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trlProps/ctrlProp3.xml" ContentType="application/vnd.ms-excel.controlproperties+xml"/>
  <Override PartName="/xl/drawings/drawing8.xml" ContentType="application/vnd.openxmlformats-officedocument.drawing+xml"/>
  <Override PartName="/xl/ctrlProps/ctrlProp4.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ctrlProps/ctrlProp5.xml" ContentType="application/vnd.ms-excel.controlproperties+xml"/>
  <Override PartName="/xl/drawings/drawing29.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901" codeName="{4D1C537B-E38A-612A-F078-A93A15B4B7F4}"/>
  <workbookPr codeName="ThisWorkbook" defaultThemeVersion="124226"/>
  <mc:AlternateContent xmlns:mc="http://schemas.openxmlformats.org/markup-compatibility/2006">
    <mc:Choice Requires="x15">
      <x15ac:absPath xmlns:x15ac="http://schemas.microsoft.com/office/spreadsheetml/2010/11/ac" url="C:\03_data\MINU\"/>
    </mc:Choice>
  </mc:AlternateContent>
  <xr:revisionPtr revIDLastSave="0" documentId="13_ncr:1_{5F59108A-84F3-421A-AE9C-6B8203EF4782}" xr6:coauthVersionLast="46" xr6:coauthVersionMax="46" xr10:uidLastSave="{00000000-0000-0000-0000-000000000000}"/>
  <bookViews>
    <workbookView xWindow="-120" yWindow="-120" windowWidth="20730" windowHeight="11310" tabRatio="746" xr2:uid="{00000000-000D-0000-FFFF-FFFF00000000}"/>
  </bookViews>
  <sheets>
    <sheet name="HOME" sheetId="220" r:id="rId1"/>
    <sheet name="MAPEL" sheetId="287" state="veryHidden" r:id="rId2"/>
    <sheet name="WS" sheetId="222" state="veryHidden" r:id="rId3"/>
    <sheet name="DATASISWA" sheetId="4" state="veryHidden" r:id="rId4"/>
    <sheet name="IDENTITAS" sheetId="5" state="veryHidden" r:id="rId5"/>
    <sheet name="PERKEMBANGAN" sheetId="248" state="veryHidden" r:id="rId6"/>
    <sheet name="INPUTNILAI" sheetId="10" state="veryHidden" r:id="rId7"/>
    <sheet name="PROSES" sheetId="288" state="veryHidden" r:id="rId8"/>
    <sheet name="CATATAN" sheetId="289" state="veryHidden" r:id="rId9"/>
    <sheet name="DBCATATAN" sheetId="290" state="veryHidden" r:id="rId10"/>
    <sheet name="WSALQURAN" sheetId="263" state="veryHidden" r:id="rId11"/>
    <sheet name="WSAQIDAH" sheetId="264" state="veryHidden" r:id="rId12"/>
    <sheet name="WSSKI" sheetId="279" state="veryHidden" r:id="rId13"/>
    <sheet name="WSFIQIH" sheetId="265" state="veryHidden" r:id="rId14"/>
    <sheet name="WSPKN" sheetId="266" state="veryHidden" r:id="rId15"/>
    <sheet name="WSIND" sheetId="267" state="veryHidden" r:id="rId16"/>
    <sheet name="WSARAB" sheetId="268" state="veryHidden" r:id="rId17"/>
    <sheet name="WSMTK" sheetId="269" state="veryHidden" r:id="rId18"/>
    <sheet name="WSIPA" sheetId="270" state="veryHidden" r:id="rId19"/>
    <sheet name="WSIPS" sheetId="271" state="veryHidden" r:id="rId20"/>
    <sheet name="WSSBK" sheetId="276" state="veryHidden" r:id="rId21"/>
    <sheet name="WSPENJAS" sheetId="256" state="veryHidden" r:id="rId22"/>
    <sheet name="WSJAWA" sheetId="272" state="veryHidden" r:id="rId23"/>
    <sheet name="WSING" sheetId="275" state="veryHidden" r:id="rId24"/>
    <sheet name="WSTIK" sheetId="277" state="veryHidden" r:id="rId25"/>
    <sheet name="WSASWAJA" sheetId="278" state="veryHidden" r:id="rId26"/>
    <sheet name="wsdasar" sheetId="243" state="veryHidden" r:id="rId27"/>
    <sheet name="RKPALL" sheetId="262" state="veryHidden" r:id="rId28"/>
    <sheet name="LAGER" sheetId="281" state="veryHidden" r:id="rId29"/>
    <sheet name="raportuts" sheetId="2" state="veryHidden" r:id="rId30"/>
    <sheet name="datarapot" sheetId="285" state="veryHidden" r:id="rId31"/>
    <sheet name="RAPOTUAS" sheetId="284" state="veryHidden" r:id="rId32"/>
  </sheets>
  <functionGroups builtInGroupCount="19"/>
  <definedNames>
    <definedName name="CATATAN">DBCATATAN!$B$6:$JN$35</definedName>
    <definedName name="datasiswa">DATASISWA!$D$8:$AC$37</definedName>
    <definedName name="datauas">datarapot!$A$2:$AFM$32</definedName>
    <definedName name="lager">LAGER!$B$13:$AD$42</definedName>
    <definedName name="mapel">MAPEL!$C$5:$C$20</definedName>
    <definedName name="nilai">PROSES!$B$6:$EP$35</definedName>
    <definedName name="OLE_LINK1" localSheetId="15">WSIND!$C$7</definedName>
    <definedName name="perkembangan">PERKEMBANGAN!$B$5:$L$34</definedName>
    <definedName name="_xlnm.Print_Area" localSheetId="4">IDENTITAS!$B$4:$L$40</definedName>
    <definedName name="_xlnm.Print_Area" localSheetId="6">INPUTNILAI!$B$2:$L$48</definedName>
    <definedName name="_xlnm.Print_Area" localSheetId="28">LAGER!$B$4:$AD$48</definedName>
    <definedName name="_xlnm.Print_Area" localSheetId="29">raportuts!$B$4:$Q$54</definedName>
    <definedName name="_xlnm.Print_Area" localSheetId="31">RAPOTUAS!$B$4:$G$320</definedName>
  </definedNames>
  <calcPr calcId="191029"/>
</workbook>
</file>

<file path=xl/calcChain.xml><?xml version="1.0" encoding="utf-8"?>
<calcChain xmlns="http://schemas.openxmlformats.org/spreadsheetml/2006/main">
  <c r="F10" i="5" l="1"/>
  <c r="C18" i="284" l="1"/>
  <c r="C17" i="284"/>
  <c r="C16" i="284"/>
  <c r="C15" i="284"/>
  <c r="C14" i="284"/>
  <c r="C13" i="284"/>
  <c r="F15" i="275"/>
  <c r="G15" i="275"/>
  <c r="H15" i="275"/>
  <c r="I15" i="275"/>
  <c r="J15" i="275"/>
  <c r="K15" i="275"/>
  <c r="L15" i="275"/>
  <c r="M15" i="275"/>
  <c r="N15" i="275"/>
  <c r="O15" i="275"/>
  <c r="P15" i="275"/>
  <c r="Q15" i="275"/>
  <c r="R15" i="275"/>
  <c r="S15" i="275"/>
  <c r="T15" i="275"/>
  <c r="U15" i="275"/>
  <c r="V15" i="275"/>
  <c r="W15" i="275"/>
  <c r="X15" i="275"/>
  <c r="Y15" i="275"/>
  <c r="Z15" i="275"/>
  <c r="AA15" i="275"/>
  <c r="AB15" i="275"/>
  <c r="E15" i="275"/>
  <c r="AB30" i="272"/>
  <c r="AA30" i="272"/>
  <c r="Z30" i="272"/>
  <c r="Y30" i="272"/>
  <c r="X30" i="272"/>
  <c r="W30" i="272"/>
  <c r="V30" i="272"/>
  <c r="U30" i="272"/>
  <c r="T30" i="272"/>
  <c r="S30" i="272"/>
  <c r="R30" i="272"/>
  <c r="Q30" i="272"/>
  <c r="P30" i="272"/>
  <c r="O30" i="272"/>
  <c r="N30" i="272"/>
  <c r="M30" i="272"/>
  <c r="L30" i="272"/>
  <c r="K30" i="272"/>
  <c r="J30" i="272"/>
  <c r="I30" i="272"/>
  <c r="H30" i="272"/>
  <c r="G30" i="272"/>
  <c r="F30" i="272"/>
  <c r="E30" i="272"/>
  <c r="AB14" i="272"/>
  <c r="AA14" i="272"/>
  <c r="Z14" i="272"/>
  <c r="Y14" i="272"/>
  <c r="X14" i="272"/>
  <c r="W14" i="272"/>
  <c r="V14" i="272"/>
  <c r="U14" i="272"/>
  <c r="T14" i="272"/>
  <c r="S14" i="272"/>
  <c r="R14" i="272"/>
  <c r="Q14" i="272"/>
  <c r="P14" i="272"/>
  <c r="O14" i="272"/>
  <c r="N14" i="272"/>
  <c r="M14" i="272"/>
  <c r="L14" i="272"/>
  <c r="K14" i="272"/>
  <c r="J14" i="272"/>
  <c r="I14" i="272"/>
  <c r="H14" i="272"/>
  <c r="G14" i="272"/>
  <c r="F14" i="272"/>
  <c r="E14" i="272"/>
  <c r="AB62" i="272"/>
  <c r="AA62" i="272"/>
  <c r="Z62" i="272"/>
  <c r="Y62" i="272"/>
  <c r="X62" i="272"/>
  <c r="W62" i="272"/>
  <c r="V62" i="272"/>
  <c r="U62" i="272"/>
  <c r="T62" i="272"/>
  <c r="S62" i="272"/>
  <c r="R62" i="272"/>
  <c r="Q62" i="272"/>
  <c r="P62" i="272"/>
  <c r="O62" i="272"/>
  <c r="N62" i="272"/>
  <c r="M62" i="272"/>
  <c r="L62" i="272"/>
  <c r="K62" i="272"/>
  <c r="J62" i="272"/>
  <c r="I62" i="272"/>
  <c r="H62" i="272"/>
  <c r="G62" i="272"/>
  <c r="F62" i="272"/>
  <c r="E62" i="272"/>
  <c r="AB54" i="272"/>
  <c r="AA54" i="272"/>
  <c r="Z54" i="272"/>
  <c r="Y54" i="272"/>
  <c r="X54" i="272"/>
  <c r="W54" i="272"/>
  <c r="V54" i="272"/>
  <c r="U54" i="272"/>
  <c r="T54" i="272"/>
  <c r="S54" i="272"/>
  <c r="R54" i="272"/>
  <c r="Q54" i="272"/>
  <c r="P54" i="272"/>
  <c r="O54" i="272"/>
  <c r="N54" i="272"/>
  <c r="M54" i="272"/>
  <c r="L54" i="272"/>
  <c r="K54" i="272"/>
  <c r="J54" i="272"/>
  <c r="I54" i="272"/>
  <c r="H54" i="272"/>
  <c r="G54" i="272"/>
  <c r="F54" i="272"/>
  <c r="E54" i="272"/>
  <c r="AB46" i="272"/>
  <c r="AA46" i="272"/>
  <c r="Z46" i="272"/>
  <c r="Y46" i="272"/>
  <c r="X46" i="272"/>
  <c r="W46" i="272"/>
  <c r="V46" i="272"/>
  <c r="U46" i="272"/>
  <c r="T46" i="272"/>
  <c r="S46" i="272"/>
  <c r="R46" i="272"/>
  <c r="Q46" i="272"/>
  <c r="P46" i="272"/>
  <c r="O46" i="272"/>
  <c r="N46" i="272"/>
  <c r="M46" i="272"/>
  <c r="L46" i="272"/>
  <c r="K46" i="272"/>
  <c r="J46" i="272"/>
  <c r="I46" i="272"/>
  <c r="H46" i="272"/>
  <c r="G46" i="272"/>
  <c r="F46" i="272"/>
  <c r="E46" i="272"/>
  <c r="AB38" i="272"/>
  <c r="AA38" i="272"/>
  <c r="Z38" i="272"/>
  <c r="Y38" i="272"/>
  <c r="X38" i="272"/>
  <c r="W38" i="272"/>
  <c r="V38" i="272"/>
  <c r="U38" i="272"/>
  <c r="T38" i="272"/>
  <c r="S38" i="272"/>
  <c r="R38" i="272"/>
  <c r="Q38" i="272"/>
  <c r="P38" i="272"/>
  <c r="O38" i="272"/>
  <c r="N38" i="272"/>
  <c r="M38" i="272"/>
  <c r="L38" i="272"/>
  <c r="K38" i="272"/>
  <c r="J38" i="272"/>
  <c r="I38" i="272"/>
  <c r="H38" i="272"/>
  <c r="G38" i="272"/>
  <c r="F38" i="272"/>
  <c r="E38" i="272"/>
  <c r="AB80" i="265" l="1"/>
  <c r="AA80" i="265"/>
  <c r="Z80" i="265"/>
  <c r="Y80" i="265"/>
  <c r="X80" i="265"/>
  <c r="W80" i="265"/>
  <c r="V80" i="265"/>
  <c r="U80" i="265"/>
  <c r="T80" i="265"/>
  <c r="S80" i="265"/>
  <c r="R80" i="265"/>
  <c r="Q80" i="265"/>
  <c r="P80" i="265"/>
  <c r="O80" i="265"/>
  <c r="N80" i="265"/>
  <c r="M80" i="265"/>
  <c r="L80" i="265"/>
  <c r="K80" i="265"/>
  <c r="J80" i="265"/>
  <c r="I80" i="265"/>
  <c r="H80" i="265"/>
  <c r="G80" i="265"/>
  <c r="F80" i="265"/>
  <c r="E80" i="265"/>
  <c r="E6" i="265"/>
  <c r="F6" i="265"/>
  <c r="G6" i="265"/>
  <c r="H6" i="265"/>
  <c r="I6" i="265"/>
  <c r="J6" i="265"/>
  <c r="K6" i="265"/>
  <c r="L6" i="265"/>
  <c r="M6" i="265"/>
  <c r="N6" i="265"/>
  <c r="O6" i="265"/>
  <c r="P6" i="265"/>
  <c r="Q6" i="265"/>
  <c r="R6" i="265"/>
  <c r="S6" i="265"/>
  <c r="T6" i="265"/>
  <c r="U6" i="265"/>
  <c r="V6" i="265"/>
  <c r="W6" i="265"/>
  <c r="X6" i="265"/>
  <c r="Y6" i="265"/>
  <c r="Z6" i="265"/>
  <c r="AA6" i="265"/>
  <c r="AB6" i="265"/>
  <c r="E19" i="265"/>
  <c r="F19" i="265"/>
  <c r="G19" i="265"/>
  <c r="H19" i="265"/>
  <c r="I19" i="265"/>
  <c r="J19" i="265"/>
  <c r="K19" i="265"/>
  <c r="L19" i="265"/>
  <c r="M19" i="265"/>
  <c r="N19" i="265"/>
  <c r="O19" i="265"/>
  <c r="P19" i="265"/>
  <c r="Q19" i="265"/>
  <c r="R19" i="265"/>
  <c r="S19" i="265"/>
  <c r="T19" i="265"/>
  <c r="U19" i="265"/>
  <c r="V19" i="265"/>
  <c r="W19" i="265"/>
  <c r="X19" i="265"/>
  <c r="Y19" i="265"/>
  <c r="Z19" i="265"/>
  <c r="AA19" i="265"/>
  <c r="AB19" i="265"/>
  <c r="E28" i="265"/>
  <c r="F28" i="265"/>
  <c r="G28" i="265"/>
  <c r="H28" i="265"/>
  <c r="I28" i="265"/>
  <c r="J28" i="265"/>
  <c r="K28" i="265"/>
  <c r="L28" i="265"/>
  <c r="M28" i="265"/>
  <c r="N28" i="265"/>
  <c r="O28" i="265"/>
  <c r="P28" i="265"/>
  <c r="Q28" i="265"/>
  <c r="R28" i="265"/>
  <c r="S28" i="265"/>
  <c r="T28" i="265"/>
  <c r="U28" i="265"/>
  <c r="V28" i="265"/>
  <c r="W28" i="265"/>
  <c r="X28" i="265"/>
  <c r="Y28" i="265"/>
  <c r="Z28" i="265"/>
  <c r="AA28" i="265"/>
  <c r="AB28" i="265"/>
  <c r="E41" i="265"/>
  <c r="F41" i="265"/>
  <c r="G41" i="265"/>
  <c r="H41" i="265"/>
  <c r="I41" i="265"/>
  <c r="J41" i="265"/>
  <c r="K41" i="265"/>
  <c r="L41" i="265"/>
  <c r="M41" i="265"/>
  <c r="N41" i="265"/>
  <c r="O41" i="265"/>
  <c r="P41" i="265"/>
  <c r="Q41" i="265"/>
  <c r="R41" i="265"/>
  <c r="S41" i="265"/>
  <c r="T41" i="265"/>
  <c r="U41" i="265"/>
  <c r="V41" i="265"/>
  <c r="W41" i="265"/>
  <c r="X41" i="265"/>
  <c r="Y41" i="265"/>
  <c r="Z41" i="265"/>
  <c r="AA41" i="265"/>
  <c r="AB41" i="265"/>
  <c r="E49" i="265"/>
  <c r="F49" i="265"/>
  <c r="G49" i="265"/>
  <c r="H49" i="265"/>
  <c r="I49" i="265"/>
  <c r="J49" i="265"/>
  <c r="K49" i="265"/>
  <c r="L49" i="265"/>
  <c r="M49" i="265"/>
  <c r="N49" i="265"/>
  <c r="O49" i="265"/>
  <c r="P49" i="265"/>
  <c r="Q49" i="265"/>
  <c r="R49" i="265"/>
  <c r="S49" i="265"/>
  <c r="T49" i="265"/>
  <c r="U49" i="265"/>
  <c r="V49" i="265"/>
  <c r="W49" i="265"/>
  <c r="X49" i="265"/>
  <c r="Y49" i="265"/>
  <c r="Z49" i="265"/>
  <c r="AA49" i="265"/>
  <c r="AB49" i="265"/>
  <c r="E62" i="265"/>
  <c r="F62" i="265"/>
  <c r="G62" i="265"/>
  <c r="H62" i="265"/>
  <c r="I62" i="265"/>
  <c r="J62" i="265"/>
  <c r="K62" i="265"/>
  <c r="L62" i="265"/>
  <c r="M62" i="265"/>
  <c r="N62" i="265"/>
  <c r="O62" i="265"/>
  <c r="P62" i="265"/>
  <c r="Q62" i="265"/>
  <c r="R62" i="265"/>
  <c r="S62" i="265"/>
  <c r="T62" i="265"/>
  <c r="U62" i="265"/>
  <c r="V62" i="265"/>
  <c r="W62" i="265"/>
  <c r="X62" i="265"/>
  <c r="Y62" i="265"/>
  <c r="Z62" i="265"/>
  <c r="AA62" i="265"/>
  <c r="AB62" i="265"/>
  <c r="E71" i="265"/>
  <c r="F71" i="265"/>
  <c r="G71" i="265"/>
  <c r="H71" i="265"/>
  <c r="I71" i="265"/>
  <c r="J71" i="265"/>
  <c r="K71" i="265"/>
  <c r="L71" i="265"/>
  <c r="M71" i="265"/>
  <c r="N71" i="265"/>
  <c r="O71" i="265"/>
  <c r="P71" i="265"/>
  <c r="Q71" i="265"/>
  <c r="R71" i="265"/>
  <c r="S71" i="265"/>
  <c r="T71" i="265"/>
  <c r="U71" i="265"/>
  <c r="V71" i="265"/>
  <c r="W71" i="265"/>
  <c r="X71" i="265"/>
  <c r="Y71" i="265"/>
  <c r="Z71" i="265"/>
  <c r="AA71" i="265"/>
  <c r="AB71" i="265"/>
  <c r="E88" i="265"/>
  <c r="F88" i="265"/>
  <c r="G88" i="265"/>
  <c r="H88" i="265"/>
  <c r="I88" i="265"/>
  <c r="J88" i="265"/>
  <c r="K88" i="265"/>
  <c r="L88" i="265"/>
  <c r="M88" i="265"/>
  <c r="N88" i="265"/>
  <c r="O88" i="265"/>
  <c r="P88" i="265"/>
  <c r="Q88" i="265"/>
  <c r="R88" i="265"/>
  <c r="S88" i="265"/>
  <c r="T88" i="265"/>
  <c r="U88" i="265"/>
  <c r="V88" i="265"/>
  <c r="W88" i="265"/>
  <c r="X88" i="265"/>
  <c r="Y88" i="265"/>
  <c r="Z88" i="265"/>
  <c r="AA88" i="265"/>
  <c r="AB88" i="265"/>
  <c r="E96" i="265"/>
  <c r="F96" i="265"/>
  <c r="G96" i="265"/>
  <c r="H96" i="265"/>
  <c r="I96" i="265"/>
  <c r="J96" i="265"/>
  <c r="K96" i="265"/>
  <c r="L96" i="265"/>
  <c r="M96" i="265"/>
  <c r="N96" i="265"/>
  <c r="O96" i="265"/>
  <c r="P96" i="265"/>
  <c r="Q96" i="265"/>
  <c r="R96" i="265"/>
  <c r="S96" i="265"/>
  <c r="T96" i="265"/>
  <c r="U96" i="265"/>
  <c r="V96" i="265"/>
  <c r="W96" i="265"/>
  <c r="X96" i="265"/>
  <c r="Y96" i="265"/>
  <c r="Z96" i="265"/>
  <c r="AA96" i="265"/>
  <c r="AB96" i="265"/>
  <c r="E104" i="265"/>
  <c r="F104" i="265"/>
  <c r="G104" i="265"/>
  <c r="H104" i="265"/>
  <c r="I104" i="265"/>
  <c r="J104" i="265"/>
  <c r="K104" i="265"/>
  <c r="L104" i="265"/>
  <c r="M104" i="265"/>
  <c r="N104" i="265"/>
  <c r="O104" i="265"/>
  <c r="P104" i="265"/>
  <c r="Q104" i="265"/>
  <c r="R104" i="265"/>
  <c r="S104" i="265"/>
  <c r="T104" i="265"/>
  <c r="U104" i="265"/>
  <c r="V104" i="265"/>
  <c r="W104" i="265"/>
  <c r="X104" i="265"/>
  <c r="Y104" i="265"/>
  <c r="Z104" i="265"/>
  <c r="AA104" i="265"/>
  <c r="AB104" i="265"/>
  <c r="E112" i="265"/>
  <c r="F112" i="265"/>
  <c r="G112" i="265"/>
  <c r="H112" i="265"/>
  <c r="I112" i="265"/>
  <c r="J112" i="265"/>
  <c r="K112" i="265"/>
  <c r="L112" i="265"/>
  <c r="M112" i="265"/>
  <c r="N112" i="265"/>
  <c r="O112" i="265"/>
  <c r="P112" i="265"/>
  <c r="Q112" i="265"/>
  <c r="R112" i="265"/>
  <c r="S112" i="265"/>
  <c r="T112" i="265"/>
  <c r="U112" i="265"/>
  <c r="V112" i="265"/>
  <c r="W112" i="265"/>
  <c r="X112" i="265"/>
  <c r="Y112" i="265"/>
  <c r="Z112" i="265"/>
  <c r="AA112" i="265"/>
  <c r="AB112" i="265"/>
  <c r="E120" i="265"/>
  <c r="F120" i="265"/>
  <c r="G120" i="265"/>
  <c r="H120" i="265"/>
  <c r="I120" i="265"/>
  <c r="J120" i="265"/>
  <c r="K120" i="265"/>
  <c r="L120" i="265"/>
  <c r="M120" i="265"/>
  <c r="N120" i="265"/>
  <c r="O120" i="265"/>
  <c r="P120" i="265"/>
  <c r="Q120" i="265"/>
  <c r="R120" i="265"/>
  <c r="S120" i="265"/>
  <c r="T120" i="265"/>
  <c r="U120" i="265"/>
  <c r="V120" i="265"/>
  <c r="V128" i="265" s="1"/>
  <c r="W120" i="265"/>
  <c r="X120" i="265"/>
  <c r="Y120" i="265"/>
  <c r="Z120" i="265"/>
  <c r="Z128" i="265" s="1"/>
  <c r="AA120" i="265"/>
  <c r="AB120" i="265"/>
  <c r="G128" i="265"/>
  <c r="J128" i="265"/>
  <c r="K128" i="265"/>
  <c r="N128" i="265"/>
  <c r="O128" i="265"/>
  <c r="R128" i="265"/>
  <c r="S128" i="265"/>
  <c r="U128" i="265"/>
  <c r="W128" i="265"/>
  <c r="AA128" i="265"/>
  <c r="E128" i="265" l="1"/>
  <c r="I128" i="265"/>
  <c r="M128" i="265"/>
  <c r="Q128" i="265"/>
  <c r="Y128" i="265"/>
  <c r="F128" i="265"/>
  <c r="H128" i="265"/>
  <c r="L128" i="265"/>
  <c r="P128" i="265"/>
  <c r="T128" i="265"/>
  <c r="X128" i="265"/>
  <c r="AB128" i="265"/>
  <c r="AB200" i="269" l="1"/>
  <c r="AA200" i="269"/>
  <c r="Z200" i="269"/>
  <c r="Y200" i="269"/>
  <c r="X200" i="269"/>
  <c r="W200" i="269"/>
  <c r="V200" i="269"/>
  <c r="U200" i="269"/>
  <c r="T200" i="269"/>
  <c r="S200" i="269"/>
  <c r="R200" i="269"/>
  <c r="Q200" i="269"/>
  <c r="P200" i="269"/>
  <c r="O200" i="269"/>
  <c r="N200" i="269"/>
  <c r="M200" i="269"/>
  <c r="L200" i="269"/>
  <c r="K200" i="269"/>
  <c r="J200" i="269"/>
  <c r="I200" i="269"/>
  <c r="H200" i="269"/>
  <c r="G200" i="269"/>
  <c r="F200" i="269"/>
  <c r="E200" i="269"/>
  <c r="AB192" i="269"/>
  <c r="AA192" i="269"/>
  <c r="Z192" i="269"/>
  <c r="Y192" i="269"/>
  <c r="X192" i="269"/>
  <c r="W192" i="269"/>
  <c r="V192" i="269"/>
  <c r="U192" i="269"/>
  <c r="T192" i="269"/>
  <c r="S192" i="269"/>
  <c r="R192" i="269"/>
  <c r="Q192" i="269"/>
  <c r="P192" i="269"/>
  <c r="O192" i="269"/>
  <c r="N192" i="269"/>
  <c r="M192" i="269"/>
  <c r="L192" i="269"/>
  <c r="K192" i="269"/>
  <c r="J192" i="269"/>
  <c r="I192" i="269"/>
  <c r="H192" i="269"/>
  <c r="G192" i="269"/>
  <c r="F192" i="269"/>
  <c r="E192" i="269"/>
  <c r="AB184" i="269"/>
  <c r="AA184" i="269"/>
  <c r="Z184" i="269"/>
  <c r="Y184" i="269"/>
  <c r="X184" i="269"/>
  <c r="W184" i="269"/>
  <c r="V184" i="269"/>
  <c r="U184" i="269"/>
  <c r="T184" i="269"/>
  <c r="S184" i="269"/>
  <c r="R184" i="269"/>
  <c r="Q184" i="269"/>
  <c r="P184" i="269"/>
  <c r="O184" i="269"/>
  <c r="N184" i="269"/>
  <c r="M184" i="269"/>
  <c r="L184" i="269"/>
  <c r="K184" i="269"/>
  <c r="J184" i="269"/>
  <c r="I184" i="269"/>
  <c r="H184" i="269"/>
  <c r="G184" i="269"/>
  <c r="F184" i="269"/>
  <c r="E184" i="269"/>
  <c r="AB176" i="269"/>
  <c r="AA176" i="269"/>
  <c r="Z176" i="269"/>
  <c r="Y176" i="269"/>
  <c r="X176" i="269"/>
  <c r="W176" i="269"/>
  <c r="V176" i="269"/>
  <c r="U176" i="269"/>
  <c r="T176" i="269"/>
  <c r="S176" i="269"/>
  <c r="R176" i="269"/>
  <c r="Q176" i="269"/>
  <c r="P176" i="269"/>
  <c r="O176" i="269"/>
  <c r="N176" i="269"/>
  <c r="M176" i="269"/>
  <c r="L176" i="269"/>
  <c r="K176" i="269"/>
  <c r="J176" i="269"/>
  <c r="I176" i="269"/>
  <c r="H176" i="269"/>
  <c r="G176" i="269"/>
  <c r="F176" i="269"/>
  <c r="E176" i="269"/>
  <c r="AB168" i="269"/>
  <c r="AA168" i="269"/>
  <c r="Z168" i="269"/>
  <c r="Y168" i="269"/>
  <c r="X168" i="269"/>
  <c r="W168" i="269"/>
  <c r="V168" i="269"/>
  <c r="U168" i="269"/>
  <c r="T168" i="269"/>
  <c r="S168" i="269"/>
  <c r="R168" i="269"/>
  <c r="Q168" i="269"/>
  <c r="P168" i="269"/>
  <c r="O168" i="269"/>
  <c r="N168" i="269"/>
  <c r="M168" i="269"/>
  <c r="L168" i="269"/>
  <c r="K168" i="269"/>
  <c r="J168" i="269"/>
  <c r="I168" i="269"/>
  <c r="H168" i="269"/>
  <c r="G168" i="269"/>
  <c r="F168" i="269"/>
  <c r="E168" i="269"/>
  <c r="AB145" i="269"/>
  <c r="AA145" i="269"/>
  <c r="Z145" i="269"/>
  <c r="Y145" i="269"/>
  <c r="X145" i="269"/>
  <c r="W145" i="269"/>
  <c r="V145" i="269"/>
  <c r="U145" i="269"/>
  <c r="T145" i="269"/>
  <c r="S145" i="269"/>
  <c r="R145" i="269"/>
  <c r="Q145" i="269"/>
  <c r="P145" i="269"/>
  <c r="O145" i="269"/>
  <c r="N145" i="269"/>
  <c r="M145" i="269"/>
  <c r="L145" i="269"/>
  <c r="K145" i="269"/>
  <c r="J145" i="269"/>
  <c r="I145" i="269"/>
  <c r="H145" i="269"/>
  <c r="G145" i="269"/>
  <c r="F145" i="269"/>
  <c r="E145" i="269"/>
  <c r="AB113" i="269"/>
  <c r="AA113" i="269"/>
  <c r="Z113" i="269"/>
  <c r="Y113" i="269"/>
  <c r="X113" i="269"/>
  <c r="W113" i="269"/>
  <c r="V113" i="269"/>
  <c r="U113" i="269"/>
  <c r="T113" i="269"/>
  <c r="S113" i="269"/>
  <c r="R113" i="269"/>
  <c r="Q113" i="269"/>
  <c r="P113" i="269"/>
  <c r="O113" i="269"/>
  <c r="N113" i="269"/>
  <c r="M113" i="269"/>
  <c r="L113" i="269"/>
  <c r="K113" i="269"/>
  <c r="J113" i="269"/>
  <c r="I113" i="269"/>
  <c r="H113" i="269"/>
  <c r="G113" i="269"/>
  <c r="F113" i="269"/>
  <c r="E113" i="269"/>
  <c r="AB99" i="269"/>
  <c r="AA99" i="269"/>
  <c r="Z99" i="269"/>
  <c r="Y99" i="269"/>
  <c r="X99" i="269"/>
  <c r="W99" i="269"/>
  <c r="V99" i="269"/>
  <c r="U99" i="269"/>
  <c r="T99" i="269"/>
  <c r="S99" i="269"/>
  <c r="R99" i="269"/>
  <c r="Q99" i="269"/>
  <c r="P99" i="269"/>
  <c r="O99" i="269"/>
  <c r="N99" i="269"/>
  <c r="M99" i="269"/>
  <c r="L99" i="269"/>
  <c r="K99" i="269"/>
  <c r="J99" i="269"/>
  <c r="I99" i="269"/>
  <c r="H99" i="269"/>
  <c r="G99" i="269"/>
  <c r="F99" i="269"/>
  <c r="E99" i="269"/>
  <c r="AB87" i="269"/>
  <c r="AA87" i="269"/>
  <c r="Z87" i="269"/>
  <c r="Y87" i="269"/>
  <c r="X87" i="269"/>
  <c r="W87" i="269"/>
  <c r="V87" i="269"/>
  <c r="U87" i="269"/>
  <c r="T87" i="269"/>
  <c r="S87" i="269"/>
  <c r="R87" i="269"/>
  <c r="Q87" i="269"/>
  <c r="P87" i="269"/>
  <c r="O87" i="269"/>
  <c r="N87" i="269"/>
  <c r="M87" i="269"/>
  <c r="L87" i="269"/>
  <c r="K87" i="269"/>
  <c r="J87" i="269"/>
  <c r="I87" i="269"/>
  <c r="H87" i="269"/>
  <c r="G87" i="269"/>
  <c r="F87" i="269"/>
  <c r="E87" i="269"/>
  <c r="AB69" i="269"/>
  <c r="AA69" i="269"/>
  <c r="Z69" i="269"/>
  <c r="Y69" i="269"/>
  <c r="X69" i="269"/>
  <c r="W69" i="269"/>
  <c r="V69" i="269"/>
  <c r="U69" i="269"/>
  <c r="T69" i="269"/>
  <c r="S69" i="269"/>
  <c r="R69" i="269"/>
  <c r="Q69" i="269"/>
  <c r="P69" i="269"/>
  <c r="O69" i="269"/>
  <c r="N69" i="269"/>
  <c r="M69" i="269"/>
  <c r="L69" i="269"/>
  <c r="K69" i="269"/>
  <c r="J69" i="269"/>
  <c r="I69" i="269"/>
  <c r="H69" i="269"/>
  <c r="G69" i="269"/>
  <c r="F69" i="269"/>
  <c r="E69" i="269"/>
  <c r="AB35" i="269"/>
  <c r="AA35" i="269"/>
  <c r="Z35" i="269"/>
  <c r="Y35" i="269"/>
  <c r="X35" i="269"/>
  <c r="W35" i="269"/>
  <c r="V35" i="269"/>
  <c r="U35" i="269"/>
  <c r="T35" i="269"/>
  <c r="S35" i="269"/>
  <c r="R35" i="269"/>
  <c r="Q35" i="269"/>
  <c r="P35" i="269"/>
  <c r="O35" i="269"/>
  <c r="N35" i="269"/>
  <c r="M35" i="269"/>
  <c r="L35" i="269"/>
  <c r="K35" i="269"/>
  <c r="J35" i="269"/>
  <c r="I35" i="269"/>
  <c r="H35" i="269"/>
  <c r="G35" i="269"/>
  <c r="F35" i="269"/>
  <c r="E35" i="269"/>
  <c r="AB22" i="269"/>
  <c r="AA22" i="269"/>
  <c r="Z22" i="269"/>
  <c r="Y22" i="269"/>
  <c r="X22" i="269"/>
  <c r="W22" i="269"/>
  <c r="V22" i="269"/>
  <c r="U22" i="269"/>
  <c r="T22" i="269"/>
  <c r="S22" i="269"/>
  <c r="R22" i="269"/>
  <c r="Q22" i="269"/>
  <c r="P22" i="269"/>
  <c r="O22" i="269"/>
  <c r="N22" i="269"/>
  <c r="M22" i="269"/>
  <c r="L22" i="269"/>
  <c r="K22" i="269"/>
  <c r="J22" i="269"/>
  <c r="I22" i="269"/>
  <c r="H22" i="269"/>
  <c r="G22" i="269"/>
  <c r="F22" i="269"/>
  <c r="E22" i="269"/>
  <c r="AB6" i="269"/>
  <c r="AB208" i="269" s="1"/>
  <c r="AA6" i="269"/>
  <c r="AA208" i="269" s="1"/>
  <c r="Z6" i="269"/>
  <c r="Z208" i="269" s="1"/>
  <c r="Y6" i="269"/>
  <c r="Y208" i="269" s="1"/>
  <c r="X6" i="269"/>
  <c r="X208" i="269" s="1"/>
  <c r="W6" i="269"/>
  <c r="W208" i="269" s="1"/>
  <c r="V6" i="269"/>
  <c r="V208" i="269" s="1"/>
  <c r="U6" i="269"/>
  <c r="U208" i="269" s="1"/>
  <c r="T6" i="269"/>
  <c r="T208" i="269" s="1"/>
  <c r="S6" i="269"/>
  <c r="S208" i="269" s="1"/>
  <c r="R6" i="269"/>
  <c r="R208" i="269" s="1"/>
  <c r="Q6" i="269"/>
  <c r="Q208" i="269" s="1"/>
  <c r="P6" i="269"/>
  <c r="P208" i="269" s="1"/>
  <c r="O6" i="269"/>
  <c r="O208" i="269" s="1"/>
  <c r="N6" i="269"/>
  <c r="N208" i="269" s="1"/>
  <c r="M6" i="269"/>
  <c r="M208" i="269" s="1"/>
  <c r="L6" i="269"/>
  <c r="L208" i="269" s="1"/>
  <c r="K6" i="269"/>
  <c r="K208" i="269" s="1"/>
  <c r="J6" i="269"/>
  <c r="J208" i="269" s="1"/>
  <c r="I6" i="269"/>
  <c r="I208" i="269" s="1"/>
  <c r="H6" i="269"/>
  <c r="H208" i="269" s="1"/>
  <c r="G6" i="269"/>
  <c r="G208" i="269" s="1"/>
  <c r="F6" i="269"/>
  <c r="F208" i="269" s="1"/>
  <c r="E6" i="269"/>
  <c r="E208" i="269" s="1"/>
  <c r="AB6" i="266" l="1"/>
  <c r="AA6" i="266"/>
  <c r="Z6" i="266"/>
  <c r="Y6" i="266"/>
  <c r="X6" i="266"/>
  <c r="W6" i="266"/>
  <c r="V6" i="266"/>
  <c r="U6" i="266"/>
  <c r="T6" i="266"/>
  <c r="S6" i="266"/>
  <c r="R6" i="266"/>
  <c r="Q6" i="266"/>
  <c r="P6" i="266"/>
  <c r="O6" i="266"/>
  <c r="N6" i="266"/>
  <c r="M6" i="266"/>
  <c r="L6" i="266"/>
  <c r="K6" i="266"/>
  <c r="J6" i="266"/>
  <c r="I6" i="266"/>
  <c r="H6" i="266"/>
  <c r="G6" i="266"/>
  <c r="F6" i="266"/>
  <c r="E6" i="266"/>
  <c r="AB32" i="266"/>
  <c r="AA32" i="266"/>
  <c r="Z32" i="266"/>
  <c r="Y32" i="266"/>
  <c r="X32" i="266"/>
  <c r="W32" i="266"/>
  <c r="V32" i="266"/>
  <c r="U32" i="266"/>
  <c r="T32" i="266"/>
  <c r="S32" i="266"/>
  <c r="R32" i="266"/>
  <c r="Q32" i="266"/>
  <c r="P32" i="266"/>
  <c r="O32" i="266"/>
  <c r="N32" i="266"/>
  <c r="M32" i="266"/>
  <c r="L32" i="266"/>
  <c r="K32" i="266"/>
  <c r="J32" i="266"/>
  <c r="I32" i="266"/>
  <c r="H32" i="266"/>
  <c r="G32" i="266"/>
  <c r="F32" i="266"/>
  <c r="E32" i="266"/>
  <c r="AB55" i="266"/>
  <c r="AA55" i="266"/>
  <c r="Z55" i="266"/>
  <c r="Y55" i="266"/>
  <c r="X55" i="266"/>
  <c r="W55" i="266"/>
  <c r="V55" i="266"/>
  <c r="U55" i="266"/>
  <c r="T55" i="266"/>
  <c r="S55" i="266"/>
  <c r="R55" i="266"/>
  <c r="Q55" i="266"/>
  <c r="P55" i="266"/>
  <c r="O55" i="266"/>
  <c r="N55" i="266"/>
  <c r="M55" i="266"/>
  <c r="L55" i="266"/>
  <c r="K55" i="266"/>
  <c r="J55" i="266"/>
  <c r="I55" i="266"/>
  <c r="H55" i="266"/>
  <c r="G55" i="266"/>
  <c r="F55" i="266"/>
  <c r="E55" i="266"/>
  <c r="AB86" i="266"/>
  <c r="AB72" i="266" s="1"/>
  <c r="AA86" i="266"/>
  <c r="AA72" i="266" s="1"/>
  <c r="Z86" i="266"/>
  <c r="Z72" i="266" s="1"/>
  <c r="Y86" i="266"/>
  <c r="Y72" i="266" s="1"/>
  <c r="X86" i="266"/>
  <c r="X72" i="266" s="1"/>
  <c r="W86" i="266"/>
  <c r="W72" i="266" s="1"/>
  <c r="V86" i="266"/>
  <c r="V72" i="266" s="1"/>
  <c r="U86" i="266"/>
  <c r="U72" i="266" s="1"/>
  <c r="T86" i="266"/>
  <c r="T72" i="266" s="1"/>
  <c r="S86" i="266"/>
  <c r="S72" i="266" s="1"/>
  <c r="R86" i="266"/>
  <c r="R72" i="266" s="1"/>
  <c r="Q86" i="266"/>
  <c r="Q72" i="266" s="1"/>
  <c r="P86" i="266"/>
  <c r="P72" i="266" s="1"/>
  <c r="O86" i="266"/>
  <c r="O72" i="266" s="1"/>
  <c r="N86" i="266"/>
  <c r="N72" i="266" s="1"/>
  <c r="M86" i="266"/>
  <c r="M72" i="266" s="1"/>
  <c r="L86" i="266"/>
  <c r="L72" i="266" s="1"/>
  <c r="K86" i="266"/>
  <c r="K72" i="266" s="1"/>
  <c r="J86" i="266"/>
  <c r="J72" i="266" s="1"/>
  <c r="I86" i="266"/>
  <c r="I72" i="266" s="1"/>
  <c r="H86" i="266"/>
  <c r="H72" i="266" s="1"/>
  <c r="G86" i="266"/>
  <c r="G72" i="266" s="1"/>
  <c r="F86" i="266"/>
  <c r="F72" i="266" s="1"/>
  <c r="E86" i="266"/>
  <c r="E72" i="266" s="1"/>
  <c r="AB108" i="266"/>
  <c r="AA108" i="266"/>
  <c r="Z108" i="266"/>
  <c r="Y108" i="266"/>
  <c r="X108" i="266"/>
  <c r="W108" i="266"/>
  <c r="V108" i="266"/>
  <c r="U108" i="266"/>
  <c r="T108" i="266"/>
  <c r="S108" i="266"/>
  <c r="R108" i="266"/>
  <c r="Q108" i="266"/>
  <c r="P108" i="266"/>
  <c r="O108" i="266"/>
  <c r="N108" i="266"/>
  <c r="M108" i="266"/>
  <c r="L108" i="266"/>
  <c r="K108" i="266"/>
  <c r="J108" i="266"/>
  <c r="I108" i="266"/>
  <c r="H108" i="266"/>
  <c r="G108" i="266"/>
  <c r="F108" i="266"/>
  <c r="E108" i="266"/>
  <c r="E6" i="275" l="1"/>
  <c r="F6" i="275"/>
  <c r="G6" i="275"/>
  <c r="H6" i="275"/>
  <c r="I6" i="275"/>
  <c r="J6" i="275"/>
  <c r="K6" i="275"/>
  <c r="L6" i="275"/>
  <c r="M6" i="275"/>
  <c r="N6" i="275"/>
  <c r="O6" i="275"/>
  <c r="P6" i="275"/>
  <c r="Q6" i="275"/>
  <c r="R6" i="275"/>
  <c r="S6" i="275"/>
  <c r="T6" i="275"/>
  <c r="U6" i="275"/>
  <c r="V6" i="275"/>
  <c r="W6" i="275"/>
  <c r="X6" i="275"/>
  <c r="Y6" i="275"/>
  <c r="Z6" i="275"/>
  <c r="AA6" i="275"/>
  <c r="B7" i="284" l="1"/>
  <c r="B6" i="284"/>
  <c r="Q38" i="2"/>
  <c r="P38" i="2"/>
  <c r="O38" i="2"/>
  <c r="N38" i="2"/>
  <c r="M38" i="2"/>
  <c r="L38" i="2"/>
  <c r="K38" i="2"/>
  <c r="J38" i="2"/>
  <c r="Q37" i="2"/>
  <c r="P37" i="2"/>
  <c r="O37" i="2"/>
  <c r="N37" i="2"/>
  <c r="M37" i="2"/>
  <c r="L37" i="2"/>
  <c r="K37" i="2"/>
  <c r="J37" i="2"/>
  <c r="J36" i="2"/>
  <c r="AB68" i="276"/>
  <c r="AA68" i="276"/>
  <c r="Z68" i="276"/>
  <c r="Y68" i="276"/>
  <c r="X68" i="276"/>
  <c r="W68" i="276"/>
  <c r="V68" i="276"/>
  <c r="U68" i="276"/>
  <c r="T68" i="276"/>
  <c r="S68" i="276"/>
  <c r="R68" i="276"/>
  <c r="Q68" i="276"/>
  <c r="P68" i="276"/>
  <c r="O68" i="276"/>
  <c r="N68" i="276"/>
  <c r="M68" i="276"/>
  <c r="L68" i="276"/>
  <c r="K68" i="276"/>
  <c r="J68" i="276"/>
  <c r="I68" i="276"/>
  <c r="H68" i="276"/>
  <c r="G68" i="276"/>
  <c r="F68" i="276"/>
  <c r="E68" i="276"/>
  <c r="P22" i="2"/>
  <c r="Q22" i="2"/>
  <c r="E78" i="264" l="1"/>
  <c r="B10" i="2"/>
  <c r="Q25" i="2"/>
  <c r="P25" i="2"/>
  <c r="O25" i="2"/>
  <c r="N25" i="2"/>
  <c r="M25" i="2"/>
  <c r="L25" i="2"/>
  <c r="K25" i="2"/>
  <c r="J25" i="2"/>
  <c r="B5" i="10" l="1"/>
  <c r="B81" i="284"/>
  <c r="L10" i="10"/>
  <c r="L29" i="10"/>
  <c r="B9" i="284"/>
  <c r="B99" i="284"/>
  <c r="G311" i="284"/>
  <c r="G309" i="284"/>
  <c r="G308" i="284"/>
  <c r="G310" i="284"/>
  <c r="X14" i="281"/>
  <c r="Y14" i="281"/>
  <c r="Z14" i="281"/>
  <c r="AA14" i="281"/>
  <c r="X15" i="281"/>
  <c r="Y15" i="281"/>
  <c r="Z15" i="281"/>
  <c r="AA15" i="281"/>
  <c r="X16" i="281"/>
  <c r="Y16" i="281"/>
  <c r="Z16" i="281"/>
  <c r="AA16" i="281"/>
  <c r="X17" i="281"/>
  <c r="Y17" i="281"/>
  <c r="Z17" i="281"/>
  <c r="AA17" i="281"/>
  <c r="X18" i="281"/>
  <c r="Y18" i="281"/>
  <c r="Z18" i="281"/>
  <c r="AA18" i="281"/>
  <c r="X19" i="281"/>
  <c r="Y19" i="281"/>
  <c r="Z19" i="281"/>
  <c r="AA19" i="281"/>
  <c r="X20" i="281"/>
  <c r="Y20" i="281"/>
  <c r="Z20" i="281"/>
  <c r="AA20" i="281"/>
  <c r="X21" i="281"/>
  <c r="Y21" i="281"/>
  <c r="Z21" i="281"/>
  <c r="AA21" i="281"/>
  <c r="X22" i="281"/>
  <c r="Y22" i="281"/>
  <c r="Z22" i="281"/>
  <c r="AA22" i="281"/>
  <c r="X23" i="281"/>
  <c r="Y23" i="281"/>
  <c r="Z23" i="281"/>
  <c r="AA23" i="281"/>
  <c r="X24" i="281"/>
  <c r="Y24" i="281"/>
  <c r="Z24" i="281"/>
  <c r="AA24" i="281"/>
  <c r="X25" i="281"/>
  <c r="Y25" i="281"/>
  <c r="Z25" i="281"/>
  <c r="AA25" i="281"/>
  <c r="X26" i="281"/>
  <c r="Y26" i="281"/>
  <c r="Z26" i="281"/>
  <c r="AA26" i="281"/>
  <c r="X27" i="281"/>
  <c r="Y27" i="281"/>
  <c r="Z27" i="281"/>
  <c r="AA27" i="281"/>
  <c r="X28" i="281"/>
  <c r="Y28" i="281"/>
  <c r="Z28" i="281"/>
  <c r="AA28" i="281"/>
  <c r="X29" i="281"/>
  <c r="Y29" i="281"/>
  <c r="Z29" i="281"/>
  <c r="AA29" i="281"/>
  <c r="X30" i="281"/>
  <c r="Y30" i="281"/>
  <c r="Z30" i="281"/>
  <c r="AA30" i="281"/>
  <c r="X31" i="281"/>
  <c r="Y31" i="281"/>
  <c r="Z31" i="281"/>
  <c r="AA31" i="281"/>
  <c r="X32" i="281"/>
  <c r="Y32" i="281"/>
  <c r="Z32" i="281"/>
  <c r="AA32" i="281"/>
  <c r="X33" i="281"/>
  <c r="Y33" i="281"/>
  <c r="Z33" i="281"/>
  <c r="AA33" i="281"/>
  <c r="X34" i="281"/>
  <c r="Y34" i="281"/>
  <c r="Z34" i="281"/>
  <c r="AA34" i="281"/>
  <c r="X35" i="281"/>
  <c r="Y35" i="281"/>
  <c r="Z35" i="281"/>
  <c r="AA35" i="281"/>
  <c r="X36" i="281"/>
  <c r="Y36" i="281"/>
  <c r="Z36" i="281"/>
  <c r="AA36" i="281"/>
  <c r="X37" i="281"/>
  <c r="Y37" i="281"/>
  <c r="Z37" i="281"/>
  <c r="AA37" i="281"/>
  <c r="X38" i="281"/>
  <c r="Y38" i="281"/>
  <c r="Z38" i="281"/>
  <c r="AA38" i="281"/>
  <c r="X39" i="281"/>
  <c r="Y39" i="281"/>
  <c r="Z39" i="281"/>
  <c r="AA39" i="281"/>
  <c r="X40" i="281"/>
  <c r="Y40" i="281"/>
  <c r="Z40" i="281"/>
  <c r="AA40" i="281"/>
  <c r="X41" i="281"/>
  <c r="Y41" i="281"/>
  <c r="Z41" i="281"/>
  <c r="AA41" i="281"/>
  <c r="X42" i="281"/>
  <c r="Y42" i="281"/>
  <c r="Z42" i="281"/>
  <c r="AA42" i="281"/>
  <c r="Y13" i="281"/>
  <c r="Z13" i="281"/>
  <c r="AA13" i="281"/>
  <c r="AA22" i="272" l="1"/>
  <c r="Z22" i="272"/>
  <c r="Y22" i="272"/>
  <c r="X22" i="272"/>
  <c r="W22" i="272"/>
  <c r="V22" i="272"/>
  <c r="U22" i="272"/>
  <c r="T22" i="272"/>
  <c r="S22" i="272"/>
  <c r="R22" i="272"/>
  <c r="Q22" i="272"/>
  <c r="P22" i="272"/>
  <c r="O22" i="272"/>
  <c r="N22" i="272"/>
  <c r="M22" i="272"/>
  <c r="L22" i="272"/>
  <c r="K22" i="272"/>
  <c r="J22" i="272"/>
  <c r="I22" i="272"/>
  <c r="H22" i="272"/>
  <c r="G22" i="272"/>
  <c r="F22" i="272"/>
  <c r="E22" i="272"/>
  <c r="AA6" i="272"/>
  <c r="Z6" i="272"/>
  <c r="Y6" i="272"/>
  <c r="X6" i="272"/>
  <c r="W6" i="272"/>
  <c r="V6" i="272"/>
  <c r="U6" i="272"/>
  <c r="T6" i="272"/>
  <c r="S6" i="272"/>
  <c r="R6" i="272"/>
  <c r="Q6" i="272"/>
  <c r="P6" i="272"/>
  <c r="O6" i="272"/>
  <c r="N6" i="272"/>
  <c r="M6" i="272"/>
  <c r="L6" i="272"/>
  <c r="K6" i="272"/>
  <c r="J6" i="272"/>
  <c r="I6" i="272"/>
  <c r="H6" i="272"/>
  <c r="G6" i="272"/>
  <c r="F6" i="272"/>
  <c r="E6" i="272"/>
  <c r="AA37" i="268" l="1"/>
  <c r="Z37" i="268"/>
  <c r="Y37" i="268"/>
  <c r="X37" i="268"/>
  <c r="W37" i="268"/>
  <c r="V37" i="268"/>
  <c r="U37" i="268"/>
  <c r="T37" i="268"/>
  <c r="S37" i="268"/>
  <c r="R37" i="268"/>
  <c r="Q37" i="268"/>
  <c r="P37" i="268"/>
  <c r="O37" i="268"/>
  <c r="N37" i="268"/>
  <c r="M37" i="268"/>
  <c r="L37" i="268"/>
  <c r="K37" i="268"/>
  <c r="J37" i="268"/>
  <c r="I37" i="268"/>
  <c r="H37" i="268"/>
  <c r="G37" i="268"/>
  <c r="F37" i="268"/>
  <c r="E37" i="268"/>
  <c r="AA29" i="268"/>
  <c r="Z29" i="268"/>
  <c r="Y29" i="268"/>
  <c r="X29" i="268"/>
  <c r="W29" i="268"/>
  <c r="V29" i="268"/>
  <c r="U29" i="268"/>
  <c r="T29" i="268"/>
  <c r="S29" i="268"/>
  <c r="R29" i="268"/>
  <c r="Q29" i="268"/>
  <c r="P29" i="268"/>
  <c r="O29" i="268"/>
  <c r="N29" i="268"/>
  <c r="M29" i="268"/>
  <c r="L29" i="268"/>
  <c r="K29" i="268"/>
  <c r="J29" i="268"/>
  <c r="I29" i="268"/>
  <c r="H29" i="268"/>
  <c r="G29" i="268"/>
  <c r="F29" i="268"/>
  <c r="E29" i="268"/>
  <c r="AA17" i="268"/>
  <c r="Z17" i="268"/>
  <c r="Y17" i="268"/>
  <c r="X17" i="268"/>
  <c r="W17" i="268"/>
  <c r="V17" i="268"/>
  <c r="U17" i="268"/>
  <c r="T17" i="268"/>
  <c r="S17" i="268"/>
  <c r="R17" i="268"/>
  <c r="Q17" i="268"/>
  <c r="P17" i="268"/>
  <c r="O17" i="268"/>
  <c r="N17" i="268"/>
  <c r="M17" i="268"/>
  <c r="L17" i="268"/>
  <c r="K17" i="268"/>
  <c r="J17" i="268"/>
  <c r="I17" i="268"/>
  <c r="H17" i="268"/>
  <c r="G17" i="268"/>
  <c r="F17" i="268"/>
  <c r="E17" i="268"/>
  <c r="AA6" i="268"/>
  <c r="Z6" i="268"/>
  <c r="Y6" i="268"/>
  <c r="X6" i="268"/>
  <c r="W6" i="268"/>
  <c r="V6" i="268"/>
  <c r="U6" i="268"/>
  <c r="T6" i="268"/>
  <c r="S6" i="268"/>
  <c r="R6" i="268"/>
  <c r="Q6" i="268"/>
  <c r="P6" i="268"/>
  <c r="O6" i="268"/>
  <c r="N6" i="268"/>
  <c r="M6" i="268"/>
  <c r="L6" i="268"/>
  <c r="K6" i="268"/>
  <c r="J6" i="268"/>
  <c r="I6" i="268"/>
  <c r="H6" i="268"/>
  <c r="G6" i="268"/>
  <c r="F6" i="268"/>
  <c r="E6" i="268"/>
  <c r="AA62" i="263"/>
  <c r="Z62" i="263"/>
  <c r="Y62" i="263"/>
  <c r="X62" i="263"/>
  <c r="W62" i="263"/>
  <c r="V62" i="263"/>
  <c r="U62" i="263"/>
  <c r="T62" i="263"/>
  <c r="S62" i="263"/>
  <c r="R62" i="263"/>
  <c r="Q62" i="263"/>
  <c r="P62" i="263"/>
  <c r="O62" i="263"/>
  <c r="N62" i="263"/>
  <c r="M62" i="263"/>
  <c r="L62" i="263"/>
  <c r="K62" i="263"/>
  <c r="J62" i="263"/>
  <c r="I62" i="263"/>
  <c r="H62" i="263"/>
  <c r="G62" i="263"/>
  <c r="F62" i="263"/>
  <c r="E62" i="263"/>
  <c r="AA54" i="263"/>
  <c r="Z54" i="263"/>
  <c r="Y54" i="263"/>
  <c r="X54" i="263"/>
  <c r="W54" i="263"/>
  <c r="V54" i="263"/>
  <c r="U54" i="263"/>
  <c r="T54" i="263"/>
  <c r="S54" i="263"/>
  <c r="R54" i="263"/>
  <c r="Q54" i="263"/>
  <c r="P54" i="263"/>
  <c r="O54" i="263"/>
  <c r="N54" i="263"/>
  <c r="M54" i="263"/>
  <c r="L54" i="263"/>
  <c r="K54" i="263"/>
  <c r="J54" i="263"/>
  <c r="I54" i="263"/>
  <c r="H54" i="263"/>
  <c r="G54" i="263"/>
  <c r="F54" i="263"/>
  <c r="E54" i="263"/>
  <c r="AA46" i="263"/>
  <c r="Z46" i="263"/>
  <c r="Y46" i="263"/>
  <c r="X46" i="263"/>
  <c r="W46" i="263"/>
  <c r="V46" i="263"/>
  <c r="U46" i="263"/>
  <c r="T46" i="263"/>
  <c r="S46" i="263"/>
  <c r="R46" i="263"/>
  <c r="Q46" i="263"/>
  <c r="P46" i="263"/>
  <c r="O46" i="263"/>
  <c r="N46" i="263"/>
  <c r="M46" i="263"/>
  <c r="L46" i="263"/>
  <c r="K46" i="263"/>
  <c r="J46" i="263"/>
  <c r="I46" i="263"/>
  <c r="H46" i="263"/>
  <c r="G46" i="263"/>
  <c r="F46" i="263"/>
  <c r="E46" i="263"/>
  <c r="AA38" i="263"/>
  <c r="Z38" i="263"/>
  <c r="Y38" i="263"/>
  <c r="X38" i="263"/>
  <c r="W38" i="263"/>
  <c r="V38" i="263"/>
  <c r="U38" i="263"/>
  <c r="T38" i="263"/>
  <c r="S38" i="263"/>
  <c r="R38" i="263"/>
  <c r="Q38" i="263"/>
  <c r="P38" i="263"/>
  <c r="O38" i="263"/>
  <c r="N38" i="263"/>
  <c r="M38" i="263"/>
  <c r="L38" i="263"/>
  <c r="K38" i="263"/>
  <c r="J38" i="263"/>
  <c r="I38" i="263"/>
  <c r="H38" i="263"/>
  <c r="G38" i="263"/>
  <c r="F38" i="263"/>
  <c r="E38" i="263"/>
  <c r="AA30" i="263"/>
  <c r="Z30" i="263"/>
  <c r="Y30" i="263"/>
  <c r="X30" i="263"/>
  <c r="W30" i="263"/>
  <c r="V30" i="263"/>
  <c r="U30" i="263"/>
  <c r="T30" i="263"/>
  <c r="S30" i="263"/>
  <c r="R30" i="263"/>
  <c r="Q30" i="263"/>
  <c r="P30" i="263"/>
  <c r="O30" i="263"/>
  <c r="N30" i="263"/>
  <c r="M30" i="263"/>
  <c r="L30" i="263"/>
  <c r="K30" i="263"/>
  <c r="J30" i="263"/>
  <c r="I30" i="263"/>
  <c r="H30" i="263"/>
  <c r="G30" i="263"/>
  <c r="F30" i="263"/>
  <c r="E30" i="263"/>
  <c r="AA22" i="263"/>
  <c r="Z22" i="263"/>
  <c r="Y22" i="263"/>
  <c r="X22" i="263"/>
  <c r="W22" i="263"/>
  <c r="V22" i="263"/>
  <c r="U22" i="263"/>
  <c r="T22" i="263"/>
  <c r="S22" i="263"/>
  <c r="R22" i="263"/>
  <c r="Q22" i="263"/>
  <c r="P22" i="263"/>
  <c r="O22" i="263"/>
  <c r="N22" i="263"/>
  <c r="M22" i="263"/>
  <c r="L22" i="263"/>
  <c r="K22" i="263"/>
  <c r="J22" i="263"/>
  <c r="I22" i="263"/>
  <c r="H22" i="263"/>
  <c r="G22" i="263"/>
  <c r="F22" i="263"/>
  <c r="E22" i="263"/>
  <c r="AA14" i="263"/>
  <c r="Z14" i="263"/>
  <c r="Y14" i="263"/>
  <c r="X14" i="263"/>
  <c r="W14" i="263"/>
  <c r="V14" i="263"/>
  <c r="U14" i="263"/>
  <c r="T14" i="263"/>
  <c r="S14" i="263"/>
  <c r="R14" i="263"/>
  <c r="Q14" i="263"/>
  <c r="P14" i="263"/>
  <c r="O14" i="263"/>
  <c r="N14" i="263"/>
  <c r="M14" i="263"/>
  <c r="L14" i="263"/>
  <c r="K14" i="263"/>
  <c r="J14" i="263"/>
  <c r="I14" i="263"/>
  <c r="H14" i="263"/>
  <c r="G14" i="263"/>
  <c r="F14" i="263"/>
  <c r="E14" i="263"/>
  <c r="AA6" i="263"/>
  <c r="Z6" i="263"/>
  <c r="Y6" i="263"/>
  <c r="X6" i="263"/>
  <c r="W6" i="263"/>
  <c r="V6" i="263"/>
  <c r="U6" i="263"/>
  <c r="T6" i="263"/>
  <c r="S6" i="263"/>
  <c r="R6" i="263"/>
  <c r="Q6" i="263"/>
  <c r="P6" i="263"/>
  <c r="O6" i="263"/>
  <c r="N6" i="263"/>
  <c r="M6" i="263"/>
  <c r="L6" i="263"/>
  <c r="K6" i="263"/>
  <c r="J6" i="263"/>
  <c r="I6" i="263"/>
  <c r="H6" i="263"/>
  <c r="G6" i="263"/>
  <c r="F6" i="263"/>
  <c r="E6" i="263"/>
  <c r="AA22" i="271" l="1"/>
  <c r="Z22" i="271"/>
  <c r="Y22" i="271"/>
  <c r="X22" i="271"/>
  <c r="W22" i="271"/>
  <c r="V22" i="271"/>
  <c r="U22" i="271"/>
  <c r="T22" i="271"/>
  <c r="S22" i="271"/>
  <c r="R22" i="271"/>
  <c r="Q22" i="271"/>
  <c r="P22" i="271"/>
  <c r="O22" i="271"/>
  <c r="N22" i="271"/>
  <c r="M22" i="271"/>
  <c r="L22" i="271"/>
  <c r="K22" i="271"/>
  <c r="J22" i="271"/>
  <c r="I22" i="271"/>
  <c r="H22" i="271"/>
  <c r="G22" i="271"/>
  <c r="F22" i="271"/>
  <c r="E22" i="271"/>
  <c r="AA14" i="271"/>
  <c r="Z14" i="271"/>
  <c r="Y14" i="271"/>
  <c r="X14" i="271"/>
  <c r="W14" i="271"/>
  <c r="V14" i="271"/>
  <c r="U14" i="271"/>
  <c r="T14" i="271"/>
  <c r="S14" i="271"/>
  <c r="R14" i="271"/>
  <c r="Q14" i="271"/>
  <c r="P14" i="271"/>
  <c r="O14" i="271"/>
  <c r="N14" i="271"/>
  <c r="M14" i="271"/>
  <c r="L14" i="271"/>
  <c r="K14" i="271"/>
  <c r="J14" i="271"/>
  <c r="I14" i="271"/>
  <c r="H14" i="271"/>
  <c r="G14" i="271"/>
  <c r="F14" i="271"/>
  <c r="E14" i="271"/>
  <c r="AA6" i="271"/>
  <c r="Z6" i="271"/>
  <c r="Y6" i="271"/>
  <c r="X6" i="271"/>
  <c r="W6" i="271"/>
  <c r="V6" i="271"/>
  <c r="U6" i="271"/>
  <c r="T6" i="271"/>
  <c r="S6" i="271"/>
  <c r="R6" i="271"/>
  <c r="Q6" i="271"/>
  <c r="P6" i="271"/>
  <c r="O6" i="271"/>
  <c r="N6" i="271"/>
  <c r="M6" i="271"/>
  <c r="L6" i="271"/>
  <c r="K6" i="271"/>
  <c r="J6" i="271"/>
  <c r="I6" i="271"/>
  <c r="H6" i="271"/>
  <c r="G6" i="271"/>
  <c r="F6" i="271"/>
  <c r="E6" i="271"/>
  <c r="F8" i="284" l="1"/>
  <c r="F7" i="284"/>
  <c r="C254" i="284"/>
  <c r="C255" i="284"/>
  <c r="C256" i="284"/>
  <c r="C257" i="284"/>
  <c r="C258" i="284"/>
  <c r="C259" i="284"/>
  <c r="C260" i="284"/>
  <c r="C261" i="284"/>
  <c r="C262" i="284"/>
  <c r="C263" i="284"/>
  <c r="C264" i="284"/>
  <c r="C265" i="284"/>
  <c r="AA87" i="276"/>
  <c r="Z87" i="276"/>
  <c r="Y87" i="276"/>
  <c r="X87" i="276"/>
  <c r="W87" i="276"/>
  <c r="V87" i="276"/>
  <c r="U87" i="276"/>
  <c r="T87" i="276"/>
  <c r="S87" i="276"/>
  <c r="R87" i="276"/>
  <c r="Q87" i="276"/>
  <c r="P87" i="276"/>
  <c r="O87" i="276"/>
  <c r="N87" i="276"/>
  <c r="M87" i="276"/>
  <c r="L87" i="276"/>
  <c r="K87" i="276"/>
  <c r="J87" i="276"/>
  <c r="I87" i="276"/>
  <c r="H87" i="276"/>
  <c r="G87" i="276"/>
  <c r="F87" i="276"/>
  <c r="E87" i="276"/>
  <c r="AA77" i="276"/>
  <c r="Z77" i="276"/>
  <c r="Y77" i="276"/>
  <c r="X77" i="276"/>
  <c r="W77" i="276"/>
  <c r="V77" i="276"/>
  <c r="U77" i="276"/>
  <c r="T77" i="276"/>
  <c r="S77" i="276"/>
  <c r="R77" i="276"/>
  <c r="Q77" i="276"/>
  <c r="P77" i="276"/>
  <c r="O77" i="276"/>
  <c r="N77" i="276"/>
  <c r="M77" i="276"/>
  <c r="L77" i="276"/>
  <c r="K77" i="276"/>
  <c r="J77" i="276"/>
  <c r="I77" i="276"/>
  <c r="H77" i="276"/>
  <c r="G77" i="276"/>
  <c r="F77" i="276"/>
  <c r="E77" i="276"/>
  <c r="AA58" i="276"/>
  <c r="Z58" i="276"/>
  <c r="Y58" i="276"/>
  <c r="X58" i="276"/>
  <c r="W58" i="276"/>
  <c r="V58" i="276"/>
  <c r="U58" i="276"/>
  <c r="T58" i="276"/>
  <c r="S58" i="276"/>
  <c r="R58" i="276"/>
  <c r="Q58" i="276"/>
  <c r="P58" i="276"/>
  <c r="O58" i="276"/>
  <c r="N58" i="276"/>
  <c r="M58" i="276"/>
  <c r="L58" i="276"/>
  <c r="K58" i="276"/>
  <c r="J58" i="276"/>
  <c r="I58" i="276"/>
  <c r="H58" i="276"/>
  <c r="G58" i="276"/>
  <c r="F58" i="276"/>
  <c r="E58" i="276"/>
  <c r="AA46" i="276"/>
  <c r="Z46" i="276"/>
  <c r="Y46" i="276"/>
  <c r="X46" i="276"/>
  <c r="W46" i="276"/>
  <c r="V46" i="276"/>
  <c r="U46" i="276"/>
  <c r="T46" i="276"/>
  <c r="S46" i="276"/>
  <c r="R46" i="276"/>
  <c r="Q46" i="276"/>
  <c r="P46" i="276"/>
  <c r="O46" i="276"/>
  <c r="N46" i="276"/>
  <c r="M46" i="276"/>
  <c r="L46" i="276"/>
  <c r="K46" i="276"/>
  <c r="J46" i="276"/>
  <c r="I46" i="276"/>
  <c r="H46" i="276"/>
  <c r="G46" i="276"/>
  <c r="F46" i="276"/>
  <c r="E46" i="276"/>
  <c r="AA36" i="276"/>
  <c r="Z36" i="276"/>
  <c r="Y36" i="276"/>
  <c r="X36" i="276"/>
  <c r="W36" i="276"/>
  <c r="V36" i="276"/>
  <c r="U36" i="276"/>
  <c r="T36" i="276"/>
  <c r="S36" i="276"/>
  <c r="R36" i="276"/>
  <c r="Q36" i="276"/>
  <c r="P36" i="276"/>
  <c r="O36" i="276"/>
  <c r="N36" i="276"/>
  <c r="M36" i="276"/>
  <c r="L36" i="276"/>
  <c r="K36" i="276"/>
  <c r="J36" i="276"/>
  <c r="I36" i="276"/>
  <c r="H36" i="276"/>
  <c r="G36" i="276"/>
  <c r="F36" i="276"/>
  <c r="E36" i="276"/>
  <c r="AA26" i="276"/>
  <c r="Z26" i="276"/>
  <c r="Y26" i="276"/>
  <c r="X26" i="276"/>
  <c r="W26" i="276"/>
  <c r="V26" i="276"/>
  <c r="U26" i="276"/>
  <c r="T26" i="276"/>
  <c r="S26" i="276"/>
  <c r="R26" i="276"/>
  <c r="Q26" i="276"/>
  <c r="P26" i="276"/>
  <c r="O26" i="276"/>
  <c r="N26" i="276"/>
  <c r="M26" i="276"/>
  <c r="L26" i="276"/>
  <c r="K26" i="276"/>
  <c r="J26" i="276"/>
  <c r="I26" i="276"/>
  <c r="H26" i="276"/>
  <c r="G26" i="276"/>
  <c r="F26" i="276"/>
  <c r="E26" i="276"/>
  <c r="AA16" i="276"/>
  <c r="Z16" i="276"/>
  <c r="Y16" i="276"/>
  <c r="X16" i="276"/>
  <c r="W16" i="276"/>
  <c r="V16" i="276"/>
  <c r="U16" i="276"/>
  <c r="T16" i="276"/>
  <c r="S16" i="276"/>
  <c r="R16" i="276"/>
  <c r="Q16" i="276"/>
  <c r="P16" i="276"/>
  <c r="O16" i="276"/>
  <c r="N16" i="276"/>
  <c r="M16" i="276"/>
  <c r="L16" i="276"/>
  <c r="K16" i="276"/>
  <c r="J16" i="276"/>
  <c r="I16" i="276"/>
  <c r="H16" i="276"/>
  <c r="G16" i="276"/>
  <c r="F16" i="276"/>
  <c r="E16" i="276"/>
  <c r="AA6" i="276"/>
  <c r="Z6" i="276"/>
  <c r="Y6" i="276"/>
  <c r="X6" i="276"/>
  <c r="W6" i="276"/>
  <c r="V6" i="276"/>
  <c r="U6" i="276"/>
  <c r="T6" i="276"/>
  <c r="S6" i="276"/>
  <c r="R6" i="276"/>
  <c r="Q6" i="276"/>
  <c r="P6" i="276"/>
  <c r="O6" i="276"/>
  <c r="N6" i="276"/>
  <c r="M6" i="276"/>
  <c r="L6" i="276"/>
  <c r="K6" i="276"/>
  <c r="J6" i="276"/>
  <c r="I6" i="276"/>
  <c r="H6" i="276"/>
  <c r="G6" i="276"/>
  <c r="F6" i="276"/>
  <c r="E6" i="276"/>
  <c r="AA38" i="270"/>
  <c r="Z38" i="270"/>
  <c r="Y38" i="270"/>
  <c r="X38" i="270"/>
  <c r="W38" i="270"/>
  <c r="V38" i="270"/>
  <c r="U38" i="270"/>
  <c r="T38" i="270"/>
  <c r="S38" i="270"/>
  <c r="R38" i="270"/>
  <c r="Q38" i="270"/>
  <c r="P38" i="270"/>
  <c r="O38" i="270"/>
  <c r="N38" i="270"/>
  <c r="M38" i="270"/>
  <c r="L38" i="270"/>
  <c r="K38" i="270"/>
  <c r="J38" i="270"/>
  <c r="I38" i="270"/>
  <c r="H38" i="270"/>
  <c r="G38" i="270"/>
  <c r="F38" i="270"/>
  <c r="E38" i="270"/>
  <c r="AA30" i="270"/>
  <c r="Z30" i="270"/>
  <c r="Y30" i="270"/>
  <c r="X30" i="270"/>
  <c r="W30" i="270"/>
  <c r="V30" i="270"/>
  <c r="U30" i="270"/>
  <c r="T30" i="270"/>
  <c r="S30" i="270"/>
  <c r="R30" i="270"/>
  <c r="Q30" i="270"/>
  <c r="P30" i="270"/>
  <c r="O30" i="270"/>
  <c r="N30" i="270"/>
  <c r="M30" i="270"/>
  <c r="L30" i="270"/>
  <c r="K30" i="270"/>
  <c r="J30" i="270"/>
  <c r="I30" i="270"/>
  <c r="H30" i="270"/>
  <c r="G30" i="270"/>
  <c r="F30" i="270"/>
  <c r="E30" i="270"/>
  <c r="AA22" i="270"/>
  <c r="Z22" i="270"/>
  <c r="Y22" i="270"/>
  <c r="X22" i="270"/>
  <c r="W22" i="270"/>
  <c r="V22" i="270"/>
  <c r="U22" i="270"/>
  <c r="T22" i="270"/>
  <c r="S22" i="270"/>
  <c r="R22" i="270"/>
  <c r="Q22" i="270"/>
  <c r="P22" i="270"/>
  <c r="O22" i="270"/>
  <c r="N22" i="270"/>
  <c r="M22" i="270"/>
  <c r="L22" i="270"/>
  <c r="K22" i="270"/>
  <c r="J22" i="270"/>
  <c r="I22" i="270"/>
  <c r="H22" i="270"/>
  <c r="G22" i="270"/>
  <c r="F22" i="270"/>
  <c r="E22" i="270"/>
  <c r="AA14" i="270"/>
  <c r="Z14" i="270"/>
  <c r="Y14" i="270"/>
  <c r="X14" i="270"/>
  <c r="W14" i="270"/>
  <c r="V14" i="270"/>
  <c r="U14" i="270"/>
  <c r="T14" i="270"/>
  <c r="S14" i="270"/>
  <c r="R14" i="270"/>
  <c r="Q14" i="270"/>
  <c r="P14" i="270"/>
  <c r="O14" i="270"/>
  <c r="N14" i="270"/>
  <c r="M14" i="270"/>
  <c r="L14" i="270"/>
  <c r="K14" i="270"/>
  <c r="J14" i="270"/>
  <c r="I14" i="270"/>
  <c r="H14" i="270"/>
  <c r="G14" i="270"/>
  <c r="F14" i="270"/>
  <c r="E14" i="270"/>
  <c r="AA6" i="270"/>
  <c r="Z6" i="270"/>
  <c r="Y6" i="270"/>
  <c r="X6" i="270"/>
  <c r="W6" i="270"/>
  <c r="V6" i="270"/>
  <c r="U6" i="270"/>
  <c r="T6" i="270"/>
  <c r="S6" i="270"/>
  <c r="R6" i="270"/>
  <c r="Q6" i="270"/>
  <c r="P6" i="270"/>
  <c r="O6" i="270"/>
  <c r="N6" i="270"/>
  <c r="M6" i="270"/>
  <c r="L6" i="270"/>
  <c r="K6" i="270"/>
  <c r="J6" i="270"/>
  <c r="I6" i="270"/>
  <c r="H6" i="270"/>
  <c r="G6" i="270"/>
  <c r="F6" i="270"/>
  <c r="E6" i="270"/>
  <c r="AS28" i="290"/>
  <c r="AS27" i="290"/>
  <c r="AS26" i="290"/>
  <c r="AS25" i="290"/>
  <c r="AS24" i="290"/>
  <c r="AS23" i="290"/>
  <c r="AS22" i="290"/>
  <c r="AS21" i="290"/>
  <c r="AS20" i="290"/>
  <c r="AS19" i="290"/>
  <c r="AS18" i="290"/>
  <c r="AS17" i="290"/>
  <c r="AS16" i="290"/>
  <c r="AS15" i="290"/>
  <c r="AS14" i="290"/>
  <c r="AS13" i="290"/>
  <c r="AS12" i="290"/>
  <c r="AS11" i="290"/>
  <c r="AS10" i="290"/>
  <c r="AS9" i="290"/>
  <c r="AS8" i="290"/>
  <c r="AS7" i="290"/>
  <c r="AS6" i="290"/>
  <c r="AR28" i="290"/>
  <c r="AR27" i="290"/>
  <c r="AR26" i="290"/>
  <c r="AR25" i="290"/>
  <c r="AR24" i="290"/>
  <c r="AR23" i="290"/>
  <c r="AR22" i="290"/>
  <c r="AR21" i="290"/>
  <c r="AR20" i="290"/>
  <c r="AR19" i="290"/>
  <c r="AR18" i="290"/>
  <c r="AR17" i="290"/>
  <c r="AR16" i="290"/>
  <c r="AR15" i="290"/>
  <c r="AR14" i="290"/>
  <c r="AR13" i="290"/>
  <c r="AR12" i="290"/>
  <c r="AR11" i="290"/>
  <c r="AR10" i="290"/>
  <c r="AR9" i="290"/>
  <c r="AR8" i="290"/>
  <c r="AR7" i="290"/>
  <c r="AR6" i="290"/>
  <c r="AQ28" i="290"/>
  <c r="AQ27" i="290"/>
  <c r="AQ26" i="290"/>
  <c r="AQ25" i="290"/>
  <c r="AQ24" i="290"/>
  <c r="AQ23" i="290"/>
  <c r="AQ22" i="290"/>
  <c r="AQ21" i="290"/>
  <c r="AQ20" i="290"/>
  <c r="AQ19" i="290"/>
  <c r="AQ18" i="290"/>
  <c r="AQ17" i="290"/>
  <c r="AQ16" i="290"/>
  <c r="AQ15" i="290"/>
  <c r="AQ14" i="290"/>
  <c r="AQ13" i="290"/>
  <c r="AQ12" i="290"/>
  <c r="AQ11" i="290"/>
  <c r="AQ10" i="290"/>
  <c r="AQ9" i="290"/>
  <c r="AQ8" i="290"/>
  <c r="AQ7" i="290"/>
  <c r="AQ6" i="290"/>
  <c r="AP28" i="290"/>
  <c r="AP27" i="290"/>
  <c r="AP26" i="290"/>
  <c r="AP25" i="290"/>
  <c r="AP24" i="290"/>
  <c r="AP23" i="290"/>
  <c r="AP22" i="290"/>
  <c r="AP21" i="290"/>
  <c r="AP20" i="290"/>
  <c r="AP19" i="290"/>
  <c r="AP18" i="290"/>
  <c r="AP17" i="290"/>
  <c r="AP16" i="290"/>
  <c r="AP15" i="290"/>
  <c r="AP14" i="290"/>
  <c r="AP13" i="290"/>
  <c r="AP12" i="290"/>
  <c r="AP11" i="290"/>
  <c r="AP10" i="290"/>
  <c r="AP9" i="290"/>
  <c r="AP8" i="290"/>
  <c r="AP7" i="290"/>
  <c r="AP6" i="290"/>
  <c r="AO28" i="290"/>
  <c r="AO27" i="290"/>
  <c r="AO26" i="290"/>
  <c r="AO25" i="290"/>
  <c r="AO24" i="290"/>
  <c r="AO23" i="290"/>
  <c r="AO22" i="290"/>
  <c r="AO21" i="290"/>
  <c r="AO20" i="290"/>
  <c r="AO19" i="290"/>
  <c r="AO18" i="290"/>
  <c r="AO17" i="290"/>
  <c r="AO16" i="290"/>
  <c r="AO15" i="290"/>
  <c r="AO14" i="290"/>
  <c r="AO13" i="290"/>
  <c r="AO12" i="290"/>
  <c r="AO11" i="290"/>
  <c r="AO10" i="290"/>
  <c r="AO9" i="290"/>
  <c r="AO8" i="290"/>
  <c r="AO7" i="290"/>
  <c r="AO6" i="290"/>
  <c r="AN28" i="290"/>
  <c r="AN27" i="290"/>
  <c r="AN26" i="290"/>
  <c r="AN25" i="290"/>
  <c r="AN24" i="290"/>
  <c r="AN23" i="290"/>
  <c r="AN22" i="290"/>
  <c r="AN21" i="290"/>
  <c r="AN20" i="290"/>
  <c r="AN19" i="290"/>
  <c r="AN18" i="290"/>
  <c r="AN17" i="290"/>
  <c r="AN16" i="290"/>
  <c r="AN15" i="290"/>
  <c r="AN14" i="290"/>
  <c r="AN13" i="290"/>
  <c r="AN12" i="290"/>
  <c r="AN11" i="290"/>
  <c r="AN10" i="290"/>
  <c r="AN9" i="290"/>
  <c r="AN8" i="290"/>
  <c r="AN7" i="290"/>
  <c r="AN6" i="290"/>
  <c r="AM28" i="290"/>
  <c r="AM27" i="290"/>
  <c r="AM26" i="290"/>
  <c r="AM25" i="290"/>
  <c r="AM24" i="290"/>
  <c r="AM23" i="290"/>
  <c r="AM22" i="290"/>
  <c r="AM21" i="290"/>
  <c r="AM20" i="290"/>
  <c r="AM19" i="290"/>
  <c r="AM18" i="290"/>
  <c r="AM17" i="290"/>
  <c r="AM16" i="290"/>
  <c r="AM15" i="290"/>
  <c r="AM14" i="290"/>
  <c r="AM13" i="290"/>
  <c r="AM12" i="290"/>
  <c r="AM11" i="290"/>
  <c r="AM10" i="290"/>
  <c r="AM9" i="290"/>
  <c r="AM8" i="290"/>
  <c r="AM7" i="290"/>
  <c r="AM6" i="290"/>
  <c r="AL28" i="290"/>
  <c r="AL27" i="290"/>
  <c r="AL26" i="290"/>
  <c r="AL25" i="290"/>
  <c r="AL24" i="290"/>
  <c r="AL23" i="290"/>
  <c r="AL22" i="290"/>
  <c r="AL21" i="290"/>
  <c r="AL20" i="290"/>
  <c r="AL19" i="290"/>
  <c r="AL18" i="290"/>
  <c r="AL17" i="290"/>
  <c r="AL16" i="290"/>
  <c r="AL15" i="290"/>
  <c r="AL14" i="290"/>
  <c r="AL13" i="290"/>
  <c r="AL12" i="290"/>
  <c r="AL11" i="290"/>
  <c r="AL10" i="290"/>
  <c r="AL9" i="290"/>
  <c r="AL8" i="290"/>
  <c r="AL7" i="290"/>
  <c r="AL6" i="290"/>
  <c r="AK28" i="290"/>
  <c r="AK27" i="290"/>
  <c r="AK26" i="290"/>
  <c r="AK25" i="290"/>
  <c r="AK24" i="290"/>
  <c r="AK23" i="290"/>
  <c r="AK22" i="290"/>
  <c r="AK21" i="290"/>
  <c r="AK20" i="290"/>
  <c r="AK19" i="290"/>
  <c r="AK18" i="290"/>
  <c r="AK17" i="290"/>
  <c r="AK16" i="290"/>
  <c r="AK15" i="290"/>
  <c r="AK14" i="290"/>
  <c r="AK13" i="290"/>
  <c r="AK12" i="290"/>
  <c r="AK11" i="290"/>
  <c r="AK10" i="290"/>
  <c r="AK9" i="290"/>
  <c r="AK8" i="290"/>
  <c r="AK7" i="290"/>
  <c r="AK6" i="290"/>
  <c r="AA86" i="264"/>
  <c r="Z86" i="264"/>
  <c r="Y86" i="264"/>
  <c r="X86" i="264"/>
  <c r="W86" i="264"/>
  <c r="V86" i="264"/>
  <c r="U86" i="264"/>
  <c r="T86" i="264"/>
  <c r="S86" i="264"/>
  <c r="R86" i="264"/>
  <c r="Q86" i="264"/>
  <c r="P86" i="264"/>
  <c r="O86" i="264"/>
  <c r="N86" i="264"/>
  <c r="M86" i="264"/>
  <c r="L86" i="264"/>
  <c r="K86" i="264"/>
  <c r="J86" i="264"/>
  <c r="I86" i="264"/>
  <c r="H86" i="264"/>
  <c r="G86" i="264"/>
  <c r="F86" i="264"/>
  <c r="E86" i="264"/>
  <c r="AA78" i="264"/>
  <c r="Z78" i="264"/>
  <c r="Y78" i="264"/>
  <c r="X78" i="264"/>
  <c r="W78" i="264"/>
  <c r="V78" i="264"/>
  <c r="U78" i="264"/>
  <c r="T78" i="264"/>
  <c r="S78" i="264"/>
  <c r="R78" i="264"/>
  <c r="Q78" i="264"/>
  <c r="P78" i="264"/>
  <c r="O78" i="264"/>
  <c r="N78" i="264"/>
  <c r="M78" i="264"/>
  <c r="L78" i="264"/>
  <c r="K78" i="264"/>
  <c r="J78" i="264"/>
  <c r="I78" i="264"/>
  <c r="H78" i="264"/>
  <c r="G78" i="264"/>
  <c r="F78" i="264"/>
  <c r="AA70" i="264"/>
  <c r="Z70" i="264"/>
  <c r="Y70" i="264"/>
  <c r="X70" i="264"/>
  <c r="W70" i="264"/>
  <c r="V70" i="264"/>
  <c r="U70" i="264"/>
  <c r="T70" i="264"/>
  <c r="S70" i="264"/>
  <c r="R70" i="264"/>
  <c r="Q70" i="264"/>
  <c r="P70" i="264"/>
  <c r="O70" i="264"/>
  <c r="N70" i="264"/>
  <c r="M70" i="264"/>
  <c r="L70" i="264"/>
  <c r="K70" i="264"/>
  <c r="J70" i="264"/>
  <c r="I70" i="264"/>
  <c r="H70" i="264"/>
  <c r="G70" i="264"/>
  <c r="F70" i="264"/>
  <c r="E70" i="264"/>
  <c r="AA62" i="264"/>
  <c r="Z62" i="264"/>
  <c r="Y62" i="264"/>
  <c r="X62" i="264"/>
  <c r="W62" i="264"/>
  <c r="V62" i="264"/>
  <c r="U62" i="264"/>
  <c r="T62" i="264"/>
  <c r="S62" i="264"/>
  <c r="R62" i="264"/>
  <c r="Q62" i="264"/>
  <c r="P62" i="264"/>
  <c r="O62" i="264"/>
  <c r="N62" i="264"/>
  <c r="M62" i="264"/>
  <c r="L62" i="264"/>
  <c r="K62" i="264"/>
  <c r="J62" i="264"/>
  <c r="I62" i="264"/>
  <c r="H62" i="264"/>
  <c r="G62" i="264"/>
  <c r="F62" i="264"/>
  <c r="E62" i="264"/>
  <c r="AA54" i="264"/>
  <c r="Z54" i="264"/>
  <c r="Y54" i="264"/>
  <c r="X54" i="264"/>
  <c r="W54" i="264"/>
  <c r="V54" i="264"/>
  <c r="U54" i="264"/>
  <c r="T54" i="264"/>
  <c r="S54" i="264"/>
  <c r="R54" i="264"/>
  <c r="Q54" i="264"/>
  <c r="P54" i="264"/>
  <c r="O54" i="264"/>
  <c r="N54" i="264"/>
  <c r="M54" i="264"/>
  <c r="L54" i="264"/>
  <c r="K54" i="264"/>
  <c r="J54" i="264"/>
  <c r="I54" i="264"/>
  <c r="H54" i="264"/>
  <c r="G54" i="264"/>
  <c r="F54" i="264"/>
  <c r="E54" i="264"/>
  <c r="AA46" i="264"/>
  <c r="Z46" i="264"/>
  <c r="Y46" i="264"/>
  <c r="X46" i="264"/>
  <c r="W46" i="264"/>
  <c r="V46" i="264"/>
  <c r="U46" i="264"/>
  <c r="T46" i="264"/>
  <c r="S46" i="264"/>
  <c r="R46" i="264"/>
  <c r="Q46" i="264"/>
  <c r="P46" i="264"/>
  <c r="O46" i="264"/>
  <c r="N46" i="264"/>
  <c r="M46" i="264"/>
  <c r="L46" i="264"/>
  <c r="K46" i="264"/>
  <c r="J46" i="264"/>
  <c r="I46" i="264"/>
  <c r="H46" i="264"/>
  <c r="G46" i="264"/>
  <c r="F46" i="264"/>
  <c r="E46" i="264"/>
  <c r="AA38" i="264"/>
  <c r="Z38" i="264"/>
  <c r="Y38" i="264"/>
  <c r="X38" i="264"/>
  <c r="W38" i="264"/>
  <c r="V38" i="264"/>
  <c r="U38" i="264"/>
  <c r="T38" i="264"/>
  <c r="S38" i="264"/>
  <c r="R38" i="264"/>
  <c r="Q38" i="264"/>
  <c r="P38" i="264"/>
  <c r="O38" i="264"/>
  <c r="N38" i="264"/>
  <c r="M38" i="264"/>
  <c r="L38" i="264"/>
  <c r="K38" i="264"/>
  <c r="J38" i="264"/>
  <c r="I38" i="264"/>
  <c r="H38" i="264"/>
  <c r="G38" i="264"/>
  <c r="F38" i="264"/>
  <c r="E38" i="264"/>
  <c r="AA30" i="264"/>
  <c r="Z30" i="264"/>
  <c r="Y30" i="264"/>
  <c r="X30" i="264"/>
  <c r="W30" i="264"/>
  <c r="V30" i="264"/>
  <c r="U30" i="264"/>
  <c r="T30" i="264"/>
  <c r="S30" i="264"/>
  <c r="R30" i="264"/>
  <c r="Q30" i="264"/>
  <c r="P30" i="264"/>
  <c r="O30" i="264"/>
  <c r="N30" i="264"/>
  <c r="M30" i="264"/>
  <c r="L30" i="264"/>
  <c r="K30" i="264"/>
  <c r="J30" i="264"/>
  <c r="I30" i="264"/>
  <c r="H30" i="264"/>
  <c r="G30" i="264"/>
  <c r="F30" i="264"/>
  <c r="E30" i="264"/>
  <c r="AA22" i="264"/>
  <c r="Z22" i="264"/>
  <c r="Y22" i="264"/>
  <c r="X22" i="264"/>
  <c r="W22" i="264"/>
  <c r="V22" i="264"/>
  <c r="U22" i="264"/>
  <c r="T22" i="264"/>
  <c r="S22" i="264"/>
  <c r="R22" i="264"/>
  <c r="Q22" i="264"/>
  <c r="P22" i="264"/>
  <c r="O22" i="264"/>
  <c r="N22" i="264"/>
  <c r="M22" i="264"/>
  <c r="L22" i="264"/>
  <c r="K22" i="264"/>
  <c r="J22" i="264"/>
  <c r="I22" i="264"/>
  <c r="H22" i="264"/>
  <c r="G22" i="264"/>
  <c r="F22" i="264"/>
  <c r="E22" i="264"/>
  <c r="AA14" i="264"/>
  <c r="Z14" i="264"/>
  <c r="Y14" i="264"/>
  <c r="X14" i="264"/>
  <c r="W14" i="264"/>
  <c r="V14" i="264"/>
  <c r="U14" i="264"/>
  <c r="T14" i="264"/>
  <c r="S14" i="264"/>
  <c r="R14" i="264"/>
  <c r="Q14" i="264"/>
  <c r="P14" i="264"/>
  <c r="O14" i="264"/>
  <c r="N14" i="264"/>
  <c r="M14" i="264"/>
  <c r="L14" i="264"/>
  <c r="K14" i="264"/>
  <c r="J14" i="264"/>
  <c r="I14" i="264"/>
  <c r="H14" i="264"/>
  <c r="G14" i="264"/>
  <c r="F14" i="264"/>
  <c r="E14" i="264"/>
  <c r="AA6" i="264"/>
  <c r="Z6" i="264"/>
  <c r="Y6" i="264"/>
  <c r="X6" i="264"/>
  <c r="W6" i="264"/>
  <c r="V6" i="264"/>
  <c r="U6" i="264"/>
  <c r="T6" i="264"/>
  <c r="S6" i="264"/>
  <c r="R6" i="264"/>
  <c r="Q6" i="264"/>
  <c r="P6" i="264"/>
  <c r="O6" i="264"/>
  <c r="N6" i="264"/>
  <c r="M6" i="264"/>
  <c r="L6" i="264"/>
  <c r="K6" i="264"/>
  <c r="J6" i="264"/>
  <c r="I6" i="264"/>
  <c r="H6" i="264"/>
  <c r="G6" i="264"/>
  <c r="F6" i="264"/>
  <c r="E6" i="264"/>
  <c r="CD38" i="262" l="1"/>
  <c r="CC38" i="262"/>
  <c r="CB38" i="262"/>
  <c r="BY38" i="262"/>
  <c r="BX38" i="262"/>
  <c r="BW38" i="262"/>
  <c r="BT38" i="262"/>
  <c r="BS38" i="262"/>
  <c r="BR38" i="262"/>
  <c r="BO38" i="262"/>
  <c r="BN38" i="262"/>
  <c r="BM38" i="262"/>
  <c r="BJ38" i="262"/>
  <c r="BI38" i="262"/>
  <c r="BH38" i="262"/>
  <c r="BE38" i="262"/>
  <c r="BD38" i="262"/>
  <c r="BC38" i="262"/>
  <c r="AZ38" i="262"/>
  <c r="AY38" i="262"/>
  <c r="AX38" i="262"/>
  <c r="AU38" i="262"/>
  <c r="AT38" i="262"/>
  <c r="AS38" i="262"/>
  <c r="AP38" i="262"/>
  <c r="AO38" i="262"/>
  <c r="AN38" i="262"/>
  <c r="AK38" i="262"/>
  <c r="AJ38" i="262"/>
  <c r="AI38" i="262"/>
  <c r="AF38" i="262"/>
  <c r="AE38" i="262"/>
  <c r="AD38" i="262"/>
  <c r="AA38" i="262"/>
  <c r="Z38" i="262"/>
  <c r="Y38" i="262"/>
  <c r="V38" i="262"/>
  <c r="U38" i="262"/>
  <c r="T38" i="262"/>
  <c r="Q38" i="262"/>
  <c r="P38" i="262"/>
  <c r="O38" i="262"/>
  <c r="L38" i="262"/>
  <c r="K38" i="262"/>
  <c r="J38" i="262"/>
  <c r="G38" i="262"/>
  <c r="F38" i="262"/>
  <c r="E38" i="262"/>
  <c r="CD37" i="262"/>
  <c r="CC37" i="262"/>
  <c r="CB37" i="262"/>
  <c r="BY37" i="262"/>
  <c r="BX37" i="262"/>
  <c r="BW37" i="262"/>
  <c r="BT37" i="262"/>
  <c r="BS37" i="262"/>
  <c r="BR37" i="262"/>
  <c r="BO37" i="262"/>
  <c r="BN37" i="262"/>
  <c r="BM37" i="262"/>
  <c r="BJ37" i="262"/>
  <c r="BI37" i="262"/>
  <c r="BH37" i="262"/>
  <c r="BE37" i="262"/>
  <c r="BD37" i="262"/>
  <c r="BC37" i="262"/>
  <c r="AZ37" i="262"/>
  <c r="AY37" i="262"/>
  <c r="AX37" i="262"/>
  <c r="AU37" i="262"/>
  <c r="AT37" i="262"/>
  <c r="AS37" i="262"/>
  <c r="AP37" i="262"/>
  <c r="AO37" i="262"/>
  <c r="AN37" i="262"/>
  <c r="AK37" i="262"/>
  <c r="AJ37" i="262"/>
  <c r="AI37" i="262"/>
  <c r="AF37" i="262"/>
  <c r="AE37" i="262"/>
  <c r="AD37" i="262"/>
  <c r="AA37" i="262"/>
  <c r="Z37" i="262"/>
  <c r="Y37" i="262"/>
  <c r="V37" i="262"/>
  <c r="U37" i="262"/>
  <c r="T37" i="262"/>
  <c r="Q37" i="262"/>
  <c r="P37" i="262"/>
  <c r="O37" i="262"/>
  <c r="L37" i="262"/>
  <c r="K37" i="262"/>
  <c r="J37" i="262"/>
  <c r="G37" i="262"/>
  <c r="F37" i="262"/>
  <c r="E37" i="262"/>
  <c r="CD36" i="262"/>
  <c r="CC36" i="262"/>
  <c r="CB36" i="262"/>
  <c r="BY36" i="262"/>
  <c r="BX36" i="262"/>
  <c r="BW36" i="262"/>
  <c r="BT36" i="262"/>
  <c r="BS36" i="262"/>
  <c r="BR36" i="262"/>
  <c r="BO36" i="262"/>
  <c r="BN36" i="262"/>
  <c r="BM36" i="262"/>
  <c r="BJ36" i="262"/>
  <c r="BI36" i="262"/>
  <c r="BH36" i="262"/>
  <c r="BE36" i="262"/>
  <c r="BD36" i="262"/>
  <c r="BC36" i="262"/>
  <c r="AZ36" i="262"/>
  <c r="AY36" i="262"/>
  <c r="AX36" i="262"/>
  <c r="AU36" i="262"/>
  <c r="AT36" i="262"/>
  <c r="AS36" i="262"/>
  <c r="AP36" i="262"/>
  <c r="AO36" i="262"/>
  <c r="AN36" i="262"/>
  <c r="AK36" i="262"/>
  <c r="AJ36" i="262"/>
  <c r="AI36" i="262"/>
  <c r="AF36" i="262"/>
  <c r="AE36" i="262"/>
  <c r="AD36" i="262"/>
  <c r="AA36" i="262"/>
  <c r="Z36" i="262"/>
  <c r="Y36" i="262"/>
  <c r="V36" i="262"/>
  <c r="U36" i="262"/>
  <c r="T36" i="262"/>
  <c r="Q36" i="262"/>
  <c r="P36" i="262"/>
  <c r="O36" i="262"/>
  <c r="L36" i="262"/>
  <c r="K36" i="262"/>
  <c r="J36" i="262"/>
  <c r="G36" i="262"/>
  <c r="F36" i="262"/>
  <c r="E36" i="262"/>
  <c r="CD35" i="262"/>
  <c r="CC35" i="262"/>
  <c r="CB35" i="262"/>
  <c r="BY35" i="262"/>
  <c r="BX35" i="262"/>
  <c r="BW35" i="262"/>
  <c r="BT35" i="262"/>
  <c r="BS35" i="262"/>
  <c r="BR35" i="262"/>
  <c r="BO35" i="262"/>
  <c r="BN35" i="262"/>
  <c r="BM35" i="262"/>
  <c r="BJ35" i="262"/>
  <c r="BI35" i="262"/>
  <c r="BH35" i="262"/>
  <c r="BE35" i="262"/>
  <c r="BD35" i="262"/>
  <c r="BC35" i="262"/>
  <c r="AZ35" i="262"/>
  <c r="AY35" i="262"/>
  <c r="AX35" i="262"/>
  <c r="AU35" i="262"/>
  <c r="AT35" i="262"/>
  <c r="AS35" i="262"/>
  <c r="AP35" i="262"/>
  <c r="AO35" i="262"/>
  <c r="AN35" i="262"/>
  <c r="AK35" i="262"/>
  <c r="AJ35" i="262"/>
  <c r="AI35" i="262"/>
  <c r="AF35" i="262"/>
  <c r="AE35" i="262"/>
  <c r="AD35" i="262"/>
  <c r="AA35" i="262"/>
  <c r="Z35" i="262"/>
  <c r="Y35" i="262"/>
  <c r="V35" i="262"/>
  <c r="U35" i="262"/>
  <c r="T35" i="262"/>
  <c r="Q35" i="262"/>
  <c r="P35" i="262"/>
  <c r="O35" i="262"/>
  <c r="L35" i="262"/>
  <c r="K35" i="262"/>
  <c r="J35" i="262"/>
  <c r="G35" i="262"/>
  <c r="F35" i="262"/>
  <c r="E35" i="262"/>
  <c r="CD34" i="262"/>
  <c r="CC34" i="262"/>
  <c r="CB34" i="262"/>
  <c r="BY34" i="262"/>
  <c r="BX34" i="262"/>
  <c r="BW34" i="262"/>
  <c r="BT34" i="262"/>
  <c r="BS34" i="262"/>
  <c r="BR34" i="262"/>
  <c r="BO34" i="262"/>
  <c r="BN34" i="262"/>
  <c r="BM34" i="262"/>
  <c r="BJ34" i="262"/>
  <c r="BI34" i="262"/>
  <c r="BH34" i="262"/>
  <c r="BE34" i="262"/>
  <c r="BD34" i="262"/>
  <c r="BC34" i="262"/>
  <c r="AZ34" i="262"/>
  <c r="AY34" i="262"/>
  <c r="AX34" i="262"/>
  <c r="AU34" i="262"/>
  <c r="AT34" i="262"/>
  <c r="AS34" i="262"/>
  <c r="AP34" i="262"/>
  <c r="AO34" i="262"/>
  <c r="AN34" i="262"/>
  <c r="AK34" i="262"/>
  <c r="AJ34" i="262"/>
  <c r="AI34" i="262"/>
  <c r="AF34" i="262"/>
  <c r="AE34" i="262"/>
  <c r="AD34" i="262"/>
  <c r="AA34" i="262"/>
  <c r="Z34" i="262"/>
  <c r="Y34" i="262"/>
  <c r="V34" i="262"/>
  <c r="U34" i="262"/>
  <c r="T34" i="262"/>
  <c r="Q34" i="262"/>
  <c r="P34" i="262"/>
  <c r="O34" i="262"/>
  <c r="L34" i="262"/>
  <c r="K34" i="262"/>
  <c r="J34" i="262"/>
  <c r="G34" i="262"/>
  <c r="F34" i="262"/>
  <c r="E34" i="262"/>
  <c r="CD33" i="262"/>
  <c r="CC33" i="262"/>
  <c r="CB33" i="262"/>
  <c r="BY33" i="262"/>
  <c r="BX33" i="262"/>
  <c r="BW33" i="262"/>
  <c r="BT33" i="262"/>
  <c r="BS33" i="262"/>
  <c r="BR33" i="262"/>
  <c r="BO33" i="262"/>
  <c r="BN33" i="262"/>
  <c r="BM33" i="262"/>
  <c r="BJ33" i="262"/>
  <c r="BI33" i="262"/>
  <c r="BH33" i="262"/>
  <c r="BE33" i="262"/>
  <c r="BD33" i="262"/>
  <c r="BC33" i="262"/>
  <c r="AZ33" i="262"/>
  <c r="AY33" i="262"/>
  <c r="AX33" i="262"/>
  <c r="AU33" i="262"/>
  <c r="AT33" i="262"/>
  <c r="AS33" i="262"/>
  <c r="AP33" i="262"/>
  <c r="AO33" i="262"/>
  <c r="AN33" i="262"/>
  <c r="AK33" i="262"/>
  <c r="AJ33" i="262"/>
  <c r="AI33" i="262"/>
  <c r="AF33" i="262"/>
  <c r="AE33" i="262"/>
  <c r="AD33" i="262"/>
  <c r="AA33" i="262"/>
  <c r="Z33" i="262"/>
  <c r="Y33" i="262"/>
  <c r="V33" i="262"/>
  <c r="U33" i="262"/>
  <c r="T33" i="262"/>
  <c r="Q33" i="262"/>
  <c r="P33" i="262"/>
  <c r="O33" i="262"/>
  <c r="L33" i="262"/>
  <c r="K33" i="262"/>
  <c r="J33" i="262"/>
  <c r="G33" i="262"/>
  <c r="F33" i="262"/>
  <c r="E33" i="262"/>
  <c r="CD32" i="262"/>
  <c r="CC32" i="262"/>
  <c r="CB32" i="262"/>
  <c r="BY32" i="262"/>
  <c r="BX32" i="262"/>
  <c r="BW32" i="262"/>
  <c r="BT32" i="262"/>
  <c r="BS32" i="262"/>
  <c r="BR32" i="262"/>
  <c r="BO32" i="262"/>
  <c r="BN32" i="262"/>
  <c r="BM32" i="262"/>
  <c r="BJ32" i="262"/>
  <c r="BI32" i="262"/>
  <c r="BH32" i="262"/>
  <c r="BE32" i="262"/>
  <c r="BD32" i="262"/>
  <c r="BC32" i="262"/>
  <c r="AZ32" i="262"/>
  <c r="AY32" i="262"/>
  <c r="AX32" i="262"/>
  <c r="AU32" i="262"/>
  <c r="AT32" i="262"/>
  <c r="AS32" i="262"/>
  <c r="AP32" i="262"/>
  <c r="AO32" i="262"/>
  <c r="AN32" i="262"/>
  <c r="AK32" i="262"/>
  <c r="AJ32" i="262"/>
  <c r="AI32" i="262"/>
  <c r="AF32" i="262"/>
  <c r="AE32" i="262"/>
  <c r="AD32" i="262"/>
  <c r="AA32" i="262"/>
  <c r="Z32" i="262"/>
  <c r="Y32" i="262"/>
  <c r="V32" i="262"/>
  <c r="U32" i="262"/>
  <c r="T32" i="262"/>
  <c r="Q32" i="262"/>
  <c r="P32" i="262"/>
  <c r="O32" i="262"/>
  <c r="L32" i="262"/>
  <c r="K32" i="262"/>
  <c r="J32" i="262"/>
  <c r="G32" i="262"/>
  <c r="F32" i="262"/>
  <c r="E32" i="262"/>
  <c r="CD31" i="262"/>
  <c r="CC31" i="262"/>
  <c r="CB31" i="262"/>
  <c r="BY31" i="262"/>
  <c r="BX31" i="262"/>
  <c r="BW31" i="262"/>
  <c r="BT31" i="262"/>
  <c r="BS31" i="262"/>
  <c r="BR31" i="262"/>
  <c r="BO31" i="262"/>
  <c r="BN31" i="262"/>
  <c r="BM31" i="262"/>
  <c r="BJ31" i="262"/>
  <c r="BI31" i="262"/>
  <c r="BH31" i="262"/>
  <c r="BE31" i="262"/>
  <c r="BD31" i="262"/>
  <c r="BC31" i="262"/>
  <c r="AZ31" i="262"/>
  <c r="AY31" i="262"/>
  <c r="AX31" i="262"/>
  <c r="AU31" i="262"/>
  <c r="AT31" i="262"/>
  <c r="AS31" i="262"/>
  <c r="AP31" i="262"/>
  <c r="AO31" i="262"/>
  <c r="AN31" i="262"/>
  <c r="AK31" i="262"/>
  <c r="AJ31" i="262"/>
  <c r="AI31" i="262"/>
  <c r="AF31" i="262"/>
  <c r="AE31" i="262"/>
  <c r="AD31" i="262"/>
  <c r="AA31" i="262"/>
  <c r="Z31" i="262"/>
  <c r="Y31" i="262"/>
  <c r="V31" i="262"/>
  <c r="U31" i="262"/>
  <c r="T31" i="262"/>
  <c r="Q31" i="262"/>
  <c r="P31" i="262"/>
  <c r="O31" i="262"/>
  <c r="L31" i="262"/>
  <c r="K31" i="262"/>
  <c r="J31" i="262"/>
  <c r="G31" i="262"/>
  <c r="F31" i="262"/>
  <c r="E31" i="262"/>
  <c r="CD30" i="262"/>
  <c r="CC30" i="262"/>
  <c r="CB30" i="262"/>
  <c r="BY30" i="262"/>
  <c r="BX30" i="262"/>
  <c r="BW30" i="262"/>
  <c r="BT30" i="262"/>
  <c r="BS30" i="262"/>
  <c r="BR30" i="262"/>
  <c r="BO30" i="262"/>
  <c r="BN30" i="262"/>
  <c r="BM30" i="262"/>
  <c r="BJ30" i="262"/>
  <c r="BI30" i="262"/>
  <c r="BH30" i="262"/>
  <c r="BE30" i="262"/>
  <c r="BD30" i="262"/>
  <c r="BC30" i="262"/>
  <c r="AZ30" i="262"/>
  <c r="AY30" i="262"/>
  <c r="AX30" i="262"/>
  <c r="AU30" i="262"/>
  <c r="AT30" i="262"/>
  <c r="AS30" i="262"/>
  <c r="AP30" i="262"/>
  <c r="AO30" i="262"/>
  <c r="AN30" i="262"/>
  <c r="AK30" i="262"/>
  <c r="AJ30" i="262"/>
  <c r="AI30" i="262"/>
  <c r="AF30" i="262"/>
  <c r="AE30" i="262"/>
  <c r="AD30" i="262"/>
  <c r="AA30" i="262"/>
  <c r="Z30" i="262"/>
  <c r="Y30" i="262"/>
  <c r="V30" i="262"/>
  <c r="U30" i="262"/>
  <c r="T30" i="262"/>
  <c r="Q30" i="262"/>
  <c r="P30" i="262"/>
  <c r="O30" i="262"/>
  <c r="L30" i="262"/>
  <c r="K30" i="262"/>
  <c r="J30" i="262"/>
  <c r="G30" i="262"/>
  <c r="F30" i="262"/>
  <c r="E30" i="262"/>
  <c r="CD29" i="262"/>
  <c r="CC29" i="262"/>
  <c r="CB29" i="262"/>
  <c r="BY29" i="262"/>
  <c r="BX29" i="262"/>
  <c r="BW29" i="262"/>
  <c r="BT29" i="262"/>
  <c r="BS29" i="262"/>
  <c r="BR29" i="262"/>
  <c r="BO29" i="262"/>
  <c r="BN29" i="262"/>
  <c r="BM29" i="262"/>
  <c r="BJ29" i="262"/>
  <c r="BI29" i="262"/>
  <c r="BH29" i="262"/>
  <c r="BE29" i="262"/>
  <c r="BD29" i="262"/>
  <c r="BC29" i="262"/>
  <c r="AZ29" i="262"/>
  <c r="AY29" i="262"/>
  <c r="AX29" i="262"/>
  <c r="AU29" i="262"/>
  <c r="AT29" i="262"/>
  <c r="AS29" i="262"/>
  <c r="AP29" i="262"/>
  <c r="AO29" i="262"/>
  <c r="AN29" i="262"/>
  <c r="AK29" i="262"/>
  <c r="AJ29" i="262"/>
  <c r="AI29" i="262"/>
  <c r="AF29" i="262"/>
  <c r="AE29" i="262"/>
  <c r="AD29" i="262"/>
  <c r="AA29" i="262"/>
  <c r="Z29" i="262"/>
  <c r="Y29" i="262"/>
  <c r="V29" i="262"/>
  <c r="U29" i="262"/>
  <c r="T29" i="262"/>
  <c r="Q29" i="262"/>
  <c r="P29" i="262"/>
  <c r="O29" i="262"/>
  <c r="L29" i="262"/>
  <c r="K29" i="262"/>
  <c r="J29" i="262"/>
  <c r="G29" i="262"/>
  <c r="F29" i="262"/>
  <c r="E29" i="262"/>
  <c r="CD28" i="262"/>
  <c r="CC28" i="262"/>
  <c r="CB28" i="262"/>
  <c r="BY28" i="262"/>
  <c r="BX28" i="262"/>
  <c r="BW28" i="262"/>
  <c r="BT28" i="262"/>
  <c r="BS28" i="262"/>
  <c r="BR28" i="262"/>
  <c r="BO28" i="262"/>
  <c r="BN28" i="262"/>
  <c r="BM28" i="262"/>
  <c r="BJ28" i="262"/>
  <c r="BI28" i="262"/>
  <c r="BH28" i="262"/>
  <c r="BE28" i="262"/>
  <c r="BD28" i="262"/>
  <c r="BC28" i="262"/>
  <c r="AZ28" i="262"/>
  <c r="AY28" i="262"/>
  <c r="AX28" i="262"/>
  <c r="AU28" i="262"/>
  <c r="AT28" i="262"/>
  <c r="AS28" i="262"/>
  <c r="AP28" i="262"/>
  <c r="AO28" i="262"/>
  <c r="AN28" i="262"/>
  <c r="AK28" i="262"/>
  <c r="AJ28" i="262"/>
  <c r="AI28" i="262"/>
  <c r="AF28" i="262"/>
  <c r="AE28" i="262"/>
  <c r="AD28" i="262"/>
  <c r="AA28" i="262"/>
  <c r="Z28" i="262"/>
  <c r="Y28" i="262"/>
  <c r="V28" i="262"/>
  <c r="U28" i="262"/>
  <c r="T28" i="262"/>
  <c r="Q28" i="262"/>
  <c r="P28" i="262"/>
  <c r="O28" i="262"/>
  <c r="L28" i="262"/>
  <c r="K28" i="262"/>
  <c r="J28" i="262"/>
  <c r="G28" i="262"/>
  <c r="F28" i="262"/>
  <c r="E28" i="262"/>
  <c r="CD27" i="262"/>
  <c r="CC27" i="262"/>
  <c r="CB27" i="262"/>
  <c r="BY27" i="262"/>
  <c r="BX27" i="262"/>
  <c r="BW27" i="262"/>
  <c r="BT27" i="262"/>
  <c r="BS27" i="262"/>
  <c r="BR27" i="262"/>
  <c r="BO27" i="262"/>
  <c r="BN27" i="262"/>
  <c r="BM27" i="262"/>
  <c r="BJ27" i="262"/>
  <c r="BI27" i="262"/>
  <c r="BH27" i="262"/>
  <c r="BE27" i="262"/>
  <c r="BD27" i="262"/>
  <c r="BC27" i="262"/>
  <c r="AZ27" i="262"/>
  <c r="AY27" i="262"/>
  <c r="AX27" i="262"/>
  <c r="AU27" i="262"/>
  <c r="AT27" i="262"/>
  <c r="AS27" i="262"/>
  <c r="AP27" i="262"/>
  <c r="AO27" i="262"/>
  <c r="AN27" i="262"/>
  <c r="AK27" i="262"/>
  <c r="AJ27" i="262"/>
  <c r="AI27" i="262"/>
  <c r="AF27" i="262"/>
  <c r="AE27" i="262"/>
  <c r="AD27" i="262"/>
  <c r="AA27" i="262"/>
  <c r="Z27" i="262"/>
  <c r="Y27" i="262"/>
  <c r="V27" i="262"/>
  <c r="U27" i="262"/>
  <c r="T27" i="262"/>
  <c r="Q27" i="262"/>
  <c r="P27" i="262"/>
  <c r="O27" i="262"/>
  <c r="L27" i="262"/>
  <c r="K27" i="262"/>
  <c r="J27" i="262"/>
  <c r="G27" i="262"/>
  <c r="F27" i="262"/>
  <c r="E27" i="262"/>
  <c r="CD26" i="262"/>
  <c r="CC26" i="262"/>
  <c r="CB26" i="262"/>
  <c r="BY26" i="262"/>
  <c r="BX26" i="262"/>
  <c r="BW26" i="262"/>
  <c r="BT26" i="262"/>
  <c r="BS26" i="262"/>
  <c r="BR26" i="262"/>
  <c r="BO26" i="262"/>
  <c r="BN26" i="262"/>
  <c r="BM26" i="262"/>
  <c r="BJ26" i="262"/>
  <c r="BI26" i="262"/>
  <c r="BH26" i="262"/>
  <c r="BE26" i="262"/>
  <c r="BD26" i="262"/>
  <c r="BC26" i="262"/>
  <c r="AZ26" i="262"/>
  <c r="AY26" i="262"/>
  <c r="AX26" i="262"/>
  <c r="AU26" i="262"/>
  <c r="AT26" i="262"/>
  <c r="AS26" i="262"/>
  <c r="AP26" i="262"/>
  <c r="AO26" i="262"/>
  <c r="AN26" i="262"/>
  <c r="AK26" i="262"/>
  <c r="AJ26" i="262"/>
  <c r="AI26" i="262"/>
  <c r="AF26" i="262"/>
  <c r="AE26" i="262"/>
  <c r="AD26" i="262"/>
  <c r="AA26" i="262"/>
  <c r="Z26" i="262"/>
  <c r="Y26" i="262"/>
  <c r="V26" i="262"/>
  <c r="U26" i="262"/>
  <c r="T26" i="262"/>
  <c r="Q26" i="262"/>
  <c r="P26" i="262"/>
  <c r="O26" i="262"/>
  <c r="L26" i="262"/>
  <c r="K26" i="262"/>
  <c r="J26" i="262"/>
  <c r="G26" i="262"/>
  <c r="F26" i="262"/>
  <c r="E26" i="262"/>
  <c r="CD25" i="262"/>
  <c r="CC25" i="262"/>
  <c r="CB25" i="262"/>
  <c r="BY25" i="262"/>
  <c r="BX25" i="262"/>
  <c r="BW25" i="262"/>
  <c r="BT25" i="262"/>
  <c r="BS25" i="262"/>
  <c r="BR25" i="262"/>
  <c r="BO25" i="262"/>
  <c r="BN25" i="262"/>
  <c r="BM25" i="262"/>
  <c r="BJ25" i="262"/>
  <c r="BI25" i="262"/>
  <c r="BH25" i="262"/>
  <c r="BE25" i="262"/>
  <c r="BD25" i="262"/>
  <c r="BC25" i="262"/>
  <c r="AZ25" i="262"/>
  <c r="AY25" i="262"/>
  <c r="AX25" i="262"/>
  <c r="AU25" i="262"/>
  <c r="AT25" i="262"/>
  <c r="AS25" i="262"/>
  <c r="AP25" i="262"/>
  <c r="AO25" i="262"/>
  <c r="AN25" i="262"/>
  <c r="AK25" i="262"/>
  <c r="AJ25" i="262"/>
  <c r="AI25" i="262"/>
  <c r="AF25" i="262"/>
  <c r="AE25" i="262"/>
  <c r="AD25" i="262"/>
  <c r="AA25" i="262"/>
  <c r="Z25" i="262"/>
  <c r="Y25" i="262"/>
  <c r="V25" i="262"/>
  <c r="U25" i="262"/>
  <c r="T25" i="262"/>
  <c r="Q25" i="262"/>
  <c r="P25" i="262"/>
  <c r="O25" i="262"/>
  <c r="L25" i="262"/>
  <c r="K25" i="262"/>
  <c r="J25" i="262"/>
  <c r="G25" i="262"/>
  <c r="F25" i="262"/>
  <c r="E25" i="262"/>
  <c r="CD24" i="262"/>
  <c r="CC24" i="262"/>
  <c r="CB24" i="262"/>
  <c r="BY24" i="262"/>
  <c r="BX24" i="262"/>
  <c r="BW24" i="262"/>
  <c r="BT24" i="262"/>
  <c r="BS24" i="262"/>
  <c r="BR24" i="262"/>
  <c r="BO24" i="262"/>
  <c r="BN24" i="262"/>
  <c r="BM24" i="262"/>
  <c r="BJ24" i="262"/>
  <c r="BI24" i="262"/>
  <c r="BH24" i="262"/>
  <c r="BE24" i="262"/>
  <c r="BD24" i="262"/>
  <c r="BC24" i="262"/>
  <c r="AZ24" i="262"/>
  <c r="AY24" i="262"/>
  <c r="AX24" i="262"/>
  <c r="AU24" i="262"/>
  <c r="AT24" i="262"/>
  <c r="AS24" i="262"/>
  <c r="AP24" i="262"/>
  <c r="AO24" i="262"/>
  <c r="AN24" i="262"/>
  <c r="AK24" i="262"/>
  <c r="AJ24" i="262"/>
  <c r="AI24" i="262"/>
  <c r="AF24" i="262"/>
  <c r="AE24" i="262"/>
  <c r="AD24" i="262"/>
  <c r="AA24" i="262"/>
  <c r="Z24" i="262"/>
  <c r="Y24" i="262"/>
  <c r="V24" i="262"/>
  <c r="U24" i="262"/>
  <c r="T24" i="262"/>
  <c r="Q24" i="262"/>
  <c r="P24" i="262"/>
  <c r="O24" i="262"/>
  <c r="L24" i="262"/>
  <c r="K24" i="262"/>
  <c r="J24" i="262"/>
  <c r="G24" i="262"/>
  <c r="F24" i="262"/>
  <c r="E24" i="262"/>
  <c r="CD23" i="262"/>
  <c r="CC23" i="262"/>
  <c r="CB23" i="262"/>
  <c r="BY23" i="262"/>
  <c r="BX23" i="262"/>
  <c r="BW23" i="262"/>
  <c r="BT23" i="262"/>
  <c r="BS23" i="262"/>
  <c r="BR23" i="262"/>
  <c r="BO23" i="262"/>
  <c r="BN23" i="262"/>
  <c r="BM23" i="262"/>
  <c r="BJ23" i="262"/>
  <c r="BI23" i="262"/>
  <c r="BH23" i="262"/>
  <c r="BE23" i="262"/>
  <c r="BD23" i="262"/>
  <c r="BC23" i="262"/>
  <c r="AZ23" i="262"/>
  <c r="AY23" i="262"/>
  <c r="AX23" i="262"/>
  <c r="AU23" i="262"/>
  <c r="AT23" i="262"/>
  <c r="AS23" i="262"/>
  <c r="AP23" i="262"/>
  <c r="AO23" i="262"/>
  <c r="AN23" i="262"/>
  <c r="AK23" i="262"/>
  <c r="AJ23" i="262"/>
  <c r="AI23" i="262"/>
  <c r="AF23" i="262"/>
  <c r="AE23" i="262"/>
  <c r="AD23" i="262"/>
  <c r="AA23" i="262"/>
  <c r="Z23" i="262"/>
  <c r="Y23" i="262"/>
  <c r="V23" i="262"/>
  <c r="U23" i="262"/>
  <c r="T23" i="262"/>
  <c r="Q23" i="262"/>
  <c r="P23" i="262"/>
  <c r="O23" i="262"/>
  <c r="L23" i="262"/>
  <c r="K23" i="262"/>
  <c r="J23" i="262"/>
  <c r="G23" i="262"/>
  <c r="F23" i="262"/>
  <c r="E23" i="262"/>
  <c r="CD22" i="262"/>
  <c r="CC22" i="262"/>
  <c r="CB22" i="262"/>
  <c r="BY22" i="262"/>
  <c r="BX22" i="262"/>
  <c r="BW22" i="262"/>
  <c r="BT22" i="262"/>
  <c r="BS22" i="262"/>
  <c r="BR22" i="262"/>
  <c r="BO22" i="262"/>
  <c r="BN22" i="262"/>
  <c r="BM22" i="262"/>
  <c r="BJ22" i="262"/>
  <c r="BI22" i="262"/>
  <c r="BH22" i="262"/>
  <c r="BE22" i="262"/>
  <c r="BD22" i="262"/>
  <c r="BC22" i="262"/>
  <c r="AZ22" i="262"/>
  <c r="AY22" i="262"/>
  <c r="AX22" i="262"/>
  <c r="AU22" i="262"/>
  <c r="AT22" i="262"/>
  <c r="AS22" i="262"/>
  <c r="AP22" i="262"/>
  <c r="AO22" i="262"/>
  <c r="AN22" i="262"/>
  <c r="AK22" i="262"/>
  <c r="AJ22" i="262"/>
  <c r="AI22" i="262"/>
  <c r="AF22" i="262"/>
  <c r="AE22" i="262"/>
  <c r="AD22" i="262"/>
  <c r="AA22" i="262"/>
  <c r="Z22" i="262"/>
  <c r="Y22" i="262"/>
  <c r="V22" i="262"/>
  <c r="U22" i="262"/>
  <c r="T22" i="262"/>
  <c r="Q22" i="262"/>
  <c r="P22" i="262"/>
  <c r="O22" i="262"/>
  <c r="L22" i="262"/>
  <c r="K22" i="262"/>
  <c r="J22" i="262"/>
  <c r="G22" i="262"/>
  <c r="F22" i="262"/>
  <c r="E22" i="262"/>
  <c r="CD21" i="262"/>
  <c r="CC21" i="262"/>
  <c r="CB21" i="262"/>
  <c r="BY21" i="262"/>
  <c r="BX21" i="262"/>
  <c r="BW21" i="262"/>
  <c r="BT21" i="262"/>
  <c r="BS21" i="262"/>
  <c r="BR21" i="262"/>
  <c r="BO21" i="262"/>
  <c r="BN21" i="262"/>
  <c r="BM21" i="262"/>
  <c r="BJ21" i="262"/>
  <c r="BI21" i="262"/>
  <c r="BH21" i="262"/>
  <c r="BE21" i="262"/>
  <c r="BD21" i="262"/>
  <c r="BC21" i="262"/>
  <c r="AZ21" i="262"/>
  <c r="AY21" i="262"/>
  <c r="AX21" i="262"/>
  <c r="AU21" i="262"/>
  <c r="AT21" i="262"/>
  <c r="AS21" i="262"/>
  <c r="AP21" i="262"/>
  <c r="AO21" i="262"/>
  <c r="AN21" i="262"/>
  <c r="AK21" i="262"/>
  <c r="AJ21" i="262"/>
  <c r="AI21" i="262"/>
  <c r="AF21" i="262"/>
  <c r="AE21" i="262"/>
  <c r="AD21" i="262"/>
  <c r="AA21" i="262"/>
  <c r="Z21" i="262"/>
  <c r="Y21" i="262"/>
  <c r="V21" i="262"/>
  <c r="U21" i="262"/>
  <c r="T21" i="262"/>
  <c r="Q21" i="262"/>
  <c r="P21" i="262"/>
  <c r="O21" i="262"/>
  <c r="L21" i="262"/>
  <c r="K21" i="262"/>
  <c r="J21" i="262"/>
  <c r="G21" i="262"/>
  <c r="F21" i="262"/>
  <c r="E21" i="262"/>
  <c r="CD20" i="262"/>
  <c r="CC20" i="262"/>
  <c r="CB20" i="262"/>
  <c r="BY20" i="262"/>
  <c r="BX20" i="262"/>
  <c r="BW20" i="262"/>
  <c r="BT20" i="262"/>
  <c r="BS20" i="262"/>
  <c r="BR20" i="262"/>
  <c r="BO20" i="262"/>
  <c r="BN20" i="262"/>
  <c r="BM20" i="262"/>
  <c r="BJ20" i="262"/>
  <c r="BI20" i="262"/>
  <c r="BH20" i="262"/>
  <c r="BE20" i="262"/>
  <c r="BD20" i="262"/>
  <c r="BC20" i="262"/>
  <c r="AZ20" i="262"/>
  <c r="AY20" i="262"/>
  <c r="AX20" i="262"/>
  <c r="AU20" i="262"/>
  <c r="AT20" i="262"/>
  <c r="AS20" i="262"/>
  <c r="AP20" i="262"/>
  <c r="AO20" i="262"/>
  <c r="AN20" i="262"/>
  <c r="AK20" i="262"/>
  <c r="AJ20" i="262"/>
  <c r="AI20" i="262"/>
  <c r="AF20" i="262"/>
  <c r="AE20" i="262"/>
  <c r="AD20" i="262"/>
  <c r="AA20" i="262"/>
  <c r="Z20" i="262"/>
  <c r="Y20" i="262"/>
  <c r="V20" i="262"/>
  <c r="U20" i="262"/>
  <c r="T20" i="262"/>
  <c r="Q20" i="262"/>
  <c r="P20" i="262"/>
  <c r="O20" i="262"/>
  <c r="L20" i="262"/>
  <c r="K20" i="262"/>
  <c r="J20" i="262"/>
  <c r="G20" i="262"/>
  <c r="F20" i="262"/>
  <c r="E20" i="262"/>
  <c r="CD19" i="262"/>
  <c r="CC19" i="262"/>
  <c r="CB19" i="262"/>
  <c r="BY19" i="262"/>
  <c r="BX19" i="262"/>
  <c r="BW19" i="262"/>
  <c r="BT19" i="262"/>
  <c r="BS19" i="262"/>
  <c r="BR19" i="262"/>
  <c r="BO19" i="262"/>
  <c r="BN19" i="262"/>
  <c r="BM19" i="262"/>
  <c r="BJ19" i="262"/>
  <c r="BI19" i="262"/>
  <c r="BH19" i="262"/>
  <c r="BE19" i="262"/>
  <c r="BD19" i="262"/>
  <c r="BC19" i="262"/>
  <c r="AZ19" i="262"/>
  <c r="AY19" i="262"/>
  <c r="AX19" i="262"/>
  <c r="AU19" i="262"/>
  <c r="AT19" i="262"/>
  <c r="AS19" i="262"/>
  <c r="AP19" i="262"/>
  <c r="AO19" i="262"/>
  <c r="AN19" i="262"/>
  <c r="AK19" i="262"/>
  <c r="AJ19" i="262"/>
  <c r="AI19" i="262"/>
  <c r="AF19" i="262"/>
  <c r="AE19" i="262"/>
  <c r="AD19" i="262"/>
  <c r="AA19" i="262"/>
  <c r="Z19" i="262"/>
  <c r="Y19" i="262"/>
  <c r="V19" i="262"/>
  <c r="U19" i="262"/>
  <c r="T19" i="262"/>
  <c r="Q19" i="262"/>
  <c r="P19" i="262"/>
  <c r="O19" i="262"/>
  <c r="L19" i="262"/>
  <c r="K19" i="262"/>
  <c r="J19" i="262"/>
  <c r="G19" i="262"/>
  <c r="F19" i="262"/>
  <c r="E19" i="262"/>
  <c r="CD18" i="262"/>
  <c r="CC18" i="262"/>
  <c r="CB18" i="262"/>
  <c r="BY18" i="262"/>
  <c r="BX18" i="262"/>
  <c r="BW18" i="262"/>
  <c r="BT18" i="262"/>
  <c r="BS18" i="262"/>
  <c r="BR18" i="262"/>
  <c r="BO18" i="262"/>
  <c r="BN18" i="262"/>
  <c r="BM18" i="262"/>
  <c r="BJ18" i="262"/>
  <c r="BI18" i="262"/>
  <c r="BH18" i="262"/>
  <c r="BE18" i="262"/>
  <c r="BD18" i="262"/>
  <c r="BC18" i="262"/>
  <c r="AZ18" i="262"/>
  <c r="AY18" i="262"/>
  <c r="AX18" i="262"/>
  <c r="AU18" i="262"/>
  <c r="AT18" i="262"/>
  <c r="AS18" i="262"/>
  <c r="AP18" i="262"/>
  <c r="AO18" i="262"/>
  <c r="AN18" i="262"/>
  <c r="AK18" i="262"/>
  <c r="AJ18" i="262"/>
  <c r="AI18" i="262"/>
  <c r="AF18" i="262"/>
  <c r="AE18" i="262"/>
  <c r="AD18" i="262"/>
  <c r="AA18" i="262"/>
  <c r="Z18" i="262"/>
  <c r="Y18" i="262"/>
  <c r="V18" i="262"/>
  <c r="U18" i="262"/>
  <c r="T18" i="262"/>
  <c r="Q18" i="262"/>
  <c r="P18" i="262"/>
  <c r="O18" i="262"/>
  <c r="L18" i="262"/>
  <c r="K18" i="262"/>
  <c r="J18" i="262"/>
  <c r="G18" i="262"/>
  <c r="F18" i="262"/>
  <c r="E18" i="262"/>
  <c r="CD17" i="262"/>
  <c r="CC17" i="262"/>
  <c r="CB17" i="262"/>
  <c r="BY17" i="262"/>
  <c r="BX17" i="262"/>
  <c r="BW17" i="262"/>
  <c r="BT17" i="262"/>
  <c r="BS17" i="262"/>
  <c r="BR17" i="262"/>
  <c r="BO17" i="262"/>
  <c r="BN17" i="262"/>
  <c r="BM17" i="262"/>
  <c r="BJ17" i="262"/>
  <c r="BI17" i="262"/>
  <c r="BH17" i="262"/>
  <c r="BE17" i="262"/>
  <c r="BD17" i="262"/>
  <c r="BC17" i="262"/>
  <c r="AZ17" i="262"/>
  <c r="AY17" i="262"/>
  <c r="AX17" i="262"/>
  <c r="AU17" i="262"/>
  <c r="AT17" i="262"/>
  <c r="AS17" i="262"/>
  <c r="AP17" i="262"/>
  <c r="AO17" i="262"/>
  <c r="AN17" i="262"/>
  <c r="AK17" i="262"/>
  <c r="AJ17" i="262"/>
  <c r="AI17" i="262"/>
  <c r="AF17" i="262"/>
  <c r="AE17" i="262"/>
  <c r="AD17" i="262"/>
  <c r="AA17" i="262"/>
  <c r="Z17" i="262"/>
  <c r="Y17" i="262"/>
  <c r="V17" i="262"/>
  <c r="U17" i="262"/>
  <c r="T17" i="262"/>
  <c r="Q17" i="262"/>
  <c r="P17" i="262"/>
  <c r="O17" i="262"/>
  <c r="L17" i="262"/>
  <c r="K17" i="262"/>
  <c r="J17" i="262"/>
  <c r="G17" i="262"/>
  <c r="F17" i="262"/>
  <c r="E17" i="262"/>
  <c r="CD16" i="262"/>
  <c r="CC16" i="262"/>
  <c r="CB16" i="262"/>
  <c r="BY16" i="262"/>
  <c r="BX16" i="262"/>
  <c r="BW16" i="262"/>
  <c r="BT16" i="262"/>
  <c r="BS16" i="262"/>
  <c r="BR16" i="262"/>
  <c r="BO16" i="262"/>
  <c r="BN16" i="262"/>
  <c r="BM16" i="262"/>
  <c r="BJ16" i="262"/>
  <c r="BI16" i="262"/>
  <c r="BH16" i="262"/>
  <c r="BE16" i="262"/>
  <c r="BD16" i="262"/>
  <c r="BC16" i="262"/>
  <c r="AZ16" i="262"/>
  <c r="AY16" i="262"/>
  <c r="AX16" i="262"/>
  <c r="AU16" i="262"/>
  <c r="AT16" i="262"/>
  <c r="AS16" i="262"/>
  <c r="AP16" i="262"/>
  <c r="AO16" i="262"/>
  <c r="AN16" i="262"/>
  <c r="AK16" i="262"/>
  <c r="AJ16" i="262"/>
  <c r="AI16" i="262"/>
  <c r="AF16" i="262"/>
  <c r="AE16" i="262"/>
  <c r="AD16" i="262"/>
  <c r="AA16" i="262"/>
  <c r="Z16" i="262"/>
  <c r="Y16" i="262"/>
  <c r="V16" i="262"/>
  <c r="U16" i="262"/>
  <c r="T16" i="262"/>
  <c r="Q16" i="262"/>
  <c r="P16" i="262"/>
  <c r="O16" i="262"/>
  <c r="L16" i="262"/>
  <c r="K16" i="262"/>
  <c r="J16" i="262"/>
  <c r="G16" i="262"/>
  <c r="F16" i="262"/>
  <c r="E16" i="262"/>
  <c r="CD15" i="262"/>
  <c r="CC15" i="262"/>
  <c r="CB15" i="262"/>
  <c r="BY15" i="262"/>
  <c r="BX15" i="262"/>
  <c r="BW15" i="262"/>
  <c r="BT15" i="262"/>
  <c r="BS15" i="262"/>
  <c r="BR15" i="262"/>
  <c r="BO15" i="262"/>
  <c r="BN15" i="262"/>
  <c r="BM15" i="262"/>
  <c r="BJ15" i="262"/>
  <c r="BI15" i="262"/>
  <c r="BH15" i="262"/>
  <c r="BE15" i="262"/>
  <c r="BD15" i="262"/>
  <c r="BC15" i="262"/>
  <c r="AZ15" i="262"/>
  <c r="AY15" i="262"/>
  <c r="AX15" i="262"/>
  <c r="AU15" i="262"/>
  <c r="AT15" i="262"/>
  <c r="AS15" i="262"/>
  <c r="AP15" i="262"/>
  <c r="AO15" i="262"/>
  <c r="AN15" i="262"/>
  <c r="AK15" i="262"/>
  <c r="AJ15" i="262"/>
  <c r="AI15" i="262"/>
  <c r="AF15" i="262"/>
  <c r="AE15" i="262"/>
  <c r="AD15" i="262"/>
  <c r="AA15" i="262"/>
  <c r="Z15" i="262"/>
  <c r="Y15" i="262"/>
  <c r="V15" i="262"/>
  <c r="U15" i="262"/>
  <c r="T15" i="262"/>
  <c r="Q15" i="262"/>
  <c r="P15" i="262"/>
  <c r="O15" i="262"/>
  <c r="L15" i="262"/>
  <c r="K15" i="262"/>
  <c r="J15" i="262"/>
  <c r="G15" i="262"/>
  <c r="F15" i="262"/>
  <c r="E15" i="262"/>
  <c r="CD14" i="262"/>
  <c r="CC14" i="262"/>
  <c r="CB14" i="262"/>
  <c r="BY14" i="262"/>
  <c r="BX14" i="262"/>
  <c r="BW14" i="262"/>
  <c r="BT14" i="262"/>
  <c r="BS14" i="262"/>
  <c r="BR14" i="262"/>
  <c r="BO14" i="262"/>
  <c r="BN14" i="262"/>
  <c r="BM14" i="262"/>
  <c r="BJ14" i="262"/>
  <c r="BI14" i="262"/>
  <c r="BH14" i="262"/>
  <c r="BE14" i="262"/>
  <c r="BD14" i="262"/>
  <c r="BC14" i="262"/>
  <c r="AZ14" i="262"/>
  <c r="AY14" i="262"/>
  <c r="AX14" i="262"/>
  <c r="AU14" i="262"/>
  <c r="AT14" i="262"/>
  <c r="AS14" i="262"/>
  <c r="AP14" i="262"/>
  <c r="AO14" i="262"/>
  <c r="AN14" i="262"/>
  <c r="AK14" i="262"/>
  <c r="AJ14" i="262"/>
  <c r="AI14" i="262"/>
  <c r="AF14" i="262"/>
  <c r="AE14" i="262"/>
  <c r="AD14" i="262"/>
  <c r="AA14" i="262"/>
  <c r="Z14" i="262"/>
  <c r="Y14" i="262"/>
  <c r="V14" i="262"/>
  <c r="U14" i="262"/>
  <c r="T14" i="262"/>
  <c r="Q14" i="262"/>
  <c r="P14" i="262"/>
  <c r="O14" i="262"/>
  <c r="L14" i="262"/>
  <c r="K14" i="262"/>
  <c r="J14" i="262"/>
  <c r="G14" i="262"/>
  <c r="F14" i="262"/>
  <c r="E14" i="262"/>
  <c r="CD13" i="262"/>
  <c r="CC13" i="262"/>
  <c r="CB13" i="262"/>
  <c r="BY13" i="262"/>
  <c r="BX13" i="262"/>
  <c r="BW13" i="262"/>
  <c r="BT13" i="262"/>
  <c r="BS13" i="262"/>
  <c r="BR13" i="262"/>
  <c r="BO13" i="262"/>
  <c r="BN13" i="262"/>
  <c r="BM13" i="262"/>
  <c r="BJ13" i="262"/>
  <c r="BI13" i="262"/>
  <c r="BH13" i="262"/>
  <c r="BE13" i="262"/>
  <c r="BD13" i="262"/>
  <c r="BC13" i="262"/>
  <c r="AZ13" i="262"/>
  <c r="AY13" i="262"/>
  <c r="AX13" i="262"/>
  <c r="AU13" i="262"/>
  <c r="AT13" i="262"/>
  <c r="AS13" i="262"/>
  <c r="AP13" i="262"/>
  <c r="AO13" i="262"/>
  <c r="AN13" i="262"/>
  <c r="AK13" i="262"/>
  <c r="AJ13" i="262"/>
  <c r="AI13" i="262"/>
  <c r="AF13" i="262"/>
  <c r="AE13" i="262"/>
  <c r="AD13" i="262"/>
  <c r="AA13" i="262"/>
  <c r="Z13" i="262"/>
  <c r="Y13" i="262"/>
  <c r="V13" i="262"/>
  <c r="U13" i="262"/>
  <c r="T13" i="262"/>
  <c r="Q13" i="262"/>
  <c r="P13" i="262"/>
  <c r="O13" i="262"/>
  <c r="L13" i="262"/>
  <c r="K13" i="262"/>
  <c r="J13" i="262"/>
  <c r="G13" i="262"/>
  <c r="F13" i="262"/>
  <c r="E13" i="262"/>
  <c r="CD12" i="262"/>
  <c r="CC12" i="262"/>
  <c r="CB12" i="262"/>
  <c r="BY12" i="262"/>
  <c r="BX12" i="262"/>
  <c r="BW12" i="262"/>
  <c r="BT12" i="262"/>
  <c r="BS12" i="262"/>
  <c r="BR12" i="262"/>
  <c r="BO12" i="262"/>
  <c r="BN12" i="262"/>
  <c r="BM12" i="262"/>
  <c r="BJ12" i="262"/>
  <c r="BI12" i="262"/>
  <c r="BH12" i="262"/>
  <c r="BE12" i="262"/>
  <c r="BD12" i="262"/>
  <c r="BC12" i="262"/>
  <c r="AZ12" i="262"/>
  <c r="AY12" i="262"/>
  <c r="AX12" i="262"/>
  <c r="AU12" i="262"/>
  <c r="AT12" i="262"/>
  <c r="AS12" i="262"/>
  <c r="AP12" i="262"/>
  <c r="AO12" i="262"/>
  <c r="AN12" i="262"/>
  <c r="AK12" i="262"/>
  <c r="AJ12" i="262"/>
  <c r="AI12" i="262"/>
  <c r="AF12" i="262"/>
  <c r="AE12" i="262"/>
  <c r="AD12" i="262"/>
  <c r="AA12" i="262"/>
  <c r="Z12" i="262"/>
  <c r="Y12" i="262"/>
  <c r="V12" i="262"/>
  <c r="U12" i="262"/>
  <c r="T12" i="262"/>
  <c r="Q12" i="262"/>
  <c r="P12" i="262"/>
  <c r="O12" i="262"/>
  <c r="L12" i="262"/>
  <c r="K12" i="262"/>
  <c r="J12" i="262"/>
  <c r="G12" i="262"/>
  <c r="F12" i="262"/>
  <c r="E12" i="262"/>
  <c r="CD11" i="262"/>
  <c r="CC11" i="262"/>
  <c r="CB11" i="262"/>
  <c r="BY11" i="262"/>
  <c r="BX11" i="262"/>
  <c r="BW11" i="262"/>
  <c r="BT11" i="262"/>
  <c r="BS11" i="262"/>
  <c r="BR11" i="262"/>
  <c r="BO11" i="262"/>
  <c r="BN11" i="262"/>
  <c r="BM11" i="262"/>
  <c r="BJ11" i="262"/>
  <c r="BI11" i="262"/>
  <c r="BH11" i="262"/>
  <c r="BE11" i="262"/>
  <c r="BD11" i="262"/>
  <c r="BC11" i="262"/>
  <c r="AZ11" i="262"/>
  <c r="AY11" i="262"/>
  <c r="AX11" i="262"/>
  <c r="AU11" i="262"/>
  <c r="AT11" i="262"/>
  <c r="AS11" i="262"/>
  <c r="AP11" i="262"/>
  <c r="AO11" i="262"/>
  <c r="AN11" i="262"/>
  <c r="AK11" i="262"/>
  <c r="AJ11" i="262"/>
  <c r="AI11" i="262"/>
  <c r="AF11" i="262"/>
  <c r="AE11" i="262"/>
  <c r="AD11" i="262"/>
  <c r="AA11" i="262"/>
  <c r="Z11" i="262"/>
  <c r="Y11" i="262"/>
  <c r="V11" i="262"/>
  <c r="U11" i="262"/>
  <c r="T11" i="262"/>
  <c r="Q11" i="262"/>
  <c r="P11" i="262"/>
  <c r="O11" i="262"/>
  <c r="L11" i="262"/>
  <c r="K11" i="262"/>
  <c r="J11" i="262"/>
  <c r="G11" i="262"/>
  <c r="F11" i="262"/>
  <c r="E11" i="262"/>
  <c r="CD10" i="262"/>
  <c r="CC10" i="262"/>
  <c r="CB10" i="262"/>
  <c r="BY10" i="262"/>
  <c r="BX10" i="262"/>
  <c r="BW10" i="262"/>
  <c r="BT10" i="262"/>
  <c r="BS10" i="262"/>
  <c r="BR10" i="262"/>
  <c r="BO10" i="262"/>
  <c r="BN10" i="262"/>
  <c r="BM10" i="262"/>
  <c r="BJ10" i="262"/>
  <c r="BI10" i="262"/>
  <c r="BH10" i="262"/>
  <c r="BE10" i="262"/>
  <c r="BD10" i="262"/>
  <c r="BC10" i="262"/>
  <c r="AZ10" i="262"/>
  <c r="AY10" i="262"/>
  <c r="AX10" i="262"/>
  <c r="AU10" i="262"/>
  <c r="AT10" i="262"/>
  <c r="AS10" i="262"/>
  <c r="AP10" i="262"/>
  <c r="AO10" i="262"/>
  <c r="AN10" i="262"/>
  <c r="AK10" i="262"/>
  <c r="AJ10" i="262"/>
  <c r="AI10" i="262"/>
  <c r="AF10" i="262"/>
  <c r="AE10" i="262"/>
  <c r="AD10" i="262"/>
  <c r="AA10" i="262"/>
  <c r="Z10" i="262"/>
  <c r="Y10" i="262"/>
  <c r="V10" i="262"/>
  <c r="U10" i="262"/>
  <c r="T10" i="262"/>
  <c r="Q10" i="262"/>
  <c r="P10" i="262"/>
  <c r="O10" i="262"/>
  <c r="L10" i="262"/>
  <c r="K10" i="262"/>
  <c r="J10" i="262"/>
  <c r="G10" i="262"/>
  <c r="F10" i="262"/>
  <c r="E10" i="262"/>
  <c r="CD9" i="262"/>
  <c r="CC9" i="262"/>
  <c r="CB9" i="262"/>
  <c r="BY9" i="262"/>
  <c r="BX9" i="262"/>
  <c r="BW9" i="262"/>
  <c r="BT9" i="262"/>
  <c r="BS9" i="262"/>
  <c r="BR9" i="262"/>
  <c r="BO9" i="262"/>
  <c r="BN9" i="262"/>
  <c r="BM9" i="262"/>
  <c r="BJ9" i="262"/>
  <c r="BI9" i="262"/>
  <c r="BH9" i="262"/>
  <c r="BE9" i="262"/>
  <c r="BD9" i="262"/>
  <c r="BC9" i="262"/>
  <c r="AZ9" i="262"/>
  <c r="AY9" i="262"/>
  <c r="AX9" i="262"/>
  <c r="AU9" i="262"/>
  <c r="AT9" i="262"/>
  <c r="AS9" i="262"/>
  <c r="AP9" i="262"/>
  <c r="AO9" i="262"/>
  <c r="AN9" i="262"/>
  <c r="AK9" i="262"/>
  <c r="AJ9" i="262"/>
  <c r="AI9" i="262"/>
  <c r="AF9" i="262"/>
  <c r="AE9" i="262"/>
  <c r="AD9" i="262"/>
  <c r="AA9" i="262"/>
  <c r="Z9" i="262"/>
  <c r="Y9" i="262"/>
  <c r="V9" i="262"/>
  <c r="U9" i="262"/>
  <c r="T9" i="262"/>
  <c r="Q9" i="262"/>
  <c r="P9" i="262"/>
  <c r="O9" i="262"/>
  <c r="L9" i="262"/>
  <c r="K9" i="262"/>
  <c r="J9" i="262"/>
  <c r="G9" i="262"/>
  <c r="F9" i="262"/>
  <c r="E9" i="262"/>
  <c r="B8" i="284" l="1"/>
  <c r="GH6" i="290"/>
  <c r="F32" i="5"/>
  <c r="F31" i="5"/>
  <c r="F30" i="5"/>
  <c r="F29" i="5"/>
  <c r="F26" i="5"/>
  <c r="F25" i="5"/>
  <c r="F24" i="5"/>
  <c r="F23" i="5"/>
  <c r="F22" i="5"/>
  <c r="F21" i="5"/>
  <c r="F20" i="5" l="1"/>
  <c r="F18" i="5"/>
  <c r="F17" i="5"/>
  <c r="F16" i="5"/>
  <c r="F15" i="5"/>
  <c r="B304" i="284" l="1"/>
  <c r="B286" i="284"/>
  <c r="B268" i="284"/>
  <c r="B250" i="284"/>
  <c r="B232" i="284"/>
  <c r="B211" i="284"/>
  <c r="B193" i="284"/>
  <c r="B175" i="284"/>
  <c r="B157" i="284"/>
  <c r="B139" i="284"/>
  <c r="B121" i="284"/>
  <c r="B63" i="284"/>
  <c r="B45" i="284"/>
  <c r="B27" i="284"/>
  <c r="K33" i="2" l="1"/>
  <c r="A1" i="289"/>
  <c r="B1" i="289"/>
  <c r="GW35" i="290"/>
  <c r="GW34" i="290"/>
  <c r="GW33" i="290"/>
  <c r="GW32" i="290"/>
  <c r="GW31" i="290"/>
  <c r="GW30" i="290"/>
  <c r="GW29" i="290"/>
  <c r="GW28" i="290"/>
  <c r="GW27" i="290"/>
  <c r="GW26" i="290"/>
  <c r="GW25" i="290"/>
  <c r="GW24" i="290"/>
  <c r="GW23" i="290"/>
  <c r="GW22" i="290"/>
  <c r="GW21" i="290"/>
  <c r="GW20" i="290"/>
  <c r="GW19" i="290"/>
  <c r="GW18" i="290"/>
  <c r="GW17" i="290"/>
  <c r="GW16" i="290"/>
  <c r="GW15" i="290"/>
  <c r="GW14" i="290"/>
  <c r="GW13" i="290"/>
  <c r="GW12" i="290"/>
  <c r="GW11" i="290"/>
  <c r="GW10" i="290"/>
  <c r="GW9" i="290"/>
  <c r="GW8" i="290"/>
  <c r="GW7" i="290"/>
  <c r="GW6" i="290"/>
  <c r="GV35" i="290"/>
  <c r="GV34" i="290"/>
  <c r="GV33" i="290"/>
  <c r="GV32" i="290"/>
  <c r="GV31" i="290"/>
  <c r="GV30" i="290"/>
  <c r="GV29" i="290"/>
  <c r="GV28" i="290"/>
  <c r="GV27" i="290"/>
  <c r="GV26" i="290"/>
  <c r="GV25" i="290"/>
  <c r="GV24" i="290"/>
  <c r="GV23" i="290"/>
  <c r="GV22" i="290"/>
  <c r="GV21" i="290"/>
  <c r="GV20" i="290"/>
  <c r="GV19" i="290"/>
  <c r="GV18" i="290"/>
  <c r="GV17" i="290"/>
  <c r="GV16" i="290"/>
  <c r="GV15" i="290"/>
  <c r="GV14" i="290"/>
  <c r="GV13" i="290"/>
  <c r="GV12" i="290"/>
  <c r="GV11" i="290"/>
  <c r="GV10" i="290"/>
  <c r="GV9" i="290"/>
  <c r="GV8" i="290"/>
  <c r="GV7" i="290"/>
  <c r="GV6" i="290"/>
  <c r="GU35" i="290"/>
  <c r="GU34" i="290"/>
  <c r="GU33" i="290"/>
  <c r="GU32" i="290"/>
  <c r="GU31" i="290"/>
  <c r="GU30" i="290"/>
  <c r="GU29" i="290"/>
  <c r="GU28" i="290"/>
  <c r="GU27" i="290"/>
  <c r="GU26" i="290"/>
  <c r="GU25" i="290"/>
  <c r="GU24" i="290"/>
  <c r="GU23" i="290"/>
  <c r="GU22" i="290"/>
  <c r="GU21" i="290"/>
  <c r="GU20" i="290"/>
  <c r="GU19" i="290"/>
  <c r="GU18" i="290"/>
  <c r="GU17" i="290"/>
  <c r="GU16" i="290"/>
  <c r="GU15" i="290"/>
  <c r="GU14" i="290"/>
  <c r="GU13" i="290"/>
  <c r="GU12" i="290"/>
  <c r="GU11" i="290"/>
  <c r="GU10" i="290"/>
  <c r="GU9" i="290"/>
  <c r="GU8" i="290"/>
  <c r="GU7" i="290"/>
  <c r="GU6" i="290"/>
  <c r="GT35" i="290"/>
  <c r="GT34" i="290"/>
  <c r="GT33" i="290"/>
  <c r="GT32" i="290"/>
  <c r="GT31" i="290"/>
  <c r="GT30" i="290"/>
  <c r="GT29" i="290"/>
  <c r="GT28" i="290"/>
  <c r="GT27" i="290"/>
  <c r="GT26" i="290"/>
  <c r="GT25" i="290"/>
  <c r="GT24" i="290"/>
  <c r="GT23" i="290"/>
  <c r="GT22" i="290"/>
  <c r="GT21" i="290"/>
  <c r="GT20" i="290"/>
  <c r="GT19" i="290"/>
  <c r="GT18" i="290"/>
  <c r="GT17" i="290"/>
  <c r="GT16" i="290"/>
  <c r="GT15" i="290"/>
  <c r="GT14" i="290"/>
  <c r="GT13" i="290"/>
  <c r="GT12" i="290"/>
  <c r="GT11" i="290"/>
  <c r="GT10" i="290"/>
  <c r="GT9" i="290"/>
  <c r="GT8" i="290"/>
  <c r="GT7" i="290"/>
  <c r="GT6" i="290"/>
  <c r="GS35" i="290"/>
  <c r="GS34" i="290"/>
  <c r="GS33" i="290"/>
  <c r="GS32" i="290"/>
  <c r="GS31" i="290"/>
  <c r="GS30" i="290"/>
  <c r="GS29" i="290"/>
  <c r="GS28" i="290"/>
  <c r="GS27" i="290"/>
  <c r="GS26" i="290"/>
  <c r="GS25" i="290"/>
  <c r="GS24" i="290"/>
  <c r="GS23" i="290"/>
  <c r="GS22" i="290"/>
  <c r="GS21" i="290"/>
  <c r="GS20" i="290"/>
  <c r="GS19" i="290"/>
  <c r="GS18" i="290"/>
  <c r="GS17" i="290"/>
  <c r="GS16" i="290"/>
  <c r="GS15" i="290"/>
  <c r="GS14" i="290"/>
  <c r="GS13" i="290"/>
  <c r="GS12" i="290"/>
  <c r="GS11" i="290"/>
  <c r="GS10" i="290"/>
  <c r="GS9" i="290"/>
  <c r="GS8" i="290"/>
  <c r="GS7" i="290"/>
  <c r="GS6" i="290"/>
  <c r="GR35" i="290"/>
  <c r="GR34" i="290"/>
  <c r="GR33" i="290"/>
  <c r="GR32" i="290"/>
  <c r="GR31" i="290"/>
  <c r="GR30" i="290"/>
  <c r="GR29" i="290"/>
  <c r="GR28" i="290"/>
  <c r="GR27" i="290"/>
  <c r="GR26" i="290"/>
  <c r="GR25" i="290"/>
  <c r="GR24" i="290"/>
  <c r="GR23" i="290"/>
  <c r="GR22" i="290"/>
  <c r="GR21" i="290"/>
  <c r="GR20" i="290"/>
  <c r="GR19" i="290"/>
  <c r="GR18" i="290"/>
  <c r="GR17" i="290"/>
  <c r="GR16" i="290"/>
  <c r="GR15" i="290"/>
  <c r="GR14" i="290"/>
  <c r="GR13" i="290"/>
  <c r="GR12" i="290"/>
  <c r="GR11" i="290"/>
  <c r="GR10" i="290"/>
  <c r="GR9" i="290"/>
  <c r="GR8" i="290"/>
  <c r="GR7" i="290"/>
  <c r="GR6" i="290"/>
  <c r="GQ35" i="290"/>
  <c r="GQ34" i="290"/>
  <c r="GQ33" i="290"/>
  <c r="GQ32" i="290"/>
  <c r="GQ31" i="290"/>
  <c r="GQ30" i="290"/>
  <c r="GQ29" i="290"/>
  <c r="GQ28" i="290"/>
  <c r="GQ27" i="290"/>
  <c r="GQ26" i="290"/>
  <c r="GQ25" i="290"/>
  <c r="GQ24" i="290"/>
  <c r="GQ23" i="290"/>
  <c r="GQ22" i="290"/>
  <c r="GQ21" i="290"/>
  <c r="GQ20" i="290"/>
  <c r="GQ19" i="290"/>
  <c r="GQ18" i="290"/>
  <c r="GQ17" i="290"/>
  <c r="GQ16" i="290"/>
  <c r="GQ15" i="290"/>
  <c r="GQ14" i="290"/>
  <c r="GQ13" i="290"/>
  <c r="GQ12" i="290"/>
  <c r="GQ11" i="290"/>
  <c r="GQ10" i="290"/>
  <c r="GQ9" i="290"/>
  <c r="GQ8" i="290"/>
  <c r="GQ7" i="290"/>
  <c r="GQ6" i="290"/>
  <c r="GP35" i="290"/>
  <c r="GP34" i="290"/>
  <c r="GP33" i="290"/>
  <c r="GP32" i="290"/>
  <c r="GP31" i="290"/>
  <c r="GP30" i="290"/>
  <c r="GP29" i="290"/>
  <c r="GP28" i="290"/>
  <c r="GP27" i="290"/>
  <c r="GP26" i="290"/>
  <c r="GP25" i="290"/>
  <c r="GP24" i="290"/>
  <c r="GP23" i="290"/>
  <c r="GP22" i="290"/>
  <c r="GP21" i="290"/>
  <c r="GP20" i="290"/>
  <c r="GP19" i="290"/>
  <c r="GP18" i="290"/>
  <c r="GP17" i="290"/>
  <c r="GP16" i="290"/>
  <c r="GP15" i="290"/>
  <c r="GP14" i="290"/>
  <c r="GP13" i="290"/>
  <c r="GP12" i="290"/>
  <c r="GP11" i="290"/>
  <c r="GP10" i="290"/>
  <c r="GP9" i="290"/>
  <c r="GP8" i="290"/>
  <c r="GP7" i="290"/>
  <c r="GP6" i="290"/>
  <c r="GO35" i="290"/>
  <c r="GO34" i="290"/>
  <c r="GO33" i="290"/>
  <c r="GO32" i="290"/>
  <c r="GO31" i="290"/>
  <c r="GO30" i="290"/>
  <c r="GO29" i="290"/>
  <c r="GO28" i="290"/>
  <c r="GO27" i="290"/>
  <c r="GO26" i="290"/>
  <c r="GO25" i="290"/>
  <c r="GO24" i="290"/>
  <c r="GO23" i="290"/>
  <c r="GO22" i="290"/>
  <c r="GO21" i="290"/>
  <c r="GO20" i="290"/>
  <c r="GO19" i="290"/>
  <c r="GO18" i="290"/>
  <c r="GO17" i="290"/>
  <c r="GO16" i="290"/>
  <c r="GO15" i="290"/>
  <c r="GO14" i="290"/>
  <c r="GO13" i="290"/>
  <c r="GO12" i="290"/>
  <c r="GO11" i="290"/>
  <c r="GO10" i="290"/>
  <c r="GO9" i="290"/>
  <c r="GO8" i="290"/>
  <c r="GO7" i="290"/>
  <c r="GO6" i="290"/>
  <c r="GN35" i="290"/>
  <c r="GN34" i="290"/>
  <c r="GN33" i="290"/>
  <c r="GN32" i="290"/>
  <c r="GN31" i="290"/>
  <c r="GN30" i="290"/>
  <c r="GN29" i="290"/>
  <c r="GN28" i="290"/>
  <c r="GN27" i="290"/>
  <c r="GN26" i="290"/>
  <c r="GN25" i="290"/>
  <c r="GN24" i="290"/>
  <c r="GN23" i="290"/>
  <c r="GN22" i="290"/>
  <c r="GN21" i="290"/>
  <c r="GN20" i="290"/>
  <c r="GN19" i="290"/>
  <c r="GN18" i="290"/>
  <c r="GN17" i="290"/>
  <c r="GN16" i="290"/>
  <c r="GN15" i="290"/>
  <c r="GN14" i="290"/>
  <c r="GN13" i="290"/>
  <c r="GN12" i="290"/>
  <c r="GN11" i="290"/>
  <c r="GN10" i="290"/>
  <c r="GN9" i="290"/>
  <c r="GN8" i="290"/>
  <c r="GN7" i="290"/>
  <c r="GN6" i="290"/>
  <c r="GM35" i="290"/>
  <c r="GM34" i="290"/>
  <c r="GM33" i="290"/>
  <c r="GM32" i="290"/>
  <c r="GM31" i="290"/>
  <c r="GM30" i="290"/>
  <c r="GM29" i="290"/>
  <c r="GM28" i="290"/>
  <c r="GM27" i="290"/>
  <c r="GM26" i="290"/>
  <c r="GM25" i="290"/>
  <c r="GM24" i="290"/>
  <c r="GM23" i="290"/>
  <c r="GM22" i="290"/>
  <c r="GM21" i="290"/>
  <c r="GM20" i="290"/>
  <c r="GM19" i="290"/>
  <c r="GM18" i="290"/>
  <c r="GM17" i="290"/>
  <c r="GM16" i="290"/>
  <c r="GM15" i="290"/>
  <c r="GM14" i="290"/>
  <c r="GM13" i="290"/>
  <c r="GM12" i="290"/>
  <c r="GM11" i="290"/>
  <c r="GM10" i="290"/>
  <c r="GM9" i="290"/>
  <c r="GM8" i="290"/>
  <c r="GM7" i="290"/>
  <c r="GM6" i="290"/>
  <c r="GL35" i="290"/>
  <c r="GL34" i="290"/>
  <c r="GL33" i="290"/>
  <c r="GL32" i="290"/>
  <c r="GL31" i="290"/>
  <c r="GL30" i="290"/>
  <c r="GL29" i="290"/>
  <c r="GL28" i="290"/>
  <c r="GL27" i="290"/>
  <c r="GL26" i="290"/>
  <c r="GL25" i="290"/>
  <c r="GL24" i="290"/>
  <c r="GL23" i="290"/>
  <c r="GL22" i="290"/>
  <c r="GL21" i="290"/>
  <c r="GL20" i="290"/>
  <c r="GL19" i="290"/>
  <c r="GL18" i="290"/>
  <c r="GL17" i="290"/>
  <c r="GL16" i="290"/>
  <c r="GL15" i="290"/>
  <c r="GL14" i="290"/>
  <c r="GL13" i="290"/>
  <c r="GL12" i="290"/>
  <c r="GL11" i="290"/>
  <c r="GL10" i="290"/>
  <c r="GL9" i="290"/>
  <c r="GL8" i="290"/>
  <c r="GL7" i="290"/>
  <c r="GL6" i="290"/>
  <c r="GK35" i="290"/>
  <c r="GK34" i="290"/>
  <c r="GK33" i="290"/>
  <c r="GK32" i="290"/>
  <c r="GK31" i="290"/>
  <c r="GK30" i="290"/>
  <c r="GK29" i="290"/>
  <c r="GK28" i="290"/>
  <c r="GK27" i="290"/>
  <c r="GK26" i="290"/>
  <c r="GK25" i="290"/>
  <c r="GK24" i="290"/>
  <c r="GK23" i="290"/>
  <c r="GK22" i="290"/>
  <c r="GK21" i="290"/>
  <c r="GK20" i="290"/>
  <c r="GK19" i="290"/>
  <c r="GK18" i="290"/>
  <c r="GK17" i="290"/>
  <c r="GK16" i="290"/>
  <c r="GK15" i="290"/>
  <c r="GK14" i="290"/>
  <c r="GK13" i="290"/>
  <c r="GK12" i="290"/>
  <c r="GK11" i="290"/>
  <c r="GK10" i="290"/>
  <c r="GK9" i="290"/>
  <c r="GK8" i="290"/>
  <c r="GK7" i="290"/>
  <c r="GK6" i="290"/>
  <c r="GJ35" i="290"/>
  <c r="GJ34" i="290"/>
  <c r="GJ33" i="290"/>
  <c r="GJ32" i="290"/>
  <c r="GJ31" i="290"/>
  <c r="GJ30" i="290"/>
  <c r="GJ29" i="290"/>
  <c r="GJ28" i="290"/>
  <c r="GJ27" i="290"/>
  <c r="GJ26" i="290"/>
  <c r="GJ25" i="290"/>
  <c r="GJ24" i="290"/>
  <c r="GJ23" i="290"/>
  <c r="GJ22" i="290"/>
  <c r="GJ21" i="290"/>
  <c r="GJ20" i="290"/>
  <c r="GJ19" i="290"/>
  <c r="GJ18" i="290"/>
  <c r="GJ17" i="290"/>
  <c r="GJ16" i="290"/>
  <c r="GJ15" i="290"/>
  <c r="GJ14" i="290"/>
  <c r="GJ13" i="290"/>
  <c r="GJ12" i="290"/>
  <c r="GJ11" i="290"/>
  <c r="GJ10" i="290"/>
  <c r="GJ9" i="290"/>
  <c r="GJ8" i="290"/>
  <c r="GJ7" i="290"/>
  <c r="GJ6" i="290"/>
  <c r="GI35" i="290"/>
  <c r="GI34" i="290"/>
  <c r="GI33" i="290"/>
  <c r="GI32" i="290"/>
  <c r="GI31" i="290"/>
  <c r="GI30" i="290"/>
  <c r="GI29" i="290"/>
  <c r="GI28" i="290"/>
  <c r="GI27" i="290"/>
  <c r="GI26" i="290"/>
  <c r="GI25" i="290"/>
  <c r="GI24" i="290"/>
  <c r="GI23" i="290"/>
  <c r="GI22" i="290"/>
  <c r="GI21" i="290"/>
  <c r="GI20" i="290"/>
  <c r="GI19" i="290"/>
  <c r="GI18" i="290"/>
  <c r="GI17" i="290"/>
  <c r="GI16" i="290"/>
  <c r="GI15" i="290"/>
  <c r="GI14" i="290"/>
  <c r="GI13" i="290"/>
  <c r="GI12" i="290"/>
  <c r="GI11" i="290"/>
  <c r="GI10" i="290"/>
  <c r="GI9" i="290"/>
  <c r="GI8" i="290"/>
  <c r="GI7" i="290"/>
  <c r="GI6" i="290"/>
  <c r="GH35" i="290"/>
  <c r="GH34" i="290"/>
  <c r="GH33" i="290"/>
  <c r="GH32" i="290"/>
  <c r="GH31" i="290"/>
  <c r="GH30" i="290"/>
  <c r="GH29" i="290"/>
  <c r="GH28" i="290"/>
  <c r="GH27" i="290"/>
  <c r="GH26" i="290"/>
  <c r="GH25" i="290"/>
  <c r="GH24" i="290"/>
  <c r="GH23" i="290"/>
  <c r="GH22" i="290"/>
  <c r="GH21" i="290"/>
  <c r="GH20" i="290"/>
  <c r="GH19" i="290"/>
  <c r="GH18" i="290"/>
  <c r="GH17" i="290"/>
  <c r="GH16" i="290"/>
  <c r="GH15" i="290"/>
  <c r="GH14" i="290"/>
  <c r="GH13" i="290"/>
  <c r="GH12" i="290"/>
  <c r="GH11" i="290"/>
  <c r="GH10" i="290"/>
  <c r="GH9" i="290"/>
  <c r="GH8" i="290"/>
  <c r="GH7" i="290"/>
  <c r="C6" i="290"/>
  <c r="P65" i="267" l="1"/>
  <c r="CK17" i="290" s="1"/>
  <c r="Q65" i="267"/>
  <c r="CK18" i="290" s="1"/>
  <c r="R65" i="267"/>
  <c r="CK19" i="290" s="1"/>
  <c r="S65" i="267"/>
  <c r="CK20" i="290" s="1"/>
  <c r="T65" i="267"/>
  <c r="CK21" i="290" s="1"/>
  <c r="U65" i="267"/>
  <c r="CK22" i="290" s="1"/>
  <c r="V65" i="267"/>
  <c r="CK23" i="290" s="1"/>
  <c r="W65" i="267"/>
  <c r="CK24" i="290" s="1"/>
  <c r="X65" i="267"/>
  <c r="CK25" i="290" s="1"/>
  <c r="Y65" i="267"/>
  <c r="CK26" i="290" s="1"/>
  <c r="Z65" i="267"/>
  <c r="CK27" i="290" s="1"/>
  <c r="AA65" i="267"/>
  <c r="CK28" i="290" s="1"/>
  <c r="AB65" i="267"/>
  <c r="CK29" i="290" s="1"/>
  <c r="AC65" i="267"/>
  <c r="CK30" i="290" s="1"/>
  <c r="AD65" i="267"/>
  <c r="CK31" i="290" s="1"/>
  <c r="AE65" i="267"/>
  <c r="CK32" i="290" s="1"/>
  <c r="AF65" i="267"/>
  <c r="CK33" i="290" s="1"/>
  <c r="AG65" i="267"/>
  <c r="AH65" i="267"/>
  <c r="M54" i="2"/>
  <c r="F16" i="2"/>
  <c r="B12" i="2"/>
  <c r="F15" i="2"/>
  <c r="F14" i="2"/>
  <c r="Q36" i="2"/>
  <c r="P36" i="2"/>
  <c r="O36" i="2"/>
  <c r="N36" i="2"/>
  <c r="M36" i="2"/>
  <c r="L36" i="2"/>
  <c r="K36" i="2"/>
  <c r="Q35" i="2"/>
  <c r="P35" i="2"/>
  <c r="O35" i="2"/>
  <c r="N35" i="2"/>
  <c r="M35" i="2"/>
  <c r="L35" i="2"/>
  <c r="K35" i="2"/>
  <c r="J35" i="2"/>
  <c r="Q33" i="2"/>
  <c r="P33" i="2"/>
  <c r="O33" i="2"/>
  <c r="N33" i="2"/>
  <c r="M33" i="2"/>
  <c r="L33" i="2"/>
  <c r="J33" i="2"/>
  <c r="Q31" i="2"/>
  <c r="P31" i="2"/>
  <c r="O31" i="2"/>
  <c r="N31" i="2"/>
  <c r="M31" i="2"/>
  <c r="L31" i="2"/>
  <c r="K31" i="2"/>
  <c r="J31" i="2"/>
  <c r="Q30" i="2"/>
  <c r="P30" i="2"/>
  <c r="O30" i="2"/>
  <c r="N30" i="2"/>
  <c r="M30" i="2"/>
  <c r="L30" i="2"/>
  <c r="K30" i="2"/>
  <c r="J30" i="2"/>
  <c r="Q29" i="2"/>
  <c r="P29" i="2"/>
  <c r="O29" i="2"/>
  <c r="N29" i="2"/>
  <c r="M29" i="2"/>
  <c r="L29" i="2"/>
  <c r="K29" i="2"/>
  <c r="J29" i="2"/>
  <c r="Q28" i="2"/>
  <c r="P28" i="2"/>
  <c r="O28" i="2"/>
  <c r="N28" i="2"/>
  <c r="M28" i="2"/>
  <c r="L28" i="2"/>
  <c r="K28" i="2"/>
  <c r="J28" i="2"/>
  <c r="Q32" i="2"/>
  <c r="P32" i="2"/>
  <c r="O32" i="2"/>
  <c r="N32" i="2"/>
  <c r="M32" i="2"/>
  <c r="L32" i="2"/>
  <c r="K32" i="2"/>
  <c r="J32" i="2"/>
  <c r="Q27" i="2"/>
  <c r="P27" i="2"/>
  <c r="O27" i="2"/>
  <c r="N27" i="2"/>
  <c r="M27" i="2"/>
  <c r="L27" i="2"/>
  <c r="K27" i="2"/>
  <c r="J27" i="2"/>
  <c r="Q26" i="2"/>
  <c r="P26" i="2"/>
  <c r="O26" i="2"/>
  <c r="N26" i="2"/>
  <c r="M26" i="2"/>
  <c r="L26" i="2"/>
  <c r="K26" i="2"/>
  <c r="J26" i="2"/>
  <c r="Q24" i="2"/>
  <c r="P24" i="2"/>
  <c r="O24" i="2"/>
  <c r="N24" i="2"/>
  <c r="M24" i="2"/>
  <c r="L24" i="2"/>
  <c r="K24" i="2"/>
  <c r="J24" i="2"/>
  <c r="Q23" i="2"/>
  <c r="P23" i="2"/>
  <c r="O23" i="2"/>
  <c r="N23" i="2"/>
  <c r="M23" i="2"/>
  <c r="L23" i="2"/>
  <c r="K23" i="2"/>
  <c r="J23" i="2"/>
  <c r="O22" i="2"/>
  <c r="N22" i="2"/>
  <c r="M22" i="2"/>
  <c r="L22" i="2"/>
  <c r="K22" i="2"/>
  <c r="J22" i="2"/>
  <c r="D309" i="284"/>
  <c r="D310" i="284"/>
  <c r="F6" i="284"/>
  <c r="E319" i="284"/>
  <c r="D308" i="284"/>
  <c r="B1" i="10"/>
  <c r="C6" i="289"/>
  <c r="C7" i="289"/>
  <c r="C8" i="289"/>
  <c r="C9" i="289"/>
  <c r="C10" i="289"/>
  <c r="C11" i="289"/>
  <c r="C12" i="289"/>
  <c r="C13" i="289"/>
  <c r="C14" i="289"/>
  <c r="C15" i="289"/>
  <c r="C16" i="289"/>
  <c r="C17" i="289"/>
  <c r="C18" i="289"/>
  <c r="C19" i="289"/>
  <c r="C20" i="289"/>
  <c r="C21" i="289"/>
  <c r="C22" i="289"/>
  <c r="C23" i="289"/>
  <c r="C24" i="289"/>
  <c r="C25" i="289"/>
  <c r="C26" i="289"/>
  <c r="C27" i="289"/>
  <c r="C28" i="289"/>
  <c r="C29" i="289"/>
  <c r="C30" i="289"/>
  <c r="C31" i="289"/>
  <c r="C32" i="289"/>
  <c r="C33" i="289"/>
  <c r="C34" i="289"/>
  <c r="C5" i="289"/>
  <c r="CK35" i="290" l="1"/>
  <c r="CK34" i="290"/>
  <c r="L11" i="10" l="1"/>
  <c r="L12" i="10"/>
  <c r="L13" i="10"/>
  <c r="L14" i="10"/>
  <c r="L15" i="10"/>
  <c r="L16" i="10"/>
  <c r="L17" i="10"/>
  <c r="L18" i="10"/>
  <c r="L19" i="10"/>
  <c r="L20" i="10"/>
  <c r="L21" i="10"/>
  <c r="L22" i="10"/>
  <c r="L23" i="10"/>
  <c r="L24" i="10"/>
  <c r="L25" i="10"/>
  <c r="L26" i="10"/>
  <c r="L27" i="10"/>
  <c r="L28" i="10"/>
  <c r="L30" i="10"/>
  <c r="L31" i="10"/>
  <c r="L32" i="10"/>
  <c r="L33" i="10"/>
  <c r="L34" i="10"/>
  <c r="L35" i="10"/>
  <c r="L36" i="10"/>
  <c r="L37" i="10"/>
  <c r="L38" i="10"/>
  <c r="L39" i="10"/>
  <c r="B4" i="10" l="1"/>
  <c r="B3" i="10"/>
  <c r="AD14" i="281"/>
  <c r="AD15" i="281"/>
  <c r="AD16" i="281"/>
  <c r="AD17" i="281"/>
  <c r="AD18" i="281"/>
  <c r="AD19" i="281"/>
  <c r="AD20" i="281"/>
  <c r="AD21" i="281"/>
  <c r="AD22" i="281"/>
  <c r="AD23" i="281"/>
  <c r="AD24" i="281"/>
  <c r="AD25" i="281"/>
  <c r="AD26" i="281"/>
  <c r="AD27" i="281"/>
  <c r="AD28" i="281"/>
  <c r="AD29" i="281"/>
  <c r="AD30" i="281"/>
  <c r="AD31" i="281"/>
  <c r="AD32" i="281"/>
  <c r="AD33" i="281"/>
  <c r="AD34" i="281"/>
  <c r="AD35" i="281"/>
  <c r="AD36" i="281"/>
  <c r="AD37" i="281"/>
  <c r="AD38" i="281"/>
  <c r="AD39" i="281"/>
  <c r="AD40" i="281"/>
  <c r="AD41" i="281"/>
  <c r="AD42" i="281"/>
  <c r="AC14" i="281"/>
  <c r="AC15" i="281"/>
  <c r="AC16" i="281"/>
  <c r="AC17" i="281"/>
  <c r="AC18" i="281"/>
  <c r="AC19" i="281"/>
  <c r="AC20" i="281"/>
  <c r="AC21" i="281"/>
  <c r="AC22" i="281"/>
  <c r="AC23" i="281"/>
  <c r="AC24" i="281"/>
  <c r="AC25" i="281"/>
  <c r="AC26" i="281"/>
  <c r="AC27" i="281"/>
  <c r="AC28" i="281"/>
  <c r="AC29" i="281"/>
  <c r="AC30" i="281"/>
  <c r="AC31" i="281"/>
  <c r="AC32" i="281"/>
  <c r="AC33" i="281"/>
  <c r="AC34" i="281"/>
  <c r="AC35" i="281"/>
  <c r="AC36" i="281"/>
  <c r="AC37" i="281"/>
  <c r="AC38" i="281"/>
  <c r="AC39" i="281"/>
  <c r="AC40" i="281"/>
  <c r="AC41" i="281"/>
  <c r="AC42" i="281"/>
  <c r="AB14" i="281"/>
  <c r="AB15" i="281"/>
  <c r="AB16" i="281"/>
  <c r="AB17" i="281"/>
  <c r="AB18" i="281"/>
  <c r="AB19" i="281"/>
  <c r="AB20" i="281"/>
  <c r="AB21" i="281"/>
  <c r="AB22" i="281"/>
  <c r="AB23" i="281"/>
  <c r="AB24" i="281"/>
  <c r="AB25" i="281"/>
  <c r="AB26" i="281"/>
  <c r="AB27" i="281"/>
  <c r="AB28" i="281"/>
  <c r="AB29" i="281"/>
  <c r="AB30" i="281"/>
  <c r="AB31" i="281"/>
  <c r="AB32" i="281"/>
  <c r="AB33" i="281"/>
  <c r="AB34" i="281"/>
  <c r="AB35" i="281"/>
  <c r="AB36" i="281"/>
  <c r="AB37" i="281"/>
  <c r="AB38" i="281"/>
  <c r="AB39" i="281"/>
  <c r="AB40" i="281"/>
  <c r="AB41" i="281"/>
  <c r="AB42" i="281"/>
  <c r="AD13" i="281"/>
  <c r="AC13" i="281"/>
  <c r="AB13" i="281"/>
  <c r="B17" i="4"/>
  <c r="X13" i="281"/>
  <c r="C6" i="248"/>
  <c r="C7" i="248"/>
  <c r="C8" i="248"/>
  <c r="C9" i="248"/>
  <c r="C10" i="248"/>
  <c r="C11" i="248"/>
  <c r="C12" i="248"/>
  <c r="C13" i="248"/>
  <c r="C14" i="248"/>
  <c r="C15" i="248"/>
  <c r="C16" i="248"/>
  <c r="C17" i="248"/>
  <c r="C18" i="248"/>
  <c r="C19" i="248"/>
  <c r="C20" i="248"/>
  <c r="C21" i="248"/>
  <c r="C22" i="248"/>
  <c r="C23" i="248"/>
  <c r="C24" i="248"/>
  <c r="C25" i="248"/>
  <c r="C26" i="248"/>
  <c r="C27" i="248"/>
  <c r="C28" i="248"/>
  <c r="C29" i="248"/>
  <c r="C30" i="248"/>
  <c r="C31" i="248"/>
  <c r="C32" i="248"/>
  <c r="C33" i="248"/>
  <c r="C34" i="248"/>
  <c r="C5" i="248"/>
  <c r="F12" i="5"/>
  <c r="F11" i="5"/>
  <c r="F9" i="5"/>
  <c r="F8" i="5"/>
  <c r="F7" i="5"/>
  <c r="D1" i="4" l="1"/>
  <c r="C217" i="284" l="1"/>
  <c r="H217" i="284" s="1"/>
  <c r="C218" i="284"/>
  <c r="H218" i="284" s="1"/>
  <c r="C219" i="284"/>
  <c r="H219" i="284" s="1"/>
  <c r="C220" i="284"/>
  <c r="H220" i="284" s="1"/>
  <c r="C221" i="284"/>
  <c r="H221" i="284" s="1"/>
  <c r="C222" i="284"/>
  <c r="H222" i="284" s="1"/>
  <c r="C223" i="284"/>
  <c r="H223" i="284" s="1"/>
  <c r="C224" i="284"/>
  <c r="H224" i="284" s="1"/>
  <c r="C225" i="284"/>
  <c r="H225" i="284" s="1"/>
  <c r="C226" i="284"/>
  <c r="H226" i="284" s="1"/>
  <c r="C227" i="284"/>
  <c r="H227" i="284" s="1"/>
  <c r="C228" i="284"/>
  <c r="H228" i="284" s="1"/>
  <c r="C229" i="284"/>
  <c r="H229" i="284" s="1"/>
  <c r="C230" i="284"/>
  <c r="H230" i="284" s="1"/>
  <c r="C216" i="284"/>
  <c r="H216" i="284" s="1"/>
  <c r="C215" i="284"/>
  <c r="H212" i="284" s="1"/>
  <c r="C302" i="284"/>
  <c r="H302" i="284" s="1"/>
  <c r="C301" i="284"/>
  <c r="H301" i="284" s="1"/>
  <c r="C300" i="284"/>
  <c r="H300" i="284" s="1"/>
  <c r="C299" i="284"/>
  <c r="H299" i="284" s="1"/>
  <c r="C298" i="284"/>
  <c r="H298" i="284" s="1"/>
  <c r="C297" i="284"/>
  <c r="H297" i="284" s="1"/>
  <c r="C296" i="284"/>
  <c r="H296" i="284" s="1"/>
  <c r="C295" i="284"/>
  <c r="H295" i="284" s="1"/>
  <c r="C294" i="284"/>
  <c r="H294" i="284" s="1"/>
  <c r="C293" i="284"/>
  <c r="H293" i="284" s="1"/>
  <c r="C292" i="284"/>
  <c r="H292" i="284" s="1"/>
  <c r="C291" i="284"/>
  <c r="H291" i="284" s="1"/>
  <c r="C290" i="284"/>
  <c r="H303" i="284" s="1"/>
  <c r="C284" i="284"/>
  <c r="H284" i="284" s="1"/>
  <c r="C283" i="284"/>
  <c r="H283" i="284" s="1"/>
  <c r="C282" i="284"/>
  <c r="H282" i="284" s="1"/>
  <c r="C281" i="284"/>
  <c r="H281" i="284" s="1"/>
  <c r="C280" i="284"/>
  <c r="H280" i="284" s="1"/>
  <c r="C279" i="284"/>
  <c r="H279" i="284" s="1"/>
  <c r="C278" i="284"/>
  <c r="H278" i="284" s="1"/>
  <c r="C277" i="284"/>
  <c r="H277" i="284" s="1"/>
  <c r="C276" i="284"/>
  <c r="H276" i="284" s="1"/>
  <c r="C275" i="284"/>
  <c r="H275" i="284" s="1"/>
  <c r="C274" i="284"/>
  <c r="H274" i="284" s="1"/>
  <c r="C273" i="284"/>
  <c r="H273" i="284" s="1"/>
  <c r="C272" i="284"/>
  <c r="H269" i="284" s="1"/>
  <c r="C266" i="284"/>
  <c r="H266" i="284" s="1"/>
  <c r="H265" i="284"/>
  <c r="H264" i="284"/>
  <c r="H263" i="284"/>
  <c r="H262" i="284"/>
  <c r="H261" i="284"/>
  <c r="H260" i="284"/>
  <c r="H259" i="284"/>
  <c r="H258" i="284"/>
  <c r="H257" i="284"/>
  <c r="H256" i="284"/>
  <c r="H255" i="284"/>
  <c r="H251" i="284"/>
  <c r="C248" i="284"/>
  <c r="H248" i="284" s="1"/>
  <c r="C247" i="284"/>
  <c r="H247" i="284" s="1"/>
  <c r="C246" i="284"/>
  <c r="H246" i="284" s="1"/>
  <c r="C245" i="284"/>
  <c r="H245" i="284" s="1"/>
  <c r="C244" i="284"/>
  <c r="H244" i="284" s="1"/>
  <c r="C243" i="284"/>
  <c r="H243" i="284" s="1"/>
  <c r="C242" i="284"/>
  <c r="H242" i="284" s="1"/>
  <c r="C241" i="284"/>
  <c r="H241" i="284" s="1"/>
  <c r="C240" i="284"/>
  <c r="H240" i="284" s="1"/>
  <c r="C239" i="284"/>
  <c r="H239" i="284" s="1"/>
  <c r="C238" i="284"/>
  <c r="H238" i="284" s="1"/>
  <c r="C237" i="284"/>
  <c r="H237" i="284" s="1"/>
  <c r="C236" i="284"/>
  <c r="H249" i="284" s="1"/>
  <c r="C209" i="284"/>
  <c r="H209" i="284" s="1"/>
  <c r="C208" i="284"/>
  <c r="H208" i="284" s="1"/>
  <c r="C207" i="284"/>
  <c r="H207" i="284" s="1"/>
  <c r="C206" i="284"/>
  <c r="H206" i="284" s="1"/>
  <c r="C205" i="284"/>
  <c r="H205" i="284" s="1"/>
  <c r="C204" i="284"/>
  <c r="H204" i="284" s="1"/>
  <c r="C203" i="284"/>
  <c r="H203" i="284" s="1"/>
  <c r="C202" i="284"/>
  <c r="H202" i="284" s="1"/>
  <c r="C201" i="284"/>
  <c r="H201" i="284" s="1"/>
  <c r="C200" i="284"/>
  <c r="H200" i="284" s="1"/>
  <c r="C199" i="284"/>
  <c r="H199" i="284" s="1"/>
  <c r="C198" i="284"/>
  <c r="H198" i="284" s="1"/>
  <c r="C197" i="284"/>
  <c r="H211" i="284" s="1"/>
  <c r="C191" i="284"/>
  <c r="H191" i="284" s="1"/>
  <c r="C190" i="284"/>
  <c r="H190" i="284" s="1"/>
  <c r="C189" i="284"/>
  <c r="H189" i="284" s="1"/>
  <c r="C188" i="284"/>
  <c r="H188" i="284" s="1"/>
  <c r="C187" i="284"/>
  <c r="H187" i="284" s="1"/>
  <c r="C186" i="284"/>
  <c r="H186" i="284" s="1"/>
  <c r="C185" i="284"/>
  <c r="H185" i="284" s="1"/>
  <c r="C184" i="284"/>
  <c r="H184" i="284" s="1"/>
  <c r="C183" i="284"/>
  <c r="H183" i="284" s="1"/>
  <c r="C182" i="284"/>
  <c r="H182" i="284" s="1"/>
  <c r="C181" i="284"/>
  <c r="H181" i="284" s="1"/>
  <c r="C180" i="284"/>
  <c r="H180" i="284" s="1"/>
  <c r="C179" i="284"/>
  <c r="H193" i="284" s="1"/>
  <c r="C173" i="284"/>
  <c r="H173" i="284" s="1"/>
  <c r="C172" i="284"/>
  <c r="H172" i="284" s="1"/>
  <c r="C171" i="284"/>
  <c r="H171" i="284" s="1"/>
  <c r="C170" i="284"/>
  <c r="H170" i="284" s="1"/>
  <c r="C169" i="284"/>
  <c r="H169" i="284" s="1"/>
  <c r="C168" i="284"/>
  <c r="H168" i="284" s="1"/>
  <c r="C167" i="284"/>
  <c r="H167" i="284" s="1"/>
  <c r="C166" i="284"/>
  <c r="H166" i="284" s="1"/>
  <c r="C165" i="284"/>
  <c r="H165" i="284" s="1"/>
  <c r="C164" i="284"/>
  <c r="H164" i="284" s="1"/>
  <c r="C163" i="284"/>
  <c r="H163" i="284" s="1"/>
  <c r="C162" i="284"/>
  <c r="H162" i="284" s="1"/>
  <c r="C161" i="284"/>
  <c r="H174" i="284" s="1"/>
  <c r="C155" i="284"/>
  <c r="H155" i="284" s="1"/>
  <c r="C154" i="284"/>
  <c r="H154" i="284" s="1"/>
  <c r="C153" i="284"/>
  <c r="H153" i="284" s="1"/>
  <c r="C152" i="284"/>
  <c r="H152" i="284" s="1"/>
  <c r="C151" i="284"/>
  <c r="H151" i="284" s="1"/>
  <c r="C150" i="284"/>
  <c r="H150" i="284" s="1"/>
  <c r="C149" i="284"/>
  <c r="H149" i="284" s="1"/>
  <c r="C148" i="284"/>
  <c r="H148" i="284" s="1"/>
  <c r="C147" i="284"/>
  <c r="H147" i="284" s="1"/>
  <c r="C146" i="284"/>
  <c r="H146" i="284" s="1"/>
  <c r="C145" i="284"/>
  <c r="H145" i="284" s="1"/>
  <c r="C144" i="284"/>
  <c r="H144" i="284" s="1"/>
  <c r="C143" i="284"/>
  <c r="H157" i="284" s="1"/>
  <c r="C137" i="284"/>
  <c r="H137" i="284" s="1"/>
  <c r="C136" i="284"/>
  <c r="H136" i="284" s="1"/>
  <c r="C135" i="284"/>
  <c r="H135" i="284" s="1"/>
  <c r="C134" i="284"/>
  <c r="H134" i="284" s="1"/>
  <c r="C133" i="284"/>
  <c r="H133" i="284" s="1"/>
  <c r="C132" i="284"/>
  <c r="H132" i="284" s="1"/>
  <c r="C131" i="284"/>
  <c r="H131" i="284" s="1"/>
  <c r="C130" i="284"/>
  <c r="H130" i="284" s="1"/>
  <c r="C129" i="284"/>
  <c r="H129" i="284" s="1"/>
  <c r="C128" i="284"/>
  <c r="H128" i="284" s="1"/>
  <c r="C127" i="284"/>
  <c r="H127" i="284" s="1"/>
  <c r="C126" i="284"/>
  <c r="H126" i="284" s="1"/>
  <c r="C125" i="284"/>
  <c r="H139" i="284" s="1"/>
  <c r="C119" i="284"/>
  <c r="H119" i="284" s="1"/>
  <c r="C118" i="284"/>
  <c r="H118" i="284" s="1"/>
  <c r="C117" i="284"/>
  <c r="H117" i="284" s="1"/>
  <c r="C116" i="284"/>
  <c r="C114" i="284"/>
  <c r="H114" i="284" s="1"/>
  <c r="C113" i="284"/>
  <c r="C111" i="284"/>
  <c r="H111" i="284" s="1"/>
  <c r="C110" i="284"/>
  <c r="H110" i="284" s="1"/>
  <c r="C109" i="284"/>
  <c r="H109" i="284" s="1"/>
  <c r="C108" i="284"/>
  <c r="C106" i="284"/>
  <c r="H106" i="284" s="1"/>
  <c r="C105" i="284"/>
  <c r="H105" i="284" s="1"/>
  <c r="C104" i="284"/>
  <c r="C97" i="284"/>
  <c r="H97" i="284" s="1"/>
  <c r="C96" i="284"/>
  <c r="H96" i="284" s="1"/>
  <c r="C95" i="284"/>
  <c r="H95" i="284" s="1"/>
  <c r="C94" i="284"/>
  <c r="H94" i="284" s="1"/>
  <c r="C93" i="284"/>
  <c r="H93" i="284" s="1"/>
  <c r="C92" i="284"/>
  <c r="H92" i="284" s="1"/>
  <c r="C91" i="284"/>
  <c r="H91" i="284" s="1"/>
  <c r="C90" i="284"/>
  <c r="H90" i="284" s="1"/>
  <c r="C89" i="284"/>
  <c r="H89" i="284" s="1"/>
  <c r="C88" i="284"/>
  <c r="H88" i="284" s="1"/>
  <c r="C87" i="284"/>
  <c r="H87" i="284" s="1"/>
  <c r="C86" i="284"/>
  <c r="H86" i="284" s="1"/>
  <c r="C85" i="284"/>
  <c r="C79" i="284"/>
  <c r="H79" i="284" s="1"/>
  <c r="C78" i="284"/>
  <c r="H78" i="284" s="1"/>
  <c r="C77" i="284"/>
  <c r="H77" i="284" s="1"/>
  <c r="C76" i="284"/>
  <c r="H76" i="284" s="1"/>
  <c r="C75" i="284"/>
  <c r="H75" i="284" s="1"/>
  <c r="C74" i="284"/>
  <c r="H74" i="284" s="1"/>
  <c r="C73" i="284"/>
  <c r="H73" i="284" s="1"/>
  <c r="C72" i="284"/>
  <c r="H72" i="284" s="1"/>
  <c r="C71" i="284"/>
  <c r="H71" i="284" s="1"/>
  <c r="C70" i="284"/>
  <c r="H70" i="284" s="1"/>
  <c r="C69" i="284"/>
  <c r="H69" i="284" s="1"/>
  <c r="C68" i="284"/>
  <c r="H68" i="284" s="1"/>
  <c r="C67" i="284"/>
  <c r="H81" i="284" s="1"/>
  <c r="C61" i="284"/>
  <c r="H61" i="284" s="1"/>
  <c r="C60" i="284"/>
  <c r="H60" i="284" s="1"/>
  <c r="C59" i="284"/>
  <c r="H59" i="284" s="1"/>
  <c r="C58" i="284"/>
  <c r="H58" i="284" s="1"/>
  <c r="C57" i="284"/>
  <c r="H57" i="284" s="1"/>
  <c r="C56" i="284"/>
  <c r="H56" i="284" s="1"/>
  <c r="C55" i="284"/>
  <c r="H55" i="284" s="1"/>
  <c r="C54" i="284"/>
  <c r="H54" i="284" s="1"/>
  <c r="C53" i="284"/>
  <c r="H53" i="284" s="1"/>
  <c r="C52" i="284"/>
  <c r="H52" i="284" s="1"/>
  <c r="C51" i="284"/>
  <c r="H51" i="284" s="1"/>
  <c r="C50" i="284"/>
  <c r="H50" i="284" s="1"/>
  <c r="C49" i="284"/>
  <c r="H63" i="284" s="1"/>
  <c r="C43" i="284"/>
  <c r="H43" i="284" s="1"/>
  <c r="C42" i="284"/>
  <c r="H42" i="284" s="1"/>
  <c r="C41" i="284"/>
  <c r="H41" i="284" s="1"/>
  <c r="C40" i="284"/>
  <c r="H40" i="284" s="1"/>
  <c r="C39" i="284"/>
  <c r="H39" i="284" s="1"/>
  <c r="C38" i="284"/>
  <c r="H38" i="284" s="1"/>
  <c r="C37" i="284"/>
  <c r="H37" i="284" s="1"/>
  <c r="C36" i="284"/>
  <c r="H36" i="284" s="1"/>
  <c r="C35" i="284"/>
  <c r="H35" i="284" s="1"/>
  <c r="C34" i="284"/>
  <c r="H34" i="284" s="1"/>
  <c r="C33" i="284"/>
  <c r="H33" i="284" s="1"/>
  <c r="C32" i="284"/>
  <c r="H32" i="284" s="1"/>
  <c r="C31" i="284"/>
  <c r="H45" i="284" s="1"/>
  <c r="XF3" i="285"/>
  <c r="XG3" i="285"/>
  <c r="XH3" i="285"/>
  <c r="XI3" i="285"/>
  <c r="XF4" i="285"/>
  <c r="XG4" i="285"/>
  <c r="XH4" i="285"/>
  <c r="XI4" i="285"/>
  <c r="XF5" i="285"/>
  <c r="XG5" i="285"/>
  <c r="XH5" i="285"/>
  <c r="XI5" i="285"/>
  <c r="XF6" i="285"/>
  <c r="XG6" i="285"/>
  <c r="XH6" i="285"/>
  <c r="XI6" i="285"/>
  <c r="XF7" i="285"/>
  <c r="XG7" i="285"/>
  <c r="XH7" i="285"/>
  <c r="XI7" i="285"/>
  <c r="XF8" i="285"/>
  <c r="XG8" i="285"/>
  <c r="XH8" i="285"/>
  <c r="XI8" i="285"/>
  <c r="XF9" i="285"/>
  <c r="XG9" i="285"/>
  <c r="XH9" i="285"/>
  <c r="XI9" i="285"/>
  <c r="XF10" i="285"/>
  <c r="XG10" i="285"/>
  <c r="XH10" i="285"/>
  <c r="XI10" i="285"/>
  <c r="XF11" i="285"/>
  <c r="XG11" i="285"/>
  <c r="XH11" i="285"/>
  <c r="XI11" i="285"/>
  <c r="XF12" i="285"/>
  <c r="XG12" i="285"/>
  <c r="XH12" i="285"/>
  <c r="XI12" i="285"/>
  <c r="XF13" i="285"/>
  <c r="XG13" i="285"/>
  <c r="XH13" i="285"/>
  <c r="XI13" i="285"/>
  <c r="XF14" i="285"/>
  <c r="XG14" i="285"/>
  <c r="XH14" i="285"/>
  <c r="XI14" i="285"/>
  <c r="XF15" i="285"/>
  <c r="XG15" i="285"/>
  <c r="XH15" i="285"/>
  <c r="XI15" i="285"/>
  <c r="XF16" i="285"/>
  <c r="XG16" i="285"/>
  <c r="XH16" i="285"/>
  <c r="XI16" i="285"/>
  <c r="XF17" i="285"/>
  <c r="XG17" i="285"/>
  <c r="XH17" i="285"/>
  <c r="XI17" i="285"/>
  <c r="XF18" i="285"/>
  <c r="XG18" i="285"/>
  <c r="XH18" i="285"/>
  <c r="XI18" i="285"/>
  <c r="XF19" i="285"/>
  <c r="XG19" i="285"/>
  <c r="XH19" i="285"/>
  <c r="XI19" i="285"/>
  <c r="XF20" i="285"/>
  <c r="XG20" i="285"/>
  <c r="XH20" i="285"/>
  <c r="XI20" i="285"/>
  <c r="XF21" i="285"/>
  <c r="XG21" i="285"/>
  <c r="XH21" i="285"/>
  <c r="XI21" i="285"/>
  <c r="XF22" i="285"/>
  <c r="XG22" i="285"/>
  <c r="XH22" i="285"/>
  <c r="XI22" i="285"/>
  <c r="XF23" i="285"/>
  <c r="XG23" i="285"/>
  <c r="XH23" i="285"/>
  <c r="XI23" i="285"/>
  <c r="XF24" i="285"/>
  <c r="XG24" i="285"/>
  <c r="XH24" i="285"/>
  <c r="XI24" i="285"/>
  <c r="XF25" i="285"/>
  <c r="XG25" i="285"/>
  <c r="XH25" i="285"/>
  <c r="XI25" i="285"/>
  <c r="XF26" i="285"/>
  <c r="XG26" i="285"/>
  <c r="XH26" i="285"/>
  <c r="XI26" i="285"/>
  <c r="XF27" i="285"/>
  <c r="XG27" i="285"/>
  <c r="XH27" i="285"/>
  <c r="XI27" i="285"/>
  <c r="XF28" i="285"/>
  <c r="XG28" i="285"/>
  <c r="XH28" i="285"/>
  <c r="XI28" i="285"/>
  <c r="XF29" i="285"/>
  <c r="XG29" i="285"/>
  <c r="XH29" i="285"/>
  <c r="XI29" i="285"/>
  <c r="XF30" i="285"/>
  <c r="XG30" i="285"/>
  <c r="XH30" i="285"/>
  <c r="XI30" i="285"/>
  <c r="XF31" i="285"/>
  <c r="XG31" i="285"/>
  <c r="XH31" i="285"/>
  <c r="XI31" i="285"/>
  <c r="XM32" i="285"/>
  <c r="XL32" i="285"/>
  <c r="XK32" i="285"/>
  <c r="XJ32" i="285"/>
  <c r="XM31" i="285"/>
  <c r="XL31" i="285"/>
  <c r="XK31" i="285"/>
  <c r="XJ31" i="285"/>
  <c r="XM30" i="285"/>
  <c r="XL30" i="285"/>
  <c r="XK30" i="285"/>
  <c r="XJ30" i="285"/>
  <c r="XM29" i="285"/>
  <c r="XL29" i="285"/>
  <c r="XK29" i="285"/>
  <c r="XJ29" i="285"/>
  <c r="XM28" i="285"/>
  <c r="XL28" i="285"/>
  <c r="XK28" i="285"/>
  <c r="XJ28" i="285"/>
  <c r="XM27" i="285"/>
  <c r="XL27" i="285"/>
  <c r="XK27" i="285"/>
  <c r="XJ27" i="285"/>
  <c r="XM26" i="285"/>
  <c r="XL26" i="285"/>
  <c r="XK26" i="285"/>
  <c r="XJ26" i="285"/>
  <c r="XM25" i="285"/>
  <c r="XL25" i="285"/>
  <c r="XK25" i="285"/>
  <c r="XJ25" i="285"/>
  <c r="XM24" i="285"/>
  <c r="XL24" i="285"/>
  <c r="XK24" i="285"/>
  <c r="XJ24" i="285"/>
  <c r="XM23" i="285"/>
  <c r="XL23" i="285"/>
  <c r="XK23" i="285"/>
  <c r="XJ23" i="285"/>
  <c r="XM22" i="285"/>
  <c r="XL22" i="285"/>
  <c r="XK22" i="285"/>
  <c r="XJ22" i="285"/>
  <c r="XM21" i="285"/>
  <c r="XL21" i="285"/>
  <c r="XK21" i="285"/>
  <c r="XJ21" i="285"/>
  <c r="XM20" i="285"/>
  <c r="XL20" i="285"/>
  <c r="XK20" i="285"/>
  <c r="XJ20" i="285"/>
  <c r="XM19" i="285"/>
  <c r="XL19" i="285"/>
  <c r="XK19" i="285"/>
  <c r="XJ19" i="285"/>
  <c r="XM18" i="285"/>
  <c r="XL18" i="285"/>
  <c r="XK18" i="285"/>
  <c r="XJ18" i="285"/>
  <c r="XM17" i="285"/>
  <c r="XL17" i="285"/>
  <c r="XK17" i="285"/>
  <c r="XJ17" i="285"/>
  <c r="XM16" i="285"/>
  <c r="XL16" i="285"/>
  <c r="XK16" i="285"/>
  <c r="XJ16" i="285"/>
  <c r="XM15" i="285"/>
  <c r="XL15" i="285"/>
  <c r="XK15" i="285"/>
  <c r="XJ15" i="285"/>
  <c r="XM14" i="285"/>
  <c r="XL14" i="285"/>
  <c r="XK14" i="285"/>
  <c r="XJ14" i="285"/>
  <c r="XM13" i="285"/>
  <c r="XL13" i="285"/>
  <c r="XK13" i="285"/>
  <c r="XJ13" i="285"/>
  <c r="XM12" i="285"/>
  <c r="XL12" i="285"/>
  <c r="XK12" i="285"/>
  <c r="XJ12" i="285"/>
  <c r="XM11" i="285"/>
  <c r="XL11" i="285"/>
  <c r="XK11" i="285"/>
  <c r="XJ11" i="285"/>
  <c r="XM10" i="285"/>
  <c r="XL10" i="285"/>
  <c r="XK10" i="285"/>
  <c r="XJ10" i="285"/>
  <c r="XM9" i="285"/>
  <c r="XL9" i="285"/>
  <c r="XK9" i="285"/>
  <c r="XJ9" i="285"/>
  <c r="XM8" i="285"/>
  <c r="XL8" i="285"/>
  <c r="XK8" i="285"/>
  <c r="XJ8" i="285"/>
  <c r="XM7" i="285"/>
  <c r="XL7" i="285"/>
  <c r="XK7" i="285"/>
  <c r="XJ7" i="285"/>
  <c r="XM6" i="285"/>
  <c r="XL6" i="285"/>
  <c r="XK6" i="285"/>
  <c r="XJ6" i="285"/>
  <c r="XM5" i="285"/>
  <c r="XL5" i="285"/>
  <c r="XK5" i="285"/>
  <c r="XJ5" i="285"/>
  <c r="XM4" i="285"/>
  <c r="XL4" i="285"/>
  <c r="XK4" i="285"/>
  <c r="XJ4" i="285"/>
  <c r="XM3" i="285"/>
  <c r="G230" i="284" s="1"/>
  <c r="XL3" i="285"/>
  <c r="F230" i="284" s="1"/>
  <c r="XK3" i="285"/>
  <c r="E230" i="284" s="1"/>
  <c r="XJ3" i="285"/>
  <c r="D230" i="284" s="1"/>
  <c r="XI32" i="285"/>
  <c r="XH32" i="285"/>
  <c r="XG32" i="285"/>
  <c r="XF32" i="285"/>
  <c r="XE32" i="285"/>
  <c r="XD32" i="285"/>
  <c r="XC32" i="285"/>
  <c r="XB32" i="285"/>
  <c r="XE31" i="285"/>
  <c r="XD31" i="285"/>
  <c r="XC31" i="285"/>
  <c r="XB31" i="285"/>
  <c r="XE30" i="285"/>
  <c r="XD30" i="285"/>
  <c r="XC30" i="285"/>
  <c r="XB30" i="285"/>
  <c r="XE29" i="285"/>
  <c r="XD29" i="285"/>
  <c r="XC29" i="285"/>
  <c r="XB29" i="285"/>
  <c r="XE28" i="285"/>
  <c r="XD28" i="285"/>
  <c r="XC28" i="285"/>
  <c r="XB28" i="285"/>
  <c r="XE27" i="285"/>
  <c r="XD27" i="285"/>
  <c r="XC27" i="285"/>
  <c r="XB27" i="285"/>
  <c r="XE26" i="285"/>
  <c r="XD26" i="285"/>
  <c r="XC26" i="285"/>
  <c r="XB26" i="285"/>
  <c r="XE25" i="285"/>
  <c r="XD25" i="285"/>
  <c r="XC25" i="285"/>
  <c r="XB25" i="285"/>
  <c r="XE24" i="285"/>
  <c r="XD24" i="285"/>
  <c r="XC24" i="285"/>
  <c r="XB24" i="285"/>
  <c r="XE23" i="285"/>
  <c r="XD23" i="285"/>
  <c r="XC23" i="285"/>
  <c r="XB23" i="285"/>
  <c r="XE22" i="285"/>
  <c r="XD22" i="285"/>
  <c r="XC22" i="285"/>
  <c r="XB22" i="285"/>
  <c r="XE21" i="285"/>
  <c r="XD21" i="285"/>
  <c r="XC21" i="285"/>
  <c r="XB21" i="285"/>
  <c r="XE20" i="285"/>
  <c r="XD20" i="285"/>
  <c r="XC20" i="285"/>
  <c r="XB20" i="285"/>
  <c r="XE19" i="285"/>
  <c r="XD19" i="285"/>
  <c r="XC19" i="285"/>
  <c r="XB19" i="285"/>
  <c r="XE18" i="285"/>
  <c r="XD18" i="285"/>
  <c r="XC18" i="285"/>
  <c r="XB18" i="285"/>
  <c r="XE17" i="285"/>
  <c r="XD17" i="285"/>
  <c r="XC17" i="285"/>
  <c r="XB17" i="285"/>
  <c r="XE16" i="285"/>
  <c r="XD16" i="285"/>
  <c r="XC16" i="285"/>
  <c r="XB16" i="285"/>
  <c r="XE15" i="285"/>
  <c r="XD15" i="285"/>
  <c r="XC15" i="285"/>
  <c r="XB15" i="285"/>
  <c r="XE14" i="285"/>
  <c r="XD14" i="285"/>
  <c r="XC14" i="285"/>
  <c r="XB14" i="285"/>
  <c r="XE13" i="285"/>
  <c r="XD13" i="285"/>
  <c r="XC13" i="285"/>
  <c r="XB13" i="285"/>
  <c r="XE12" i="285"/>
  <c r="XD12" i="285"/>
  <c r="XC12" i="285"/>
  <c r="XB12" i="285"/>
  <c r="XE11" i="285"/>
  <c r="XD11" i="285"/>
  <c r="XC11" i="285"/>
  <c r="XB11" i="285"/>
  <c r="XE10" i="285"/>
  <c r="XD10" i="285"/>
  <c r="XC10" i="285"/>
  <c r="XB10" i="285"/>
  <c r="XE9" i="285"/>
  <c r="XD9" i="285"/>
  <c r="XC9" i="285"/>
  <c r="XB9" i="285"/>
  <c r="XE8" i="285"/>
  <c r="XD8" i="285"/>
  <c r="XC8" i="285"/>
  <c r="XB8" i="285"/>
  <c r="XE7" i="285"/>
  <c r="XD7" i="285"/>
  <c r="XC7" i="285"/>
  <c r="XB7" i="285"/>
  <c r="XE6" i="285"/>
  <c r="XD6" i="285"/>
  <c r="XC6" i="285"/>
  <c r="XB6" i="285"/>
  <c r="XE5" i="285"/>
  <c r="XD5" i="285"/>
  <c r="XC5" i="285"/>
  <c r="XB5" i="285"/>
  <c r="XE4" i="285"/>
  <c r="XD4" i="285"/>
  <c r="XC4" i="285"/>
  <c r="XB4" i="285"/>
  <c r="XE3" i="285"/>
  <c r="G228" i="284" s="1"/>
  <c r="XD3" i="285"/>
  <c r="F228" i="284" s="1"/>
  <c r="XC3" i="285"/>
  <c r="E228" i="284" s="1"/>
  <c r="XB3" i="285"/>
  <c r="D228" i="284" s="1"/>
  <c r="XA32" i="285"/>
  <c r="WZ32" i="285"/>
  <c r="WY32" i="285"/>
  <c r="WX32" i="285"/>
  <c r="XA31" i="285"/>
  <c r="WZ31" i="285"/>
  <c r="WY31" i="285"/>
  <c r="WX31" i="285"/>
  <c r="XA30" i="285"/>
  <c r="WZ30" i="285"/>
  <c r="WY30" i="285"/>
  <c r="WX30" i="285"/>
  <c r="XA29" i="285"/>
  <c r="WZ29" i="285"/>
  <c r="WY29" i="285"/>
  <c r="WX29" i="285"/>
  <c r="XA28" i="285"/>
  <c r="WZ28" i="285"/>
  <c r="WY28" i="285"/>
  <c r="WX28" i="285"/>
  <c r="XA27" i="285"/>
  <c r="WZ27" i="285"/>
  <c r="WY27" i="285"/>
  <c r="WX27" i="285"/>
  <c r="XA26" i="285"/>
  <c r="WZ26" i="285"/>
  <c r="WY26" i="285"/>
  <c r="WX26" i="285"/>
  <c r="XA25" i="285"/>
  <c r="WZ25" i="285"/>
  <c r="WY25" i="285"/>
  <c r="WX25" i="285"/>
  <c r="XA24" i="285"/>
  <c r="WZ24" i="285"/>
  <c r="WY24" i="285"/>
  <c r="WX24" i="285"/>
  <c r="XA23" i="285"/>
  <c r="WZ23" i="285"/>
  <c r="WY23" i="285"/>
  <c r="WX23" i="285"/>
  <c r="XA22" i="285"/>
  <c r="WZ22" i="285"/>
  <c r="WY22" i="285"/>
  <c r="WX22" i="285"/>
  <c r="XA21" i="285"/>
  <c r="WZ21" i="285"/>
  <c r="WY21" i="285"/>
  <c r="WX21" i="285"/>
  <c r="XA20" i="285"/>
  <c r="WZ20" i="285"/>
  <c r="WY20" i="285"/>
  <c r="WX20" i="285"/>
  <c r="XA19" i="285"/>
  <c r="WZ19" i="285"/>
  <c r="WY19" i="285"/>
  <c r="WX19" i="285"/>
  <c r="XA18" i="285"/>
  <c r="WZ18" i="285"/>
  <c r="WY18" i="285"/>
  <c r="WX18" i="285"/>
  <c r="XA17" i="285"/>
  <c r="WZ17" i="285"/>
  <c r="WY17" i="285"/>
  <c r="WX17" i="285"/>
  <c r="XA16" i="285"/>
  <c r="WZ16" i="285"/>
  <c r="WY16" i="285"/>
  <c r="WX16" i="285"/>
  <c r="XA15" i="285"/>
  <c r="WZ15" i="285"/>
  <c r="WY15" i="285"/>
  <c r="WX15" i="285"/>
  <c r="XA14" i="285"/>
  <c r="WZ14" i="285"/>
  <c r="WY14" i="285"/>
  <c r="WX14" i="285"/>
  <c r="XA13" i="285"/>
  <c r="WZ13" i="285"/>
  <c r="WY13" i="285"/>
  <c r="WX13" i="285"/>
  <c r="XA12" i="285"/>
  <c r="WZ12" i="285"/>
  <c r="WY12" i="285"/>
  <c r="WX12" i="285"/>
  <c r="XA11" i="285"/>
  <c r="WZ11" i="285"/>
  <c r="WY11" i="285"/>
  <c r="WX11" i="285"/>
  <c r="XA10" i="285"/>
  <c r="WZ10" i="285"/>
  <c r="WY10" i="285"/>
  <c r="WX10" i="285"/>
  <c r="XA9" i="285"/>
  <c r="WZ9" i="285"/>
  <c r="WY9" i="285"/>
  <c r="WX9" i="285"/>
  <c r="XA8" i="285"/>
  <c r="WZ8" i="285"/>
  <c r="WY8" i="285"/>
  <c r="WX8" i="285"/>
  <c r="XA7" i="285"/>
  <c r="WZ7" i="285"/>
  <c r="WY7" i="285"/>
  <c r="WX7" i="285"/>
  <c r="XA6" i="285"/>
  <c r="WZ6" i="285"/>
  <c r="WY6" i="285"/>
  <c r="WX6" i="285"/>
  <c r="XA5" i="285"/>
  <c r="WZ5" i="285"/>
  <c r="WY5" i="285"/>
  <c r="WX5" i="285"/>
  <c r="XA4" i="285"/>
  <c r="WZ4" i="285"/>
  <c r="WY4" i="285"/>
  <c r="WX4" i="285"/>
  <c r="XA3" i="285"/>
  <c r="G227" i="284" s="1"/>
  <c r="WZ3" i="285"/>
  <c r="F227" i="284" s="1"/>
  <c r="WY3" i="285"/>
  <c r="E227" i="284" s="1"/>
  <c r="WX3" i="285"/>
  <c r="D227" i="284" s="1"/>
  <c r="WW32" i="285"/>
  <c r="WV32" i="285"/>
  <c r="WU32" i="285"/>
  <c r="WT32" i="285"/>
  <c r="WW31" i="285"/>
  <c r="WV31" i="285"/>
  <c r="WU31" i="285"/>
  <c r="WT31" i="285"/>
  <c r="WW30" i="285"/>
  <c r="WV30" i="285"/>
  <c r="WU30" i="285"/>
  <c r="WT30" i="285"/>
  <c r="WW29" i="285"/>
  <c r="WV29" i="285"/>
  <c r="WU29" i="285"/>
  <c r="WT29" i="285"/>
  <c r="WW28" i="285"/>
  <c r="WV28" i="285"/>
  <c r="WU28" i="285"/>
  <c r="WT28" i="285"/>
  <c r="WW27" i="285"/>
  <c r="WV27" i="285"/>
  <c r="WU27" i="285"/>
  <c r="WT27" i="285"/>
  <c r="WW26" i="285"/>
  <c r="WV26" i="285"/>
  <c r="WU26" i="285"/>
  <c r="WT26" i="285"/>
  <c r="WW25" i="285"/>
  <c r="WV25" i="285"/>
  <c r="WU25" i="285"/>
  <c r="WT25" i="285"/>
  <c r="WW24" i="285"/>
  <c r="WV24" i="285"/>
  <c r="WU24" i="285"/>
  <c r="WT24" i="285"/>
  <c r="WW23" i="285"/>
  <c r="WV23" i="285"/>
  <c r="WU23" i="285"/>
  <c r="WT23" i="285"/>
  <c r="WW22" i="285"/>
  <c r="WV22" i="285"/>
  <c r="WU22" i="285"/>
  <c r="WT22" i="285"/>
  <c r="WW21" i="285"/>
  <c r="WV21" i="285"/>
  <c r="WU21" i="285"/>
  <c r="WT21" i="285"/>
  <c r="WW20" i="285"/>
  <c r="WV20" i="285"/>
  <c r="WU20" i="285"/>
  <c r="WT20" i="285"/>
  <c r="WW19" i="285"/>
  <c r="WV19" i="285"/>
  <c r="WU19" i="285"/>
  <c r="WT19" i="285"/>
  <c r="WW18" i="285"/>
  <c r="WV18" i="285"/>
  <c r="WU18" i="285"/>
  <c r="WT18" i="285"/>
  <c r="WW17" i="285"/>
  <c r="WV17" i="285"/>
  <c r="WU17" i="285"/>
  <c r="WT17" i="285"/>
  <c r="WW16" i="285"/>
  <c r="WV16" i="285"/>
  <c r="WU16" i="285"/>
  <c r="WT16" i="285"/>
  <c r="WW15" i="285"/>
  <c r="WV15" i="285"/>
  <c r="WU15" i="285"/>
  <c r="WT15" i="285"/>
  <c r="WW14" i="285"/>
  <c r="WV14" i="285"/>
  <c r="WU14" i="285"/>
  <c r="WT14" i="285"/>
  <c r="WW13" i="285"/>
  <c r="WV13" i="285"/>
  <c r="WU13" i="285"/>
  <c r="WT13" i="285"/>
  <c r="WW12" i="285"/>
  <c r="WV12" i="285"/>
  <c r="WU12" i="285"/>
  <c r="WT12" i="285"/>
  <c r="WW11" i="285"/>
  <c r="WV11" i="285"/>
  <c r="WU11" i="285"/>
  <c r="WT11" i="285"/>
  <c r="WW10" i="285"/>
  <c r="WV10" i="285"/>
  <c r="WU10" i="285"/>
  <c r="WT10" i="285"/>
  <c r="WW9" i="285"/>
  <c r="WV9" i="285"/>
  <c r="WU9" i="285"/>
  <c r="WT9" i="285"/>
  <c r="WW8" i="285"/>
  <c r="WV8" i="285"/>
  <c r="WU8" i="285"/>
  <c r="WT8" i="285"/>
  <c r="WW7" i="285"/>
  <c r="WV7" i="285"/>
  <c r="WU7" i="285"/>
  <c r="WT7" i="285"/>
  <c r="WW6" i="285"/>
  <c r="WV6" i="285"/>
  <c r="WU6" i="285"/>
  <c r="WT6" i="285"/>
  <c r="WW5" i="285"/>
  <c r="WV5" i="285"/>
  <c r="WU5" i="285"/>
  <c r="WT5" i="285"/>
  <c r="WW4" i="285"/>
  <c r="WV4" i="285"/>
  <c r="WU4" i="285"/>
  <c r="WT4" i="285"/>
  <c r="WW3" i="285"/>
  <c r="G226" i="284" s="1"/>
  <c r="WV3" i="285"/>
  <c r="F226" i="284" s="1"/>
  <c r="WU3" i="285"/>
  <c r="E226" i="284" s="1"/>
  <c r="WT3" i="285"/>
  <c r="D226" i="284" s="1"/>
  <c r="WS32" i="285"/>
  <c r="WR32" i="285"/>
  <c r="WQ32" i="285"/>
  <c r="WP32" i="285"/>
  <c r="WS31" i="285"/>
  <c r="WR31" i="285"/>
  <c r="WQ31" i="285"/>
  <c r="WP31" i="285"/>
  <c r="WS30" i="285"/>
  <c r="WR30" i="285"/>
  <c r="WQ30" i="285"/>
  <c r="WP30" i="285"/>
  <c r="WS29" i="285"/>
  <c r="WR29" i="285"/>
  <c r="WQ29" i="285"/>
  <c r="WP29" i="285"/>
  <c r="WS28" i="285"/>
  <c r="WR28" i="285"/>
  <c r="WQ28" i="285"/>
  <c r="WP28" i="285"/>
  <c r="WS27" i="285"/>
  <c r="WR27" i="285"/>
  <c r="WQ27" i="285"/>
  <c r="WP27" i="285"/>
  <c r="WS26" i="285"/>
  <c r="WR26" i="285"/>
  <c r="WQ26" i="285"/>
  <c r="WP26" i="285"/>
  <c r="WS25" i="285"/>
  <c r="WR25" i="285"/>
  <c r="WQ25" i="285"/>
  <c r="WP25" i="285"/>
  <c r="WS24" i="285"/>
  <c r="WR24" i="285"/>
  <c r="WQ24" i="285"/>
  <c r="WP24" i="285"/>
  <c r="WS23" i="285"/>
  <c r="WR23" i="285"/>
  <c r="WQ23" i="285"/>
  <c r="WP23" i="285"/>
  <c r="WS22" i="285"/>
  <c r="WR22" i="285"/>
  <c r="WQ22" i="285"/>
  <c r="WP22" i="285"/>
  <c r="WS21" i="285"/>
  <c r="WR21" i="285"/>
  <c r="WQ21" i="285"/>
  <c r="WP21" i="285"/>
  <c r="WS20" i="285"/>
  <c r="WR20" i="285"/>
  <c r="WQ20" i="285"/>
  <c r="WP20" i="285"/>
  <c r="WS19" i="285"/>
  <c r="WR19" i="285"/>
  <c r="WQ19" i="285"/>
  <c r="WP19" i="285"/>
  <c r="WS18" i="285"/>
  <c r="WR18" i="285"/>
  <c r="WQ18" i="285"/>
  <c r="WP18" i="285"/>
  <c r="WS17" i="285"/>
  <c r="WR17" i="285"/>
  <c r="WQ17" i="285"/>
  <c r="WP17" i="285"/>
  <c r="WS16" i="285"/>
  <c r="WR16" i="285"/>
  <c r="WQ16" i="285"/>
  <c r="WP16" i="285"/>
  <c r="WS15" i="285"/>
  <c r="WR15" i="285"/>
  <c r="WQ15" i="285"/>
  <c r="WP15" i="285"/>
  <c r="WS14" i="285"/>
  <c r="WR14" i="285"/>
  <c r="WQ14" i="285"/>
  <c r="WP14" i="285"/>
  <c r="WS13" i="285"/>
  <c r="WR13" i="285"/>
  <c r="WQ13" i="285"/>
  <c r="WP13" i="285"/>
  <c r="WS12" i="285"/>
  <c r="WR12" i="285"/>
  <c r="WQ12" i="285"/>
  <c r="WP12" i="285"/>
  <c r="WS11" i="285"/>
  <c r="WR11" i="285"/>
  <c r="WQ11" i="285"/>
  <c r="WP11" i="285"/>
  <c r="WS10" i="285"/>
  <c r="WR10" i="285"/>
  <c r="WQ10" i="285"/>
  <c r="WP10" i="285"/>
  <c r="WS9" i="285"/>
  <c r="WR9" i="285"/>
  <c r="WQ9" i="285"/>
  <c r="WP9" i="285"/>
  <c r="WS8" i="285"/>
  <c r="WR8" i="285"/>
  <c r="WQ8" i="285"/>
  <c r="WP8" i="285"/>
  <c r="WS7" i="285"/>
  <c r="WR7" i="285"/>
  <c r="WQ7" i="285"/>
  <c r="WP7" i="285"/>
  <c r="WS6" i="285"/>
  <c r="WR6" i="285"/>
  <c r="WQ6" i="285"/>
  <c r="WP6" i="285"/>
  <c r="WS5" i="285"/>
  <c r="WR5" i="285"/>
  <c r="WQ5" i="285"/>
  <c r="WP5" i="285"/>
  <c r="WS4" i="285"/>
  <c r="WR4" i="285"/>
  <c r="WQ4" i="285"/>
  <c r="WP4" i="285"/>
  <c r="WS3" i="285"/>
  <c r="G225" i="284" s="1"/>
  <c r="WR3" i="285"/>
  <c r="F225" i="284" s="1"/>
  <c r="WQ3" i="285"/>
  <c r="E225" i="284" s="1"/>
  <c r="WP3" i="285"/>
  <c r="D225" i="284" s="1"/>
  <c r="WO32" i="285"/>
  <c r="WN32" i="285"/>
  <c r="WM32" i="285"/>
  <c r="WL32" i="285"/>
  <c r="WO31" i="285"/>
  <c r="WN31" i="285"/>
  <c r="WM31" i="285"/>
  <c r="WL31" i="285"/>
  <c r="WO30" i="285"/>
  <c r="WN30" i="285"/>
  <c r="WM30" i="285"/>
  <c r="WL30" i="285"/>
  <c r="WO29" i="285"/>
  <c r="WN29" i="285"/>
  <c r="WM29" i="285"/>
  <c r="WL29" i="285"/>
  <c r="WO28" i="285"/>
  <c r="WN28" i="285"/>
  <c r="WM28" i="285"/>
  <c r="WL28" i="285"/>
  <c r="WO27" i="285"/>
  <c r="WN27" i="285"/>
  <c r="WM27" i="285"/>
  <c r="WL27" i="285"/>
  <c r="WO26" i="285"/>
  <c r="WN26" i="285"/>
  <c r="WM26" i="285"/>
  <c r="WL26" i="285"/>
  <c r="WO25" i="285"/>
  <c r="WN25" i="285"/>
  <c r="WM25" i="285"/>
  <c r="WL25" i="285"/>
  <c r="WO24" i="285"/>
  <c r="WN24" i="285"/>
  <c r="WM24" i="285"/>
  <c r="WL24" i="285"/>
  <c r="WO23" i="285"/>
  <c r="WN23" i="285"/>
  <c r="WM23" i="285"/>
  <c r="WL23" i="285"/>
  <c r="WO22" i="285"/>
  <c r="WN22" i="285"/>
  <c r="WM22" i="285"/>
  <c r="WL22" i="285"/>
  <c r="WO21" i="285"/>
  <c r="WN21" i="285"/>
  <c r="WM21" i="285"/>
  <c r="WL21" i="285"/>
  <c r="WO20" i="285"/>
  <c r="WN20" i="285"/>
  <c r="WM20" i="285"/>
  <c r="WL20" i="285"/>
  <c r="WO19" i="285"/>
  <c r="WN19" i="285"/>
  <c r="WM19" i="285"/>
  <c r="WL19" i="285"/>
  <c r="WO18" i="285"/>
  <c r="WN18" i="285"/>
  <c r="WM18" i="285"/>
  <c r="WL18" i="285"/>
  <c r="WO17" i="285"/>
  <c r="WN17" i="285"/>
  <c r="WM17" i="285"/>
  <c r="WL17" i="285"/>
  <c r="WO16" i="285"/>
  <c r="WN16" i="285"/>
  <c r="WM16" i="285"/>
  <c r="WL16" i="285"/>
  <c r="WO15" i="285"/>
  <c r="WN15" i="285"/>
  <c r="WM15" i="285"/>
  <c r="WL15" i="285"/>
  <c r="WO14" i="285"/>
  <c r="WN14" i="285"/>
  <c r="WM14" i="285"/>
  <c r="WL14" i="285"/>
  <c r="WO13" i="285"/>
  <c r="WN13" i="285"/>
  <c r="WM13" i="285"/>
  <c r="WL13" i="285"/>
  <c r="WO12" i="285"/>
  <c r="WN12" i="285"/>
  <c r="WM12" i="285"/>
  <c r="WL12" i="285"/>
  <c r="WO11" i="285"/>
  <c r="WN11" i="285"/>
  <c r="WM11" i="285"/>
  <c r="WL11" i="285"/>
  <c r="WO10" i="285"/>
  <c r="WN10" i="285"/>
  <c r="WM10" i="285"/>
  <c r="WL10" i="285"/>
  <c r="WO9" i="285"/>
  <c r="WN9" i="285"/>
  <c r="WM9" i="285"/>
  <c r="WL9" i="285"/>
  <c r="WO8" i="285"/>
  <c r="WN8" i="285"/>
  <c r="WM8" i="285"/>
  <c r="WL8" i="285"/>
  <c r="WO7" i="285"/>
  <c r="WN7" i="285"/>
  <c r="WM7" i="285"/>
  <c r="WL7" i="285"/>
  <c r="WO6" i="285"/>
  <c r="WN6" i="285"/>
  <c r="WM6" i="285"/>
  <c r="WL6" i="285"/>
  <c r="WO5" i="285"/>
  <c r="WN5" i="285"/>
  <c r="WM5" i="285"/>
  <c r="WL5" i="285"/>
  <c r="WO4" i="285"/>
  <c r="WN4" i="285"/>
  <c r="WM4" i="285"/>
  <c r="WL4" i="285"/>
  <c r="WO3" i="285"/>
  <c r="G224" i="284" s="1"/>
  <c r="WN3" i="285"/>
  <c r="F224" i="284" s="1"/>
  <c r="WM3" i="285"/>
  <c r="E224" i="284" s="1"/>
  <c r="WL3" i="285"/>
  <c r="D224" i="284" s="1"/>
  <c r="WK32" i="285"/>
  <c r="WJ32" i="285"/>
  <c r="WI32" i="285"/>
  <c r="WH32" i="285"/>
  <c r="WK31" i="285"/>
  <c r="WJ31" i="285"/>
  <c r="WI31" i="285"/>
  <c r="WH31" i="285"/>
  <c r="WK30" i="285"/>
  <c r="WJ30" i="285"/>
  <c r="WI30" i="285"/>
  <c r="WH30" i="285"/>
  <c r="WK29" i="285"/>
  <c r="WJ29" i="285"/>
  <c r="WI29" i="285"/>
  <c r="WH29" i="285"/>
  <c r="WK28" i="285"/>
  <c r="WJ28" i="285"/>
  <c r="WI28" i="285"/>
  <c r="WH28" i="285"/>
  <c r="WK27" i="285"/>
  <c r="WJ27" i="285"/>
  <c r="WI27" i="285"/>
  <c r="WH27" i="285"/>
  <c r="WK26" i="285"/>
  <c r="WJ26" i="285"/>
  <c r="WI26" i="285"/>
  <c r="WH26" i="285"/>
  <c r="WK25" i="285"/>
  <c r="WJ25" i="285"/>
  <c r="WI25" i="285"/>
  <c r="WH25" i="285"/>
  <c r="WK24" i="285"/>
  <c r="WJ24" i="285"/>
  <c r="WI24" i="285"/>
  <c r="WH24" i="285"/>
  <c r="WK23" i="285"/>
  <c r="WJ23" i="285"/>
  <c r="WI23" i="285"/>
  <c r="WH23" i="285"/>
  <c r="WK22" i="285"/>
  <c r="WJ22" i="285"/>
  <c r="WI22" i="285"/>
  <c r="WH22" i="285"/>
  <c r="WK21" i="285"/>
  <c r="WJ21" i="285"/>
  <c r="WI21" i="285"/>
  <c r="WH21" i="285"/>
  <c r="WK20" i="285"/>
  <c r="WJ20" i="285"/>
  <c r="WI20" i="285"/>
  <c r="WH20" i="285"/>
  <c r="WK19" i="285"/>
  <c r="WJ19" i="285"/>
  <c r="WI19" i="285"/>
  <c r="WH19" i="285"/>
  <c r="WK18" i="285"/>
  <c r="WJ18" i="285"/>
  <c r="WI18" i="285"/>
  <c r="WH18" i="285"/>
  <c r="WK17" i="285"/>
  <c r="WJ17" i="285"/>
  <c r="WI17" i="285"/>
  <c r="WH17" i="285"/>
  <c r="WK16" i="285"/>
  <c r="WJ16" i="285"/>
  <c r="WI16" i="285"/>
  <c r="WH16" i="285"/>
  <c r="WK15" i="285"/>
  <c r="WJ15" i="285"/>
  <c r="WI15" i="285"/>
  <c r="WH15" i="285"/>
  <c r="WK14" i="285"/>
  <c r="WJ14" i="285"/>
  <c r="WI14" i="285"/>
  <c r="WH14" i="285"/>
  <c r="WK13" i="285"/>
  <c r="WJ13" i="285"/>
  <c r="WI13" i="285"/>
  <c r="WH13" i="285"/>
  <c r="WK12" i="285"/>
  <c r="WJ12" i="285"/>
  <c r="WI12" i="285"/>
  <c r="WH12" i="285"/>
  <c r="WK11" i="285"/>
  <c r="WJ11" i="285"/>
  <c r="WI11" i="285"/>
  <c r="WH11" i="285"/>
  <c r="WK10" i="285"/>
  <c r="WJ10" i="285"/>
  <c r="WI10" i="285"/>
  <c r="WH10" i="285"/>
  <c r="WK9" i="285"/>
  <c r="WJ9" i="285"/>
  <c r="WI9" i="285"/>
  <c r="WH9" i="285"/>
  <c r="WK8" i="285"/>
  <c r="WJ8" i="285"/>
  <c r="WI8" i="285"/>
  <c r="WH8" i="285"/>
  <c r="WK7" i="285"/>
  <c r="WJ7" i="285"/>
  <c r="WI7" i="285"/>
  <c r="WH7" i="285"/>
  <c r="WK6" i="285"/>
  <c r="WJ6" i="285"/>
  <c r="WI6" i="285"/>
  <c r="WH6" i="285"/>
  <c r="WK5" i="285"/>
  <c r="WJ5" i="285"/>
  <c r="WI5" i="285"/>
  <c r="WH5" i="285"/>
  <c r="WK4" i="285"/>
  <c r="WJ4" i="285"/>
  <c r="WI4" i="285"/>
  <c r="WH4" i="285"/>
  <c r="WK3" i="285"/>
  <c r="G223" i="284" s="1"/>
  <c r="WJ3" i="285"/>
  <c r="F223" i="284" s="1"/>
  <c r="WI3" i="285"/>
  <c r="E223" i="284" s="1"/>
  <c r="WH3" i="285"/>
  <c r="D223" i="284" s="1"/>
  <c r="WG32" i="285"/>
  <c r="WF32" i="285"/>
  <c r="WE32" i="285"/>
  <c r="WD32" i="285"/>
  <c r="WG31" i="285"/>
  <c r="WF31" i="285"/>
  <c r="WE31" i="285"/>
  <c r="WD31" i="285"/>
  <c r="WG30" i="285"/>
  <c r="WF30" i="285"/>
  <c r="WE30" i="285"/>
  <c r="WD30" i="285"/>
  <c r="WG29" i="285"/>
  <c r="WF29" i="285"/>
  <c r="WE29" i="285"/>
  <c r="WD29" i="285"/>
  <c r="WG28" i="285"/>
  <c r="WF28" i="285"/>
  <c r="WE28" i="285"/>
  <c r="WD28" i="285"/>
  <c r="WG27" i="285"/>
  <c r="WF27" i="285"/>
  <c r="WE27" i="285"/>
  <c r="WD27" i="285"/>
  <c r="WG26" i="285"/>
  <c r="WF26" i="285"/>
  <c r="WE26" i="285"/>
  <c r="WD26" i="285"/>
  <c r="WG25" i="285"/>
  <c r="WF25" i="285"/>
  <c r="WE25" i="285"/>
  <c r="WD25" i="285"/>
  <c r="WG24" i="285"/>
  <c r="WF24" i="285"/>
  <c r="WE24" i="285"/>
  <c r="WD24" i="285"/>
  <c r="WG23" i="285"/>
  <c r="WF23" i="285"/>
  <c r="WE23" i="285"/>
  <c r="WD23" i="285"/>
  <c r="WG22" i="285"/>
  <c r="WF22" i="285"/>
  <c r="WE22" i="285"/>
  <c r="WD22" i="285"/>
  <c r="WG21" i="285"/>
  <c r="WF21" i="285"/>
  <c r="WE21" i="285"/>
  <c r="WD21" i="285"/>
  <c r="WG20" i="285"/>
  <c r="WF20" i="285"/>
  <c r="WE20" i="285"/>
  <c r="WD20" i="285"/>
  <c r="WG19" i="285"/>
  <c r="WF19" i="285"/>
  <c r="WE19" i="285"/>
  <c r="WD19" i="285"/>
  <c r="WG18" i="285"/>
  <c r="WF18" i="285"/>
  <c r="WE18" i="285"/>
  <c r="WD18" i="285"/>
  <c r="WG17" i="285"/>
  <c r="WF17" i="285"/>
  <c r="WE17" i="285"/>
  <c r="WD17" i="285"/>
  <c r="WG16" i="285"/>
  <c r="WF16" i="285"/>
  <c r="WE16" i="285"/>
  <c r="WD16" i="285"/>
  <c r="WG15" i="285"/>
  <c r="WF15" i="285"/>
  <c r="WE15" i="285"/>
  <c r="WD15" i="285"/>
  <c r="WG14" i="285"/>
  <c r="WF14" i="285"/>
  <c r="WE14" i="285"/>
  <c r="WD14" i="285"/>
  <c r="WG13" i="285"/>
  <c r="WF13" i="285"/>
  <c r="WE13" i="285"/>
  <c r="WD13" i="285"/>
  <c r="WG12" i="285"/>
  <c r="WF12" i="285"/>
  <c r="WE12" i="285"/>
  <c r="WD12" i="285"/>
  <c r="WG11" i="285"/>
  <c r="WF11" i="285"/>
  <c r="WE11" i="285"/>
  <c r="WD11" i="285"/>
  <c r="WG10" i="285"/>
  <c r="WF10" i="285"/>
  <c r="WE10" i="285"/>
  <c r="WD10" i="285"/>
  <c r="WG9" i="285"/>
  <c r="WF9" i="285"/>
  <c r="WE9" i="285"/>
  <c r="WD9" i="285"/>
  <c r="WG8" i="285"/>
  <c r="WF8" i="285"/>
  <c r="WE8" i="285"/>
  <c r="WD8" i="285"/>
  <c r="WG7" i="285"/>
  <c r="WF7" i="285"/>
  <c r="WE7" i="285"/>
  <c r="WD7" i="285"/>
  <c r="WG6" i="285"/>
  <c r="WF6" i="285"/>
  <c r="WE6" i="285"/>
  <c r="WD6" i="285"/>
  <c r="WG5" i="285"/>
  <c r="WF5" i="285"/>
  <c r="WE5" i="285"/>
  <c r="WD5" i="285"/>
  <c r="WG4" i="285"/>
  <c r="WF4" i="285"/>
  <c r="WE4" i="285"/>
  <c r="WD4" i="285"/>
  <c r="WG3" i="285"/>
  <c r="G222" i="284" s="1"/>
  <c r="WF3" i="285"/>
  <c r="F222" i="284" s="1"/>
  <c r="WE3" i="285"/>
  <c r="E222" i="284" s="1"/>
  <c r="WD3" i="285"/>
  <c r="D222" i="284" s="1"/>
  <c r="WC32" i="285"/>
  <c r="WB32" i="285"/>
  <c r="WA32" i="285"/>
  <c r="VZ32" i="285"/>
  <c r="WC31" i="285"/>
  <c r="WB31" i="285"/>
  <c r="WA31" i="285"/>
  <c r="VZ31" i="285"/>
  <c r="WC30" i="285"/>
  <c r="WB30" i="285"/>
  <c r="WA30" i="285"/>
  <c r="VZ30" i="285"/>
  <c r="WC29" i="285"/>
  <c r="WB29" i="285"/>
  <c r="WA29" i="285"/>
  <c r="VZ29" i="285"/>
  <c r="WC28" i="285"/>
  <c r="WB28" i="285"/>
  <c r="WA28" i="285"/>
  <c r="VZ28" i="285"/>
  <c r="WC27" i="285"/>
  <c r="WB27" i="285"/>
  <c r="WA27" i="285"/>
  <c r="VZ27" i="285"/>
  <c r="WC26" i="285"/>
  <c r="WB26" i="285"/>
  <c r="WA26" i="285"/>
  <c r="VZ26" i="285"/>
  <c r="WC25" i="285"/>
  <c r="WB25" i="285"/>
  <c r="WA25" i="285"/>
  <c r="VZ25" i="285"/>
  <c r="WC24" i="285"/>
  <c r="WB24" i="285"/>
  <c r="WA24" i="285"/>
  <c r="VZ24" i="285"/>
  <c r="WC23" i="285"/>
  <c r="WB23" i="285"/>
  <c r="WA23" i="285"/>
  <c r="VZ23" i="285"/>
  <c r="WC22" i="285"/>
  <c r="WB22" i="285"/>
  <c r="WA22" i="285"/>
  <c r="VZ22" i="285"/>
  <c r="WC21" i="285"/>
  <c r="WB21" i="285"/>
  <c r="WA21" i="285"/>
  <c r="VZ21" i="285"/>
  <c r="WC20" i="285"/>
  <c r="WB20" i="285"/>
  <c r="WA20" i="285"/>
  <c r="VZ20" i="285"/>
  <c r="WC19" i="285"/>
  <c r="WB19" i="285"/>
  <c r="WA19" i="285"/>
  <c r="VZ19" i="285"/>
  <c r="WC18" i="285"/>
  <c r="WB18" i="285"/>
  <c r="WA18" i="285"/>
  <c r="VZ18" i="285"/>
  <c r="WC17" i="285"/>
  <c r="WB17" i="285"/>
  <c r="WA17" i="285"/>
  <c r="VZ17" i="285"/>
  <c r="WC16" i="285"/>
  <c r="WB16" i="285"/>
  <c r="WA16" i="285"/>
  <c r="VZ16" i="285"/>
  <c r="WC15" i="285"/>
  <c r="WB15" i="285"/>
  <c r="WA15" i="285"/>
  <c r="VZ15" i="285"/>
  <c r="WC14" i="285"/>
  <c r="WB14" i="285"/>
  <c r="WA14" i="285"/>
  <c r="VZ14" i="285"/>
  <c r="WC13" i="285"/>
  <c r="WB13" i="285"/>
  <c r="WA13" i="285"/>
  <c r="VZ13" i="285"/>
  <c r="WC12" i="285"/>
  <c r="WB12" i="285"/>
  <c r="WA12" i="285"/>
  <c r="VZ12" i="285"/>
  <c r="WC11" i="285"/>
  <c r="WB11" i="285"/>
  <c r="WA11" i="285"/>
  <c r="VZ11" i="285"/>
  <c r="WC10" i="285"/>
  <c r="WB10" i="285"/>
  <c r="WA10" i="285"/>
  <c r="VZ10" i="285"/>
  <c r="WC9" i="285"/>
  <c r="WB9" i="285"/>
  <c r="WA9" i="285"/>
  <c r="VZ9" i="285"/>
  <c r="WC8" i="285"/>
  <c r="WB8" i="285"/>
  <c r="WA8" i="285"/>
  <c r="VZ8" i="285"/>
  <c r="WC7" i="285"/>
  <c r="WB7" i="285"/>
  <c r="WA7" i="285"/>
  <c r="VZ7" i="285"/>
  <c r="WC6" i="285"/>
  <c r="WB6" i="285"/>
  <c r="WA6" i="285"/>
  <c r="VZ6" i="285"/>
  <c r="WC5" i="285"/>
  <c r="WB5" i="285"/>
  <c r="WA5" i="285"/>
  <c r="VZ5" i="285"/>
  <c r="WC4" i="285"/>
  <c r="WB4" i="285"/>
  <c r="WA4" i="285"/>
  <c r="VZ4" i="285"/>
  <c r="WC3" i="285"/>
  <c r="G221" i="284" s="1"/>
  <c r="WB3" i="285"/>
  <c r="F221" i="284" s="1"/>
  <c r="WA3" i="285"/>
  <c r="E221" i="284" s="1"/>
  <c r="VZ3" i="285"/>
  <c r="D221" i="284" s="1"/>
  <c r="VY32" i="285"/>
  <c r="VX32" i="285"/>
  <c r="VW32" i="285"/>
  <c r="VY31" i="285"/>
  <c r="VX31" i="285"/>
  <c r="VW31" i="285"/>
  <c r="VY30" i="285"/>
  <c r="VX30" i="285"/>
  <c r="VW30" i="285"/>
  <c r="VY29" i="285"/>
  <c r="VX29" i="285"/>
  <c r="VW29" i="285"/>
  <c r="VY28" i="285"/>
  <c r="VX28" i="285"/>
  <c r="VW28" i="285"/>
  <c r="VY27" i="285"/>
  <c r="VX27" i="285"/>
  <c r="VW27" i="285"/>
  <c r="VY26" i="285"/>
  <c r="VX26" i="285"/>
  <c r="VW26" i="285"/>
  <c r="VY25" i="285"/>
  <c r="VX25" i="285"/>
  <c r="VW25" i="285"/>
  <c r="VY24" i="285"/>
  <c r="VX24" i="285"/>
  <c r="VW24" i="285"/>
  <c r="VY23" i="285"/>
  <c r="VX23" i="285"/>
  <c r="VW23" i="285"/>
  <c r="VY22" i="285"/>
  <c r="VX22" i="285"/>
  <c r="VW22" i="285"/>
  <c r="VY21" i="285"/>
  <c r="VX21" i="285"/>
  <c r="VW21" i="285"/>
  <c r="VY20" i="285"/>
  <c r="VX20" i="285"/>
  <c r="VW20" i="285"/>
  <c r="VY19" i="285"/>
  <c r="VX19" i="285"/>
  <c r="VW19" i="285"/>
  <c r="VY18" i="285"/>
  <c r="VX18" i="285"/>
  <c r="VW18" i="285"/>
  <c r="VY17" i="285"/>
  <c r="VX17" i="285"/>
  <c r="VW17" i="285"/>
  <c r="VY16" i="285"/>
  <c r="VX16" i="285"/>
  <c r="VW16" i="285"/>
  <c r="VY15" i="285"/>
  <c r="VX15" i="285"/>
  <c r="VW15" i="285"/>
  <c r="VY14" i="285"/>
  <c r="VX14" i="285"/>
  <c r="VW14" i="285"/>
  <c r="VY13" i="285"/>
  <c r="VX13" i="285"/>
  <c r="VW13" i="285"/>
  <c r="VY12" i="285"/>
  <c r="VX12" i="285"/>
  <c r="VW12" i="285"/>
  <c r="VY11" i="285"/>
  <c r="VX11" i="285"/>
  <c r="VW11" i="285"/>
  <c r="VY10" i="285"/>
  <c r="VX10" i="285"/>
  <c r="VW10" i="285"/>
  <c r="VY9" i="285"/>
  <c r="VX9" i="285"/>
  <c r="VW9" i="285"/>
  <c r="VY8" i="285"/>
  <c r="VX8" i="285"/>
  <c r="VW8" i="285"/>
  <c r="VY7" i="285"/>
  <c r="VX7" i="285"/>
  <c r="VW7" i="285"/>
  <c r="VY6" i="285"/>
  <c r="VX6" i="285"/>
  <c r="VW6" i="285"/>
  <c r="VY5" i="285"/>
  <c r="VX5" i="285"/>
  <c r="VW5" i="285"/>
  <c r="VY4" i="285"/>
  <c r="VX4" i="285"/>
  <c r="VW4" i="285"/>
  <c r="VY3" i="285"/>
  <c r="VX3" i="285"/>
  <c r="VW3" i="285"/>
  <c r="VU32" i="285"/>
  <c r="VT32" i="285"/>
  <c r="VS32" i="285"/>
  <c r="VR32" i="285"/>
  <c r="VU31" i="285"/>
  <c r="VT31" i="285"/>
  <c r="VS31" i="285"/>
  <c r="VR31" i="285"/>
  <c r="VU30" i="285"/>
  <c r="VT30" i="285"/>
  <c r="VS30" i="285"/>
  <c r="VR30" i="285"/>
  <c r="VU29" i="285"/>
  <c r="VT29" i="285"/>
  <c r="VS29" i="285"/>
  <c r="VR29" i="285"/>
  <c r="VU28" i="285"/>
  <c r="VT28" i="285"/>
  <c r="VS28" i="285"/>
  <c r="VR28" i="285"/>
  <c r="VU27" i="285"/>
  <c r="VT27" i="285"/>
  <c r="VS27" i="285"/>
  <c r="VR27" i="285"/>
  <c r="VU26" i="285"/>
  <c r="VT26" i="285"/>
  <c r="VS26" i="285"/>
  <c r="VR26" i="285"/>
  <c r="VU25" i="285"/>
  <c r="VT25" i="285"/>
  <c r="VS25" i="285"/>
  <c r="VR25" i="285"/>
  <c r="VU24" i="285"/>
  <c r="VT24" i="285"/>
  <c r="VS24" i="285"/>
  <c r="VR24" i="285"/>
  <c r="VU23" i="285"/>
  <c r="VT23" i="285"/>
  <c r="VS23" i="285"/>
  <c r="VR23" i="285"/>
  <c r="VU22" i="285"/>
  <c r="VT22" i="285"/>
  <c r="VS22" i="285"/>
  <c r="VR22" i="285"/>
  <c r="VU21" i="285"/>
  <c r="VT21" i="285"/>
  <c r="VS21" i="285"/>
  <c r="VR21" i="285"/>
  <c r="VU20" i="285"/>
  <c r="VT20" i="285"/>
  <c r="VS20" i="285"/>
  <c r="VR20" i="285"/>
  <c r="VU19" i="285"/>
  <c r="VT19" i="285"/>
  <c r="VS19" i="285"/>
  <c r="VR19" i="285"/>
  <c r="VU18" i="285"/>
  <c r="VT18" i="285"/>
  <c r="VS18" i="285"/>
  <c r="VR18" i="285"/>
  <c r="VU17" i="285"/>
  <c r="VT17" i="285"/>
  <c r="VS17" i="285"/>
  <c r="VR17" i="285"/>
  <c r="VU16" i="285"/>
  <c r="VT16" i="285"/>
  <c r="VS16" i="285"/>
  <c r="VR16" i="285"/>
  <c r="VU15" i="285"/>
  <c r="VT15" i="285"/>
  <c r="VS15" i="285"/>
  <c r="VR15" i="285"/>
  <c r="VU14" i="285"/>
  <c r="VT14" i="285"/>
  <c r="VS14" i="285"/>
  <c r="VR14" i="285"/>
  <c r="VU13" i="285"/>
  <c r="VT13" i="285"/>
  <c r="VS13" i="285"/>
  <c r="VR13" i="285"/>
  <c r="VU12" i="285"/>
  <c r="VT12" i="285"/>
  <c r="VS12" i="285"/>
  <c r="VR12" i="285"/>
  <c r="VU11" i="285"/>
  <c r="VT11" i="285"/>
  <c r="VS11" i="285"/>
  <c r="VR11" i="285"/>
  <c r="VU10" i="285"/>
  <c r="VT10" i="285"/>
  <c r="VS10" i="285"/>
  <c r="VR10" i="285"/>
  <c r="VU9" i="285"/>
  <c r="VT9" i="285"/>
  <c r="VS9" i="285"/>
  <c r="VR9" i="285"/>
  <c r="VU8" i="285"/>
  <c r="VT8" i="285"/>
  <c r="VS8" i="285"/>
  <c r="VR8" i="285"/>
  <c r="VU7" i="285"/>
  <c r="VT7" i="285"/>
  <c r="VS7" i="285"/>
  <c r="VR7" i="285"/>
  <c r="VU6" i="285"/>
  <c r="VT6" i="285"/>
  <c r="VS6" i="285"/>
  <c r="VR6" i="285"/>
  <c r="VU5" i="285"/>
  <c r="VT5" i="285"/>
  <c r="VS5" i="285"/>
  <c r="VR5" i="285"/>
  <c r="VU4" i="285"/>
  <c r="VT4" i="285"/>
  <c r="VS4" i="285"/>
  <c r="VR4" i="285"/>
  <c r="VU3" i="285"/>
  <c r="G219" i="284" s="1"/>
  <c r="VT3" i="285"/>
  <c r="F219" i="284" s="1"/>
  <c r="VS3" i="285"/>
  <c r="E219" i="284" s="1"/>
  <c r="VR3" i="285"/>
  <c r="D219" i="284" s="1"/>
  <c r="VQ32" i="285"/>
  <c r="VP32" i="285"/>
  <c r="VO32" i="285"/>
  <c r="VN32" i="285"/>
  <c r="VQ31" i="285"/>
  <c r="VP31" i="285"/>
  <c r="VO31" i="285"/>
  <c r="VN31" i="285"/>
  <c r="VQ30" i="285"/>
  <c r="VP30" i="285"/>
  <c r="VO30" i="285"/>
  <c r="VN30" i="285"/>
  <c r="VQ29" i="285"/>
  <c r="VP29" i="285"/>
  <c r="VO29" i="285"/>
  <c r="VN29" i="285"/>
  <c r="VQ28" i="285"/>
  <c r="VP28" i="285"/>
  <c r="VO28" i="285"/>
  <c r="VN28" i="285"/>
  <c r="VQ27" i="285"/>
  <c r="VP27" i="285"/>
  <c r="VO27" i="285"/>
  <c r="VN27" i="285"/>
  <c r="VQ26" i="285"/>
  <c r="VP26" i="285"/>
  <c r="VO26" i="285"/>
  <c r="VN26" i="285"/>
  <c r="VQ25" i="285"/>
  <c r="VP25" i="285"/>
  <c r="VO25" i="285"/>
  <c r="VN25" i="285"/>
  <c r="VQ24" i="285"/>
  <c r="VP24" i="285"/>
  <c r="VO24" i="285"/>
  <c r="VN24" i="285"/>
  <c r="VQ23" i="285"/>
  <c r="VP23" i="285"/>
  <c r="VO23" i="285"/>
  <c r="VN23" i="285"/>
  <c r="VQ22" i="285"/>
  <c r="VP22" i="285"/>
  <c r="VO22" i="285"/>
  <c r="VN22" i="285"/>
  <c r="VQ21" i="285"/>
  <c r="VP21" i="285"/>
  <c r="VO21" i="285"/>
  <c r="VN21" i="285"/>
  <c r="VQ20" i="285"/>
  <c r="VP20" i="285"/>
  <c r="VO20" i="285"/>
  <c r="VN20" i="285"/>
  <c r="VQ19" i="285"/>
  <c r="VP19" i="285"/>
  <c r="VO19" i="285"/>
  <c r="VN19" i="285"/>
  <c r="VQ18" i="285"/>
  <c r="VP18" i="285"/>
  <c r="VO18" i="285"/>
  <c r="VN18" i="285"/>
  <c r="VQ17" i="285"/>
  <c r="VP17" i="285"/>
  <c r="VO17" i="285"/>
  <c r="VN17" i="285"/>
  <c r="VQ16" i="285"/>
  <c r="VP16" i="285"/>
  <c r="VO16" i="285"/>
  <c r="VN16" i="285"/>
  <c r="VQ15" i="285"/>
  <c r="VP15" i="285"/>
  <c r="VO15" i="285"/>
  <c r="VN15" i="285"/>
  <c r="VQ14" i="285"/>
  <c r="VP14" i="285"/>
  <c r="VO14" i="285"/>
  <c r="VN14" i="285"/>
  <c r="VQ13" i="285"/>
  <c r="VP13" i="285"/>
  <c r="VO13" i="285"/>
  <c r="VN13" i="285"/>
  <c r="VQ12" i="285"/>
  <c r="VP12" i="285"/>
  <c r="VO12" i="285"/>
  <c r="VN12" i="285"/>
  <c r="VQ11" i="285"/>
  <c r="VP11" i="285"/>
  <c r="VO11" i="285"/>
  <c r="VN11" i="285"/>
  <c r="VQ10" i="285"/>
  <c r="VP10" i="285"/>
  <c r="VO10" i="285"/>
  <c r="VN10" i="285"/>
  <c r="VQ9" i="285"/>
  <c r="VP9" i="285"/>
  <c r="VO9" i="285"/>
  <c r="VN9" i="285"/>
  <c r="VQ8" i="285"/>
  <c r="VP8" i="285"/>
  <c r="VO8" i="285"/>
  <c r="VN8" i="285"/>
  <c r="VQ7" i="285"/>
  <c r="VP7" i="285"/>
  <c r="VO7" i="285"/>
  <c r="VN7" i="285"/>
  <c r="VQ6" i="285"/>
  <c r="VP6" i="285"/>
  <c r="VO6" i="285"/>
  <c r="VN6" i="285"/>
  <c r="VQ5" i="285"/>
  <c r="VP5" i="285"/>
  <c r="VO5" i="285"/>
  <c r="VN5" i="285"/>
  <c r="VQ4" i="285"/>
  <c r="VP4" i="285"/>
  <c r="VO4" i="285"/>
  <c r="VN4" i="285"/>
  <c r="VQ3" i="285"/>
  <c r="G218" i="284" s="1"/>
  <c r="VP3" i="285"/>
  <c r="F218" i="284" s="1"/>
  <c r="VO3" i="285"/>
  <c r="E218" i="284" s="1"/>
  <c r="VN3" i="285"/>
  <c r="D218" i="284" s="1"/>
  <c r="VM32" i="285"/>
  <c r="VL32" i="285"/>
  <c r="VK32" i="285"/>
  <c r="VJ32" i="285"/>
  <c r="VM31" i="285"/>
  <c r="VL31" i="285"/>
  <c r="VK31" i="285"/>
  <c r="VJ31" i="285"/>
  <c r="VM30" i="285"/>
  <c r="VL30" i="285"/>
  <c r="VK30" i="285"/>
  <c r="VJ30" i="285"/>
  <c r="VM29" i="285"/>
  <c r="VL29" i="285"/>
  <c r="VK29" i="285"/>
  <c r="VJ29" i="285"/>
  <c r="VM28" i="285"/>
  <c r="VL28" i="285"/>
  <c r="VK28" i="285"/>
  <c r="VJ28" i="285"/>
  <c r="VM27" i="285"/>
  <c r="VL27" i="285"/>
  <c r="VK27" i="285"/>
  <c r="VJ27" i="285"/>
  <c r="VM26" i="285"/>
  <c r="VL26" i="285"/>
  <c r="VK26" i="285"/>
  <c r="VJ26" i="285"/>
  <c r="VM25" i="285"/>
  <c r="VL25" i="285"/>
  <c r="VK25" i="285"/>
  <c r="VJ25" i="285"/>
  <c r="VM24" i="285"/>
  <c r="VL24" i="285"/>
  <c r="VK24" i="285"/>
  <c r="VJ24" i="285"/>
  <c r="VM23" i="285"/>
  <c r="VL23" i="285"/>
  <c r="VK23" i="285"/>
  <c r="VJ23" i="285"/>
  <c r="VM22" i="285"/>
  <c r="VL22" i="285"/>
  <c r="VK22" i="285"/>
  <c r="VJ22" i="285"/>
  <c r="VM21" i="285"/>
  <c r="VL21" i="285"/>
  <c r="VK21" i="285"/>
  <c r="VJ21" i="285"/>
  <c r="VM20" i="285"/>
  <c r="VL20" i="285"/>
  <c r="VK20" i="285"/>
  <c r="VJ20" i="285"/>
  <c r="VM19" i="285"/>
  <c r="VL19" i="285"/>
  <c r="VK19" i="285"/>
  <c r="VJ19" i="285"/>
  <c r="VM18" i="285"/>
  <c r="VL18" i="285"/>
  <c r="VK18" i="285"/>
  <c r="VJ18" i="285"/>
  <c r="VM17" i="285"/>
  <c r="VL17" i="285"/>
  <c r="VK17" i="285"/>
  <c r="VJ17" i="285"/>
  <c r="VM16" i="285"/>
  <c r="VL16" i="285"/>
  <c r="VK16" i="285"/>
  <c r="VJ16" i="285"/>
  <c r="VM15" i="285"/>
  <c r="VL15" i="285"/>
  <c r="VK15" i="285"/>
  <c r="VJ15" i="285"/>
  <c r="VM14" i="285"/>
  <c r="VL14" i="285"/>
  <c r="VK14" i="285"/>
  <c r="VJ14" i="285"/>
  <c r="VM13" i="285"/>
  <c r="VL13" i="285"/>
  <c r="VK13" i="285"/>
  <c r="VJ13" i="285"/>
  <c r="VM12" i="285"/>
  <c r="VL12" i="285"/>
  <c r="VK12" i="285"/>
  <c r="VJ12" i="285"/>
  <c r="VM11" i="285"/>
  <c r="VL11" i="285"/>
  <c r="VK11" i="285"/>
  <c r="VJ11" i="285"/>
  <c r="VM10" i="285"/>
  <c r="VL10" i="285"/>
  <c r="VK10" i="285"/>
  <c r="VJ10" i="285"/>
  <c r="VM9" i="285"/>
  <c r="VL9" i="285"/>
  <c r="VK9" i="285"/>
  <c r="VJ9" i="285"/>
  <c r="VM8" i="285"/>
  <c r="VL8" i="285"/>
  <c r="VK8" i="285"/>
  <c r="VJ8" i="285"/>
  <c r="VM7" i="285"/>
  <c r="VL7" i="285"/>
  <c r="VK7" i="285"/>
  <c r="VJ7" i="285"/>
  <c r="VM6" i="285"/>
  <c r="VL6" i="285"/>
  <c r="VK6" i="285"/>
  <c r="VJ6" i="285"/>
  <c r="VM5" i="285"/>
  <c r="VL5" i="285"/>
  <c r="VK5" i="285"/>
  <c r="VJ5" i="285"/>
  <c r="VM4" i="285"/>
  <c r="VL4" i="285"/>
  <c r="VK4" i="285"/>
  <c r="VJ4" i="285"/>
  <c r="VM3" i="285"/>
  <c r="G217" i="284" s="1"/>
  <c r="VL3" i="285"/>
  <c r="F217" i="284" s="1"/>
  <c r="VK3" i="285"/>
  <c r="E217" i="284" s="1"/>
  <c r="VJ3" i="285"/>
  <c r="D217" i="284" s="1"/>
  <c r="VI32" i="285"/>
  <c r="VH32" i="285"/>
  <c r="VG32" i="285"/>
  <c r="VF32" i="285"/>
  <c r="VI31" i="285"/>
  <c r="VH31" i="285"/>
  <c r="VG31" i="285"/>
  <c r="VF31" i="285"/>
  <c r="VI30" i="285"/>
  <c r="VH30" i="285"/>
  <c r="VG30" i="285"/>
  <c r="VF30" i="285"/>
  <c r="VI29" i="285"/>
  <c r="VH29" i="285"/>
  <c r="VG29" i="285"/>
  <c r="VF29" i="285"/>
  <c r="VI28" i="285"/>
  <c r="VH28" i="285"/>
  <c r="VG28" i="285"/>
  <c r="VF28" i="285"/>
  <c r="VI27" i="285"/>
  <c r="VH27" i="285"/>
  <c r="VG27" i="285"/>
  <c r="VF27" i="285"/>
  <c r="VI26" i="285"/>
  <c r="VH26" i="285"/>
  <c r="VG26" i="285"/>
  <c r="VF26" i="285"/>
  <c r="VI25" i="285"/>
  <c r="VH25" i="285"/>
  <c r="VG25" i="285"/>
  <c r="VF25" i="285"/>
  <c r="VI24" i="285"/>
  <c r="VH24" i="285"/>
  <c r="VG24" i="285"/>
  <c r="VF24" i="285"/>
  <c r="VI23" i="285"/>
  <c r="VH23" i="285"/>
  <c r="VG23" i="285"/>
  <c r="VF23" i="285"/>
  <c r="VI22" i="285"/>
  <c r="VH22" i="285"/>
  <c r="VG22" i="285"/>
  <c r="VF22" i="285"/>
  <c r="VI21" i="285"/>
  <c r="VH21" i="285"/>
  <c r="VG21" i="285"/>
  <c r="VF21" i="285"/>
  <c r="VI20" i="285"/>
  <c r="VH20" i="285"/>
  <c r="VG20" i="285"/>
  <c r="VF20" i="285"/>
  <c r="VI19" i="285"/>
  <c r="VH19" i="285"/>
  <c r="VG19" i="285"/>
  <c r="VF19" i="285"/>
  <c r="VI18" i="285"/>
  <c r="VH18" i="285"/>
  <c r="VG18" i="285"/>
  <c r="VF18" i="285"/>
  <c r="VI17" i="285"/>
  <c r="VH17" i="285"/>
  <c r="VG17" i="285"/>
  <c r="VF17" i="285"/>
  <c r="VI16" i="285"/>
  <c r="VH16" i="285"/>
  <c r="VG16" i="285"/>
  <c r="VF16" i="285"/>
  <c r="VI15" i="285"/>
  <c r="VH15" i="285"/>
  <c r="VG15" i="285"/>
  <c r="VF15" i="285"/>
  <c r="VI14" i="285"/>
  <c r="VH14" i="285"/>
  <c r="VG14" i="285"/>
  <c r="VF14" i="285"/>
  <c r="VI13" i="285"/>
  <c r="VH13" i="285"/>
  <c r="VG13" i="285"/>
  <c r="VF13" i="285"/>
  <c r="VI12" i="285"/>
  <c r="VH12" i="285"/>
  <c r="VG12" i="285"/>
  <c r="VF12" i="285"/>
  <c r="VI11" i="285"/>
  <c r="VH11" i="285"/>
  <c r="VG11" i="285"/>
  <c r="VF11" i="285"/>
  <c r="VI10" i="285"/>
  <c r="VH10" i="285"/>
  <c r="VG10" i="285"/>
  <c r="VF10" i="285"/>
  <c r="VI9" i="285"/>
  <c r="VH9" i="285"/>
  <c r="VG9" i="285"/>
  <c r="VF9" i="285"/>
  <c r="VI8" i="285"/>
  <c r="VH8" i="285"/>
  <c r="VG8" i="285"/>
  <c r="VF8" i="285"/>
  <c r="VI7" i="285"/>
  <c r="VH7" i="285"/>
  <c r="VG7" i="285"/>
  <c r="VF7" i="285"/>
  <c r="VI6" i="285"/>
  <c r="VH6" i="285"/>
  <c r="VG6" i="285"/>
  <c r="VF6" i="285"/>
  <c r="VI5" i="285"/>
  <c r="VH5" i="285"/>
  <c r="VG5" i="285"/>
  <c r="VF5" i="285"/>
  <c r="VI4" i="285"/>
  <c r="VH4" i="285"/>
  <c r="VG4" i="285"/>
  <c r="VF4" i="285"/>
  <c r="VI3" i="285"/>
  <c r="G216" i="284" s="1"/>
  <c r="VH3" i="285"/>
  <c r="F216" i="284" s="1"/>
  <c r="VG3" i="285"/>
  <c r="E216" i="284" s="1"/>
  <c r="VF3" i="285"/>
  <c r="D216" i="284" s="1"/>
  <c r="C25" i="284"/>
  <c r="H25" i="284" s="1"/>
  <c r="C24" i="284"/>
  <c r="H24" i="284" s="1"/>
  <c r="C23" i="284"/>
  <c r="H23" i="284" s="1"/>
  <c r="C22" i="284"/>
  <c r="H22" i="284" s="1"/>
  <c r="C21" i="284"/>
  <c r="H21" i="284" s="1"/>
  <c r="C20" i="284"/>
  <c r="H20" i="284" s="1"/>
  <c r="C19" i="284"/>
  <c r="H19" i="284" s="1"/>
  <c r="H18" i="284"/>
  <c r="H17" i="284"/>
  <c r="H16" i="284"/>
  <c r="H15" i="284"/>
  <c r="H14" i="284"/>
  <c r="H26" i="284"/>
  <c r="VV32" i="285"/>
  <c r="VE32" i="285"/>
  <c r="VD32" i="285"/>
  <c r="VC32" i="285"/>
  <c r="VB32" i="285"/>
  <c r="JI32" i="285"/>
  <c r="JH32" i="285"/>
  <c r="JG32" i="285"/>
  <c r="JF32" i="285"/>
  <c r="VV31" i="285"/>
  <c r="VE31" i="285"/>
  <c r="VD31" i="285"/>
  <c r="VC31" i="285"/>
  <c r="VB31" i="285"/>
  <c r="JI31" i="285"/>
  <c r="JH31" i="285"/>
  <c r="JG31" i="285"/>
  <c r="JF31" i="285"/>
  <c r="VV30" i="285"/>
  <c r="VE30" i="285"/>
  <c r="VD30" i="285"/>
  <c r="VC30" i="285"/>
  <c r="VB30" i="285"/>
  <c r="JI30" i="285"/>
  <c r="JH30" i="285"/>
  <c r="JG30" i="285"/>
  <c r="JF30" i="285"/>
  <c r="VV29" i="285"/>
  <c r="VE29" i="285"/>
  <c r="VD29" i="285"/>
  <c r="VC29" i="285"/>
  <c r="VB29" i="285"/>
  <c r="JI29" i="285"/>
  <c r="JH29" i="285"/>
  <c r="JG29" i="285"/>
  <c r="JF29" i="285"/>
  <c r="VV28" i="285"/>
  <c r="VE28" i="285"/>
  <c r="VD28" i="285"/>
  <c r="VC28" i="285"/>
  <c r="VB28" i="285"/>
  <c r="JI28" i="285"/>
  <c r="JH28" i="285"/>
  <c r="JG28" i="285"/>
  <c r="JF28" i="285"/>
  <c r="VV27" i="285"/>
  <c r="VE27" i="285"/>
  <c r="VD27" i="285"/>
  <c r="VC27" i="285"/>
  <c r="VB27" i="285"/>
  <c r="JI27" i="285"/>
  <c r="JH27" i="285"/>
  <c r="JG27" i="285"/>
  <c r="JF27" i="285"/>
  <c r="VV26" i="285"/>
  <c r="VE26" i="285"/>
  <c r="VD26" i="285"/>
  <c r="VC26" i="285"/>
  <c r="VB26" i="285"/>
  <c r="JI26" i="285"/>
  <c r="JH26" i="285"/>
  <c r="JG26" i="285"/>
  <c r="JF26" i="285"/>
  <c r="VV25" i="285"/>
  <c r="VE25" i="285"/>
  <c r="VD25" i="285"/>
  <c r="VC25" i="285"/>
  <c r="VB25" i="285"/>
  <c r="JI25" i="285"/>
  <c r="JH25" i="285"/>
  <c r="JG25" i="285"/>
  <c r="JF25" i="285"/>
  <c r="VV24" i="285"/>
  <c r="VE24" i="285"/>
  <c r="VD24" i="285"/>
  <c r="VC24" i="285"/>
  <c r="VB24" i="285"/>
  <c r="JI24" i="285"/>
  <c r="JH24" i="285"/>
  <c r="JG24" i="285"/>
  <c r="JF24" i="285"/>
  <c r="VV23" i="285"/>
  <c r="VE23" i="285"/>
  <c r="VD23" i="285"/>
  <c r="VC23" i="285"/>
  <c r="VB23" i="285"/>
  <c r="JI23" i="285"/>
  <c r="JH23" i="285"/>
  <c r="JG23" i="285"/>
  <c r="JF23" i="285"/>
  <c r="VV22" i="285"/>
  <c r="VE22" i="285"/>
  <c r="VD22" i="285"/>
  <c r="VC22" i="285"/>
  <c r="VB22" i="285"/>
  <c r="JI22" i="285"/>
  <c r="JH22" i="285"/>
  <c r="JG22" i="285"/>
  <c r="JF22" i="285"/>
  <c r="VV21" i="285"/>
  <c r="VE21" i="285"/>
  <c r="VD21" i="285"/>
  <c r="VC21" i="285"/>
  <c r="VB21" i="285"/>
  <c r="JI21" i="285"/>
  <c r="JH21" i="285"/>
  <c r="JG21" i="285"/>
  <c r="JF21" i="285"/>
  <c r="VV20" i="285"/>
  <c r="VE20" i="285"/>
  <c r="VD20" i="285"/>
  <c r="VC20" i="285"/>
  <c r="VB20" i="285"/>
  <c r="JI20" i="285"/>
  <c r="JH20" i="285"/>
  <c r="JG20" i="285"/>
  <c r="JF20" i="285"/>
  <c r="VV19" i="285"/>
  <c r="VE19" i="285"/>
  <c r="VD19" i="285"/>
  <c r="VC19" i="285"/>
  <c r="VB19" i="285"/>
  <c r="JI19" i="285"/>
  <c r="JH19" i="285"/>
  <c r="JG19" i="285"/>
  <c r="JF19" i="285"/>
  <c r="VV18" i="285"/>
  <c r="VE18" i="285"/>
  <c r="VD18" i="285"/>
  <c r="VC18" i="285"/>
  <c r="VB18" i="285"/>
  <c r="JI18" i="285"/>
  <c r="JH18" i="285"/>
  <c r="JG18" i="285"/>
  <c r="JF18" i="285"/>
  <c r="VV17" i="285"/>
  <c r="VE17" i="285"/>
  <c r="VD17" i="285"/>
  <c r="VC17" i="285"/>
  <c r="VB17" i="285"/>
  <c r="JI17" i="285"/>
  <c r="JH17" i="285"/>
  <c r="JG17" i="285"/>
  <c r="JF17" i="285"/>
  <c r="VV16" i="285"/>
  <c r="VE16" i="285"/>
  <c r="VD16" i="285"/>
  <c r="VC16" i="285"/>
  <c r="VB16" i="285"/>
  <c r="JI16" i="285"/>
  <c r="JH16" i="285"/>
  <c r="JG16" i="285"/>
  <c r="JF16" i="285"/>
  <c r="VV15" i="285"/>
  <c r="VE15" i="285"/>
  <c r="VD15" i="285"/>
  <c r="VC15" i="285"/>
  <c r="VB15" i="285"/>
  <c r="JI15" i="285"/>
  <c r="JH15" i="285"/>
  <c r="JG15" i="285"/>
  <c r="JF15" i="285"/>
  <c r="VV14" i="285"/>
  <c r="VE14" i="285"/>
  <c r="VD14" i="285"/>
  <c r="VC14" i="285"/>
  <c r="VB14" i="285"/>
  <c r="JI14" i="285"/>
  <c r="JH14" i="285"/>
  <c r="JG14" i="285"/>
  <c r="JF14" i="285"/>
  <c r="VV13" i="285"/>
  <c r="VE13" i="285"/>
  <c r="VD13" i="285"/>
  <c r="VC13" i="285"/>
  <c r="VB13" i="285"/>
  <c r="VV12" i="285"/>
  <c r="VE12" i="285"/>
  <c r="VD12" i="285"/>
  <c r="VC12" i="285"/>
  <c r="VB12" i="285"/>
  <c r="VV11" i="285"/>
  <c r="VE11" i="285"/>
  <c r="VD11" i="285"/>
  <c r="VC11" i="285"/>
  <c r="VB11" i="285"/>
  <c r="VV10" i="285"/>
  <c r="VE10" i="285"/>
  <c r="VD10" i="285"/>
  <c r="VC10" i="285"/>
  <c r="VB10" i="285"/>
  <c r="VV9" i="285"/>
  <c r="VE9" i="285"/>
  <c r="VD9" i="285"/>
  <c r="VC9" i="285"/>
  <c r="VB9" i="285"/>
  <c r="VV8" i="285"/>
  <c r="VE8" i="285"/>
  <c r="VD8" i="285"/>
  <c r="VC8" i="285"/>
  <c r="VB8" i="285"/>
  <c r="VV7" i="285"/>
  <c r="VE7" i="285"/>
  <c r="VD7" i="285"/>
  <c r="VC7" i="285"/>
  <c r="VB7" i="285"/>
  <c r="VV6" i="285"/>
  <c r="VE6" i="285"/>
  <c r="VD6" i="285"/>
  <c r="VC6" i="285"/>
  <c r="VB6" i="285"/>
  <c r="VV5" i="285"/>
  <c r="VE5" i="285"/>
  <c r="VD5" i="285"/>
  <c r="VC5" i="285"/>
  <c r="VB5" i="285"/>
  <c r="VV4" i="285"/>
  <c r="VE4" i="285"/>
  <c r="VD4" i="285"/>
  <c r="VC4" i="285"/>
  <c r="VB4" i="285"/>
  <c r="VV3" i="285"/>
  <c r="VE3" i="285"/>
  <c r="VD3" i="285"/>
  <c r="VC3" i="285"/>
  <c r="VB3" i="285"/>
  <c r="G220" i="284" l="1"/>
  <c r="F215" i="284"/>
  <c r="F220" i="284"/>
  <c r="G215" i="284"/>
  <c r="E215" i="284"/>
  <c r="D215" i="284"/>
  <c r="D220" i="284"/>
  <c r="E220" i="284"/>
  <c r="F229" i="284"/>
  <c r="D229" i="284"/>
  <c r="G229" i="284"/>
  <c r="E229" i="284"/>
  <c r="H121" i="284"/>
  <c r="H103" i="284"/>
  <c r="H98" i="284"/>
  <c r="H99" i="284"/>
  <c r="H108" i="284"/>
  <c r="H107" i="284"/>
  <c r="H113" i="284"/>
  <c r="H112" i="284"/>
  <c r="H116" i="284"/>
  <c r="H115" i="284"/>
  <c r="H236" i="284"/>
  <c r="H123" i="284"/>
  <c r="H124" i="284" s="1"/>
  <c r="H65" i="284"/>
  <c r="H66" i="284" s="1"/>
  <c r="H49" i="284"/>
  <c r="H213" i="284"/>
  <c r="H214" i="284" s="1"/>
  <c r="H210" i="284"/>
  <c r="H125" i="284"/>
  <c r="H195" i="284"/>
  <c r="H196" i="284" s="1"/>
  <c r="H47" i="284"/>
  <c r="H48" i="284" s="1"/>
  <c r="H141" i="284"/>
  <c r="H142" i="284" s="1"/>
  <c r="H80" i="284"/>
  <c r="H197" i="284"/>
  <c r="H62" i="284"/>
  <c r="H10" i="284"/>
  <c r="H85" i="284"/>
  <c r="H268" i="284"/>
  <c r="H232" i="284"/>
  <c r="H250" i="284"/>
  <c r="H156" i="284"/>
  <c r="H161" i="284"/>
  <c r="H67" i="284"/>
  <c r="H143" i="284"/>
  <c r="H215" i="284"/>
  <c r="H138" i="284"/>
  <c r="H31" i="284"/>
  <c r="H104" i="284"/>
  <c r="H179" i="284"/>
  <c r="H286" i="284"/>
  <c r="H231" i="284"/>
  <c r="H13" i="284"/>
  <c r="H29" i="284"/>
  <c r="H30" i="284" s="1"/>
  <c r="H83" i="284"/>
  <c r="H84" i="284" s="1"/>
  <c r="H101" i="284"/>
  <c r="H102" i="284" s="1"/>
  <c r="H159" i="284"/>
  <c r="H160" i="284" s="1"/>
  <c r="H177" i="284"/>
  <c r="H178" i="284" s="1"/>
  <c r="H254" i="284"/>
  <c r="H272" i="284"/>
  <c r="H285" i="284"/>
  <c r="H11" i="284"/>
  <c r="H12" i="284" s="1"/>
  <c r="H28" i="284"/>
  <c r="H46" i="284"/>
  <c r="H64" i="284"/>
  <c r="H82" i="284"/>
  <c r="H100" i="284"/>
  <c r="H122" i="284"/>
  <c r="H140" i="284"/>
  <c r="H158" i="284"/>
  <c r="H176" i="284"/>
  <c r="H194" i="284"/>
  <c r="H234" i="284"/>
  <c r="H235" i="284" s="1"/>
  <c r="H252" i="284"/>
  <c r="H253" i="284" s="1"/>
  <c r="H270" i="284"/>
  <c r="H271" i="284" s="1"/>
  <c r="H44" i="284"/>
  <c r="H120" i="284"/>
  <c r="H192" i="284"/>
  <c r="H267" i="284"/>
  <c r="H27" i="284"/>
  <c r="H175" i="284"/>
  <c r="H233" i="284"/>
  <c r="H288" i="284"/>
  <c r="H289" i="284" s="1"/>
  <c r="H290" i="284"/>
  <c r="H304" i="284"/>
  <c r="H287" i="284"/>
  <c r="B4" i="281"/>
  <c r="D42" i="281" l="1"/>
  <c r="C42" i="281"/>
  <c r="D41" i="281"/>
  <c r="C41" i="281"/>
  <c r="D40" i="281"/>
  <c r="C40" i="281"/>
  <c r="D39" i="281"/>
  <c r="C39" i="281"/>
  <c r="D38" i="281"/>
  <c r="C38" i="281"/>
  <c r="D37" i="281"/>
  <c r="C37" i="281"/>
  <c r="D36" i="281"/>
  <c r="C36" i="281"/>
  <c r="D35" i="281"/>
  <c r="C35" i="281"/>
  <c r="D34" i="281"/>
  <c r="C34" i="281"/>
  <c r="D33" i="281"/>
  <c r="C33" i="281"/>
  <c r="D32" i="281"/>
  <c r="C32" i="281"/>
  <c r="D31" i="281"/>
  <c r="C31" i="281"/>
  <c r="D30" i="281"/>
  <c r="C30" i="281"/>
  <c r="D29" i="281"/>
  <c r="C29" i="281"/>
  <c r="D28" i="281"/>
  <c r="C28" i="281"/>
  <c r="D27" i="281"/>
  <c r="C27" i="281"/>
  <c r="D26" i="281"/>
  <c r="C26" i="281"/>
  <c r="D25" i="281"/>
  <c r="C25" i="281"/>
  <c r="D24" i="281"/>
  <c r="C24" i="281"/>
  <c r="D23" i="281"/>
  <c r="C23" i="281"/>
  <c r="D22" i="281"/>
  <c r="C22" i="281"/>
  <c r="D21" i="281"/>
  <c r="C21" i="281"/>
  <c r="D20" i="281"/>
  <c r="C20" i="281"/>
  <c r="D19" i="281"/>
  <c r="C19" i="281"/>
  <c r="D18" i="281"/>
  <c r="C18" i="281"/>
  <c r="D17" i="281"/>
  <c r="C17" i="281"/>
  <c r="D16" i="281"/>
  <c r="C16" i="281"/>
  <c r="D15" i="281"/>
  <c r="C15" i="281"/>
  <c r="D14" i="281"/>
  <c r="C14" i="281"/>
  <c r="D13" i="281"/>
  <c r="C13" i="281"/>
  <c r="S8" i="281"/>
  <c r="E8" i="281"/>
  <c r="S7" i="281"/>
  <c r="E7" i="281"/>
  <c r="S6" i="281"/>
  <c r="E6" i="281"/>
  <c r="F22" i="256"/>
  <c r="BG10" i="262" s="1"/>
  <c r="BK10" i="262" s="1"/>
  <c r="G22" i="256"/>
  <c r="BG11" i="262" s="1"/>
  <c r="BK11" i="262" s="1"/>
  <c r="H22" i="256"/>
  <c r="BG12" i="262" s="1"/>
  <c r="BK12" i="262" s="1"/>
  <c r="I22" i="256"/>
  <c r="BG13" i="262" s="1"/>
  <c r="BK13" i="262" s="1"/>
  <c r="J22" i="256"/>
  <c r="BG14" i="262" s="1"/>
  <c r="BK14" i="262" s="1"/>
  <c r="K22" i="256"/>
  <c r="BG15" i="262" s="1"/>
  <c r="BK15" i="262" s="1"/>
  <c r="L22" i="256"/>
  <c r="BG16" i="262" s="1"/>
  <c r="BK16" i="262" s="1"/>
  <c r="M22" i="256"/>
  <c r="BG17" i="262" s="1"/>
  <c r="BK17" i="262" s="1"/>
  <c r="N22" i="256"/>
  <c r="BG18" i="262" s="1"/>
  <c r="BK18" i="262" s="1"/>
  <c r="O22" i="256"/>
  <c r="BG19" i="262" s="1"/>
  <c r="BK19" i="262" s="1"/>
  <c r="P22" i="256"/>
  <c r="BG20" i="262" s="1"/>
  <c r="BK20" i="262" s="1"/>
  <c r="Q22" i="256"/>
  <c r="BG21" i="262" s="1"/>
  <c r="BK21" i="262" s="1"/>
  <c r="R22" i="256"/>
  <c r="BG22" i="262" s="1"/>
  <c r="BK22" i="262" s="1"/>
  <c r="S22" i="256"/>
  <c r="BG23" i="262" s="1"/>
  <c r="BK23" i="262" s="1"/>
  <c r="T22" i="256"/>
  <c r="BG24" i="262" s="1"/>
  <c r="BK24" i="262" s="1"/>
  <c r="U22" i="256"/>
  <c r="BG25" i="262" s="1"/>
  <c r="BK25" i="262" s="1"/>
  <c r="V22" i="256"/>
  <c r="BG26" i="262" s="1"/>
  <c r="BK26" i="262" s="1"/>
  <c r="W22" i="256"/>
  <c r="BG27" i="262" s="1"/>
  <c r="BK27" i="262" s="1"/>
  <c r="X22" i="256"/>
  <c r="BG28" i="262" s="1"/>
  <c r="BK28" i="262" s="1"/>
  <c r="Y22" i="256"/>
  <c r="BG29" i="262" s="1"/>
  <c r="BK29" i="262" s="1"/>
  <c r="Z22" i="256"/>
  <c r="BG30" i="262" s="1"/>
  <c r="BK30" i="262" s="1"/>
  <c r="AA22" i="256"/>
  <c r="BG31" i="262" s="1"/>
  <c r="BK31" i="262" s="1"/>
  <c r="AB22" i="256"/>
  <c r="BG32" i="262" s="1"/>
  <c r="BK32" i="262" s="1"/>
  <c r="AC22" i="256"/>
  <c r="BG33" i="262" s="1"/>
  <c r="BK33" i="262" s="1"/>
  <c r="AD22" i="256"/>
  <c r="BG34" i="262" s="1"/>
  <c r="BK34" i="262" s="1"/>
  <c r="AE22" i="256"/>
  <c r="BG35" i="262" s="1"/>
  <c r="BK35" i="262" s="1"/>
  <c r="AF22" i="256"/>
  <c r="BG36" i="262" s="1"/>
  <c r="BK36" i="262" s="1"/>
  <c r="AG22" i="256"/>
  <c r="BG37" i="262" s="1"/>
  <c r="BK37" i="262" s="1"/>
  <c r="AH22" i="256"/>
  <c r="BG38" i="262" s="1"/>
  <c r="BK38" i="262" s="1"/>
  <c r="AI22" i="256"/>
  <c r="AJ22" i="256"/>
  <c r="AK22" i="256"/>
  <c r="AL22" i="256"/>
  <c r="AM22" i="256"/>
  <c r="AN22" i="256"/>
  <c r="AO22" i="256"/>
  <c r="AP22" i="256"/>
  <c r="AQ22" i="256"/>
  <c r="AR22" i="256"/>
  <c r="AS22" i="256"/>
  <c r="AT22" i="256"/>
  <c r="AU22" i="256"/>
  <c r="AV22" i="256"/>
  <c r="AW22" i="256"/>
  <c r="AX22" i="256"/>
  <c r="AY22" i="256"/>
  <c r="AZ22" i="256"/>
  <c r="BA22" i="256"/>
  <c r="BB22" i="256"/>
  <c r="BC22" i="256"/>
  <c r="BD22" i="256"/>
  <c r="BE22" i="256"/>
  <c r="BF22" i="256"/>
  <c r="BG22" i="256"/>
  <c r="BH22" i="256"/>
  <c r="BI22" i="256"/>
  <c r="BJ22" i="256"/>
  <c r="BK22" i="256"/>
  <c r="BL22" i="256"/>
  <c r="BM22" i="256"/>
  <c r="BN22" i="256"/>
  <c r="BO22" i="256"/>
  <c r="BP22" i="256"/>
  <c r="BQ22" i="256"/>
  <c r="BR22" i="256"/>
  <c r="BS22" i="256"/>
  <c r="BT22" i="256"/>
  <c r="BU22" i="256"/>
  <c r="BV22" i="256"/>
  <c r="BW22" i="256"/>
  <c r="BX22" i="256"/>
  <c r="BY22" i="256"/>
  <c r="BZ22" i="256"/>
  <c r="CA22" i="256"/>
  <c r="CB22" i="256"/>
  <c r="CC22" i="256"/>
  <c r="CD22" i="256"/>
  <c r="CE22" i="256"/>
  <c r="CF22" i="256"/>
  <c r="CG22" i="256"/>
  <c r="CH22" i="256"/>
  <c r="CI22" i="256"/>
  <c r="CJ22" i="256"/>
  <c r="CK22" i="256"/>
  <c r="CL22" i="256"/>
  <c r="CM22" i="256"/>
  <c r="CN22" i="256"/>
  <c r="CO22" i="256"/>
  <c r="CP22" i="256"/>
  <c r="CQ22" i="256"/>
  <c r="CR22" i="256"/>
  <c r="CS22" i="256"/>
  <c r="CT22" i="256"/>
  <c r="CU22" i="256"/>
  <c r="CV22" i="256"/>
  <c r="CW22" i="256"/>
  <c r="CX22" i="256"/>
  <c r="CY22" i="256"/>
  <c r="CZ22" i="256"/>
  <c r="DA22" i="256"/>
  <c r="DB22" i="256"/>
  <c r="DC22" i="256"/>
  <c r="DD22" i="256"/>
  <c r="DE22" i="256"/>
  <c r="DF22" i="256"/>
  <c r="DG22" i="256"/>
  <c r="DH22" i="256"/>
  <c r="DI22" i="256"/>
  <c r="DJ22" i="256"/>
  <c r="DK22" i="256"/>
  <c r="DL22" i="256"/>
  <c r="DM22" i="256"/>
  <c r="DN22" i="256"/>
  <c r="DO22" i="256"/>
  <c r="DP22" i="256"/>
  <c r="DQ22" i="256"/>
  <c r="DR22" i="256"/>
  <c r="DS22" i="256"/>
  <c r="DT22" i="256"/>
  <c r="DU22" i="256"/>
  <c r="DV22" i="256"/>
  <c r="DW22" i="256"/>
  <c r="DX22" i="256"/>
  <c r="DY22" i="256"/>
  <c r="DZ22" i="256"/>
  <c r="EA22" i="256"/>
  <c r="EB22" i="256"/>
  <c r="EC22" i="256"/>
  <c r="ED22" i="256"/>
  <c r="EE22" i="256"/>
  <c r="EF22" i="256"/>
  <c r="EG22" i="256"/>
  <c r="EH22" i="256"/>
  <c r="EI22" i="256"/>
  <c r="EJ22" i="256"/>
  <c r="EK22" i="256"/>
  <c r="EL22" i="256"/>
  <c r="EM22" i="256"/>
  <c r="EN22" i="256"/>
  <c r="EO22" i="256"/>
  <c r="EP22" i="256"/>
  <c r="EQ22" i="256"/>
  <c r="ER22" i="256"/>
  <c r="ES22" i="256"/>
  <c r="ET22" i="256"/>
  <c r="EU22" i="256"/>
  <c r="EV22" i="256"/>
  <c r="EW22" i="256"/>
  <c r="EX22" i="256"/>
  <c r="EY22" i="256"/>
  <c r="EZ22" i="256"/>
  <c r="FA22" i="256"/>
  <c r="FB22" i="256"/>
  <c r="FC22" i="256"/>
  <c r="FD22" i="256"/>
  <c r="FE22" i="256"/>
  <c r="FF22" i="256"/>
  <c r="FG22" i="256"/>
  <c r="FH22" i="256"/>
  <c r="FI22" i="256"/>
  <c r="FJ22" i="256"/>
  <c r="FK22" i="256"/>
  <c r="FL22" i="256"/>
  <c r="FM22" i="256"/>
  <c r="FN22" i="256"/>
  <c r="FO22" i="256"/>
  <c r="FP22" i="256"/>
  <c r="FQ22" i="256"/>
  <c r="FR22" i="256"/>
  <c r="FS22" i="256"/>
  <c r="FT22" i="256"/>
  <c r="FU22" i="256"/>
  <c r="FV22" i="256"/>
  <c r="FW22" i="256"/>
  <c r="FX22" i="256"/>
  <c r="FY22" i="256"/>
  <c r="FZ22" i="256"/>
  <c r="GA22" i="256"/>
  <c r="GB22" i="256"/>
  <c r="GC22" i="256"/>
  <c r="GD22" i="256"/>
  <c r="GE22" i="256"/>
  <c r="GF22" i="256"/>
  <c r="GG22" i="256"/>
  <c r="GH22" i="256"/>
  <c r="GI22" i="256"/>
  <c r="GJ22" i="256"/>
  <c r="GK22" i="256"/>
  <c r="GL22" i="256"/>
  <c r="GM22" i="256"/>
  <c r="GN22" i="256"/>
  <c r="GO22" i="256"/>
  <c r="GP22" i="256"/>
  <c r="GQ22" i="256"/>
  <c r="GR22" i="256"/>
  <c r="GS22" i="256"/>
  <c r="GT22" i="256"/>
  <c r="GU22" i="256"/>
  <c r="GV22" i="256"/>
  <c r="GW22" i="256"/>
  <c r="GX22" i="256"/>
  <c r="GY22" i="256"/>
  <c r="GZ22" i="256"/>
  <c r="HA22" i="256"/>
  <c r="HB22" i="256"/>
  <c r="HC22" i="256"/>
  <c r="HD22" i="256"/>
  <c r="HE22" i="256"/>
  <c r="HF22" i="256"/>
  <c r="HG22" i="256"/>
  <c r="HH22" i="256"/>
  <c r="HI22" i="256"/>
  <c r="HJ22" i="256"/>
  <c r="HK22" i="256"/>
  <c r="HL22" i="256"/>
  <c r="HM22" i="256"/>
  <c r="HN22" i="256"/>
  <c r="HO22" i="256"/>
  <c r="HP22" i="256"/>
  <c r="HQ22" i="256"/>
  <c r="HR22" i="256"/>
  <c r="HS22" i="256"/>
  <c r="HT22" i="256"/>
  <c r="HU22" i="256"/>
  <c r="HV22" i="256"/>
  <c r="HW22" i="256"/>
  <c r="HX22" i="256"/>
  <c r="HY22" i="256"/>
  <c r="HZ22" i="256"/>
  <c r="IA22" i="256"/>
  <c r="IB22" i="256"/>
  <c r="IC22" i="256"/>
  <c r="ID22" i="256"/>
  <c r="IE22" i="256"/>
  <c r="IF22" i="256"/>
  <c r="IG22" i="256"/>
  <c r="IH22" i="256"/>
  <c r="II22" i="256"/>
  <c r="IJ22" i="256"/>
  <c r="IK22" i="256"/>
  <c r="IL22" i="256"/>
  <c r="IM22" i="256"/>
  <c r="IN22" i="256"/>
  <c r="IO22" i="256"/>
  <c r="IP22" i="256"/>
  <c r="IQ22" i="256"/>
  <c r="IR22" i="256"/>
  <c r="IS22" i="256"/>
  <c r="IT22" i="256"/>
  <c r="IU22" i="256"/>
  <c r="IV22" i="256"/>
  <c r="IW22" i="256"/>
  <c r="IX22" i="256"/>
  <c r="IY22" i="256"/>
  <c r="IZ22" i="256"/>
  <c r="JA22" i="256"/>
  <c r="JB22" i="256"/>
  <c r="JC22" i="256"/>
  <c r="JD22" i="256"/>
  <c r="JE22" i="256"/>
  <c r="JF22" i="256"/>
  <c r="JG22" i="256"/>
  <c r="JH22" i="256"/>
  <c r="JI22" i="256"/>
  <c r="JJ22" i="256"/>
  <c r="JK22" i="256"/>
  <c r="JL22" i="256"/>
  <c r="JM22" i="256"/>
  <c r="JN22" i="256"/>
  <c r="JO22" i="256"/>
  <c r="JP22" i="256"/>
  <c r="JQ22" i="256"/>
  <c r="JR22" i="256"/>
  <c r="JS22" i="256"/>
  <c r="JT22" i="256"/>
  <c r="JU22" i="256"/>
  <c r="JV22" i="256"/>
  <c r="JW22" i="256"/>
  <c r="JX22" i="256"/>
  <c r="JY22" i="256"/>
  <c r="JZ22" i="256"/>
  <c r="KA22" i="256"/>
  <c r="KB22" i="256"/>
  <c r="KC22" i="256"/>
  <c r="KD22" i="256"/>
  <c r="KE22" i="256"/>
  <c r="KF22" i="256"/>
  <c r="KG22" i="256"/>
  <c r="KH22" i="256"/>
  <c r="KI22" i="256"/>
  <c r="KJ22" i="256"/>
  <c r="KK22" i="256"/>
  <c r="KL22" i="256"/>
  <c r="KM22" i="256"/>
  <c r="KN22" i="256"/>
  <c r="KO22" i="256"/>
  <c r="KP22" i="256"/>
  <c r="KQ22" i="256"/>
  <c r="KR22" i="256"/>
  <c r="KS22" i="256"/>
  <c r="KT22" i="256"/>
  <c r="KU22" i="256"/>
  <c r="KV22" i="256"/>
  <c r="KW22" i="256"/>
  <c r="KX22" i="256"/>
  <c r="KY22" i="256"/>
  <c r="KZ22" i="256"/>
  <c r="LA22" i="256"/>
  <c r="LB22" i="256"/>
  <c r="LC22" i="256"/>
  <c r="LD22" i="256"/>
  <c r="LE22" i="256"/>
  <c r="LF22" i="256"/>
  <c r="LG22" i="256"/>
  <c r="LH22" i="256"/>
  <c r="LI22" i="256"/>
  <c r="LJ22" i="256"/>
  <c r="LK22" i="256"/>
  <c r="LL22" i="256"/>
  <c r="LM22" i="256"/>
  <c r="LN22" i="256"/>
  <c r="LO22" i="256"/>
  <c r="LP22" i="256"/>
  <c r="LQ22" i="256"/>
  <c r="LR22" i="256"/>
  <c r="LS22" i="256"/>
  <c r="LT22" i="256"/>
  <c r="LU22" i="256"/>
  <c r="LV22" i="256"/>
  <c r="LW22" i="256"/>
  <c r="LX22" i="256"/>
  <c r="LY22" i="256"/>
  <c r="LZ22" i="256"/>
  <c r="MA22" i="256"/>
  <c r="MB22" i="256"/>
  <c r="MC22" i="256"/>
  <c r="MD22" i="256"/>
  <c r="ME22" i="256"/>
  <c r="MF22" i="256"/>
  <c r="MG22" i="256"/>
  <c r="MH22" i="256"/>
  <c r="MI22" i="256"/>
  <c r="MJ22" i="256"/>
  <c r="MK22" i="256"/>
  <c r="ML22" i="256"/>
  <c r="MM22" i="256"/>
  <c r="MN22" i="256"/>
  <c r="MO22" i="256"/>
  <c r="MP22" i="256"/>
  <c r="MQ22" i="256"/>
  <c r="MR22" i="256"/>
  <c r="MS22" i="256"/>
  <c r="MT22" i="256"/>
  <c r="MU22" i="256"/>
  <c r="MV22" i="256"/>
  <c r="MW22" i="256"/>
  <c r="MX22" i="256"/>
  <c r="MY22" i="256"/>
  <c r="MZ22" i="256"/>
  <c r="NA22" i="256"/>
  <c r="NB22" i="256"/>
  <c r="NC22" i="256"/>
  <c r="ND22" i="256"/>
  <c r="NE22" i="256"/>
  <c r="NF22" i="256"/>
  <c r="NG22" i="256"/>
  <c r="NH22" i="256"/>
  <c r="NI22" i="256"/>
  <c r="NJ22" i="256"/>
  <c r="NK22" i="256"/>
  <c r="NL22" i="256"/>
  <c r="NM22" i="256"/>
  <c r="NN22" i="256"/>
  <c r="NO22" i="256"/>
  <c r="NP22" i="256"/>
  <c r="NQ22" i="256"/>
  <c r="NR22" i="256"/>
  <c r="NS22" i="256"/>
  <c r="NT22" i="256"/>
  <c r="NU22" i="256"/>
  <c r="NV22" i="256"/>
  <c r="NW22" i="256"/>
  <c r="NX22" i="256"/>
  <c r="NY22" i="256"/>
  <c r="NZ22" i="256"/>
  <c r="OA22" i="256"/>
  <c r="OB22" i="256"/>
  <c r="OC22" i="256"/>
  <c r="OD22" i="256"/>
  <c r="OE22" i="256"/>
  <c r="OF22" i="256"/>
  <c r="OG22" i="256"/>
  <c r="OH22" i="256"/>
  <c r="OI22" i="256"/>
  <c r="OJ22" i="256"/>
  <c r="OK22" i="256"/>
  <c r="OL22" i="256"/>
  <c r="OM22" i="256"/>
  <c r="ON22" i="256"/>
  <c r="OO22" i="256"/>
  <c r="OP22" i="256"/>
  <c r="OQ22" i="256"/>
  <c r="OR22" i="256"/>
  <c r="OS22" i="256"/>
  <c r="OT22" i="256"/>
  <c r="OU22" i="256"/>
  <c r="OV22" i="256"/>
  <c r="OW22" i="256"/>
  <c r="OX22" i="256"/>
  <c r="OY22" i="256"/>
  <c r="OZ22" i="256"/>
  <c r="PA22" i="256"/>
  <c r="PB22" i="256"/>
  <c r="PC22" i="256"/>
  <c r="PD22" i="256"/>
  <c r="PE22" i="256"/>
  <c r="PF22" i="256"/>
  <c r="PG22" i="256"/>
  <c r="PH22" i="256"/>
  <c r="PI22" i="256"/>
  <c r="PJ22" i="256"/>
  <c r="PK22" i="256"/>
  <c r="PL22" i="256"/>
  <c r="PM22" i="256"/>
  <c r="PN22" i="256"/>
  <c r="PO22" i="256"/>
  <c r="PP22" i="256"/>
  <c r="PQ22" i="256"/>
  <c r="PR22" i="256"/>
  <c r="PS22" i="256"/>
  <c r="PT22" i="256"/>
  <c r="PU22" i="256"/>
  <c r="PV22" i="256"/>
  <c r="PW22" i="256"/>
  <c r="PX22" i="256"/>
  <c r="PY22" i="256"/>
  <c r="PZ22" i="256"/>
  <c r="QA22" i="256"/>
  <c r="QB22" i="256"/>
  <c r="QC22" i="256"/>
  <c r="QD22" i="256"/>
  <c r="QE22" i="256"/>
  <c r="QF22" i="256"/>
  <c r="QG22" i="256"/>
  <c r="QH22" i="256"/>
  <c r="QI22" i="256"/>
  <c r="QJ22" i="256"/>
  <c r="QK22" i="256"/>
  <c r="QL22" i="256"/>
  <c r="QM22" i="256"/>
  <c r="QN22" i="256"/>
  <c r="QO22" i="256"/>
  <c r="QP22" i="256"/>
  <c r="QQ22" i="256"/>
  <c r="QR22" i="256"/>
  <c r="QS22" i="256"/>
  <c r="QT22" i="256"/>
  <c r="QU22" i="256"/>
  <c r="QV22" i="256"/>
  <c r="QW22" i="256"/>
  <c r="QX22" i="256"/>
  <c r="QY22" i="256"/>
  <c r="QZ22" i="256"/>
  <c r="RA22" i="256"/>
  <c r="RB22" i="256"/>
  <c r="RC22" i="256"/>
  <c r="RD22" i="256"/>
  <c r="RE22" i="256"/>
  <c r="RF22" i="256"/>
  <c r="RG22" i="256"/>
  <c r="RH22" i="256"/>
  <c r="RI22" i="256"/>
  <c r="RJ22" i="256"/>
  <c r="RK22" i="256"/>
  <c r="RL22" i="256"/>
  <c r="RM22" i="256"/>
  <c r="RN22" i="256"/>
  <c r="RO22" i="256"/>
  <c r="RP22" i="256"/>
  <c r="RQ22" i="256"/>
  <c r="RR22" i="256"/>
  <c r="RS22" i="256"/>
  <c r="RT22" i="256"/>
  <c r="RU22" i="256"/>
  <c r="RV22" i="256"/>
  <c r="RW22" i="256"/>
  <c r="RX22" i="256"/>
  <c r="RY22" i="256"/>
  <c r="RZ22" i="256"/>
  <c r="SA22" i="256"/>
  <c r="SB22" i="256"/>
  <c r="SC22" i="256"/>
  <c r="SD22" i="256"/>
  <c r="SE22" i="256"/>
  <c r="SF22" i="256"/>
  <c r="SG22" i="256"/>
  <c r="SH22" i="256"/>
  <c r="SI22" i="256"/>
  <c r="SJ22" i="256"/>
  <c r="SK22" i="256"/>
  <c r="SL22" i="256"/>
  <c r="SM22" i="256"/>
  <c r="SN22" i="256"/>
  <c r="SO22" i="256"/>
  <c r="SP22" i="256"/>
  <c r="SQ22" i="256"/>
  <c r="SR22" i="256"/>
  <c r="SS22" i="256"/>
  <c r="ST22" i="256"/>
  <c r="SU22" i="256"/>
  <c r="SV22" i="256"/>
  <c r="SW22" i="256"/>
  <c r="SX22" i="256"/>
  <c r="SY22" i="256"/>
  <c r="SZ22" i="256"/>
  <c r="TA22" i="256"/>
  <c r="TB22" i="256"/>
  <c r="TC22" i="256"/>
  <c r="TD22" i="256"/>
  <c r="TE22" i="256"/>
  <c r="TF22" i="256"/>
  <c r="TG22" i="256"/>
  <c r="TH22" i="256"/>
  <c r="TI22" i="256"/>
  <c r="TJ22" i="256"/>
  <c r="TK22" i="256"/>
  <c r="TL22" i="256"/>
  <c r="TM22" i="256"/>
  <c r="TN22" i="256"/>
  <c r="TO22" i="256"/>
  <c r="TP22" i="256"/>
  <c r="TQ22" i="256"/>
  <c r="TR22" i="256"/>
  <c r="TS22" i="256"/>
  <c r="TT22" i="256"/>
  <c r="TU22" i="256"/>
  <c r="TV22" i="256"/>
  <c r="TW22" i="256"/>
  <c r="TX22" i="256"/>
  <c r="TY22" i="256"/>
  <c r="TZ22" i="256"/>
  <c r="UA22" i="256"/>
  <c r="UB22" i="256"/>
  <c r="UC22" i="256"/>
  <c r="UD22" i="256"/>
  <c r="UE22" i="256"/>
  <c r="UF22" i="256"/>
  <c r="UG22" i="256"/>
  <c r="UH22" i="256"/>
  <c r="UI22" i="256"/>
  <c r="UJ22" i="256"/>
  <c r="UK22" i="256"/>
  <c r="UL22" i="256"/>
  <c r="UM22" i="256"/>
  <c r="UN22" i="256"/>
  <c r="UO22" i="256"/>
  <c r="UP22" i="256"/>
  <c r="UQ22" i="256"/>
  <c r="UR22" i="256"/>
  <c r="US22" i="256"/>
  <c r="UT22" i="256"/>
  <c r="UU22" i="256"/>
  <c r="UV22" i="256"/>
  <c r="UW22" i="256"/>
  <c r="UX22" i="256"/>
  <c r="UY22" i="256"/>
  <c r="UZ22" i="256"/>
  <c r="VA22" i="256"/>
  <c r="VB22" i="256"/>
  <c r="VC22" i="256"/>
  <c r="VD22" i="256"/>
  <c r="VE22" i="256"/>
  <c r="VF22" i="256"/>
  <c r="VG22" i="256"/>
  <c r="VH22" i="256"/>
  <c r="VI22" i="256"/>
  <c r="VJ22" i="256"/>
  <c r="VK22" i="256"/>
  <c r="VL22" i="256"/>
  <c r="VM22" i="256"/>
  <c r="VN22" i="256"/>
  <c r="VO22" i="256"/>
  <c r="VP22" i="256"/>
  <c r="VQ22" i="256"/>
  <c r="VR22" i="256"/>
  <c r="VS22" i="256"/>
  <c r="VT22" i="256"/>
  <c r="VU22" i="256"/>
  <c r="VV22" i="256"/>
  <c r="VW22" i="256"/>
  <c r="VX22" i="256"/>
  <c r="VY22" i="256"/>
  <c r="VZ22" i="256"/>
  <c r="WA22" i="256"/>
  <c r="WB22" i="256"/>
  <c r="WC22" i="256"/>
  <c r="WD22" i="256"/>
  <c r="WE22" i="256"/>
  <c r="WF22" i="256"/>
  <c r="WG22" i="256"/>
  <c r="WH22" i="256"/>
  <c r="WI22" i="256"/>
  <c r="WJ22" i="256"/>
  <c r="WK22" i="256"/>
  <c r="WL22" i="256"/>
  <c r="WM22" i="256"/>
  <c r="WN22" i="256"/>
  <c r="WO22" i="256"/>
  <c r="WP22" i="256"/>
  <c r="WQ22" i="256"/>
  <c r="WR22" i="256"/>
  <c r="WS22" i="256"/>
  <c r="WT22" i="256"/>
  <c r="WU22" i="256"/>
  <c r="WV22" i="256"/>
  <c r="WW22" i="256"/>
  <c r="WX22" i="256"/>
  <c r="WY22" i="256"/>
  <c r="WZ22" i="256"/>
  <c r="XA22" i="256"/>
  <c r="XB22" i="256"/>
  <c r="XC22" i="256"/>
  <c r="XD22" i="256"/>
  <c r="XE22" i="256"/>
  <c r="XF22" i="256"/>
  <c r="XG22" i="256"/>
  <c r="XH22" i="256"/>
  <c r="XI22" i="256"/>
  <c r="XJ22" i="256"/>
  <c r="XK22" i="256"/>
  <c r="XL22" i="256"/>
  <c r="XM22" i="256"/>
  <c r="XN22" i="256"/>
  <c r="XO22" i="256"/>
  <c r="XP22" i="256"/>
  <c r="XQ22" i="256"/>
  <c r="XR22" i="256"/>
  <c r="XS22" i="256"/>
  <c r="XT22" i="256"/>
  <c r="XU22" i="256"/>
  <c r="XV22" i="256"/>
  <c r="XW22" i="256"/>
  <c r="XX22" i="256"/>
  <c r="XY22" i="256"/>
  <c r="XZ22" i="256"/>
  <c r="YA22" i="256"/>
  <c r="YB22" i="256"/>
  <c r="YC22" i="256"/>
  <c r="YD22" i="256"/>
  <c r="YE22" i="256"/>
  <c r="YF22" i="256"/>
  <c r="YG22" i="256"/>
  <c r="YH22" i="256"/>
  <c r="YI22" i="256"/>
  <c r="YJ22" i="256"/>
  <c r="YK22" i="256"/>
  <c r="YL22" i="256"/>
  <c r="YM22" i="256"/>
  <c r="YN22" i="256"/>
  <c r="YO22" i="256"/>
  <c r="YP22" i="256"/>
  <c r="YQ22" i="256"/>
  <c r="YR22" i="256"/>
  <c r="YS22" i="256"/>
  <c r="YT22" i="256"/>
  <c r="YU22" i="256"/>
  <c r="YV22" i="256"/>
  <c r="YW22" i="256"/>
  <c r="YX22" i="256"/>
  <c r="YY22" i="256"/>
  <c r="YZ22" i="256"/>
  <c r="ZA22" i="256"/>
  <c r="ZB22" i="256"/>
  <c r="ZC22" i="256"/>
  <c r="ZD22" i="256"/>
  <c r="ZE22" i="256"/>
  <c r="ZF22" i="256"/>
  <c r="ZG22" i="256"/>
  <c r="ZH22" i="256"/>
  <c r="ZI22" i="256"/>
  <c r="ZJ22" i="256"/>
  <c r="ZK22" i="256"/>
  <c r="ZL22" i="256"/>
  <c r="ZM22" i="256"/>
  <c r="ZN22" i="256"/>
  <c r="ZO22" i="256"/>
  <c r="ZP22" i="256"/>
  <c r="ZQ22" i="256"/>
  <c r="ZR22" i="256"/>
  <c r="ZS22" i="256"/>
  <c r="ZT22" i="256"/>
  <c r="ZU22" i="256"/>
  <c r="ZV22" i="256"/>
  <c r="ZW22" i="256"/>
  <c r="ZX22" i="256"/>
  <c r="ZY22" i="256"/>
  <c r="ZZ22" i="256"/>
  <c r="AAA22" i="256"/>
  <c r="AAB22" i="256"/>
  <c r="AAC22" i="256"/>
  <c r="AAD22" i="256"/>
  <c r="AAE22" i="256"/>
  <c r="AAF22" i="256"/>
  <c r="AAG22" i="256"/>
  <c r="AAH22" i="256"/>
  <c r="AAI22" i="256"/>
  <c r="AAJ22" i="256"/>
  <c r="AAK22" i="256"/>
  <c r="AAL22" i="256"/>
  <c r="AAM22" i="256"/>
  <c r="AAN22" i="256"/>
  <c r="AAO22" i="256"/>
  <c r="AAP22" i="256"/>
  <c r="AAQ22" i="256"/>
  <c r="AAR22" i="256"/>
  <c r="AAS22" i="256"/>
  <c r="AAT22" i="256"/>
  <c r="AAU22" i="256"/>
  <c r="AAV22" i="256"/>
  <c r="AAW22" i="256"/>
  <c r="AAX22" i="256"/>
  <c r="AAY22" i="256"/>
  <c r="AAZ22" i="256"/>
  <c r="ABA22" i="256"/>
  <c r="ABB22" i="256"/>
  <c r="ABC22" i="256"/>
  <c r="ABD22" i="256"/>
  <c r="ABE22" i="256"/>
  <c r="ABF22" i="256"/>
  <c r="ABG22" i="256"/>
  <c r="ABH22" i="256"/>
  <c r="ABI22" i="256"/>
  <c r="ABJ22" i="256"/>
  <c r="ABK22" i="256"/>
  <c r="ABL22" i="256"/>
  <c r="ABM22" i="256"/>
  <c r="ABN22" i="256"/>
  <c r="ABO22" i="256"/>
  <c r="ABP22" i="256"/>
  <c r="ABQ22" i="256"/>
  <c r="ABR22" i="256"/>
  <c r="ABS22" i="256"/>
  <c r="ABT22" i="256"/>
  <c r="ABU22" i="256"/>
  <c r="ABV22" i="256"/>
  <c r="ABW22" i="256"/>
  <c r="ABX22" i="256"/>
  <c r="ABY22" i="256"/>
  <c r="ABZ22" i="256"/>
  <c r="ACA22" i="256"/>
  <c r="ACB22" i="256"/>
  <c r="ACC22" i="256"/>
  <c r="ACD22" i="256"/>
  <c r="ACE22" i="256"/>
  <c r="ACF22" i="256"/>
  <c r="ACG22" i="256"/>
  <c r="ACH22" i="256"/>
  <c r="ACI22" i="256"/>
  <c r="ACJ22" i="256"/>
  <c r="ACK22" i="256"/>
  <c r="ACL22" i="256"/>
  <c r="ACM22" i="256"/>
  <c r="ACN22" i="256"/>
  <c r="ACO22" i="256"/>
  <c r="ACP22" i="256"/>
  <c r="ACQ22" i="256"/>
  <c r="ACR22" i="256"/>
  <c r="ACS22" i="256"/>
  <c r="ACT22" i="256"/>
  <c r="ACU22" i="256"/>
  <c r="ACV22" i="256"/>
  <c r="ACW22" i="256"/>
  <c r="ACX22" i="256"/>
  <c r="ACY22" i="256"/>
  <c r="ACZ22" i="256"/>
  <c r="ADA22" i="256"/>
  <c r="ADB22" i="256"/>
  <c r="ADC22" i="256"/>
  <c r="ADD22" i="256"/>
  <c r="ADE22" i="256"/>
  <c r="ADF22" i="256"/>
  <c r="ADG22" i="256"/>
  <c r="ADH22" i="256"/>
  <c r="ADI22" i="256"/>
  <c r="ADJ22" i="256"/>
  <c r="ADK22" i="256"/>
  <c r="ADL22" i="256"/>
  <c r="ADM22" i="256"/>
  <c r="ADN22" i="256"/>
  <c r="ADO22" i="256"/>
  <c r="ADP22" i="256"/>
  <c r="ADQ22" i="256"/>
  <c r="ADR22" i="256"/>
  <c r="ADS22" i="256"/>
  <c r="ADT22" i="256"/>
  <c r="ADU22" i="256"/>
  <c r="ADV22" i="256"/>
  <c r="ADW22" i="256"/>
  <c r="ADX22" i="256"/>
  <c r="ADY22" i="256"/>
  <c r="ADZ22" i="256"/>
  <c r="AEA22" i="256"/>
  <c r="AEB22" i="256"/>
  <c r="AEC22" i="256"/>
  <c r="AED22" i="256"/>
  <c r="AEE22" i="256"/>
  <c r="AEF22" i="256"/>
  <c r="AEG22" i="256"/>
  <c r="AEH22" i="256"/>
  <c r="AEI22" i="256"/>
  <c r="AEJ22" i="256"/>
  <c r="AEK22" i="256"/>
  <c r="AEL22" i="256"/>
  <c r="AEM22" i="256"/>
  <c r="AEN22" i="256"/>
  <c r="AEO22" i="256"/>
  <c r="AEP22" i="256"/>
  <c r="AEQ22" i="256"/>
  <c r="AER22" i="256"/>
  <c r="AES22" i="256"/>
  <c r="AET22" i="256"/>
  <c r="AEU22" i="256"/>
  <c r="AEV22" i="256"/>
  <c r="AEW22" i="256"/>
  <c r="AEX22" i="256"/>
  <c r="AEY22" i="256"/>
  <c r="AEZ22" i="256"/>
  <c r="AFA22" i="256"/>
  <c r="AFB22" i="256"/>
  <c r="AFC22" i="256"/>
  <c r="AFD22" i="256"/>
  <c r="AFE22" i="256"/>
  <c r="AFF22" i="256"/>
  <c r="AFG22" i="256"/>
  <c r="AFH22" i="256"/>
  <c r="AFI22" i="256"/>
  <c r="AFJ22" i="256"/>
  <c r="AFK22" i="256"/>
  <c r="AFL22" i="256"/>
  <c r="AFM22" i="256"/>
  <c r="AFN22" i="256"/>
  <c r="AFO22" i="256"/>
  <c r="AFP22" i="256"/>
  <c r="AFQ22" i="256"/>
  <c r="AFR22" i="256"/>
  <c r="AFS22" i="256"/>
  <c r="AFT22" i="256"/>
  <c r="AFU22" i="256"/>
  <c r="AFV22" i="256"/>
  <c r="AFW22" i="256"/>
  <c r="AFX22" i="256"/>
  <c r="AFY22" i="256"/>
  <c r="AFZ22" i="256"/>
  <c r="AGA22" i="256"/>
  <c r="AGB22" i="256"/>
  <c r="AGC22" i="256"/>
  <c r="AGD22" i="256"/>
  <c r="AGE22" i="256"/>
  <c r="AGF22" i="256"/>
  <c r="AGG22" i="256"/>
  <c r="AGH22" i="256"/>
  <c r="AGI22" i="256"/>
  <c r="AGJ22" i="256"/>
  <c r="AGK22" i="256"/>
  <c r="AGL22" i="256"/>
  <c r="AGM22" i="256"/>
  <c r="AGN22" i="256"/>
  <c r="AGO22" i="256"/>
  <c r="AGP22" i="256"/>
  <c r="AGQ22" i="256"/>
  <c r="AGR22" i="256"/>
  <c r="AGS22" i="256"/>
  <c r="AGT22" i="256"/>
  <c r="AGU22" i="256"/>
  <c r="AGV22" i="256"/>
  <c r="AGW22" i="256"/>
  <c r="AGX22" i="256"/>
  <c r="AGY22" i="256"/>
  <c r="AGZ22" i="256"/>
  <c r="AHA22" i="256"/>
  <c r="AHB22" i="256"/>
  <c r="AHC22" i="256"/>
  <c r="AHD22" i="256"/>
  <c r="AHE22" i="256"/>
  <c r="AHF22" i="256"/>
  <c r="AHG22" i="256"/>
  <c r="AHH22" i="256"/>
  <c r="AHI22" i="256"/>
  <c r="AHJ22" i="256"/>
  <c r="AHK22" i="256"/>
  <c r="AHL22" i="256"/>
  <c r="AHM22" i="256"/>
  <c r="AHN22" i="256"/>
  <c r="AHO22" i="256"/>
  <c r="AHP22" i="256"/>
  <c r="AHQ22" i="256"/>
  <c r="AHR22" i="256"/>
  <c r="AHS22" i="256"/>
  <c r="AHT22" i="256"/>
  <c r="AHU22" i="256"/>
  <c r="AHV22" i="256"/>
  <c r="AHW22" i="256"/>
  <c r="AHX22" i="256"/>
  <c r="AHY22" i="256"/>
  <c r="AHZ22" i="256"/>
  <c r="AIA22" i="256"/>
  <c r="AIB22" i="256"/>
  <c r="AIC22" i="256"/>
  <c r="AID22" i="256"/>
  <c r="AIE22" i="256"/>
  <c r="AIF22" i="256"/>
  <c r="AIG22" i="256"/>
  <c r="AIH22" i="256"/>
  <c r="AII22" i="256"/>
  <c r="AIJ22" i="256"/>
  <c r="AIK22" i="256"/>
  <c r="AIL22" i="256"/>
  <c r="AIM22" i="256"/>
  <c r="AIN22" i="256"/>
  <c r="AIO22" i="256"/>
  <c r="AIP22" i="256"/>
  <c r="AIQ22" i="256"/>
  <c r="AIR22" i="256"/>
  <c r="AIS22" i="256"/>
  <c r="AIT22" i="256"/>
  <c r="AIU22" i="256"/>
  <c r="AIV22" i="256"/>
  <c r="AIW22" i="256"/>
  <c r="AIX22" i="256"/>
  <c r="AIY22" i="256"/>
  <c r="AIZ22" i="256"/>
  <c r="AJA22" i="256"/>
  <c r="AJB22" i="256"/>
  <c r="AJC22" i="256"/>
  <c r="AJD22" i="256"/>
  <c r="AJE22" i="256"/>
  <c r="AJF22" i="256"/>
  <c r="AJG22" i="256"/>
  <c r="AJH22" i="256"/>
  <c r="AJI22" i="256"/>
  <c r="AJJ22" i="256"/>
  <c r="AJK22" i="256"/>
  <c r="AJL22" i="256"/>
  <c r="AJM22" i="256"/>
  <c r="AJN22" i="256"/>
  <c r="AJO22" i="256"/>
  <c r="AJP22" i="256"/>
  <c r="AJQ22" i="256"/>
  <c r="AJR22" i="256"/>
  <c r="AJS22" i="256"/>
  <c r="AJT22" i="256"/>
  <c r="AJU22" i="256"/>
  <c r="AJV22" i="256"/>
  <c r="AJW22" i="256"/>
  <c r="AJX22" i="256"/>
  <c r="AJY22" i="256"/>
  <c r="AJZ22" i="256"/>
  <c r="AKA22" i="256"/>
  <c r="AKB22" i="256"/>
  <c r="AKC22" i="256"/>
  <c r="AKD22" i="256"/>
  <c r="AKE22" i="256"/>
  <c r="AKF22" i="256"/>
  <c r="AKG22" i="256"/>
  <c r="AKH22" i="256"/>
  <c r="AKI22" i="256"/>
  <c r="AKJ22" i="256"/>
  <c r="AKK22" i="256"/>
  <c r="AKL22" i="256"/>
  <c r="AKM22" i="256"/>
  <c r="AKN22" i="256"/>
  <c r="AKO22" i="256"/>
  <c r="AKP22" i="256"/>
  <c r="AKQ22" i="256"/>
  <c r="AKR22" i="256"/>
  <c r="AKS22" i="256"/>
  <c r="AKT22" i="256"/>
  <c r="AKU22" i="256"/>
  <c r="AKV22" i="256"/>
  <c r="AKW22" i="256"/>
  <c r="AKX22" i="256"/>
  <c r="AKY22" i="256"/>
  <c r="AKZ22" i="256"/>
  <c r="ALA22" i="256"/>
  <c r="ALB22" i="256"/>
  <c r="ALC22" i="256"/>
  <c r="ALD22" i="256"/>
  <c r="ALE22" i="256"/>
  <c r="ALF22" i="256"/>
  <c r="ALG22" i="256"/>
  <c r="ALH22" i="256"/>
  <c r="ALI22" i="256"/>
  <c r="ALJ22" i="256"/>
  <c r="ALK22" i="256"/>
  <c r="ALL22" i="256"/>
  <c r="ALM22" i="256"/>
  <c r="ALN22" i="256"/>
  <c r="ALO22" i="256"/>
  <c r="ALP22" i="256"/>
  <c r="ALQ22" i="256"/>
  <c r="ALR22" i="256"/>
  <c r="ALS22" i="256"/>
  <c r="ALT22" i="256"/>
  <c r="ALU22" i="256"/>
  <c r="ALV22" i="256"/>
  <c r="ALW22" i="256"/>
  <c r="ALX22" i="256"/>
  <c r="ALY22" i="256"/>
  <c r="ALZ22" i="256"/>
  <c r="AMA22" i="256"/>
  <c r="AMB22" i="256"/>
  <c r="AMC22" i="256"/>
  <c r="AMD22" i="256"/>
  <c r="AME22" i="256"/>
  <c r="AMF22" i="256"/>
  <c r="AMG22" i="256"/>
  <c r="AMH22" i="256"/>
  <c r="AMI22" i="256"/>
  <c r="AMJ22" i="256"/>
  <c r="AMK22" i="256"/>
  <c r="AML22" i="256"/>
  <c r="AMM22" i="256"/>
  <c r="AMN22" i="256"/>
  <c r="AMO22" i="256"/>
  <c r="AMP22" i="256"/>
  <c r="AMQ22" i="256"/>
  <c r="AMR22" i="256"/>
  <c r="AMS22" i="256"/>
  <c r="AMT22" i="256"/>
  <c r="AMU22" i="256"/>
  <c r="AMV22" i="256"/>
  <c r="AMW22" i="256"/>
  <c r="AMX22" i="256"/>
  <c r="AMY22" i="256"/>
  <c r="AMZ22" i="256"/>
  <c r="ANA22" i="256"/>
  <c r="ANB22" i="256"/>
  <c r="ANC22" i="256"/>
  <c r="AND22" i="256"/>
  <c r="ANE22" i="256"/>
  <c r="ANF22" i="256"/>
  <c r="ANG22" i="256"/>
  <c r="ANH22" i="256"/>
  <c r="ANI22" i="256"/>
  <c r="ANJ22" i="256"/>
  <c r="ANK22" i="256"/>
  <c r="ANL22" i="256"/>
  <c r="ANM22" i="256"/>
  <c r="ANN22" i="256"/>
  <c r="ANO22" i="256"/>
  <c r="ANP22" i="256"/>
  <c r="ANQ22" i="256"/>
  <c r="ANR22" i="256"/>
  <c r="ANS22" i="256"/>
  <c r="ANT22" i="256"/>
  <c r="ANU22" i="256"/>
  <c r="ANV22" i="256"/>
  <c r="ANW22" i="256"/>
  <c r="ANX22" i="256"/>
  <c r="ANY22" i="256"/>
  <c r="ANZ22" i="256"/>
  <c r="AOA22" i="256"/>
  <c r="AOB22" i="256"/>
  <c r="AOC22" i="256"/>
  <c r="AOD22" i="256"/>
  <c r="AOE22" i="256"/>
  <c r="AOF22" i="256"/>
  <c r="AOG22" i="256"/>
  <c r="AOH22" i="256"/>
  <c r="AOI22" i="256"/>
  <c r="AOJ22" i="256"/>
  <c r="AOK22" i="256"/>
  <c r="AOL22" i="256"/>
  <c r="AOM22" i="256"/>
  <c r="AON22" i="256"/>
  <c r="AOO22" i="256"/>
  <c r="AOP22" i="256"/>
  <c r="AOQ22" i="256"/>
  <c r="AOR22" i="256"/>
  <c r="AOS22" i="256"/>
  <c r="AOT22" i="256"/>
  <c r="AOU22" i="256"/>
  <c r="AOV22" i="256"/>
  <c r="AOW22" i="256"/>
  <c r="AOX22" i="256"/>
  <c r="AOY22" i="256"/>
  <c r="AOZ22" i="256"/>
  <c r="APA22" i="256"/>
  <c r="APB22" i="256"/>
  <c r="APC22" i="256"/>
  <c r="APD22" i="256"/>
  <c r="APE22" i="256"/>
  <c r="APF22" i="256"/>
  <c r="APG22" i="256"/>
  <c r="APH22" i="256"/>
  <c r="API22" i="256"/>
  <c r="APJ22" i="256"/>
  <c r="APK22" i="256"/>
  <c r="APL22" i="256"/>
  <c r="APM22" i="256"/>
  <c r="APN22" i="256"/>
  <c r="APO22" i="256"/>
  <c r="APP22" i="256"/>
  <c r="APQ22" i="256"/>
  <c r="APR22" i="256"/>
  <c r="APS22" i="256"/>
  <c r="APT22" i="256"/>
  <c r="APU22" i="256"/>
  <c r="APV22" i="256"/>
  <c r="APW22" i="256"/>
  <c r="APX22" i="256"/>
  <c r="APY22" i="256"/>
  <c r="APZ22" i="256"/>
  <c r="AQA22" i="256"/>
  <c r="AQB22" i="256"/>
  <c r="AQC22" i="256"/>
  <c r="AQD22" i="256"/>
  <c r="AQE22" i="256"/>
  <c r="AQF22" i="256"/>
  <c r="AQG22" i="256"/>
  <c r="AQH22" i="256"/>
  <c r="AQI22" i="256"/>
  <c r="AQJ22" i="256"/>
  <c r="AQK22" i="256"/>
  <c r="AQL22" i="256"/>
  <c r="AQM22" i="256"/>
  <c r="AQN22" i="256"/>
  <c r="AQO22" i="256"/>
  <c r="AQP22" i="256"/>
  <c r="AQQ22" i="256"/>
  <c r="AQR22" i="256"/>
  <c r="AQS22" i="256"/>
  <c r="AQT22" i="256"/>
  <c r="AQU22" i="256"/>
  <c r="AQV22" i="256"/>
  <c r="AQW22" i="256"/>
  <c r="AQX22" i="256"/>
  <c r="AQY22" i="256"/>
  <c r="AQZ22" i="256"/>
  <c r="ARA22" i="256"/>
  <c r="ARB22" i="256"/>
  <c r="ARC22" i="256"/>
  <c r="ARD22" i="256"/>
  <c r="ARE22" i="256"/>
  <c r="ARF22" i="256"/>
  <c r="ARG22" i="256"/>
  <c r="ARH22" i="256"/>
  <c r="ARI22" i="256"/>
  <c r="ARJ22" i="256"/>
  <c r="ARK22" i="256"/>
  <c r="ARL22" i="256"/>
  <c r="ARM22" i="256"/>
  <c r="ARN22" i="256"/>
  <c r="ARO22" i="256"/>
  <c r="ARP22" i="256"/>
  <c r="ARQ22" i="256"/>
  <c r="ARR22" i="256"/>
  <c r="ARS22" i="256"/>
  <c r="ART22" i="256"/>
  <c r="ARU22" i="256"/>
  <c r="ARV22" i="256"/>
  <c r="ARW22" i="256"/>
  <c r="ARX22" i="256"/>
  <c r="ARY22" i="256"/>
  <c r="ARZ22" i="256"/>
  <c r="ASA22" i="256"/>
  <c r="ASB22" i="256"/>
  <c r="ASC22" i="256"/>
  <c r="ASD22" i="256"/>
  <c r="ASE22" i="256"/>
  <c r="ASF22" i="256"/>
  <c r="ASG22" i="256"/>
  <c r="ASH22" i="256"/>
  <c r="ASI22" i="256"/>
  <c r="ASJ22" i="256"/>
  <c r="ASK22" i="256"/>
  <c r="ASL22" i="256"/>
  <c r="ASM22" i="256"/>
  <c r="ASN22" i="256"/>
  <c r="ASO22" i="256"/>
  <c r="ASP22" i="256"/>
  <c r="ASQ22" i="256"/>
  <c r="ASR22" i="256"/>
  <c r="ASS22" i="256"/>
  <c r="AST22" i="256"/>
  <c r="ASU22" i="256"/>
  <c r="ASV22" i="256"/>
  <c r="ASW22" i="256"/>
  <c r="ASX22" i="256"/>
  <c r="ASY22" i="256"/>
  <c r="ASZ22" i="256"/>
  <c r="ATA22" i="256"/>
  <c r="ATB22" i="256"/>
  <c r="ATC22" i="256"/>
  <c r="ATD22" i="256"/>
  <c r="ATE22" i="256"/>
  <c r="ATF22" i="256"/>
  <c r="ATG22" i="256"/>
  <c r="ATH22" i="256"/>
  <c r="ATI22" i="256"/>
  <c r="ATJ22" i="256"/>
  <c r="ATK22" i="256"/>
  <c r="ATL22" i="256"/>
  <c r="ATM22" i="256"/>
  <c r="ATN22" i="256"/>
  <c r="ATO22" i="256"/>
  <c r="ATP22" i="256"/>
  <c r="ATQ22" i="256"/>
  <c r="ATR22" i="256"/>
  <c r="ATS22" i="256"/>
  <c r="ATT22" i="256"/>
  <c r="ATU22" i="256"/>
  <c r="ATV22" i="256"/>
  <c r="ATW22" i="256"/>
  <c r="ATX22" i="256"/>
  <c r="ATY22" i="256"/>
  <c r="ATZ22" i="256"/>
  <c r="AUA22" i="256"/>
  <c r="AUB22" i="256"/>
  <c r="AUC22" i="256"/>
  <c r="AUD22" i="256"/>
  <c r="AUE22" i="256"/>
  <c r="AUF22" i="256"/>
  <c r="AUG22" i="256"/>
  <c r="AUH22" i="256"/>
  <c r="AUI22" i="256"/>
  <c r="AUJ22" i="256"/>
  <c r="AUK22" i="256"/>
  <c r="AUL22" i="256"/>
  <c r="AUM22" i="256"/>
  <c r="AUN22" i="256"/>
  <c r="AUO22" i="256"/>
  <c r="AUP22" i="256"/>
  <c r="AUQ22" i="256"/>
  <c r="AUR22" i="256"/>
  <c r="AUS22" i="256"/>
  <c r="AUT22" i="256"/>
  <c r="AUU22" i="256"/>
  <c r="AUV22" i="256"/>
  <c r="AUW22" i="256"/>
  <c r="AUX22" i="256"/>
  <c r="AUY22" i="256"/>
  <c r="AUZ22" i="256"/>
  <c r="AVA22" i="256"/>
  <c r="AVB22" i="256"/>
  <c r="AVC22" i="256"/>
  <c r="AVD22" i="256"/>
  <c r="AVE22" i="256"/>
  <c r="AVF22" i="256"/>
  <c r="AVG22" i="256"/>
  <c r="AVH22" i="256"/>
  <c r="AVI22" i="256"/>
  <c r="AVJ22" i="256"/>
  <c r="AVK22" i="256"/>
  <c r="AVL22" i="256"/>
  <c r="AVM22" i="256"/>
  <c r="AVN22" i="256"/>
  <c r="AVO22" i="256"/>
  <c r="AVP22" i="256"/>
  <c r="AVQ22" i="256"/>
  <c r="AVR22" i="256"/>
  <c r="AVS22" i="256"/>
  <c r="AVT22" i="256"/>
  <c r="AVU22" i="256"/>
  <c r="AVV22" i="256"/>
  <c r="AVW22" i="256"/>
  <c r="AVX22" i="256"/>
  <c r="AVY22" i="256"/>
  <c r="AVZ22" i="256"/>
  <c r="AWA22" i="256"/>
  <c r="AWB22" i="256"/>
  <c r="AWC22" i="256"/>
  <c r="AWD22" i="256"/>
  <c r="AWE22" i="256"/>
  <c r="AWF22" i="256"/>
  <c r="AWG22" i="256"/>
  <c r="AWH22" i="256"/>
  <c r="AWI22" i="256"/>
  <c r="AWJ22" i="256"/>
  <c r="AWK22" i="256"/>
  <c r="AWL22" i="256"/>
  <c r="AWM22" i="256"/>
  <c r="AWN22" i="256"/>
  <c r="AWO22" i="256"/>
  <c r="AWP22" i="256"/>
  <c r="AWQ22" i="256"/>
  <c r="AWR22" i="256"/>
  <c r="AWS22" i="256"/>
  <c r="AWT22" i="256"/>
  <c r="AWU22" i="256"/>
  <c r="AWV22" i="256"/>
  <c r="AWW22" i="256"/>
  <c r="AWX22" i="256"/>
  <c r="AWY22" i="256"/>
  <c r="AWZ22" i="256"/>
  <c r="AXA22" i="256"/>
  <c r="AXB22" i="256"/>
  <c r="AXC22" i="256"/>
  <c r="AXD22" i="256"/>
  <c r="AXE22" i="256"/>
  <c r="AXF22" i="256"/>
  <c r="AXG22" i="256"/>
  <c r="AXH22" i="256"/>
  <c r="AXI22" i="256"/>
  <c r="AXJ22" i="256"/>
  <c r="AXK22" i="256"/>
  <c r="AXL22" i="256"/>
  <c r="AXM22" i="256"/>
  <c r="AXN22" i="256"/>
  <c r="AXO22" i="256"/>
  <c r="AXP22" i="256"/>
  <c r="AXQ22" i="256"/>
  <c r="AXR22" i="256"/>
  <c r="AXS22" i="256"/>
  <c r="AXT22" i="256"/>
  <c r="AXU22" i="256"/>
  <c r="AXV22" i="256"/>
  <c r="AXW22" i="256"/>
  <c r="AXX22" i="256"/>
  <c r="AXY22" i="256"/>
  <c r="AXZ22" i="256"/>
  <c r="AYA22" i="256"/>
  <c r="AYB22" i="256"/>
  <c r="AYC22" i="256"/>
  <c r="AYD22" i="256"/>
  <c r="AYE22" i="256"/>
  <c r="AYF22" i="256"/>
  <c r="AYG22" i="256"/>
  <c r="AYH22" i="256"/>
  <c r="AYI22" i="256"/>
  <c r="AYJ22" i="256"/>
  <c r="AYK22" i="256"/>
  <c r="AYL22" i="256"/>
  <c r="AYM22" i="256"/>
  <c r="AYN22" i="256"/>
  <c r="AYO22" i="256"/>
  <c r="AYP22" i="256"/>
  <c r="AYQ22" i="256"/>
  <c r="AYR22" i="256"/>
  <c r="AYS22" i="256"/>
  <c r="AYT22" i="256"/>
  <c r="AYU22" i="256"/>
  <c r="AYV22" i="256"/>
  <c r="AYW22" i="256"/>
  <c r="AYX22" i="256"/>
  <c r="AYY22" i="256"/>
  <c r="AYZ22" i="256"/>
  <c r="AZA22" i="256"/>
  <c r="AZB22" i="256"/>
  <c r="AZC22" i="256"/>
  <c r="AZD22" i="256"/>
  <c r="AZE22" i="256"/>
  <c r="AZF22" i="256"/>
  <c r="AZG22" i="256"/>
  <c r="AZH22" i="256"/>
  <c r="AZI22" i="256"/>
  <c r="AZJ22" i="256"/>
  <c r="AZK22" i="256"/>
  <c r="AZL22" i="256"/>
  <c r="AZM22" i="256"/>
  <c r="AZN22" i="256"/>
  <c r="AZO22" i="256"/>
  <c r="AZP22" i="256"/>
  <c r="AZQ22" i="256"/>
  <c r="AZR22" i="256"/>
  <c r="AZS22" i="256"/>
  <c r="AZT22" i="256"/>
  <c r="AZU22" i="256"/>
  <c r="AZV22" i="256"/>
  <c r="AZW22" i="256"/>
  <c r="AZX22" i="256"/>
  <c r="AZY22" i="256"/>
  <c r="AZZ22" i="256"/>
  <c r="BAA22" i="256"/>
  <c r="BAB22" i="256"/>
  <c r="BAC22" i="256"/>
  <c r="BAD22" i="256"/>
  <c r="BAE22" i="256"/>
  <c r="BAF22" i="256"/>
  <c r="BAG22" i="256"/>
  <c r="BAH22" i="256"/>
  <c r="BAI22" i="256"/>
  <c r="BAJ22" i="256"/>
  <c r="BAK22" i="256"/>
  <c r="BAL22" i="256"/>
  <c r="BAM22" i="256"/>
  <c r="BAN22" i="256"/>
  <c r="BAO22" i="256"/>
  <c r="BAP22" i="256"/>
  <c r="BAQ22" i="256"/>
  <c r="BAR22" i="256"/>
  <c r="BAS22" i="256"/>
  <c r="BAT22" i="256"/>
  <c r="BAU22" i="256"/>
  <c r="BAV22" i="256"/>
  <c r="BAW22" i="256"/>
  <c r="BAX22" i="256"/>
  <c r="BAY22" i="256"/>
  <c r="BAZ22" i="256"/>
  <c r="BBA22" i="256"/>
  <c r="BBB22" i="256"/>
  <c r="BBC22" i="256"/>
  <c r="BBD22" i="256"/>
  <c r="BBE22" i="256"/>
  <c r="BBF22" i="256"/>
  <c r="BBG22" i="256"/>
  <c r="BBH22" i="256"/>
  <c r="BBI22" i="256"/>
  <c r="BBJ22" i="256"/>
  <c r="BBK22" i="256"/>
  <c r="BBL22" i="256"/>
  <c r="BBM22" i="256"/>
  <c r="BBN22" i="256"/>
  <c r="BBO22" i="256"/>
  <c r="BBP22" i="256"/>
  <c r="BBQ22" i="256"/>
  <c r="BBR22" i="256"/>
  <c r="BBS22" i="256"/>
  <c r="BBT22" i="256"/>
  <c r="BBU22" i="256"/>
  <c r="BBV22" i="256"/>
  <c r="BBW22" i="256"/>
  <c r="BBX22" i="256"/>
  <c r="BBY22" i="256"/>
  <c r="BBZ22" i="256"/>
  <c r="BCA22" i="256"/>
  <c r="BCB22" i="256"/>
  <c r="BCC22" i="256"/>
  <c r="BCD22" i="256"/>
  <c r="BCE22" i="256"/>
  <c r="BCF22" i="256"/>
  <c r="BCG22" i="256"/>
  <c r="BCH22" i="256"/>
  <c r="BCI22" i="256"/>
  <c r="BCJ22" i="256"/>
  <c r="BCK22" i="256"/>
  <c r="BCL22" i="256"/>
  <c r="BCM22" i="256"/>
  <c r="BCN22" i="256"/>
  <c r="BCO22" i="256"/>
  <c r="BCP22" i="256"/>
  <c r="BCQ22" i="256"/>
  <c r="BCR22" i="256"/>
  <c r="BCS22" i="256"/>
  <c r="BCT22" i="256"/>
  <c r="BCU22" i="256"/>
  <c r="BCV22" i="256"/>
  <c r="BCW22" i="256"/>
  <c r="BCX22" i="256"/>
  <c r="BCY22" i="256"/>
  <c r="BCZ22" i="256"/>
  <c r="BDA22" i="256"/>
  <c r="BDB22" i="256"/>
  <c r="BDC22" i="256"/>
  <c r="BDD22" i="256"/>
  <c r="BDE22" i="256"/>
  <c r="BDF22" i="256"/>
  <c r="BDG22" i="256"/>
  <c r="BDH22" i="256"/>
  <c r="BDI22" i="256"/>
  <c r="BDJ22" i="256"/>
  <c r="BDK22" i="256"/>
  <c r="BDL22" i="256"/>
  <c r="BDM22" i="256"/>
  <c r="BDN22" i="256"/>
  <c r="BDO22" i="256"/>
  <c r="BDP22" i="256"/>
  <c r="BDQ22" i="256"/>
  <c r="BDR22" i="256"/>
  <c r="BDS22" i="256"/>
  <c r="BDT22" i="256"/>
  <c r="BDU22" i="256"/>
  <c r="BDV22" i="256"/>
  <c r="BDW22" i="256"/>
  <c r="BDX22" i="256"/>
  <c r="BDY22" i="256"/>
  <c r="BDZ22" i="256"/>
  <c r="BEA22" i="256"/>
  <c r="BEB22" i="256"/>
  <c r="BEC22" i="256"/>
  <c r="BED22" i="256"/>
  <c r="BEE22" i="256"/>
  <c r="BEF22" i="256"/>
  <c r="BEG22" i="256"/>
  <c r="BEH22" i="256"/>
  <c r="BEI22" i="256"/>
  <c r="BEJ22" i="256"/>
  <c r="BEK22" i="256"/>
  <c r="BEL22" i="256"/>
  <c r="BEM22" i="256"/>
  <c r="BEN22" i="256"/>
  <c r="BEO22" i="256"/>
  <c r="BEP22" i="256"/>
  <c r="BEQ22" i="256"/>
  <c r="BER22" i="256"/>
  <c r="BES22" i="256"/>
  <c r="BET22" i="256"/>
  <c r="BEU22" i="256"/>
  <c r="BEV22" i="256"/>
  <c r="BEW22" i="256"/>
  <c r="BEX22" i="256"/>
  <c r="BEY22" i="256"/>
  <c r="BEZ22" i="256"/>
  <c r="BFA22" i="256"/>
  <c r="BFB22" i="256"/>
  <c r="BFC22" i="256"/>
  <c r="BFD22" i="256"/>
  <c r="BFE22" i="256"/>
  <c r="BFF22" i="256"/>
  <c r="BFG22" i="256"/>
  <c r="BFH22" i="256"/>
  <c r="BFI22" i="256"/>
  <c r="BFJ22" i="256"/>
  <c r="BFK22" i="256"/>
  <c r="BFL22" i="256"/>
  <c r="BFM22" i="256"/>
  <c r="BFN22" i="256"/>
  <c r="BFO22" i="256"/>
  <c r="BFP22" i="256"/>
  <c r="BFQ22" i="256"/>
  <c r="BFR22" i="256"/>
  <c r="BFS22" i="256"/>
  <c r="BFT22" i="256"/>
  <c r="BFU22" i="256"/>
  <c r="BFV22" i="256"/>
  <c r="BFW22" i="256"/>
  <c r="BFX22" i="256"/>
  <c r="BFY22" i="256"/>
  <c r="BFZ22" i="256"/>
  <c r="BGA22" i="256"/>
  <c r="BGB22" i="256"/>
  <c r="BGC22" i="256"/>
  <c r="BGD22" i="256"/>
  <c r="BGE22" i="256"/>
  <c r="BGF22" i="256"/>
  <c r="BGG22" i="256"/>
  <c r="BGH22" i="256"/>
  <c r="BGI22" i="256"/>
  <c r="BGJ22" i="256"/>
  <c r="BGK22" i="256"/>
  <c r="BGL22" i="256"/>
  <c r="BGM22" i="256"/>
  <c r="BGN22" i="256"/>
  <c r="BGO22" i="256"/>
  <c r="BGP22" i="256"/>
  <c r="BGQ22" i="256"/>
  <c r="BGR22" i="256"/>
  <c r="BGS22" i="256"/>
  <c r="BGT22" i="256"/>
  <c r="BGU22" i="256"/>
  <c r="BGV22" i="256"/>
  <c r="BGW22" i="256"/>
  <c r="BGX22" i="256"/>
  <c r="BGY22" i="256"/>
  <c r="BGZ22" i="256"/>
  <c r="BHA22" i="256"/>
  <c r="BHB22" i="256"/>
  <c r="BHC22" i="256"/>
  <c r="BHD22" i="256"/>
  <c r="BHE22" i="256"/>
  <c r="BHF22" i="256"/>
  <c r="BHG22" i="256"/>
  <c r="BHH22" i="256"/>
  <c r="BHI22" i="256"/>
  <c r="BHJ22" i="256"/>
  <c r="BHK22" i="256"/>
  <c r="BHL22" i="256"/>
  <c r="BHM22" i="256"/>
  <c r="BHN22" i="256"/>
  <c r="BHO22" i="256"/>
  <c r="BHP22" i="256"/>
  <c r="BHQ22" i="256"/>
  <c r="BHR22" i="256"/>
  <c r="BHS22" i="256"/>
  <c r="BHT22" i="256"/>
  <c r="BHU22" i="256"/>
  <c r="BHV22" i="256"/>
  <c r="BHW22" i="256"/>
  <c r="BHX22" i="256"/>
  <c r="BHY22" i="256"/>
  <c r="BHZ22" i="256"/>
  <c r="BIA22" i="256"/>
  <c r="BIB22" i="256"/>
  <c r="BIC22" i="256"/>
  <c r="BID22" i="256"/>
  <c r="BIE22" i="256"/>
  <c r="BIF22" i="256"/>
  <c r="BIG22" i="256"/>
  <c r="BIH22" i="256"/>
  <c r="BII22" i="256"/>
  <c r="BIJ22" i="256"/>
  <c r="BIK22" i="256"/>
  <c r="BIL22" i="256"/>
  <c r="BIM22" i="256"/>
  <c r="BIN22" i="256"/>
  <c r="BIO22" i="256"/>
  <c r="BIP22" i="256"/>
  <c r="BIQ22" i="256"/>
  <c r="BIR22" i="256"/>
  <c r="BIS22" i="256"/>
  <c r="BIT22" i="256"/>
  <c r="BIU22" i="256"/>
  <c r="BIV22" i="256"/>
  <c r="BIW22" i="256"/>
  <c r="BIX22" i="256"/>
  <c r="BIY22" i="256"/>
  <c r="BIZ22" i="256"/>
  <c r="BJA22" i="256"/>
  <c r="BJB22" i="256"/>
  <c r="BJC22" i="256"/>
  <c r="BJD22" i="256"/>
  <c r="BJE22" i="256"/>
  <c r="BJF22" i="256"/>
  <c r="BJG22" i="256"/>
  <c r="BJH22" i="256"/>
  <c r="BJI22" i="256"/>
  <c r="BJJ22" i="256"/>
  <c r="BJK22" i="256"/>
  <c r="BJL22" i="256"/>
  <c r="BJM22" i="256"/>
  <c r="BJN22" i="256"/>
  <c r="BJO22" i="256"/>
  <c r="BJP22" i="256"/>
  <c r="BJQ22" i="256"/>
  <c r="BJR22" i="256"/>
  <c r="BJS22" i="256"/>
  <c r="BJT22" i="256"/>
  <c r="BJU22" i="256"/>
  <c r="BJV22" i="256"/>
  <c r="BJW22" i="256"/>
  <c r="BJX22" i="256"/>
  <c r="BJY22" i="256"/>
  <c r="BJZ22" i="256"/>
  <c r="BKA22" i="256"/>
  <c r="BKB22" i="256"/>
  <c r="BKC22" i="256"/>
  <c r="BKD22" i="256"/>
  <c r="BKE22" i="256"/>
  <c r="BKF22" i="256"/>
  <c r="BKG22" i="256"/>
  <c r="BKH22" i="256"/>
  <c r="BKI22" i="256"/>
  <c r="BKJ22" i="256"/>
  <c r="BKK22" i="256"/>
  <c r="BKL22" i="256"/>
  <c r="BKM22" i="256"/>
  <c r="BKN22" i="256"/>
  <c r="BKO22" i="256"/>
  <c r="BKP22" i="256"/>
  <c r="BKQ22" i="256"/>
  <c r="BKR22" i="256"/>
  <c r="BKS22" i="256"/>
  <c r="BKT22" i="256"/>
  <c r="BKU22" i="256"/>
  <c r="BKV22" i="256"/>
  <c r="BKW22" i="256"/>
  <c r="BKX22" i="256"/>
  <c r="BKY22" i="256"/>
  <c r="BKZ22" i="256"/>
  <c r="BLA22" i="256"/>
  <c r="BLB22" i="256"/>
  <c r="BLC22" i="256"/>
  <c r="BLD22" i="256"/>
  <c r="BLE22" i="256"/>
  <c r="BLF22" i="256"/>
  <c r="BLG22" i="256"/>
  <c r="BLH22" i="256"/>
  <c r="BLI22" i="256"/>
  <c r="BLJ22" i="256"/>
  <c r="BLK22" i="256"/>
  <c r="BLL22" i="256"/>
  <c r="BLM22" i="256"/>
  <c r="BLN22" i="256"/>
  <c r="BLO22" i="256"/>
  <c r="BLP22" i="256"/>
  <c r="BLQ22" i="256"/>
  <c r="BLR22" i="256"/>
  <c r="BLS22" i="256"/>
  <c r="BLT22" i="256"/>
  <c r="BLU22" i="256"/>
  <c r="BLV22" i="256"/>
  <c r="BLW22" i="256"/>
  <c r="BLX22" i="256"/>
  <c r="BLY22" i="256"/>
  <c r="BLZ22" i="256"/>
  <c r="BMA22" i="256"/>
  <c r="BMB22" i="256"/>
  <c r="BMC22" i="256"/>
  <c r="BMD22" i="256"/>
  <c r="BME22" i="256"/>
  <c r="BMF22" i="256"/>
  <c r="BMG22" i="256"/>
  <c r="BMH22" i="256"/>
  <c r="BMI22" i="256"/>
  <c r="BMJ22" i="256"/>
  <c r="BMK22" i="256"/>
  <c r="BML22" i="256"/>
  <c r="BMM22" i="256"/>
  <c r="BMN22" i="256"/>
  <c r="BMO22" i="256"/>
  <c r="BMP22" i="256"/>
  <c r="BMQ22" i="256"/>
  <c r="BMR22" i="256"/>
  <c r="BMS22" i="256"/>
  <c r="BMT22" i="256"/>
  <c r="BMU22" i="256"/>
  <c r="BMV22" i="256"/>
  <c r="BMW22" i="256"/>
  <c r="BMX22" i="256"/>
  <c r="BMY22" i="256"/>
  <c r="BMZ22" i="256"/>
  <c r="BNA22" i="256"/>
  <c r="BNB22" i="256"/>
  <c r="BNC22" i="256"/>
  <c r="BND22" i="256"/>
  <c r="BNE22" i="256"/>
  <c r="BNF22" i="256"/>
  <c r="BNG22" i="256"/>
  <c r="BNH22" i="256"/>
  <c r="BNI22" i="256"/>
  <c r="BNJ22" i="256"/>
  <c r="BNK22" i="256"/>
  <c r="BNL22" i="256"/>
  <c r="BNM22" i="256"/>
  <c r="BNN22" i="256"/>
  <c r="BNO22" i="256"/>
  <c r="BNP22" i="256"/>
  <c r="BNQ22" i="256"/>
  <c r="BNR22" i="256"/>
  <c r="BNS22" i="256"/>
  <c r="BNT22" i="256"/>
  <c r="BNU22" i="256"/>
  <c r="BNV22" i="256"/>
  <c r="BNW22" i="256"/>
  <c r="BNX22" i="256"/>
  <c r="BNY22" i="256"/>
  <c r="BNZ22" i="256"/>
  <c r="BOA22" i="256"/>
  <c r="BOB22" i="256"/>
  <c r="BOC22" i="256"/>
  <c r="BOD22" i="256"/>
  <c r="BOE22" i="256"/>
  <c r="BOF22" i="256"/>
  <c r="BOG22" i="256"/>
  <c r="BOH22" i="256"/>
  <c r="BOI22" i="256"/>
  <c r="BOJ22" i="256"/>
  <c r="BOK22" i="256"/>
  <c r="BOL22" i="256"/>
  <c r="BOM22" i="256"/>
  <c r="BON22" i="256"/>
  <c r="BOO22" i="256"/>
  <c r="BOP22" i="256"/>
  <c r="BOQ22" i="256"/>
  <c r="BOR22" i="256"/>
  <c r="BOS22" i="256"/>
  <c r="BOT22" i="256"/>
  <c r="BOU22" i="256"/>
  <c r="BOV22" i="256"/>
  <c r="BOW22" i="256"/>
  <c r="BOX22" i="256"/>
  <c r="BOY22" i="256"/>
  <c r="BOZ22" i="256"/>
  <c r="BPA22" i="256"/>
  <c r="BPB22" i="256"/>
  <c r="BPC22" i="256"/>
  <c r="BPD22" i="256"/>
  <c r="BPE22" i="256"/>
  <c r="BPF22" i="256"/>
  <c r="BPG22" i="256"/>
  <c r="BPH22" i="256"/>
  <c r="BPI22" i="256"/>
  <c r="BPJ22" i="256"/>
  <c r="BPK22" i="256"/>
  <c r="BPL22" i="256"/>
  <c r="BPM22" i="256"/>
  <c r="BPN22" i="256"/>
  <c r="BPO22" i="256"/>
  <c r="BPP22" i="256"/>
  <c r="BPQ22" i="256"/>
  <c r="BPR22" i="256"/>
  <c r="BPS22" i="256"/>
  <c r="BPT22" i="256"/>
  <c r="BPU22" i="256"/>
  <c r="BPV22" i="256"/>
  <c r="BPW22" i="256"/>
  <c r="BPX22" i="256"/>
  <c r="BPY22" i="256"/>
  <c r="BPZ22" i="256"/>
  <c r="BQA22" i="256"/>
  <c r="BQB22" i="256"/>
  <c r="BQC22" i="256"/>
  <c r="BQD22" i="256"/>
  <c r="BQE22" i="256"/>
  <c r="BQF22" i="256"/>
  <c r="BQG22" i="256"/>
  <c r="BQH22" i="256"/>
  <c r="BQI22" i="256"/>
  <c r="BQJ22" i="256"/>
  <c r="BQK22" i="256"/>
  <c r="BQL22" i="256"/>
  <c r="BQM22" i="256"/>
  <c r="BQN22" i="256"/>
  <c r="BQO22" i="256"/>
  <c r="BQP22" i="256"/>
  <c r="BQQ22" i="256"/>
  <c r="BQR22" i="256"/>
  <c r="BQS22" i="256"/>
  <c r="BQT22" i="256"/>
  <c r="BQU22" i="256"/>
  <c r="BQV22" i="256"/>
  <c r="BQW22" i="256"/>
  <c r="BQX22" i="256"/>
  <c r="BQY22" i="256"/>
  <c r="BQZ22" i="256"/>
  <c r="BRA22" i="256"/>
  <c r="BRB22" i="256"/>
  <c r="BRC22" i="256"/>
  <c r="BRD22" i="256"/>
  <c r="BRE22" i="256"/>
  <c r="BRF22" i="256"/>
  <c r="BRG22" i="256"/>
  <c r="BRH22" i="256"/>
  <c r="BRI22" i="256"/>
  <c r="BRJ22" i="256"/>
  <c r="BRK22" i="256"/>
  <c r="BRL22" i="256"/>
  <c r="BRM22" i="256"/>
  <c r="BRN22" i="256"/>
  <c r="BRO22" i="256"/>
  <c r="BRP22" i="256"/>
  <c r="BRQ22" i="256"/>
  <c r="BRR22" i="256"/>
  <c r="BRS22" i="256"/>
  <c r="BRT22" i="256"/>
  <c r="BRU22" i="256"/>
  <c r="BRV22" i="256"/>
  <c r="BRW22" i="256"/>
  <c r="BRX22" i="256"/>
  <c r="BRY22" i="256"/>
  <c r="BRZ22" i="256"/>
  <c r="BSA22" i="256"/>
  <c r="BSB22" i="256"/>
  <c r="BSC22" i="256"/>
  <c r="BSD22" i="256"/>
  <c r="BSE22" i="256"/>
  <c r="BSF22" i="256"/>
  <c r="BSG22" i="256"/>
  <c r="BSH22" i="256"/>
  <c r="BSI22" i="256"/>
  <c r="BSJ22" i="256"/>
  <c r="BSK22" i="256"/>
  <c r="BSL22" i="256"/>
  <c r="BSM22" i="256"/>
  <c r="BSN22" i="256"/>
  <c r="BSO22" i="256"/>
  <c r="BSP22" i="256"/>
  <c r="BSQ22" i="256"/>
  <c r="BSR22" i="256"/>
  <c r="BSS22" i="256"/>
  <c r="BST22" i="256"/>
  <c r="BSU22" i="256"/>
  <c r="BSV22" i="256"/>
  <c r="BSW22" i="256"/>
  <c r="BSX22" i="256"/>
  <c r="BSY22" i="256"/>
  <c r="BSZ22" i="256"/>
  <c r="BTA22" i="256"/>
  <c r="BTB22" i="256"/>
  <c r="BTC22" i="256"/>
  <c r="BTD22" i="256"/>
  <c r="BTE22" i="256"/>
  <c r="BTF22" i="256"/>
  <c r="BTG22" i="256"/>
  <c r="BTH22" i="256"/>
  <c r="BTI22" i="256"/>
  <c r="BTJ22" i="256"/>
  <c r="BTK22" i="256"/>
  <c r="BTL22" i="256"/>
  <c r="BTM22" i="256"/>
  <c r="BTN22" i="256"/>
  <c r="BTO22" i="256"/>
  <c r="BTP22" i="256"/>
  <c r="BTQ22" i="256"/>
  <c r="BTR22" i="256"/>
  <c r="BTS22" i="256"/>
  <c r="BTT22" i="256"/>
  <c r="BTU22" i="256"/>
  <c r="BTV22" i="256"/>
  <c r="BTW22" i="256"/>
  <c r="BTX22" i="256"/>
  <c r="BTY22" i="256"/>
  <c r="BTZ22" i="256"/>
  <c r="BUA22" i="256"/>
  <c r="BUB22" i="256"/>
  <c r="BUC22" i="256"/>
  <c r="BUD22" i="256"/>
  <c r="BUE22" i="256"/>
  <c r="BUF22" i="256"/>
  <c r="BUG22" i="256"/>
  <c r="BUH22" i="256"/>
  <c r="BUI22" i="256"/>
  <c r="BUJ22" i="256"/>
  <c r="BUK22" i="256"/>
  <c r="BUL22" i="256"/>
  <c r="BUM22" i="256"/>
  <c r="BUN22" i="256"/>
  <c r="BUO22" i="256"/>
  <c r="BUP22" i="256"/>
  <c r="BUQ22" i="256"/>
  <c r="BUR22" i="256"/>
  <c r="BUS22" i="256"/>
  <c r="BUT22" i="256"/>
  <c r="BUU22" i="256"/>
  <c r="BUV22" i="256"/>
  <c r="BUW22" i="256"/>
  <c r="BUX22" i="256"/>
  <c r="BUY22" i="256"/>
  <c r="BUZ22" i="256"/>
  <c r="BVA22" i="256"/>
  <c r="BVB22" i="256"/>
  <c r="BVC22" i="256"/>
  <c r="BVD22" i="256"/>
  <c r="BVE22" i="256"/>
  <c r="BVF22" i="256"/>
  <c r="BVG22" i="256"/>
  <c r="BVH22" i="256"/>
  <c r="BVI22" i="256"/>
  <c r="BVJ22" i="256"/>
  <c r="BVK22" i="256"/>
  <c r="BVL22" i="256"/>
  <c r="BVM22" i="256"/>
  <c r="BVN22" i="256"/>
  <c r="BVO22" i="256"/>
  <c r="BVP22" i="256"/>
  <c r="BVQ22" i="256"/>
  <c r="BVR22" i="256"/>
  <c r="BVS22" i="256"/>
  <c r="BVT22" i="256"/>
  <c r="BVU22" i="256"/>
  <c r="BVV22" i="256"/>
  <c r="BVW22" i="256"/>
  <c r="BVX22" i="256"/>
  <c r="BVY22" i="256"/>
  <c r="BVZ22" i="256"/>
  <c r="BWA22" i="256"/>
  <c r="BWB22" i="256"/>
  <c r="BWC22" i="256"/>
  <c r="BWD22" i="256"/>
  <c r="BWE22" i="256"/>
  <c r="BWF22" i="256"/>
  <c r="BWG22" i="256"/>
  <c r="BWH22" i="256"/>
  <c r="BWI22" i="256"/>
  <c r="BWJ22" i="256"/>
  <c r="BWK22" i="256"/>
  <c r="BWL22" i="256"/>
  <c r="BWM22" i="256"/>
  <c r="BWN22" i="256"/>
  <c r="BWO22" i="256"/>
  <c r="BWP22" i="256"/>
  <c r="BWQ22" i="256"/>
  <c r="BWR22" i="256"/>
  <c r="BWS22" i="256"/>
  <c r="BWT22" i="256"/>
  <c r="BWU22" i="256"/>
  <c r="BWV22" i="256"/>
  <c r="BWW22" i="256"/>
  <c r="BWX22" i="256"/>
  <c r="BWY22" i="256"/>
  <c r="BWZ22" i="256"/>
  <c r="BXA22" i="256"/>
  <c r="BXB22" i="256"/>
  <c r="BXC22" i="256"/>
  <c r="BXD22" i="256"/>
  <c r="BXE22" i="256"/>
  <c r="BXF22" i="256"/>
  <c r="BXG22" i="256"/>
  <c r="BXH22" i="256"/>
  <c r="BXI22" i="256"/>
  <c r="BXJ22" i="256"/>
  <c r="BXK22" i="256"/>
  <c r="BXL22" i="256"/>
  <c r="BXM22" i="256"/>
  <c r="BXN22" i="256"/>
  <c r="BXO22" i="256"/>
  <c r="BXP22" i="256"/>
  <c r="BXQ22" i="256"/>
  <c r="BXR22" i="256"/>
  <c r="BXS22" i="256"/>
  <c r="BXT22" i="256"/>
  <c r="BXU22" i="256"/>
  <c r="BXV22" i="256"/>
  <c r="BXW22" i="256"/>
  <c r="BXX22" i="256"/>
  <c r="BXY22" i="256"/>
  <c r="BXZ22" i="256"/>
  <c r="BYA22" i="256"/>
  <c r="BYB22" i="256"/>
  <c r="BYC22" i="256"/>
  <c r="BYD22" i="256"/>
  <c r="BYE22" i="256"/>
  <c r="BYF22" i="256"/>
  <c r="BYG22" i="256"/>
  <c r="BYH22" i="256"/>
  <c r="BYI22" i="256"/>
  <c r="BYJ22" i="256"/>
  <c r="BYK22" i="256"/>
  <c r="BYL22" i="256"/>
  <c r="BYM22" i="256"/>
  <c r="BYN22" i="256"/>
  <c r="BYO22" i="256"/>
  <c r="BYP22" i="256"/>
  <c r="BYQ22" i="256"/>
  <c r="BYR22" i="256"/>
  <c r="BYS22" i="256"/>
  <c r="BYT22" i="256"/>
  <c r="BYU22" i="256"/>
  <c r="BYV22" i="256"/>
  <c r="BYW22" i="256"/>
  <c r="BYX22" i="256"/>
  <c r="BYY22" i="256"/>
  <c r="BYZ22" i="256"/>
  <c r="BZA22" i="256"/>
  <c r="BZB22" i="256"/>
  <c r="BZC22" i="256"/>
  <c r="BZD22" i="256"/>
  <c r="BZE22" i="256"/>
  <c r="BZF22" i="256"/>
  <c r="BZG22" i="256"/>
  <c r="BZH22" i="256"/>
  <c r="BZI22" i="256"/>
  <c r="BZJ22" i="256"/>
  <c r="BZK22" i="256"/>
  <c r="BZL22" i="256"/>
  <c r="BZM22" i="256"/>
  <c r="BZN22" i="256"/>
  <c r="BZO22" i="256"/>
  <c r="BZP22" i="256"/>
  <c r="BZQ22" i="256"/>
  <c r="BZR22" i="256"/>
  <c r="BZS22" i="256"/>
  <c r="BZT22" i="256"/>
  <c r="BZU22" i="256"/>
  <c r="BZV22" i="256"/>
  <c r="BZW22" i="256"/>
  <c r="BZX22" i="256"/>
  <c r="BZY22" i="256"/>
  <c r="BZZ22" i="256"/>
  <c r="CAA22" i="256"/>
  <c r="CAB22" i="256"/>
  <c r="CAC22" i="256"/>
  <c r="CAD22" i="256"/>
  <c r="CAE22" i="256"/>
  <c r="CAF22" i="256"/>
  <c r="CAG22" i="256"/>
  <c r="CAH22" i="256"/>
  <c r="CAI22" i="256"/>
  <c r="CAJ22" i="256"/>
  <c r="CAK22" i="256"/>
  <c r="CAL22" i="256"/>
  <c r="CAM22" i="256"/>
  <c r="CAN22" i="256"/>
  <c r="CAO22" i="256"/>
  <c r="CAP22" i="256"/>
  <c r="CAQ22" i="256"/>
  <c r="CAR22" i="256"/>
  <c r="CAS22" i="256"/>
  <c r="CAT22" i="256"/>
  <c r="CAU22" i="256"/>
  <c r="CAV22" i="256"/>
  <c r="CAW22" i="256"/>
  <c r="CAX22" i="256"/>
  <c r="CAY22" i="256"/>
  <c r="CAZ22" i="256"/>
  <c r="CBA22" i="256"/>
  <c r="CBB22" i="256"/>
  <c r="CBC22" i="256"/>
  <c r="CBD22" i="256"/>
  <c r="CBE22" i="256"/>
  <c r="CBF22" i="256"/>
  <c r="CBG22" i="256"/>
  <c r="CBH22" i="256"/>
  <c r="CBI22" i="256"/>
  <c r="CBJ22" i="256"/>
  <c r="CBK22" i="256"/>
  <c r="CBL22" i="256"/>
  <c r="CBM22" i="256"/>
  <c r="CBN22" i="256"/>
  <c r="CBO22" i="256"/>
  <c r="CBP22" i="256"/>
  <c r="CBQ22" i="256"/>
  <c r="CBR22" i="256"/>
  <c r="CBS22" i="256"/>
  <c r="CBT22" i="256"/>
  <c r="CBU22" i="256"/>
  <c r="CBV22" i="256"/>
  <c r="CBW22" i="256"/>
  <c r="CBX22" i="256"/>
  <c r="CBY22" i="256"/>
  <c r="CBZ22" i="256"/>
  <c r="CCA22" i="256"/>
  <c r="CCB22" i="256"/>
  <c r="CCC22" i="256"/>
  <c r="CCD22" i="256"/>
  <c r="CCE22" i="256"/>
  <c r="CCF22" i="256"/>
  <c r="CCG22" i="256"/>
  <c r="CCH22" i="256"/>
  <c r="CCI22" i="256"/>
  <c r="CCJ22" i="256"/>
  <c r="CCK22" i="256"/>
  <c r="CCL22" i="256"/>
  <c r="CCM22" i="256"/>
  <c r="CCN22" i="256"/>
  <c r="CCO22" i="256"/>
  <c r="CCP22" i="256"/>
  <c r="CCQ22" i="256"/>
  <c r="CCR22" i="256"/>
  <c r="CCS22" i="256"/>
  <c r="CCT22" i="256"/>
  <c r="CCU22" i="256"/>
  <c r="CCV22" i="256"/>
  <c r="CCW22" i="256"/>
  <c r="CCX22" i="256"/>
  <c r="CCY22" i="256"/>
  <c r="CCZ22" i="256"/>
  <c r="CDA22" i="256"/>
  <c r="CDB22" i="256"/>
  <c r="CDC22" i="256"/>
  <c r="CDD22" i="256"/>
  <c r="CDE22" i="256"/>
  <c r="CDF22" i="256"/>
  <c r="CDG22" i="256"/>
  <c r="CDH22" i="256"/>
  <c r="CDI22" i="256"/>
  <c r="CDJ22" i="256"/>
  <c r="CDK22" i="256"/>
  <c r="CDL22" i="256"/>
  <c r="CDM22" i="256"/>
  <c r="CDN22" i="256"/>
  <c r="CDO22" i="256"/>
  <c r="CDP22" i="256"/>
  <c r="CDQ22" i="256"/>
  <c r="CDR22" i="256"/>
  <c r="CDS22" i="256"/>
  <c r="CDT22" i="256"/>
  <c r="CDU22" i="256"/>
  <c r="CDV22" i="256"/>
  <c r="CDW22" i="256"/>
  <c r="CDX22" i="256"/>
  <c r="CDY22" i="256"/>
  <c r="CDZ22" i="256"/>
  <c r="CEA22" i="256"/>
  <c r="CEB22" i="256"/>
  <c r="CEC22" i="256"/>
  <c r="CED22" i="256"/>
  <c r="CEE22" i="256"/>
  <c r="CEF22" i="256"/>
  <c r="CEG22" i="256"/>
  <c r="CEH22" i="256"/>
  <c r="CEI22" i="256"/>
  <c r="CEJ22" i="256"/>
  <c r="CEK22" i="256"/>
  <c r="CEL22" i="256"/>
  <c r="CEM22" i="256"/>
  <c r="CEN22" i="256"/>
  <c r="CEO22" i="256"/>
  <c r="CEP22" i="256"/>
  <c r="CEQ22" i="256"/>
  <c r="CER22" i="256"/>
  <c r="CES22" i="256"/>
  <c r="CET22" i="256"/>
  <c r="CEU22" i="256"/>
  <c r="CEV22" i="256"/>
  <c r="CEW22" i="256"/>
  <c r="CEX22" i="256"/>
  <c r="CEY22" i="256"/>
  <c r="CEZ22" i="256"/>
  <c r="CFA22" i="256"/>
  <c r="CFB22" i="256"/>
  <c r="CFC22" i="256"/>
  <c r="CFD22" i="256"/>
  <c r="CFE22" i="256"/>
  <c r="CFF22" i="256"/>
  <c r="CFG22" i="256"/>
  <c r="CFH22" i="256"/>
  <c r="CFI22" i="256"/>
  <c r="CFJ22" i="256"/>
  <c r="CFK22" i="256"/>
  <c r="CFL22" i="256"/>
  <c r="CFM22" i="256"/>
  <c r="CFN22" i="256"/>
  <c r="CFO22" i="256"/>
  <c r="CFP22" i="256"/>
  <c r="CFQ22" i="256"/>
  <c r="CFR22" i="256"/>
  <c r="CFS22" i="256"/>
  <c r="CFT22" i="256"/>
  <c r="CFU22" i="256"/>
  <c r="CFV22" i="256"/>
  <c r="CFW22" i="256"/>
  <c r="CFX22" i="256"/>
  <c r="CFY22" i="256"/>
  <c r="CFZ22" i="256"/>
  <c r="CGA22" i="256"/>
  <c r="CGB22" i="256"/>
  <c r="CGC22" i="256"/>
  <c r="CGD22" i="256"/>
  <c r="CGE22" i="256"/>
  <c r="CGF22" i="256"/>
  <c r="CGG22" i="256"/>
  <c r="CGH22" i="256"/>
  <c r="CGI22" i="256"/>
  <c r="CGJ22" i="256"/>
  <c r="CGK22" i="256"/>
  <c r="CGL22" i="256"/>
  <c r="CGM22" i="256"/>
  <c r="CGN22" i="256"/>
  <c r="CGO22" i="256"/>
  <c r="CGP22" i="256"/>
  <c r="CGQ22" i="256"/>
  <c r="CGR22" i="256"/>
  <c r="CGS22" i="256"/>
  <c r="CGT22" i="256"/>
  <c r="CGU22" i="256"/>
  <c r="CGV22" i="256"/>
  <c r="CGW22" i="256"/>
  <c r="CGX22" i="256"/>
  <c r="CGY22" i="256"/>
  <c r="CGZ22" i="256"/>
  <c r="CHA22" i="256"/>
  <c r="CHB22" i="256"/>
  <c r="CHC22" i="256"/>
  <c r="CHD22" i="256"/>
  <c r="CHE22" i="256"/>
  <c r="CHF22" i="256"/>
  <c r="CHG22" i="256"/>
  <c r="CHH22" i="256"/>
  <c r="CHI22" i="256"/>
  <c r="CHJ22" i="256"/>
  <c r="CHK22" i="256"/>
  <c r="CHL22" i="256"/>
  <c r="CHM22" i="256"/>
  <c r="CHN22" i="256"/>
  <c r="CHO22" i="256"/>
  <c r="CHP22" i="256"/>
  <c r="CHQ22" i="256"/>
  <c r="CHR22" i="256"/>
  <c r="CHS22" i="256"/>
  <c r="CHT22" i="256"/>
  <c r="CHU22" i="256"/>
  <c r="CHV22" i="256"/>
  <c r="CHW22" i="256"/>
  <c r="CHX22" i="256"/>
  <c r="CHY22" i="256"/>
  <c r="CHZ22" i="256"/>
  <c r="CIA22" i="256"/>
  <c r="CIB22" i="256"/>
  <c r="CIC22" i="256"/>
  <c r="CID22" i="256"/>
  <c r="CIE22" i="256"/>
  <c r="CIF22" i="256"/>
  <c r="CIG22" i="256"/>
  <c r="CIH22" i="256"/>
  <c r="CII22" i="256"/>
  <c r="CIJ22" i="256"/>
  <c r="CIK22" i="256"/>
  <c r="CIL22" i="256"/>
  <c r="CIM22" i="256"/>
  <c r="CIN22" i="256"/>
  <c r="CIO22" i="256"/>
  <c r="CIP22" i="256"/>
  <c r="CIQ22" i="256"/>
  <c r="CIR22" i="256"/>
  <c r="CIS22" i="256"/>
  <c r="CIT22" i="256"/>
  <c r="CIU22" i="256"/>
  <c r="CIV22" i="256"/>
  <c r="CIW22" i="256"/>
  <c r="CIX22" i="256"/>
  <c r="CIY22" i="256"/>
  <c r="CIZ22" i="256"/>
  <c r="CJA22" i="256"/>
  <c r="CJB22" i="256"/>
  <c r="CJC22" i="256"/>
  <c r="CJD22" i="256"/>
  <c r="CJE22" i="256"/>
  <c r="CJF22" i="256"/>
  <c r="CJG22" i="256"/>
  <c r="CJH22" i="256"/>
  <c r="CJI22" i="256"/>
  <c r="CJJ22" i="256"/>
  <c r="CJK22" i="256"/>
  <c r="CJL22" i="256"/>
  <c r="CJM22" i="256"/>
  <c r="CJN22" i="256"/>
  <c r="CJO22" i="256"/>
  <c r="CJP22" i="256"/>
  <c r="CJQ22" i="256"/>
  <c r="CJR22" i="256"/>
  <c r="CJS22" i="256"/>
  <c r="CJT22" i="256"/>
  <c r="CJU22" i="256"/>
  <c r="CJV22" i="256"/>
  <c r="CJW22" i="256"/>
  <c r="CJX22" i="256"/>
  <c r="CJY22" i="256"/>
  <c r="CJZ22" i="256"/>
  <c r="CKA22" i="256"/>
  <c r="CKB22" i="256"/>
  <c r="CKC22" i="256"/>
  <c r="CKD22" i="256"/>
  <c r="CKE22" i="256"/>
  <c r="CKF22" i="256"/>
  <c r="CKG22" i="256"/>
  <c r="CKH22" i="256"/>
  <c r="CKI22" i="256"/>
  <c r="CKJ22" i="256"/>
  <c r="CKK22" i="256"/>
  <c r="CKL22" i="256"/>
  <c r="CKM22" i="256"/>
  <c r="CKN22" i="256"/>
  <c r="CKO22" i="256"/>
  <c r="CKP22" i="256"/>
  <c r="CKQ22" i="256"/>
  <c r="CKR22" i="256"/>
  <c r="CKS22" i="256"/>
  <c r="CKT22" i="256"/>
  <c r="CKU22" i="256"/>
  <c r="CKV22" i="256"/>
  <c r="CKW22" i="256"/>
  <c r="CKX22" i="256"/>
  <c r="CKY22" i="256"/>
  <c r="CKZ22" i="256"/>
  <c r="CLA22" i="256"/>
  <c r="CLB22" i="256"/>
  <c r="CLC22" i="256"/>
  <c r="CLD22" i="256"/>
  <c r="CLE22" i="256"/>
  <c r="CLF22" i="256"/>
  <c r="CLG22" i="256"/>
  <c r="CLH22" i="256"/>
  <c r="CLI22" i="256"/>
  <c r="CLJ22" i="256"/>
  <c r="CLK22" i="256"/>
  <c r="CLL22" i="256"/>
  <c r="CLM22" i="256"/>
  <c r="CLN22" i="256"/>
  <c r="CLO22" i="256"/>
  <c r="CLP22" i="256"/>
  <c r="CLQ22" i="256"/>
  <c r="CLR22" i="256"/>
  <c r="CLS22" i="256"/>
  <c r="CLT22" i="256"/>
  <c r="CLU22" i="256"/>
  <c r="CLV22" i="256"/>
  <c r="CLW22" i="256"/>
  <c r="CLX22" i="256"/>
  <c r="CLY22" i="256"/>
  <c r="CLZ22" i="256"/>
  <c r="CMA22" i="256"/>
  <c r="CMB22" i="256"/>
  <c r="CMC22" i="256"/>
  <c r="CMD22" i="256"/>
  <c r="CME22" i="256"/>
  <c r="CMF22" i="256"/>
  <c r="CMG22" i="256"/>
  <c r="CMH22" i="256"/>
  <c r="CMI22" i="256"/>
  <c r="CMJ22" i="256"/>
  <c r="CMK22" i="256"/>
  <c r="CML22" i="256"/>
  <c r="CMM22" i="256"/>
  <c r="CMN22" i="256"/>
  <c r="CMO22" i="256"/>
  <c r="CMP22" i="256"/>
  <c r="CMQ22" i="256"/>
  <c r="CMR22" i="256"/>
  <c r="CMS22" i="256"/>
  <c r="CMT22" i="256"/>
  <c r="CMU22" i="256"/>
  <c r="CMV22" i="256"/>
  <c r="CMW22" i="256"/>
  <c r="CMX22" i="256"/>
  <c r="CMY22" i="256"/>
  <c r="CMZ22" i="256"/>
  <c r="CNA22" i="256"/>
  <c r="CNB22" i="256"/>
  <c r="CNC22" i="256"/>
  <c r="CND22" i="256"/>
  <c r="CNE22" i="256"/>
  <c r="CNF22" i="256"/>
  <c r="CNG22" i="256"/>
  <c r="CNH22" i="256"/>
  <c r="CNI22" i="256"/>
  <c r="CNJ22" i="256"/>
  <c r="CNK22" i="256"/>
  <c r="CNL22" i="256"/>
  <c r="CNM22" i="256"/>
  <c r="CNN22" i="256"/>
  <c r="CNO22" i="256"/>
  <c r="CNP22" i="256"/>
  <c r="CNQ22" i="256"/>
  <c r="CNR22" i="256"/>
  <c r="CNS22" i="256"/>
  <c r="CNT22" i="256"/>
  <c r="CNU22" i="256"/>
  <c r="CNV22" i="256"/>
  <c r="CNW22" i="256"/>
  <c r="CNX22" i="256"/>
  <c r="CNY22" i="256"/>
  <c r="CNZ22" i="256"/>
  <c r="COA22" i="256"/>
  <c r="COB22" i="256"/>
  <c r="COC22" i="256"/>
  <c r="COD22" i="256"/>
  <c r="COE22" i="256"/>
  <c r="COF22" i="256"/>
  <c r="COG22" i="256"/>
  <c r="COH22" i="256"/>
  <c r="COI22" i="256"/>
  <c r="COJ22" i="256"/>
  <c r="COK22" i="256"/>
  <c r="COL22" i="256"/>
  <c r="COM22" i="256"/>
  <c r="CON22" i="256"/>
  <c r="COO22" i="256"/>
  <c r="COP22" i="256"/>
  <c r="COQ22" i="256"/>
  <c r="COR22" i="256"/>
  <c r="COS22" i="256"/>
  <c r="COT22" i="256"/>
  <c r="COU22" i="256"/>
  <c r="COV22" i="256"/>
  <c r="COW22" i="256"/>
  <c r="COX22" i="256"/>
  <c r="COY22" i="256"/>
  <c r="COZ22" i="256"/>
  <c r="CPA22" i="256"/>
  <c r="CPB22" i="256"/>
  <c r="CPC22" i="256"/>
  <c r="CPD22" i="256"/>
  <c r="CPE22" i="256"/>
  <c r="CPF22" i="256"/>
  <c r="CPG22" i="256"/>
  <c r="CPH22" i="256"/>
  <c r="CPI22" i="256"/>
  <c r="CPJ22" i="256"/>
  <c r="CPK22" i="256"/>
  <c r="CPL22" i="256"/>
  <c r="CPM22" i="256"/>
  <c r="CPN22" i="256"/>
  <c r="CPO22" i="256"/>
  <c r="CPP22" i="256"/>
  <c r="CPQ22" i="256"/>
  <c r="CPR22" i="256"/>
  <c r="CPS22" i="256"/>
  <c r="CPT22" i="256"/>
  <c r="CPU22" i="256"/>
  <c r="CPV22" i="256"/>
  <c r="CPW22" i="256"/>
  <c r="CPX22" i="256"/>
  <c r="CPY22" i="256"/>
  <c r="CPZ22" i="256"/>
  <c r="CQA22" i="256"/>
  <c r="CQB22" i="256"/>
  <c r="CQC22" i="256"/>
  <c r="CQD22" i="256"/>
  <c r="CQE22" i="256"/>
  <c r="CQF22" i="256"/>
  <c r="CQG22" i="256"/>
  <c r="CQH22" i="256"/>
  <c r="CQI22" i="256"/>
  <c r="CQJ22" i="256"/>
  <c r="CQK22" i="256"/>
  <c r="CQL22" i="256"/>
  <c r="CQM22" i="256"/>
  <c r="CQN22" i="256"/>
  <c r="CQO22" i="256"/>
  <c r="CQP22" i="256"/>
  <c r="CQQ22" i="256"/>
  <c r="CQR22" i="256"/>
  <c r="CQS22" i="256"/>
  <c r="CQT22" i="256"/>
  <c r="CQU22" i="256"/>
  <c r="CQV22" i="256"/>
  <c r="CQW22" i="256"/>
  <c r="CQX22" i="256"/>
  <c r="CQY22" i="256"/>
  <c r="CQZ22" i="256"/>
  <c r="CRA22" i="256"/>
  <c r="CRB22" i="256"/>
  <c r="CRC22" i="256"/>
  <c r="CRD22" i="256"/>
  <c r="CRE22" i="256"/>
  <c r="CRF22" i="256"/>
  <c r="CRG22" i="256"/>
  <c r="CRH22" i="256"/>
  <c r="CRI22" i="256"/>
  <c r="CRJ22" i="256"/>
  <c r="CRK22" i="256"/>
  <c r="CRL22" i="256"/>
  <c r="CRM22" i="256"/>
  <c r="CRN22" i="256"/>
  <c r="CRO22" i="256"/>
  <c r="CRP22" i="256"/>
  <c r="CRQ22" i="256"/>
  <c r="CRR22" i="256"/>
  <c r="CRS22" i="256"/>
  <c r="CRT22" i="256"/>
  <c r="CRU22" i="256"/>
  <c r="CRV22" i="256"/>
  <c r="CRW22" i="256"/>
  <c r="CRX22" i="256"/>
  <c r="CRY22" i="256"/>
  <c r="CRZ22" i="256"/>
  <c r="CSA22" i="256"/>
  <c r="CSB22" i="256"/>
  <c r="CSC22" i="256"/>
  <c r="CSD22" i="256"/>
  <c r="CSE22" i="256"/>
  <c r="CSF22" i="256"/>
  <c r="CSG22" i="256"/>
  <c r="CSH22" i="256"/>
  <c r="CSI22" i="256"/>
  <c r="CSJ22" i="256"/>
  <c r="CSK22" i="256"/>
  <c r="CSL22" i="256"/>
  <c r="CSM22" i="256"/>
  <c r="CSN22" i="256"/>
  <c r="CSO22" i="256"/>
  <c r="CSP22" i="256"/>
  <c r="CSQ22" i="256"/>
  <c r="CSR22" i="256"/>
  <c r="CSS22" i="256"/>
  <c r="CST22" i="256"/>
  <c r="CSU22" i="256"/>
  <c r="CSV22" i="256"/>
  <c r="CSW22" i="256"/>
  <c r="CSX22" i="256"/>
  <c r="CSY22" i="256"/>
  <c r="CSZ22" i="256"/>
  <c r="CTA22" i="256"/>
  <c r="CTB22" i="256"/>
  <c r="CTC22" i="256"/>
  <c r="CTD22" i="256"/>
  <c r="CTE22" i="256"/>
  <c r="CTF22" i="256"/>
  <c r="CTG22" i="256"/>
  <c r="CTH22" i="256"/>
  <c r="CTI22" i="256"/>
  <c r="CTJ22" i="256"/>
  <c r="CTK22" i="256"/>
  <c r="CTL22" i="256"/>
  <c r="CTM22" i="256"/>
  <c r="CTN22" i="256"/>
  <c r="CTO22" i="256"/>
  <c r="CTP22" i="256"/>
  <c r="CTQ22" i="256"/>
  <c r="CTR22" i="256"/>
  <c r="CTS22" i="256"/>
  <c r="CTT22" i="256"/>
  <c r="CTU22" i="256"/>
  <c r="CTV22" i="256"/>
  <c r="CTW22" i="256"/>
  <c r="CTX22" i="256"/>
  <c r="CTY22" i="256"/>
  <c r="CTZ22" i="256"/>
  <c r="CUA22" i="256"/>
  <c r="CUB22" i="256"/>
  <c r="CUC22" i="256"/>
  <c r="CUD22" i="256"/>
  <c r="CUE22" i="256"/>
  <c r="CUF22" i="256"/>
  <c r="CUG22" i="256"/>
  <c r="CUH22" i="256"/>
  <c r="CUI22" i="256"/>
  <c r="CUJ22" i="256"/>
  <c r="CUK22" i="256"/>
  <c r="CUL22" i="256"/>
  <c r="CUM22" i="256"/>
  <c r="CUN22" i="256"/>
  <c r="CUO22" i="256"/>
  <c r="CUP22" i="256"/>
  <c r="CUQ22" i="256"/>
  <c r="CUR22" i="256"/>
  <c r="CUS22" i="256"/>
  <c r="CUT22" i="256"/>
  <c r="CUU22" i="256"/>
  <c r="CUV22" i="256"/>
  <c r="CUW22" i="256"/>
  <c r="CUX22" i="256"/>
  <c r="CUY22" i="256"/>
  <c r="CUZ22" i="256"/>
  <c r="CVA22" i="256"/>
  <c r="CVB22" i="256"/>
  <c r="CVC22" i="256"/>
  <c r="CVD22" i="256"/>
  <c r="CVE22" i="256"/>
  <c r="CVF22" i="256"/>
  <c r="CVG22" i="256"/>
  <c r="CVH22" i="256"/>
  <c r="CVI22" i="256"/>
  <c r="CVJ22" i="256"/>
  <c r="CVK22" i="256"/>
  <c r="CVL22" i="256"/>
  <c r="CVM22" i="256"/>
  <c r="CVN22" i="256"/>
  <c r="CVO22" i="256"/>
  <c r="CVP22" i="256"/>
  <c r="CVQ22" i="256"/>
  <c r="CVR22" i="256"/>
  <c r="CVS22" i="256"/>
  <c r="CVT22" i="256"/>
  <c r="CVU22" i="256"/>
  <c r="CVV22" i="256"/>
  <c r="CVW22" i="256"/>
  <c r="CVX22" i="256"/>
  <c r="CVY22" i="256"/>
  <c r="CVZ22" i="256"/>
  <c r="CWA22" i="256"/>
  <c r="CWB22" i="256"/>
  <c r="CWC22" i="256"/>
  <c r="CWD22" i="256"/>
  <c r="CWE22" i="256"/>
  <c r="CWF22" i="256"/>
  <c r="CWG22" i="256"/>
  <c r="CWH22" i="256"/>
  <c r="CWI22" i="256"/>
  <c r="CWJ22" i="256"/>
  <c r="CWK22" i="256"/>
  <c r="CWL22" i="256"/>
  <c r="CWM22" i="256"/>
  <c r="CWN22" i="256"/>
  <c r="CWO22" i="256"/>
  <c r="CWP22" i="256"/>
  <c r="CWQ22" i="256"/>
  <c r="CWR22" i="256"/>
  <c r="CWS22" i="256"/>
  <c r="CWT22" i="256"/>
  <c r="CWU22" i="256"/>
  <c r="CWV22" i="256"/>
  <c r="CWW22" i="256"/>
  <c r="CWX22" i="256"/>
  <c r="CWY22" i="256"/>
  <c r="CWZ22" i="256"/>
  <c r="CXA22" i="256"/>
  <c r="CXB22" i="256"/>
  <c r="CXC22" i="256"/>
  <c r="CXD22" i="256"/>
  <c r="CXE22" i="256"/>
  <c r="CXF22" i="256"/>
  <c r="CXG22" i="256"/>
  <c r="CXH22" i="256"/>
  <c r="CXI22" i="256"/>
  <c r="CXJ22" i="256"/>
  <c r="CXK22" i="256"/>
  <c r="CXL22" i="256"/>
  <c r="CXM22" i="256"/>
  <c r="CXN22" i="256"/>
  <c r="CXO22" i="256"/>
  <c r="CXP22" i="256"/>
  <c r="CXQ22" i="256"/>
  <c r="CXR22" i="256"/>
  <c r="CXS22" i="256"/>
  <c r="CXT22" i="256"/>
  <c r="CXU22" i="256"/>
  <c r="CXV22" i="256"/>
  <c r="CXW22" i="256"/>
  <c r="CXX22" i="256"/>
  <c r="CXY22" i="256"/>
  <c r="CXZ22" i="256"/>
  <c r="CYA22" i="256"/>
  <c r="CYB22" i="256"/>
  <c r="CYC22" i="256"/>
  <c r="CYD22" i="256"/>
  <c r="CYE22" i="256"/>
  <c r="CYF22" i="256"/>
  <c r="CYG22" i="256"/>
  <c r="CYH22" i="256"/>
  <c r="CYI22" i="256"/>
  <c r="CYJ22" i="256"/>
  <c r="CYK22" i="256"/>
  <c r="CYL22" i="256"/>
  <c r="CYM22" i="256"/>
  <c r="CYN22" i="256"/>
  <c r="CYO22" i="256"/>
  <c r="CYP22" i="256"/>
  <c r="CYQ22" i="256"/>
  <c r="CYR22" i="256"/>
  <c r="CYS22" i="256"/>
  <c r="CYT22" i="256"/>
  <c r="CYU22" i="256"/>
  <c r="CYV22" i="256"/>
  <c r="CYW22" i="256"/>
  <c r="CYX22" i="256"/>
  <c r="CYY22" i="256"/>
  <c r="CYZ22" i="256"/>
  <c r="CZA22" i="256"/>
  <c r="CZB22" i="256"/>
  <c r="CZC22" i="256"/>
  <c r="CZD22" i="256"/>
  <c r="CZE22" i="256"/>
  <c r="CZF22" i="256"/>
  <c r="CZG22" i="256"/>
  <c r="CZH22" i="256"/>
  <c r="CZI22" i="256"/>
  <c r="CZJ22" i="256"/>
  <c r="CZK22" i="256"/>
  <c r="CZL22" i="256"/>
  <c r="CZM22" i="256"/>
  <c r="CZN22" i="256"/>
  <c r="CZO22" i="256"/>
  <c r="CZP22" i="256"/>
  <c r="CZQ22" i="256"/>
  <c r="CZR22" i="256"/>
  <c r="CZS22" i="256"/>
  <c r="CZT22" i="256"/>
  <c r="CZU22" i="256"/>
  <c r="CZV22" i="256"/>
  <c r="CZW22" i="256"/>
  <c r="CZX22" i="256"/>
  <c r="CZY22" i="256"/>
  <c r="CZZ22" i="256"/>
  <c r="DAA22" i="256"/>
  <c r="DAB22" i="256"/>
  <c r="DAC22" i="256"/>
  <c r="DAD22" i="256"/>
  <c r="DAE22" i="256"/>
  <c r="DAF22" i="256"/>
  <c r="DAG22" i="256"/>
  <c r="DAH22" i="256"/>
  <c r="DAI22" i="256"/>
  <c r="DAJ22" i="256"/>
  <c r="DAK22" i="256"/>
  <c r="DAL22" i="256"/>
  <c r="DAM22" i="256"/>
  <c r="DAN22" i="256"/>
  <c r="DAO22" i="256"/>
  <c r="DAP22" i="256"/>
  <c r="DAQ22" i="256"/>
  <c r="DAR22" i="256"/>
  <c r="DAS22" i="256"/>
  <c r="DAT22" i="256"/>
  <c r="DAU22" i="256"/>
  <c r="DAV22" i="256"/>
  <c r="DAW22" i="256"/>
  <c r="DAX22" i="256"/>
  <c r="DAY22" i="256"/>
  <c r="DAZ22" i="256"/>
  <c r="DBA22" i="256"/>
  <c r="DBB22" i="256"/>
  <c r="DBC22" i="256"/>
  <c r="DBD22" i="256"/>
  <c r="DBE22" i="256"/>
  <c r="DBF22" i="256"/>
  <c r="DBG22" i="256"/>
  <c r="DBH22" i="256"/>
  <c r="DBI22" i="256"/>
  <c r="DBJ22" i="256"/>
  <c r="DBK22" i="256"/>
  <c r="DBL22" i="256"/>
  <c r="DBM22" i="256"/>
  <c r="DBN22" i="256"/>
  <c r="DBO22" i="256"/>
  <c r="DBP22" i="256"/>
  <c r="DBQ22" i="256"/>
  <c r="DBR22" i="256"/>
  <c r="DBS22" i="256"/>
  <c r="DBT22" i="256"/>
  <c r="DBU22" i="256"/>
  <c r="DBV22" i="256"/>
  <c r="DBW22" i="256"/>
  <c r="DBX22" i="256"/>
  <c r="DBY22" i="256"/>
  <c r="DBZ22" i="256"/>
  <c r="DCA22" i="256"/>
  <c r="DCB22" i="256"/>
  <c r="DCC22" i="256"/>
  <c r="DCD22" i="256"/>
  <c r="DCE22" i="256"/>
  <c r="DCF22" i="256"/>
  <c r="DCG22" i="256"/>
  <c r="DCH22" i="256"/>
  <c r="DCI22" i="256"/>
  <c r="DCJ22" i="256"/>
  <c r="DCK22" i="256"/>
  <c r="DCL22" i="256"/>
  <c r="DCM22" i="256"/>
  <c r="DCN22" i="256"/>
  <c r="DCO22" i="256"/>
  <c r="DCP22" i="256"/>
  <c r="DCQ22" i="256"/>
  <c r="DCR22" i="256"/>
  <c r="DCS22" i="256"/>
  <c r="DCT22" i="256"/>
  <c r="DCU22" i="256"/>
  <c r="DCV22" i="256"/>
  <c r="DCW22" i="256"/>
  <c r="DCX22" i="256"/>
  <c r="DCY22" i="256"/>
  <c r="DCZ22" i="256"/>
  <c r="DDA22" i="256"/>
  <c r="DDB22" i="256"/>
  <c r="DDC22" i="256"/>
  <c r="DDD22" i="256"/>
  <c r="DDE22" i="256"/>
  <c r="DDF22" i="256"/>
  <c r="DDG22" i="256"/>
  <c r="DDH22" i="256"/>
  <c r="DDI22" i="256"/>
  <c r="DDJ22" i="256"/>
  <c r="DDK22" i="256"/>
  <c r="DDL22" i="256"/>
  <c r="DDM22" i="256"/>
  <c r="DDN22" i="256"/>
  <c r="DDO22" i="256"/>
  <c r="DDP22" i="256"/>
  <c r="DDQ22" i="256"/>
  <c r="DDR22" i="256"/>
  <c r="DDS22" i="256"/>
  <c r="DDT22" i="256"/>
  <c r="DDU22" i="256"/>
  <c r="DDV22" i="256"/>
  <c r="DDW22" i="256"/>
  <c r="DDX22" i="256"/>
  <c r="DDY22" i="256"/>
  <c r="DDZ22" i="256"/>
  <c r="DEA22" i="256"/>
  <c r="DEB22" i="256"/>
  <c r="DEC22" i="256"/>
  <c r="DED22" i="256"/>
  <c r="DEE22" i="256"/>
  <c r="DEF22" i="256"/>
  <c r="DEG22" i="256"/>
  <c r="DEH22" i="256"/>
  <c r="DEI22" i="256"/>
  <c r="DEJ22" i="256"/>
  <c r="DEK22" i="256"/>
  <c r="DEL22" i="256"/>
  <c r="DEM22" i="256"/>
  <c r="DEN22" i="256"/>
  <c r="DEO22" i="256"/>
  <c r="DEP22" i="256"/>
  <c r="DEQ22" i="256"/>
  <c r="DER22" i="256"/>
  <c r="DES22" i="256"/>
  <c r="DET22" i="256"/>
  <c r="DEU22" i="256"/>
  <c r="DEV22" i="256"/>
  <c r="DEW22" i="256"/>
  <c r="DEX22" i="256"/>
  <c r="DEY22" i="256"/>
  <c r="DEZ22" i="256"/>
  <c r="DFA22" i="256"/>
  <c r="DFB22" i="256"/>
  <c r="DFC22" i="256"/>
  <c r="DFD22" i="256"/>
  <c r="DFE22" i="256"/>
  <c r="DFF22" i="256"/>
  <c r="DFG22" i="256"/>
  <c r="DFH22" i="256"/>
  <c r="DFI22" i="256"/>
  <c r="DFJ22" i="256"/>
  <c r="DFK22" i="256"/>
  <c r="DFL22" i="256"/>
  <c r="DFM22" i="256"/>
  <c r="DFN22" i="256"/>
  <c r="DFO22" i="256"/>
  <c r="DFP22" i="256"/>
  <c r="DFQ22" i="256"/>
  <c r="DFR22" i="256"/>
  <c r="DFS22" i="256"/>
  <c r="DFT22" i="256"/>
  <c r="DFU22" i="256"/>
  <c r="DFV22" i="256"/>
  <c r="DFW22" i="256"/>
  <c r="DFX22" i="256"/>
  <c r="DFY22" i="256"/>
  <c r="DFZ22" i="256"/>
  <c r="DGA22" i="256"/>
  <c r="DGB22" i="256"/>
  <c r="DGC22" i="256"/>
  <c r="DGD22" i="256"/>
  <c r="DGE22" i="256"/>
  <c r="DGF22" i="256"/>
  <c r="DGG22" i="256"/>
  <c r="DGH22" i="256"/>
  <c r="DGI22" i="256"/>
  <c r="DGJ22" i="256"/>
  <c r="DGK22" i="256"/>
  <c r="DGL22" i="256"/>
  <c r="DGM22" i="256"/>
  <c r="DGN22" i="256"/>
  <c r="DGO22" i="256"/>
  <c r="DGP22" i="256"/>
  <c r="DGQ22" i="256"/>
  <c r="DGR22" i="256"/>
  <c r="DGS22" i="256"/>
  <c r="DGT22" i="256"/>
  <c r="DGU22" i="256"/>
  <c r="DGV22" i="256"/>
  <c r="DGW22" i="256"/>
  <c r="DGX22" i="256"/>
  <c r="DGY22" i="256"/>
  <c r="DGZ22" i="256"/>
  <c r="DHA22" i="256"/>
  <c r="DHB22" i="256"/>
  <c r="DHC22" i="256"/>
  <c r="DHD22" i="256"/>
  <c r="DHE22" i="256"/>
  <c r="DHF22" i="256"/>
  <c r="DHG22" i="256"/>
  <c r="DHH22" i="256"/>
  <c r="DHI22" i="256"/>
  <c r="DHJ22" i="256"/>
  <c r="DHK22" i="256"/>
  <c r="DHL22" i="256"/>
  <c r="DHM22" i="256"/>
  <c r="DHN22" i="256"/>
  <c r="DHO22" i="256"/>
  <c r="DHP22" i="256"/>
  <c r="DHQ22" i="256"/>
  <c r="DHR22" i="256"/>
  <c r="DHS22" i="256"/>
  <c r="DHT22" i="256"/>
  <c r="DHU22" i="256"/>
  <c r="DHV22" i="256"/>
  <c r="DHW22" i="256"/>
  <c r="DHX22" i="256"/>
  <c r="DHY22" i="256"/>
  <c r="DHZ22" i="256"/>
  <c r="DIA22" i="256"/>
  <c r="DIB22" i="256"/>
  <c r="DIC22" i="256"/>
  <c r="DID22" i="256"/>
  <c r="DIE22" i="256"/>
  <c r="DIF22" i="256"/>
  <c r="DIG22" i="256"/>
  <c r="DIH22" i="256"/>
  <c r="DII22" i="256"/>
  <c r="DIJ22" i="256"/>
  <c r="DIK22" i="256"/>
  <c r="DIL22" i="256"/>
  <c r="DIM22" i="256"/>
  <c r="DIN22" i="256"/>
  <c r="DIO22" i="256"/>
  <c r="DIP22" i="256"/>
  <c r="DIQ22" i="256"/>
  <c r="DIR22" i="256"/>
  <c r="DIS22" i="256"/>
  <c r="DIT22" i="256"/>
  <c r="DIU22" i="256"/>
  <c r="DIV22" i="256"/>
  <c r="DIW22" i="256"/>
  <c r="DIX22" i="256"/>
  <c r="DIY22" i="256"/>
  <c r="DIZ22" i="256"/>
  <c r="DJA22" i="256"/>
  <c r="DJB22" i="256"/>
  <c r="DJC22" i="256"/>
  <c r="DJD22" i="256"/>
  <c r="DJE22" i="256"/>
  <c r="DJF22" i="256"/>
  <c r="DJG22" i="256"/>
  <c r="DJH22" i="256"/>
  <c r="DJI22" i="256"/>
  <c r="DJJ22" i="256"/>
  <c r="DJK22" i="256"/>
  <c r="DJL22" i="256"/>
  <c r="DJM22" i="256"/>
  <c r="DJN22" i="256"/>
  <c r="DJO22" i="256"/>
  <c r="DJP22" i="256"/>
  <c r="DJQ22" i="256"/>
  <c r="DJR22" i="256"/>
  <c r="DJS22" i="256"/>
  <c r="DJT22" i="256"/>
  <c r="DJU22" i="256"/>
  <c r="DJV22" i="256"/>
  <c r="DJW22" i="256"/>
  <c r="DJX22" i="256"/>
  <c r="DJY22" i="256"/>
  <c r="DJZ22" i="256"/>
  <c r="DKA22" i="256"/>
  <c r="DKB22" i="256"/>
  <c r="DKC22" i="256"/>
  <c r="DKD22" i="256"/>
  <c r="DKE22" i="256"/>
  <c r="DKF22" i="256"/>
  <c r="DKG22" i="256"/>
  <c r="DKH22" i="256"/>
  <c r="DKI22" i="256"/>
  <c r="DKJ22" i="256"/>
  <c r="DKK22" i="256"/>
  <c r="DKL22" i="256"/>
  <c r="DKM22" i="256"/>
  <c r="DKN22" i="256"/>
  <c r="DKO22" i="256"/>
  <c r="DKP22" i="256"/>
  <c r="DKQ22" i="256"/>
  <c r="DKR22" i="256"/>
  <c r="DKS22" i="256"/>
  <c r="DKT22" i="256"/>
  <c r="DKU22" i="256"/>
  <c r="DKV22" i="256"/>
  <c r="DKW22" i="256"/>
  <c r="DKX22" i="256"/>
  <c r="DKY22" i="256"/>
  <c r="DKZ22" i="256"/>
  <c r="DLA22" i="256"/>
  <c r="DLB22" i="256"/>
  <c r="DLC22" i="256"/>
  <c r="DLD22" i="256"/>
  <c r="DLE22" i="256"/>
  <c r="DLF22" i="256"/>
  <c r="DLG22" i="256"/>
  <c r="DLH22" i="256"/>
  <c r="DLI22" i="256"/>
  <c r="DLJ22" i="256"/>
  <c r="DLK22" i="256"/>
  <c r="DLL22" i="256"/>
  <c r="DLM22" i="256"/>
  <c r="DLN22" i="256"/>
  <c r="DLO22" i="256"/>
  <c r="DLP22" i="256"/>
  <c r="DLQ22" i="256"/>
  <c r="DLR22" i="256"/>
  <c r="DLS22" i="256"/>
  <c r="DLT22" i="256"/>
  <c r="DLU22" i="256"/>
  <c r="DLV22" i="256"/>
  <c r="DLW22" i="256"/>
  <c r="DLX22" i="256"/>
  <c r="DLY22" i="256"/>
  <c r="DLZ22" i="256"/>
  <c r="DMA22" i="256"/>
  <c r="DMB22" i="256"/>
  <c r="DMC22" i="256"/>
  <c r="DMD22" i="256"/>
  <c r="DME22" i="256"/>
  <c r="DMF22" i="256"/>
  <c r="DMG22" i="256"/>
  <c r="DMH22" i="256"/>
  <c r="DMI22" i="256"/>
  <c r="DMJ22" i="256"/>
  <c r="DMK22" i="256"/>
  <c r="DML22" i="256"/>
  <c r="DMM22" i="256"/>
  <c r="DMN22" i="256"/>
  <c r="DMO22" i="256"/>
  <c r="DMP22" i="256"/>
  <c r="DMQ22" i="256"/>
  <c r="DMR22" i="256"/>
  <c r="DMS22" i="256"/>
  <c r="DMT22" i="256"/>
  <c r="DMU22" i="256"/>
  <c r="DMV22" i="256"/>
  <c r="DMW22" i="256"/>
  <c r="DMX22" i="256"/>
  <c r="DMY22" i="256"/>
  <c r="DMZ22" i="256"/>
  <c r="DNA22" i="256"/>
  <c r="DNB22" i="256"/>
  <c r="DNC22" i="256"/>
  <c r="DND22" i="256"/>
  <c r="DNE22" i="256"/>
  <c r="DNF22" i="256"/>
  <c r="DNG22" i="256"/>
  <c r="DNH22" i="256"/>
  <c r="DNI22" i="256"/>
  <c r="DNJ22" i="256"/>
  <c r="DNK22" i="256"/>
  <c r="DNL22" i="256"/>
  <c r="DNM22" i="256"/>
  <c r="DNN22" i="256"/>
  <c r="DNO22" i="256"/>
  <c r="DNP22" i="256"/>
  <c r="DNQ22" i="256"/>
  <c r="DNR22" i="256"/>
  <c r="DNS22" i="256"/>
  <c r="DNT22" i="256"/>
  <c r="DNU22" i="256"/>
  <c r="DNV22" i="256"/>
  <c r="DNW22" i="256"/>
  <c r="DNX22" i="256"/>
  <c r="DNY22" i="256"/>
  <c r="DNZ22" i="256"/>
  <c r="DOA22" i="256"/>
  <c r="DOB22" i="256"/>
  <c r="DOC22" i="256"/>
  <c r="DOD22" i="256"/>
  <c r="DOE22" i="256"/>
  <c r="DOF22" i="256"/>
  <c r="DOG22" i="256"/>
  <c r="DOH22" i="256"/>
  <c r="DOI22" i="256"/>
  <c r="DOJ22" i="256"/>
  <c r="DOK22" i="256"/>
  <c r="DOL22" i="256"/>
  <c r="DOM22" i="256"/>
  <c r="DON22" i="256"/>
  <c r="DOO22" i="256"/>
  <c r="DOP22" i="256"/>
  <c r="DOQ22" i="256"/>
  <c r="DOR22" i="256"/>
  <c r="DOS22" i="256"/>
  <c r="DOT22" i="256"/>
  <c r="DOU22" i="256"/>
  <c r="DOV22" i="256"/>
  <c r="DOW22" i="256"/>
  <c r="DOX22" i="256"/>
  <c r="DOY22" i="256"/>
  <c r="DOZ22" i="256"/>
  <c r="DPA22" i="256"/>
  <c r="DPB22" i="256"/>
  <c r="DPC22" i="256"/>
  <c r="DPD22" i="256"/>
  <c r="DPE22" i="256"/>
  <c r="DPF22" i="256"/>
  <c r="DPG22" i="256"/>
  <c r="DPH22" i="256"/>
  <c r="DPI22" i="256"/>
  <c r="DPJ22" i="256"/>
  <c r="DPK22" i="256"/>
  <c r="DPL22" i="256"/>
  <c r="DPM22" i="256"/>
  <c r="DPN22" i="256"/>
  <c r="DPO22" i="256"/>
  <c r="DPP22" i="256"/>
  <c r="DPQ22" i="256"/>
  <c r="DPR22" i="256"/>
  <c r="DPS22" i="256"/>
  <c r="DPT22" i="256"/>
  <c r="DPU22" i="256"/>
  <c r="DPV22" i="256"/>
  <c r="DPW22" i="256"/>
  <c r="DPX22" i="256"/>
  <c r="DPY22" i="256"/>
  <c r="DPZ22" i="256"/>
  <c r="DQA22" i="256"/>
  <c r="DQB22" i="256"/>
  <c r="DQC22" i="256"/>
  <c r="DQD22" i="256"/>
  <c r="DQE22" i="256"/>
  <c r="DQF22" i="256"/>
  <c r="DQG22" i="256"/>
  <c r="DQH22" i="256"/>
  <c r="DQI22" i="256"/>
  <c r="DQJ22" i="256"/>
  <c r="DQK22" i="256"/>
  <c r="DQL22" i="256"/>
  <c r="DQM22" i="256"/>
  <c r="DQN22" i="256"/>
  <c r="DQO22" i="256"/>
  <c r="DQP22" i="256"/>
  <c r="DQQ22" i="256"/>
  <c r="DQR22" i="256"/>
  <c r="DQS22" i="256"/>
  <c r="DQT22" i="256"/>
  <c r="DQU22" i="256"/>
  <c r="DQV22" i="256"/>
  <c r="DQW22" i="256"/>
  <c r="DQX22" i="256"/>
  <c r="DQY22" i="256"/>
  <c r="DQZ22" i="256"/>
  <c r="DRA22" i="256"/>
  <c r="DRB22" i="256"/>
  <c r="DRC22" i="256"/>
  <c r="DRD22" i="256"/>
  <c r="DRE22" i="256"/>
  <c r="DRF22" i="256"/>
  <c r="DRG22" i="256"/>
  <c r="DRH22" i="256"/>
  <c r="DRI22" i="256"/>
  <c r="DRJ22" i="256"/>
  <c r="DRK22" i="256"/>
  <c r="DRL22" i="256"/>
  <c r="DRM22" i="256"/>
  <c r="DRN22" i="256"/>
  <c r="DRO22" i="256"/>
  <c r="DRP22" i="256"/>
  <c r="DRQ22" i="256"/>
  <c r="DRR22" i="256"/>
  <c r="DRS22" i="256"/>
  <c r="DRT22" i="256"/>
  <c r="DRU22" i="256"/>
  <c r="DRV22" i="256"/>
  <c r="DRW22" i="256"/>
  <c r="DRX22" i="256"/>
  <c r="DRY22" i="256"/>
  <c r="DRZ22" i="256"/>
  <c r="DSA22" i="256"/>
  <c r="DSB22" i="256"/>
  <c r="DSC22" i="256"/>
  <c r="DSD22" i="256"/>
  <c r="DSE22" i="256"/>
  <c r="DSF22" i="256"/>
  <c r="DSG22" i="256"/>
  <c r="DSH22" i="256"/>
  <c r="DSI22" i="256"/>
  <c r="DSJ22" i="256"/>
  <c r="DSK22" i="256"/>
  <c r="DSL22" i="256"/>
  <c r="DSM22" i="256"/>
  <c r="DSN22" i="256"/>
  <c r="DSO22" i="256"/>
  <c r="DSP22" i="256"/>
  <c r="DSQ22" i="256"/>
  <c r="DSR22" i="256"/>
  <c r="DSS22" i="256"/>
  <c r="DST22" i="256"/>
  <c r="DSU22" i="256"/>
  <c r="DSV22" i="256"/>
  <c r="DSW22" i="256"/>
  <c r="DSX22" i="256"/>
  <c r="DSY22" i="256"/>
  <c r="DSZ22" i="256"/>
  <c r="DTA22" i="256"/>
  <c r="DTB22" i="256"/>
  <c r="DTC22" i="256"/>
  <c r="DTD22" i="256"/>
  <c r="DTE22" i="256"/>
  <c r="DTF22" i="256"/>
  <c r="DTG22" i="256"/>
  <c r="DTH22" i="256"/>
  <c r="DTI22" i="256"/>
  <c r="DTJ22" i="256"/>
  <c r="DTK22" i="256"/>
  <c r="DTL22" i="256"/>
  <c r="DTM22" i="256"/>
  <c r="DTN22" i="256"/>
  <c r="DTO22" i="256"/>
  <c r="DTP22" i="256"/>
  <c r="DTQ22" i="256"/>
  <c r="DTR22" i="256"/>
  <c r="DTS22" i="256"/>
  <c r="DTT22" i="256"/>
  <c r="DTU22" i="256"/>
  <c r="DTV22" i="256"/>
  <c r="DTW22" i="256"/>
  <c r="DTX22" i="256"/>
  <c r="DTY22" i="256"/>
  <c r="DTZ22" i="256"/>
  <c r="DUA22" i="256"/>
  <c r="DUB22" i="256"/>
  <c r="DUC22" i="256"/>
  <c r="DUD22" i="256"/>
  <c r="DUE22" i="256"/>
  <c r="DUF22" i="256"/>
  <c r="DUG22" i="256"/>
  <c r="DUH22" i="256"/>
  <c r="DUI22" i="256"/>
  <c r="DUJ22" i="256"/>
  <c r="DUK22" i="256"/>
  <c r="DUL22" i="256"/>
  <c r="DUM22" i="256"/>
  <c r="DUN22" i="256"/>
  <c r="DUO22" i="256"/>
  <c r="DUP22" i="256"/>
  <c r="DUQ22" i="256"/>
  <c r="DUR22" i="256"/>
  <c r="DUS22" i="256"/>
  <c r="DUT22" i="256"/>
  <c r="DUU22" i="256"/>
  <c r="DUV22" i="256"/>
  <c r="DUW22" i="256"/>
  <c r="DUX22" i="256"/>
  <c r="DUY22" i="256"/>
  <c r="DUZ22" i="256"/>
  <c r="DVA22" i="256"/>
  <c r="DVB22" i="256"/>
  <c r="DVC22" i="256"/>
  <c r="DVD22" i="256"/>
  <c r="DVE22" i="256"/>
  <c r="DVF22" i="256"/>
  <c r="DVG22" i="256"/>
  <c r="DVH22" i="256"/>
  <c r="DVI22" i="256"/>
  <c r="DVJ22" i="256"/>
  <c r="DVK22" i="256"/>
  <c r="DVL22" i="256"/>
  <c r="DVM22" i="256"/>
  <c r="DVN22" i="256"/>
  <c r="DVO22" i="256"/>
  <c r="DVP22" i="256"/>
  <c r="DVQ22" i="256"/>
  <c r="DVR22" i="256"/>
  <c r="DVS22" i="256"/>
  <c r="DVT22" i="256"/>
  <c r="DVU22" i="256"/>
  <c r="DVV22" i="256"/>
  <c r="DVW22" i="256"/>
  <c r="DVX22" i="256"/>
  <c r="DVY22" i="256"/>
  <c r="DVZ22" i="256"/>
  <c r="DWA22" i="256"/>
  <c r="DWB22" i="256"/>
  <c r="DWC22" i="256"/>
  <c r="DWD22" i="256"/>
  <c r="DWE22" i="256"/>
  <c r="DWF22" i="256"/>
  <c r="DWG22" i="256"/>
  <c r="DWH22" i="256"/>
  <c r="DWI22" i="256"/>
  <c r="DWJ22" i="256"/>
  <c r="DWK22" i="256"/>
  <c r="DWL22" i="256"/>
  <c r="DWM22" i="256"/>
  <c r="DWN22" i="256"/>
  <c r="DWO22" i="256"/>
  <c r="DWP22" i="256"/>
  <c r="DWQ22" i="256"/>
  <c r="DWR22" i="256"/>
  <c r="DWS22" i="256"/>
  <c r="DWT22" i="256"/>
  <c r="DWU22" i="256"/>
  <c r="DWV22" i="256"/>
  <c r="DWW22" i="256"/>
  <c r="DWX22" i="256"/>
  <c r="DWY22" i="256"/>
  <c r="DWZ22" i="256"/>
  <c r="DXA22" i="256"/>
  <c r="DXB22" i="256"/>
  <c r="DXC22" i="256"/>
  <c r="DXD22" i="256"/>
  <c r="DXE22" i="256"/>
  <c r="DXF22" i="256"/>
  <c r="DXG22" i="256"/>
  <c r="DXH22" i="256"/>
  <c r="DXI22" i="256"/>
  <c r="DXJ22" i="256"/>
  <c r="DXK22" i="256"/>
  <c r="DXL22" i="256"/>
  <c r="DXM22" i="256"/>
  <c r="DXN22" i="256"/>
  <c r="DXO22" i="256"/>
  <c r="DXP22" i="256"/>
  <c r="DXQ22" i="256"/>
  <c r="DXR22" i="256"/>
  <c r="DXS22" i="256"/>
  <c r="DXT22" i="256"/>
  <c r="DXU22" i="256"/>
  <c r="DXV22" i="256"/>
  <c r="DXW22" i="256"/>
  <c r="DXX22" i="256"/>
  <c r="DXY22" i="256"/>
  <c r="DXZ22" i="256"/>
  <c r="DYA22" i="256"/>
  <c r="DYB22" i="256"/>
  <c r="DYC22" i="256"/>
  <c r="DYD22" i="256"/>
  <c r="DYE22" i="256"/>
  <c r="DYF22" i="256"/>
  <c r="DYG22" i="256"/>
  <c r="DYH22" i="256"/>
  <c r="DYI22" i="256"/>
  <c r="DYJ22" i="256"/>
  <c r="DYK22" i="256"/>
  <c r="DYL22" i="256"/>
  <c r="DYM22" i="256"/>
  <c r="DYN22" i="256"/>
  <c r="DYO22" i="256"/>
  <c r="DYP22" i="256"/>
  <c r="DYQ22" i="256"/>
  <c r="DYR22" i="256"/>
  <c r="DYS22" i="256"/>
  <c r="DYT22" i="256"/>
  <c r="DYU22" i="256"/>
  <c r="DYV22" i="256"/>
  <c r="DYW22" i="256"/>
  <c r="DYX22" i="256"/>
  <c r="DYY22" i="256"/>
  <c r="DYZ22" i="256"/>
  <c r="DZA22" i="256"/>
  <c r="DZB22" i="256"/>
  <c r="DZC22" i="256"/>
  <c r="DZD22" i="256"/>
  <c r="DZE22" i="256"/>
  <c r="DZF22" i="256"/>
  <c r="DZG22" i="256"/>
  <c r="DZH22" i="256"/>
  <c r="DZI22" i="256"/>
  <c r="DZJ22" i="256"/>
  <c r="DZK22" i="256"/>
  <c r="DZL22" i="256"/>
  <c r="DZM22" i="256"/>
  <c r="DZN22" i="256"/>
  <c r="DZO22" i="256"/>
  <c r="DZP22" i="256"/>
  <c r="DZQ22" i="256"/>
  <c r="DZR22" i="256"/>
  <c r="DZS22" i="256"/>
  <c r="DZT22" i="256"/>
  <c r="DZU22" i="256"/>
  <c r="DZV22" i="256"/>
  <c r="DZW22" i="256"/>
  <c r="DZX22" i="256"/>
  <c r="DZY22" i="256"/>
  <c r="DZZ22" i="256"/>
  <c r="EAA22" i="256"/>
  <c r="EAB22" i="256"/>
  <c r="EAC22" i="256"/>
  <c r="EAD22" i="256"/>
  <c r="EAE22" i="256"/>
  <c r="EAF22" i="256"/>
  <c r="EAG22" i="256"/>
  <c r="EAH22" i="256"/>
  <c r="EAI22" i="256"/>
  <c r="EAJ22" i="256"/>
  <c r="EAK22" i="256"/>
  <c r="EAL22" i="256"/>
  <c r="EAM22" i="256"/>
  <c r="EAN22" i="256"/>
  <c r="EAO22" i="256"/>
  <c r="EAP22" i="256"/>
  <c r="EAQ22" i="256"/>
  <c r="EAR22" i="256"/>
  <c r="EAS22" i="256"/>
  <c r="EAT22" i="256"/>
  <c r="EAU22" i="256"/>
  <c r="EAV22" i="256"/>
  <c r="EAW22" i="256"/>
  <c r="EAX22" i="256"/>
  <c r="EAY22" i="256"/>
  <c r="EAZ22" i="256"/>
  <c r="EBA22" i="256"/>
  <c r="EBB22" i="256"/>
  <c r="EBC22" i="256"/>
  <c r="EBD22" i="256"/>
  <c r="EBE22" i="256"/>
  <c r="EBF22" i="256"/>
  <c r="EBG22" i="256"/>
  <c r="EBH22" i="256"/>
  <c r="EBI22" i="256"/>
  <c r="EBJ22" i="256"/>
  <c r="EBK22" i="256"/>
  <c r="EBL22" i="256"/>
  <c r="EBM22" i="256"/>
  <c r="EBN22" i="256"/>
  <c r="EBO22" i="256"/>
  <c r="EBP22" i="256"/>
  <c r="EBQ22" i="256"/>
  <c r="EBR22" i="256"/>
  <c r="EBS22" i="256"/>
  <c r="EBT22" i="256"/>
  <c r="EBU22" i="256"/>
  <c r="EBV22" i="256"/>
  <c r="EBW22" i="256"/>
  <c r="EBX22" i="256"/>
  <c r="EBY22" i="256"/>
  <c r="EBZ22" i="256"/>
  <c r="ECA22" i="256"/>
  <c r="ECB22" i="256"/>
  <c r="ECC22" i="256"/>
  <c r="ECD22" i="256"/>
  <c r="ECE22" i="256"/>
  <c r="ECF22" i="256"/>
  <c r="ECG22" i="256"/>
  <c r="ECH22" i="256"/>
  <c r="ECI22" i="256"/>
  <c r="ECJ22" i="256"/>
  <c r="ECK22" i="256"/>
  <c r="ECL22" i="256"/>
  <c r="ECM22" i="256"/>
  <c r="ECN22" i="256"/>
  <c r="ECO22" i="256"/>
  <c r="ECP22" i="256"/>
  <c r="ECQ22" i="256"/>
  <c r="ECR22" i="256"/>
  <c r="ECS22" i="256"/>
  <c r="ECT22" i="256"/>
  <c r="ECU22" i="256"/>
  <c r="ECV22" i="256"/>
  <c r="ECW22" i="256"/>
  <c r="ECX22" i="256"/>
  <c r="ECY22" i="256"/>
  <c r="ECZ22" i="256"/>
  <c r="EDA22" i="256"/>
  <c r="EDB22" i="256"/>
  <c r="EDC22" i="256"/>
  <c r="EDD22" i="256"/>
  <c r="EDE22" i="256"/>
  <c r="EDF22" i="256"/>
  <c r="EDG22" i="256"/>
  <c r="EDH22" i="256"/>
  <c r="EDI22" i="256"/>
  <c r="EDJ22" i="256"/>
  <c r="EDK22" i="256"/>
  <c r="EDL22" i="256"/>
  <c r="EDM22" i="256"/>
  <c r="EDN22" i="256"/>
  <c r="EDO22" i="256"/>
  <c r="EDP22" i="256"/>
  <c r="EDQ22" i="256"/>
  <c r="EDR22" i="256"/>
  <c r="EDS22" i="256"/>
  <c r="EDT22" i="256"/>
  <c r="EDU22" i="256"/>
  <c r="EDV22" i="256"/>
  <c r="EDW22" i="256"/>
  <c r="EDX22" i="256"/>
  <c r="EDY22" i="256"/>
  <c r="EDZ22" i="256"/>
  <c r="EEA22" i="256"/>
  <c r="EEB22" i="256"/>
  <c r="EEC22" i="256"/>
  <c r="EED22" i="256"/>
  <c r="EEE22" i="256"/>
  <c r="EEF22" i="256"/>
  <c r="EEG22" i="256"/>
  <c r="EEH22" i="256"/>
  <c r="EEI22" i="256"/>
  <c r="EEJ22" i="256"/>
  <c r="EEK22" i="256"/>
  <c r="EEL22" i="256"/>
  <c r="EEM22" i="256"/>
  <c r="EEN22" i="256"/>
  <c r="EEO22" i="256"/>
  <c r="EEP22" i="256"/>
  <c r="EEQ22" i="256"/>
  <c r="EER22" i="256"/>
  <c r="EES22" i="256"/>
  <c r="EET22" i="256"/>
  <c r="EEU22" i="256"/>
  <c r="EEV22" i="256"/>
  <c r="EEW22" i="256"/>
  <c r="EEX22" i="256"/>
  <c r="EEY22" i="256"/>
  <c r="EEZ22" i="256"/>
  <c r="EFA22" i="256"/>
  <c r="EFB22" i="256"/>
  <c r="EFC22" i="256"/>
  <c r="EFD22" i="256"/>
  <c r="EFE22" i="256"/>
  <c r="EFF22" i="256"/>
  <c r="EFG22" i="256"/>
  <c r="EFH22" i="256"/>
  <c r="EFI22" i="256"/>
  <c r="EFJ22" i="256"/>
  <c r="EFK22" i="256"/>
  <c r="EFL22" i="256"/>
  <c r="EFM22" i="256"/>
  <c r="EFN22" i="256"/>
  <c r="EFO22" i="256"/>
  <c r="EFP22" i="256"/>
  <c r="EFQ22" i="256"/>
  <c r="EFR22" i="256"/>
  <c r="EFS22" i="256"/>
  <c r="EFT22" i="256"/>
  <c r="EFU22" i="256"/>
  <c r="EFV22" i="256"/>
  <c r="EFW22" i="256"/>
  <c r="EFX22" i="256"/>
  <c r="EFY22" i="256"/>
  <c r="EFZ22" i="256"/>
  <c r="EGA22" i="256"/>
  <c r="EGB22" i="256"/>
  <c r="EGC22" i="256"/>
  <c r="EGD22" i="256"/>
  <c r="EGE22" i="256"/>
  <c r="EGF22" i="256"/>
  <c r="EGG22" i="256"/>
  <c r="EGH22" i="256"/>
  <c r="EGI22" i="256"/>
  <c r="EGJ22" i="256"/>
  <c r="EGK22" i="256"/>
  <c r="EGL22" i="256"/>
  <c r="EGM22" i="256"/>
  <c r="EGN22" i="256"/>
  <c r="EGO22" i="256"/>
  <c r="EGP22" i="256"/>
  <c r="EGQ22" i="256"/>
  <c r="EGR22" i="256"/>
  <c r="EGS22" i="256"/>
  <c r="EGT22" i="256"/>
  <c r="EGU22" i="256"/>
  <c r="EGV22" i="256"/>
  <c r="EGW22" i="256"/>
  <c r="EGX22" i="256"/>
  <c r="EGY22" i="256"/>
  <c r="EGZ22" i="256"/>
  <c r="EHA22" i="256"/>
  <c r="EHB22" i="256"/>
  <c r="EHC22" i="256"/>
  <c r="EHD22" i="256"/>
  <c r="EHE22" i="256"/>
  <c r="EHF22" i="256"/>
  <c r="EHG22" i="256"/>
  <c r="EHH22" i="256"/>
  <c r="EHI22" i="256"/>
  <c r="EHJ22" i="256"/>
  <c r="EHK22" i="256"/>
  <c r="EHL22" i="256"/>
  <c r="EHM22" i="256"/>
  <c r="EHN22" i="256"/>
  <c r="EHO22" i="256"/>
  <c r="EHP22" i="256"/>
  <c r="EHQ22" i="256"/>
  <c r="EHR22" i="256"/>
  <c r="EHS22" i="256"/>
  <c r="EHT22" i="256"/>
  <c r="EHU22" i="256"/>
  <c r="EHV22" i="256"/>
  <c r="EHW22" i="256"/>
  <c r="EHX22" i="256"/>
  <c r="EHY22" i="256"/>
  <c r="EHZ22" i="256"/>
  <c r="EIA22" i="256"/>
  <c r="EIB22" i="256"/>
  <c r="EIC22" i="256"/>
  <c r="EID22" i="256"/>
  <c r="EIE22" i="256"/>
  <c r="EIF22" i="256"/>
  <c r="EIG22" i="256"/>
  <c r="EIH22" i="256"/>
  <c r="EII22" i="256"/>
  <c r="EIJ22" i="256"/>
  <c r="EIK22" i="256"/>
  <c r="EIL22" i="256"/>
  <c r="EIM22" i="256"/>
  <c r="EIN22" i="256"/>
  <c r="EIO22" i="256"/>
  <c r="EIP22" i="256"/>
  <c r="EIQ22" i="256"/>
  <c r="EIR22" i="256"/>
  <c r="EIS22" i="256"/>
  <c r="EIT22" i="256"/>
  <c r="EIU22" i="256"/>
  <c r="EIV22" i="256"/>
  <c r="EIW22" i="256"/>
  <c r="EIX22" i="256"/>
  <c r="EIY22" i="256"/>
  <c r="EIZ22" i="256"/>
  <c r="EJA22" i="256"/>
  <c r="EJB22" i="256"/>
  <c r="EJC22" i="256"/>
  <c r="EJD22" i="256"/>
  <c r="EJE22" i="256"/>
  <c r="EJF22" i="256"/>
  <c r="EJG22" i="256"/>
  <c r="EJH22" i="256"/>
  <c r="EJI22" i="256"/>
  <c r="EJJ22" i="256"/>
  <c r="EJK22" i="256"/>
  <c r="EJL22" i="256"/>
  <c r="EJM22" i="256"/>
  <c r="EJN22" i="256"/>
  <c r="EJO22" i="256"/>
  <c r="EJP22" i="256"/>
  <c r="EJQ22" i="256"/>
  <c r="EJR22" i="256"/>
  <c r="EJS22" i="256"/>
  <c r="EJT22" i="256"/>
  <c r="EJU22" i="256"/>
  <c r="EJV22" i="256"/>
  <c r="EJW22" i="256"/>
  <c r="EJX22" i="256"/>
  <c r="EJY22" i="256"/>
  <c r="EJZ22" i="256"/>
  <c r="EKA22" i="256"/>
  <c r="EKB22" i="256"/>
  <c r="EKC22" i="256"/>
  <c r="EKD22" i="256"/>
  <c r="EKE22" i="256"/>
  <c r="EKF22" i="256"/>
  <c r="EKG22" i="256"/>
  <c r="EKH22" i="256"/>
  <c r="EKI22" i="256"/>
  <c r="EKJ22" i="256"/>
  <c r="EKK22" i="256"/>
  <c r="EKL22" i="256"/>
  <c r="EKM22" i="256"/>
  <c r="EKN22" i="256"/>
  <c r="EKO22" i="256"/>
  <c r="EKP22" i="256"/>
  <c r="EKQ22" i="256"/>
  <c r="EKR22" i="256"/>
  <c r="EKS22" i="256"/>
  <c r="EKT22" i="256"/>
  <c r="EKU22" i="256"/>
  <c r="EKV22" i="256"/>
  <c r="EKW22" i="256"/>
  <c r="EKX22" i="256"/>
  <c r="EKY22" i="256"/>
  <c r="EKZ22" i="256"/>
  <c r="ELA22" i="256"/>
  <c r="ELB22" i="256"/>
  <c r="ELC22" i="256"/>
  <c r="ELD22" i="256"/>
  <c r="ELE22" i="256"/>
  <c r="ELF22" i="256"/>
  <c r="ELG22" i="256"/>
  <c r="ELH22" i="256"/>
  <c r="ELI22" i="256"/>
  <c r="ELJ22" i="256"/>
  <c r="ELK22" i="256"/>
  <c r="ELL22" i="256"/>
  <c r="ELM22" i="256"/>
  <c r="ELN22" i="256"/>
  <c r="ELO22" i="256"/>
  <c r="ELP22" i="256"/>
  <c r="ELQ22" i="256"/>
  <c r="ELR22" i="256"/>
  <c r="ELS22" i="256"/>
  <c r="ELT22" i="256"/>
  <c r="ELU22" i="256"/>
  <c r="ELV22" i="256"/>
  <c r="ELW22" i="256"/>
  <c r="ELX22" i="256"/>
  <c r="ELY22" i="256"/>
  <c r="ELZ22" i="256"/>
  <c r="EMA22" i="256"/>
  <c r="EMB22" i="256"/>
  <c r="EMC22" i="256"/>
  <c r="EMD22" i="256"/>
  <c r="EME22" i="256"/>
  <c r="EMF22" i="256"/>
  <c r="EMG22" i="256"/>
  <c r="EMH22" i="256"/>
  <c r="EMI22" i="256"/>
  <c r="EMJ22" i="256"/>
  <c r="EMK22" i="256"/>
  <c r="EML22" i="256"/>
  <c r="EMM22" i="256"/>
  <c r="EMN22" i="256"/>
  <c r="EMO22" i="256"/>
  <c r="EMP22" i="256"/>
  <c r="EMQ22" i="256"/>
  <c r="EMR22" i="256"/>
  <c r="EMS22" i="256"/>
  <c r="EMT22" i="256"/>
  <c r="EMU22" i="256"/>
  <c r="EMV22" i="256"/>
  <c r="EMW22" i="256"/>
  <c r="EMX22" i="256"/>
  <c r="EMY22" i="256"/>
  <c r="EMZ22" i="256"/>
  <c r="ENA22" i="256"/>
  <c r="ENB22" i="256"/>
  <c r="ENC22" i="256"/>
  <c r="END22" i="256"/>
  <c r="ENE22" i="256"/>
  <c r="ENF22" i="256"/>
  <c r="ENG22" i="256"/>
  <c r="ENH22" i="256"/>
  <c r="ENI22" i="256"/>
  <c r="ENJ22" i="256"/>
  <c r="ENK22" i="256"/>
  <c r="ENL22" i="256"/>
  <c r="ENM22" i="256"/>
  <c r="ENN22" i="256"/>
  <c r="ENO22" i="256"/>
  <c r="ENP22" i="256"/>
  <c r="ENQ22" i="256"/>
  <c r="ENR22" i="256"/>
  <c r="ENS22" i="256"/>
  <c r="ENT22" i="256"/>
  <c r="ENU22" i="256"/>
  <c r="ENV22" i="256"/>
  <c r="ENW22" i="256"/>
  <c r="ENX22" i="256"/>
  <c r="ENY22" i="256"/>
  <c r="ENZ22" i="256"/>
  <c r="EOA22" i="256"/>
  <c r="EOB22" i="256"/>
  <c r="EOC22" i="256"/>
  <c r="EOD22" i="256"/>
  <c r="EOE22" i="256"/>
  <c r="EOF22" i="256"/>
  <c r="EOG22" i="256"/>
  <c r="EOH22" i="256"/>
  <c r="EOI22" i="256"/>
  <c r="EOJ22" i="256"/>
  <c r="EOK22" i="256"/>
  <c r="EOL22" i="256"/>
  <c r="EOM22" i="256"/>
  <c r="EON22" i="256"/>
  <c r="EOO22" i="256"/>
  <c r="EOP22" i="256"/>
  <c r="EOQ22" i="256"/>
  <c r="EOR22" i="256"/>
  <c r="EOS22" i="256"/>
  <c r="EOT22" i="256"/>
  <c r="EOU22" i="256"/>
  <c r="EOV22" i="256"/>
  <c r="EOW22" i="256"/>
  <c r="EOX22" i="256"/>
  <c r="EOY22" i="256"/>
  <c r="EOZ22" i="256"/>
  <c r="EPA22" i="256"/>
  <c r="EPB22" i="256"/>
  <c r="EPC22" i="256"/>
  <c r="EPD22" i="256"/>
  <c r="EPE22" i="256"/>
  <c r="EPF22" i="256"/>
  <c r="EPG22" i="256"/>
  <c r="EPH22" i="256"/>
  <c r="EPI22" i="256"/>
  <c r="EPJ22" i="256"/>
  <c r="EPK22" i="256"/>
  <c r="EPL22" i="256"/>
  <c r="EPM22" i="256"/>
  <c r="EPN22" i="256"/>
  <c r="EPO22" i="256"/>
  <c r="EPP22" i="256"/>
  <c r="EPQ22" i="256"/>
  <c r="EPR22" i="256"/>
  <c r="EPS22" i="256"/>
  <c r="EPT22" i="256"/>
  <c r="EPU22" i="256"/>
  <c r="EPV22" i="256"/>
  <c r="EPW22" i="256"/>
  <c r="EPX22" i="256"/>
  <c r="EPY22" i="256"/>
  <c r="EPZ22" i="256"/>
  <c r="EQA22" i="256"/>
  <c r="EQB22" i="256"/>
  <c r="EQC22" i="256"/>
  <c r="EQD22" i="256"/>
  <c r="EQE22" i="256"/>
  <c r="EQF22" i="256"/>
  <c r="EQG22" i="256"/>
  <c r="EQH22" i="256"/>
  <c r="EQI22" i="256"/>
  <c r="EQJ22" i="256"/>
  <c r="EQK22" i="256"/>
  <c r="EQL22" i="256"/>
  <c r="EQM22" i="256"/>
  <c r="EQN22" i="256"/>
  <c r="EQO22" i="256"/>
  <c r="EQP22" i="256"/>
  <c r="EQQ22" i="256"/>
  <c r="EQR22" i="256"/>
  <c r="EQS22" i="256"/>
  <c r="EQT22" i="256"/>
  <c r="EQU22" i="256"/>
  <c r="EQV22" i="256"/>
  <c r="EQW22" i="256"/>
  <c r="EQX22" i="256"/>
  <c r="EQY22" i="256"/>
  <c r="EQZ22" i="256"/>
  <c r="ERA22" i="256"/>
  <c r="ERB22" i="256"/>
  <c r="ERC22" i="256"/>
  <c r="ERD22" i="256"/>
  <c r="ERE22" i="256"/>
  <c r="ERF22" i="256"/>
  <c r="ERG22" i="256"/>
  <c r="ERH22" i="256"/>
  <c r="ERI22" i="256"/>
  <c r="ERJ22" i="256"/>
  <c r="ERK22" i="256"/>
  <c r="ERL22" i="256"/>
  <c r="ERM22" i="256"/>
  <c r="ERN22" i="256"/>
  <c r="ERO22" i="256"/>
  <c r="ERP22" i="256"/>
  <c r="ERQ22" i="256"/>
  <c r="ERR22" i="256"/>
  <c r="ERS22" i="256"/>
  <c r="ERT22" i="256"/>
  <c r="ERU22" i="256"/>
  <c r="ERV22" i="256"/>
  <c r="ERW22" i="256"/>
  <c r="ERX22" i="256"/>
  <c r="ERY22" i="256"/>
  <c r="ERZ22" i="256"/>
  <c r="ESA22" i="256"/>
  <c r="ESB22" i="256"/>
  <c r="ESC22" i="256"/>
  <c r="ESD22" i="256"/>
  <c r="ESE22" i="256"/>
  <c r="ESF22" i="256"/>
  <c r="ESG22" i="256"/>
  <c r="ESH22" i="256"/>
  <c r="ESI22" i="256"/>
  <c r="ESJ22" i="256"/>
  <c r="ESK22" i="256"/>
  <c r="ESL22" i="256"/>
  <c r="ESM22" i="256"/>
  <c r="ESN22" i="256"/>
  <c r="ESO22" i="256"/>
  <c r="ESP22" i="256"/>
  <c r="ESQ22" i="256"/>
  <c r="ESR22" i="256"/>
  <c r="ESS22" i="256"/>
  <c r="EST22" i="256"/>
  <c r="ESU22" i="256"/>
  <c r="ESV22" i="256"/>
  <c r="ESW22" i="256"/>
  <c r="ESX22" i="256"/>
  <c r="ESY22" i="256"/>
  <c r="ESZ22" i="256"/>
  <c r="ETA22" i="256"/>
  <c r="ETB22" i="256"/>
  <c r="ETC22" i="256"/>
  <c r="ETD22" i="256"/>
  <c r="ETE22" i="256"/>
  <c r="ETF22" i="256"/>
  <c r="ETG22" i="256"/>
  <c r="ETH22" i="256"/>
  <c r="ETI22" i="256"/>
  <c r="ETJ22" i="256"/>
  <c r="ETK22" i="256"/>
  <c r="ETL22" i="256"/>
  <c r="ETM22" i="256"/>
  <c r="ETN22" i="256"/>
  <c r="ETO22" i="256"/>
  <c r="ETP22" i="256"/>
  <c r="ETQ22" i="256"/>
  <c r="ETR22" i="256"/>
  <c r="ETS22" i="256"/>
  <c r="ETT22" i="256"/>
  <c r="ETU22" i="256"/>
  <c r="ETV22" i="256"/>
  <c r="ETW22" i="256"/>
  <c r="ETX22" i="256"/>
  <c r="ETY22" i="256"/>
  <c r="ETZ22" i="256"/>
  <c r="EUA22" i="256"/>
  <c r="EUB22" i="256"/>
  <c r="EUC22" i="256"/>
  <c r="EUD22" i="256"/>
  <c r="EUE22" i="256"/>
  <c r="EUF22" i="256"/>
  <c r="EUG22" i="256"/>
  <c r="EUH22" i="256"/>
  <c r="EUI22" i="256"/>
  <c r="EUJ22" i="256"/>
  <c r="EUK22" i="256"/>
  <c r="EUL22" i="256"/>
  <c r="EUM22" i="256"/>
  <c r="EUN22" i="256"/>
  <c r="EUO22" i="256"/>
  <c r="EUP22" i="256"/>
  <c r="EUQ22" i="256"/>
  <c r="EUR22" i="256"/>
  <c r="EUS22" i="256"/>
  <c r="EUT22" i="256"/>
  <c r="EUU22" i="256"/>
  <c r="EUV22" i="256"/>
  <c r="EUW22" i="256"/>
  <c r="EUX22" i="256"/>
  <c r="EUY22" i="256"/>
  <c r="EUZ22" i="256"/>
  <c r="EVA22" i="256"/>
  <c r="EVB22" i="256"/>
  <c r="EVC22" i="256"/>
  <c r="EVD22" i="256"/>
  <c r="EVE22" i="256"/>
  <c r="EVF22" i="256"/>
  <c r="EVG22" i="256"/>
  <c r="EVH22" i="256"/>
  <c r="EVI22" i="256"/>
  <c r="EVJ22" i="256"/>
  <c r="EVK22" i="256"/>
  <c r="EVL22" i="256"/>
  <c r="EVM22" i="256"/>
  <c r="EVN22" i="256"/>
  <c r="EVO22" i="256"/>
  <c r="EVP22" i="256"/>
  <c r="EVQ22" i="256"/>
  <c r="EVR22" i="256"/>
  <c r="EVS22" i="256"/>
  <c r="EVT22" i="256"/>
  <c r="EVU22" i="256"/>
  <c r="EVV22" i="256"/>
  <c r="EVW22" i="256"/>
  <c r="EVX22" i="256"/>
  <c r="EVY22" i="256"/>
  <c r="EVZ22" i="256"/>
  <c r="EWA22" i="256"/>
  <c r="EWB22" i="256"/>
  <c r="EWC22" i="256"/>
  <c r="EWD22" i="256"/>
  <c r="EWE22" i="256"/>
  <c r="EWF22" i="256"/>
  <c r="EWG22" i="256"/>
  <c r="EWH22" i="256"/>
  <c r="EWI22" i="256"/>
  <c r="EWJ22" i="256"/>
  <c r="EWK22" i="256"/>
  <c r="EWL22" i="256"/>
  <c r="EWM22" i="256"/>
  <c r="EWN22" i="256"/>
  <c r="EWO22" i="256"/>
  <c r="EWP22" i="256"/>
  <c r="EWQ22" i="256"/>
  <c r="EWR22" i="256"/>
  <c r="EWS22" i="256"/>
  <c r="EWT22" i="256"/>
  <c r="EWU22" i="256"/>
  <c r="EWV22" i="256"/>
  <c r="EWW22" i="256"/>
  <c r="EWX22" i="256"/>
  <c r="EWY22" i="256"/>
  <c r="EWZ22" i="256"/>
  <c r="EXA22" i="256"/>
  <c r="EXB22" i="256"/>
  <c r="EXC22" i="256"/>
  <c r="EXD22" i="256"/>
  <c r="EXE22" i="256"/>
  <c r="EXF22" i="256"/>
  <c r="EXG22" i="256"/>
  <c r="EXH22" i="256"/>
  <c r="EXI22" i="256"/>
  <c r="EXJ22" i="256"/>
  <c r="EXK22" i="256"/>
  <c r="EXL22" i="256"/>
  <c r="EXM22" i="256"/>
  <c r="EXN22" i="256"/>
  <c r="EXO22" i="256"/>
  <c r="EXP22" i="256"/>
  <c r="EXQ22" i="256"/>
  <c r="EXR22" i="256"/>
  <c r="EXS22" i="256"/>
  <c r="EXT22" i="256"/>
  <c r="EXU22" i="256"/>
  <c r="EXV22" i="256"/>
  <c r="EXW22" i="256"/>
  <c r="EXX22" i="256"/>
  <c r="EXY22" i="256"/>
  <c r="EXZ22" i="256"/>
  <c r="EYA22" i="256"/>
  <c r="EYB22" i="256"/>
  <c r="EYC22" i="256"/>
  <c r="EYD22" i="256"/>
  <c r="EYE22" i="256"/>
  <c r="EYF22" i="256"/>
  <c r="EYG22" i="256"/>
  <c r="EYH22" i="256"/>
  <c r="EYI22" i="256"/>
  <c r="EYJ22" i="256"/>
  <c r="EYK22" i="256"/>
  <c r="EYL22" i="256"/>
  <c r="EYM22" i="256"/>
  <c r="EYN22" i="256"/>
  <c r="EYO22" i="256"/>
  <c r="EYP22" i="256"/>
  <c r="EYQ22" i="256"/>
  <c r="EYR22" i="256"/>
  <c r="EYS22" i="256"/>
  <c r="EYT22" i="256"/>
  <c r="EYU22" i="256"/>
  <c r="EYV22" i="256"/>
  <c r="EYW22" i="256"/>
  <c r="EYX22" i="256"/>
  <c r="EYY22" i="256"/>
  <c r="EYZ22" i="256"/>
  <c r="EZA22" i="256"/>
  <c r="EZB22" i="256"/>
  <c r="EZC22" i="256"/>
  <c r="EZD22" i="256"/>
  <c r="EZE22" i="256"/>
  <c r="EZF22" i="256"/>
  <c r="EZG22" i="256"/>
  <c r="EZH22" i="256"/>
  <c r="EZI22" i="256"/>
  <c r="EZJ22" i="256"/>
  <c r="EZK22" i="256"/>
  <c r="EZL22" i="256"/>
  <c r="EZM22" i="256"/>
  <c r="EZN22" i="256"/>
  <c r="EZO22" i="256"/>
  <c r="EZP22" i="256"/>
  <c r="EZQ22" i="256"/>
  <c r="EZR22" i="256"/>
  <c r="EZS22" i="256"/>
  <c r="EZT22" i="256"/>
  <c r="EZU22" i="256"/>
  <c r="EZV22" i="256"/>
  <c r="EZW22" i="256"/>
  <c r="EZX22" i="256"/>
  <c r="EZY22" i="256"/>
  <c r="EZZ22" i="256"/>
  <c r="FAA22" i="256"/>
  <c r="FAB22" i="256"/>
  <c r="FAC22" i="256"/>
  <c r="FAD22" i="256"/>
  <c r="FAE22" i="256"/>
  <c r="FAF22" i="256"/>
  <c r="FAG22" i="256"/>
  <c r="FAH22" i="256"/>
  <c r="FAI22" i="256"/>
  <c r="FAJ22" i="256"/>
  <c r="FAK22" i="256"/>
  <c r="FAL22" i="256"/>
  <c r="FAM22" i="256"/>
  <c r="FAN22" i="256"/>
  <c r="FAO22" i="256"/>
  <c r="FAP22" i="256"/>
  <c r="FAQ22" i="256"/>
  <c r="FAR22" i="256"/>
  <c r="FAS22" i="256"/>
  <c r="FAT22" i="256"/>
  <c r="FAU22" i="256"/>
  <c r="FAV22" i="256"/>
  <c r="FAW22" i="256"/>
  <c r="FAX22" i="256"/>
  <c r="FAY22" i="256"/>
  <c r="FAZ22" i="256"/>
  <c r="FBA22" i="256"/>
  <c r="FBB22" i="256"/>
  <c r="FBC22" i="256"/>
  <c r="FBD22" i="256"/>
  <c r="FBE22" i="256"/>
  <c r="FBF22" i="256"/>
  <c r="FBG22" i="256"/>
  <c r="FBH22" i="256"/>
  <c r="FBI22" i="256"/>
  <c r="FBJ22" i="256"/>
  <c r="FBK22" i="256"/>
  <c r="FBL22" i="256"/>
  <c r="FBM22" i="256"/>
  <c r="FBN22" i="256"/>
  <c r="FBO22" i="256"/>
  <c r="FBP22" i="256"/>
  <c r="FBQ22" i="256"/>
  <c r="FBR22" i="256"/>
  <c r="FBS22" i="256"/>
  <c r="FBT22" i="256"/>
  <c r="FBU22" i="256"/>
  <c r="FBV22" i="256"/>
  <c r="FBW22" i="256"/>
  <c r="FBX22" i="256"/>
  <c r="FBY22" i="256"/>
  <c r="FBZ22" i="256"/>
  <c r="FCA22" i="256"/>
  <c r="FCB22" i="256"/>
  <c r="FCC22" i="256"/>
  <c r="FCD22" i="256"/>
  <c r="FCE22" i="256"/>
  <c r="FCF22" i="256"/>
  <c r="FCG22" i="256"/>
  <c r="FCH22" i="256"/>
  <c r="FCI22" i="256"/>
  <c r="FCJ22" i="256"/>
  <c r="FCK22" i="256"/>
  <c r="FCL22" i="256"/>
  <c r="FCM22" i="256"/>
  <c r="FCN22" i="256"/>
  <c r="FCO22" i="256"/>
  <c r="FCP22" i="256"/>
  <c r="FCQ22" i="256"/>
  <c r="FCR22" i="256"/>
  <c r="FCS22" i="256"/>
  <c r="FCT22" i="256"/>
  <c r="FCU22" i="256"/>
  <c r="FCV22" i="256"/>
  <c r="FCW22" i="256"/>
  <c r="FCX22" i="256"/>
  <c r="FCY22" i="256"/>
  <c r="FCZ22" i="256"/>
  <c r="FDA22" i="256"/>
  <c r="FDB22" i="256"/>
  <c r="FDC22" i="256"/>
  <c r="FDD22" i="256"/>
  <c r="FDE22" i="256"/>
  <c r="FDF22" i="256"/>
  <c r="FDG22" i="256"/>
  <c r="FDH22" i="256"/>
  <c r="FDI22" i="256"/>
  <c r="FDJ22" i="256"/>
  <c r="FDK22" i="256"/>
  <c r="FDL22" i="256"/>
  <c r="FDM22" i="256"/>
  <c r="FDN22" i="256"/>
  <c r="FDO22" i="256"/>
  <c r="FDP22" i="256"/>
  <c r="FDQ22" i="256"/>
  <c r="FDR22" i="256"/>
  <c r="FDS22" i="256"/>
  <c r="FDT22" i="256"/>
  <c r="FDU22" i="256"/>
  <c r="FDV22" i="256"/>
  <c r="FDW22" i="256"/>
  <c r="FDX22" i="256"/>
  <c r="FDY22" i="256"/>
  <c r="FDZ22" i="256"/>
  <c r="FEA22" i="256"/>
  <c r="FEB22" i="256"/>
  <c r="FEC22" i="256"/>
  <c r="FED22" i="256"/>
  <c r="FEE22" i="256"/>
  <c r="FEF22" i="256"/>
  <c r="FEG22" i="256"/>
  <c r="FEH22" i="256"/>
  <c r="FEI22" i="256"/>
  <c r="FEJ22" i="256"/>
  <c r="FEK22" i="256"/>
  <c r="FEL22" i="256"/>
  <c r="FEM22" i="256"/>
  <c r="FEN22" i="256"/>
  <c r="FEO22" i="256"/>
  <c r="FEP22" i="256"/>
  <c r="FEQ22" i="256"/>
  <c r="FER22" i="256"/>
  <c r="FES22" i="256"/>
  <c r="FET22" i="256"/>
  <c r="FEU22" i="256"/>
  <c r="FEV22" i="256"/>
  <c r="FEW22" i="256"/>
  <c r="FEX22" i="256"/>
  <c r="FEY22" i="256"/>
  <c r="FEZ22" i="256"/>
  <c r="FFA22" i="256"/>
  <c r="FFB22" i="256"/>
  <c r="FFC22" i="256"/>
  <c r="FFD22" i="256"/>
  <c r="FFE22" i="256"/>
  <c r="FFF22" i="256"/>
  <c r="FFG22" i="256"/>
  <c r="FFH22" i="256"/>
  <c r="FFI22" i="256"/>
  <c r="FFJ22" i="256"/>
  <c r="FFK22" i="256"/>
  <c r="FFL22" i="256"/>
  <c r="FFM22" i="256"/>
  <c r="FFN22" i="256"/>
  <c r="FFO22" i="256"/>
  <c r="FFP22" i="256"/>
  <c r="FFQ22" i="256"/>
  <c r="FFR22" i="256"/>
  <c r="FFS22" i="256"/>
  <c r="FFT22" i="256"/>
  <c r="FFU22" i="256"/>
  <c r="FFV22" i="256"/>
  <c r="FFW22" i="256"/>
  <c r="FFX22" i="256"/>
  <c r="FFY22" i="256"/>
  <c r="FFZ22" i="256"/>
  <c r="FGA22" i="256"/>
  <c r="FGB22" i="256"/>
  <c r="FGC22" i="256"/>
  <c r="FGD22" i="256"/>
  <c r="FGE22" i="256"/>
  <c r="FGF22" i="256"/>
  <c r="FGG22" i="256"/>
  <c r="FGH22" i="256"/>
  <c r="FGI22" i="256"/>
  <c r="FGJ22" i="256"/>
  <c r="FGK22" i="256"/>
  <c r="FGL22" i="256"/>
  <c r="FGM22" i="256"/>
  <c r="FGN22" i="256"/>
  <c r="FGO22" i="256"/>
  <c r="FGP22" i="256"/>
  <c r="FGQ22" i="256"/>
  <c r="FGR22" i="256"/>
  <c r="FGS22" i="256"/>
  <c r="FGT22" i="256"/>
  <c r="FGU22" i="256"/>
  <c r="FGV22" i="256"/>
  <c r="FGW22" i="256"/>
  <c r="FGX22" i="256"/>
  <c r="FGY22" i="256"/>
  <c r="FGZ22" i="256"/>
  <c r="FHA22" i="256"/>
  <c r="FHB22" i="256"/>
  <c r="FHC22" i="256"/>
  <c r="FHD22" i="256"/>
  <c r="FHE22" i="256"/>
  <c r="FHF22" i="256"/>
  <c r="FHG22" i="256"/>
  <c r="FHH22" i="256"/>
  <c r="FHI22" i="256"/>
  <c r="FHJ22" i="256"/>
  <c r="FHK22" i="256"/>
  <c r="FHL22" i="256"/>
  <c r="FHM22" i="256"/>
  <c r="FHN22" i="256"/>
  <c r="FHO22" i="256"/>
  <c r="FHP22" i="256"/>
  <c r="FHQ22" i="256"/>
  <c r="FHR22" i="256"/>
  <c r="FHS22" i="256"/>
  <c r="FHT22" i="256"/>
  <c r="FHU22" i="256"/>
  <c r="FHV22" i="256"/>
  <c r="FHW22" i="256"/>
  <c r="FHX22" i="256"/>
  <c r="FHY22" i="256"/>
  <c r="FHZ22" i="256"/>
  <c r="FIA22" i="256"/>
  <c r="FIB22" i="256"/>
  <c r="FIC22" i="256"/>
  <c r="FID22" i="256"/>
  <c r="FIE22" i="256"/>
  <c r="FIF22" i="256"/>
  <c r="FIG22" i="256"/>
  <c r="FIH22" i="256"/>
  <c r="FII22" i="256"/>
  <c r="FIJ22" i="256"/>
  <c r="FIK22" i="256"/>
  <c r="FIL22" i="256"/>
  <c r="FIM22" i="256"/>
  <c r="FIN22" i="256"/>
  <c r="FIO22" i="256"/>
  <c r="FIP22" i="256"/>
  <c r="FIQ22" i="256"/>
  <c r="FIR22" i="256"/>
  <c r="FIS22" i="256"/>
  <c r="FIT22" i="256"/>
  <c r="FIU22" i="256"/>
  <c r="FIV22" i="256"/>
  <c r="FIW22" i="256"/>
  <c r="FIX22" i="256"/>
  <c r="FIY22" i="256"/>
  <c r="FIZ22" i="256"/>
  <c r="FJA22" i="256"/>
  <c r="FJB22" i="256"/>
  <c r="FJC22" i="256"/>
  <c r="FJD22" i="256"/>
  <c r="FJE22" i="256"/>
  <c r="FJF22" i="256"/>
  <c r="FJG22" i="256"/>
  <c r="FJH22" i="256"/>
  <c r="FJI22" i="256"/>
  <c r="FJJ22" i="256"/>
  <c r="FJK22" i="256"/>
  <c r="FJL22" i="256"/>
  <c r="FJM22" i="256"/>
  <c r="FJN22" i="256"/>
  <c r="FJO22" i="256"/>
  <c r="FJP22" i="256"/>
  <c r="FJQ22" i="256"/>
  <c r="FJR22" i="256"/>
  <c r="FJS22" i="256"/>
  <c r="FJT22" i="256"/>
  <c r="FJU22" i="256"/>
  <c r="FJV22" i="256"/>
  <c r="FJW22" i="256"/>
  <c r="FJX22" i="256"/>
  <c r="FJY22" i="256"/>
  <c r="FJZ22" i="256"/>
  <c r="FKA22" i="256"/>
  <c r="FKB22" i="256"/>
  <c r="FKC22" i="256"/>
  <c r="FKD22" i="256"/>
  <c r="FKE22" i="256"/>
  <c r="FKF22" i="256"/>
  <c r="FKG22" i="256"/>
  <c r="FKH22" i="256"/>
  <c r="FKI22" i="256"/>
  <c r="FKJ22" i="256"/>
  <c r="FKK22" i="256"/>
  <c r="FKL22" i="256"/>
  <c r="FKM22" i="256"/>
  <c r="FKN22" i="256"/>
  <c r="FKO22" i="256"/>
  <c r="FKP22" i="256"/>
  <c r="FKQ22" i="256"/>
  <c r="FKR22" i="256"/>
  <c r="FKS22" i="256"/>
  <c r="FKT22" i="256"/>
  <c r="FKU22" i="256"/>
  <c r="FKV22" i="256"/>
  <c r="FKW22" i="256"/>
  <c r="FKX22" i="256"/>
  <c r="FKY22" i="256"/>
  <c r="FKZ22" i="256"/>
  <c r="FLA22" i="256"/>
  <c r="FLB22" i="256"/>
  <c r="FLC22" i="256"/>
  <c r="FLD22" i="256"/>
  <c r="FLE22" i="256"/>
  <c r="FLF22" i="256"/>
  <c r="FLG22" i="256"/>
  <c r="FLH22" i="256"/>
  <c r="FLI22" i="256"/>
  <c r="FLJ22" i="256"/>
  <c r="FLK22" i="256"/>
  <c r="FLL22" i="256"/>
  <c r="FLM22" i="256"/>
  <c r="FLN22" i="256"/>
  <c r="FLO22" i="256"/>
  <c r="FLP22" i="256"/>
  <c r="FLQ22" i="256"/>
  <c r="FLR22" i="256"/>
  <c r="FLS22" i="256"/>
  <c r="FLT22" i="256"/>
  <c r="FLU22" i="256"/>
  <c r="FLV22" i="256"/>
  <c r="FLW22" i="256"/>
  <c r="FLX22" i="256"/>
  <c r="FLY22" i="256"/>
  <c r="FLZ22" i="256"/>
  <c r="FMA22" i="256"/>
  <c r="FMB22" i="256"/>
  <c r="FMC22" i="256"/>
  <c r="FMD22" i="256"/>
  <c r="FME22" i="256"/>
  <c r="FMF22" i="256"/>
  <c r="FMG22" i="256"/>
  <c r="FMH22" i="256"/>
  <c r="FMI22" i="256"/>
  <c r="FMJ22" i="256"/>
  <c r="FMK22" i="256"/>
  <c r="FML22" i="256"/>
  <c r="FMM22" i="256"/>
  <c r="FMN22" i="256"/>
  <c r="FMO22" i="256"/>
  <c r="FMP22" i="256"/>
  <c r="FMQ22" i="256"/>
  <c r="FMR22" i="256"/>
  <c r="FMS22" i="256"/>
  <c r="FMT22" i="256"/>
  <c r="FMU22" i="256"/>
  <c r="FMV22" i="256"/>
  <c r="FMW22" i="256"/>
  <c r="FMX22" i="256"/>
  <c r="FMY22" i="256"/>
  <c r="FMZ22" i="256"/>
  <c r="FNA22" i="256"/>
  <c r="FNB22" i="256"/>
  <c r="FNC22" i="256"/>
  <c r="FND22" i="256"/>
  <c r="FNE22" i="256"/>
  <c r="FNF22" i="256"/>
  <c r="FNG22" i="256"/>
  <c r="FNH22" i="256"/>
  <c r="FNI22" i="256"/>
  <c r="FNJ22" i="256"/>
  <c r="FNK22" i="256"/>
  <c r="FNL22" i="256"/>
  <c r="FNM22" i="256"/>
  <c r="FNN22" i="256"/>
  <c r="FNO22" i="256"/>
  <c r="FNP22" i="256"/>
  <c r="FNQ22" i="256"/>
  <c r="FNR22" i="256"/>
  <c r="FNS22" i="256"/>
  <c r="FNT22" i="256"/>
  <c r="FNU22" i="256"/>
  <c r="FNV22" i="256"/>
  <c r="FNW22" i="256"/>
  <c r="FNX22" i="256"/>
  <c r="FNY22" i="256"/>
  <c r="FNZ22" i="256"/>
  <c r="FOA22" i="256"/>
  <c r="FOB22" i="256"/>
  <c r="FOC22" i="256"/>
  <c r="FOD22" i="256"/>
  <c r="FOE22" i="256"/>
  <c r="FOF22" i="256"/>
  <c r="FOG22" i="256"/>
  <c r="FOH22" i="256"/>
  <c r="FOI22" i="256"/>
  <c r="FOJ22" i="256"/>
  <c r="FOK22" i="256"/>
  <c r="FOL22" i="256"/>
  <c r="FOM22" i="256"/>
  <c r="FON22" i="256"/>
  <c r="FOO22" i="256"/>
  <c r="FOP22" i="256"/>
  <c r="FOQ22" i="256"/>
  <c r="FOR22" i="256"/>
  <c r="FOS22" i="256"/>
  <c r="FOT22" i="256"/>
  <c r="FOU22" i="256"/>
  <c r="FOV22" i="256"/>
  <c r="FOW22" i="256"/>
  <c r="FOX22" i="256"/>
  <c r="FOY22" i="256"/>
  <c r="FOZ22" i="256"/>
  <c r="FPA22" i="256"/>
  <c r="FPB22" i="256"/>
  <c r="FPC22" i="256"/>
  <c r="FPD22" i="256"/>
  <c r="FPE22" i="256"/>
  <c r="FPF22" i="256"/>
  <c r="FPG22" i="256"/>
  <c r="FPH22" i="256"/>
  <c r="FPI22" i="256"/>
  <c r="FPJ22" i="256"/>
  <c r="FPK22" i="256"/>
  <c r="FPL22" i="256"/>
  <c r="FPM22" i="256"/>
  <c r="FPN22" i="256"/>
  <c r="FPO22" i="256"/>
  <c r="FPP22" i="256"/>
  <c r="FPQ22" i="256"/>
  <c r="FPR22" i="256"/>
  <c r="FPS22" i="256"/>
  <c r="FPT22" i="256"/>
  <c r="FPU22" i="256"/>
  <c r="FPV22" i="256"/>
  <c r="FPW22" i="256"/>
  <c r="FPX22" i="256"/>
  <c r="FPY22" i="256"/>
  <c r="FPZ22" i="256"/>
  <c r="FQA22" i="256"/>
  <c r="FQB22" i="256"/>
  <c r="FQC22" i="256"/>
  <c r="FQD22" i="256"/>
  <c r="FQE22" i="256"/>
  <c r="FQF22" i="256"/>
  <c r="FQG22" i="256"/>
  <c r="FQH22" i="256"/>
  <c r="FQI22" i="256"/>
  <c r="FQJ22" i="256"/>
  <c r="FQK22" i="256"/>
  <c r="FQL22" i="256"/>
  <c r="FQM22" i="256"/>
  <c r="FQN22" i="256"/>
  <c r="FQO22" i="256"/>
  <c r="FQP22" i="256"/>
  <c r="FQQ22" i="256"/>
  <c r="FQR22" i="256"/>
  <c r="FQS22" i="256"/>
  <c r="FQT22" i="256"/>
  <c r="FQU22" i="256"/>
  <c r="FQV22" i="256"/>
  <c r="FQW22" i="256"/>
  <c r="FQX22" i="256"/>
  <c r="FQY22" i="256"/>
  <c r="FQZ22" i="256"/>
  <c r="FRA22" i="256"/>
  <c r="FRB22" i="256"/>
  <c r="FRC22" i="256"/>
  <c r="FRD22" i="256"/>
  <c r="FRE22" i="256"/>
  <c r="FRF22" i="256"/>
  <c r="FRG22" i="256"/>
  <c r="FRH22" i="256"/>
  <c r="FRI22" i="256"/>
  <c r="FRJ22" i="256"/>
  <c r="FRK22" i="256"/>
  <c r="FRL22" i="256"/>
  <c r="FRM22" i="256"/>
  <c r="FRN22" i="256"/>
  <c r="FRO22" i="256"/>
  <c r="FRP22" i="256"/>
  <c r="FRQ22" i="256"/>
  <c r="FRR22" i="256"/>
  <c r="FRS22" i="256"/>
  <c r="FRT22" i="256"/>
  <c r="FRU22" i="256"/>
  <c r="FRV22" i="256"/>
  <c r="FRW22" i="256"/>
  <c r="FRX22" i="256"/>
  <c r="FRY22" i="256"/>
  <c r="FRZ22" i="256"/>
  <c r="FSA22" i="256"/>
  <c r="FSB22" i="256"/>
  <c r="FSC22" i="256"/>
  <c r="FSD22" i="256"/>
  <c r="FSE22" i="256"/>
  <c r="FSF22" i="256"/>
  <c r="FSG22" i="256"/>
  <c r="FSH22" i="256"/>
  <c r="FSI22" i="256"/>
  <c r="FSJ22" i="256"/>
  <c r="FSK22" i="256"/>
  <c r="FSL22" i="256"/>
  <c r="FSM22" i="256"/>
  <c r="FSN22" i="256"/>
  <c r="FSO22" i="256"/>
  <c r="FSP22" i="256"/>
  <c r="FSQ22" i="256"/>
  <c r="FSR22" i="256"/>
  <c r="FSS22" i="256"/>
  <c r="FST22" i="256"/>
  <c r="FSU22" i="256"/>
  <c r="FSV22" i="256"/>
  <c r="FSW22" i="256"/>
  <c r="FSX22" i="256"/>
  <c r="FSY22" i="256"/>
  <c r="FSZ22" i="256"/>
  <c r="FTA22" i="256"/>
  <c r="FTB22" i="256"/>
  <c r="FTC22" i="256"/>
  <c r="FTD22" i="256"/>
  <c r="FTE22" i="256"/>
  <c r="FTF22" i="256"/>
  <c r="FTG22" i="256"/>
  <c r="FTH22" i="256"/>
  <c r="FTI22" i="256"/>
  <c r="FTJ22" i="256"/>
  <c r="FTK22" i="256"/>
  <c r="FTL22" i="256"/>
  <c r="FTM22" i="256"/>
  <c r="FTN22" i="256"/>
  <c r="FTO22" i="256"/>
  <c r="FTP22" i="256"/>
  <c r="FTQ22" i="256"/>
  <c r="FTR22" i="256"/>
  <c r="FTS22" i="256"/>
  <c r="FTT22" i="256"/>
  <c r="FTU22" i="256"/>
  <c r="FTV22" i="256"/>
  <c r="FTW22" i="256"/>
  <c r="FTX22" i="256"/>
  <c r="FTY22" i="256"/>
  <c r="FTZ22" i="256"/>
  <c r="FUA22" i="256"/>
  <c r="FUB22" i="256"/>
  <c r="FUC22" i="256"/>
  <c r="FUD22" i="256"/>
  <c r="FUE22" i="256"/>
  <c r="FUF22" i="256"/>
  <c r="FUG22" i="256"/>
  <c r="FUH22" i="256"/>
  <c r="FUI22" i="256"/>
  <c r="FUJ22" i="256"/>
  <c r="FUK22" i="256"/>
  <c r="FUL22" i="256"/>
  <c r="FUM22" i="256"/>
  <c r="FUN22" i="256"/>
  <c r="FUO22" i="256"/>
  <c r="FUP22" i="256"/>
  <c r="FUQ22" i="256"/>
  <c r="FUR22" i="256"/>
  <c r="FUS22" i="256"/>
  <c r="FUT22" i="256"/>
  <c r="FUU22" i="256"/>
  <c r="FUV22" i="256"/>
  <c r="FUW22" i="256"/>
  <c r="FUX22" i="256"/>
  <c r="FUY22" i="256"/>
  <c r="FUZ22" i="256"/>
  <c r="FVA22" i="256"/>
  <c r="FVB22" i="256"/>
  <c r="FVC22" i="256"/>
  <c r="FVD22" i="256"/>
  <c r="FVE22" i="256"/>
  <c r="FVF22" i="256"/>
  <c r="FVG22" i="256"/>
  <c r="FVH22" i="256"/>
  <c r="FVI22" i="256"/>
  <c r="FVJ22" i="256"/>
  <c r="FVK22" i="256"/>
  <c r="FVL22" i="256"/>
  <c r="FVM22" i="256"/>
  <c r="FVN22" i="256"/>
  <c r="FVO22" i="256"/>
  <c r="FVP22" i="256"/>
  <c r="FVQ22" i="256"/>
  <c r="FVR22" i="256"/>
  <c r="FVS22" i="256"/>
  <c r="FVT22" i="256"/>
  <c r="FVU22" i="256"/>
  <c r="FVV22" i="256"/>
  <c r="FVW22" i="256"/>
  <c r="FVX22" i="256"/>
  <c r="FVY22" i="256"/>
  <c r="FVZ22" i="256"/>
  <c r="FWA22" i="256"/>
  <c r="FWB22" i="256"/>
  <c r="FWC22" i="256"/>
  <c r="FWD22" i="256"/>
  <c r="FWE22" i="256"/>
  <c r="FWF22" i="256"/>
  <c r="FWG22" i="256"/>
  <c r="FWH22" i="256"/>
  <c r="FWI22" i="256"/>
  <c r="FWJ22" i="256"/>
  <c r="FWK22" i="256"/>
  <c r="FWL22" i="256"/>
  <c r="FWM22" i="256"/>
  <c r="FWN22" i="256"/>
  <c r="FWO22" i="256"/>
  <c r="FWP22" i="256"/>
  <c r="FWQ22" i="256"/>
  <c r="FWR22" i="256"/>
  <c r="FWS22" i="256"/>
  <c r="FWT22" i="256"/>
  <c r="FWU22" i="256"/>
  <c r="FWV22" i="256"/>
  <c r="FWW22" i="256"/>
  <c r="FWX22" i="256"/>
  <c r="FWY22" i="256"/>
  <c r="FWZ22" i="256"/>
  <c r="FXA22" i="256"/>
  <c r="FXB22" i="256"/>
  <c r="FXC22" i="256"/>
  <c r="FXD22" i="256"/>
  <c r="FXE22" i="256"/>
  <c r="FXF22" i="256"/>
  <c r="FXG22" i="256"/>
  <c r="FXH22" i="256"/>
  <c r="FXI22" i="256"/>
  <c r="FXJ22" i="256"/>
  <c r="FXK22" i="256"/>
  <c r="FXL22" i="256"/>
  <c r="FXM22" i="256"/>
  <c r="FXN22" i="256"/>
  <c r="FXO22" i="256"/>
  <c r="FXP22" i="256"/>
  <c r="FXQ22" i="256"/>
  <c r="FXR22" i="256"/>
  <c r="FXS22" i="256"/>
  <c r="FXT22" i="256"/>
  <c r="FXU22" i="256"/>
  <c r="FXV22" i="256"/>
  <c r="FXW22" i="256"/>
  <c r="FXX22" i="256"/>
  <c r="FXY22" i="256"/>
  <c r="FXZ22" i="256"/>
  <c r="FYA22" i="256"/>
  <c r="FYB22" i="256"/>
  <c r="FYC22" i="256"/>
  <c r="FYD22" i="256"/>
  <c r="FYE22" i="256"/>
  <c r="FYF22" i="256"/>
  <c r="FYG22" i="256"/>
  <c r="FYH22" i="256"/>
  <c r="FYI22" i="256"/>
  <c r="FYJ22" i="256"/>
  <c r="FYK22" i="256"/>
  <c r="FYL22" i="256"/>
  <c r="FYM22" i="256"/>
  <c r="FYN22" i="256"/>
  <c r="FYO22" i="256"/>
  <c r="FYP22" i="256"/>
  <c r="FYQ22" i="256"/>
  <c r="FYR22" i="256"/>
  <c r="FYS22" i="256"/>
  <c r="FYT22" i="256"/>
  <c r="FYU22" i="256"/>
  <c r="FYV22" i="256"/>
  <c r="FYW22" i="256"/>
  <c r="FYX22" i="256"/>
  <c r="FYY22" i="256"/>
  <c r="FYZ22" i="256"/>
  <c r="FZA22" i="256"/>
  <c r="FZB22" i="256"/>
  <c r="FZC22" i="256"/>
  <c r="FZD22" i="256"/>
  <c r="FZE22" i="256"/>
  <c r="FZF22" i="256"/>
  <c r="FZG22" i="256"/>
  <c r="FZH22" i="256"/>
  <c r="FZI22" i="256"/>
  <c r="FZJ22" i="256"/>
  <c r="FZK22" i="256"/>
  <c r="FZL22" i="256"/>
  <c r="FZM22" i="256"/>
  <c r="FZN22" i="256"/>
  <c r="FZO22" i="256"/>
  <c r="FZP22" i="256"/>
  <c r="FZQ22" i="256"/>
  <c r="FZR22" i="256"/>
  <c r="FZS22" i="256"/>
  <c r="FZT22" i="256"/>
  <c r="FZU22" i="256"/>
  <c r="FZV22" i="256"/>
  <c r="FZW22" i="256"/>
  <c r="FZX22" i="256"/>
  <c r="FZY22" i="256"/>
  <c r="FZZ22" i="256"/>
  <c r="GAA22" i="256"/>
  <c r="GAB22" i="256"/>
  <c r="GAC22" i="256"/>
  <c r="GAD22" i="256"/>
  <c r="GAE22" i="256"/>
  <c r="GAF22" i="256"/>
  <c r="GAG22" i="256"/>
  <c r="GAH22" i="256"/>
  <c r="GAI22" i="256"/>
  <c r="GAJ22" i="256"/>
  <c r="GAK22" i="256"/>
  <c r="GAL22" i="256"/>
  <c r="GAM22" i="256"/>
  <c r="GAN22" i="256"/>
  <c r="GAO22" i="256"/>
  <c r="GAP22" i="256"/>
  <c r="GAQ22" i="256"/>
  <c r="GAR22" i="256"/>
  <c r="GAS22" i="256"/>
  <c r="GAT22" i="256"/>
  <c r="GAU22" i="256"/>
  <c r="GAV22" i="256"/>
  <c r="GAW22" i="256"/>
  <c r="GAX22" i="256"/>
  <c r="GAY22" i="256"/>
  <c r="GAZ22" i="256"/>
  <c r="GBA22" i="256"/>
  <c r="GBB22" i="256"/>
  <c r="GBC22" i="256"/>
  <c r="GBD22" i="256"/>
  <c r="GBE22" i="256"/>
  <c r="GBF22" i="256"/>
  <c r="GBG22" i="256"/>
  <c r="GBH22" i="256"/>
  <c r="GBI22" i="256"/>
  <c r="GBJ22" i="256"/>
  <c r="GBK22" i="256"/>
  <c r="GBL22" i="256"/>
  <c r="GBM22" i="256"/>
  <c r="GBN22" i="256"/>
  <c r="GBO22" i="256"/>
  <c r="GBP22" i="256"/>
  <c r="GBQ22" i="256"/>
  <c r="GBR22" i="256"/>
  <c r="GBS22" i="256"/>
  <c r="GBT22" i="256"/>
  <c r="GBU22" i="256"/>
  <c r="GBV22" i="256"/>
  <c r="GBW22" i="256"/>
  <c r="GBX22" i="256"/>
  <c r="GBY22" i="256"/>
  <c r="GBZ22" i="256"/>
  <c r="GCA22" i="256"/>
  <c r="GCB22" i="256"/>
  <c r="GCC22" i="256"/>
  <c r="GCD22" i="256"/>
  <c r="GCE22" i="256"/>
  <c r="GCF22" i="256"/>
  <c r="GCG22" i="256"/>
  <c r="GCH22" i="256"/>
  <c r="GCI22" i="256"/>
  <c r="GCJ22" i="256"/>
  <c r="GCK22" i="256"/>
  <c r="GCL22" i="256"/>
  <c r="GCM22" i="256"/>
  <c r="GCN22" i="256"/>
  <c r="GCO22" i="256"/>
  <c r="GCP22" i="256"/>
  <c r="GCQ22" i="256"/>
  <c r="GCR22" i="256"/>
  <c r="GCS22" i="256"/>
  <c r="GCT22" i="256"/>
  <c r="GCU22" i="256"/>
  <c r="GCV22" i="256"/>
  <c r="GCW22" i="256"/>
  <c r="GCX22" i="256"/>
  <c r="GCY22" i="256"/>
  <c r="GCZ22" i="256"/>
  <c r="GDA22" i="256"/>
  <c r="GDB22" i="256"/>
  <c r="GDC22" i="256"/>
  <c r="GDD22" i="256"/>
  <c r="GDE22" i="256"/>
  <c r="GDF22" i="256"/>
  <c r="GDG22" i="256"/>
  <c r="GDH22" i="256"/>
  <c r="GDI22" i="256"/>
  <c r="GDJ22" i="256"/>
  <c r="GDK22" i="256"/>
  <c r="GDL22" i="256"/>
  <c r="GDM22" i="256"/>
  <c r="GDN22" i="256"/>
  <c r="GDO22" i="256"/>
  <c r="GDP22" i="256"/>
  <c r="GDQ22" i="256"/>
  <c r="GDR22" i="256"/>
  <c r="GDS22" i="256"/>
  <c r="GDT22" i="256"/>
  <c r="GDU22" i="256"/>
  <c r="GDV22" i="256"/>
  <c r="GDW22" i="256"/>
  <c r="GDX22" i="256"/>
  <c r="GDY22" i="256"/>
  <c r="GDZ22" i="256"/>
  <c r="GEA22" i="256"/>
  <c r="GEB22" i="256"/>
  <c r="GEC22" i="256"/>
  <c r="GED22" i="256"/>
  <c r="GEE22" i="256"/>
  <c r="GEF22" i="256"/>
  <c r="GEG22" i="256"/>
  <c r="GEH22" i="256"/>
  <c r="GEI22" i="256"/>
  <c r="GEJ22" i="256"/>
  <c r="GEK22" i="256"/>
  <c r="GEL22" i="256"/>
  <c r="GEM22" i="256"/>
  <c r="GEN22" i="256"/>
  <c r="GEO22" i="256"/>
  <c r="GEP22" i="256"/>
  <c r="GEQ22" i="256"/>
  <c r="GER22" i="256"/>
  <c r="GES22" i="256"/>
  <c r="GET22" i="256"/>
  <c r="GEU22" i="256"/>
  <c r="GEV22" i="256"/>
  <c r="GEW22" i="256"/>
  <c r="GEX22" i="256"/>
  <c r="GEY22" i="256"/>
  <c r="GEZ22" i="256"/>
  <c r="GFA22" i="256"/>
  <c r="GFB22" i="256"/>
  <c r="GFC22" i="256"/>
  <c r="GFD22" i="256"/>
  <c r="GFE22" i="256"/>
  <c r="GFF22" i="256"/>
  <c r="GFG22" i="256"/>
  <c r="GFH22" i="256"/>
  <c r="GFI22" i="256"/>
  <c r="GFJ22" i="256"/>
  <c r="GFK22" i="256"/>
  <c r="GFL22" i="256"/>
  <c r="GFM22" i="256"/>
  <c r="GFN22" i="256"/>
  <c r="GFO22" i="256"/>
  <c r="GFP22" i="256"/>
  <c r="GFQ22" i="256"/>
  <c r="GFR22" i="256"/>
  <c r="GFS22" i="256"/>
  <c r="GFT22" i="256"/>
  <c r="GFU22" i="256"/>
  <c r="GFV22" i="256"/>
  <c r="GFW22" i="256"/>
  <c r="GFX22" i="256"/>
  <c r="GFY22" i="256"/>
  <c r="GFZ22" i="256"/>
  <c r="GGA22" i="256"/>
  <c r="GGB22" i="256"/>
  <c r="GGC22" i="256"/>
  <c r="GGD22" i="256"/>
  <c r="GGE22" i="256"/>
  <c r="GGF22" i="256"/>
  <c r="GGG22" i="256"/>
  <c r="GGH22" i="256"/>
  <c r="GGI22" i="256"/>
  <c r="GGJ22" i="256"/>
  <c r="GGK22" i="256"/>
  <c r="GGL22" i="256"/>
  <c r="GGM22" i="256"/>
  <c r="GGN22" i="256"/>
  <c r="GGO22" i="256"/>
  <c r="GGP22" i="256"/>
  <c r="GGQ22" i="256"/>
  <c r="GGR22" i="256"/>
  <c r="GGS22" i="256"/>
  <c r="GGT22" i="256"/>
  <c r="GGU22" i="256"/>
  <c r="GGV22" i="256"/>
  <c r="GGW22" i="256"/>
  <c r="GGX22" i="256"/>
  <c r="GGY22" i="256"/>
  <c r="GGZ22" i="256"/>
  <c r="GHA22" i="256"/>
  <c r="GHB22" i="256"/>
  <c r="GHC22" i="256"/>
  <c r="GHD22" i="256"/>
  <c r="GHE22" i="256"/>
  <c r="GHF22" i="256"/>
  <c r="GHG22" i="256"/>
  <c r="GHH22" i="256"/>
  <c r="GHI22" i="256"/>
  <c r="GHJ22" i="256"/>
  <c r="GHK22" i="256"/>
  <c r="GHL22" i="256"/>
  <c r="GHM22" i="256"/>
  <c r="GHN22" i="256"/>
  <c r="GHO22" i="256"/>
  <c r="GHP22" i="256"/>
  <c r="GHQ22" i="256"/>
  <c r="GHR22" i="256"/>
  <c r="GHS22" i="256"/>
  <c r="GHT22" i="256"/>
  <c r="GHU22" i="256"/>
  <c r="GHV22" i="256"/>
  <c r="GHW22" i="256"/>
  <c r="GHX22" i="256"/>
  <c r="GHY22" i="256"/>
  <c r="GHZ22" i="256"/>
  <c r="GIA22" i="256"/>
  <c r="GIB22" i="256"/>
  <c r="GIC22" i="256"/>
  <c r="GID22" i="256"/>
  <c r="GIE22" i="256"/>
  <c r="GIF22" i="256"/>
  <c r="GIG22" i="256"/>
  <c r="GIH22" i="256"/>
  <c r="GII22" i="256"/>
  <c r="GIJ22" i="256"/>
  <c r="GIK22" i="256"/>
  <c r="GIL22" i="256"/>
  <c r="GIM22" i="256"/>
  <c r="GIN22" i="256"/>
  <c r="GIO22" i="256"/>
  <c r="GIP22" i="256"/>
  <c r="GIQ22" i="256"/>
  <c r="GIR22" i="256"/>
  <c r="GIS22" i="256"/>
  <c r="GIT22" i="256"/>
  <c r="GIU22" i="256"/>
  <c r="GIV22" i="256"/>
  <c r="GIW22" i="256"/>
  <c r="GIX22" i="256"/>
  <c r="GIY22" i="256"/>
  <c r="GIZ22" i="256"/>
  <c r="GJA22" i="256"/>
  <c r="GJB22" i="256"/>
  <c r="GJC22" i="256"/>
  <c r="GJD22" i="256"/>
  <c r="GJE22" i="256"/>
  <c r="GJF22" i="256"/>
  <c r="GJG22" i="256"/>
  <c r="GJH22" i="256"/>
  <c r="GJI22" i="256"/>
  <c r="GJJ22" i="256"/>
  <c r="GJK22" i="256"/>
  <c r="GJL22" i="256"/>
  <c r="GJM22" i="256"/>
  <c r="GJN22" i="256"/>
  <c r="GJO22" i="256"/>
  <c r="GJP22" i="256"/>
  <c r="GJQ22" i="256"/>
  <c r="GJR22" i="256"/>
  <c r="GJS22" i="256"/>
  <c r="GJT22" i="256"/>
  <c r="GJU22" i="256"/>
  <c r="GJV22" i="256"/>
  <c r="GJW22" i="256"/>
  <c r="GJX22" i="256"/>
  <c r="GJY22" i="256"/>
  <c r="GJZ22" i="256"/>
  <c r="GKA22" i="256"/>
  <c r="GKB22" i="256"/>
  <c r="GKC22" i="256"/>
  <c r="GKD22" i="256"/>
  <c r="GKE22" i="256"/>
  <c r="GKF22" i="256"/>
  <c r="GKG22" i="256"/>
  <c r="GKH22" i="256"/>
  <c r="GKI22" i="256"/>
  <c r="GKJ22" i="256"/>
  <c r="GKK22" i="256"/>
  <c r="GKL22" i="256"/>
  <c r="GKM22" i="256"/>
  <c r="GKN22" i="256"/>
  <c r="GKO22" i="256"/>
  <c r="GKP22" i="256"/>
  <c r="GKQ22" i="256"/>
  <c r="GKR22" i="256"/>
  <c r="GKS22" i="256"/>
  <c r="GKT22" i="256"/>
  <c r="GKU22" i="256"/>
  <c r="GKV22" i="256"/>
  <c r="GKW22" i="256"/>
  <c r="GKX22" i="256"/>
  <c r="GKY22" i="256"/>
  <c r="GKZ22" i="256"/>
  <c r="GLA22" i="256"/>
  <c r="GLB22" i="256"/>
  <c r="GLC22" i="256"/>
  <c r="GLD22" i="256"/>
  <c r="GLE22" i="256"/>
  <c r="GLF22" i="256"/>
  <c r="GLG22" i="256"/>
  <c r="GLH22" i="256"/>
  <c r="GLI22" i="256"/>
  <c r="GLJ22" i="256"/>
  <c r="GLK22" i="256"/>
  <c r="GLL22" i="256"/>
  <c r="GLM22" i="256"/>
  <c r="GLN22" i="256"/>
  <c r="GLO22" i="256"/>
  <c r="GLP22" i="256"/>
  <c r="GLQ22" i="256"/>
  <c r="GLR22" i="256"/>
  <c r="GLS22" i="256"/>
  <c r="GLT22" i="256"/>
  <c r="GLU22" i="256"/>
  <c r="GLV22" i="256"/>
  <c r="GLW22" i="256"/>
  <c r="GLX22" i="256"/>
  <c r="GLY22" i="256"/>
  <c r="GLZ22" i="256"/>
  <c r="GMA22" i="256"/>
  <c r="GMB22" i="256"/>
  <c r="GMC22" i="256"/>
  <c r="GMD22" i="256"/>
  <c r="GME22" i="256"/>
  <c r="GMF22" i="256"/>
  <c r="GMG22" i="256"/>
  <c r="GMH22" i="256"/>
  <c r="GMI22" i="256"/>
  <c r="GMJ22" i="256"/>
  <c r="GMK22" i="256"/>
  <c r="GML22" i="256"/>
  <c r="GMM22" i="256"/>
  <c r="GMN22" i="256"/>
  <c r="GMO22" i="256"/>
  <c r="GMP22" i="256"/>
  <c r="GMQ22" i="256"/>
  <c r="GMR22" i="256"/>
  <c r="GMS22" i="256"/>
  <c r="GMT22" i="256"/>
  <c r="GMU22" i="256"/>
  <c r="GMV22" i="256"/>
  <c r="GMW22" i="256"/>
  <c r="GMX22" i="256"/>
  <c r="GMY22" i="256"/>
  <c r="GMZ22" i="256"/>
  <c r="GNA22" i="256"/>
  <c r="GNB22" i="256"/>
  <c r="GNC22" i="256"/>
  <c r="GND22" i="256"/>
  <c r="GNE22" i="256"/>
  <c r="GNF22" i="256"/>
  <c r="GNG22" i="256"/>
  <c r="GNH22" i="256"/>
  <c r="GNI22" i="256"/>
  <c r="GNJ22" i="256"/>
  <c r="GNK22" i="256"/>
  <c r="GNL22" i="256"/>
  <c r="GNM22" i="256"/>
  <c r="GNN22" i="256"/>
  <c r="GNO22" i="256"/>
  <c r="GNP22" i="256"/>
  <c r="GNQ22" i="256"/>
  <c r="GNR22" i="256"/>
  <c r="GNS22" i="256"/>
  <c r="GNT22" i="256"/>
  <c r="GNU22" i="256"/>
  <c r="GNV22" i="256"/>
  <c r="GNW22" i="256"/>
  <c r="GNX22" i="256"/>
  <c r="GNY22" i="256"/>
  <c r="GNZ22" i="256"/>
  <c r="GOA22" i="256"/>
  <c r="GOB22" i="256"/>
  <c r="GOC22" i="256"/>
  <c r="GOD22" i="256"/>
  <c r="GOE22" i="256"/>
  <c r="GOF22" i="256"/>
  <c r="GOG22" i="256"/>
  <c r="GOH22" i="256"/>
  <c r="GOI22" i="256"/>
  <c r="GOJ22" i="256"/>
  <c r="GOK22" i="256"/>
  <c r="GOL22" i="256"/>
  <c r="GOM22" i="256"/>
  <c r="GON22" i="256"/>
  <c r="GOO22" i="256"/>
  <c r="GOP22" i="256"/>
  <c r="GOQ22" i="256"/>
  <c r="GOR22" i="256"/>
  <c r="GOS22" i="256"/>
  <c r="GOT22" i="256"/>
  <c r="GOU22" i="256"/>
  <c r="GOV22" i="256"/>
  <c r="GOW22" i="256"/>
  <c r="GOX22" i="256"/>
  <c r="GOY22" i="256"/>
  <c r="GOZ22" i="256"/>
  <c r="GPA22" i="256"/>
  <c r="GPB22" i="256"/>
  <c r="GPC22" i="256"/>
  <c r="GPD22" i="256"/>
  <c r="GPE22" i="256"/>
  <c r="GPF22" i="256"/>
  <c r="GPG22" i="256"/>
  <c r="GPH22" i="256"/>
  <c r="GPI22" i="256"/>
  <c r="GPJ22" i="256"/>
  <c r="GPK22" i="256"/>
  <c r="GPL22" i="256"/>
  <c r="GPM22" i="256"/>
  <c r="GPN22" i="256"/>
  <c r="GPO22" i="256"/>
  <c r="GPP22" i="256"/>
  <c r="GPQ22" i="256"/>
  <c r="GPR22" i="256"/>
  <c r="GPS22" i="256"/>
  <c r="GPT22" i="256"/>
  <c r="GPU22" i="256"/>
  <c r="GPV22" i="256"/>
  <c r="GPW22" i="256"/>
  <c r="GPX22" i="256"/>
  <c r="GPY22" i="256"/>
  <c r="GPZ22" i="256"/>
  <c r="GQA22" i="256"/>
  <c r="GQB22" i="256"/>
  <c r="GQC22" i="256"/>
  <c r="GQD22" i="256"/>
  <c r="GQE22" i="256"/>
  <c r="GQF22" i="256"/>
  <c r="GQG22" i="256"/>
  <c r="GQH22" i="256"/>
  <c r="GQI22" i="256"/>
  <c r="GQJ22" i="256"/>
  <c r="GQK22" i="256"/>
  <c r="GQL22" i="256"/>
  <c r="GQM22" i="256"/>
  <c r="GQN22" i="256"/>
  <c r="GQO22" i="256"/>
  <c r="GQP22" i="256"/>
  <c r="GQQ22" i="256"/>
  <c r="GQR22" i="256"/>
  <c r="GQS22" i="256"/>
  <c r="GQT22" i="256"/>
  <c r="GQU22" i="256"/>
  <c r="GQV22" i="256"/>
  <c r="GQW22" i="256"/>
  <c r="GQX22" i="256"/>
  <c r="GQY22" i="256"/>
  <c r="GQZ22" i="256"/>
  <c r="GRA22" i="256"/>
  <c r="GRB22" i="256"/>
  <c r="GRC22" i="256"/>
  <c r="GRD22" i="256"/>
  <c r="GRE22" i="256"/>
  <c r="GRF22" i="256"/>
  <c r="GRG22" i="256"/>
  <c r="GRH22" i="256"/>
  <c r="GRI22" i="256"/>
  <c r="GRJ22" i="256"/>
  <c r="GRK22" i="256"/>
  <c r="GRL22" i="256"/>
  <c r="GRM22" i="256"/>
  <c r="GRN22" i="256"/>
  <c r="GRO22" i="256"/>
  <c r="GRP22" i="256"/>
  <c r="GRQ22" i="256"/>
  <c r="GRR22" i="256"/>
  <c r="GRS22" i="256"/>
  <c r="GRT22" i="256"/>
  <c r="GRU22" i="256"/>
  <c r="GRV22" i="256"/>
  <c r="GRW22" i="256"/>
  <c r="GRX22" i="256"/>
  <c r="GRY22" i="256"/>
  <c r="GRZ22" i="256"/>
  <c r="GSA22" i="256"/>
  <c r="GSB22" i="256"/>
  <c r="GSC22" i="256"/>
  <c r="GSD22" i="256"/>
  <c r="GSE22" i="256"/>
  <c r="GSF22" i="256"/>
  <c r="GSG22" i="256"/>
  <c r="GSH22" i="256"/>
  <c r="GSI22" i="256"/>
  <c r="GSJ22" i="256"/>
  <c r="GSK22" i="256"/>
  <c r="GSL22" i="256"/>
  <c r="GSM22" i="256"/>
  <c r="GSN22" i="256"/>
  <c r="GSO22" i="256"/>
  <c r="GSP22" i="256"/>
  <c r="GSQ22" i="256"/>
  <c r="GSR22" i="256"/>
  <c r="GSS22" i="256"/>
  <c r="GST22" i="256"/>
  <c r="GSU22" i="256"/>
  <c r="GSV22" i="256"/>
  <c r="GSW22" i="256"/>
  <c r="GSX22" i="256"/>
  <c r="GSY22" i="256"/>
  <c r="GSZ22" i="256"/>
  <c r="GTA22" i="256"/>
  <c r="GTB22" i="256"/>
  <c r="GTC22" i="256"/>
  <c r="GTD22" i="256"/>
  <c r="GTE22" i="256"/>
  <c r="GTF22" i="256"/>
  <c r="GTG22" i="256"/>
  <c r="GTH22" i="256"/>
  <c r="GTI22" i="256"/>
  <c r="GTJ22" i="256"/>
  <c r="GTK22" i="256"/>
  <c r="GTL22" i="256"/>
  <c r="GTM22" i="256"/>
  <c r="GTN22" i="256"/>
  <c r="GTO22" i="256"/>
  <c r="GTP22" i="256"/>
  <c r="GTQ22" i="256"/>
  <c r="GTR22" i="256"/>
  <c r="GTS22" i="256"/>
  <c r="GTT22" i="256"/>
  <c r="GTU22" i="256"/>
  <c r="GTV22" i="256"/>
  <c r="GTW22" i="256"/>
  <c r="GTX22" i="256"/>
  <c r="GTY22" i="256"/>
  <c r="GTZ22" i="256"/>
  <c r="GUA22" i="256"/>
  <c r="GUB22" i="256"/>
  <c r="GUC22" i="256"/>
  <c r="GUD22" i="256"/>
  <c r="GUE22" i="256"/>
  <c r="GUF22" i="256"/>
  <c r="GUG22" i="256"/>
  <c r="GUH22" i="256"/>
  <c r="GUI22" i="256"/>
  <c r="GUJ22" i="256"/>
  <c r="GUK22" i="256"/>
  <c r="GUL22" i="256"/>
  <c r="GUM22" i="256"/>
  <c r="GUN22" i="256"/>
  <c r="GUO22" i="256"/>
  <c r="GUP22" i="256"/>
  <c r="GUQ22" i="256"/>
  <c r="GUR22" i="256"/>
  <c r="GUS22" i="256"/>
  <c r="GUT22" i="256"/>
  <c r="GUU22" i="256"/>
  <c r="GUV22" i="256"/>
  <c r="GUW22" i="256"/>
  <c r="GUX22" i="256"/>
  <c r="GUY22" i="256"/>
  <c r="GUZ22" i="256"/>
  <c r="GVA22" i="256"/>
  <c r="GVB22" i="256"/>
  <c r="GVC22" i="256"/>
  <c r="GVD22" i="256"/>
  <c r="GVE22" i="256"/>
  <c r="GVF22" i="256"/>
  <c r="GVG22" i="256"/>
  <c r="GVH22" i="256"/>
  <c r="GVI22" i="256"/>
  <c r="GVJ22" i="256"/>
  <c r="GVK22" i="256"/>
  <c r="GVL22" i="256"/>
  <c r="GVM22" i="256"/>
  <c r="GVN22" i="256"/>
  <c r="GVO22" i="256"/>
  <c r="GVP22" i="256"/>
  <c r="GVQ22" i="256"/>
  <c r="GVR22" i="256"/>
  <c r="GVS22" i="256"/>
  <c r="GVT22" i="256"/>
  <c r="GVU22" i="256"/>
  <c r="GVV22" i="256"/>
  <c r="GVW22" i="256"/>
  <c r="GVX22" i="256"/>
  <c r="GVY22" i="256"/>
  <c r="GVZ22" i="256"/>
  <c r="GWA22" i="256"/>
  <c r="GWB22" i="256"/>
  <c r="GWC22" i="256"/>
  <c r="GWD22" i="256"/>
  <c r="GWE22" i="256"/>
  <c r="GWF22" i="256"/>
  <c r="GWG22" i="256"/>
  <c r="GWH22" i="256"/>
  <c r="GWI22" i="256"/>
  <c r="GWJ22" i="256"/>
  <c r="GWK22" i="256"/>
  <c r="GWL22" i="256"/>
  <c r="GWM22" i="256"/>
  <c r="GWN22" i="256"/>
  <c r="GWO22" i="256"/>
  <c r="GWP22" i="256"/>
  <c r="GWQ22" i="256"/>
  <c r="GWR22" i="256"/>
  <c r="GWS22" i="256"/>
  <c r="GWT22" i="256"/>
  <c r="GWU22" i="256"/>
  <c r="GWV22" i="256"/>
  <c r="GWW22" i="256"/>
  <c r="GWX22" i="256"/>
  <c r="GWY22" i="256"/>
  <c r="GWZ22" i="256"/>
  <c r="GXA22" i="256"/>
  <c r="GXB22" i="256"/>
  <c r="GXC22" i="256"/>
  <c r="GXD22" i="256"/>
  <c r="GXE22" i="256"/>
  <c r="GXF22" i="256"/>
  <c r="GXG22" i="256"/>
  <c r="GXH22" i="256"/>
  <c r="GXI22" i="256"/>
  <c r="GXJ22" i="256"/>
  <c r="GXK22" i="256"/>
  <c r="GXL22" i="256"/>
  <c r="GXM22" i="256"/>
  <c r="GXN22" i="256"/>
  <c r="GXO22" i="256"/>
  <c r="GXP22" i="256"/>
  <c r="GXQ22" i="256"/>
  <c r="GXR22" i="256"/>
  <c r="GXS22" i="256"/>
  <c r="GXT22" i="256"/>
  <c r="GXU22" i="256"/>
  <c r="GXV22" i="256"/>
  <c r="GXW22" i="256"/>
  <c r="GXX22" i="256"/>
  <c r="GXY22" i="256"/>
  <c r="GXZ22" i="256"/>
  <c r="GYA22" i="256"/>
  <c r="GYB22" i="256"/>
  <c r="GYC22" i="256"/>
  <c r="GYD22" i="256"/>
  <c r="GYE22" i="256"/>
  <c r="GYF22" i="256"/>
  <c r="GYG22" i="256"/>
  <c r="GYH22" i="256"/>
  <c r="GYI22" i="256"/>
  <c r="GYJ22" i="256"/>
  <c r="GYK22" i="256"/>
  <c r="GYL22" i="256"/>
  <c r="GYM22" i="256"/>
  <c r="GYN22" i="256"/>
  <c r="GYO22" i="256"/>
  <c r="GYP22" i="256"/>
  <c r="GYQ22" i="256"/>
  <c r="GYR22" i="256"/>
  <c r="GYS22" i="256"/>
  <c r="GYT22" i="256"/>
  <c r="GYU22" i="256"/>
  <c r="GYV22" i="256"/>
  <c r="GYW22" i="256"/>
  <c r="GYX22" i="256"/>
  <c r="GYY22" i="256"/>
  <c r="GYZ22" i="256"/>
  <c r="GZA22" i="256"/>
  <c r="GZB22" i="256"/>
  <c r="GZC22" i="256"/>
  <c r="GZD22" i="256"/>
  <c r="GZE22" i="256"/>
  <c r="GZF22" i="256"/>
  <c r="GZG22" i="256"/>
  <c r="GZH22" i="256"/>
  <c r="GZI22" i="256"/>
  <c r="GZJ22" i="256"/>
  <c r="GZK22" i="256"/>
  <c r="GZL22" i="256"/>
  <c r="GZM22" i="256"/>
  <c r="GZN22" i="256"/>
  <c r="GZO22" i="256"/>
  <c r="GZP22" i="256"/>
  <c r="GZQ22" i="256"/>
  <c r="GZR22" i="256"/>
  <c r="GZS22" i="256"/>
  <c r="GZT22" i="256"/>
  <c r="GZU22" i="256"/>
  <c r="GZV22" i="256"/>
  <c r="GZW22" i="256"/>
  <c r="GZX22" i="256"/>
  <c r="GZY22" i="256"/>
  <c r="GZZ22" i="256"/>
  <c r="HAA22" i="256"/>
  <c r="HAB22" i="256"/>
  <c r="HAC22" i="256"/>
  <c r="HAD22" i="256"/>
  <c r="HAE22" i="256"/>
  <c r="HAF22" i="256"/>
  <c r="HAG22" i="256"/>
  <c r="HAH22" i="256"/>
  <c r="HAI22" i="256"/>
  <c r="HAJ22" i="256"/>
  <c r="HAK22" i="256"/>
  <c r="HAL22" i="256"/>
  <c r="HAM22" i="256"/>
  <c r="HAN22" i="256"/>
  <c r="HAO22" i="256"/>
  <c r="HAP22" i="256"/>
  <c r="HAQ22" i="256"/>
  <c r="HAR22" i="256"/>
  <c r="HAS22" i="256"/>
  <c r="HAT22" i="256"/>
  <c r="HAU22" i="256"/>
  <c r="HAV22" i="256"/>
  <c r="HAW22" i="256"/>
  <c r="HAX22" i="256"/>
  <c r="HAY22" i="256"/>
  <c r="HAZ22" i="256"/>
  <c r="HBA22" i="256"/>
  <c r="HBB22" i="256"/>
  <c r="HBC22" i="256"/>
  <c r="HBD22" i="256"/>
  <c r="HBE22" i="256"/>
  <c r="HBF22" i="256"/>
  <c r="HBG22" i="256"/>
  <c r="HBH22" i="256"/>
  <c r="HBI22" i="256"/>
  <c r="HBJ22" i="256"/>
  <c r="HBK22" i="256"/>
  <c r="HBL22" i="256"/>
  <c r="HBM22" i="256"/>
  <c r="HBN22" i="256"/>
  <c r="HBO22" i="256"/>
  <c r="HBP22" i="256"/>
  <c r="HBQ22" i="256"/>
  <c r="HBR22" i="256"/>
  <c r="HBS22" i="256"/>
  <c r="HBT22" i="256"/>
  <c r="HBU22" i="256"/>
  <c r="HBV22" i="256"/>
  <c r="HBW22" i="256"/>
  <c r="HBX22" i="256"/>
  <c r="HBY22" i="256"/>
  <c r="HBZ22" i="256"/>
  <c r="HCA22" i="256"/>
  <c r="HCB22" i="256"/>
  <c r="HCC22" i="256"/>
  <c r="HCD22" i="256"/>
  <c r="HCE22" i="256"/>
  <c r="HCF22" i="256"/>
  <c r="HCG22" i="256"/>
  <c r="HCH22" i="256"/>
  <c r="HCI22" i="256"/>
  <c r="HCJ22" i="256"/>
  <c r="HCK22" i="256"/>
  <c r="HCL22" i="256"/>
  <c r="HCM22" i="256"/>
  <c r="HCN22" i="256"/>
  <c r="HCO22" i="256"/>
  <c r="HCP22" i="256"/>
  <c r="HCQ22" i="256"/>
  <c r="HCR22" i="256"/>
  <c r="HCS22" i="256"/>
  <c r="HCT22" i="256"/>
  <c r="HCU22" i="256"/>
  <c r="HCV22" i="256"/>
  <c r="HCW22" i="256"/>
  <c r="HCX22" i="256"/>
  <c r="HCY22" i="256"/>
  <c r="HCZ22" i="256"/>
  <c r="HDA22" i="256"/>
  <c r="HDB22" i="256"/>
  <c r="HDC22" i="256"/>
  <c r="HDD22" i="256"/>
  <c r="HDE22" i="256"/>
  <c r="HDF22" i="256"/>
  <c r="HDG22" i="256"/>
  <c r="HDH22" i="256"/>
  <c r="HDI22" i="256"/>
  <c r="HDJ22" i="256"/>
  <c r="HDK22" i="256"/>
  <c r="HDL22" i="256"/>
  <c r="HDM22" i="256"/>
  <c r="HDN22" i="256"/>
  <c r="HDO22" i="256"/>
  <c r="HDP22" i="256"/>
  <c r="HDQ22" i="256"/>
  <c r="HDR22" i="256"/>
  <c r="HDS22" i="256"/>
  <c r="HDT22" i="256"/>
  <c r="HDU22" i="256"/>
  <c r="HDV22" i="256"/>
  <c r="HDW22" i="256"/>
  <c r="HDX22" i="256"/>
  <c r="HDY22" i="256"/>
  <c r="HDZ22" i="256"/>
  <c r="HEA22" i="256"/>
  <c r="HEB22" i="256"/>
  <c r="HEC22" i="256"/>
  <c r="HED22" i="256"/>
  <c r="HEE22" i="256"/>
  <c r="HEF22" i="256"/>
  <c r="HEG22" i="256"/>
  <c r="HEH22" i="256"/>
  <c r="HEI22" i="256"/>
  <c r="HEJ22" i="256"/>
  <c r="HEK22" i="256"/>
  <c r="HEL22" i="256"/>
  <c r="HEM22" i="256"/>
  <c r="HEN22" i="256"/>
  <c r="HEO22" i="256"/>
  <c r="HEP22" i="256"/>
  <c r="HEQ22" i="256"/>
  <c r="HER22" i="256"/>
  <c r="HES22" i="256"/>
  <c r="HET22" i="256"/>
  <c r="HEU22" i="256"/>
  <c r="HEV22" i="256"/>
  <c r="HEW22" i="256"/>
  <c r="HEX22" i="256"/>
  <c r="HEY22" i="256"/>
  <c r="HEZ22" i="256"/>
  <c r="HFA22" i="256"/>
  <c r="HFB22" i="256"/>
  <c r="HFC22" i="256"/>
  <c r="HFD22" i="256"/>
  <c r="HFE22" i="256"/>
  <c r="HFF22" i="256"/>
  <c r="HFG22" i="256"/>
  <c r="HFH22" i="256"/>
  <c r="HFI22" i="256"/>
  <c r="HFJ22" i="256"/>
  <c r="HFK22" i="256"/>
  <c r="HFL22" i="256"/>
  <c r="HFM22" i="256"/>
  <c r="HFN22" i="256"/>
  <c r="HFO22" i="256"/>
  <c r="HFP22" i="256"/>
  <c r="HFQ22" i="256"/>
  <c r="HFR22" i="256"/>
  <c r="HFS22" i="256"/>
  <c r="HFT22" i="256"/>
  <c r="HFU22" i="256"/>
  <c r="HFV22" i="256"/>
  <c r="HFW22" i="256"/>
  <c r="HFX22" i="256"/>
  <c r="HFY22" i="256"/>
  <c r="HFZ22" i="256"/>
  <c r="HGA22" i="256"/>
  <c r="HGB22" i="256"/>
  <c r="HGC22" i="256"/>
  <c r="HGD22" i="256"/>
  <c r="HGE22" i="256"/>
  <c r="HGF22" i="256"/>
  <c r="HGG22" i="256"/>
  <c r="HGH22" i="256"/>
  <c r="HGI22" i="256"/>
  <c r="HGJ22" i="256"/>
  <c r="HGK22" i="256"/>
  <c r="HGL22" i="256"/>
  <c r="HGM22" i="256"/>
  <c r="HGN22" i="256"/>
  <c r="HGO22" i="256"/>
  <c r="HGP22" i="256"/>
  <c r="HGQ22" i="256"/>
  <c r="HGR22" i="256"/>
  <c r="HGS22" i="256"/>
  <c r="HGT22" i="256"/>
  <c r="HGU22" i="256"/>
  <c r="HGV22" i="256"/>
  <c r="HGW22" i="256"/>
  <c r="HGX22" i="256"/>
  <c r="HGY22" i="256"/>
  <c r="HGZ22" i="256"/>
  <c r="HHA22" i="256"/>
  <c r="HHB22" i="256"/>
  <c r="HHC22" i="256"/>
  <c r="HHD22" i="256"/>
  <c r="HHE22" i="256"/>
  <c r="HHF22" i="256"/>
  <c r="HHG22" i="256"/>
  <c r="HHH22" i="256"/>
  <c r="HHI22" i="256"/>
  <c r="HHJ22" i="256"/>
  <c r="HHK22" i="256"/>
  <c r="HHL22" i="256"/>
  <c r="HHM22" i="256"/>
  <c r="HHN22" i="256"/>
  <c r="HHO22" i="256"/>
  <c r="HHP22" i="256"/>
  <c r="HHQ22" i="256"/>
  <c r="HHR22" i="256"/>
  <c r="HHS22" i="256"/>
  <c r="HHT22" i="256"/>
  <c r="HHU22" i="256"/>
  <c r="HHV22" i="256"/>
  <c r="HHW22" i="256"/>
  <c r="HHX22" i="256"/>
  <c r="HHY22" i="256"/>
  <c r="HHZ22" i="256"/>
  <c r="HIA22" i="256"/>
  <c r="HIB22" i="256"/>
  <c r="HIC22" i="256"/>
  <c r="HID22" i="256"/>
  <c r="HIE22" i="256"/>
  <c r="HIF22" i="256"/>
  <c r="HIG22" i="256"/>
  <c r="HIH22" i="256"/>
  <c r="HII22" i="256"/>
  <c r="HIJ22" i="256"/>
  <c r="HIK22" i="256"/>
  <c r="HIL22" i="256"/>
  <c r="HIM22" i="256"/>
  <c r="HIN22" i="256"/>
  <c r="HIO22" i="256"/>
  <c r="HIP22" i="256"/>
  <c r="HIQ22" i="256"/>
  <c r="HIR22" i="256"/>
  <c r="HIS22" i="256"/>
  <c r="HIT22" i="256"/>
  <c r="HIU22" i="256"/>
  <c r="HIV22" i="256"/>
  <c r="HIW22" i="256"/>
  <c r="HIX22" i="256"/>
  <c r="HIY22" i="256"/>
  <c r="HIZ22" i="256"/>
  <c r="HJA22" i="256"/>
  <c r="HJB22" i="256"/>
  <c r="HJC22" i="256"/>
  <c r="HJD22" i="256"/>
  <c r="HJE22" i="256"/>
  <c r="HJF22" i="256"/>
  <c r="HJG22" i="256"/>
  <c r="HJH22" i="256"/>
  <c r="HJI22" i="256"/>
  <c r="HJJ22" i="256"/>
  <c r="HJK22" i="256"/>
  <c r="HJL22" i="256"/>
  <c r="HJM22" i="256"/>
  <c r="HJN22" i="256"/>
  <c r="HJO22" i="256"/>
  <c r="HJP22" i="256"/>
  <c r="HJQ22" i="256"/>
  <c r="HJR22" i="256"/>
  <c r="HJS22" i="256"/>
  <c r="HJT22" i="256"/>
  <c r="HJU22" i="256"/>
  <c r="HJV22" i="256"/>
  <c r="HJW22" i="256"/>
  <c r="HJX22" i="256"/>
  <c r="HJY22" i="256"/>
  <c r="HJZ22" i="256"/>
  <c r="HKA22" i="256"/>
  <c r="HKB22" i="256"/>
  <c r="HKC22" i="256"/>
  <c r="HKD22" i="256"/>
  <c r="HKE22" i="256"/>
  <c r="HKF22" i="256"/>
  <c r="HKG22" i="256"/>
  <c r="HKH22" i="256"/>
  <c r="HKI22" i="256"/>
  <c r="HKJ22" i="256"/>
  <c r="HKK22" i="256"/>
  <c r="HKL22" i="256"/>
  <c r="HKM22" i="256"/>
  <c r="HKN22" i="256"/>
  <c r="HKO22" i="256"/>
  <c r="HKP22" i="256"/>
  <c r="HKQ22" i="256"/>
  <c r="HKR22" i="256"/>
  <c r="HKS22" i="256"/>
  <c r="HKT22" i="256"/>
  <c r="HKU22" i="256"/>
  <c r="HKV22" i="256"/>
  <c r="HKW22" i="256"/>
  <c r="HKX22" i="256"/>
  <c r="HKY22" i="256"/>
  <c r="HKZ22" i="256"/>
  <c r="HLA22" i="256"/>
  <c r="HLB22" i="256"/>
  <c r="HLC22" i="256"/>
  <c r="HLD22" i="256"/>
  <c r="HLE22" i="256"/>
  <c r="HLF22" i="256"/>
  <c r="HLG22" i="256"/>
  <c r="HLH22" i="256"/>
  <c r="HLI22" i="256"/>
  <c r="HLJ22" i="256"/>
  <c r="HLK22" i="256"/>
  <c r="HLL22" i="256"/>
  <c r="HLM22" i="256"/>
  <c r="HLN22" i="256"/>
  <c r="HLO22" i="256"/>
  <c r="HLP22" i="256"/>
  <c r="HLQ22" i="256"/>
  <c r="HLR22" i="256"/>
  <c r="HLS22" i="256"/>
  <c r="HLT22" i="256"/>
  <c r="HLU22" i="256"/>
  <c r="HLV22" i="256"/>
  <c r="HLW22" i="256"/>
  <c r="HLX22" i="256"/>
  <c r="HLY22" i="256"/>
  <c r="HLZ22" i="256"/>
  <c r="HMA22" i="256"/>
  <c r="HMB22" i="256"/>
  <c r="HMC22" i="256"/>
  <c r="HMD22" i="256"/>
  <c r="HME22" i="256"/>
  <c r="HMF22" i="256"/>
  <c r="HMG22" i="256"/>
  <c r="HMH22" i="256"/>
  <c r="HMI22" i="256"/>
  <c r="HMJ22" i="256"/>
  <c r="HMK22" i="256"/>
  <c r="HML22" i="256"/>
  <c r="HMM22" i="256"/>
  <c r="HMN22" i="256"/>
  <c r="HMO22" i="256"/>
  <c r="HMP22" i="256"/>
  <c r="HMQ22" i="256"/>
  <c r="HMR22" i="256"/>
  <c r="HMS22" i="256"/>
  <c r="HMT22" i="256"/>
  <c r="HMU22" i="256"/>
  <c r="HMV22" i="256"/>
  <c r="HMW22" i="256"/>
  <c r="HMX22" i="256"/>
  <c r="HMY22" i="256"/>
  <c r="HMZ22" i="256"/>
  <c r="HNA22" i="256"/>
  <c r="HNB22" i="256"/>
  <c r="HNC22" i="256"/>
  <c r="HND22" i="256"/>
  <c r="HNE22" i="256"/>
  <c r="HNF22" i="256"/>
  <c r="HNG22" i="256"/>
  <c r="HNH22" i="256"/>
  <c r="HNI22" i="256"/>
  <c r="HNJ22" i="256"/>
  <c r="HNK22" i="256"/>
  <c r="HNL22" i="256"/>
  <c r="HNM22" i="256"/>
  <c r="HNN22" i="256"/>
  <c r="HNO22" i="256"/>
  <c r="HNP22" i="256"/>
  <c r="HNQ22" i="256"/>
  <c r="HNR22" i="256"/>
  <c r="HNS22" i="256"/>
  <c r="HNT22" i="256"/>
  <c r="HNU22" i="256"/>
  <c r="HNV22" i="256"/>
  <c r="HNW22" i="256"/>
  <c r="HNX22" i="256"/>
  <c r="HNY22" i="256"/>
  <c r="HNZ22" i="256"/>
  <c r="HOA22" i="256"/>
  <c r="HOB22" i="256"/>
  <c r="HOC22" i="256"/>
  <c r="HOD22" i="256"/>
  <c r="HOE22" i="256"/>
  <c r="HOF22" i="256"/>
  <c r="HOG22" i="256"/>
  <c r="HOH22" i="256"/>
  <c r="HOI22" i="256"/>
  <c r="HOJ22" i="256"/>
  <c r="HOK22" i="256"/>
  <c r="HOL22" i="256"/>
  <c r="HOM22" i="256"/>
  <c r="HON22" i="256"/>
  <c r="HOO22" i="256"/>
  <c r="HOP22" i="256"/>
  <c r="HOQ22" i="256"/>
  <c r="HOR22" i="256"/>
  <c r="HOS22" i="256"/>
  <c r="HOT22" i="256"/>
  <c r="HOU22" i="256"/>
  <c r="HOV22" i="256"/>
  <c r="HOW22" i="256"/>
  <c r="HOX22" i="256"/>
  <c r="HOY22" i="256"/>
  <c r="HOZ22" i="256"/>
  <c r="HPA22" i="256"/>
  <c r="HPB22" i="256"/>
  <c r="HPC22" i="256"/>
  <c r="HPD22" i="256"/>
  <c r="HPE22" i="256"/>
  <c r="HPF22" i="256"/>
  <c r="HPG22" i="256"/>
  <c r="HPH22" i="256"/>
  <c r="HPI22" i="256"/>
  <c r="HPJ22" i="256"/>
  <c r="HPK22" i="256"/>
  <c r="HPL22" i="256"/>
  <c r="HPM22" i="256"/>
  <c r="HPN22" i="256"/>
  <c r="HPO22" i="256"/>
  <c r="HPP22" i="256"/>
  <c r="HPQ22" i="256"/>
  <c r="HPR22" i="256"/>
  <c r="HPS22" i="256"/>
  <c r="HPT22" i="256"/>
  <c r="HPU22" i="256"/>
  <c r="HPV22" i="256"/>
  <c r="HPW22" i="256"/>
  <c r="HPX22" i="256"/>
  <c r="HPY22" i="256"/>
  <c r="HPZ22" i="256"/>
  <c r="HQA22" i="256"/>
  <c r="HQB22" i="256"/>
  <c r="HQC22" i="256"/>
  <c r="HQD22" i="256"/>
  <c r="HQE22" i="256"/>
  <c r="HQF22" i="256"/>
  <c r="HQG22" i="256"/>
  <c r="HQH22" i="256"/>
  <c r="HQI22" i="256"/>
  <c r="HQJ22" i="256"/>
  <c r="HQK22" i="256"/>
  <c r="HQL22" i="256"/>
  <c r="HQM22" i="256"/>
  <c r="HQN22" i="256"/>
  <c r="HQO22" i="256"/>
  <c r="HQP22" i="256"/>
  <c r="HQQ22" i="256"/>
  <c r="HQR22" i="256"/>
  <c r="HQS22" i="256"/>
  <c r="HQT22" i="256"/>
  <c r="HQU22" i="256"/>
  <c r="HQV22" i="256"/>
  <c r="HQW22" i="256"/>
  <c r="HQX22" i="256"/>
  <c r="HQY22" i="256"/>
  <c r="HQZ22" i="256"/>
  <c r="HRA22" i="256"/>
  <c r="HRB22" i="256"/>
  <c r="HRC22" i="256"/>
  <c r="HRD22" i="256"/>
  <c r="HRE22" i="256"/>
  <c r="HRF22" i="256"/>
  <c r="HRG22" i="256"/>
  <c r="HRH22" i="256"/>
  <c r="HRI22" i="256"/>
  <c r="HRJ22" i="256"/>
  <c r="HRK22" i="256"/>
  <c r="HRL22" i="256"/>
  <c r="HRM22" i="256"/>
  <c r="HRN22" i="256"/>
  <c r="HRO22" i="256"/>
  <c r="HRP22" i="256"/>
  <c r="HRQ22" i="256"/>
  <c r="HRR22" i="256"/>
  <c r="HRS22" i="256"/>
  <c r="HRT22" i="256"/>
  <c r="HRU22" i="256"/>
  <c r="HRV22" i="256"/>
  <c r="HRW22" i="256"/>
  <c r="HRX22" i="256"/>
  <c r="HRY22" i="256"/>
  <c r="HRZ22" i="256"/>
  <c r="HSA22" i="256"/>
  <c r="HSB22" i="256"/>
  <c r="HSC22" i="256"/>
  <c r="HSD22" i="256"/>
  <c r="HSE22" i="256"/>
  <c r="HSF22" i="256"/>
  <c r="HSG22" i="256"/>
  <c r="HSH22" i="256"/>
  <c r="HSI22" i="256"/>
  <c r="HSJ22" i="256"/>
  <c r="HSK22" i="256"/>
  <c r="HSL22" i="256"/>
  <c r="HSM22" i="256"/>
  <c r="HSN22" i="256"/>
  <c r="HSO22" i="256"/>
  <c r="HSP22" i="256"/>
  <c r="HSQ22" i="256"/>
  <c r="HSR22" i="256"/>
  <c r="HSS22" i="256"/>
  <c r="HST22" i="256"/>
  <c r="HSU22" i="256"/>
  <c r="HSV22" i="256"/>
  <c r="HSW22" i="256"/>
  <c r="HSX22" i="256"/>
  <c r="HSY22" i="256"/>
  <c r="HSZ22" i="256"/>
  <c r="HTA22" i="256"/>
  <c r="HTB22" i="256"/>
  <c r="HTC22" i="256"/>
  <c r="HTD22" i="256"/>
  <c r="HTE22" i="256"/>
  <c r="HTF22" i="256"/>
  <c r="HTG22" i="256"/>
  <c r="HTH22" i="256"/>
  <c r="HTI22" i="256"/>
  <c r="HTJ22" i="256"/>
  <c r="HTK22" i="256"/>
  <c r="HTL22" i="256"/>
  <c r="HTM22" i="256"/>
  <c r="HTN22" i="256"/>
  <c r="HTO22" i="256"/>
  <c r="HTP22" i="256"/>
  <c r="HTQ22" i="256"/>
  <c r="HTR22" i="256"/>
  <c r="HTS22" i="256"/>
  <c r="HTT22" i="256"/>
  <c r="HTU22" i="256"/>
  <c r="HTV22" i="256"/>
  <c r="HTW22" i="256"/>
  <c r="HTX22" i="256"/>
  <c r="HTY22" i="256"/>
  <c r="HTZ22" i="256"/>
  <c r="HUA22" i="256"/>
  <c r="HUB22" i="256"/>
  <c r="HUC22" i="256"/>
  <c r="HUD22" i="256"/>
  <c r="HUE22" i="256"/>
  <c r="HUF22" i="256"/>
  <c r="HUG22" i="256"/>
  <c r="HUH22" i="256"/>
  <c r="HUI22" i="256"/>
  <c r="HUJ22" i="256"/>
  <c r="HUK22" i="256"/>
  <c r="HUL22" i="256"/>
  <c r="HUM22" i="256"/>
  <c r="HUN22" i="256"/>
  <c r="HUO22" i="256"/>
  <c r="HUP22" i="256"/>
  <c r="HUQ22" i="256"/>
  <c r="HUR22" i="256"/>
  <c r="HUS22" i="256"/>
  <c r="HUT22" i="256"/>
  <c r="HUU22" i="256"/>
  <c r="HUV22" i="256"/>
  <c r="HUW22" i="256"/>
  <c r="HUX22" i="256"/>
  <c r="HUY22" i="256"/>
  <c r="HUZ22" i="256"/>
  <c r="HVA22" i="256"/>
  <c r="HVB22" i="256"/>
  <c r="HVC22" i="256"/>
  <c r="HVD22" i="256"/>
  <c r="HVE22" i="256"/>
  <c r="HVF22" i="256"/>
  <c r="HVG22" i="256"/>
  <c r="HVH22" i="256"/>
  <c r="HVI22" i="256"/>
  <c r="HVJ22" i="256"/>
  <c r="HVK22" i="256"/>
  <c r="HVL22" i="256"/>
  <c r="HVM22" i="256"/>
  <c r="HVN22" i="256"/>
  <c r="HVO22" i="256"/>
  <c r="HVP22" i="256"/>
  <c r="HVQ22" i="256"/>
  <c r="HVR22" i="256"/>
  <c r="HVS22" i="256"/>
  <c r="HVT22" i="256"/>
  <c r="HVU22" i="256"/>
  <c r="HVV22" i="256"/>
  <c r="HVW22" i="256"/>
  <c r="HVX22" i="256"/>
  <c r="HVY22" i="256"/>
  <c r="HVZ22" i="256"/>
  <c r="HWA22" i="256"/>
  <c r="HWB22" i="256"/>
  <c r="HWC22" i="256"/>
  <c r="HWD22" i="256"/>
  <c r="HWE22" i="256"/>
  <c r="HWF22" i="256"/>
  <c r="HWG22" i="256"/>
  <c r="HWH22" i="256"/>
  <c r="HWI22" i="256"/>
  <c r="HWJ22" i="256"/>
  <c r="HWK22" i="256"/>
  <c r="HWL22" i="256"/>
  <c r="HWM22" i="256"/>
  <c r="HWN22" i="256"/>
  <c r="HWO22" i="256"/>
  <c r="HWP22" i="256"/>
  <c r="HWQ22" i="256"/>
  <c r="HWR22" i="256"/>
  <c r="HWS22" i="256"/>
  <c r="HWT22" i="256"/>
  <c r="HWU22" i="256"/>
  <c r="HWV22" i="256"/>
  <c r="HWW22" i="256"/>
  <c r="HWX22" i="256"/>
  <c r="HWY22" i="256"/>
  <c r="HWZ22" i="256"/>
  <c r="HXA22" i="256"/>
  <c r="HXB22" i="256"/>
  <c r="HXC22" i="256"/>
  <c r="HXD22" i="256"/>
  <c r="HXE22" i="256"/>
  <c r="HXF22" i="256"/>
  <c r="HXG22" i="256"/>
  <c r="HXH22" i="256"/>
  <c r="HXI22" i="256"/>
  <c r="HXJ22" i="256"/>
  <c r="HXK22" i="256"/>
  <c r="HXL22" i="256"/>
  <c r="HXM22" i="256"/>
  <c r="HXN22" i="256"/>
  <c r="HXO22" i="256"/>
  <c r="HXP22" i="256"/>
  <c r="HXQ22" i="256"/>
  <c r="HXR22" i="256"/>
  <c r="HXS22" i="256"/>
  <c r="HXT22" i="256"/>
  <c r="HXU22" i="256"/>
  <c r="HXV22" i="256"/>
  <c r="HXW22" i="256"/>
  <c r="HXX22" i="256"/>
  <c r="HXY22" i="256"/>
  <c r="HXZ22" i="256"/>
  <c r="HYA22" i="256"/>
  <c r="HYB22" i="256"/>
  <c r="HYC22" i="256"/>
  <c r="HYD22" i="256"/>
  <c r="HYE22" i="256"/>
  <c r="HYF22" i="256"/>
  <c r="HYG22" i="256"/>
  <c r="HYH22" i="256"/>
  <c r="HYI22" i="256"/>
  <c r="HYJ22" i="256"/>
  <c r="HYK22" i="256"/>
  <c r="HYL22" i="256"/>
  <c r="HYM22" i="256"/>
  <c r="HYN22" i="256"/>
  <c r="HYO22" i="256"/>
  <c r="HYP22" i="256"/>
  <c r="HYQ22" i="256"/>
  <c r="HYR22" i="256"/>
  <c r="HYS22" i="256"/>
  <c r="HYT22" i="256"/>
  <c r="HYU22" i="256"/>
  <c r="HYV22" i="256"/>
  <c r="HYW22" i="256"/>
  <c r="HYX22" i="256"/>
  <c r="HYY22" i="256"/>
  <c r="HYZ22" i="256"/>
  <c r="HZA22" i="256"/>
  <c r="HZB22" i="256"/>
  <c r="HZC22" i="256"/>
  <c r="HZD22" i="256"/>
  <c r="HZE22" i="256"/>
  <c r="HZF22" i="256"/>
  <c r="HZG22" i="256"/>
  <c r="HZH22" i="256"/>
  <c r="HZI22" i="256"/>
  <c r="HZJ22" i="256"/>
  <c r="HZK22" i="256"/>
  <c r="HZL22" i="256"/>
  <c r="HZM22" i="256"/>
  <c r="HZN22" i="256"/>
  <c r="HZO22" i="256"/>
  <c r="HZP22" i="256"/>
  <c r="HZQ22" i="256"/>
  <c r="HZR22" i="256"/>
  <c r="HZS22" i="256"/>
  <c r="HZT22" i="256"/>
  <c r="HZU22" i="256"/>
  <c r="HZV22" i="256"/>
  <c r="HZW22" i="256"/>
  <c r="HZX22" i="256"/>
  <c r="HZY22" i="256"/>
  <c r="HZZ22" i="256"/>
  <c r="IAA22" i="256"/>
  <c r="IAB22" i="256"/>
  <c r="IAC22" i="256"/>
  <c r="IAD22" i="256"/>
  <c r="IAE22" i="256"/>
  <c r="IAF22" i="256"/>
  <c r="IAG22" i="256"/>
  <c r="IAH22" i="256"/>
  <c r="IAI22" i="256"/>
  <c r="IAJ22" i="256"/>
  <c r="IAK22" i="256"/>
  <c r="IAL22" i="256"/>
  <c r="IAM22" i="256"/>
  <c r="IAN22" i="256"/>
  <c r="IAO22" i="256"/>
  <c r="IAP22" i="256"/>
  <c r="IAQ22" i="256"/>
  <c r="IAR22" i="256"/>
  <c r="IAS22" i="256"/>
  <c r="IAT22" i="256"/>
  <c r="IAU22" i="256"/>
  <c r="IAV22" i="256"/>
  <c r="IAW22" i="256"/>
  <c r="IAX22" i="256"/>
  <c r="IAY22" i="256"/>
  <c r="IAZ22" i="256"/>
  <c r="IBA22" i="256"/>
  <c r="IBB22" i="256"/>
  <c r="IBC22" i="256"/>
  <c r="IBD22" i="256"/>
  <c r="IBE22" i="256"/>
  <c r="IBF22" i="256"/>
  <c r="IBG22" i="256"/>
  <c r="IBH22" i="256"/>
  <c r="IBI22" i="256"/>
  <c r="IBJ22" i="256"/>
  <c r="IBK22" i="256"/>
  <c r="IBL22" i="256"/>
  <c r="IBM22" i="256"/>
  <c r="IBN22" i="256"/>
  <c r="IBO22" i="256"/>
  <c r="IBP22" i="256"/>
  <c r="IBQ22" i="256"/>
  <c r="IBR22" i="256"/>
  <c r="IBS22" i="256"/>
  <c r="IBT22" i="256"/>
  <c r="IBU22" i="256"/>
  <c r="IBV22" i="256"/>
  <c r="IBW22" i="256"/>
  <c r="IBX22" i="256"/>
  <c r="IBY22" i="256"/>
  <c r="IBZ22" i="256"/>
  <c r="ICA22" i="256"/>
  <c r="ICB22" i="256"/>
  <c r="ICC22" i="256"/>
  <c r="ICD22" i="256"/>
  <c r="ICE22" i="256"/>
  <c r="ICF22" i="256"/>
  <c r="ICG22" i="256"/>
  <c r="ICH22" i="256"/>
  <c r="ICI22" i="256"/>
  <c r="ICJ22" i="256"/>
  <c r="ICK22" i="256"/>
  <c r="ICL22" i="256"/>
  <c r="ICM22" i="256"/>
  <c r="ICN22" i="256"/>
  <c r="ICO22" i="256"/>
  <c r="ICP22" i="256"/>
  <c r="ICQ22" i="256"/>
  <c r="ICR22" i="256"/>
  <c r="ICS22" i="256"/>
  <c r="ICT22" i="256"/>
  <c r="ICU22" i="256"/>
  <c r="ICV22" i="256"/>
  <c r="ICW22" i="256"/>
  <c r="ICX22" i="256"/>
  <c r="ICY22" i="256"/>
  <c r="ICZ22" i="256"/>
  <c r="IDA22" i="256"/>
  <c r="IDB22" i="256"/>
  <c r="IDC22" i="256"/>
  <c r="IDD22" i="256"/>
  <c r="IDE22" i="256"/>
  <c r="IDF22" i="256"/>
  <c r="IDG22" i="256"/>
  <c r="IDH22" i="256"/>
  <c r="IDI22" i="256"/>
  <c r="IDJ22" i="256"/>
  <c r="IDK22" i="256"/>
  <c r="IDL22" i="256"/>
  <c r="IDM22" i="256"/>
  <c r="IDN22" i="256"/>
  <c r="IDO22" i="256"/>
  <c r="IDP22" i="256"/>
  <c r="IDQ22" i="256"/>
  <c r="IDR22" i="256"/>
  <c r="IDS22" i="256"/>
  <c r="IDT22" i="256"/>
  <c r="IDU22" i="256"/>
  <c r="IDV22" i="256"/>
  <c r="IDW22" i="256"/>
  <c r="IDX22" i="256"/>
  <c r="IDY22" i="256"/>
  <c r="IDZ22" i="256"/>
  <c r="IEA22" i="256"/>
  <c r="IEB22" i="256"/>
  <c r="IEC22" i="256"/>
  <c r="IED22" i="256"/>
  <c r="IEE22" i="256"/>
  <c r="IEF22" i="256"/>
  <c r="IEG22" i="256"/>
  <c r="IEH22" i="256"/>
  <c r="IEI22" i="256"/>
  <c r="IEJ22" i="256"/>
  <c r="IEK22" i="256"/>
  <c r="IEL22" i="256"/>
  <c r="IEM22" i="256"/>
  <c r="IEN22" i="256"/>
  <c r="IEO22" i="256"/>
  <c r="IEP22" i="256"/>
  <c r="IEQ22" i="256"/>
  <c r="IER22" i="256"/>
  <c r="IES22" i="256"/>
  <c r="IET22" i="256"/>
  <c r="IEU22" i="256"/>
  <c r="IEV22" i="256"/>
  <c r="IEW22" i="256"/>
  <c r="IEX22" i="256"/>
  <c r="IEY22" i="256"/>
  <c r="IEZ22" i="256"/>
  <c r="IFA22" i="256"/>
  <c r="IFB22" i="256"/>
  <c r="IFC22" i="256"/>
  <c r="IFD22" i="256"/>
  <c r="IFE22" i="256"/>
  <c r="IFF22" i="256"/>
  <c r="IFG22" i="256"/>
  <c r="IFH22" i="256"/>
  <c r="IFI22" i="256"/>
  <c r="IFJ22" i="256"/>
  <c r="IFK22" i="256"/>
  <c r="IFL22" i="256"/>
  <c r="IFM22" i="256"/>
  <c r="IFN22" i="256"/>
  <c r="IFO22" i="256"/>
  <c r="IFP22" i="256"/>
  <c r="IFQ22" i="256"/>
  <c r="IFR22" i="256"/>
  <c r="IFS22" i="256"/>
  <c r="IFT22" i="256"/>
  <c r="IFU22" i="256"/>
  <c r="IFV22" i="256"/>
  <c r="IFW22" i="256"/>
  <c r="IFX22" i="256"/>
  <c r="IFY22" i="256"/>
  <c r="IFZ22" i="256"/>
  <c r="IGA22" i="256"/>
  <c r="IGB22" i="256"/>
  <c r="IGC22" i="256"/>
  <c r="IGD22" i="256"/>
  <c r="IGE22" i="256"/>
  <c r="IGF22" i="256"/>
  <c r="IGG22" i="256"/>
  <c r="IGH22" i="256"/>
  <c r="IGI22" i="256"/>
  <c r="IGJ22" i="256"/>
  <c r="IGK22" i="256"/>
  <c r="IGL22" i="256"/>
  <c r="IGM22" i="256"/>
  <c r="IGN22" i="256"/>
  <c r="IGO22" i="256"/>
  <c r="IGP22" i="256"/>
  <c r="IGQ22" i="256"/>
  <c r="IGR22" i="256"/>
  <c r="IGS22" i="256"/>
  <c r="IGT22" i="256"/>
  <c r="IGU22" i="256"/>
  <c r="IGV22" i="256"/>
  <c r="IGW22" i="256"/>
  <c r="IGX22" i="256"/>
  <c r="IGY22" i="256"/>
  <c r="IGZ22" i="256"/>
  <c r="IHA22" i="256"/>
  <c r="IHB22" i="256"/>
  <c r="IHC22" i="256"/>
  <c r="IHD22" i="256"/>
  <c r="IHE22" i="256"/>
  <c r="IHF22" i="256"/>
  <c r="IHG22" i="256"/>
  <c r="IHH22" i="256"/>
  <c r="IHI22" i="256"/>
  <c r="IHJ22" i="256"/>
  <c r="IHK22" i="256"/>
  <c r="IHL22" i="256"/>
  <c r="IHM22" i="256"/>
  <c r="IHN22" i="256"/>
  <c r="IHO22" i="256"/>
  <c r="IHP22" i="256"/>
  <c r="IHQ22" i="256"/>
  <c r="IHR22" i="256"/>
  <c r="IHS22" i="256"/>
  <c r="IHT22" i="256"/>
  <c r="IHU22" i="256"/>
  <c r="IHV22" i="256"/>
  <c r="IHW22" i="256"/>
  <c r="IHX22" i="256"/>
  <c r="IHY22" i="256"/>
  <c r="IHZ22" i="256"/>
  <c r="IIA22" i="256"/>
  <c r="IIB22" i="256"/>
  <c r="IIC22" i="256"/>
  <c r="IID22" i="256"/>
  <c r="IIE22" i="256"/>
  <c r="IIF22" i="256"/>
  <c r="IIG22" i="256"/>
  <c r="IIH22" i="256"/>
  <c r="III22" i="256"/>
  <c r="IIJ22" i="256"/>
  <c r="IIK22" i="256"/>
  <c r="IIL22" i="256"/>
  <c r="IIM22" i="256"/>
  <c r="IIN22" i="256"/>
  <c r="IIO22" i="256"/>
  <c r="IIP22" i="256"/>
  <c r="IIQ22" i="256"/>
  <c r="IIR22" i="256"/>
  <c r="IIS22" i="256"/>
  <c r="IIT22" i="256"/>
  <c r="IIU22" i="256"/>
  <c r="IIV22" i="256"/>
  <c r="IIW22" i="256"/>
  <c r="IIX22" i="256"/>
  <c r="IIY22" i="256"/>
  <c r="IIZ22" i="256"/>
  <c r="IJA22" i="256"/>
  <c r="IJB22" i="256"/>
  <c r="IJC22" i="256"/>
  <c r="IJD22" i="256"/>
  <c r="IJE22" i="256"/>
  <c r="IJF22" i="256"/>
  <c r="IJG22" i="256"/>
  <c r="IJH22" i="256"/>
  <c r="IJI22" i="256"/>
  <c r="IJJ22" i="256"/>
  <c r="IJK22" i="256"/>
  <c r="IJL22" i="256"/>
  <c r="IJM22" i="256"/>
  <c r="IJN22" i="256"/>
  <c r="IJO22" i="256"/>
  <c r="IJP22" i="256"/>
  <c r="IJQ22" i="256"/>
  <c r="IJR22" i="256"/>
  <c r="IJS22" i="256"/>
  <c r="IJT22" i="256"/>
  <c r="IJU22" i="256"/>
  <c r="IJV22" i="256"/>
  <c r="IJW22" i="256"/>
  <c r="IJX22" i="256"/>
  <c r="IJY22" i="256"/>
  <c r="IJZ22" i="256"/>
  <c r="IKA22" i="256"/>
  <c r="IKB22" i="256"/>
  <c r="IKC22" i="256"/>
  <c r="IKD22" i="256"/>
  <c r="IKE22" i="256"/>
  <c r="IKF22" i="256"/>
  <c r="IKG22" i="256"/>
  <c r="IKH22" i="256"/>
  <c r="IKI22" i="256"/>
  <c r="IKJ22" i="256"/>
  <c r="IKK22" i="256"/>
  <c r="IKL22" i="256"/>
  <c r="IKM22" i="256"/>
  <c r="IKN22" i="256"/>
  <c r="IKO22" i="256"/>
  <c r="IKP22" i="256"/>
  <c r="IKQ22" i="256"/>
  <c r="IKR22" i="256"/>
  <c r="IKS22" i="256"/>
  <c r="IKT22" i="256"/>
  <c r="IKU22" i="256"/>
  <c r="IKV22" i="256"/>
  <c r="IKW22" i="256"/>
  <c r="IKX22" i="256"/>
  <c r="IKY22" i="256"/>
  <c r="IKZ22" i="256"/>
  <c r="ILA22" i="256"/>
  <c r="ILB22" i="256"/>
  <c r="ILC22" i="256"/>
  <c r="ILD22" i="256"/>
  <c r="ILE22" i="256"/>
  <c r="ILF22" i="256"/>
  <c r="ILG22" i="256"/>
  <c r="ILH22" i="256"/>
  <c r="ILI22" i="256"/>
  <c r="ILJ22" i="256"/>
  <c r="ILK22" i="256"/>
  <c r="ILL22" i="256"/>
  <c r="ILM22" i="256"/>
  <c r="ILN22" i="256"/>
  <c r="ILO22" i="256"/>
  <c r="ILP22" i="256"/>
  <c r="ILQ22" i="256"/>
  <c r="ILR22" i="256"/>
  <c r="ILS22" i="256"/>
  <c r="ILT22" i="256"/>
  <c r="ILU22" i="256"/>
  <c r="ILV22" i="256"/>
  <c r="ILW22" i="256"/>
  <c r="ILX22" i="256"/>
  <c r="ILY22" i="256"/>
  <c r="ILZ22" i="256"/>
  <c r="IMA22" i="256"/>
  <c r="IMB22" i="256"/>
  <c r="IMC22" i="256"/>
  <c r="IMD22" i="256"/>
  <c r="IME22" i="256"/>
  <c r="IMF22" i="256"/>
  <c r="IMG22" i="256"/>
  <c r="IMH22" i="256"/>
  <c r="IMI22" i="256"/>
  <c r="IMJ22" i="256"/>
  <c r="IMK22" i="256"/>
  <c r="IML22" i="256"/>
  <c r="IMM22" i="256"/>
  <c r="IMN22" i="256"/>
  <c r="IMO22" i="256"/>
  <c r="IMP22" i="256"/>
  <c r="IMQ22" i="256"/>
  <c r="IMR22" i="256"/>
  <c r="IMS22" i="256"/>
  <c r="IMT22" i="256"/>
  <c r="IMU22" i="256"/>
  <c r="IMV22" i="256"/>
  <c r="IMW22" i="256"/>
  <c r="IMX22" i="256"/>
  <c r="IMY22" i="256"/>
  <c r="IMZ22" i="256"/>
  <c r="INA22" i="256"/>
  <c r="INB22" i="256"/>
  <c r="INC22" i="256"/>
  <c r="IND22" i="256"/>
  <c r="INE22" i="256"/>
  <c r="INF22" i="256"/>
  <c r="ING22" i="256"/>
  <c r="INH22" i="256"/>
  <c r="INI22" i="256"/>
  <c r="INJ22" i="256"/>
  <c r="INK22" i="256"/>
  <c r="INL22" i="256"/>
  <c r="INM22" i="256"/>
  <c r="INN22" i="256"/>
  <c r="INO22" i="256"/>
  <c r="INP22" i="256"/>
  <c r="INQ22" i="256"/>
  <c r="INR22" i="256"/>
  <c r="INS22" i="256"/>
  <c r="INT22" i="256"/>
  <c r="INU22" i="256"/>
  <c r="INV22" i="256"/>
  <c r="INW22" i="256"/>
  <c r="INX22" i="256"/>
  <c r="INY22" i="256"/>
  <c r="INZ22" i="256"/>
  <c r="IOA22" i="256"/>
  <c r="IOB22" i="256"/>
  <c r="IOC22" i="256"/>
  <c r="IOD22" i="256"/>
  <c r="IOE22" i="256"/>
  <c r="IOF22" i="256"/>
  <c r="IOG22" i="256"/>
  <c r="IOH22" i="256"/>
  <c r="IOI22" i="256"/>
  <c r="IOJ22" i="256"/>
  <c r="IOK22" i="256"/>
  <c r="IOL22" i="256"/>
  <c r="IOM22" i="256"/>
  <c r="ION22" i="256"/>
  <c r="IOO22" i="256"/>
  <c r="IOP22" i="256"/>
  <c r="IOQ22" i="256"/>
  <c r="IOR22" i="256"/>
  <c r="IOS22" i="256"/>
  <c r="IOT22" i="256"/>
  <c r="IOU22" i="256"/>
  <c r="IOV22" i="256"/>
  <c r="IOW22" i="256"/>
  <c r="IOX22" i="256"/>
  <c r="IOY22" i="256"/>
  <c r="IOZ22" i="256"/>
  <c r="IPA22" i="256"/>
  <c r="IPB22" i="256"/>
  <c r="IPC22" i="256"/>
  <c r="IPD22" i="256"/>
  <c r="IPE22" i="256"/>
  <c r="IPF22" i="256"/>
  <c r="IPG22" i="256"/>
  <c r="IPH22" i="256"/>
  <c r="IPI22" i="256"/>
  <c r="IPJ22" i="256"/>
  <c r="IPK22" i="256"/>
  <c r="IPL22" i="256"/>
  <c r="IPM22" i="256"/>
  <c r="IPN22" i="256"/>
  <c r="IPO22" i="256"/>
  <c r="IPP22" i="256"/>
  <c r="IPQ22" i="256"/>
  <c r="IPR22" i="256"/>
  <c r="IPS22" i="256"/>
  <c r="IPT22" i="256"/>
  <c r="IPU22" i="256"/>
  <c r="IPV22" i="256"/>
  <c r="IPW22" i="256"/>
  <c r="IPX22" i="256"/>
  <c r="IPY22" i="256"/>
  <c r="IPZ22" i="256"/>
  <c r="IQA22" i="256"/>
  <c r="IQB22" i="256"/>
  <c r="IQC22" i="256"/>
  <c r="IQD22" i="256"/>
  <c r="IQE22" i="256"/>
  <c r="IQF22" i="256"/>
  <c r="IQG22" i="256"/>
  <c r="IQH22" i="256"/>
  <c r="IQI22" i="256"/>
  <c r="IQJ22" i="256"/>
  <c r="IQK22" i="256"/>
  <c r="IQL22" i="256"/>
  <c r="IQM22" i="256"/>
  <c r="IQN22" i="256"/>
  <c r="IQO22" i="256"/>
  <c r="IQP22" i="256"/>
  <c r="IQQ22" i="256"/>
  <c r="IQR22" i="256"/>
  <c r="IQS22" i="256"/>
  <c r="IQT22" i="256"/>
  <c r="IQU22" i="256"/>
  <c r="IQV22" i="256"/>
  <c r="IQW22" i="256"/>
  <c r="IQX22" i="256"/>
  <c r="IQY22" i="256"/>
  <c r="IQZ22" i="256"/>
  <c r="IRA22" i="256"/>
  <c r="IRB22" i="256"/>
  <c r="IRC22" i="256"/>
  <c r="IRD22" i="256"/>
  <c r="IRE22" i="256"/>
  <c r="IRF22" i="256"/>
  <c r="IRG22" i="256"/>
  <c r="IRH22" i="256"/>
  <c r="IRI22" i="256"/>
  <c r="IRJ22" i="256"/>
  <c r="IRK22" i="256"/>
  <c r="IRL22" i="256"/>
  <c r="IRM22" i="256"/>
  <c r="IRN22" i="256"/>
  <c r="IRO22" i="256"/>
  <c r="IRP22" i="256"/>
  <c r="IRQ22" i="256"/>
  <c r="IRR22" i="256"/>
  <c r="IRS22" i="256"/>
  <c r="IRT22" i="256"/>
  <c r="IRU22" i="256"/>
  <c r="IRV22" i="256"/>
  <c r="IRW22" i="256"/>
  <c r="IRX22" i="256"/>
  <c r="IRY22" i="256"/>
  <c r="IRZ22" i="256"/>
  <c r="ISA22" i="256"/>
  <c r="ISB22" i="256"/>
  <c r="ISC22" i="256"/>
  <c r="ISD22" i="256"/>
  <c r="ISE22" i="256"/>
  <c r="ISF22" i="256"/>
  <c r="ISG22" i="256"/>
  <c r="ISH22" i="256"/>
  <c r="ISI22" i="256"/>
  <c r="ISJ22" i="256"/>
  <c r="ISK22" i="256"/>
  <c r="ISL22" i="256"/>
  <c r="ISM22" i="256"/>
  <c r="ISN22" i="256"/>
  <c r="ISO22" i="256"/>
  <c r="ISP22" i="256"/>
  <c r="ISQ22" i="256"/>
  <c r="ISR22" i="256"/>
  <c r="ISS22" i="256"/>
  <c r="IST22" i="256"/>
  <c r="ISU22" i="256"/>
  <c r="ISV22" i="256"/>
  <c r="ISW22" i="256"/>
  <c r="ISX22" i="256"/>
  <c r="ISY22" i="256"/>
  <c r="ISZ22" i="256"/>
  <c r="ITA22" i="256"/>
  <c r="ITB22" i="256"/>
  <c r="ITC22" i="256"/>
  <c r="ITD22" i="256"/>
  <c r="ITE22" i="256"/>
  <c r="ITF22" i="256"/>
  <c r="ITG22" i="256"/>
  <c r="ITH22" i="256"/>
  <c r="ITI22" i="256"/>
  <c r="ITJ22" i="256"/>
  <c r="ITK22" i="256"/>
  <c r="ITL22" i="256"/>
  <c r="ITM22" i="256"/>
  <c r="ITN22" i="256"/>
  <c r="ITO22" i="256"/>
  <c r="ITP22" i="256"/>
  <c r="ITQ22" i="256"/>
  <c r="ITR22" i="256"/>
  <c r="ITS22" i="256"/>
  <c r="ITT22" i="256"/>
  <c r="ITU22" i="256"/>
  <c r="ITV22" i="256"/>
  <c r="ITW22" i="256"/>
  <c r="ITX22" i="256"/>
  <c r="ITY22" i="256"/>
  <c r="ITZ22" i="256"/>
  <c r="IUA22" i="256"/>
  <c r="IUB22" i="256"/>
  <c r="IUC22" i="256"/>
  <c r="IUD22" i="256"/>
  <c r="IUE22" i="256"/>
  <c r="IUF22" i="256"/>
  <c r="IUG22" i="256"/>
  <c r="IUH22" i="256"/>
  <c r="IUI22" i="256"/>
  <c r="IUJ22" i="256"/>
  <c r="IUK22" i="256"/>
  <c r="IUL22" i="256"/>
  <c r="IUM22" i="256"/>
  <c r="IUN22" i="256"/>
  <c r="IUO22" i="256"/>
  <c r="IUP22" i="256"/>
  <c r="IUQ22" i="256"/>
  <c r="IUR22" i="256"/>
  <c r="IUS22" i="256"/>
  <c r="IUT22" i="256"/>
  <c r="IUU22" i="256"/>
  <c r="IUV22" i="256"/>
  <c r="IUW22" i="256"/>
  <c r="IUX22" i="256"/>
  <c r="IUY22" i="256"/>
  <c r="IUZ22" i="256"/>
  <c r="IVA22" i="256"/>
  <c r="IVB22" i="256"/>
  <c r="IVC22" i="256"/>
  <c r="IVD22" i="256"/>
  <c r="IVE22" i="256"/>
  <c r="IVF22" i="256"/>
  <c r="IVG22" i="256"/>
  <c r="IVH22" i="256"/>
  <c r="IVI22" i="256"/>
  <c r="IVJ22" i="256"/>
  <c r="IVK22" i="256"/>
  <c r="IVL22" i="256"/>
  <c r="IVM22" i="256"/>
  <c r="IVN22" i="256"/>
  <c r="IVO22" i="256"/>
  <c r="IVP22" i="256"/>
  <c r="IVQ22" i="256"/>
  <c r="IVR22" i="256"/>
  <c r="IVS22" i="256"/>
  <c r="IVT22" i="256"/>
  <c r="IVU22" i="256"/>
  <c r="IVV22" i="256"/>
  <c r="IVW22" i="256"/>
  <c r="IVX22" i="256"/>
  <c r="IVY22" i="256"/>
  <c r="IVZ22" i="256"/>
  <c r="IWA22" i="256"/>
  <c r="IWB22" i="256"/>
  <c r="IWC22" i="256"/>
  <c r="IWD22" i="256"/>
  <c r="IWE22" i="256"/>
  <c r="IWF22" i="256"/>
  <c r="IWG22" i="256"/>
  <c r="IWH22" i="256"/>
  <c r="IWI22" i="256"/>
  <c r="IWJ22" i="256"/>
  <c r="IWK22" i="256"/>
  <c r="IWL22" i="256"/>
  <c r="IWM22" i="256"/>
  <c r="IWN22" i="256"/>
  <c r="IWO22" i="256"/>
  <c r="IWP22" i="256"/>
  <c r="IWQ22" i="256"/>
  <c r="IWR22" i="256"/>
  <c r="IWS22" i="256"/>
  <c r="IWT22" i="256"/>
  <c r="IWU22" i="256"/>
  <c r="IWV22" i="256"/>
  <c r="IWW22" i="256"/>
  <c r="IWX22" i="256"/>
  <c r="IWY22" i="256"/>
  <c r="IWZ22" i="256"/>
  <c r="IXA22" i="256"/>
  <c r="IXB22" i="256"/>
  <c r="IXC22" i="256"/>
  <c r="IXD22" i="256"/>
  <c r="IXE22" i="256"/>
  <c r="IXF22" i="256"/>
  <c r="IXG22" i="256"/>
  <c r="IXH22" i="256"/>
  <c r="IXI22" i="256"/>
  <c r="IXJ22" i="256"/>
  <c r="IXK22" i="256"/>
  <c r="IXL22" i="256"/>
  <c r="IXM22" i="256"/>
  <c r="IXN22" i="256"/>
  <c r="IXO22" i="256"/>
  <c r="IXP22" i="256"/>
  <c r="IXQ22" i="256"/>
  <c r="IXR22" i="256"/>
  <c r="IXS22" i="256"/>
  <c r="IXT22" i="256"/>
  <c r="IXU22" i="256"/>
  <c r="IXV22" i="256"/>
  <c r="IXW22" i="256"/>
  <c r="IXX22" i="256"/>
  <c r="IXY22" i="256"/>
  <c r="IXZ22" i="256"/>
  <c r="IYA22" i="256"/>
  <c r="IYB22" i="256"/>
  <c r="IYC22" i="256"/>
  <c r="IYD22" i="256"/>
  <c r="IYE22" i="256"/>
  <c r="IYF22" i="256"/>
  <c r="IYG22" i="256"/>
  <c r="IYH22" i="256"/>
  <c r="IYI22" i="256"/>
  <c r="IYJ22" i="256"/>
  <c r="IYK22" i="256"/>
  <c r="IYL22" i="256"/>
  <c r="IYM22" i="256"/>
  <c r="IYN22" i="256"/>
  <c r="IYO22" i="256"/>
  <c r="IYP22" i="256"/>
  <c r="IYQ22" i="256"/>
  <c r="IYR22" i="256"/>
  <c r="IYS22" i="256"/>
  <c r="IYT22" i="256"/>
  <c r="IYU22" i="256"/>
  <c r="IYV22" i="256"/>
  <c r="IYW22" i="256"/>
  <c r="IYX22" i="256"/>
  <c r="IYY22" i="256"/>
  <c r="IYZ22" i="256"/>
  <c r="IZA22" i="256"/>
  <c r="IZB22" i="256"/>
  <c r="IZC22" i="256"/>
  <c r="IZD22" i="256"/>
  <c r="IZE22" i="256"/>
  <c r="IZF22" i="256"/>
  <c r="IZG22" i="256"/>
  <c r="IZH22" i="256"/>
  <c r="IZI22" i="256"/>
  <c r="IZJ22" i="256"/>
  <c r="IZK22" i="256"/>
  <c r="IZL22" i="256"/>
  <c r="IZM22" i="256"/>
  <c r="IZN22" i="256"/>
  <c r="IZO22" i="256"/>
  <c r="IZP22" i="256"/>
  <c r="IZQ22" i="256"/>
  <c r="IZR22" i="256"/>
  <c r="IZS22" i="256"/>
  <c r="IZT22" i="256"/>
  <c r="IZU22" i="256"/>
  <c r="IZV22" i="256"/>
  <c r="IZW22" i="256"/>
  <c r="IZX22" i="256"/>
  <c r="IZY22" i="256"/>
  <c r="IZZ22" i="256"/>
  <c r="JAA22" i="256"/>
  <c r="JAB22" i="256"/>
  <c r="JAC22" i="256"/>
  <c r="JAD22" i="256"/>
  <c r="JAE22" i="256"/>
  <c r="JAF22" i="256"/>
  <c r="JAG22" i="256"/>
  <c r="JAH22" i="256"/>
  <c r="JAI22" i="256"/>
  <c r="JAJ22" i="256"/>
  <c r="JAK22" i="256"/>
  <c r="JAL22" i="256"/>
  <c r="JAM22" i="256"/>
  <c r="JAN22" i="256"/>
  <c r="JAO22" i="256"/>
  <c r="JAP22" i="256"/>
  <c r="JAQ22" i="256"/>
  <c r="JAR22" i="256"/>
  <c r="JAS22" i="256"/>
  <c r="JAT22" i="256"/>
  <c r="JAU22" i="256"/>
  <c r="JAV22" i="256"/>
  <c r="JAW22" i="256"/>
  <c r="JAX22" i="256"/>
  <c r="JAY22" i="256"/>
  <c r="JAZ22" i="256"/>
  <c r="JBA22" i="256"/>
  <c r="JBB22" i="256"/>
  <c r="JBC22" i="256"/>
  <c r="JBD22" i="256"/>
  <c r="JBE22" i="256"/>
  <c r="JBF22" i="256"/>
  <c r="JBG22" i="256"/>
  <c r="JBH22" i="256"/>
  <c r="JBI22" i="256"/>
  <c r="JBJ22" i="256"/>
  <c r="JBK22" i="256"/>
  <c r="JBL22" i="256"/>
  <c r="JBM22" i="256"/>
  <c r="JBN22" i="256"/>
  <c r="JBO22" i="256"/>
  <c r="JBP22" i="256"/>
  <c r="JBQ22" i="256"/>
  <c r="JBR22" i="256"/>
  <c r="JBS22" i="256"/>
  <c r="JBT22" i="256"/>
  <c r="JBU22" i="256"/>
  <c r="JBV22" i="256"/>
  <c r="JBW22" i="256"/>
  <c r="JBX22" i="256"/>
  <c r="JBY22" i="256"/>
  <c r="JBZ22" i="256"/>
  <c r="JCA22" i="256"/>
  <c r="JCB22" i="256"/>
  <c r="JCC22" i="256"/>
  <c r="JCD22" i="256"/>
  <c r="JCE22" i="256"/>
  <c r="JCF22" i="256"/>
  <c r="JCG22" i="256"/>
  <c r="JCH22" i="256"/>
  <c r="JCI22" i="256"/>
  <c r="JCJ22" i="256"/>
  <c r="JCK22" i="256"/>
  <c r="JCL22" i="256"/>
  <c r="JCM22" i="256"/>
  <c r="JCN22" i="256"/>
  <c r="JCO22" i="256"/>
  <c r="JCP22" i="256"/>
  <c r="JCQ22" i="256"/>
  <c r="JCR22" i="256"/>
  <c r="JCS22" i="256"/>
  <c r="JCT22" i="256"/>
  <c r="JCU22" i="256"/>
  <c r="JCV22" i="256"/>
  <c r="JCW22" i="256"/>
  <c r="JCX22" i="256"/>
  <c r="JCY22" i="256"/>
  <c r="JCZ22" i="256"/>
  <c r="JDA22" i="256"/>
  <c r="JDB22" i="256"/>
  <c r="JDC22" i="256"/>
  <c r="JDD22" i="256"/>
  <c r="JDE22" i="256"/>
  <c r="JDF22" i="256"/>
  <c r="JDG22" i="256"/>
  <c r="JDH22" i="256"/>
  <c r="JDI22" i="256"/>
  <c r="JDJ22" i="256"/>
  <c r="JDK22" i="256"/>
  <c r="JDL22" i="256"/>
  <c r="JDM22" i="256"/>
  <c r="JDN22" i="256"/>
  <c r="JDO22" i="256"/>
  <c r="JDP22" i="256"/>
  <c r="JDQ22" i="256"/>
  <c r="JDR22" i="256"/>
  <c r="JDS22" i="256"/>
  <c r="JDT22" i="256"/>
  <c r="JDU22" i="256"/>
  <c r="JDV22" i="256"/>
  <c r="JDW22" i="256"/>
  <c r="JDX22" i="256"/>
  <c r="JDY22" i="256"/>
  <c r="JDZ22" i="256"/>
  <c r="JEA22" i="256"/>
  <c r="JEB22" i="256"/>
  <c r="JEC22" i="256"/>
  <c r="JED22" i="256"/>
  <c r="JEE22" i="256"/>
  <c r="JEF22" i="256"/>
  <c r="JEG22" i="256"/>
  <c r="JEH22" i="256"/>
  <c r="JEI22" i="256"/>
  <c r="JEJ22" i="256"/>
  <c r="JEK22" i="256"/>
  <c r="JEL22" i="256"/>
  <c r="JEM22" i="256"/>
  <c r="JEN22" i="256"/>
  <c r="JEO22" i="256"/>
  <c r="JEP22" i="256"/>
  <c r="JEQ22" i="256"/>
  <c r="JER22" i="256"/>
  <c r="JES22" i="256"/>
  <c r="JET22" i="256"/>
  <c r="JEU22" i="256"/>
  <c r="JEV22" i="256"/>
  <c r="JEW22" i="256"/>
  <c r="JEX22" i="256"/>
  <c r="JEY22" i="256"/>
  <c r="JEZ22" i="256"/>
  <c r="JFA22" i="256"/>
  <c r="JFB22" i="256"/>
  <c r="JFC22" i="256"/>
  <c r="JFD22" i="256"/>
  <c r="JFE22" i="256"/>
  <c r="JFF22" i="256"/>
  <c r="JFG22" i="256"/>
  <c r="JFH22" i="256"/>
  <c r="JFI22" i="256"/>
  <c r="JFJ22" i="256"/>
  <c r="JFK22" i="256"/>
  <c r="JFL22" i="256"/>
  <c r="JFM22" i="256"/>
  <c r="JFN22" i="256"/>
  <c r="JFO22" i="256"/>
  <c r="JFP22" i="256"/>
  <c r="JFQ22" i="256"/>
  <c r="JFR22" i="256"/>
  <c r="JFS22" i="256"/>
  <c r="JFT22" i="256"/>
  <c r="JFU22" i="256"/>
  <c r="JFV22" i="256"/>
  <c r="JFW22" i="256"/>
  <c r="JFX22" i="256"/>
  <c r="JFY22" i="256"/>
  <c r="JFZ22" i="256"/>
  <c r="JGA22" i="256"/>
  <c r="JGB22" i="256"/>
  <c r="JGC22" i="256"/>
  <c r="JGD22" i="256"/>
  <c r="JGE22" i="256"/>
  <c r="JGF22" i="256"/>
  <c r="JGG22" i="256"/>
  <c r="JGH22" i="256"/>
  <c r="JGI22" i="256"/>
  <c r="JGJ22" i="256"/>
  <c r="JGK22" i="256"/>
  <c r="JGL22" i="256"/>
  <c r="JGM22" i="256"/>
  <c r="JGN22" i="256"/>
  <c r="JGO22" i="256"/>
  <c r="JGP22" i="256"/>
  <c r="JGQ22" i="256"/>
  <c r="JGR22" i="256"/>
  <c r="JGS22" i="256"/>
  <c r="JGT22" i="256"/>
  <c r="JGU22" i="256"/>
  <c r="JGV22" i="256"/>
  <c r="JGW22" i="256"/>
  <c r="JGX22" i="256"/>
  <c r="JGY22" i="256"/>
  <c r="JGZ22" i="256"/>
  <c r="JHA22" i="256"/>
  <c r="JHB22" i="256"/>
  <c r="JHC22" i="256"/>
  <c r="JHD22" i="256"/>
  <c r="JHE22" i="256"/>
  <c r="JHF22" i="256"/>
  <c r="JHG22" i="256"/>
  <c r="JHH22" i="256"/>
  <c r="JHI22" i="256"/>
  <c r="JHJ22" i="256"/>
  <c r="JHK22" i="256"/>
  <c r="JHL22" i="256"/>
  <c r="JHM22" i="256"/>
  <c r="JHN22" i="256"/>
  <c r="JHO22" i="256"/>
  <c r="JHP22" i="256"/>
  <c r="JHQ22" i="256"/>
  <c r="JHR22" i="256"/>
  <c r="JHS22" i="256"/>
  <c r="JHT22" i="256"/>
  <c r="JHU22" i="256"/>
  <c r="JHV22" i="256"/>
  <c r="JHW22" i="256"/>
  <c r="JHX22" i="256"/>
  <c r="JHY22" i="256"/>
  <c r="JHZ22" i="256"/>
  <c r="JIA22" i="256"/>
  <c r="JIB22" i="256"/>
  <c r="JIC22" i="256"/>
  <c r="JID22" i="256"/>
  <c r="JIE22" i="256"/>
  <c r="JIF22" i="256"/>
  <c r="JIG22" i="256"/>
  <c r="JIH22" i="256"/>
  <c r="JII22" i="256"/>
  <c r="JIJ22" i="256"/>
  <c r="JIK22" i="256"/>
  <c r="JIL22" i="256"/>
  <c r="JIM22" i="256"/>
  <c r="JIN22" i="256"/>
  <c r="JIO22" i="256"/>
  <c r="JIP22" i="256"/>
  <c r="JIQ22" i="256"/>
  <c r="JIR22" i="256"/>
  <c r="JIS22" i="256"/>
  <c r="JIT22" i="256"/>
  <c r="JIU22" i="256"/>
  <c r="JIV22" i="256"/>
  <c r="JIW22" i="256"/>
  <c r="JIX22" i="256"/>
  <c r="JIY22" i="256"/>
  <c r="JIZ22" i="256"/>
  <c r="JJA22" i="256"/>
  <c r="JJB22" i="256"/>
  <c r="JJC22" i="256"/>
  <c r="JJD22" i="256"/>
  <c r="JJE22" i="256"/>
  <c r="JJF22" i="256"/>
  <c r="JJG22" i="256"/>
  <c r="JJH22" i="256"/>
  <c r="JJI22" i="256"/>
  <c r="JJJ22" i="256"/>
  <c r="JJK22" i="256"/>
  <c r="JJL22" i="256"/>
  <c r="JJM22" i="256"/>
  <c r="JJN22" i="256"/>
  <c r="JJO22" i="256"/>
  <c r="JJP22" i="256"/>
  <c r="JJQ22" i="256"/>
  <c r="JJR22" i="256"/>
  <c r="JJS22" i="256"/>
  <c r="JJT22" i="256"/>
  <c r="JJU22" i="256"/>
  <c r="JJV22" i="256"/>
  <c r="JJW22" i="256"/>
  <c r="JJX22" i="256"/>
  <c r="JJY22" i="256"/>
  <c r="JJZ22" i="256"/>
  <c r="JKA22" i="256"/>
  <c r="JKB22" i="256"/>
  <c r="JKC22" i="256"/>
  <c r="JKD22" i="256"/>
  <c r="JKE22" i="256"/>
  <c r="JKF22" i="256"/>
  <c r="JKG22" i="256"/>
  <c r="JKH22" i="256"/>
  <c r="JKI22" i="256"/>
  <c r="JKJ22" i="256"/>
  <c r="JKK22" i="256"/>
  <c r="JKL22" i="256"/>
  <c r="JKM22" i="256"/>
  <c r="JKN22" i="256"/>
  <c r="JKO22" i="256"/>
  <c r="JKP22" i="256"/>
  <c r="JKQ22" i="256"/>
  <c r="JKR22" i="256"/>
  <c r="JKS22" i="256"/>
  <c r="JKT22" i="256"/>
  <c r="JKU22" i="256"/>
  <c r="JKV22" i="256"/>
  <c r="JKW22" i="256"/>
  <c r="JKX22" i="256"/>
  <c r="JKY22" i="256"/>
  <c r="JKZ22" i="256"/>
  <c r="JLA22" i="256"/>
  <c r="JLB22" i="256"/>
  <c r="JLC22" i="256"/>
  <c r="JLD22" i="256"/>
  <c r="JLE22" i="256"/>
  <c r="JLF22" i="256"/>
  <c r="JLG22" i="256"/>
  <c r="JLH22" i="256"/>
  <c r="JLI22" i="256"/>
  <c r="JLJ22" i="256"/>
  <c r="JLK22" i="256"/>
  <c r="JLL22" i="256"/>
  <c r="JLM22" i="256"/>
  <c r="JLN22" i="256"/>
  <c r="JLO22" i="256"/>
  <c r="JLP22" i="256"/>
  <c r="JLQ22" i="256"/>
  <c r="JLR22" i="256"/>
  <c r="JLS22" i="256"/>
  <c r="JLT22" i="256"/>
  <c r="JLU22" i="256"/>
  <c r="JLV22" i="256"/>
  <c r="JLW22" i="256"/>
  <c r="JLX22" i="256"/>
  <c r="JLY22" i="256"/>
  <c r="JLZ22" i="256"/>
  <c r="JMA22" i="256"/>
  <c r="JMB22" i="256"/>
  <c r="JMC22" i="256"/>
  <c r="JMD22" i="256"/>
  <c r="JME22" i="256"/>
  <c r="JMF22" i="256"/>
  <c r="JMG22" i="256"/>
  <c r="JMH22" i="256"/>
  <c r="JMI22" i="256"/>
  <c r="JMJ22" i="256"/>
  <c r="JMK22" i="256"/>
  <c r="JML22" i="256"/>
  <c r="JMM22" i="256"/>
  <c r="JMN22" i="256"/>
  <c r="JMO22" i="256"/>
  <c r="JMP22" i="256"/>
  <c r="JMQ22" i="256"/>
  <c r="JMR22" i="256"/>
  <c r="JMS22" i="256"/>
  <c r="JMT22" i="256"/>
  <c r="JMU22" i="256"/>
  <c r="JMV22" i="256"/>
  <c r="JMW22" i="256"/>
  <c r="JMX22" i="256"/>
  <c r="JMY22" i="256"/>
  <c r="JMZ22" i="256"/>
  <c r="JNA22" i="256"/>
  <c r="JNB22" i="256"/>
  <c r="JNC22" i="256"/>
  <c r="JND22" i="256"/>
  <c r="JNE22" i="256"/>
  <c r="JNF22" i="256"/>
  <c r="JNG22" i="256"/>
  <c r="JNH22" i="256"/>
  <c r="JNI22" i="256"/>
  <c r="JNJ22" i="256"/>
  <c r="JNK22" i="256"/>
  <c r="JNL22" i="256"/>
  <c r="JNM22" i="256"/>
  <c r="JNN22" i="256"/>
  <c r="JNO22" i="256"/>
  <c r="JNP22" i="256"/>
  <c r="JNQ22" i="256"/>
  <c r="JNR22" i="256"/>
  <c r="JNS22" i="256"/>
  <c r="JNT22" i="256"/>
  <c r="JNU22" i="256"/>
  <c r="JNV22" i="256"/>
  <c r="JNW22" i="256"/>
  <c r="JNX22" i="256"/>
  <c r="JNY22" i="256"/>
  <c r="JNZ22" i="256"/>
  <c r="JOA22" i="256"/>
  <c r="JOB22" i="256"/>
  <c r="JOC22" i="256"/>
  <c r="JOD22" i="256"/>
  <c r="JOE22" i="256"/>
  <c r="JOF22" i="256"/>
  <c r="JOG22" i="256"/>
  <c r="JOH22" i="256"/>
  <c r="JOI22" i="256"/>
  <c r="JOJ22" i="256"/>
  <c r="JOK22" i="256"/>
  <c r="JOL22" i="256"/>
  <c r="JOM22" i="256"/>
  <c r="JON22" i="256"/>
  <c r="JOO22" i="256"/>
  <c r="JOP22" i="256"/>
  <c r="JOQ22" i="256"/>
  <c r="JOR22" i="256"/>
  <c r="JOS22" i="256"/>
  <c r="JOT22" i="256"/>
  <c r="JOU22" i="256"/>
  <c r="JOV22" i="256"/>
  <c r="JOW22" i="256"/>
  <c r="JOX22" i="256"/>
  <c r="JOY22" i="256"/>
  <c r="JOZ22" i="256"/>
  <c r="JPA22" i="256"/>
  <c r="JPB22" i="256"/>
  <c r="JPC22" i="256"/>
  <c r="JPD22" i="256"/>
  <c r="JPE22" i="256"/>
  <c r="JPF22" i="256"/>
  <c r="JPG22" i="256"/>
  <c r="JPH22" i="256"/>
  <c r="JPI22" i="256"/>
  <c r="JPJ22" i="256"/>
  <c r="JPK22" i="256"/>
  <c r="JPL22" i="256"/>
  <c r="JPM22" i="256"/>
  <c r="JPN22" i="256"/>
  <c r="JPO22" i="256"/>
  <c r="JPP22" i="256"/>
  <c r="JPQ22" i="256"/>
  <c r="JPR22" i="256"/>
  <c r="JPS22" i="256"/>
  <c r="JPT22" i="256"/>
  <c r="JPU22" i="256"/>
  <c r="JPV22" i="256"/>
  <c r="JPW22" i="256"/>
  <c r="JPX22" i="256"/>
  <c r="JPY22" i="256"/>
  <c r="JPZ22" i="256"/>
  <c r="JQA22" i="256"/>
  <c r="JQB22" i="256"/>
  <c r="JQC22" i="256"/>
  <c r="JQD22" i="256"/>
  <c r="JQE22" i="256"/>
  <c r="JQF22" i="256"/>
  <c r="JQG22" i="256"/>
  <c r="JQH22" i="256"/>
  <c r="JQI22" i="256"/>
  <c r="JQJ22" i="256"/>
  <c r="JQK22" i="256"/>
  <c r="JQL22" i="256"/>
  <c r="JQM22" i="256"/>
  <c r="JQN22" i="256"/>
  <c r="JQO22" i="256"/>
  <c r="JQP22" i="256"/>
  <c r="JQQ22" i="256"/>
  <c r="JQR22" i="256"/>
  <c r="JQS22" i="256"/>
  <c r="JQT22" i="256"/>
  <c r="JQU22" i="256"/>
  <c r="JQV22" i="256"/>
  <c r="JQW22" i="256"/>
  <c r="JQX22" i="256"/>
  <c r="JQY22" i="256"/>
  <c r="JQZ22" i="256"/>
  <c r="JRA22" i="256"/>
  <c r="JRB22" i="256"/>
  <c r="JRC22" i="256"/>
  <c r="JRD22" i="256"/>
  <c r="JRE22" i="256"/>
  <c r="JRF22" i="256"/>
  <c r="JRG22" i="256"/>
  <c r="JRH22" i="256"/>
  <c r="JRI22" i="256"/>
  <c r="JRJ22" i="256"/>
  <c r="JRK22" i="256"/>
  <c r="JRL22" i="256"/>
  <c r="JRM22" i="256"/>
  <c r="JRN22" i="256"/>
  <c r="JRO22" i="256"/>
  <c r="JRP22" i="256"/>
  <c r="JRQ22" i="256"/>
  <c r="JRR22" i="256"/>
  <c r="JRS22" i="256"/>
  <c r="JRT22" i="256"/>
  <c r="JRU22" i="256"/>
  <c r="JRV22" i="256"/>
  <c r="JRW22" i="256"/>
  <c r="JRX22" i="256"/>
  <c r="JRY22" i="256"/>
  <c r="JRZ22" i="256"/>
  <c r="JSA22" i="256"/>
  <c r="JSB22" i="256"/>
  <c r="JSC22" i="256"/>
  <c r="JSD22" i="256"/>
  <c r="JSE22" i="256"/>
  <c r="JSF22" i="256"/>
  <c r="JSG22" i="256"/>
  <c r="JSH22" i="256"/>
  <c r="JSI22" i="256"/>
  <c r="JSJ22" i="256"/>
  <c r="JSK22" i="256"/>
  <c r="JSL22" i="256"/>
  <c r="JSM22" i="256"/>
  <c r="JSN22" i="256"/>
  <c r="JSO22" i="256"/>
  <c r="JSP22" i="256"/>
  <c r="JSQ22" i="256"/>
  <c r="JSR22" i="256"/>
  <c r="JSS22" i="256"/>
  <c r="JST22" i="256"/>
  <c r="JSU22" i="256"/>
  <c r="JSV22" i="256"/>
  <c r="JSW22" i="256"/>
  <c r="JSX22" i="256"/>
  <c r="JSY22" i="256"/>
  <c r="JSZ22" i="256"/>
  <c r="JTA22" i="256"/>
  <c r="JTB22" i="256"/>
  <c r="JTC22" i="256"/>
  <c r="JTD22" i="256"/>
  <c r="JTE22" i="256"/>
  <c r="JTF22" i="256"/>
  <c r="JTG22" i="256"/>
  <c r="JTH22" i="256"/>
  <c r="JTI22" i="256"/>
  <c r="JTJ22" i="256"/>
  <c r="JTK22" i="256"/>
  <c r="JTL22" i="256"/>
  <c r="JTM22" i="256"/>
  <c r="JTN22" i="256"/>
  <c r="JTO22" i="256"/>
  <c r="JTP22" i="256"/>
  <c r="JTQ22" i="256"/>
  <c r="JTR22" i="256"/>
  <c r="JTS22" i="256"/>
  <c r="JTT22" i="256"/>
  <c r="JTU22" i="256"/>
  <c r="JTV22" i="256"/>
  <c r="JTW22" i="256"/>
  <c r="JTX22" i="256"/>
  <c r="JTY22" i="256"/>
  <c r="JTZ22" i="256"/>
  <c r="JUA22" i="256"/>
  <c r="JUB22" i="256"/>
  <c r="JUC22" i="256"/>
  <c r="JUD22" i="256"/>
  <c r="JUE22" i="256"/>
  <c r="JUF22" i="256"/>
  <c r="JUG22" i="256"/>
  <c r="JUH22" i="256"/>
  <c r="JUI22" i="256"/>
  <c r="JUJ22" i="256"/>
  <c r="JUK22" i="256"/>
  <c r="JUL22" i="256"/>
  <c r="JUM22" i="256"/>
  <c r="JUN22" i="256"/>
  <c r="JUO22" i="256"/>
  <c r="JUP22" i="256"/>
  <c r="JUQ22" i="256"/>
  <c r="JUR22" i="256"/>
  <c r="JUS22" i="256"/>
  <c r="JUT22" i="256"/>
  <c r="JUU22" i="256"/>
  <c r="JUV22" i="256"/>
  <c r="JUW22" i="256"/>
  <c r="JUX22" i="256"/>
  <c r="JUY22" i="256"/>
  <c r="JUZ22" i="256"/>
  <c r="JVA22" i="256"/>
  <c r="JVB22" i="256"/>
  <c r="JVC22" i="256"/>
  <c r="JVD22" i="256"/>
  <c r="JVE22" i="256"/>
  <c r="JVF22" i="256"/>
  <c r="JVG22" i="256"/>
  <c r="JVH22" i="256"/>
  <c r="JVI22" i="256"/>
  <c r="JVJ22" i="256"/>
  <c r="JVK22" i="256"/>
  <c r="JVL22" i="256"/>
  <c r="JVM22" i="256"/>
  <c r="JVN22" i="256"/>
  <c r="JVO22" i="256"/>
  <c r="JVP22" i="256"/>
  <c r="JVQ22" i="256"/>
  <c r="JVR22" i="256"/>
  <c r="JVS22" i="256"/>
  <c r="JVT22" i="256"/>
  <c r="JVU22" i="256"/>
  <c r="JVV22" i="256"/>
  <c r="JVW22" i="256"/>
  <c r="JVX22" i="256"/>
  <c r="JVY22" i="256"/>
  <c r="JVZ22" i="256"/>
  <c r="JWA22" i="256"/>
  <c r="JWB22" i="256"/>
  <c r="JWC22" i="256"/>
  <c r="JWD22" i="256"/>
  <c r="JWE22" i="256"/>
  <c r="JWF22" i="256"/>
  <c r="JWG22" i="256"/>
  <c r="JWH22" i="256"/>
  <c r="JWI22" i="256"/>
  <c r="JWJ22" i="256"/>
  <c r="JWK22" i="256"/>
  <c r="JWL22" i="256"/>
  <c r="JWM22" i="256"/>
  <c r="JWN22" i="256"/>
  <c r="JWO22" i="256"/>
  <c r="JWP22" i="256"/>
  <c r="JWQ22" i="256"/>
  <c r="JWR22" i="256"/>
  <c r="JWS22" i="256"/>
  <c r="JWT22" i="256"/>
  <c r="JWU22" i="256"/>
  <c r="JWV22" i="256"/>
  <c r="JWW22" i="256"/>
  <c r="JWX22" i="256"/>
  <c r="JWY22" i="256"/>
  <c r="JWZ22" i="256"/>
  <c r="JXA22" i="256"/>
  <c r="JXB22" i="256"/>
  <c r="JXC22" i="256"/>
  <c r="JXD22" i="256"/>
  <c r="JXE22" i="256"/>
  <c r="JXF22" i="256"/>
  <c r="JXG22" i="256"/>
  <c r="JXH22" i="256"/>
  <c r="JXI22" i="256"/>
  <c r="JXJ22" i="256"/>
  <c r="JXK22" i="256"/>
  <c r="JXL22" i="256"/>
  <c r="JXM22" i="256"/>
  <c r="JXN22" i="256"/>
  <c r="JXO22" i="256"/>
  <c r="JXP22" i="256"/>
  <c r="JXQ22" i="256"/>
  <c r="JXR22" i="256"/>
  <c r="JXS22" i="256"/>
  <c r="JXT22" i="256"/>
  <c r="JXU22" i="256"/>
  <c r="JXV22" i="256"/>
  <c r="JXW22" i="256"/>
  <c r="JXX22" i="256"/>
  <c r="JXY22" i="256"/>
  <c r="JXZ22" i="256"/>
  <c r="JYA22" i="256"/>
  <c r="JYB22" i="256"/>
  <c r="JYC22" i="256"/>
  <c r="JYD22" i="256"/>
  <c r="JYE22" i="256"/>
  <c r="JYF22" i="256"/>
  <c r="JYG22" i="256"/>
  <c r="JYH22" i="256"/>
  <c r="JYI22" i="256"/>
  <c r="JYJ22" i="256"/>
  <c r="JYK22" i="256"/>
  <c r="JYL22" i="256"/>
  <c r="JYM22" i="256"/>
  <c r="JYN22" i="256"/>
  <c r="JYO22" i="256"/>
  <c r="JYP22" i="256"/>
  <c r="JYQ22" i="256"/>
  <c r="JYR22" i="256"/>
  <c r="JYS22" i="256"/>
  <c r="JYT22" i="256"/>
  <c r="JYU22" i="256"/>
  <c r="JYV22" i="256"/>
  <c r="JYW22" i="256"/>
  <c r="JYX22" i="256"/>
  <c r="JYY22" i="256"/>
  <c r="JYZ22" i="256"/>
  <c r="JZA22" i="256"/>
  <c r="JZB22" i="256"/>
  <c r="JZC22" i="256"/>
  <c r="JZD22" i="256"/>
  <c r="JZE22" i="256"/>
  <c r="JZF22" i="256"/>
  <c r="JZG22" i="256"/>
  <c r="JZH22" i="256"/>
  <c r="JZI22" i="256"/>
  <c r="JZJ22" i="256"/>
  <c r="JZK22" i="256"/>
  <c r="JZL22" i="256"/>
  <c r="JZM22" i="256"/>
  <c r="JZN22" i="256"/>
  <c r="JZO22" i="256"/>
  <c r="JZP22" i="256"/>
  <c r="JZQ22" i="256"/>
  <c r="JZR22" i="256"/>
  <c r="JZS22" i="256"/>
  <c r="JZT22" i="256"/>
  <c r="JZU22" i="256"/>
  <c r="JZV22" i="256"/>
  <c r="JZW22" i="256"/>
  <c r="JZX22" i="256"/>
  <c r="JZY22" i="256"/>
  <c r="JZZ22" i="256"/>
  <c r="KAA22" i="256"/>
  <c r="KAB22" i="256"/>
  <c r="KAC22" i="256"/>
  <c r="KAD22" i="256"/>
  <c r="KAE22" i="256"/>
  <c r="KAF22" i="256"/>
  <c r="KAG22" i="256"/>
  <c r="KAH22" i="256"/>
  <c r="KAI22" i="256"/>
  <c r="KAJ22" i="256"/>
  <c r="KAK22" i="256"/>
  <c r="KAL22" i="256"/>
  <c r="KAM22" i="256"/>
  <c r="KAN22" i="256"/>
  <c r="KAO22" i="256"/>
  <c r="KAP22" i="256"/>
  <c r="KAQ22" i="256"/>
  <c r="KAR22" i="256"/>
  <c r="KAS22" i="256"/>
  <c r="KAT22" i="256"/>
  <c r="KAU22" i="256"/>
  <c r="KAV22" i="256"/>
  <c r="KAW22" i="256"/>
  <c r="KAX22" i="256"/>
  <c r="KAY22" i="256"/>
  <c r="KAZ22" i="256"/>
  <c r="KBA22" i="256"/>
  <c r="KBB22" i="256"/>
  <c r="KBC22" i="256"/>
  <c r="KBD22" i="256"/>
  <c r="KBE22" i="256"/>
  <c r="KBF22" i="256"/>
  <c r="KBG22" i="256"/>
  <c r="KBH22" i="256"/>
  <c r="KBI22" i="256"/>
  <c r="KBJ22" i="256"/>
  <c r="KBK22" i="256"/>
  <c r="KBL22" i="256"/>
  <c r="KBM22" i="256"/>
  <c r="KBN22" i="256"/>
  <c r="KBO22" i="256"/>
  <c r="KBP22" i="256"/>
  <c r="KBQ22" i="256"/>
  <c r="KBR22" i="256"/>
  <c r="KBS22" i="256"/>
  <c r="KBT22" i="256"/>
  <c r="KBU22" i="256"/>
  <c r="KBV22" i="256"/>
  <c r="KBW22" i="256"/>
  <c r="KBX22" i="256"/>
  <c r="KBY22" i="256"/>
  <c r="KBZ22" i="256"/>
  <c r="KCA22" i="256"/>
  <c r="KCB22" i="256"/>
  <c r="KCC22" i="256"/>
  <c r="KCD22" i="256"/>
  <c r="KCE22" i="256"/>
  <c r="KCF22" i="256"/>
  <c r="KCG22" i="256"/>
  <c r="KCH22" i="256"/>
  <c r="KCI22" i="256"/>
  <c r="KCJ22" i="256"/>
  <c r="KCK22" i="256"/>
  <c r="KCL22" i="256"/>
  <c r="KCM22" i="256"/>
  <c r="KCN22" i="256"/>
  <c r="KCO22" i="256"/>
  <c r="KCP22" i="256"/>
  <c r="KCQ22" i="256"/>
  <c r="KCR22" i="256"/>
  <c r="KCS22" i="256"/>
  <c r="KCT22" i="256"/>
  <c r="KCU22" i="256"/>
  <c r="KCV22" i="256"/>
  <c r="KCW22" i="256"/>
  <c r="KCX22" i="256"/>
  <c r="KCY22" i="256"/>
  <c r="KCZ22" i="256"/>
  <c r="KDA22" i="256"/>
  <c r="KDB22" i="256"/>
  <c r="KDC22" i="256"/>
  <c r="KDD22" i="256"/>
  <c r="KDE22" i="256"/>
  <c r="KDF22" i="256"/>
  <c r="KDG22" i="256"/>
  <c r="KDH22" i="256"/>
  <c r="KDI22" i="256"/>
  <c r="KDJ22" i="256"/>
  <c r="KDK22" i="256"/>
  <c r="KDL22" i="256"/>
  <c r="KDM22" i="256"/>
  <c r="KDN22" i="256"/>
  <c r="KDO22" i="256"/>
  <c r="KDP22" i="256"/>
  <c r="KDQ22" i="256"/>
  <c r="KDR22" i="256"/>
  <c r="KDS22" i="256"/>
  <c r="KDT22" i="256"/>
  <c r="KDU22" i="256"/>
  <c r="KDV22" i="256"/>
  <c r="KDW22" i="256"/>
  <c r="KDX22" i="256"/>
  <c r="KDY22" i="256"/>
  <c r="KDZ22" i="256"/>
  <c r="KEA22" i="256"/>
  <c r="KEB22" i="256"/>
  <c r="KEC22" i="256"/>
  <c r="KED22" i="256"/>
  <c r="KEE22" i="256"/>
  <c r="KEF22" i="256"/>
  <c r="KEG22" i="256"/>
  <c r="KEH22" i="256"/>
  <c r="KEI22" i="256"/>
  <c r="KEJ22" i="256"/>
  <c r="KEK22" i="256"/>
  <c r="KEL22" i="256"/>
  <c r="KEM22" i="256"/>
  <c r="KEN22" i="256"/>
  <c r="KEO22" i="256"/>
  <c r="KEP22" i="256"/>
  <c r="KEQ22" i="256"/>
  <c r="KER22" i="256"/>
  <c r="KES22" i="256"/>
  <c r="KET22" i="256"/>
  <c r="KEU22" i="256"/>
  <c r="KEV22" i="256"/>
  <c r="KEW22" i="256"/>
  <c r="KEX22" i="256"/>
  <c r="KEY22" i="256"/>
  <c r="KEZ22" i="256"/>
  <c r="KFA22" i="256"/>
  <c r="KFB22" i="256"/>
  <c r="KFC22" i="256"/>
  <c r="KFD22" i="256"/>
  <c r="KFE22" i="256"/>
  <c r="KFF22" i="256"/>
  <c r="KFG22" i="256"/>
  <c r="KFH22" i="256"/>
  <c r="KFI22" i="256"/>
  <c r="KFJ22" i="256"/>
  <c r="KFK22" i="256"/>
  <c r="KFL22" i="256"/>
  <c r="KFM22" i="256"/>
  <c r="KFN22" i="256"/>
  <c r="KFO22" i="256"/>
  <c r="KFP22" i="256"/>
  <c r="KFQ22" i="256"/>
  <c r="KFR22" i="256"/>
  <c r="KFS22" i="256"/>
  <c r="KFT22" i="256"/>
  <c r="KFU22" i="256"/>
  <c r="KFV22" i="256"/>
  <c r="KFW22" i="256"/>
  <c r="KFX22" i="256"/>
  <c r="KFY22" i="256"/>
  <c r="KFZ22" i="256"/>
  <c r="KGA22" i="256"/>
  <c r="KGB22" i="256"/>
  <c r="KGC22" i="256"/>
  <c r="KGD22" i="256"/>
  <c r="KGE22" i="256"/>
  <c r="KGF22" i="256"/>
  <c r="KGG22" i="256"/>
  <c r="KGH22" i="256"/>
  <c r="KGI22" i="256"/>
  <c r="KGJ22" i="256"/>
  <c r="KGK22" i="256"/>
  <c r="KGL22" i="256"/>
  <c r="KGM22" i="256"/>
  <c r="KGN22" i="256"/>
  <c r="KGO22" i="256"/>
  <c r="KGP22" i="256"/>
  <c r="KGQ22" i="256"/>
  <c r="KGR22" i="256"/>
  <c r="KGS22" i="256"/>
  <c r="KGT22" i="256"/>
  <c r="KGU22" i="256"/>
  <c r="KGV22" i="256"/>
  <c r="KGW22" i="256"/>
  <c r="KGX22" i="256"/>
  <c r="KGY22" i="256"/>
  <c r="KGZ22" i="256"/>
  <c r="KHA22" i="256"/>
  <c r="KHB22" i="256"/>
  <c r="KHC22" i="256"/>
  <c r="KHD22" i="256"/>
  <c r="KHE22" i="256"/>
  <c r="KHF22" i="256"/>
  <c r="KHG22" i="256"/>
  <c r="KHH22" i="256"/>
  <c r="KHI22" i="256"/>
  <c r="KHJ22" i="256"/>
  <c r="KHK22" i="256"/>
  <c r="KHL22" i="256"/>
  <c r="KHM22" i="256"/>
  <c r="KHN22" i="256"/>
  <c r="KHO22" i="256"/>
  <c r="KHP22" i="256"/>
  <c r="KHQ22" i="256"/>
  <c r="KHR22" i="256"/>
  <c r="KHS22" i="256"/>
  <c r="KHT22" i="256"/>
  <c r="KHU22" i="256"/>
  <c r="KHV22" i="256"/>
  <c r="KHW22" i="256"/>
  <c r="KHX22" i="256"/>
  <c r="KHY22" i="256"/>
  <c r="KHZ22" i="256"/>
  <c r="KIA22" i="256"/>
  <c r="KIB22" i="256"/>
  <c r="KIC22" i="256"/>
  <c r="KID22" i="256"/>
  <c r="KIE22" i="256"/>
  <c r="KIF22" i="256"/>
  <c r="KIG22" i="256"/>
  <c r="KIH22" i="256"/>
  <c r="KII22" i="256"/>
  <c r="KIJ22" i="256"/>
  <c r="KIK22" i="256"/>
  <c r="KIL22" i="256"/>
  <c r="KIM22" i="256"/>
  <c r="KIN22" i="256"/>
  <c r="KIO22" i="256"/>
  <c r="KIP22" i="256"/>
  <c r="KIQ22" i="256"/>
  <c r="KIR22" i="256"/>
  <c r="KIS22" i="256"/>
  <c r="KIT22" i="256"/>
  <c r="KIU22" i="256"/>
  <c r="KIV22" i="256"/>
  <c r="KIW22" i="256"/>
  <c r="KIX22" i="256"/>
  <c r="KIY22" i="256"/>
  <c r="KIZ22" i="256"/>
  <c r="KJA22" i="256"/>
  <c r="KJB22" i="256"/>
  <c r="KJC22" i="256"/>
  <c r="KJD22" i="256"/>
  <c r="KJE22" i="256"/>
  <c r="KJF22" i="256"/>
  <c r="KJG22" i="256"/>
  <c r="KJH22" i="256"/>
  <c r="KJI22" i="256"/>
  <c r="KJJ22" i="256"/>
  <c r="KJK22" i="256"/>
  <c r="KJL22" i="256"/>
  <c r="KJM22" i="256"/>
  <c r="KJN22" i="256"/>
  <c r="KJO22" i="256"/>
  <c r="KJP22" i="256"/>
  <c r="KJQ22" i="256"/>
  <c r="KJR22" i="256"/>
  <c r="KJS22" i="256"/>
  <c r="KJT22" i="256"/>
  <c r="KJU22" i="256"/>
  <c r="KJV22" i="256"/>
  <c r="KJW22" i="256"/>
  <c r="KJX22" i="256"/>
  <c r="KJY22" i="256"/>
  <c r="KJZ22" i="256"/>
  <c r="KKA22" i="256"/>
  <c r="KKB22" i="256"/>
  <c r="KKC22" i="256"/>
  <c r="KKD22" i="256"/>
  <c r="KKE22" i="256"/>
  <c r="KKF22" i="256"/>
  <c r="KKG22" i="256"/>
  <c r="KKH22" i="256"/>
  <c r="KKI22" i="256"/>
  <c r="KKJ22" i="256"/>
  <c r="KKK22" i="256"/>
  <c r="KKL22" i="256"/>
  <c r="KKM22" i="256"/>
  <c r="KKN22" i="256"/>
  <c r="KKO22" i="256"/>
  <c r="KKP22" i="256"/>
  <c r="KKQ22" i="256"/>
  <c r="KKR22" i="256"/>
  <c r="KKS22" i="256"/>
  <c r="KKT22" i="256"/>
  <c r="KKU22" i="256"/>
  <c r="KKV22" i="256"/>
  <c r="KKW22" i="256"/>
  <c r="KKX22" i="256"/>
  <c r="KKY22" i="256"/>
  <c r="KKZ22" i="256"/>
  <c r="KLA22" i="256"/>
  <c r="KLB22" i="256"/>
  <c r="KLC22" i="256"/>
  <c r="KLD22" i="256"/>
  <c r="KLE22" i="256"/>
  <c r="KLF22" i="256"/>
  <c r="KLG22" i="256"/>
  <c r="KLH22" i="256"/>
  <c r="KLI22" i="256"/>
  <c r="KLJ22" i="256"/>
  <c r="KLK22" i="256"/>
  <c r="KLL22" i="256"/>
  <c r="KLM22" i="256"/>
  <c r="KLN22" i="256"/>
  <c r="KLO22" i="256"/>
  <c r="KLP22" i="256"/>
  <c r="KLQ22" i="256"/>
  <c r="KLR22" i="256"/>
  <c r="KLS22" i="256"/>
  <c r="KLT22" i="256"/>
  <c r="KLU22" i="256"/>
  <c r="KLV22" i="256"/>
  <c r="KLW22" i="256"/>
  <c r="KLX22" i="256"/>
  <c r="KLY22" i="256"/>
  <c r="KLZ22" i="256"/>
  <c r="KMA22" i="256"/>
  <c r="KMB22" i="256"/>
  <c r="KMC22" i="256"/>
  <c r="KMD22" i="256"/>
  <c r="KME22" i="256"/>
  <c r="KMF22" i="256"/>
  <c r="KMG22" i="256"/>
  <c r="KMH22" i="256"/>
  <c r="KMI22" i="256"/>
  <c r="KMJ22" i="256"/>
  <c r="KMK22" i="256"/>
  <c r="KML22" i="256"/>
  <c r="KMM22" i="256"/>
  <c r="KMN22" i="256"/>
  <c r="KMO22" i="256"/>
  <c r="KMP22" i="256"/>
  <c r="KMQ22" i="256"/>
  <c r="KMR22" i="256"/>
  <c r="KMS22" i="256"/>
  <c r="KMT22" i="256"/>
  <c r="KMU22" i="256"/>
  <c r="KMV22" i="256"/>
  <c r="KMW22" i="256"/>
  <c r="KMX22" i="256"/>
  <c r="KMY22" i="256"/>
  <c r="KMZ22" i="256"/>
  <c r="KNA22" i="256"/>
  <c r="KNB22" i="256"/>
  <c r="KNC22" i="256"/>
  <c r="KND22" i="256"/>
  <c r="KNE22" i="256"/>
  <c r="KNF22" i="256"/>
  <c r="KNG22" i="256"/>
  <c r="KNH22" i="256"/>
  <c r="KNI22" i="256"/>
  <c r="KNJ22" i="256"/>
  <c r="KNK22" i="256"/>
  <c r="KNL22" i="256"/>
  <c r="KNM22" i="256"/>
  <c r="KNN22" i="256"/>
  <c r="KNO22" i="256"/>
  <c r="KNP22" i="256"/>
  <c r="KNQ22" i="256"/>
  <c r="KNR22" i="256"/>
  <c r="KNS22" i="256"/>
  <c r="KNT22" i="256"/>
  <c r="KNU22" i="256"/>
  <c r="KNV22" i="256"/>
  <c r="KNW22" i="256"/>
  <c r="KNX22" i="256"/>
  <c r="KNY22" i="256"/>
  <c r="KNZ22" i="256"/>
  <c r="KOA22" i="256"/>
  <c r="KOB22" i="256"/>
  <c r="KOC22" i="256"/>
  <c r="KOD22" i="256"/>
  <c r="KOE22" i="256"/>
  <c r="KOF22" i="256"/>
  <c r="KOG22" i="256"/>
  <c r="KOH22" i="256"/>
  <c r="KOI22" i="256"/>
  <c r="KOJ22" i="256"/>
  <c r="KOK22" i="256"/>
  <c r="KOL22" i="256"/>
  <c r="KOM22" i="256"/>
  <c r="KON22" i="256"/>
  <c r="KOO22" i="256"/>
  <c r="KOP22" i="256"/>
  <c r="KOQ22" i="256"/>
  <c r="KOR22" i="256"/>
  <c r="KOS22" i="256"/>
  <c r="KOT22" i="256"/>
  <c r="KOU22" i="256"/>
  <c r="KOV22" i="256"/>
  <c r="KOW22" i="256"/>
  <c r="KOX22" i="256"/>
  <c r="KOY22" i="256"/>
  <c r="KOZ22" i="256"/>
  <c r="KPA22" i="256"/>
  <c r="KPB22" i="256"/>
  <c r="KPC22" i="256"/>
  <c r="KPD22" i="256"/>
  <c r="KPE22" i="256"/>
  <c r="KPF22" i="256"/>
  <c r="KPG22" i="256"/>
  <c r="KPH22" i="256"/>
  <c r="KPI22" i="256"/>
  <c r="KPJ22" i="256"/>
  <c r="KPK22" i="256"/>
  <c r="KPL22" i="256"/>
  <c r="KPM22" i="256"/>
  <c r="KPN22" i="256"/>
  <c r="KPO22" i="256"/>
  <c r="KPP22" i="256"/>
  <c r="KPQ22" i="256"/>
  <c r="KPR22" i="256"/>
  <c r="KPS22" i="256"/>
  <c r="KPT22" i="256"/>
  <c r="KPU22" i="256"/>
  <c r="KPV22" i="256"/>
  <c r="KPW22" i="256"/>
  <c r="KPX22" i="256"/>
  <c r="KPY22" i="256"/>
  <c r="KPZ22" i="256"/>
  <c r="KQA22" i="256"/>
  <c r="KQB22" i="256"/>
  <c r="KQC22" i="256"/>
  <c r="KQD22" i="256"/>
  <c r="KQE22" i="256"/>
  <c r="KQF22" i="256"/>
  <c r="KQG22" i="256"/>
  <c r="KQH22" i="256"/>
  <c r="KQI22" i="256"/>
  <c r="KQJ22" i="256"/>
  <c r="KQK22" i="256"/>
  <c r="KQL22" i="256"/>
  <c r="KQM22" i="256"/>
  <c r="KQN22" i="256"/>
  <c r="KQO22" i="256"/>
  <c r="KQP22" i="256"/>
  <c r="KQQ22" i="256"/>
  <c r="KQR22" i="256"/>
  <c r="KQS22" i="256"/>
  <c r="KQT22" i="256"/>
  <c r="KQU22" i="256"/>
  <c r="KQV22" i="256"/>
  <c r="KQW22" i="256"/>
  <c r="KQX22" i="256"/>
  <c r="KQY22" i="256"/>
  <c r="KQZ22" i="256"/>
  <c r="KRA22" i="256"/>
  <c r="KRB22" i="256"/>
  <c r="KRC22" i="256"/>
  <c r="KRD22" i="256"/>
  <c r="KRE22" i="256"/>
  <c r="KRF22" i="256"/>
  <c r="KRG22" i="256"/>
  <c r="KRH22" i="256"/>
  <c r="KRI22" i="256"/>
  <c r="KRJ22" i="256"/>
  <c r="KRK22" i="256"/>
  <c r="KRL22" i="256"/>
  <c r="KRM22" i="256"/>
  <c r="KRN22" i="256"/>
  <c r="KRO22" i="256"/>
  <c r="KRP22" i="256"/>
  <c r="KRQ22" i="256"/>
  <c r="KRR22" i="256"/>
  <c r="KRS22" i="256"/>
  <c r="KRT22" i="256"/>
  <c r="KRU22" i="256"/>
  <c r="KRV22" i="256"/>
  <c r="KRW22" i="256"/>
  <c r="KRX22" i="256"/>
  <c r="KRY22" i="256"/>
  <c r="KRZ22" i="256"/>
  <c r="KSA22" i="256"/>
  <c r="KSB22" i="256"/>
  <c r="KSC22" i="256"/>
  <c r="KSD22" i="256"/>
  <c r="KSE22" i="256"/>
  <c r="KSF22" i="256"/>
  <c r="KSG22" i="256"/>
  <c r="KSH22" i="256"/>
  <c r="KSI22" i="256"/>
  <c r="KSJ22" i="256"/>
  <c r="KSK22" i="256"/>
  <c r="KSL22" i="256"/>
  <c r="KSM22" i="256"/>
  <c r="KSN22" i="256"/>
  <c r="KSO22" i="256"/>
  <c r="KSP22" i="256"/>
  <c r="KSQ22" i="256"/>
  <c r="KSR22" i="256"/>
  <c r="KSS22" i="256"/>
  <c r="KST22" i="256"/>
  <c r="KSU22" i="256"/>
  <c r="KSV22" i="256"/>
  <c r="KSW22" i="256"/>
  <c r="KSX22" i="256"/>
  <c r="KSY22" i="256"/>
  <c r="KSZ22" i="256"/>
  <c r="KTA22" i="256"/>
  <c r="KTB22" i="256"/>
  <c r="KTC22" i="256"/>
  <c r="KTD22" i="256"/>
  <c r="KTE22" i="256"/>
  <c r="KTF22" i="256"/>
  <c r="KTG22" i="256"/>
  <c r="KTH22" i="256"/>
  <c r="KTI22" i="256"/>
  <c r="KTJ22" i="256"/>
  <c r="KTK22" i="256"/>
  <c r="KTL22" i="256"/>
  <c r="KTM22" i="256"/>
  <c r="KTN22" i="256"/>
  <c r="KTO22" i="256"/>
  <c r="KTP22" i="256"/>
  <c r="KTQ22" i="256"/>
  <c r="KTR22" i="256"/>
  <c r="KTS22" i="256"/>
  <c r="KTT22" i="256"/>
  <c r="KTU22" i="256"/>
  <c r="KTV22" i="256"/>
  <c r="KTW22" i="256"/>
  <c r="KTX22" i="256"/>
  <c r="KTY22" i="256"/>
  <c r="KTZ22" i="256"/>
  <c r="KUA22" i="256"/>
  <c r="KUB22" i="256"/>
  <c r="KUC22" i="256"/>
  <c r="KUD22" i="256"/>
  <c r="KUE22" i="256"/>
  <c r="KUF22" i="256"/>
  <c r="KUG22" i="256"/>
  <c r="KUH22" i="256"/>
  <c r="KUI22" i="256"/>
  <c r="KUJ22" i="256"/>
  <c r="KUK22" i="256"/>
  <c r="KUL22" i="256"/>
  <c r="KUM22" i="256"/>
  <c r="KUN22" i="256"/>
  <c r="KUO22" i="256"/>
  <c r="KUP22" i="256"/>
  <c r="KUQ22" i="256"/>
  <c r="KUR22" i="256"/>
  <c r="KUS22" i="256"/>
  <c r="KUT22" i="256"/>
  <c r="KUU22" i="256"/>
  <c r="KUV22" i="256"/>
  <c r="KUW22" i="256"/>
  <c r="KUX22" i="256"/>
  <c r="KUY22" i="256"/>
  <c r="KUZ22" i="256"/>
  <c r="KVA22" i="256"/>
  <c r="KVB22" i="256"/>
  <c r="KVC22" i="256"/>
  <c r="KVD22" i="256"/>
  <c r="KVE22" i="256"/>
  <c r="KVF22" i="256"/>
  <c r="KVG22" i="256"/>
  <c r="KVH22" i="256"/>
  <c r="KVI22" i="256"/>
  <c r="KVJ22" i="256"/>
  <c r="KVK22" i="256"/>
  <c r="KVL22" i="256"/>
  <c r="KVM22" i="256"/>
  <c r="KVN22" i="256"/>
  <c r="KVO22" i="256"/>
  <c r="KVP22" i="256"/>
  <c r="KVQ22" i="256"/>
  <c r="KVR22" i="256"/>
  <c r="KVS22" i="256"/>
  <c r="KVT22" i="256"/>
  <c r="KVU22" i="256"/>
  <c r="KVV22" i="256"/>
  <c r="KVW22" i="256"/>
  <c r="KVX22" i="256"/>
  <c r="KVY22" i="256"/>
  <c r="KVZ22" i="256"/>
  <c r="KWA22" i="256"/>
  <c r="KWB22" i="256"/>
  <c r="KWC22" i="256"/>
  <c r="KWD22" i="256"/>
  <c r="KWE22" i="256"/>
  <c r="KWF22" i="256"/>
  <c r="KWG22" i="256"/>
  <c r="KWH22" i="256"/>
  <c r="KWI22" i="256"/>
  <c r="KWJ22" i="256"/>
  <c r="KWK22" i="256"/>
  <c r="KWL22" i="256"/>
  <c r="KWM22" i="256"/>
  <c r="KWN22" i="256"/>
  <c r="KWO22" i="256"/>
  <c r="KWP22" i="256"/>
  <c r="KWQ22" i="256"/>
  <c r="KWR22" i="256"/>
  <c r="KWS22" i="256"/>
  <c r="KWT22" i="256"/>
  <c r="KWU22" i="256"/>
  <c r="KWV22" i="256"/>
  <c r="KWW22" i="256"/>
  <c r="KWX22" i="256"/>
  <c r="KWY22" i="256"/>
  <c r="KWZ22" i="256"/>
  <c r="KXA22" i="256"/>
  <c r="KXB22" i="256"/>
  <c r="KXC22" i="256"/>
  <c r="KXD22" i="256"/>
  <c r="KXE22" i="256"/>
  <c r="KXF22" i="256"/>
  <c r="KXG22" i="256"/>
  <c r="KXH22" i="256"/>
  <c r="KXI22" i="256"/>
  <c r="KXJ22" i="256"/>
  <c r="KXK22" i="256"/>
  <c r="KXL22" i="256"/>
  <c r="KXM22" i="256"/>
  <c r="KXN22" i="256"/>
  <c r="KXO22" i="256"/>
  <c r="KXP22" i="256"/>
  <c r="KXQ22" i="256"/>
  <c r="KXR22" i="256"/>
  <c r="KXS22" i="256"/>
  <c r="KXT22" i="256"/>
  <c r="KXU22" i="256"/>
  <c r="KXV22" i="256"/>
  <c r="KXW22" i="256"/>
  <c r="KXX22" i="256"/>
  <c r="KXY22" i="256"/>
  <c r="KXZ22" i="256"/>
  <c r="KYA22" i="256"/>
  <c r="KYB22" i="256"/>
  <c r="KYC22" i="256"/>
  <c r="KYD22" i="256"/>
  <c r="KYE22" i="256"/>
  <c r="KYF22" i="256"/>
  <c r="KYG22" i="256"/>
  <c r="KYH22" i="256"/>
  <c r="KYI22" i="256"/>
  <c r="KYJ22" i="256"/>
  <c r="KYK22" i="256"/>
  <c r="KYL22" i="256"/>
  <c r="KYM22" i="256"/>
  <c r="KYN22" i="256"/>
  <c r="KYO22" i="256"/>
  <c r="KYP22" i="256"/>
  <c r="KYQ22" i="256"/>
  <c r="KYR22" i="256"/>
  <c r="KYS22" i="256"/>
  <c r="KYT22" i="256"/>
  <c r="KYU22" i="256"/>
  <c r="KYV22" i="256"/>
  <c r="KYW22" i="256"/>
  <c r="KYX22" i="256"/>
  <c r="KYY22" i="256"/>
  <c r="KYZ22" i="256"/>
  <c r="KZA22" i="256"/>
  <c r="KZB22" i="256"/>
  <c r="KZC22" i="256"/>
  <c r="KZD22" i="256"/>
  <c r="KZE22" i="256"/>
  <c r="KZF22" i="256"/>
  <c r="KZG22" i="256"/>
  <c r="KZH22" i="256"/>
  <c r="KZI22" i="256"/>
  <c r="KZJ22" i="256"/>
  <c r="KZK22" i="256"/>
  <c r="KZL22" i="256"/>
  <c r="KZM22" i="256"/>
  <c r="KZN22" i="256"/>
  <c r="KZO22" i="256"/>
  <c r="KZP22" i="256"/>
  <c r="KZQ22" i="256"/>
  <c r="KZR22" i="256"/>
  <c r="KZS22" i="256"/>
  <c r="KZT22" i="256"/>
  <c r="KZU22" i="256"/>
  <c r="KZV22" i="256"/>
  <c r="KZW22" i="256"/>
  <c r="KZX22" i="256"/>
  <c r="KZY22" i="256"/>
  <c r="KZZ22" i="256"/>
  <c r="LAA22" i="256"/>
  <c r="LAB22" i="256"/>
  <c r="LAC22" i="256"/>
  <c r="LAD22" i="256"/>
  <c r="LAE22" i="256"/>
  <c r="LAF22" i="256"/>
  <c r="LAG22" i="256"/>
  <c r="LAH22" i="256"/>
  <c r="LAI22" i="256"/>
  <c r="LAJ22" i="256"/>
  <c r="LAK22" i="256"/>
  <c r="LAL22" i="256"/>
  <c r="LAM22" i="256"/>
  <c r="LAN22" i="256"/>
  <c r="LAO22" i="256"/>
  <c r="LAP22" i="256"/>
  <c r="LAQ22" i="256"/>
  <c r="LAR22" i="256"/>
  <c r="LAS22" i="256"/>
  <c r="LAT22" i="256"/>
  <c r="LAU22" i="256"/>
  <c r="LAV22" i="256"/>
  <c r="LAW22" i="256"/>
  <c r="LAX22" i="256"/>
  <c r="LAY22" i="256"/>
  <c r="LAZ22" i="256"/>
  <c r="LBA22" i="256"/>
  <c r="LBB22" i="256"/>
  <c r="LBC22" i="256"/>
  <c r="LBD22" i="256"/>
  <c r="LBE22" i="256"/>
  <c r="LBF22" i="256"/>
  <c r="LBG22" i="256"/>
  <c r="LBH22" i="256"/>
  <c r="LBI22" i="256"/>
  <c r="LBJ22" i="256"/>
  <c r="LBK22" i="256"/>
  <c r="LBL22" i="256"/>
  <c r="LBM22" i="256"/>
  <c r="LBN22" i="256"/>
  <c r="LBO22" i="256"/>
  <c r="LBP22" i="256"/>
  <c r="LBQ22" i="256"/>
  <c r="LBR22" i="256"/>
  <c r="LBS22" i="256"/>
  <c r="LBT22" i="256"/>
  <c r="LBU22" i="256"/>
  <c r="LBV22" i="256"/>
  <c r="LBW22" i="256"/>
  <c r="LBX22" i="256"/>
  <c r="LBY22" i="256"/>
  <c r="LBZ22" i="256"/>
  <c r="LCA22" i="256"/>
  <c r="LCB22" i="256"/>
  <c r="LCC22" i="256"/>
  <c r="LCD22" i="256"/>
  <c r="LCE22" i="256"/>
  <c r="LCF22" i="256"/>
  <c r="LCG22" i="256"/>
  <c r="LCH22" i="256"/>
  <c r="LCI22" i="256"/>
  <c r="LCJ22" i="256"/>
  <c r="LCK22" i="256"/>
  <c r="LCL22" i="256"/>
  <c r="LCM22" i="256"/>
  <c r="LCN22" i="256"/>
  <c r="LCO22" i="256"/>
  <c r="LCP22" i="256"/>
  <c r="LCQ22" i="256"/>
  <c r="LCR22" i="256"/>
  <c r="LCS22" i="256"/>
  <c r="LCT22" i="256"/>
  <c r="LCU22" i="256"/>
  <c r="LCV22" i="256"/>
  <c r="LCW22" i="256"/>
  <c r="LCX22" i="256"/>
  <c r="LCY22" i="256"/>
  <c r="LCZ22" i="256"/>
  <c r="LDA22" i="256"/>
  <c r="LDB22" i="256"/>
  <c r="LDC22" i="256"/>
  <c r="LDD22" i="256"/>
  <c r="LDE22" i="256"/>
  <c r="LDF22" i="256"/>
  <c r="LDG22" i="256"/>
  <c r="LDH22" i="256"/>
  <c r="LDI22" i="256"/>
  <c r="LDJ22" i="256"/>
  <c r="LDK22" i="256"/>
  <c r="LDL22" i="256"/>
  <c r="LDM22" i="256"/>
  <c r="LDN22" i="256"/>
  <c r="LDO22" i="256"/>
  <c r="LDP22" i="256"/>
  <c r="LDQ22" i="256"/>
  <c r="LDR22" i="256"/>
  <c r="LDS22" i="256"/>
  <c r="LDT22" i="256"/>
  <c r="LDU22" i="256"/>
  <c r="LDV22" i="256"/>
  <c r="LDW22" i="256"/>
  <c r="LDX22" i="256"/>
  <c r="LDY22" i="256"/>
  <c r="LDZ22" i="256"/>
  <c r="LEA22" i="256"/>
  <c r="LEB22" i="256"/>
  <c r="LEC22" i="256"/>
  <c r="LED22" i="256"/>
  <c r="LEE22" i="256"/>
  <c r="LEF22" i="256"/>
  <c r="LEG22" i="256"/>
  <c r="LEH22" i="256"/>
  <c r="LEI22" i="256"/>
  <c r="LEJ22" i="256"/>
  <c r="LEK22" i="256"/>
  <c r="LEL22" i="256"/>
  <c r="LEM22" i="256"/>
  <c r="LEN22" i="256"/>
  <c r="LEO22" i="256"/>
  <c r="LEP22" i="256"/>
  <c r="LEQ22" i="256"/>
  <c r="LER22" i="256"/>
  <c r="LES22" i="256"/>
  <c r="LET22" i="256"/>
  <c r="LEU22" i="256"/>
  <c r="LEV22" i="256"/>
  <c r="LEW22" i="256"/>
  <c r="LEX22" i="256"/>
  <c r="LEY22" i="256"/>
  <c r="LEZ22" i="256"/>
  <c r="LFA22" i="256"/>
  <c r="LFB22" i="256"/>
  <c r="LFC22" i="256"/>
  <c r="LFD22" i="256"/>
  <c r="LFE22" i="256"/>
  <c r="LFF22" i="256"/>
  <c r="LFG22" i="256"/>
  <c r="LFH22" i="256"/>
  <c r="LFI22" i="256"/>
  <c r="LFJ22" i="256"/>
  <c r="LFK22" i="256"/>
  <c r="LFL22" i="256"/>
  <c r="LFM22" i="256"/>
  <c r="LFN22" i="256"/>
  <c r="LFO22" i="256"/>
  <c r="LFP22" i="256"/>
  <c r="LFQ22" i="256"/>
  <c r="LFR22" i="256"/>
  <c r="LFS22" i="256"/>
  <c r="LFT22" i="256"/>
  <c r="LFU22" i="256"/>
  <c r="LFV22" i="256"/>
  <c r="LFW22" i="256"/>
  <c r="LFX22" i="256"/>
  <c r="LFY22" i="256"/>
  <c r="LFZ22" i="256"/>
  <c r="LGA22" i="256"/>
  <c r="LGB22" i="256"/>
  <c r="LGC22" i="256"/>
  <c r="LGD22" i="256"/>
  <c r="LGE22" i="256"/>
  <c r="LGF22" i="256"/>
  <c r="LGG22" i="256"/>
  <c r="LGH22" i="256"/>
  <c r="LGI22" i="256"/>
  <c r="LGJ22" i="256"/>
  <c r="LGK22" i="256"/>
  <c r="LGL22" i="256"/>
  <c r="LGM22" i="256"/>
  <c r="LGN22" i="256"/>
  <c r="LGO22" i="256"/>
  <c r="LGP22" i="256"/>
  <c r="LGQ22" i="256"/>
  <c r="LGR22" i="256"/>
  <c r="LGS22" i="256"/>
  <c r="LGT22" i="256"/>
  <c r="LGU22" i="256"/>
  <c r="LGV22" i="256"/>
  <c r="LGW22" i="256"/>
  <c r="LGX22" i="256"/>
  <c r="LGY22" i="256"/>
  <c r="LGZ22" i="256"/>
  <c r="LHA22" i="256"/>
  <c r="LHB22" i="256"/>
  <c r="LHC22" i="256"/>
  <c r="LHD22" i="256"/>
  <c r="LHE22" i="256"/>
  <c r="LHF22" i="256"/>
  <c r="LHG22" i="256"/>
  <c r="LHH22" i="256"/>
  <c r="LHI22" i="256"/>
  <c r="LHJ22" i="256"/>
  <c r="LHK22" i="256"/>
  <c r="LHL22" i="256"/>
  <c r="LHM22" i="256"/>
  <c r="LHN22" i="256"/>
  <c r="LHO22" i="256"/>
  <c r="LHP22" i="256"/>
  <c r="LHQ22" i="256"/>
  <c r="LHR22" i="256"/>
  <c r="LHS22" i="256"/>
  <c r="LHT22" i="256"/>
  <c r="LHU22" i="256"/>
  <c r="LHV22" i="256"/>
  <c r="LHW22" i="256"/>
  <c r="LHX22" i="256"/>
  <c r="LHY22" i="256"/>
  <c r="LHZ22" i="256"/>
  <c r="LIA22" i="256"/>
  <c r="LIB22" i="256"/>
  <c r="LIC22" i="256"/>
  <c r="LID22" i="256"/>
  <c r="LIE22" i="256"/>
  <c r="LIF22" i="256"/>
  <c r="LIG22" i="256"/>
  <c r="LIH22" i="256"/>
  <c r="LII22" i="256"/>
  <c r="LIJ22" i="256"/>
  <c r="LIK22" i="256"/>
  <c r="LIL22" i="256"/>
  <c r="LIM22" i="256"/>
  <c r="LIN22" i="256"/>
  <c r="LIO22" i="256"/>
  <c r="LIP22" i="256"/>
  <c r="LIQ22" i="256"/>
  <c r="LIR22" i="256"/>
  <c r="LIS22" i="256"/>
  <c r="LIT22" i="256"/>
  <c r="LIU22" i="256"/>
  <c r="LIV22" i="256"/>
  <c r="LIW22" i="256"/>
  <c r="LIX22" i="256"/>
  <c r="LIY22" i="256"/>
  <c r="LIZ22" i="256"/>
  <c r="LJA22" i="256"/>
  <c r="LJB22" i="256"/>
  <c r="LJC22" i="256"/>
  <c r="LJD22" i="256"/>
  <c r="LJE22" i="256"/>
  <c r="LJF22" i="256"/>
  <c r="LJG22" i="256"/>
  <c r="LJH22" i="256"/>
  <c r="LJI22" i="256"/>
  <c r="LJJ22" i="256"/>
  <c r="LJK22" i="256"/>
  <c r="LJL22" i="256"/>
  <c r="LJM22" i="256"/>
  <c r="LJN22" i="256"/>
  <c r="LJO22" i="256"/>
  <c r="LJP22" i="256"/>
  <c r="LJQ22" i="256"/>
  <c r="LJR22" i="256"/>
  <c r="LJS22" i="256"/>
  <c r="LJT22" i="256"/>
  <c r="LJU22" i="256"/>
  <c r="LJV22" i="256"/>
  <c r="LJW22" i="256"/>
  <c r="LJX22" i="256"/>
  <c r="LJY22" i="256"/>
  <c r="LJZ22" i="256"/>
  <c r="LKA22" i="256"/>
  <c r="LKB22" i="256"/>
  <c r="LKC22" i="256"/>
  <c r="LKD22" i="256"/>
  <c r="LKE22" i="256"/>
  <c r="LKF22" i="256"/>
  <c r="LKG22" i="256"/>
  <c r="LKH22" i="256"/>
  <c r="LKI22" i="256"/>
  <c r="LKJ22" i="256"/>
  <c r="LKK22" i="256"/>
  <c r="LKL22" i="256"/>
  <c r="LKM22" i="256"/>
  <c r="LKN22" i="256"/>
  <c r="LKO22" i="256"/>
  <c r="LKP22" i="256"/>
  <c r="LKQ22" i="256"/>
  <c r="LKR22" i="256"/>
  <c r="LKS22" i="256"/>
  <c r="LKT22" i="256"/>
  <c r="LKU22" i="256"/>
  <c r="LKV22" i="256"/>
  <c r="LKW22" i="256"/>
  <c r="LKX22" i="256"/>
  <c r="LKY22" i="256"/>
  <c r="LKZ22" i="256"/>
  <c r="LLA22" i="256"/>
  <c r="LLB22" i="256"/>
  <c r="LLC22" i="256"/>
  <c r="LLD22" i="256"/>
  <c r="LLE22" i="256"/>
  <c r="LLF22" i="256"/>
  <c r="LLG22" i="256"/>
  <c r="LLH22" i="256"/>
  <c r="LLI22" i="256"/>
  <c r="LLJ22" i="256"/>
  <c r="LLK22" i="256"/>
  <c r="LLL22" i="256"/>
  <c r="LLM22" i="256"/>
  <c r="LLN22" i="256"/>
  <c r="LLO22" i="256"/>
  <c r="LLP22" i="256"/>
  <c r="LLQ22" i="256"/>
  <c r="LLR22" i="256"/>
  <c r="LLS22" i="256"/>
  <c r="LLT22" i="256"/>
  <c r="LLU22" i="256"/>
  <c r="LLV22" i="256"/>
  <c r="LLW22" i="256"/>
  <c r="LLX22" i="256"/>
  <c r="LLY22" i="256"/>
  <c r="LLZ22" i="256"/>
  <c r="LMA22" i="256"/>
  <c r="LMB22" i="256"/>
  <c r="LMC22" i="256"/>
  <c r="LMD22" i="256"/>
  <c r="LME22" i="256"/>
  <c r="LMF22" i="256"/>
  <c r="LMG22" i="256"/>
  <c r="LMH22" i="256"/>
  <c r="LMI22" i="256"/>
  <c r="LMJ22" i="256"/>
  <c r="LMK22" i="256"/>
  <c r="LML22" i="256"/>
  <c r="LMM22" i="256"/>
  <c r="LMN22" i="256"/>
  <c r="LMO22" i="256"/>
  <c r="LMP22" i="256"/>
  <c r="LMQ22" i="256"/>
  <c r="LMR22" i="256"/>
  <c r="LMS22" i="256"/>
  <c r="LMT22" i="256"/>
  <c r="LMU22" i="256"/>
  <c r="LMV22" i="256"/>
  <c r="LMW22" i="256"/>
  <c r="LMX22" i="256"/>
  <c r="LMY22" i="256"/>
  <c r="LMZ22" i="256"/>
  <c r="LNA22" i="256"/>
  <c r="LNB22" i="256"/>
  <c r="LNC22" i="256"/>
  <c r="LND22" i="256"/>
  <c r="LNE22" i="256"/>
  <c r="LNF22" i="256"/>
  <c r="LNG22" i="256"/>
  <c r="LNH22" i="256"/>
  <c r="LNI22" i="256"/>
  <c r="LNJ22" i="256"/>
  <c r="LNK22" i="256"/>
  <c r="LNL22" i="256"/>
  <c r="LNM22" i="256"/>
  <c r="LNN22" i="256"/>
  <c r="LNO22" i="256"/>
  <c r="LNP22" i="256"/>
  <c r="LNQ22" i="256"/>
  <c r="LNR22" i="256"/>
  <c r="LNS22" i="256"/>
  <c r="LNT22" i="256"/>
  <c r="LNU22" i="256"/>
  <c r="LNV22" i="256"/>
  <c r="LNW22" i="256"/>
  <c r="LNX22" i="256"/>
  <c r="LNY22" i="256"/>
  <c r="LNZ22" i="256"/>
  <c r="LOA22" i="256"/>
  <c r="LOB22" i="256"/>
  <c r="LOC22" i="256"/>
  <c r="LOD22" i="256"/>
  <c r="LOE22" i="256"/>
  <c r="LOF22" i="256"/>
  <c r="LOG22" i="256"/>
  <c r="LOH22" i="256"/>
  <c r="LOI22" i="256"/>
  <c r="LOJ22" i="256"/>
  <c r="LOK22" i="256"/>
  <c r="LOL22" i="256"/>
  <c r="LOM22" i="256"/>
  <c r="LON22" i="256"/>
  <c r="LOO22" i="256"/>
  <c r="LOP22" i="256"/>
  <c r="LOQ22" i="256"/>
  <c r="LOR22" i="256"/>
  <c r="LOS22" i="256"/>
  <c r="LOT22" i="256"/>
  <c r="LOU22" i="256"/>
  <c r="LOV22" i="256"/>
  <c r="LOW22" i="256"/>
  <c r="LOX22" i="256"/>
  <c r="LOY22" i="256"/>
  <c r="LOZ22" i="256"/>
  <c r="LPA22" i="256"/>
  <c r="LPB22" i="256"/>
  <c r="LPC22" i="256"/>
  <c r="LPD22" i="256"/>
  <c r="LPE22" i="256"/>
  <c r="LPF22" i="256"/>
  <c r="LPG22" i="256"/>
  <c r="LPH22" i="256"/>
  <c r="LPI22" i="256"/>
  <c r="LPJ22" i="256"/>
  <c r="LPK22" i="256"/>
  <c r="LPL22" i="256"/>
  <c r="LPM22" i="256"/>
  <c r="LPN22" i="256"/>
  <c r="LPO22" i="256"/>
  <c r="LPP22" i="256"/>
  <c r="LPQ22" i="256"/>
  <c r="LPR22" i="256"/>
  <c r="LPS22" i="256"/>
  <c r="LPT22" i="256"/>
  <c r="LPU22" i="256"/>
  <c r="LPV22" i="256"/>
  <c r="LPW22" i="256"/>
  <c r="LPX22" i="256"/>
  <c r="LPY22" i="256"/>
  <c r="LPZ22" i="256"/>
  <c r="LQA22" i="256"/>
  <c r="LQB22" i="256"/>
  <c r="LQC22" i="256"/>
  <c r="LQD22" i="256"/>
  <c r="LQE22" i="256"/>
  <c r="LQF22" i="256"/>
  <c r="LQG22" i="256"/>
  <c r="LQH22" i="256"/>
  <c r="LQI22" i="256"/>
  <c r="LQJ22" i="256"/>
  <c r="LQK22" i="256"/>
  <c r="LQL22" i="256"/>
  <c r="LQM22" i="256"/>
  <c r="LQN22" i="256"/>
  <c r="LQO22" i="256"/>
  <c r="LQP22" i="256"/>
  <c r="LQQ22" i="256"/>
  <c r="LQR22" i="256"/>
  <c r="LQS22" i="256"/>
  <c r="LQT22" i="256"/>
  <c r="LQU22" i="256"/>
  <c r="LQV22" i="256"/>
  <c r="LQW22" i="256"/>
  <c r="LQX22" i="256"/>
  <c r="LQY22" i="256"/>
  <c r="LQZ22" i="256"/>
  <c r="LRA22" i="256"/>
  <c r="LRB22" i="256"/>
  <c r="LRC22" i="256"/>
  <c r="LRD22" i="256"/>
  <c r="LRE22" i="256"/>
  <c r="LRF22" i="256"/>
  <c r="LRG22" i="256"/>
  <c r="LRH22" i="256"/>
  <c r="LRI22" i="256"/>
  <c r="LRJ22" i="256"/>
  <c r="LRK22" i="256"/>
  <c r="LRL22" i="256"/>
  <c r="LRM22" i="256"/>
  <c r="LRN22" i="256"/>
  <c r="LRO22" i="256"/>
  <c r="LRP22" i="256"/>
  <c r="LRQ22" i="256"/>
  <c r="LRR22" i="256"/>
  <c r="LRS22" i="256"/>
  <c r="LRT22" i="256"/>
  <c r="LRU22" i="256"/>
  <c r="LRV22" i="256"/>
  <c r="LRW22" i="256"/>
  <c r="LRX22" i="256"/>
  <c r="LRY22" i="256"/>
  <c r="LRZ22" i="256"/>
  <c r="LSA22" i="256"/>
  <c r="LSB22" i="256"/>
  <c r="LSC22" i="256"/>
  <c r="LSD22" i="256"/>
  <c r="LSE22" i="256"/>
  <c r="LSF22" i="256"/>
  <c r="LSG22" i="256"/>
  <c r="LSH22" i="256"/>
  <c r="LSI22" i="256"/>
  <c r="LSJ22" i="256"/>
  <c r="LSK22" i="256"/>
  <c r="LSL22" i="256"/>
  <c r="LSM22" i="256"/>
  <c r="LSN22" i="256"/>
  <c r="LSO22" i="256"/>
  <c r="LSP22" i="256"/>
  <c r="LSQ22" i="256"/>
  <c r="LSR22" i="256"/>
  <c r="LSS22" i="256"/>
  <c r="LST22" i="256"/>
  <c r="LSU22" i="256"/>
  <c r="LSV22" i="256"/>
  <c r="LSW22" i="256"/>
  <c r="LSX22" i="256"/>
  <c r="LSY22" i="256"/>
  <c r="LSZ22" i="256"/>
  <c r="LTA22" i="256"/>
  <c r="LTB22" i="256"/>
  <c r="LTC22" i="256"/>
  <c r="LTD22" i="256"/>
  <c r="LTE22" i="256"/>
  <c r="LTF22" i="256"/>
  <c r="LTG22" i="256"/>
  <c r="LTH22" i="256"/>
  <c r="LTI22" i="256"/>
  <c r="LTJ22" i="256"/>
  <c r="LTK22" i="256"/>
  <c r="LTL22" i="256"/>
  <c r="LTM22" i="256"/>
  <c r="LTN22" i="256"/>
  <c r="LTO22" i="256"/>
  <c r="LTP22" i="256"/>
  <c r="LTQ22" i="256"/>
  <c r="LTR22" i="256"/>
  <c r="LTS22" i="256"/>
  <c r="LTT22" i="256"/>
  <c r="LTU22" i="256"/>
  <c r="LTV22" i="256"/>
  <c r="LTW22" i="256"/>
  <c r="LTX22" i="256"/>
  <c r="LTY22" i="256"/>
  <c r="LTZ22" i="256"/>
  <c r="LUA22" i="256"/>
  <c r="LUB22" i="256"/>
  <c r="LUC22" i="256"/>
  <c r="LUD22" i="256"/>
  <c r="LUE22" i="256"/>
  <c r="LUF22" i="256"/>
  <c r="LUG22" i="256"/>
  <c r="LUH22" i="256"/>
  <c r="LUI22" i="256"/>
  <c r="LUJ22" i="256"/>
  <c r="LUK22" i="256"/>
  <c r="LUL22" i="256"/>
  <c r="LUM22" i="256"/>
  <c r="LUN22" i="256"/>
  <c r="LUO22" i="256"/>
  <c r="LUP22" i="256"/>
  <c r="LUQ22" i="256"/>
  <c r="LUR22" i="256"/>
  <c r="LUS22" i="256"/>
  <c r="LUT22" i="256"/>
  <c r="LUU22" i="256"/>
  <c r="LUV22" i="256"/>
  <c r="LUW22" i="256"/>
  <c r="LUX22" i="256"/>
  <c r="LUY22" i="256"/>
  <c r="LUZ22" i="256"/>
  <c r="LVA22" i="256"/>
  <c r="LVB22" i="256"/>
  <c r="LVC22" i="256"/>
  <c r="LVD22" i="256"/>
  <c r="LVE22" i="256"/>
  <c r="LVF22" i="256"/>
  <c r="LVG22" i="256"/>
  <c r="LVH22" i="256"/>
  <c r="LVI22" i="256"/>
  <c r="LVJ22" i="256"/>
  <c r="LVK22" i="256"/>
  <c r="LVL22" i="256"/>
  <c r="LVM22" i="256"/>
  <c r="LVN22" i="256"/>
  <c r="LVO22" i="256"/>
  <c r="LVP22" i="256"/>
  <c r="LVQ22" i="256"/>
  <c r="LVR22" i="256"/>
  <c r="LVS22" i="256"/>
  <c r="LVT22" i="256"/>
  <c r="LVU22" i="256"/>
  <c r="LVV22" i="256"/>
  <c r="LVW22" i="256"/>
  <c r="LVX22" i="256"/>
  <c r="LVY22" i="256"/>
  <c r="LVZ22" i="256"/>
  <c r="LWA22" i="256"/>
  <c r="LWB22" i="256"/>
  <c r="LWC22" i="256"/>
  <c r="LWD22" i="256"/>
  <c r="LWE22" i="256"/>
  <c r="LWF22" i="256"/>
  <c r="LWG22" i="256"/>
  <c r="LWH22" i="256"/>
  <c r="LWI22" i="256"/>
  <c r="LWJ22" i="256"/>
  <c r="LWK22" i="256"/>
  <c r="LWL22" i="256"/>
  <c r="LWM22" i="256"/>
  <c r="LWN22" i="256"/>
  <c r="LWO22" i="256"/>
  <c r="LWP22" i="256"/>
  <c r="LWQ22" i="256"/>
  <c r="LWR22" i="256"/>
  <c r="LWS22" i="256"/>
  <c r="LWT22" i="256"/>
  <c r="LWU22" i="256"/>
  <c r="LWV22" i="256"/>
  <c r="LWW22" i="256"/>
  <c r="LWX22" i="256"/>
  <c r="LWY22" i="256"/>
  <c r="LWZ22" i="256"/>
  <c r="LXA22" i="256"/>
  <c r="LXB22" i="256"/>
  <c r="LXC22" i="256"/>
  <c r="LXD22" i="256"/>
  <c r="LXE22" i="256"/>
  <c r="LXF22" i="256"/>
  <c r="LXG22" i="256"/>
  <c r="LXH22" i="256"/>
  <c r="LXI22" i="256"/>
  <c r="LXJ22" i="256"/>
  <c r="LXK22" i="256"/>
  <c r="LXL22" i="256"/>
  <c r="LXM22" i="256"/>
  <c r="LXN22" i="256"/>
  <c r="LXO22" i="256"/>
  <c r="LXP22" i="256"/>
  <c r="LXQ22" i="256"/>
  <c r="LXR22" i="256"/>
  <c r="LXS22" i="256"/>
  <c r="LXT22" i="256"/>
  <c r="LXU22" i="256"/>
  <c r="LXV22" i="256"/>
  <c r="LXW22" i="256"/>
  <c r="LXX22" i="256"/>
  <c r="LXY22" i="256"/>
  <c r="LXZ22" i="256"/>
  <c r="LYA22" i="256"/>
  <c r="LYB22" i="256"/>
  <c r="LYC22" i="256"/>
  <c r="LYD22" i="256"/>
  <c r="LYE22" i="256"/>
  <c r="LYF22" i="256"/>
  <c r="LYG22" i="256"/>
  <c r="LYH22" i="256"/>
  <c r="LYI22" i="256"/>
  <c r="LYJ22" i="256"/>
  <c r="LYK22" i="256"/>
  <c r="LYL22" i="256"/>
  <c r="LYM22" i="256"/>
  <c r="LYN22" i="256"/>
  <c r="LYO22" i="256"/>
  <c r="LYP22" i="256"/>
  <c r="LYQ22" i="256"/>
  <c r="LYR22" i="256"/>
  <c r="LYS22" i="256"/>
  <c r="LYT22" i="256"/>
  <c r="LYU22" i="256"/>
  <c r="LYV22" i="256"/>
  <c r="LYW22" i="256"/>
  <c r="LYX22" i="256"/>
  <c r="LYY22" i="256"/>
  <c r="LYZ22" i="256"/>
  <c r="LZA22" i="256"/>
  <c r="LZB22" i="256"/>
  <c r="LZC22" i="256"/>
  <c r="LZD22" i="256"/>
  <c r="LZE22" i="256"/>
  <c r="LZF22" i="256"/>
  <c r="LZG22" i="256"/>
  <c r="LZH22" i="256"/>
  <c r="LZI22" i="256"/>
  <c r="LZJ22" i="256"/>
  <c r="LZK22" i="256"/>
  <c r="LZL22" i="256"/>
  <c r="LZM22" i="256"/>
  <c r="LZN22" i="256"/>
  <c r="LZO22" i="256"/>
  <c r="LZP22" i="256"/>
  <c r="LZQ22" i="256"/>
  <c r="LZR22" i="256"/>
  <c r="LZS22" i="256"/>
  <c r="LZT22" i="256"/>
  <c r="LZU22" i="256"/>
  <c r="LZV22" i="256"/>
  <c r="LZW22" i="256"/>
  <c r="LZX22" i="256"/>
  <c r="LZY22" i="256"/>
  <c r="LZZ22" i="256"/>
  <c r="MAA22" i="256"/>
  <c r="MAB22" i="256"/>
  <c r="MAC22" i="256"/>
  <c r="MAD22" i="256"/>
  <c r="MAE22" i="256"/>
  <c r="MAF22" i="256"/>
  <c r="MAG22" i="256"/>
  <c r="MAH22" i="256"/>
  <c r="MAI22" i="256"/>
  <c r="MAJ22" i="256"/>
  <c r="MAK22" i="256"/>
  <c r="MAL22" i="256"/>
  <c r="MAM22" i="256"/>
  <c r="MAN22" i="256"/>
  <c r="MAO22" i="256"/>
  <c r="MAP22" i="256"/>
  <c r="MAQ22" i="256"/>
  <c r="MAR22" i="256"/>
  <c r="MAS22" i="256"/>
  <c r="MAT22" i="256"/>
  <c r="MAU22" i="256"/>
  <c r="MAV22" i="256"/>
  <c r="MAW22" i="256"/>
  <c r="MAX22" i="256"/>
  <c r="MAY22" i="256"/>
  <c r="MAZ22" i="256"/>
  <c r="MBA22" i="256"/>
  <c r="MBB22" i="256"/>
  <c r="MBC22" i="256"/>
  <c r="MBD22" i="256"/>
  <c r="MBE22" i="256"/>
  <c r="MBF22" i="256"/>
  <c r="MBG22" i="256"/>
  <c r="MBH22" i="256"/>
  <c r="MBI22" i="256"/>
  <c r="MBJ22" i="256"/>
  <c r="MBK22" i="256"/>
  <c r="MBL22" i="256"/>
  <c r="MBM22" i="256"/>
  <c r="MBN22" i="256"/>
  <c r="MBO22" i="256"/>
  <c r="MBP22" i="256"/>
  <c r="MBQ22" i="256"/>
  <c r="MBR22" i="256"/>
  <c r="MBS22" i="256"/>
  <c r="MBT22" i="256"/>
  <c r="MBU22" i="256"/>
  <c r="MBV22" i="256"/>
  <c r="MBW22" i="256"/>
  <c r="MBX22" i="256"/>
  <c r="MBY22" i="256"/>
  <c r="MBZ22" i="256"/>
  <c r="MCA22" i="256"/>
  <c r="MCB22" i="256"/>
  <c r="MCC22" i="256"/>
  <c r="MCD22" i="256"/>
  <c r="MCE22" i="256"/>
  <c r="MCF22" i="256"/>
  <c r="MCG22" i="256"/>
  <c r="MCH22" i="256"/>
  <c r="MCI22" i="256"/>
  <c r="MCJ22" i="256"/>
  <c r="MCK22" i="256"/>
  <c r="MCL22" i="256"/>
  <c r="MCM22" i="256"/>
  <c r="MCN22" i="256"/>
  <c r="MCO22" i="256"/>
  <c r="MCP22" i="256"/>
  <c r="MCQ22" i="256"/>
  <c r="MCR22" i="256"/>
  <c r="MCS22" i="256"/>
  <c r="MCT22" i="256"/>
  <c r="MCU22" i="256"/>
  <c r="MCV22" i="256"/>
  <c r="MCW22" i="256"/>
  <c r="MCX22" i="256"/>
  <c r="MCY22" i="256"/>
  <c r="MCZ22" i="256"/>
  <c r="MDA22" i="256"/>
  <c r="MDB22" i="256"/>
  <c r="MDC22" i="256"/>
  <c r="MDD22" i="256"/>
  <c r="MDE22" i="256"/>
  <c r="MDF22" i="256"/>
  <c r="MDG22" i="256"/>
  <c r="MDH22" i="256"/>
  <c r="MDI22" i="256"/>
  <c r="MDJ22" i="256"/>
  <c r="MDK22" i="256"/>
  <c r="MDL22" i="256"/>
  <c r="MDM22" i="256"/>
  <c r="MDN22" i="256"/>
  <c r="MDO22" i="256"/>
  <c r="MDP22" i="256"/>
  <c r="MDQ22" i="256"/>
  <c r="MDR22" i="256"/>
  <c r="MDS22" i="256"/>
  <c r="MDT22" i="256"/>
  <c r="MDU22" i="256"/>
  <c r="MDV22" i="256"/>
  <c r="MDW22" i="256"/>
  <c r="MDX22" i="256"/>
  <c r="MDY22" i="256"/>
  <c r="MDZ22" i="256"/>
  <c r="MEA22" i="256"/>
  <c r="MEB22" i="256"/>
  <c r="MEC22" i="256"/>
  <c r="MED22" i="256"/>
  <c r="MEE22" i="256"/>
  <c r="MEF22" i="256"/>
  <c r="MEG22" i="256"/>
  <c r="MEH22" i="256"/>
  <c r="MEI22" i="256"/>
  <c r="MEJ22" i="256"/>
  <c r="MEK22" i="256"/>
  <c r="MEL22" i="256"/>
  <c r="MEM22" i="256"/>
  <c r="MEN22" i="256"/>
  <c r="MEO22" i="256"/>
  <c r="MEP22" i="256"/>
  <c r="MEQ22" i="256"/>
  <c r="MER22" i="256"/>
  <c r="MES22" i="256"/>
  <c r="MET22" i="256"/>
  <c r="MEU22" i="256"/>
  <c r="MEV22" i="256"/>
  <c r="MEW22" i="256"/>
  <c r="MEX22" i="256"/>
  <c r="MEY22" i="256"/>
  <c r="MEZ22" i="256"/>
  <c r="MFA22" i="256"/>
  <c r="MFB22" i="256"/>
  <c r="MFC22" i="256"/>
  <c r="MFD22" i="256"/>
  <c r="MFE22" i="256"/>
  <c r="MFF22" i="256"/>
  <c r="MFG22" i="256"/>
  <c r="MFH22" i="256"/>
  <c r="MFI22" i="256"/>
  <c r="MFJ22" i="256"/>
  <c r="MFK22" i="256"/>
  <c r="MFL22" i="256"/>
  <c r="MFM22" i="256"/>
  <c r="MFN22" i="256"/>
  <c r="MFO22" i="256"/>
  <c r="MFP22" i="256"/>
  <c r="MFQ22" i="256"/>
  <c r="MFR22" i="256"/>
  <c r="MFS22" i="256"/>
  <c r="MFT22" i="256"/>
  <c r="MFU22" i="256"/>
  <c r="MFV22" i="256"/>
  <c r="MFW22" i="256"/>
  <c r="MFX22" i="256"/>
  <c r="MFY22" i="256"/>
  <c r="MFZ22" i="256"/>
  <c r="MGA22" i="256"/>
  <c r="MGB22" i="256"/>
  <c r="MGC22" i="256"/>
  <c r="MGD22" i="256"/>
  <c r="MGE22" i="256"/>
  <c r="MGF22" i="256"/>
  <c r="MGG22" i="256"/>
  <c r="MGH22" i="256"/>
  <c r="MGI22" i="256"/>
  <c r="MGJ22" i="256"/>
  <c r="MGK22" i="256"/>
  <c r="MGL22" i="256"/>
  <c r="MGM22" i="256"/>
  <c r="MGN22" i="256"/>
  <c r="MGO22" i="256"/>
  <c r="MGP22" i="256"/>
  <c r="MGQ22" i="256"/>
  <c r="MGR22" i="256"/>
  <c r="MGS22" i="256"/>
  <c r="MGT22" i="256"/>
  <c r="MGU22" i="256"/>
  <c r="MGV22" i="256"/>
  <c r="MGW22" i="256"/>
  <c r="MGX22" i="256"/>
  <c r="MGY22" i="256"/>
  <c r="MGZ22" i="256"/>
  <c r="MHA22" i="256"/>
  <c r="MHB22" i="256"/>
  <c r="MHC22" i="256"/>
  <c r="MHD22" i="256"/>
  <c r="MHE22" i="256"/>
  <c r="MHF22" i="256"/>
  <c r="MHG22" i="256"/>
  <c r="MHH22" i="256"/>
  <c r="MHI22" i="256"/>
  <c r="MHJ22" i="256"/>
  <c r="MHK22" i="256"/>
  <c r="MHL22" i="256"/>
  <c r="MHM22" i="256"/>
  <c r="MHN22" i="256"/>
  <c r="MHO22" i="256"/>
  <c r="MHP22" i="256"/>
  <c r="MHQ22" i="256"/>
  <c r="MHR22" i="256"/>
  <c r="MHS22" i="256"/>
  <c r="MHT22" i="256"/>
  <c r="MHU22" i="256"/>
  <c r="MHV22" i="256"/>
  <c r="MHW22" i="256"/>
  <c r="MHX22" i="256"/>
  <c r="MHY22" i="256"/>
  <c r="MHZ22" i="256"/>
  <c r="MIA22" i="256"/>
  <c r="MIB22" i="256"/>
  <c r="MIC22" i="256"/>
  <c r="MID22" i="256"/>
  <c r="MIE22" i="256"/>
  <c r="MIF22" i="256"/>
  <c r="MIG22" i="256"/>
  <c r="MIH22" i="256"/>
  <c r="MII22" i="256"/>
  <c r="MIJ22" i="256"/>
  <c r="MIK22" i="256"/>
  <c r="MIL22" i="256"/>
  <c r="MIM22" i="256"/>
  <c r="MIN22" i="256"/>
  <c r="MIO22" i="256"/>
  <c r="MIP22" i="256"/>
  <c r="MIQ22" i="256"/>
  <c r="MIR22" i="256"/>
  <c r="MIS22" i="256"/>
  <c r="MIT22" i="256"/>
  <c r="MIU22" i="256"/>
  <c r="MIV22" i="256"/>
  <c r="MIW22" i="256"/>
  <c r="MIX22" i="256"/>
  <c r="MIY22" i="256"/>
  <c r="MIZ22" i="256"/>
  <c r="MJA22" i="256"/>
  <c r="MJB22" i="256"/>
  <c r="MJC22" i="256"/>
  <c r="MJD22" i="256"/>
  <c r="MJE22" i="256"/>
  <c r="MJF22" i="256"/>
  <c r="MJG22" i="256"/>
  <c r="MJH22" i="256"/>
  <c r="MJI22" i="256"/>
  <c r="MJJ22" i="256"/>
  <c r="MJK22" i="256"/>
  <c r="MJL22" i="256"/>
  <c r="MJM22" i="256"/>
  <c r="MJN22" i="256"/>
  <c r="MJO22" i="256"/>
  <c r="MJP22" i="256"/>
  <c r="MJQ22" i="256"/>
  <c r="MJR22" i="256"/>
  <c r="MJS22" i="256"/>
  <c r="MJT22" i="256"/>
  <c r="MJU22" i="256"/>
  <c r="MJV22" i="256"/>
  <c r="MJW22" i="256"/>
  <c r="MJX22" i="256"/>
  <c r="MJY22" i="256"/>
  <c r="MJZ22" i="256"/>
  <c r="MKA22" i="256"/>
  <c r="MKB22" i="256"/>
  <c r="MKC22" i="256"/>
  <c r="MKD22" i="256"/>
  <c r="MKE22" i="256"/>
  <c r="MKF22" i="256"/>
  <c r="MKG22" i="256"/>
  <c r="MKH22" i="256"/>
  <c r="MKI22" i="256"/>
  <c r="MKJ22" i="256"/>
  <c r="MKK22" i="256"/>
  <c r="MKL22" i="256"/>
  <c r="MKM22" i="256"/>
  <c r="MKN22" i="256"/>
  <c r="MKO22" i="256"/>
  <c r="MKP22" i="256"/>
  <c r="MKQ22" i="256"/>
  <c r="MKR22" i="256"/>
  <c r="MKS22" i="256"/>
  <c r="MKT22" i="256"/>
  <c r="MKU22" i="256"/>
  <c r="MKV22" i="256"/>
  <c r="MKW22" i="256"/>
  <c r="MKX22" i="256"/>
  <c r="MKY22" i="256"/>
  <c r="MKZ22" i="256"/>
  <c r="MLA22" i="256"/>
  <c r="MLB22" i="256"/>
  <c r="MLC22" i="256"/>
  <c r="MLD22" i="256"/>
  <c r="MLE22" i="256"/>
  <c r="MLF22" i="256"/>
  <c r="MLG22" i="256"/>
  <c r="MLH22" i="256"/>
  <c r="MLI22" i="256"/>
  <c r="MLJ22" i="256"/>
  <c r="MLK22" i="256"/>
  <c r="MLL22" i="256"/>
  <c r="MLM22" i="256"/>
  <c r="MLN22" i="256"/>
  <c r="MLO22" i="256"/>
  <c r="MLP22" i="256"/>
  <c r="MLQ22" i="256"/>
  <c r="MLR22" i="256"/>
  <c r="MLS22" i="256"/>
  <c r="MLT22" i="256"/>
  <c r="MLU22" i="256"/>
  <c r="MLV22" i="256"/>
  <c r="MLW22" i="256"/>
  <c r="MLX22" i="256"/>
  <c r="MLY22" i="256"/>
  <c r="MLZ22" i="256"/>
  <c r="MMA22" i="256"/>
  <c r="MMB22" i="256"/>
  <c r="MMC22" i="256"/>
  <c r="MMD22" i="256"/>
  <c r="MME22" i="256"/>
  <c r="MMF22" i="256"/>
  <c r="MMG22" i="256"/>
  <c r="MMH22" i="256"/>
  <c r="MMI22" i="256"/>
  <c r="MMJ22" i="256"/>
  <c r="MMK22" i="256"/>
  <c r="MML22" i="256"/>
  <c r="MMM22" i="256"/>
  <c r="MMN22" i="256"/>
  <c r="MMO22" i="256"/>
  <c r="MMP22" i="256"/>
  <c r="MMQ22" i="256"/>
  <c r="MMR22" i="256"/>
  <c r="MMS22" i="256"/>
  <c r="MMT22" i="256"/>
  <c r="MMU22" i="256"/>
  <c r="MMV22" i="256"/>
  <c r="MMW22" i="256"/>
  <c r="MMX22" i="256"/>
  <c r="MMY22" i="256"/>
  <c r="MMZ22" i="256"/>
  <c r="MNA22" i="256"/>
  <c r="MNB22" i="256"/>
  <c r="MNC22" i="256"/>
  <c r="MND22" i="256"/>
  <c r="MNE22" i="256"/>
  <c r="MNF22" i="256"/>
  <c r="MNG22" i="256"/>
  <c r="MNH22" i="256"/>
  <c r="MNI22" i="256"/>
  <c r="MNJ22" i="256"/>
  <c r="MNK22" i="256"/>
  <c r="MNL22" i="256"/>
  <c r="MNM22" i="256"/>
  <c r="MNN22" i="256"/>
  <c r="MNO22" i="256"/>
  <c r="MNP22" i="256"/>
  <c r="MNQ22" i="256"/>
  <c r="MNR22" i="256"/>
  <c r="MNS22" i="256"/>
  <c r="MNT22" i="256"/>
  <c r="MNU22" i="256"/>
  <c r="MNV22" i="256"/>
  <c r="MNW22" i="256"/>
  <c r="MNX22" i="256"/>
  <c r="MNY22" i="256"/>
  <c r="MNZ22" i="256"/>
  <c r="MOA22" i="256"/>
  <c r="MOB22" i="256"/>
  <c r="MOC22" i="256"/>
  <c r="MOD22" i="256"/>
  <c r="MOE22" i="256"/>
  <c r="MOF22" i="256"/>
  <c r="MOG22" i="256"/>
  <c r="MOH22" i="256"/>
  <c r="MOI22" i="256"/>
  <c r="MOJ22" i="256"/>
  <c r="MOK22" i="256"/>
  <c r="MOL22" i="256"/>
  <c r="MOM22" i="256"/>
  <c r="MON22" i="256"/>
  <c r="MOO22" i="256"/>
  <c r="MOP22" i="256"/>
  <c r="MOQ22" i="256"/>
  <c r="MOR22" i="256"/>
  <c r="MOS22" i="256"/>
  <c r="MOT22" i="256"/>
  <c r="MOU22" i="256"/>
  <c r="MOV22" i="256"/>
  <c r="MOW22" i="256"/>
  <c r="MOX22" i="256"/>
  <c r="MOY22" i="256"/>
  <c r="MOZ22" i="256"/>
  <c r="MPA22" i="256"/>
  <c r="MPB22" i="256"/>
  <c r="MPC22" i="256"/>
  <c r="MPD22" i="256"/>
  <c r="MPE22" i="256"/>
  <c r="MPF22" i="256"/>
  <c r="MPG22" i="256"/>
  <c r="MPH22" i="256"/>
  <c r="MPI22" i="256"/>
  <c r="MPJ22" i="256"/>
  <c r="MPK22" i="256"/>
  <c r="MPL22" i="256"/>
  <c r="MPM22" i="256"/>
  <c r="MPN22" i="256"/>
  <c r="MPO22" i="256"/>
  <c r="MPP22" i="256"/>
  <c r="MPQ22" i="256"/>
  <c r="MPR22" i="256"/>
  <c r="MPS22" i="256"/>
  <c r="MPT22" i="256"/>
  <c r="MPU22" i="256"/>
  <c r="MPV22" i="256"/>
  <c r="MPW22" i="256"/>
  <c r="MPX22" i="256"/>
  <c r="MPY22" i="256"/>
  <c r="MPZ22" i="256"/>
  <c r="MQA22" i="256"/>
  <c r="MQB22" i="256"/>
  <c r="MQC22" i="256"/>
  <c r="MQD22" i="256"/>
  <c r="MQE22" i="256"/>
  <c r="MQF22" i="256"/>
  <c r="MQG22" i="256"/>
  <c r="MQH22" i="256"/>
  <c r="MQI22" i="256"/>
  <c r="MQJ22" i="256"/>
  <c r="MQK22" i="256"/>
  <c r="MQL22" i="256"/>
  <c r="MQM22" i="256"/>
  <c r="MQN22" i="256"/>
  <c r="MQO22" i="256"/>
  <c r="MQP22" i="256"/>
  <c r="MQQ22" i="256"/>
  <c r="MQR22" i="256"/>
  <c r="MQS22" i="256"/>
  <c r="MQT22" i="256"/>
  <c r="MQU22" i="256"/>
  <c r="MQV22" i="256"/>
  <c r="MQW22" i="256"/>
  <c r="MQX22" i="256"/>
  <c r="MQY22" i="256"/>
  <c r="MQZ22" i="256"/>
  <c r="MRA22" i="256"/>
  <c r="MRB22" i="256"/>
  <c r="MRC22" i="256"/>
  <c r="MRD22" i="256"/>
  <c r="MRE22" i="256"/>
  <c r="MRF22" i="256"/>
  <c r="MRG22" i="256"/>
  <c r="MRH22" i="256"/>
  <c r="MRI22" i="256"/>
  <c r="MRJ22" i="256"/>
  <c r="MRK22" i="256"/>
  <c r="MRL22" i="256"/>
  <c r="MRM22" i="256"/>
  <c r="MRN22" i="256"/>
  <c r="MRO22" i="256"/>
  <c r="MRP22" i="256"/>
  <c r="MRQ22" i="256"/>
  <c r="MRR22" i="256"/>
  <c r="MRS22" i="256"/>
  <c r="MRT22" i="256"/>
  <c r="MRU22" i="256"/>
  <c r="MRV22" i="256"/>
  <c r="MRW22" i="256"/>
  <c r="MRX22" i="256"/>
  <c r="MRY22" i="256"/>
  <c r="MRZ22" i="256"/>
  <c r="MSA22" i="256"/>
  <c r="MSB22" i="256"/>
  <c r="MSC22" i="256"/>
  <c r="MSD22" i="256"/>
  <c r="MSE22" i="256"/>
  <c r="MSF22" i="256"/>
  <c r="MSG22" i="256"/>
  <c r="MSH22" i="256"/>
  <c r="MSI22" i="256"/>
  <c r="MSJ22" i="256"/>
  <c r="MSK22" i="256"/>
  <c r="MSL22" i="256"/>
  <c r="MSM22" i="256"/>
  <c r="MSN22" i="256"/>
  <c r="MSO22" i="256"/>
  <c r="MSP22" i="256"/>
  <c r="MSQ22" i="256"/>
  <c r="MSR22" i="256"/>
  <c r="MSS22" i="256"/>
  <c r="MST22" i="256"/>
  <c r="MSU22" i="256"/>
  <c r="MSV22" i="256"/>
  <c r="MSW22" i="256"/>
  <c r="MSX22" i="256"/>
  <c r="MSY22" i="256"/>
  <c r="MSZ22" i="256"/>
  <c r="MTA22" i="256"/>
  <c r="MTB22" i="256"/>
  <c r="MTC22" i="256"/>
  <c r="MTD22" i="256"/>
  <c r="MTE22" i="256"/>
  <c r="MTF22" i="256"/>
  <c r="MTG22" i="256"/>
  <c r="MTH22" i="256"/>
  <c r="MTI22" i="256"/>
  <c r="MTJ22" i="256"/>
  <c r="MTK22" i="256"/>
  <c r="MTL22" i="256"/>
  <c r="MTM22" i="256"/>
  <c r="MTN22" i="256"/>
  <c r="MTO22" i="256"/>
  <c r="MTP22" i="256"/>
  <c r="MTQ22" i="256"/>
  <c r="MTR22" i="256"/>
  <c r="MTS22" i="256"/>
  <c r="MTT22" i="256"/>
  <c r="MTU22" i="256"/>
  <c r="MTV22" i="256"/>
  <c r="MTW22" i="256"/>
  <c r="MTX22" i="256"/>
  <c r="MTY22" i="256"/>
  <c r="MTZ22" i="256"/>
  <c r="MUA22" i="256"/>
  <c r="MUB22" i="256"/>
  <c r="MUC22" i="256"/>
  <c r="MUD22" i="256"/>
  <c r="MUE22" i="256"/>
  <c r="MUF22" i="256"/>
  <c r="MUG22" i="256"/>
  <c r="MUH22" i="256"/>
  <c r="MUI22" i="256"/>
  <c r="MUJ22" i="256"/>
  <c r="MUK22" i="256"/>
  <c r="MUL22" i="256"/>
  <c r="MUM22" i="256"/>
  <c r="MUN22" i="256"/>
  <c r="MUO22" i="256"/>
  <c r="MUP22" i="256"/>
  <c r="MUQ22" i="256"/>
  <c r="MUR22" i="256"/>
  <c r="MUS22" i="256"/>
  <c r="MUT22" i="256"/>
  <c r="MUU22" i="256"/>
  <c r="MUV22" i="256"/>
  <c r="MUW22" i="256"/>
  <c r="MUX22" i="256"/>
  <c r="MUY22" i="256"/>
  <c r="MUZ22" i="256"/>
  <c r="MVA22" i="256"/>
  <c r="MVB22" i="256"/>
  <c r="MVC22" i="256"/>
  <c r="MVD22" i="256"/>
  <c r="MVE22" i="256"/>
  <c r="MVF22" i="256"/>
  <c r="MVG22" i="256"/>
  <c r="MVH22" i="256"/>
  <c r="MVI22" i="256"/>
  <c r="MVJ22" i="256"/>
  <c r="MVK22" i="256"/>
  <c r="MVL22" i="256"/>
  <c r="MVM22" i="256"/>
  <c r="MVN22" i="256"/>
  <c r="MVO22" i="256"/>
  <c r="MVP22" i="256"/>
  <c r="MVQ22" i="256"/>
  <c r="MVR22" i="256"/>
  <c r="MVS22" i="256"/>
  <c r="MVT22" i="256"/>
  <c r="MVU22" i="256"/>
  <c r="MVV22" i="256"/>
  <c r="MVW22" i="256"/>
  <c r="MVX22" i="256"/>
  <c r="MVY22" i="256"/>
  <c r="MVZ22" i="256"/>
  <c r="MWA22" i="256"/>
  <c r="MWB22" i="256"/>
  <c r="MWC22" i="256"/>
  <c r="MWD22" i="256"/>
  <c r="MWE22" i="256"/>
  <c r="MWF22" i="256"/>
  <c r="MWG22" i="256"/>
  <c r="MWH22" i="256"/>
  <c r="MWI22" i="256"/>
  <c r="MWJ22" i="256"/>
  <c r="MWK22" i="256"/>
  <c r="MWL22" i="256"/>
  <c r="MWM22" i="256"/>
  <c r="MWN22" i="256"/>
  <c r="MWO22" i="256"/>
  <c r="MWP22" i="256"/>
  <c r="MWQ22" i="256"/>
  <c r="MWR22" i="256"/>
  <c r="MWS22" i="256"/>
  <c r="MWT22" i="256"/>
  <c r="MWU22" i="256"/>
  <c r="MWV22" i="256"/>
  <c r="MWW22" i="256"/>
  <c r="MWX22" i="256"/>
  <c r="MWY22" i="256"/>
  <c r="MWZ22" i="256"/>
  <c r="MXA22" i="256"/>
  <c r="MXB22" i="256"/>
  <c r="MXC22" i="256"/>
  <c r="MXD22" i="256"/>
  <c r="MXE22" i="256"/>
  <c r="MXF22" i="256"/>
  <c r="MXG22" i="256"/>
  <c r="MXH22" i="256"/>
  <c r="MXI22" i="256"/>
  <c r="MXJ22" i="256"/>
  <c r="MXK22" i="256"/>
  <c r="MXL22" i="256"/>
  <c r="MXM22" i="256"/>
  <c r="MXN22" i="256"/>
  <c r="MXO22" i="256"/>
  <c r="MXP22" i="256"/>
  <c r="MXQ22" i="256"/>
  <c r="MXR22" i="256"/>
  <c r="MXS22" i="256"/>
  <c r="MXT22" i="256"/>
  <c r="MXU22" i="256"/>
  <c r="MXV22" i="256"/>
  <c r="MXW22" i="256"/>
  <c r="MXX22" i="256"/>
  <c r="MXY22" i="256"/>
  <c r="MXZ22" i="256"/>
  <c r="MYA22" i="256"/>
  <c r="MYB22" i="256"/>
  <c r="MYC22" i="256"/>
  <c r="MYD22" i="256"/>
  <c r="MYE22" i="256"/>
  <c r="MYF22" i="256"/>
  <c r="MYG22" i="256"/>
  <c r="MYH22" i="256"/>
  <c r="MYI22" i="256"/>
  <c r="MYJ22" i="256"/>
  <c r="MYK22" i="256"/>
  <c r="MYL22" i="256"/>
  <c r="MYM22" i="256"/>
  <c r="MYN22" i="256"/>
  <c r="MYO22" i="256"/>
  <c r="MYP22" i="256"/>
  <c r="MYQ22" i="256"/>
  <c r="MYR22" i="256"/>
  <c r="MYS22" i="256"/>
  <c r="MYT22" i="256"/>
  <c r="MYU22" i="256"/>
  <c r="MYV22" i="256"/>
  <c r="MYW22" i="256"/>
  <c r="MYX22" i="256"/>
  <c r="MYY22" i="256"/>
  <c r="MYZ22" i="256"/>
  <c r="MZA22" i="256"/>
  <c r="MZB22" i="256"/>
  <c r="MZC22" i="256"/>
  <c r="MZD22" i="256"/>
  <c r="MZE22" i="256"/>
  <c r="MZF22" i="256"/>
  <c r="MZG22" i="256"/>
  <c r="MZH22" i="256"/>
  <c r="MZI22" i="256"/>
  <c r="MZJ22" i="256"/>
  <c r="MZK22" i="256"/>
  <c r="MZL22" i="256"/>
  <c r="MZM22" i="256"/>
  <c r="MZN22" i="256"/>
  <c r="MZO22" i="256"/>
  <c r="MZP22" i="256"/>
  <c r="MZQ22" i="256"/>
  <c r="MZR22" i="256"/>
  <c r="MZS22" i="256"/>
  <c r="MZT22" i="256"/>
  <c r="MZU22" i="256"/>
  <c r="MZV22" i="256"/>
  <c r="MZW22" i="256"/>
  <c r="MZX22" i="256"/>
  <c r="MZY22" i="256"/>
  <c r="MZZ22" i="256"/>
  <c r="NAA22" i="256"/>
  <c r="NAB22" i="256"/>
  <c r="NAC22" i="256"/>
  <c r="NAD22" i="256"/>
  <c r="NAE22" i="256"/>
  <c r="NAF22" i="256"/>
  <c r="NAG22" i="256"/>
  <c r="NAH22" i="256"/>
  <c r="NAI22" i="256"/>
  <c r="NAJ22" i="256"/>
  <c r="NAK22" i="256"/>
  <c r="NAL22" i="256"/>
  <c r="NAM22" i="256"/>
  <c r="NAN22" i="256"/>
  <c r="NAO22" i="256"/>
  <c r="NAP22" i="256"/>
  <c r="NAQ22" i="256"/>
  <c r="NAR22" i="256"/>
  <c r="NAS22" i="256"/>
  <c r="NAT22" i="256"/>
  <c r="NAU22" i="256"/>
  <c r="NAV22" i="256"/>
  <c r="NAW22" i="256"/>
  <c r="NAX22" i="256"/>
  <c r="NAY22" i="256"/>
  <c r="NAZ22" i="256"/>
  <c r="NBA22" i="256"/>
  <c r="NBB22" i="256"/>
  <c r="NBC22" i="256"/>
  <c r="NBD22" i="256"/>
  <c r="NBE22" i="256"/>
  <c r="NBF22" i="256"/>
  <c r="NBG22" i="256"/>
  <c r="NBH22" i="256"/>
  <c r="NBI22" i="256"/>
  <c r="NBJ22" i="256"/>
  <c r="NBK22" i="256"/>
  <c r="NBL22" i="256"/>
  <c r="NBM22" i="256"/>
  <c r="NBN22" i="256"/>
  <c r="NBO22" i="256"/>
  <c r="NBP22" i="256"/>
  <c r="NBQ22" i="256"/>
  <c r="NBR22" i="256"/>
  <c r="NBS22" i="256"/>
  <c r="NBT22" i="256"/>
  <c r="NBU22" i="256"/>
  <c r="NBV22" i="256"/>
  <c r="NBW22" i="256"/>
  <c r="NBX22" i="256"/>
  <c r="NBY22" i="256"/>
  <c r="NBZ22" i="256"/>
  <c r="NCA22" i="256"/>
  <c r="NCB22" i="256"/>
  <c r="NCC22" i="256"/>
  <c r="NCD22" i="256"/>
  <c r="NCE22" i="256"/>
  <c r="NCF22" i="256"/>
  <c r="NCG22" i="256"/>
  <c r="NCH22" i="256"/>
  <c r="NCI22" i="256"/>
  <c r="NCJ22" i="256"/>
  <c r="NCK22" i="256"/>
  <c r="NCL22" i="256"/>
  <c r="NCM22" i="256"/>
  <c r="NCN22" i="256"/>
  <c r="NCO22" i="256"/>
  <c r="NCP22" i="256"/>
  <c r="NCQ22" i="256"/>
  <c r="NCR22" i="256"/>
  <c r="NCS22" i="256"/>
  <c r="NCT22" i="256"/>
  <c r="NCU22" i="256"/>
  <c r="NCV22" i="256"/>
  <c r="NCW22" i="256"/>
  <c r="NCX22" i="256"/>
  <c r="NCY22" i="256"/>
  <c r="NCZ22" i="256"/>
  <c r="NDA22" i="256"/>
  <c r="NDB22" i="256"/>
  <c r="NDC22" i="256"/>
  <c r="NDD22" i="256"/>
  <c r="NDE22" i="256"/>
  <c r="NDF22" i="256"/>
  <c r="NDG22" i="256"/>
  <c r="NDH22" i="256"/>
  <c r="NDI22" i="256"/>
  <c r="NDJ22" i="256"/>
  <c r="NDK22" i="256"/>
  <c r="NDL22" i="256"/>
  <c r="NDM22" i="256"/>
  <c r="NDN22" i="256"/>
  <c r="NDO22" i="256"/>
  <c r="NDP22" i="256"/>
  <c r="NDQ22" i="256"/>
  <c r="NDR22" i="256"/>
  <c r="NDS22" i="256"/>
  <c r="NDT22" i="256"/>
  <c r="NDU22" i="256"/>
  <c r="NDV22" i="256"/>
  <c r="NDW22" i="256"/>
  <c r="NDX22" i="256"/>
  <c r="NDY22" i="256"/>
  <c r="NDZ22" i="256"/>
  <c r="NEA22" i="256"/>
  <c r="NEB22" i="256"/>
  <c r="NEC22" i="256"/>
  <c r="NED22" i="256"/>
  <c r="NEE22" i="256"/>
  <c r="NEF22" i="256"/>
  <c r="NEG22" i="256"/>
  <c r="NEH22" i="256"/>
  <c r="NEI22" i="256"/>
  <c r="NEJ22" i="256"/>
  <c r="NEK22" i="256"/>
  <c r="NEL22" i="256"/>
  <c r="NEM22" i="256"/>
  <c r="NEN22" i="256"/>
  <c r="NEO22" i="256"/>
  <c r="NEP22" i="256"/>
  <c r="NEQ22" i="256"/>
  <c r="NER22" i="256"/>
  <c r="NES22" i="256"/>
  <c r="NET22" i="256"/>
  <c r="NEU22" i="256"/>
  <c r="NEV22" i="256"/>
  <c r="NEW22" i="256"/>
  <c r="NEX22" i="256"/>
  <c r="NEY22" i="256"/>
  <c r="NEZ22" i="256"/>
  <c r="NFA22" i="256"/>
  <c r="NFB22" i="256"/>
  <c r="NFC22" i="256"/>
  <c r="NFD22" i="256"/>
  <c r="NFE22" i="256"/>
  <c r="NFF22" i="256"/>
  <c r="NFG22" i="256"/>
  <c r="NFH22" i="256"/>
  <c r="NFI22" i="256"/>
  <c r="NFJ22" i="256"/>
  <c r="NFK22" i="256"/>
  <c r="NFL22" i="256"/>
  <c r="NFM22" i="256"/>
  <c r="NFN22" i="256"/>
  <c r="NFO22" i="256"/>
  <c r="NFP22" i="256"/>
  <c r="NFQ22" i="256"/>
  <c r="NFR22" i="256"/>
  <c r="NFS22" i="256"/>
  <c r="NFT22" i="256"/>
  <c r="NFU22" i="256"/>
  <c r="NFV22" i="256"/>
  <c r="NFW22" i="256"/>
  <c r="NFX22" i="256"/>
  <c r="NFY22" i="256"/>
  <c r="NFZ22" i="256"/>
  <c r="NGA22" i="256"/>
  <c r="NGB22" i="256"/>
  <c r="NGC22" i="256"/>
  <c r="NGD22" i="256"/>
  <c r="NGE22" i="256"/>
  <c r="NGF22" i="256"/>
  <c r="NGG22" i="256"/>
  <c r="NGH22" i="256"/>
  <c r="NGI22" i="256"/>
  <c r="NGJ22" i="256"/>
  <c r="NGK22" i="256"/>
  <c r="NGL22" i="256"/>
  <c r="NGM22" i="256"/>
  <c r="NGN22" i="256"/>
  <c r="NGO22" i="256"/>
  <c r="NGP22" i="256"/>
  <c r="NGQ22" i="256"/>
  <c r="NGR22" i="256"/>
  <c r="NGS22" i="256"/>
  <c r="NGT22" i="256"/>
  <c r="NGU22" i="256"/>
  <c r="NGV22" i="256"/>
  <c r="NGW22" i="256"/>
  <c r="NGX22" i="256"/>
  <c r="NGY22" i="256"/>
  <c r="NGZ22" i="256"/>
  <c r="NHA22" i="256"/>
  <c r="NHB22" i="256"/>
  <c r="NHC22" i="256"/>
  <c r="NHD22" i="256"/>
  <c r="NHE22" i="256"/>
  <c r="NHF22" i="256"/>
  <c r="NHG22" i="256"/>
  <c r="NHH22" i="256"/>
  <c r="NHI22" i="256"/>
  <c r="NHJ22" i="256"/>
  <c r="NHK22" i="256"/>
  <c r="NHL22" i="256"/>
  <c r="NHM22" i="256"/>
  <c r="NHN22" i="256"/>
  <c r="NHO22" i="256"/>
  <c r="NHP22" i="256"/>
  <c r="NHQ22" i="256"/>
  <c r="NHR22" i="256"/>
  <c r="NHS22" i="256"/>
  <c r="NHT22" i="256"/>
  <c r="NHU22" i="256"/>
  <c r="NHV22" i="256"/>
  <c r="NHW22" i="256"/>
  <c r="NHX22" i="256"/>
  <c r="NHY22" i="256"/>
  <c r="NHZ22" i="256"/>
  <c r="NIA22" i="256"/>
  <c r="NIB22" i="256"/>
  <c r="NIC22" i="256"/>
  <c r="NID22" i="256"/>
  <c r="NIE22" i="256"/>
  <c r="NIF22" i="256"/>
  <c r="NIG22" i="256"/>
  <c r="NIH22" i="256"/>
  <c r="NII22" i="256"/>
  <c r="NIJ22" i="256"/>
  <c r="NIK22" i="256"/>
  <c r="NIL22" i="256"/>
  <c r="NIM22" i="256"/>
  <c r="NIN22" i="256"/>
  <c r="NIO22" i="256"/>
  <c r="NIP22" i="256"/>
  <c r="NIQ22" i="256"/>
  <c r="NIR22" i="256"/>
  <c r="NIS22" i="256"/>
  <c r="NIT22" i="256"/>
  <c r="NIU22" i="256"/>
  <c r="NIV22" i="256"/>
  <c r="NIW22" i="256"/>
  <c r="NIX22" i="256"/>
  <c r="NIY22" i="256"/>
  <c r="NIZ22" i="256"/>
  <c r="NJA22" i="256"/>
  <c r="NJB22" i="256"/>
  <c r="NJC22" i="256"/>
  <c r="NJD22" i="256"/>
  <c r="NJE22" i="256"/>
  <c r="NJF22" i="256"/>
  <c r="NJG22" i="256"/>
  <c r="NJH22" i="256"/>
  <c r="NJI22" i="256"/>
  <c r="NJJ22" i="256"/>
  <c r="NJK22" i="256"/>
  <c r="NJL22" i="256"/>
  <c r="NJM22" i="256"/>
  <c r="NJN22" i="256"/>
  <c r="NJO22" i="256"/>
  <c r="NJP22" i="256"/>
  <c r="NJQ22" i="256"/>
  <c r="NJR22" i="256"/>
  <c r="NJS22" i="256"/>
  <c r="NJT22" i="256"/>
  <c r="NJU22" i="256"/>
  <c r="NJV22" i="256"/>
  <c r="NJW22" i="256"/>
  <c r="NJX22" i="256"/>
  <c r="NJY22" i="256"/>
  <c r="NJZ22" i="256"/>
  <c r="NKA22" i="256"/>
  <c r="NKB22" i="256"/>
  <c r="NKC22" i="256"/>
  <c r="NKD22" i="256"/>
  <c r="NKE22" i="256"/>
  <c r="NKF22" i="256"/>
  <c r="NKG22" i="256"/>
  <c r="NKH22" i="256"/>
  <c r="NKI22" i="256"/>
  <c r="NKJ22" i="256"/>
  <c r="NKK22" i="256"/>
  <c r="NKL22" i="256"/>
  <c r="NKM22" i="256"/>
  <c r="NKN22" i="256"/>
  <c r="NKO22" i="256"/>
  <c r="NKP22" i="256"/>
  <c r="NKQ22" i="256"/>
  <c r="NKR22" i="256"/>
  <c r="NKS22" i="256"/>
  <c r="NKT22" i="256"/>
  <c r="NKU22" i="256"/>
  <c r="NKV22" i="256"/>
  <c r="NKW22" i="256"/>
  <c r="NKX22" i="256"/>
  <c r="NKY22" i="256"/>
  <c r="NKZ22" i="256"/>
  <c r="NLA22" i="256"/>
  <c r="NLB22" i="256"/>
  <c r="NLC22" i="256"/>
  <c r="NLD22" i="256"/>
  <c r="NLE22" i="256"/>
  <c r="NLF22" i="256"/>
  <c r="NLG22" i="256"/>
  <c r="NLH22" i="256"/>
  <c r="NLI22" i="256"/>
  <c r="NLJ22" i="256"/>
  <c r="NLK22" i="256"/>
  <c r="NLL22" i="256"/>
  <c r="NLM22" i="256"/>
  <c r="NLN22" i="256"/>
  <c r="NLO22" i="256"/>
  <c r="NLP22" i="256"/>
  <c r="NLQ22" i="256"/>
  <c r="NLR22" i="256"/>
  <c r="NLS22" i="256"/>
  <c r="NLT22" i="256"/>
  <c r="NLU22" i="256"/>
  <c r="NLV22" i="256"/>
  <c r="NLW22" i="256"/>
  <c r="NLX22" i="256"/>
  <c r="NLY22" i="256"/>
  <c r="NLZ22" i="256"/>
  <c r="NMA22" i="256"/>
  <c r="NMB22" i="256"/>
  <c r="NMC22" i="256"/>
  <c r="NMD22" i="256"/>
  <c r="NME22" i="256"/>
  <c r="NMF22" i="256"/>
  <c r="NMG22" i="256"/>
  <c r="NMH22" i="256"/>
  <c r="NMI22" i="256"/>
  <c r="NMJ22" i="256"/>
  <c r="NMK22" i="256"/>
  <c r="NML22" i="256"/>
  <c r="NMM22" i="256"/>
  <c r="NMN22" i="256"/>
  <c r="NMO22" i="256"/>
  <c r="NMP22" i="256"/>
  <c r="NMQ22" i="256"/>
  <c r="NMR22" i="256"/>
  <c r="NMS22" i="256"/>
  <c r="NMT22" i="256"/>
  <c r="NMU22" i="256"/>
  <c r="NMV22" i="256"/>
  <c r="NMW22" i="256"/>
  <c r="NMX22" i="256"/>
  <c r="NMY22" i="256"/>
  <c r="NMZ22" i="256"/>
  <c r="NNA22" i="256"/>
  <c r="NNB22" i="256"/>
  <c r="NNC22" i="256"/>
  <c r="NND22" i="256"/>
  <c r="NNE22" i="256"/>
  <c r="NNF22" i="256"/>
  <c r="NNG22" i="256"/>
  <c r="NNH22" i="256"/>
  <c r="NNI22" i="256"/>
  <c r="NNJ22" i="256"/>
  <c r="NNK22" i="256"/>
  <c r="NNL22" i="256"/>
  <c r="NNM22" i="256"/>
  <c r="NNN22" i="256"/>
  <c r="NNO22" i="256"/>
  <c r="NNP22" i="256"/>
  <c r="NNQ22" i="256"/>
  <c r="NNR22" i="256"/>
  <c r="NNS22" i="256"/>
  <c r="NNT22" i="256"/>
  <c r="NNU22" i="256"/>
  <c r="NNV22" i="256"/>
  <c r="NNW22" i="256"/>
  <c r="NNX22" i="256"/>
  <c r="NNY22" i="256"/>
  <c r="NNZ22" i="256"/>
  <c r="NOA22" i="256"/>
  <c r="NOB22" i="256"/>
  <c r="NOC22" i="256"/>
  <c r="NOD22" i="256"/>
  <c r="NOE22" i="256"/>
  <c r="NOF22" i="256"/>
  <c r="NOG22" i="256"/>
  <c r="NOH22" i="256"/>
  <c r="NOI22" i="256"/>
  <c r="NOJ22" i="256"/>
  <c r="NOK22" i="256"/>
  <c r="NOL22" i="256"/>
  <c r="NOM22" i="256"/>
  <c r="NON22" i="256"/>
  <c r="NOO22" i="256"/>
  <c r="NOP22" i="256"/>
  <c r="NOQ22" i="256"/>
  <c r="NOR22" i="256"/>
  <c r="NOS22" i="256"/>
  <c r="NOT22" i="256"/>
  <c r="NOU22" i="256"/>
  <c r="NOV22" i="256"/>
  <c r="NOW22" i="256"/>
  <c r="NOX22" i="256"/>
  <c r="NOY22" i="256"/>
  <c r="NOZ22" i="256"/>
  <c r="NPA22" i="256"/>
  <c r="NPB22" i="256"/>
  <c r="NPC22" i="256"/>
  <c r="NPD22" i="256"/>
  <c r="NPE22" i="256"/>
  <c r="NPF22" i="256"/>
  <c r="NPG22" i="256"/>
  <c r="NPH22" i="256"/>
  <c r="NPI22" i="256"/>
  <c r="NPJ22" i="256"/>
  <c r="NPK22" i="256"/>
  <c r="NPL22" i="256"/>
  <c r="NPM22" i="256"/>
  <c r="NPN22" i="256"/>
  <c r="NPO22" i="256"/>
  <c r="NPP22" i="256"/>
  <c r="NPQ22" i="256"/>
  <c r="NPR22" i="256"/>
  <c r="NPS22" i="256"/>
  <c r="NPT22" i="256"/>
  <c r="NPU22" i="256"/>
  <c r="NPV22" i="256"/>
  <c r="NPW22" i="256"/>
  <c r="NPX22" i="256"/>
  <c r="NPY22" i="256"/>
  <c r="NPZ22" i="256"/>
  <c r="NQA22" i="256"/>
  <c r="NQB22" i="256"/>
  <c r="NQC22" i="256"/>
  <c r="NQD22" i="256"/>
  <c r="NQE22" i="256"/>
  <c r="NQF22" i="256"/>
  <c r="NQG22" i="256"/>
  <c r="NQH22" i="256"/>
  <c r="NQI22" i="256"/>
  <c r="NQJ22" i="256"/>
  <c r="NQK22" i="256"/>
  <c r="NQL22" i="256"/>
  <c r="NQM22" i="256"/>
  <c r="NQN22" i="256"/>
  <c r="NQO22" i="256"/>
  <c r="NQP22" i="256"/>
  <c r="NQQ22" i="256"/>
  <c r="NQR22" i="256"/>
  <c r="NQS22" i="256"/>
  <c r="NQT22" i="256"/>
  <c r="NQU22" i="256"/>
  <c r="NQV22" i="256"/>
  <c r="NQW22" i="256"/>
  <c r="NQX22" i="256"/>
  <c r="NQY22" i="256"/>
  <c r="NQZ22" i="256"/>
  <c r="NRA22" i="256"/>
  <c r="NRB22" i="256"/>
  <c r="NRC22" i="256"/>
  <c r="NRD22" i="256"/>
  <c r="NRE22" i="256"/>
  <c r="NRF22" i="256"/>
  <c r="NRG22" i="256"/>
  <c r="NRH22" i="256"/>
  <c r="NRI22" i="256"/>
  <c r="NRJ22" i="256"/>
  <c r="NRK22" i="256"/>
  <c r="NRL22" i="256"/>
  <c r="NRM22" i="256"/>
  <c r="NRN22" i="256"/>
  <c r="NRO22" i="256"/>
  <c r="NRP22" i="256"/>
  <c r="NRQ22" i="256"/>
  <c r="NRR22" i="256"/>
  <c r="NRS22" i="256"/>
  <c r="NRT22" i="256"/>
  <c r="NRU22" i="256"/>
  <c r="NRV22" i="256"/>
  <c r="NRW22" i="256"/>
  <c r="NRX22" i="256"/>
  <c r="NRY22" i="256"/>
  <c r="NRZ22" i="256"/>
  <c r="NSA22" i="256"/>
  <c r="NSB22" i="256"/>
  <c r="NSC22" i="256"/>
  <c r="NSD22" i="256"/>
  <c r="NSE22" i="256"/>
  <c r="NSF22" i="256"/>
  <c r="NSG22" i="256"/>
  <c r="NSH22" i="256"/>
  <c r="NSI22" i="256"/>
  <c r="NSJ22" i="256"/>
  <c r="NSK22" i="256"/>
  <c r="NSL22" i="256"/>
  <c r="NSM22" i="256"/>
  <c r="NSN22" i="256"/>
  <c r="NSO22" i="256"/>
  <c r="NSP22" i="256"/>
  <c r="NSQ22" i="256"/>
  <c r="NSR22" i="256"/>
  <c r="NSS22" i="256"/>
  <c r="NST22" i="256"/>
  <c r="NSU22" i="256"/>
  <c r="NSV22" i="256"/>
  <c r="NSW22" i="256"/>
  <c r="NSX22" i="256"/>
  <c r="NSY22" i="256"/>
  <c r="NSZ22" i="256"/>
  <c r="NTA22" i="256"/>
  <c r="NTB22" i="256"/>
  <c r="NTC22" i="256"/>
  <c r="NTD22" i="256"/>
  <c r="NTE22" i="256"/>
  <c r="NTF22" i="256"/>
  <c r="NTG22" i="256"/>
  <c r="NTH22" i="256"/>
  <c r="NTI22" i="256"/>
  <c r="NTJ22" i="256"/>
  <c r="NTK22" i="256"/>
  <c r="NTL22" i="256"/>
  <c r="NTM22" i="256"/>
  <c r="NTN22" i="256"/>
  <c r="NTO22" i="256"/>
  <c r="NTP22" i="256"/>
  <c r="NTQ22" i="256"/>
  <c r="NTR22" i="256"/>
  <c r="NTS22" i="256"/>
  <c r="NTT22" i="256"/>
  <c r="NTU22" i="256"/>
  <c r="NTV22" i="256"/>
  <c r="NTW22" i="256"/>
  <c r="NTX22" i="256"/>
  <c r="NTY22" i="256"/>
  <c r="NTZ22" i="256"/>
  <c r="NUA22" i="256"/>
  <c r="NUB22" i="256"/>
  <c r="NUC22" i="256"/>
  <c r="NUD22" i="256"/>
  <c r="NUE22" i="256"/>
  <c r="NUF22" i="256"/>
  <c r="NUG22" i="256"/>
  <c r="NUH22" i="256"/>
  <c r="NUI22" i="256"/>
  <c r="NUJ22" i="256"/>
  <c r="NUK22" i="256"/>
  <c r="NUL22" i="256"/>
  <c r="NUM22" i="256"/>
  <c r="NUN22" i="256"/>
  <c r="NUO22" i="256"/>
  <c r="NUP22" i="256"/>
  <c r="NUQ22" i="256"/>
  <c r="NUR22" i="256"/>
  <c r="NUS22" i="256"/>
  <c r="NUT22" i="256"/>
  <c r="NUU22" i="256"/>
  <c r="NUV22" i="256"/>
  <c r="NUW22" i="256"/>
  <c r="NUX22" i="256"/>
  <c r="NUY22" i="256"/>
  <c r="NUZ22" i="256"/>
  <c r="NVA22" i="256"/>
  <c r="NVB22" i="256"/>
  <c r="NVC22" i="256"/>
  <c r="NVD22" i="256"/>
  <c r="NVE22" i="256"/>
  <c r="NVF22" i="256"/>
  <c r="NVG22" i="256"/>
  <c r="NVH22" i="256"/>
  <c r="NVI22" i="256"/>
  <c r="NVJ22" i="256"/>
  <c r="NVK22" i="256"/>
  <c r="NVL22" i="256"/>
  <c r="NVM22" i="256"/>
  <c r="NVN22" i="256"/>
  <c r="NVO22" i="256"/>
  <c r="NVP22" i="256"/>
  <c r="NVQ22" i="256"/>
  <c r="NVR22" i="256"/>
  <c r="NVS22" i="256"/>
  <c r="NVT22" i="256"/>
  <c r="NVU22" i="256"/>
  <c r="NVV22" i="256"/>
  <c r="NVW22" i="256"/>
  <c r="NVX22" i="256"/>
  <c r="NVY22" i="256"/>
  <c r="NVZ22" i="256"/>
  <c r="NWA22" i="256"/>
  <c r="NWB22" i="256"/>
  <c r="NWC22" i="256"/>
  <c r="NWD22" i="256"/>
  <c r="NWE22" i="256"/>
  <c r="NWF22" i="256"/>
  <c r="NWG22" i="256"/>
  <c r="NWH22" i="256"/>
  <c r="NWI22" i="256"/>
  <c r="NWJ22" i="256"/>
  <c r="NWK22" i="256"/>
  <c r="NWL22" i="256"/>
  <c r="NWM22" i="256"/>
  <c r="NWN22" i="256"/>
  <c r="NWO22" i="256"/>
  <c r="NWP22" i="256"/>
  <c r="NWQ22" i="256"/>
  <c r="NWR22" i="256"/>
  <c r="NWS22" i="256"/>
  <c r="NWT22" i="256"/>
  <c r="NWU22" i="256"/>
  <c r="NWV22" i="256"/>
  <c r="NWW22" i="256"/>
  <c r="NWX22" i="256"/>
  <c r="NWY22" i="256"/>
  <c r="NWZ22" i="256"/>
  <c r="NXA22" i="256"/>
  <c r="NXB22" i="256"/>
  <c r="NXC22" i="256"/>
  <c r="NXD22" i="256"/>
  <c r="NXE22" i="256"/>
  <c r="NXF22" i="256"/>
  <c r="NXG22" i="256"/>
  <c r="NXH22" i="256"/>
  <c r="NXI22" i="256"/>
  <c r="NXJ22" i="256"/>
  <c r="NXK22" i="256"/>
  <c r="NXL22" i="256"/>
  <c r="NXM22" i="256"/>
  <c r="NXN22" i="256"/>
  <c r="NXO22" i="256"/>
  <c r="NXP22" i="256"/>
  <c r="NXQ22" i="256"/>
  <c r="NXR22" i="256"/>
  <c r="NXS22" i="256"/>
  <c r="NXT22" i="256"/>
  <c r="NXU22" i="256"/>
  <c r="NXV22" i="256"/>
  <c r="NXW22" i="256"/>
  <c r="NXX22" i="256"/>
  <c r="NXY22" i="256"/>
  <c r="NXZ22" i="256"/>
  <c r="NYA22" i="256"/>
  <c r="NYB22" i="256"/>
  <c r="NYC22" i="256"/>
  <c r="NYD22" i="256"/>
  <c r="NYE22" i="256"/>
  <c r="NYF22" i="256"/>
  <c r="NYG22" i="256"/>
  <c r="NYH22" i="256"/>
  <c r="NYI22" i="256"/>
  <c r="NYJ22" i="256"/>
  <c r="NYK22" i="256"/>
  <c r="NYL22" i="256"/>
  <c r="NYM22" i="256"/>
  <c r="NYN22" i="256"/>
  <c r="NYO22" i="256"/>
  <c r="NYP22" i="256"/>
  <c r="NYQ22" i="256"/>
  <c r="NYR22" i="256"/>
  <c r="NYS22" i="256"/>
  <c r="NYT22" i="256"/>
  <c r="NYU22" i="256"/>
  <c r="NYV22" i="256"/>
  <c r="NYW22" i="256"/>
  <c r="NYX22" i="256"/>
  <c r="NYY22" i="256"/>
  <c r="NYZ22" i="256"/>
  <c r="NZA22" i="256"/>
  <c r="NZB22" i="256"/>
  <c r="NZC22" i="256"/>
  <c r="NZD22" i="256"/>
  <c r="NZE22" i="256"/>
  <c r="NZF22" i="256"/>
  <c r="NZG22" i="256"/>
  <c r="NZH22" i="256"/>
  <c r="NZI22" i="256"/>
  <c r="NZJ22" i="256"/>
  <c r="NZK22" i="256"/>
  <c r="NZL22" i="256"/>
  <c r="NZM22" i="256"/>
  <c r="NZN22" i="256"/>
  <c r="NZO22" i="256"/>
  <c r="NZP22" i="256"/>
  <c r="NZQ22" i="256"/>
  <c r="NZR22" i="256"/>
  <c r="NZS22" i="256"/>
  <c r="NZT22" i="256"/>
  <c r="NZU22" i="256"/>
  <c r="NZV22" i="256"/>
  <c r="NZW22" i="256"/>
  <c r="NZX22" i="256"/>
  <c r="NZY22" i="256"/>
  <c r="NZZ22" i="256"/>
  <c r="OAA22" i="256"/>
  <c r="OAB22" i="256"/>
  <c r="OAC22" i="256"/>
  <c r="OAD22" i="256"/>
  <c r="OAE22" i="256"/>
  <c r="OAF22" i="256"/>
  <c r="OAG22" i="256"/>
  <c r="OAH22" i="256"/>
  <c r="OAI22" i="256"/>
  <c r="OAJ22" i="256"/>
  <c r="OAK22" i="256"/>
  <c r="OAL22" i="256"/>
  <c r="OAM22" i="256"/>
  <c r="OAN22" i="256"/>
  <c r="OAO22" i="256"/>
  <c r="OAP22" i="256"/>
  <c r="OAQ22" i="256"/>
  <c r="OAR22" i="256"/>
  <c r="OAS22" i="256"/>
  <c r="OAT22" i="256"/>
  <c r="OAU22" i="256"/>
  <c r="OAV22" i="256"/>
  <c r="OAW22" i="256"/>
  <c r="OAX22" i="256"/>
  <c r="OAY22" i="256"/>
  <c r="OAZ22" i="256"/>
  <c r="OBA22" i="256"/>
  <c r="OBB22" i="256"/>
  <c r="OBC22" i="256"/>
  <c r="OBD22" i="256"/>
  <c r="OBE22" i="256"/>
  <c r="OBF22" i="256"/>
  <c r="OBG22" i="256"/>
  <c r="OBH22" i="256"/>
  <c r="OBI22" i="256"/>
  <c r="OBJ22" i="256"/>
  <c r="OBK22" i="256"/>
  <c r="OBL22" i="256"/>
  <c r="OBM22" i="256"/>
  <c r="OBN22" i="256"/>
  <c r="OBO22" i="256"/>
  <c r="OBP22" i="256"/>
  <c r="OBQ22" i="256"/>
  <c r="OBR22" i="256"/>
  <c r="OBS22" i="256"/>
  <c r="OBT22" i="256"/>
  <c r="OBU22" i="256"/>
  <c r="OBV22" i="256"/>
  <c r="OBW22" i="256"/>
  <c r="OBX22" i="256"/>
  <c r="OBY22" i="256"/>
  <c r="OBZ22" i="256"/>
  <c r="OCA22" i="256"/>
  <c r="OCB22" i="256"/>
  <c r="OCC22" i="256"/>
  <c r="OCD22" i="256"/>
  <c r="OCE22" i="256"/>
  <c r="OCF22" i="256"/>
  <c r="OCG22" i="256"/>
  <c r="OCH22" i="256"/>
  <c r="OCI22" i="256"/>
  <c r="OCJ22" i="256"/>
  <c r="OCK22" i="256"/>
  <c r="OCL22" i="256"/>
  <c r="OCM22" i="256"/>
  <c r="OCN22" i="256"/>
  <c r="OCO22" i="256"/>
  <c r="OCP22" i="256"/>
  <c r="OCQ22" i="256"/>
  <c r="OCR22" i="256"/>
  <c r="OCS22" i="256"/>
  <c r="OCT22" i="256"/>
  <c r="OCU22" i="256"/>
  <c r="OCV22" i="256"/>
  <c r="OCW22" i="256"/>
  <c r="OCX22" i="256"/>
  <c r="OCY22" i="256"/>
  <c r="OCZ22" i="256"/>
  <c r="ODA22" i="256"/>
  <c r="ODB22" i="256"/>
  <c r="ODC22" i="256"/>
  <c r="ODD22" i="256"/>
  <c r="ODE22" i="256"/>
  <c r="ODF22" i="256"/>
  <c r="ODG22" i="256"/>
  <c r="ODH22" i="256"/>
  <c r="ODI22" i="256"/>
  <c r="ODJ22" i="256"/>
  <c r="ODK22" i="256"/>
  <c r="ODL22" i="256"/>
  <c r="ODM22" i="256"/>
  <c r="ODN22" i="256"/>
  <c r="ODO22" i="256"/>
  <c r="ODP22" i="256"/>
  <c r="ODQ22" i="256"/>
  <c r="ODR22" i="256"/>
  <c r="ODS22" i="256"/>
  <c r="ODT22" i="256"/>
  <c r="ODU22" i="256"/>
  <c r="ODV22" i="256"/>
  <c r="ODW22" i="256"/>
  <c r="ODX22" i="256"/>
  <c r="ODY22" i="256"/>
  <c r="ODZ22" i="256"/>
  <c r="OEA22" i="256"/>
  <c r="OEB22" i="256"/>
  <c r="OEC22" i="256"/>
  <c r="OED22" i="256"/>
  <c r="OEE22" i="256"/>
  <c r="OEF22" i="256"/>
  <c r="OEG22" i="256"/>
  <c r="OEH22" i="256"/>
  <c r="OEI22" i="256"/>
  <c r="OEJ22" i="256"/>
  <c r="OEK22" i="256"/>
  <c r="OEL22" i="256"/>
  <c r="OEM22" i="256"/>
  <c r="OEN22" i="256"/>
  <c r="OEO22" i="256"/>
  <c r="OEP22" i="256"/>
  <c r="OEQ22" i="256"/>
  <c r="OER22" i="256"/>
  <c r="OES22" i="256"/>
  <c r="OET22" i="256"/>
  <c r="OEU22" i="256"/>
  <c r="OEV22" i="256"/>
  <c r="OEW22" i="256"/>
  <c r="OEX22" i="256"/>
  <c r="OEY22" i="256"/>
  <c r="OEZ22" i="256"/>
  <c r="OFA22" i="256"/>
  <c r="OFB22" i="256"/>
  <c r="OFC22" i="256"/>
  <c r="OFD22" i="256"/>
  <c r="OFE22" i="256"/>
  <c r="OFF22" i="256"/>
  <c r="OFG22" i="256"/>
  <c r="OFH22" i="256"/>
  <c r="OFI22" i="256"/>
  <c r="OFJ22" i="256"/>
  <c r="OFK22" i="256"/>
  <c r="OFL22" i="256"/>
  <c r="OFM22" i="256"/>
  <c r="OFN22" i="256"/>
  <c r="OFO22" i="256"/>
  <c r="OFP22" i="256"/>
  <c r="OFQ22" i="256"/>
  <c r="OFR22" i="256"/>
  <c r="OFS22" i="256"/>
  <c r="OFT22" i="256"/>
  <c r="OFU22" i="256"/>
  <c r="OFV22" i="256"/>
  <c r="OFW22" i="256"/>
  <c r="OFX22" i="256"/>
  <c r="OFY22" i="256"/>
  <c r="OFZ22" i="256"/>
  <c r="OGA22" i="256"/>
  <c r="OGB22" i="256"/>
  <c r="OGC22" i="256"/>
  <c r="OGD22" i="256"/>
  <c r="OGE22" i="256"/>
  <c r="OGF22" i="256"/>
  <c r="OGG22" i="256"/>
  <c r="OGH22" i="256"/>
  <c r="OGI22" i="256"/>
  <c r="OGJ22" i="256"/>
  <c r="OGK22" i="256"/>
  <c r="OGL22" i="256"/>
  <c r="OGM22" i="256"/>
  <c r="OGN22" i="256"/>
  <c r="OGO22" i="256"/>
  <c r="OGP22" i="256"/>
  <c r="OGQ22" i="256"/>
  <c r="OGR22" i="256"/>
  <c r="OGS22" i="256"/>
  <c r="OGT22" i="256"/>
  <c r="OGU22" i="256"/>
  <c r="OGV22" i="256"/>
  <c r="OGW22" i="256"/>
  <c r="OGX22" i="256"/>
  <c r="OGY22" i="256"/>
  <c r="OGZ22" i="256"/>
  <c r="OHA22" i="256"/>
  <c r="OHB22" i="256"/>
  <c r="OHC22" i="256"/>
  <c r="OHD22" i="256"/>
  <c r="OHE22" i="256"/>
  <c r="OHF22" i="256"/>
  <c r="OHG22" i="256"/>
  <c r="OHH22" i="256"/>
  <c r="OHI22" i="256"/>
  <c r="OHJ22" i="256"/>
  <c r="OHK22" i="256"/>
  <c r="OHL22" i="256"/>
  <c r="OHM22" i="256"/>
  <c r="OHN22" i="256"/>
  <c r="OHO22" i="256"/>
  <c r="OHP22" i="256"/>
  <c r="OHQ22" i="256"/>
  <c r="OHR22" i="256"/>
  <c r="OHS22" i="256"/>
  <c r="OHT22" i="256"/>
  <c r="OHU22" i="256"/>
  <c r="OHV22" i="256"/>
  <c r="OHW22" i="256"/>
  <c r="OHX22" i="256"/>
  <c r="OHY22" i="256"/>
  <c r="OHZ22" i="256"/>
  <c r="OIA22" i="256"/>
  <c r="OIB22" i="256"/>
  <c r="OIC22" i="256"/>
  <c r="OID22" i="256"/>
  <c r="OIE22" i="256"/>
  <c r="OIF22" i="256"/>
  <c r="OIG22" i="256"/>
  <c r="OIH22" i="256"/>
  <c r="OII22" i="256"/>
  <c r="OIJ22" i="256"/>
  <c r="OIK22" i="256"/>
  <c r="OIL22" i="256"/>
  <c r="OIM22" i="256"/>
  <c r="OIN22" i="256"/>
  <c r="OIO22" i="256"/>
  <c r="OIP22" i="256"/>
  <c r="OIQ22" i="256"/>
  <c r="OIR22" i="256"/>
  <c r="OIS22" i="256"/>
  <c r="OIT22" i="256"/>
  <c r="OIU22" i="256"/>
  <c r="OIV22" i="256"/>
  <c r="OIW22" i="256"/>
  <c r="OIX22" i="256"/>
  <c r="OIY22" i="256"/>
  <c r="OIZ22" i="256"/>
  <c r="OJA22" i="256"/>
  <c r="OJB22" i="256"/>
  <c r="OJC22" i="256"/>
  <c r="OJD22" i="256"/>
  <c r="OJE22" i="256"/>
  <c r="OJF22" i="256"/>
  <c r="OJG22" i="256"/>
  <c r="OJH22" i="256"/>
  <c r="OJI22" i="256"/>
  <c r="OJJ22" i="256"/>
  <c r="OJK22" i="256"/>
  <c r="OJL22" i="256"/>
  <c r="OJM22" i="256"/>
  <c r="OJN22" i="256"/>
  <c r="OJO22" i="256"/>
  <c r="OJP22" i="256"/>
  <c r="OJQ22" i="256"/>
  <c r="OJR22" i="256"/>
  <c r="OJS22" i="256"/>
  <c r="OJT22" i="256"/>
  <c r="OJU22" i="256"/>
  <c r="OJV22" i="256"/>
  <c r="OJW22" i="256"/>
  <c r="OJX22" i="256"/>
  <c r="OJY22" i="256"/>
  <c r="OJZ22" i="256"/>
  <c r="OKA22" i="256"/>
  <c r="OKB22" i="256"/>
  <c r="OKC22" i="256"/>
  <c r="OKD22" i="256"/>
  <c r="OKE22" i="256"/>
  <c r="OKF22" i="256"/>
  <c r="OKG22" i="256"/>
  <c r="OKH22" i="256"/>
  <c r="OKI22" i="256"/>
  <c r="OKJ22" i="256"/>
  <c r="OKK22" i="256"/>
  <c r="OKL22" i="256"/>
  <c r="OKM22" i="256"/>
  <c r="OKN22" i="256"/>
  <c r="OKO22" i="256"/>
  <c r="OKP22" i="256"/>
  <c r="OKQ22" i="256"/>
  <c r="OKR22" i="256"/>
  <c r="OKS22" i="256"/>
  <c r="OKT22" i="256"/>
  <c r="OKU22" i="256"/>
  <c r="OKV22" i="256"/>
  <c r="OKW22" i="256"/>
  <c r="OKX22" i="256"/>
  <c r="OKY22" i="256"/>
  <c r="OKZ22" i="256"/>
  <c r="OLA22" i="256"/>
  <c r="OLB22" i="256"/>
  <c r="OLC22" i="256"/>
  <c r="OLD22" i="256"/>
  <c r="OLE22" i="256"/>
  <c r="OLF22" i="256"/>
  <c r="OLG22" i="256"/>
  <c r="OLH22" i="256"/>
  <c r="OLI22" i="256"/>
  <c r="OLJ22" i="256"/>
  <c r="OLK22" i="256"/>
  <c r="OLL22" i="256"/>
  <c r="OLM22" i="256"/>
  <c r="OLN22" i="256"/>
  <c r="OLO22" i="256"/>
  <c r="OLP22" i="256"/>
  <c r="OLQ22" i="256"/>
  <c r="OLR22" i="256"/>
  <c r="OLS22" i="256"/>
  <c r="OLT22" i="256"/>
  <c r="OLU22" i="256"/>
  <c r="OLV22" i="256"/>
  <c r="OLW22" i="256"/>
  <c r="OLX22" i="256"/>
  <c r="OLY22" i="256"/>
  <c r="OLZ22" i="256"/>
  <c r="OMA22" i="256"/>
  <c r="OMB22" i="256"/>
  <c r="OMC22" i="256"/>
  <c r="OMD22" i="256"/>
  <c r="OME22" i="256"/>
  <c r="OMF22" i="256"/>
  <c r="OMG22" i="256"/>
  <c r="OMH22" i="256"/>
  <c r="OMI22" i="256"/>
  <c r="OMJ22" i="256"/>
  <c r="OMK22" i="256"/>
  <c r="OML22" i="256"/>
  <c r="OMM22" i="256"/>
  <c r="OMN22" i="256"/>
  <c r="OMO22" i="256"/>
  <c r="OMP22" i="256"/>
  <c r="OMQ22" i="256"/>
  <c r="OMR22" i="256"/>
  <c r="OMS22" i="256"/>
  <c r="OMT22" i="256"/>
  <c r="OMU22" i="256"/>
  <c r="OMV22" i="256"/>
  <c r="OMW22" i="256"/>
  <c r="OMX22" i="256"/>
  <c r="OMY22" i="256"/>
  <c r="OMZ22" i="256"/>
  <c r="ONA22" i="256"/>
  <c r="ONB22" i="256"/>
  <c r="ONC22" i="256"/>
  <c r="OND22" i="256"/>
  <c r="ONE22" i="256"/>
  <c r="ONF22" i="256"/>
  <c r="ONG22" i="256"/>
  <c r="ONH22" i="256"/>
  <c r="ONI22" i="256"/>
  <c r="ONJ22" i="256"/>
  <c r="ONK22" i="256"/>
  <c r="ONL22" i="256"/>
  <c r="ONM22" i="256"/>
  <c r="ONN22" i="256"/>
  <c r="ONO22" i="256"/>
  <c r="ONP22" i="256"/>
  <c r="ONQ22" i="256"/>
  <c r="ONR22" i="256"/>
  <c r="ONS22" i="256"/>
  <c r="ONT22" i="256"/>
  <c r="ONU22" i="256"/>
  <c r="ONV22" i="256"/>
  <c r="ONW22" i="256"/>
  <c r="ONX22" i="256"/>
  <c r="ONY22" i="256"/>
  <c r="ONZ22" i="256"/>
  <c r="OOA22" i="256"/>
  <c r="OOB22" i="256"/>
  <c r="OOC22" i="256"/>
  <c r="OOD22" i="256"/>
  <c r="OOE22" i="256"/>
  <c r="OOF22" i="256"/>
  <c r="OOG22" i="256"/>
  <c r="OOH22" i="256"/>
  <c r="OOI22" i="256"/>
  <c r="OOJ22" i="256"/>
  <c r="OOK22" i="256"/>
  <c r="OOL22" i="256"/>
  <c r="OOM22" i="256"/>
  <c r="OON22" i="256"/>
  <c r="OOO22" i="256"/>
  <c r="OOP22" i="256"/>
  <c r="OOQ22" i="256"/>
  <c r="OOR22" i="256"/>
  <c r="OOS22" i="256"/>
  <c r="OOT22" i="256"/>
  <c r="OOU22" i="256"/>
  <c r="OOV22" i="256"/>
  <c r="OOW22" i="256"/>
  <c r="OOX22" i="256"/>
  <c r="OOY22" i="256"/>
  <c r="OOZ22" i="256"/>
  <c r="OPA22" i="256"/>
  <c r="OPB22" i="256"/>
  <c r="OPC22" i="256"/>
  <c r="OPD22" i="256"/>
  <c r="OPE22" i="256"/>
  <c r="OPF22" i="256"/>
  <c r="OPG22" i="256"/>
  <c r="OPH22" i="256"/>
  <c r="OPI22" i="256"/>
  <c r="OPJ22" i="256"/>
  <c r="OPK22" i="256"/>
  <c r="OPL22" i="256"/>
  <c r="OPM22" i="256"/>
  <c r="OPN22" i="256"/>
  <c r="OPO22" i="256"/>
  <c r="OPP22" i="256"/>
  <c r="OPQ22" i="256"/>
  <c r="OPR22" i="256"/>
  <c r="OPS22" i="256"/>
  <c r="OPT22" i="256"/>
  <c r="OPU22" i="256"/>
  <c r="OPV22" i="256"/>
  <c r="OPW22" i="256"/>
  <c r="OPX22" i="256"/>
  <c r="OPY22" i="256"/>
  <c r="OPZ22" i="256"/>
  <c r="OQA22" i="256"/>
  <c r="OQB22" i="256"/>
  <c r="OQC22" i="256"/>
  <c r="OQD22" i="256"/>
  <c r="OQE22" i="256"/>
  <c r="OQF22" i="256"/>
  <c r="OQG22" i="256"/>
  <c r="OQH22" i="256"/>
  <c r="OQI22" i="256"/>
  <c r="OQJ22" i="256"/>
  <c r="OQK22" i="256"/>
  <c r="OQL22" i="256"/>
  <c r="OQM22" i="256"/>
  <c r="OQN22" i="256"/>
  <c r="OQO22" i="256"/>
  <c r="OQP22" i="256"/>
  <c r="OQQ22" i="256"/>
  <c r="OQR22" i="256"/>
  <c r="OQS22" i="256"/>
  <c r="OQT22" i="256"/>
  <c r="OQU22" i="256"/>
  <c r="OQV22" i="256"/>
  <c r="OQW22" i="256"/>
  <c r="OQX22" i="256"/>
  <c r="OQY22" i="256"/>
  <c r="OQZ22" i="256"/>
  <c r="ORA22" i="256"/>
  <c r="ORB22" i="256"/>
  <c r="ORC22" i="256"/>
  <c r="ORD22" i="256"/>
  <c r="ORE22" i="256"/>
  <c r="ORF22" i="256"/>
  <c r="ORG22" i="256"/>
  <c r="ORH22" i="256"/>
  <c r="ORI22" i="256"/>
  <c r="ORJ22" i="256"/>
  <c r="ORK22" i="256"/>
  <c r="ORL22" i="256"/>
  <c r="ORM22" i="256"/>
  <c r="ORN22" i="256"/>
  <c r="ORO22" i="256"/>
  <c r="ORP22" i="256"/>
  <c r="ORQ22" i="256"/>
  <c r="ORR22" i="256"/>
  <c r="ORS22" i="256"/>
  <c r="ORT22" i="256"/>
  <c r="ORU22" i="256"/>
  <c r="ORV22" i="256"/>
  <c r="ORW22" i="256"/>
  <c r="ORX22" i="256"/>
  <c r="ORY22" i="256"/>
  <c r="ORZ22" i="256"/>
  <c r="OSA22" i="256"/>
  <c r="OSB22" i="256"/>
  <c r="OSC22" i="256"/>
  <c r="OSD22" i="256"/>
  <c r="OSE22" i="256"/>
  <c r="OSF22" i="256"/>
  <c r="OSG22" i="256"/>
  <c r="OSH22" i="256"/>
  <c r="OSI22" i="256"/>
  <c r="OSJ22" i="256"/>
  <c r="OSK22" i="256"/>
  <c r="OSL22" i="256"/>
  <c r="OSM22" i="256"/>
  <c r="OSN22" i="256"/>
  <c r="OSO22" i="256"/>
  <c r="OSP22" i="256"/>
  <c r="OSQ22" i="256"/>
  <c r="OSR22" i="256"/>
  <c r="OSS22" i="256"/>
  <c r="OST22" i="256"/>
  <c r="OSU22" i="256"/>
  <c r="OSV22" i="256"/>
  <c r="OSW22" i="256"/>
  <c r="OSX22" i="256"/>
  <c r="OSY22" i="256"/>
  <c r="OSZ22" i="256"/>
  <c r="OTA22" i="256"/>
  <c r="OTB22" i="256"/>
  <c r="OTC22" i="256"/>
  <c r="OTD22" i="256"/>
  <c r="OTE22" i="256"/>
  <c r="OTF22" i="256"/>
  <c r="OTG22" i="256"/>
  <c r="OTH22" i="256"/>
  <c r="OTI22" i="256"/>
  <c r="OTJ22" i="256"/>
  <c r="OTK22" i="256"/>
  <c r="OTL22" i="256"/>
  <c r="OTM22" i="256"/>
  <c r="OTN22" i="256"/>
  <c r="OTO22" i="256"/>
  <c r="OTP22" i="256"/>
  <c r="OTQ22" i="256"/>
  <c r="OTR22" i="256"/>
  <c r="OTS22" i="256"/>
  <c r="OTT22" i="256"/>
  <c r="OTU22" i="256"/>
  <c r="OTV22" i="256"/>
  <c r="OTW22" i="256"/>
  <c r="OTX22" i="256"/>
  <c r="OTY22" i="256"/>
  <c r="OTZ22" i="256"/>
  <c r="OUA22" i="256"/>
  <c r="OUB22" i="256"/>
  <c r="OUC22" i="256"/>
  <c r="OUD22" i="256"/>
  <c r="OUE22" i="256"/>
  <c r="OUF22" i="256"/>
  <c r="OUG22" i="256"/>
  <c r="OUH22" i="256"/>
  <c r="OUI22" i="256"/>
  <c r="OUJ22" i="256"/>
  <c r="OUK22" i="256"/>
  <c r="OUL22" i="256"/>
  <c r="OUM22" i="256"/>
  <c r="OUN22" i="256"/>
  <c r="OUO22" i="256"/>
  <c r="OUP22" i="256"/>
  <c r="OUQ22" i="256"/>
  <c r="OUR22" i="256"/>
  <c r="OUS22" i="256"/>
  <c r="OUT22" i="256"/>
  <c r="OUU22" i="256"/>
  <c r="OUV22" i="256"/>
  <c r="OUW22" i="256"/>
  <c r="OUX22" i="256"/>
  <c r="OUY22" i="256"/>
  <c r="OUZ22" i="256"/>
  <c r="OVA22" i="256"/>
  <c r="OVB22" i="256"/>
  <c r="OVC22" i="256"/>
  <c r="OVD22" i="256"/>
  <c r="OVE22" i="256"/>
  <c r="OVF22" i="256"/>
  <c r="OVG22" i="256"/>
  <c r="OVH22" i="256"/>
  <c r="OVI22" i="256"/>
  <c r="OVJ22" i="256"/>
  <c r="OVK22" i="256"/>
  <c r="OVL22" i="256"/>
  <c r="OVM22" i="256"/>
  <c r="OVN22" i="256"/>
  <c r="OVO22" i="256"/>
  <c r="OVP22" i="256"/>
  <c r="OVQ22" i="256"/>
  <c r="OVR22" i="256"/>
  <c r="OVS22" i="256"/>
  <c r="OVT22" i="256"/>
  <c r="OVU22" i="256"/>
  <c r="OVV22" i="256"/>
  <c r="OVW22" i="256"/>
  <c r="OVX22" i="256"/>
  <c r="OVY22" i="256"/>
  <c r="OVZ22" i="256"/>
  <c r="OWA22" i="256"/>
  <c r="OWB22" i="256"/>
  <c r="OWC22" i="256"/>
  <c r="OWD22" i="256"/>
  <c r="OWE22" i="256"/>
  <c r="OWF22" i="256"/>
  <c r="OWG22" i="256"/>
  <c r="OWH22" i="256"/>
  <c r="OWI22" i="256"/>
  <c r="OWJ22" i="256"/>
  <c r="OWK22" i="256"/>
  <c r="OWL22" i="256"/>
  <c r="OWM22" i="256"/>
  <c r="OWN22" i="256"/>
  <c r="OWO22" i="256"/>
  <c r="OWP22" i="256"/>
  <c r="OWQ22" i="256"/>
  <c r="OWR22" i="256"/>
  <c r="OWS22" i="256"/>
  <c r="OWT22" i="256"/>
  <c r="OWU22" i="256"/>
  <c r="OWV22" i="256"/>
  <c r="OWW22" i="256"/>
  <c r="OWX22" i="256"/>
  <c r="OWY22" i="256"/>
  <c r="OWZ22" i="256"/>
  <c r="OXA22" i="256"/>
  <c r="OXB22" i="256"/>
  <c r="OXC22" i="256"/>
  <c r="OXD22" i="256"/>
  <c r="OXE22" i="256"/>
  <c r="OXF22" i="256"/>
  <c r="OXG22" i="256"/>
  <c r="OXH22" i="256"/>
  <c r="OXI22" i="256"/>
  <c r="OXJ22" i="256"/>
  <c r="OXK22" i="256"/>
  <c r="OXL22" i="256"/>
  <c r="OXM22" i="256"/>
  <c r="OXN22" i="256"/>
  <c r="OXO22" i="256"/>
  <c r="OXP22" i="256"/>
  <c r="OXQ22" i="256"/>
  <c r="OXR22" i="256"/>
  <c r="OXS22" i="256"/>
  <c r="OXT22" i="256"/>
  <c r="OXU22" i="256"/>
  <c r="OXV22" i="256"/>
  <c r="OXW22" i="256"/>
  <c r="OXX22" i="256"/>
  <c r="OXY22" i="256"/>
  <c r="OXZ22" i="256"/>
  <c r="OYA22" i="256"/>
  <c r="OYB22" i="256"/>
  <c r="OYC22" i="256"/>
  <c r="OYD22" i="256"/>
  <c r="OYE22" i="256"/>
  <c r="OYF22" i="256"/>
  <c r="OYG22" i="256"/>
  <c r="OYH22" i="256"/>
  <c r="OYI22" i="256"/>
  <c r="OYJ22" i="256"/>
  <c r="OYK22" i="256"/>
  <c r="OYL22" i="256"/>
  <c r="OYM22" i="256"/>
  <c r="OYN22" i="256"/>
  <c r="OYO22" i="256"/>
  <c r="OYP22" i="256"/>
  <c r="OYQ22" i="256"/>
  <c r="OYR22" i="256"/>
  <c r="OYS22" i="256"/>
  <c r="OYT22" i="256"/>
  <c r="OYU22" i="256"/>
  <c r="OYV22" i="256"/>
  <c r="OYW22" i="256"/>
  <c r="OYX22" i="256"/>
  <c r="OYY22" i="256"/>
  <c r="OYZ22" i="256"/>
  <c r="OZA22" i="256"/>
  <c r="OZB22" i="256"/>
  <c r="OZC22" i="256"/>
  <c r="OZD22" i="256"/>
  <c r="OZE22" i="256"/>
  <c r="OZF22" i="256"/>
  <c r="OZG22" i="256"/>
  <c r="OZH22" i="256"/>
  <c r="OZI22" i="256"/>
  <c r="OZJ22" i="256"/>
  <c r="OZK22" i="256"/>
  <c r="OZL22" i="256"/>
  <c r="OZM22" i="256"/>
  <c r="OZN22" i="256"/>
  <c r="OZO22" i="256"/>
  <c r="OZP22" i="256"/>
  <c r="OZQ22" i="256"/>
  <c r="OZR22" i="256"/>
  <c r="OZS22" i="256"/>
  <c r="OZT22" i="256"/>
  <c r="OZU22" i="256"/>
  <c r="OZV22" i="256"/>
  <c r="OZW22" i="256"/>
  <c r="OZX22" i="256"/>
  <c r="OZY22" i="256"/>
  <c r="OZZ22" i="256"/>
  <c r="PAA22" i="256"/>
  <c r="PAB22" i="256"/>
  <c r="PAC22" i="256"/>
  <c r="PAD22" i="256"/>
  <c r="PAE22" i="256"/>
  <c r="PAF22" i="256"/>
  <c r="PAG22" i="256"/>
  <c r="PAH22" i="256"/>
  <c r="PAI22" i="256"/>
  <c r="PAJ22" i="256"/>
  <c r="PAK22" i="256"/>
  <c r="PAL22" i="256"/>
  <c r="PAM22" i="256"/>
  <c r="PAN22" i="256"/>
  <c r="PAO22" i="256"/>
  <c r="PAP22" i="256"/>
  <c r="PAQ22" i="256"/>
  <c r="PAR22" i="256"/>
  <c r="PAS22" i="256"/>
  <c r="PAT22" i="256"/>
  <c r="PAU22" i="256"/>
  <c r="PAV22" i="256"/>
  <c r="PAW22" i="256"/>
  <c r="PAX22" i="256"/>
  <c r="PAY22" i="256"/>
  <c r="PAZ22" i="256"/>
  <c r="PBA22" i="256"/>
  <c r="PBB22" i="256"/>
  <c r="PBC22" i="256"/>
  <c r="PBD22" i="256"/>
  <c r="PBE22" i="256"/>
  <c r="PBF22" i="256"/>
  <c r="PBG22" i="256"/>
  <c r="PBH22" i="256"/>
  <c r="PBI22" i="256"/>
  <c r="PBJ22" i="256"/>
  <c r="PBK22" i="256"/>
  <c r="PBL22" i="256"/>
  <c r="PBM22" i="256"/>
  <c r="PBN22" i="256"/>
  <c r="PBO22" i="256"/>
  <c r="PBP22" i="256"/>
  <c r="PBQ22" i="256"/>
  <c r="PBR22" i="256"/>
  <c r="PBS22" i="256"/>
  <c r="PBT22" i="256"/>
  <c r="PBU22" i="256"/>
  <c r="PBV22" i="256"/>
  <c r="PBW22" i="256"/>
  <c r="PBX22" i="256"/>
  <c r="PBY22" i="256"/>
  <c r="PBZ22" i="256"/>
  <c r="PCA22" i="256"/>
  <c r="PCB22" i="256"/>
  <c r="PCC22" i="256"/>
  <c r="PCD22" i="256"/>
  <c r="PCE22" i="256"/>
  <c r="PCF22" i="256"/>
  <c r="PCG22" i="256"/>
  <c r="PCH22" i="256"/>
  <c r="PCI22" i="256"/>
  <c r="PCJ22" i="256"/>
  <c r="PCK22" i="256"/>
  <c r="PCL22" i="256"/>
  <c r="PCM22" i="256"/>
  <c r="PCN22" i="256"/>
  <c r="PCO22" i="256"/>
  <c r="PCP22" i="256"/>
  <c r="PCQ22" i="256"/>
  <c r="PCR22" i="256"/>
  <c r="PCS22" i="256"/>
  <c r="PCT22" i="256"/>
  <c r="PCU22" i="256"/>
  <c r="PCV22" i="256"/>
  <c r="PCW22" i="256"/>
  <c r="PCX22" i="256"/>
  <c r="PCY22" i="256"/>
  <c r="PCZ22" i="256"/>
  <c r="PDA22" i="256"/>
  <c r="PDB22" i="256"/>
  <c r="PDC22" i="256"/>
  <c r="PDD22" i="256"/>
  <c r="PDE22" i="256"/>
  <c r="PDF22" i="256"/>
  <c r="PDG22" i="256"/>
  <c r="PDH22" i="256"/>
  <c r="PDI22" i="256"/>
  <c r="PDJ22" i="256"/>
  <c r="PDK22" i="256"/>
  <c r="PDL22" i="256"/>
  <c r="PDM22" i="256"/>
  <c r="PDN22" i="256"/>
  <c r="PDO22" i="256"/>
  <c r="PDP22" i="256"/>
  <c r="PDQ22" i="256"/>
  <c r="PDR22" i="256"/>
  <c r="PDS22" i="256"/>
  <c r="PDT22" i="256"/>
  <c r="PDU22" i="256"/>
  <c r="PDV22" i="256"/>
  <c r="PDW22" i="256"/>
  <c r="PDX22" i="256"/>
  <c r="PDY22" i="256"/>
  <c r="PDZ22" i="256"/>
  <c r="PEA22" i="256"/>
  <c r="PEB22" i="256"/>
  <c r="PEC22" i="256"/>
  <c r="PED22" i="256"/>
  <c r="PEE22" i="256"/>
  <c r="PEF22" i="256"/>
  <c r="PEG22" i="256"/>
  <c r="PEH22" i="256"/>
  <c r="PEI22" i="256"/>
  <c r="PEJ22" i="256"/>
  <c r="PEK22" i="256"/>
  <c r="PEL22" i="256"/>
  <c r="PEM22" i="256"/>
  <c r="PEN22" i="256"/>
  <c r="PEO22" i="256"/>
  <c r="PEP22" i="256"/>
  <c r="PEQ22" i="256"/>
  <c r="PER22" i="256"/>
  <c r="PES22" i="256"/>
  <c r="PET22" i="256"/>
  <c r="PEU22" i="256"/>
  <c r="PEV22" i="256"/>
  <c r="PEW22" i="256"/>
  <c r="PEX22" i="256"/>
  <c r="PEY22" i="256"/>
  <c r="PEZ22" i="256"/>
  <c r="PFA22" i="256"/>
  <c r="PFB22" i="256"/>
  <c r="PFC22" i="256"/>
  <c r="PFD22" i="256"/>
  <c r="PFE22" i="256"/>
  <c r="PFF22" i="256"/>
  <c r="PFG22" i="256"/>
  <c r="PFH22" i="256"/>
  <c r="PFI22" i="256"/>
  <c r="PFJ22" i="256"/>
  <c r="PFK22" i="256"/>
  <c r="PFL22" i="256"/>
  <c r="PFM22" i="256"/>
  <c r="PFN22" i="256"/>
  <c r="PFO22" i="256"/>
  <c r="PFP22" i="256"/>
  <c r="PFQ22" i="256"/>
  <c r="PFR22" i="256"/>
  <c r="PFS22" i="256"/>
  <c r="PFT22" i="256"/>
  <c r="PFU22" i="256"/>
  <c r="PFV22" i="256"/>
  <c r="PFW22" i="256"/>
  <c r="PFX22" i="256"/>
  <c r="PFY22" i="256"/>
  <c r="PFZ22" i="256"/>
  <c r="PGA22" i="256"/>
  <c r="PGB22" i="256"/>
  <c r="PGC22" i="256"/>
  <c r="PGD22" i="256"/>
  <c r="PGE22" i="256"/>
  <c r="PGF22" i="256"/>
  <c r="PGG22" i="256"/>
  <c r="PGH22" i="256"/>
  <c r="PGI22" i="256"/>
  <c r="PGJ22" i="256"/>
  <c r="PGK22" i="256"/>
  <c r="PGL22" i="256"/>
  <c r="PGM22" i="256"/>
  <c r="PGN22" i="256"/>
  <c r="PGO22" i="256"/>
  <c r="PGP22" i="256"/>
  <c r="PGQ22" i="256"/>
  <c r="PGR22" i="256"/>
  <c r="PGS22" i="256"/>
  <c r="PGT22" i="256"/>
  <c r="PGU22" i="256"/>
  <c r="PGV22" i="256"/>
  <c r="PGW22" i="256"/>
  <c r="PGX22" i="256"/>
  <c r="PGY22" i="256"/>
  <c r="PGZ22" i="256"/>
  <c r="PHA22" i="256"/>
  <c r="PHB22" i="256"/>
  <c r="PHC22" i="256"/>
  <c r="PHD22" i="256"/>
  <c r="PHE22" i="256"/>
  <c r="PHF22" i="256"/>
  <c r="PHG22" i="256"/>
  <c r="PHH22" i="256"/>
  <c r="PHI22" i="256"/>
  <c r="PHJ22" i="256"/>
  <c r="PHK22" i="256"/>
  <c r="PHL22" i="256"/>
  <c r="PHM22" i="256"/>
  <c r="PHN22" i="256"/>
  <c r="PHO22" i="256"/>
  <c r="PHP22" i="256"/>
  <c r="PHQ22" i="256"/>
  <c r="PHR22" i="256"/>
  <c r="PHS22" i="256"/>
  <c r="PHT22" i="256"/>
  <c r="PHU22" i="256"/>
  <c r="PHV22" i="256"/>
  <c r="PHW22" i="256"/>
  <c r="PHX22" i="256"/>
  <c r="PHY22" i="256"/>
  <c r="PHZ22" i="256"/>
  <c r="PIA22" i="256"/>
  <c r="PIB22" i="256"/>
  <c r="PIC22" i="256"/>
  <c r="PID22" i="256"/>
  <c r="PIE22" i="256"/>
  <c r="PIF22" i="256"/>
  <c r="PIG22" i="256"/>
  <c r="PIH22" i="256"/>
  <c r="PII22" i="256"/>
  <c r="PIJ22" i="256"/>
  <c r="PIK22" i="256"/>
  <c r="PIL22" i="256"/>
  <c r="PIM22" i="256"/>
  <c r="PIN22" i="256"/>
  <c r="PIO22" i="256"/>
  <c r="PIP22" i="256"/>
  <c r="PIQ22" i="256"/>
  <c r="PIR22" i="256"/>
  <c r="PIS22" i="256"/>
  <c r="PIT22" i="256"/>
  <c r="PIU22" i="256"/>
  <c r="PIV22" i="256"/>
  <c r="PIW22" i="256"/>
  <c r="PIX22" i="256"/>
  <c r="PIY22" i="256"/>
  <c r="PIZ22" i="256"/>
  <c r="PJA22" i="256"/>
  <c r="PJB22" i="256"/>
  <c r="PJC22" i="256"/>
  <c r="PJD22" i="256"/>
  <c r="PJE22" i="256"/>
  <c r="PJF22" i="256"/>
  <c r="PJG22" i="256"/>
  <c r="PJH22" i="256"/>
  <c r="PJI22" i="256"/>
  <c r="PJJ22" i="256"/>
  <c r="PJK22" i="256"/>
  <c r="PJL22" i="256"/>
  <c r="PJM22" i="256"/>
  <c r="PJN22" i="256"/>
  <c r="PJO22" i="256"/>
  <c r="PJP22" i="256"/>
  <c r="PJQ22" i="256"/>
  <c r="PJR22" i="256"/>
  <c r="PJS22" i="256"/>
  <c r="PJT22" i="256"/>
  <c r="PJU22" i="256"/>
  <c r="PJV22" i="256"/>
  <c r="PJW22" i="256"/>
  <c r="PJX22" i="256"/>
  <c r="PJY22" i="256"/>
  <c r="PJZ22" i="256"/>
  <c r="PKA22" i="256"/>
  <c r="PKB22" i="256"/>
  <c r="PKC22" i="256"/>
  <c r="PKD22" i="256"/>
  <c r="PKE22" i="256"/>
  <c r="PKF22" i="256"/>
  <c r="PKG22" i="256"/>
  <c r="PKH22" i="256"/>
  <c r="PKI22" i="256"/>
  <c r="PKJ22" i="256"/>
  <c r="PKK22" i="256"/>
  <c r="PKL22" i="256"/>
  <c r="PKM22" i="256"/>
  <c r="PKN22" i="256"/>
  <c r="PKO22" i="256"/>
  <c r="PKP22" i="256"/>
  <c r="PKQ22" i="256"/>
  <c r="PKR22" i="256"/>
  <c r="PKS22" i="256"/>
  <c r="PKT22" i="256"/>
  <c r="PKU22" i="256"/>
  <c r="PKV22" i="256"/>
  <c r="PKW22" i="256"/>
  <c r="PKX22" i="256"/>
  <c r="PKY22" i="256"/>
  <c r="PKZ22" i="256"/>
  <c r="PLA22" i="256"/>
  <c r="PLB22" i="256"/>
  <c r="PLC22" i="256"/>
  <c r="PLD22" i="256"/>
  <c r="PLE22" i="256"/>
  <c r="PLF22" i="256"/>
  <c r="PLG22" i="256"/>
  <c r="PLH22" i="256"/>
  <c r="PLI22" i="256"/>
  <c r="PLJ22" i="256"/>
  <c r="PLK22" i="256"/>
  <c r="PLL22" i="256"/>
  <c r="PLM22" i="256"/>
  <c r="PLN22" i="256"/>
  <c r="PLO22" i="256"/>
  <c r="PLP22" i="256"/>
  <c r="PLQ22" i="256"/>
  <c r="PLR22" i="256"/>
  <c r="PLS22" i="256"/>
  <c r="PLT22" i="256"/>
  <c r="PLU22" i="256"/>
  <c r="PLV22" i="256"/>
  <c r="PLW22" i="256"/>
  <c r="PLX22" i="256"/>
  <c r="PLY22" i="256"/>
  <c r="PLZ22" i="256"/>
  <c r="PMA22" i="256"/>
  <c r="PMB22" i="256"/>
  <c r="PMC22" i="256"/>
  <c r="PMD22" i="256"/>
  <c r="PME22" i="256"/>
  <c r="PMF22" i="256"/>
  <c r="PMG22" i="256"/>
  <c r="PMH22" i="256"/>
  <c r="PMI22" i="256"/>
  <c r="PMJ22" i="256"/>
  <c r="PMK22" i="256"/>
  <c r="PML22" i="256"/>
  <c r="PMM22" i="256"/>
  <c r="PMN22" i="256"/>
  <c r="PMO22" i="256"/>
  <c r="PMP22" i="256"/>
  <c r="PMQ22" i="256"/>
  <c r="PMR22" i="256"/>
  <c r="PMS22" i="256"/>
  <c r="PMT22" i="256"/>
  <c r="PMU22" i="256"/>
  <c r="PMV22" i="256"/>
  <c r="PMW22" i="256"/>
  <c r="PMX22" i="256"/>
  <c r="PMY22" i="256"/>
  <c r="PMZ22" i="256"/>
  <c r="PNA22" i="256"/>
  <c r="PNB22" i="256"/>
  <c r="PNC22" i="256"/>
  <c r="PND22" i="256"/>
  <c r="PNE22" i="256"/>
  <c r="PNF22" i="256"/>
  <c r="PNG22" i="256"/>
  <c r="PNH22" i="256"/>
  <c r="PNI22" i="256"/>
  <c r="PNJ22" i="256"/>
  <c r="PNK22" i="256"/>
  <c r="PNL22" i="256"/>
  <c r="PNM22" i="256"/>
  <c r="PNN22" i="256"/>
  <c r="PNO22" i="256"/>
  <c r="PNP22" i="256"/>
  <c r="PNQ22" i="256"/>
  <c r="PNR22" i="256"/>
  <c r="PNS22" i="256"/>
  <c r="PNT22" i="256"/>
  <c r="PNU22" i="256"/>
  <c r="PNV22" i="256"/>
  <c r="PNW22" i="256"/>
  <c r="PNX22" i="256"/>
  <c r="PNY22" i="256"/>
  <c r="PNZ22" i="256"/>
  <c r="POA22" i="256"/>
  <c r="POB22" i="256"/>
  <c r="POC22" i="256"/>
  <c r="POD22" i="256"/>
  <c r="POE22" i="256"/>
  <c r="POF22" i="256"/>
  <c r="POG22" i="256"/>
  <c r="POH22" i="256"/>
  <c r="POI22" i="256"/>
  <c r="POJ22" i="256"/>
  <c r="POK22" i="256"/>
  <c r="POL22" i="256"/>
  <c r="POM22" i="256"/>
  <c r="PON22" i="256"/>
  <c r="POO22" i="256"/>
  <c r="POP22" i="256"/>
  <c r="POQ22" i="256"/>
  <c r="POR22" i="256"/>
  <c r="POS22" i="256"/>
  <c r="POT22" i="256"/>
  <c r="POU22" i="256"/>
  <c r="POV22" i="256"/>
  <c r="POW22" i="256"/>
  <c r="POX22" i="256"/>
  <c r="POY22" i="256"/>
  <c r="POZ22" i="256"/>
  <c r="PPA22" i="256"/>
  <c r="PPB22" i="256"/>
  <c r="PPC22" i="256"/>
  <c r="PPD22" i="256"/>
  <c r="PPE22" i="256"/>
  <c r="PPF22" i="256"/>
  <c r="PPG22" i="256"/>
  <c r="PPH22" i="256"/>
  <c r="PPI22" i="256"/>
  <c r="PPJ22" i="256"/>
  <c r="PPK22" i="256"/>
  <c r="PPL22" i="256"/>
  <c r="PPM22" i="256"/>
  <c r="PPN22" i="256"/>
  <c r="PPO22" i="256"/>
  <c r="PPP22" i="256"/>
  <c r="PPQ22" i="256"/>
  <c r="PPR22" i="256"/>
  <c r="PPS22" i="256"/>
  <c r="PPT22" i="256"/>
  <c r="PPU22" i="256"/>
  <c r="PPV22" i="256"/>
  <c r="PPW22" i="256"/>
  <c r="PPX22" i="256"/>
  <c r="PPY22" i="256"/>
  <c r="PPZ22" i="256"/>
  <c r="PQA22" i="256"/>
  <c r="PQB22" i="256"/>
  <c r="PQC22" i="256"/>
  <c r="PQD22" i="256"/>
  <c r="PQE22" i="256"/>
  <c r="PQF22" i="256"/>
  <c r="PQG22" i="256"/>
  <c r="PQH22" i="256"/>
  <c r="PQI22" i="256"/>
  <c r="PQJ22" i="256"/>
  <c r="PQK22" i="256"/>
  <c r="PQL22" i="256"/>
  <c r="PQM22" i="256"/>
  <c r="PQN22" i="256"/>
  <c r="PQO22" i="256"/>
  <c r="PQP22" i="256"/>
  <c r="PQQ22" i="256"/>
  <c r="PQR22" i="256"/>
  <c r="PQS22" i="256"/>
  <c r="PQT22" i="256"/>
  <c r="PQU22" i="256"/>
  <c r="PQV22" i="256"/>
  <c r="PQW22" i="256"/>
  <c r="PQX22" i="256"/>
  <c r="PQY22" i="256"/>
  <c r="PQZ22" i="256"/>
  <c r="PRA22" i="256"/>
  <c r="PRB22" i="256"/>
  <c r="PRC22" i="256"/>
  <c r="PRD22" i="256"/>
  <c r="PRE22" i="256"/>
  <c r="PRF22" i="256"/>
  <c r="PRG22" i="256"/>
  <c r="PRH22" i="256"/>
  <c r="PRI22" i="256"/>
  <c r="PRJ22" i="256"/>
  <c r="PRK22" i="256"/>
  <c r="PRL22" i="256"/>
  <c r="PRM22" i="256"/>
  <c r="PRN22" i="256"/>
  <c r="PRO22" i="256"/>
  <c r="PRP22" i="256"/>
  <c r="PRQ22" i="256"/>
  <c r="PRR22" i="256"/>
  <c r="PRS22" i="256"/>
  <c r="PRT22" i="256"/>
  <c r="PRU22" i="256"/>
  <c r="PRV22" i="256"/>
  <c r="PRW22" i="256"/>
  <c r="PRX22" i="256"/>
  <c r="PRY22" i="256"/>
  <c r="PRZ22" i="256"/>
  <c r="PSA22" i="256"/>
  <c r="PSB22" i="256"/>
  <c r="PSC22" i="256"/>
  <c r="PSD22" i="256"/>
  <c r="PSE22" i="256"/>
  <c r="PSF22" i="256"/>
  <c r="PSG22" i="256"/>
  <c r="PSH22" i="256"/>
  <c r="PSI22" i="256"/>
  <c r="PSJ22" i="256"/>
  <c r="PSK22" i="256"/>
  <c r="PSL22" i="256"/>
  <c r="PSM22" i="256"/>
  <c r="PSN22" i="256"/>
  <c r="PSO22" i="256"/>
  <c r="PSP22" i="256"/>
  <c r="PSQ22" i="256"/>
  <c r="PSR22" i="256"/>
  <c r="PSS22" i="256"/>
  <c r="PST22" i="256"/>
  <c r="PSU22" i="256"/>
  <c r="PSV22" i="256"/>
  <c r="PSW22" i="256"/>
  <c r="PSX22" i="256"/>
  <c r="PSY22" i="256"/>
  <c r="PSZ22" i="256"/>
  <c r="PTA22" i="256"/>
  <c r="PTB22" i="256"/>
  <c r="PTC22" i="256"/>
  <c r="PTD22" i="256"/>
  <c r="PTE22" i="256"/>
  <c r="PTF22" i="256"/>
  <c r="PTG22" i="256"/>
  <c r="PTH22" i="256"/>
  <c r="PTI22" i="256"/>
  <c r="PTJ22" i="256"/>
  <c r="PTK22" i="256"/>
  <c r="PTL22" i="256"/>
  <c r="PTM22" i="256"/>
  <c r="PTN22" i="256"/>
  <c r="PTO22" i="256"/>
  <c r="PTP22" i="256"/>
  <c r="PTQ22" i="256"/>
  <c r="PTR22" i="256"/>
  <c r="PTS22" i="256"/>
  <c r="PTT22" i="256"/>
  <c r="PTU22" i="256"/>
  <c r="PTV22" i="256"/>
  <c r="PTW22" i="256"/>
  <c r="PTX22" i="256"/>
  <c r="PTY22" i="256"/>
  <c r="PTZ22" i="256"/>
  <c r="PUA22" i="256"/>
  <c r="PUB22" i="256"/>
  <c r="PUC22" i="256"/>
  <c r="PUD22" i="256"/>
  <c r="PUE22" i="256"/>
  <c r="PUF22" i="256"/>
  <c r="PUG22" i="256"/>
  <c r="PUH22" i="256"/>
  <c r="PUI22" i="256"/>
  <c r="PUJ22" i="256"/>
  <c r="PUK22" i="256"/>
  <c r="PUL22" i="256"/>
  <c r="PUM22" i="256"/>
  <c r="PUN22" i="256"/>
  <c r="PUO22" i="256"/>
  <c r="PUP22" i="256"/>
  <c r="PUQ22" i="256"/>
  <c r="PUR22" i="256"/>
  <c r="PUS22" i="256"/>
  <c r="PUT22" i="256"/>
  <c r="PUU22" i="256"/>
  <c r="PUV22" i="256"/>
  <c r="PUW22" i="256"/>
  <c r="PUX22" i="256"/>
  <c r="PUY22" i="256"/>
  <c r="PUZ22" i="256"/>
  <c r="PVA22" i="256"/>
  <c r="PVB22" i="256"/>
  <c r="PVC22" i="256"/>
  <c r="PVD22" i="256"/>
  <c r="PVE22" i="256"/>
  <c r="PVF22" i="256"/>
  <c r="PVG22" i="256"/>
  <c r="PVH22" i="256"/>
  <c r="PVI22" i="256"/>
  <c r="PVJ22" i="256"/>
  <c r="PVK22" i="256"/>
  <c r="PVL22" i="256"/>
  <c r="PVM22" i="256"/>
  <c r="PVN22" i="256"/>
  <c r="PVO22" i="256"/>
  <c r="PVP22" i="256"/>
  <c r="PVQ22" i="256"/>
  <c r="PVR22" i="256"/>
  <c r="PVS22" i="256"/>
  <c r="PVT22" i="256"/>
  <c r="PVU22" i="256"/>
  <c r="PVV22" i="256"/>
  <c r="PVW22" i="256"/>
  <c r="PVX22" i="256"/>
  <c r="PVY22" i="256"/>
  <c r="PVZ22" i="256"/>
  <c r="PWA22" i="256"/>
  <c r="PWB22" i="256"/>
  <c r="PWC22" i="256"/>
  <c r="PWD22" i="256"/>
  <c r="PWE22" i="256"/>
  <c r="PWF22" i="256"/>
  <c r="PWG22" i="256"/>
  <c r="PWH22" i="256"/>
  <c r="PWI22" i="256"/>
  <c r="PWJ22" i="256"/>
  <c r="PWK22" i="256"/>
  <c r="PWL22" i="256"/>
  <c r="PWM22" i="256"/>
  <c r="PWN22" i="256"/>
  <c r="PWO22" i="256"/>
  <c r="PWP22" i="256"/>
  <c r="PWQ22" i="256"/>
  <c r="PWR22" i="256"/>
  <c r="PWS22" i="256"/>
  <c r="PWT22" i="256"/>
  <c r="PWU22" i="256"/>
  <c r="PWV22" i="256"/>
  <c r="PWW22" i="256"/>
  <c r="PWX22" i="256"/>
  <c r="PWY22" i="256"/>
  <c r="PWZ22" i="256"/>
  <c r="PXA22" i="256"/>
  <c r="PXB22" i="256"/>
  <c r="PXC22" i="256"/>
  <c r="PXD22" i="256"/>
  <c r="PXE22" i="256"/>
  <c r="PXF22" i="256"/>
  <c r="PXG22" i="256"/>
  <c r="PXH22" i="256"/>
  <c r="PXI22" i="256"/>
  <c r="PXJ22" i="256"/>
  <c r="PXK22" i="256"/>
  <c r="PXL22" i="256"/>
  <c r="PXM22" i="256"/>
  <c r="PXN22" i="256"/>
  <c r="PXO22" i="256"/>
  <c r="PXP22" i="256"/>
  <c r="PXQ22" i="256"/>
  <c r="PXR22" i="256"/>
  <c r="PXS22" i="256"/>
  <c r="PXT22" i="256"/>
  <c r="PXU22" i="256"/>
  <c r="PXV22" i="256"/>
  <c r="PXW22" i="256"/>
  <c r="PXX22" i="256"/>
  <c r="PXY22" i="256"/>
  <c r="PXZ22" i="256"/>
  <c r="PYA22" i="256"/>
  <c r="PYB22" i="256"/>
  <c r="PYC22" i="256"/>
  <c r="PYD22" i="256"/>
  <c r="PYE22" i="256"/>
  <c r="PYF22" i="256"/>
  <c r="PYG22" i="256"/>
  <c r="PYH22" i="256"/>
  <c r="PYI22" i="256"/>
  <c r="PYJ22" i="256"/>
  <c r="PYK22" i="256"/>
  <c r="PYL22" i="256"/>
  <c r="PYM22" i="256"/>
  <c r="PYN22" i="256"/>
  <c r="PYO22" i="256"/>
  <c r="PYP22" i="256"/>
  <c r="PYQ22" i="256"/>
  <c r="PYR22" i="256"/>
  <c r="PYS22" i="256"/>
  <c r="PYT22" i="256"/>
  <c r="PYU22" i="256"/>
  <c r="PYV22" i="256"/>
  <c r="PYW22" i="256"/>
  <c r="PYX22" i="256"/>
  <c r="PYY22" i="256"/>
  <c r="PYZ22" i="256"/>
  <c r="PZA22" i="256"/>
  <c r="PZB22" i="256"/>
  <c r="PZC22" i="256"/>
  <c r="PZD22" i="256"/>
  <c r="PZE22" i="256"/>
  <c r="PZF22" i="256"/>
  <c r="PZG22" i="256"/>
  <c r="PZH22" i="256"/>
  <c r="PZI22" i="256"/>
  <c r="PZJ22" i="256"/>
  <c r="PZK22" i="256"/>
  <c r="PZL22" i="256"/>
  <c r="PZM22" i="256"/>
  <c r="PZN22" i="256"/>
  <c r="PZO22" i="256"/>
  <c r="PZP22" i="256"/>
  <c r="PZQ22" i="256"/>
  <c r="PZR22" i="256"/>
  <c r="PZS22" i="256"/>
  <c r="PZT22" i="256"/>
  <c r="PZU22" i="256"/>
  <c r="PZV22" i="256"/>
  <c r="PZW22" i="256"/>
  <c r="PZX22" i="256"/>
  <c r="PZY22" i="256"/>
  <c r="PZZ22" i="256"/>
  <c r="QAA22" i="256"/>
  <c r="QAB22" i="256"/>
  <c r="QAC22" i="256"/>
  <c r="QAD22" i="256"/>
  <c r="QAE22" i="256"/>
  <c r="QAF22" i="256"/>
  <c r="QAG22" i="256"/>
  <c r="QAH22" i="256"/>
  <c r="QAI22" i="256"/>
  <c r="QAJ22" i="256"/>
  <c r="QAK22" i="256"/>
  <c r="QAL22" i="256"/>
  <c r="QAM22" i="256"/>
  <c r="QAN22" i="256"/>
  <c r="QAO22" i="256"/>
  <c r="QAP22" i="256"/>
  <c r="QAQ22" i="256"/>
  <c r="QAR22" i="256"/>
  <c r="QAS22" i="256"/>
  <c r="QAT22" i="256"/>
  <c r="QAU22" i="256"/>
  <c r="QAV22" i="256"/>
  <c r="QAW22" i="256"/>
  <c r="QAX22" i="256"/>
  <c r="QAY22" i="256"/>
  <c r="QAZ22" i="256"/>
  <c r="QBA22" i="256"/>
  <c r="QBB22" i="256"/>
  <c r="QBC22" i="256"/>
  <c r="QBD22" i="256"/>
  <c r="QBE22" i="256"/>
  <c r="QBF22" i="256"/>
  <c r="QBG22" i="256"/>
  <c r="QBH22" i="256"/>
  <c r="QBI22" i="256"/>
  <c r="QBJ22" i="256"/>
  <c r="QBK22" i="256"/>
  <c r="QBL22" i="256"/>
  <c r="QBM22" i="256"/>
  <c r="QBN22" i="256"/>
  <c r="QBO22" i="256"/>
  <c r="QBP22" i="256"/>
  <c r="QBQ22" i="256"/>
  <c r="QBR22" i="256"/>
  <c r="QBS22" i="256"/>
  <c r="QBT22" i="256"/>
  <c r="QBU22" i="256"/>
  <c r="QBV22" i="256"/>
  <c r="QBW22" i="256"/>
  <c r="QBX22" i="256"/>
  <c r="QBY22" i="256"/>
  <c r="QBZ22" i="256"/>
  <c r="QCA22" i="256"/>
  <c r="QCB22" i="256"/>
  <c r="QCC22" i="256"/>
  <c r="QCD22" i="256"/>
  <c r="QCE22" i="256"/>
  <c r="QCF22" i="256"/>
  <c r="QCG22" i="256"/>
  <c r="QCH22" i="256"/>
  <c r="QCI22" i="256"/>
  <c r="QCJ22" i="256"/>
  <c r="QCK22" i="256"/>
  <c r="QCL22" i="256"/>
  <c r="QCM22" i="256"/>
  <c r="QCN22" i="256"/>
  <c r="QCO22" i="256"/>
  <c r="QCP22" i="256"/>
  <c r="QCQ22" i="256"/>
  <c r="QCR22" i="256"/>
  <c r="QCS22" i="256"/>
  <c r="QCT22" i="256"/>
  <c r="QCU22" i="256"/>
  <c r="QCV22" i="256"/>
  <c r="QCW22" i="256"/>
  <c r="QCX22" i="256"/>
  <c r="QCY22" i="256"/>
  <c r="QCZ22" i="256"/>
  <c r="QDA22" i="256"/>
  <c r="QDB22" i="256"/>
  <c r="QDC22" i="256"/>
  <c r="QDD22" i="256"/>
  <c r="QDE22" i="256"/>
  <c r="QDF22" i="256"/>
  <c r="QDG22" i="256"/>
  <c r="QDH22" i="256"/>
  <c r="QDI22" i="256"/>
  <c r="QDJ22" i="256"/>
  <c r="QDK22" i="256"/>
  <c r="QDL22" i="256"/>
  <c r="QDM22" i="256"/>
  <c r="QDN22" i="256"/>
  <c r="QDO22" i="256"/>
  <c r="QDP22" i="256"/>
  <c r="QDQ22" i="256"/>
  <c r="QDR22" i="256"/>
  <c r="QDS22" i="256"/>
  <c r="QDT22" i="256"/>
  <c r="QDU22" i="256"/>
  <c r="QDV22" i="256"/>
  <c r="QDW22" i="256"/>
  <c r="QDX22" i="256"/>
  <c r="QDY22" i="256"/>
  <c r="QDZ22" i="256"/>
  <c r="QEA22" i="256"/>
  <c r="QEB22" i="256"/>
  <c r="QEC22" i="256"/>
  <c r="QED22" i="256"/>
  <c r="QEE22" i="256"/>
  <c r="QEF22" i="256"/>
  <c r="QEG22" i="256"/>
  <c r="QEH22" i="256"/>
  <c r="QEI22" i="256"/>
  <c r="QEJ22" i="256"/>
  <c r="QEK22" i="256"/>
  <c r="QEL22" i="256"/>
  <c r="QEM22" i="256"/>
  <c r="QEN22" i="256"/>
  <c r="QEO22" i="256"/>
  <c r="QEP22" i="256"/>
  <c r="QEQ22" i="256"/>
  <c r="QER22" i="256"/>
  <c r="QES22" i="256"/>
  <c r="QET22" i="256"/>
  <c r="QEU22" i="256"/>
  <c r="QEV22" i="256"/>
  <c r="QEW22" i="256"/>
  <c r="QEX22" i="256"/>
  <c r="QEY22" i="256"/>
  <c r="QEZ22" i="256"/>
  <c r="QFA22" i="256"/>
  <c r="QFB22" i="256"/>
  <c r="QFC22" i="256"/>
  <c r="QFD22" i="256"/>
  <c r="QFE22" i="256"/>
  <c r="QFF22" i="256"/>
  <c r="QFG22" i="256"/>
  <c r="QFH22" i="256"/>
  <c r="QFI22" i="256"/>
  <c r="QFJ22" i="256"/>
  <c r="QFK22" i="256"/>
  <c r="QFL22" i="256"/>
  <c r="QFM22" i="256"/>
  <c r="QFN22" i="256"/>
  <c r="QFO22" i="256"/>
  <c r="QFP22" i="256"/>
  <c r="QFQ22" i="256"/>
  <c r="QFR22" i="256"/>
  <c r="QFS22" i="256"/>
  <c r="QFT22" i="256"/>
  <c r="QFU22" i="256"/>
  <c r="QFV22" i="256"/>
  <c r="QFW22" i="256"/>
  <c r="QFX22" i="256"/>
  <c r="QFY22" i="256"/>
  <c r="QFZ22" i="256"/>
  <c r="QGA22" i="256"/>
  <c r="QGB22" i="256"/>
  <c r="QGC22" i="256"/>
  <c r="QGD22" i="256"/>
  <c r="QGE22" i="256"/>
  <c r="QGF22" i="256"/>
  <c r="QGG22" i="256"/>
  <c r="QGH22" i="256"/>
  <c r="QGI22" i="256"/>
  <c r="QGJ22" i="256"/>
  <c r="QGK22" i="256"/>
  <c r="QGL22" i="256"/>
  <c r="QGM22" i="256"/>
  <c r="QGN22" i="256"/>
  <c r="QGO22" i="256"/>
  <c r="QGP22" i="256"/>
  <c r="QGQ22" i="256"/>
  <c r="QGR22" i="256"/>
  <c r="QGS22" i="256"/>
  <c r="QGT22" i="256"/>
  <c r="QGU22" i="256"/>
  <c r="QGV22" i="256"/>
  <c r="QGW22" i="256"/>
  <c r="QGX22" i="256"/>
  <c r="QGY22" i="256"/>
  <c r="QGZ22" i="256"/>
  <c r="QHA22" i="256"/>
  <c r="QHB22" i="256"/>
  <c r="QHC22" i="256"/>
  <c r="QHD22" i="256"/>
  <c r="QHE22" i="256"/>
  <c r="QHF22" i="256"/>
  <c r="QHG22" i="256"/>
  <c r="QHH22" i="256"/>
  <c r="QHI22" i="256"/>
  <c r="QHJ22" i="256"/>
  <c r="QHK22" i="256"/>
  <c r="QHL22" i="256"/>
  <c r="QHM22" i="256"/>
  <c r="QHN22" i="256"/>
  <c r="QHO22" i="256"/>
  <c r="QHP22" i="256"/>
  <c r="QHQ22" i="256"/>
  <c r="QHR22" i="256"/>
  <c r="QHS22" i="256"/>
  <c r="QHT22" i="256"/>
  <c r="QHU22" i="256"/>
  <c r="QHV22" i="256"/>
  <c r="QHW22" i="256"/>
  <c r="QHX22" i="256"/>
  <c r="QHY22" i="256"/>
  <c r="QHZ22" i="256"/>
  <c r="QIA22" i="256"/>
  <c r="QIB22" i="256"/>
  <c r="QIC22" i="256"/>
  <c r="QID22" i="256"/>
  <c r="QIE22" i="256"/>
  <c r="QIF22" i="256"/>
  <c r="QIG22" i="256"/>
  <c r="QIH22" i="256"/>
  <c r="QII22" i="256"/>
  <c r="QIJ22" i="256"/>
  <c r="QIK22" i="256"/>
  <c r="QIL22" i="256"/>
  <c r="QIM22" i="256"/>
  <c r="QIN22" i="256"/>
  <c r="QIO22" i="256"/>
  <c r="QIP22" i="256"/>
  <c r="QIQ22" i="256"/>
  <c r="QIR22" i="256"/>
  <c r="QIS22" i="256"/>
  <c r="QIT22" i="256"/>
  <c r="QIU22" i="256"/>
  <c r="QIV22" i="256"/>
  <c r="QIW22" i="256"/>
  <c r="QIX22" i="256"/>
  <c r="QIY22" i="256"/>
  <c r="QIZ22" i="256"/>
  <c r="QJA22" i="256"/>
  <c r="QJB22" i="256"/>
  <c r="QJC22" i="256"/>
  <c r="QJD22" i="256"/>
  <c r="QJE22" i="256"/>
  <c r="QJF22" i="256"/>
  <c r="QJG22" i="256"/>
  <c r="QJH22" i="256"/>
  <c r="QJI22" i="256"/>
  <c r="QJJ22" i="256"/>
  <c r="QJK22" i="256"/>
  <c r="QJL22" i="256"/>
  <c r="QJM22" i="256"/>
  <c r="QJN22" i="256"/>
  <c r="QJO22" i="256"/>
  <c r="QJP22" i="256"/>
  <c r="QJQ22" i="256"/>
  <c r="QJR22" i="256"/>
  <c r="QJS22" i="256"/>
  <c r="QJT22" i="256"/>
  <c r="QJU22" i="256"/>
  <c r="QJV22" i="256"/>
  <c r="QJW22" i="256"/>
  <c r="QJX22" i="256"/>
  <c r="QJY22" i="256"/>
  <c r="QJZ22" i="256"/>
  <c r="QKA22" i="256"/>
  <c r="QKB22" i="256"/>
  <c r="QKC22" i="256"/>
  <c r="QKD22" i="256"/>
  <c r="QKE22" i="256"/>
  <c r="QKF22" i="256"/>
  <c r="QKG22" i="256"/>
  <c r="QKH22" i="256"/>
  <c r="QKI22" i="256"/>
  <c r="QKJ22" i="256"/>
  <c r="QKK22" i="256"/>
  <c r="QKL22" i="256"/>
  <c r="QKM22" i="256"/>
  <c r="QKN22" i="256"/>
  <c r="QKO22" i="256"/>
  <c r="QKP22" i="256"/>
  <c r="QKQ22" i="256"/>
  <c r="QKR22" i="256"/>
  <c r="QKS22" i="256"/>
  <c r="QKT22" i="256"/>
  <c r="QKU22" i="256"/>
  <c r="QKV22" i="256"/>
  <c r="QKW22" i="256"/>
  <c r="QKX22" i="256"/>
  <c r="QKY22" i="256"/>
  <c r="QKZ22" i="256"/>
  <c r="QLA22" i="256"/>
  <c r="QLB22" i="256"/>
  <c r="QLC22" i="256"/>
  <c r="QLD22" i="256"/>
  <c r="QLE22" i="256"/>
  <c r="QLF22" i="256"/>
  <c r="QLG22" i="256"/>
  <c r="QLH22" i="256"/>
  <c r="QLI22" i="256"/>
  <c r="QLJ22" i="256"/>
  <c r="QLK22" i="256"/>
  <c r="QLL22" i="256"/>
  <c r="QLM22" i="256"/>
  <c r="QLN22" i="256"/>
  <c r="QLO22" i="256"/>
  <c r="QLP22" i="256"/>
  <c r="QLQ22" i="256"/>
  <c r="QLR22" i="256"/>
  <c r="QLS22" i="256"/>
  <c r="QLT22" i="256"/>
  <c r="QLU22" i="256"/>
  <c r="QLV22" i="256"/>
  <c r="QLW22" i="256"/>
  <c r="QLX22" i="256"/>
  <c r="QLY22" i="256"/>
  <c r="QLZ22" i="256"/>
  <c r="QMA22" i="256"/>
  <c r="QMB22" i="256"/>
  <c r="QMC22" i="256"/>
  <c r="QMD22" i="256"/>
  <c r="QME22" i="256"/>
  <c r="QMF22" i="256"/>
  <c r="QMG22" i="256"/>
  <c r="QMH22" i="256"/>
  <c r="QMI22" i="256"/>
  <c r="QMJ22" i="256"/>
  <c r="QMK22" i="256"/>
  <c r="QML22" i="256"/>
  <c r="QMM22" i="256"/>
  <c r="QMN22" i="256"/>
  <c r="QMO22" i="256"/>
  <c r="QMP22" i="256"/>
  <c r="QMQ22" i="256"/>
  <c r="QMR22" i="256"/>
  <c r="QMS22" i="256"/>
  <c r="QMT22" i="256"/>
  <c r="QMU22" i="256"/>
  <c r="QMV22" i="256"/>
  <c r="QMW22" i="256"/>
  <c r="QMX22" i="256"/>
  <c r="QMY22" i="256"/>
  <c r="QMZ22" i="256"/>
  <c r="QNA22" i="256"/>
  <c r="QNB22" i="256"/>
  <c r="QNC22" i="256"/>
  <c r="QND22" i="256"/>
  <c r="QNE22" i="256"/>
  <c r="QNF22" i="256"/>
  <c r="QNG22" i="256"/>
  <c r="QNH22" i="256"/>
  <c r="QNI22" i="256"/>
  <c r="QNJ22" i="256"/>
  <c r="QNK22" i="256"/>
  <c r="QNL22" i="256"/>
  <c r="QNM22" i="256"/>
  <c r="QNN22" i="256"/>
  <c r="QNO22" i="256"/>
  <c r="QNP22" i="256"/>
  <c r="QNQ22" i="256"/>
  <c r="QNR22" i="256"/>
  <c r="QNS22" i="256"/>
  <c r="QNT22" i="256"/>
  <c r="QNU22" i="256"/>
  <c r="QNV22" i="256"/>
  <c r="QNW22" i="256"/>
  <c r="QNX22" i="256"/>
  <c r="QNY22" i="256"/>
  <c r="QNZ22" i="256"/>
  <c r="QOA22" i="256"/>
  <c r="QOB22" i="256"/>
  <c r="QOC22" i="256"/>
  <c r="QOD22" i="256"/>
  <c r="QOE22" i="256"/>
  <c r="QOF22" i="256"/>
  <c r="QOG22" i="256"/>
  <c r="QOH22" i="256"/>
  <c r="QOI22" i="256"/>
  <c r="QOJ22" i="256"/>
  <c r="QOK22" i="256"/>
  <c r="QOL22" i="256"/>
  <c r="QOM22" i="256"/>
  <c r="QON22" i="256"/>
  <c r="QOO22" i="256"/>
  <c r="QOP22" i="256"/>
  <c r="QOQ22" i="256"/>
  <c r="QOR22" i="256"/>
  <c r="QOS22" i="256"/>
  <c r="QOT22" i="256"/>
  <c r="QOU22" i="256"/>
  <c r="QOV22" i="256"/>
  <c r="QOW22" i="256"/>
  <c r="QOX22" i="256"/>
  <c r="QOY22" i="256"/>
  <c r="QOZ22" i="256"/>
  <c r="QPA22" i="256"/>
  <c r="QPB22" i="256"/>
  <c r="QPC22" i="256"/>
  <c r="QPD22" i="256"/>
  <c r="QPE22" i="256"/>
  <c r="QPF22" i="256"/>
  <c r="QPG22" i="256"/>
  <c r="QPH22" i="256"/>
  <c r="QPI22" i="256"/>
  <c r="QPJ22" i="256"/>
  <c r="QPK22" i="256"/>
  <c r="QPL22" i="256"/>
  <c r="QPM22" i="256"/>
  <c r="QPN22" i="256"/>
  <c r="QPO22" i="256"/>
  <c r="QPP22" i="256"/>
  <c r="QPQ22" i="256"/>
  <c r="QPR22" i="256"/>
  <c r="QPS22" i="256"/>
  <c r="QPT22" i="256"/>
  <c r="QPU22" i="256"/>
  <c r="QPV22" i="256"/>
  <c r="QPW22" i="256"/>
  <c r="QPX22" i="256"/>
  <c r="QPY22" i="256"/>
  <c r="QPZ22" i="256"/>
  <c r="QQA22" i="256"/>
  <c r="QQB22" i="256"/>
  <c r="QQC22" i="256"/>
  <c r="QQD22" i="256"/>
  <c r="QQE22" i="256"/>
  <c r="QQF22" i="256"/>
  <c r="QQG22" i="256"/>
  <c r="QQH22" i="256"/>
  <c r="QQI22" i="256"/>
  <c r="QQJ22" i="256"/>
  <c r="QQK22" i="256"/>
  <c r="QQL22" i="256"/>
  <c r="QQM22" i="256"/>
  <c r="QQN22" i="256"/>
  <c r="QQO22" i="256"/>
  <c r="QQP22" i="256"/>
  <c r="QQQ22" i="256"/>
  <c r="QQR22" i="256"/>
  <c r="QQS22" i="256"/>
  <c r="QQT22" i="256"/>
  <c r="QQU22" i="256"/>
  <c r="QQV22" i="256"/>
  <c r="QQW22" i="256"/>
  <c r="QQX22" i="256"/>
  <c r="QQY22" i="256"/>
  <c r="QQZ22" i="256"/>
  <c r="QRA22" i="256"/>
  <c r="QRB22" i="256"/>
  <c r="QRC22" i="256"/>
  <c r="QRD22" i="256"/>
  <c r="QRE22" i="256"/>
  <c r="QRF22" i="256"/>
  <c r="QRG22" i="256"/>
  <c r="QRH22" i="256"/>
  <c r="QRI22" i="256"/>
  <c r="QRJ22" i="256"/>
  <c r="QRK22" i="256"/>
  <c r="QRL22" i="256"/>
  <c r="QRM22" i="256"/>
  <c r="QRN22" i="256"/>
  <c r="QRO22" i="256"/>
  <c r="QRP22" i="256"/>
  <c r="QRQ22" i="256"/>
  <c r="QRR22" i="256"/>
  <c r="QRS22" i="256"/>
  <c r="QRT22" i="256"/>
  <c r="QRU22" i="256"/>
  <c r="QRV22" i="256"/>
  <c r="QRW22" i="256"/>
  <c r="QRX22" i="256"/>
  <c r="QRY22" i="256"/>
  <c r="QRZ22" i="256"/>
  <c r="QSA22" i="256"/>
  <c r="QSB22" i="256"/>
  <c r="QSC22" i="256"/>
  <c r="QSD22" i="256"/>
  <c r="QSE22" i="256"/>
  <c r="QSF22" i="256"/>
  <c r="QSG22" i="256"/>
  <c r="QSH22" i="256"/>
  <c r="QSI22" i="256"/>
  <c r="QSJ22" i="256"/>
  <c r="QSK22" i="256"/>
  <c r="QSL22" i="256"/>
  <c r="QSM22" i="256"/>
  <c r="QSN22" i="256"/>
  <c r="QSO22" i="256"/>
  <c r="QSP22" i="256"/>
  <c r="QSQ22" i="256"/>
  <c r="QSR22" i="256"/>
  <c r="QSS22" i="256"/>
  <c r="QST22" i="256"/>
  <c r="QSU22" i="256"/>
  <c r="QSV22" i="256"/>
  <c r="QSW22" i="256"/>
  <c r="QSX22" i="256"/>
  <c r="QSY22" i="256"/>
  <c r="QSZ22" i="256"/>
  <c r="QTA22" i="256"/>
  <c r="QTB22" i="256"/>
  <c r="QTC22" i="256"/>
  <c r="QTD22" i="256"/>
  <c r="QTE22" i="256"/>
  <c r="QTF22" i="256"/>
  <c r="QTG22" i="256"/>
  <c r="QTH22" i="256"/>
  <c r="QTI22" i="256"/>
  <c r="QTJ22" i="256"/>
  <c r="QTK22" i="256"/>
  <c r="QTL22" i="256"/>
  <c r="QTM22" i="256"/>
  <c r="QTN22" i="256"/>
  <c r="QTO22" i="256"/>
  <c r="QTP22" i="256"/>
  <c r="QTQ22" i="256"/>
  <c r="QTR22" i="256"/>
  <c r="QTS22" i="256"/>
  <c r="QTT22" i="256"/>
  <c r="QTU22" i="256"/>
  <c r="QTV22" i="256"/>
  <c r="QTW22" i="256"/>
  <c r="QTX22" i="256"/>
  <c r="QTY22" i="256"/>
  <c r="QTZ22" i="256"/>
  <c r="QUA22" i="256"/>
  <c r="QUB22" i="256"/>
  <c r="QUC22" i="256"/>
  <c r="QUD22" i="256"/>
  <c r="QUE22" i="256"/>
  <c r="QUF22" i="256"/>
  <c r="QUG22" i="256"/>
  <c r="QUH22" i="256"/>
  <c r="QUI22" i="256"/>
  <c r="QUJ22" i="256"/>
  <c r="QUK22" i="256"/>
  <c r="QUL22" i="256"/>
  <c r="QUM22" i="256"/>
  <c r="QUN22" i="256"/>
  <c r="QUO22" i="256"/>
  <c r="QUP22" i="256"/>
  <c r="QUQ22" i="256"/>
  <c r="QUR22" i="256"/>
  <c r="QUS22" i="256"/>
  <c r="QUT22" i="256"/>
  <c r="QUU22" i="256"/>
  <c r="QUV22" i="256"/>
  <c r="QUW22" i="256"/>
  <c r="QUX22" i="256"/>
  <c r="QUY22" i="256"/>
  <c r="QUZ22" i="256"/>
  <c r="QVA22" i="256"/>
  <c r="QVB22" i="256"/>
  <c r="QVC22" i="256"/>
  <c r="QVD22" i="256"/>
  <c r="QVE22" i="256"/>
  <c r="QVF22" i="256"/>
  <c r="QVG22" i="256"/>
  <c r="QVH22" i="256"/>
  <c r="QVI22" i="256"/>
  <c r="QVJ22" i="256"/>
  <c r="QVK22" i="256"/>
  <c r="QVL22" i="256"/>
  <c r="QVM22" i="256"/>
  <c r="QVN22" i="256"/>
  <c r="QVO22" i="256"/>
  <c r="QVP22" i="256"/>
  <c r="QVQ22" i="256"/>
  <c r="QVR22" i="256"/>
  <c r="QVS22" i="256"/>
  <c r="QVT22" i="256"/>
  <c r="QVU22" i="256"/>
  <c r="QVV22" i="256"/>
  <c r="QVW22" i="256"/>
  <c r="QVX22" i="256"/>
  <c r="QVY22" i="256"/>
  <c r="QVZ22" i="256"/>
  <c r="QWA22" i="256"/>
  <c r="QWB22" i="256"/>
  <c r="QWC22" i="256"/>
  <c r="QWD22" i="256"/>
  <c r="QWE22" i="256"/>
  <c r="QWF22" i="256"/>
  <c r="QWG22" i="256"/>
  <c r="QWH22" i="256"/>
  <c r="QWI22" i="256"/>
  <c r="QWJ22" i="256"/>
  <c r="QWK22" i="256"/>
  <c r="QWL22" i="256"/>
  <c r="QWM22" i="256"/>
  <c r="QWN22" i="256"/>
  <c r="QWO22" i="256"/>
  <c r="QWP22" i="256"/>
  <c r="QWQ22" i="256"/>
  <c r="QWR22" i="256"/>
  <c r="QWS22" i="256"/>
  <c r="QWT22" i="256"/>
  <c r="QWU22" i="256"/>
  <c r="QWV22" i="256"/>
  <c r="QWW22" i="256"/>
  <c r="QWX22" i="256"/>
  <c r="QWY22" i="256"/>
  <c r="QWZ22" i="256"/>
  <c r="QXA22" i="256"/>
  <c r="QXB22" i="256"/>
  <c r="QXC22" i="256"/>
  <c r="QXD22" i="256"/>
  <c r="QXE22" i="256"/>
  <c r="QXF22" i="256"/>
  <c r="QXG22" i="256"/>
  <c r="QXH22" i="256"/>
  <c r="QXI22" i="256"/>
  <c r="QXJ22" i="256"/>
  <c r="QXK22" i="256"/>
  <c r="QXL22" i="256"/>
  <c r="QXM22" i="256"/>
  <c r="QXN22" i="256"/>
  <c r="QXO22" i="256"/>
  <c r="QXP22" i="256"/>
  <c r="QXQ22" i="256"/>
  <c r="QXR22" i="256"/>
  <c r="QXS22" i="256"/>
  <c r="QXT22" i="256"/>
  <c r="QXU22" i="256"/>
  <c r="QXV22" i="256"/>
  <c r="QXW22" i="256"/>
  <c r="QXX22" i="256"/>
  <c r="QXY22" i="256"/>
  <c r="QXZ22" i="256"/>
  <c r="QYA22" i="256"/>
  <c r="QYB22" i="256"/>
  <c r="QYC22" i="256"/>
  <c r="QYD22" i="256"/>
  <c r="QYE22" i="256"/>
  <c r="QYF22" i="256"/>
  <c r="QYG22" i="256"/>
  <c r="QYH22" i="256"/>
  <c r="QYI22" i="256"/>
  <c r="QYJ22" i="256"/>
  <c r="QYK22" i="256"/>
  <c r="QYL22" i="256"/>
  <c r="QYM22" i="256"/>
  <c r="QYN22" i="256"/>
  <c r="QYO22" i="256"/>
  <c r="QYP22" i="256"/>
  <c r="QYQ22" i="256"/>
  <c r="QYR22" i="256"/>
  <c r="QYS22" i="256"/>
  <c r="QYT22" i="256"/>
  <c r="QYU22" i="256"/>
  <c r="QYV22" i="256"/>
  <c r="QYW22" i="256"/>
  <c r="QYX22" i="256"/>
  <c r="QYY22" i="256"/>
  <c r="QYZ22" i="256"/>
  <c r="QZA22" i="256"/>
  <c r="QZB22" i="256"/>
  <c r="QZC22" i="256"/>
  <c r="QZD22" i="256"/>
  <c r="QZE22" i="256"/>
  <c r="QZF22" i="256"/>
  <c r="QZG22" i="256"/>
  <c r="QZH22" i="256"/>
  <c r="QZI22" i="256"/>
  <c r="QZJ22" i="256"/>
  <c r="QZK22" i="256"/>
  <c r="QZL22" i="256"/>
  <c r="QZM22" i="256"/>
  <c r="QZN22" i="256"/>
  <c r="QZO22" i="256"/>
  <c r="QZP22" i="256"/>
  <c r="QZQ22" i="256"/>
  <c r="QZR22" i="256"/>
  <c r="QZS22" i="256"/>
  <c r="QZT22" i="256"/>
  <c r="QZU22" i="256"/>
  <c r="QZV22" i="256"/>
  <c r="QZW22" i="256"/>
  <c r="QZX22" i="256"/>
  <c r="QZY22" i="256"/>
  <c r="QZZ22" i="256"/>
  <c r="RAA22" i="256"/>
  <c r="RAB22" i="256"/>
  <c r="RAC22" i="256"/>
  <c r="RAD22" i="256"/>
  <c r="RAE22" i="256"/>
  <c r="RAF22" i="256"/>
  <c r="RAG22" i="256"/>
  <c r="RAH22" i="256"/>
  <c r="RAI22" i="256"/>
  <c r="RAJ22" i="256"/>
  <c r="RAK22" i="256"/>
  <c r="RAL22" i="256"/>
  <c r="RAM22" i="256"/>
  <c r="RAN22" i="256"/>
  <c r="RAO22" i="256"/>
  <c r="RAP22" i="256"/>
  <c r="RAQ22" i="256"/>
  <c r="RAR22" i="256"/>
  <c r="RAS22" i="256"/>
  <c r="RAT22" i="256"/>
  <c r="RAU22" i="256"/>
  <c r="RAV22" i="256"/>
  <c r="RAW22" i="256"/>
  <c r="RAX22" i="256"/>
  <c r="RAY22" i="256"/>
  <c r="RAZ22" i="256"/>
  <c r="RBA22" i="256"/>
  <c r="RBB22" i="256"/>
  <c r="RBC22" i="256"/>
  <c r="RBD22" i="256"/>
  <c r="RBE22" i="256"/>
  <c r="RBF22" i="256"/>
  <c r="RBG22" i="256"/>
  <c r="RBH22" i="256"/>
  <c r="RBI22" i="256"/>
  <c r="RBJ22" i="256"/>
  <c r="RBK22" i="256"/>
  <c r="RBL22" i="256"/>
  <c r="RBM22" i="256"/>
  <c r="RBN22" i="256"/>
  <c r="RBO22" i="256"/>
  <c r="RBP22" i="256"/>
  <c r="RBQ22" i="256"/>
  <c r="RBR22" i="256"/>
  <c r="RBS22" i="256"/>
  <c r="RBT22" i="256"/>
  <c r="RBU22" i="256"/>
  <c r="RBV22" i="256"/>
  <c r="RBW22" i="256"/>
  <c r="RBX22" i="256"/>
  <c r="RBY22" i="256"/>
  <c r="RBZ22" i="256"/>
  <c r="RCA22" i="256"/>
  <c r="RCB22" i="256"/>
  <c r="RCC22" i="256"/>
  <c r="RCD22" i="256"/>
  <c r="RCE22" i="256"/>
  <c r="RCF22" i="256"/>
  <c r="RCG22" i="256"/>
  <c r="RCH22" i="256"/>
  <c r="RCI22" i="256"/>
  <c r="RCJ22" i="256"/>
  <c r="RCK22" i="256"/>
  <c r="RCL22" i="256"/>
  <c r="RCM22" i="256"/>
  <c r="RCN22" i="256"/>
  <c r="RCO22" i="256"/>
  <c r="RCP22" i="256"/>
  <c r="RCQ22" i="256"/>
  <c r="RCR22" i="256"/>
  <c r="RCS22" i="256"/>
  <c r="RCT22" i="256"/>
  <c r="RCU22" i="256"/>
  <c r="RCV22" i="256"/>
  <c r="RCW22" i="256"/>
  <c r="RCX22" i="256"/>
  <c r="RCY22" i="256"/>
  <c r="RCZ22" i="256"/>
  <c r="RDA22" i="256"/>
  <c r="RDB22" i="256"/>
  <c r="RDC22" i="256"/>
  <c r="RDD22" i="256"/>
  <c r="RDE22" i="256"/>
  <c r="RDF22" i="256"/>
  <c r="RDG22" i="256"/>
  <c r="RDH22" i="256"/>
  <c r="RDI22" i="256"/>
  <c r="RDJ22" i="256"/>
  <c r="RDK22" i="256"/>
  <c r="RDL22" i="256"/>
  <c r="RDM22" i="256"/>
  <c r="RDN22" i="256"/>
  <c r="RDO22" i="256"/>
  <c r="RDP22" i="256"/>
  <c r="RDQ22" i="256"/>
  <c r="RDR22" i="256"/>
  <c r="RDS22" i="256"/>
  <c r="RDT22" i="256"/>
  <c r="RDU22" i="256"/>
  <c r="RDV22" i="256"/>
  <c r="RDW22" i="256"/>
  <c r="RDX22" i="256"/>
  <c r="RDY22" i="256"/>
  <c r="RDZ22" i="256"/>
  <c r="REA22" i="256"/>
  <c r="REB22" i="256"/>
  <c r="REC22" i="256"/>
  <c r="RED22" i="256"/>
  <c r="REE22" i="256"/>
  <c r="REF22" i="256"/>
  <c r="REG22" i="256"/>
  <c r="REH22" i="256"/>
  <c r="REI22" i="256"/>
  <c r="REJ22" i="256"/>
  <c r="REK22" i="256"/>
  <c r="REL22" i="256"/>
  <c r="REM22" i="256"/>
  <c r="REN22" i="256"/>
  <c r="REO22" i="256"/>
  <c r="REP22" i="256"/>
  <c r="REQ22" i="256"/>
  <c r="RER22" i="256"/>
  <c r="RES22" i="256"/>
  <c r="RET22" i="256"/>
  <c r="REU22" i="256"/>
  <c r="REV22" i="256"/>
  <c r="REW22" i="256"/>
  <c r="REX22" i="256"/>
  <c r="REY22" i="256"/>
  <c r="REZ22" i="256"/>
  <c r="RFA22" i="256"/>
  <c r="RFB22" i="256"/>
  <c r="RFC22" i="256"/>
  <c r="RFD22" i="256"/>
  <c r="RFE22" i="256"/>
  <c r="RFF22" i="256"/>
  <c r="RFG22" i="256"/>
  <c r="RFH22" i="256"/>
  <c r="RFI22" i="256"/>
  <c r="RFJ22" i="256"/>
  <c r="RFK22" i="256"/>
  <c r="RFL22" i="256"/>
  <c r="RFM22" i="256"/>
  <c r="RFN22" i="256"/>
  <c r="RFO22" i="256"/>
  <c r="RFP22" i="256"/>
  <c r="RFQ22" i="256"/>
  <c r="RFR22" i="256"/>
  <c r="RFS22" i="256"/>
  <c r="RFT22" i="256"/>
  <c r="RFU22" i="256"/>
  <c r="RFV22" i="256"/>
  <c r="RFW22" i="256"/>
  <c r="RFX22" i="256"/>
  <c r="RFY22" i="256"/>
  <c r="RFZ22" i="256"/>
  <c r="RGA22" i="256"/>
  <c r="RGB22" i="256"/>
  <c r="RGC22" i="256"/>
  <c r="RGD22" i="256"/>
  <c r="RGE22" i="256"/>
  <c r="RGF22" i="256"/>
  <c r="RGG22" i="256"/>
  <c r="RGH22" i="256"/>
  <c r="RGI22" i="256"/>
  <c r="RGJ22" i="256"/>
  <c r="RGK22" i="256"/>
  <c r="RGL22" i="256"/>
  <c r="RGM22" i="256"/>
  <c r="RGN22" i="256"/>
  <c r="RGO22" i="256"/>
  <c r="RGP22" i="256"/>
  <c r="RGQ22" i="256"/>
  <c r="RGR22" i="256"/>
  <c r="RGS22" i="256"/>
  <c r="RGT22" i="256"/>
  <c r="RGU22" i="256"/>
  <c r="RGV22" i="256"/>
  <c r="RGW22" i="256"/>
  <c r="RGX22" i="256"/>
  <c r="RGY22" i="256"/>
  <c r="RGZ22" i="256"/>
  <c r="RHA22" i="256"/>
  <c r="RHB22" i="256"/>
  <c r="RHC22" i="256"/>
  <c r="RHD22" i="256"/>
  <c r="RHE22" i="256"/>
  <c r="RHF22" i="256"/>
  <c r="RHG22" i="256"/>
  <c r="RHH22" i="256"/>
  <c r="RHI22" i="256"/>
  <c r="RHJ22" i="256"/>
  <c r="RHK22" i="256"/>
  <c r="RHL22" i="256"/>
  <c r="RHM22" i="256"/>
  <c r="RHN22" i="256"/>
  <c r="RHO22" i="256"/>
  <c r="RHP22" i="256"/>
  <c r="RHQ22" i="256"/>
  <c r="RHR22" i="256"/>
  <c r="RHS22" i="256"/>
  <c r="RHT22" i="256"/>
  <c r="RHU22" i="256"/>
  <c r="RHV22" i="256"/>
  <c r="RHW22" i="256"/>
  <c r="RHX22" i="256"/>
  <c r="RHY22" i="256"/>
  <c r="RHZ22" i="256"/>
  <c r="RIA22" i="256"/>
  <c r="RIB22" i="256"/>
  <c r="RIC22" i="256"/>
  <c r="RID22" i="256"/>
  <c r="RIE22" i="256"/>
  <c r="RIF22" i="256"/>
  <c r="RIG22" i="256"/>
  <c r="RIH22" i="256"/>
  <c r="RII22" i="256"/>
  <c r="RIJ22" i="256"/>
  <c r="RIK22" i="256"/>
  <c r="RIL22" i="256"/>
  <c r="RIM22" i="256"/>
  <c r="RIN22" i="256"/>
  <c r="RIO22" i="256"/>
  <c r="RIP22" i="256"/>
  <c r="RIQ22" i="256"/>
  <c r="RIR22" i="256"/>
  <c r="RIS22" i="256"/>
  <c r="RIT22" i="256"/>
  <c r="RIU22" i="256"/>
  <c r="RIV22" i="256"/>
  <c r="RIW22" i="256"/>
  <c r="RIX22" i="256"/>
  <c r="RIY22" i="256"/>
  <c r="RIZ22" i="256"/>
  <c r="RJA22" i="256"/>
  <c r="RJB22" i="256"/>
  <c r="RJC22" i="256"/>
  <c r="RJD22" i="256"/>
  <c r="RJE22" i="256"/>
  <c r="RJF22" i="256"/>
  <c r="RJG22" i="256"/>
  <c r="RJH22" i="256"/>
  <c r="RJI22" i="256"/>
  <c r="RJJ22" i="256"/>
  <c r="RJK22" i="256"/>
  <c r="RJL22" i="256"/>
  <c r="RJM22" i="256"/>
  <c r="RJN22" i="256"/>
  <c r="RJO22" i="256"/>
  <c r="RJP22" i="256"/>
  <c r="RJQ22" i="256"/>
  <c r="RJR22" i="256"/>
  <c r="RJS22" i="256"/>
  <c r="RJT22" i="256"/>
  <c r="RJU22" i="256"/>
  <c r="RJV22" i="256"/>
  <c r="RJW22" i="256"/>
  <c r="RJX22" i="256"/>
  <c r="RJY22" i="256"/>
  <c r="RJZ22" i="256"/>
  <c r="RKA22" i="256"/>
  <c r="RKB22" i="256"/>
  <c r="RKC22" i="256"/>
  <c r="RKD22" i="256"/>
  <c r="RKE22" i="256"/>
  <c r="RKF22" i="256"/>
  <c r="RKG22" i="256"/>
  <c r="RKH22" i="256"/>
  <c r="RKI22" i="256"/>
  <c r="RKJ22" i="256"/>
  <c r="RKK22" i="256"/>
  <c r="RKL22" i="256"/>
  <c r="RKM22" i="256"/>
  <c r="RKN22" i="256"/>
  <c r="RKO22" i="256"/>
  <c r="RKP22" i="256"/>
  <c r="RKQ22" i="256"/>
  <c r="RKR22" i="256"/>
  <c r="RKS22" i="256"/>
  <c r="RKT22" i="256"/>
  <c r="RKU22" i="256"/>
  <c r="RKV22" i="256"/>
  <c r="RKW22" i="256"/>
  <c r="RKX22" i="256"/>
  <c r="RKY22" i="256"/>
  <c r="RKZ22" i="256"/>
  <c r="RLA22" i="256"/>
  <c r="RLB22" i="256"/>
  <c r="RLC22" i="256"/>
  <c r="RLD22" i="256"/>
  <c r="RLE22" i="256"/>
  <c r="RLF22" i="256"/>
  <c r="RLG22" i="256"/>
  <c r="RLH22" i="256"/>
  <c r="RLI22" i="256"/>
  <c r="RLJ22" i="256"/>
  <c r="RLK22" i="256"/>
  <c r="RLL22" i="256"/>
  <c r="RLM22" i="256"/>
  <c r="RLN22" i="256"/>
  <c r="RLO22" i="256"/>
  <c r="RLP22" i="256"/>
  <c r="RLQ22" i="256"/>
  <c r="RLR22" i="256"/>
  <c r="RLS22" i="256"/>
  <c r="RLT22" i="256"/>
  <c r="RLU22" i="256"/>
  <c r="RLV22" i="256"/>
  <c r="RLW22" i="256"/>
  <c r="RLX22" i="256"/>
  <c r="RLY22" i="256"/>
  <c r="RLZ22" i="256"/>
  <c r="RMA22" i="256"/>
  <c r="RMB22" i="256"/>
  <c r="RMC22" i="256"/>
  <c r="RMD22" i="256"/>
  <c r="RME22" i="256"/>
  <c r="RMF22" i="256"/>
  <c r="RMG22" i="256"/>
  <c r="RMH22" i="256"/>
  <c r="RMI22" i="256"/>
  <c r="RMJ22" i="256"/>
  <c r="RMK22" i="256"/>
  <c r="RML22" i="256"/>
  <c r="RMM22" i="256"/>
  <c r="RMN22" i="256"/>
  <c r="RMO22" i="256"/>
  <c r="RMP22" i="256"/>
  <c r="RMQ22" i="256"/>
  <c r="RMR22" i="256"/>
  <c r="RMS22" i="256"/>
  <c r="RMT22" i="256"/>
  <c r="RMU22" i="256"/>
  <c r="RMV22" i="256"/>
  <c r="RMW22" i="256"/>
  <c r="RMX22" i="256"/>
  <c r="RMY22" i="256"/>
  <c r="RMZ22" i="256"/>
  <c r="RNA22" i="256"/>
  <c r="RNB22" i="256"/>
  <c r="RNC22" i="256"/>
  <c r="RND22" i="256"/>
  <c r="RNE22" i="256"/>
  <c r="RNF22" i="256"/>
  <c r="RNG22" i="256"/>
  <c r="RNH22" i="256"/>
  <c r="RNI22" i="256"/>
  <c r="RNJ22" i="256"/>
  <c r="RNK22" i="256"/>
  <c r="RNL22" i="256"/>
  <c r="RNM22" i="256"/>
  <c r="RNN22" i="256"/>
  <c r="RNO22" i="256"/>
  <c r="RNP22" i="256"/>
  <c r="RNQ22" i="256"/>
  <c r="RNR22" i="256"/>
  <c r="RNS22" i="256"/>
  <c r="RNT22" i="256"/>
  <c r="RNU22" i="256"/>
  <c r="RNV22" i="256"/>
  <c r="RNW22" i="256"/>
  <c r="RNX22" i="256"/>
  <c r="RNY22" i="256"/>
  <c r="RNZ22" i="256"/>
  <c r="ROA22" i="256"/>
  <c r="ROB22" i="256"/>
  <c r="ROC22" i="256"/>
  <c r="ROD22" i="256"/>
  <c r="ROE22" i="256"/>
  <c r="ROF22" i="256"/>
  <c r="ROG22" i="256"/>
  <c r="ROH22" i="256"/>
  <c r="ROI22" i="256"/>
  <c r="ROJ22" i="256"/>
  <c r="ROK22" i="256"/>
  <c r="ROL22" i="256"/>
  <c r="ROM22" i="256"/>
  <c r="RON22" i="256"/>
  <c r="ROO22" i="256"/>
  <c r="ROP22" i="256"/>
  <c r="ROQ22" i="256"/>
  <c r="ROR22" i="256"/>
  <c r="ROS22" i="256"/>
  <c r="ROT22" i="256"/>
  <c r="ROU22" i="256"/>
  <c r="ROV22" i="256"/>
  <c r="ROW22" i="256"/>
  <c r="ROX22" i="256"/>
  <c r="ROY22" i="256"/>
  <c r="ROZ22" i="256"/>
  <c r="RPA22" i="256"/>
  <c r="RPB22" i="256"/>
  <c r="RPC22" i="256"/>
  <c r="RPD22" i="256"/>
  <c r="RPE22" i="256"/>
  <c r="RPF22" i="256"/>
  <c r="RPG22" i="256"/>
  <c r="RPH22" i="256"/>
  <c r="RPI22" i="256"/>
  <c r="RPJ22" i="256"/>
  <c r="RPK22" i="256"/>
  <c r="RPL22" i="256"/>
  <c r="RPM22" i="256"/>
  <c r="RPN22" i="256"/>
  <c r="RPO22" i="256"/>
  <c r="RPP22" i="256"/>
  <c r="RPQ22" i="256"/>
  <c r="RPR22" i="256"/>
  <c r="RPS22" i="256"/>
  <c r="RPT22" i="256"/>
  <c r="RPU22" i="256"/>
  <c r="RPV22" i="256"/>
  <c r="RPW22" i="256"/>
  <c r="RPX22" i="256"/>
  <c r="RPY22" i="256"/>
  <c r="RPZ22" i="256"/>
  <c r="RQA22" i="256"/>
  <c r="RQB22" i="256"/>
  <c r="RQC22" i="256"/>
  <c r="RQD22" i="256"/>
  <c r="RQE22" i="256"/>
  <c r="RQF22" i="256"/>
  <c r="RQG22" i="256"/>
  <c r="RQH22" i="256"/>
  <c r="RQI22" i="256"/>
  <c r="RQJ22" i="256"/>
  <c r="RQK22" i="256"/>
  <c r="RQL22" i="256"/>
  <c r="RQM22" i="256"/>
  <c r="RQN22" i="256"/>
  <c r="RQO22" i="256"/>
  <c r="RQP22" i="256"/>
  <c r="RQQ22" i="256"/>
  <c r="RQR22" i="256"/>
  <c r="RQS22" i="256"/>
  <c r="RQT22" i="256"/>
  <c r="RQU22" i="256"/>
  <c r="RQV22" i="256"/>
  <c r="RQW22" i="256"/>
  <c r="RQX22" i="256"/>
  <c r="RQY22" i="256"/>
  <c r="RQZ22" i="256"/>
  <c r="RRA22" i="256"/>
  <c r="RRB22" i="256"/>
  <c r="RRC22" i="256"/>
  <c r="RRD22" i="256"/>
  <c r="RRE22" i="256"/>
  <c r="RRF22" i="256"/>
  <c r="RRG22" i="256"/>
  <c r="RRH22" i="256"/>
  <c r="RRI22" i="256"/>
  <c r="RRJ22" i="256"/>
  <c r="RRK22" i="256"/>
  <c r="RRL22" i="256"/>
  <c r="RRM22" i="256"/>
  <c r="RRN22" i="256"/>
  <c r="RRO22" i="256"/>
  <c r="RRP22" i="256"/>
  <c r="RRQ22" i="256"/>
  <c r="RRR22" i="256"/>
  <c r="RRS22" i="256"/>
  <c r="RRT22" i="256"/>
  <c r="RRU22" i="256"/>
  <c r="RRV22" i="256"/>
  <c r="RRW22" i="256"/>
  <c r="RRX22" i="256"/>
  <c r="RRY22" i="256"/>
  <c r="RRZ22" i="256"/>
  <c r="RSA22" i="256"/>
  <c r="RSB22" i="256"/>
  <c r="RSC22" i="256"/>
  <c r="RSD22" i="256"/>
  <c r="RSE22" i="256"/>
  <c r="RSF22" i="256"/>
  <c r="RSG22" i="256"/>
  <c r="RSH22" i="256"/>
  <c r="RSI22" i="256"/>
  <c r="RSJ22" i="256"/>
  <c r="RSK22" i="256"/>
  <c r="RSL22" i="256"/>
  <c r="RSM22" i="256"/>
  <c r="RSN22" i="256"/>
  <c r="RSO22" i="256"/>
  <c r="RSP22" i="256"/>
  <c r="RSQ22" i="256"/>
  <c r="RSR22" i="256"/>
  <c r="RSS22" i="256"/>
  <c r="RST22" i="256"/>
  <c r="RSU22" i="256"/>
  <c r="RSV22" i="256"/>
  <c r="RSW22" i="256"/>
  <c r="RSX22" i="256"/>
  <c r="RSY22" i="256"/>
  <c r="RSZ22" i="256"/>
  <c r="RTA22" i="256"/>
  <c r="RTB22" i="256"/>
  <c r="RTC22" i="256"/>
  <c r="RTD22" i="256"/>
  <c r="RTE22" i="256"/>
  <c r="RTF22" i="256"/>
  <c r="RTG22" i="256"/>
  <c r="RTH22" i="256"/>
  <c r="RTI22" i="256"/>
  <c r="RTJ22" i="256"/>
  <c r="RTK22" i="256"/>
  <c r="RTL22" i="256"/>
  <c r="RTM22" i="256"/>
  <c r="RTN22" i="256"/>
  <c r="RTO22" i="256"/>
  <c r="RTP22" i="256"/>
  <c r="RTQ22" i="256"/>
  <c r="RTR22" i="256"/>
  <c r="RTS22" i="256"/>
  <c r="RTT22" i="256"/>
  <c r="RTU22" i="256"/>
  <c r="RTV22" i="256"/>
  <c r="RTW22" i="256"/>
  <c r="RTX22" i="256"/>
  <c r="RTY22" i="256"/>
  <c r="RTZ22" i="256"/>
  <c r="RUA22" i="256"/>
  <c r="RUB22" i="256"/>
  <c r="RUC22" i="256"/>
  <c r="RUD22" i="256"/>
  <c r="RUE22" i="256"/>
  <c r="RUF22" i="256"/>
  <c r="RUG22" i="256"/>
  <c r="RUH22" i="256"/>
  <c r="RUI22" i="256"/>
  <c r="RUJ22" i="256"/>
  <c r="RUK22" i="256"/>
  <c r="RUL22" i="256"/>
  <c r="RUM22" i="256"/>
  <c r="RUN22" i="256"/>
  <c r="RUO22" i="256"/>
  <c r="RUP22" i="256"/>
  <c r="RUQ22" i="256"/>
  <c r="RUR22" i="256"/>
  <c r="RUS22" i="256"/>
  <c r="RUT22" i="256"/>
  <c r="RUU22" i="256"/>
  <c r="RUV22" i="256"/>
  <c r="RUW22" i="256"/>
  <c r="RUX22" i="256"/>
  <c r="RUY22" i="256"/>
  <c r="RUZ22" i="256"/>
  <c r="RVA22" i="256"/>
  <c r="RVB22" i="256"/>
  <c r="RVC22" i="256"/>
  <c r="RVD22" i="256"/>
  <c r="RVE22" i="256"/>
  <c r="RVF22" i="256"/>
  <c r="RVG22" i="256"/>
  <c r="RVH22" i="256"/>
  <c r="RVI22" i="256"/>
  <c r="RVJ22" i="256"/>
  <c r="RVK22" i="256"/>
  <c r="RVL22" i="256"/>
  <c r="RVM22" i="256"/>
  <c r="RVN22" i="256"/>
  <c r="RVO22" i="256"/>
  <c r="RVP22" i="256"/>
  <c r="RVQ22" i="256"/>
  <c r="RVR22" i="256"/>
  <c r="RVS22" i="256"/>
  <c r="RVT22" i="256"/>
  <c r="RVU22" i="256"/>
  <c r="RVV22" i="256"/>
  <c r="RVW22" i="256"/>
  <c r="RVX22" i="256"/>
  <c r="RVY22" i="256"/>
  <c r="RVZ22" i="256"/>
  <c r="RWA22" i="256"/>
  <c r="RWB22" i="256"/>
  <c r="RWC22" i="256"/>
  <c r="RWD22" i="256"/>
  <c r="RWE22" i="256"/>
  <c r="RWF22" i="256"/>
  <c r="RWG22" i="256"/>
  <c r="RWH22" i="256"/>
  <c r="RWI22" i="256"/>
  <c r="RWJ22" i="256"/>
  <c r="RWK22" i="256"/>
  <c r="RWL22" i="256"/>
  <c r="RWM22" i="256"/>
  <c r="RWN22" i="256"/>
  <c r="RWO22" i="256"/>
  <c r="RWP22" i="256"/>
  <c r="RWQ22" i="256"/>
  <c r="RWR22" i="256"/>
  <c r="RWS22" i="256"/>
  <c r="RWT22" i="256"/>
  <c r="RWU22" i="256"/>
  <c r="RWV22" i="256"/>
  <c r="RWW22" i="256"/>
  <c r="RWX22" i="256"/>
  <c r="RWY22" i="256"/>
  <c r="RWZ22" i="256"/>
  <c r="RXA22" i="256"/>
  <c r="RXB22" i="256"/>
  <c r="RXC22" i="256"/>
  <c r="RXD22" i="256"/>
  <c r="RXE22" i="256"/>
  <c r="RXF22" i="256"/>
  <c r="RXG22" i="256"/>
  <c r="RXH22" i="256"/>
  <c r="RXI22" i="256"/>
  <c r="RXJ22" i="256"/>
  <c r="RXK22" i="256"/>
  <c r="RXL22" i="256"/>
  <c r="RXM22" i="256"/>
  <c r="RXN22" i="256"/>
  <c r="RXO22" i="256"/>
  <c r="RXP22" i="256"/>
  <c r="RXQ22" i="256"/>
  <c r="RXR22" i="256"/>
  <c r="RXS22" i="256"/>
  <c r="RXT22" i="256"/>
  <c r="RXU22" i="256"/>
  <c r="RXV22" i="256"/>
  <c r="RXW22" i="256"/>
  <c r="RXX22" i="256"/>
  <c r="RXY22" i="256"/>
  <c r="RXZ22" i="256"/>
  <c r="RYA22" i="256"/>
  <c r="RYB22" i="256"/>
  <c r="RYC22" i="256"/>
  <c r="RYD22" i="256"/>
  <c r="RYE22" i="256"/>
  <c r="RYF22" i="256"/>
  <c r="RYG22" i="256"/>
  <c r="RYH22" i="256"/>
  <c r="RYI22" i="256"/>
  <c r="RYJ22" i="256"/>
  <c r="RYK22" i="256"/>
  <c r="RYL22" i="256"/>
  <c r="RYM22" i="256"/>
  <c r="RYN22" i="256"/>
  <c r="RYO22" i="256"/>
  <c r="RYP22" i="256"/>
  <c r="RYQ22" i="256"/>
  <c r="RYR22" i="256"/>
  <c r="RYS22" i="256"/>
  <c r="RYT22" i="256"/>
  <c r="RYU22" i="256"/>
  <c r="RYV22" i="256"/>
  <c r="RYW22" i="256"/>
  <c r="RYX22" i="256"/>
  <c r="RYY22" i="256"/>
  <c r="RYZ22" i="256"/>
  <c r="RZA22" i="256"/>
  <c r="RZB22" i="256"/>
  <c r="RZC22" i="256"/>
  <c r="RZD22" i="256"/>
  <c r="RZE22" i="256"/>
  <c r="RZF22" i="256"/>
  <c r="RZG22" i="256"/>
  <c r="RZH22" i="256"/>
  <c r="RZI22" i="256"/>
  <c r="RZJ22" i="256"/>
  <c r="RZK22" i="256"/>
  <c r="RZL22" i="256"/>
  <c r="RZM22" i="256"/>
  <c r="RZN22" i="256"/>
  <c r="RZO22" i="256"/>
  <c r="RZP22" i="256"/>
  <c r="RZQ22" i="256"/>
  <c r="RZR22" i="256"/>
  <c r="RZS22" i="256"/>
  <c r="RZT22" i="256"/>
  <c r="RZU22" i="256"/>
  <c r="RZV22" i="256"/>
  <c r="RZW22" i="256"/>
  <c r="RZX22" i="256"/>
  <c r="RZY22" i="256"/>
  <c r="RZZ22" i="256"/>
  <c r="SAA22" i="256"/>
  <c r="SAB22" i="256"/>
  <c r="SAC22" i="256"/>
  <c r="SAD22" i="256"/>
  <c r="SAE22" i="256"/>
  <c r="SAF22" i="256"/>
  <c r="SAG22" i="256"/>
  <c r="SAH22" i="256"/>
  <c r="SAI22" i="256"/>
  <c r="SAJ22" i="256"/>
  <c r="SAK22" i="256"/>
  <c r="SAL22" i="256"/>
  <c r="SAM22" i="256"/>
  <c r="SAN22" i="256"/>
  <c r="SAO22" i="256"/>
  <c r="SAP22" i="256"/>
  <c r="SAQ22" i="256"/>
  <c r="SAR22" i="256"/>
  <c r="SAS22" i="256"/>
  <c r="SAT22" i="256"/>
  <c r="SAU22" i="256"/>
  <c r="SAV22" i="256"/>
  <c r="SAW22" i="256"/>
  <c r="SAX22" i="256"/>
  <c r="SAY22" i="256"/>
  <c r="SAZ22" i="256"/>
  <c r="SBA22" i="256"/>
  <c r="SBB22" i="256"/>
  <c r="SBC22" i="256"/>
  <c r="SBD22" i="256"/>
  <c r="SBE22" i="256"/>
  <c r="SBF22" i="256"/>
  <c r="SBG22" i="256"/>
  <c r="SBH22" i="256"/>
  <c r="SBI22" i="256"/>
  <c r="SBJ22" i="256"/>
  <c r="SBK22" i="256"/>
  <c r="SBL22" i="256"/>
  <c r="SBM22" i="256"/>
  <c r="SBN22" i="256"/>
  <c r="SBO22" i="256"/>
  <c r="SBP22" i="256"/>
  <c r="SBQ22" i="256"/>
  <c r="SBR22" i="256"/>
  <c r="SBS22" i="256"/>
  <c r="SBT22" i="256"/>
  <c r="SBU22" i="256"/>
  <c r="SBV22" i="256"/>
  <c r="SBW22" i="256"/>
  <c r="SBX22" i="256"/>
  <c r="SBY22" i="256"/>
  <c r="SBZ22" i="256"/>
  <c r="SCA22" i="256"/>
  <c r="SCB22" i="256"/>
  <c r="SCC22" i="256"/>
  <c r="SCD22" i="256"/>
  <c r="SCE22" i="256"/>
  <c r="SCF22" i="256"/>
  <c r="SCG22" i="256"/>
  <c r="SCH22" i="256"/>
  <c r="SCI22" i="256"/>
  <c r="SCJ22" i="256"/>
  <c r="SCK22" i="256"/>
  <c r="SCL22" i="256"/>
  <c r="SCM22" i="256"/>
  <c r="SCN22" i="256"/>
  <c r="SCO22" i="256"/>
  <c r="SCP22" i="256"/>
  <c r="SCQ22" i="256"/>
  <c r="SCR22" i="256"/>
  <c r="SCS22" i="256"/>
  <c r="SCT22" i="256"/>
  <c r="SCU22" i="256"/>
  <c r="SCV22" i="256"/>
  <c r="SCW22" i="256"/>
  <c r="SCX22" i="256"/>
  <c r="SCY22" i="256"/>
  <c r="SCZ22" i="256"/>
  <c r="SDA22" i="256"/>
  <c r="SDB22" i="256"/>
  <c r="SDC22" i="256"/>
  <c r="SDD22" i="256"/>
  <c r="SDE22" i="256"/>
  <c r="SDF22" i="256"/>
  <c r="SDG22" i="256"/>
  <c r="SDH22" i="256"/>
  <c r="SDI22" i="256"/>
  <c r="SDJ22" i="256"/>
  <c r="SDK22" i="256"/>
  <c r="SDL22" i="256"/>
  <c r="SDM22" i="256"/>
  <c r="SDN22" i="256"/>
  <c r="SDO22" i="256"/>
  <c r="SDP22" i="256"/>
  <c r="SDQ22" i="256"/>
  <c r="SDR22" i="256"/>
  <c r="SDS22" i="256"/>
  <c r="SDT22" i="256"/>
  <c r="SDU22" i="256"/>
  <c r="SDV22" i="256"/>
  <c r="SDW22" i="256"/>
  <c r="SDX22" i="256"/>
  <c r="SDY22" i="256"/>
  <c r="SDZ22" i="256"/>
  <c r="SEA22" i="256"/>
  <c r="SEB22" i="256"/>
  <c r="SEC22" i="256"/>
  <c r="SED22" i="256"/>
  <c r="SEE22" i="256"/>
  <c r="SEF22" i="256"/>
  <c r="SEG22" i="256"/>
  <c r="SEH22" i="256"/>
  <c r="SEI22" i="256"/>
  <c r="SEJ22" i="256"/>
  <c r="SEK22" i="256"/>
  <c r="SEL22" i="256"/>
  <c r="SEM22" i="256"/>
  <c r="SEN22" i="256"/>
  <c r="SEO22" i="256"/>
  <c r="SEP22" i="256"/>
  <c r="SEQ22" i="256"/>
  <c r="SER22" i="256"/>
  <c r="SES22" i="256"/>
  <c r="SET22" i="256"/>
  <c r="SEU22" i="256"/>
  <c r="SEV22" i="256"/>
  <c r="SEW22" i="256"/>
  <c r="SEX22" i="256"/>
  <c r="SEY22" i="256"/>
  <c r="SEZ22" i="256"/>
  <c r="SFA22" i="256"/>
  <c r="SFB22" i="256"/>
  <c r="SFC22" i="256"/>
  <c r="SFD22" i="256"/>
  <c r="SFE22" i="256"/>
  <c r="SFF22" i="256"/>
  <c r="SFG22" i="256"/>
  <c r="SFH22" i="256"/>
  <c r="SFI22" i="256"/>
  <c r="SFJ22" i="256"/>
  <c r="SFK22" i="256"/>
  <c r="SFL22" i="256"/>
  <c r="SFM22" i="256"/>
  <c r="SFN22" i="256"/>
  <c r="SFO22" i="256"/>
  <c r="SFP22" i="256"/>
  <c r="SFQ22" i="256"/>
  <c r="SFR22" i="256"/>
  <c r="SFS22" i="256"/>
  <c r="SFT22" i="256"/>
  <c r="SFU22" i="256"/>
  <c r="SFV22" i="256"/>
  <c r="SFW22" i="256"/>
  <c r="SFX22" i="256"/>
  <c r="SFY22" i="256"/>
  <c r="SFZ22" i="256"/>
  <c r="SGA22" i="256"/>
  <c r="SGB22" i="256"/>
  <c r="SGC22" i="256"/>
  <c r="SGD22" i="256"/>
  <c r="SGE22" i="256"/>
  <c r="SGF22" i="256"/>
  <c r="SGG22" i="256"/>
  <c r="SGH22" i="256"/>
  <c r="SGI22" i="256"/>
  <c r="SGJ22" i="256"/>
  <c r="SGK22" i="256"/>
  <c r="SGL22" i="256"/>
  <c r="SGM22" i="256"/>
  <c r="SGN22" i="256"/>
  <c r="SGO22" i="256"/>
  <c r="SGP22" i="256"/>
  <c r="SGQ22" i="256"/>
  <c r="SGR22" i="256"/>
  <c r="SGS22" i="256"/>
  <c r="SGT22" i="256"/>
  <c r="SGU22" i="256"/>
  <c r="SGV22" i="256"/>
  <c r="SGW22" i="256"/>
  <c r="SGX22" i="256"/>
  <c r="SGY22" i="256"/>
  <c r="SGZ22" i="256"/>
  <c r="SHA22" i="256"/>
  <c r="SHB22" i="256"/>
  <c r="SHC22" i="256"/>
  <c r="SHD22" i="256"/>
  <c r="SHE22" i="256"/>
  <c r="SHF22" i="256"/>
  <c r="SHG22" i="256"/>
  <c r="SHH22" i="256"/>
  <c r="SHI22" i="256"/>
  <c r="SHJ22" i="256"/>
  <c r="SHK22" i="256"/>
  <c r="SHL22" i="256"/>
  <c r="SHM22" i="256"/>
  <c r="SHN22" i="256"/>
  <c r="SHO22" i="256"/>
  <c r="SHP22" i="256"/>
  <c r="SHQ22" i="256"/>
  <c r="SHR22" i="256"/>
  <c r="SHS22" i="256"/>
  <c r="SHT22" i="256"/>
  <c r="SHU22" i="256"/>
  <c r="SHV22" i="256"/>
  <c r="SHW22" i="256"/>
  <c r="SHX22" i="256"/>
  <c r="SHY22" i="256"/>
  <c r="SHZ22" i="256"/>
  <c r="SIA22" i="256"/>
  <c r="SIB22" i="256"/>
  <c r="SIC22" i="256"/>
  <c r="SID22" i="256"/>
  <c r="SIE22" i="256"/>
  <c r="SIF22" i="256"/>
  <c r="SIG22" i="256"/>
  <c r="SIH22" i="256"/>
  <c r="SII22" i="256"/>
  <c r="SIJ22" i="256"/>
  <c r="SIK22" i="256"/>
  <c r="SIL22" i="256"/>
  <c r="SIM22" i="256"/>
  <c r="SIN22" i="256"/>
  <c r="SIO22" i="256"/>
  <c r="SIP22" i="256"/>
  <c r="SIQ22" i="256"/>
  <c r="SIR22" i="256"/>
  <c r="SIS22" i="256"/>
  <c r="SIT22" i="256"/>
  <c r="SIU22" i="256"/>
  <c r="SIV22" i="256"/>
  <c r="SIW22" i="256"/>
  <c r="SIX22" i="256"/>
  <c r="SIY22" i="256"/>
  <c r="SIZ22" i="256"/>
  <c r="SJA22" i="256"/>
  <c r="SJB22" i="256"/>
  <c r="SJC22" i="256"/>
  <c r="SJD22" i="256"/>
  <c r="SJE22" i="256"/>
  <c r="SJF22" i="256"/>
  <c r="SJG22" i="256"/>
  <c r="SJH22" i="256"/>
  <c r="SJI22" i="256"/>
  <c r="SJJ22" i="256"/>
  <c r="SJK22" i="256"/>
  <c r="SJL22" i="256"/>
  <c r="SJM22" i="256"/>
  <c r="SJN22" i="256"/>
  <c r="SJO22" i="256"/>
  <c r="SJP22" i="256"/>
  <c r="SJQ22" i="256"/>
  <c r="SJR22" i="256"/>
  <c r="SJS22" i="256"/>
  <c r="SJT22" i="256"/>
  <c r="SJU22" i="256"/>
  <c r="SJV22" i="256"/>
  <c r="SJW22" i="256"/>
  <c r="SJX22" i="256"/>
  <c r="SJY22" i="256"/>
  <c r="SJZ22" i="256"/>
  <c r="SKA22" i="256"/>
  <c r="SKB22" i="256"/>
  <c r="SKC22" i="256"/>
  <c r="SKD22" i="256"/>
  <c r="SKE22" i="256"/>
  <c r="SKF22" i="256"/>
  <c r="SKG22" i="256"/>
  <c r="SKH22" i="256"/>
  <c r="SKI22" i="256"/>
  <c r="SKJ22" i="256"/>
  <c r="SKK22" i="256"/>
  <c r="SKL22" i="256"/>
  <c r="SKM22" i="256"/>
  <c r="SKN22" i="256"/>
  <c r="SKO22" i="256"/>
  <c r="SKP22" i="256"/>
  <c r="SKQ22" i="256"/>
  <c r="SKR22" i="256"/>
  <c r="SKS22" i="256"/>
  <c r="SKT22" i="256"/>
  <c r="SKU22" i="256"/>
  <c r="SKV22" i="256"/>
  <c r="SKW22" i="256"/>
  <c r="SKX22" i="256"/>
  <c r="SKY22" i="256"/>
  <c r="SKZ22" i="256"/>
  <c r="SLA22" i="256"/>
  <c r="SLB22" i="256"/>
  <c r="SLC22" i="256"/>
  <c r="SLD22" i="256"/>
  <c r="SLE22" i="256"/>
  <c r="SLF22" i="256"/>
  <c r="SLG22" i="256"/>
  <c r="SLH22" i="256"/>
  <c r="SLI22" i="256"/>
  <c r="SLJ22" i="256"/>
  <c r="SLK22" i="256"/>
  <c r="SLL22" i="256"/>
  <c r="SLM22" i="256"/>
  <c r="SLN22" i="256"/>
  <c r="SLO22" i="256"/>
  <c r="SLP22" i="256"/>
  <c r="SLQ22" i="256"/>
  <c r="SLR22" i="256"/>
  <c r="SLS22" i="256"/>
  <c r="SLT22" i="256"/>
  <c r="SLU22" i="256"/>
  <c r="SLV22" i="256"/>
  <c r="SLW22" i="256"/>
  <c r="SLX22" i="256"/>
  <c r="SLY22" i="256"/>
  <c r="SLZ22" i="256"/>
  <c r="SMA22" i="256"/>
  <c r="SMB22" i="256"/>
  <c r="SMC22" i="256"/>
  <c r="SMD22" i="256"/>
  <c r="SME22" i="256"/>
  <c r="SMF22" i="256"/>
  <c r="SMG22" i="256"/>
  <c r="SMH22" i="256"/>
  <c r="SMI22" i="256"/>
  <c r="SMJ22" i="256"/>
  <c r="SMK22" i="256"/>
  <c r="SML22" i="256"/>
  <c r="SMM22" i="256"/>
  <c r="SMN22" i="256"/>
  <c r="SMO22" i="256"/>
  <c r="SMP22" i="256"/>
  <c r="SMQ22" i="256"/>
  <c r="SMR22" i="256"/>
  <c r="SMS22" i="256"/>
  <c r="SMT22" i="256"/>
  <c r="SMU22" i="256"/>
  <c r="SMV22" i="256"/>
  <c r="SMW22" i="256"/>
  <c r="SMX22" i="256"/>
  <c r="SMY22" i="256"/>
  <c r="SMZ22" i="256"/>
  <c r="SNA22" i="256"/>
  <c r="SNB22" i="256"/>
  <c r="SNC22" i="256"/>
  <c r="SND22" i="256"/>
  <c r="SNE22" i="256"/>
  <c r="SNF22" i="256"/>
  <c r="SNG22" i="256"/>
  <c r="SNH22" i="256"/>
  <c r="SNI22" i="256"/>
  <c r="SNJ22" i="256"/>
  <c r="SNK22" i="256"/>
  <c r="SNL22" i="256"/>
  <c r="SNM22" i="256"/>
  <c r="SNN22" i="256"/>
  <c r="SNO22" i="256"/>
  <c r="SNP22" i="256"/>
  <c r="SNQ22" i="256"/>
  <c r="SNR22" i="256"/>
  <c r="SNS22" i="256"/>
  <c r="SNT22" i="256"/>
  <c r="SNU22" i="256"/>
  <c r="SNV22" i="256"/>
  <c r="SNW22" i="256"/>
  <c r="SNX22" i="256"/>
  <c r="SNY22" i="256"/>
  <c r="SNZ22" i="256"/>
  <c r="SOA22" i="256"/>
  <c r="SOB22" i="256"/>
  <c r="SOC22" i="256"/>
  <c r="SOD22" i="256"/>
  <c r="SOE22" i="256"/>
  <c r="SOF22" i="256"/>
  <c r="SOG22" i="256"/>
  <c r="SOH22" i="256"/>
  <c r="SOI22" i="256"/>
  <c r="SOJ22" i="256"/>
  <c r="SOK22" i="256"/>
  <c r="SOL22" i="256"/>
  <c r="SOM22" i="256"/>
  <c r="SON22" i="256"/>
  <c r="SOO22" i="256"/>
  <c r="SOP22" i="256"/>
  <c r="SOQ22" i="256"/>
  <c r="SOR22" i="256"/>
  <c r="SOS22" i="256"/>
  <c r="SOT22" i="256"/>
  <c r="SOU22" i="256"/>
  <c r="SOV22" i="256"/>
  <c r="SOW22" i="256"/>
  <c r="SOX22" i="256"/>
  <c r="SOY22" i="256"/>
  <c r="SOZ22" i="256"/>
  <c r="SPA22" i="256"/>
  <c r="SPB22" i="256"/>
  <c r="SPC22" i="256"/>
  <c r="SPD22" i="256"/>
  <c r="SPE22" i="256"/>
  <c r="SPF22" i="256"/>
  <c r="SPG22" i="256"/>
  <c r="SPH22" i="256"/>
  <c r="SPI22" i="256"/>
  <c r="SPJ22" i="256"/>
  <c r="SPK22" i="256"/>
  <c r="SPL22" i="256"/>
  <c r="SPM22" i="256"/>
  <c r="SPN22" i="256"/>
  <c r="SPO22" i="256"/>
  <c r="SPP22" i="256"/>
  <c r="SPQ22" i="256"/>
  <c r="SPR22" i="256"/>
  <c r="SPS22" i="256"/>
  <c r="SPT22" i="256"/>
  <c r="SPU22" i="256"/>
  <c r="SPV22" i="256"/>
  <c r="SPW22" i="256"/>
  <c r="SPX22" i="256"/>
  <c r="SPY22" i="256"/>
  <c r="SPZ22" i="256"/>
  <c r="SQA22" i="256"/>
  <c r="SQB22" i="256"/>
  <c r="SQC22" i="256"/>
  <c r="SQD22" i="256"/>
  <c r="SQE22" i="256"/>
  <c r="SQF22" i="256"/>
  <c r="SQG22" i="256"/>
  <c r="SQH22" i="256"/>
  <c r="SQI22" i="256"/>
  <c r="SQJ22" i="256"/>
  <c r="SQK22" i="256"/>
  <c r="SQL22" i="256"/>
  <c r="SQM22" i="256"/>
  <c r="SQN22" i="256"/>
  <c r="SQO22" i="256"/>
  <c r="SQP22" i="256"/>
  <c r="SQQ22" i="256"/>
  <c r="SQR22" i="256"/>
  <c r="SQS22" i="256"/>
  <c r="SQT22" i="256"/>
  <c r="SQU22" i="256"/>
  <c r="SQV22" i="256"/>
  <c r="SQW22" i="256"/>
  <c r="SQX22" i="256"/>
  <c r="SQY22" i="256"/>
  <c r="SQZ22" i="256"/>
  <c r="SRA22" i="256"/>
  <c r="SRB22" i="256"/>
  <c r="SRC22" i="256"/>
  <c r="SRD22" i="256"/>
  <c r="SRE22" i="256"/>
  <c r="SRF22" i="256"/>
  <c r="SRG22" i="256"/>
  <c r="SRH22" i="256"/>
  <c r="SRI22" i="256"/>
  <c r="SRJ22" i="256"/>
  <c r="SRK22" i="256"/>
  <c r="SRL22" i="256"/>
  <c r="SRM22" i="256"/>
  <c r="SRN22" i="256"/>
  <c r="SRO22" i="256"/>
  <c r="SRP22" i="256"/>
  <c r="SRQ22" i="256"/>
  <c r="SRR22" i="256"/>
  <c r="SRS22" i="256"/>
  <c r="SRT22" i="256"/>
  <c r="SRU22" i="256"/>
  <c r="SRV22" i="256"/>
  <c r="SRW22" i="256"/>
  <c r="SRX22" i="256"/>
  <c r="SRY22" i="256"/>
  <c r="SRZ22" i="256"/>
  <c r="SSA22" i="256"/>
  <c r="SSB22" i="256"/>
  <c r="SSC22" i="256"/>
  <c r="SSD22" i="256"/>
  <c r="SSE22" i="256"/>
  <c r="SSF22" i="256"/>
  <c r="SSG22" i="256"/>
  <c r="SSH22" i="256"/>
  <c r="SSI22" i="256"/>
  <c r="SSJ22" i="256"/>
  <c r="SSK22" i="256"/>
  <c r="SSL22" i="256"/>
  <c r="SSM22" i="256"/>
  <c r="SSN22" i="256"/>
  <c r="SSO22" i="256"/>
  <c r="SSP22" i="256"/>
  <c r="SSQ22" i="256"/>
  <c r="SSR22" i="256"/>
  <c r="SSS22" i="256"/>
  <c r="SST22" i="256"/>
  <c r="SSU22" i="256"/>
  <c r="SSV22" i="256"/>
  <c r="SSW22" i="256"/>
  <c r="SSX22" i="256"/>
  <c r="SSY22" i="256"/>
  <c r="SSZ22" i="256"/>
  <c r="STA22" i="256"/>
  <c r="STB22" i="256"/>
  <c r="STC22" i="256"/>
  <c r="STD22" i="256"/>
  <c r="STE22" i="256"/>
  <c r="STF22" i="256"/>
  <c r="STG22" i="256"/>
  <c r="STH22" i="256"/>
  <c r="STI22" i="256"/>
  <c r="STJ22" i="256"/>
  <c r="STK22" i="256"/>
  <c r="STL22" i="256"/>
  <c r="STM22" i="256"/>
  <c r="STN22" i="256"/>
  <c r="STO22" i="256"/>
  <c r="STP22" i="256"/>
  <c r="STQ22" i="256"/>
  <c r="STR22" i="256"/>
  <c r="STS22" i="256"/>
  <c r="STT22" i="256"/>
  <c r="STU22" i="256"/>
  <c r="STV22" i="256"/>
  <c r="STW22" i="256"/>
  <c r="STX22" i="256"/>
  <c r="STY22" i="256"/>
  <c r="STZ22" i="256"/>
  <c r="SUA22" i="256"/>
  <c r="SUB22" i="256"/>
  <c r="SUC22" i="256"/>
  <c r="SUD22" i="256"/>
  <c r="SUE22" i="256"/>
  <c r="SUF22" i="256"/>
  <c r="SUG22" i="256"/>
  <c r="SUH22" i="256"/>
  <c r="SUI22" i="256"/>
  <c r="SUJ22" i="256"/>
  <c r="SUK22" i="256"/>
  <c r="SUL22" i="256"/>
  <c r="SUM22" i="256"/>
  <c r="SUN22" i="256"/>
  <c r="SUO22" i="256"/>
  <c r="SUP22" i="256"/>
  <c r="SUQ22" i="256"/>
  <c r="SUR22" i="256"/>
  <c r="SUS22" i="256"/>
  <c r="SUT22" i="256"/>
  <c r="SUU22" i="256"/>
  <c r="SUV22" i="256"/>
  <c r="SUW22" i="256"/>
  <c r="SUX22" i="256"/>
  <c r="SUY22" i="256"/>
  <c r="SUZ22" i="256"/>
  <c r="SVA22" i="256"/>
  <c r="SVB22" i="256"/>
  <c r="SVC22" i="256"/>
  <c r="SVD22" i="256"/>
  <c r="SVE22" i="256"/>
  <c r="SVF22" i="256"/>
  <c r="SVG22" i="256"/>
  <c r="SVH22" i="256"/>
  <c r="SVI22" i="256"/>
  <c r="SVJ22" i="256"/>
  <c r="SVK22" i="256"/>
  <c r="SVL22" i="256"/>
  <c r="SVM22" i="256"/>
  <c r="SVN22" i="256"/>
  <c r="SVO22" i="256"/>
  <c r="SVP22" i="256"/>
  <c r="SVQ22" i="256"/>
  <c r="SVR22" i="256"/>
  <c r="SVS22" i="256"/>
  <c r="SVT22" i="256"/>
  <c r="SVU22" i="256"/>
  <c r="SVV22" i="256"/>
  <c r="SVW22" i="256"/>
  <c r="SVX22" i="256"/>
  <c r="SVY22" i="256"/>
  <c r="SVZ22" i="256"/>
  <c r="SWA22" i="256"/>
  <c r="SWB22" i="256"/>
  <c r="SWC22" i="256"/>
  <c r="SWD22" i="256"/>
  <c r="SWE22" i="256"/>
  <c r="SWF22" i="256"/>
  <c r="SWG22" i="256"/>
  <c r="SWH22" i="256"/>
  <c r="SWI22" i="256"/>
  <c r="SWJ22" i="256"/>
  <c r="SWK22" i="256"/>
  <c r="SWL22" i="256"/>
  <c r="SWM22" i="256"/>
  <c r="SWN22" i="256"/>
  <c r="SWO22" i="256"/>
  <c r="SWP22" i="256"/>
  <c r="SWQ22" i="256"/>
  <c r="SWR22" i="256"/>
  <c r="SWS22" i="256"/>
  <c r="SWT22" i="256"/>
  <c r="SWU22" i="256"/>
  <c r="SWV22" i="256"/>
  <c r="SWW22" i="256"/>
  <c r="SWX22" i="256"/>
  <c r="SWY22" i="256"/>
  <c r="SWZ22" i="256"/>
  <c r="SXA22" i="256"/>
  <c r="SXB22" i="256"/>
  <c r="SXC22" i="256"/>
  <c r="SXD22" i="256"/>
  <c r="SXE22" i="256"/>
  <c r="SXF22" i="256"/>
  <c r="SXG22" i="256"/>
  <c r="SXH22" i="256"/>
  <c r="SXI22" i="256"/>
  <c r="SXJ22" i="256"/>
  <c r="SXK22" i="256"/>
  <c r="SXL22" i="256"/>
  <c r="SXM22" i="256"/>
  <c r="SXN22" i="256"/>
  <c r="SXO22" i="256"/>
  <c r="SXP22" i="256"/>
  <c r="SXQ22" i="256"/>
  <c r="SXR22" i="256"/>
  <c r="SXS22" i="256"/>
  <c r="SXT22" i="256"/>
  <c r="SXU22" i="256"/>
  <c r="SXV22" i="256"/>
  <c r="SXW22" i="256"/>
  <c r="SXX22" i="256"/>
  <c r="SXY22" i="256"/>
  <c r="SXZ22" i="256"/>
  <c r="SYA22" i="256"/>
  <c r="SYB22" i="256"/>
  <c r="SYC22" i="256"/>
  <c r="SYD22" i="256"/>
  <c r="SYE22" i="256"/>
  <c r="SYF22" i="256"/>
  <c r="SYG22" i="256"/>
  <c r="SYH22" i="256"/>
  <c r="SYI22" i="256"/>
  <c r="SYJ22" i="256"/>
  <c r="SYK22" i="256"/>
  <c r="SYL22" i="256"/>
  <c r="SYM22" i="256"/>
  <c r="SYN22" i="256"/>
  <c r="SYO22" i="256"/>
  <c r="SYP22" i="256"/>
  <c r="SYQ22" i="256"/>
  <c r="SYR22" i="256"/>
  <c r="SYS22" i="256"/>
  <c r="SYT22" i="256"/>
  <c r="SYU22" i="256"/>
  <c r="SYV22" i="256"/>
  <c r="SYW22" i="256"/>
  <c r="SYX22" i="256"/>
  <c r="SYY22" i="256"/>
  <c r="SYZ22" i="256"/>
  <c r="SZA22" i="256"/>
  <c r="SZB22" i="256"/>
  <c r="SZC22" i="256"/>
  <c r="SZD22" i="256"/>
  <c r="SZE22" i="256"/>
  <c r="SZF22" i="256"/>
  <c r="SZG22" i="256"/>
  <c r="SZH22" i="256"/>
  <c r="SZI22" i="256"/>
  <c r="SZJ22" i="256"/>
  <c r="SZK22" i="256"/>
  <c r="SZL22" i="256"/>
  <c r="SZM22" i="256"/>
  <c r="SZN22" i="256"/>
  <c r="SZO22" i="256"/>
  <c r="SZP22" i="256"/>
  <c r="SZQ22" i="256"/>
  <c r="SZR22" i="256"/>
  <c r="SZS22" i="256"/>
  <c r="SZT22" i="256"/>
  <c r="SZU22" i="256"/>
  <c r="SZV22" i="256"/>
  <c r="SZW22" i="256"/>
  <c r="SZX22" i="256"/>
  <c r="SZY22" i="256"/>
  <c r="SZZ22" i="256"/>
  <c r="TAA22" i="256"/>
  <c r="TAB22" i="256"/>
  <c r="TAC22" i="256"/>
  <c r="TAD22" i="256"/>
  <c r="TAE22" i="256"/>
  <c r="TAF22" i="256"/>
  <c r="TAG22" i="256"/>
  <c r="TAH22" i="256"/>
  <c r="TAI22" i="256"/>
  <c r="TAJ22" i="256"/>
  <c r="TAK22" i="256"/>
  <c r="TAL22" i="256"/>
  <c r="TAM22" i="256"/>
  <c r="TAN22" i="256"/>
  <c r="TAO22" i="256"/>
  <c r="TAP22" i="256"/>
  <c r="TAQ22" i="256"/>
  <c r="TAR22" i="256"/>
  <c r="TAS22" i="256"/>
  <c r="TAT22" i="256"/>
  <c r="TAU22" i="256"/>
  <c r="TAV22" i="256"/>
  <c r="TAW22" i="256"/>
  <c r="TAX22" i="256"/>
  <c r="TAY22" i="256"/>
  <c r="TAZ22" i="256"/>
  <c r="TBA22" i="256"/>
  <c r="TBB22" i="256"/>
  <c r="TBC22" i="256"/>
  <c r="TBD22" i="256"/>
  <c r="TBE22" i="256"/>
  <c r="TBF22" i="256"/>
  <c r="TBG22" i="256"/>
  <c r="TBH22" i="256"/>
  <c r="TBI22" i="256"/>
  <c r="TBJ22" i="256"/>
  <c r="TBK22" i="256"/>
  <c r="TBL22" i="256"/>
  <c r="TBM22" i="256"/>
  <c r="TBN22" i="256"/>
  <c r="TBO22" i="256"/>
  <c r="TBP22" i="256"/>
  <c r="TBQ22" i="256"/>
  <c r="TBR22" i="256"/>
  <c r="TBS22" i="256"/>
  <c r="TBT22" i="256"/>
  <c r="TBU22" i="256"/>
  <c r="TBV22" i="256"/>
  <c r="TBW22" i="256"/>
  <c r="TBX22" i="256"/>
  <c r="TBY22" i="256"/>
  <c r="TBZ22" i="256"/>
  <c r="TCA22" i="256"/>
  <c r="TCB22" i="256"/>
  <c r="TCC22" i="256"/>
  <c r="TCD22" i="256"/>
  <c r="TCE22" i="256"/>
  <c r="TCF22" i="256"/>
  <c r="TCG22" i="256"/>
  <c r="TCH22" i="256"/>
  <c r="TCI22" i="256"/>
  <c r="TCJ22" i="256"/>
  <c r="TCK22" i="256"/>
  <c r="TCL22" i="256"/>
  <c r="TCM22" i="256"/>
  <c r="TCN22" i="256"/>
  <c r="TCO22" i="256"/>
  <c r="TCP22" i="256"/>
  <c r="TCQ22" i="256"/>
  <c r="TCR22" i="256"/>
  <c r="TCS22" i="256"/>
  <c r="TCT22" i="256"/>
  <c r="TCU22" i="256"/>
  <c r="TCV22" i="256"/>
  <c r="TCW22" i="256"/>
  <c r="TCX22" i="256"/>
  <c r="TCY22" i="256"/>
  <c r="TCZ22" i="256"/>
  <c r="TDA22" i="256"/>
  <c r="TDB22" i="256"/>
  <c r="TDC22" i="256"/>
  <c r="TDD22" i="256"/>
  <c r="TDE22" i="256"/>
  <c r="TDF22" i="256"/>
  <c r="TDG22" i="256"/>
  <c r="TDH22" i="256"/>
  <c r="TDI22" i="256"/>
  <c r="TDJ22" i="256"/>
  <c r="TDK22" i="256"/>
  <c r="TDL22" i="256"/>
  <c r="TDM22" i="256"/>
  <c r="TDN22" i="256"/>
  <c r="TDO22" i="256"/>
  <c r="TDP22" i="256"/>
  <c r="TDQ22" i="256"/>
  <c r="TDR22" i="256"/>
  <c r="TDS22" i="256"/>
  <c r="TDT22" i="256"/>
  <c r="TDU22" i="256"/>
  <c r="TDV22" i="256"/>
  <c r="TDW22" i="256"/>
  <c r="TDX22" i="256"/>
  <c r="TDY22" i="256"/>
  <c r="TDZ22" i="256"/>
  <c r="TEA22" i="256"/>
  <c r="TEB22" i="256"/>
  <c r="TEC22" i="256"/>
  <c r="TED22" i="256"/>
  <c r="TEE22" i="256"/>
  <c r="TEF22" i="256"/>
  <c r="TEG22" i="256"/>
  <c r="TEH22" i="256"/>
  <c r="TEI22" i="256"/>
  <c r="TEJ22" i="256"/>
  <c r="TEK22" i="256"/>
  <c r="TEL22" i="256"/>
  <c r="TEM22" i="256"/>
  <c r="TEN22" i="256"/>
  <c r="TEO22" i="256"/>
  <c r="TEP22" i="256"/>
  <c r="TEQ22" i="256"/>
  <c r="TER22" i="256"/>
  <c r="TES22" i="256"/>
  <c r="TET22" i="256"/>
  <c r="TEU22" i="256"/>
  <c r="TEV22" i="256"/>
  <c r="TEW22" i="256"/>
  <c r="TEX22" i="256"/>
  <c r="TEY22" i="256"/>
  <c r="TEZ22" i="256"/>
  <c r="TFA22" i="256"/>
  <c r="TFB22" i="256"/>
  <c r="TFC22" i="256"/>
  <c r="TFD22" i="256"/>
  <c r="TFE22" i="256"/>
  <c r="TFF22" i="256"/>
  <c r="TFG22" i="256"/>
  <c r="TFH22" i="256"/>
  <c r="TFI22" i="256"/>
  <c r="TFJ22" i="256"/>
  <c r="TFK22" i="256"/>
  <c r="TFL22" i="256"/>
  <c r="TFM22" i="256"/>
  <c r="TFN22" i="256"/>
  <c r="TFO22" i="256"/>
  <c r="TFP22" i="256"/>
  <c r="TFQ22" i="256"/>
  <c r="TFR22" i="256"/>
  <c r="TFS22" i="256"/>
  <c r="TFT22" i="256"/>
  <c r="TFU22" i="256"/>
  <c r="TFV22" i="256"/>
  <c r="TFW22" i="256"/>
  <c r="TFX22" i="256"/>
  <c r="TFY22" i="256"/>
  <c r="TFZ22" i="256"/>
  <c r="TGA22" i="256"/>
  <c r="TGB22" i="256"/>
  <c r="TGC22" i="256"/>
  <c r="TGD22" i="256"/>
  <c r="TGE22" i="256"/>
  <c r="TGF22" i="256"/>
  <c r="TGG22" i="256"/>
  <c r="TGH22" i="256"/>
  <c r="TGI22" i="256"/>
  <c r="TGJ22" i="256"/>
  <c r="TGK22" i="256"/>
  <c r="TGL22" i="256"/>
  <c r="TGM22" i="256"/>
  <c r="TGN22" i="256"/>
  <c r="TGO22" i="256"/>
  <c r="TGP22" i="256"/>
  <c r="TGQ22" i="256"/>
  <c r="TGR22" i="256"/>
  <c r="TGS22" i="256"/>
  <c r="TGT22" i="256"/>
  <c r="TGU22" i="256"/>
  <c r="TGV22" i="256"/>
  <c r="TGW22" i="256"/>
  <c r="TGX22" i="256"/>
  <c r="TGY22" i="256"/>
  <c r="TGZ22" i="256"/>
  <c r="THA22" i="256"/>
  <c r="THB22" i="256"/>
  <c r="THC22" i="256"/>
  <c r="THD22" i="256"/>
  <c r="THE22" i="256"/>
  <c r="THF22" i="256"/>
  <c r="THG22" i="256"/>
  <c r="THH22" i="256"/>
  <c r="THI22" i="256"/>
  <c r="THJ22" i="256"/>
  <c r="THK22" i="256"/>
  <c r="THL22" i="256"/>
  <c r="THM22" i="256"/>
  <c r="THN22" i="256"/>
  <c r="THO22" i="256"/>
  <c r="THP22" i="256"/>
  <c r="THQ22" i="256"/>
  <c r="THR22" i="256"/>
  <c r="THS22" i="256"/>
  <c r="THT22" i="256"/>
  <c r="THU22" i="256"/>
  <c r="THV22" i="256"/>
  <c r="THW22" i="256"/>
  <c r="THX22" i="256"/>
  <c r="THY22" i="256"/>
  <c r="THZ22" i="256"/>
  <c r="TIA22" i="256"/>
  <c r="TIB22" i="256"/>
  <c r="TIC22" i="256"/>
  <c r="TID22" i="256"/>
  <c r="TIE22" i="256"/>
  <c r="TIF22" i="256"/>
  <c r="TIG22" i="256"/>
  <c r="TIH22" i="256"/>
  <c r="TII22" i="256"/>
  <c r="TIJ22" i="256"/>
  <c r="TIK22" i="256"/>
  <c r="TIL22" i="256"/>
  <c r="TIM22" i="256"/>
  <c r="TIN22" i="256"/>
  <c r="TIO22" i="256"/>
  <c r="TIP22" i="256"/>
  <c r="TIQ22" i="256"/>
  <c r="TIR22" i="256"/>
  <c r="TIS22" i="256"/>
  <c r="TIT22" i="256"/>
  <c r="TIU22" i="256"/>
  <c r="TIV22" i="256"/>
  <c r="TIW22" i="256"/>
  <c r="TIX22" i="256"/>
  <c r="TIY22" i="256"/>
  <c r="TIZ22" i="256"/>
  <c r="TJA22" i="256"/>
  <c r="TJB22" i="256"/>
  <c r="TJC22" i="256"/>
  <c r="TJD22" i="256"/>
  <c r="TJE22" i="256"/>
  <c r="TJF22" i="256"/>
  <c r="TJG22" i="256"/>
  <c r="TJH22" i="256"/>
  <c r="TJI22" i="256"/>
  <c r="TJJ22" i="256"/>
  <c r="TJK22" i="256"/>
  <c r="TJL22" i="256"/>
  <c r="TJM22" i="256"/>
  <c r="TJN22" i="256"/>
  <c r="TJO22" i="256"/>
  <c r="TJP22" i="256"/>
  <c r="TJQ22" i="256"/>
  <c r="TJR22" i="256"/>
  <c r="TJS22" i="256"/>
  <c r="TJT22" i="256"/>
  <c r="TJU22" i="256"/>
  <c r="TJV22" i="256"/>
  <c r="TJW22" i="256"/>
  <c r="TJX22" i="256"/>
  <c r="TJY22" i="256"/>
  <c r="TJZ22" i="256"/>
  <c r="TKA22" i="256"/>
  <c r="TKB22" i="256"/>
  <c r="TKC22" i="256"/>
  <c r="TKD22" i="256"/>
  <c r="TKE22" i="256"/>
  <c r="TKF22" i="256"/>
  <c r="TKG22" i="256"/>
  <c r="TKH22" i="256"/>
  <c r="TKI22" i="256"/>
  <c r="TKJ22" i="256"/>
  <c r="TKK22" i="256"/>
  <c r="TKL22" i="256"/>
  <c r="TKM22" i="256"/>
  <c r="TKN22" i="256"/>
  <c r="TKO22" i="256"/>
  <c r="TKP22" i="256"/>
  <c r="TKQ22" i="256"/>
  <c r="TKR22" i="256"/>
  <c r="TKS22" i="256"/>
  <c r="TKT22" i="256"/>
  <c r="TKU22" i="256"/>
  <c r="TKV22" i="256"/>
  <c r="TKW22" i="256"/>
  <c r="TKX22" i="256"/>
  <c r="TKY22" i="256"/>
  <c r="TKZ22" i="256"/>
  <c r="TLA22" i="256"/>
  <c r="TLB22" i="256"/>
  <c r="TLC22" i="256"/>
  <c r="TLD22" i="256"/>
  <c r="TLE22" i="256"/>
  <c r="TLF22" i="256"/>
  <c r="TLG22" i="256"/>
  <c r="TLH22" i="256"/>
  <c r="TLI22" i="256"/>
  <c r="TLJ22" i="256"/>
  <c r="TLK22" i="256"/>
  <c r="TLL22" i="256"/>
  <c r="TLM22" i="256"/>
  <c r="TLN22" i="256"/>
  <c r="TLO22" i="256"/>
  <c r="TLP22" i="256"/>
  <c r="TLQ22" i="256"/>
  <c r="TLR22" i="256"/>
  <c r="TLS22" i="256"/>
  <c r="TLT22" i="256"/>
  <c r="TLU22" i="256"/>
  <c r="TLV22" i="256"/>
  <c r="TLW22" i="256"/>
  <c r="TLX22" i="256"/>
  <c r="TLY22" i="256"/>
  <c r="TLZ22" i="256"/>
  <c r="TMA22" i="256"/>
  <c r="TMB22" i="256"/>
  <c r="TMC22" i="256"/>
  <c r="TMD22" i="256"/>
  <c r="TME22" i="256"/>
  <c r="TMF22" i="256"/>
  <c r="TMG22" i="256"/>
  <c r="TMH22" i="256"/>
  <c r="TMI22" i="256"/>
  <c r="TMJ22" i="256"/>
  <c r="TMK22" i="256"/>
  <c r="TML22" i="256"/>
  <c r="TMM22" i="256"/>
  <c r="TMN22" i="256"/>
  <c r="TMO22" i="256"/>
  <c r="TMP22" i="256"/>
  <c r="TMQ22" i="256"/>
  <c r="TMR22" i="256"/>
  <c r="TMS22" i="256"/>
  <c r="TMT22" i="256"/>
  <c r="TMU22" i="256"/>
  <c r="TMV22" i="256"/>
  <c r="TMW22" i="256"/>
  <c r="TMX22" i="256"/>
  <c r="TMY22" i="256"/>
  <c r="TMZ22" i="256"/>
  <c r="TNA22" i="256"/>
  <c r="TNB22" i="256"/>
  <c r="TNC22" i="256"/>
  <c r="TND22" i="256"/>
  <c r="TNE22" i="256"/>
  <c r="TNF22" i="256"/>
  <c r="TNG22" i="256"/>
  <c r="TNH22" i="256"/>
  <c r="TNI22" i="256"/>
  <c r="TNJ22" i="256"/>
  <c r="TNK22" i="256"/>
  <c r="TNL22" i="256"/>
  <c r="TNM22" i="256"/>
  <c r="TNN22" i="256"/>
  <c r="TNO22" i="256"/>
  <c r="TNP22" i="256"/>
  <c r="TNQ22" i="256"/>
  <c r="TNR22" i="256"/>
  <c r="TNS22" i="256"/>
  <c r="TNT22" i="256"/>
  <c r="TNU22" i="256"/>
  <c r="TNV22" i="256"/>
  <c r="TNW22" i="256"/>
  <c r="TNX22" i="256"/>
  <c r="TNY22" i="256"/>
  <c r="TNZ22" i="256"/>
  <c r="TOA22" i="256"/>
  <c r="TOB22" i="256"/>
  <c r="TOC22" i="256"/>
  <c r="TOD22" i="256"/>
  <c r="TOE22" i="256"/>
  <c r="TOF22" i="256"/>
  <c r="TOG22" i="256"/>
  <c r="TOH22" i="256"/>
  <c r="TOI22" i="256"/>
  <c r="TOJ22" i="256"/>
  <c r="TOK22" i="256"/>
  <c r="TOL22" i="256"/>
  <c r="TOM22" i="256"/>
  <c r="TON22" i="256"/>
  <c r="TOO22" i="256"/>
  <c r="TOP22" i="256"/>
  <c r="TOQ22" i="256"/>
  <c r="TOR22" i="256"/>
  <c r="TOS22" i="256"/>
  <c r="TOT22" i="256"/>
  <c r="TOU22" i="256"/>
  <c r="TOV22" i="256"/>
  <c r="TOW22" i="256"/>
  <c r="TOX22" i="256"/>
  <c r="TOY22" i="256"/>
  <c r="TOZ22" i="256"/>
  <c r="TPA22" i="256"/>
  <c r="TPB22" i="256"/>
  <c r="TPC22" i="256"/>
  <c r="TPD22" i="256"/>
  <c r="TPE22" i="256"/>
  <c r="TPF22" i="256"/>
  <c r="TPG22" i="256"/>
  <c r="TPH22" i="256"/>
  <c r="TPI22" i="256"/>
  <c r="TPJ22" i="256"/>
  <c r="TPK22" i="256"/>
  <c r="TPL22" i="256"/>
  <c r="TPM22" i="256"/>
  <c r="TPN22" i="256"/>
  <c r="TPO22" i="256"/>
  <c r="TPP22" i="256"/>
  <c r="TPQ22" i="256"/>
  <c r="TPR22" i="256"/>
  <c r="TPS22" i="256"/>
  <c r="TPT22" i="256"/>
  <c r="TPU22" i="256"/>
  <c r="TPV22" i="256"/>
  <c r="TPW22" i="256"/>
  <c r="TPX22" i="256"/>
  <c r="TPY22" i="256"/>
  <c r="TPZ22" i="256"/>
  <c r="TQA22" i="256"/>
  <c r="TQB22" i="256"/>
  <c r="TQC22" i="256"/>
  <c r="TQD22" i="256"/>
  <c r="TQE22" i="256"/>
  <c r="TQF22" i="256"/>
  <c r="TQG22" i="256"/>
  <c r="TQH22" i="256"/>
  <c r="TQI22" i="256"/>
  <c r="TQJ22" i="256"/>
  <c r="TQK22" i="256"/>
  <c r="TQL22" i="256"/>
  <c r="TQM22" i="256"/>
  <c r="TQN22" i="256"/>
  <c r="TQO22" i="256"/>
  <c r="TQP22" i="256"/>
  <c r="TQQ22" i="256"/>
  <c r="TQR22" i="256"/>
  <c r="TQS22" i="256"/>
  <c r="TQT22" i="256"/>
  <c r="TQU22" i="256"/>
  <c r="TQV22" i="256"/>
  <c r="TQW22" i="256"/>
  <c r="TQX22" i="256"/>
  <c r="TQY22" i="256"/>
  <c r="TQZ22" i="256"/>
  <c r="TRA22" i="256"/>
  <c r="TRB22" i="256"/>
  <c r="TRC22" i="256"/>
  <c r="TRD22" i="256"/>
  <c r="TRE22" i="256"/>
  <c r="TRF22" i="256"/>
  <c r="TRG22" i="256"/>
  <c r="TRH22" i="256"/>
  <c r="TRI22" i="256"/>
  <c r="TRJ22" i="256"/>
  <c r="TRK22" i="256"/>
  <c r="TRL22" i="256"/>
  <c r="TRM22" i="256"/>
  <c r="TRN22" i="256"/>
  <c r="TRO22" i="256"/>
  <c r="TRP22" i="256"/>
  <c r="TRQ22" i="256"/>
  <c r="TRR22" i="256"/>
  <c r="TRS22" i="256"/>
  <c r="TRT22" i="256"/>
  <c r="TRU22" i="256"/>
  <c r="TRV22" i="256"/>
  <c r="TRW22" i="256"/>
  <c r="TRX22" i="256"/>
  <c r="TRY22" i="256"/>
  <c r="TRZ22" i="256"/>
  <c r="TSA22" i="256"/>
  <c r="TSB22" i="256"/>
  <c r="TSC22" i="256"/>
  <c r="TSD22" i="256"/>
  <c r="TSE22" i="256"/>
  <c r="TSF22" i="256"/>
  <c r="TSG22" i="256"/>
  <c r="TSH22" i="256"/>
  <c r="TSI22" i="256"/>
  <c r="TSJ22" i="256"/>
  <c r="TSK22" i="256"/>
  <c r="TSL22" i="256"/>
  <c r="TSM22" i="256"/>
  <c r="TSN22" i="256"/>
  <c r="TSO22" i="256"/>
  <c r="TSP22" i="256"/>
  <c r="TSQ22" i="256"/>
  <c r="TSR22" i="256"/>
  <c r="TSS22" i="256"/>
  <c r="TST22" i="256"/>
  <c r="TSU22" i="256"/>
  <c r="TSV22" i="256"/>
  <c r="TSW22" i="256"/>
  <c r="TSX22" i="256"/>
  <c r="TSY22" i="256"/>
  <c r="TSZ22" i="256"/>
  <c r="TTA22" i="256"/>
  <c r="TTB22" i="256"/>
  <c r="TTC22" i="256"/>
  <c r="TTD22" i="256"/>
  <c r="TTE22" i="256"/>
  <c r="TTF22" i="256"/>
  <c r="TTG22" i="256"/>
  <c r="TTH22" i="256"/>
  <c r="TTI22" i="256"/>
  <c r="TTJ22" i="256"/>
  <c r="TTK22" i="256"/>
  <c r="TTL22" i="256"/>
  <c r="TTM22" i="256"/>
  <c r="TTN22" i="256"/>
  <c r="TTO22" i="256"/>
  <c r="TTP22" i="256"/>
  <c r="TTQ22" i="256"/>
  <c r="TTR22" i="256"/>
  <c r="TTS22" i="256"/>
  <c r="TTT22" i="256"/>
  <c r="TTU22" i="256"/>
  <c r="TTV22" i="256"/>
  <c r="TTW22" i="256"/>
  <c r="TTX22" i="256"/>
  <c r="TTY22" i="256"/>
  <c r="TTZ22" i="256"/>
  <c r="TUA22" i="256"/>
  <c r="TUB22" i="256"/>
  <c r="TUC22" i="256"/>
  <c r="TUD22" i="256"/>
  <c r="TUE22" i="256"/>
  <c r="TUF22" i="256"/>
  <c r="TUG22" i="256"/>
  <c r="TUH22" i="256"/>
  <c r="TUI22" i="256"/>
  <c r="TUJ22" i="256"/>
  <c r="TUK22" i="256"/>
  <c r="TUL22" i="256"/>
  <c r="TUM22" i="256"/>
  <c r="TUN22" i="256"/>
  <c r="TUO22" i="256"/>
  <c r="TUP22" i="256"/>
  <c r="TUQ22" i="256"/>
  <c r="TUR22" i="256"/>
  <c r="TUS22" i="256"/>
  <c r="TUT22" i="256"/>
  <c r="TUU22" i="256"/>
  <c r="TUV22" i="256"/>
  <c r="TUW22" i="256"/>
  <c r="TUX22" i="256"/>
  <c r="TUY22" i="256"/>
  <c r="TUZ22" i="256"/>
  <c r="TVA22" i="256"/>
  <c r="TVB22" i="256"/>
  <c r="TVC22" i="256"/>
  <c r="TVD22" i="256"/>
  <c r="TVE22" i="256"/>
  <c r="TVF22" i="256"/>
  <c r="TVG22" i="256"/>
  <c r="TVH22" i="256"/>
  <c r="TVI22" i="256"/>
  <c r="TVJ22" i="256"/>
  <c r="TVK22" i="256"/>
  <c r="TVL22" i="256"/>
  <c r="TVM22" i="256"/>
  <c r="TVN22" i="256"/>
  <c r="TVO22" i="256"/>
  <c r="TVP22" i="256"/>
  <c r="TVQ22" i="256"/>
  <c r="TVR22" i="256"/>
  <c r="TVS22" i="256"/>
  <c r="TVT22" i="256"/>
  <c r="TVU22" i="256"/>
  <c r="TVV22" i="256"/>
  <c r="TVW22" i="256"/>
  <c r="TVX22" i="256"/>
  <c r="TVY22" i="256"/>
  <c r="TVZ22" i="256"/>
  <c r="TWA22" i="256"/>
  <c r="TWB22" i="256"/>
  <c r="TWC22" i="256"/>
  <c r="TWD22" i="256"/>
  <c r="TWE22" i="256"/>
  <c r="TWF22" i="256"/>
  <c r="TWG22" i="256"/>
  <c r="TWH22" i="256"/>
  <c r="TWI22" i="256"/>
  <c r="TWJ22" i="256"/>
  <c r="TWK22" i="256"/>
  <c r="TWL22" i="256"/>
  <c r="TWM22" i="256"/>
  <c r="TWN22" i="256"/>
  <c r="TWO22" i="256"/>
  <c r="TWP22" i="256"/>
  <c r="TWQ22" i="256"/>
  <c r="TWR22" i="256"/>
  <c r="TWS22" i="256"/>
  <c r="TWT22" i="256"/>
  <c r="TWU22" i="256"/>
  <c r="TWV22" i="256"/>
  <c r="TWW22" i="256"/>
  <c r="TWX22" i="256"/>
  <c r="TWY22" i="256"/>
  <c r="TWZ22" i="256"/>
  <c r="TXA22" i="256"/>
  <c r="TXB22" i="256"/>
  <c r="TXC22" i="256"/>
  <c r="TXD22" i="256"/>
  <c r="TXE22" i="256"/>
  <c r="TXF22" i="256"/>
  <c r="TXG22" i="256"/>
  <c r="TXH22" i="256"/>
  <c r="TXI22" i="256"/>
  <c r="TXJ22" i="256"/>
  <c r="TXK22" i="256"/>
  <c r="TXL22" i="256"/>
  <c r="TXM22" i="256"/>
  <c r="TXN22" i="256"/>
  <c r="TXO22" i="256"/>
  <c r="TXP22" i="256"/>
  <c r="TXQ22" i="256"/>
  <c r="TXR22" i="256"/>
  <c r="TXS22" i="256"/>
  <c r="TXT22" i="256"/>
  <c r="TXU22" i="256"/>
  <c r="TXV22" i="256"/>
  <c r="TXW22" i="256"/>
  <c r="TXX22" i="256"/>
  <c r="TXY22" i="256"/>
  <c r="TXZ22" i="256"/>
  <c r="TYA22" i="256"/>
  <c r="TYB22" i="256"/>
  <c r="TYC22" i="256"/>
  <c r="TYD22" i="256"/>
  <c r="TYE22" i="256"/>
  <c r="TYF22" i="256"/>
  <c r="TYG22" i="256"/>
  <c r="TYH22" i="256"/>
  <c r="TYI22" i="256"/>
  <c r="TYJ22" i="256"/>
  <c r="TYK22" i="256"/>
  <c r="TYL22" i="256"/>
  <c r="TYM22" i="256"/>
  <c r="TYN22" i="256"/>
  <c r="TYO22" i="256"/>
  <c r="TYP22" i="256"/>
  <c r="TYQ22" i="256"/>
  <c r="TYR22" i="256"/>
  <c r="TYS22" i="256"/>
  <c r="TYT22" i="256"/>
  <c r="TYU22" i="256"/>
  <c r="TYV22" i="256"/>
  <c r="TYW22" i="256"/>
  <c r="TYX22" i="256"/>
  <c r="TYY22" i="256"/>
  <c r="TYZ22" i="256"/>
  <c r="TZA22" i="256"/>
  <c r="TZB22" i="256"/>
  <c r="TZC22" i="256"/>
  <c r="TZD22" i="256"/>
  <c r="TZE22" i="256"/>
  <c r="TZF22" i="256"/>
  <c r="TZG22" i="256"/>
  <c r="TZH22" i="256"/>
  <c r="TZI22" i="256"/>
  <c r="TZJ22" i="256"/>
  <c r="TZK22" i="256"/>
  <c r="TZL22" i="256"/>
  <c r="TZM22" i="256"/>
  <c r="TZN22" i="256"/>
  <c r="TZO22" i="256"/>
  <c r="TZP22" i="256"/>
  <c r="TZQ22" i="256"/>
  <c r="TZR22" i="256"/>
  <c r="TZS22" i="256"/>
  <c r="TZT22" i="256"/>
  <c r="TZU22" i="256"/>
  <c r="TZV22" i="256"/>
  <c r="TZW22" i="256"/>
  <c r="TZX22" i="256"/>
  <c r="TZY22" i="256"/>
  <c r="TZZ22" i="256"/>
  <c r="UAA22" i="256"/>
  <c r="UAB22" i="256"/>
  <c r="UAC22" i="256"/>
  <c r="UAD22" i="256"/>
  <c r="UAE22" i="256"/>
  <c r="UAF22" i="256"/>
  <c r="UAG22" i="256"/>
  <c r="UAH22" i="256"/>
  <c r="UAI22" i="256"/>
  <c r="UAJ22" i="256"/>
  <c r="UAK22" i="256"/>
  <c r="UAL22" i="256"/>
  <c r="UAM22" i="256"/>
  <c r="UAN22" i="256"/>
  <c r="UAO22" i="256"/>
  <c r="UAP22" i="256"/>
  <c r="UAQ22" i="256"/>
  <c r="UAR22" i="256"/>
  <c r="UAS22" i="256"/>
  <c r="UAT22" i="256"/>
  <c r="UAU22" i="256"/>
  <c r="UAV22" i="256"/>
  <c r="UAW22" i="256"/>
  <c r="UAX22" i="256"/>
  <c r="UAY22" i="256"/>
  <c r="UAZ22" i="256"/>
  <c r="UBA22" i="256"/>
  <c r="UBB22" i="256"/>
  <c r="UBC22" i="256"/>
  <c r="UBD22" i="256"/>
  <c r="UBE22" i="256"/>
  <c r="UBF22" i="256"/>
  <c r="UBG22" i="256"/>
  <c r="UBH22" i="256"/>
  <c r="UBI22" i="256"/>
  <c r="UBJ22" i="256"/>
  <c r="UBK22" i="256"/>
  <c r="UBL22" i="256"/>
  <c r="UBM22" i="256"/>
  <c r="UBN22" i="256"/>
  <c r="UBO22" i="256"/>
  <c r="UBP22" i="256"/>
  <c r="UBQ22" i="256"/>
  <c r="UBR22" i="256"/>
  <c r="UBS22" i="256"/>
  <c r="UBT22" i="256"/>
  <c r="UBU22" i="256"/>
  <c r="UBV22" i="256"/>
  <c r="UBW22" i="256"/>
  <c r="UBX22" i="256"/>
  <c r="UBY22" i="256"/>
  <c r="UBZ22" i="256"/>
  <c r="UCA22" i="256"/>
  <c r="UCB22" i="256"/>
  <c r="UCC22" i="256"/>
  <c r="UCD22" i="256"/>
  <c r="UCE22" i="256"/>
  <c r="UCF22" i="256"/>
  <c r="UCG22" i="256"/>
  <c r="UCH22" i="256"/>
  <c r="UCI22" i="256"/>
  <c r="UCJ22" i="256"/>
  <c r="UCK22" i="256"/>
  <c r="UCL22" i="256"/>
  <c r="UCM22" i="256"/>
  <c r="UCN22" i="256"/>
  <c r="UCO22" i="256"/>
  <c r="UCP22" i="256"/>
  <c r="UCQ22" i="256"/>
  <c r="UCR22" i="256"/>
  <c r="UCS22" i="256"/>
  <c r="UCT22" i="256"/>
  <c r="UCU22" i="256"/>
  <c r="UCV22" i="256"/>
  <c r="UCW22" i="256"/>
  <c r="UCX22" i="256"/>
  <c r="UCY22" i="256"/>
  <c r="UCZ22" i="256"/>
  <c r="UDA22" i="256"/>
  <c r="UDB22" i="256"/>
  <c r="UDC22" i="256"/>
  <c r="UDD22" i="256"/>
  <c r="UDE22" i="256"/>
  <c r="UDF22" i="256"/>
  <c r="UDG22" i="256"/>
  <c r="UDH22" i="256"/>
  <c r="UDI22" i="256"/>
  <c r="UDJ22" i="256"/>
  <c r="UDK22" i="256"/>
  <c r="UDL22" i="256"/>
  <c r="UDM22" i="256"/>
  <c r="UDN22" i="256"/>
  <c r="UDO22" i="256"/>
  <c r="UDP22" i="256"/>
  <c r="UDQ22" i="256"/>
  <c r="UDR22" i="256"/>
  <c r="UDS22" i="256"/>
  <c r="UDT22" i="256"/>
  <c r="UDU22" i="256"/>
  <c r="UDV22" i="256"/>
  <c r="UDW22" i="256"/>
  <c r="UDX22" i="256"/>
  <c r="UDY22" i="256"/>
  <c r="UDZ22" i="256"/>
  <c r="UEA22" i="256"/>
  <c r="UEB22" i="256"/>
  <c r="UEC22" i="256"/>
  <c r="UED22" i="256"/>
  <c r="UEE22" i="256"/>
  <c r="UEF22" i="256"/>
  <c r="UEG22" i="256"/>
  <c r="UEH22" i="256"/>
  <c r="UEI22" i="256"/>
  <c r="UEJ22" i="256"/>
  <c r="UEK22" i="256"/>
  <c r="UEL22" i="256"/>
  <c r="UEM22" i="256"/>
  <c r="UEN22" i="256"/>
  <c r="UEO22" i="256"/>
  <c r="UEP22" i="256"/>
  <c r="UEQ22" i="256"/>
  <c r="UER22" i="256"/>
  <c r="UES22" i="256"/>
  <c r="UET22" i="256"/>
  <c r="UEU22" i="256"/>
  <c r="UEV22" i="256"/>
  <c r="UEW22" i="256"/>
  <c r="UEX22" i="256"/>
  <c r="UEY22" i="256"/>
  <c r="UEZ22" i="256"/>
  <c r="UFA22" i="256"/>
  <c r="UFB22" i="256"/>
  <c r="UFC22" i="256"/>
  <c r="UFD22" i="256"/>
  <c r="UFE22" i="256"/>
  <c r="UFF22" i="256"/>
  <c r="UFG22" i="256"/>
  <c r="UFH22" i="256"/>
  <c r="UFI22" i="256"/>
  <c r="UFJ22" i="256"/>
  <c r="UFK22" i="256"/>
  <c r="UFL22" i="256"/>
  <c r="UFM22" i="256"/>
  <c r="UFN22" i="256"/>
  <c r="UFO22" i="256"/>
  <c r="UFP22" i="256"/>
  <c r="UFQ22" i="256"/>
  <c r="UFR22" i="256"/>
  <c r="UFS22" i="256"/>
  <c r="UFT22" i="256"/>
  <c r="UFU22" i="256"/>
  <c r="UFV22" i="256"/>
  <c r="UFW22" i="256"/>
  <c r="UFX22" i="256"/>
  <c r="UFY22" i="256"/>
  <c r="UFZ22" i="256"/>
  <c r="UGA22" i="256"/>
  <c r="UGB22" i="256"/>
  <c r="UGC22" i="256"/>
  <c r="UGD22" i="256"/>
  <c r="UGE22" i="256"/>
  <c r="UGF22" i="256"/>
  <c r="UGG22" i="256"/>
  <c r="UGH22" i="256"/>
  <c r="UGI22" i="256"/>
  <c r="UGJ22" i="256"/>
  <c r="UGK22" i="256"/>
  <c r="UGL22" i="256"/>
  <c r="UGM22" i="256"/>
  <c r="UGN22" i="256"/>
  <c r="UGO22" i="256"/>
  <c r="UGP22" i="256"/>
  <c r="UGQ22" i="256"/>
  <c r="UGR22" i="256"/>
  <c r="UGS22" i="256"/>
  <c r="UGT22" i="256"/>
  <c r="UGU22" i="256"/>
  <c r="UGV22" i="256"/>
  <c r="UGW22" i="256"/>
  <c r="UGX22" i="256"/>
  <c r="UGY22" i="256"/>
  <c r="UGZ22" i="256"/>
  <c r="UHA22" i="256"/>
  <c r="UHB22" i="256"/>
  <c r="UHC22" i="256"/>
  <c r="UHD22" i="256"/>
  <c r="UHE22" i="256"/>
  <c r="UHF22" i="256"/>
  <c r="UHG22" i="256"/>
  <c r="UHH22" i="256"/>
  <c r="UHI22" i="256"/>
  <c r="UHJ22" i="256"/>
  <c r="UHK22" i="256"/>
  <c r="UHL22" i="256"/>
  <c r="UHM22" i="256"/>
  <c r="UHN22" i="256"/>
  <c r="UHO22" i="256"/>
  <c r="UHP22" i="256"/>
  <c r="UHQ22" i="256"/>
  <c r="UHR22" i="256"/>
  <c r="UHS22" i="256"/>
  <c r="UHT22" i="256"/>
  <c r="UHU22" i="256"/>
  <c r="UHV22" i="256"/>
  <c r="UHW22" i="256"/>
  <c r="UHX22" i="256"/>
  <c r="UHY22" i="256"/>
  <c r="UHZ22" i="256"/>
  <c r="UIA22" i="256"/>
  <c r="UIB22" i="256"/>
  <c r="UIC22" i="256"/>
  <c r="UID22" i="256"/>
  <c r="UIE22" i="256"/>
  <c r="UIF22" i="256"/>
  <c r="UIG22" i="256"/>
  <c r="UIH22" i="256"/>
  <c r="UII22" i="256"/>
  <c r="UIJ22" i="256"/>
  <c r="UIK22" i="256"/>
  <c r="UIL22" i="256"/>
  <c r="UIM22" i="256"/>
  <c r="UIN22" i="256"/>
  <c r="UIO22" i="256"/>
  <c r="UIP22" i="256"/>
  <c r="UIQ22" i="256"/>
  <c r="UIR22" i="256"/>
  <c r="UIS22" i="256"/>
  <c r="UIT22" i="256"/>
  <c r="UIU22" i="256"/>
  <c r="UIV22" i="256"/>
  <c r="UIW22" i="256"/>
  <c r="UIX22" i="256"/>
  <c r="UIY22" i="256"/>
  <c r="UIZ22" i="256"/>
  <c r="UJA22" i="256"/>
  <c r="UJB22" i="256"/>
  <c r="UJC22" i="256"/>
  <c r="UJD22" i="256"/>
  <c r="UJE22" i="256"/>
  <c r="UJF22" i="256"/>
  <c r="UJG22" i="256"/>
  <c r="UJH22" i="256"/>
  <c r="UJI22" i="256"/>
  <c r="UJJ22" i="256"/>
  <c r="UJK22" i="256"/>
  <c r="UJL22" i="256"/>
  <c r="UJM22" i="256"/>
  <c r="UJN22" i="256"/>
  <c r="UJO22" i="256"/>
  <c r="UJP22" i="256"/>
  <c r="UJQ22" i="256"/>
  <c r="UJR22" i="256"/>
  <c r="UJS22" i="256"/>
  <c r="UJT22" i="256"/>
  <c r="UJU22" i="256"/>
  <c r="UJV22" i="256"/>
  <c r="UJW22" i="256"/>
  <c r="UJX22" i="256"/>
  <c r="UJY22" i="256"/>
  <c r="UJZ22" i="256"/>
  <c r="UKA22" i="256"/>
  <c r="UKB22" i="256"/>
  <c r="UKC22" i="256"/>
  <c r="UKD22" i="256"/>
  <c r="UKE22" i="256"/>
  <c r="UKF22" i="256"/>
  <c r="UKG22" i="256"/>
  <c r="UKH22" i="256"/>
  <c r="UKI22" i="256"/>
  <c r="UKJ22" i="256"/>
  <c r="UKK22" i="256"/>
  <c r="UKL22" i="256"/>
  <c r="UKM22" i="256"/>
  <c r="UKN22" i="256"/>
  <c r="UKO22" i="256"/>
  <c r="UKP22" i="256"/>
  <c r="UKQ22" i="256"/>
  <c r="UKR22" i="256"/>
  <c r="UKS22" i="256"/>
  <c r="UKT22" i="256"/>
  <c r="UKU22" i="256"/>
  <c r="UKV22" i="256"/>
  <c r="UKW22" i="256"/>
  <c r="UKX22" i="256"/>
  <c r="UKY22" i="256"/>
  <c r="UKZ22" i="256"/>
  <c r="ULA22" i="256"/>
  <c r="ULB22" i="256"/>
  <c r="ULC22" i="256"/>
  <c r="ULD22" i="256"/>
  <c r="ULE22" i="256"/>
  <c r="ULF22" i="256"/>
  <c r="ULG22" i="256"/>
  <c r="ULH22" i="256"/>
  <c r="ULI22" i="256"/>
  <c r="ULJ22" i="256"/>
  <c r="ULK22" i="256"/>
  <c r="ULL22" i="256"/>
  <c r="ULM22" i="256"/>
  <c r="ULN22" i="256"/>
  <c r="ULO22" i="256"/>
  <c r="ULP22" i="256"/>
  <c r="ULQ22" i="256"/>
  <c r="ULR22" i="256"/>
  <c r="ULS22" i="256"/>
  <c r="ULT22" i="256"/>
  <c r="ULU22" i="256"/>
  <c r="ULV22" i="256"/>
  <c r="ULW22" i="256"/>
  <c r="ULX22" i="256"/>
  <c r="ULY22" i="256"/>
  <c r="ULZ22" i="256"/>
  <c r="UMA22" i="256"/>
  <c r="UMB22" i="256"/>
  <c r="UMC22" i="256"/>
  <c r="UMD22" i="256"/>
  <c r="UME22" i="256"/>
  <c r="UMF22" i="256"/>
  <c r="UMG22" i="256"/>
  <c r="UMH22" i="256"/>
  <c r="UMI22" i="256"/>
  <c r="UMJ22" i="256"/>
  <c r="UMK22" i="256"/>
  <c r="UML22" i="256"/>
  <c r="UMM22" i="256"/>
  <c r="UMN22" i="256"/>
  <c r="UMO22" i="256"/>
  <c r="UMP22" i="256"/>
  <c r="UMQ22" i="256"/>
  <c r="UMR22" i="256"/>
  <c r="UMS22" i="256"/>
  <c r="UMT22" i="256"/>
  <c r="UMU22" i="256"/>
  <c r="UMV22" i="256"/>
  <c r="UMW22" i="256"/>
  <c r="UMX22" i="256"/>
  <c r="UMY22" i="256"/>
  <c r="UMZ22" i="256"/>
  <c r="UNA22" i="256"/>
  <c r="UNB22" i="256"/>
  <c r="UNC22" i="256"/>
  <c r="UND22" i="256"/>
  <c r="UNE22" i="256"/>
  <c r="UNF22" i="256"/>
  <c r="UNG22" i="256"/>
  <c r="UNH22" i="256"/>
  <c r="UNI22" i="256"/>
  <c r="UNJ22" i="256"/>
  <c r="UNK22" i="256"/>
  <c r="UNL22" i="256"/>
  <c r="UNM22" i="256"/>
  <c r="UNN22" i="256"/>
  <c r="UNO22" i="256"/>
  <c r="UNP22" i="256"/>
  <c r="UNQ22" i="256"/>
  <c r="UNR22" i="256"/>
  <c r="UNS22" i="256"/>
  <c r="UNT22" i="256"/>
  <c r="UNU22" i="256"/>
  <c r="UNV22" i="256"/>
  <c r="UNW22" i="256"/>
  <c r="UNX22" i="256"/>
  <c r="UNY22" i="256"/>
  <c r="UNZ22" i="256"/>
  <c r="UOA22" i="256"/>
  <c r="UOB22" i="256"/>
  <c r="UOC22" i="256"/>
  <c r="UOD22" i="256"/>
  <c r="UOE22" i="256"/>
  <c r="UOF22" i="256"/>
  <c r="UOG22" i="256"/>
  <c r="UOH22" i="256"/>
  <c r="UOI22" i="256"/>
  <c r="UOJ22" i="256"/>
  <c r="UOK22" i="256"/>
  <c r="UOL22" i="256"/>
  <c r="UOM22" i="256"/>
  <c r="UON22" i="256"/>
  <c r="UOO22" i="256"/>
  <c r="UOP22" i="256"/>
  <c r="UOQ22" i="256"/>
  <c r="UOR22" i="256"/>
  <c r="UOS22" i="256"/>
  <c r="UOT22" i="256"/>
  <c r="UOU22" i="256"/>
  <c r="UOV22" i="256"/>
  <c r="UOW22" i="256"/>
  <c r="UOX22" i="256"/>
  <c r="UOY22" i="256"/>
  <c r="UOZ22" i="256"/>
  <c r="UPA22" i="256"/>
  <c r="UPB22" i="256"/>
  <c r="UPC22" i="256"/>
  <c r="UPD22" i="256"/>
  <c r="UPE22" i="256"/>
  <c r="UPF22" i="256"/>
  <c r="UPG22" i="256"/>
  <c r="UPH22" i="256"/>
  <c r="UPI22" i="256"/>
  <c r="UPJ22" i="256"/>
  <c r="UPK22" i="256"/>
  <c r="UPL22" i="256"/>
  <c r="UPM22" i="256"/>
  <c r="UPN22" i="256"/>
  <c r="UPO22" i="256"/>
  <c r="UPP22" i="256"/>
  <c r="UPQ22" i="256"/>
  <c r="UPR22" i="256"/>
  <c r="UPS22" i="256"/>
  <c r="UPT22" i="256"/>
  <c r="UPU22" i="256"/>
  <c r="UPV22" i="256"/>
  <c r="UPW22" i="256"/>
  <c r="UPX22" i="256"/>
  <c r="UPY22" i="256"/>
  <c r="UPZ22" i="256"/>
  <c r="UQA22" i="256"/>
  <c r="UQB22" i="256"/>
  <c r="UQC22" i="256"/>
  <c r="UQD22" i="256"/>
  <c r="UQE22" i="256"/>
  <c r="UQF22" i="256"/>
  <c r="UQG22" i="256"/>
  <c r="UQH22" i="256"/>
  <c r="UQI22" i="256"/>
  <c r="UQJ22" i="256"/>
  <c r="UQK22" i="256"/>
  <c r="UQL22" i="256"/>
  <c r="UQM22" i="256"/>
  <c r="UQN22" i="256"/>
  <c r="UQO22" i="256"/>
  <c r="UQP22" i="256"/>
  <c r="UQQ22" i="256"/>
  <c r="UQR22" i="256"/>
  <c r="UQS22" i="256"/>
  <c r="UQT22" i="256"/>
  <c r="UQU22" i="256"/>
  <c r="UQV22" i="256"/>
  <c r="UQW22" i="256"/>
  <c r="UQX22" i="256"/>
  <c r="UQY22" i="256"/>
  <c r="UQZ22" i="256"/>
  <c r="URA22" i="256"/>
  <c r="URB22" i="256"/>
  <c r="URC22" i="256"/>
  <c r="URD22" i="256"/>
  <c r="URE22" i="256"/>
  <c r="URF22" i="256"/>
  <c r="URG22" i="256"/>
  <c r="URH22" i="256"/>
  <c r="URI22" i="256"/>
  <c r="URJ22" i="256"/>
  <c r="URK22" i="256"/>
  <c r="URL22" i="256"/>
  <c r="URM22" i="256"/>
  <c r="URN22" i="256"/>
  <c r="URO22" i="256"/>
  <c r="URP22" i="256"/>
  <c r="URQ22" i="256"/>
  <c r="URR22" i="256"/>
  <c r="URS22" i="256"/>
  <c r="URT22" i="256"/>
  <c r="URU22" i="256"/>
  <c r="URV22" i="256"/>
  <c r="URW22" i="256"/>
  <c r="URX22" i="256"/>
  <c r="URY22" i="256"/>
  <c r="URZ22" i="256"/>
  <c r="USA22" i="256"/>
  <c r="USB22" i="256"/>
  <c r="USC22" i="256"/>
  <c r="USD22" i="256"/>
  <c r="USE22" i="256"/>
  <c r="USF22" i="256"/>
  <c r="USG22" i="256"/>
  <c r="USH22" i="256"/>
  <c r="USI22" i="256"/>
  <c r="USJ22" i="256"/>
  <c r="USK22" i="256"/>
  <c r="USL22" i="256"/>
  <c r="USM22" i="256"/>
  <c r="USN22" i="256"/>
  <c r="USO22" i="256"/>
  <c r="USP22" i="256"/>
  <c r="USQ22" i="256"/>
  <c r="USR22" i="256"/>
  <c r="USS22" i="256"/>
  <c r="UST22" i="256"/>
  <c r="USU22" i="256"/>
  <c r="USV22" i="256"/>
  <c r="USW22" i="256"/>
  <c r="USX22" i="256"/>
  <c r="USY22" i="256"/>
  <c r="USZ22" i="256"/>
  <c r="UTA22" i="256"/>
  <c r="UTB22" i="256"/>
  <c r="UTC22" i="256"/>
  <c r="UTD22" i="256"/>
  <c r="UTE22" i="256"/>
  <c r="UTF22" i="256"/>
  <c r="UTG22" i="256"/>
  <c r="UTH22" i="256"/>
  <c r="UTI22" i="256"/>
  <c r="UTJ22" i="256"/>
  <c r="UTK22" i="256"/>
  <c r="UTL22" i="256"/>
  <c r="UTM22" i="256"/>
  <c r="UTN22" i="256"/>
  <c r="UTO22" i="256"/>
  <c r="UTP22" i="256"/>
  <c r="UTQ22" i="256"/>
  <c r="UTR22" i="256"/>
  <c r="UTS22" i="256"/>
  <c r="UTT22" i="256"/>
  <c r="UTU22" i="256"/>
  <c r="UTV22" i="256"/>
  <c r="UTW22" i="256"/>
  <c r="UTX22" i="256"/>
  <c r="UTY22" i="256"/>
  <c r="UTZ22" i="256"/>
  <c r="UUA22" i="256"/>
  <c r="UUB22" i="256"/>
  <c r="UUC22" i="256"/>
  <c r="UUD22" i="256"/>
  <c r="UUE22" i="256"/>
  <c r="UUF22" i="256"/>
  <c r="UUG22" i="256"/>
  <c r="UUH22" i="256"/>
  <c r="UUI22" i="256"/>
  <c r="UUJ22" i="256"/>
  <c r="UUK22" i="256"/>
  <c r="UUL22" i="256"/>
  <c r="UUM22" i="256"/>
  <c r="UUN22" i="256"/>
  <c r="UUO22" i="256"/>
  <c r="UUP22" i="256"/>
  <c r="UUQ22" i="256"/>
  <c r="UUR22" i="256"/>
  <c r="UUS22" i="256"/>
  <c r="UUT22" i="256"/>
  <c r="UUU22" i="256"/>
  <c r="UUV22" i="256"/>
  <c r="UUW22" i="256"/>
  <c r="UUX22" i="256"/>
  <c r="UUY22" i="256"/>
  <c r="UUZ22" i="256"/>
  <c r="UVA22" i="256"/>
  <c r="UVB22" i="256"/>
  <c r="UVC22" i="256"/>
  <c r="UVD22" i="256"/>
  <c r="UVE22" i="256"/>
  <c r="UVF22" i="256"/>
  <c r="UVG22" i="256"/>
  <c r="UVH22" i="256"/>
  <c r="UVI22" i="256"/>
  <c r="UVJ22" i="256"/>
  <c r="UVK22" i="256"/>
  <c r="UVL22" i="256"/>
  <c r="UVM22" i="256"/>
  <c r="UVN22" i="256"/>
  <c r="UVO22" i="256"/>
  <c r="UVP22" i="256"/>
  <c r="UVQ22" i="256"/>
  <c r="UVR22" i="256"/>
  <c r="UVS22" i="256"/>
  <c r="UVT22" i="256"/>
  <c r="UVU22" i="256"/>
  <c r="UVV22" i="256"/>
  <c r="UVW22" i="256"/>
  <c r="UVX22" i="256"/>
  <c r="UVY22" i="256"/>
  <c r="UVZ22" i="256"/>
  <c r="UWA22" i="256"/>
  <c r="UWB22" i="256"/>
  <c r="UWC22" i="256"/>
  <c r="UWD22" i="256"/>
  <c r="UWE22" i="256"/>
  <c r="UWF22" i="256"/>
  <c r="UWG22" i="256"/>
  <c r="UWH22" i="256"/>
  <c r="UWI22" i="256"/>
  <c r="UWJ22" i="256"/>
  <c r="UWK22" i="256"/>
  <c r="UWL22" i="256"/>
  <c r="UWM22" i="256"/>
  <c r="UWN22" i="256"/>
  <c r="UWO22" i="256"/>
  <c r="UWP22" i="256"/>
  <c r="UWQ22" i="256"/>
  <c r="UWR22" i="256"/>
  <c r="UWS22" i="256"/>
  <c r="UWT22" i="256"/>
  <c r="UWU22" i="256"/>
  <c r="UWV22" i="256"/>
  <c r="UWW22" i="256"/>
  <c r="UWX22" i="256"/>
  <c r="UWY22" i="256"/>
  <c r="UWZ22" i="256"/>
  <c r="UXA22" i="256"/>
  <c r="UXB22" i="256"/>
  <c r="UXC22" i="256"/>
  <c r="UXD22" i="256"/>
  <c r="UXE22" i="256"/>
  <c r="UXF22" i="256"/>
  <c r="UXG22" i="256"/>
  <c r="UXH22" i="256"/>
  <c r="UXI22" i="256"/>
  <c r="UXJ22" i="256"/>
  <c r="UXK22" i="256"/>
  <c r="UXL22" i="256"/>
  <c r="UXM22" i="256"/>
  <c r="UXN22" i="256"/>
  <c r="UXO22" i="256"/>
  <c r="UXP22" i="256"/>
  <c r="UXQ22" i="256"/>
  <c r="UXR22" i="256"/>
  <c r="UXS22" i="256"/>
  <c r="UXT22" i="256"/>
  <c r="UXU22" i="256"/>
  <c r="UXV22" i="256"/>
  <c r="UXW22" i="256"/>
  <c r="UXX22" i="256"/>
  <c r="UXY22" i="256"/>
  <c r="UXZ22" i="256"/>
  <c r="UYA22" i="256"/>
  <c r="UYB22" i="256"/>
  <c r="UYC22" i="256"/>
  <c r="UYD22" i="256"/>
  <c r="UYE22" i="256"/>
  <c r="UYF22" i="256"/>
  <c r="UYG22" i="256"/>
  <c r="UYH22" i="256"/>
  <c r="UYI22" i="256"/>
  <c r="UYJ22" i="256"/>
  <c r="UYK22" i="256"/>
  <c r="UYL22" i="256"/>
  <c r="UYM22" i="256"/>
  <c r="UYN22" i="256"/>
  <c r="UYO22" i="256"/>
  <c r="UYP22" i="256"/>
  <c r="UYQ22" i="256"/>
  <c r="UYR22" i="256"/>
  <c r="UYS22" i="256"/>
  <c r="UYT22" i="256"/>
  <c r="UYU22" i="256"/>
  <c r="UYV22" i="256"/>
  <c r="UYW22" i="256"/>
  <c r="UYX22" i="256"/>
  <c r="UYY22" i="256"/>
  <c r="UYZ22" i="256"/>
  <c r="UZA22" i="256"/>
  <c r="UZB22" i="256"/>
  <c r="UZC22" i="256"/>
  <c r="UZD22" i="256"/>
  <c r="UZE22" i="256"/>
  <c r="UZF22" i="256"/>
  <c r="UZG22" i="256"/>
  <c r="UZH22" i="256"/>
  <c r="UZI22" i="256"/>
  <c r="UZJ22" i="256"/>
  <c r="UZK22" i="256"/>
  <c r="UZL22" i="256"/>
  <c r="UZM22" i="256"/>
  <c r="UZN22" i="256"/>
  <c r="UZO22" i="256"/>
  <c r="UZP22" i="256"/>
  <c r="UZQ22" i="256"/>
  <c r="UZR22" i="256"/>
  <c r="UZS22" i="256"/>
  <c r="UZT22" i="256"/>
  <c r="UZU22" i="256"/>
  <c r="UZV22" i="256"/>
  <c r="UZW22" i="256"/>
  <c r="UZX22" i="256"/>
  <c r="UZY22" i="256"/>
  <c r="UZZ22" i="256"/>
  <c r="VAA22" i="256"/>
  <c r="VAB22" i="256"/>
  <c r="VAC22" i="256"/>
  <c r="VAD22" i="256"/>
  <c r="VAE22" i="256"/>
  <c r="VAF22" i="256"/>
  <c r="VAG22" i="256"/>
  <c r="VAH22" i="256"/>
  <c r="VAI22" i="256"/>
  <c r="VAJ22" i="256"/>
  <c r="VAK22" i="256"/>
  <c r="VAL22" i="256"/>
  <c r="VAM22" i="256"/>
  <c r="VAN22" i="256"/>
  <c r="VAO22" i="256"/>
  <c r="VAP22" i="256"/>
  <c r="VAQ22" i="256"/>
  <c r="VAR22" i="256"/>
  <c r="VAS22" i="256"/>
  <c r="VAT22" i="256"/>
  <c r="VAU22" i="256"/>
  <c r="VAV22" i="256"/>
  <c r="VAW22" i="256"/>
  <c r="VAX22" i="256"/>
  <c r="VAY22" i="256"/>
  <c r="VAZ22" i="256"/>
  <c r="VBA22" i="256"/>
  <c r="VBB22" i="256"/>
  <c r="VBC22" i="256"/>
  <c r="VBD22" i="256"/>
  <c r="VBE22" i="256"/>
  <c r="VBF22" i="256"/>
  <c r="VBG22" i="256"/>
  <c r="VBH22" i="256"/>
  <c r="VBI22" i="256"/>
  <c r="VBJ22" i="256"/>
  <c r="VBK22" i="256"/>
  <c r="VBL22" i="256"/>
  <c r="VBM22" i="256"/>
  <c r="VBN22" i="256"/>
  <c r="VBO22" i="256"/>
  <c r="VBP22" i="256"/>
  <c r="VBQ22" i="256"/>
  <c r="VBR22" i="256"/>
  <c r="VBS22" i="256"/>
  <c r="VBT22" i="256"/>
  <c r="VBU22" i="256"/>
  <c r="VBV22" i="256"/>
  <c r="VBW22" i="256"/>
  <c r="VBX22" i="256"/>
  <c r="VBY22" i="256"/>
  <c r="VBZ22" i="256"/>
  <c r="VCA22" i="256"/>
  <c r="VCB22" i="256"/>
  <c r="VCC22" i="256"/>
  <c r="VCD22" i="256"/>
  <c r="VCE22" i="256"/>
  <c r="VCF22" i="256"/>
  <c r="VCG22" i="256"/>
  <c r="VCH22" i="256"/>
  <c r="VCI22" i="256"/>
  <c r="VCJ22" i="256"/>
  <c r="VCK22" i="256"/>
  <c r="VCL22" i="256"/>
  <c r="VCM22" i="256"/>
  <c r="VCN22" i="256"/>
  <c r="VCO22" i="256"/>
  <c r="VCP22" i="256"/>
  <c r="VCQ22" i="256"/>
  <c r="VCR22" i="256"/>
  <c r="VCS22" i="256"/>
  <c r="VCT22" i="256"/>
  <c r="VCU22" i="256"/>
  <c r="VCV22" i="256"/>
  <c r="VCW22" i="256"/>
  <c r="VCX22" i="256"/>
  <c r="VCY22" i="256"/>
  <c r="VCZ22" i="256"/>
  <c r="VDA22" i="256"/>
  <c r="VDB22" i="256"/>
  <c r="VDC22" i="256"/>
  <c r="VDD22" i="256"/>
  <c r="VDE22" i="256"/>
  <c r="VDF22" i="256"/>
  <c r="VDG22" i="256"/>
  <c r="VDH22" i="256"/>
  <c r="VDI22" i="256"/>
  <c r="VDJ22" i="256"/>
  <c r="VDK22" i="256"/>
  <c r="VDL22" i="256"/>
  <c r="VDM22" i="256"/>
  <c r="VDN22" i="256"/>
  <c r="VDO22" i="256"/>
  <c r="VDP22" i="256"/>
  <c r="VDQ22" i="256"/>
  <c r="VDR22" i="256"/>
  <c r="VDS22" i="256"/>
  <c r="VDT22" i="256"/>
  <c r="VDU22" i="256"/>
  <c r="VDV22" i="256"/>
  <c r="VDW22" i="256"/>
  <c r="VDX22" i="256"/>
  <c r="VDY22" i="256"/>
  <c r="VDZ22" i="256"/>
  <c r="VEA22" i="256"/>
  <c r="VEB22" i="256"/>
  <c r="VEC22" i="256"/>
  <c r="VED22" i="256"/>
  <c r="VEE22" i="256"/>
  <c r="VEF22" i="256"/>
  <c r="VEG22" i="256"/>
  <c r="VEH22" i="256"/>
  <c r="VEI22" i="256"/>
  <c r="VEJ22" i="256"/>
  <c r="VEK22" i="256"/>
  <c r="VEL22" i="256"/>
  <c r="VEM22" i="256"/>
  <c r="VEN22" i="256"/>
  <c r="VEO22" i="256"/>
  <c r="VEP22" i="256"/>
  <c r="VEQ22" i="256"/>
  <c r="VER22" i="256"/>
  <c r="VES22" i="256"/>
  <c r="VET22" i="256"/>
  <c r="VEU22" i="256"/>
  <c r="VEV22" i="256"/>
  <c r="VEW22" i="256"/>
  <c r="VEX22" i="256"/>
  <c r="VEY22" i="256"/>
  <c r="VEZ22" i="256"/>
  <c r="VFA22" i="256"/>
  <c r="VFB22" i="256"/>
  <c r="VFC22" i="256"/>
  <c r="VFD22" i="256"/>
  <c r="VFE22" i="256"/>
  <c r="VFF22" i="256"/>
  <c r="VFG22" i="256"/>
  <c r="VFH22" i="256"/>
  <c r="VFI22" i="256"/>
  <c r="VFJ22" i="256"/>
  <c r="VFK22" i="256"/>
  <c r="VFL22" i="256"/>
  <c r="VFM22" i="256"/>
  <c r="VFN22" i="256"/>
  <c r="VFO22" i="256"/>
  <c r="VFP22" i="256"/>
  <c r="VFQ22" i="256"/>
  <c r="VFR22" i="256"/>
  <c r="VFS22" i="256"/>
  <c r="VFT22" i="256"/>
  <c r="VFU22" i="256"/>
  <c r="VFV22" i="256"/>
  <c r="VFW22" i="256"/>
  <c r="VFX22" i="256"/>
  <c r="VFY22" i="256"/>
  <c r="VFZ22" i="256"/>
  <c r="VGA22" i="256"/>
  <c r="VGB22" i="256"/>
  <c r="VGC22" i="256"/>
  <c r="VGD22" i="256"/>
  <c r="VGE22" i="256"/>
  <c r="VGF22" i="256"/>
  <c r="VGG22" i="256"/>
  <c r="VGH22" i="256"/>
  <c r="VGI22" i="256"/>
  <c r="VGJ22" i="256"/>
  <c r="VGK22" i="256"/>
  <c r="VGL22" i="256"/>
  <c r="VGM22" i="256"/>
  <c r="VGN22" i="256"/>
  <c r="VGO22" i="256"/>
  <c r="VGP22" i="256"/>
  <c r="VGQ22" i="256"/>
  <c r="VGR22" i="256"/>
  <c r="VGS22" i="256"/>
  <c r="VGT22" i="256"/>
  <c r="VGU22" i="256"/>
  <c r="VGV22" i="256"/>
  <c r="VGW22" i="256"/>
  <c r="VGX22" i="256"/>
  <c r="VGY22" i="256"/>
  <c r="VGZ22" i="256"/>
  <c r="VHA22" i="256"/>
  <c r="VHB22" i="256"/>
  <c r="VHC22" i="256"/>
  <c r="VHD22" i="256"/>
  <c r="VHE22" i="256"/>
  <c r="VHF22" i="256"/>
  <c r="VHG22" i="256"/>
  <c r="VHH22" i="256"/>
  <c r="VHI22" i="256"/>
  <c r="VHJ22" i="256"/>
  <c r="VHK22" i="256"/>
  <c r="VHL22" i="256"/>
  <c r="VHM22" i="256"/>
  <c r="VHN22" i="256"/>
  <c r="VHO22" i="256"/>
  <c r="VHP22" i="256"/>
  <c r="VHQ22" i="256"/>
  <c r="VHR22" i="256"/>
  <c r="VHS22" i="256"/>
  <c r="VHT22" i="256"/>
  <c r="VHU22" i="256"/>
  <c r="VHV22" i="256"/>
  <c r="VHW22" i="256"/>
  <c r="VHX22" i="256"/>
  <c r="VHY22" i="256"/>
  <c r="VHZ22" i="256"/>
  <c r="VIA22" i="256"/>
  <c r="VIB22" i="256"/>
  <c r="VIC22" i="256"/>
  <c r="VID22" i="256"/>
  <c r="VIE22" i="256"/>
  <c r="VIF22" i="256"/>
  <c r="VIG22" i="256"/>
  <c r="VIH22" i="256"/>
  <c r="VII22" i="256"/>
  <c r="VIJ22" i="256"/>
  <c r="VIK22" i="256"/>
  <c r="VIL22" i="256"/>
  <c r="VIM22" i="256"/>
  <c r="VIN22" i="256"/>
  <c r="VIO22" i="256"/>
  <c r="VIP22" i="256"/>
  <c r="VIQ22" i="256"/>
  <c r="VIR22" i="256"/>
  <c r="VIS22" i="256"/>
  <c r="VIT22" i="256"/>
  <c r="VIU22" i="256"/>
  <c r="VIV22" i="256"/>
  <c r="VIW22" i="256"/>
  <c r="VIX22" i="256"/>
  <c r="VIY22" i="256"/>
  <c r="VIZ22" i="256"/>
  <c r="VJA22" i="256"/>
  <c r="VJB22" i="256"/>
  <c r="VJC22" i="256"/>
  <c r="VJD22" i="256"/>
  <c r="VJE22" i="256"/>
  <c r="VJF22" i="256"/>
  <c r="VJG22" i="256"/>
  <c r="VJH22" i="256"/>
  <c r="VJI22" i="256"/>
  <c r="VJJ22" i="256"/>
  <c r="VJK22" i="256"/>
  <c r="VJL22" i="256"/>
  <c r="VJM22" i="256"/>
  <c r="VJN22" i="256"/>
  <c r="VJO22" i="256"/>
  <c r="VJP22" i="256"/>
  <c r="VJQ22" i="256"/>
  <c r="VJR22" i="256"/>
  <c r="VJS22" i="256"/>
  <c r="VJT22" i="256"/>
  <c r="VJU22" i="256"/>
  <c r="VJV22" i="256"/>
  <c r="VJW22" i="256"/>
  <c r="VJX22" i="256"/>
  <c r="VJY22" i="256"/>
  <c r="VJZ22" i="256"/>
  <c r="VKA22" i="256"/>
  <c r="VKB22" i="256"/>
  <c r="VKC22" i="256"/>
  <c r="VKD22" i="256"/>
  <c r="VKE22" i="256"/>
  <c r="VKF22" i="256"/>
  <c r="VKG22" i="256"/>
  <c r="VKH22" i="256"/>
  <c r="VKI22" i="256"/>
  <c r="VKJ22" i="256"/>
  <c r="VKK22" i="256"/>
  <c r="VKL22" i="256"/>
  <c r="VKM22" i="256"/>
  <c r="VKN22" i="256"/>
  <c r="VKO22" i="256"/>
  <c r="VKP22" i="256"/>
  <c r="VKQ22" i="256"/>
  <c r="VKR22" i="256"/>
  <c r="VKS22" i="256"/>
  <c r="VKT22" i="256"/>
  <c r="VKU22" i="256"/>
  <c r="VKV22" i="256"/>
  <c r="VKW22" i="256"/>
  <c r="VKX22" i="256"/>
  <c r="VKY22" i="256"/>
  <c r="VKZ22" i="256"/>
  <c r="VLA22" i="256"/>
  <c r="VLB22" i="256"/>
  <c r="VLC22" i="256"/>
  <c r="VLD22" i="256"/>
  <c r="VLE22" i="256"/>
  <c r="VLF22" i="256"/>
  <c r="VLG22" i="256"/>
  <c r="VLH22" i="256"/>
  <c r="VLI22" i="256"/>
  <c r="VLJ22" i="256"/>
  <c r="VLK22" i="256"/>
  <c r="VLL22" i="256"/>
  <c r="VLM22" i="256"/>
  <c r="VLN22" i="256"/>
  <c r="VLO22" i="256"/>
  <c r="VLP22" i="256"/>
  <c r="VLQ22" i="256"/>
  <c r="VLR22" i="256"/>
  <c r="VLS22" i="256"/>
  <c r="VLT22" i="256"/>
  <c r="VLU22" i="256"/>
  <c r="VLV22" i="256"/>
  <c r="VLW22" i="256"/>
  <c r="VLX22" i="256"/>
  <c r="VLY22" i="256"/>
  <c r="VLZ22" i="256"/>
  <c r="VMA22" i="256"/>
  <c r="VMB22" i="256"/>
  <c r="VMC22" i="256"/>
  <c r="VMD22" i="256"/>
  <c r="VME22" i="256"/>
  <c r="VMF22" i="256"/>
  <c r="VMG22" i="256"/>
  <c r="VMH22" i="256"/>
  <c r="VMI22" i="256"/>
  <c r="VMJ22" i="256"/>
  <c r="VMK22" i="256"/>
  <c r="VML22" i="256"/>
  <c r="VMM22" i="256"/>
  <c r="VMN22" i="256"/>
  <c r="VMO22" i="256"/>
  <c r="VMP22" i="256"/>
  <c r="VMQ22" i="256"/>
  <c r="VMR22" i="256"/>
  <c r="VMS22" i="256"/>
  <c r="VMT22" i="256"/>
  <c r="VMU22" i="256"/>
  <c r="VMV22" i="256"/>
  <c r="VMW22" i="256"/>
  <c r="VMX22" i="256"/>
  <c r="VMY22" i="256"/>
  <c r="VMZ22" i="256"/>
  <c r="VNA22" i="256"/>
  <c r="VNB22" i="256"/>
  <c r="VNC22" i="256"/>
  <c r="VND22" i="256"/>
  <c r="VNE22" i="256"/>
  <c r="VNF22" i="256"/>
  <c r="VNG22" i="256"/>
  <c r="VNH22" i="256"/>
  <c r="VNI22" i="256"/>
  <c r="VNJ22" i="256"/>
  <c r="VNK22" i="256"/>
  <c r="VNL22" i="256"/>
  <c r="VNM22" i="256"/>
  <c r="VNN22" i="256"/>
  <c r="VNO22" i="256"/>
  <c r="VNP22" i="256"/>
  <c r="VNQ22" i="256"/>
  <c r="VNR22" i="256"/>
  <c r="VNS22" i="256"/>
  <c r="VNT22" i="256"/>
  <c r="VNU22" i="256"/>
  <c r="VNV22" i="256"/>
  <c r="VNW22" i="256"/>
  <c r="VNX22" i="256"/>
  <c r="VNY22" i="256"/>
  <c r="VNZ22" i="256"/>
  <c r="VOA22" i="256"/>
  <c r="VOB22" i="256"/>
  <c r="VOC22" i="256"/>
  <c r="VOD22" i="256"/>
  <c r="VOE22" i="256"/>
  <c r="VOF22" i="256"/>
  <c r="VOG22" i="256"/>
  <c r="VOH22" i="256"/>
  <c r="VOI22" i="256"/>
  <c r="VOJ22" i="256"/>
  <c r="VOK22" i="256"/>
  <c r="VOL22" i="256"/>
  <c r="VOM22" i="256"/>
  <c r="VON22" i="256"/>
  <c r="VOO22" i="256"/>
  <c r="VOP22" i="256"/>
  <c r="VOQ22" i="256"/>
  <c r="VOR22" i="256"/>
  <c r="VOS22" i="256"/>
  <c r="VOT22" i="256"/>
  <c r="VOU22" i="256"/>
  <c r="VOV22" i="256"/>
  <c r="VOW22" i="256"/>
  <c r="VOX22" i="256"/>
  <c r="VOY22" i="256"/>
  <c r="VOZ22" i="256"/>
  <c r="VPA22" i="256"/>
  <c r="VPB22" i="256"/>
  <c r="VPC22" i="256"/>
  <c r="VPD22" i="256"/>
  <c r="VPE22" i="256"/>
  <c r="VPF22" i="256"/>
  <c r="VPG22" i="256"/>
  <c r="VPH22" i="256"/>
  <c r="VPI22" i="256"/>
  <c r="VPJ22" i="256"/>
  <c r="VPK22" i="256"/>
  <c r="VPL22" i="256"/>
  <c r="VPM22" i="256"/>
  <c r="VPN22" i="256"/>
  <c r="VPO22" i="256"/>
  <c r="VPP22" i="256"/>
  <c r="VPQ22" i="256"/>
  <c r="VPR22" i="256"/>
  <c r="VPS22" i="256"/>
  <c r="VPT22" i="256"/>
  <c r="VPU22" i="256"/>
  <c r="VPV22" i="256"/>
  <c r="VPW22" i="256"/>
  <c r="VPX22" i="256"/>
  <c r="VPY22" i="256"/>
  <c r="VPZ22" i="256"/>
  <c r="VQA22" i="256"/>
  <c r="VQB22" i="256"/>
  <c r="VQC22" i="256"/>
  <c r="VQD22" i="256"/>
  <c r="VQE22" i="256"/>
  <c r="VQF22" i="256"/>
  <c r="VQG22" i="256"/>
  <c r="VQH22" i="256"/>
  <c r="VQI22" i="256"/>
  <c r="VQJ22" i="256"/>
  <c r="VQK22" i="256"/>
  <c r="VQL22" i="256"/>
  <c r="VQM22" i="256"/>
  <c r="VQN22" i="256"/>
  <c r="VQO22" i="256"/>
  <c r="VQP22" i="256"/>
  <c r="VQQ22" i="256"/>
  <c r="VQR22" i="256"/>
  <c r="VQS22" i="256"/>
  <c r="VQT22" i="256"/>
  <c r="VQU22" i="256"/>
  <c r="VQV22" i="256"/>
  <c r="VQW22" i="256"/>
  <c r="VQX22" i="256"/>
  <c r="VQY22" i="256"/>
  <c r="VQZ22" i="256"/>
  <c r="VRA22" i="256"/>
  <c r="VRB22" i="256"/>
  <c r="VRC22" i="256"/>
  <c r="VRD22" i="256"/>
  <c r="VRE22" i="256"/>
  <c r="VRF22" i="256"/>
  <c r="VRG22" i="256"/>
  <c r="VRH22" i="256"/>
  <c r="VRI22" i="256"/>
  <c r="VRJ22" i="256"/>
  <c r="VRK22" i="256"/>
  <c r="VRL22" i="256"/>
  <c r="VRM22" i="256"/>
  <c r="VRN22" i="256"/>
  <c r="VRO22" i="256"/>
  <c r="VRP22" i="256"/>
  <c r="VRQ22" i="256"/>
  <c r="VRR22" i="256"/>
  <c r="VRS22" i="256"/>
  <c r="VRT22" i="256"/>
  <c r="VRU22" i="256"/>
  <c r="VRV22" i="256"/>
  <c r="VRW22" i="256"/>
  <c r="VRX22" i="256"/>
  <c r="VRY22" i="256"/>
  <c r="VRZ22" i="256"/>
  <c r="VSA22" i="256"/>
  <c r="VSB22" i="256"/>
  <c r="VSC22" i="256"/>
  <c r="VSD22" i="256"/>
  <c r="VSE22" i="256"/>
  <c r="VSF22" i="256"/>
  <c r="VSG22" i="256"/>
  <c r="VSH22" i="256"/>
  <c r="VSI22" i="256"/>
  <c r="VSJ22" i="256"/>
  <c r="VSK22" i="256"/>
  <c r="VSL22" i="256"/>
  <c r="VSM22" i="256"/>
  <c r="VSN22" i="256"/>
  <c r="VSO22" i="256"/>
  <c r="VSP22" i="256"/>
  <c r="VSQ22" i="256"/>
  <c r="VSR22" i="256"/>
  <c r="VSS22" i="256"/>
  <c r="VST22" i="256"/>
  <c r="VSU22" i="256"/>
  <c r="VSV22" i="256"/>
  <c r="VSW22" i="256"/>
  <c r="VSX22" i="256"/>
  <c r="VSY22" i="256"/>
  <c r="VSZ22" i="256"/>
  <c r="VTA22" i="256"/>
  <c r="VTB22" i="256"/>
  <c r="VTC22" i="256"/>
  <c r="VTD22" i="256"/>
  <c r="VTE22" i="256"/>
  <c r="VTF22" i="256"/>
  <c r="VTG22" i="256"/>
  <c r="VTH22" i="256"/>
  <c r="VTI22" i="256"/>
  <c r="VTJ22" i="256"/>
  <c r="VTK22" i="256"/>
  <c r="VTL22" i="256"/>
  <c r="VTM22" i="256"/>
  <c r="VTN22" i="256"/>
  <c r="VTO22" i="256"/>
  <c r="VTP22" i="256"/>
  <c r="VTQ22" i="256"/>
  <c r="VTR22" i="256"/>
  <c r="VTS22" i="256"/>
  <c r="VTT22" i="256"/>
  <c r="VTU22" i="256"/>
  <c r="VTV22" i="256"/>
  <c r="VTW22" i="256"/>
  <c r="VTX22" i="256"/>
  <c r="VTY22" i="256"/>
  <c r="VTZ22" i="256"/>
  <c r="VUA22" i="256"/>
  <c r="VUB22" i="256"/>
  <c r="VUC22" i="256"/>
  <c r="VUD22" i="256"/>
  <c r="VUE22" i="256"/>
  <c r="VUF22" i="256"/>
  <c r="VUG22" i="256"/>
  <c r="VUH22" i="256"/>
  <c r="VUI22" i="256"/>
  <c r="VUJ22" i="256"/>
  <c r="VUK22" i="256"/>
  <c r="VUL22" i="256"/>
  <c r="VUM22" i="256"/>
  <c r="VUN22" i="256"/>
  <c r="VUO22" i="256"/>
  <c r="VUP22" i="256"/>
  <c r="VUQ22" i="256"/>
  <c r="VUR22" i="256"/>
  <c r="VUS22" i="256"/>
  <c r="VUT22" i="256"/>
  <c r="VUU22" i="256"/>
  <c r="VUV22" i="256"/>
  <c r="VUW22" i="256"/>
  <c r="VUX22" i="256"/>
  <c r="VUY22" i="256"/>
  <c r="VUZ22" i="256"/>
  <c r="VVA22" i="256"/>
  <c r="VVB22" i="256"/>
  <c r="VVC22" i="256"/>
  <c r="VVD22" i="256"/>
  <c r="VVE22" i="256"/>
  <c r="VVF22" i="256"/>
  <c r="VVG22" i="256"/>
  <c r="VVH22" i="256"/>
  <c r="VVI22" i="256"/>
  <c r="VVJ22" i="256"/>
  <c r="VVK22" i="256"/>
  <c r="VVL22" i="256"/>
  <c r="VVM22" i="256"/>
  <c r="VVN22" i="256"/>
  <c r="VVO22" i="256"/>
  <c r="VVP22" i="256"/>
  <c r="VVQ22" i="256"/>
  <c r="VVR22" i="256"/>
  <c r="VVS22" i="256"/>
  <c r="VVT22" i="256"/>
  <c r="VVU22" i="256"/>
  <c r="VVV22" i="256"/>
  <c r="VVW22" i="256"/>
  <c r="VVX22" i="256"/>
  <c r="VVY22" i="256"/>
  <c r="VVZ22" i="256"/>
  <c r="VWA22" i="256"/>
  <c r="VWB22" i="256"/>
  <c r="VWC22" i="256"/>
  <c r="VWD22" i="256"/>
  <c r="VWE22" i="256"/>
  <c r="VWF22" i="256"/>
  <c r="VWG22" i="256"/>
  <c r="VWH22" i="256"/>
  <c r="VWI22" i="256"/>
  <c r="VWJ22" i="256"/>
  <c r="VWK22" i="256"/>
  <c r="VWL22" i="256"/>
  <c r="VWM22" i="256"/>
  <c r="VWN22" i="256"/>
  <c r="VWO22" i="256"/>
  <c r="VWP22" i="256"/>
  <c r="VWQ22" i="256"/>
  <c r="VWR22" i="256"/>
  <c r="VWS22" i="256"/>
  <c r="VWT22" i="256"/>
  <c r="VWU22" i="256"/>
  <c r="VWV22" i="256"/>
  <c r="VWW22" i="256"/>
  <c r="VWX22" i="256"/>
  <c r="VWY22" i="256"/>
  <c r="VWZ22" i="256"/>
  <c r="VXA22" i="256"/>
  <c r="VXB22" i="256"/>
  <c r="VXC22" i="256"/>
  <c r="VXD22" i="256"/>
  <c r="VXE22" i="256"/>
  <c r="VXF22" i="256"/>
  <c r="VXG22" i="256"/>
  <c r="VXH22" i="256"/>
  <c r="VXI22" i="256"/>
  <c r="VXJ22" i="256"/>
  <c r="VXK22" i="256"/>
  <c r="VXL22" i="256"/>
  <c r="VXM22" i="256"/>
  <c r="VXN22" i="256"/>
  <c r="VXO22" i="256"/>
  <c r="VXP22" i="256"/>
  <c r="VXQ22" i="256"/>
  <c r="VXR22" i="256"/>
  <c r="VXS22" i="256"/>
  <c r="VXT22" i="256"/>
  <c r="VXU22" i="256"/>
  <c r="VXV22" i="256"/>
  <c r="VXW22" i="256"/>
  <c r="VXX22" i="256"/>
  <c r="VXY22" i="256"/>
  <c r="VXZ22" i="256"/>
  <c r="VYA22" i="256"/>
  <c r="VYB22" i="256"/>
  <c r="VYC22" i="256"/>
  <c r="VYD22" i="256"/>
  <c r="VYE22" i="256"/>
  <c r="VYF22" i="256"/>
  <c r="VYG22" i="256"/>
  <c r="VYH22" i="256"/>
  <c r="VYI22" i="256"/>
  <c r="VYJ22" i="256"/>
  <c r="VYK22" i="256"/>
  <c r="VYL22" i="256"/>
  <c r="VYM22" i="256"/>
  <c r="VYN22" i="256"/>
  <c r="VYO22" i="256"/>
  <c r="VYP22" i="256"/>
  <c r="VYQ22" i="256"/>
  <c r="VYR22" i="256"/>
  <c r="VYS22" i="256"/>
  <c r="VYT22" i="256"/>
  <c r="VYU22" i="256"/>
  <c r="VYV22" i="256"/>
  <c r="VYW22" i="256"/>
  <c r="VYX22" i="256"/>
  <c r="VYY22" i="256"/>
  <c r="VYZ22" i="256"/>
  <c r="VZA22" i="256"/>
  <c r="VZB22" i="256"/>
  <c r="VZC22" i="256"/>
  <c r="VZD22" i="256"/>
  <c r="VZE22" i="256"/>
  <c r="VZF22" i="256"/>
  <c r="VZG22" i="256"/>
  <c r="VZH22" i="256"/>
  <c r="VZI22" i="256"/>
  <c r="VZJ22" i="256"/>
  <c r="VZK22" i="256"/>
  <c r="VZL22" i="256"/>
  <c r="VZM22" i="256"/>
  <c r="VZN22" i="256"/>
  <c r="VZO22" i="256"/>
  <c r="VZP22" i="256"/>
  <c r="VZQ22" i="256"/>
  <c r="VZR22" i="256"/>
  <c r="VZS22" i="256"/>
  <c r="VZT22" i="256"/>
  <c r="VZU22" i="256"/>
  <c r="VZV22" i="256"/>
  <c r="VZW22" i="256"/>
  <c r="VZX22" i="256"/>
  <c r="VZY22" i="256"/>
  <c r="VZZ22" i="256"/>
  <c r="WAA22" i="256"/>
  <c r="WAB22" i="256"/>
  <c r="WAC22" i="256"/>
  <c r="WAD22" i="256"/>
  <c r="WAE22" i="256"/>
  <c r="WAF22" i="256"/>
  <c r="WAG22" i="256"/>
  <c r="WAH22" i="256"/>
  <c r="WAI22" i="256"/>
  <c r="WAJ22" i="256"/>
  <c r="WAK22" i="256"/>
  <c r="WAL22" i="256"/>
  <c r="WAM22" i="256"/>
  <c r="WAN22" i="256"/>
  <c r="WAO22" i="256"/>
  <c r="WAP22" i="256"/>
  <c r="WAQ22" i="256"/>
  <c r="WAR22" i="256"/>
  <c r="WAS22" i="256"/>
  <c r="WAT22" i="256"/>
  <c r="WAU22" i="256"/>
  <c r="WAV22" i="256"/>
  <c r="WAW22" i="256"/>
  <c r="WAX22" i="256"/>
  <c r="WAY22" i="256"/>
  <c r="WAZ22" i="256"/>
  <c r="WBA22" i="256"/>
  <c r="WBB22" i="256"/>
  <c r="WBC22" i="256"/>
  <c r="WBD22" i="256"/>
  <c r="WBE22" i="256"/>
  <c r="WBF22" i="256"/>
  <c r="WBG22" i="256"/>
  <c r="WBH22" i="256"/>
  <c r="WBI22" i="256"/>
  <c r="WBJ22" i="256"/>
  <c r="WBK22" i="256"/>
  <c r="WBL22" i="256"/>
  <c r="WBM22" i="256"/>
  <c r="WBN22" i="256"/>
  <c r="WBO22" i="256"/>
  <c r="WBP22" i="256"/>
  <c r="WBQ22" i="256"/>
  <c r="WBR22" i="256"/>
  <c r="WBS22" i="256"/>
  <c r="WBT22" i="256"/>
  <c r="WBU22" i="256"/>
  <c r="WBV22" i="256"/>
  <c r="WBW22" i="256"/>
  <c r="WBX22" i="256"/>
  <c r="WBY22" i="256"/>
  <c r="WBZ22" i="256"/>
  <c r="WCA22" i="256"/>
  <c r="WCB22" i="256"/>
  <c r="WCC22" i="256"/>
  <c r="WCD22" i="256"/>
  <c r="WCE22" i="256"/>
  <c r="WCF22" i="256"/>
  <c r="WCG22" i="256"/>
  <c r="WCH22" i="256"/>
  <c r="WCI22" i="256"/>
  <c r="WCJ22" i="256"/>
  <c r="WCK22" i="256"/>
  <c r="WCL22" i="256"/>
  <c r="WCM22" i="256"/>
  <c r="WCN22" i="256"/>
  <c r="WCO22" i="256"/>
  <c r="WCP22" i="256"/>
  <c r="WCQ22" i="256"/>
  <c r="WCR22" i="256"/>
  <c r="WCS22" i="256"/>
  <c r="WCT22" i="256"/>
  <c r="WCU22" i="256"/>
  <c r="WCV22" i="256"/>
  <c r="WCW22" i="256"/>
  <c r="WCX22" i="256"/>
  <c r="WCY22" i="256"/>
  <c r="WCZ22" i="256"/>
  <c r="WDA22" i="256"/>
  <c r="WDB22" i="256"/>
  <c r="WDC22" i="256"/>
  <c r="WDD22" i="256"/>
  <c r="WDE22" i="256"/>
  <c r="WDF22" i="256"/>
  <c r="WDG22" i="256"/>
  <c r="WDH22" i="256"/>
  <c r="WDI22" i="256"/>
  <c r="WDJ22" i="256"/>
  <c r="WDK22" i="256"/>
  <c r="WDL22" i="256"/>
  <c r="WDM22" i="256"/>
  <c r="WDN22" i="256"/>
  <c r="WDO22" i="256"/>
  <c r="WDP22" i="256"/>
  <c r="WDQ22" i="256"/>
  <c r="WDR22" i="256"/>
  <c r="WDS22" i="256"/>
  <c r="WDT22" i="256"/>
  <c r="WDU22" i="256"/>
  <c r="WDV22" i="256"/>
  <c r="WDW22" i="256"/>
  <c r="WDX22" i="256"/>
  <c r="WDY22" i="256"/>
  <c r="WDZ22" i="256"/>
  <c r="WEA22" i="256"/>
  <c r="WEB22" i="256"/>
  <c r="WEC22" i="256"/>
  <c r="WED22" i="256"/>
  <c r="WEE22" i="256"/>
  <c r="WEF22" i="256"/>
  <c r="WEG22" i="256"/>
  <c r="WEH22" i="256"/>
  <c r="WEI22" i="256"/>
  <c r="WEJ22" i="256"/>
  <c r="WEK22" i="256"/>
  <c r="WEL22" i="256"/>
  <c r="WEM22" i="256"/>
  <c r="WEN22" i="256"/>
  <c r="WEO22" i="256"/>
  <c r="WEP22" i="256"/>
  <c r="WEQ22" i="256"/>
  <c r="WER22" i="256"/>
  <c r="WES22" i="256"/>
  <c r="WET22" i="256"/>
  <c r="WEU22" i="256"/>
  <c r="WEV22" i="256"/>
  <c r="WEW22" i="256"/>
  <c r="WEX22" i="256"/>
  <c r="WEY22" i="256"/>
  <c r="WEZ22" i="256"/>
  <c r="WFA22" i="256"/>
  <c r="WFB22" i="256"/>
  <c r="WFC22" i="256"/>
  <c r="WFD22" i="256"/>
  <c r="WFE22" i="256"/>
  <c r="WFF22" i="256"/>
  <c r="WFG22" i="256"/>
  <c r="WFH22" i="256"/>
  <c r="WFI22" i="256"/>
  <c r="WFJ22" i="256"/>
  <c r="WFK22" i="256"/>
  <c r="WFL22" i="256"/>
  <c r="WFM22" i="256"/>
  <c r="WFN22" i="256"/>
  <c r="WFO22" i="256"/>
  <c r="WFP22" i="256"/>
  <c r="WFQ22" i="256"/>
  <c r="WFR22" i="256"/>
  <c r="WFS22" i="256"/>
  <c r="WFT22" i="256"/>
  <c r="WFU22" i="256"/>
  <c r="WFV22" i="256"/>
  <c r="WFW22" i="256"/>
  <c r="WFX22" i="256"/>
  <c r="WFY22" i="256"/>
  <c r="WFZ22" i="256"/>
  <c r="WGA22" i="256"/>
  <c r="WGB22" i="256"/>
  <c r="WGC22" i="256"/>
  <c r="WGD22" i="256"/>
  <c r="WGE22" i="256"/>
  <c r="WGF22" i="256"/>
  <c r="WGG22" i="256"/>
  <c r="WGH22" i="256"/>
  <c r="WGI22" i="256"/>
  <c r="WGJ22" i="256"/>
  <c r="WGK22" i="256"/>
  <c r="WGL22" i="256"/>
  <c r="WGM22" i="256"/>
  <c r="WGN22" i="256"/>
  <c r="WGO22" i="256"/>
  <c r="WGP22" i="256"/>
  <c r="WGQ22" i="256"/>
  <c r="WGR22" i="256"/>
  <c r="WGS22" i="256"/>
  <c r="WGT22" i="256"/>
  <c r="WGU22" i="256"/>
  <c r="WGV22" i="256"/>
  <c r="WGW22" i="256"/>
  <c r="WGX22" i="256"/>
  <c r="WGY22" i="256"/>
  <c r="WGZ22" i="256"/>
  <c r="WHA22" i="256"/>
  <c r="WHB22" i="256"/>
  <c r="WHC22" i="256"/>
  <c r="WHD22" i="256"/>
  <c r="WHE22" i="256"/>
  <c r="WHF22" i="256"/>
  <c r="WHG22" i="256"/>
  <c r="WHH22" i="256"/>
  <c r="WHI22" i="256"/>
  <c r="WHJ22" i="256"/>
  <c r="WHK22" i="256"/>
  <c r="WHL22" i="256"/>
  <c r="WHM22" i="256"/>
  <c r="WHN22" i="256"/>
  <c r="WHO22" i="256"/>
  <c r="WHP22" i="256"/>
  <c r="WHQ22" i="256"/>
  <c r="WHR22" i="256"/>
  <c r="WHS22" i="256"/>
  <c r="WHT22" i="256"/>
  <c r="WHU22" i="256"/>
  <c r="WHV22" i="256"/>
  <c r="WHW22" i="256"/>
  <c r="WHX22" i="256"/>
  <c r="WHY22" i="256"/>
  <c r="WHZ22" i="256"/>
  <c r="WIA22" i="256"/>
  <c r="WIB22" i="256"/>
  <c r="WIC22" i="256"/>
  <c r="WID22" i="256"/>
  <c r="WIE22" i="256"/>
  <c r="WIF22" i="256"/>
  <c r="WIG22" i="256"/>
  <c r="WIH22" i="256"/>
  <c r="WII22" i="256"/>
  <c r="WIJ22" i="256"/>
  <c r="WIK22" i="256"/>
  <c r="WIL22" i="256"/>
  <c r="WIM22" i="256"/>
  <c r="WIN22" i="256"/>
  <c r="WIO22" i="256"/>
  <c r="WIP22" i="256"/>
  <c r="WIQ22" i="256"/>
  <c r="WIR22" i="256"/>
  <c r="WIS22" i="256"/>
  <c r="WIT22" i="256"/>
  <c r="WIU22" i="256"/>
  <c r="WIV22" i="256"/>
  <c r="WIW22" i="256"/>
  <c r="WIX22" i="256"/>
  <c r="WIY22" i="256"/>
  <c r="WIZ22" i="256"/>
  <c r="WJA22" i="256"/>
  <c r="WJB22" i="256"/>
  <c r="WJC22" i="256"/>
  <c r="WJD22" i="256"/>
  <c r="WJE22" i="256"/>
  <c r="WJF22" i="256"/>
  <c r="WJG22" i="256"/>
  <c r="WJH22" i="256"/>
  <c r="WJI22" i="256"/>
  <c r="WJJ22" i="256"/>
  <c r="WJK22" i="256"/>
  <c r="WJL22" i="256"/>
  <c r="WJM22" i="256"/>
  <c r="WJN22" i="256"/>
  <c r="WJO22" i="256"/>
  <c r="WJP22" i="256"/>
  <c r="WJQ22" i="256"/>
  <c r="WJR22" i="256"/>
  <c r="WJS22" i="256"/>
  <c r="WJT22" i="256"/>
  <c r="WJU22" i="256"/>
  <c r="WJV22" i="256"/>
  <c r="WJW22" i="256"/>
  <c r="WJX22" i="256"/>
  <c r="WJY22" i="256"/>
  <c r="WJZ22" i="256"/>
  <c r="WKA22" i="256"/>
  <c r="WKB22" i="256"/>
  <c r="WKC22" i="256"/>
  <c r="WKD22" i="256"/>
  <c r="WKE22" i="256"/>
  <c r="WKF22" i="256"/>
  <c r="WKG22" i="256"/>
  <c r="WKH22" i="256"/>
  <c r="WKI22" i="256"/>
  <c r="WKJ22" i="256"/>
  <c r="WKK22" i="256"/>
  <c r="WKL22" i="256"/>
  <c r="WKM22" i="256"/>
  <c r="WKN22" i="256"/>
  <c r="WKO22" i="256"/>
  <c r="WKP22" i="256"/>
  <c r="WKQ22" i="256"/>
  <c r="WKR22" i="256"/>
  <c r="WKS22" i="256"/>
  <c r="WKT22" i="256"/>
  <c r="WKU22" i="256"/>
  <c r="WKV22" i="256"/>
  <c r="WKW22" i="256"/>
  <c r="WKX22" i="256"/>
  <c r="WKY22" i="256"/>
  <c r="WKZ22" i="256"/>
  <c r="WLA22" i="256"/>
  <c r="WLB22" i="256"/>
  <c r="WLC22" i="256"/>
  <c r="WLD22" i="256"/>
  <c r="WLE22" i="256"/>
  <c r="WLF22" i="256"/>
  <c r="WLG22" i="256"/>
  <c r="WLH22" i="256"/>
  <c r="WLI22" i="256"/>
  <c r="WLJ22" i="256"/>
  <c r="WLK22" i="256"/>
  <c r="WLL22" i="256"/>
  <c r="WLM22" i="256"/>
  <c r="WLN22" i="256"/>
  <c r="WLO22" i="256"/>
  <c r="WLP22" i="256"/>
  <c r="WLQ22" i="256"/>
  <c r="WLR22" i="256"/>
  <c r="WLS22" i="256"/>
  <c r="WLT22" i="256"/>
  <c r="WLU22" i="256"/>
  <c r="WLV22" i="256"/>
  <c r="WLW22" i="256"/>
  <c r="WLX22" i="256"/>
  <c r="WLY22" i="256"/>
  <c r="WLZ22" i="256"/>
  <c r="WMA22" i="256"/>
  <c r="WMB22" i="256"/>
  <c r="WMC22" i="256"/>
  <c r="WMD22" i="256"/>
  <c r="WME22" i="256"/>
  <c r="WMF22" i="256"/>
  <c r="WMG22" i="256"/>
  <c r="WMH22" i="256"/>
  <c r="WMI22" i="256"/>
  <c r="WMJ22" i="256"/>
  <c r="WMK22" i="256"/>
  <c r="WML22" i="256"/>
  <c r="WMM22" i="256"/>
  <c r="WMN22" i="256"/>
  <c r="WMO22" i="256"/>
  <c r="WMP22" i="256"/>
  <c r="WMQ22" i="256"/>
  <c r="WMR22" i="256"/>
  <c r="WMS22" i="256"/>
  <c r="WMT22" i="256"/>
  <c r="WMU22" i="256"/>
  <c r="WMV22" i="256"/>
  <c r="WMW22" i="256"/>
  <c r="WMX22" i="256"/>
  <c r="WMY22" i="256"/>
  <c r="WMZ22" i="256"/>
  <c r="WNA22" i="256"/>
  <c r="WNB22" i="256"/>
  <c r="WNC22" i="256"/>
  <c r="WND22" i="256"/>
  <c r="WNE22" i="256"/>
  <c r="WNF22" i="256"/>
  <c r="WNG22" i="256"/>
  <c r="WNH22" i="256"/>
  <c r="WNI22" i="256"/>
  <c r="WNJ22" i="256"/>
  <c r="WNK22" i="256"/>
  <c r="WNL22" i="256"/>
  <c r="WNM22" i="256"/>
  <c r="WNN22" i="256"/>
  <c r="WNO22" i="256"/>
  <c r="WNP22" i="256"/>
  <c r="WNQ22" i="256"/>
  <c r="WNR22" i="256"/>
  <c r="WNS22" i="256"/>
  <c r="WNT22" i="256"/>
  <c r="WNU22" i="256"/>
  <c r="WNV22" i="256"/>
  <c r="WNW22" i="256"/>
  <c r="WNX22" i="256"/>
  <c r="WNY22" i="256"/>
  <c r="WNZ22" i="256"/>
  <c r="WOA22" i="256"/>
  <c r="WOB22" i="256"/>
  <c r="WOC22" i="256"/>
  <c r="WOD22" i="256"/>
  <c r="WOE22" i="256"/>
  <c r="WOF22" i="256"/>
  <c r="WOG22" i="256"/>
  <c r="WOH22" i="256"/>
  <c r="WOI22" i="256"/>
  <c r="WOJ22" i="256"/>
  <c r="WOK22" i="256"/>
  <c r="WOL22" i="256"/>
  <c r="WOM22" i="256"/>
  <c r="WON22" i="256"/>
  <c r="WOO22" i="256"/>
  <c r="WOP22" i="256"/>
  <c r="WOQ22" i="256"/>
  <c r="WOR22" i="256"/>
  <c r="WOS22" i="256"/>
  <c r="WOT22" i="256"/>
  <c r="WOU22" i="256"/>
  <c r="WOV22" i="256"/>
  <c r="WOW22" i="256"/>
  <c r="WOX22" i="256"/>
  <c r="WOY22" i="256"/>
  <c r="WOZ22" i="256"/>
  <c r="WPA22" i="256"/>
  <c r="WPB22" i="256"/>
  <c r="WPC22" i="256"/>
  <c r="WPD22" i="256"/>
  <c r="WPE22" i="256"/>
  <c r="WPF22" i="256"/>
  <c r="WPG22" i="256"/>
  <c r="WPH22" i="256"/>
  <c r="WPI22" i="256"/>
  <c r="WPJ22" i="256"/>
  <c r="WPK22" i="256"/>
  <c r="WPL22" i="256"/>
  <c r="WPM22" i="256"/>
  <c r="WPN22" i="256"/>
  <c r="WPO22" i="256"/>
  <c r="WPP22" i="256"/>
  <c r="WPQ22" i="256"/>
  <c r="WPR22" i="256"/>
  <c r="WPS22" i="256"/>
  <c r="WPT22" i="256"/>
  <c r="WPU22" i="256"/>
  <c r="WPV22" i="256"/>
  <c r="WPW22" i="256"/>
  <c r="WPX22" i="256"/>
  <c r="WPY22" i="256"/>
  <c r="WPZ22" i="256"/>
  <c r="WQA22" i="256"/>
  <c r="WQB22" i="256"/>
  <c r="WQC22" i="256"/>
  <c r="WQD22" i="256"/>
  <c r="WQE22" i="256"/>
  <c r="WQF22" i="256"/>
  <c r="WQG22" i="256"/>
  <c r="WQH22" i="256"/>
  <c r="WQI22" i="256"/>
  <c r="WQJ22" i="256"/>
  <c r="WQK22" i="256"/>
  <c r="WQL22" i="256"/>
  <c r="WQM22" i="256"/>
  <c r="WQN22" i="256"/>
  <c r="WQO22" i="256"/>
  <c r="WQP22" i="256"/>
  <c r="WQQ22" i="256"/>
  <c r="WQR22" i="256"/>
  <c r="WQS22" i="256"/>
  <c r="WQT22" i="256"/>
  <c r="WQU22" i="256"/>
  <c r="WQV22" i="256"/>
  <c r="WQW22" i="256"/>
  <c r="WQX22" i="256"/>
  <c r="WQY22" i="256"/>
  <c r="WQZ22" i="256"/>
  <c r="WRA22" i="256"/>
  <c r="WRB22" i="256"/>
  <c r="WRC22" i="256"/>
  <c r="WRD22" i="256"/>
  <c r="WRE22" i="256"/>
  <c r="WRF22" i="256"/>
  <c r="WRG22" i="256"/>
  <c r="WRH22" i="256"/>
  <c r="WRI22" i="256"/>
  <c r="WRJ22" i="256"/>
  <c r="WRK22" i="256"/>
  <c r="WRL22" i="256"/>
  <c r="WRM22" i="256"/>
  <c r="WRN22" i="256"/>
  <c r="WRO22" i="256"/>
  <c r="WRP22" i="256"/>
  <c r="WRQ22" i="256"/>
  <c r="WRR22" i="256"/>
  <c r="WRS22" i="256"/>
  <c r="WRT22" i="256"/>
  <c r="WRU22" i="256"/>
  <c r="WRV22" i="256"/>
  <c r="WRW22" i="256"/>
  <c r="WRX22" i="256"/>
  <c r="WRY22" i="256"/>
  <c r="WRZ22" i="256"/>
  <c r="WSA22" i="256"/>
  <c r="WSB22" i="256"/>
  <c r="WSC22" i="256"/>
  <c r="WSD22" i="256"/>
  <c r="WSE22" i="256"/>
  <c r="WSF22" i="256"/>
  <c r="WSG22" i="256"/>
  <c r="WSH22" i="256"/>
  <c r="WSI22" i="256"/>
  <c r="WSJ22" i="256"/>
  <c r="WSK22" i="256"/>
  <c r="WSL22" i="256"/>
  <c r="WSM22" i="256"/>
  <c r="WSN22" i="256"/>
  <c r="WSO22" i="256"/>
  <c r="WSP22" i="256"/>
  <c r="WSQ22" i="256"/>
  <c r="WSR22" i="256"/>
  <c r="WSS22" i="256"/>
  <c r="WST22" i="256"/>
  <c r="WSU22" i="256"/>
  <c r="WSV22" i="256"/>
  <c r="WSW22" i="256"/>
  <c r="WSX22" i="256"/>
  <c r="WSY22" i="256"/>
  <c r="WSZ22" i="256"/>
  <c r="WTA22" i="256"/>
  <c r="WTB22" i="256"/>
  <c r="WTC22" i="256"/>
  <c r="WTD22" i="256"/>
  <c r="WTE22" i="256"/>
  <c r="WTF22" i="256"/>
  <c r="WTG22" i="256"/>
  <c r="WTH22" i="256"/>
  <c r="WTI22" i="256"/>
  <c r="WTJ22" i="256"/>
  <c r="WTK22" i="256"/>
  <c r="WTL22" i="256"/>
  <c r="WTM22" i="256"/>
  <c r="WTN22" i="256"/>
  <c r="WTO22" i="256"/>
  <c r="WTP22" i="256"/>
  <c r="WTQ22" i="256"/>
  <c r="WTR22" i="256"/>
  <c r="WTS22" i="256"/>
  <c r="WTT22" i="256"/>
  <c r="WTU22" i="256"/>
  <c r="WTV22" i="256"/>
  <c r="WTW22" i="256"/>
  <c r="WTX22" i="256"/>
  <c r="WTY22" i="256"/>
  <c r="WTZ22" i="256"/>
  <c r="WUA22" i="256"/>
  <c r="WUB22" i="256"/>
  <c r="WUC22" i="256"/>
  <c r="WUD22" i="256"/>
  <c r="WUE22" i="256"/>
  <c r="WUF22" i="256"/>
  <c r="WUG22" i="256"/>
  <c r="WUH22" i="256"/>
  <c r="WUI22" i="256"/>
  <c r="WUJ22" i="256"/>
  <c r="WUK22" i="256"/>
  <c r="WUL22" i="256"/>
  <c r="WUM22" i="256"/>
  <c r="WUN22" i="256"/>
  <c r="WUO22" i="256"/>
  <c r="WUP22" i="256"/>
  <c r="WUQ22" i="256"/>
  <c r="WUR22" i="256"/>
  <c r="WUS22" i="256"/>
  <c r="WUT22" i="256"/>
  <c r="WUU22" i="256"/>
  <c r="WUV22" i="256"/>
  <c r="WUW22" i="256"/>
  <c r="WUX22" i="256"/>
  <c r="WUY22" i="256"/>
  <c r="WUZ22" i="256"/>
  <c r="WVA22" i="256"/>
  <c r="WVB22" i="256"/>
  <c r="WVC22" i="256"/>
  <c r="WVD22" i="256"/>
  <c r="WVE22" i="256"/>
  <c r="WVF22" i="256"/>
  <c r="WVG22" i="256"/>
  <c r="WVH22" i="256"/>
  <c r="WVI22" i="256"/>
  <c r="WVJ22" i="256"/>
  <c r="WVK22" i="256"/>
  <c r="WVL22" i="256"/>
  <c r="WVM22" i="256"/>
  <c r="WVN22" i="256"/>
  <c r="WVO22" i="256"/>
  <c r="WVP22" i="256"/>
  <c r="WVQ22" i="256"/>
  <c r="WVR22" i="256"/>
  <c r="WVS22" i="256"/>
  <c r="WVT22" i="256"/>
  <c r="WVU22" i="256"/>
  <c r="WVV22" i="256"/>
  <c r="WVW22" i="256"/>
  <c r="WVX22" i="256"/>
  <c r="WVY22" i="256"/>
  <c r="WVZ22" i="256"/>
  <c r="WWA22" i="256"/>
  <c r="WWB22" i="256"/>
  <c r="WWC22" i="256"/>
  <c r="WWD22" i="256"/>
  <c r="WWE22" i="256"/>
  <c r="WWF22" i="256"/>
  <c r="WWG22" i="256"/>
  <c r="WWH22" i="256"/>
  <c r="WWI22" i="256"/>
  <c r="WWJ22" i="256"/>
  <c r="WWK22" i="256"/>
  <c r="WWL22" i="256"/>
  <c r="WWM22" i="256"/>
  <c r="WWN22" i="256"/>
  <c r="WWO22" i="256"/>
  <c r="WWP22" i="256"/>
  <c r="WWQ22" i="256"/>
  <c r="WWR22" i="256"/>
  <c r="WWS22" i="256"/>
  <c r="WWT22" i="256"/>
  <c r="WWU22" i="256"/>
  <c r="WWV22" i="256"/>
  <c r="WWW22" i="256"/>
  <c r="WWX22" i="256"/>
  <c r="WWY22" i="256"/>
  <c r="WWZ22" i="256"/>
  <c r="WXA22" i="256"/>
  <c r="WXB22" i="256"/>
  <c r="WXC22" i="256"/>
  <c r="WXD22" i="256"/>
  <c r="WXE22" i="256"/>
  <c r="WXF22" i="256"/>
  <c r="WXG22" i="256"/>
  <c r="WXH22" i="256"/>
  <c r="WXI22" i="256"/>
  <c r="WXJ22" i="256"/>
  <c r="WXK22" i="256"/>
  <c r="WXL22" i="256"/>
  <c r="WXM22" i="256"/>
  <c r="WXN22" i="256"/>
  <c r="WXO22" i="256"/>
  <c r="WXP22" i="256"/>
  <c r="WXQ22" i="256"/>
  <c r="WXR22" i="256"/>
  <c r="WXS22" i="256"/>
  <c r="WXT22" i="256"/>
  <c r="WXU22" i="256"/>
  <c r="WXV22" i="256"/>
  <c r="WXW22" i="256"/>
  <c r="WXX22" i="256"/>
  <c r="WXY22" i="256"/>
  <c r="WXZ22" i="256"/>
  <c r="WYA22" i="256"/>
  <c r="WYB22" i="256"/>
  <c r="WYC22" i="256"/>
  <c r="WYD22" i="256"/>
  <c r="WYE22" i="256"/>
  <c r="WYF22" i="256"/>
  <c r="WYG22" i="256"/>
  <c r="WYH22" i="256"/>
  <c r="WYI22" i="256"/>
  <c r="WYJ22" i="256"/>
  <c r="WYK22" i="256"/>
  <c r="WYL22" i="256"/>
  <c r="WYM22" i="256"/>
  <c r="WYN22" i="256"/>
  <c r="WYO22" i="256"/>
  <c r="WYP22" i="256"/>
  <c r="WYQ22" i="256"/>
  <c r="WYR22" i="256"/>
  <c r="WYS22" i="256"/>
  <c r="WYT22" i="256"/>
  <c r="WYU22" i="256"/>
  <c r="WYV22" i="256"/>
  <c r="WYW22" i="256"/>
  <c r="WYX22" i="256"/>
  <c r="WYY22" i="256"/>
  <c r="WYZ22" i="256"/>
  <c r="WZA22" i="256"/>
  <c r="WZB22" i="256"/>
  <c r="WZC22" i="256"/>
  <c r="WZD22" i="256"/>
  <c r="WZE22" i="256"/>
  <c r="WZF22" i="256"/>
  <c r="WZG22" i="256"/>
  <c r="WZH22" i="256"/>
  <c r="WZI22" i="256"/>
  <c r="WZJ22" i="256"/>
  <c r="WZK22" i="256"/>
  <c r="WZL22" i="256"/>
  <c r="WZM22" i="256"/>
  <c r="WZN22" i="256"/>
  <c r="WZO22" i="256"/>
  <c r="WZP22" i="256"/>
  <c r="WZQ22" i="256"/>
  <c r="WZR22" i="256"/>
  <c r="WZS22" i="256"/>
  <c r="WZT22" i="256"/>
  <c r="WZU22" i="256"/>
  <c r="WZV22" i="256"/>
  <c r="WZW22" i="256"/>
  <c r="WZX22" i="256"/>
  <c r="WZY22" i="256"/>
  <c r="WZZ22" i="256"/>
  <c r="XAA22" i="256"/>
  <c r="XAB22" i="256"/>
  <c r="XAC22" i="256"/>
  <c r="XAD22" i="256"/>
  <c r="XAE22" i="256"/>
  <c r="XAF22" i="256"/>
  <c r="XAG22" i="256"/>
  <c r="XAH22" i="256"/>
  <c r="XAI22" i="256"/>
  <c r="XAJ22" i="256"/>
  <c r="XAK22" i="256"/>
  <c r="XAL22" i="256"/>
  <c r="XAM22" i="256"/>
  <c r="XAN22" i="256"/>
  <c r="XAO22" i="256"/>
  <c r="XAP22" i="256"/>
  <c r="XAQ22" i="256"/>
  <c r="XAR22" i="256"/>
  <c r="XAS22" i="256"/>
  <c r="XAT22" i="256"/>
  <c r="XAU22" i="256"/>
  <c r="XAV22" i="256"/>
  <c r="XAW22" i="256"/>
  <c r="XAX22" i="256"/>
  <c r="XAY22" i="256"/>
  <c r="XAZ22" i="256"/>
  <c r="XBA22" i="256"/>
  <c r="XBB22" i="256"/>
  <c r="XBC22" i="256"/>
  <c r="XBD22" i="256"/>
  <c r="XBE22" i="256"/>
  <c r="XBF22" i="256"/>
  <c r="XBG22" i="256"/>
  <c r="XBH22" i="256"/>
  <c r="XBI22" i="256"/>
  <c r="XBJ22" i="256"/>
  <c r="XBK22" i="256"/>
  <c r="XBL22" i="256"/>
  <c r="XBM22" i="256"/>
  <c r="XBN22" i="256"/>
  <c r="XBO22" i="256"/>
  <c r="XBP22" i="256"/>
  <c r="XBQ22" i="256"/>
  <c r="XBR22" i="256"/>
  <c r="XBS22" i="256"/>
  <c r="XBT22" i="256"/>
  <c r="XBU22" i="256"/>
  <c r="XBV22" i="256"/>
  <c r="XBW22" i="256"/>
  <c r="XBX22" i="256"/>
  <c r="XBY22" i="256"/>
  <c r="XBZ22" i="256"/>
  <c r="XCA22" i="256"/>
  <c r="XCB22" i="256"/>
  <c r="XCC22" i="256"/>
  <c r="XCD22" i="256"/>
  <c r="XCE22" i="256"/>
  <c r="XCF22" i="256"/>
  <c r="XCG22" i="256"/>
  <c r="XCH22" i="256"/>
  <c r="XCI22" i="256"/>
  <c r="XCJ22" i="256"/>
  <c r="XCK22" i="256"/>
  <c r="XCL22" i="256"/>
  <c r="XCM22" i="256"/>
  <c r="XCN22" i="256"/>
  <c r="XCO22" i="256"/>
  <c r="XCP22" i="256"/>
  <c r="XCQ22" i="256"/>
  <c r="XCR22" i="256"/>
  <c r="XCS22" i="256"/>
  <c r="XCT22" i="256"/>
  <c r="XCU22" i="256"/>
  <c r="XCV22" i="256"/>
  <c r="XCW22" i="256"/>
  <c r="XCX22" i="256"/>
  <c r="XCY22" i="256"/>
  <c r="XCZ22" i="256"/>
  <c r="XDA22" i="256"/>
  <c r="XDB22" i="256"/>
  <c r="XDC22" i="256"/>
  <c r="XDD22" i="256"/>
  <c r="XDE22" i="256"/>
  <c r="XDF22" i="256"/>
  <c r="XDG22" i="256"/>
  <c r="XDH22" i="256"/>
  <c r="XDI22" i="256"/>
  <c r="XDJ22" i="256"/>
  <c r="XDK22" i="256"/>
  <c r="XDL22" i="256"/>
  <c r="XDM22" i="256"/>
  <c r="XDN22" i="256"/>
  <c r="XDO22" i="256"/>
  <c r="XDP22" i="256"/>
  <c r="XDQ22" i="256"/>
  <c r="XDR22" i="256"/>
  <c r="XDS22" i="256"/>
  <c r="XDT22" i="256"/>
  <c r="XDU22" i="256"/>
  <c r="XDV22" i="256"/>
  <c r="XDW22" i="256"/>
  <c r="XDX22" i="256"/>
  <c r="XDY22" i="256"/>
  <c r="XDZ22" i="256"/>
  <c r="XEA22" i="256"/>
  <c r="XEB22" i="256"/>
  <c r="XEC22" i="256"/>
  <c r="XED22" i="256"/>
  <c r="XEE22" i="256"/>
  <c r="XEF22" i="256"/>
  <c r="XEG22" i="256"/>
  <c r="XEH22" i="256"/>
  <c r="XEI22" i="256"/>
  <c r="XEJ22" i="256"/>
  <c r="XEK22" i="256"/>
  <c r="XEL22" i="256"/>
  <c r="XEM22" i="256"/>
  <c r="XEN22" i="256"/>
  <c r="XEO22" i="256"/>
  <c r="XEP22" i="256"/>
  <c r="XEQ22" i="256"/>
  <c r="XER22" i="256"/>
  <c r="XES22" i="256"/>
  <c r="XET22" i="256"/>
  <c r="XEU22" i="256"/>
  <c r="XEV22" i="256"/>
  <c r="XEW22" i="256"/>
  <c r="XEX22" i="256"/>
  <c r="XEY22" i="256"/>
  <c r="XEZ22" i="256"/>
  <c r="XFA22" i="256"/>
  <c r="XFB22" i="256"/>
  <c r="XFC22" i="256"/>
  <c r="XFD22" i="256"/>
  <c r="E22" i="256"/>
  <c r="BG9" i="262" s="1"/>
  <c r="BK9" i="262" s="1"/>
  <c r="AH102" i="243"/>
  <c r="AG102" i="243"/>
  <c r="AF102" i="243"/>
  <c r="AE102" i="243"/>
  <c r="AD102" i="243"/>
  <c r="AC102" i="243"/>
  <c r="AB102" i="243"/>
  <c r="AA102" i="243"/>
  <c r="Z102" i="243"/>
  <c r="Y102" i="243"/>
  <c r="X102" i="243"/>
  <c r="W102" i="243"/>
  <c r="V102" i="243"/>
  <c r="U102" i="243"/>
  <c r="T102" i="243"/>
  <c r="S102" i="243"/>
  <c r="R102" i="243"/>
  <c r="Q102" i="243"/>
  <c r="P102" i="243"/>
  <c r="O102" i="243"/>
  <c r="N102" i="243"/>
  <c r="M102" i="243"/>
  <c r="L102" i="243"/>
  <c r="K102" i="243"/>
  <c r="J102" i="243"/>
  <c r="I102" i="243"/>
  <c r="H102" i="243"/>
  <c r="G102" i="243"/>
  <c r="F102" i="243"/>
  <c r="E102" i="243"/>
  <c r="AH94" i="243"/>
  <c r="AG94" i="243"/>
  <c r="AF94" i="243"/>
  <c r="AE94" i="243"/>
  <c r="AD94" i="243"/>
  <c r="AC94" i="243"/>
  <c r="AB94" i="243"/>
  <c r="AA94" i="243"/>
  <c r="Z94" i="243"/>
  <c r="Y94" i="243"/>
  <c r="X94" i="243"/>
  <c r="W94" i="243"/>
  <c r="V94" i="243"/>
  <c r="U94" i="243"/>
  <c r="T94" i="243"/>
  <c r="S94" i="243"/>
  <c r="R94" i="243"/>
  <c r="Q94" i="243"/>
  <c r="P94" i="243"/>
  <c r="O94" i="243"/>
  <c r="N94" i="243"/>
  <c r="M94" i="243"/>
  <c r="L94" i="243"/>
  <c r="K94" i="243"/>
  <c r="J94" i="243"/>
  <c r="I94" i="243"/>
  <c r="H94" i="243"/>
  <c r="G94" i="243"/>
  <c r="F94" i="243"/>
  <c r="E94" i="243"/>
  <c r="AH86" i="243"/>
  <c r="AG86" i="243"/>
  <c r="AF86" i="243"/>
  <c r="AE86" i="243"/>
  <c r="AD86" i="243"/>
  <c r="AC86" i="243"/>
  <c r="AB86" i="243"/>
  <c r="AA86" i="243"/>
  <c r="Z86" i="243"/>
  <c r="Y86" i="243"/>
  <c r="X86" i="243"/>
  <c r="W86" i="243"/>
  <c r="V86" i="243"/>
  <c r="U86" i="243"/>
  <c r="T86" i="243"/>
  <c r="S86" i="243"/>
  <c r="R86" i="243"/>
  <c r="Q86" i="243"/>
  <c r="P86" i="243"/>
  <c r="O86" i="243"/>
  <c r="N86" i="243"/>
  <c r="M86" i="243"/>
  <c r="L86" i="243"/>
  <c r="K86" i="243"/>
  <c r="J86" i="243"/>
  <c r="I86" i="243"/>
  <c r="H86" i="243"/>
  <c r="G86" i="243"/>
  <c r="F86" i="243"/>
  <c r="E86" i="243"/>
  <c r="AH78" i="243"/>
  <c r="AG78" i="243"/>
  <c r="AF78" i="243"/>
  <c r="AE78" i="243"/>
  <c r="AD78" i="243"/>
  <c r="AC78" i="243"/>
  <c r="AB78" i="243"/>
  <c r="AA78" i="243"/>
  <c r="Z78" i="243"/>
  <c r="Y78" i="243"/>
  <c r="X78" i="243"/>
  <c r="W78" i="243"/>
  <c r="V78" i="243"/>
  <c r="U78" i="243"/>
  <c r="T78" i="243"/>
  <c r="S78" i="243"/>
  <c r="R78" i="243"/>
  <c r="Q78" i="243"/>
  <c r="P78" i="243"/>
  <c r="O78" i="243"/>
  <c r="N78" i="243"/>
  <c r="M78" i="243"/>
  <c r="L78" i="243"/>
  <c r="K78" i="243"/>
  <c r="J78" i="243"/>
  <c r="I78" i="243"/>
  <c r="H78" i="243"/>
  <c r="G78" i="243"/>
  <c r="F78" i="243"/>
  <c r="E78" i="243"/>
  <c r="AH70" i="243"/>
  <c r="AG70" i="243"/>
  <c r="AF70" i="243"/>
  <c r="AE70" i="243"/>
  <c r="AD70" i="243"/>
  <c r="AC70" i="243"/>
  <c r="AB70" i="243"/>
  <c r="AA70" i="243"/>
  <c r="Z70" i="243"/>
  <c r="Y70" i="243"/>
  <c r="X70" i="243"/>
  <c r="W70" i="243"/>
  <c r="V70" i="243"/>
  <c r="U70" i="243"/>
  <c r="T70" i="243"/>
  <c r="S70" i="243"/>
  <c r="R70" i="243"/>
  <c r="Q70" i="243"/>
  <c r="P70" i="243"/>
  <c r="O70" i="243"/>
  <c r="N70" i="243"/>
  <c r="M70" i="243"/>
  <c r="L70" i="243"/>
  <c r="K70" i="243"/>
  <c r="J70" i="243"/>
  <c r="I70" i="243"/>
  <c r="H70" i="243"/>
  <c r="G70" i="243"/>
  <c r="F70" i="243"/>
  <c r="E70" i="243"/>
  <c r="AH62" i="243"/>
  <c r="AG62" i="243"/>
  <c r="AF62" i="243"/>
  <c r="AE62" i="243"/>
  <c r="AD62" i="243"/>
  <c r="AC62" i="243"/>
  <c r="AB62" i="243"/>
  <c r="AA62" i="243"/>
  <c r="Z62" i="243"/>
  <c r="Y62" i="243"/>
  <c r="X62" i="243"/>
  <c r="W62" i="243"/>
  <c r="V62" i="243"/>
  <c r="U62" i="243"/>
  <c r="T62" i="243"/>
  <c r="S62" i="243"/>
  <c r="R62" i="243"/>
  <c r="Q62" i="243"/>
  <c r="P62" i="243"/>
  <c r="O62" i="243"/>
  <c r="N62" i="243"/>
  <c r="M62" i="243"/>
  <c r="L62" i="243"/>
  <c r="K62" i="243"/>
  <c r="J62" i="243"/>
  <c r="I62" i="243"/>
  <c r="H62" i="243"/>
  <c r="G62" i="243"/>
  <c r="F62" i="243"/>
  <c r="E62" i="243"/>
  <c r="AH54" i="243"/>
  <c r="AG54" i="243"/>
  <c r="AF54" i="243"/>
  <c r="AE54" i="243"/>
  <c r="AD54" i="243"/>
  <c r="AC54" i="243"/>
  <c r="AB54" i="243"/>
  <c r="AA54" i="243"/>
  <c r="Z54" i="243"/>
  <c r="Y54" i="243"/>
  <c r="X54" i="243"/>
  <c r="W54" i="243"/>
  <c r="V54" i="243"/>
  <c r="U54" i="243"/>
  <c r="T54" i="243"/>
  <c r="S54" i="243"/>
  <c r="R54" i="243"/>
  <c r="Q54" i="243"/>
  <c r="P54" i="243"/>
  <c r="O54" i="243"/>
  <c r="N54" i="243"/>
  <c r="M54" i="243"/>
  <c r="L54" i="243"/>
  <c r="K54" i="243"/>
  <c r="J54" i="243"/>
  <c r="I54" i="243"/>
  <c r="H54" i="243"/>
  <c r="G54" i="243"/>
  <c r="F54" i="243"/>
  <c r="E54" i="243"/>
  <c r="AH46" i="243"/>
  <c r="AG46" i="243"/>
  <c r="AF46" i="243"/>
  <c r="AE46" i="243"/>
  <c r="AD46" i="243"/>
  <c r="AC46" i="243"/>
  <c r="AB46" i="243"/>
  <c r="AA46" i="243"/>
  <c r="Z46" i="243"/>
  <c r="Y46" i="243"/>
  <c r="X46" i="243"/>
  <c r="W46" i="243"/>
  <c r="V46" i="243"/>
  <c r="U46" i="243"/>
  <c r="T46" i="243"/>
  <c r="S46" i="243"/>
  <c r="R46" i="243"/>
  <c r="Q46" i="243"/>
  <c r="P46" i="243"/>
  <c r="O46" i="243"/>
  <c r="N46" i="243"/>
  <c r="M46" i="243"/>
  <c r="L46" i="243"/>
  <c r="K46" i="243"/>
  <c r="J46" i="243"/>
  <c r="I46" i="243"/>
  <c r="H46" i="243"/>
  <c r="G46" i="243"/>
  <c r="F46" i="243"/>
  <c r="E46" i="243"/>
  <c r="AH38" i="243"/>
  <c r="AG38" i="243"/>
  <c r="AF38" i="243"/>
  <c r="AE38" i="243"/>
  <c r="AD38" i="243"/>
  <c r="AC38" i="243"/>
  <c r="AB38" i="243"/>
  <c r="AA38" i="243"/>
  <c r="Z38" i="243"/>
  <c r="Y38" i="243"/>
  <c r="X38" i="243"/>
  <c r="W38" i="243"/>
  <c r="V38" i="243"/>
  <c r="U38" i="243"/>
  <c r="T38" i="243"/>
  <c r="S38" i="243"/>
  <c r="R38" i="243"/>
  <c r="Q38" i="243"/>
  <c r="P38" i="243"/>
  <c r="O38" i="243"/>
  <c r="N38" i="243"/>
  <c r="M38" i="243"/>
  <c r="L38" i="243"/>
  <c r="K38" i="243"/>
  <c r="J38" i="243"/>
  <c r="I38" i="243"/>
  <c r="H38" i="243"/>
  <c r="G38" i="243"/>
  <c r="F38" i="243"/>
  <c r="E38" i="243"/>
  <c r="AH30" i="243"/>
  <c r="AG30" i="243"/>
  <c r="AF30" i="243"/>
  <c r="AE30" i="243"/>
  <c r="AD30" i="243"/>
  <c r="AC30" i="243"/>
  <c r="AB30" i="243"/>
  <c r="AA30" i="243"/>
  <c r="Z30" i="243"/>
  <c r="Y30" i="243"/>
  <c r="X30" i="243"/>
  <c r="W30" i="243"/>
  <c r="V30" i="243"/>
  <c r="U30" i="243"/>
  <c r="T30" i="243"/>
  <c r="S30" i="243"/>
  <c r="R30" i="243"/>
  <c r="Q30" i="243"/>
  <c r="P30" i="243"/>
  <c r="O30" i="243"/>
  <c r="N30" i="243"/>
  <c r="M30" i="243"/>
  <c r="L30" i="243"/>
  <c r="K30" i="243"/>
  <c r="J30" i="243"/>
  <c r="I30" i="243"/>
  <c r="H30" i="243"/>
  <c r="G30" i="243"/>
  <c r="F30" i="243"/>
  <c r="E30" i="243"/>
  <c r="AH22" i="243"/>
  <c r="AG22" i="243"/>
  <c r="AF22" i="243"/>
  <c r="AE22" i="243"/>
  <c r="AD22" i="243"/>
  <c r="AC22" i="243"/>
  <c r="AB22" i="243"/>
  <c r="AA22" i="243"/>
  <c r="Z22" i="243"/>
  <c r="Y22" i="243"/>
  <c r="X22" i="243"/>
  <c r="W22" i="243"/>
  <c r="V22" i="243"/>
  <c r="U22" i="243"/>
  <c r="T22" i="243"/>
  <c r="S22" i="243"/>
  <c r="R22" i="243"/>
  <c r="Q22" i="243"/>
  <c r="P22" i="243"/>
  <c r="O22" i="243"/>
  <c r="N22" i="243"/>
  <c r="M22" i="243"/>
  <c r="L22" i="243"/>
  <c r="K22" i="243"/>
  <c r="J22" i="243"/>
  <c r="I22" i="243"/>
  <c r="H22" i="243"/>
  <c r="G22" i="243"/>
  <c r="F22" i="243"/>
  <c r="E22" i="243"/>
  <c r="AH14" i="243"/>
  <c r="AG14" i="243"/>
  <c r="AF14" i="243"/>
  <c r="AE14" i="243"/>
  <c r="AD14" i="243"/>
  <c r="AC14" i="243"/>
  <c r="AB14" i="243"/>
  <c r="AA14" i="243"/>
  <c r="Z14" i="243"/>
  <c r="Y14" i="243"/>
  <c r="X14" i="243"/>
  <c r="W14" i="243"/>
  <c r="V14" i="243"/>
  <c r="U14" i="243"/>
  <c r="T14" i="243"/>
  <c r="S14" i="243"/>
  <c r="R14" i="243"/>
  <c r="Q14" i="243"/>
  <c r="P14" i="243"/>
  <c r="O14" i="243"/>
  <c r="N14" i="243"/>
  <c r="M14" i="243"/>
  <c r="L14" i="243"/>
  <c r="K14" i="243"/>
  <c r="J14" i="243"/>
  <c r="I14" i="243"/>
  <c r="H14" i="243"/>
  <c r="G14" i="243"/>
  <c r="F14" i="243"/>
  <c r="E14" i="243"/>
  <c r="AG6" i="243"/>
  <c r="AF6" i="243"/>
  <c r="AE6" i="243"/>
  <c r="AD6" i="243"/>
  <c r="AC6" i="243"/>
  <c r="AB6" i="243"/>
  <c r="AA6" i="243"/>
  <c r="Z6" i="243"/>
  <c r="Y6" i="243"/>
  <c r="X6" i="243"/>
  <c r="W6" i="243"/>
  <c r="V6" i="243"/>
  <c r="U6" i="243"/>
  <c r="T6" i="243"/>
  <c r="S6" i="243"/>
  <c r="R6" i="243"/>
  <c r="Q6" i="243"/>
  <c r="P6" i="243"/>
  <c r="O6" i="243"/>
  <c r="N6" i="243"/>
  <c r="M6" i="243"/>
  <c r="L6" i="243"/>
  <c r="K6" i="243"/>
  <c r="J6" i="243"/>
  <c r="I6" i="243"/>
  <c r="H6" i="243"/>
  <c r="G6" i="243"/>
  <c r="F6" i="243"/>
  <c r="E6" i="243"/>
  <c r="AH102" i="278"/>
  <c r="AG102" i="278"/>
  <c r="AF102" i="278"/>
  <c r="JJ33" i="290" s="1"/>
  <c r="AE102" i="278"/>
  <c r="JJ32" i="290" s="1"/>
  <c r="AD102" i="278"/>
  <c r="JJ31" i="290" s="1"/>
  <c r="AC102" i="278"/>
  <c r="JJ30" i="290" s="1"/>
  <c r="AB102" i="278"/>
  <c r="JJ29" i="290" s="1"/>
  <c r="AA102" i="278"/>
  <c r="JJ28" i="290" s="1"/>
  <c r="Z102" i="278"/>
  <c r="JJ27" i="290" s="1"/>
  <c r="Y102" i="278"/>
  <c r="JJ26" i="290" s="1"/>
  <c r="X102" i="278"/>
  <c r="JJ25" i="290" s="1"/>
  <c r="W102" i="278"/>
  <c r="JJ24" i="290" s="1"/>
  <c r="V102" i="278"/>
  <c r="JJ23" i="290" s="1"/>
  <c r="U102" i="278"/>
  <c r="JJ22" i="290" s="1"/>
  <c r="T102" i="278"/>
  <c r="JJ21" i="290" s="1"/>
  <c r="S102" i="278"/>
  <c r="JJ20" i="290" s="1"/>
  <c r="R102" i="278"/>
  <c r="JJ19" i="290" s="1"/>
  <c r="Q102" i="278"/>
  <c r="JJ18" i="290" s="1"/>
  <c r="P102" i="278"/>
  <c r="JJ17" i="290" s="1"/>
  <c r="O102" i="278"/>
  <c r="JJ16" i="290" s="1"/>
  <c r="N102" i="278"/>
  <c r="JJ15" i="290" s="1"/>
  <c r="M102" i="278"/>
  <c r="JJ14" i="290" s="1"/>
  <c r="L102" i="278"/>
  <c r="JJ13" i="290" s="1"/>
  <c r="K102" i="278"/>
  <c r="JJ12" i="290" s="1"/>
  <c r="J102" i="278"/>
  <c r="JJ11" i="290" s="1"/>
  <c r="I102" i="278"/>
  <c r="JJ10" i="290" s="1"/>
  <c r="H102" i="278"/>
  <c r="JJ9" i="290" s="1"/>
  <c r="G102" i="278"/>
  <c r="JJ8" i="290" s="1"/>
  <c r="F102" i="278"/>
  <c r="JJ7" i="290" s="1"/>
  <c r="E102" i="278"/>
  <c r="JJ6" i="290" s="1"/>
  <c r="AH94" i="278"/>
  <c r="AG94" i="278"/>
  <c r="AF94" i="278"/>
  <c r="JI33" i="290" s="1"/>
  <c r="AE94" i="278"/>
  <c r="JI32" i="290" s="1"/>
  <c r="AD94" i="278"/>
  <c r="JI31" i="290" s="1"/>
  <c r="AC94" i="278"/>
  <c r="JI30" i="290" s="1"/>
  <c r="AB94" i="278"/>
  <c r="JI29" i="290" s="1"/>
  <c r="AA94" i="278"/>
  <c r="JI28" i="290" s="1"/>
  <c r="Z94" i="278"/>
  <c r="JI27" i="290" s="1"/>
  <c r="Y94" i="278"/>
  <c r="JI26" i="290" s="1"/>
  <c r="X94" i="278"/>
  <c r="JI25" i="290" s="1"/>
  <c r="W94" i="278"/>
  <c r="JI24" i="290" s="1"/>
  <c r="V94" i="278"/>
  <c r="JI23" i="290" s="1"/>
  <c r="U94" i="278"/>
  <c r="JI22" i="290" s="1"/>
  <c r="T94" i="278"/>
  <c r="JI21" i="290" s="1"/>
  <c r="S94" i="278"/>
  <c r="JI20" i="290" s="1"/>
  <c r="R94" i="278"/>
  <c r="JI19" i="290" s="1"/>
  <c r="Q94" i="278"/>
  <c r="JI18" i="290" s="1"/>
  <c r="P94" i="278"/>
  <c r="JI17" i="290" s="1"/>
  <c r="O94" i="278"/>
  <c r="JI16" i="290" s="1"/>
  <c r="N94" i="278"/>
  <c r="JI15" i="290" s="1"/>
  <c r="M94" i="278"/>
  <c r="JI14" i="290" s="1"/>
  <c r="L94" i="278"/>
  <c r="JI13" i="290" s="1"/>
  <c r="K94" i="278"/>
  <c r="JI12" i="290" s="1"/>
  <c r="J94" i="278"/>
  <c r="JI11" i="290" s="1"/>
  <c r="I94" i="278"/>
  <c r="JI10" i="290" s="1"/>
  <c r="H94" i="278"/>
  <c r="JI9" i="290" s="1"/>
  <c r="G94" i="278"/>
  <c r="JI8" i="290" s="1"/>
  <c r="F94" i="278"/>
  <c r="JI7" i="290" s="1"/>
  <c r="E94" i="278"/>
  <c r="JI6" i="290" s="1"/>
  <c r="AH86" i="278"/>
  <c r="AG86" i="278"/>
  <c r="AF86" i="278"/>
  <c r="JH33" i="290" s="1"/>
  <c r="AE86" i="278"/>
  <c r="JH32" i="290" s="1"/>
  <c r="AD86" i="278"/>
  <c r="JH31" i="290" s="1"/>
  <c r="AC86" i="278"/>
  <c r="JH30" i="290" s="1"/>
  <c r="AB86" i="278"/>
  <c r="JH29" i="290" s="1"/>
  <c r="AA86" i="278"/>
  <c r="JH28" i="290" s="1"/>
  <c r="Z86" i="278"/>
  <c r="JH27" i="290" s="1"/>
  <c r="Y86" i="278"/>
  <c r="JH26" i="290" s="1"/>
  <c r="X86" i="278"/>
  <c r="JH25" i="290" s="1"/>
  <c r="W86" i="278"/>
  <c r="JH24" i="290" s="1"/>
  <c r="V86" i="278"/>
  <c r="JH23" i="290" s="1"/>
  <c r="U86" i="278"/>
  <c r="JH22" i="290" s="1"/>
  <c r="T86" i="278"/>
  <c r="JH21" i="290" s="1"/>
  <c r="S86" i="278"/>
  <c r="JH20" i="290" s="1"/>
  <c r="R86" i="278"/>
  <c r="JH19" i="290" s="1"/>
  <c r="Q86" i="278"/>
  <c r="JH18" i="290" s="1"/>
  <c r="P86" i="278"/>
  <c r="JH17" i="290" s="1"/>
  <c r="O86" i="278"/>
  <c r="JH16" i="290" s="1"/>
  <c r="N86" i="278"/>
  <c r="JH15" i="290" s="1"/>
  <c r="M86" i="278"/>
  <c r="JH14" i="290" s="1"/>
  <c r="L86" i="278"/>
  <c r="JH13" i="290" s="1"/>
  <c r="K86" i="278"/>
  <c r="JH12" i="290" s="1"/>
  <c r="J86" i="278"/>
  <c r="JH11" i="290" s="1"/>
  <c r="I86" i="278"/>
  <c r="JH10" i="290" s="1"/>
  <c r="H86" i="278"/>
  <c r="JH9" i="290" s="1"/>
  <c r="G86" i="278"/>
  <c r="JH8" i="290" s="1"/>
  <c r="F86" i="278"/>
  <c r="JH7" i="290" s="1"/>
  <c r="E86" i="278"/>
  <c r="JH6" i="290" s="1"/>
  <c r="AH78" i="278"/>
  <c r="AG78" i="278"/>
  <c r="AF78" i="278"/>
  <c r="JG33" i="290" s="1"/>
  <c r="AE78" i="278"/>
  <c r="JG32" i="290" s="1"/>
  <c r="AD78" i="278"/>
  <c r="JG31" i="290" s="1"/>
  <c r="AC78" i="278"/>
  <c r="JG30" i="290" s="1"/>
  <c r="AB78" i="278"/>
  <c r="JG29" i="290" s="1"/>
  <c r="AA78" i="278"/>
  <c r="JG28" i="290" s="1"/>
  <c r="Z78" i="278"/>
  <c r="JG27" i="290" s="1"/>
  <c r="Y78" i="278"/>
  <c r="JG26" i="290" s="1"/>
  <c r="X78" i="278"/>
  <c r="JG25" i="290" s="1"/>
  <c r="W78" i="278"/>
  <c r="JG24" i="290" s="1"/>
  <c r="V78" i="278"/>
  <c r="JG23" i="290" s="1"/>
  <c r="U78" i="278"/>
  <c r="JG22" i="290" s="1"/>
  <c r="T78" i="278"/>
  <c r="JG21" i="290" s="1"/>
  <c r="S78" i="278"/>
  <c r="JG20" i="290" s="1"/>
  <c r="R78" i="278"/>
  <c r="JG19" i="290" s="1"/>
  <c r="Q78" i="278"/>
  <c r="JG18" i="290" s="1"/>
  <c r="P78" i="278"/>
  <c r="JG17" i="290" s="1"/>
  <c r="O78" i="278"/>
  <c r="JG16" i="290" s="1"/>
  <c r="N78" i="278"/>
  <c r="JG15" i="290" s="1"/>
  <c r="M78" i="278"/>
  <c r="JG14" i="290" s="1"/>
  <c r="L78" i="278"/>
  <c r="JG13" i="290" s="1"/>
  <c r="K78" i="278"/>
  <c r="JG12" i="290" s="1"/>
  <c r="J78" i="278"/>
  <c r="JG11" i="290" s="1"/>
  <c r="I78" i="278"/>
  <c r="JG10" i="290" s="1"/>
  <c r="H78" i="278"/>
  <c r="JG9" i="290" s="1"/>
  <c r="G78" i="278"/>
  <c r="JG8" i="290" s="1"/>
  <c r="F78" i="278"/>
  <c r="JG7" i="290" s="1"/>
  <c r="E78" i="278"/>
  <c r="JG6" i="290" s="1"/>
  <c r="AH70" i="278"/>
  <c r="AG70" i="278"/>
  <c r="AF70" i="278"/>
  <c r="JF33" i="290" s="1"/>
  <c r="AE70" i="278"/>
  <c r="JF32" i="290" s="1"/>
  <c r="AD70" i="278"/>
  <c r="JF31" i="290" s="1"/>
  <c r="AC70" i="278"/>
  <c r="JF30" i="290" s="1"/>
  <c r="AB70" i="278"/>
  <c r="JF29" i="290" s="1"/>
  <c r="AA70" i="278"/>
  <c r="JF28" i="290" s="1"/>
  <c r="Z70" i="278"/>
  <c r="JF27" i="290" s="1"/>
  <c r="Y70" i="278"/>
  <c r="JF26" i="290" s="1"/>
  <c r="X70" i="278"/>
  <c r="JF25" i="290" s="1"/>
  <c r="W70" i="278"/>
  <c r="JF24" i="290" s="1"/>
  <c r="V70" i="278"/>
  <c r="JF23" i="290" s="1"/>
  <c r="U70" i="278"/>
  <c r="JF22" i="290" s="1"/>
  <c r="T70" i="278"/>
  <c r="JF21" i="290" s="1"/>
  <c r="S70" i="278"/>
  <c r="JF20" i="290" s="1"/>
  <c r="R70" i="278"/>
  <c r="JF19" i="290" s="1"/>
  <c r="Q70" i="278"/>
  <c r="JF18" i="290" s="1"/>
  <c r="P70" i="278"/>
  <c r="JF17" i="290" s="1"/>
  <c r="O70" i="278"/>
  <c r="JF16" i="290" s="1"/>
  <c r="N70" i="278"/>
  <c r="JF15" i="290" s="1"/>
  <c r="M70" i="278"/>
  <c r="JF14" i="290" s="1"/>
  <c r="L70" i="278"/>
  <c r="JF13" i="290" s="1"/>
  <c r="K70" i="278"/>
  <c r="JF12" i="290" s="1"/>
  <c r="J70" i="278"/>
  <c r="JF11" i="290" s="1"/>
  <c r="I70" i="278"/>
  <c r="JF10" i="290" s="1"/>
  <c r="H70" i="278"/>
  <c r="JF9" i="290" s="1"/>
  <c r="G70" i="278"/>
  <c r="JF8" i="290" s="1"/>
  <c r="F70" i="278"/>
  <c r="JF7" i="290" s="1"/>
  <c r="E70" i="278"/>
  <c r="JF6" i="290" s="1"/>
  <c r="AH62" i="278"/>
  <c r="AG62" i="278"/>
  <c r="AF62" i="278"/>
  <c r="JE33" i="290" s="1"/>
  <c r="AE62" i="278"/>
  <c r="JE32" i="290" s="1"/>
  <c r="AD62" i="278"/>
  <c r="JE31" i="290" s="1"/>
  <c r="AC62" i="278"/>
  <c r="JE30" i="290" s="1"/>
  <c r="AB62" i="278"/>
  <c r="JE29" i="290" s="1"/>
  <c r="AA62" i="278"/>
  <c r="JE28" i="290" s="1"/>
  <c r="Z62" i="278"/>
  <c r="JE27" i="290" s="1"/>
  <c r="Y62" i="278"/>
  <c r="JE26" i="290" s="1"/>
  <c r="X62" i="278"/>
  <c r="JE25" i="290" s="1"/>
  <c r="W62" i="278"/>
  <c r="JE24" i="290" s="1"/>
  <c r="V62" i="278"/>
  <c r="JE23" i="290" s="1"/>
  <c r="U62" i="278"/>
  <c r="JE22" i="290" s="1"/>
  <c r="T62" i="278"/>
  <c r="JE21" i="290" s="1"/>
  <c r="S62" i="278"/>
  <c r="JE20" i="290" s="1"/>
  <c r="R62" i="278"/>
  <c r="JE19" i="290" s="1"/>
  <c r="Q62" i="278"/>
  <c r="JE18" i="290" s="1"/>
  <c r="P62" i="278"/>
  <c r="JE17" i="290" s="1"/>
  <c r="O62" i="278"/>
  <c r="JE16" i="290" s="1"/>
  <c r="N62" i="278"/>
  <c r="JE15" i="290" s="1"/>
  <c r="M62" i="278"/>
  <c r="JE14" i="290" s="1"/>
  <c r="L62" i="278"/>
  <c r="JE13" i="290" s="1"/>
  <c r="K62" i="278"/>
  <c r="JE12" i="290" s="1"/>
  <c r="J62" i="278"/>
  <c r="JE11" i="290" s="1"/>
  <c r="I62" i="278"/>
  <c r="JE10" i="290" s="1"/>
  <c r="H62" i="278"/>
  <c r="JE9" i="290" s="1"/>
  <c r="G62" i="278"/>
  <c r="JE8" i="290" s="1"/>
  <c r="F62" i="278"/>
  <c r="JE7" i="290" s="1"/>
  <c r="E62" i="278"/>
  <c r="JE6" i="290" s="1"/>
  <c r="AH54" i="278"/>
  <c r="AG54" i="278"/>
  <c r="AF54" i="278"/>
  <c r="JD33" i="290" s="1"/>
  <c r="AE54" i="278"/>
  <c r="JD32" i="290" s="1"/>
  <c r="AD54" i="278"/>
  <c r="JD31" i="290" s="1"/>
  <c r="AC54" i="278"/>
  <c r="JD30" i="290" s="1"/>
  <c r="AB54" i="278"/>
  <c r="JD29" i="290" s="1"/>
  <c r="AA54" i="278"/>
  <c r="JD28" i="290" s="1"/>
  <c r="Z54" i="278"/>
  <c r="JD27" i="290" s="1"/>
  <c r="Y54" i="278"/>
  <c r="JD26" i="290" s="1"/>
  <c r="X54" i="278"/>
  <c r="JD25" i="290" s="1"/>
  <c r="W54" i="278"/>
  <c r="JD24" i="290" s="1"/>
  <c r="V54" i="278"/>
  <c r="JD23" i="290" s="1"/>
  <c r="U54" i="278"/>
  <c r="JD22" i="290" s="1"/>
  <c r="T54" i="278"/>
  <c r="JD21" i="290" s="1"/>
  <c r="S54" i="278"/>
  <c r="JD20" i="290" s="1"/>
  <c r="R54" i="278"/>
  <c r="JD19" i="290" s="1"/>
  <c r="Q54" i="278"/>
  <c r="JD18" i="290" s="1"/>
  <c r="P54" i="278"/>
  <c r="JD17" i="290" s="1"/>
  <c r="O54" i="278"/>
  <c r="JD16" i="290" s="1"/>
  <c r="N54" i="278"/>
  <c r="JD15" i="290" s="1"/>
  <c r="M54" i="278"/>
  <c r="JD14" i="290" s="1"/>
  <c r="L54" i="278"/>
  <c r="JD13" i="290" s="1"/>
  <c r="K54" i="278"/>
  <c r="JD12" i="290" s="1"/>
  <c r="J54" i="278"/>
  <c r="JD11" i="290" s="1"/>
  <c r="I54" i="278"/>
  <c r="JD10" i="290" s="1"/>
  <c r="H54" i="278"/>
  <c r="JD9" i="290" s="1"/>
  <c r="G54" i="278"/>
  <c r="JD8" i="290" s="1"/>
  <c r="F54" i="278"/>
  <c r="JD7" i="290" s="1"/>
  <c r="E54" i="278"/>
  <c r="JD6" i="290" s="1"/>
  <c r="AH46" i="278"/>
  <c r="AG46" i="278"/>
  <c r="AF46" i="278"/>
  <c r="JC33" i="290" s="1"/>
  <c r="AE46" i="278"/>
  <c r="JC32" i="290" s="1"/>
  <c r="AD46" i="278"/>
  <c r="JC31" i="290" s="1"/>
  <c r="AC46" i="278"/>
  <c r="JC30" i="290" s="1"/>
  <c r="AB46" i="278"/>
  <c r="JC29" i="290" s="1"/>
  <c r="AA46" i="278"/>
  <c r="JC28" i="290" s="1"/>
  <c r="Z46" i="278"/>
  <c r="JC27" i="290" s="1"/>
  <c r="Y46" i="278"/>
  <c r="JC26" i="290" s="1"/>
  <c r="X46" i="278"/>
  <c r="JC25" i="290" s="1"/>
  <c r="W46" i="278"/>
  <c r="JC24" i="290" s="1"/>
  <c r="V46" i="278"/>
  <c r="JC23" i="290" s="1"/>
  <c r="U46" i="278"/>
  <c r="JC22" i="290" s="1"/>
  <c r="T46" i="278"/>
  <c r="JC21" i="290" s="1"/>
  <c r="S46" i="278"/>
  <c r="JC20" i="290" s="1"/>
  <c r="R46" i="278"/>
  <c r="JC19" i="290" s="1"/>
  <c r="Q46" i="278"/>
  <c r="JC18" i="290" s="1"/>
  <c r="P46" i="278"/>
  <c r="JC17" i="290" s="1"/>
  <c r="O46" i="278"/>
  <c r="JC16" i="290" s="1"/>
  <c r="N46" i="278"/>
  <c r="JC15" i="290" s="1"/>
  <c r="M46" i="278"/>
  <c r="JC14" i="290" s="1"/>
  <c r="L46" i="278"/>
  <c r="JC13" i="290" s="1"/>
  <c r="K46" i="278"/>
  <c r="JC12" i="290" s="1"/>
  <c r="J46" i="278"/>
  <c r="JC11" i="290" s="1"/>
  <c r="I46" i="278"/>
  <c r="JC10" i="290" s="1"/>
  <c r="H46" i="278"/>
  <c r="JC9" i="290" s="1"/>
  <c r="G46" i="278"/>
  <c r="JC8" i="290" s="1"/>
  <c r="F46" i="278"/>
  <c r="JC7" i="290" s="1"/>
  <c r="E46" i="278"/>
  <c r="JC6" i="290" s="1"/>
  <c r="AH38" i="278"/>
  <c r="AG38" i="278"/>
  <c r="AF38" i="278"/>
  <c r="JB33" i="290" s="1"/>
  <c r="AE38" i="278"/>
  <c r="JB32" i="290" s="1"/>
  <c r="AD38" i="278"/>
  <c r="JB31" i="290" s="1"/>
  <c r="AC38" i="278"/>
  <c r="JB30" i="290" s="1"/>
  <c r="AB38" i="278"/>
  <c r="JB29" i="290" s="1"/>
  <c r="AA38" i="278"/>
  <c r="JB28" i="290" s="1"/>
  <c r="Z38" i="278"/>
  <c r="JB27" i="290" s="1"/>
  <c r="Y38" i="278"/>
  <c r="JB26" i="290" s="1"/>
  <c r="X38" i="278"/>
  <c r="JB25" i="290" s="1"/>
  <c r="W38" i="278"/>
  <c r="JB24" i="290" s="1"/>
  <c r="V38" i="278"/>
  <c r="JB23" i="290" s="1"/>
  <c r="U38" i="278"/>
  <c r="JB22" i="290" s="1"/>
  <c r="T38" i="278"/>
  <c r="JB21" i="290" s="1"/>
  <c r="S38" i="278"/>
  <c r="JB20" i="290" s="1"/>
  <c r="R38" i="278"/>
  <c r="JB19" i="290" s="1"/>
  <c r="Q38" i="278"/>
  <c r="JB18" i="290" s="1"/>
  <c r="P38" i="278"/>
  <c r="JB17" i="290" s="1"/>
  <c r="O38" i="278"/>
  <c r="JB16" i="290" s="1"/>
  <c r="N38" i="278"/>
  <c r="JB15" i="290" s="1"/>
  <c r="M38" i="278"/>
  <c r="JB14" i="290" s="1"/>
  <c r="L38" i="278"/>
  <c r="JB13" i="290" s="1"/>
  <c r="K38" i="278"/>
  <c r="JB12" i="290" s="1"/>
  <c r="J38" i="278"/>
  <c r="JB11" i="290" s="1"/>
  <c r="I38" i="278"/>
  <c r="JB10" i="290" s="1"/>
  <c r="H38" i="278"/>
  <c r="JB9" i="290" s="1"/>
  <c r="G38" i="278"/>
  <c r="JB8" i="290" s="1"/>
  <c r="F38" i="278"/>
  <c r="JB7" i="290" s="1"/>
  <c r="E38" i="278"/>
  <c r="JB6" i="290" s="1"/>
  <c r="AH30" i="278"/>
  <c r="AG30" i="278"/>
  <c r="AF30" i="278"/>
  <c r="JA33" i="290" s="1"/>
  <c r="AE30" i="278"/>
  <c r="JA32" i="290" s="1"/>
  <c r="AD30" i="278"/>
  <c r="JA31" i="290" s="1"/>
  <c r="AC30" i="278"/>
  <c r="JA30" i="290" s="1"/>
  <c r="AB30" i="278"/>
  <c r="JA29" i="290" s="1"/>
  <c r="AA30" i="278"/>
  <c r="JA28" i="290" s="1"/>
  <c r="Z30" i="278"/>
  <c r="JA27" i="290" s="1"/>
  <c r="Y30" i="278"/>
  <c r="JA26" i="290" s="1"/>
  <c r="X30" i="278"/>
  <c r="JA25" i="290" s="1"/>
  <c r="W30" i="278"/>
  <c r="JA24" i="290" s="1"/>
  <c r="V30" i="278"/>
  <c r="JA23" i="290" s="1"/>
  <c r="U30" i="278"/>
  <c r="JA22" i="290" s="1"/>
  <c r="T30" i="278"/>
  <c r="JA21" i="290" s="1"/>
  <c r="S30" i="278"/>
  <c r="JA20" i="290" s="1"/>
  <c r="R30" i="278"/>
  <c r="JA19" i="290" s="1"/>
  <c r="Q30" i="278"/>
  <c r="JA18" i="290" s="1"/>
  <c r="P30" i="278"/>
  <c r="JA17" i="290" s="1"/>
  <c r="O30" i="278"/>
  <c r="JA16" i="290" s="1"/>
  <c r="N30" i="278"/>
  <c r="JA15" i="290" s="1"/>
  <c r="M30" i="278"/>
  <c r="JA14" i="290" s="1"/>
  <c r="L30" i="278"/>
  <c r="JA13" i="290" s="1"/>
  <c r="K30" i="278"/>
  <c r="JA12" i="290" s="1"/>
  <c r="J30" i="278"/>
  <c r="JA11" i="290" s="1"/>
  <c r="I30" i="278"/>
  <c r="JA10" i="290" s="1"/>
  <c r="H30" i="278"/>
  <c r="JA9" i="290" s="1"/>
  <c r="G30" i="278"/>
  <c r="JA8" i="290" s="1"/>
  <c r="F30" i="278"/>
  <c r="JA7" i="290" s="1"/>
  <c r="E30" i="278"/>
  <c r="JA6" i="290" s="1"/>
  <c r="AH22" i="278"/>
  <c r="AG22" i="278"/>
  <c r="AF22" i="278"/>
  <c r="IZ33" i="290" s="1"/>
  <c r="AE22" i="278"/>
  <c r="IZ32" i="290" s="1"/>
  <c r="AD22" i="278"/>
  <c r="IZ31" i="290" s="1"/>
  <c r="AC22" i="278"/>
  <c r="IZ30" i="290" s="1"/>
  <c r="AB22" i="278"/>
  <c r="IZ29" i="290" s="1"/>
  <c r="AA22" i="278"/>
  <c r="IZ28" i="290" s="1"/>
  <c r="Z22" i="278"/>
  <c r="IZ27" i="290" s="1"/>
  <c r="Y22" i="278"/>
  <c r="IZ26" i="290" s="1"/>
  <c r="X22" i="278"/>
  <c r="IZ25" i="290" s="1"/>
  <c r="W22" i="278"/>
  <c r="IZ24" i="290" s="1"/>
  <c r="V22" i="278"/>
  <c r="IZ23" i="290" s="1"/>
  <c r="U22" i="278"/>
  <c r="IZ22" i="290" s="1"/>
  <c r="T22" i="278"/>
  <c r="IZ21" i="290" s="1"/>
  <c r="S22" i="278"/>
  <c r="IZ20" i="290" s="1"/>
  <c r="R22" i="278"/>
  <c r="IZ19" i="290" s="1"/>
  <c r="Q22" i="278"/>
  <c r="IZ18" i="290" s="1"/>
  <c r="P22" i="278"/>
  <c r="IZ17" i="290" s="1"/>
  <c r="O22" i="278"/>
  <c r="IZ16" i="290" s="1"/>
  <c r="N22" i="278"/>
  <c r="IZ15" i="290" s="1"/>
  <c r="M22" i="278"/>
  <c r="IZ14" i="290" s="1"/>
  <c r="L22" i="278"/>
  <c r="IZ13" i="290" s="1"/>
  <c r="K22" i="278"/>
  <c r="IZ12" i="290" s="1"/>
  <c r="J22" i="278"/>
  <c r="IZ11" i="290" s="1"/>
  <c r="I22" i="278"/>
  <c r="IZ10" i="290" s="1"/>
  <c r="H22" i="278"/>
  <c r="IZ9" i="290" s="1"/>
  <c r="G22" i="278"/>
  <c r="IZ8" i="290" s="1"/>
  <c r="F22" i="278"/>
  <c r="IZ7" i="290" s="1"/>
  <c r="E22" i="278"/>
  <c r="IZ6" i="290" s="1"/>
  <c r="AH14" i="278"/>
  <c r="AG14" i="278"/>
  <c r="AF14" i="278"/>
  <c r="IY33" i="290" s="1"/>
  <c r="AE14" i="278"/>
  <c r="IY32" i="290" s="1"/>
  <c r="AD14" i="278"/>
  <c r="IY31" i="290" s="1"/>
  <c r="AC14" i="278"/>
  <c r="IY30" i="290" s="1"/>
  <c r="AB14" i="278"/>
  <c r="IY29" i="290" s="1"/>
  <c r="AA14" i="278"/>
  <c r="IY28" i="290" s="1"/>
  <c r="Z14" i="278"/>
  <c r="IY27" i="290" s="1"/>
  <c r="Y14" i="278"/>
  <c r="IY26" i="290" s="1"/>
  <c r="X14" i="278"/>
  <c r="IY25" i="290" s="1"/>
  <c r="W14" i="278"/>
  <c r="IY24" i="290" s="1"/>
  <c r="V14" i="278"/>
  <c r="IY23" i="290" s="1"/>
  <c r="U14" i="278"/>
  <c r="IY22" i="290" s="1"/>
  <c r="T14" i="278"/>
  <c r="IY21" i="290" s="1"/>
  <c r="S14" i="278"/>
  <c r="IY20" i="290" s="1"/>
  <c r="R14" i="278"/>
  <c r="IY19" i="290" s="1"/>
  <c r="Q14" i="278"/>
  <c r="IY18" i="290" s="1"/>
  <c r="P14" i="278"/>
  <c r="IY17" i="290" s="1"/>
  <c r="O14" i="278"/>
  <c r="IY16" i="290" s="1"/>
  <c r="N14" i="278"/>
  <c r="IY15" i="290" s="1"/>
  <c r="M14" i="278"/>
  <c r="IY14" i="290" s="1"/>
  <c r="L14" i="278"/>
  <c r="IY13" i="290" s="1"/>
  <c r="K14" i="278"/>
  <c r="IY12" i="290" s="1"/>
  <c r="J14" i="278"/>
  <c r="IY11" i="290" s="1"/>
  <c r="I14" i="278"/>
  <c r="IY10" i="290" s="1"/>
  <c r="H14" i="278"/>
  <c r="IY9" i="290" s="1"/>
  <c r="G14" i="278"/>
  <c r="IY8" i="290" s="1"/>
  <c r="F14" i="278"/>
  <c r="IY7" i="290" s="1"/>
  <c r="E14" i="278"/>
  <c r="IY6" i="290" s="1"/>
  <c r="AH6" i="278"/>
  <c r="AG6" i="278"/>
  <c r="AF6" i="278"/>
  <c r="IX33" i="290" s="1"/>
  <c r="AE6" i="278"/>
  <c r="IX32" i="290" s="1"/>
  <c r="AD6" i="278"/>
  <c r="IX31" i="290" s="1"/>
  <c r="AC6" i="278"/>
  <c r="IX30" i="290" s="1"/>
  <c r="AB6" i="278"/>
  <c r="IX29" i="290" s="1"/>
  <c r="AA6" i="278"/>
  <c r="IX28" i="290" s="1"/>
  <c r="Z6" i="278"/>
  <c r="IX27" i="290" s="1"/>
  <c r="Y6" i="278"/>
  <c r="IX26" i="290" s="1"/>
  <c r="X6" i="278"/>
  <c r="IX25" i="290" s="1"/>
  <c r="W6" i="278"/>
  <c r="IX24" i="290" s="1"/>
  <c r="V6" i="278"/>
  <c r="IX23" i="290" s="1"/>
  <c r="U6" i="278"/>
  <c r="IX22" i="290" s="1"/>
  <c r="T6" i="278"/>
  <c r="IX21" i="290" s="1"/>
  <c r="S6" i="278"/>
  <c r="IX20" i="290" s="1"/>
  <c r="R6" i="278"/>
  <c r="IX19" i="290" s="1"/>
  <c r="Q6" i="278"/>
  <c r="IX18" i="290" s="1"/>
  <c r="P6" i="278"/>
  <c r="IX17" i="290" s="1"/>
  <c r="O6" i="278"/>
  <c r="IX16" i="290" s="1"/>
  <c r="N6" i="278"/>
  <c r="IX15" i="290" s="1"/>
  <c r="M6" i="278"/>
  <c r="IX14" i="290" s="1"/>
  <c r="L6" i="278"/>
  <c r="IX13" i="290" s="1"/>
  <c r="K6" i="278"/>
  <c r="IX12" i="290" s="1"/>
  <c r="J6" i="278"/>
  <c r="IX11" i="290" s="1"/>
  <c r="I6" i="278"/>
  <c r="IX10" i="290" s="1"/>
  <c r="H6" i="278"/>
  <c r="IX9" i="290" s="1"/>
  <c r="G6" i="278"/>
  <c r="IX8" i="290" s="1"/>
  <c r="F6" i="278"/>
  <c r="IX7" i="290" s="1"/>
  <c r="E6" i="278"/>
  <c r="IX6" i="290" s="1"/>
  <c r="AH102" i="277"/>
  <c r="AG102" i="277"/>
  <c r="AF102" i="277"/>
  <c r="IS33" i="290" s="1"/>
  <c r="AE102" i="277"/>
  <c r="IS32" i="290" s="1"/>
  <c r="AD102" i="277"/>
  <c r="IS31" i="290" s="1"/>
  <c r="AC102" i="277"/>
  <c r="IS30" i="290" s="1"/>
  <c r="AB102" i="277"/>
  <c r="IS29" i="290" s="1"/>
  <c r="AA102" i="277"/>
  <c r="IS28" i="290" s="1"/>
  <c r="Z102" i="277"/>
  <c r="IS27" i="290" s="1"/>
  <c r="Y102" i="277"/>
  <c r="IS26" i="290" s="1"/>
  <c r="X102" i="277"/>
  <c r="IS25" i="290" s="1"/>
  <c r="W102" i="277"/>
  <c r="IS24" i="290" s="1"/>
  <c r="V102" i="277"/>
  <c r="IS23" i="290" s="1"/>
  <c r="U102" i="277"/>
  <c r="IS22" i="290" s="1"/>
  <c r="T102" i="277"/>
  <c r="IS21" i="290" s="1"/>
  <c r="S102" i="277"/>
  <c r="IS20" i="290" s="1"/>
  <c r="R102" i="277"/>
  <c r="IS19" i="290" s="1"/>
  <c r="Q102" i="277"/>
  <c r="IS18" i="290" s="1"/>
  <c r="P102" i="277"/>
  <c r="IS17" i="290" s="1"/>
  <c r="O102" i="277"/>
  <c r="IS16" i="290" s="1"/>
  <c r="N102" i="277"/>
  <c r="IS15" i="290" s="1"/>
  <c r="M102" i="277"/>
  <c r="IS14" i="290" s="1"/>
  <c r="L102" i="277"/>
  <c r="IS13" i="290" s="1"/>
  <c r="K102" i="277"/>
  <c r="IS12" i="290" s="1"/>
  <c r="J102" i="277"/>
  <c r="IS11" i="290" s="1"/>
  <c r="I102" i="277"/>
  <c r="IS10" i="290" s="1"/>
  <c r="H102" i="277"/>
  <c r="IS9" i="290" s="1"/>
  <c r="G102" i="277"/>
  <c r="IS8" i="290" s="1"/>
  <c r="F102" i="277"/>
  <c r="IS7" i="290" s="1"/>
  <c r="E102" i="277"/>
  <c r="IS6" i="290" s="1"/>
  <c r="AH94" i="277"/>
  <c r="AG94" i="277"/>
  <c r="AF94" i="277"/>
  <c r="IR33" i="290" s="1"/>
  <c r="AE94" i="277"/>
  <c r="IR32" i="290" s="1"/>
  <c r="AD94" i="277"/>
  <c r="IR31" i="290" s="1"/>
  <c r="AC94" i="277"/>
  <c r="IR30" i="290" s="1"/>
  <c r="AB94" i="277"/>
  <c r="IR29" i="290" s="1"/>
  <c r="AA94" i="277"/>
  <c r="IR28" i="290" s="1"/>
  <c r="Z94" i="277"/>
  <c r="IR27" i="290" s="1"/>
  <c r="Y94" i="277"/>
  <c r="IR26" i="290" s="1"/>
  <c r="X94" i="277"/>
  <c r="IR25" i="290" s="1"/>
  <c r="W94" i="277"/>
  <c r="IR24" i="290" s="1"/>
  <c r="V94" i="277"/>
  <c r="IR23" i="290" s="1"/>
  <c r="U94" i="277"/>
  <c r="IR22" i="290" s="1"/>
  <c r="T94" i="277"/>
  <c r="IR21" i="290" s="1"/>
  <c r="S94" i="277"/>
  <c r="IR20" i="290" s="1"/>
  <c r="R94" i="277"/>
  <c r="IR19" i="290" s="1"/>
  <c r="Q94" i="277"/>
  <c r="IR18" i="290" s="1"/>
  <c r="P94" i="277"/>
  <c r="IR17" i="290" s="1"/>
  <c r="O94" i="277"/>
  <c r="IR16" i="290" s="1"/>
  <c r="N94" i="277"/>
  <c r="IR15" i="290" s="1"/>
  <c r="M94" i="277"/>
  <c r="IR14" i="290" s="1"/>
  <c r="L94" i="277"/>
  <c r="IR13" i="290" s="1"/>
  <c r="K94" i="277"/>
  <c r="IR12" i="290" s="1"/>
  <c r="J94" i="277"/>
  <c r="IR11" i="290" s="1"/>
  <c r="I94" i="277"/>
  <c r="IR10" i="290" s="1"/>
  <c r="H94" i="277"/>
  <c r="IR9" i="290" s="1"/>
  <c r="G94" i="277"/>
  <c r="IR8" i="290" s="1"/>
  <c r="F94" i="277"/>
  <c r="IR7" i="290" s="1"/>
  <c r="E94" i="277"/>
  <c r="IR6" i="290" s="1"/>
  <c r="AH86" i="277"/>
  <c r="AG86" i="277"/>
  <c r="AF86" i="277"/>
  <c r="IQ33" i="290" s="1"/>
  <c r="AE86" i="277"/>
  <c r="IQ32" i="290" s="1"/>
  <c r="AD86" i="277"/>
  <c r="IQ31" i="290" s="1"/>
  <c r="AC86" i="277"/>
  <c r="IQ30" i="290" s="1"/>
  <c r="AB86" i="277"/>
  <c r="IQ29" i="290" s="1"/>
  <c r="AA86" i="277"/>
  <c r="IQ28" i="290" s="1"/>
  <c r="Z86" i="277"/>
  <c r="IQ27" i="290" s="1"/>
  <c r="Y86" i="277"/>
  <c r="IQ26" i="290" s="1"/>
  <c r="X86" i="277"/>
  <c r="IQ25" i="290" s="1"/>
  <c r="W86" i="277"/>
  <c r="IQ24" i="290" s="1"/>
  <c r="V86" i="277"/>
  <c r="IQ23" i="290" s="1"/>
  <c r="U86" i="277"/>
  <c r="IQ22" i="290" s="1"/>
  <c r="T86" i="277"/>
  <c r="IQ21" i="290" s="1"/>
  <c r="S86" i="277"/>
  <c r="IQ20" i="290" s="1"/>
  <c r="R86" i="277"/>
  <c r="IQ19" i="290" s="1"/>
  <c r="Q86" i="277"/>
  <c r="IQ18" i="290" s="1"/>
  <c r="P86" i="277"/>
  <c r="IQ17" i="290" s="1"/>
  <c r="O86" i="277"/>
  <c r="IQ16" i="290" s="1"/>
  <c r="N86" i="277"/>
  <c r="IQ15" i="290" s="1"/>
  <c r="M86" i="277"/>
  <c r="IQ14" i="290" s="1"/>
  <c r="L86" i="277"/>
  <c r="IQ13" i="290" s="1"/>
  <c r="K86" i="277"/>
  <c r="IQ12" i="290" s="1"/>
  <c r="J86" i="277"/>
  <c r="IQ11" i="290" s="1"/>
  <c r="I86" i="277"/>
  <c r="IQ10" i="290" s="1"/>
  <c r="H86" i="277"/>
  <c r="IQ9" i="290" s="1"/>
  <c r="G86" i="277"/>
  <c r="IQ8" i="290" s="1"/>
  <c r="F86" i="277"/>
  <c r="IQ7" i="290" s="1"/>
  <c r="E86" i="277"/>
  <c r="IQ6" i="290" s="1"/>
  <c r="AH78" i="277"/>
  <c r="AG78" i="277"/>
  <c r="AF78" i="277"/>
  <c r="IP33" i="290" s="1"/>
  <c r="AE78" i="277"/>
  <c r="IP32" i="290" s="1"/>
  <c r="AD78" i="277"/>
  <c r="IP31" i="290" s="1"/>
  <c r="AC78" i="277"/>
  <c r="IP30" i="290" s="1"/>
  <c r="AB78" i="277"/>
  <c r="IP29" i="290" s="1"/>
  <c r="AA78" i="277"/>
  <c r="IP28" i="290" s="1"/>
  <c r="Z78" i="277"/>
  <c r="IP27" i="290" s="1"/>
  <c r="Y78" i="277"/>
  <c r="IP26" i="290" s="1"/>
  <c r="X78" i="277"/>
  <c r="IP25" i="290" s="1"/>
  <c r="W78" i="277"/>
  <c r="IP24" i="290" s="1"/>
  <c r="V78" i="277"/>
  <c r="IP23" i="290" s="1"/>
  <c r="U78" i="277"/>
  <c r="IP22" i="290" s="1"/>
  <c r="T78" i="277"/>
  <c r="IP21" i="290" s="1"/>
  <c r="S78" i="277"/>
  <c r="IP20" i="290" s="1"/>
  <c r="R78" i="277"/>
  <c r="IP19" i="290" s="1"/>
  <c r="Q78" i="277"/>
  <c r="IP18" i="290" s="1"/>
  <c r="P78" i="277"/>
  <c r="IP17" i="290" s="1"/>
  <c r="O78" i="277"/>
  <c r="IP16" i="290" s="1"/>
  <c r="N78" i="277"/>
  <c r="IP15" i="290" s="1"/>
  <c r="M78" i="277"/>
  <c r="IP14" i="290" s="1"/>
  <c r="L78" i="277"/>
  <c r="IP13" i="290" s="1"/>
  <c r="K78" i="277"/>
  <c r="IP12" i="290" s="1"/>
  <c r="J78" i="277"/>
  <c r="IP11" i="290" s="1"/>
  <c r="I78" i="277"/>
  <c r="IP10" i="290" s="1"/>
  <c r="H78" i="277"/>
  <c r="IP9" i="290" s="1"/>
  <c r="G78" i="277"/>
  <c r="IP8" i="290" s="1"/>
  <c r="F78" i="277"/>
  <c r="IP7" i="290" s="1"/>
  <c r="E78" i="277"/>
  <c r="IP6" i="290" s="1"/>
  <c r="AH70" i="277"/>
  <c r="AG70" i="277"/>
  <c r="AF70" i="277"/>
  <c r="IO33" i="290" s="1"/>
  <c r="AE70" i="277"/>
  <c r="IO32" i="290" s="1"/>
  <c r="AD70" i="277"/>
  <c r="IO31" i="290" s="1"/>
  <c r="AC70" i="277"/>
  <c r="IO30" i="290" s="1"/>
  <c r="AB70" i="277"/>
  <c r="IO29" i="290" s="1"/>
  <c r="AA70" i="277"/>
  <c r="IO28" i="290" s="1"/>
  <c r="Z70" i="277"/>
  <c r="IO27" i="290" s="1"/>
  <c r="Y70" i="277"/>
  <c r="IO26" i="290" s="1"/>
  <c r="X70" i="277"/>
  <c r="IO25" i="290" s="1"/>
  <c r="W70" i="277"/>
  <c r="IO24" i="290" s="1"/>
  <c r="V70" i="277"/>
  <c r="IO23" i="290" s="1"/>
  <c r="U70" i="277"/>
  <c r="IO22" i="290" s="1"/>
  <c r="T70" i="277"/>
  <c r="IO21" i="290" s="1"/>
  <c r="S70" i="277"/>
  <c r="IO20" i="290" s="1"/>
  <c r="R70" i="277"/>
  <c r="IO19" i="290" s="1"/>
  <c r="Q70" i="277"/>
  <c r="IO18" i="290" s="1"/>
  <c r="P70" i="277"/>
  <c r="IO17" i="290" s="1"/>
  <c r="O70" i="277"/>
  <c r="IO16" i="290" s="1"/>
  <c r="N70" i="277"/>
  <c r="IO15" i="290" s="1"/>
  <c r="M70" i="277"/>
  <c r="IO14" i="290" s="1"/>
  <c r="L70" i="277"/>
  <c r="IO13" i="290" s="1"/>
  <c r="K70" i="277"/>
  <c r="IO12" i="290" s="1"/>
  <c r="J70" i="277"/>
  <c r="IO11" i="290" s="1"/>
  <c r="I70" i="277"/>
  <c r="IO10" i="290" s="1"/>
  <c r="H70" i="277"/>
  <c r="IO9" i="290" s="1"/>
  <c r="G70" i="277"/>
  <c r="IO8" i="290" s="1"/>
  <c r="F70" i="277"/>
  <c r="IO7" i="290" s="1"/>
  <c r="E70" i="277"/>
  <c r="IO6" i="290" s="1"/>
  <c r="AH62" i="277"/>
  <c r="AG62" i="277"/>
  <c r="AF62" i="277"/>
  <c r="IN33" i="290" s="1"/>
  <c r="AE62" i="277"/>
  <c r="IN32" i="290" s="1"/>
  <c r="AD62" i="277"/>
  <c r="IN31" i="290" s="1"/>
  <c r="AC62" i="277"/>
  <c r="IN30" i="290" s="1"/>
  <c r="AB62" i="277"/>
  <c r="IN29" i="290" s="1"/>
  <c r="AA62" i="277"/>
  <c r="IN28" i="290" s="1"/>
  <c r="Z62" i="277"/>
  <c r="IN27" i="290" s="1"/>
  <c r="Y62" i="277"/>
  <c r="IN26" i="290" s="1"/>
  <c r="X62" i="277"/>
  <c r="IN25" i="290" s="1"/>
  <c r="W62" i="277"/>
  <c r="IN24" i="290" s="1"/>
  <c r="V62" i="277"/>
  <c r="IN23" i="290" s="1"/>
  <c r="U62" i="277"/>
  <c r="IN22" i="290" s="1"/>
  <c r="T62" i="277"/>
  <c r="IN21" i="290" s="1"/>
  <c r="S62" i="277"/>
  <c r="IN20" i="290" s="1"/>
  <c r="R62" i="277"/>
  <c r="IN19" i="290" s="1"/>
  <c r="Q62" i="277"/>
  <c r="IN18" i="290" s="1"/>
  <c r="P62" i="277"/>
  <c r="IN17" i="290" s="1"/>
  <c r="O62" i="277"/>
  <c r="IN16" i="290" s="1"/>
  <c r="N62" i="277"/>
  <c r="IN15" i="290" s="1"/>
  <c r="M62" i="277"/>
  <c r="IN14" i="290" s="1"/>
  <c r="L62" i="277"/>
  <c r="IN13" i="290" s="1"/>
  <c r="K62" i="277"/>
  <c r="IN12" i="290" s="1"/>
  <c r="J62" i="277"/>
  <c r="IN11" i="290" s="1"/>
  <c r="I62" i="277"/>
  <c r="IN10" i="290" s="1"/>
  <c r="H62" i="277"/>
  <c r="IN9" i="290" s="1"/>
  <c r="G62" i="277"/>
  <c r="IN8" i="290" s="1"/>
  <c r="F62" i="277"/>
  <c r="IN7" i="290" s="1"/>
  <c r="E62" i="277"/>
  <c r="IN6" i="290" s="1"/>
  <c r="AH54" i="277"/>
  <c r="AG54" i="277"/>
  <c r="AF54" i="277"/>
  <c r="IM33" i="290" s="1"/>
  <c r="AE54" i="277"/>
  <c r="IM32" i="290" s="1"/>
  <c r="AD54" i="277"/>
  <c r="IM31" i="290" s="1"/>
  <c r="AC54" i="277"/>
  <c r="IM30" i="290" s="1"/>
  <c r="AB54" i="277"/>
  <c r="IM29" i="290" s="1"/>
  <c r="AA54" i="277"/>
  <c r="IM28" i="290" s="1"/>
  <c r="Z54" i="277"/>
  <c r="IM27" i="290" s="1"/>
  <c r="Y54" i="277"/>
  <c r="IM26" i="290" s="1"/>
  <c r="X54" i="277"/>
  <c r="IM25" i="290" s="1"/>
  <c r="W54" i="277"/>
  <c r="IM24" i="290" s="1"/>
  <c r="V54" i="277"/>
  <c r="IM23" i="290" s="1"/>
  <c r="U54" i="277"/>
  <c r="IM22" i="290" s="1"/>
  <c r="T54" i="277"/>
  <c r="IM21" i="290" s="1"/>
  <c r="S54" i="277"/>
  <c r="IM20" i="290" s="1"/>
  <c r="R54" i="277"/>
  <c r="IM19" i="290" s="1"/>
  <c r="Q54" i="277"/>
  <c r="IM18" i="290" s="1"/>
  <c r="P54" i="277"/>
  <c r="IM17" i="290" s="1"/>
  <c r="O54" i="277"/>
  <c r="IM16" i="290" s="1"/>
  <c r="N54" i="277"/>
  <c r="IM15" i="290" s="1"/>
  <c r="M54" i="277"/>
  <c r="IM14" i="290" s="1"/>
  <c r="L54" i="277"/>
  <c r="IM13" i="290" s="1"/>
  <c r="K54" i="277"/>
  <c r="IM12" i="290" s="1"/>
  <c r="J54" i="277"/>
  <c r="IM11" i="290" s="1"/>
  <c r="I54" i="277"/>
  <c r="IM10" i="290" s="1"/>
  <c r="H54" i="277"/>
  <c r="IM9" i="290" s="1"/>
  <c r="G54" i="277"/>
  <c r="IM8" i="290" s="1"/>
  <c r="F54" i="277"/>
  <c r="IM7" i="290" s="1"/>
  <c r="E54" i="277"/>
  <c r="IM6" i="290" s="1"/>
  <c r="AH46" i="277"/>
  <c r="AG46" i="277"/>
  <c r="AF46" i="277"/>
  <c r="IL33" i="290" s="1"/>
  <c r="AE46" i="277"/>
  <c r="IL32" i="290" s="1"/>
  <c r="AD46" i="277"/>
  <c r="IL31" i="290" s="1"/>
  <c r="AC46" i="277"/>
  <c r="IL30" i="290" s="1"/>
  <c r="AB46" i="277"/>
  <c r="IL29" i="290" s="1"/>
  <c r="AA46" i="277"/>
  <c r="IL28" i="290" s="1"/>
  <c r="Z46" i="277"/>
  <c r="IL27" i="290" s="1"/>
  <c r="Y46" i="277"/>
  <c r="IL26" i="290" s="1"/>
  <c r="X46" i="277"/>
  <c r="IL25" i="290" s="1"/>
  <c r="W46" i="277"/>
  <c r="IL24" i="290" s="1"/>
  <c r="V46" i="277"/>
  <c r="IL23" i="290" s="1"/>
  <c r="U46" i="277"/>
  <c r="IL22" i="290" s="1"/>
  <c r="T46" i="277"/>
  <c r="IL21" i="290" s="1"/>
  <c r="S46" i="277"/>
  <c r="IL20" i="290" s="1"/>
  <c r="R46" i="277"/>
  <c r="IL19" i="290" s="1"/>
  <c r="Q46" i="277"/>
  <c r="IL18" i="290" s="1"/>
  <c r="P46" i="277"/>
  <c r="IL17" i="290" s="1"/>
  <c r="O46" i="277"/>
  <c r="IL16" i="290" s="1"/>
  <c r="N46" i="277"/>
  <c r="IL15" i="290" s="1"/>
  <c r="M46" i="277"/>
  <c r="IL14" i="290" s="1"/>
  <c r="L46" i="277"/>
  <c r="IL13" i="290" s="1"/>
  <c r="K46" i="277"/>
  <c r="IL12" i="290" s="1"/>
  <c r="J46" i="277"/>
  <c r="IL11" i="290" s="1"/>
  <c r="I46" i="277"/>
  <c r="IL10" i="290" s="1"/>
  <c r="H46" i="277"/>
  <c r="IL9" i="290" s="1"/>
  <c r="G46" i="277"/>
  <c r="IL8" i="290" s="1"/>
  <c r="F46" i="277"/>
  <c r="IL7" i="290" s="1"/>
  <c r="E46" i="277"/>
  <c r="IL6" i="290" s="1"/>
  <c r="AH38" i="277"/>
  <c r="AG38" i="277"/>
  <c r="AF38" i="277"/>
  <c r="IK33" i="290" s="1"/>
  <c r="AE38" i="277"/>
  <c r="IK32" i="290" s="1"/>
  <c r="AD38" i="277"/>
  <c r="IK31" i="290" s="1"/>
  <c r="AC38" i="277"/>
  <c r="IK30" i="290" s="1"/>
  <c r="AB38" i="277"/>
  <c r="IK29" i="290" s="1"/>
  <c r="AA38" i="277"/>
  <c r="IK28" i="290" s="1"/>
  <c r="Z38" i="277"/>
  <c r="IK27" i="290" s="1"/>
  <c r="Y38" i="277"/>
  <c r="IK26" i="290" s="1"/>
  <c r="X38" i="277"/>
  <c r="IK25" i="290" s="1"/>
  <c r="W38" i="277"/>
  <c r="IK24" i="290" s="1"/>
  <c r="V38" i="277"/>
  <c r="IK23" i="290" s="1"/>
  <c r="U38" i="277"/>
  <c r="IK22" i="290" s="1"/>
  <c r="T38" i="277"/>
  <c r="IK21" i="290" s="1"/>
  <c r="S38" i="277"/>
  <c r="IK20" i="290" s="1"/>
  <c r="R38" i="277"/>
  <c r="IK19" i="290" s="1"/>
  <c r="Q38" i="277"/>
  <c r="IK18" i="290" s="1"/>
  <c r="P38" i="277"/>
  <c r="IK17" i="290" s="1"/>
  <c r="O38" i="277"/>
  <c r="IK16" i="290" s="1"/>
  <c r="N38" i="277"/>
  <c r="IK15" i="290" s="1"/>
  <c r="M38" i="277"/>
  <c r="IK14" i="290" s="1"/>
  <c r="L38" i="277"/>
  <c r="IK13" i="290" s="1"/>
  <c r="K38" i="277"/>
  <c r="IK12" i="290" s="1"/>
  <c r="J38" i="277"/>
  <c r="IK11" i="290" s="1"/>
  <c r="I38" i="277"/>
  <c r="IK10" i="290" s="1"/>
  <c r="H38" i="277"/>
  <c r="IK9" i="290" s="1"/>
  <c r="G38" i="277"/>
  <c r="IK8" i="290" s="1"/>
  <c r="F38" i="277"/>
  <c r="IK7" i="290" s="1"/>
  <c r="E38" i="277"/>
  <c r="IK6" i="290" s="1"/>
  <c r="AH30" i="277"/>
  <c r="AG30" i="277"/>
  <c r="AF30" i="277"/>
  <c r="IJ33" i="290" s="1"/>
  <c r="AE30" i="277"/>
  <c r="IJ32" i="290" s="1"/>
  <c r="AD30" i="277"/>
  <c r="IJ31" i="290" s="1"/>
  <c r="AC30" i="277"/>
  <c r="IJ30" i="290" s="1"/>
  <c r="AB30" i="277"/>
  <c r="IJ29" i="290" s="1"/>
  <c r="AA30" i="277"/>
  <c r="IJ28" i="290" s="1"/>
  <c r="Z30" i="277"/>
  <c r="IJ27" i="290" s="1"/>
  <c r="Y30" i="277"/>
  <c r="IJ26" i="290" s="1"/>
  <c r="X30" i="277"/>
  <c r="IJ25" i="290" s="1"/>
  <c r="W30" i="277"/>
  <c r="IJ24" i="290" s="1"/>
  <c r="V30" i="277"/>
  <c r="IJ23" i="290" s="1"/>
  <c r="U30" i="277"/>
  <c r="IJ22" i="290" s="1"/>
  <c r="T30" i="277"/>
  <c r="IJ21" i="290" s="1"/>
  <c r="S30" i="277"/>
  <c r="IJ20" i="290" s="1"/>
  <c r="R30" i="277"/>
  <c r="IJ19" i="290" s="1"/>
  <c r="Q30" i="277"/>
  <c r="IJ18" i="290" s="1"/>
  <c r="P30" i="277"/>
  <c r="IJ17" i="290" s="1"/>
  <c r="O30" i="277"/>
  <c r="IJ16" i="290" s="1"/>
  <c r="N30" i="277"/>
  <c r="IJ15" i="290" s="1"/>
  <c r="M30" i="277"/>
  <c r="IJ14" i="290" s="1"/>
  <c r="L30" i="277"/>
  <c r="IJ13" i="290" s="1"/>
  <c r="K30" i="277"/>
  <c r="IJ12" i="290" s="1"/>
  <c r="J30" i="277"/>
  <c r="IJ11" i="290" s="1"/>
  <c r="I30" i="277"/>
  <c r="IJ10" i="290" s="1"/>
  <c r="H30" i="277"/>
  <c r="IJ9" i="290" s="1"/>
  <c r="G30" i="277"/>
  <c r="IJ8" i="290" s="1"/>
  <c r="F30" i="277"/>
  <c r="IJ7" i="290" s="1"/>
  <c r="E30" i="277"/>
  <c r="IJ6" i="290" s="1"/>
  <c r="AH22" i="277"/>
  <c r="AG22" i="277"/>
  <c r="AF22" i="277"/>
  <c r="II33" i="290" s="1"/>
  <c r="AE22" i="277"/>
  <c r="II32" i="290" s="1"/>
  <c r="AD22" i="277"/>
  <c r="II31" i="290" s="1"/>
  <c r="AC22" i="277"/>
  <c r="II30" i="290" s="1"/>
  <c r="AB22" i="277"/>
  <c r="II29" i="290" s="1"/>
  <c r="AA22" i="277"/>
  <c r="II28" i="290" s="1"/>
  <c r="Z22" i="277"/>
  <c r="II27" i="290" s="1"/>
  <c r="Y22" i="277"/>
  <c r="II26" i="290" s="1"/>
  <c r="X22" i="277"/>
  <c r="II25" i="290" s="1"/>
  <c r="W22" i="277"/>
  <c r="II24" i="290" s="1"/>
  <c r="V22" i="277"/>
  <c r="II23" i="290" s="1"/>
  <c r="U22" i="277"/>
  <c r="II22" i="290" s="1"/>
  <c r="T22" i="277"/>
  <c r="II21" i="290" s="1"/>
  <c r="S22" i="277"/>
  <c r="II20" i="290" s="1"/>
  <c r="R22" i="277"/>
  <c r="II19" i="290" s="1"/>
  <c r="Q22" i="277"/>
  <c r="II18" i="290" s="1"/>
  <c r="P22" i="277"/>
  <c r="II17" i="290" s="1"/>
  <c r="O22" i="277"/>
  <c r="II16" i="290" s="1"/>
  <c r="N22" i="277"/>
  <c r="II15" i="290" s="1"/>
  <c r="M22" i="277"/>
  <c r="II14" i="290" s="1"/>
  <c r="L22" i="277"/>
  <c r="II13" i="290" s="1"/>
  <c r="K22" i="277"/>
  <c r="II12" i="290" s="1"/>
  <c r="J22" i="277"/>
  <c r="II11" i="290" s="1"/>
  <c r="I22" i="277"/>
  <c r="II10" i="290" s="1"/>
  <c r="H22" i="277"/>
  <c r="II9" i="290" s="1"/>
  <c r="G22" i="277"/>
  <c r="II8" i="290" s="1"/>
  <c r="F22" i="277"/>
  <c r="II7" i="290" s="1"/>
  <c r="E22" i="277"/>
  <c r="II6" i="290" s="1"/>
  <c r="AH14" i="277"/>
  <c r="AG14" i="277"/>
  <c r="AF14" i="277"/>
  <c r="IH33" i="290" s="1"/>
  <c r="AE14" i="277"/>
  <c r="IH32" i="290" s="1"/>
  <c r="AD14" i="277"/>
  <c r="IH31" i="290" s="1"/>
  <c r="AC14" i="277"/>
  <c r="IH30" i="290" s="1"/>
  <c r="AB14" i="277"/>
  <c r="IH29" i="290" s="1"/>
  <c r="AA14" i="277"/>
  <c r="IH28" i="290" s="1"/>
  <c r="Z14" i="277"/>
  <c r="IH27" i="290" s="1"/>
  <c r="Y14" i="277"/>
  <c r="IH26" i="290" s="1"/>
  <c r="X14" i="277"/>
  <c r="IH25" i="290" s="1"/>
  <c r="W14" i="277"/>
  <c r="IH24" i="290" s="1"/>
  <c r="V14" i="277"/>
  <c r="IH23" i="290" s="1"/>
  <c r="U14" i="277"/>
  <c r="IH22" i="290" s="1"/>
  <c r="T14" i="277"/>
  <c r="IH21" i="290" s="1"/>
  <c r="S14" i="277"/>
  <c r="IH20" i="290" s="1"/>
  <c r="R14" i="277"/>
  <c r="IH19" i="290" s="1"/>
  <c r="Q14" i="277"/>
  <c r="IH18" i="290" s="1"/>
  <c r="P14" i="277"/>
  <c r="IH17" i="290" s="1"/>
  <c r="O14" i="277"/>
  <c r="IH16" i="290" s="1"/>
  <c r="N14" i="277"/>
  <c r="IH15" i="290" s="1"/>
  <c r="M14" i="277"/>
  <c r="IH14" i="290" s="1"/>
  <c r="L14" i="277"/>
  <c r="IH13" i="290" s="1"/>
  <c r="K14" i="277"/>
  <c r="IH12" i="290" s="1"/>
  <c r="J14" i="277"/>
  <c r="IH11" i="290" s="1"/>
  <c r="I14" i="277"/>
  <c r="IH10" i="290" s="1"/>
  <c r="H14" i="277"/>
  <c r="IH9" i="290" s="1"/>
  <c r="G14" i="277"/>
  <c r="IH8" i="290" s="1"/>
  <c r="F14" i="277"/>
  <c r="IH7" i="290" s="1"/>
  <c r="E14" i="277"/>
  <c r="IH6" i="290" s="1"/>
  <c r="AH6" i="277"/>
  <c r="AG6" i="277"/>
  <c r="AF6" i="277"/>
  <c r="IG33" i="290" s="1"/>
  <c r="AE6" i="277"/>
  <c r="IG32" i="290" s="1"/>
  <c r="AD6" i="277"/>
  <c r="IG31" i="290" s="1"/>
  <c r="AC6" i="277"/>
  <c r="IG30" i="290" s="1"/>
  <c r="AB6" i="277"/>
  <c r="IG29" i="290" s="1"/>
  <c r="AA6" i="277"/>
  <c r="IG28" i="290" s="1"/>
  <c r="Z6" i="277"/>
  <c r="IG27" i="290" s="1"/>
  <c r="Y6" i="277"/>
  <c r="IG26" i="290" s="1"/>
  <c r="X6" i="277"/>
  <c r="IG25" i="290" s="1"/>
  <c r="W6" i="277"/>
  <c r="IG24" i="290" s="1"/>
  <c r="V6" i="277"/>
  <c r="IG23" i="290" s="1"/>
  <c r="U6" i="277"/>
  <c r="IG22" i="290" s="1"/>
  <c r="T6" i="277"/>
  <c r="IG21" i="290" s="1"/>
  <c r="S6" i="277"/>
  <c r="IG20" i="290" s="1"/>
  <c r="R6" i="277"/>
  <c r="IG19" i="290" s="1"/>
  <c r="Q6" i="277"/>
  <c r="IG18" i="290" s="1"/>
  <c r="P6" i="277"/>
  <c r="IG17" i="290" s="1"/>
  <c r="O6" i="277"/>
  <c r="IG16" i="290" s="1"/>
  <c r="N6" i="277"/>
  <c r="IG15" i="290" s="1"/>
  <c r="M6" i="277"/>
  <c r="IG14" i="290" s="1"/>
  <c r="L6" i="277"/>
  <c r="IG13" i="290" s="1"/>
  <c r="K6" i="277"/>
  <c r="IG12" i="290" s="1"/>
  <c r="J6" i="277"/>
  <c r="IG11" i="290" s="1"/>
  <c r="I6" i="277"/>
  <c r="IG10" i="290" s="1"/>
  <c r="H6" i="277"/>
  <c r="IG9" i="290" s="1"/>
  <c r="G6" i="277"/>
  <c r="IG8" i="290" s="1"/>
  <c r="F6" i="277"/>
  <c r="IG7" i="290" s="1"/>
  <c r="E6" i="277"/>
  <c r="IG6" i="290" s="1"/>
  <c r="AH106" i="275"/>
  <c r="AG106" i="275"/>
  <c r="AF106" i="275"/>
  <c r="IB33" i="290" s="1"/>
  <c r="AE106" i="275"/>
  <c r="IB32" i="290" s="1"/>
  <c r="AD106" i="275"/>
  <c r="IB31" i="290" s="1"/>
  <c r="AC106" i="275"/>
  <c r="IB30" i="290" s="1"/>
  <c r="AB106" i="275"/>
  <c r="IB29" i="290" s="1"/>
  <c r="AA106" i="275"/>
  <c r="IB28" i="290" s="1"/>
  <c r="Z106" i="275"/>
  <c r="IB27" i="290" s="1"/>
  <c r="Y106" i="275"/>
  <c r="IB26" i="290" s="1"/>
  <c r="X106" i="275"/>
  <c r="IB25" i="290" s="1"/>
  <c r="W106" i="275"/>
  <c r="IB24" i="290" s="1"/>
  <c r="V106" i="275"/>
  <c r="IB23" i="290" s="1"/>
  <c r="U106" i="275"/>
  <c r="IB22" i="290" s="1"/>
  <c r="T106" i="275"/>
  <c r="IB21" i="290" s="1"/>
  <c r="S106" i="275"/>
  <c r="IB20" i="290" s="1"/>
  <c r="R106" i="275"/>
  <c r="IB19" i="290" s="1"/>
  <c r="Q106" i="275"/>
  <c r="IB18" i="290" s="1"/>
  <c r="P106" i="275"/>
  <c r="IB17" i="290" s="1"/>
  <c r="O106" i="275"/>
  <c r="IB16" i="290" s="1"/>
  <c r="N106" i="275"/>
  <c r="IB15" i="290" s="1"/>
  <c r="M106" i="275"/>
  <c r="IB14" i="290" s="1"/>
  <c r="L106" i="275"/>
  <c r="IB13" i="290" s="1"/>
  <c r="K106" i="275"/>
  <c r="IB12" i="290" s="1"/>
  <c r="J106" i="275"/>
  <c r="IB11" i="290" s="1"/>
  <c r="I106" i="275"/>
  <c r="IB10" i="290" s="1"/>
  <c r="H106" i="275"/>
  <c r="IB9" i="290" s="1"/>
  <c r="G106" i="275"/>
  <c r="IB8" i="290" s="1"/>
  <c r="F106" i="275"/>
  <c r="IB7" i="290" s="1"/>
  <c r="E106" i="275"/>
  <c r="IB6" i="290" s="1"/>
  <c r="AH98" i="275"/>
  <c r="AG98" i="275"/>
  <c r="AF98" i="275"/>
  <c r="IA33" i="290" s="1"/>
  <c r="AE98" i="275"/>
  <c r="IA32" i="290" s="1"/>
  <c r="AD98" i="275"/>
  <c r="IA31" i="290" s="1"/>
  <c r="AC98" i="275"/>
  <c r="IA30" i="290" s="1"/>
  <c r="AB98" i="275"/>
  <c r="IA29" i="290" s="1"/>
  <c r="AA98" i="275"/>
  <c r="IA28" i="290" s="1"/>
  <c r="Z98" i="275"/>
  <c r="IA27" i="290" s="1"/>
  <c r="Y98" i="275"/>
  <c r="IA26" i="290" s="1"/>
  <c r="X98" i="275"/>
  <c r="IA25" i="290" s="1"/>
  <c r="W98" i="275"/>
  <c r="IA24" i="290" s="1"/>
  <c r="V98" i="275"/>
  <c r="IA23" i="290" s="1"/>
  <c r="U98" i="275"/>
  <c r="IA22" i="290" s="1"/>
  <c r="T98" i="275"/>
  <c r="IA21" i="290" s="1"/>
  <c r="S98" i="275"/>
  <c r="IA20" i="290" s="1"/>
  <c r="R98" i="275"/>
  <c r="IA19" i="290" s="1"/>
  <c r="Q98" i="275"/>
  <c r="IA18" i="290" s="1"/>
  <c r="P98" i="275"/>
  <c r="IA17" i="290" s="1"/>
  <c r="O98" i="275"/>
  <c r="IA16" i="290" s="1"/>
  <c r="N98" i="275"/>
  <c r="IA15" i="290" s="1"/>
  <c r="M98" i="275"/>
  <c r="IA14" i="290" s="1"/>
  <c r="L98" i="275"/>
  <c r="IA13" i="290" s="1"/>
  <c r="K98" i="275"/>
  <c r="IA12" i="290" s="1"/>
  <c r="J98" i="275"/>
  <c r="IA11" i="290" s="1"/>
  <c r="I98" i="275"/>
  <c r="IA10" i="290" s="1"/>
  <c r="H98" i="275"/>
  <c r="IA9" i="290" s="1"/>
  <c r="G98" i="275"/>
  <c r="IA8" i="290" s="1"/>
  <c r="F98" i="275"/>
  <c r="IA7" i="290" s="1"/>
  <c r="E98" i="275"/>
  <c r="IA6" i="290" s="1"/>
  <c r="AH90" i="275"/>
  <c r="AG90" i="275"/>
  <c r="AF90" i="275"/>
  <c r="HZ33" i="290" s="1"/>
  <c r="AE90" i="275"/>
  <c r="HZ32" i="290" s="1"/>
  <c r="AD90" i="275"/>
  <c r="HZ31" i="290" s="1"/>
  <c r="AC90" i="275"/>
  <c r="HZ30" i="290" s="1"/>
  <c r="AB90" i="275"/>
  <c r="HZ29" i="290" s="1"/>
  <c r="AA90" i="275"/>
  <c r="HZ28" i="290" s="1"/>
  <c r="Z90" i="275"/>
  <c r="HZ27" i="290" s="1"/>
  <c r="Y90" i="275"/>
  <c r="HZ26" i="290" s="1"/>
  <c r="X90" i="275"/>
  <c r="HZ25" i="290" s="1"/>
  <c r="W90" i="275"/>
  <c r="HZ24" i="290" s="1"/>
  <c r="V90" i="275"/>
  <c r="HZ23" i="290" s="1"/>
  <c r="U90" i="275"/>
  <c r="HZ22" i="290" s="1"/>
  <c r="T90" i="275"/>
  <c r="HZ21" i="290" s="1"/>
  <c r="S90" i="275"/>
  <c r="HZ20" i="290" s="1"/>
  <c r="R90" i="275"/>
  <c r="HZ19" i="290" s="1"/>
  <c r="Q90" i="275"/>
  <c r="HZ18" i="290" s="1"/>
  <c r="P90" i="275"/>
  <c r="HZ17" i="290" s="1"/>
  <c r="O90" i="275"/>
  <c r="HZ16" i="290" s="1"/>
  <c r="N90" i="275"/>
  <c r="HZ15" i="290" s="1"/>
  <c r="M90" i="275"/>
  <c r="HZ14" i="290" s="1"/>
  <c r="L90" i="275"/>
  <c r="HZ13" i="290" s="1"/>
  <c r="K90" i="275"/>
  <c r="HZ12" i="290" s="1"/>
  <c r="J90" i="275"/>
  <c r="HZ11" i="290" s="1"/>
  <c r="I90" i="275"/>
  <c r="HZ10" i="290" s="1"/>
  <c r="H90" i="275"/>
  <c r="HZ9" i="290" s="1"/>
  <c r="G90" i="275"/>
  <c r="HZ8" i="290" s="1"/>
  <c r="F90" i="275"/>
  <c r="HZ7" i="290" s="1"/>
  <c r="E90" i="275"/>
  <c r="HZ6" i="290" s="1"/>
  <c r="AH82" i="275"/>
  <c r="AG82" i="275"/>
  <c r="AF82" i="275"/>
  <c r="HY33" i="290" s="1"/>
  <c r="AE82" i="275"/>
  <c r="HY32" i="290" s="1"/>
  <c r="AD82" i="275"/>
  <c r="HY31" i="290" s="1"/>
  <c r="AC82" i="275"/>
  <c r="HY30" i="290" s="1"/>
  <c r="AB82" i="275"/>
  <c r="HY29" i="290" s="1"/>
  <c r="AA82" i="275"/>
  <c r="HY28" i="290" s="1"/>
  <c r="Z82" i="275"/>
  <c r="HY27" i="290" s="1"/>
  <c r="Y82" i="275"/>
  <c r="HY26" i="290" s="1"/>
  <c r="X82" i="275"/>
  <c r="HY25" i="290" s="1"/>
  <c r="W82" i="275"/>
  <c r="HY24" i="290" s="1"/>
  <c r="V82" i="275"/>
  <c r="HY23" i="290" s="1"/>
  <c r="U82" i="275"/>
  <c r="HY22" i="290" s="1"/>
  <c r="T82" i="275"/>
  <c r="HY21" i="290" s="1"/>
  <c r="S82" i="275"/>
  <c r="HY20" i="290" s="1"/>
  <c r="R82" i="275"/>
  <c r="HY19" i="290" s="1"/>
  <c r="Q82" i="275"/>
  <c r="HY18" i="290" s="1"/>
  <c r="P82" i="275"/>
  <c r="HY17" i="290" s="1"/>
  <c r="O82" i="275"/>
  <c r="HY16" i="290" s="1"/>
  <c r="N82" i="275"/>
  <c r="HY15" i="290" s="1"/>
  <c r="M82" i="275"/>
  <c r="HY14" i="290" s="1"/>
  <c r="L82" i="275"/>
  <c r="HY13" i="290" s="1"/>
  <c r="K82" i="275"/>
  <c r="HY12" i="290" s="1"/>
  <c r="J82" i="275"/>
  <c r="HY11" i="290" s="1"/>
  <c r="I82" i="275"/>
  <c r="HY10" i="290" s="1"/>
  <c r="H82" i="275"/>
  <c r="HY9" i="290" s="1"/>
  <c r="G82" i="275"/>
  <c r="HY8" i="290" s="1"/>
  <c r="F82" i="275"/>
  <c r="HY7" i="290" s="1"/>
  <c r="E82" i="275"/>
  <c r="HY6" i="290" s="1"/>
  <c r="AH74" i="275"/>
  <c r="AG74" i="275"/>
  <c r="AF74" i="275"/>
  <c r="HX33" i="290" s="1"/>
  <c r="AE74" i="275"/>
  <c r="HX32" i="290" s="1"/>
  <c r="AD74" i="275"/>
  <c r="HX31" i="290" s="1"/>
  <c r="AC74" i="275"/>
  <c r="HX30" i="290" s="1"/>
  <c r="AB74" i="275"/>
  <c r="HX29" i="290" s="1"/>
  <c r="AA74" i="275"/>
  <c r="HX28" i="290" s="1"/>
  <c r="Z74" i="275"/>
  <c r="HX27" i="290" s="1"/>
  <c r="Y74" i="275"/>
  <c r="HX26" i="290" s="1"/>
  <c r="X74" i="275"/>
  <c r="HX25" i="290" s="1"/>
  <c r="W74" i="275"/>
  <c r="HX24" i="290" s="1"/>
  <c r="V74" i="275"/>
  <c r="HX23" i="290" s="1"/>
  <c r="U74" i="275"/>
  <c r="HX22" i="290" s="1"/>
  <c r="T74" i="275"/>
  <c r="HX21" i="290" s="1"/>
  <c r="S74" i="275"/>
  <c r="HX20" i="290" s="1"/>
  <c r="R74" i="275"/>
  <c r="HX19" i="290" s="1"/>
  <c r="Q74" i="275"/>
  <c r="HX18" i="290" s="1"/>
  <c r="P74" i="275"/>
  <c r="HX17" i="290" s="1"/>
  <c r="O74" i="275"/>
  <c r="HX16" i="290" s="1"/>
  <c r="N74" i="275"/>
  <c r="HX15" i="290" s="1"/>
  <c r="M74" i="275"/>
  <c r="HX14" i="290" s="1"/>
  <c r="L74" i="275"/>
  <c r="HX13" i="290" s="1"/>
  <c r="K74" i="275"/>
  <c r="HX12" i="290" s="1"/>
  <c r="J74" i="275"/>
  <c r="HX11" i="290" s="1"/>
  <c r="I74" i="275"/>
  <c r="HX10" i="290" s="1"/>
  <c r="H74" i="275"/>
  <c r="HX9" i="290" s="1"/>
  <c r="G74" i="275"/>
  <c r="HX8" i="290" s="1"/>
  <c r="F74" i="275"/>
  <c r="HX7" i="290" s="1"/>
  <c r="E74" i="275"/>
  <c r="HX6" i="290" s="1"/>
  <c r="AH66" i="275"/>
  <c r="AG66" i="275"/>
  <c r="AF66" i="275"/>
  <c r="HW33" i="290" s="1"/>
  <c r="AE66" i="275"/>
  <c r="HW32" i="290" s="1"/>
  <c r="AD66" i="275"/>
  <c r="HW31" i="290" s="1"/>
  <c r="AC66" i="275"/>
  <c r="HW30" i="290" s="1"/>
  <c r="AB66" i="275"/>
  <c r="HW29" i="290" s="1"/>
  <c r="AA66" i="275"/>
  <c r="HW28" i="290" s="1"/>
  <c r="Z66" i="275"/>
  <c r="HW27" i="290" s="1"/>
  <c r="Y66" i="275"/>
  <c r="HW26" i="290" s="1"/>
  <c r="X66" i="275"/>
  <c r="HW25" i="290" s="1"/>
  <c r="W66" i="275"/>
  <c r="HW24" i="290" s="1"/>
  <c r="V66" i="275"/>
  <c r="HW23" i="290" s="1"/>
  <c r="U66" i="275"/>
  <c r="HW22" i="290" s="1"/>
  <c r="T66" i="275"/>
  <c r="HW21" i="290" s="1"/>
  <c r="S66" i="275"/>
  <c r="HW20" i="290" s="1"/>
  <c r="R66" i="275"/>
  <c r="HW19" i="290" s="1"/>
  <c r="Q66" i="275"/>
  <c r="HW18" i="290" s="1"/>
  <c r="P66" i="275"/>
  <c r="HW17" i="290" s="1"/>
  <c r="O66" i="275"/>
  <c r="HW16" i="290" s="1"/>
  <c r="N66" i="275"/>
  <c r="HW15" i="290" s="1"/>
  <c r="M66" i="275"/>
  <c r="HW14" i="290" s="1"/>
  <c r="L66" i="275"/>
  <c r="HW13" i="290" s="1"/>
  <c r="K66" i="275"/>
  <c r="HW12" i="290" s="1"/>
  <c r="J66" i="275"/>
  <c r="HW11" i="290" s="1"/>
  <c r="I66" i="275"/>
  <c r="HW10" i="290" s="1"/>
  <c r="H66" i="275"/>
  <c r="HW9" i="290" s="1"/>
  <c r="G66" i="275"/>
  <c r="HW8" i="290" s="1"/>
  <c r="F66" i="275"/>
  <c r="HW7" i="290" s="1"/>
  <c r="E66" i="275"/>
  <c r="HW6" i="290" s="1"/>
  <c r="AH58" i="275"/>
  <c r="AG58" i="275"/>
  <c r="AF58" i="275"/>
  <c r="HV33" i="290" s="1"/>
  <c r="AE58" i="275"/>
  <c r="HV32" i="290" s="1"/>
  <c r="AD58" i="275"/>
  <c r="HV31" i="290" s="1"/>
  <c r="AC58" i="275"/>
  <c r="HV30" i="290" s="1"/>
  <c r="AB58" i="275"/>
  <c r="HV29" i="290" s="1"/>
  <c r="AA58" i="275"/>
  <c r="HV28" i="290" s="1"/>
  <c r="Z58" i="275"/>
  <c r="HV27" i="290" s="1"/>
  <c r="Y58" i="275"/>
  <c r="HV26" i="290" s="1"/>
  <c r="X58" i="275"/>
  <c r="HV25" i="290" s="1"/>
  <c r="W58" i="275"/>
  <c r="HV24" i="290" s="1"/>
  <c r="V58" i="275"/>
  <c r="HV23" i="290" s="1"/>
  <c r="U58" i="275"/>
  <c r="HV22" i="290" s="1"/>
  <c r="T58" i="275"/>
  <c r="HV21" i="290" s="1"/>
  <c r="S58" i="275"/>
  <c r="HV20" i="290" s="1"/>
  <c r="R58" i="275"/>
  <c r="HV19" i="290" s="1"/>
  <c r="Q58" i="275"/>
  <c r="HV18" i="290" s="1"/>
  <c r="P58" i="275"/>
  <c r="HV17" i="290" s="1"/>
  <c r="O58" i="275"/>
  <c r="HV16" i="290" s="1"/>
  <c r="N58" i="275"/>
  <c r="HV15" i="290" s="1"/>
  <c r="M58" i="275"/>
  <c r="HV14" i="290" s="1"/>
  <c r="L58" i="275"/>
  <c r="HV13" i="290" s="1"/>
  <c r="K58" i="275"/>
  <c r="HV12" i="290" s="1"/>
  <c r="J58" i="275"/>
  <c r="HV11" i="290" s="1"/>
  <c r="I58" i="275"/>
  <c r="HV10" i="290" s="1"/>
  <c r="H58" i="275"/>
  <c r="HV9" i="290" s="1"/>
  <c r="G58" i="275"/>
  <c r="HV8" i="290" s="1"/>
  <c r="F58" i="275"/>
  <c r="HV7" i="290" s="1"/>
  <c r="E58" i="275"/>
  <c r="HV6" i="290" s="1"/>
  <c r="AH50" i="275"/>
  <c r="AG50" i="275"/>
  <c r="AF50" i="275"/>
  <c r="HU33" i="290" s="1"/>
  <c r="AE50" i="275"/>
  <c r="HU32" i="290" s="1"/>
  <c r="AD50" i="275"/>
  <c r="HU31" i="290" s="1"/>
  <c r="AC50" i="275"/>
  <c r="HU30" i="290" s="1"/>
  <c r="AB50" i="275"/>
  <c r="HU29" i="290" s="1"/>
  <c r="AA50" i="275"/>
  <c r="HU28" i="290" s="1"/>
  <c r="Z50" i="275"/>
  <c r="HU27" i="290" s="1"/>
  <c r="Y50" i="275"/>
  <c r="HU26" i="290" s="1"/>
  <c r="X50" i="275"/>
  <c r="HU25" i="290" s="1"/>
  <c r="W50" i="275"/>
  <c r="HU24" i="290" s="1"/>
  <c r="V50" i="275"/>
  <c r="HU23" i="290" s="1"/>
  <c r="U50" i="275"/>
  <c r="HU22" i="290" s="1"/>
  <c r="T50" i="275"/>
  <c r="HU21" i="290" s="1"/>
  <c r="S50" i="275"/>
  <c r="HU20" i="290" s="1"/>
  <c r="R50" i="275"/>
  <c r="HU19" i="290" s="1"/>
  <c r="Q50" i="275"/>
  <c r="HU18" i="290" s="1"/>
  <c r="P50" i="275"/>
  <c r="HU17" i="290" s="1"/>
  <c r="O50" i="275"/>
  <c r="HU16" i="290" s="1"/>
  <c r="N50" i="275"/>
  <c r="HU15" i="290" s="1"/>
  <c r="M50" i="275"/>
  <c r="HU14" i="290" s="1"/>
  <c r="L50" i="275"/>
  <c r="HU13" i="290" s="1"/>
  <c r="K50" i="275"/>
  <c r="HU12" i="290" s="1"/>
  <c r="J50" i="275"/>
  <c r="HU11" i="290" s="1"/>
  <c r="I50" i="275"/>
  <c r="HU10" i="290" s="1"/>
  <c r="H50" i="275"/>
  <c r="HU9" i="290" s="1"/>
  <c r="G50" i="275"/>
  <c r="HU8" i="290" s="1"/>
  <c r="F50" i="275"/>
  <c r="HU7" i="290" s="1"/>
  <c r="E50" i="275"/>
  <c r="HU6" i="290" s="1"/>
  <c r="AH42" i="275"/>
  <c r="AG42" i="275"/>
  <c r="AF42" i="275"/>
  <c r="HT33" i="290" s="1"/>
  <c r="AE42" i="275"/>
  <c r="HT32" i="290" s="1"/>
  <c r="AD42" i="275"/>
  <c r="HT31" i="290" s="1"/>
  <c r="AC42" i="275"/>
  <c r="HT30" i="290" s="1"/>
  <c r="AB42" i="275"/>
  <c r="HT29" i="290" s="1"/>
  <c r="AA42" i="275"/>
  <c r="HT28" i="290" s="1"/>
  <c r="Z42" i="275"/>
  <c r="HT27" i="290" s="1"/>
  <c r="Y42" i="275"/>
  <c r="HT26" i="290" s="1"/>
  <c r="X42" i="275"/>
  <c r="HT25" i="290" s="1"/>
  <c r="W42" i="275"/>
  <c r="HT24" i="290" s="1"/>
  <c r="V42" i="275"/>
  <c r="HT23" i="290" s="1"/>
  <c r="U42" i="275"/>
  <c r="HT22" i="290" s="1"/>
  <c r="T42" i="275"/>
  <c r="HT21" i="290" s="1"/>
  <c r="S42" i="275"/>
  <c r="HT20" i="290" s="1"/>
  <c r="R42" i="275"/>
  <c r="HT19" i="290" s="1"/>
  <c r="Q42" i="275"/>
  <c r="HT18" i="290" s="1"/>
  <c r="P42" i="275"/>
  <c r="HT17" i="290" s="1"/>
  <c r="O42" i="275"/>
  <c r="HT16" i="290" s="1"/>
  <c r="N42" i="275"/>
  <c r="HT15" i="290" s="1"/>
  <c r="M42" i="275"/>
  <c r="HT14" i="290" s="1"/>
  <c r="L42" i="275"/>
  <c r="HT13" i="290" s="1"/>
  <c r="K42" i="275"/>
  <c r="HT12" i="290" s="1"/>
  <c r="J42" i="275"/>
  <c r="HT11" i="290" s="1"/>
  <c r="I42" i="275"/>
  <c r="HT10" i="290" s="1"/>
  <c r="H42" i="275"/>
  <c r="HT9" i="290" s="1"/>
  <c r="G42" i="275"/>
  <c r="HT8" i="290" s="1"/>
  <c r="F42" i="275"/>
  <c r="HT7" i="290" s="1"/>
  <c r="E42" i="275"/>
  <c r="HT6" i="290" s="1"/>
  <c r="AH33" i="275"/>
  <c r="AG33" i="275"/>
  <c r="AF33" i="275"/>
  <c r="HS33" i="290" s="1"/>
  <c r="AE33" i="275"/>
  <c r="HS32" i="290" s="1"/>
  <c r="AD33" i="275"/>
  <c r="HS31" i="290" s="1"/>
  <c r="AC33" i="275"/>
  <c r="HS30" i="290" s="1"/>
  <c r="AB33" i="275"/>
  <c r="HS29" i="290" s="1"/>
  <c r="AA33" i="275"/>
  <c r="HS28" i="290" s="1"/>
  <c r="Z33" i="275"/>
  <c r="HS27" i="290" s="1"/>
  <c r="Y33" i="275"/>
  <c r="HS26" i="290" s="1"/>
  <c r="X33" i="275"/>
  <c r="HS25" i="290" s="1"/>
  <c r="W33" i="275"/>
  <c r="HS24" i="290" s="1"/>
  <c r="V33" i="275"/>
  <c r="HS23" i="290" s="1"/>
  <c r="U33" i="275"/>
  <c r="HS22" i="290" s="1"/>
  <c r="T33" i="275"/>
  <c r="HS21" i="290" s="1"/>
  <c r="S33" i="275"/>
  <c r="HS20" i="290" s="1"/>
  <c r="R33" i="275"/>
  <c r="HS19" i="290" s="1"/>
  <c r="Q33" i="275"/>
  <c r="HS18" i="290" s="1"/>
  <c r="P33" i="275"/>
  <c r="HS17" i="290" s="1"/>
  <c r="O33" i="275"/>
  <c r="HS16" i="290" s="1"/>
  <c r="N33" i="275"/>
  <c r="HS15" i="290" s="1"/>
  <c r="M33" i="275"/>
  <c r="HS14" i="290" s="1"/>
  <c r="L33" i="275"/>
  <c r="HS13" i="290" s="1"/>
  <c r="K33" i="275"/>
  <c r="HS12" i="290" s="1"/>
  <c r="J33" i="275"/>
  <c r="HS11" i="290" s="1"/>
  <c r="I33" i="275"/>
  <c r="HS10" i="290" s="1"/>
  <c r="H33" i="275"/>
  <c r="HS9" i="290" s="1"/>
  <c r="G33" i="275"/>
  <c r="HS8" i="290" s="1"/>
  <c r="F33" i="275"/>
  <c r="HS7" i="290" s="1"/>
  <c r="E33" i="275"/>
  <c r="HS6" i="290" s="1"/>
  <c r="AH24" i="275"/>
  <c r="AG24" i="275"/>
  <c r="AF24" i="275"/>
  <c r="HR33" i="290" s="1"/>
  <c r="AE24" i="275"/>
  <c r="HR32" i="290" s="1"/>
  <c r="AD24" i="275"/>
  <c r="HR31" i="290" s="1"/>
  <c r="AC24" i="275"/>
  <c r="HR30" i="290" s="1"/>
  <c r="AB24" i="275"/>
  <c r="HR29" i="290" s="1"/>
  <c r="AA24" i="275"/>
  <c r="HR28" i="290" s="1"/>
  <c r="Z24" i="275"/>
  <c r="HR27" i="290" s="1"/>
  <c r="Y24" i="275"/>
  <c r="HR26" i="290" s="1"/>
  <c r="X24" i="275"/>
  <c r="HR25" i="290" s="1"/>
  <c r="W24" i="275"/>
  <c r="HR24" i="290" s="1"/>
  <c r="V24" i="275"/>
  <c r="HR23" i="290" s="1"/>
  <c r="U24" i="275"/>
  <c r="HR22" i="290" s="1"/>
  <c r="T24" i="275"/>
  <c r="HR21" i="290" s="1"/>
  <c r="S24" i="275"/>
  <c r="HR20" i="290" s="1"/>
  <c r="R24" i="275"/>
  <c r="HR19" i="290" s="1"/>
  <c r="Q24" i="275"/>
  <c r="HR18" i="290" s="1"/>
  <c r="P24" i="275"/>
  <c r="HR17" i="290" s="1"/>
  <c r="O24" i="275"/>
  <c r="HR16" i="290" s="1"/>
  <c r="N24" i="275"/>
  <c r="HR15" i="290" s="1"/>
  <c r="M24" i="275"/>
  <c r="HR14" i="290" s="1"/>
  <c r="L24" i="275"/>
  <c r="HR13" i="290" s="1"/>
  <c r="K24" i="275"/>
  <c r="HR12" i="290" s="1"/>
  <c r="J24" i="275"/>
  <c r="HR11" i="290" s="1"/>
  <c r="I24" i="275"/>
  <c r="HR10" i="290" s="1"/>
  <c r="H24" i="275"/>
  <c r="HR9" i="290" s="1"/>
  <c r="G24" i="275"/>
  <c r="HR8" i="290" s="1"/>
  <c r="F24" i="275"/>
  <c r="HR7" i="290" s="1"/>
  <c r="E24" i="275"/>
  <c r="HR6" i="290" s="1"/>
  <c r="AH15" i="275"/>
  <c r="AG15" i="275"/>
  <c r="AF15" i="275"/>
  <c r="HQ33" i="290" s="1"/>
  <c r="AE15" i="275"/>
  <c r="HQ32" i="290" s="1"/>
  <c r="AD15" i="275"/>
  <c r="HQ31" i="290" s="1"/>
  <c r="AC15" i="275"/>
  <c r="HQ30" i="290" s="1"/>
  <c r="HQ29" i="290"/>
  <c r="HQ28" i="290"/>
  <c r="HQ27" i="290"/>
  <c r="HQ26" i="290"/>
  <c r="HQ25" i="290"/>
  <c r="HQ24" i="290"/>
  <c r="HQ23" i="290"/>
  <c r="HQ22" i="290"/>
  <c r="HQ21" i="290"/>
  <c r="HQ20" i="290"/>
  <c r="HQ19" i="290"/>
  <c r="HQ18" i="290"/>
  <c r="HQ17" i="290"/>
  <c r="HQ16" i="290"/>
  <c r="HQ15" i="290"/>
  <c r="HQ14" i="290"/>
  <c r="HQ13" i="290"/>
  <c r="HQ12" i="290"/>
  <c r="HQ11" i="290"/>
  <c r="HQ10" i="290"/>
  <c r="HQ9" i="290"/>
  <c r="HQ8" i="290"/>
  <c r="HQ7" i="290"/>
  <c r="HQ6" i="290"/>
  <c r="AH6" i="275"/>
  <c r="AG6" i="275"/>
  <c r="AF6" i="275"/>
  <c r="HP33" i="290" s="1"/>
  <c r="AE6" i="275"/>
  <c r="HP32" i="290" s="1"/>
  <c r="AD6" i="275"/>
  <c r="HP31" i="290" s="1"/>
  <c r="AC6" i="275"/>
  <c r="HP30" i="290" s="1"/>
  <c r="AB6" i="275"/>
  <c r="HP29" i="290" s="1"/>
  <c r="HP28" i="290"/>
  <c r="HP27" i="290"/>
  <c r="HP26" i="290"/>
  <c r="HP25" i="290"/>
  <c r="HP24" i="290"/>
  <c r="HP23" i="290"/>
  <c r="HP22" i="290"/>
  <c r="HP21" i="290"/>
  <c r="HP20" i="290"/>
  <c r="HP19" i="290"/>
  <c r="HP18" i="290"/>
  <c r="HP17" i="290"/>
  <c r="HP16" i="290"/>
  <c r="HP15" i="290"/>
  <c r="HP14" i="290"/>
  <c r="HP13" i="290"/>
  <c r="HP12" i="290"/>
  <c r="HP11" i="290"/>
  <c r="HP10" i="290"/>
  <c r="HP9" i="290"/>
  <c r="HP8" i="290"/>
  <c r="HP7" i="290"/>
  <c r="HP6" i="290"/>
  <c r="E102" i="272"/>
  <c r="HK6" i="290" s="1"/>
  <c r="AH102" i="272"/>
  <c r="AG102" i="272"/>
  <c r="AF102" i="272"/>
  <c r="HK33" i="290" s="1"/>
  <c r="AE102" i="272"/>
  <c r="HK32" i="290" s="1"/>
  <c r="AD102" i="272"/>
  <c r="HK31" i="290" s="1"/>
  <c r="AC102" i="272"/>
  <c r="HK30" i="290" s="1"/>
  <c r="AB102" i="272"/>
  <c r="HK29" i="290" s="1"/>
  <c r="AA102" i="272"/>
  <c r="HK28" i="290" s="1"/>
  <c r="Z102" i="272"/>
  <c r="HK27" i="290" s="1"/>
  <c r="Y102" i="272"/>
  <c r="HK26" i="290" s="1"/>
  <c r="X102" i="272"/>
  <c r="HK25" i="290" s="1"/>
  <c r="W102" i="272"/>
  <c r="HK24" i="290" s="1"/>
  <c r="V102" i="272"/>
  <c r="HK23" i="290" s="1"/>
  <c r="U102" i="272"/>
  <c r="HK22" i="290" s="1"/>
  <c r="T102" i="272"/>
  <c r="HK21" i="290" s="1"/>
  <c r="S102" i="272"/>
  <c r="HK20" i="290" s="1"/>
  <c r="R102" i="272"/>
  <c r="HK19" i="290" s="1"/>
  <c r="Q102" i="272"/>
  <c r="HK18" i="290" s="1"/>
  <c r="P102" i="272"/>
  <c r="HK17" i="290" s="1"/>
  <c r="O102" i="272"/>
  <c r="HK16" i="290" s="1"/>
  <c r="N102" i="272"/>
  <c r="HK15" i="290" s="1"/>
  <c r="M102" i="272"/>
  <c r="HK14" i="290" s="1"/>
  <c r="L102" i="272"/>
  <c r="HK13" i="290" s="1"/>
  <c r="K102" i="272"/>
  <c r="HK12" i="290" s="1"/>
  <c r="J102" i="272"/>
  <c r="HK11" i="290" s="1"/>
  <c r="I102" i="272"/>
  <c r="HK10" i="290" s="1"/>
  <c r="H102" i="272"/>
  <c r="HK9" i="290" s="1"/>
  <c r="G102" i="272"/>
  <c r="HK8" i="290" s="1"/>
  <c r="F102" i="272"/>
  <c r="HK7" i="290" s="1"/>
  <c r="AH94" i="272"/>
  <c r="AG94" i="272"/>
  <c r="AF94" i="272"/>
  <c r="HJ33" i="290" s="1"/>
  <c r="AE94" i="272"/>
  <c r="HJ32" i="290" s="1"/>
  <c r="AD94" i="272"/>
  <c r="HJ31" i="290" s="1"/>
  <c r="AC94" i="272"/>
  <c r="HJ30" i="290" s="1"/>
  <c r="AB94" i="272"/>
  <c r="HJ29" i="290" s="1"/>
  <c r="AA94" i="272"/>
  <c r="HJ28" i="290" s="1"/>
  <c r="Z94" i="272"/>
  <c r="HJ27" i="290" s="1"/>
  <c r="Y94" i="272"/>
  <c r="HJ26" i="290" s="1"/>
  <c r="X94" i="272"/>
  <c r="HJ25" i="290" s="1"/>
  <c r="W94" i="272"/>
  <c r="HJ24" i="290" s="1"/>
  <c r="V94" i="272"/>
  <c r="HJ23" i="290" s="1"/>
  <c r="U94" i="272"/>
  <c r="HJ22" i="290" s="1"/>
  <c r="T94" i="272"/>
  <c r="HJ21" i="290" s="1"/>
  <c r="S94" i="272"/>
  <c r="HJ20" i="290" s="1"/>
  <c r="R94" i="272"/>
  <c r="HJ19" i="290" s="1"/>
  <c r="Q94" i="272"/>
  <c r="HJ18" i="290" s="1"/>
  <c r="P94" i="272"/>
  <c r="HJ17" i="290" s="1"/>
  <c r="O94" i="272"/>
  <c r="HJ16" i="290" s="1"/>
  <c r="N94" i="272"/>
  <c r="HJ15" i="290" s="1"/>
  <c r="M94" i="272"/>
  <c r="HJ14" i="290" s="1"/>
  <c r="L94" i="272"/>
  <c r="HJ13" i="290" s="1"/>
  <c r="K94" i="272"/>
  <c r="HJ12" i="290" s="1"/>
  <c r="J94" i="272"/>
  <c r="HJ11" i="290" s="1"/>
  <c r="I94" i="272"/>
  <c r="HJ10" i="290" s="1"/>
  <c r="H94" i="272"/>
  <c r="HJ9" i="290" s="1"/>
  <c r="G94" i="272"/>
  <c r="HJ8" i="290" s="1"/>
  <c r="F94" i="272"/>
  <c r="HJ7" i="290" s="1"/>
  <c r="E94" i="272"/>
  <c r="HJ6" i="290" s="1"/>
  <c r="AH86" i="272"/>
  <c r="AG86" i="272"/>
  <c r="AF86" i="272"/>
  <c r="HI33" i="290" s="1"/>
  <c r="AE86" i="272"/>
  <c r="HI32" i="290" s="1"/>
  <c r="AD86" i="272"/>
  <c r="HI31" i="290" s="1"/>
  <c r="AC86" i="272"/>
  <c r="HI30" i="290" s="1"/>
  <c r="AB86" i="272"/>
  <c r="HI29" i="290" s="1"/>
  <c r="AA86" i="272"/>
  <c r="HI28" i="290" s="1"/>
  <c r="Z86" i="272"/>
  <c r="HI27" i="290" s="1"/>
  <c r="Y86" i="272"/>
  <c r="HI26" i="290" s="1"/>
  <c r="X86" i="272"/>
  <c r="HI25" i="290" s="1"/>
  <c r="W86" i="272"/>
  <c r="HI24" i="290" s="1"/>
  <c r="V86" i="272"/>
  <c r="HI23" i="290" s="1"/>
  <c r="U86" i="272"/>
  <c r="HI22" i="290" s="1"/>
  <c r="T86" i="272"/>
  <c r="HI21" i="290" s="1"/>
  <c r="S86" i="272"/>
  <c r="HI20" i="290" s="1"/>
  <c r="R86" i="272"/>
  <c r="HI19" i="290" s="1"/>
  <c r="Q86" i="272"/>
  <c r="HI18" i="290" s="1"/>
  <c r="P86" i="272"/>
  <c r="HI17" i="290" s="1"/>
  <c r="O86" i="272"/>
  <c r="HI16" i="290" s="1"/>
  <c r="N86" i="272"/>
  <c r="HI15" i="290" s="1"/>
  <c r="M86" i="272"/>
  <c r="HI14" i="290" s="1"/>
  <c r="L86" i="272"/>
  <c r="HI13" i="290" s="1"/>
  <c r="K86" i="272"/>
  <c r="HI12" i="290" s="1"/>
  <c r="J86" i="272"/>
  <c r="HI11" i="290" s="1"/>
  <c r="I86" i="272"/>
  <c r="HI10" i="290" s="1"/>
  <c r="H86" i="272"/>
  <c r="HI9" i="290" s="1"/>
  <c r="G86" i="272"/>
  <c r="HI8" i="290" s="1"/>
  <c r="F86" i="272"/>
  <c r="HI7" i="290" s="1"/>
  <c r="E86" i="272"/>
  <c r="HI6" i="290" s="1"/>
  <c r="AH78" i="272"/>
  <c r="AG78" i="272"/>
  <c r="AF78" i="272"/>
  <c r="HH33" i="290" s="1"/>
  <c r="AE78" i="272"/>
  <c r="HH32" i="290" s="1"/>
  <c r="AD78" i="272"/>
  <c r="HH31" i="290" s="1"/>
  <c r="AC78" i="272"/>
  <c r="HH30" i="290" s="1"/>
  <c r="AB78" i="272"/>
  <c r="HH29" i="290" s="1"/>
  <c r="AA78" i="272"/>
  <c r="HH28" i="290" s="1"/>
  <c r="Z78" i="272"/>
  <c r="HH27" i="290" s="1"/>
  <c r="Y78" i="272"/>
  <c r="HH26" i="290" s="1"/>
  <c r="X78" i="272"/>
  <c r="HH25" i="290" s="1"/>
  <c r="W78" i="272"/>
  <c r="HH24" i="290" s="1"/>
  <c r="V78" i="272"/>
  <c r="HH23" i="290" s="1"/>
  <c r="U78" i="272"/>
  <c r="HH22" i="290" s="1"/>
  <c r="T78" i="272"/>
  <c r="HH21" i="290" s="1"/>
  <c r="S78" i="272"/>
  <c r="HH20" i="290" s="1"/>
  <c r="R78" i="272"/>
  <c r="HH19" i="290" s="1"/>
  <c r="Q78" i="272"/>
  <c r="HH18" i="290" s="1"/>
  <c r="P78" i="272"/>
  <c r="HH17" i="290" s="1"/>
  <c r="O78" i="272"/>
  <c r="HH16" i="290" s="1"/>
  <c r="N78" i="272"/>
  <c r="HH15" i="290" s="1"/>
  <c r="M78" i="272"/>
  <c r="HH14" i="290" s="1"/>
  <c r="L78" i="272"/>
  <c r="HH13" i="290" s="1"/>
  <c r="K78" i="272"/>
  <c r="HH12" i="290" s="1"/>
  <c r="J78" i="272"/>
  <c r="HH11" i="290" s="1"/>
  <c r="I78" i="272"/>
  <c r="HH10" i="290" s="1"/>
  <c r="H78" i="272"/>
  <c r="HH9" i="290" s="1"/>
  <c r="G78" i="272"/>
  <c r="HH8" i="290" s="1"/>
  <c r="F78" i="272"/>
  <c r="HH7" i="290" s="1"/>
  <c r="E78" i="272"/>
  <c r="HH6" i="290" s="1"/>
  <c r="AH70" i="272"/>
  <c r="AG70" i="272"/>
  <c r="AF70" i="272"/>
  <c r="HG33" i="290" s="1"/>
  <c r="AE70" i="272"/>
  <c r="HG32" i="290" s="1"/>
  <c r="AD70" i="272"/>
  <c r="HG31" i="290" s="1"/>
  <c r="AC70" i="272"/>
  <c r="HG30" i="290" s="1"/>
  <c r="AB70" i="272"/>
  <c r="HG29" i="290" s="1"/>
  <c r="AA70" i="272"/>
  <c r="HG28" i="290" s="1"/>
  <c r="Z70" i="272"/>
  <c r="HG27" i="290" s="1"/>
  <c r="Y70" i="272"/>
  <c r="HG26" i="290" s="1"/>
  <c r="X70" i="272"/>
  <c r="HG25" i="290" s="1"/>
  <c r="W70" i="272"/>
  <c r="HG24" i="290" s="1"/>
  <c r="V70" i="272"/>
  <c r="HG23" i="290" s="1"/>
  <c r="U70" i="272"/>
  <c r="HG22" i="290" s="1"/>
  <c r="T70" i="272"/>
  <c r="HG21" i="290" s="1"/>
  <c r="S70" i="272"/>
  <c r="HG20" i="290" s="1"/>
  <c r="R70" i="272"/>
  <c r="HG19" i="290" s="1"/>
  <c r="Q70" i="272"/>
  <c r="HG18" i="290" s="1"/>
  <c r="P70" i="272"/>
  <c r="HG17" i="290" s="1"/>
  <c r="O70" i="272"/>
  <c r="HG16" i="290" s="1"/>
  <c r="N70" i="272"/>
  <c r="HG15" i="290" s="1"/>
  <c r="M70" i="272"/>
  <c r="HG14" i="290" s="1"/>
  <c r="L70" i="272"/>
  <c r="HG13" i="290" s="1"/>
  <c r="K70" i="272"/>
  <c r="HG12" i="290" s="1"/>
  <c r="J70" i="272"/>
  <c r="HG11" i="290" s="1"/>
  <c r="I70" i="272"/>
  <c r="HG10" i="290" s="1"/>
  <c r="H70" i="272"/>
  <c r="HG9" i="290" s="1"/>
  <c r="G70" i="272"/>
  <c r="HG8" i="290" s="1"/>
  <c r="F70" i="272"/>
  <c r="HG7" i="290" s="1"/>
  <c r="E70" i="272"/>
  <c r="HG6" i="290" s="1"/>
  <c r="AH62" i="272"/>
  <c r="AG62" i="272"/>
  <c r="AF62" i="272"/>
  <c r="HF33" i="290" s="1"/>
  <c r="AE62" i="272"/>
  <c r="HF32" i="290" s="1"/>
  <c r="AD62" i="272"/>
  <c r="HF31" i="290" s="1"/>
  <c r="AC62" i="272"/>
  <c r="HF30" i="290" s="1"/>
  <c r="HF29" i="290"/>
  <c r="HF28" i="290"/>
  <c r="HF27" i="290"/>
  <c r="HF26" i="290"/>
  <c r="HF25" i="290"/>
  <c r="HF24" i="290"/>
  <c r="HF23" i="290"/>
  <c r="HF22" i="290"/>
  <c r="HF21" i="290"/>
  <c r="HF20" i="290"/>
  <c r="HF19" i="290"/>
  <c r="HF18" i="290"/>
  <c r="HF17" i="290"/>
  <c r="HF16" i="290"/>
  <c r="HF15" i="290"/>
  <c r="HF14" i="290"/>
  <c r="HF13" i="290"/>
  <c r="HF12" i="290"/>
  <c r="HF11" i="290"/>
  <c r="HF10" i="290"/>
  <c r="HF9" i="290"/>
  <c r="HF8" i="290"/>
  <c r="HF7" i="290"/>
  <c r="HF6" i="290"/>
  <c r="AH54" i="272"/>
  <c r="AG54" i="272"/>
  <c r="AF54" i="272"/>
  <c r="HE33" i="290" s="1"/>
  <c r="AE54" i="272"/>
  <c r="HE32" i="290" s="1"/>
  <c r="AD54" i="272"/>
  <c r="HE31" i="290" s="1"/>
  <c r="AC54" i="272"/>
  <c r="HE30" i="290" s="1"/>
  <c r="HE29" i="290"/>
  <c r="HE28" i="290"/>
  <c r="HE27" i="290"/>
  <c r="HE26" i="290"/>
  <c r="HE25" i="290"/>
  <c r="HE24" i="290"/>
  <c r="HE23" i="290"/>
  <c r="HE22" i="290"/>
  <c r="HE21" i="290"/>
  <c r="HE20" i="290"/>
  <c r="HE19" i="290"/>
  <c r="HE18" i="290"/>
  <c r="HE17" i="290"/>
  <c r="HE16" i="290"/>
  <c r="HE15" i="290"/>
  <c r="HE14" i="290"/>
  <c r="HE13" i="290"/>
  <c r="HE12" i="290"/>
  <c r="HE11" i="290"/>
  <c r="HE10" i="290"/>
  <c r="HE9" i="290"/>
  <c r="HE8" i="290"/>
  <c r="HE7" i="290"/>
  <c r="HE6" i="290"/>
  <c r="AH46" i="272"/>
  <c r="AG46" i="272"/>
  <c r="AF46" i="272"/>
  <c r="HD33" i="290" s="1"/>
  <c r="AE46" i="272"/>
  <c r="HD32" i="290" s="1"/>
  <c r="AD46" i="272"/>
  <c r="HD31" i="290" s="1"/>
  <c r="AC46" i="272"/>
  <c r="HD30" i="290" s="1"/>
  <c r="HD29" i="290"/>
  <c r="HD28" i="290"/>
  <c r="HD27" i="290"/>
  <c r="HD26" i="290"/>
  <c r="HD25" i="290"/>
  <c r="HD24" i="290"/>
  <c r="HD23" i="290"/>
  <c r="HD22" i="290"/>
  <c r="HD21" i="290"/>
  <c r="HD20" i="290"/>
  <c r="HD19" i="290"/>
  <c r="HD18" i="290"/>
  <c r="HD17" i="290"/>
  <c r="HD16" i="290"/>
  <c r="HD15" i="290"/>
  <c r="HD14" i="290"/>
  <c r="HD13" i="290"/>
  <c r="HD12" i="290"/>
  <c r="HD11" i="290"/>
  <c r="HD10" i="290"/>
  <c r="HD9" i="290"/>
  <c r="HD8" i="290"/>
  <c r="HD7" i="290"/>
  <c r="HD6" i="290"/>
  <c r="AH38" i="272"/>
  <c r="AG38" i="272"/>
  <c r="AF38" i="272"/>
  <c r="HC33" i="290" s="1"/>
  <c r="AE38" i="272"/>
  <c r="HC32" i="290" s="1"/>
  <c r="AD38" i="272"/>
  <c r="HC31" i="290" s="1"/>
  <c r="AC38" i="272"/>
  <c r="HC30" i="290" s="1"/>
  <c r="HC29" i="290"/>
  <c r="HC28" i="290"/>
  <c r="HC27" i="290"/>
  <c r="HC26" i="290"/>
  <c r="HC25" i="290"/>
  <c r="HC24" i="290"/>
  <c r="HC23" i="290"/>
  <c r="HC22" i="290"/>
  <c r="HC21" i="290"/>
  <c r="HC20" i="290"/>
  <c r="HC19" i="290"/>
  <c r="HC18" i="290"/>
  <c r="HC17" i="290"/>
  <c r="HC16" i="290"/>
  <c r="HC15" i="290"/>
  <c r="HC14" i="290"/>
  <c r="HC13" i="290"/>
  <c r="HC12" i="290"/>
  <c r="HC11" i="290"/>
  <c r="HC10" i="290"/>
  <c r="HC9" i="290"/>
  <c r="HC8" i="290"/>
  <c r="HC7" i="290"/>
  <c r="HC6" i="290"/>
  <c r="AH30" i="272"/>
  <c r="AG30" i="272"/>
  <c r="AF30" i="272"/>
  <c r="HB33" i="290" s="1"/>
  <c r="AE30" i="272"/>
  <c r="HB32" i="290" s="1"/>
  <c r="AD30" i="272"/>
  <c r="HB31" i="290" s="1"/>
  <c r="AC30" i="272"/>
  <c r="HB30" i="290" s="1"/>
  <c r="HB29" i="290"/>
  <c r="HB28" i="290"/>
  <c r="HB27" i="290"/>
  <c r="HB26" i="290"/>
  <c r="HB25" i="290"/>
  <c r="HB24" i="290"/>
  <c r="HB23" i="290"/>
  <c r="HB22" i="290"/>
  <c r="HB21" i="290"/>
  <c r="HB20" i="290"/>
  <c r="HB19" i="290"/>
  <c r="HB18" i="290"/>
  <c r="HB17" i="290"/>
  <c r="HB16" i="290"/>
  <c r="HB15" i="290"/>
  <c r="HB14" i="290"/>
  <c r="HB13" i="290"/>
  <c r="HB12" i="290"/>
  <c r="HB11" i="290"/>
  <c r="HB10" i="290"/>
  <c r="HB9" i="290"/>
  <c r="HB8" i="290"/>
  <c r="HB7" i="290"/>
  <c r="HB6" i="290"/>
  <c r="AH22" i="272"/>
  <c r="AG22" i="272"/>
  <c r="AF22" i="272"/>
  <c r="HA33" i="290" s="1"/>
  <c r="AE22" i="272"/>
  <c r="HA32" i="290" s="1"/>
  <c r="AD22" i="272"/>
  <c r="HA31" i="290" s="1"/>
  <c r="AC22" i="272"/>
  <c r="HA30" i="290" s="1"/>
  <c r="AB22" i="272"/>
  <c r="HA29" i="290" s="1"/>
  <c r="HA28" i="290"/>
  <c r="HA27" i="290"/>
  <c r="HA26" i="290"/>
  <c r="HA25" i="290"/>
  <c r="HA24" i="290"/>
  <c r="HA23" i="290"/>
  <c r="HA22" i="290"/>
  <c r="HA21" i="290"/>
  <c r="HA20" i="290"/>
  <c r="HA19" i="290"/>
  <c r="HA18" i="290"/>
  <c r="HA17" i="290"/>
  <c r="HA16" i="290"/>
  <c r="HA15" i="290"/>
  <c r="HA14" i="290"/>
  <c r="HA13" i="290"/>
  <c r="HA12" i="290"/>
  <c r="HA11" i="290"/>
  <c r="HA10" i="290"/>
  <c r="HA9" i="290"/>
  <c r="HA8" i="290"/>
  <c r="HA7" i="290"/>
  <c r="HA6" i="290"/>
  <c r="AH14" i="272"/>
  <c r="AG14" i="272"/>
  <c r="AF14" i="272"/>
  <c r="GZ33" i="290" s="1"/>
  <c r="AE14" i="272"/>
  <c r="GZ32" i="290" s="1"/>
  <c r="AD14" i="272"/>
  <c r="GZ31" i="290" s="1"/>
  <c r="AC14" i="272"/>
  <c r="GZ30" i="290" s="1"/>
  <c r="GZ29" i="290"/>
  <c r="GZ28" i="290"/>
  <c r="GZ27" i="290"/>
  <c r="GZ26" i="290"/>
  <c r="GZ25" i="290"/>
  <c r="GZ24" i="290"/>
  <c r="GZ23" i="290"/>
  <c r="GZ22" i="290"/>
  <c r="GZ21" i="290"/>
  <c r="GZ20" i="290"/>
  <c r="GZ19" i="290"/>
  <c r="GZ18" i="290"/>
  <c r="GZ17" i="290"/>
  <c r="GZ16" i="290"/>
  <c r="GZ15" i="290"/>
  <c r="GZ14" i="290"/>
  <c r="GZ13" i="290"/>
  <c r="GZ12" i="290"/>
  <c r="GZ11" i="290"/>
  <c r="GZ10" i="290"/>
  <c r="GZ9" i="290"/>
  <c r="GZ8" i="290"/>
  <c r="GZ7" i="290"/>
  <c r="GZ6" i="290"/>
  <c r="AH6" i="272"/>
  <c r="AG6" i="272"/>
  <c r="AF6" i="272"/>
  <c r="GY33" i="290" s="1"/>
  <c r="AE6" i="272"/>
  <c r="GY32" i="290" s="1"/>
  <c r="AD6" i="272"/>
  <c r="GY31" i="290" s="1"/>
  <c r="AC6" i="272"/>
  <c r="GY30" i="290" s="1"/>
  <c r="AB6" i="272"/>
  <c r="GY29" i="290" s="1"/>
  <c r="GY28" i="290"/>
  <c r="GY27" i="290"/>
  <c r="GY26" i="290"/>
  <c r="GY25" i="290"/>
  <c r="GY24" i="290"/>
  <c r="GY23" i="290"/>
  <c r="GY22" i="290"/>
  <c r="GY21" i="290"/>
  <c r="GY20" i="290"/>
  <c r="GY19" i="290"/>
  <c r="GY18" i="290"/>
  <c r="GY17" i="290"/>
  <c r="GY16" i="290"/>
  <c r="GY15" i="290"/>
  <c r="GY14" i="290"/>
  <c r="GY13" i="290"/>
  <c r="GY12" i="290"/>
  <c r="GY11" i="290"/>
  <c r="GY10" i="290"/>
  <c r="GY9" i="290"/>
  <c r="GY8" i="290"/>
  <c r="GY7" i="290"/>
  <c r="GY6" i="290"/>
  <c r="AH119" i="276"/>
  <c r="AG119" i="276"/>
  <c r="AF119" i="276"/>
  <c r="GC33" i="290" s="1"/>
  <c r="AE119" i="276"/>
  <c r="GC32" i="290" s="1"/>
  <c r="AD119" i="276"/>
  <c r="GC31" i="290" s="1"/>
  <c r="AC119" i="276"/>
  <c r="GC30" i="290" s="1"/>
  <c r="AB119" i="276"/>
  <c r="GC29" i="290" s="1"/>
  <c r="AA119" i="276"/>
  <c r="GC28" i="290" s="1"/>
  <c r="Z119" i="276"/>
  <c r="GC27" i="290" s="1"/>
  <c r="Y119" i="276"/>
  <c r="GC26" i="290" s="1"/>
  <c r="X119" i="276"/>
  <c r="GC25" i="290" s="1"/>
  <c r="W119" i="276"/>
  <c r="GC24" i="290" s="1"/>
  <c r="V119" i="276"/>
  <c r="GC23" i="290" s="1"/>
  <c r="U119" i="276"/>
  <c r="GC22" i="290" s="1"/>
  <c r="T119" i="276"/>
  <c r="GC21" i="290" s="1"/>
  <c r="S119" i="276"/>
  <c r="GC20" i="290" s="1"/>
  <c r="R119" i="276"/>
  <c r="GC19" i="290" s="1"/>
  <c r="Q119" i="276"/>
  <c r="GC18" i="290" s="1"/>
  <c r="P119" i="276"/>
  <c r="GC17" i="290" s="1"/>
  <c r="O119" i="276"/>
  <c r="GC16" i="290" s="1"/>
  <c r="N119" i="276"/>
  <c r="GC15" i="290" s="1"/>
  <c r="M119" i="276"/>
  <c r="GC14" i="290" s="1"/>
  <c r="L119" i="276"/>
  <c r="GC13" i="290" s="1"/>
  <c r="K119" i="276"/>
  <c r="GC12" i="290" s="1"/>
  <c r="J119" i="276"/>
  <c r="GC11" i="290" s="1"/>
  <c r="I119" i="276"/>
  <c r="GC10" i="290" s="1"/>
  <c r="H119" i="276"/>
  <c r="GC9" i="290" s="1"/>
  <c r="G119" i="276"/>
  <c r="GC8" i="290" s="1"/>
  <c r="F119" i="276"/>
  <c r="GC7" i="290" s="1"/>
  <c r="E119" i="276"/>
  <c r="GC6" i="290" s="1"/>
  <c r="AH111" i="276"/>
  <c r="AG111" i="276"/>
  <c r="AF111" i="276"/>
  <c r="GB33" i="290" s="1"/>
  <c r="AE111" i="276"/>
  <c r="GB32" i="290" s="1"/>
  <c r="AD111" i="276"/>
  <c r="GB31" i="290" s="1"/>
  <c r="AC111" i="276"/>
  <c r="GB30" i="290" s="1"/>
  <c r="AB111" i="276"/>
  <c r="GB29" i="290" s="1"/>
  <c r="AA111" i="276"/>
  <c r="GB28" i="290" s="1"/>
  <c r="Z111" i="276"/>
  <c r="GB27" i="290" s="1"/>
  <c r="Y111" i="276"/>
  <c r="GB26" i="290" s="1"/>
  <c r="X111" i="276"/>
  <c r="GB25" i="290" s="1"/>
  <c r="W111" i="276"/>
  <c r="GB24" i="290" s="1"/>
  <c r="V111" i="276"/>
  <c r="GB23" i="290" s="1"/>
  <c r="U111" i="276"/>
  <c r="GB22" i="290" s="1"/>
  <c r="T111" i="276"/>
  <c r="GB21" i="290" s="1"/>
  <c r="S111" i="276"/>
  <c r="GB20" i="290" s="1"/>
  <c r="R111" i="276"/>
  <c r="GB19" i="290" s="1"/>
  <c r="Q111" i="276"/>
  <c r="GB18" i="290" s="1"/>
  <c r="P111" i="276"/>
  <c r="GB17" i="290" s="1"/>
  <c r="O111" i="276"/>
  <c r="GB16" i="290" s="1"/>
  <c r="N111" i="276"/>
  <c r="GB15" i="290" s="1"/>
  <c r="M111" i="276"/>
  <c r="GB14" i="290" s="1"/>
  <c r="L111" i="276"/>
  <c r="GB13" i="290" s="1"/>
  <c r="K111" i="276"/>
  <c r="GB12" i="290" s="1"/>
  <c r="J111" i="276"/>
  <c r="GB11" i="290" s="1"/>
  <c r="I111" i="276"/>
  <c r="GB10" i="290" s="1"/>
  <c r="H111" i="276"/>
  <c r="GB9" i="290" s="1"/>
  <c r="G111" i="276"/>
  <c r="GB8" i="290" s="1"/>
  <c r="F111" i="276"/>
  <c r="GB7" i="290" s="1"/>
  <c r="E111" i="276"/>
  <c r="GB6" i="290" s="1"/>
  <c r="AH103" i="276"/>
  <c r="AG103" i="276"/>
  <c r="AF103" i="276"/>
  <c r="GA33" i="290" s="1"/>
  <c r="AE103" i="276"/>
  <c r="GA32" i="290" s="1"/>
  <c r="AD103" i="276"/>
  <c r="GA31" i="290" s="1"/>
  <c r="AC103" i="276"/>
  <c r="GA30" i="290" s="1"/>
  <c r="AB103" i="276"/>
  <c r="GA29" i="290" s="1"/>
  <c r="AA103" i="276"/>
  <c r="GA28" i="290" s="1"/>
  <c r="Z103" i="276"/>
  <c r="GA27" i="290" s="1"/>
  <c r="Y103" i="276"/>
  <c r="GA26" i="290" s="1"/>
  <c r="X103" i="276"/>
  <c r="GA25" i="290" s="1"/>
  <c r="W103" i="276"/>
  <c r="GA24" i="290" s="1"/>
  <c r="V103" i="276"/>
  <c r="GA23" i="290" s="1"/>
  <c r="U103" i="276"/>
  <c r="GA22" i="290" s="1"/>
  <c r="T103" i="276"/>
  <c r="GA21" i="290" s="1"/>
  <c r="S103" i="276"/>
  <c r="GA20" i="290" s="1"/>
  <c r="R103" i="276"/>
  <c r="GA19" i="290" s="1"/>
  <c r="Q103" i="276"/>
  <c r="GA18" i="290" s="1"/>
  <c r="P103" i="276"/>
  <c r="GA17" i="290" s="1"/>
  <c r="O103" i="276"/>
  <c r="GA16" i="290" s="1"/>
  <c r="N103" i="276"/>
  <c r="GA15" i="290" s="1"/>
  <c r="M103" i="276"/>
  <c r="GA14" i="290" s="1"/>
  <c r="L103" i="276"/>
  <c r="GA13" i="290" s="1"/>
  <c r="K103" i="276"/>
  <c r="GA12" i="290" s="1"/>
  <c r="J103" i="276"/>
  <c r="GA11" i="290" s="1"/>
  <c r="I103" i="276"/>
  <c r="GA10" i="290" s="1"/>
  <c r="H103" i="276"/>
  <c r="GA9" i="290" s="1"/>
  <c r="G103" i="276"/>
  <c r="GA8" i="290" s="1"/>
  <c r="F103" i="276"/>
  <c r="GA7" i="290" s="1"/>
  <c r="E103" i="276"/>
  <c r="GA6" i="290" s="1"/>
  <c r="AH95" i="276"/>
  <c r="AG95" i="276"/>
  <c r="AF95" i="276"/>
  <c r="FZ33" i="290" s="1"/>
  <c r="AE95" i="276"/>
  <c r="FZ32" i="290" s="1"/>
  <c r="AD95" i="276"/>
  <c r="FZ31" i="290" s="1"/>
  <c r="AC95" i="276"/>
  <c r="FZ30" i="290" s="1"/>
  <c r="AB95" i="276"/>
  <c r="FZ29" i="290" s="1"/>
  <c r="AA95" i="276"/>
  <c r="FZ28" i="290" s="1"/>
  <c r="Z95" i="276"/>
  <c r="FZ27" i="290" s="1"/>
  <c r="Y95" i="276"/>
  <c r="FZ26" i="290" s="1"/>
  <c r="X95" i="276"/>
  <c r="FZ25" i="290" s="1"/>
  <c r="W95" i="276"/>
  <c r="FZ24" i="290" s="1"/>
  <c r="V95" i="276"/>
  <c r="FZ23" i="290" s="1"/>
  <c r="U95" i="276"/>
  <c r="FZ22" i="290" s="1"/>
  <c r="T95" i="276"/>
  <c r="FZ21" i="290" s="1"/>
  <c r="S95" i="276"/>
  <c r="FZ20" i="290" s="1"/>
  <c r="R95" i="276"/>
  <c r="FZ19" i="290" s="1"/>
  <c r="Q95" i="276"/>
  <c r="FZ18" i="290" s="1"/>
  <c r="P95" i="276"/>
  <c r="FZ17" i="290" s="1"/>
  <c r="O95" i="276"/>
  <c r="FZ16" i="290" s="1"/>
  <c r="N95" i="276"/>
  <c r="FZ15" i="290" s="1"/>
  <c r="M95" i="276"/>
  <c r="FZ14" i="290" s="1"/>
  <c r="L95" i="276"/>
  <c r="FZ13" i="290" s="1"/>
  <c r="K95" i="276"/>
  <c r="FZ12" i="290" s="1"/>
  <c r="J95" i="276"/>
  <c r="FZ11" i="290" s="1"/>
  <c r="I95" i="276"/>
  <c r="FZ10" i="290" s="1"/>
  <c r="H95" i="276"/>
  <c r="FZ9" i="290" s="1"/>
  <c r="G95" i="276"/>
  <c r="FZ8" i="290" s="1"/>
  <c r="F95" i="276"/>
  <c r="FZ7" i="290" s="1"/>
  <c r="E95" i="276"/>
  <c r="FZ6" i="290" s="1"/>
  <c r="AH87" i="276"/>
  <c r="AG87" i="276"/>
  <c r="AF87" i="276"/>
  <c r="FY33" i="290" s="1"/>
  <c r="AE87" i="276"/>
  <c r="FY32" i="290" s="1"/>
  <c r="AD87" i="276"/>
  <c r="FY31" i="290" s="1"/>
  <c r="AC87" i="276"/>
  <c r="FY30" i="290" s="1"/>
  <c r="AB87" i="276"/>
  <c r="FY29" i="290" s="1"/>
  <c r="FY28" i="290"/>
  <c r="FY27" i="290"/>
  <c r="FY26" i="290"/>
  <c r="FY25" i="290"/>
  <c r="FY24" i="290"/>
  <c r="FY23" i="290"/>
  <c r="FY22" i="290"/>
  <c r="FY21" i="290"/>
  <c r="FY20" i="290"/>
  <c r="FY19" i="290"/>
  <c r="FY18" i="290"/>
  <c r="FY17" i="290"/>
  <c r="FY16" i="290"/>
  <c r="FY15" i="290"/>
  <c r="FY14" i="290"/>
  <c r="FY13" i="290"/>
  <c r="FY12" i="290"/>
  <c r="FY11" i="290"/>
  <c r="FY10" i="290"/>
  <c r="FY9" i="290"/>
  <c r="FY8" i="290"/>
  <c r="FY7" i="290"/>
  <c r="FY6" i="290"/>
  <c r="AH77" i="276"/>
  <c r="AG77" i="276"/>
  <c r="AF77" i="276"/>
  <c r="FX33" i="290" s="1"/>
  <c r="AE77" i="276"/>
  <c r="FX32" i="290" s="1"/>
  <c r="AD77" i="276"/>
  <c r="FX31" i="290" s="1"/>
  <c r="AC77" i="276"/>
  <c r="FX30" i="290" s="1"/>
  <c r="AB77" i="276"/>
  <c r="FX29" i="290" s="1"/>
  <c r="FX28" i="290"/>
  <c r="FX27" i="290"/>
  <c r="FX26" i="290"/>
  <c r="FX25" i="290"/>
  <c r="FX24" i="290"/>
  <c r="FX23" i="290"/>
  <c r="FX22" i="290"/>
  <c r="FX21" i="290"/>
  <c r="FX20" i="290"/>
  <c r="FX19" i="290"/>
  <c r="FX18" i="290"/>
  <c r="FX17" i="290"/>
  <c r="FX16" i="290"/>
  <c r="FX15" i="290"/>
  <c r="FX14" i="290"/>
  <c r="FX13" i="290"/>
  <c r="FX12" i="290"/>
  <c r="FX11" i="290"/>
  <c r="FX10" i="290"/>
  <c r="FX9" i="290"/>
  <c r="FX8" i="290"/>
  <c r="FX7" i="290"/>
  <c r="FX6" i="290"/>
  <c r="AH68" i="276"/>
  <c r="AG68" i="276"/>
  <c r="AF68" i="276"/>
  <c r="FW33" i="290" s="1"/>
  <c r="AE68" i="276"/>
  <c r="FW32" i="290" s="1"/>
  <c r="AD68" i="276"/>
  <c r="FW31" i="290" s="1"/>
  <c r="AC68" i="276"/>
  <c r="FW30" i="290" s="1"/>
  <c r="FW29" i="290"/>
  <c r="FW28" i="290"/>
  <c r="FW27" i="290"/>
  <c r="FW26" i="290"/>
  <c r="FW25" i="290"/>
  <c r="FW24" i="290"/>
  <c r="FW23" i="290"/>
  <c r="FW22" i="290"/>
  <c r="FW21" i="290"/>
  <c r="FW20" i="290"/>
  <c r="FW19" i="290"/>
  <c r="FW18" i="290"/>
  <c r="FW17" i="290"/>
  <c r="FW16" i="290"/>
  <c r="FW15" i="290"/>
  <c r="FW14" i="290"/>
  <c r="FW13" i="290"/>
  <c r="FW12" i="290"/>
  <c r="FW11" i="290"/>
  <c r="FW10" i="290"/>
  <c r="FW9" i="290"/>
  <c r="FW8" i="290"/>
  <c r="FW7" i="290"/>
  <c r="FW6" i="290"/>
  <c r="AH58" i="276"/>
  <c r="AG58" i="276"/>
  <c r="AF58" i="276"/>
  <c r="FV33" i="290" s="1"/>
  <c r="AE58" i="276"/>
  <c r="FV32" i="290" s="1"/>
  <c r="AD58" i="276"/>
  <c r="FV31" i="290" s="1"/>
  <c r="AC58" i="276"/>
  <c r="FV30" i="290" s="1"/>
  <c r="AB58" i="276"/>
  <c r="FV29" i="290" s="1"/>
  <c r="FV28" i="290"/>
  <c r="FV27" i="290"/>
  <c r="FV26" i="290"/>
  <c r="FV25" i="290"/>
  <c r="FV24" i="290"/>
  <c r="FV23" i="290"/>
  <c r="FV22" i="290"/>
  <c r="FV21" i="290"/>
  <c r="FV20" i="290"/>
  <c r="FV19" i="290"/>
  <c r="FV18" i="290"/>
  <c r="FV17" i="290"/>
  <c r="FV16" i="290"/>
  <c r="FV15" i="290"/>
  <c r="FV14" i="290"/>
  <c r="FV13" i="290"/>
  <c r="FV12" i="290"/>
  <c r="FV11" i="290"/>
  <c r="FV10" i="290"/>
  <c r="FV9" i="290"/>
  <c r="FV8" i="290"/>
  <c r="FV7" i="290"/>
  <c r="FV6" i="290"/>
  <c r="AH46" i="276"/>
  <c r="AG46" i="276"/>
  <c r="AF46" i="276"/>
  <c r="FU33" i="290" s="1"/>
  <c r="AE46" i="276"/>
  <c r="FU32" i="290" s="1"/>
  <c r="AD46" i="276"/>
  <c r="FU31" i="290" s="1"/>
  <c r="AC46" i="276"/>
  <c r="FU30" i="290" s="1"/>
  <c r="AB46" i="276"/>
  <c r="FU29" i="290" s="1"/>
  <c r="FU28" i="290"/>
  <c r="FU27" i="290"/>
  <c r="FU26" i="290"/>
  <c r="FU25" i="290"/>
  <c r="FU24" i="290"/>
  <c r="FU23" i="290"/>
  <c r="FU22" i="290"/>
  <c r="FU21" i="290"/>
  <c r="FU20" i="290"/>
  <c r="FU19" i="290"/>
  <c r="FU18" i="290"/>
  <c r="FU17" i="290"/>
  <c r="FU16" i="290"/>
  <c r="FU15" i="290"/>
  <c r="FU14" i="290"/>
  <c r="FU13" i="290"/>
  <c r="FU12" i="290"/>
  <c r="FU11" i="290"/>
  <c r="FU10" i="290"/>
  <c r="FU9" i="290"/>
  <c r="FU8" i="290"/>
  <c r="FU7" i="290"/>
  <c r="FU6" i="290"/>
  <c r="AH36" i="276"/>
  <c r="AG36" i="276"/>
  <c r="AF36" i="276"/>
  <c r="FT33" i="290" s="1"/>
  <c r="AE36" i="276"/>
  <c r="FT32" i="290" s="1"/>
  <c r="AD36" i="276"/>
  <c r="FT31" i="290" s="1"/>
  <c r="AC36" i="276"/>
  <c r="FT30" i="290" s="1"/>
  <c r="AB36" i="276"/>
  <c r="FT29" i="290" s="1"/>
  <c r="FT28" i="290"/>
  <c r="FT27" i="290"/>
  <c r="FT26" i="290"/>
  <c r="FT25" i="290"/>
  <c r="FT24" i="290"/>
  <c r="FT23" i="290"/>
  <c r="FT22" i="290"/>
  <c r="FT21" i="290"/>
  <c r="FT20" i="290"/>
  <c r="FT19" i="290"/>
  <c r="FT18" i="290"/>
  <c r="FT17" i="290"/>
  <c r="FT16" i="290"/>
  <c r="FT15" i="290"/>
  <c r="FT14" i="290"/>
  <c r="FT13" i="290"/>
  <c r="FT12" i="290"/>
  <c r="FT11" i="290"/>
  <c r="FT10" i="290"/>
  <c r="FT9" i="290"/>
  <c r="FT8" i="290"/>
  <c r="FT7" i="290"/>
  <c r="FT6" i="290"/>
  <c r="AH26" i="276"/>
  <c r="AG26" i="276"/>
  <c r="AF26" i="276"/>
  <c r="FS33" i="290" s="1"/>
  <c r="AE26" i="276"/>
  <c r="FS32" i="290" s="1"/>
  <c r="AD26" i="276"/>
  <c r="FS31" i="290" s="1"/>
  <c r="AC26" i="276"/>
  <c r="FS30" i="290" s="1"/>
  <c r="AB26" i="276"/>
  <c r="FS29" i="290" s="1"/>
  <c r="FS28" i="290"/>
  <c r="FS27" i="290"/>
  <c r="FS26" i="290"/>
  <c r="FS25" i="290"/>
  <c r="FS24" i="290"/>
  <c r="FS23" i="290"/>
  <c r="FS22" i="290"/>
  <c r="FS21" i="290"/>
  <c r="FS20" i="290"/>
  <c r="FS19" i="290"/>
  <c r="FS18" i="290"/>
  <c r="FS17" i="290"/>
  <c r="FS16" i="290"/>
  <c r="FS15" i="290"/>
  <c r="FS14" i="290"/>
  <c r="FS13" i="290"/>
  <c r="FS12" i="290"/>
  <c r="FS11" i="290"/>
  <c r="FS10" i="290"/>
  <c r="FS9" i="290"/>
  <c r="FS8" i="290"/>
  <c r="FS7" i="290"/>
  <c r="FS6" i="290"/>
  <c r="AH16" i="276"/>
  <c r="AG16" i="276"/>
  <c r="AF16" i="276"/>
  <c r="FR33" i="290" s="1"/>
  <c r="AE16" i="276"/>
  <c r="FR32" i="290" s="1"/>
  <c r="AD16" i="276"/>
  <c r="FR31" i="290" s="1"/>
  <c r="AC16" i="276"/>
  <c r="FR30" i="290" s="1"/>
  <c r="AB16" i="276"/>
  <c r="FR29" i="290" s="1"/>
  <c r="FR28" i="290"/>
  <c r="FR27" i="290"/>
  <c r="FR26" i="290"/>
  <c r="FR25" i="290"/>
  <c r="FR24" i="290"/>
  <c r="FR23" i="290"/>
  <c r="FR22" i="290"/>
  <c r="FR21" i="290"/>
  <c r="FR20" i="290"/>
  <c r="FR19" i="290"/>
  <c r="FR18" i="290"/>
  <c r="FR17" i="290"/>
  <c r="FR16" i="290"/>
  <c r="FR15" i="290"/>
  <c r="FR14" i="290"/>
  <c r="FR13" i="290"/>
  <c r="FR12" i="290"/>
  <c r="FR11" i="290"/>
  <c r="FR10" i="290"/>
  <c r="FR9" i="290"/>
  <c r="FR8" i="290"/>
  <c r="FR7" i="290"/>
  <c r="FR6" i="290"/>
  <c r="AH6" i="276"/>
  <c r="AG6" i="276"/>
  <c r="AF6" i="276"/>
  <c r="FQ33" i="290" s="1"/>
  <c r="AE6" i="276"/>
  <c r="FQ32" i="290" s="1"/>
  <c r="AD6" i="276"/>
  <c r="FQ31" i="290" s="1"/>
  <c r="AC6" i="276"/>
  <c r="FQ30" i="290" s="1"/>
  <c r="AB6" i="276"/>
  <c r="FQ29" i="290" s="1"/>
  <c r="FQ28" i="290"/>
  <c r="FQ27" i="290"/>
  <c r="FQ26" i="290"/>
  <c r="FQ25" i="290"/>
  <c r="FQ24" i="290"/>
  <c r="FQ23" i="290"/>
  <c r="FQ22" i="290"/>
  <c r="FQ21" i="290"/>
  <c r="FQ20" i="290"/>
  <c r="FQ19" i="290"/>
  <c r="FQ18" i="290"/>
  <c r="FQ17" i="290"/>
  <c r="FQ16" i="290"/>
  <c r="FQ15" i="290"/>
  <c r="FQ14" i="290"/>
  <c r="FQ13" i="290"/>
  <c r="FQ12" i="290"/>
  <c r="FQ11" i="290"/>
  <c r="FQ10" i="290"/>
  <c r="FQ9" i="290"/>
  <c r="FQ8" i="290"/>
  <c r="FQ7" i="290"/>
  <c r="FQ6" i="290"/>
  <c r="AH102" i="271"/>
  <c r="AG102" i="271"/>
  <c r="AF102" i="271"/>
  <c r="FL33" i="290" s="1"/>
  <c r="AE102" i="271"/>
  <c r="FL32" i="290" s="1"/>
  <c r="AD102" i="271"/>
  <c r="FL31" i="290" s="1"/>
  <c r="AC102" i="271"/>
  <c r="FL30" i="290" s="1"/>
  <c r="AB102" i="271"/>
  <c r="FL29" i="290" s="1"/>
  <c r="AA102" i="271"/>
  <c r="FL28" i="290" s="1"/>
  <c r="Z102" i="271"/>
  <c r="FL27" i="290" s="1"/>
  <c r="Y102" i="271"/>
  <c r="FL26" i="290" s="1"/>
  <c r="X102" i="271"/>
  <c r="FL25" i="290" s="1"/>
  <c r="W102" i="271"/>
  <c r="FL24" i="290" s="1"/>
  <c r="V102" i="271"/>
  <c r="FL23" i="290" s="1"/>
  <c r="U102" i="271"/>
  <c r="FL22" i="290" s="1"/>
  <c r="T102" i="271"/>
  <c r="FL21" i="290" s="1"/>
  <c r="S102" i="271"/>
  <c r="FL20" i="290" s="1"/>
  <c r="R102" i="271"/>
  <c r="FL19" i="290" s="1"/>
  <c r="Q102" i="271"/>
  <c r="FL18" i="290" s="1"/>
  <c r="P102" i="271"/>
  <c r="FL17" i="290" s="1"/>
  <c r="O102" i="271"/>
  <c r="FL16" i="290" s="1"/>
  <c r="N102" i="271"/>
  <c r="FL15" i="290" s="1"/>
  <c r="M102" i="271"/>
  <c r="FL14" i="290" s="1"/>
  <c r="L102" i="271"/>
  <c r="FL13" i="290" s="1"/>
  <c r="K102" i="271"/>
  <c r="FL12" i="290" s="1"/>
  <c r="J102" i="271"/>
  <c r="FL11" i="290" s="1"/>
  <c r="I102" i="271"/>
  <c r="FL10" i="290" s="1"/>
  <c r="H102" i="271"/>
  <c r="FL9" i="290" s="1"/>
  <c r="G102" i="271"/>
  <c r="FL8" i="290" s="1"/>
  <c r="F102" i="271"/>
  <c r="FL7" i="290" s="1"/>
  <c r="E102" i="271"/>
  <c r="FL6" i="290" s="1"/>
  <c r="AH94" i="271"/>
  <c r="AG94" i="271"/>
  <c r="AF94" i="271"/>
  <c r="FK33" i="290" s="1"/>
  <c r="AE94" i="271"/>
  <c r="FK32" i="290" s="1"/>
  <c r="AD94" i="271"/>
  <c r="FK31" i="290" s="1"/>
  <c r="AC94" i="271"/>
  <c r="FK30" i="290" s="1"/>
  <c r="AB94" i="271"/>
  <c r="FK29" i="290" s="1"/>
  <c r="AA94" i="271"/>
  <c r="FK28" i="290" s="1"/>
  <c r="Z94" i="271"/>
  <c r="FK27" i="290" s="1"/>
  <c r="Y94" i="271"/>
  <c r="FK26" i="290" s="1"/>
  <c r="X94" i="271"/>
  <c r="FK25" i="290" s="1"/>
  <c r="W94" i="271"/>
  <c r="FK24" i="290" s="1"/>
  <c r="V94" i="271"/>
  <c r="FK23" i="290" s="1"/>
  <c r="U94" i="271"/>
  <c r="FK22" i="290" s="1"/>
  <c r="T94" i="271"/>
  <c r="FK21" i="290" s="1"/>
  <c r="S94" i="271"/>
  <c r="FK20" i="290" s="1"/>
  <c r="R94" i="271"/>
  <c r="FK19" i="290" s="1"/>
  <c r="Q94" i="271"/>
  <c r="FK18" i="290" s="1"/>
  <c r="P94" i="271"/>
  <c r="FK17" i="290" s="1"/>
  <c r="O94" i="271"/>
  <c r="FK16" i="290" s="1"/>
  <c r="N94" i="271"/>
  <c r="FK15" i="290" s="1"/>
  <c r="M94" i="271"/>
  <c r="FK14" i="290" s="1"/>
  <c r="L94" i="271"/>
  <c r="FK13" i="290" s="1"/>
  <c r="K94" i="271"/>
  <c r="FK12" i="290" s="1"/>
  <c r="J94" i="271"/>
  <c r="FK11" i="290" s="1"/>
  <c r="I94" i="271"/>
  <c r="FK10" i="290" s="1"/>
  <c r="H94" i="271"/>
  <c r="FK9" i="290" s="1"/>
  <c r="G94" i="271"/>
  <c r="FK8" i="290" s="1"/>
  <c r="F94" i="271"/>
  <c r="FK7" i="290" s="1"/>
  <c r="E94" i="271"/>
  <c r="FK6" i="290" s="1"/>
  <c r="AH86" i="271"/>
  <c r="AG86" i="271"/>
  <c r="AF86" i="271"/>
  <c r="FJ33" i="290" s="1"/>
  <c r="AE86" i="271"/>
  <c r="FJ32" i="290" s="1"/>
  <c r="AD86" i="271"/>
  <c r="FJ31" i="290" s="1"/>
  <c r="AC86" i="271"/>
  <c r="FJ30" i="290" s="1"/>
  <c r="AB86" i="271"/>
  <c r="FJ29" i="290" s="1"/>
  <c r="AA86" i="271"/>
  <c r="FJ28" i="290" s="1"/>
  <c r="Z86" i="271"/>
  <c r="FJ27" i="290" s="1"/>
  <c r="Y86" i="271"/>
  <c r="FJ26" i="290" s="1"/>
  <c r="X86" i="271"/>
  <c r="FJ25" i="290" s="1"/>
  <c r="W86" i="271"/>
  <c r="FJ24" i="290" s="1"/>
  <c r="V86" i="271"/>
  <c r="FJ23" i="290" s="1"/>
  <c r="U86" i="271"/>
  <c r="FJ22" i="290" s="1"/>
  <c r="T86" i="271"/>
  <c r="FJ21" i="290" s="1"/>
  <c r="S86" i="271"/>
  <c r="FJ20" i="290" s="1"/>
  <c r="R86" i="271"/>
  <c r="FJ19" i="290" s="1"/>
  <c r="Q86" i="271"/>
  <c r="FJ18" i="290" s="1"/>
  <c r="P86" i="271"/>
  <c r="FJ17" i="290" s="1"/>
  <c r="O86" i="271"/>
  <c r="FJ16" i="290" s="1"/>
  <c r="N86" i="271"/>
  <c r="FJ15" i="290" s="1"/>
  <c r="M86" i="271"/>
  <c r="FJ14" i="290" s="1"/>
  <c r="L86" i="271"/>
  <c r="FJ13" i="290" s="1"/>
  <c r="K86" i="271"/>
  <c r="FJ12" i="290" s="1"/>
  <c r="J86" i="271"/>
  <c r="FJ11" i="290" s="1"/>
  <c r="I86" i="271"/>
  <c r="FJ10" i="290" s="1"/>
  <c r="H86" i="271"/>
  <c r="FJ9" i="290" s="1"/>
  <c r="G86" i="271"/>
  <c r="FJ8" i="290" s="1"/>
  <c r="F86" i="271"/>
  <c r="FJ7" i="290" s="1"/>
  <c r="E86" i="271"/>
  <c r="FJ6" i="290" s="1"/>
  <c r="AH78" i="271"/>
  <c r="AG78" i="271"/>
  <c r="AF78" i="271"/>
  <c r="FI33" i="290" s="1"/>
  <c r="AE78" i="271"/>
  <c r="FI32" i="290" s="1"/>
  <c r="AD78" i="271"/>
  <c r="FI31" i="290" s="1"/>
  <c r="AC78" i="271"/>
  <c r="FI30" i="290" s="1"/>
  <c r="AB78" i="271"/>
  <c r="FI29" i="290" s="1"/>
  <c r="AA78" i="271"/>
  <c r="FI28" i="290" s="1"/>
  <c r="Z78" i="271"/>
  <c r="FI27" i="290" s="1"/>
  <c r="Y78" i="271"/>
  <c r="FI26" i="290" s="1"/>
  <c r="X78" i="271"/>
  <c r="FI25" i="290" s="1"/>
  <c r="W78" i="271"/>
  <c r="FI24" i="290" s="1"/>
  <c r="V78" i="271"/>
  <c r="FI23" i="290" s="1"/>
  <c r="U78" i="271"/>
  <c r="FI22" i="290" s="1"/>
  <c r="T78" i="271"/>
  <c r="FI21" i="290" s="1"/>
  <c r="S78" i="271"/>
  <c r="FI20" i="290" s="1"/>
  <c r="R78" i="271"/>
  <c r="FI19" i="290" s="1"/>
  <c r="Q78" i="271"/>
  <c r="FI18" i="290" s="1"/>
  <c r="P78" i="271"/>
  <c r="FI17" i="290" s="1"/>
  <c r="O78" i="271"/>
  <c r="FI16" i="290" s="1"/>
  <c r="N78" i="271"/>
  <c r="FI15" i="290" s="1"/>
  <c r="M78" i="271"/>
  <c r="FI14" i="290" s="1"/>
  <c r="L78" i="271"/>
  <c r="FI13" i="290" s="1"/>
  <c r="K78" i="271"/>
  <c r="FI12" i="290" s="1"/>
  <c r="J78" i="271"/>
  <c r="FI11" i="290" s="1"/>
  <c r="I78" i="271"/>
  <c r="FI10" i="290" s="1"/>
  <c r="H78" i="271"/>
  <c r="FI9" i="290" s="1"/>
  <c r="G78" i="271"/>
  <c r="FI8" i="290" s="1"/>
  <c r="F78" i="271"/>
  <c r="FI7" i="290" s="1"/>
  <c r="E78" i="271"/>
  <c r="FI6" i="290" s="1"/>
  <c r="AH70" i="271"/>
  <c r="AG70" i="271"/>
  <c r="AF70" i="271"/>
  <c r="FH33" i="290" s="1"/>
  <c r="AE70" i="271"/>
  <c r="FH32" i="290" s="1"/>
  <c r="AD70" i="271"/>
  <c r="FH31" i="290" s="1"/>
  <c r="AC70" i="271"/>
  <c r="FH30" i="290" s="1"/>
  <c r="AB70" i="271"/>
  <c r="FH29" i="290" s="1"/>
  <c r="AA70" i="271"/>
  <c r="FH28" i="290" s="1"/>
  <c r="Z70" i="271"/>
  <c r="FH27" i="290" s="1"/>
  <c r="Y70" i="271"/>
  <c r="FH26" i="290" s="1"/>
  <c r="X70" i="271"/>
  <c r="FH25" i="290" s="1"/>
  <c r="W70" i="271"/>
  <c r="FH24" i="290" s="1"/>
  <c r="V70" i="271"/>
  <c r="FH23" i="290" s="1"/>
  <c r="U70" i="271"/>
  <c r="FH22" i="290" s="1"/>
  <c r="T70" i="271"/>
  <c r="FH21" i="290" s="1"/>
  <c r="S70" i="271"/>
  <c r="FH20" i="290" s="1"/>
  <c r="R70" i="271"/>
  <c r="FH19" i="290" s="1"/>
  <c r="Q70" i="271"/>
  <c r="FH18" i="290" s="1"/>
  <c r="P70" i="271"/>
  <c r="FH17" i="290" s="1"/>
  <c r="O70" i="271"/>
  <c r="FH16" i="290" s="1"/>
  <c r="N70" i="271"/>
  <c r="FH15" i="290" s="1"/>
  <c r="M70" i="271"/>
  <c r="FH14" i="290" s="1"/>
  <c r="L70" i="271"/>
  <c r="FH13" i="290" s="1"/>
  <c r="K70" i="271"/>
  <c r="FH12" i="290" s="1"/>
  <c r="J70" i="271"/>
  <c r="FH11" i="290" s="1"/>
  <c r="I70" i="271"/>
  <c r="FH10" i="290" s="1"/>
  <c r="H70" i="271"/>
  <c r="FH9" i="290" s="1"/>
  <c r="G70" i="271"/>
  <c r="FH8" i="290" s="1"/>
  <c r="F70" i="271"/>
  <c r="FH7" i="290" s="1"/>
  <c r="E70" i="271"/>
  <c r="FH6" i="290" s="1"/>
  <c r="AH62" i="271"/>
  <c r="AG62" i="271"/>
  <c r="AF62" i="271"/>
  <c r="FG33" i="290" s="1"/>
  <c r="AE62" i="271"/>
  <c r="FG32" i="290" s="1"/>
  <c r="AD62" i="271"/>
  <c r="FG31" i="290" s="1"/>
  <c r="AC62" i="271"/>
  <c r="FG30" i="290" s="1"/>
  <c r="AB62" i="271"/>
  <c r="FG29" i="290" s="1"/>
  <c r="AA62" i="271"/>
  <c r="FG28" i="290" s="1"/>
  <c r="Z62" i="271"/>
  <c r="FG27" i="290" s="1"/>
  <c r="Y62" i="271"/>
  <c r="FG26" i="290" s="1"/>
  <c r="X62" i="271"/>
  <c r="FG25" i="290" s="1"/>
  <c r="W62" i="271"/>
  <c r="FG24" i="290" s="1"/>
  <c r="V62" i="271"/>
  <c r="FG23" i="290" s="1"/>
  <c r="U62" i="271"/>
  <c r="FG22" i="290" s="1"/>
  <c r="T62" i="271"/>
  <c r="FG21" i="290" s="1"/>
  <c r="S62" i="271"/>
  <c r="FG20" i="290" s="1"/>
  <c r="R62" i="271"/>
  <c r="FG19" i="290" s="1"/>
  <c r="Q62" i="271"/>
  <c r="FG18" i="290" s="1"/>
  <c r="P62" i="271"/>
  <c r="FG17" i="290" s="1"/>
  <c r="O62" i="271"/>
  <c r="FG16" i="290" s="1"/>
  <c r="N62" i="271"/>
  <c r="FG15" i="290" s="1"/>
  <c r="M62" i="271"/>
  <c r="FG14" i="290" s="1"/>
  <c r="L62" i="271"/>
  <c r="FG13" i="290" s="1"/>
  <c r="K62" i="271"/>
  <c r="FG12" i="290" s="1"/>
  <c r="J62" i="271"/>
  <c r="FG11" i="290" s="1"/>
  <c r="I62" i="271"/>
  <c r="FG10" i="290" s="1"/>
  <c r="H62" i="271"/>
  <c r="FG9" i="290" s="1"/>
  <c r="G62" i="271"/>
  <c r="FG8" i="290" s="1"/>
  <c r="F62" i="271"/>
  <c r="FG7" i="290" s="1"/>
  <c r="E62" i="271"/>
  <c r="FG6" i="290" s="1"/>
  <c r="AH54" i="271"/>
  <c r="AG54" i="271"/>
  <c r="AF54" i="271"/>
  <c r="FF33" i="290" s="1"/>
  <c r="AE54" i="271"/>
  <c r="FF32" i="290" s="1"/>
  <c r="AD54" i="271"/>
  <c r="FF31" i="290" s="1"/>
  <c r="AC54" i="271"/>
  <c r="FF30" i="290" s="1"/>
  <c r="AB54" i="271"/>
  <c r="FF29" i="290" s="1"/>
  <c r="AA54" i="271"/>
  <c r="FF28" i="290" s="1"/>
  <c r="Z54" i="271"/>
  <c r="FF27" i="290" s="1"/>
  <c r="Y54" i="271"/>
  <c r="FF26" i="290" s="1"/>
  <c r="X54" i="271"/>
  <c r="FF25" i="290" s="1"/>
  <c r="W54" i="271"/>
  <c r="FF24" i="290" s="1"/>
  <c r="V54" i="271"/>
  <c r="FF23" i="290" s="1"/>
  <c r="U54" i="271"/>
  <c r="FF22" i="290" s="1"/>
  <c r="T54" i="271"/>
  <c r="FF21" i="290" s="1"/>
  <c r="S54" i="271"/>
  <c r="FF20" i="290" s="1"/>
  <c r="R54" i="271"/>
  <c r="FF19" i="290" s="1"/>
  <c r="Q54" i="271"/>
  <c r="FF18" i="290" s="1"/>
  <c r="P54" i="271"/>
  <c r="FF17" i="290" s="1"/>
  <c r="O54" i="271"/>
  <c r="FF16" i="290" s="1"/>
  <c r="N54" i="271"/>
  <c r="FF15" i="290" s="1"/>
  <c r="M54" i="271"/>
  <c r="FF14" i="290" s="1"/>
  <c r="L54" i="271"/>
  <c r="FF13" i="290" s="1"/>
  <c r="K54" i="271"/>
  <c r="FF12" i="290" s="1"/>
  <c r="J54" i="271"/>
  <c r="FF11" i="290" s="1"/>
  <c r="I54" i="271"/>
  <c r="FF10" i="290" s="1"/>
  <c r="H54" i="271"/>
  <c r="FF9" i="290" s="1"/>
  <c r="G54" i="271"/>
  <c r="FF8" i="290" s="1"/>
  <c r="F54" i="271"/>
  <c r="FF7" i="290" s="1"/>
  <c r="E54" i="271"/>
  <c r="FF6" i="290" s="1"/>
  <c r="AH46" i="271"/>
  <c r="AG46" i="271"/>
  <c r="AF46" i="271"/>
  <c r="FE33" i="290" s="1"/>
  <c r="AE46" i="271"/>
  <c r="FE32" i="290" s="1"/>
  <c r="AD46" i="271"/>
  <c r="FE31" i="290" s="1"/>
  <c r="AC46" i="271"/>
  <c r="FE30" i="290" s="1"/>
  <c r="AB46" i="271"/>
  <c r="FE29" i="290" s="1"/>
  <c r="AA46" i="271"/>
  <c r="FE28" i="290" s="1"/>
  <c r="Z46" i="271"/>
  <c r="FE27" i="290" s="1"/>
  <c r="Y46" i="271"/>
  <c r="FE26" i="290" s="1"/>
  <c r="X46" i="271"/>
  <c r="FE25" i="290" s="1"/>
  <c r="W46" i="271"/>
  <c r="FE24" i="290" s="1"/>
  <c r="V46" i="271"/>
  <c r="FE23" i="290" s="1"/>
  <c r="U46" i="271"/>
  <c r="FE22" i="290" s="1"/>
  <c r="T46" i="271"/>
  <c r="FE21" i="290" s="1"/>
  <c r="S46" i="271"/>
  <c r="FE20" i="290" s="1"/>
  <c r="R46" i="271"/>
  <c r="FE19" i="290" s="1"/>
  <c r="Q46" i="271"/>
  <c r="FE18" i="290" s="1"/>
  <c r="P46" i="271"/>
  <c r="FE17" i="290" s="1"/>
  <c r="O46" i="271"/>
  <c r="FE16" i="290" s="1"/>
  <c r="N46" i="271"/>
  <c r="FE15" i="290" s="1"/>
  <c r="M46" i="271"/>
  <c r="FE14" i="290" s="1"/>
  <c r="L46" i="271"/>
  <c r="FE13" i="290" s="1"/>
  <c r="K46" i="271"/>
  <c r="FE12" i="290" s="1"/>
  <c r="J46" i="271"/>
  <c r="FE11" i="290" s="1"/>
  <c r="I46" i="271"/>
  <c r="FE10" i="290" s="1"/>
  <c r="H46" i="271"/>
  <c r="FE9" i="290" s="1"/>
  <c r="G46" i="271"/>
  <c r="FE8" i="290" s="1"/>
  <c r="F46" i="271"/>
  <c r="FE7" i="290" s="1"/>
  <c r="E46" i="271"/>
  <c r="FE6" i="290" s="1"/>
  <c r="AH38" i="271"/>
  <c r="AG38" i="271"/>
  <c r="AF38" i="271"/>
  <c r="FD33" i="290" s="1"/>
  <c r="AE38" i="271"/>
  <c r="FD32" i="290" s="1"/>
  <c r="AD38" i="271"/>
  <c r="FD31" i="290" s="1"/>
  <c r="AC38" i="271"/>
  <c r="FD30" i="290" s="1"/>
  <c r="AB38" i="271"/>
  <c r="FD29" i="290" s="1"/>
  <c r="AA38" i="271"/>
  <c r="FD28" i="290" s="1"/>
  <c r="Z38" i="271"/>
  <c r="FD27" i="290" s="1"/>
  <c r="Y38" i="271"/>
  <c r="FD26" i="290" s="1"/>
  <c r="X38" i="271"/>
  <c r="FD25" i="290" s="1"/>
  <c r="W38" i="271"/>
  <c r="FD24" i="290" s="1"/>
  <c r="V38" i="271"/>
  <c r="FD23" i="290" s="1"/>
  <c r="U38" i="271"/>
  <c r="FD22" i="290" s="1"/>
  <c r="T38" i="271"/>
  <c r="FD21" i="290" s="1"/>
  <c r="S38" i="271"/>
  <c r="FD20" i="290" s="1"/>
  <c r="R38" i="271"/>
  <c r="FD19" i="290" s="1"/>
  <c r="Q38" i="271"/>
  <c r="FD18" i="290" s="1"/>
  <c r="P38" i="271"/>
  <c r="FD17" i="290" s="1"/>
  <c r="O38" i="271"/>
  <c r="FD16" i="290" s="1"/>
  <c r="N38" i="271"/>
  <c r="FD15" i="290" s="1"/>
  <c r="M38" i="271"/>
  <c r="FD14" i="290" s="1"/>
  <c r="L38" i="271"/>
  <c r="FD13" i="290" s="1"/>
  <c r="K38" i="271"/>
  <c r="FD12" i="290" s="1"/>
  <c r="J38" i="271"/>
  <c r="FD11" i="290" s="1"/>
  <c r="I38" i="271"/>
  <c r="FD10" i="290" s="1"/>
  <c r="H38" i="271"/>
  <c r="FD9" i="290" s="1"/>
  <c r="G38" i="271"/>
  <c r="FD8" i="290" s="1"/>
  <c r="F38" i="271"/>
  <c r="FD7" i="290" s="1"/>
  <c r="E38" i="271"/>
  <c r="FD6" i="290" s="1"/>
  <c r="AH30" i="271"/>
  <c r="AG30" i="271"/>
  <c r="AF30" i="271"/>
  <c r="FC33" i="290" s="1"/>
  <c r="AE30" i="271"/>
  <c r="FC32" i="290" s="1"/>
  <c r="AD30" i="271"/>
  <c r="FC31" i="290" s="1"/>
  <c r="AC30" i="271"/>
  <c r="FC30" i="290" s="1"/>
  <c r="AB30" i="271"/>
  <c r="FC29" i="290" s="1"/>
  <c r="AA30" i="271"/>
  <c r="FC28" i="290" s="1"/>
  <c r="Z30" i="271"/>
  <c r="FC27" i="290" s="1"/>
  <c r="Y30" i="271"/>
  <c r="FC26" i="290" s="1"/>
  <c r="X30" i="271"/>
  <c r="FC25" i="290" s="1"/>
  <c r="W30" i="271"/>
  <c r="FC24" i="290" s="1"/>
  <c r="V30" i="271"/>
  <c r="FC23" i="290" s="1"/>
  <c r="U30" i="271"/>
  <c r="FC22" i="290" s="1"/>
  <c r="T30" i="271"/>
  <c r="FC21" i="290" s="1"/>
  <c r="S30" i="271"/>
  <c r="FC20" i="290" s="1"/>
  <c r="R30" i="271"/>
  <c r="FC19" i="290" s="1"/>
  <c r="Q30" i="271"/>
  <c r="FC18" i="290" s="1"/>
  <c r="P30" i="271"/>
  <c r="FC17" i="290" s="1"/>
  <c r="O30" i="271"/>
  <c r="FC16" i="290" s="1"/>
  <c r="N30" i="271"/>
  <c r="FC15" i="290" s="1"/>
  <c r="M30" i="271"/>
  <c r="FC14" i="290" s="1"/>
  <c r="L30" i="271"/>
  <c r="FC13" i="290" s="1"/>
  <c r="K30" i="271"/>
  <c r="FC12" i="290" s="1"/>
  <c r="J30" i="271"/>
  <c r="FC11" i="290" s="1"/>
  <c r="I30" i="271"/>
  <c r="FC10" i="290" s="1"/>
  <c r="H30" i="271"/>
  <c r="FC9" i="290" s="1"/>
  <c r="G30" i="271"/>
  <c r="FC8" i="290" s="1"/>
  <c r="F30" i="271"/>
  <c r="FC7" i="290" s="1"/>
  <c r="E30" i="271"/>
  <c r="FC6" i="290" s="1"/>
  <c r="AH22" i="271"/>
  <c r="AG22" i="271"/>
  <c r="AF22" i="271"/>
  <c r="FB33" i="290" s="1"/>
  <c r="AE22" i="271"/>
  <c r="FB32" i="290" s="1"/>
  <c r="AD22" i="271"/>
  <c r="FB31" i="290" s="1"/>
  <c r="AC22" i="271"/>
  <c r="FB30" i="290" s="1"/>
  <c r="AB22" i="271"/>
  <c r="FB29" i="290" s="1"/>
  <c r="FB28" i="290"/>
  <c r="FB27" i="290"/>
  <c r="FB26" i="290"/>
  <c r="FB25" i="290"/>
  <c r="FB24" i="290"/>
  <c r="FB23" i="290"/>
  <c r="FB22" i="290"/>
  <c r="FB21" i="290"/>
  <c r="FB20" i="290"/>
  <c r="FB19" i="290"/>
  <c r="FB18" i="290"/>
  <c r="FB17" i="290"/>
  <c r="FB16" i="290"/>
  <c r="FB15" i="290"/>
  <c r="FB14" i="290"/>
  <c r="FB13" i="290"/>
  <c r="FB12" i="290"/>
  <c r="FB11" i="290"/>
  <c r="FB10" i="290"/>
  <c r="FB9" i="290"/>
  <c r="FB8" i="290"/>
  <c r="FB7" i="290"/>
  <c r="FB6" i="290"/>
  <c r="AH14" i="271"/>
  <c r="AG14" i="271"/>
  <c r="AF14" i="271"/>
  <c r="FA33" i="290" s="1"/>
  <c r="AE14" i="271"/>
  <c r="FA32" i="290" s="1"/>
  <c r="AD14" i="271"/>
  <c r="FA31" i="290" s="1"/>
  <c r="AC14" i="271"/>
  <c r="FA30" i="290" s="1"/>
  <c r="AB14" i="271"/>
  <c r="FA29" i="290" s="1"/>
  <c r="FA28" i="290"/>
  <c r="FA27" i="290"/>
  <c r="FA26" i="290"/>
  <c r="FA25" i="290"/>
  <c r="FA24" i="290"/>
  <c r="FA23" i="290"/>
  <c r="FA22" i="290"/>
  <c r="FA21" i="290"/>
  <c r="FA20" i="290"/>
  <c r="FA19" i="290"/>
  <c r="FA18" i="290"/>
  <c r="FA17" i="290"/>
  <c r="FA16" i="290"/>
  <c r="FA15" i="290"/>
  <c r="FA14" i="290"/>
  <c r="FA13" i="290"/>
  <c r="FA12" i="290"/>
  <c r="FA11" i="290"/>
  <c r="FA10" i="290"/>
  <c r="FA9" i="290"/>
  <c r="FA8" i="290"/>
  <c r="FA7" i="290"/>
  <c r="FA6" i="290"/>
  <c r="AH6" i="271"/>
  <c r="AG6" i="271"/>
  <c r="AF6" i="271"/>
  <c r="EZ33" i="290" s="1"/>
  <c r="AE6" i="271"/>
  <c r="EZ32" i="290" s="1"/>
  <c r="AD6" i="271"/>
  <c r="EZ31" i="290" s="1"/>
  <c r="AC6" i="271"/>
  <c r="EZ30" i="290" s="1"/>
  <c r="AB6" i="271"/>
  <c r="EZ29" i="290" s="1"/>
  <c r="EZ28" i="290"/>
  <c r="EZ27" i="290"/>
  <c r="EZ26" i="290"/>
  <c r="EZ25" i="290"/>
  <c r="EZ24" i="290"/>
  <c r="EZ23" i="290"/>
  <c r="EZ22" i="290"/>
  <c r="EZ21" i="290"/>
  <c r="EZ20" i="290"/>
  <c r="EZ19" i="290"/>
  <c r="EZ18" i="290"/>
  <c r="EZ17" i="290"/>
  <c r="EZ16" i="290"/>
  <c r="EZ15" i="290"/>
  <c r="EZ14" i="290"/>
  <c r="EZ13" i="290"/>
  <c r="EZ12" i="290"/>
  <c r="EZ11" i="290"/>
  <c r="EZ10" i="290"/>
  <c r="EZ9" i="290"/>
  <c r="EZ8" i="290"/>
  <c r="EZ7" i="290"/>
  <c r="EZ6" i="290"/>
  <c r="AH102" i="270"/>
  <c r="AG102" i="270"/>
  <c r="AF102" i="270"/>
  <c r="EU33" i="290" s="1"/>
  <c r="AE102" i="270"/>
  <c r="EU32" i="290" s="1"/>
  <c r="AD102" i="270"/>
  <c r="EU31" i="290" s="1"/>
  <c r="AC102" i="270"/>
  <c r="EU30" i="290" s="1"/>
  <c r="AB102" i="270"/>
  <c r="EU29" i="290" s="1"/>
  <c r="AA102" i="270"/>
  <c r="EU28" i="290" s="1"/>
  <c r="Z102" i="270"/>
  <c r="EU27" i="290" s="1"/>
  <c r="Y102" i="270"/>
  <c r="EU26" i="290" s="1"/>
  <c r="X102" i="270"/>
  <c r="EU25" i="290" s="1"/>
  <c r="W102" i="270"/>
  <c r="EU24" i="290" s="1"/>
  <c r="V102" i="270"/>
  <c r="EU23" i="290" s="1"/>
  <c r="U102" i="270"/>
  <c r="EU22" i="290" s="1"/>
  <c r="T102" i="270"/>
  <c r="EU21" i="290" s="1"/>
  <c r="S102" i="270"/>
  <c r="EU20" i="290" s="1"/>
  <c r="R102" i="270"/>
  <c r="EU19" i="290" s="1"/>
  <c r="Q102" i="270"/>
  <c r="EU18" i="290" s="1"/>
  <c r="P102" i="270"/>
  <c r="EU17" i="290" s="1"/>
  <c r="O102" i="270"/>
  <c r="EU16" i="290" s="1"/>
  <c r="N102" i="270"/>
  <c r="EU15" i="290" s="1"/>
  <c r="M102" i="270"/>
  <c r="EU14" i="290" s="1"/>
  <c r="L102" i="270"/>
  <c r="EU13" i="290" s="1"/>
  <c r="K102" i="270"/>
  <c r="EU12" i="290" s="1"/>
  <c r="J102" i="270"/>
  <c r="EU11" i="290" s="1"/>
  <c r="I102" i="270"/>
  <c r="EU10" i="290" s="1"/>
  <c r="H102" i="270"/>
  <c r="EU9" i="290" s="1"/>
  <c r="G102" i="270"/>
  <c r="EU8" i="290" s="1"/>
  <c r="F102" i="270"/>
  <c r="EU7" i="290" s="1"/>
  <c r="E102" i="270"/>
  <c r="EU6" i="290" s="1"/>
  <c r="AH94" i="270"/>
  <c r="AG94" i="270"/>
  <c r="AF94" i="270"/>
  <c r="ET33" i="290" s="1"/>
  <c r="AE94" i="270"/>
  <c r="ET32" i="290" s="1"/>
  <c r="AD94" i="270"/>
  <c r="ET31" i="290" s="1"/>
  <c r="AC94" i="270"/>
  <c r="ET30" i="290" s="1"/>
  <c r="AB94" i="270"/>
  <c r="ET29" i="290" s="1"/>
  <c r="AA94" i="270"/>
  <c r="ET28" i="290" s="1"/>
  <c r="Z94" i="270"/>
  <c r="ET27" i="290" s="1"/>
  <c r="Y94" i="270"/>
  <c r="ET26" i="290" s="1"/>
  <c r="X94" i="270"/>
  <c r="ET25" i="290" s="1"/>
  <c r="W94" i="270"/>
  <c r="ET24" i="290" s="1"/>
  <c r="V94" i="270"/>
  <c r="ET23" i="290" s="1"/>
  <c r="U94" i="270"/>
  <c r="ET22" i="290" s="1"/>
  <c r="T94" i="270"/>
  <c r="ET21" i="290" s="1"/>
  <c r="S94" i="270"/>
  <c r="ET20" i="290" s="1"/>
  <c r="R94" i="270"/>
  <c r="ET19" i="290" s="1"/>
  <c r="Q94" i="270"/>
  <c r="ET18" i="290" s="1"/>
  <c r="P94" i="270"/>
  <c r="ET17" i="290" s="1"/>
  <c r="O94" i="270"/>
  <c r="ET16" i="290" s="1"/>
  <c r="N94" i="270"/>
  <c r="ET15" i="290" s="1"/>
  <c r="M94" i="270"/>
  <c r="ET14" i="290" s="1"/>
  <c r="L94" i="270"/>
  <c r="ET13" i="290" s="1"/>
  <c r="K94" i="270"/>
  <c r="ET12" i="290" s="1"/>
  <c r="J94" i="270"/>
  <c r="ET11" i="290" s="1"/>
  <c r="I94" i="270"/>
  <c r="ET10" i="290" s="1"/>
  <c r="H94" i="270"/>
  <c r="ET9" i="290" s="1"/>
  <c r="G94" i="270"/>
  <c r="ET8" i="290" s="1"/>
  <c r="F94" i="270"/>
  <c r="ET7" i="290" s="1"/>
  <c r="E94" i="270"/>
  <c r="ET6" i="290" s="1"/>
  <c r="AH86" i="270"/>
  <c r="AG86" i="270"/>
  <c r="AF86" i="270"/>
  <c r="ES33" i="290" s="1"/>
  <c r="AE86" i="270"/>
  <c r="ES32" i="290" s="1"/>
  <c r="AD86" i="270"/>
  <c r="ES31" i="290" s="1"/>
  <c r="AC86" i="270"/>
  <c r="ES30" i="290" s="1"/>
  <c r="AB86" i="270"/>
  <c r="ES29" i="290" s="1"/>
  <c r="AA86" i="270"/>
  <c r="ES28" i="290" s="1"/>
  <c r="Z86" i="270"/>
  <c r="ES27" i="290" s="1"/>
  <c r="Y86" i="270"/>
  <c r="ES26" i="290" s="1"/>
  <c r="X86" i="270"/>
  <c r="ES25" i="290" s="1"/>
  <c r="W86" i="270"/>
  <c r="ES24" i="290" s="1"/>
  <c r="V86" i="270"/>
  <c r="ES23" i="290" s="1"/>
  <c r="U86" i="270"/>
  <c r="ES22" i="290" s="1"/>
  <c r="T86" i="270"/>
  <c r="ES21" i="290" s="1"/>
  <c r="S86" i="270"/>
  <c r="ES20" i="290" s="1"/>
  <c r="R86" i="270"/>
  <c r="ES19" i="290" s="1"/>
  <c r="Q86" i="270"/>
  <c r="ES18" i="290" s="1"/>
  <c r="P86" i="270"/>
  <c r="ES17" i="290" s="1"/>
  <c r="O86" i="270"/>
  <c r="ES16" i="290" s="1"/>
  <c r="N86" i="270"/>
  <c r="ES15" i="290" s="1"/>
  <c r="M86" i="270"/>
  <c r="ES14" i="290" s="1"/>
  <c r="L86" i="270"/>
  <c r="ES13" i="290" s="1"/>
  <c r="K86" i="270"/>
  <c r="ES12" i="290" s="1"/>
  <c r="J86" i="270"/>
  <c r="ES11" i="290" s="1"/>
  <c r="I86" i="270"/>
  <c r="ES10" i="290" s="1"/>
  <c r="H86" i="270"/>
  <c r="ES9" i="290" s="1"/>
  <c r="G86" i="270"/>
  <c r="ES8" i="290" s="1"/>
  <c r="F86" i="270"/>
  <c r="ES7" i="290" s="1"/>
  <c r="E86" i="270"/>
  <c r="ES6" i="290" s="1"/>
  <c r="AH78" i="270"/>
  <c r="AG78" i="270"/>
  <c r="AF78" i="270"/>
  <c r="ER33" i="290" s="1"/>
  <c r="AE78" i="270"/>
  <c r="ER32" i="290" s="1"/>
  <c r="AD78" i="270"/>
  <c r="ER31" i="290" s="1"/>
  <c r="AC78" i="270"/>
  <c r="ER30" i="290" s="1"/>
  <c r="AB78" i="270"/>
  <c r="ER29" i="290" s="1"/>
  <c r="AA78" i="270"/>
  <c r="ER28" i="290" s="1"/>
  <c r="Z78" i="270"/>
  <c r="ER27" i="290" s="1"/>
  <c r="Y78" i="270"/>
  <c r="ER26" i="290" s="1"/>
  <c r="X78" i="270"/>
  <c r="ER25" i="290" s="1"/>
  <c r="W78" i="270"/>
  <c r="ER24" i="290" s="1"/>
  <c r="V78" i="270"/>
  <c r="ER23" i="290" s="1"/>
  <c r="U78" i="270"/>
  <c r="ER22" i="290" s="1"/>
  <c r="T78" i="270"/>
  <c r="ER21" i="290" s="1"/>
  <c r="S78" i="270"/>
  <c r="ER20" i="290" s="1"/>
  <c r="R78" i="270"/>
  <c r="ER19" i="290" s="1"/>
  <c r="Q78" i="270"/>
  <c r="ER18" i="290" s="1"/>
  <c r="P78" i="270"/>
  <c r="ER17" i="290" s="1"/>
  <c r="O78" i="270"/>
  <c r="ER16" i="290" s="1"/>
  <c r="N78" i="270"/>
  <c r="ER15" i="290" s="1"/>
  <c r="M78" i="270"/>
  <c r="ER14" i="290" s="1"/>
  <c r="L78" i="270"/>
  <c r="ER13" i="290" s="1"/>
  <c r="K78" i="270"/>
  <c r="ER12" i="290" s="1"/>
  <c r="J78" i="270"/>
  <c r="ER11" i="290" s="1"/>
  <c r="I78" i="270"/>
  <c r="ER10" i="290" s="1"/>
  <c r="H78" i="270"/>
  <c r="ER9" i="290" s="1"/>
  <c r="G78" i="270"/>
  <c r="ER8" i="290" s="1"/>
  <c r="F78" i="270"/>
  <c r="ER7" i="290" s="1"/>
  <c r="E78" i="270"/>
  <c r="ER6" i="290" s="1"/>
  <c r="AH70" i="270"/>
  <c r="AG70" i="270"/>
  <c r="AF70" i="270"/>
  <c r="EQ33" i="290" s="1"/>
  <c r="AE70" i="270"/>
  <c r="EQ32" i="290" s="1"/>
  <c r="AD70" i="270"/>
  <c r="EQ31" i="290" s="1"/>
  <c r="AC70" i="270"/>
  <c r="EQ30" i="290" s="1"/>
  <c r="AB70" i="270"/>
  <c r="EQ29" i="290" s="1"/>
  <c r="AA70" i="270"/>
  <c r="EQ28" i="290" s="1"/>
  <c r="Z70" i="270"/>
  <c r="EQ27" i="290" s="1"/>
  <c r="Y70" i="270"/>
  <c r="EQ26" i="290" s="1"/>
  <c r="X70" i="270"/>
  <c r="EQ25" i="290" s="1"/>
  <c r="W70" i="270"/>
  <c r="EQ24" i="290" s="1"/>
  <c r="V70" i="270"/>
  <c r="EQ23" i="290" s="1"/>
  <c r="U70" i="270"/>
  <c r="EQ22" i="290" s="1"/>
  <c r="T70" i="270"/>
  <c r="EQ21" i="290" s="1"/>
  <c r="S70" i="270"/>
  <c r="EQ20" i="290" s="1"/>
  <c r="R70" i="270"/>
  <c r="EQ19" i="290" s="1"/>
  <c r="Q70" i="270"/>
  <c r="EQ18" i="290" s="1"/>
  <c r="P70" i="270"/>
  <c r="EQ17" i="290" s="1"/>
  <c r="O70" i="270"/>
  <c r="EQ16" i="290" s="1"/>
  <c r="N70" i="270"/>
  <c r="EQ15" i="290" s="1"/>
  <c r="M70" i="270"/>
  <c r="EQ14" i="290" s="1"/>
  <c r="L70" i="270"/>
  <c r="EQ13" i="290" s="1"/>
  <c r="K70" i="270"/>
  <c r="EQ12" i="290" s="1"/>
  <c r="J70" i="270"/>
  <c r="EQ11" i="290" s="1"/>
  <c r="I70" i="270"/>
  <c r="EQ10" i="290" s="1"/>
  <c r="H70" i="270"/>
  <c r="EQ9" i="290" s="1"/>
  <c r="G70" i="270"/>
  <c r="EQ8" i="290" s="1"/>
  <c r="F70" i="270"/>
  <c r="EQ7" i="290" s="1"/>
  <c r="E70" i="270"/>
  <c r="EQ6" i="290" s="1"/>
  <c r="AH62" i="270"/>
  <c r="AG62" i="270"/>
  <c r="AF62" i="270"/>
  <c r="EP33" i="290" s="1"/>
  <c r="AE62" i="270"/>
  <c r="EP32" i="290" s="1"/>
  <c r="AD62" i="270"/>
  <c r="EP31" i="290" s="1"/>
  <c r="AC62" i="270"/>
  <c r="EP30" i="290" s="1"/>
  <c r="AB62" i="270"/>
  <c r="EP29" i="290" s="1"/>
  <c r="AA62" i="270"/>
  <c r="EP28" i="290" s="1"/>
  <c r="Z62" i="270"/>
  <c r="EP27" i="290" s="1"/>
  <c r="Y62" i="270"/>
  <c r="EP26" i="290" s="1"/>
  <c r="X62" i="270"/>
  <c r="EP25" i="290" s="1"/>
  <c r="W62" i="270"/>
  <c r="EP24" i="290" s="1"/>
  <c r="V62" i="270"/>
  <c r="EP23" i="290" s="1"/>
  <c r="U62" i="270"/>
  <c r="EP22" i="290" s="1"/>
  <c r="T62" i="270"/>
  <c r="EP21" i="290" s="1"/>
  <c r="S62" i="270"/>
  <c r="EP20" i="290" s="1"/>
  <c r="R62" i="270"/>
  <c r="EP19" i="290" s="1"/>
  <c r="Q62" i="270"/>
  <c r="EP18" i="290" s="1"/>
  <c r="P62" i="270"/>
  <c r="EP17" i="290" s="1"/>
  <c r="O62" i="270"/>
  <c r="EP16" i="290" s="1"/>
  <c r="N62" i="270"/>
  <c r="EP15" i="290" s="1"/>
  <c r="M62" i="270"/>
  <c r="EP14" i="290" s="1"/>
  <c r="L62" i="270"/>
  <c r="EP13" i="290" s="1"/>
  <c r="K62" i="270"/>
  <c r="EP12" i="290" s="1"/>
  <c r="J62" i="270"/>
  <c r="EP11" i="290" s="1"/>
  <c r="I62" i="270"/>
  <c r="EP10" i="290" s="1"/>
  <c r="H62" i="270"/>
  <c r="EP9" i="290" s="1"/>
  <c r="G62" i="270"/>
  <c r="EP8" i="290" s="1"/>
  <c r="F62" i="270"/>
  <c r="EP7" i="290" s="1"/>
  <c r="E62" i="270"/>
  <c r="EP6" i="290" s="1"/>
  <c r="AH54" i="270"/>
  <c r="AG54" i="270"/>
  <c r="AF54" i="270"/>
  <c r="EO33" i="290" s="1"/>
  <c r="AE54" i="270"/>
  <c r="EO32" i="290" s="1"/>
  <c r="AD54" i="270"/>
  <c r="EO31" i="290" s="1"/>
  <c r="AC54" i="270"/>
  <c r="EO30" i="290" s="1"/>
  <c r="AB54" i="270"/>
  <c r="EO29" i="290" s="1"/>
  <c r="AA54" i="270"/>
  <c r="EO28" i="290" s="1"/>
  <c r="Z54" i="270"/>
  <c r="EO27" i="290" s="1"/>
  <c r="Y54" i="270"/>
  <c r="EO26" i="290" s="1"/>
  <c r="X54" i="270"/>
  <c r="EO25" i="290" s="1"/>
  <c r="W54" i="270"/>
  <c r="EO24" i="290" s="1"/>
  <c r="V54" i="270"/>
  <c r="EO23" i="290" s="1"/>
  <c r="U54" i="270"/>
  <c r="EO22" i="290" s="1"/>
  <c r="T54" i="270"/>
  <c r="EO21" i="290" s="1"/>
  <c r="S54" i="270"/>
  <c r="EO20" i="290" s="1"/>
  <c r="R54" i="270"/>
  <c r="EO19" i="290" s="1"/>
  <c r="Q54" i="270"/>
  <c r="EO18" i="290" s="1"/>
  <c r="P54" i="270"/>
  <c r="EO17" i="290" s="1"/>
  <c r="O54" i="270"/>
  <c r="EO16" i="290" s="1"/>
  <c r="N54" i="270"/>
  <c r="EO15" i="290" s="1"/>
  <c r="M54" i="270"/>
  <c r="EO14" i="290" s="1"/>
  <c r="L54" i="270"/>
  <c r="EO13" i="290" s="1"/>
  <c r="K54" i="270"/>
  <c r="EO12" i="290" s="1"/>
  <c r="J54" i="270"/>
  <c r="EO11" i="290" s="1"/>
  <c r="I54" i="270"/>
  <c r="EO10" i="290" s="1"/>
  <c r="H54" i="270"/>
  <c r="EO9" i="290" s="1"/>
  <c r="G54" i="270"/>
  <c r="EO8" i="290" s="1"/>
  <c r="F54" i="270"/>
  <c r="EO7" i="290" s="1"/>
  <c r="E54" i="270"/>
  <c r="EO6" i="290" s="1"/>
  <c r="AH46" i="270"/>
  <c r="AG46" i="270"/>
  <c r="AF46" i="270"/>
  <c r="EN33" i="290" s="1"/>
  <c r="AE46" i="270"/>
  <c r="EN32" i="290" s="1"/>
  <c r="AD46" i="270"/>
  <c r="EN31" i="290" s="1"/>
  <c r="AC46" i="270"/>
  <c r="EN30" i="290" s="1"/>
  <c r="AB46" i="270"/>
  <c r="EN29" i="290" s="1"/>
  <c r="AA46" i="270"/>
  <c r="EN28" i="290" s="1"/>
  <c r="Z46" i="270"/>
  <c r="EN27" i="290" s="1"/>
  <c r="Y46" i="270"/>
  <c r="EN26" i="290" s="1"/>
  <c r="X46" i="270"/>
  <c r="EN25" i="290" s="1"/>
  <c r="W46" i="270"/>
  <c r="EN24" i="290" s="1"/>
  <c r="V46" i="270"/>
  <c r="EN23" i="290" s="1"/>
  <c r="U46" i="270"/>
  <c r="EN22" i="290" s="1"/>
  <c r="T46" i="270"/>
  <c r="EN21" i="290" s="1"/>
  <c r="S46" i="270"/>
  <c r="EN20" i="290" s="1"/>
  <c r="R46" i="270"/>
  <c r="EN19" i="290" s="1"/>
  <c r="Q46" i="270"/>
  <c r="EN18" i="290" s="1"/>
  <c r="P46" i="270"/>
  <c r="EN17" i="290" s="1"/>
  <c r="O46" i="270"/>
  <c r="EN16" i="290" s="1"/>
  <c r="N46" i="270"/>
  <c r="EN15" i="290" s="1"/>
  <c r="M46" i="270"/>
  <c r="EN14" i="290" s="1"/>
  <c r="L46" i="270"/>
  <c r="EN13" i="290" s="1"/>
  <c r="K46" i="270"/>
  <c r="EN12" i="290" s="1"/>
  <c r="J46" i="270"/>
  <c r="EN11" i="290" s="1"/>
  <c r="I46" i="270"/>
  <c r="EN10" i="290" s="1"/>
  <c r="H46" i="270"/>
  <c r="EN9" i="290" s="1"/>
  <c r="G46" i="270"/>
  <c r="EN8" i="290" s="1"/>
  <c r="F46" i="270"/>
  <c r="EN7" i="290" s="1"/>
  <c r="E46" i="270"/>
  <c r="EN6" i="290" s="1"/>
  <c r="AH38" i="270"/>
  <c r="AG38" i="270"/>
  <c r="AF38" i="270"/>
  <c r="EM33" i="290" s="1"/>
  <c r="AE38" i="270"/>
  <c r="EM32" i="290" s="1"/>
  <c r="AD38" i="270"/>
  <c r="EM31" i="290" s="1"/>
  <c r="AC38" i="270"/>
  <c r="EM30" i="290" s="1"/>
  <c r="AB38" i="270"/>
  <c r="EM29" i="290" s="1"/>
  <c r="EM28" i="290"/>
  <c r="EM27" i="290"/>
  <c r="EM26" i="290"/>
  <c r="EM25" i="290"/>
  <c r="EM24" i="290"/>
  <c r="EM23" i="290"/>
  <c r="EM22" i="290"/>
  <c r="EM21" i="290"/>
  <c r="EM20" i="290"/>
  <c r="EM19" i="290"/>
  <c r="EM18" i="290"/>
  <c r="EM17" i="290"/>
  <c r="EM16" i="290"/>
  <c r="EM15" i="290"/>
  <c r="EM14" i="290"/>
  <c r="EM13" i="290"/>
  <c r="EM12" i="290"/>
  <c r="EM11" i="290"/>
  <c r="EM10" i="290"/>
  <c r="EM9" i="290"/>
  <c r="EM8" i="290"/>
  <c r="EM7" i="290"/>
  <c r="EM6" i="290"/>
  <c r="AH30" i="270"/>
  <c r="AG30" i="270"/>
  <c r="AF30" i="270"/>
  <c r="EL33" i="290" s="1"/>
  <c r="AE30" i="270"/>
  <c r="EL32" i="290" s="1"/>
  <c r="AD30" i="270"/>
  <c r="EL31" i="290" s="1"/>
  <c r="AC30" i="270"/>
  <c r="EL30" i="290" s="1"/>
  <c r="AB30" i="270"/>
  <c r="EL29" i="290" s="1"/>
  <c r="EL28" i="290"/>
  <c r="EL27" i="290"/>
  <c r="EL26" i="290"/>
  <c r="EL25" i="290"/>
  <c r="EL24" i="290"/>
  <c r="EL23" i="290"/>
  <c r="EL22" i="290"/>
  <c r="EL21" i="290"/>
  <c r="EL20" i="290"/>
  <c r="EL19" i="290"/>
  <c r="EL18" i="290"/>
  <c r="EL17" i="290"/>
  <c r="EL16" i="290"/>
  <c r="EL15" i="290"/>
  <c r="EL14" i="290"/>
  <c r="EL13" i="290"/>
  <c r="EL12" i="290"/>
  <c r="EL11" i="290"/>
  <c r="EL10" i="290"/>
  <c r="EL9" i="290"/>
  <c r="EL8" i="290"/>
  <c r="EL7" i="290"/>
  <c r="EL6" i="290"/>
  <c r="AH22" i="270"/>
  <c r="AG22" i="270"/>
  <c r="AF22" i="270"/>
  <c r="EK33" i="290" s="1"/>
  <c r="AE22" i="270"/>
  <c r="EK32" i="290" s="1"/>
  <c r="AD22" i="270"/>
  <c r="EK31" i="290" s="1"/>
  <c r="AC22" i="270"/>
  <c r="EK30" i="290" s="1"/>
  <c r="AB22" i="270"/>
  <c r="EK29" i="290" s="1"/>
  <c r="EK28" i="290"/>
  <c r="EK27" i="290"/>
  <c r="EK26" i="290"/>
  <c r="EK25" i="290"/>
  <c r="EK24" i="290"/>
  <c r="EK23" i="290"/>
  <c r="EK22" i="290"/>
  <c r="EK21" i="290"/>
  <c r="EK20" i="290"/>
  <c r="EK19" i="290"/>
  <c r="EK18" i="290"/>
  <c r="EK17" i="290"/>
  <c r="EK16" i="290"/>
  <c r="EK15" i="290"/>
  <c r="EK14" i="290"/>
  <c r="EK13" i="290"/>
  <c r="EK12" i="290"/>
  <c r="EK11" i="290"/>
  <c r="EK10" i="290"/>
  <c r="EK9" i="290"/>
  <c r="EK8" i="290"/>
  <c r="EK7" i="290"/>
  <c r="EK6" i="290"/>
  <c r="AH14" i="270"/>
  <c r="AG14" i="270"/>
  <c r="AF14" i="270"/>
  <c r="EJ33" i="290" s="1"/>
  <c r="AE14" i="270"/>
  <c r="EJ32" i="290" s="1"/>
  <c r="AD14" i="270"/>
  <c r="EJ31" i="290" s="1"/>
  <c r="AC14" i="270"/>
  <c r="EJ30" i="290" s="1"/>
  <c r="AB14" i="270"/>
  <c r="EJ29" i="290" s="1"/>
  <c r="EJ28" i="290"/>
  <c r="EJ27" i="290"/>
  <c r="EJ26" i="290"/>
  <c r="EJ25" i="290"/>
  <c r="EJ24" i="290"/>
  <c r="EJ23" i="290"/>
  <c r="EJ22" i="290"/>
  <c r="EJ21" i="290"/>
  <c r="EJ20" i="290"/>
  <c r="EJ19" i="290"/>
  <c r="EJ18" i="290"/>
  <c r="EJ17" i="290"/>
  <c r="EJ16" i="290"/>
  <c r="EJ15" i="290"/>
  <c r="EJ14" i="290"/>
  <c r="EJ13" i="290"/>
  <c r="EJ12" i="290"/>
  <c r="EJ11" i="290"/>
  <c r="EJ10" i="290"/>
  <c r="EJ9" i="290"/>
  <c r="EJ8" i="290"/>
  <c r="EJ7" i="290"/>
  <c r="EJ6" i="290"/>
  <c r="AH6" i="270"/>
  <c r="AG6" i="270"/>
  <c r="AF6" i="270"/>
  <c r="EI33" i="290" s="1"/>
  <c r="AE6" i="270"/>
  <c r="EI32" i="290" s="1"/>
  <c r="AD6" i="270"/>
  <c r="EI31" i="290" s="1"/>
  <c r="AC6" i="270"/>
  <c r="EI30" i="290" s="1"/>
  <c r="AB6" i="270"/>
  <c r="EI29" i="290" s="1"/>
  <c r="EI28" i="290"/>
  <c r="EI27" i="290"/>
  <c r="EI26" i="290"/>
  <c r="EI25" i="290"/>
  <c r="EI24" i="290"/>
  <c r="EI23" i="290"/>
  <c r="EI22" i="290"/>
  <c r="EI21" i="290"/>
  <c r="EI20" i="290"/>
  <c r="EI19" i="290"/>
  <c r="EI18" i="290"/>
  <c r="EI17" i="290"/>
  <c r="EI16" i="290"/>
  <c r="EI15" i="290"/>
  <c r="EI14" i="290"/>
  <c r="EI13" i="290"/>
  <c r="EI12" i="290"/>
  <c r="EI11" i="290"/>
  <c r="EI10" i="290"/>
  <c r="EI9" i="290"/>
  <c r="EI8" i="290"/>
  <c r="EI7" i="290"/>
  <c r="EI6" i="290"/>
  <c r="AH200" i="269"/>
  <c r="AG200" i="269"/>
  <c r="AF200" i="269"/>
  <c r="ED33" i="290" s="1"/>
  <c r="AE200" i="269"/>
  <c r="ED32" i="290" s="1"/>
  <c r="AD200" i="269"/>
  <c r="ED31" i="290" s="1"/>
  <c r="AC200" i="269"/>
  <c r="ED30" i="290" s="1"/>
  <c r="ED29" i="290"/>
  <c r="ED28" i="290"/>
  <c r="ED27" i="290"/>
  <c r="ED26" i="290"/>
  <c r="ED25" i="290"/>
  <c r="ED24" i="290"/>
  <c r="ED23" i="290"/>
  <c r="ED22" i="290"/>
  <c r="ED21" i="290"/>
  <c r="ED20" i="290"/>
  <c r="ED19" i="290"/>
  <c r="ED18" i="290"/>
  <c r="ED17" i="290"/>
  <c r="ED16" i="290"/>
  <c r="ED15" i="290"/>
  <c r="ED14" i="290"/>
  <c r="ED13" i="290"/>
  <c r="ED12" i="290"/>
  <c r="ED11" i="290"/>
  <c r="ED10" i="290"/>
  <c r="ED9" i="290"/>
  <c r="ED8" i="290"/>
  <c r="ED7" i="290"/>
  <c r="ED6" i="290"/>
  <c r="AH192" i="269"/>
  <c r="AG192" i="269"/>
  <c r="AF192" i="269"/>
  <c r="EC33" i="290" s="1"/>
  <c r="AE192" i="269"/>
  <c r="EC32" i="290" s="1"/>
  <c r="AD192" i="269"/>
  <c r="EC31" i="290" s="1"/>
  <c r="AC192" i="269"/>
  <c r="EC30" i="290" s="1"/>
  <c r="EC29" i="290"/>
  <c r="EC28" i="290"/>
  <c r="EC27" i="290"/>
  <c r="EC26" i="290"/>
  <c r="EC25" i="290"/>
  <c r="EC24" i="290"/>
  <c r="EC23" i="290"/>
  <c r="EC22" i="290"/>
  <c r="EC21" i="290"/>
  <c r="EC20" i="290"/>
  <c r="EC19" i="290"/>
  <c r="EC18" i="290"/>
  <c r="EC17" i="290"/>
  <c r="EC16" i="290"/>
  <c r="EC15" i="290"/>
  <c r="EC14" i="290"/>
  <c r="EC13" i="290"/>
  <c r="EC12" i="290"/>
  <c r="EC11" i="290"/>
  <c r="EC10" i="290"/>
  <c r="EC9" i="290"/>
  <c r="EC8" i="290"/>
  <c r="EC7" i="290"/>
  <c r="EC6" i="290"/>
  <c r="AH184" i="269"/>
  <c r="AG184" i="269"/>
  <c r="AF184" i="269"/>
  <c r="EB33" i="290" s="1"/>
  <c r="AE184" i="269"/>
  <c r="EB32" i="290" s="1"/>
  <c r="AD184" i="269"/>
  <c r="EB31" i="290" s="1"/>
  <c r="AC184" i="269"/>
  <c r="EB30" i="290" s="1"/>
  <c r="EB29" i="290"/>
  <c r="EB28" i="290"/>
  <c r="EB27" i="290"/>
  <c r="EB26" i="290"/>
  <c r="EB25" i="290"/>
  <c r="EB24" i="290"/>
  <c r="EB23" i="290"/>
  <c r="EB22" i="290"/>
  <c r="EB21" i="290"/>
  <c r="EB20" i="290"/>
  <c r="EB19" i="290"/>
  <c r="EB18" i="290"/>
  <c r="EB17" i="290"/>
  <c r="EB16" i="290"/>
  <c r="EB15" i="290"/>
  <c r="EB14" i="290"/>
  <c r="EB13" i="290"/>
  <c r="EB12" i="290"/>
  <c r="EB11" i="290"/>
  <c r="EB10" i="290"/>
  <c r="EB9" i="290"/>
  <c r="EB8" i="290"/>
  <c r="EB7" i="290"/>
  <c r="EB6" i="290"/>
  <c r="AH176" i="269"/>
  <c r="AG176" i="269"/>
  <c r="AF176" i="269"/>
  <c r="EA33" i="290" s="1"/>
  <c r="AE176" i="269"/>
  <c r="EA32" i="290" s="1"/>
  <c r="AD176" i="269"/>
  <c r="EA31" i="290" s="1"/>
  <c r="AC176" i="269"/>
  <c r="EA30" i="290" s="1"/>
  <c r="EA29" i="290"/>
  <c r="EA28" i="290"/>
  <c r="EA27" i="290"/>
  <c r="EA26" i="290"/>
  <c r="EA25" i="290"/>
  <c r="EA24" i="290"/>
  <c r="EA23" i="290"/>
  <c r="EA22" i="290"/>
  <c r="EA21" i="290"/>
  <c r="EA20" i="290"/>
  <c r="EA19" i="290"/>
  <c r="EA18" i="290"/>
  <c r="EA17" i="290"/>
  <c r="EA16" i="290"/>
  <c r="EA15" i="290"/>
  <c r="EA14" i="290"/>
  <c r="EA13" i="290"/>
  <c r="EA12" i="290"/>
  <c r="EA11" i="290"/>
  <c r="EA10" i="290"/>
  <c r="EA9" i="290"/>
  <c r="EA8" i="290"/>
  <c r="EA7" i="290"/>
  <c r="EA6" i="290"/>
  <c r="AH168" i="269"/>
  <c r="AG168" i="269"/>
  <c r="AF168" i="269"/>
  <c r="DZ33" i="290" s="1"/>
  <c r="AE168" i="269"/>
  <c r="DZ32" i="290" s="1"/>
  <c r="AD168" i="269"/>
  <c r="DZ31" i="290" s="1"/>
  <c r="AC168" i="269"/>
  <c r="DZ30" i="290" s="1"/>
  <c r="DZ29" i="290"/>
  <c r="DZ28" i="290"/>
  <c r="DZ27" i="290"/>
  <c r="DZ26" i="290"/>
  <c r="DZ25" i="290"/>
  <c r="DZ24" i="290"/>
  <c r="DZ23" i="290"/>
  <c r="DZ22" i="290"/>
  <c r="DZ21" i="290"/>
  <c r="DZ20" i="290"/>
  <c r="DZ19" i="290"/>
  <c r="DZ18" i="290"/>
  <c r="DZ17" i="290"/>
  <c r="DZ16" i="290"/>
  <c r="DZ15" i="290"/>
  <c r="DZ14" i="290"/>
  <c r="DZ13" i="290"/>
  <c r="DZ12" i="290"/>
  <c r="DZ11" i="290"/>
  <c r="DZ10" i="290"/>
  <c r="DZ9" i="290"/>
  <c r="DZ8" i="290"/>
  <c r="DZ7" i="290"/>
  <c r="DZ6" i="290"/>
  <c r="AH145" i="269"/>
  <c r="AG145" i="269"/>
  <c r="AF145" i="269"/>
  <c r="DY33" i="290" s="1"/>
  <c r="AE145" i="269"/>
  <c r="DY32" i="290" s="1"/>
  <c r="AD145" i="269"/>
  <c r="DY31" i="290" s="1"/>
  <c r="AC145" i="269"/>
  <c r="DY30" i="290" s="1"/>
  <c r="DY29" i="290"/>
  <c r="DY28" i="290"/>
  <c r="DY27" i="290"/>
  <c r="DY26" i="290"/>
  <c r="DY25" i="290"/>
  <c r="DY24" i="290"/>
  <c r="DY23" i="290"/>
  <c r="DY22" i="290"/>
  <c r="DY21" i="290"/>
  <c r="DY20" i="290"/>
  <c r="DY19" i="290"/>
  <c r="DY18" i="290"/>
  <c r="DY17" i="290"/>
  <c r="DY16" i="290"/>
  <c r="DY15" i="290"/>
  <c r="DY14" i="290"/>
  <c r="DY13" i="290"/>
  <c r="DY12" i="290"/>
  <c r="DY11" i="290"/>
  <c r="DY10" i="290"/>
  <c r="DY9" i="290"/>
  <c r="DY8" i="290"/>
  <c r="DY7" i="290"/>
  <c r="DY6" i="290"/>
  <c r="AH113" i="269"/>
  <c r="AG113" i="269"/>
  <c r="AF113" i="269"/>
  <c r="DX33" i="290" s="1"/>
  <c r="AE113" i="269"/>
  <c r="DX32" i="290" s="1"/>
  <c r="AD113" i="269"/>
  <c r="DX31" i="290" s="1"/>
  <c r="AC113" i="269"/>
  <c r="DX30" i="290" s="1"/>
  <c r="DX29" i="290"/>
  <c r="DX28" i="290"/>
  <c r="DX27" i="290"/>
  <c r="DX26" i="290"/>
  <c r="DX25" i="290"/>
  <c r="DX24" i="290"/>
  <c r="DX23" i="290"/>
  <c r="DX22" i="290"/>
  <c r="DX21" i="290"/>
  <c r="DX20" i="290"/>
  <c r="DX19" i="290"/>
  <c r="DX18" i="290"/>
  <c r="DX17" i="290"/>
  <c r="DX16" i="290"/>
  <c r="DX15" i="290"/>
  <c r="DX14" i="290"/>
  <c r="DX13" i="290"/>
  <c r="DX12" i="290"/>
  <c r="DX11" i="290"/>
  <c r="DX10" i="290"/>
  <c r="DX9" i="290"/>
  <c r="DX8" i="290"/>
  <c r="DX7" i="290"/>
  <c r="DX6" i="290"/>
  <c r="AH99" i="269"/>
  <c r="AG99" i="269"/>
  <c r="AF99" i="269"/>
  <c r="DW33" i="290" s="1"/>
  <c r="AE99" i="269"/>
  <c r="DW32" i="290" s="1"/>
  <c r="AD99" i="269"/>
  <c r="DW31" i="290" s="1"/>
  <c r="AC99" i="269"/>
  <c r="DW30" i="290" s="1"/>
  <c r="DW29" i="290"/>
  <c r="DW28" i="290"/>
  <c r="DW27" i="290"/>
  <c r="DW26" i="290"/>
  <c r="DW25" i="290"/>
  <c r="DW24" i="290"/>
  <c r="DW23" i="290"/>
  <c r="DW22" i="290"/>
  <c r="DW21" i="290"/>
  <c r="DW20" i="290"/>
  <c r="DW19" i="290"/>
  <c r="DW18" i="290"/>
  <c r="DW17" i="290"/>
  <c r="DW16" i="290"/>
  <c r="DW15" i="290"/>
  <c r="DW14" i="290"/>
  <c r="DW13" i="290"/>
  <c r="DW12" i="290"/>
  <c r="DW11" i="290"/>
  <c r="DW10" i="290"/>
  <c r="DW9" i="290"/>
  <c r="DW8" i="290"/>
  <c r="DW7" i="290"/>
  <c r="DW6" i="290"/>
  <c r="AH87" i="269"/>
  <c r="AG87" i="269"/>
  <c r="AF87" i="269"/>
  <c r="DV33" i="290" s="1"/>
  <c r="AE87" i="269"/>
  <c r="DV32" i="290" s="1"/>
  <c r="AD87" i="269"/>
  <c r="DV31" i="290" s="1"/>
  <c r="AC87" i="269"/>
  <c r="DV30" i="290" s="1"/>
  <c r="DV29" i="290"/>
  <c r="DV28" i="290"/>
  <c r="DV27" i="290"/>
  <c r="DV26" i="290"/>
  <c r="DV25" i="290"/>
  <c r="DV24" i="290"/>
  <c r="DV23" i="290"/>
  <c r="DV22" i="290"/>
  <c r="DV21" i="290"/>
  <c r="DV20" i="290"/>
  <c r="DV19" i="290"/>
  <c r="DV18" i="290"/>
  <c r="DV17" i="290"/>
  <c r="DV16" i="290"/>
  <c r="DV15" i="290"/>
  <c r="DV14" i="290"/>
  <c r="DV13" i="290"/>
  <c r="DV12" i="290"/>
  <c r="DV11" i="290"/>
  <c r="DV10" i="290"/>
  <c r="DV9" i="290"/>
  <c r="DV8" i="290"/>
  <c r="DV7" i="290"/>
  <c r="DV6" i="290"/>
  <c r="AH69" i="269"/>
  <c r="AG69" i="269"/>
  <c r="AF69" i="269"/>
  <c r="DU33" i="290" s="1"/>
  <c r="AE69" i="269"/>
  <c r="DU32" i="290" s="1"/>
  <c r="AD69" i="269"/>
  <c r="DU31" i="290" s="1"/>
  <c r="AC69" i="269"/>
  <c r="DU30" i="290" s="1"/>
  <c r="DU29" i="290"/>
  <c r="DU28" i="290"/>
  <c r="DU27" i="290"/>
  <c r="DU26" i="290"/>
  <c r="DU25" i="290"/>
  <c r="DU24" i="290"/>
  <c r="DU23" i="290"/>
  <c r="DU22" i="290"/>
  <c r="DU21" i="290"/>
  <c r="DU20" i="290"/>
  <c r="DU19" i="290"/>
  <c r="DU18" i="290"/>
  <c r="DU17" i="290"/>
  <c r="DU16" i="290"/>
  <c r="DU15" i="290"/>
  <c r="DU14" i="290"/>
  <c r="DU13" i="290"/>
  <c r="DU12" i="290"/>
  <c r="DU11" i="290"/>
  <c r="DU10" i="290"/>
  <c r="DU9" i="290"/>
  <c r="DU8" i="290"/>
  <c r="DU7" i="290"/>
  <c r="DU6" i="290"/>
  <c r="AH35" i="269"/>
  <c r="AG35" i="269"/>
  <c r="AF35" i="269"/>
  <c r="DT33" i="290" s="1"/>
  <c r="AE35" i="269"/>
  <c r="DT32" i="290" s="1"/>
  <c r="AD35" i="269"/>
  <c r="DT31" i="290" s="1"/>
  <c r="AC35" i="269"/>
  <c r="DT30" i="290" s="1"/>
  <c r="DT29" i="290"/>
  <c r="DT28" i="290"/>
  <c r="DT27" i="290"/>
  <c r="DT26" i="290"/>
  <c r="DT25" i="290"/>
  <c r="DT24" i="290"/>
  <c r="DT23" i="290"/>
  <c r="DT22" i="290"/>
  <c r="DT21" i="290"/>
  <c r="DT20" i="290"/>
  <c r="DT19" i="290"/>
  <c r="DT18" i="290"/>
  <c r="DT17" i="290"/>
  <c r="DT16" i="290"/>
  <c r="DT15" i="290"/>
  <c r="DT14" i="290"/>
  <c r="DT13" i="290"/>
  <c r="DT12" i="290"/>
  <c r="DT11" i="290"/>
  <c r="DT10" i="290"/>
  <c r="DT9" i="290"/>
  <c r="DT8" i="290"/>
  <c r="DT7" i="290"/>
  <c r="DT6" i="290"/>
  <c r="AH22" i="269"/>
  <c r="AG22" i="269"/>
  <c r="AF22" i="269"/>
  <c r="DS33" i="290" s="1"/>
  <c r="AE22" i="269"/>
  <c r="DS32" i="290" s="1"/>
  <c r="AD22" i="269"/>
  <c r="DS31" i="290" s="1"/>
  <c r="AC22" i="269"/>
  <c r="DS30" i="290" s="1"/>
  <c r="DS29" i="290"/>
  <c r="DS28" i="290"/>
  <c r="DS27" i="290"/>
  <c r="DS26" i="290"/>
  <c r="DS25" i="290"/>
  <c r="DS24" i="290"/>
  <c r="DS23" i="290"/>
  <c r="DS22" i="290"/>
  <c r="DS21" i="290"/>
  <c r="DS20" i="290"/>
  <c r="DS19" i="290"/>
  <c r="DS18" i="290"/>
  <c r="DS17" i="290"/>
  <c r="DS16" i="290"/>
  <c r="DS15" i="290"/>
  <c r="DS14" i="290"/>
  <c r="DS13" i="290"/>
  <c r="DS12" i="290"/>
  <c r="DS11" i="290"/>
  <c r="DS10" i="290"/>
  <c r="DS9" i="290"/>
  <c r="DS8" i="290"/>
  <c r="DS7" i="290"/>
  <c r="DS6" i="290"/>
  <c r="AH6" i="269"/>
  <c r="AG6" i="269"/>
  <c r="AF6" i="269"/>
  <c r="DR33" i="290" s="1"/>
  <c r="AE6" i="269"/>
  <c r="DR32" i="290" s="1"/>
  <c r="AD6" i="269"/>
  <c r="DR31" i="290" s="1"/>
  <c r="AC6" i="269"/>
  <c r="DR30" i="290" s="1"/>
  <c r="DR29" i="290"/>
  <c r="DR28" i="290"/>
  <c r="DR27" i="290"/>
  <c r="DR26" i="290"/>
  <c r="DR25" i="290"/>
  <c r="DR24" i="290"/>
  <c r="DR23" i="290"/>
  <c r="DR22" i="290"/>
  <c r="DR21" i="290"/>
  <c r="DR20" i="290"/>
  <c r="DR19" i="290"/>
  <c r="DR18" i="290"/>
  <c r="DR17" i="290"/>
  <c r="DR16" i="290"/>
  <c r="DR15" i="290"/>
  <c r="DR14" i="290"/>
  <c r="DR13" i="290"/>
  <c r="DR12" i="290"/>
  <c r="DR11" i="290"/>
  <c r="DR10" i="290"/>
  <c r="DR9" i="290"/>
  <c r="DR8" i="290"/>
  <c r="DR7" i="290"/>
  <c r="DR6" i="290"/>
  <c r="AH113" i="268"/>
  <c r="AG113" i="268"/>
  <c r="AF113" i="268"/>
  <c r="DM33" i="290" s="1"/>
  <c r="AE113" i="268"/>
  <c r="DM32" i="290" s="1"/>
  <c r="AD113" i="268"/>
  <c r="DM31" i="290" s="1"/>
  <c r="AC113" i="268"/>
  <c r="DM30" i="290" s="1"/>
  <c r="AB113" i="268"/>
  <c r="DM29" i="290" s="1"/>
  <c r="AA113" i="268"/>
  <c r="DM28" i="290" s="1"/>
  <c r="Z113" i="268"/>
  <c r="DM27" i="290" s="1"/>
  <c r="Y113" i="268"/>
  <c r="DM26" i="290" s="1"/>
  <c r="X113" i="268"/>
  <c r="DM25" i="290" s="1"/>
  <c r="W113" i="268"/>
  <c r="DM24" i="290" s="1"/>
  <c r="V113" i="268"/>
  <c r="DM23" i="290" s="1"/>
  <c r="U113" i="268"/>
  <c r="DM22" i="290" s="1"/>
  <c r="T113" i="268"/>
  <c r="DM21" i="290" s="1"/>
  <c r="S113" i="268"/>
  <c r="DM20" i="290" s="1"/>
  <c r="R113" i="268"/>
  <c r="DM19" i="290" s="1"/>
  <c r="Q113" i="268"/>
  <c r="DM18" i="290" s="1"/>
  <c r="P113" i="268"/>
  <c r="DM17" i="290" s="1"/>
  <c r="O113" i="268"/>
  <c r="DM16" i="290" s="1"/>
  <c r="N113" i="268"/>
  <c r="DM15" i="290" s="1"/>
  <c r="M113" i="268"/>
  <c r="DM14" i="290" s="1"/>
  <c r="L113" i="268"/>
  <c r="DM13" i="290" s="1"/>
  <c r="K113" i="268"/>
  <c r="DM12" i="290" s="1"/>
  <c r="J113" i="268"/>
  <c r="DM11" i="290" s="1"/>
  <c r="I113" i="268"/>
  <c r="DM10" i="290" s="1"/>
  <c r="H113" i="268"/>
  <c r="DM9" i="290" s="1"/>
  <c r="G113" i="268"/>
  <c r="DM8" i="290" s="1"/>
  <c r="F113" i="268"/>
  <c r="DM7" i="290" s="1"/>
  <c r="E113" i="268"/>
  <c r="DM6" i="290" s="1"/>
  <c r="AH105" i="268"/>
  <c r="AG105" i="268"/>
  <c r="AF105" i="268"/>
  <c r="DL33" i="290" s="1"/>
  <c r="AE105" i="268"/>
  <c r="DL32" i="290" s="1"/>
  <c r="AD105" i="268"/>
  <c r="DL31" i="290" s="1"/>
  <c r="AC105" i="268"/>
  <c r="DL30" i="290" s="1"/>
  <c r="AB105" i="268"/>
  <c r="DL29" i="290" s="1"/>
  <c r="AA105" i="268"/>
  <c r="DL28" i="290" s="1"/>
  <c r="Z105" i="268"/>
  <c r="DL27" i="290" s="1"/>
  <c r="Y105" i="268"/>
  <c r="DL26" i="290" s="1"/>
  <c r="X105" i="268"/>
  <c r="DL25" i="290" s="1"/>
  <c r="W105" i="268"/>
  <c r="DL24" i="290" s="1"/>
  <c r="V105" i="268"/>
  <c r="DL23" i="290" s="1"/>
  <c r="U105" i="268"/>
  <c r="DL22" i="290" s="1"/>
  <c r="T105" i="268"/>
  <c r="DL21" i="290" s="1"/>
  <c r="S105" i="268"/>
  <c r="DL20" i="290" s="1"/>
  <c r="R105" i="268"/>
  <c r="DL19" i="290" s="1"/>
  <c r="Q105" i="268"/>
  <c r="DL18" i="290" s="1"/>
  <c r="P105" i="268"/>
  <c r="DL17" i="290" s="1"/>
  <c r="O105" i="268"/>
  <c r="DL16" i="290" s="1"/>
  <c r="N105" i="268"/>
  <c r="DL15" i="290" s="1"/>
  <c r="M105" i="268"/>
  <c r="DL14" i="290" s="1"/>
  <c r="L105" i="268"/>
  <c r="DL13" i="290" s="1"/>
  <c r="K105" i="268"/>
  <c r="DL12" i="290" s="1"/>
  <c r="J105" i="268"/>
  <c r="DL11" i="290" s="1"/>
  <c r="I105" i="268"/>
  <c r="DL10" i="290" s="1"/>
  <c r="H105" i="268"/>
  <c r="DL9" i="290" s="1"/>
  <c r="G105" i="268"/>
  <c r="DL8" i="290" s="1"/>
  <c r="F105" i="268"/>
  <c r="DL7" i="290" s="1"/>
  <c r="E105" i="268"/>
  <c r="DL6" i="290" s="1"/>
  <c r="AH97" i="268"/>
  <c r="AG97" i="268"/>
  <c r="AF97" i="268"/>
  <c r="DK33" i="290" s="1"/>
  <c r="AE97" i="268"/>
  <c r="DK32" i="290" s="1"/>
  <c r="AD97" i="268"/>
  <c r="DK31" i="290" s="1"/>
  <c r="AC97" i="268"/>
  <c r="DK30" i="290" s="1"/>
  <c r="AB97" i="268"/>
  <c r="DK29" i="290" s="1"/>
  <c r="AA97" i="268"/>
  <c r="DK28" i="290" s="1"/>
  <c r="Z97" i="268"/>
  <c r="DK27" i="290" s="1"/>
  <c r="Y97" i="268"/>
  <c r="DK26" i="290" s="1"/>
  <c r="X97" i="268"/>
  <c r="DK25" i="290" s="1"/>
  <c r="W97" i="268"/>
  <c r="DK24" i="290" s="1"/>
  <c r="V97" i="268"/>
  <c r="DK23" i="290" s="1"/>
  <c r="U97" i="268"/>
  <c r="DK22" i="290" s="1"/>
  <c r="T97" i="268"/>
  <c r="DK21" i="290" s="1"/>
  <c r="S97" i="268"/>
  <c r="DK20" i="290" s="1"/>
  <c r="R97" i="268"/>
  <c r="DK19" i="290" s="1"/>
  <c r="Q97" i="268"/>
  <c r="DK18" i="290" s="1"/>
  <c r="P97" i="268"/>
  <c r="DK17" i="290" s="1"/>
  <c r="O97" i="268"/>
  <c r="DK16" i="290" s="1"/>
  <c r="N97" i="268"/>
  <c r="DK15" i="290" s="1"/>
  <c r="M97" i="268"/>
  <c r="DK14" i="290" s="1"/>
  <c r="L97" i="268"/>
  <c r="DK13" i="290" s="1"/>
  <c r="K97" i="268"/>
  <c r="DK12" i="290" s="1"/>
  <c r="J97" i="268"/>
  <c r="DK11" i="290" s="1"/>
  <c r="I97" i="268"/>
  <c r="DK10" i="290" s="1"/>
  <c r="H97" i="268"/>
  <c r="DK9" i="290" s="1"/>
  <c r="G97" i="268"/>
  <c r="DK8" i="290" s="1"/>
  <c r="F97" i="268"/>
  <c r="DK7" i="290" s="1"/>
  <c r="E97" i="268"/>
  <c r="DK6" i="290" s="1"/>
  <c r="AH89" i="268"/>
  <c r="AG89" i="268"/>
  <c r="AF89" i="268"/>
  <c r="DJ33" i="290" s="1"/>
  <c r="AE89" i="268"/>
  <c r="DJ32" i="290" s="1"/>
  <c r="AD89" i="268"/>
  <c r="DJ31" i="290" s="1"/>
  <c r="AC89" i="268"/>
  <c r="DJ30" i="290" s="1"/>
  <c r="AB89" i="268"/>
  <c r="DJ29" i="290" s="1"/>
  <c r="AA89" i="268"/>
  <c r="DJ28" i="290" s="1"/>
  <c r="Z89" i="268"/>
  <c r="DJ27" i="290" s="1"/>
  <c r="Y89" i="268"/>
  <c r="DJ26" i="290" s="1"/>
  <c r="X89" i="268"/>
  <c r="DJ25" i="290" s="1"/>
  <c r="W89" i="268"/>
  <c r="DJ24" i="290" s="1"/>
  <c r="V89" i="268"/>
  <c r="DJ23" i="290" s="1"/>
  <c r="U89" i="268"/>
  <c r="DJ22" i="290" s="1"/>
  <c r="T89" i="268"/>
  <c r="DJ21" i="290" s="1"/>
  <c r="S89" i="268"/>
  <c r="DJ20" i="290" s="1"/>
  <c r="R89" i="268"/>
  <c r="DJ19" i="290" s="1"/>
  <c r="Q89" i="268"/>
  <c r="DJ18" i="290" s="1"/>
  <c r="P89" i="268"/>
  <c r="DJ17" i="290" s="1"/>
  <c r="O89" i="268"/>
  <c r="DJ16" i="290" s="1"/>
  <c r="N89" i="268"/>
  <c r="DJ15" i="290" s="1"/>
  <c r="M89" i="268"/>
  <c r="DJ14" i="290" s="1"/>
  <c r="L89" i="268"/>
  <c r="DJ13" i="290" s="1"/>
  <c r="K89" i="268"/>
  <c r="DJ12" i="290" s="1"/>
  <c r="J89" i="268"/>
  <c r="DJ11" i="290" s="1"/>
  <c r="I89" i="268"/>
  <c r="DJ10" i="290" s="1"/>
  <c r="H89" i="268"/>
  <c r="DJ9" i="290" s="1"/>
  <c r="G89" i="268"/>
  <c r="DJ8" i="290" s="1"/>
  <c r="F89" i="268"/>
  <c r="DJ7" i="290" s="1"/>
  <c r="E89" i="268"/>
  <c r="DJ6" i="290" s="1"/>
  <c r="AH81" i="268"/>
  <c r="AG81" i="268"/>
  <c r="AF81" i="268"/>
  <c r="DI33" i="290" s="1"/>
  <c r="AE81" i="268"/>
  <c r="DI32" i="290" s="1"/>
  <c r="AD81" i="268"/>
  <c r="DI31" i="290" s="1"/>
  <c r="AC81" i="268"/>
  <c r="DI30" i="290" s="1"/>
  <c r="AB81" i="268"/>
  <c r="DI29" i="290" s="1"/>
  <c r="AA81" i="268"/>
  <c r="DI28" i="290" s="1"/>
  <c r="Z81" i="268"/>
  <c r="DI27" i="290" s="1"/>
  <c r="Y81" i="268"/>
  <c r="DI26" i="290" s="1"/>
  <c r="X81" i="268"/>
  <c r="DI25" i="290" s="1"/>
  <c r="W81" i="268"/>
  <c r="DI24" i="290" s="1"/>
  <c r="V81" i="268"/>
  <c r="DI23" i="290" s="1"/>
  <c r="U81" i="268"/>
  <c r="DI22" i="290" s="1"/>
  <c r="T81" i="268"/>
  <c r="DI21" i="290" s="1"/>
  <c r="S81" i="268"/>
  <c r="DI20" i="290" s="1"/>
  <c r="R81" i="268"/>
  <c r="DI19" i="290" s="1"/>
  <c r="Q81" i="268"/>
  <c r="DI18" i="290" s="1"/>
  <c r="P81" i="268"/>
  <c r="DI17" i="290" s="1"/>
  <c r="O81" i="268"/>
  <c r="DI16" i="290" s="1"/>
  <c r="N81" i="268"/>
  <c r="DI15" i="290" s="1"/>
  <c r="M81" i="268"/>
  <c r="DI14" i="290" s="1"/>
  <c r="L81" i="268"/>
  <c r="DI13" i="290" s="1"/>
  <c r="K81" i="268"/>
  <c r="DI12" i="290" s="1"/>
  <c r="J81" i="268"/>
  <c r="DI11" i="290" s="1"/>
  <c r="I81" i="268"/>
  <c r="DI10" i="290" s="1"/>
  <c r="H81" i="268"/>
  <c r="DI9" i="290" s="1"/>
  <c r="G81" i="268"/>
  <c r="DI8" i="290" s="1"/>
  <c r="F81" i="268"/>
  <c r="DI7" i="290" s="1"/>
  <c r="E81" i="268"/>
  <c r="DI6" i="290" s="1"/>
  <c r="AH73" i="268"/>
  <c r="AG73" i="268"/>
  <c r="AF73" i="268"/>
  <c r="DH33" i="290" s="1"/>
  <c r="AE73" i="268"/>
  <c r="DH32" i="290" s="1"/>
  <c r="AD73" i="268"/>
  <c r="DH31" i="290" s="1"/>
  <c r="AC73" i="268"/>
  <c r="DH30" i="290" s="1"/>
  <c r="AB73" i="268"/>
  <c r="DH29" i="290" s="1"/>
  <c r="AA73" i="268"/>
  <c r="DH28" i="290" s="1"/>
  <c r="Z73" i="268"/>
  <c r="DH27" i="290" s="1"/>
  <c r="Y73" i="268"/>
  <c r="DH26" i="290" s="1"/>
  <c r="X73" i="268"/>
  <c r="DH25" i="290" s="1"/>
  <c r="W73" i="268"/>
  <c r="DH24" i="290" s="1"/>
  <c r="V73" i="268"/>
  <c r="DH23" i="290" s="1"/>
  <c r="U73" i="268"/>
  <c r="DH22" i="290" s="1"/>
  <c r="T73" i="268"/>
  <c r="DH21" i="290" s="1"/>
  <c r="S73" i="268"/>
  <c r="DH20" i="290" s="1"/>
  <c r="R73" i="268"/>
  <c r="DH19" i="290" s="1"/>
  <c r="Q73" i="268"/>
  <c r="DH18" i="290" s="1"/>
  <c r="P73" i="268"/>
  <c r="DH17" i="290" s="1"/>
  <c r="O73" i="268"/>
  <c r="DH16" i="290" s="1"/>
  <c r="N73" i="268"/>
  <c r="DH15" i="290" s="1"/>
  <c r="M73" i="268"/>
  <c r="DH14" i="290" s="1"/>
  <c r="L73" i="268"/>
  <c r="DH13" i="290" s="1"/>
  <c r="K73" i="268"/>
  <c r="DH12" i="290" s="1"/>
  <c r="J73" i="268"/>
  <c r="DH11" i="290" s="1"/>
  <c r="I73" i="268"/>
  <c r="DH10" i="290" s="1"/>
  <c r="H73" i="268"/>
  <c r="DH9" i="290" s="1"/>
  <c r="G73" i="268"/>
  <c r="DH8" i="290" s="1"/>
  <c r="F73" i="268"/>
  <c r="DH7" i="290" s="1"/>
  <c r="E73" i="268"/>
  <c r="DH6" i="290" s="1"/>
  <c r="AH65" i="268"/>
  <c r="AG65" i="268"/>
  <c r="AF65" i="268"/>
  <c r="DG33" i="290" s="1"/>
  <c r="AE65" i="268"/>
  <c r="DG32" i="290" s="1"/>
  <c r="AD65" i="268"/>
  <c r="DG31" i="290" s="1"/>
  <c r="AC65" i="268"/>
  <c r="DG30" i="290" s="1"/>
  <c r="AB65" i="268"/>
  <c r="DG29" i="290" s="1"/>
  <c r="AA65" i="268"/>
  <c r="DG28" i="290" s="1"/>
  <c r="Z65" i="268"/>
  <c r="DG27" i="290" s="1"/>
  <c r="Y65" i="268"/>
  <c r="DG26" i="290" s="1"/>
  <c r="X65" i="268"/>
  <c r="DG25" i="290" s="1"/>
  <c r="W65" i="268"/>
  <c r="DG24" i="290" s="1"/>
  <c r="V65" i="268"/>
  <c r="DG23" i="290" s="1"/>
  <c r="U65" i="268"/>
  <c r="DG22" i="290" s="1"/>
  <c r="T65" i="268"/>
  <c r="DG21" i="290" s="1"/>
  <c r="S65" i="268"/>
  <c r="DG20" i="290" s="1"/>
  <c r="R65" i="268"/>
  <c r="DG19" i="290" s="1"/>
  <c r="Q65" i="268"/>
  <c r="DG18" i="290" s="1"/>
  <c r="P65" i="268"/>
  <c r="DG17" i="290" s="1"/>
  <c r="O65" i="268"/>
  <c r="DG16" i="290" s="1"/>
  <c r="N65" i="268"/>
  <c r="DG15" i="290" s="1"/>
  <c r="M65" i="268"/>
  <c r="DG14" i="290" s="1"/>
  <c r="L65" i="268"/>
  <c r="DG13" i="290" s="1"/>
  <c r="K65" i="268"/>
  <c r="DG12" i="290" s="1"/>
  <c r="J65" i="268"/>
  <c r="DG11" i="290" s="1"/>
  <c r="I65" i="268"/>
  <c r="DG10" i="290" s="1"/>
  <c r="H65" i="268"/>
  <c r="DG9" i="290" s="1"/>
  <c r="G65" i="268"/>
  <c r="DG8" i="290" s="1"/>
  <c r="F65" i="268"/>
  <c r="DG7" i="290" s="1"/>
  <c r="E65" i="268"/>
  <c r="DG6" i="290" s="1"/>
  <c r="AH53" i="268"/>
  <c r="AG53" i="268"/>
  <c r="AF53" i="268"/>
  <c r="DF33" i="290" s="1"/>
  <c r="AE53" i="268"/>
  <c r="DF32" i="290" s="1"/>
  <c r="AD53" i="268"/>
  <c r="DF31" i="290" s="1"/>
  <c r="AC53" i="268"/>
  <c r="DF30" i="290" s="1"/>
  <c r="AB53" i="268"/>
  <c r="DF29" i="290" s="1"/>
  <c r="AA53" i="268"/>
  <c r="DF28" i="290" s="1"/>
  <c r="Z53" i="268"/>
  <c r="DF27" i="290" s="1"/>
  <c r="Y53" i="268"/>
  <c r="DF26" i="290" s="1"/>
  <c r="X53" i="268"/>
  <c r="DF25" i="290" s="1"/>
  <c r="W53" i="268"/>
  <c r="DF24" i="290" s="1"/>
  <c r="V53" i="268"/>
  <c r="DF23" i="290" s="1"/>
  <c r="U53" i="268"/>
  <c r="DF22" i="290" s="1"/>
  <c r="T53" i="268"/>
  <c r="DF21" i="290" s="1"/>
  <c r="S53" i="268"/>
  <c r="DF20" i="290" s="1"/>
  <c r="R53" i="268"/>
  <c r="DF19" i="290" s="1"/>
  <c r="Q53" i="268"/>
  <c r="DF18" i="290" s="1"/>
  <c r="P53" i="268"/>
  <c r="DF17" i="290" s="1"/>
  <c r="O53" i="268"/>
  <c r="DF16" i="290" s="1"/>
  <c r="N53" i="268"/>
  <c r="DF15" i="290" s="1"/>
  <c r="M53" i="268"/>
  <c r="DF14" i="290" s="1"/>
  <c r="L53" i="268"/>
  <c r="DF13" i="290" s="1"/>
  <c r="K53" i="268"/>
  <c r="DF12" i="290" s="1"/>
  <c r="J53" i="268"/>
  <c r="DF11" i="290" s="1"/>
  <c r="I53" i="268"/>
  <c r="DF10" i="290" s="1"/>
  <c r="H53" i="268"/>
  <c r="DF9" i="290" s="1"/>
  <c r="G53" i="268"/>
  <c r="DF8" i="290" s="1"/>
  <c r="F53" i="268"/>
  <c r="DF7" i="290" s="1"/>
  <c r="E53" i="268"/>
  <c r="DF6" i="290" s="1"/>
  <c r="AH45" i="268"/>
  <c r="AG45" i="268"/>
  <c r="AF45" i="268"/>
  <c r="DE33" i="290" s="1"/>
  <c r="AE45" i="268"/>
  <c r="DE32" i="290" s="1"/>
  <c r="AD45" i="268"/>
  <c r="DE31" i="290" s="1"/>
  <c r="AC45" i="268"/>
  <c r="DE30" i="290" s="1"/>
  <c r="AB45" i="268"/>
  <c r="DE29" i="290" s="1"/>
  <c r="AA45" i="268"/>
  <c r="DE28" i="290" s="1"/>
  <c r="Z45" i="268"/>
  <c r="DE27" i="290" s="1"/>
  <c r="Y45" i="268"/>
  <c r="DE26" i="290" s="1"/>
  <c r="X45" i="268"/>
  <c r="DE25" i="290" s="1"/>
  <c r="W45" i="268"/>
  <c r="DE24" i="290" s="1"/>
  <c r="V45" i="268"/>
  <c r="DE23" i="290" s="1"/>
  <c r="U45" i="268"/>
  <c r="DE22" i="290" s="1"/>
  <c r="T45" i="268"/>
  <c r="DE21" i="290" s="1"/>
  <c r="S45" i="268"/>
  <c r="DE20" i="290" s="1"/>
  <c r="R45" i="268"/>
  <c r="DE19" i="290" s="1"/>
  <c r="Q45" i="268"/>
  <c r="DE18" i="290" s="1"/>
  <c r="P45" i="268"/>
  <c r="DE17" i="290" s="1"/>
  <c r="O45" i="268"/>
  <c r="DE16" i="290" s="1"/>
  <c r="N45" i="268"/>
  <c r="DE15" i="290" s="1"/>
  <c r="M45" i="268"/>
  <c r="DE14" i="290" s="1"/>
  <c r="L45" i="268"/>
  <c r="DE13" i="290" s="1"/>
  <c r="K45" i="268"/>
  <c r="DE12" i="290" s="1"/>
  <c r="J45" i="268"/>
  <c r="DE11" i="290" s="1"/>
  <c r="I45" i="268"/>
  <c r="DE10" i="290" s="1"/>
  <c r="H45" i="268"/>
  <c r="DE9" i="290" s="1"/>
  <c r="G45" i="268"/>
  <c r="DE8" i="290" s="1"/>
  <c r="F45" i="268"/>
  <c r="DE7" i="290" s="1"/>
  <c r="E45" i="268"/>
  <c r="DE6" i="290" s="1"/>
  <c r="AH37" i="268"/>
  <c r="AG37" i="268"/>
  <c r="AF37" i="268"/>
  <c r="DD33" i="290" s="1"/>
  <c r="AE37" i="268"/>
  <c r="DD32" i="290" s="1"/>
  <c r="AD37" i="268"/>
  <c r="DD31" i="290" s="1"/>
  <c r="AC37" i="268"/>
  <c r="DD30" i="290" s="1"/>
  <c r="AB37" i="268"/>
  <c r="DD29" i="290" s="1"/>
  <c r="DD28" i="290"/>
  <c r="DD27" i="290"/>
  <c r="DD26" i="290"/>
  <c r="DD25" i="290"/>
  <c r="DD24" i="290"/>
  <c r="DD23" i="290"/>
  <c r="DD22" i="290"/>
  <c r="DD21" i="290"/>
  <c r="DD20" i="290"/>
  <c r="DD19" i="290"/>
  <c r="DD18" i="290"/>
  <c r="DD17" i="290"/>
  <c r="DD16" i="290"/>
  <c r="DD15" i="290"/>
  <c r="DD14" i="290"/>
  <c r="DD13" i="290"/>
  <c r="DD12" i="290"/>
  <c r="DD11" i="290"/>
  <c r="DD10" i="290"/>
  <c r="DD9" i="290"/>
  <c r="DD8" i="290"/>
  <c r="DD7" i="290"/>
  <c r="DD6" i="290"/>
  <c r="AH29" i="268"/>
  <c r="AG29" i="268"/>
  <c r="AF29" i="268"/>
  <c r="DC33" i="290" s="1"/>
  <c r="AE29" i="268"/>
  <c r="DC32" i="290" s="1"/>
  <c r="AD29" i="268"/>
  <c r="DC31" i="290" s="1"/>
  <c r="AC29" i="268"/>
  <c r="DC30" i="290" s="1"/>
  <c r="AB29" i="268"/>
  <c r="DC29" i="290" s="1"/>
  <c r="DC28" i="290"/>
  <c r="DC27" i="290"/>
  <c r="DC26" i="290"/>
  <c r="DC25" i="290"/>
  <c r="DC24" i="290"/>
  <c r="DC23" i="290"/>
  <c r="DC22" i="290"/>
  <c r="DC21" i="290"/>
  <c r="DC20" i="290"/>
  <c r="DC19" i="290"/>
  <c r="DC18" i="290"/>
  <c r="DC17" i="290"/>
  <c r="DC16" i="290"/>
  <c r="DC15" i="290"/>
  <c r="DC14" i="290"/>
  <c r="DC13" i="290"/>
  <c r="DC12" i="290"/>
  <c r="DC11" i="290"/>
  <c r="DC10" i="290"/>
  <c r="DC9" i="290"/>
  <c r="DC8" i="290"/>
  <c r="DC7" i="290"/>
  <c r="DC6" i="290"/>
  <c r="AH17" i="268"/>
  <c r="AG17" i="268"/>
  <c r="AF17" i="268"/>
  <c r="DB33" i="290" s="1"/>
  <c r="AE17" i="268"/>
  <c r="DB32" i="290" s="1"/>
  <c r="AD17" i="268"/>
  <c r="DB31" i="290" s="1"/>
  <c r="AC17" i="268"/>
  <c r="DB30" i="290" s="1"/>
  <c r="AB17" i="268"/>
  <c r="DB29" i="290" s="1"/>
  <c r="DB28" i="290"/>
  <c r="DB27" i="290"/>
  <c r="DB26" i="290"/>
  <c r="DB25" i="290"/>
  <c r="DB24" i="290"/>
  <c r="DB23" i="290"/>
  <c r="DB22" i="290"/>
  <c r="DB21" i="290"/>
  <c r="DB20" i="290"/>
  <c r="DB19" i="290"/>
  <c r="DB18" i="290"/>
  <c r="DB17" i="290"/>
  <c r="DB16" i="290"/>
  <c r="DB15" i="290"/>
  <c r="DB14" i="290"/>
  <c r="DB13" i="290"/>
  <c r="DB12" i="290"/>
  <c r="DB11" i="290"/>
  <c r="DB10" i="290"/>
  <c r="DB9" i="290"/>
  <c r="DB8" i="290"/>
  <c r="DB7" i="290"/>
  <c r="DB6" i="290"/>
  <c r="AH6" i="268"/>
  <c r="AG6" i="268"/>
  <c r="AF6" i="268"/>
  <c r="DA33" i="290" s="1"/>
  <c r="AE6" i="268"/>
  <c r="DA32" i="290" s="1"/>
  <c r="AD6" i="268"/>
  <c r="DA31" i="290" s="1"/>
  <c r="AC6" i="268"/>
  <c r="DA30" i="290" s="1"/>
  <c r="AB6" i="268"/>
  <c r="DA29" i="290" s="1"/>
  <c r="DA28" i="290"/>
  <c r="DA27" i="290"/>
  <c r="DA26" i="290"/>
  <c r="DA25" i="290"/>
  <c r="DA24" i="290"/>
  <c r="DA23" i="290"/>
  <c r="DA22" i="290"/>
  <c r="DA21" i="290"/>
  <c r="DA20" i="290"/>
  <c r="DA19" i="290"/>
  <c r="DA18" i="290"/>
  <c r="DA17" i="290"/>
  <c r="DA16" i="290"/>
  <c r="DA15" i="290"/>
  <c r="DA14" i="290"/>
  <c r="DA13" i="290"/>
  <c r="DA12" i="290"/>
  <c r="DA11" i="290"/>
  <c r="DA10" i="290"/>
  <c r="DA9" i="290"/>
  <c r="DA8" i="290"/>
  <c r="DA7" i="290"/>
  <c r="DA6" i="290"/>
  <c r="AH197" i="266"/>
  <c r="AG197" i="266"/>
  <c r="AF197" i="266"/>
  <c r="CE33" i="290" s="1"/>
  <c r="AE197" i="266"/>
  <c r="CE32" i="290" s="1"/>
  <c r="AD197" i="266"/>
  <c r="CE31" i="290" s="1"/>
  <c r="AC197" i="266"/>
  <c r="CE30" i="290" s="1"/>
  <c r="AB197" i="266"/>
  <c r="CE29" i="290" s="1"/>
  <c r="AA197" i="266"/>
  <c r="CE28" i="290" s="1"/>
  <c r="Z197" i="266"/>
  <c r="CE27" i="290" s="1"/>
  <c r="Y197" i="266"/>
  <c r="CE26" i="290" s="1"/>
  <c r="X197" i="266"/>
  <c r="CE25" i="290" s="1"/>
  <c r="W197" i="266"/>
  <c r="CE24" i="290" s="1"/>
  <c r="V197" i="266"/>
  <c r="CE23" i="290" s="1"/>
  <c r="U197" i="266"/>
  <c r="CE22" i="290" s="1"/>
  <c r="T197" i="266"/>
  <c r="CE21" i="290" s="1"/>
  <c r="S197" i="266"/>
  <c r="CE20" i="290" s="1"/>
  <c r="R197" i="266"/>
  <c r="CE19" i="290" s="1"/>
  <c r="Q197" i="266"/>
  <c r="CE18" i="290" s="1"/>
  <c r="P197" i="266"/>
  <c r="CE17" i="290" s="1"/>
  <c r="O197" i="266"/>
  <c r="CE16" i="290" s="1"/>
  <c r="N197" i="266"/>
  <c r="CE15" i="290" s="1"/>
  <c r="M197" i="266"/>
  <c r="CE14" i="290" s="1"/>
  <c r="L197" i="266"/>
  <c r="CE13" i="290" s="1"/>
  <c r="K197" i="266"/>
  <c r="CE12" i="290" s="1"/>
  <c r="J197" i="266"/>
  <c r="CE11" i="290" s="1"/>
  <c r="I197" i="266"/>
  <c r="CE10" i="290" s="1"/>
  <c r="H197" i="266"/>
  <c r="CE9" i="290" s="1"/>
  <c r="G197" i="266"/>
  <c r="CE8" i="290" s="1"/>
  <c r="F197" i="266"/>
  <c r="CE7" i="290" s="1"/>
  <c r="E197" i="266"/>
  <c r="CE6" i="290" s="1"/>
  <c r="AH189" i="266"/>
  <c r="AG189" i="266"/>
  <c r="AF189" i="266"/>
  <c r="CD33" i="290" s="1"/>
  <c r="AE189" i="266"/>
  <c r="CD32" i="290" s="1"/>
  <c r="AD189" i="266"/>
  <c r="CD31" i="290" s="1"/>
  <c r="AC189" i="266"/>
  <c r="CD30" i="290" s="1"/>
  <c r="AB189" i="266"/>
  <c r="CD29" i="290" s="1"/>
  <c r="AA189" i="266"/>
  <c r="CD28" i="290" s="1"/>
  <c r="Z189" i="266"/>
  <c r="CD27" i="290" s="1"/>
  <c r="Y189" i="266"/>
  <c r="CD26" i="290" s="1"/>
  <c r="X189" i="266"/>
  <c r="CD25" i="290" s="1"/>
  <c r="W189" i="266"/>
  <c r="CD24" i="290" s="1"/>
  <c r="V189" i="266"/>
  <c r="CD23" i="290" s="1"/>
  <c r="U189" i="266"/>
  <c r="CD22" i="290" s="1"/>
  <c r="T189" i="266"/>
  <c r="CD21" i="290" s="1"/>
  <c r="S189" i="266"/>
  <c r="CD20" i="290" s="1"/>
  <c r="R189" i="266"/>
  <c r="CD19" i="290" s="1"/>
  <c r="Q189" i="266"/>
  <c r="CD18" i="290" s="1"/>
  <c r="P189" i="266"/>
  <c r="CD17" i="290" s="1"/>
  <c r="O189" i="266"/>
  <c r="CD16" i="290" s="1"/>
  <c r="N189" i="266"/>
  <c r="CD15" i="290" s="1"/>
  <c r="M189" i="266"/>
  <c r="CD14" i="290" s="1"/>
  <c r="L189" i="266"/>
  <c r="CD13" i="290" s="1"/>
  <c r="K189" i="266"/>
  <c r="CD12" i="290" s="1"/>
  <c r="J189" i="266"/>
  <c r="CD11" i="290" s="1"/>
  <c r="I189" i="266"/>
  <c r="CD10" i="290" s="1"/>
  <c r="H189" i="266"/>
  <c r="CD9" i="290" s="1"/>
  <c r="G189" i="266"/>
  <c r="CD8" i="290" s="1"/>
  <c r="F189" i="266"/>
  <c r="CD7" i="290" s="1"/>
  <c r="E189" i="266"/>
  <c r="CD6" i="290" s="1"/>
  <c r="AH181" i="266"/>
  <c r="AG181" i="266"/>
  <c r="AF181" i="266"/>
  <c r="CC33" i="290" s="1"/>
  <c r="AE181" i="266"/>
  <c r="CC32" i="290" s="1"/>
  <c r="AD181" i="266"/>
  <c r="CC31" i="290" s="1"/>
  <c r="AC181" i="266"/>
  <c r="CC30" i="290" s="1"/>
  <c r="AB181" i="266"/>
  <c r="CC29" i="290" s="1"/>
  <c r="AA181" i="266"/>
  <c r="CC28" i="290" s="1"/>
  <c r="Z181" i="266"/>
  <c r="CC27" i="290" s="1"/>
  <c r="Y181" i="266"/>
  <c r="CC26" i="290" s="1"/>
  <c r="X181" i="266"/>
  <c r="CC25" i="290" s="1"/>
  <c r="W181" i="266"/>
  <c r="CC24" i="290" s="1"/>
  <c r="V181" i="266"/>
  <c r="CC23" i="290" s="1"/>
  <c r="U181" i="266"/>
  <c r="CC22" i="290" s="1"/>
  <c r="T181" i="266"/>
  <c r="CC21" i="290" s="1"/>
  <c r="S181" i="266"/>
  <c r="CC20" i="290" s="1"/>
  <c r="R181" i="266"/>
  <c r="CC19" i="290" s="1"/>
  <c r="Q181" i="266"/>
  <c r="CC18" i="290" s="1"/>
  <c r="P181" i="266"/>
  <c r="CC17" i="290" s="1"/>
  <c r="O181" i="266"/>
  <c r="CC16" i="290" s="1"/>
  <c r="N181" i="266"/>
  <c r="CC15" i="290" s="1"/>
  <c r="M181" i="266"/>
  <c r="CC14" i="290" s="1"/>
  <c r="L181" i="266"/>
  <c r="CC13" i="290" s="1"/>
  <c r="K181" i="266"/>
  <c r="CC12" i="290" s="1"/>
  <c r="J181" i="266"/>
  <c r="CC11" i="290" s="1"/>
  <c r="I181" i="266"/>
  <c r="CC10" i="290" s="1"/>
  <c r="H181" i="266"/>
  <c r="CC9" i="290" s="1"/>
  <c r="G181" i="266"/>
  <c r="CC8" i="290" s="1"/>
  <c r="F181" i="266"/>
  <c r="CC7" i="290" s="1"/>
  <c r="E181" i="266"/>
  <c r="CC6" i="290" s="1"/>
  <c r="AH173" i="266"/>
  <c r="AG173" i="266"/>
  <c r="AF173" i="266"/>
  <c r="CB33" i="290" s="1"/>
  <c r="AE173" i="266"/>
  <c r="CB32" i="290" s="1"/>
  <c r="AD173" i="266"/>
  <c r="CB31" i="290" s="1"/>
  <c r="AC173" i="266"/>
  <c r="CB30" i="290" s="1"/>
  <c r="AB173" i="266"/>
  <c r="CB29" i="290" s="1"/>
  <c r="AA173" i="266"/>
  <c r="CB28" i="290" s="1"/>
  <c r="Z173" i="266"/>
  <c r="CB27" i="290" s="1"/>
  <c r="Y173" i="266"/>
  <c r="CB26" i="290" s="1"/>
  <c r="X173" i="266"/>
  <c r="CB25" i="290" s="1"/>
  <c r="W173" i="266"/>
  <c r="CB24" i="290" s="1"/>
  <c r="V173" i="266"/>
  <c r="CB23" i="290" s="1"/>
  <c r="U173" i="266"/>
  <c r="CB22" i="290" s="1"/>
  <c r="T173" i="266"/>
  <c r="CB21" i="290" s="1"/>
  <c r="S173" i="266"/>
  <c r="CB20" i="290" s="1"/>
  <c r="R173" i="266"/>
  <c r="CB19" i="290" s="1"/>
  <c r="Q173" i="266"/>
  <c r="CB18" i="290" s="1"/>
  <c r="P173" i="266"/>
  <c r="CB17" i="290" s="1"/>
  <c r="O173" i="266"/>
  <c r="CB16" i="290" s="1"/>
  <c r="N173" i="266"/>
  <c r="CB15" i="290" s="1"/>
  <c r="M173" i="266"/>
  <c r="CB14" i="290" s="1"/>
  <c r="L173" i="266"/>
  <c r="CB13" i="290" s="1"/>
  <c r="K173" i="266"/>
  <c r="CB12" i="290" s="1"/>
  <c r="J173" i="266"/>
  <c r="CB11" i="290" s="1"/>
  <c r="I173" i="266"/>
  <c r="CB10" i="290" s="1"/>
  <c r="H173" i="266"/>
  <c r="CB9" i="290" s="1"/>
  <c r="G173" i="266"/>
  <c r="CB8" i="290" s="1"/>
  <c r="F173" i="266"/>
  <c r="CB7" i="290" s="1"/>
  <c r="E173" i="266"/>
  <c r="CB6" i="290" s="1"/>
  <c r="AH165" i="266"/>
  <c r="AG165" i="266"/>
  <c r="AF165" i="266"/>
  <c r="CA33" i="290" s="1"/>
  <c r="AE165" i="266"/>
  <c r="CA32" i="290" s="1"/>
  <c r="AD165" i="266"/>
  <c r="CA31" i="290" s="1"/>
  <c r="AC165" i="266"/>
  <c r="CA30" i="290" s="1"/>
  <c r="AB165" i="266"/>
  <c r="CA29" i="290" s="1"/>
  <c r="AA165" i="266"/>
  <c r="CA28" i="290" s="1"/>
  <c r="Z165" i="266"/>
  <c r="CA27" i="290" s="1"/>
  <c r="Y165" i="266"/>
  <c r="CA26" i="290" s="1"/>
  <c r="X165" i="266"/>
  <c r="CA25" i="290" s="1"/>
  <c r="W165" i="266"/>
  <c r="CA24" i="290" s="1"/>
  <c r="V165" i="266"/>
  <c r="CA23" i="290" s="1"/>
  <c r="U165" i="266"/>
  <c r="CA22" i="290" s="1"/>
  <c r="T165" i="266"/>
  <c r="CA21" i="290" s="1"/>
  <c r="S165" i="266"/>
  <c r="CA20" i="290" s="1"/>
  <c r="R165" i="266"/>
  <c r="CA19" i="290" s="1"/>
  <c r="Q165" i="266"/>
  <c r="CA18" i="290" s="1"/>
  <c r="P165" i="266"/>
  <c r="CA17" i="290" s="1"/>
  <c r="O165" i="266"/>
  <c r="CA16" i="290" s="1"/>
  <c r="N165" i="266"/>
  <c r="CA15" i="290" s="1"/>
  <c r="M165" i="266"/>
  <c r="CA14" i="290" s="1"/>
  <c r="L165" i="266"/>
  <c r="CA13" i="290" s="1"/>
  <c r="K165" i="266"/>
  <c r="CA12" i="290" s="1"/>
  <c r="J165" i="266"/>
  <c r="CA11" i="290" s="1"/>
  <c r="I165" i="266"/>
  <c r="CA10" i="290" s="1"/>
  <c r="H165" i="266"/>
  <c r="CA9" i="290" s="1"/>
  <c r="G165" i="266"/>
  <c r="CA8" i="290" s="1"/>
  <c r="F165" i="266"/>
  <c r="CA7" i="290" s="1"/>
  <c r="E165" i="266"/>
  <c r="CA6" i="290" s="1"/>
  <c r="AH148" i="266"/>
  <c r="AG148" i="266"/>
  <c r="AF148" i="266"/>
  <c r="BZ33" i="290" s="1"/>
  <c r="AE148" i="266"/>
  <c r="BZ32" i="290" s="1"/>
  <c r="AD148" i="266"/>
  <c r="BZ31" i="290" s="1"/>
  <c r="AC148" i="266"/>
  <c r="BZ30" i="290" s="1"/>
  <c r="AB148" i="266"/>
  <c r="BZ29" i="290" s="1"/>
  <c r="AA148" i="266"/>
  <c r="BZ28" i="290" s="1"/>
  <c r="Z148" i="266"/>
  <c r="BZ27" i="290" s="1"/>
  <c r="Y148" i="266"/>
  <c r="BZ26" i="290" s="1"/>
  <c r="X148" i="266"/>
  <c r="BZ25" i="290" s="1"/>
  <c r="W148" i="266"/>
  <c r="BZ24" i="290" s="1"/>
  <c r="V148" i="266"/>
  <c r="BZ23" i="290" s="1"/>
  <c r="U148" i="266"/>
  <c r="BZ22" i="290" s="1"/>
  <c r="T148" i="266"/>
  <c r="BZ21" i="290" s="1"/>
  <c r="S148" i="266"/>
  <c r="BZ20" i="290" s="1"/>
  <c r="R148" i="266"/>
  <c r="BZ19" i="290" s="1"/>
  <c r="Q148" i="266"/>
  <c r="BZ18" i="290" s="1"/>
  <c r="P148" i="266"/>
  <c r="BZ17" i="290" s="1"/>
  <c r="O148" i="266"/>
  <c r="BZ16" i="290" s="1"/>
  <c r="N148" i="266"/>
  <c r="BZ15" i="290" s="1"/>
  <c r="M148" i="266"/>
  <c r="BZ14" i="290" s="1"/>
  <c r="L148" i="266"/>
  <c r="BZ13" i="290" s="1"/>
  <c r="K148" i="266"/>
  <c r="BZ12" i="290" s="1"/>
  <c r="J148" i="266"/>
  <c r="BZ11" i="290" s="1"/>
  <c r="I148" i="266"/>
  <c r="BZ10" i="290" s="1"/>
  <c r="H148" i="266"/>
  <c r="BZ9" i="290" s="1"/>
  <c r="G148" i="266"/>
  <c r="BZ8" i="290" s="1"/>
  <c r="F148" i="266"/>
  <c r="BZ7" i="290" s="1"/>
  <c r="E148" i="266"/>
  <c r="BZ6" i="290" s="1"/>
  <c r="AH132" i="266"/>
  <c r="AG132" i="266"/>
  <c r="AF132" i="266"/>
  <c r="BY33" i="290" s="1"/>
  <c r="AE132" i="266"/>
  <c r="BY32" i="290" s="1"/>
  <c r="AD132" i="266"/>
  <c r="BY31" i="290" s="1"/>
  <c r="AC132" i="266"/>
  <c r="BY30" i="290" s="1"/>
  <c r="AB132" i="266"/>
  <c r="BY29" i="290" s="1"/>
  <c r="AA132" i="266"/>
  <c r="BY28" i="290" s="1"/>
  <c r="Z132" i="266"/>
  <c r="BY27" i="290" s="1"/>
  <c r="Y132" i="266"/>
  <c r="BY26" i="290" s="1"/>
  <c r="X132" i="266"/>
  <c r="BY25" i="290" s="1"/>
  <c r="W132" i="266"/>
  <c r="BY24" i="290" s="1"/>
  <c r="V132" i="266"/>
  <c r="BY23" i="290" s="1"/>
  <c r="U132" i="266"/>
  <c r="BY22" i="290" s="1"/>
  <c r="T132" i="266"/>
  <c r="BY21" i="290" s="1"/>
  <c r="S132" i="266"/>
  <c r="BY20" i="290" s="1"/>
  <c r="R132" i="266"/>
  <c r="BY19" i="290" s="1"/>
  <c r="Q132" i="266"/>
  <c r="BY18" i="290" s="1"/>
  <c r="P132" i="266"/>
  <c r="BY17" i="290" s="1"/>
  <c r="O132" i="266"/>
  <c r="BY16" i="290" s="1"/>
  <c r="N132" i="266"/>
  <c r="BY15" i="290" s="1"/>
  <c r="M132" i="266"/>
  <c r="BY14" i="290" s="1"/>
  <c r="L132" i="266"/>
  <c r="BY13" i="290" s="1"/>
  <c r="K132" i="266"/>
  <c r="BY12" i="290" s="1"/>
  <c r="J132" i="266"/>
  <c r="BY11" i="290" s="1"/>
  <c r="I132" i="266"/>
  <c r="BY10" i="290" s="1"/>
  <c r="H132" i="266"/>
  <c r="BY9" i="290" s="1"/>
  <c r="G132" i="266"/>
  <c r="BY8" i="290" s="1"/>
  <c r="F132" i="266"/>
  <c r="BY7" i="290" s="1"/>
  <c r="E132" i="266"/>
  <c r="BY6" i="290" s="1"/>
  <c r="AH108" i="266"/>
  <c r="AG108" i="266"/>
  <c r="AF108" i="266"/>
  <c r="BX33" i="290" s="1"/>
  <c r="AE108" i="266"/>
  <c r="BX32" i="290" s="1"/>
  <c r="AD108" i="266"/>
  <c r="BX31" i="290" s="1"/>
  <c r="AC108" i="266"/>
  <c r="BX30" i="290" s="1"/>
  <c r="BX29" i="290"/>
  <c r="BX28" i="290"/>
  <c r="BX27" i="290"/>
  <c r="BX26" i="290"/>
  <c r="BX25" i="290"/>
  <c r="BX24" i="290"/>
  <c r="BX23" i="290"/>
  <c r="BX22" i="290"/>
  <c r="BX21" i="290"/>
  <c r="BX20" i="290"/>
  <c r="BX19" i="290"/>
  <c r="BX18" i="290"/>
  <c r="BX17" i="290"/>
  <c r="BX16" i="290"/>
  <c r="BX15" i="290"/>
  <c r="BX14" i="290"/>
  <c r="BX13" i="290"/>
  <c r="BX12" i="290"/>
  <c r="BX11" i="290"/>
  <c r="BX10" i="290"/>
  <c r="BX9" i="290"/>
  <c r="BX8" i="290"/>
  <c r="BX7" i="290"/>
  <c r="BX6" i="290"/>
  <c r="AH86" i="266"/>
  <c r="AG86" i="266"/>
  <c r="AF86" i="266"/>
  <c r="BW33" i="290" s="1"/>
  <c r="AE86" i="266"/>
  <c r="BW32" i="290" s="1"/>
  <c r="AD86" i="266"/>
  <c r="BW31" i="290" s="1"/>
  <c r="AC86" i="266"/>
  <c r="BW30" i="290" s="1"/>
  <c r="BW29" i="290"/>
  <c r="BW28" i="290"/>
  <c r="BW27" i="290"/>
  <c r="BW26" i="290"/>
  <c r="BW25" i="290"/>
  <c r="BW24" i="290"/>
  <c r="BW23" i="290"/>
  <c r="BW22" i="290"/>
  <c r="BW21" i="290"/>
  <c r="BW20" i="290"/>
  <c r="BW19" i="290"/>
  <c r="BW18" i="290"/>
  <c r="BW17" i="290"/>
  <c r="BW16" i="290"/>
  <c r="BW15" i="290"/>
  <c r="BW14" i="290"/>
  <c r="BW13" i="290"/>
  <c r="BW12" i="290"/>
  <c r="BW11" i="290"/>
  <c r="BW10" i="290"/>
  <c r="BW9" i="290"/>
  <c r="BW8" i="290"/>
  <c r="BW7" i="290"/>
  <c r="BW6" i="290"/>
  <c r="AH72" i="266"/>
  <c r="AG72" i="266"/>
  <c r="AF72" i="266"/>
  <c r="BV33" i="290" s="1"/>
  <c r="AE72" i="266"/>
  <c r="BV32" i="290" s="1"/>
  <c r="AD72" i="266"/>
  <c r="BV31" i="290" s="1"/>
  <c r="AC72" i="266"/>
  <c r="BV30" i="290" s="1"/>
  <c r="BV29" i="290"/>
  <c r="BV28" i="290"/>
  <c r="BV27" i="290"/>
  <c r="BV26" i="290"/>
  <c r="BV25" i="290"/>
  <c r="BV24" i="290"/>
  <c r="BV23" i="290"/>
  <c r="BV22" i="290"/>
  <c r="BV21" i="290"/>
  <c r="BV20" i="290"/>
  <c r="BV19" i="290"/>
  <c r="BV18" i="290"/>
  <c r="BV17" i="290"/>
  <c r="BV16" i="290"/>
  <c r="BV15" i="290"/>
  <c r="BV14" i="290"/>
  <c r="BV13" i="290"/>
  <c r="BV12" i="290"/>
  <c r="BV11" i="290"/>
  <c r="BV10" i="290"/>
  <c r="BV9" i="290"/>
  <c r="BV8" i="290"/>
  <c r="BV7" i="290"/>
  <c r="BV6" i="290"/>
  <c r="AH55" i="266"/>
  <c r="AG55" i="266"/>
  <c r="AF55" i="266"/>
  <c r="BU33" i="290" s="1"/>
  <c r="AE55" i="266"/>
  <c r="BU32" i="290" s="1"/>
  <c r="AD55" i="266"/>
  <c r="BU31" i="290" s="1"/>
  <c r="AC55" i="266"/>
  <c r="BU30" i="290" s="1"/>
  <c r="BU29" i="290"/>
  <c r="BU28" i="290"/>
  <c r="BU27" i="290"/>
  <c r="BU26" i="290"/>
  <c r="BU25" i="290"/>
  <c r="BU24" i="290"/>
  <c r="BU23" i="290"/>
  <c r="BU22" i="290"/>
  <c r="BU21" i="290"/>
  <c r="BU20" i="290"/>
  <c r="BU19" i="290"/>
  <c r="BU18" i="290"/>
  <c r="BU17" i="290"/>
  <c r="BU16" i="290"/>
  <c r="BU15" i="290"/>
  <c r="BU14" i="290"/>
  <c r="BU13" i="290"/>
  <c r="BU12" i="290"/>
  <c r="BU11" i="290"/>
  <c r="BU10" i="290"/>
  <c r="BU9" i="290"/>
  <c r="BU8" i="290"/>
  <c r="BU7" i="290"/>
  <c r="BU6" i="290"/>
  <c r="AH32" i="266"/>
  <c r="AG32" i="266"/>
  <c r="AF32" i="266"/>
  <c r="BT33" i="290" s="1"/>
  <c r="AE32" i="266"/>
  <c r="BT32" i="290" s="1"/>
  <c r="AD32" i="266"/>
  <c r="BT31" i="290" s="1"/>
  <c r="AC32" i="266"/>
  <c r="BT30" i="290" s="1"/>
  <c r="BT29" i="290"/>
  <c r="BT28" i="290"/>
  <c r="BT27" i="290"/>
  <c r="BT26" i="290"/>
  <c r="BT25" i="290"/>
  <c r="BT24" i="290"/>
  <c r="BT23" i="290"/>
  <c r="BT22" i="290"/>
  <c r="BT21" i="290"/>
  <c r="BT20" i="290"/>
  <c r="BT19" i="290"/>
  <c r="BT18" i="290"/>
  <c r="BT17" i="290"/>
  <c r="BT16" i="290"/>
  <c r="BT15" i="290"/>
  <c r="BT14" i="290"/>
  <c r="BT13" i="290"/>
  <c r="BT12" i="290"/>
  <c r="BT11" i="290"/>
  <c r="BT10" i="290"/>
  <c r="BT9" i="290"/>
  <c r="BT8" i="290"/>
  <c r="BT7" i="290"/>
  <c r="BT6" i="290"/>
  <c r="AH6" i="266"/>
  <c r="AG6" i="266"/>
  <c r="AF6" i="266"/>
  <c r="BS33" i="290" s="1"/>
  <c r="AE6" i="266"/>
  <c r="BS32" i="290" s="1"/>
  <c r="AD6" i="266"/>
  <c r="BS31" i="290" s="1"/>
  <c r="AC6" i="266"/>
  <c r="BS30" i="290" s="1"/>
  <c r="BS29" i="290"/>
  <c r="BS28" i="290"/>
  <c r="BS27" i="290"/>
  <c r="BS26" i="290"/>
  <c r="BS25" i="290"/>
  <c r="BS24" i="290"/>
  <c r="BS23" i="290"/>
  <c r="BS22" i="290"/>
  <c r="BS21" i="290"/>
  <c r="BS20" i="290"/>
  <c r="BS19" i="290"/>
  <c r="BS18" i="290"/>
  <c r="BS17" i="290"/>
  <c r="BS16" i="290"/>
  <c r="BS15" i="290"/>
  <c r="BS14" i="290"/>
  <c r="BS13" i="290"/>
  <c r="BS12" i="290"/>
  <c r="BS11" i="290"/>
  <c r="BS10" i="290"/>
  <c r="BS9" i="290"/>
  <c r="BS8" i="290"/>
  <c r="BS7" i="290"/>
  <c r="BS6" i="290"/>
  <c r="AH120" i="265"/>
  <c r="AG120" i="265"/>
  <c r="AF120" i="265"/>
  <c r="BN33" i="290" s="1"/>
  <c r="AE120" i="265"/>
  <c r="BN32" i="290" s="1"/>
  <c r="AD120" i="265"/>
  <c r="BN31" i="290" s="1"/>
  <c r="AC120" i="265"/>
  <c r="BN30" i="290" s="1"/>
  <c r="BN29" i="290"/>
  <c r="AW28" i="290"/>
  <c r="AW27" i="290"/>
  <c r="AW26" i="290"/>
  <c r="AW25" i="290"/>
  <c r="AW24" i="290"/>
  <c r="AW23" i="290"/>
  <c r="AW22" i="290"/>
  <c r="AW21" i="290"/>
  <c r="AW20" i="290"/>
  <c r="AW19" i="290"/>
  <c r="AW18" i="290"/>
  <c r="AW17" i="290"/>
  <c r="AW16" i="290"/>
  <c r="AW15" i="290"/>
  <c r="AW14" i="290"/>
  <c r="AW13" i="290"/>
  <c r="AW12" i="290"/>
  <c r="AW11" i="290"/>
  <c r="AW10" i="290"/>
  <c r="AW9" i="290"/>
  <c r="AW8" i="290"/>
  <c r="AW7" i="290"/>
  <c r="AW6" i="290"/>
  <c r="AH112" i="265"/>
  <c r="AG112" i="265"/>
  <c r="AF112" i="265"/>
  <c r="BM33" i="290" s="1"/>
  <c r="AE112" i="265"/>
  <c r="BM32" i="290" s="1"/>
  <c r="AD112" i="265"/>
  <c r="BM31" i="290" s="1"/>
  <c r="AC112" i="265"/>
  <c r="BM30" i="290" s="1"/>
  <c r="BM29" i="290"/>
  <c r="AV28" i="290"/>
  <c r="AV27" i="290"/>
  <c r="AV26" i="290"/>
  <c r="AV25" i="290"/>
  <c r="AV24" i="290"/>
  <c r="AV23" i="290"/>
  <c r="AV22" i="290"/>
  <c r="AV21" i="290"/>
  <c r="AV20" i="290"/>
  <c r="AV19" i="290"/>
  <c r="AV18" i="290"/>
  <c r="AV17" i="290"/>
  <c r="AV16" i="290"/>
  <c r="AV15" i="290"/>
  <c r="AV14" i="290"/>
  <c r="AV13" i="290"/>
  <c r="AV12" i="290"/>
  <c r="AV11" i="290"/>
  <c r="AV10" i="290"/>
  <c r="AV9" i="290"/>
  <c r="AV8" i="290"/>
  <c r="AV7" i="290"/>
  <c r="AV6" i="290"/>
  <c r="AH104" i="265"/>
  <c r="AG104" i="265"/>
  <c r="AF104" i="265"/>
  <c r="BL33" i="290" s="1"/>
  <c r="AE104" i="265"/>
  <c r="BL32" i="290" s="1"/>
  <c r="AD104" i="265"/>
  <c r="BL31" i="290" s="1"/>
  <c r="AC104" i="265"/>
  <c r="BL30" i="290" s="1"/>
  <c r="BL29" i="290"/>
  <c r="AU28" i="290"/>
  <c r="AU27" i="290"/>
  <c r="AU26" i="290"/>
  <c r="AU25" i="290"/>
  <c r="AU24" i="290"/>
  <c r="AU23" i="290"/>
  <c r="AU22" i="290"/>
  <c r="AU21" i="290"/>
  <c r="AU20" i="290"/>
  <c r="AU19" i="290"/>
  <c r="AU18" i="290"/>
  <c r="AU17" i="290"/>
  <c r="AU16" i="290"/>
  <c r="AU15" i="290"/>
  <c r="AU14" i="290"/>
  <c r="AU13" i="290"/>
  <c r="AU12" i="290"/>
  <c r="AU11" i="290"/>
  <c r="AU10" i="290"/>
  <c r="AU9" i="290"/>
  <c r="AU8" i="290"/>
  <c r="AU7" i="290"/>
  <c r="AU6" i="290"/>
  <c r="AH96" i="265"/>
  <c r="AG96" i="265"/>
  <c r="AF96" i="265"/>
  <c r="BK33" i="290" s="1"/>
  <c r="AE96" i="265"/>
  <c r="BK32" i="290" s="1"/>
  <c r="AD96" i="265"/>
  <c r="BK31" i="290" s="1"/>
  <c r="AC96" i="265"/>
  <c r="BK30" i="290" s="1"/>
  <c r="BK29" i="290"/>
  <c r="AT28" i="290"/>
  <c r="AT27" i="290"/>
  <c r="AT26" i="290"/>
  <c r="AT25" i="290"/>
  <c r="AT24" i="290"/>
  <c r="AT23" i="290"/>
  <c r="AT22" i="290"/>
  <c r="AT21" i="290"/>
  <c r="AT20" i="290"/>
  <c r="AT19" i="290"/>
  <c r="AT18" i="290"/>
  <c r="AT17" i="290"/>
  <c r="AT16" i="290"/>
  <c r="AT15" i="290"/>
  <c r="AT14" i="290"/>
  <c r="AT13" i="290"/>
  <c r="AT12" i="290"/>
  <c r="AT11" i="290"/>
  <c r="AT10" i="290"/>
  <c r="AT9" i="290"/>
  <c r="AT8" i="290"/>
  <c r="AT7" i="290"/>
  <c r="AT6" i="290"/>
  <c r="AH88" i="265"/>
  <c r="AG88" i="265"/>
  <c r="AF88" i="265"/>
  <c r="BJ33" i="290" s="1"/>
  <c r="AE88" i="265"/>
  <c r="BJ32" i="290" s="1"/>
  <c r="AD88" i="265"/>
  <c r="BJ31" i="290" s="1"/>
  <c r="AC88" i="265"/>
  <c r="BJ30" i="290" s="1"/>
  <c r="BJ29" i="290"/>
  <c r="AH80" i="265"/>
  <c r="AG80" i="265"/>
  <c r="AF80" i="265"/>
  <c r="BI33" i="290" s="1"/>
  <c r="AE80" i="265"/>
  <c r="BI32" i="290" s="1"/>
  <c r="AD80" i="265"/>
  <c r="BI31" i="290" s="1"/>
  <c r="AC80" i="265"/>
  <c r="BI30" i="290" s="1"/>
  <c r="BI29" i="290"/>
  <c r="AH71" i="265"/>
  <c r="AG71" i="265"/>
  <c r="AF71" i="265"/>
  <c r="BH33" i="290" s="1"/>
  <c r="AE71" i="265"/>
  <c r="BH32" i="290" s="1"/>
  <c r="AD71" i="265"/>
  <c r="BH31" i="290" s="1"/>
  <c r="AC71" i="265"/>
  <c r="BH30" i="290" s="1"/>
  <c r="BH29" i="290"/>
  <c r="AH62" i="265"/>
  <c r="AG62" i="265"/>
  <c r="AF62" i="265"/>
  <c r="BG33" i="290" s="1"/>
  <c r="AE62" i="265"/>
  <c r="BG32" i="290" s="1"/>
  <c r="AD62" i="265"/>
  <c r="BG31" i="290" s="1"/>
  <c r="AC62" i="265"/>
  <c r="BG30" i="290" s="1"/>
  <c r="BG29" i="290"/>
  <c r="AH49" i="265"/>
  <c r="AG49" i="265"/>
  <c r="AF49" i="265"/>
  <c r="BF33" i="290" s="1"/>
  <c r="AE49" i="265"/>
  <c r="BF32" i="290" s="1"/>
  <c r="AD49" i="265"/>
  <c r="BF31" i="290" s="1"/>
  <c r="AC49" i="265"/>
  <c r="BF30" i="290" s="1"/>
  <c r="BF29" i="290"/>
  <c r="AH41" i="265"/>
  <c r="AG41" i="265"/>
  <c r="AF41" i="265"/>
  <c r="BE33" i="290" s="1"/>
  <c r="AE41" i="265"/>
  <c r="BE32" i="290" s="1"/>
  <c r="AD41" i="265"/>
  <c r="BE31" i="290" s="1"/>
  <c r="AC41" i="265"/>
  <c r="BE30" i="290" s="1"/>
  <c r="BE29" i="290"/>
  <c r="AH28" i="265"/>
  <c r="AG28" i="265"/>
  <c r="AF28" i="265"/>
  <c r="BD33" i="290" s="1"/>
  <c r="AE28" i="265"/>
  <c r="BD32" i="290" s="1"/>
  <c r="AD28" i="265"/>
  <c r="BD31" i="290" s="1"/>
  <c r="AC28" i="265"/>
  <c r="BD30" i="290" s="1"/>
  <c r="BD29" i="290"/>
  <c r="AH19" i="265"/>
  <c r="AG19" i="265"/>
  <c r="AF19" i="265"/>
  <c r="BC33" i="290" s="1"/>
  <c r="AE19" i="265"/>
  <c r="BC32" i="290" s="1"/>
  <c r="AD19" i="265"/>
  <c r="BC31" i="290" s="1"/>
  <c r="AC19" i="265"/>
  <c r="BC30" i="290" s="1"/>
  <c r="BC29" i="290"/>
  <c r="AH6" i="265"/>
  <c r="AG6" i="265"/>
  <c r="AF6" i="265"/>
  <c r="BB33" i="290" s="1"/>
  <c r="AE6" i="265"/>
  <c r="BB32" i="290" s="1"/>
  <c r="AD6" i="265"/>
  <c r="BB31" i="290" s="1"/>
  <c r="AC6" i="265"/>
  <c r="BB30" i="290" s="1"/>
  <c r="BB29" i="290"/>
  <c r="AH104" i="279"/>
  <c r="AG104" i="279"/>
  <c r="AF104" i="279"/>
  <c r="AW33" i="290" s="1"/>
  <c r="AE104" i="279"/>
  <c r="AW32" i="290" s="1"/>
  <c r="AD104" i="279"/>
  <c r="AW31" i="290" s="1"/>
  <c r="AC104" i="279"/>
  <c r="AW30" i="290" s="1"/>
  <c r="AB104" i="279"/>
  <c r="AW29" i="290" s="1"/>
  <c r="AA104" i="279"/>
  <c r="BN28" i="290" s="1"/>
  <c r="Z104" i="279"/>
  <c r="BN27" i="290" s="1"/>
  <c r="Y104" i="279"/>
  <c r="BN26" i="290" s="1"/>
  <c r="X104" i="279"/>
  <c r="BN25" i="290" s="1"/>
  <c r="W104" i="279"/>
  <c r="BN24" i="290" s="1"/>
  <c r="V104" i="279"/>
  <c r="BN23" i="290" s="1"/>
  <c r="U104" i="279"/>
  <c r="BN22" i="290" s="1"/>
  <c r="T104" i="279"/>
  <c r="BN21" i="290" s="1"/>
  <c r="S104" i="279"/>
  <c r="BN20" i="290" s="1"/>
  <c r="R104" i="279"/>
  <c r="BN19" i="290" s="1"/>
  <c r="Q104" i="279"/>
  <c r="BN18" i="290" s="1"/>
  <c r="P104" i="279"/>
  <c r="BN17" i="290" s="1"/>
  <c r="O104" i="279"/>
  <c r="BN16" i="290" s="1"/>
  <c r="N104" i="279"/>
  <c r="BN15" i="290" s="1"/>
  <c r="M104" i="279"/>
  <c r="BN14" i="290" s="1"/>
  <c r="L104" i="279"/>
  <c r="BN13" i="290" s="1"/>
  <c r="K104" i="279"/>
  <c r="BN12" i="290" s="1"/>
  <c r="J104" i="279"/>
  <c r="BN11" i="290" s="1"/>
  <c r="I104" i="279"/>
  <c r="BN10" i="290" s="1"/>
  <c r="H104" i="279"/>
  <c r="BN9" i="290" s="1"/>
  <c r="G104" i="279"/>
  <c r="BN8" i="290" s="1"/>
  <c r="F104" i="279"/>
  <c r="BN7" i="290" s="1"/>
  <c r="E104" i="279"/>
  <c r="BN6" i="290" s="1"/>
  <c r="AH96" i="279"/>
  <c r="AG96" i="279"/>
  <c r="AF96" i="279"/>
  <c r="AV33" i="290" s="1"/>
  <c r="AE96" i="279"/>
  <c r="AV32" i="290" s="1"/>
  <c r="AD96" i="279"/>
  <c r="AV31" i="290" s="1"/>
  <c r="AC96" i="279"/>
  <c r="AV30" i="290" s="1"/>
  <c r="AB96" i="279"/>
  <c r="AV29" i="290" s="1"/>
  <c r="AA96" i="279"/>
  <c r="BM28" i="290" s="1"/>
  <c r="Z96" i="279"/>
  <c r="BM27" i="290" s="1"/>
  <c r="Y96" i="279"/>
  <c r="BM26" i="290" s="1"/>
  <c r="X96" i="279"/>
  <c r="BM25" i="290" s="1"/>
  <c r="W96" i="279"/>
  <c r="BM24" i="290" s="1"/>
  <c r="V96" i="279"/>
  <c r="BM23" i="290" s="1"/>
  <c r="U96" i="279"/>
  <c r="BM22" i="290" s="1"/>
  <c r="T96" i="279"/>
  <c r="BM21" i="290" s="1"/>
  <c r="S96" i="279"/>
  <c r="BM20" i="290" s="1"/>
  <c r="R96" i="279"/>
  <c r="BM19" i="290" s="1"/>
  <c r="Q96" i="279"/>
  <c r="BM18" i="290" s="1"/>
  <c r="P96" i="279"/>
  <c r="BM17" i="290" s="1"/>
  <c r="O96" i="279"/>
  <c r="BM16" i="290" s="1"/>
  <c r="N96" i="279"/>
  <c r="BM15" i="290" s="1"/>
  <c r="M96" i="279"/>
  <c r="BM14" i="290" s="1"/>
  <c r="L96" i="279"/>
  <c r="BM13" i="290" s="1"/>
  <c r="K96" i="279"/>
  <c r="BM12" i="290" s="1"/>
  <c r="J96" i="279"/>
  <c r="BM11" i="290" s="1"/>
  <c r="I96" i="279"/>
  <c r="BM10" i="290" s="1"/>
  <c r="H96" i="279"/>
  <c r="BM9" i="290" s="1"/>
  <c r="G96" i="279"/>
  <c r="BM8" i="290" s="1"/>
  <c r="F96" i="279"/>
  <c r="BM7" i="290" s="1"/>
  <c r="E96" i="279"/>
  <c r="BM6" i="290" s="1"/>
  <c r="AH88" i="279"/>
  <c r="AG88" i="279"/>
  <c r="AF88" i="279"/>
  <c r="AU33" i="290" s="1"/>
  <c r="AE88" i="279"/>
  <c r="AU32" i="290" s="1"/>
  <c r="AD88" i="279"/>
  <c r="AU31" i="290" s="1"/>
  <c r="AC88" i="279"/>
  <c r="AU30" i="290" s="1"/>
  <c r="AB88" i="279"/>
  <c r="AU29" i="290" s="1"/>
  <c r="AA88" i="279"/>
  <c r="BL28" i="290" s="1"/>
  <c r="Z88" i="279"/>
  <c r="BL27" i="290" s="1"/>
  <c r="Y88" i="279"/>
  <c r="BL26" i="290" s="1"/>
  <c r="X88" i="279"/>
  <c r="BL25" i="290" s="1"/>
  <c r="W88" i="279"/>
  <c r="BL24" i="290" s="1"/>
  <c r="V88" i="279"/>
  <c r="BL23" i="290" s="1"/>
  <c r="U88" i="279"/>
  <c r="BL22" i="290" s="1"/>
  <c r="T88" i="279"/>
  <c r="BL21" i="290" s="1"/>
  <c r="S88" i="279"/>
  <c r="BL20" i="290" s="1"/>
  <c r="R88" i="279"/>
  <c r="BL19" i="290" s="1"/>
  <c r="Q88" i="279"/>
  <c r="BL18" i="290" s="1"/>
  <c r="P88" i="279"/>
  <c r="BL17" i="290" s="1"/>
  <c r="O88" i="279"/>
  <c r="BL16" i="290" s="1"/>
  <c r="N88" i="279"/>
  <c r="BL15" i="290" s="1"/>
  <c r="M88" i="279"/>
  <c r="BL14" i="290" s="1"/>
  <c r="L88" i="279"/>
  <c r="BL13" i="290" s="1"/>
  <c r="K88" i="279"/>
  <c r="BL12" i="290" s="1"/>
  <c r="J88" i="279"/>
  <c r="BL11" i="290" s="1"/>
  <c r="I88" i="279"/>
  <c r="BL10" i="290" s="1"/>
  <c r="H88" i="279"/>
  <c r="BL9" i="290" s="1"/>
  <c r="G88" i="279"/>
  <c r="BL8" i="290" s="1"/>
  <c r="F88" i="279"/>
  <c r="BL7" i="290" s="1"/>
  <c r="E88" i="279"/>
  <c r="BL6" i="290" s="1"/>
  <c r="AH80" i="279"/>
  <c r="AG80" i="279"/>
  <c r="AF80" i="279"/>
  <c r="AT33" i="290" s="1"/>
  <c r="AE80" i="279"/>
  <c r="AT32" i="290" s="1"/>
  <c r="AD80" i="279"/>
  <c r="AT31" i="290" s="1"/>
  <c r="AC80" i="279"/>
  <c r="AT30" i="290" s="1"/>
  <c r="AB80" i="279"/>
  <c r="AT29" i="290" s="1"/>
  <c r="AA80" i="279"/>
  <c r="BK28" i="290" s="1"/>
  <c r="Z80" i="279"/>
  <c r="BK27" i="290" s="1"/>
  <c r="Y80" i="279"/>
  <c r="BK26" i="290" s="1"/>
  <c r="X80" i="279"/>
  <c r="BK25" i="290" s="1"/>
  <c r="W80" i="279"/>
  <c r="BK24" i="290" s="1"/>
  <c r="V80" i="279"/>
  <c r="BK23" i="290" s="1"/>
  <c r="U80" i="279"/>
  <c r="BK22" i="290" s="1"/>
  <c r="T80" i="279"/>
  <c r="BK21" i="290" s="1"/>
  <c r="S80" i="279"/>
  <c r="BK20" i="290" s="1"/>
  <c r="R80" i="279"/>
  <c r="BK19" i="290" s="1"/>
  <c r="Q80" i="279"/>
  <c r="BK18" i="290" s="1"/>
  <c r="P80" i="279"/>
  <c r="BK17" i="290" s="1"/>
  <c r="O80" i="279"/>
  <c r="BK16" i="290" s="1"/>
  <c r="N80" i="279"/>
  <c r="BK15" i="290" s="1"/>
  <c r="M80" i="279"/>
  <c r="BK14" i="290" s="1"/>
  <c r="L80" i="279"/>
  <c r="BK13" i="290" s="1"/>
  <c r="K80" i="279"/>
  <c r="BK12" i="290" s="1"/>
  <c r="J80" i="279"/>
  <c r="BK11" i="290" s="1"/>
  <c r="I80" i="279"/>
  <c r="BK10" i="290" s="1"/>
  <c r="H80" i="279"/>
  <c r="BK9" i="290" s="1"/>
  <c r="G80" i="279"/>
  <c r="BK8" i="290" s="1"/>
  <c r="F80" i="279"/>
  <c r="BK7" i="290" s="1"/>
  <c r="E80" i="279"/>
  <c r="BK6" i="290" s="1"/>
  <c r="AH72" i="279"/>
  <c r="AG72" i="279"/>
  <c r="AF72" i="279"/>
  <c r="AS33" i="290" s="1"/>
  <c r="AE72" i="279"/>
  <c r="AS32" i="290" s="1"/>
  <c r="AD72" i="279"/>
  <c r="AS31" i="290" s="1"/>
  <c r="AC72" i="279"/>
  <c r="AS30" i="290" s="1"/>
  <c r="AB72" i="279"/>
  <c r="AS29" i="290" s="1"/>
  <c r="AA72" i="279"/>
  <c r="BJ28" i="290" s="1"/>
  <c r="Z72" i="279"/>
  <c r="BJ27" i="290" s="1"/>
  <c r="Y72" i="279"/>
  <c r="BJ26" i="290" s="1"/>
  <c r="X72" i="279"/>
  <c r="BJ25" i="290" s="1"/>
  <c r="W72" i="279"/>
  <c r="BJ24" i="290" s="1"/>
  <c r="V72" i="279"/>
  <c r="BJ23" i="290" s="1"/>
  <c r="U72" i="279"/>
  <c r="BJ22" i="290" s="1"/>
  <c r="T72" i="279"/>
  <c r="BJ21" i="290" s="1"/>
  <c r="S72" i="279"/>
  <c r="BJ20" i="290" s="1"/>
  <c r="R72" i="279"/>
  <c r="BJ19" i="290" s="1"/>
  <c r="Q72" i="279"/>
  <c r="BJ18" i="290" s="1"/>
  <c r="P72" i="279"/>
  <c r="BJ17" i="290" s="1"/>
  <c r="O72" i="279"/>
  <c r="BJ16" i="290" s="1"/>
  <c r="N72" i="279"/>
  <c r="BJ15" i="290" s="1"/>
  <c r="M72" i="279"/>
  <c r="BJ14" i="290" s="1"/>
  <c r="L72" i="279"/>
  <c r="BJ13" i="290" s="1"/>
  <c r="K72" i="279"/>
  <c r="BJ12" i="290" s="1"/>
  <c r="J72" i="279"/>
  <c r="BJ11" i="290" s="1"/>
  <c r="I72" i="279"/>
  <c r="BJ10" i="290" s="1"/>
  <c r="H72" i="279"/>
  <c r="BJ9" i="290" s="1"/>
  <c r="G72" i="279"/>
  <c r="BJ8" i="290" s="1"/>
  <c r="F72" i="279"/>
  <c r="BJ7" i="290" s="1"/>
  <c r="E72" i="279"/>
  <c r="BJ6" i="290" s="1"/>
  <c r="AH64" i="279"/>
  <c r="AG64" i="279"/>
  <c r="AF64" i="279"/>
  <c r="AR33" i="290" s="1"/>
  <c r="AE64" i="279"/>
  <c r="AR32" i="290" s="1"/>
  <c r="AD64" i="279"/>
  <c r="AR31" i="290" s="1"/>
  <c r="AC64" i="279"/>
  <c r="AR30" i="290" s="1"/>
  <c r="AB64" i="279"/>
  <c r="AR29" i="290" s="1"/>
  <c r="AA64" i="279"/>
  <c r="BI28" i="290" s="1"/>
  <c r="Z64" i="279"/>
  <c r="BI27" i="290" s="1"/>
  <c r="Y64" i="279"/>
  <c r="BI26" i="290" s="1"/>
  <c r="X64" i="279"/>
  <c r="BI25" i="290" s="1"/>
  <c r="W64" i="279"/>
  <c r="BI24" i="290" s="1"/>
  <c r="V64" i="279"/>
  <c r="BI23" i="290" s="1"/>
  <c r="U64" i="279"/>
  <c r="BI22" i="290" s="1"/>
  <c r="T64" i="279"/>
  <c r="BI21" i="290" s="1"/>
  <c r="S64" i="279"/>
  <c r="BI20" i="290" s="1"/>
  <c r="R64" i="279"/>
  <c r="BI19" i="290" s="1"/>
  <c r="Q64" i="279"/>
  <c r="BI18" i="290" s="1"/>
  <c r="P64" i="279"/>
  <c r="BI17" i="290" s="1"/>
  <c r="O64" i="279"/>
  <c r="BI16" i="290" s="1"/>
  <c r="N64" i="279"/>
  <c r="BI15" i="290" s="1"/>
  <c r="M64" i="279"/>
  <c r="BI14" i="290" s="1"/>
  <c r="L64" i="279"/>
  <c r="BI13" i="290" s="1"/>
  <c r="K64" i="279"/>
  <c r="BI12" i="290" s="1"/>
  <c r="J64" i="279"/>
  <c r="BI11" i="290" s="1"/>
  <c r="I64" i="279"/>
  <c r="BI10" i="290" s="1"/>
  <c r="H64" i="279"/>
  <c r="BI9" i="290" s="1"/>
  <c r="G64" i="279"/>
  <c r="BI8" i="290" s="1"/>
  <c r="F64" i="279"/>
  <c r="BI7" i="290" s="1"/>
  <c r="E64" i="279"/>
  <c r="BI6" i="290" s="1"/>
  <c r="AH56" i="279"/>
  <c r="AG56" i="279"/>
  <c r="AF56" i="279"/>
  <c r="AQ33" i="290" s="1"/>
  <c r="AE56" i="279"/>
  <c r="AQ32" i="290" s="1"/>
  <c r="AD56" i="279"/>
  <c r="AQ31" i="290" s="1"/>
  <c r="AC56" i="279"/>
  <c r="AQ30" i="290" s="1"/>
  <c r="AB56" i="279"/>
  <c r="AQ29" i="290" s="1"/>
  <c r="AA56" i="279"/>
  <c r="BH28" i="290" s="1"/>
  <c r="Z56" i="279"/>
  <c r="BH27" i="290" s="1"/>
  <c r="Y56" i="279"/>
  <c r="BH26" i="290" s="1"/>
  <c r="X56" i="279"/>
  <c r="BH25" i="290" s="1"/>
  <c r="W56" i="279"/>
  <c r="BH24" i="290" s="1"/>
  <c r="V56" i="279"/>
  <c r="BH23" i="290" s="1"/>
  <c r="U56" i="279"/>
  <c r="BH22" i="290" s="1"/>
  <c r="T56" i="279"/>
  <c r="BH21" i="290" s="1"/>
  <c r="S56" i="279"/>
  <c r="BH20" i="290" s="1"/>
  <c r="R56" i="279"/>
  <c r="BH19" i="290" s="1"/>
  <c r="Q56" i="279"/>
  <c r="BH18" i="290" s="1"/>
  <c r="P56" i="279"/>
  <c r="BH17" i="290" s="1"/>
  <c r="O56" i="279"/>
  <c r="BH16" i="290" s="1"/>
  <c r="N56" i="279"/>
  <c r="BH15" i="290" s="1"/>
  <c r="M56" i="279"/>
  <c r="BH14" i="290" s="1"/>
  <c r="L56" i="279"/>
  <c r="BH13" i="290" s="1"/>
  <c r="K56" i="279"/>
  <c r="BH12" i="290" s="1"/>
  <c r="J56" i="279"/>
  <c r="BH11" i="290" s="1"/>
  <c r="I56" i="279"/>
  <c r="BH10" i="290" s="1"/>
  <c r="H56" i="279"/>
  <c r="BH9" i="290" s="1"/>
  <c r="G56" i="279"/>
  <c r="BH8" i="290" s="1"/>
  <c r="F56" i="279"/>
  <c r="BH7" i="290" s="1"/>
  <c r="E56" i="279"/>
  <c r="BH6" i="290" s="1"/>
  <c r="AH48" i="279"/>
  <c r="AG48" i="279"/>
  <c r="AF48" i="279"/>
  <c r="AP33" i="290" s="1"/>
  <c r="AE48" i="279"/>
  <c r="AP32" i="290" s="1"/>
  <c r="AD48" i="279"/>
  <c r="AP31" i="290" s="1"/>
  <c r="AC48" i="279"/>
  <c r="AP30" i="290" s="1"/>
  <c r="AB48" i="279"/>
  <c r="AP29" i="290" s="1"/>
  <c r="AA48" i="279"/>
  <c r="BG28" i="290" s="1"/>
  <c r="Z48" i="279"/>
  <c r="BG27" i="290" s="1"/>
  <c r="Y48" i="279"/>
  <c r="BG26" i="290" s="1"/>
  <c r="X48" i="279"/>
  <c r="BG25" i="290" s="1"/>
  <c r="W48" i="279"/>
  <c r="BG24" i="290" s="1"/>
  <c r="V48" i="279"/>
  <c r="BG23" i="290" s="1"/>
  <c r="U48" i="279"/>
  <c r="BG22" i="290" s="1"/>
  <c r="T48" i="279"/>
  <c r="BG21" i="290" s="1"/>
  <c r="S48" i="279"/>
  <c r="BG20" i="290" s="1"/>
  <c r="R48" i="279"/>
  <c r="BG19" i="290" s="1"/>
  <c r="Q48" i="279"/>
  <c r="BG18" i="290" s="1"/>
  <c r="P48" i="279"/>
  <c r="BG17" i="290" s="1"/>
  <c r="O48" i="279"/>
  <c r="BG16" i="290" s="1"/>
  <c r="N48" i="279"/>
  <c r="BG15" i="290" s="1"/>
  <c r="M48" i="279"/>
  <c r="BG14" i="290" s="1"/>
  <c r="L48" i="279"/>
  <c r="BG13" i="290" s="1"/>
  <c r="K48" i="279"/>
  <c r="BG12" i="290" s="1"/>
  <c r="J48" i="279"/>
  <c r="BG11" i="290" s="1"/>
  <c r="I48" i="279"/>
  <c r="BG10" i="290" s="1"/>
  <c r="H48" i="279"/>
  <c r="BG9" i="290" s="1"/>
  <c r="G48" i="279"/>
  <c r="BG8" i="290" s="1"/>
  <c r="F48" i="279"/>
  <c r="BG7" i="290" s="1"/>
  <c r="E48" i="279"/>
  <c r="BG6" i="290" s="1"/>
  <c r="AH40" i="279"/>
  <c r="AG40" i="279"/>
  <c r="AF40" i="279"/>
  <c r="AO33" i="290" s="1"/>
  <c r="AE40" i="279"/>
  <c r="AO32" i="290" s="1"/>
  <c r="AD40" i="279"/>
  <c r="AO31" i="290" s="1"/>
  <c r="AC40" i="279"/>
  <c r="AO30" i="290" s="1"/>
  <c r="AB40" i="279"/>
  <c r="AO29" i="290" s="1"/>
  <c r="AA40" i="279"/>
  <c r="BF28" i="290" s="1"/>
  <c r="Z40" i="279"/>
  <c r="BF27" i="290" s="1"/>
  <c r="Y40" i="279"/>
  <c r="BF26" i="290" s="1"/>
  <c r="X40" i="279"/>
  <c r="BF25" i="290" s="1"/>
  <c r="W40" i="279"/>
  <c r="BF24" i="290" s="1"/>
  <c r="V40" i="279"/>
  <c r="BF23" i="290" s="1"/>
  <c r="U40" i="279"/>
  <c r="BF22" i="290" s="1"/>
  <c r="T40" i="279"/>
  <c r="BF21" i="290" s="1"/>
  <c r="S40" i="279"/>
  <c r="BF20" i="290" s="1"/>
  <c r="R40" i="279"/>
  <c r="BF19" i="290" s="1"/>
  <c r="Q40" i="279"/>
  <c r="BF18" i="290" s="1"/>
  <c r="P40" i="279"/>
  <c r="BF17" i="290" s="1"/>
  <c r="O40" i="279"/>
  <c r="BF16" i="290" s="1"/>
  <c r="N40" i="279"/>
  <c r="BF15" i="290" s="1"/>
  <c r="M40" i="279"/>
  <c r="BF14" i="290" s="1"/>
  <c r="L40" i="279"/>
  <c r="BF13" i="290" s="1"/>
  <c r="K40" i="279"/>
  <c r="BF12" i="290" s="1"/>
  <c r="J40" i="279"/>
  <c r="BF11" i="290" s="1"/>
  <c r="I40" i="279"/>
  <c r="BF10" i="290" s="1"/>
  <c r="H40" i="279"/>
  <c r="BF9" i="290" s="1"/>
  <c r="G40" i="279"/>
  <c r="BF8" i="290" s="1"/>
  <c r="F40" i="279"/>
  <c r="BF7" i="290" s="1"/>
  <c r="E40" i="279"/>
  <c r="BF6" i="290" s="1"/>
  <c r="AH31" i="279"/>
  <c r="AG31" i="279"/>
  <c r="AF31" i="279"/>
  <c r="AN33" i="290" s="1"/>
  <c r="AE31" i="279"/>
  <c r="AN32" i="290" s="1"/>
  <c r="AD31" i="279"/>
  <c r="AN31" i="290" s="1"/>
  <c r="AC31" i="279"/>
  <c r="AN30" i="290" s="1"/>
  <c r="AB31" i="279"/>
  <c r="AN29" i="290" s="1"/>
  <c r="AA31" i="279"/>
  <c r="BE28" i="290" s="1"/>
  <c r="Z31" i="279"/>
  <c r="BE27" i="290" s="1"/>
  <c r="Y31" i="279"/>
  <c r="BE26" i="290" s="1"/>
  <c r="X31" i="279"/>
  <c r="BE25" i="290" s="1"/>
  <c r="W31" i="279"/>
  <c r="BE24" i="290" s="1"/>
  <c r="V31" i="279"/>
  <c r="BE23" i="290" s="1"/>
  <c r="U31" i="279"/>
  <c r="BE22" i="290" s="1"/>
  <c r="T31" i="279"/>
  <c r="BE21" i="290" s="1"/>
  <c r="S31" i="279"/>
  <c r="BE20" i="290" s="1"/>
  <c r="R31" i="279"/>
  <c r="BE19" i="290" s="1"/>
  <c r="Q31" i="279"/>
  <c r="BE18" i="290" s="1"/>
  <c r="P31" i="279"/>
  <c r="BE17" i="290" s="1"/>
  <c r="O31" i="279"/>
  <c r="BE16" i="290" s="1"/>
  <c r="N31" i="279"/>
  <c r="BE15" i="290" s="1"/>
  <c r="M31" i="279"/>
  <c r="BE14" i="290" s="1"/>
  <c r="L31" i="279"/>
  <c r="BE13" i="290" s="1"/>
  <c r="K31" i="279"/>
  <c r="BE12" i="290" s="1"/>
  <c r="J31" i="279"/>
  <c r="BE11" i="290" s="1"/>
  <c r="I31" i="279"/>
  <c r="BE10" i="290" s="1"/>
  <c r="H31" i="279"/>
  <c r="BE9" i="290" s="1"/>
  <c r="G31" i="279"/>
  <c r="BE8" i="290" s="1"/>
  <c r="F31" i="279"/>
  <c r="BE7" i="290" s="1"/>
  <c r="E31" i="279"/>
  <c r="BE6" i="290" s="1"/>
  <c r="AH23" i="279"/>
  <c r="AG23" i="279"/>
  <c r="AF23" i="279"/>
  <c r="AM33" i="290" s="1"/>
  <c r="AE23" i="279"/>
  <c r="AM32" i="290" s="1"/>
  <c r="AD23" i="279"/>
  <c r="AM31" i="290" s="1"/>
  <c r="AC23" i="279"/>
  <c r="AM30" i="290" s="1"/>
  <c r="AB23" i="279"/>
  <c r="AM29" i="290" s="1"/>
  <c r="AA23" i="279"/>
  <c r="BD28" i="290" s="1"/>
  <c r="Z23" i="279"/>
  <c r="BD27" i="290" s="1"/>
  <c r="Y23" i="279"/>
  <c r="BD26" i="290" s="1"/>
  <c r="X23" i="279"/>
  <c r="BD25" i="290" s="1"/>
  <c r="W23" i="279"/>
  <c r="BD24" i="290" s="1"/>
  <c r="V23" i="279"/>
  <c r="BD23" i="290" s="1"/>
  <c r="U23" i="279"/>
  <c r="BD22" i="290" s="1"/>
  <c r="T23" i="279"/>
  <c r="BD21" i="290" s="1"/>
  <c r="S23" i="279"/>
  <c r="BD20" i="290" s="1"/>
  <c r="R23" i="279"/>
  <c r="BD19" i="290" s="1"/>
  <c r="Q23" i="279"/>
  <c r="BD18" i="290" s="1"/>
  <c r="P23" i="279"/>
  <c r="BD17" i="290" s="1"/>
  <c r="O23" i="279"/>
  <c r="BD16" i="290" s="1"/>
  <c r="N23" i="279"/>
  <c r="BD15" i="290" s="1"/>
  <c r="M23" i="279"/>
  <c r="BD14" i="290" s="1"/>
  <c r="L23" i="279"/>
  <c r="BD13" i="290" s="1"/>
  <c r="K23" i="279"/>
  <c r="BD12" i="290" s="1"/>
  <c r="J23" i="279"/>
  <c r="BD11" i="290" s="1"/>
  <c r="I23" i="279"/>
  <c r="BD10" i="290" s="1"/>
  <c r="H23" i="279"/>
  <c r="BD9" i="290" s="1"/>
  <c r="G23" i="279"/>
  <c r="BD8" i="290" s="1"/>
  <c r="F23" i="279"/>
  <c r="BD7" i="290" s="1"/>
  <c r="E23" i="279"/>
  <c r="BD6" i="290" s="1"/>
  <c r="AH14" i="279"/>
  <c r="AG14" i="279"/>
  <c r="AF14" i="279"/>
  <c r="AL33" i="290" s="1"/>
  <c r="AE14" i="279"/>
  <c r="AL32" i="290" s="1"/>
  <c r="AD14" i="279"/>
  <c r="AL31" i="290" s="1"/>
  <c r="AC14" i="279"/>
  <c r="AL30" i="290" s="1"/>
  <c r="AB14" i="279"/>
  <c r="AL29" i="290" s="1"/>
  <c r="AA14" i="279"/>
  <c r="BC28" i="290" s="1"/>
  <c r="Z14" i="279"/>
  <c r="BC27" i="290" s="1"/>
  <c r="Y14" i="279"/>
  <c r="BC26" i="290" s="1"/>
  <c r="X14" i="279"/>
  <c r="BC25" i="290" s="1"/>
  <c r="W14" i="279"/>
  <c r="BC24" i="290" s="1"/>
  <c r="V14" i="279"/>
  <c r="BC23" i="290" s="1"/>
  <c r="U14" i="279"/>
  <c r="BC22" i="290" s="1"/>
  <c r="T14" i="279"/>
  <c r="BC21" i="290" s="1"/>
  <c r="S14" i="279"/>
  <c r="BC20" i="290" s="1"/>
  <c r="R14" i="279"/>
  <c r="BC19" i="290" s="1"/>
  <c r="Q14" i="279"/>
  <c r="BC18" i="290" s="1"/>
  <c r="P14" i="279"/>
  <c r="BC17" i="290" s="1"/>
  <c r="O14" i="279"/>
  <c r="BC16" i="290" s="1"/>
  <c r="N14" i="279"/>
  <c r="BC15" i="290" s="1"/>
  <c r="M14" i="279"/>
  <c r="BC14" i="290" s="1"/>
  <c r="L14" i="279"/>
  <c r="BC13" i="290" s="1"/>
  <c r="K14" i="279"/>
  <c r="BC12" i="290" s="1"/>
  <c r="J14" i="279"/>
  <c r="BC11" i="290" s="1"/>
  <c r="I14" i="279"/>
  <c r="BC10" i="290" s="1"/>
  <c r="H14" i="279"/>
  <c r="BC9" i="290" s="1"/>
  <c r="G14" i="279"/>
  <c r="BC8" i="290" s="1"/>
  <c r="F14" i="279"/>
  <c r="BC7" i="290" s="1"/>
  <c r="E14" i="279"/>
  <c r="BC6" i="290" s="1"/>
  <c r="AH6" i="279"/>
  <c r="AG6" i="279"/>
  <c r="AF6" i="279"/>
  <c r="AK33" i="290" s="1"/>
  <c r="AE6" i="279"/>
  <c r="AK32" i="290" s="1"/>
  <c r="AD6" i="279"/>
  <c r="AK31" i="290" s="1"/>
  <c r="AC6" i="279"/>
  <c r="AK30" i="290" s="1"/>
  <c r="AB6" i="279"/>
  <c r="AK29" i="290" s="1"/>
  <c r="AA6" i="279"/>
  <c r="BB28" i="290" s="1"/>
  <c r="Z6" i="279"/>
  <c r="BB27" i="290" s="1"/>
  <c r="Y6" i="279"/>
  <c r="BB26" i="290" s="1"/>
  <c r="X6" i="279"/>
  <c r="BB25" i="290" s="1"/>
  <c r="W6" i="279"/>
  <c r="BB24" i="290" s="1"/>
  <c r="V6" i="279"/>
  <c r="BB23" i="290" s="1"/>
  <c r="U6" i="279"/>
  <c r="BB22" i="290" s="1"/>
  <c r="T6" i="279"/>
  <c r="BB21" i="290" s="1"/>
  <c r="S6" i="279"/>
  <c r="BB20" i="290" s="1"/>
  <c r="R6" i="279"/>
  <c r="BB19" i="290" s="1"/>
  <c r="Q6" i="279"/>
  <c r="BB18" i="290" s="1"/>
  <c r="P6" i="279"/>
  <c r="BB17" i="290" s="1"/>
  <c r="O6" i="279"/>
  <c r="BB16" i="290" s="1"/>
  <c r="N6" i="279"/>
  <c r="BB15" i="290" s="1"/>
  <c r="M6" i="279"/>
  <c r="BB14" i="290" s="1"/>
  <c r="L6" i="279"/>
  <c r="BB13" i="290" s="1"/>
  <c r="K6" i="279"/>
  <c r="BB12" i="290" s="1"/>
  <c r="J6" i="279"/>
  <c r="BB11" i="290" s="1"/>
  <c r="I6" i="279"/>
  <c r="BB10" i="290" s="1"/>
  <c r="H6" i="279"/>
  <c r="BB9" i="290" s="1"/>
  <c r="G6" i="279"/>
  <c r="BB8" i="290" s="1"/>
  <c r="F6" i="279"/>
  <c r="BB7" i="290" s="1"/>
  <c r="E6" i="279"/>
  <c r="BB6" i="290" s="1"/>
  <c r="AH102" i="264"/>
  <c r="AG102" i="264"/>
  <c r="AF102" i="264"/>
  <c r="AF33" i="290" s="1"/>
  <c r="AE102" i="264"/>
  <c r="AF32" i="290" s="1"/>
  <c r="AD102" i="264"/>
  <c r="AF31" i="290" s="1"/>
  <c r="AC102" i="264"/>
  <c r="AF30" i="290" s="1"/>
  <c r="AB102" i="264"/>
  <c r="AF29" i="290" s="1"/>
  <c r="AA102" i="264"/>
  <c r="AF28" i="290" s="1"/>
  <c r="Z102" i="264"/>
  <c r="AF27" i="290" s="1"/>
  <c r="Y102" i="264"/>
  <c r="AF26" i="290" s="1"/>
  <c r="X102" i="264"/>
  <c r="AF25" i="290" s="1"/>
  <c r="W102" i="264"/>
  <c r="AF24" i="290" s="1"/>
  <c r="V102" i="264"/>
  <c r="AF23" i="290" s="1"/>
  <c r="U102" i="264"/>
  <c r="AF22" i="290" s="1"/>
  <c r="T102" i="264"/>
  <c r="AF21" i="290" s="1"/>
  <c r="S102" i="264"/>
  <c r="AF20" i="290" s="1"/>
  <c r="R102" i="264"/>
  <c r="AF19" i="290" s="1"/>
  <c r="Q102" i="264"/>
  <c r="AF18" i="290" s="1"/>
  <c r="P102" i="264"/>
  <c r="AF17" i="290" s="1"/>
  <c r="O102" i="264"/>
  <c r="AF16" i="290" s="1"/>
  <c r="N102" i="264"/>
  <c r="AF15" i="290" s="1"/>
  <c r="M102" i="264"/>
  <c r="AF14" i="290" s="1"/>
  <c r="L102" i="264"/>
  <c r="AF13" i="290" s="1"/>
  <c r="K102" i="264"/>
  <c r="AF12" i="290" s="1"/>
  <c r="J102" i="264"/>
  <c r="AF11" i="290" s="1"/>
  <c r="I102" i="264"/>
  <c r="AF10" i="290" s="1"/>
  <c r="H102" i="264"/>
  <c r="AF9" i="290" s="1"/>
  <c r="G102" i="264"/>
  <c r="AF8" i="290" s="1"/>
  <c r="F102" i="264"/>
  <c r="AF7" i="290" s="1"/>
  <c r="E102" i="264"/>
  <c r="AF6" i="290" s="1"/>
  <c r="AH94" i="264"/>
  <c r="AG94" i="264"/>
  <c r="AF94" i="264"/>
  <c r="AE33" i="290" s="1"/>
  <c r="AE94" i="264"/>
  <c r="AE32" i="290" s="1"/>
  <c r="AD94" i="264"/>
  <c r="AE31" i="290" s="1"/>
  <c r="AC94" i="264"/>
  <c r="AE30" i="290" s="1"/>
  <c r="AB94" i="264"/>
  <c r="AE29" i="290" s="1"/>
  <c r="AA94" i="264"/>
  <c r="AE28" i="290" s="1"/>
  <c r="Z94" i="264"/>
  <c r="AE27" i="290" s="1"/>
  <c r="Y94" i="264"/>
  <c r="AE26" i="290" s="1"/>
  <c r="X94" i="264"/>
  <c r="AE25" i="290" s="1"/>
  <c r="W94" i="264"/>
  <c r="AE24" i="290" s="1"/>
  <c r="V94" i="264"/>
  <c r="AE23" i="290" s="1"/>
  <c r="U94" i="264"/>
  <c r="AE22" i="290" s="1"/>
  <c r="T94" i="264"/>
  <c r="AE21" i="290" s="1"/>
  <c r="S94" i="264"/>
  <c r="AE20" i="290" s="1"/>
  <c r="R94" i="264"/>
  <c r="AE19" i="290" s="1"/>
  <c r="Q94" i="264"/>
  <c r="AE18" i="290" s="1"/>
  <c r="P94" i="264"/>
  <c r="AE17" i="290" s="1"/>
  <c r="O94" i="264"/>
  <c r="AE16" i="290" s="1"/>
  <c r="N94" i="264"/>
  <c r="AE15" i="290" s="1"/>
  <c r="M94" i="264"/>
  <c r="AE14" i="290" s="1"/>
  <c r="L94" i="264"/>
  <c r="AE13" i="290" s="1"/>
  <c r="K94" i="264"/>
  <c r="AE12" i="290" s="1"/>
  <c r="J94" i="264"/>
  <c r="AE11" i="290" s="1"/>
  <c r="I94" i="264"/>
  <c r="AE10" i="290" s="1"/>
  <c r="H94" i="264"/>
  <c r="AE9" i="290" s="1"/>
  <c r="G94" i="264"/>
  <c r="AE8" i="290" s="1"/>
  <c r="F94" i="264"/>
  <c r="AE7" i="290" s="1"/>
  <c r="E94" i="264"/>
  <c r="AE6" i="290" s="1"/>
  <c r="AH86" i="264"/>
  <c r="AG86" i="264"/>
  <c r="AF86" i="264"/>
  <c r="AD33" i="290" s="1"/>
  <c r="AE86" i="264"/>
  <c r="AD32" i="290" s="1"/>
  <c r="AD86" i="264"/>
  <c r="AD31" i="290" s="1"/>
  <c r="AC86" i="264"/>
  <c r="AD30" i="290" s="1"/>
  <c r="AB86" i="264"/>
  <c r="AD29" i="290" s="1"/>
  <c r="AD28" i="290"/>
  <c r="AD27" i="290"/>
  <c r="AD26" i="290"/>
  <c r="AD25" i="290"/>
  <c r="AD24" i="290"/>
  <c r="AD23" i="290"/>
  <c r="AD22" i="290"/>
  <c r="AD21" i="290"/>
  <c r="AD20" i="290"/>
  <c r="AD19" i="290"/>
  <c r="AD18" i="290"/>
  <c r="AD17" i="290"/>
  <c r="AD16" i="290"/>
  <c r="AD15" i="290"/>
  <c r="AD14" i="290"/>
  <c r="AD13" i="290"/>
  <c r="AD12" i="290"/>
  <c r="AD11" i="290"/>
  <c r="AD10" i="290"/>
  <c r="AD9" i="290"/>
  <c r="AD8" i="290"/>
  <c r="AD7" i="290"/>
  <c r="AD6" i="290"/>
  <c r="AH78" i="264"/>
  <c r="AG78" i="264"/>
  <c r="AF78" i="264"/>
  <c r="AC33" i="290" s="1"/>
  <c r="AE78" i="264"/>
  <c r="AC32" i="290" s="1"/>
  <c r="AD78" i="264"/>
  <c r="AC31" i="290" s="1"/>
  <c r="AC78" i="264"/>
  <c r="AC30" i="290" s="1"/>
  <c r="AB78" i="264"/>
  <c r="AC29" i="290" s="1"/>
  <c r="AC28" i="290"/>
  <c r="AC27" i="290"/>
  <c r="AC26" i="290"/>
  <c r="AC25" i="290"/>
  <c r="AC24" i="290"/>
  <c r="AC23" i="290"/>
  <c r="AC22" i="290"/>
  <c r="AC21" i="290"/>
  <c r="AC20" i="290"/>
  <c r="AC19" i="290"/>
  <c r="AC18" i="290"/>
  <c r="AC17" i="290"/>
  <c r="AC16" i="290"/>
  <c r="AC15" i="290"/>
  <c r="AC14" i="290"/>
  <c r="AC13" i="290"/>
  <c r="AC12" i="290"/>
  <c r="AC11" i="290"/>
  <c r="AC10" i="290"/>
  <c r="AC9" i="290"/>
  <c r="AC8" i="290"/>
  <c r="AC7" i="290"/>
  <c r="AC6" i="290"/>
  <c r="AH70" i="264"/>
  <c r="AG70" i="264"/>
  <c r="AF70" i="264"/>
  <c r="AB33" i="290" s="1"/>
  <c r="AE70" i="264"/>
  <c r="AB32" i="290" s="1"/>
  <c r="AD70" i="264"/>
  <c r="AB31" i="290" s="1"/>
  <c r="AC70" i="264"/>
  <c r="AB30" i="290" s="1"/>
  <c r="AB70" i="264"/>
  <c r="AB29" i="290" s="1"/>
  <c r="AB28" i="290"/>
  <c r="AB27" i="290"/>
  <c r="AB26" i="290"/>
  <c r="AB25" i="290"/>
  <c r="AB24" i="290"/>
  <c r="AB23" i="290"/>
  <c r="AB22" i="290"/>
  <c r="AB21" i="290"/>
  <c r="AB20" i="290"/>
  <c r="AB19" i="290"/>
  <c r="AB18" i="290"/>
  <c r="AB17" i="290"/>
  <c r="AB16" i="290"/>
  <c r="AB15" i="290"/>
  <c r="AB14" i="290"/>
  <c r="AB13" i="290"/>
  <c r="AB12" i="290"/>
  <c r="AB11" i="290"/>
  <c r="AB10" i="290"/>
  <c r="AB9" i="290"/>
  <c r="AB8" i="290"/>
  <c r="AB7" i="290"/>
  <c r="AB6" i="290"/>
  <c r="AH62" i="264"/>
  <c r="AG62" i="264"/>
  <c r="AF62" i="264"/>
  <c r="AA33" i="290" s="1"/>
  <c r="AE62" i="264"/>
  <c r="AA32" i="290" s="1"/>
  <c r="AD62" i="264"/>
  <c r="AA31" i="290" s="1"/>
  <c r="AC62" i="264"/>
  <c r="AA30" i="290" s="1"/>
  <c r="AB62" i="264"/>
  <c r="AA29" i="290" s="1"/>
  <c r="AA28" i="290"/>
  <c r="AA27" i="290"/>
  <c r="AA26" i="290"/>
  <c r="AA25" i="290"/>
  <c r="AA24" i="290"/>
  <c r="AA23" i="290"/>
  <c r="AA22" i="290"/>
  <c r="AA21" i="290"/>
  <c r="AA20" i="290"/>
  <c r="AA19" i="290"/>
  <c r="AA18" i="290"/>
  <c r="AA17" i="290"/>
  <c r="AA16" i="290"/>
  <c r="AA15" i="290"/>
  <c r="AA14" i="290"/>
  <c r="AA13" i="290"/>
  <c r="AA12" i="290"/>
  <c r="AA11" i="290"/>
  <c r="AA10" i="290"/>
  <c r="AA9" i="290"/>
  <c r="AA8" i="290"/>
  <c r="AA7" i="290"/>
  <c r="AA6" i="290"/>
  <c r="AH54" i="264"/>
  <c r="AG54" i="264"/>
  <c r="AF54" i="264"/>
  <c r="Z33" i="290" s="1"/>
  <c r="AE54" i="264"/>
  <c r="Z32" i="290" s="1"/>
  <c r="AD54" i="264"/>
  <c r="Z31" i="290" s="1"/>
  <c r="AC54" i="264"/>
  <c r="Z30" i="290" s="1"/>
  <c r="AB54" i="264"/>
  <c r="Z29" i="290" s="1"/>
  <c r="Z28" i="290"/>
  <c r="Z27" i="290"/>
  <c r="Z26" i="290"/>
  <c r="Z25" i="290"/>
  <c r="Z24" i="290"/>
  <c r="Z23" i="290"/>
  <c r="Z22" i="290"/>
  <c r="Z21" i="290"/>
  <c r="Z20" i="290"/>
  <c r="Z19" i="290"/>
  <c r="Z18" i="290"/>
  <c r="Z17" i="290"/>
  <c r="Z16" i="290"/>
  <c r="Z15" i="290"/>
  <c r="Z14" i="290"/>
  <c r="Z13" i="290"/>
  <c r="Z12" i="290"/>
  <c r="Z11" i="290"/>
  <c r="Z10" i="290"/>
  <c r="Z9" i="290"/>
  <c r="Z8" i="290"/>
  <c r="Z7" i="290"/>
  <c r="Z6" i="290"/>
  <c r="AH46" i="264"/>
  <c r="AG46" i="264"/>
  <c r="AF46" i="264"/>
  <c r="Y33" i="290" s="1"/>
  <c r="AE46" i="264"/>
  <c r="Y32" i="290" s="1"/>
  <c r="AD46" i="264"/>
  <c r="Y31" i="290" s="1"/>
  <c r="AC46" i="264"/>
  <c r="Y30" i="290" s="1"/>
  <c r="AB46" i="264"/>
  <c r="Y29" i="290" s="1"/>
  <c r="Y28" i="290"/>
  <c r="Y27" i="290"/>
  <c r="Y26" i="290"/>
  <c r="Y25" i="290"/>
  <c r="Y24" i="290"/>
  <c r="Y23" i="290"/>
  <c r="Y22" i="290"/>
  <c r="Y21" i="290"/>
  <c r="Y20" i="290"/>
  <c r="Y19" i="290"/>
  <c r="Y18" i="290"/>
  <c r="Y17" i="290"/>
  <c r="Y16" i="290"/>
  <c r="Y15" i="290"/>
  <c r="Y14" i="290"/>
  <c r="Y13" i="290"/>
  <c r="Y12" i="290"/>
  <c r="Y11" i="290"/>
  <c r="Y10" i="290"/>
  <c r="Y9" i="290"/>
  <c r="Y8" i="290"/>
  <c r="Y7" i="290"/>
  <c r="Y6" i="290"/>
  <c r="AH38" i="264"/>
  <c r="AG38" i="264"/>
  <c r="AF38" i="264"/>
  <c r="X33" i="290" s="1"/>
  <c r="AE38" i="264"/>
  <c r="X32" i="290" s="1"/>
  <c r="AD38" i="264"/>
  <c r="X31" i="290" s="1"/>
  <c r="AC38" i="264"/>
  <c r="X30" i="290" s="1"/>
  <c r="AB38" i="264"/>
  <c r="X29" i="290" s="1"/>
  <c r="X28" i="290"/>
  <c r="X27" i="290"/>
  <c r="X26" i="290"/>
  <c r="X25" i="290"/>
  <c r="X24" i="290"/>
  <c r="X23" i="290"/>
  <c r="X22" i="290"/>
  <c r="X21" i="290"/>
  <c r="X20" i="290"/>
  <c r="X19" i="290"/>
  <c r="X18" i="290"/>
  <c r="X17" i="290"/>
  <c r="X16" i="290"/>
  <c r="X15" i="290"/>
  <c r="X14" i="290"/>
  <c r="X13" i="290"/>
  <c r="X12" i="290"/>
  <c r="X11" i="290"/>
  <c r="X10" i="290"/>
  <c r="X9" i="290"/>
  <c r="X8" i="290"/>
  <c r="X7" i="290"/>
  <c r="X6" i="290"/>
  <c r="AH30" i="264"/>
  <c r="AG30" i="264"/>
  <c r="AF30" i="264"/>
  <c r="W33" i="290" s="1"/>
  <c r="AE30" i="264"/>
  <c r="W32" i="290" s="1"/>
  <c r="AD30" i="264"/>
  <c r="W31" i="290" s="1"/>
  <c r="AC30" i="264"/>
  <c r="W30" i="290" s="1"/>
  <c r="AB30" i="264"/>
  <c r="W29" i="290" s="1"/>
  <c r="W28" i="290"/>
  <c r="W27" i="290"/>
  <c r="W26" i="290"/>
  <c r="W25" i="290"/>
  <c r="W24" i="290"/>
  <c r="W23" i="290"/>
  <c r="W22" i="290"/>
  <c r="W21" i="290"/>
  <c r="W20" i="290"/>
  <c r="W19" i="290"/>
  <c r="W18" i="290"/>
  <c r="W17" i="290"/>
  <c r="W16" i="290"/>
  <c r="W15" i="290"/>
  <c r="W14" i="290"/>
  <c r="W13" i="290"/>
  <c r="W12" i="290"/>
  <c r="W11" i="290"/>
  <c r="W10" i="290"/>
  <c r="W9" i="290"/>
  <c r="W8" i="290"/>
  <c r="W7" i="290"/>
  <c r="W6" i="290"/>
  <c r="AH22" i="264"/>
  <c r="AG22" i="264"/>
  <c r="AF22" i="264"/>
  <c r="V33" i="290" s="1"/>
  <c r="AE22" i="264"/>
  <c r="V32" i="290" s="1"/>
  <c r="AD22" i="264"/>
  <c r="V31" i="290" s="1"/>
  <c r="AC22" i="264"/>
  <c r="V30" i="290" s="1"/>
  <c r="AB22" i="264"/>
  <c r="V29" i="290" s="1"/>
  <c r="V28" i="290"/>
  <c r="V27" i="290"/>
  <c r="V26" i="290"/>
  <c r="V25" i="290"/>
  <c r="V24" i="290"/>
  <c r="V23" i="290"/>
  <c r="V22" i="290"/>
  <c r="V21" i="290"/>
  <c r="V20" i="290"/>
  <c r="V19" i="290"/>
  <c r="V18" i="290"/>
  <c r="V17" i="290"/>
  <c r="V16" i="290"/>
  <c r="V15" i="290"/>
  <c r="V14" i="290"/>
  <c r="V13" i="290"/>
  <c r="V12" i="290"/>
  <c r="V11" i="290"/>
  <c r="V10" i="290"/>
  <c r="V9" i="290"/>
  <c r="V8" i="290"/>
  <c r="V7" i="290"/>
  <c r="V6" i="290"/>
  <c r="AH14" i="264"/>
  <c r="AG14" i="264"/>
  <c r="AF14" i="264"/>
  <c r="U33" i="290" s="1"/>
  <c r="AE14" i="264"/>
  <c r="U32" i="290" s="1"/>
  <c r="AD14" i="264"/>
  <c r="U31" i="290" s="1"/>
  <c r="AC14" i="264"/>
  <c r="U30" i="290" s="1"/>
  <c r="AB14" i="264"/>
  <c r="U29" i="290" s="1"/>
  <c r="U28" i="290"/>
  <c r="U27" i="290"/>
  <c r="U26" i="290"/>
  <c r="U25" i="290"/>
  <c r="U24" i="290"/>
  <c r="U23" i="290"/>
  <c r="U22" i="290"/>
  <c r="U21" i="290"/>
  <c r="U20" i="290"/>
  <c r="U19" i="290"/>
  <c r="U18" i="290"/>
  <c r="U17" i="290"/>
  <c r="U16" i="290"/>
  <c r="U15" i="290"/>
  <c r="U14" i="290"/>
  <c r="U13" i="290"/>
  <c r="U12" i="290"/>
  <c r="U11" i="290"/>
  <c r="U10" i="290"/>
  <c r="U9" i="290"/>
  <c r="U8" i="290"/>
  <c r="U7" i="290"/>
  <c r="U6" i="290"/>
  <c r="AH6" i="264"/>
  <c r="AG6" i="264"/>
  <c r="AF6" i="264"/>
  <c r="T33" i="290" s="1"/>
  <c r="AE6" i="264"/>
  <c r="T32" i="290" s="1"/>
  <c r="AD6" i="264"/>
  <c r="T31" i="290" s="1"/>
  <c r="AC6" i="264"/>
  <c r="T30" i="290" s="1"/>
  <c r="AB6" i="264"/>
  <c r="T29" i="290" s="1"/>
  <c r="T28" i="290"/>
  <c r="T27" i="290"/>
  <c r="T26" i="290"/>
  <c r="T25" i="290"/>
  <c r="T24" i="290"/>
  <c r="T23" i="290"/>
  <c r="T22" i="290"/>
  <c r="T21" i="290"/>
  <c r="T20" i="290"/>
  <c r="T19" i="290"/>
  <c r="T18" i="290"/>
  <c r="T17" i="290"/>
  <c r="T16" i="290"/>
  <c r="T15" i="290"/>
  <c r="T14" i="290"/>
  <c r="T13" i="290"/>
  <c r="T12" i="290"/>
  <c r="T11" i="290"/>
  <c r="T10" i="290"/>
  <c r="T9" i="290"/>
  <c r="T8" i="290"/>
  <c r="T7" i="290"/>
  <c r="T6" i="290"/>
  <c r="XFD6" i="264"/>
  <c r="XFC6" i="264"/>
  <c r="XFB6" i="264"/>
  <c r="XFA6" i="264"/>
  <c r="XEZ6" i="264"/>
  <c r="XEY6" i="264"/>
  <c r="XEX6" i="264"/>
  <c r="XEW6" i="264"/>
  <c r="XEV6" i="264"/>
  <c r="XEU6" i="264"/>
  <c r="XET6" i="264"/>
  <c r="XES6" i="264"/>
  <c r="XER6" i="264"/>
  <c r="XEQ6" i="264"/>
  <c r="XEP6" i="264"/>
  <c r="XEO6" i="264"/>
  <c r="XEN6" i="264"/>
  <c r="XEM6" i="264"/>
  <c r="XEL6" i="264"/>
  <c r="XEK6" i="264"/>
  <c r="XEJ6" i="264"/>
  <c r="XEI6" i="264"/>
  <c r="XEH6" i="264"/>
  <c r="XEG6" i="264"/>
  <c r="XEF6" i="264"/>
  <c r="XEE6" i="264"/>
  <c r="XED6" i="264"/>
  <c r="XEC6" i="264"/>
  <c r="XEB6" i="264"/>
  <c r="XEA6" i="264"/>
  <c r="XDZ6" i="264"/>
  <c r="XDY6" i="264"/>
  <c r="XDX6" i="264"/>
  <c r="XDW6" i="264"/>
  <c r="XDV6" i="264"/>
  <c r="XDU6" i="264"/>
  <c r="XDT6" i="264"/>
  <c r="XDS6" i="264"/>
  <c r="XDR6" i="264"/>
  <c r="XDQ6" i="264"/>
  <c r="XDP6" i="264"/>
  <c r="XDO6" i="264"/>
  <c r="XDN6" i="264"/>
  <c r="XDM6" i="264"/>
  <c r="XDL6" i="264"/>
  <c r="XDK6" i="264"/>
  <c r="XDJ6" i="264"/>
  <c r="XDI6" i="264"/>
  <c r="XDH6" i="264"/>
  <c r="XDG6" i="264"/>
  <c r="XDF6" i="264"/>
  <c r="XDE6" i="264"/>
  <c r="XDD6" i="264"/>
  <c r="XDC6" i="264"/>
  <c r="XDB6" i="264"/>
  <c r="XDA6" i="264"/>
  <c r="XCZ6" i="264"/>
  <c r="XCY6" i="264"/>
  <c r="XCX6" i="264"/>
  <c r="XCW6" i="264"/>
  <c r="XCV6" i="264"/>
  <c r="XCU6" i="264"/>
  <c r="XCT6" i="264"/>
  <c r="XCS6" i="264"/>
  <c r="XCR6" i="264"/>
  <c r="XCQ6" i="264"/>
  <c r="XCP6" i="264"/>
  <c r="XCO6" i="264"/>
  <c r="XCN6" i="264"/>
  <c r="XCM6" i="264"/>
  <c r="XCL6" i="264"/>
  <c r="XCK6" i="264"/>
  <c r="XCJ6" i="264"/>
  <c r="XCI6" i="264"/>
  <c r="XCH6" i="264"/>
  <c r="XCG6" i="264"/>
  <c r="XCF6" i="264"/>
  <c r="XCE6" i="264"/>
  <c r="XCD6" i="264"/>
  <c r="XCC6" i="264"/>
  <c r="XCB6" i="264"/>
  <c r="XCA6" i="264"/>
  <c r="XBZ6" i="264"/>
  <c r="XBY6" i="264"/>
  <c r="XBX6" i="264"/>
  <c r="XBW6" i="264"/>
  <c r="XBV6" i="264"/>
  <c r="XBU6" i="264"/>
  <c r="XBT6" i="264"/>
  <c r="XBS6" i="264"/>
  <c r="XBR6" i="264"/>
  <c r="XBQ6" i="264"/>
  <c r="XBP6" i="264"/>
  <c r="XBO6" i="264"/>
  <c r="XBN6" i="264"/>
  <c r="XBM6" i="264"/>
  <c r="XBL6" i="264"/>
  <c r="XBK6" i="264"/>
  <c r="XBJ6" i="264"/>
  <c r="XBI6" i="264"/>
  <c r="XBH6" i="264"/>
  <c r="XBG6" i="264"/>
  <c r="XBF6" i="264"/>
  <c r="XBE6" i="264"/>
  <c r="XBD6" i="264"/>
  <c r="XBC6" i="264"/>
  <c r="XBB6" i="264"/>
  <c r="XBA6" i="264"/>
  <c r="XAZ6" i="264"/>
  <c r="XAY6" i="264"/>
  <c r="XAX6" i="264"/>
  <c r="XAW6" i="264"/>
  <c r="XAV6" i="264"/>
  <c r="XAU6" i="264"/>
  <c r="XAT6" i="264"/>
  <c r="XAS6" i="264"/>
  <c r="XAR6" i="264"/>
  <c r="XAQ6" i="264"/>
  <c r="XAP6" i="264"/>
  <c r="XAO6" i="264"/>
  <c r="XAN6" i="264"/>
  <c r="XAM6" i="264"/>
  <c r="XAL6" i="264"/>
  <c r="XAK6" i="264"/>
  <c r="XAJ6" i="264"/>
  <c r="XAI6" i="264"/>
  <c r="XAH6" i="264"/>
  <c r="XAG6" i="264"/>
  <c r="XAF6" i="264"/>
  <c r="XAE6" i="264"/>
  <c r="XAD6" i="264"/>
  <c r="XAC6" i="264"/>
  <c r="XAB6" i="264"/>
  <c r="XAA6" i="264"/>
  <c r="WZZ6" i="264"/>
  <c r="WZY6" i="264"/>
  <c r="WZX6" i="264"/>
  <c r="WZW6" i="264"/>
  <c r="WZV6" i="264"/>
  <c r="WZU6" i="264"/>
  <c r="WZT6" i="264"/>
  <c r="WZS6" i="264"/>
  <c r="WZR6" i="264"/>
  <c r="WZQ6" i="264"/>
  <c r="WZP6" i="264"/>
  <c r="WZO6" i="264"/>
  <c r="WZN6" i="264"/>
  <c r="WZM6" i="264"/>
  <c r="WZL6" i="264"/>
  <c r="WZK6" i="264"/>
  <c r="WZJ6" i="264"/>
  <c r="WZI6" i="264"/>
  <c r="WZH6" i="264"/>
  <c r="WZG6" i="264"/>
  <c r="WZF6" i="264"/>
  <c r="WZE6" i="264"/>
  <c r="WZD6" i="264"/>
  <c r="WZC6" i="264"/>
  <c r="WZB6" i="264"/>
  <c r="WZA6" i="264"/>
  <c r="WYZ6" i="264"/>
  <c r="WYY6" i="264"/>
  <c r="WYX6" i="264"/>
  <c r="WYW6" i="264"/>
  <c r="WYV6" i="264"/>
  <c r="WYU6" i="264"/>
  <c r="WYT6" i="264"/>
  <c r="WYS6" i="264"/>
  <c r="WYR6" i="264"/>
  <c r="WYQ6" i="264"/>
  <c r="WYP6" i="264"/>
  <c r="WYO6" i="264"/>
  <c r="WYN6" i="264"/>
  <c r="WYM6" i="264"/>
  <c r="WYL6" i="264"/>
  <c r="WYK6" i="264"/>
  <c r="WYJ6" i="264"/>
  <c r="WYI6" i="264"/>
  <c r="WYH6" i="264"/>
  <c r="WYG6" i="264"/>
  <c r="WYF6" i="264"/>
  <c r="WYE6" i="264"/>
  <c r="WYD6" i="264"/>
  <c r="WYC6" i="264"/>
  <c r="WYB6" i="264"/>
  <c r="WYA6" i="264"/>
  <c r="WXZ6" i="264"/>
  <c r="WXY6" i="264"/>
  <c r="WXX6" i="264"/>
  <c r="WXW6" i="264"/>
  <c r="WXV6" i="264"/>
  <c r="WXU6" i="264"/>
  <c r="WXT6" i="264"/>
  <c r="WXS6" i="264"/>
  <c r="WXR6" i="264"/>
  <c r="WXQ6" i="264"/>
  <c r="WXP6" i="264"/>
  <c r="WXO6" i="264"/>
  <c r="WXN6" i="264"/>
  <c r="WXM6" i="264"/>
  <c r="WXL6" i="264"/>
  <c r="WXK6" i="264"/>
  <c r="WXJ6" i="264"/>
  <c r="WXI6" i="264"/>
  <c r="WXH6" i="264"/>
  <c r="WXG6" i="264"/>
  <c r="WXF6" i="264"/>
  <c r="WXE6" i="264"/>
  <c r="WXD6" i="264"/>
  <c r="WXC6" i="264"/>
  <c r="WXB6" i="264"/>
  <c r="WXA6" i="264"/>
  <c r="WWZ6" i="264"/>
  <c r="WWY6" i="264"/>
  <c r="WWX6" i="264"/>
  <c r="WWW6" i="264"/>
  <c r="WWV6" i="264"/>
  <c r="WWU6" i="264"/>
  <c r="WWT6" i="264"/>
  <c r="WWS6" i="264"/>
  <c r="WWR6" i="264"/>
  <c r="WWQ6" i="264"/>
  <c r="WWP6" i="264"/>
  <c r="WWO6" i="264"/>
  <c r="WWN6" i="264"/>
  <c r="WWM6" i="264"/>
  <c r="WWL6" i="264"/>
  <c r="WWK6" i="264"/>
  <c r="WWJ6" i="264"/>
  <c r="WWI6" i="264"/>
  <c r="WWH6" i="264"/>
  <c r="WWG6" i="264"/>
  <c r="WWF6" i="264"/>
  <c r="WWE6" i="264"/>
  <c r="WWD6" i="264"/>
  <c r="WWC6" i="264"/>
  <c r="WWB6" i="264"/>
  <c r="WWA6" i="264"/>
  <c r="WVZ6" i="264"/>
  <c r="WVY6" i="264"/>
  <c r="WVX6" i="264"/>
  <c r="WVW6" i="264"/>
  <c r="WVV6" i="264"/>
  <c r="WVU6" i="264"/>
  <c r="WVT6" i="264"/>
  <c r="WVS6" i="264"/>
  <c r="WVR6" i="264"/>
  <c r="WVQ6" i="264"/>
  <c r="WVP6" i="264"/>
  <c r="WVO6" i="264"/>
  <c r="WVN6" i="264"/>
  <c r="WVM6" i="264"/>
  <c r="WVL6" i="264"/>
  <c r="WVK6" i="264"/>
  <c r="WVJ6" i="264"/>
  <c r="WVI6" i="264"/>
  <c r="WVH6" i="264"/>
  <c r="WVG6" i="264"/>
  <c r="WVF6" i="264"/>
  <c r="WVE6" i="264"/>
  <c r="WVD6" i="264"/>
  <c r="WVC6" i="264"/>
  <c r="WVB6" i="264"/>
  <c r="WVA6" i="264"/>
  <c r="WUZ6" i="264"/>
  <c r="WUY6" i="264"/>
  <c r="WUX6" i="264"/>
  <c r="WUW6" i="264"/>
  <c r="WUV6" i="264"/>
  <c r="WUU6" i="264"/>
  <c r="WUT6" i="264"/>
  <c r="WUS6" i="264"/>
  <c r="WUR6" i="264"/>
  <c r="WUQ6" i="264"/>
  <c r="WUP6" i="264"/>
  <c r="WUO6" i="264"/>
  <c r="WUN6" i="264"/>
  <c r="WUM6" i="264"/>
  <c r="WUL6" i="264"/>
  <c r="WUK6" i="264"/>
  <c r="WUJ6" i="264"/>
  <c r="WUI6" i="264"/>
  <c r="WUH6" i="264"/>
  <c r="WUG6" i="264"/>
  <c r="WUF6" i="264"/>
  <c r="WUE6" i="264"/>
  <c r="WUD6" i="264"/>
  <c r="WUC6" i="264"/>
  <c r="WUB6" i="264"/>
  <c r="WUA6" i="264"/>
  <c r="WTZ6" i="264"/>
  <c r="WTY6" i="264"/>
  <c r="WTX6" i="264"/>
  <c r="WTW6" i="264"/>
  <c r="WTV6" i="264"/>
  <c r="WTU6" i="264"/>
  <c r="WTT6" i="264"/>
  <c r="WTS6" i="264"/>
  <c r="WTR6" i="264"/>
  <c r="WTQ6" i="264"/>
  <c r="WTP6" i="264"/>
  <c r="WTO6" i="264"/>
  <c r="WTN6" i="264"/>
  <c r="WTM6" i="264"/>
  <c r="WTL6" i="264"/>
  <c r="WTK6" i="264"/>
  <c r="WTJ6" i="264"/>
  <c r="WTI6" i="264"/>
  <c r="WTH6" i="264"/>
  <c r="WTG6" i="264"/>
  <c r="WTF6" i="264"/>
  <c r="WTE6" i="264"/>
  <c r="WTD6" i="264"/>
  <c r="WTC6" i="264"/>
  <c r="WTB6" i="264"/>
  <c r="WTA6" i="264"/>
  <c r="WSZ6" i="264"/>
  <c r="WSY6" i="264"/>
  <c r="WSX6" i="264"/>
  <c r="WSW6" i="264"/>
  <c r="WSV6" i="264"/>
  <c r="WSU6" i="264"/>
  <c r="WST6" i="264"/>
  <c r="WSS6" i="264"/>
  <c r="WSR6" i="264"/>
  <c r="WSQ6" i="264"/>
  <c r="WSP6" i="264"/>
  <c r="WSO6" i="264"/>
  <c r="WSN6" i="264"/>
  <c r="WSM6" i="264"/>
  <c r="WSL6" i="264"/>
  <c r="WSK6" i="264"/>
  <c r="WSJ6" i="264"/>
  <c r="WSI6" i="264"/>
  <c r="WSH6" i="264"/>
  <c r="WSG6" i="264"/>
  <c r="WSF6" i="264"/>
  <c r="WSE6" i="264"/>
  <c r="WSD6" i="264"/>
  <c r="WSC6" i="264"/>
  <c r="WSB6" i="264"/>
  <c r="WSA6" i="264"/>
  <c r="WRZ6" i="264"/>
  <c r="WRY6" i="264"/>
  <c r="WRX6" i="264"/>
  <c r="WRW6" i="264"/>
  <c r="WRV6" i="264"/>
  <c r="WRU6" i="264"/>
  <c r="WRT6" i="264"/>
  <c r="WRS6" i="264"/>
  <c r="WRR6" i="264"/>
  <c r="WRQ6" i="264"/>
  <c r="WRP6" i="264"/>
  <c r="WRO6" i="264"/>
  <c r="WRN6" i="264"/>
  <c r="WRM6" i="264"/>
  <c r="WRL6" i="264"/>
  <c r="WRK6" i="264"/>
  <c r="WRJ6" i="264"/>
  <c r="WRI6" i="264"/>
  <c r="WRH6" i="264"/>
  <c r="WRG6" i="264"/>
  <c r="WRF6" i="264"/>
  <c r="WRE6" i="264"/>
  <c r="WRD6" i="264"/>
  <c r="WRC6" i="264"/>
  <c r="WRB6" i="264"/>
  <c r="WRA6" i="264"/>
  <c r="WQZ6" i="264"/>
  <c r="WQY6" i="264"/>
  <c r="WQX6" i="264"/>
  <c r="WQW6" i="264"/>
  <c r="WQV6" i="264"/>
  <c r="WQU6" i="264"/>
  <c r="WQT6" i="264"/>
  <c r="WQS6" i="264"/>
  <c r="WQR6" i="264"/>
  <c r="WQQ6" i="264"/>
  <c r="WQP6" i="264"/>
  <c r="WQO6" i="264"/>
  <c r="WQN6" i="264"/>
  <c r="WQM6" i="264"/>
  <c r="WQL6" i="264"/>
  <c r="WQK6" i="264"/>
  <c r="WQJ6" i="264"/>
  <c r="WQI6" i="264"/>
  <c r="WQH6" i="264"/>
  <c r="WQG6" i="264"/>
  <c r="WQF6" i="264"/>
  <c r="WQE6" i="264"/>
  <c r="WQD6" i="264"/>
  <c r="WQC6" i="264"/>
  <c r="WQB6" i="264"/>
  <c r="WQA6" i="264"/>
  <c r="WPZ6" i="264"/>
  <c r="WPY6" i="264"/>
  <c r="WPX6" i="264"/>
  <c r="WPW6" i="264"/>
  <c r="WPV6" i="264"/>
  <c r="WPU6" i="264"/>
  <c r="WPT6" i="264"/>
  <c r="WPS6" i="264"/>
  <c r="WPR6" i="264"/>
  <c r="WPQ6" i="264"/>
  <c r="WPP6" i="264"/>
  <c r="WPO6" i="264"/>
  <c r="WPN6" i="264"/>
  <c r="WPM6" i="264"/>
  <c r="WPL6" i="264"/>
  <c r="WPK6" i="264"/>
  <c r="WPJ6" i="264"/>
  <c r="WPI6" i="264"/>
  <c r="WPH6" i="264"/>
  <c r="WPG6" i="264"/>
  <c r="WPF6" i="264"/>
  <c r="WPE6" i="264"/>
  <c r="WPD6" i="264"/>
  <c r="WPC6" i="264"/>
  <c r="WPB6" i="264"/>
  <c r="WPA6" i="264"/>
  <c r="WOZ6" i="264"/>
  <c r="WOY6" i="264"/>
  <c r="WOX6" i="264"/>
  <c r="WOW6" i="264"/>
  <c r="WOV6" i="264"/>
  <c r="WOU6" i="264"/>
  <c r="WOT6" i="264"/>
  <c r="WOS6" i="264"/>
  <c r="WOR6" i="264"/>
  <c r="WOQ6" i="264"/>
  <c r="WOP6" i="264"/>
  <c r="WOO6" i="264"/>
  <c r="WON6" i="264"/>
  <c r="WOM6" i="264"/>
  <c r="WOL6" i="264"/>
  <c r="WOK6" i="264"/>
  <c r="WOJ6" i="264"/>
  <c r="WOI6" i="264"/>
  <c r="WOH6" i="264"/>
  <c r="WOG6" i="264"/>
  <c r="WOF6" i="264"/>
  <c r="WOE6" i="264"/>
  <c r="WOD6" i="264"/>
  <c r="WOC6" i="264"/>
  <c r="WOB6" i="264"/>
  <c r="WOA6" i="264"/>
  <c r="WNZ6" i="264"/>
  <c r="WNY6" i="264"/>
  <c r="WNX6" i="264"/>
  <c r="WNW6" i="264"/>
  <c r="WNV6" i="264"/>
  <c r="WNU6" i="264"/>
  <c r="WNT6" i="264"/>
  <c r="WNS6" i="264"/>
  <c r="WNR6" i="264"/>
  <c r="WNQ6" i="264"/>
  <c r="WNP6" i="264"/>
  <c r="WNO6" i="264"/>
  <c r="WNN6" i="264"/>
  <c r="WNM6" i="264"/>
  <c r="WNL6" i="264"/>
  <c r="WNK6" i="264"/>
  <c r="WNJ6" i="264"/>
  <c r="WNI6" i="264"/>
  <c r="WNH6" i="264"/>
  <c r="WNG6" i="264"/>
  <c r="WNF6" i="264"/>
  <c r="WNE6" i="264"/>
  <c r="WND6" i="264"/>
  <c r="WNC6" i="264"/>
  <c r="WNB6" i="264"/>
  <c r="WNA6" i="264"/>
  <c r="WMZ6" i="264"/>
  <c r="WMY6" i="264"/>
  <c r="WMX6" i="264"/>
  <c r="WMW6" i="264"/>
  <c r="WMV6" i="264"/>
  <c r="WMU6" i="264"/>
  <c r="WMT6" i="264"/>
  <c r="WMS6" i="264"/>
  <c r="WMR6" i="264"/>
  <c r="WMQ6" i="264"/>
  <c r="WMP6" i="264"/>
  <c r="WMO6" i="264"/>
  <c r="WMN6" i="264"/>
  <c r="WMM6" i="264"/>
  <c r="WML6" i="264"/>
  <c r="WMK6" i="264"/>
  <c r="WMJ6" i="264"/>
  <c r="WMI6" i="264"/>
  <c r="WMH6" i="264"/>
  <c r="WMG6" i="264"/>
  <c r="WMF6" i="264"/>
  <c r="WME6" i="264"/>
  <c r="WMD6" i="264"/>
  <c r="WMC6" i="264"/>
  <c r="WMB6" i="264"/>
  <c r="WMA6" i="264"/>
  <c r="WLZ6" i="264"/>
  <c r="WLY6" i="264"/>
  <c r="WLX6" i="264"/>
  <c r="WLW6" i="264"/>
  <c r="WLV6" i="264"/>
  <c r="WLU6" i="264"/>
  <c r="WLT6" i="264"/>
  <c r="WLS6" i="264"/>
  <c r="WLR6" i="264"/>
  <c r="WLQ6" i="264"/>
  <c r="WLP6" i="264"/>
  <c r="WLO6" i="264"/>
  <c r="WLN6" i="264"/>
  <c r="WLM6" i="264"/>
  <c r="WLL6" i="264"/>
  <c r="WLK6" i="264"/>
  <c r="WLJ6" i="264"/>
  <c r="WLI6" i="264"/>
  <c r="WLH6" i="264"/>
  <c r="WLG6" i="264"/>
  <c r="WLF6" i="264"/>
  <c r="WLE6" i="264"/>
  <c r="WLD6" i="264"/>
  <c r="WLC6" i="264"/>
  <c r="WLB6" i="264"/>
  <c r="WLA6" i="264"/>
  <c r="WKZ6" i="264"/>
  <c r="WKY6" i="264"/>
  <c r="WKX6" i="264"/>
  <c r="WKW6" i="264"/>
  <c r="WKV6" i="264"/>
  <c r="WKU6" i="264"/>
  <c r="WKT6" i="264"/>
  <c r="WKS6" i="264"/>
  <c r="WKR6" i="264"/>
  <c r="WKQ6" i="264"/>
  <c r="WKP6" i="264"/>
  <c r="WKO6" i="264"/>
  <c r="WKN6" i="264"/>
  <c r="WKM6" i="264"/>
  <c r="WKL6" i="264"/>
  <c r="WKK6" i="264"/>
  <c r="WKJ6" i="264"/>
  <c r="WKI6" i="264"/>
  <c r="WKH6" i="264"/>
  <c r="WKG6" i="264"/>
  <c r="WKF6" i="264"/>
  <c r="WKE6" i="264"/>
  <c r="WKD6" i="264"/>
  <c r="WKC6" i="264"/>
  <c r="WKB6" i="264"/>
  <c r="WKA6" i="264"/>
  <c r="WJZ6" i="264"/>
  <c r="WJY6" i="264"/>
  <c r="WJX6" i="264"/>
  <c r="WJW6" i="264"/>
  <c r="WJV6" i="264"/>
  <c r="WJU6" i="264"/>
  <c r="WJT6" i="264"/>
  <c r="WJS6" i="264"/>
  <c r="WJR6" i="264"/>
  <c r="WJQ6" i="264"/>
  <c r="WJP6" i="264"/>
  <c r="WJO6" i="264"/>
  <c r="WJN6" i="264"/>
  <c r="WJM6" i="264"/>
  <c r="WJL6" i="264"/>
  <c r="WJK6" i="264"/>
  <c r="WJJ6" i="264"/>
  <c r="WJI6" i="264"/>
  <c r="WJH6" i="264"/>
  <c r="WJG6" i="264"/>
  <c r="WJF6" i="264"/>
  <c r="WJE6" i="264"/>
  <c r="WJD6" i="264"/>
  <c r="WJC6" i="264"/>
  <c r="WJB6" i="264"/>
  <c r="WJA6" i="264"/>
  <c r="WIZ6" i="264"/>
  <c r="WIY6" i="264"/>
  <c r="WIX6" i="264"/>
  <c r="WIW6" i="264"/>
  <c r="WIV6" i="264"/>
  <c r="WIU6" i="264"/>
  <c r="WIT6" i="264"/>
  <c r="WIS6" i="264"/>
  <c r="WIR6" i="264"/>
  <c r="WIQ6" i="264"/>
  <c r="WIP6" i="264"/>
  <c r="WIO6" i="264"/>
  <c r="WIN6" i="264"/>
  <c r="WIM6" i="264"/>
  <c r="WIL6" i="264"/>
  <c r="WIK6" i="264"/>
  <c r="WIJ6" i="264"/>
  <c r="WII6" i="264"/>
  <c r="WIH6" i="264"/>
  <c r="WIG6" i="264"/>
  <c r="WIF6" i="264"/>
  <c r="WIE6" i="264"/>
  <c r="WID6" i="264"/>
  <c r="WIC6" i="264"/>
  <c r="WIB6" i="264"/>
  <c r="WIA6" i="264"/>
  <c r="WHZ6" i="264"/>
  <c r="WHY6" i="264"/>
  <c r="WHX6" i="264"/>
  <c r="WHW6" i="264"/>
  <c r="WHV6" i="264"/>
  <c r="WHU6" i="264"/>
  <c r="WHT6" i="264"/>
  <c r="WHS6" i="264"/>
  <c r="WHR6" i="264"/>
  <c r="WHQ6" i="264"/>
  <c r="WHP6" i="264"/>
  <c r="WHO6" i="264"/>
  <c r="WHN6" i="264"/>
  <c r="WHM6" i="264"/>
  <c r="WHL6" i="264"/>
  <c r="WHK6" i="264"/>
  <c r="WHJ6" i="264"/>
  <c r="WHI6" i="264"/>
  <c r="WHH6" i="264"/>
  <c r="WHG6" i="264"/>
  <c r="WHF6" i="264"/>
  <c r="WHE6" i="264"/>
  <c r="WHD6" i="264"/>
  <c r="WHC6" i="264"/>
  <c r="WHB6" i="264"/>
  <c r="WHA6" i="264"/>
  <c r="WGZ6" i="264"/>
  <c r="WGY6" i="264"/>
  <c r="WGX6" i="264"/>
  <c r="WGW6" i="264"/>
  <c r="WGV6" i="264"/>
  <c r="WGU6" i="264"/>
  <c r="WGT6" i="264"/>
  <c r="WGS6" i="264"/>
  <c r="WGR6" i="264"/>
  <c r="WGQ6" i="264"/>
  <c r="WGP6" i="264"/>
  <c r="WGO6" i="264"/>
  <c r="WGN6" i="264"/>
  <c r="WGM6" i="264"/>
  <c r="WGL6" i="264"/>
  <c r="WGK6" i="264"/>
  <c r="WGJ6" i="264"/>
  <c r="WGI6" i="264"/>
  <c r="WGH6" i="264"/>
  <c r="WGG6" i="264"/>
  <c r="WGF6" i="264"/>
  <c r="WGE6" i="264"/>
  <c r="WGD6" i="264"/>
  <c r="WGC6" i="264"/>
  <c r="WGB6" i="264"/>
  <c r="WGA6" i="264"/>
  <c r="WFZ6" i="264"/>
  <c r="WFY6" i="264"/>
  <c r="WFX6" i="264"/>
  <c r="WFW6" i="264"/>
  <c r="WFV6" i="264"/>
  <c r="WFU6" i="264"/>
  <c r="WFT6" i="264"/>
  <c r="WFS6" i="264"/>
  <c r="WFR6" i="264"/>
  <c r="WFQ6" i="264"/>
  <c r="WFP6" i="264"/>
  <c r="WFO6" i="264"/>
  <c r="WFN6" i="264"/>
  <c r="WFM6" i="264"/>
  <c r="WFL6" i="264"/>
  <c r="WFK6" i="264"/>
  <c r="WFJ6" i="264"/>
  <c r="WFI6" i="264"/>
  <c r="WFH6" i="264"/>
  <c r="WFG6" i="264"/>
  <c r="WFF6" i="264"/>
  <c r="WFE6" i="264"/>
  <c r="WFD6" i="264"/>
  <c r="WFC6" i="264"/>
  <c r="WFB6" i="264"/>
  <c r="WFA6" i="264"/>
  <c r="WEZ6" i="264"/>
  <c r="WEY6" i="264"/>
  <c r="WEX6" i="264"/>
  <c r="WEW6" i="264"/>
  <c r="WEV6" i="264"/>
  <c r="WEU6" i="264"/>
  <c r="WET6" i="264"/>
  <c r="WES6" i="264"/>
  <c r="WER6" i="264"/>
  <c r="WEQ6" i="264"/>
  <c r="WEP6" i="264"/>
  <c r="WEO6" i="264"/>
  <c r="WEN6" i="264"/>
  <c r="WEM6" i="264"/>
  <c r="WEL6" i="264"/>
  <c r="WEK6" i="264"/>
  <c r="WEJ6" i="264"/>
  <c r="WEI6" i="264"/>
  <c r="WEH6" i="264"/>
  <c r="WEG6" i="264"/>
  <c r="WEF6" i="264"/>
  <c r="WEE6" i="264"/>
  <c r="WED6" i="264"/>
  <c r="WEC6" i="264"/>
  <c r="WEB6" i="264"/>
  <c r="WEA6" i="264"/>
  <c r="WDZ6" i="264"/>
  <c r="WDY6" i="264"/>
  <c r="WDX6" i="264"/>
  <c r="WDW6" i="264"/>
  <c r="WDV6" i="264"/>
  <c r="WDU6" i="264"/>
  <c r="WDT6" i="264"/>
  <c r="WDS6" i="264"/>
  <c r="WDR6" i="264"/>
  <c r="WDQ6" i="264"/>
  <c r="WDP6" i="264"/>
  <c r="WDO6" i="264"/>
  <c r="WDN6" i="264"/>
  <c r="WDM6" i="264"/>
  <c r="WDL6" i="264"/>
  <c r="WDK6" i="264"/>
  <c r="WDJ6" i="264"/>
  <c r="WDI6" i="264"/>
  <c r="WDH6" i="264"/>
  <c r="WDG6" i="264"/>
  <c r="WDF6" i="264"/>
  <c r="WDE6" i="264"/>
  <c r="WDD6" i="264"/>
  <c r="WDC6" i="264"/>
  <c r="WDB6" i="264"/>
  <c r="WDA6" i="264"/>
  <c r="WCZ6" i="264"/>
  <c r="WCY6" i="264"/>
  <c r="WCX6" i="264"/>
  <c r="WCW6" i="264"/>
  <c r="WCV6" i="264"/>
  <c r="WCU6" i="264"/>
  <c r="WCT6" i="264"/>
  <c r="WCS6" i="264"/>
  <c r="WCR6" i="264"/>
  <c r="WCQ6" i="264"/>
  <c r="WCP6" i="264"/>
  <c r="WCO6" i="264"/>
  <c r="WCN6" i="264"/>
  <c r="WCM6" i="264"/>
  <c r="WCL6" i="264"/>
  <c r="WCK6" i="264"/>
  <c r="WCJ6" i="264"/>
  <c r="WCI6" i="264"/>
  <c r="WCH6" i="264"/>
  <c r="WCG6" i="264"/>
  <c r="WCF6" i="264"/>
  <c r="WCE6" i="264"/>
  <c r="WCD6" i="264"/>
  <c r="WCC6" i="264"/>
  <c r="WCB6" i="264"/>
  <c r="WCA6" i="264"/>
  <c r="WBZ6" i="264"/>
  <c r="WBY6" i="264"/>
  <c r="WBX6" i="264"/>
  <c r="WBW6" i="264"/>
  <c r="WBV6" i="264"/>
  <c r="WBU6" i="264"/>
  <c r="WBT6" i="264"/>
  <c r="WBS6" i="264"/>
  <c r="WBR6" i="264"/>
  <c r="WBQ6" i="264"/>
  <c r="WBP6" i="264"/>
  <c r="WBO6" i="264"/>
  <c r="WBN6" i="264"/>
  <c r="WBM6" i="264"/>
  <c r="WBL6" i="264"/>
  <c r="WBK6" i="264"/>
  <c r="WBJ6" i="264"/>
  <c r="WBI6" i="264"/>
  <c r="WBH6" i="264"/>
  <c r="WBG6" i="264"/>
  <c r="WBF6" i="264"/>
  <c r="WBE6" i="264"/>
  <c r="WBD6" i="264"/>
  <c r="WBC6" i="264"/>
  <c r="WBB6" i="264"/>
  <c r="WBA6" i="264"/>
  <c r="WAZ6" i="264"/>
  <c r="WAY6" i="264"/>
  <c r="WAX6" i="264"/>
  <c r="WAW6" i="264"/>
  <c r="WAV6" i="264"/>
  <c r="WAU6" i="264"/>
  <c r="WAT6" i="264"/>
  <c r="WAS6" i="264"/>
  <c r="WAR6" i="264"/>
  <c r="WAQ6" i="264"/>
  <c r="WAP6" i="264"/>
  <c r="WAO6" i="264"/>
  <c r="WAN6" i="264"/>
  <c r="WAM6" i="264"/>
  <c r="WAL6" i="264"/>
  <c r="WAK6" i="264"/>
  <c r="WAJ6" i="264"/>
  <c r="WAI6" i="264"/>
  <c r="WAH6" i="264"/>
  <c r="WAG6" i="264"/>
  <c r="WAF6" i="264"/>
  <c r="WAE6" i="264"/>
  <c r="WAD6" i="264"/>
  <c r="WAC6" i="264"/>
  <c r="WAB6" i="264"/>
  <c r="WAA6" i="264"/>
  <c r="VZZ6" i="264"/>
  <c r="VZY6" i="264"/>
  <c r="VZX6" i="264"/>
  <c r="VZW6" i="264"/>
  <c r="VZV6" i="264"/>
  <c r="VZU6" i="264"/>
  <c r="VZT6" i="264"/>
  <c r="VZS6" i="264"/>
  <c r="VZR6" i="264"/>
  <c r="VZQ6" i="264"/>
  <c r="VZP6" i="264"/>
  <c r="VZO6" i="264"/>
  <c r="VZN6" i="264"/>
  <c r="VZM6" i="264"/>
  <c r="VZL6" i="264"/>
  <c r="VZK6" i="264"/>
  <c r="VZJ6" i="264"/>
  <c r="VZI6" i="264"/>
  <c r="VZH6" i="264"/>
  <c r="VZG6" i="264"/>
  <c r="VZF6" i="264"/>
  <c r="VZE6" i="264"/>
  <c r="VZD6" i="264"/>
  <c r="VZC6" i="264"/>
  <c r="VZB6" i="264"/>
  <c r="VZA6" i="264"/>
  <c r="VYZ6" i="264"/>
  <c r="VYY6" i="264"/>
  <c r="VYX6" i="264"/>
  <c r="VYW6" i="264"/>
  <c r="VYV6" i="264"/>
  <c r="VYU6" i="264"/>
  <c r="VYT6" i="264"/>
  <c r="VYS6" i="264"/>
  <c r="VYR6" i="264"/>
  <c r="VYQ6" i="264"/>
  <c r="VYP6" i="264"/>
  <c r="VYO6" i="264"/>
  <c r="VYN6" i="264"/>
  <c r="VYM6" i="264"/>
  <c r="VYL6" i="264"/>
  <c r="VYK6" i="264"/>
  <c r="VYJ6" i="264"/>
  <c r="VYI6" i="264"/>
  <c r="VYH6" i="264"/>
  <c r="VYG6" i="264"/>
  <c r="VYF6" i="264"/>
  <c r="VYE6" i="264"/>
  <c r="VYD6" i="264"/>
  <c r="VYC6" i="264"/>
  <c r="VYB6" i="264"/>
  <c r="VYA6" i="264"/>
  <c r="VXZ6" i="264"/>
  <c r="VXY6" i="264"/>
  <c r="VXX6" i="264"/>
  <c r="VXW6" i="264"/>
  <c r="VXV6" i="264"/>
  <c r="VXU6" i="264"/>
  <c r="VXT6" i="264"/>
  <c r="VXS6" i="264"/>
  <c r="VXR6" i="264"/>
  <c r="VXQ6" i="264"/>
  <c r="VXP6" i="264"/>
  <c r="VXO6" i="264"/>
  <c r="VXN6" i="264"/>
  <c r="VXM6" i="264"/>
  <c r="VXL6" i="264"/>
  <c r="VXK6" i="264"/>
  <c r="VXJ6" i="264"/>
  <c r="VXI6" i="264"/>
  <c r="VXH6" i="264"/>
  <c r="VXG6" i="264"/>
  <c r="VXF6" i="264"/>
  <c r="VXE6" i="264"/>
  <c r="VXD6" i="264"/>
  <c r="VXC6" i="264"/>
  <c r="VXB6" i="264"/>
  <c r="VXA6" i="264"/>
  <c r="VWZ6" i="264"/>
  <c r="VWY6" i="264"/>
  <c r="VWX6" i="264"/>
  <c r="VWW6" i="264"/>
  <c r="VWV6" i="264"/>
  <c r="VWU6" i="264"/>
  <c r="VWT6" i="264"/>
  <c r="VWS6" i="264"/>
  <c r="VWR6" i="264"/>
  <c r="VWQ6" i="264"/>
  <c r="VWP6" i="264"/>
  <c r="VWO6" i="264"/>
  <c r="VWN6" i="264"/>
  <c r="VWM6" i="264"/>
  <c r="VWL6" i="264"/>
  <c r="VWK6" i="264"/>
  <c r="VWJ6" i="264"/>
  <c r="VWI6" i="264"/>
  <c r="VWH6" i="264"/>
  <c r="VWG6" i="264"/>
  <c r="VWF6" i="264"/>
  <c r="VWE6" i="264"/>
  <c r="VWD6" i="264"/>
  <c r="VWC6" i="264"/>
  <c r="VWB6" i="264"/>
  <c r="VWA6" i="264"/>
  <c r="VVZ6" i="264"/>
  <c r="VVY6" i="264"/>
  <c r="VVX6" i="264"/>
  <c r="VVW6" i="264"/>
  <c r="VVV6" i="264"/>
  <c r="VVU6" i="264"/>
  <c r="VVT6" i="264"/>
  <c r="VVS6" i="264"/>
  <c r="VVR6" i="264"/>
  <c r="VVQ6" i="264"/>
  <c r="VVP6" i="264"/>
  <c r="VVO6" i="264"/>
  <c r="VVN6" i="264"/>
  <c r="VVM6" i="264"/>
  <c r="VVL6" i="264"/>
  <c r="VVK6" i="264"/>
  <c r="VVJ6" i="264"/>
  <c r="VVI6" i="264"/>
  <c r="VVH6" i="264"/>
  <c r="VVG6" i="264"/>
  <c r="VVF6" i="264"/>
  <c r="VVE6" i="264"/>
  <c r="VVD6" i="264"/>
  <c r="VVC6" i="264"/>
  <c r="VVB6" i="264"/>
  <c r="VVA6" i="264"/>
  <c r="VUZ6" i="264"/>
  <c r="VUY6" i="264"/>
  <c r="VUX6" i="264"/>
  <c r="VUW6" i="264"/>
  <c r="VUV6" i="264"/>
  <c r="VUU6" i="264"/>
  <c r="VUT6" i="264"/>
  <c r="VUS6" i="264"/>
  <c r="VUR6" i="264"/>
  <c r="VUQ6" i="264"/>
  <c r="VUP6" i="264"/>
  <c r="VUO6" i="264"/>
  <c r="VUN6" i="264"/>
  <c r="VUM6" i="264"/>
  <c r="VUL6" i="264"/>
  <c r="VUK6" i="264"/>
  <c r="VUJ6" i="264"/>
  <c r="VUI6" i="264"/>
  <c r="VUH6" i="264"/>
  <c r="VUG6" i="264"/>
  <c r="VUF6" i="264"/>
  <c r="VUE6" i="264"/>
  <c r="VUD6" i="264"/>
  <c r="VUC6" i="264"/>
  <c r="VUB6" i="264"/>
  <c r="VUA6" i="264"/>
  <c r="VTZ6" i="264"/>
  <c r="VTY6" i="264"/>
  <c r="VTX6" i="264"/>
  <c r="VTW6" i="264"/>
  <c r="VTV6" i="264"/>
  <c r="VTU6" i="264"/>
  <c r="VTT6" i="264"/>
  <c r="VTS6" i="264"/>
  <c r="VTR6" i="264"/>
  <c r="VTQ6" i="264"/>
  <c r="VTP6" i="264"/>
  <c r="VTO6" i="264"/>
  <c r="VTN6" i="264"/>
  <c r="VTM6" i="264"/>
  <c r="VTL6" i="264"/>
  <c r="VTK6" i="264"/>
  <c r="VTJ6" i="264"/>
  <c r="VTI6" i="264"/>
  <c r="VTH6" i="264"/>
  <c r="VTG6" i="264"/>
  <c r="VTF6" i="264"/>
  <c r="VTE6" i="264"/>
  <c r="VTD6" i="264"/>
  <c r="VTC6" i="264"/>
  <c r="VTB6" i="264"/>
  <c r="VTA6" i="264"/>
  <c r="VSZ6" i="264"/>
  <c r="VSY6" i="264"/>
  <c r="VSX6" i="264"/>
  <c r="VSW6" i="264"/>
  <c r="VSV6" i="264"/>
  <c r="VSU6" i="264"/>
  <c r="VST6" i="264"/>
  <c r="VSS6" i="264"/>
  <c r="VSR6" i="264"/>
  <c r="VSQ6" i="264"/>
  <c r="VSP6" i="264"/>
  <c r="VSO6" i="264"/>
  <c r="VSN6" i="264"/>
  <c r="VSM6" i="264"/>
  <c r="VSL6" i="264"/>
  <c r="VSK6" i="264"/>
  <c r="VSJ6" i="264"/>
  <c r="VSI6" i="264"/>
  <c r="VSH6" i="264"/>
  <c r="VSG6" i="264"/>
  <c r="VSF6" i="264"/>
  <c r="VSE6" i="264"/>
  <c r="VSD6" i="264"/>
  <c r="VSC6" i="264"/>
  <c r="VSB6" i="264"/>
  <c r="VSA6" i="264"/>
  <c r="VRZ6" i="264"/>
  <c r="VRY6" i="264"/>
  <c r="VRX6" i="264"/>
  <c r="VRW6" i="264"/>
  <c r="VRV6" i="264"/>
  <c r="VRU6" i="264"/>
  <c r="VRT6" i="264"/>
  <c r="VRS6" i="264"/>
  <c r="VRR6" i="264"/>
  <c r="VRQ6" i="264"/>
  <c r="VRP6" i="264"/>
  <c r="VRO6" i="264"/>
  <c r="VRN6" i="264"/>
  <c r="VRM6" i="264"/>
  <c r="VRL6" i="264"/>
  <c r="VRK6" i="264"/>
  <c r="VRJ6" i="264"/>
  <c r="VRI6" i="264"/>
  <c r="VRH6" i="264"/>
  <c r="VRG6" i="264"/>
  <c r="VRF6" i="264"/>
  <c r="VRE6" i="264"/>
  <c r="VRD6" i="264"/>
  <c r="VRC6" i="264"/>
  <c r="VRB6" i="264"/>
  <c r="VRA6" i="264"/>
  <c r="VQZ6" i="264"/>
  <c r="VQY6" i="264"/>
  <c r="VQX6" i="264"/>
  <c r="VQW6" i="264"/>
  <c r="VQV6" i="264"/>
  <c r="VQU6" i="264"/>
  <c r="VQT6" i="264"/>
  <c r="VQS6" i="264"/>
  <c r="VQR6" i="264"/>
  <c r="VQQ6" i="264"/>
  <c r="VQP6" i="264"/>
  <c r="VQO6" i="264"/>
  <c r="VQN6" i="264"/>
  <c r="VQM6" i="264"/>
  <c r="VQL6" i="264"/>
  <c r="VQK6" i="264"/>
  <c r="VQJ6" i="264"/>
  <c r="VQI6" i="264"/>
  <c r="VQH6" i="264"/>
  <c r="VQG6" i="264"/>
  <c r="VQF6" i="264"/>
  <c r="VQE6" i="264"/>
  <c r="VQD6" i="264"/>
  <c r="VQC6" i="264"/>
  <c r="VQB6" i="264"/>
  <c r="VQA6" i="264"/>
  <c r="VPZ6" i="264"/>
  <c r="VPY6" i="264"/>
  <c r="VPX6" i="264"/>
  <c r="VPW6" i="264"/>
  <c r="VPV6" i="264"/>
  <c r="VPU6" i="264"/>
  <c r="VPT6" i="264"/>
  <c r="VPS6" i="264"/>
  <c r="VPR6" i="264"/>
  <c r="VPQ6" i="264"/>
  <c r="VPP6" i="264"/>
  <c r="VPO6" i="264"/>
  <c r="VPN6" i="264"/>
  <c r="VPM6" i="264"/>
  <c r="VPL6" i="264"/>
  <c r="VPK6" i="264"/>
  <c r="VPJ6" i="264"/>
  <c r="VPI6" i="264"/>
  <c r="VPH6" i="264"/>
  <c r="VPG6" i="264"/>
  <c r="VPF6" i="264"/>
  <c r="VPE6" i="264"/>
  <c r="VPD6" i="264"/>
  <c r="VPC6" i="264"/>
  <c r="VPB6" i="264"/>
  <c r="VPA6" i="264"/>
  <c r="VOZ6" i="264"/>
  <c r="VOY6" i="264"/>
  <c r="VOX6" i="264"/>
  <c r="VOW6" i="264"/>
  <c r="VOV6" i="264"/>
  <c r="VOU6" i="264"/>
  <c r="VOT6" i="264"/>
  <c r="VOS6" i="264"/>
  <c r="VOR6" i="264"/>
  <c r="VOQ6" i="264"/>
  <c r="VOP6" i="264"/>
  <c r="VOO6" i="264"/>
  <c r="VON6" i="264"/>
  <c r="VOM6" i="264"/>
  <c r="VOL6" i="264"/>
  <c r="VOK6" i="264"/>
  <c r="VOJ6" i="264"/>
  <c r="VOI6" i="264"/>
  <c r="VOH6" i="264"/>
  <c r="VOG6" i="264"/>
  <c r="VOF6" i="264"/>
  <c r="VOE6" i="264"/>
  <c r="VOD6" i="264"/>
  <c r="VOC6" i="264"/>
  <c r="VOB6" i="264"/>
  <c r="VOA6" i="264"/>
  <c r="VNZ6" i="264"/>
  <c r="VNY6" i="264"/>
  <c r="VNX6" i="264"/>
  <c r="VNW6" i="264"/>
  <c r="VNV6" i="264"/>
  <c r="VNU6" i="264"/>
  <c r="VNT6" i="264"/>
  <c r="VNS6" i="264"/>
  <c r="VNR6" i="264"/>
  <c r="VNQ6" i="264"/>
  <c r="VNP6" i="264"/>
  <c r="VNO6" i="264"/>
  <c r="VNN6" i="264"/>
  <c r="VNM6" i="264"/>
  <c r="VNL6" i="264"/>
  <c r="VNK6" i="264"/>
  <c r="VNJ6" i="264"/>
  <c r="VNI6" i="264"/>
  <c r="VNH6" i="264"/>
  <c r="VNG6" i="264"/>
  <c r="VNF6" i="264"/>
  <c r="VNE6" i="264"/>
  <c r="VND6" i="264"/>
  <c r="VNC6" i="264"/>
  <c r="VNB6" i="264"/>
  <c r="VNA6" i="264"/>
  <c r="VMZ6" i="264"/>
  <c r="VMY6" i="264"/>
  <c r="VMX6" i="264"/>
  <c r="VMW6" i="264"/>
  <c r="VMV6" i="264"/>
  <c r="VMU6" i="264"/>
  <c r="VMT6" i="264"/>
  <c r="VMS6" i="264"/>
  <c r="VMR6" i="264"/>
  <c r="VMQ6" i="264"/>
  <c r="VMP6" i="264"/>
  <c r="VMO6" i="264"/>
  <c r="VMN6" i="264"/>
  <c r="VMM6" i="264"/>
  <c r="VML6" i="264"/>
  <c r="VMK6" i="264"/>
  <c r="VMJ6" i="264"/>
  <c r="VMI6" i="264"/>
  <c r="VMH6" i="264"/>
  <c r="VMG6" i="264"/>
  <c r="VMF6" i="264"/>
  <c r="VME6" i="264"/>
  <c r="VMD6" i="264"/>
  <c r="VMC6" i="264"/>
  <c r="VMB6" i="264"/>
  <c r="VMA6" i="264"/>
  <c r="VLZ6" i="264"/>
  <c r="VLY6" i="264"/>
  <c r="VLX6" i="264"/>
  <c r="VLW6" i="264"/>
  <c r="VLV6" i="264"/>
  <c r="VLU6" i="264"/>
  <c r="VLT6" i="264"/>
  <c r="VLS6" i="264"/>
  <c r="VLR6" i="264"/>
  <c r="VLQ6" i="264"/>
  <c r="VLP6" i="264"/>
  <c r="VLO6" i="264"/>
  <c r="VLN6" i="264"/>
  <c r="VLM6" i="264"/>
  <c r="VLL6" i="264"/>
  <c r="VLK6" i="264"/>
  <c r="VLJ6" i="264"/>
  <c r="VLI6" i="264"/>
  <c r="VLH6" i="264"/>
  <c r="VLG6" i="264"/>
  <c r="VLF6" i="264"/>
  <c r="VLE6" i="264"/>
  <c r="VLD6" i="264"/>
  <c r="VLC6" i="264"/>
  <c r="VLB6" i="264"/>
  <c r="VLA6" i="264"/>
  <c r="VKZ6" i="264"/>
  <c r="VKY6" i="264"/>
  <c r="VKX6" i="264"/>
  <c r="VKW6" i="264"/>
  <c r="VKV6" i="264"/>
  <c r="VKU6" i="264"/>
  <c r="VKT6" i="264"/>
  <c r="VKS6" i="264"/>
  <c r="VKR6" i="264"/>
  <c r="VKQ6" i="264"/>
  <c r="VKP6" i="264"/>
  <c r="VKO6" i="264"/>
  <c r="VKN6" i="264"/>
  <c r="VKM6" i="264"/>
  <c r="VKL6" i="264"/>
  <c r="VKK6" i="264"/>
  <c r="VKJ6" i="264"/>
  <c r="VKI6" i="264"/>
  <c r="VKH6" i="264"/>
  <c r="VKG6" i="264"/>
  <c r="VKF6" i="264"/>
  <c r="VKE6" i="264"/>
  <c r="VKD6" i="264"/>
  <c r="VKC6" i="264"/>
  <c r="VKB6" i="264"/>
  <c r="VKA6" i="264"/>
  <c r="VJZ6" i="264"/>
  <c r="VJY6" i="264"/>
  <c r="VJX6" i="264"/>
  <c r="VJW6" i="264"/>
  <c r="VJV6" i="264"/>
  <c r="VJU6" i="264"/>
  <c r="VJT6" i="264"/>
  <c r="VJS6" i="264"/>
  <c r="VJR6" i="264"/>
  <c r="VJQ6" i="264"/>
  <c r="VJP6" i="264"/>
  <c r="VJO6" i="264"/>
  <c r="VJN6" i="264"/>
  <c r="VJM6" i="264"/>
  <c r="VJL6" i="264"/>
  <c r="VJK6" i="264"/>
  <c r="VJJ6" i="264"/>
  <c r="VJI6" i="264"/>
  <c r="VJH6" i="264"/>
  <c r="VJG6" i="264"/>
  <c r="VJF6" i="264"/>
  <c r="VJE6" i="264"/>
  <c r="VJD6" i="264"/>
  <c r="VJC6" i="264"/>
  <c r="VJB6" i="264"/>
  <c r="VJA6" i="264"/>
  <c r="VIZ6" i="264"/>
  <c r="VIY6" i="264"/>
  <c r="VIX6" i="264"/>
  <c r="VIW6" i="264"/>
  <c r="VIV6" i="264"/>
  <c r="VIU6" i="264"/>
  <c r="VIT6" i="264"/>
  <c r="VIS6" i="264"/>
  <c r="VIR6" i="264"/>
  <c r="VIQ6" i="264"/>
  <c r="VIP6" i="264"/>
  <c r="VIO6" i="264"/>
  <c r="VIN6" i="264"/>
  <c r="VIM6" i="264"/>
  <c r="VIL6" i="264"/>
  <c r="VIK6" i="264"/>
  <c r="VIJ6" i="264"/>
  <c r="VII6" i="264"/>
  <c r="VIH6" i="264"/>
  <c r="VIG6" i="264"/>
  <c r="VIF6" i="264"/>
  <c r="VIE6" i="264"/>
  <c r="VID6" i="264"/>
  <c r="VIC6" i="264"/>
  <c r="VIB6" i="264"/>
  <c r="VIA6" i="264"/>
  <c r="VHZ6" i="264"/>
  <c r="VHY6" i="264"/>
  <c r="VHX6" i="264"/>
  <c r="VHW6" i="264"/>
  <c r="VHV6" i="264"/>
  <c r="VHU6" i="264"/>
  <c r="VHT6" i="264"/>
  <c r="VHS6" i="264"/>
  <c r="VHR6" i="264"/>
  <c r="VHQ6" i="264"/>
  <c r="VHP6" i="264"/>
  <c r="VHO6" i="264"/>
  <c r="VHN6" i="264"/>
  <c r="VHM6" i="264"/>
  <c r="VHL6" i="264"/>
  <c r="VHK6" i="264"/>
  <c r="VHJ6" i="264"/>
  <c r="VHI6" i="264"/>
  <c r="VHH6" i="264"/>
  <c r="VHG6" i="264"/>
  <c r="VHF6" i="264"/>
  <c r="VHE6" i="264"/>
  <c r="VHD6" i="264"/>
  <c r="VHC6" i="264"/>
  <c r="VHB6" i="264"/>
  <c r="VHA6" i="264"/>
  <c r="VGZ6" i="264"/>
  <c r="VGY6" i="264"/>
  <c r="VGX6" i="264"/>
  <c r="VGW6" i="264"/>
  <c r="VGV6" i="264"/>
  <c r="VGU6" i="264"/>
  <c r="VGT6" i="264"/>
  <c r="VGS6" i="264"/>
  <c r="VGR6" i="264"/>
  <c r="VGQ6" i="264"/>
  <c r="VGP6" i="264"/>
  <c r="VGO6" i="264"/>
  <c r="VGN6" i="264"/>
  <c r="VGM6" i="264"/>
  <c r="VGL6" i="264"/>
  <c r="VGK6" i="264"/>
  <c r="VGJ6" i="264"/>
  <c r="VGI6" i="264"/>
  <c r="VGH6" i="264"/>
  <c r="VGG6" i="264"/>
  <c r="VGF6" i="264"/>
  <c r="VGE6" i="264"/>
  <c r="VGD6" i="264"/>
  <c r="VGC6" i="264"/>
  <c r="VGB6" i="264"/>
  <c r="VGA6" i="264"/>
  <c r="VFZ6" i="264"/>
  <c r="VFY6" i="264"/>
  <c r="VFX6" i="264"/>
  <c r="VFW6" i="264"/>
  <c r="VFV6" i="264"/>
  <c r="VFU6" i="264"/>
  <c r="VFT6" i="264"/>
  <c r="VFS6" i="264"/>
  <c r="VFR6" i="264"/>
  <c r="VFQ6" i="264"/>
  <c r="VFP6" i="264"/>
  <c r="VFO6" i="264"/>
  <c r="VFN6" i="264"/>
  <c r="VFM6" i="264"/>
  <c r="VFL6" i="264"/>
  <c r="VFK6" i="264"/>
  <c r="VFJ6" i="264"/>
  <c r="VFI6" i="264"/>
  <c r="VFH6" i="264"/>
  <c r="VFG6" i="264"/>
  <c r="VFF6" i="264"/>
  <c r="VFE6" i="264"/>
  <c r="VFD6" i="264"/>
  <c r="VFC6" i="264"/>
  <c r="VFB6" i="264"/>
  <c r="VFA6" i="264"/>
  <c r="VEZ6" i="264"/>
  <c r="VEY6" i="264"/>
  <c r="VEX6" i="264"/>
  <c r="VEW6" i="264"/>
  <c r="VEV6" i="264"/>
  <c r="VEU6" i="264"/>
  <c r="VET6" i="264"/>
  <c r="VES6" i="264"/>
  <c r="VER6" i="264"/>
  <c r="VEQ6" i="264"/>
  <c r="VEP6" i="264"/>
  <c r="VEO6" i="264"/>
  <c r="VEN6" i="264"/>
  <c r="VEM6" i="264"/>
  <c r="VEL6" i="264"/>
  <c r="VEK6" i="264"/>
  <c r="VEJ6" i="264"/>
  <c r="VEI6" i="264"/>
  <c r="VEH6" i="264"/>
  <c r="VEG6" i="264"/>
  <c r="VEF6" i="264"/>
  <c r="VEE6" i="264"/>
  <c r="VED6" i="264"/>
  <c r="VEC6" i="264"/>
  <c r="VEB6" i="264"/>
  <c r="VEA6" i="264"/>
  <c r="VDZ6" i="264"/>
  <c r="VDY6" i="264"/>
  <c r="VDX6" i="264"/>
  <c r="VDW6" i="264"/>
  <c r="VDV6" i="264"/>
  <c r="VDU6" i="264"/>
  <c r="VDT6" i="264"/>
  <c r="VDS6" i="264"/>
  <c r="VDR6" i="264"/>
  <c r="VDQ6" i="264"/>
  <c r="VDP6" i="264"/>
  <c r="VDO6" i="264"/>
  <c r="VDN6" i="264"/>
  <c r="VDM6" i="264"/>
  <c r="VDL6" i="264"/>
  <c r="VDK6" i="264"/>
  <c r="VDJ6" i="264"/>
  <c r="VDI6" i="264"/>
  <c r="VDH6" i="264"/>
  <c r="VDG6" i="264"/>
  <c r="VDF6" i="264"/>
  <c r="VDE6" i="264"/>
  <c r="VDD6" i="264"/>
  <c r="VDC6" i="264"/>
  <c r="VDB6" i="264"/>
  <c r="VDA6" i="264"/>
  <c r="VCZ6" i="264"/>
  <c r="VCY6" i="264"/>
  <c r="VCX6" i="264"/>
  <c r="VCW6" i="264"/>
  <c r="VCV6" i="264"/>
  <c r="VCU6" i="264"/>
  <c r="VCT6" i="264"/>
  <c r="VCS6" i="264"/>
  <c r="VCR6" i="264"/>
  <c r="VCQ6" i="264"/>
  <c r="VCP6" i="264"/>
  <c r="VCO6" i="264"/>
  <c r="VCN6" i="264"/>
  <c r="VCM6" i="264"/>
  <c r="VCL6" i="264"/>
  <c r="VCK6" i="264"/>
  <c r="VCJ6" i="264"/>
  <c r="VCI6" i="264"/>
  <c r="VCH6" i="264"/>
  <c r="VCG6" i="264"/>
  <c r="VCF6" i="264"/>
  <c r="VCE6" i="264"/>
  <c r="VCD6" i="264"/>
  <c r="VCC6" i="264"/>
  <c r="VCB6" i="264"/>
  <c r="VCA6" i="264"/>
  <c r="VBZ6" i="264"/>
  <c r="VBY6" i="264"/>
  <c r="VBX6" i="264"/>
  <c r="VBW6" i="264"/>
  <c r="VBV6" i="264"/>
  <c r="VBU6" i="264"/>
  <c r="VBT6" i="264"/>
  <c r="VBS6" i="264"/>
  <c r="VBR6" i="264"/>
  <c r="VBQ6" i="264"/>
  <c r="VBP6" i="264"/>
  <c r="VBO6" i="264"/>
  <c r="VBN6" i="264"/>
  <c r="VBM6" i="264"/>
  <c r="VBL6" i="264"/>
  <c r="VBK6" i="264"/>
  <c r="VBJ6" i="264"/>
  <c r="VBI6" i="264"/>
  <c r="VBH6" i="264"/>
  <c r="VBG6" i="264"/>
  <c r="VBF6" i="264"/>
  <c r="VBE6" i="264"/>
  <c r="VBD6" i="264"/>
  <c r="VBC6" i="264"/>
  <c r="VBB6" i="264"/>
  <c r="VBA6" i="264"/>
  <c r="VAZ6" i="264"/>
  <c r="VAY6" i="264"/>
  <c r="VAX6" i="264"/>
  <c r="VAW6" i="264"/>
  <c r="VAV6" i="264"/>
  <c r="VAU6" i="264"/>
  <c r="VAT6" i="264"/>
  <c r="VAS6" i="264"/>
  <c r="VAR6" i="264"/>
  <c r="VAQ6" i="264"/>
  <c r="VAP6" i="264"/>
  <c r="VAO6" i="264"/>
  <c r="VAN6" i="264"/>
  <c r="VAM6" i="264"/>
  <c r="VAL6" i="264"/>
  <c r="VAK6" i="264"/>
  <c r="VAJ6" i="264"/>
  <c r="VAI6" i="264"/>
  <c r="VAH6" i="264"/>
  <c r="VAG6" i="264"/>
  <c r="VAF6" i="264"/>
  <c r="VAE6" i="264"/>
  <c r="VAD6" i="264"/>
  <c r="VAC6" i="264"/>
  <c r="VAB6" i="264"/>
  <c r="VAA6" i="264"/>
  <c r="UZZ6" i="264"/>
  <c r="UZY6" i="264"/>
  <c r="UZX6" i="264"/>
  <c r="UZW6" i="264"/>
  <c r="UZV6" i="264"/>
  <c r="UZU6" i="264"/>
  <c r="UZT6" i="264"/>
  <c r="UZS6" i="264"/>
  <c r="UZR6" i="264"/>
  <c r="UZQ6" i="264"/>
  <c r="UZP6" i="264"/>
  <c r="UZO6" i="264"/>
  <c r="UZN6" i="264"/>
  <c r="UZM6" i="264"/>
  <c r="UZL6" i="264"/>
  <c r="UZK6" i="264"/>
  <c r="UZJ6" i="264"/>
  <c r="UZI6" i="264"/>
  <c r="UZH6" i="264"/>
  <c r="UZG6" i="264"/>
  <c r="UZF6" i="264"/>
  <c r="UZE6" i="264"/>
  <c r="UZD6" i="264"/>
  <c r="UZC6" i="264"/>
  <c r="UZB6" i="264"/>
  <c r="UZA6" i="264"/>
  <c r="UYZ6" i="264"/>
  <c r="UYY6" i="264"/>
  <c r="UYX6" i="264"/>
  <c r="UYW6" i="264"/>
  <c r="UYV6" i="264"/>
  <c r="UYU6" i="264"/>
  <c r="UYT6" i="264"/>
  <c r="UYS6" i="264"/>
  <c r="UYR6" i="264"/>
  <c r="UYQ6" i="264"/>
  <c r="UYP6" i="264"/>
  <c r="UYO6" i="264"/>
  <c r="UYN6" i="264"/>
  <c r="UYM6" i="264"/>
  <c r="UYL6" i="264"/>
  <c r="UYK6" i="264"/>
  <c r="UYJ6" i="264"/>
  <c r="UYI6" i="264"/>
  <c r="UYH6" i="264"/>
  <c r="UYG6" i="264"/>
  <c r="UYF6" i="264"/>
  <c r="UYE6" i="264"/>
  <c r="UYD6" i="264"/>
  <c r="UYC6" i="264"/>
  <c r="UYB6" i="264"/>
  <c r="UYA6" i="264"/>
  <c r="UXZ6" i="264"/>
  <c r="UXY6" i="264"/>
  <c r="UXX6" i="264"/>
  <c r="UXW6" i="264"/>
  <c r="UXV6" i="264"/>
  <c r="UXU6" i="264"/>
  <c r="UXT6" i="264"/>
  <c r="UXS6" i="264"/>
  <c r="UXR6" i="264"/>
  <c r="UXQ6" i="264"/>
  <c r="UXP6" i="264"/>
  <c r="UXO6" i="264"/>
  <c r="UXN6" i="264"/>
  <c r="UXM6" i="264"/>
  <c r="UXL6" i="264"/>
  <c r="UXK6" i="264"/>
  <c r="UXJ6" i="264"/>
  <c r="UXI6" i="264"/>
  <c r="UXH6" i="264"/>
  <c r="UXG6" i="264"/>
  <c r="UXF6" i="264"/>
  <c r="UXE6" i="264"/>
  <c r="UXD6" i="264"/>
  <c r="UXC6" i="264"/>
  <c r="UXB6" i="264"/>
  <c r="UXA6" i="264"/>
  <c r="UWZ6" i="264"/>
  <c r="UWY6" i="264"/>
  <c r="UWX6" i="264"/>
  <c r="UWW6" i="264"/>
  <c r="UWV6" i="264"/>
  <c r="UWU6" i="264"/>
  <c r="UWT6" i="264"/>
  <c r="UWS6" i="264"/>
  <c r="UWR6" i="264"/>
  <c r="UWQ6" i="264"/>
  <c r="UWP6" i="264"/>
  <c r="UWO6" i="264"/>
  <c r="UWN6" i="264"/>
  <c r="UWM6" i="264"/>
  <c r="UWL6" i="264"/>
  <c r="UWK6" i="264"/>
  <c r="UWJ6" i="264"/>
  <c r="UWI6" i="264"/>
  <c r="UWH6" i="264"/>
  <c r="UWG6" i="264"/>
  <c r="UWF6" i="264"/>
  <c r="UWE6" i="264"/>
  <c r="UWD6" i="264"/>
  <c r="UWC6" i="264"/>
  <c r="UWB6" i="264"/>
  <c r="UWA6" i="264"/>
  <c r="UVZ6" i="264"/>
  <c r="UVY6" i="264"/>
  <c r="UVX6" i="264"/>
  <c r="UVW6" i="264"/>
  <c r="UVV6" i="264"/>
  <c r="UVU6" i="264"/>
  <c r="UVT6" i="264"/>
  <c r="UVS6" i="264"/>
  <c r="UVR6" i="264"/>
  <c r="UVQ6" i="264"/>
  <c r="UVP6" i="264"/>
  <c r="UVO6" i="264"/>
  <c r="UVN6" i="264"/>
  <c r="UVM6" i="264"/>
  <c r="UVL6" i="264"/>
  <c r="UVK6" i="264"/>
  <c r="UVJ6" i="264"/>
  <c r="UVI6" i="264"/>
  <c r="UVH6" i="264"/>
  <c r="UVG6" i="264"/>
  <c r="UVF6" i="264"/>
  <c r="UVE6" i="264"/>
  <c r="UVD6" i="264"/>
  <c r="UVC6" i="264"/>
  <c r="UVB6" i="264"/>
  <c r="UVA6" i="264"/>
  <c r="UUZ6" i="264"/>
  <c r="UUY6" i="264"/>
  <c r="UUX6" i="264"/>
  <c r="UUW6" i="264"/>
  <c r="UUV6" i="264"/>
  <c r="UUU6" i="264"/>
  <c r="UUT6" i="264"/>
  <c r="UUS6" i="264"/>
  <c r="UUR6" i="264"/>
  <c r="UUQ6" i="264"/>
  <c r="UUP6" i="264"/>
  <c r="UUO6" i="264"/>
  <c r="UUN6" i="264"/>
  <c r="UUM6" i="264"/>
  <c r="UUL6" i="264"/>
  <c r="UUK6" i="264"/>
  <c r="UUJ6" i="264"/>
  <c r="UUI6" i="264"/>
  <c r="UUH6" i="264"/>
  <c r="UUG6" i="264"/>
  <c r="UUF6" i="264"/>
  <c r="UUE6" i="264"/>
  <c r="UUD6" i="264"/>
  <c r="UUC6" i="264"/>
  <c r="UUB6" i="264"/>
  <c r="UUA6" i="264"/>
  <c r="UTZ6" i="264"/>
  <c r="UTY6" i="264"/>
  <c r="UTX6" i="264"/>
  <c r="UTW6" i="264"/>
  <c r="UTV6" i="264"/>
  <c r="UTU6" i="264"/>
  <c r="UTT6" i="264"/>
  <c r="UTS6" i="264"/>
  <c r="UTR6" i="264"/>
  <c r="UTQ6" i="264"/>
  <c r="UTP6" i="264"/>
  <c r="UTO6" i="264"/>
  <c r="UTN6" i="264"/>
  <c r="UTM6" i="264"/>
  <c r="UTL6" i="264"/>
  <c r="UTK6" i="264"/>
  <c r="UTJ6" i="264"/>
  <c r="UTI6" i="264"/>
  <c r="UTH6" i="264"/>
  <c r="UTG6" i="264"/>
  <c r="UTF6" i="264"/>
  <c r="UTE6" i="264"/>
  <c r="UTD6" i="264"/>
  <c r="UTC6" i="264"/>
  <c r="UTB6" i="264"/>
  <c r="UTA6" i="264"/>
  <c r="USZ6" i="264"/>
  <c r="USY6" i="264"/>
  <c r="USX6" i="264"/>
  <c r="USW6" i="264"/>
  <c r="USV6" i="264"/>
  <c r="USU6" i="264"/>
  <c r="UST6" i="264"/>
  <c r="USS6" i="264"/>
  <c r="USR6" i="264"/>
  <c r="USQ6" i="264"/>
  <c r="USP6" i="264"/>
  <c r="USO6" i="264"/>
  <c r="USN6" i="264"/>
  <c r="USM6" i="264"/>
  <c r="USL6" i="264"/>
  <c r="USK6" i="264"/>
  <c r="USJ6" i="264"/>
  <c r="USI6" i="264"/>
  <c r="USH6" i="264"/>
  <c r="USG6" i="264"/>
  <c r="USF6" i="264"/>
  <c r="USE6" i="264"/>
  <c r="USD6" i="264"/>
  <c r="USC6" i="264"/>
  <c r="USB6" i="264"/>
  <c r="USA6" i="264"/>
  <c r="URZ6" i="264"/>
  <c r="URY6" i="264"/>
  <c r="URX6" i="264"/>
  <c r="URW6" i="264"/>
  <c r="URV6" i="264"/>
  <c r="URU6" i="264"/>
  <c r="URT6" i="264"/>
  <c r="URS6" i="264"/>
  <c r="URR6" i="264"/>
  <c r="URQ6" i="264"/>
  <c r="URP6" i="264"/>
  <c r="URO6" i="264"/>
  <c r="URN6" i="264"/>
  <c r="URM6" i="264"/>
  <c r="URL6" i="264"/>
  <c r="URK6" i="264"/>
  <c r="URJ6" i="264"/>
  <c r="URI6" i="264"/>
  <c r="URH6" i="264"/>
  <c r="URG6" i="264"/>
  <c r="URF6" i="264"/>
  <c r="URE6" i="264"/>
  <c r="URD6" i="264"/>
  <c r="URC6" i="264"/>
  <c r="URB6" i="264"/>
  <c r="URA6" i="264"/>
  <c r="UQZ6" i="264"/>
  <c r="UQY6" i="264"/>
  <c r="UQX6" i="264"/>
  <c r="UQW6" i="264"/>
  <c r="UQV6" i="264"/>
  <c r="UQU6" i="264"/>
  <c r="UQT6" i="264"/>
  <c r="UQS6" i="264"/>
  <c r="UQR6" i="264"/>
  <c r="UQQ6" i="264"/>
  <c r="UQP6" i="264"/>
  <c r="UQO6" i="264"/>
  <c r="UQN6" i="264"/>
  <c r="UQM6" i="264"/>
  <c r="UQL6" i="264"/>
  <c r="UQK6" i="264"/>
  <c r="UQJ6" i="264"/>
  <c r="UQI6" i="264"/>
  <c r="UQH6" i="264"/>
  <c r="UQG6" i="264"/>
  <c r="UQF6" i="264"/>
  <c r="UQE6" i="264"/>
  <c r="UQD6" i="264"/>
  <c r="UQC6" i="264"/>
  <c r="UQB6" i="264"/>
  <c r="UQA6" i="264"/>
  <c r="UPZ6" i="264"/>
  <c r="UPY6" i="264"/>
  <c r="UPX6" i="264"/>
  <c r="UPW6" i="264"/>
  <c r="UPV6" i="264"/>
  <c r="UPU6" i="264"/>
  <c r="UPT6" i="264"/>
  <c r="UPS6" i="264"/>
  <c r="UPR6" i="264"/>
  <c r="UPQ6" i="264"/>
  <c r="UPP6" i="264"/>
  <c r="UPO6" i="264"/>
  <c r="UPN6" i="264"/>
  <c r="UPM6" i="264"/>
  <c r="UPL6" i="264"/>
  <c r="UPK6" i="264"/>
  <c r="UPJ6" i="264"/>
  <c r="UPI6" i="264"/>
  <c r="UPH6" i="264"/>
  <c r="UPG6" i="264"/>
  <c r="UPF6" i="264"/>
  <c r="UPE6" i="264"/>
  <c r="UPD6" i="264"/>
  <c r="UPC6" i="264"/>
  <c r="UPB6" i="264"/>
  <c r="UPA6" i="264"/>
  <c r="UOZ6" i="264"/>
  <c r="UOY6" i="264"/>
  <c r="UOX6" i="264"/>
  <c r="UOW6" i="264"/>
  <c r="UOV6" i="264"/>
  <c r="UOU6" i="264"/>
  <c r="UOT6" i="264"/>
  <c r="UOS6" i="264"/>
  <c r="UOR6" i="264"/>
  <c r="UOQ6" i="264"/>
  <c r="UOP6" i="264"/>
  <c r="UOO6" i="264"/>
  <c r="UON6" i="264"/>
  <c r="UOM6" i="264"/>
  <c r="UOL6" i="264"/>
  <c r="UOK6" i="264"/>
  <c r="UOJ6" i="264"/>
  <c r="UOI6" i="264"/>
  <c r="UOH6" i="264"/>
  <c r="UOG6" i="264"/>
  <c r="UOF6" i="264"/>
  <c r="UOE6" i="264"/>
  <c r="UOD6" i="264"/>
  <c r="UOC6" i="264"/>
  <c r="UOB6" i="264"/>
  <c r="UOA6" i="264"/>
  <c r="UNZ6" i="264"/>
  <c r="UNY6" i="264"/>
  <c r="UNX6" i="264"/>
  <c r="UNW6" i="264"/>
  <c r="UNV6" i="264"/>
  <c r="UNU6" i="264"/>
  <c r="UNT6" i="264"/>
  <c r="UNS6" i="264"/>
  <c r="UNR6" i="264"/>
  <c r="UNQ6" i="264"/>
  <c r="UNP6" i="264"/>
  <c r="UNO6" i="264"/>
  <c r="UNN6" i="264"/>
  <c r="UNM6" i="264"/>
  <c r="UNL6" i="264"/>
  <c r="UNK6" i="264"/>
  <c r="UNJ6" i="264"/>
  <c r="UNI6" i="264"/>
  <c r="UNH6" i="264"/>
  <c r="UNG6" i="264"/>
  <c r="UNF6" i="264"/>
  <c r="UNE6" i="264"/>
  <c r="UND6" i="264"/>
  <c r="UNC6" i="264"/>
  <c r="UNB6" i="264"/>
  <c r="UNA6" i="264"/>
  <c r="UMZ6" i="264"/>
  <c r="UMY6" i="264"/>
  <c r="UMX6" i="264"/>
  <c r="UMW6" i="264"/>
  <c r="UMV6" i="264"/>
  <c r="UMU6" i="264"/>
  <c r="UMT6" i="264"/>
  <c r="UMS6" i="264"/>
  <c r="UMR6" i="264"/>
  <c r="UMQ6" i="264"/>
  <c r="UMP6" i="264"/>
  <c r="UMO6" i="264"/>
  <c r="UMN6" i="264"/>
  <c r="UMM6" i="264"/>
  <c r="UML6" i="264"/>
  <c r="UMK6" i="264"/>
  <c r="UMJ6" i="264"/>
  <c r="UMI6" i="264"/>
  <c r="UMH6" i="264"/>
  <c r="UMG6" i="264"/>
  <c r="UMF6" i="264"/>
  <c r="UME6" i="264"/>
  <c r="UMD6" i="264"/>
  <c r="UMC6" i="264"/>
  <c r="UMB6" i="264"/>
  <c r="UMA6" i="264"/>
  <c r="ULZ6" i="264"/>
  <c r="ULY6" i="264"/>
  <c r="ULX6" i="264"/>
  <c r="ULW6" i="264"/>
  <c r="ULV6" i="264"/>
  <c r="ULU6" i="264"/>
  <c r="ULT6" i="264"/>
  <c r="ULS6" i="264"/>
  <c r="ULR6" i="264"/>
  <c r="ULQ6" i="264"/>
  <c r="ULP6" i="264"/>
  <c r="ULO6" i="264"/>
  <c r="ULN6" i="264"/>
  <c r="ULM6" i="264"/>
  <c r="ULL6" i="264"/>
  <c r="ULK6" i="264"/>
  <c r="ULJ6" i="264"/>
  <c r="ULI6" i="264"/>
  <c r="ULH6" i="264"/>
  <c r="ULG6" i="264"/>
  <c r="ULF6" i="264"/>
  <c r="ULE6" i="264"/>
  <c r="ULD6" i="264"/>
  <c r="ULC6" i="264"/>
  <c r="ULB6" i="264"/>
  <c r="ULA6" i="264"/>
  <c r="UKZ6" i="264"/>
  <c r="UKY6" i="264"/>
  <c r="UKX6" i="264"/>
  <c r="UKW6" i="264"/>
  <c r="UKV6" i="264"/>
  <c r="UKU6" i="264"/>
  <c r="UKT6" i="264"/>
  <c r="UKS6" i="264"/>
  <c r="UKR6" i="264"/>
  <c r="UKQ6" i="264"/>
  <c r="UKP6" i="264"/>
  <c r="UKO6" i="264"/>
  <c r="UKN6" i="264"/>
  <c r="UKM6" i="264"/>
  <c r="UKL6" i="264"/>
  <c r="UKK6" i="264"/>
  <c r="UKJ6" i="264"/>
  <c r="UKI6" i="264"/>
  <c r="UKH6" i="264"/>
  <c r="UKG6" i="264"/>
  <c r="UKF6" i="264"/>
  <c r="UKE6" i="264"/>
  <c r="UKD6" i="264"/>
  <c r="UKC6" i="264"/>
  <c r="UKB6" i="264"/>
  <c r="UKA6" i="264"/>
  <c r="UJZ6" i="264"/>
  <c r="UJY6" i="264"/>
  <c r="UJX6" i="264"/>
  <c r="UJW6" i="264"/>
  <c r="UJV6" i="264"/>
  <c r="UJU6" i="264"/>
  <c r="UJT6" i="264"/>
  <c r="UJS6" i="264"/>
  <c r="UJR6" i="264"/>
  <c r="UJQ6" i="264"/>
  <c r="UJP6" i="264"/>
  <c r="UJO6" i="264"/>
  <c r="UJN6" i="264"/>
  <c r="UJM6" i="264"/>
  <c r="UJL6" i="264"/>
  <c r="UJK6" i="264"/>
  <c r="UJJ6" i="264"/>
  <c r="UJI6" i="264"/>
  <c r="UJH6" i="264"/>
  <c r="UJG6" i="264"/>
  <c r="UJF6" i="264"/>
  <c r="UJE6" i="264"/>
  <c r="UJD6" i="264"/>
  <c r="UJC6" i="264"/>
  <c r="UJB6" i="264"/>
  <c r="UJA6" i="264"/>
  <c r="UIZ6" i="264"/>
  <c r="UIY6" i="264"/>
  <c r="UIX6" i="264"/>
  <c r="UIW6" i="264"/>
  <c r="UIV6" i="264"/>
  <c r="UIU6" i="264"/>
  <c r="UIT6" i="264"/>
  <c r="UIS6" i="264"/>
  <c r="UIR6" i="264"/>
  <c r="UIQ6" i="264"/>
  <c r="UIP6" i="264"/>
  <c r="UIO6" i="264"/>
  <c r="UIN6" i="264"/>
  <c r="UIM6" i="264"/>
  <c r="UIL6" i="264"/>
  <c r="UIK6" i="264"/>
  <c r="UIJ6" i="264"/>
  <c r="UII6" i="264"/>
  <c r="UIH6" i="264"/>
  <c r="UIG6" i="264"/>
  <c r="UIF6" i="264"/>
  <c r="UIE6" i="264"/>
  <c r="UID6" i="264"/>
  <c r="UIC6" i="264"/>
  <c r="UIB6" i="264"/>
  <c r="UIA6" i="264"/>
  <c r="UHZ6" i="264"/>
  <c r="UHY6" i="264"/>
  <c r="UHX6" i="264"/>
  <c r="UHW6" i="264"/>
  <c r="UHV6" i="264"/>
  <c r="UHU6" i="264"/>
  <c r="UHT6" i="264"/>
  <c r="UHS6" i="264"/>
  <c r="UHR6" i="264"/>
  <c r="UHQ6" i="264"/>
  <c r="UHP6" i="264"/>
  <c r="UHO6" i="264"/>
  <c r="UHN6" i="264"/>
  <c r="UHM6" i="264"/>
  <c r="UHL6" i="264"/>
  <c r="UHK6" i="264"/>
  <c r="UHJ6" i="264"/>
  <c r="UHI6" i="264"/>
  <c r="UHH6" i="264"/>
  <c r="UHG6" i="264"/>
  <c r="UHF6" i="264"/>
  <c r="UHE6" i="264"/>
  <c r="UHD6" i="264"/>
  <c r="UHC6" i="264"/>
  <c r="UHB6" i="264"/>
  <c r="UHA6" i="264"/>
  <c r="UGZ6" i="264"/>
  <c r="UGY6" i="264"/>
  <c r="UGX6" i="264"/>
  <c r="UGW6" i="264"/>
  <c r="UGV6" i="264"/>
  <c r="UGU6" i="264"/>
  <c r="UGT6" i="264"/>
  <c r="UGS6" i="264"/>
  <c r="UGR6" i="264"/>
  <c r="UGQ6" i="264"/>
  <c r="UGP6" i="264"/>
  <c r="UGO6" i="264"/>
  <c r="UGN6" i="264"/>
  <c r="UGM6" i="264"/>
  <c r="UGL6" i="264"/>
  <c r="UGK6" i="264"/>
  <c r="UGJ6" i="264"/>
  <c r="UGI6" i="264"/>
  <c r="UGH6" i="264"/>
  <c r="UGG6" i="264"/>
  <c r="UGF6" i="264"/>
  <c r="UGE6" i="264"/>
  <c r="UGD6" i="264"/>
  <c r="UGC6" i="264"/>
  <c r="UGB6" i="264"/>
  <c r="UGA6" i="264"/>
  <c r="UFZ6" i="264"/>
  <c r="UFY6" i="264"/>
  <c r="UFX6" i="264"/>
  <c r="UFW6" i="264"/>
  <c r="UFV6" i="264"/>
  <c r="UFU6" i="264"/>
  <c r="UFT6" i="264"/>
  <c r="UFS6" i="264"/>
  <c r="UFR6" i="264"/>
  <c r="UFQ6" i="264"/>
  <c r="UFP6" i="264"/>
  <c r="UFO6" i="264"/>
  <c r="UFN6" i="264"/>
  <c r="UFM6" i="264"/>
  <c r="UFL6" i="264"/>
  <c r="UFK6" i="264"/>
  <c r="UFJ6" i="264"/>
  <c r="UFI6" i="264"/>
  <c r="UFH6" i="264"/>
  <c r="UFG6" i="264"/>
  <c r="UFF6" i="264"/>
  <c r="UFE6" i="264"/>
  <c r="UFD6" i="264"/>
  <c r="UFC6" i="264"/>
  <c r="UFB6" i="264"/>
  <c r="UFA6" i="264"/>
  <c r="UEZ6" i="264"/>
  <c r="UEY6" i="264"/>
  <c r="UEX6" i="264"/>
  <c r="UEW6" i="264"/>
  <c r="UEV6" i="264"/>
  <c r="UEU6" i="264"/>
  <c r="UET6" i="264"/>
  <c r="UES6" i="264"/>
  <c r="UER6" i="264"/>
  <c r="UEQ6" i="264"/>
  <c r="UEP6" i="264"/>
  <c r="UEO6" i="264"/>
  <c r="UEN6" i="264"/>
  <c r="UEM6" i="264"/>
  <c r="UEL6" i="264"/>
  <c r="UEK6" i="264"/>
  <c r="UEJ6" i="264"/>
  <c r="UEI6" i="264"/>
  <c r="UEH6" i="264"/>
  <c r="UEG6" i="264"/>
  <c r="UEF6" i="264"/>
  <c r="UEE6" i="264"/>
  <c r="UED6" i="264"/>
  <c r="UEC6" i="264"/>
  <c r="UEB6" i="264"/>
  <c r="UEA6" i="264"/>
  <c r="UDZ6" i="264"/>
  <c r="UDY6" i="264"/>
  <c r="UDX6" i="264"/>
  <c r="UDW6" i="264"/>
  <c r="UDV6" i="264"/>
  <c r="UDU6" i="264"/>
  <c r="UDT6" i="264"/>
  <c r="UDS6" i="264"/>
  <c r="UDR6" i="264"/>
  <c r="UDQ6" i="264"/>
  <c r="UDP6" i="264"/>
  <c r="UDO6" i="264"/>
  <c r="UDN6" i="264"/>
  <c r="UDM6" i="264"/>
  <c r="UDL6" i="264"/>
  <c r="UDK6" i="264"/>
  <c r="UDJ6" i="264"/>
  <c r="UDI6" i="264"/>
  <c r="UDH6" i="264"/>
  <c r="UDG6" i="264"/>
  <c r="UDF6" i="264"/>
  <c r="UDE6" i="264"/>
  <c r="UDD6" i="264"/>
  <c r="UDC6" i="264"/>
  <c r="UDB6" i="264"/>
  <c r="UDA6" i="264"/>
  <c r="UCZ6" i="264"/>
  <c r="UCY6" i="264"/>
  <c r="UCX6" i="264"/>
  <c r="UCW6" i="264"/>
  <c r="UCV6" i="264"/>
  <c r="UCU6" i="264"/>
  <c r="UCT6" i="264"/>
  <c r="UCS6" i="264"/>
  <c r="UCR6" i="264"/>
  <c r="UCQ6" i="264"/>
  <c r="UCP6" i="264"/>
  <c r="UCO6" i="264"/>
  <c r="UCN6" i="264"/>
  <c r="UCM6" i="264"/>
  <c r="UCL6" i="264"/>
  <c r="UCK6" i="264"/>
  <c r="UCJ6" i="264"/>
  <c r="UCI6" i="264"/>
  <c r="UCH6" i="264"/>
  <c r="UCG6" i="264"/>
  <c r="UCF6" i="264"/>
  <c r="UCE6" i="264"/>
  <c r="UCD6" i="264"/>
  <c r="UCC6" i="264"/>
  <c r="UCB6" i="264"/>
  <c r="UCA6" i="264"/>
  <c r="UBZ6" i="264"/>
  <c r="UBY6" i="264"/>
  <c r="UBX6" i="264"/>
  <c r="UBW6" i="264"/>
  <c r="UBV6" i="264"/>
  <c r="UBU6" i="264"/>
  <c r="UBT6" i="264"/>
  <c r="UBS6" i="264"/>
  <c r="UBR6" i="264"/>
  <c r="UBQ6" i="264"/>
  <c r="UBP6" i="264"/>
  <c r="UBO6" i="264"/>
  <c r="UBN6" i="264"/>
  <c r="UBM6" i="264"/>
  <c r="UBL6" i="264"/>
  <c r="UBK6" i="264"/>
  <c r="UBJ6" i="264"/>
  <c r="UBI6" i="264"/>
  <c r="UBH6" i="264"/>
  <c r="UBG6" i="264"/>
  <c r="UBF6" i="264"/>
  <c r="UBE6" i="264"/>
  <c r="UBD6" i="264"/>
  <c r="UBC6" i="264"/>
  <c r="UBB6" i="264"/>
  <c r="UBA6" i="264"/>
  <c r="UAZ6" i="264"/>
  <c r="UAY6" i="264"/>
  <c r="UAX6" i="264"/>
  <c r="UAW6" i="264"/>
  <c r="UAV6" i="264"/>
  <c r="UAU6" i="264"/>
  <c r="UAT6" i="264"/>
  <c r="UAS6" i="264"/>
  <c r="UAR6" i="264"/>
  <c r="UAQ6" i="264"/>
  <c r="UAP6" i="264"/>
  <c r="UAO6" i="264"/>
  <c r="UAN6" i="264"/>
  <c r="UAM6" i="264"/>
  <c r="UAL6" i="264"/>
  <c r="UAK6" i="264"/>
  <c r="UAJ6" i="264"/>
  <c r="UAI6" i="264"/>
  <c r="UAH6" i="264"/>
  <c r="UAG6" i="264"/>
  <c r="UAF6" i="264"/>
  <c r="UAE6" i="264"/>
  <c r="UAD6" i="264"/>
  <c r="UAC6" i="264"/>
  <c r="UAB6" i="264"/>
  <c r="UAA6" i="264"/>
  <c r="TZZ6" i="264"/>
  <c r="TZY6" i="264"/>
  <c r="TZX6" i="264"/>
  <c r="TZW6" i="264"/>
  <c r="TZV6" i="264"/>
  <c r="TZU6" i="264"/>
  <c r="TZT6" i="264"/>
  <c r="TZS6" i="264"/>
  <c r="TZR6" i="264"/>
  <c r="TZQ6" i="264"/>
  <c r="TZP6" i="264"/>
  <c r="TZO6" i="264"/>
  <c r="TZN6" i="264"/>
  <c r="TZM6" i="264"/>
  <c r="TZL6" i="264"/>
  <c r="TZK6" i="264"/>
  <c r="TZJ6" i="264"/>
  <c r="TZI6" i="264"/>
  <c r="TZH6" i="264"/>
  <c r="TZG6" i="264"/>
  <c r="TZF6" i="264"/>
  <c r="TZE6" i="264"/>
  <c r="TZD6" i="264"/>
  <c r="TZC6" i="264"/>
  <c r="TZB6" i="264"/>
  <c r="TZA6" i="264"/>
  <c r="TYZ6" i="264"/>
  <c r="TYY6" i="264"/>
  <c r="TYX6" i="264"/>
  <c r="TYW6" i="264"/>
  <c r="TYV6" i="264"/>
  <c r="TYU6" i="264"/>
  <c r="TYT6" i="264"/>
  <c r="TYS6" i="264"/>
  <c r="TYR6" i="264"/>
  <c r="TYQ6" i="264"/>
  <c r="TYP6" i="264"/>
  <c r="TYO6" i="264"/>
  <c r="TYN6" i="264"/>
  <c r="TYM6" i="264"/>
  <c r="TYL6" i="264"/>
  <c r="TYK6" i="264"/>
  <c r="TYJ6" i="264"/>
  <c r="TYI6" i="264"/>
  <c r="TYH6" i="264"/>
  <c r="TYG6" i="264"/>
  <c r="TYF6" i="264"/>
  <c r="TYE6" i="264"/>
  <c r="TYD6" i="264"/>
  <c r="TYC6" i="264"/>
  <c r="TYB6" i="264"/>
  <c r="TYA6" i="264"/>
  <c r="TXZ6" i="264"/>
  <c r="TXY6" i="264"/>
  <c r="TXX6" i="264"/>
  <c r="TXW6" i="264"/>
  <c r="TXV6" i="264"/>
  <c r="TXU6" i="264"/>
  <c r="TXT6" i="264"/>
  <c r="TXS6" i="264"/>
  <c r="TXR6" i="264"/>
  <c r="TXQ6" i="264"/>
  <c r="TXP6" i="264"/>
  <c r="TXO6" i="264"/>
  <c r="TXN6" i="264"/>
  <c r="TXM6" i="264"/>
  <c r="TXL6" i="264"/>
  <c r="TXK6" i="264"/>
  <c r="TXJ6" i="264"/>
  <c r="TXI6" i="264"/>
  <c r="TXH6" i="264"/>
  <c r="TXG6" i="264"/>
  <c r="TXF6" i="264"/>
  <c r="TXE6" i="264"/>
  <c r="TXD6" i="264"/>
  <c r="TXC6" i="264"/>
  <c r="TXB6" i="264"/>
  <c r="TXA6" i="264"/>
  <c r="TWZ6" i="264"/>
  <c r="TWY6" i="264"/>
  <c r="TWX6" i="264"/>
  <c r="TWW6" i="264"/>
  <c r="TWV6" i="264"/>
  <c r="TWU6" i="264"/>
  <c r="TWT6" i="264"/>
  <c r="TWS6" i="264"/>
  <c r="TWR6" i="264"/>
  <c r="TWQ6" i="264"/>
  <c r="TWP6" i="264"/>
  <c r="TWO6" i="264"/>
  <c r="TWN6" i="264"/>
  <c r="TWM6" i="264"/>
  <c r="TWL6" i="264"/>
  <c r="TWK6" i="264"/>
  <c r="TWJ6" i="264"/>
  <c r="TWI6" i="264"/>
  <c r="TWH6" i="264"/>
  <c r="TWG6" i="264"/>
  <c r="TWF6" i="264"/>
  <c r="TWE6" i="264"/>
  <c r="TWD6" i="264"/>
  <c r="TWC6" i="264"/>
  <c r="TWB6" i="264"/>
  <c r="TWA6" i="264"/>
  <c r="TVZ6" i="264"/>
  <c r="TVY6" i="264"/>
  <c r="TVX6" i="264"/>
  <c r="TVW6" i="264"/>
  <c r="TVV6" i="264"/>
  <c r="TVU6" i="264"/>
  <c r="TVT6" i="264"/>
  <c r="TVS6" i="264"/>
  <c r="TVR6" i="264"/>
  <c r="TVQ6" i="264"/>
  <c r="TVP6" i="264"/>
  <c r="TVO6" i="264"/>
  <c r="TVN6" i="264"/>
  <c r="TVM6" i="264"/>
  <c r="TVL6" i="264"/>
  <c r="TVK6" i="264"/>
  <c r="TVJ6" i="264"/>
  <c r="TVI6" i="264"/>
  <c r="TVH6" i="264"/>
  <c r="TVG6" i="264"/>
  <c r="TVF6" i="264"/>
  <c r="TVE6" i="264"/>
  <c r="TVD6" i="264"/>
  <c r="TVC6" i="264"/>
  <c r="TVB6" i="264"/>
  <c r="TVA6" i="264"/>
  <c r="TUZ6" i="264"/>
  <c r="TUY6" i="264"/>
  <c r="TUX6" i="264"/>
  <c r="TUW6" i="264"/>
  <c r="TUV6" i="264"/>
  <c r="TUU6" i="264"/>
  <c r="TUT6" i="264"/>
  <c r="TUS6" i="264"/>
  <c r="TUR6" i="264"/>
  <c r="TUQ6" i="264"/>
  <c r="TUP6" i="264"/>
  <c r="TUO6" i="264"/>
  <c r="TUN6" i="264"/>
  <c r="TUM6" i="264"/>
  <c r="TUL6" i="264"/>
  <c r="TUK6" i="264"/>
  <c r="TUJ6" i="264"/>
  <c r="TUI6" i="264"/>
  <c r="TUH6" i="264"/>
  <c r="TUG6" i="264"/>
  <c r="TUF6" i="264"/>
  <c r="TUE6" i="264"/>
  <c r="TUD6" i="264"/>
  <c r="TUC6" i="264"/>
  <c r="TUB6" i="264"/>
  <c r="TUA6" i="264"/>
  <c r="TTZ6" i="264"/>
  <c r="TTY6" i="264"/>
  <c r="TTX6" i="264"/>
  <c r="TTW6" i="264"/>
  <c r="TTV6" i="264"/>
  <c r="TTU6" i="264"/>
  <c r="TTT6" i="264"/>
  <c r="TTS6" i="264"/>
  <c r="TTR6" i="264"/>
  <c r="TTQ6" i="264"/>
  <c r="TTP6" i="264"/>
  <c r="TTO6" i="264"/>
  <c r="TTN6" i="264"/>
  <c r="TTM6" i="264"/>
  <c r="TTL6" i="264"/>
  <c r="TTK6" i="264"/>
  <c r="TTJ6" i="264"/>
  <c r="TTI6" i="264"/>
  <c r="TTH6" i="264"/>
  <c r="TTG6" i="264"/>
  <c r="TTF6" i="264"/>
  <c r="TTE6" i="264"/>
  <c r="TTD6" i="264"/>
  <c r="TTC6" i="264"/>
  <c r="TTB6" i="264"/>
  <c r="TTA6" i="264"/>
  <c r="TSZ6" i="264"/>
  <c r="TSY6" i="264"/>
  <c r="TSX6" i="264"/>
  <c r="TSW6" i="264"/>
  <c r="TSV6" i="264"/>
  <c r="TSU6" i="264"/>
  <c r="TST6" i="264"/>
  <c r="TSS6" i="264"/>
  <c r="TSR6" i="264"/>
  <c r="TSQ6" i="264"/>
  <c r="TSP6" i="264"/>
  <c r="TSO6" i="264"/>
  <c r="TSN6" i="264"/>
  <c r="TSM6" i="264"/>
  <c r="TSL6" i="264"/>
  <c r="TSK6" i="264"/>
  <c r="TSJ6" i="264"/>
  <c r="TSI6" i="264"/>
  <c r="TSH6" i="264"/>
  <c r="TSG6" i="264"/>
  <c r="TSF6" i="264"/>
  <c r="TSE6" i="264"/>
  <c r="TSD6" i="264"/>
  <c r="TSC6" i="264"/>
  <c r="TSB6" i="264"/>
  <c r="TSA6" i="264"/>
  <c r="TRZ6" i="264"/>
  <c r="TRY6" i="264"/>
  <c r="TRX6" i="264"/>
  <c r="TRW6" i="264"/>
  <c r="TRV6" i="264"/>
  <c r="TRU6" i="264"/>
  <c r="TRT6" i="264"/>
  <c r="TRS6" i="264"/>
  <c r="TRR6" i="264"/>
  <c r="TRQ6" i="264"/>
  <c r="TRP6" i="264"/>
  <c r="TRO6" i="264"/>
  <c r="TRN6" i="264"/>
  <c r="TRM6" i="264"/>
  <c r="TRL6" i="264"/>
  <c r="TRK6" i="264"/>
  <c r="TRJ6" i="264"/>
  <c r="TRI6" i="264"/>
  <c r="TRH6" i="264"/>
  <c r="TRG6" i="264"/>
  <c r="TRF6" i="264"/>
  <c r="TRE6" i="264"/>
  <c r="TRD6" i="264"/>
  <c r="TRC6" i="264"/>
  <c r="TRB6" i="264"/>
  <c r="TRA6" i="264"/>
  <c r="TQZ6" i="264"/>
  <c r="TQY6" i="264"/>
  <c r="TQX6" i="264"/>
  <c r="TQW6" i="264"/>
  <c r="TQV6" i="264"/>
  <c r="TQU6" i="264"/>
  <c r="TQT6" i="264"/>
  <c r="TQS6" i="264"/>
  <c r="TQR6" i="264"/>
  <c r="TQQ6" i="264"/>
  <c r="TQP6" i="264"/>
  <c r="TQO6" i="264"/>
  <c r="TQN6" i="264"/>
  <c r="TQM6" i="264"/>
  <c r="TQL6" i="264"/>
  <c r="TQK6" i="264"/>
  <c r="TQJ6" i="264"/>
  <c r="TQI6" i="264"/>
  <c r="TQH6" i="264"/>
  <c r="TQG6" i="264"/>
  <c r="TQF6" i="264"/>
  <c r="TQE6" i="264"/>
  <c r="TQD6" i="264"/>
  <c r="TQC6" i="264"/>
  <c r="TQB6" i="264"/>
  <c r="TQA6" i="264"/>
  <c r="TPZ6" i="264"/>
  <c r="TPY6" i="264"/>
  <c r="TPX6" i="264"/>
  <c r="TPW6" i="264"/>
  <c r="TPV6" i="264"/>
  <c r="TPU6" i="264"/>
  <c r="TPT6" i="264"/>
  <c r="TPS6" i="264"/>
  <c r="TPR6" i="264"/>
  <c r="TPQ6" i="264"/>
  <c r="TPP6" i="264"/>
  <c r="TPO6" i="264"/>
  <c r="TPN6" i="264"/>
  <c r="TPM6" i="264"/>
  <c r="TPL6" i="264"/>
  <c r="TPK6" i="264"/>
  <c r="TPJ6" i="264"/>
  <c r="TPI6" i="264"/>
  <c r="TPH6" i="264"/>
  <c r="TPG6" i="264"/>
  <c r="TPF6" i="264"/>
  <c r="TPE6" i="264"/>
  <c r="TPD6" i="264"/>
  <c r="TPC6" i="264"/>
  <c r="TPB6" i="264"/>
  <c r="TPA6" i="264"/>
  <c r="TOZ6" i="264"/>
  <c r="TOY6" i="264"/>
  <c r="TOX6" i="264"/>
  <c r="TOW6" i="264"/>
  <c r="TOV6" i="264"/>
  <c r="TOU6" i="264"/>
  <c r="TOT6" i="264"/>
  <c r="TOS6" i="264"/>
  <c r="TOR6" i="264"/>
  <c r="TOQ6" i="264"/>
  <c r="TOP6" i="264"/>
  <c r="TOO6" i="264"/>
  <c r="TON6" i="264"/>
  <c r="TOM6" i="264"/>
  <c r="TOL6" i="264"/>
  <c r="TOK6" i="264"/>
  <c r="TOJ6" i="264"/>
  <c r="TOI6" i="264"/>
  <c r="TOH6" i="264"/>
  <c r="TOG6" i="264"/>
  <c r="TOF6" i="264"/>
  <c r="TOE6" i="264"/>
  <c r="TOD6" i="264"/>
  <c r="TOC6" i="264"/>
  <c r="TOB6" i="264"/>
  <c r="TOA6" i="264"/>
  <c r="TNZ6" i="264"/>
  <c r="TNY6" i="264"/>
  <c r="TNX6" i="264"/>
  <c r="TNW6" i="264"/>
  <c r="TNV6" i="264"/>
  <c r="TNU6" i="264"/>
  <c r="TNT6" i="264"/>
  <c r="TNS6" i="264"/>
  <c r="TNR6" i="264"/>
  <c r="TNQ6" i="264"/>
  <c r="TNP6" i="264"/>
  <c r="TNO6" i="264"/>
  <c r="TNN6" i="264"/>
  <c r="TNM6" i="264"/>
  <c r="TNL6" i="264"/>
  <c r="TNK6" i="264"/>
  <c r="TNJ6" i="264"/>
  <c r="TNI6" i="264"/>
  <c r="TNH6" i="264"/>
  <c r="TNG6" i="264"/>
  <c r="TNF6" i="264"/>
  <c r="TNE6" i="264"/>
  <c r="TND6" i="264"/>
  <c r="TNC6" i="264"/>
  <c r="TNB6" i="264"/>
  <c r="TNA6" i="264"/>
  <c r="TMZ6" i="264"/>
  <c r="TMY6" i="264"/>
  <c r="TMX6" i="264"/>
  <c r="TMW6" i="264"/>
  <c r="TMV6" i="264"/>
  <c r="TMU6" i="264"/>
  <c r="TMT6" i="264"/>
  <c r="TMS6" i="264"/>
  <c r="TMR6" i="264"/>
  <c r="TMQ6" i="264"/>
  <c r="TMP6" i="264"/>
  <c r="TMO6" i="264"/>
  <c r="TMN6" i="264"/>
  <c r="TMM6" i="264"/>
  <c r="TML6" i="264"/>
  <c r="TMK6" i="264"/>
  <c r="TMJ6" i="264"/>
  <c r="TMI6" i="264"/>
  <c r="TMH6" i="264"/>
  <c r="TMG6" i="264"/>
  <c r="TMF6" i="264"/>
  <c r="TME6" i="264"/>
  <c r="TMD6" i="264"/>
  <c r="TMC6" i="264"/>
  <c r="TMB6" i="264"/>
  <c r="TMA6" i="264"/>
  <c r="TLZ6" i="264"/>
  <c r="TLY6" i="264"/>
  <c r="TLX6" i="264"/>
  <c r="TLW6" i="264"/>
  <c r="TLV6" i="264"/>
  <c r="TLU6" i="264"/>
  <c r="TLT6" i="264"/>
  <c r="TLS6" i="264"/>
  <c r="TLR6" i="264"/>
  <c r="TLQ6" i="264"/>
  <c r="TLP6" i="264"/>
  <c r="TLO6" i="264"/>
  <c r="TLN6" i="264"/>
  <c r="TLM6" i="264"/>
  <c r="TLL6" i="264"/>
  <c r="TLK6" i="264"/>
  <c r="TLJ6" i="264"/>
  <c r="TLI6" i="264"/>
  <c r="TLH6" i="264"/>
  <c r="TLG6" i="264"/>
  <c r="TLF6" i="264"/>
  <c r="TLE6" i="264"/>
  <c r="TLD6" i="264"/>
  <c r="TLC6" i="264"/>
  <c r="TLB6" i="264"/>
  <c r="TLA6" i="264"/>
  <c r="TKZ6" i="264"/>
  <c r="TKY6" i="264"/>
  <c r="TKX6" i="264"/>
  <c r="TKW6" i="264"/>
  <c r="TKV6" i="264"/>
  <c r="TKU6" i="264"/>
  <c r="TKT6" i="264"/>
  <c r="TKS6" i="264"/>
  <c r="TKR6" i="264"/>
  <c r="TKQ6" i="264"/>
  <c r="TKP6" i="264"/>
  <c r="TKO6" i="264"/>
  <c r="TKN6" i="264"/>
  <c r="TKM6" i="264"/>
  <c r="TKL6" i="264"/>
  <c r="TKK6" i="264"/>
  <c r="TKJ6" i="264"/>
  <c r="TKI6" i="264"/>
  <c r="TKH6" i="264"/>
  <c r="TKG6" i="264"/>
  <c r="TKF6" i="264"/>
  <c r="TKE6" i="264"/>
  <c r="TKD6" i="264"/>
  <c r="TKC6" i="264"/>
  <c r="TKB6" i="264"/>
  <c r="TKA6" i="264"/>
  <c r="TJZ6" i="264"/>
  <c r="TJY6" i="264"/>
  <c r="TJX6" i="264"/>
  <c r="TJW6" i="264"/>
  <c r="TJV6" i="264"/>
  <c r="TJU6" i="264"/>
  <c r="TJT6" i="264"/>
  <c r="TJS6" i="264"/>
  <c r="TJR6" i="264"/>
  <c r="TJQ6" i="264"/>
  <c r="TJP6" i="264"/>
  <c r="TJO6" i="264"/>
  <c r="TJN6" i="264"/>
  <c r="TJM6" i="264"/>
  <c r="TJL6" i="264"/>
  <c r="TJK6" i="264"/>
  <c r="TJJ6" i="264"/>
  <c r="TJI6" i="264"/>
  <c r="TJH6" i="264"/>
  <c r="TJG6" i="264"/>
  <c r="TJF6" i="264"/>
  <c r="TJE6" i="264"/>
  <c r="TJD6" i="264"/>
  <c r="TJC6" i="264"/>
  <c r="TJB6" i="264"/>
  <c r="TJA6" i="264"/>
  <c r="TIZ6" i="264"/>
  <c r="TIY6" i="264"/>
  <c r="TIX6" i="264"/>
  <c r="TIW6" i="264"/>
  <c r="TIV6" i="264"/>
  <c r="TIU6" i="264"/>
  <c r="TIT6" i="264"/>
  <c r="TIS6" i="264"/>
  <c r="TIR6" i="264"/>
  <c r="TIQ6" i="264"/>
  <c r="TIP6" i="264"/>
  <c r="TIO6" i="264"/>
  <c r="TIN6" i="264"/>
  <c r="TIM6" i="264"/>
  <c r="TIL6" i="264"/>
  <c r="TIK6" i="264"/>
  <c r="TIJ6" i="264"/>
  <c r="TII6" i="264"/>
  <c r="TIH6" i="264"/>
  <c r="TIG6" i="264"/>
  <c r="TIF6" i="264"/>
  <c r="TIE6" i="264"/>
  <c r="TID6" i="264"/>
  <c r="TIC6" i="264"/>
  <c r="TIB6" i="264"/>
  <c r="TIA6" i="264"/>
  <c r="THZ6" i="264"/>
  <c r="THY6" i="264"/>
  <c r="THX6" i="264"/>
  <c r="THW6" i="264"/>
  <c r="THV6" i="264"/>
  <c r="THU6" i="264"/>
  <c r="THT6" i="264"/>
  <c r="THS6" i="264"/>
  <c r="THR6" i="264"/>
  <c r="THQ6" i="264"/>
  <c r="THP6" i="264"/>
  <c r="THO6" i="264"/>
  <c r="THN6" i="264"/>
  <c r="THM6" i="264"/>
  <c r="THL6" i="264"/>
  <c r="THK6" i="264"/>
  <c r="THJ6" i="264"/>
  <c r="THI6" i="264"/>
  <c r="THH6" i="264"/>
  <c r="THG6" i="264"/>
  <c r="THF6" i="264"/>
  <c r="THE6" i="264"/>
  <c r="THD6" i="264"/>
  <c r="THC6" i="264"/>
  <c r="THB6" i="264"/>
  <c r="THA6" i="264"/>
  <c r="TGZ6" i="264"/>
  <c r="TGY6" i="264"/>
  <c r="TGX6" i="264"/>
  <c r="TGW6" i="264"/>
  <c r="TGV6" i="264"/>
  <c r="TGU6" i="264"/>
  <c r="TGT6" i="264"/>
  <c r="TGS6" i="264"/>
  <c r="TGR6" i="264"/>
  <c r="TGQ6" i="264"/>
  <c r="TGP6" i="264"/>
  <c r="TGO6" i="264"/>
  <c r="TGN6" i="264"/>
  <c r="TGM6" i="264"/>
  <c r="TGL6" i="264"/>
  <c r="TGK6" i="264"/>
  <c r="TGJ6" i="264"/>
  <c r="TGI6" i="264"/>
  <c r="TGH6" i="264"/>
  <c r="TGG6" i="264"/>
  <c r="TGF6" i="264"/>
  <c r="TGE6" i="264"/>
  <c r="TGD6" i="264"/>
  <c r="TGC6" i="264"/>
  <c r="TGB6" i="264"/>
  <c r="TGA6" i="264"/>
  <c r="TFZ6" i="264"/>
  <c r="TFY6" i="264"/>
  <c r="TFX6" i="264"/>
  <c r="TFW6" i="264"/>
  <c r="TFV6" i="264"/>
  <c r="TFU6" i="264"/>
  <c r="TFT6" i="264"/>
  <c r="TFS6" i="264"/>
  <c r="TFR6" i="264"/>
  <c r="TFQ6" i="264"/>
  <c r="TFP6" i="264"/>
  <c r="TFO6" i="264"/>
  <c r="TFN6" i="264"/>
  <c r="TFM6" i="264"/>
  <c r="TFL6" i="264"/>
  <c r="TFK6" i="264"/>
  <c r="TFJ6" i="264"/>
  <c r="TFI6" i="264"/>
  <c r="TFH6" i="264"/>
  <c r="TFG6" i="264"/>
  <c r="TFF6" i="264"/>
  <c r="TFE6" i="264"/>
  <c r="TFD6" i="264"/>
  <c r="TFC6" i="264"/>
  <c r="TFB6" i="264"/>
  <c r="TFA6" i="264"/>
  <c r="TEZ6" i="264"/>
  <c r="TEY6" i="264"/>
  <c r="TEX6" i="264"/>
  <c r="TEW6" i="264"/>
  <c r="TEV6" i="264"/>
  <c r="TEU6" i="264"/>
  <c r="TET6" i="264"/>
  <c r="TES6" i="264"/>
  <c r="TER6" i="264"/>
  <c r="TEQ6" i="264"/>
  <c r="TEP6" i="264"/>
  <c r="TEO6" i="264"/>
  <c r="TEN6" i="264"/>
  <c r="TEM6" i="264"/>
  <c r="TEL6" i="264"/>
  <c r="TEK6" i="264"/>
  <c r="TEJ6" i="264"/>
  <c r="TEI6" i="264"/>
  <c r="TEH6" i="264"/>
  <c r="TEG6" i="264"/>
  <c r="TEF6" i="264"/>
  <c r="TEE6" i="264"/>
  <c r="TED6" i="264"/>
  <c r="TEC6" i="264"/>
  <c r="TEB6" i="264"/>
  <c r="TEA6" i="264"/>
  <c r="TDZ6" i="264"/>
  <c r="TDY6" i="264"/>
  <c r="TDX6" i="264"/>
  <c r="TDW6" i="264"/>
  <c r="TDV6" i="264"/>
  <c r="TDU6" i="264"/>
  <c r="TDT6" i="264"/>
  <c r="TDS6" i="264"/>
  <c r="TDR6" i="264"/>
  <c r="TDQ6" i="264"/>
  <c r="TDP6" i="264"/>
  <c r="TDO6" i="264"/>
  <c r="TDN6" i="264"/>
  <c r="TDM6" i="264"/>
  <c r="TDL6" i="264"/>
  <c r="TDK6" i="264"/>
  <c r="TDJ6" i="264"/>
  <c r="TDI6" i="264"/>
  <c r="TDH6" i="264"/>
  <c r="TDG6" i="264"/>
  <c r="TDF6" i="264"/>
  <c r="TDE6" i="264"/>
  <c r="TDD6" i="264"/>
  <c r="TDC6" i="264"/>
  <c r="TDB6" i="264"/>
  <c r="TDA6" i="264"/>
  <c r="TCZ6" i="264"/>
  <c r="TCY6" i="264"/>
  <c r="TCX6" i="264"/>
  <c r="TCW6" i="264"/>
  <c r="TCV6" i="264"/>
  <c r="TCU6" i="264"/>
  <c r="TCT6" i="264"/>
  <c r="TCS6" i="264"/>
  <c r="TCR6" i="264"/>
  <c r="TCQ6" i="264"/>
  <c r="TCP6" i="264"/>
  <c r="TCO6" i="264"/>
  <c r="TCN6" i="264"/>
  <c r="TCM6" i="264"/>
  <c r="TCL6" i="264"/>
  <c r="TCK6" i="264"/>
  <c r="TCJ6" i="264"/>
  <c r="TCI6" i="264"/>
  <c r="TCH6" i="264"/>
  <c r="TCG6" i="264"/>
  <c r="TCF6" i="264"/>
  <c r="TCE6" i="264"/>
  <c r="TCD6" i="264"/>
  <c r="TCC6" i="264"/>
  <c r="TCB6" i="264"/>
  <c r="TCA6" i="264"/>
  <c r="TBZ6" i="264"/>
  <c r="TBY6" i="264"/>
  <c r="TBX6" i="264"/>
  <c r="TBW6" i="264"/>
  <c r="TBV6" i="264"/>
  <c r="TBU6" i="264"/>
  <c r="TBT6" i="264"/>
  <c r="TBS6" i="264"/>
  <c r="TBR6" i="264"/>
  <c r="TBQ6" i="264"/>
  <c r="TBP6" i="264"/>
  <c r="TBO6" i="264"/>
  <c r="TBN6" i="264"/>
  <c r="TBM6" i="264"/>
  <c r="TBL6" i="264"/>
  <c r="TBK6" i="264"/>
  <c r="TBJ6" i="264"/>
  <c r="TBI6" i="264"/>
  <c r="TBH6" i="264"/>
  <c r="TBG6" i="264"/>
  <c r="TBF6" i="264"/>
  <c r="TBE6" i="264"/>
  <c r="TBD6" i="264"/>
  <c r="TBC6" i="264"/>
  <c r="TBB6" i="264"/>
  <c r="TBA6" i="264"/>
  <c r="TAZ6" i="264"/>
  <c r="TAY6" i="264"/>
  <c r="TAX6" i="264"/>
  <c r="TAW6" i="264"/>
  <c r="TAV6" i="264"/>
  <c r="TAU6" i="264"/>
  <c r="TAT6" i="264"/>
  <c r="TAS6" i="264"/>
  <c r="TAR6" i="264"/>
  <c r="TAQ6" i="264"/>
  <c r="TAP6" i="264"/>
  <c r="TAO6" i="264"/>
  <c r="TAN6" i="264"/>
  <c r="TAM6" i="264"/>
  <c r="TAL6" i="264"/>
  <c r="TAK6" i="264"/>
  <c r="TAJ6" i="264"/>
  <c r="TAI6" i="264"/>
  <c r="TAH6" i="264"/>
  <c r="TAG6" i="264"/>
  <c r="TAF6" i="264"/>
  <c r="TAE6" i="264"/>
  <c r="TAD6" i="264"/>
  <c r="TAC6" i="264"/>
  <c r="TAB6" i="264"/>
  <c r="TAA6" i="264"/>
  <c r="SZZ6" i="264"/>
  <c r="SZY6" i="264"/>
  <c r="SZX6" i="264"/>
  <c r="SZW6" i="264"/>
  <c r="SZV6" i="264"/>
  <c r="SZU6" i="264"/>
  <c r="SZT6" i="264"/>
  <c r="SZS6" i="264"/>
  <c r="SZR6" i="264"/>
  <c r="SZQ6" i="264"/>
  <c r="SZP6" i="264"/>
  <c r="SZO6" i="264"/>
  <c r="SZN6" i="264"/>
  <c r="SZM6" i="264"/>
  <c r="SZL6" i="264"/>
  <c r="SZK6" i="264"/>
  <c r="SZJ6" i="264"/>
  <c r="SZI6" i="264"/>
  <c r="SZH6" i="264"/>
  <c r="SZG6" i="264"/>
  <c r="SZF6" i="264"/>
  <c r="SZE6" i="264"/>
  <c r="SZD6" i="264"/>
  <c r="SZC6" i="264"/>
  <c r="SZB6" i="264"/>
  <c r="SZA6" i="264"/>
  <c r="SYZ6" i="264"/>
  <c r="SYY6" i="264"/>
  <c r="SYX6" i="264"/>
  <c r="SYW6" i="264"/>
  <c r="SYV6" i="264"/>
  <c r="SYU6" i="264"/>
  <c r="SYT6" i="264"/>
  <c r="SYS6" i="264"/>
  <c r="SYR6" i="264"/>
  <c r="SYQ6" i="264"/>
  <c r="SYP6" i="264"/>
  <c r="SYO6" i="264"/>
  <c r="SYN6" i="264"/>
  <c r="SYM6" i="264"/>
  <c r="SYL6" i="264"/>
  <c r="SYK6" i="264"/>
  <c r="SYJ6" i="264"/>
  <c r="SYI6" i="264"/>
  <c r="SYH6" i="264"/>
  <c r="SYG6" i="264"/>
  <c r="SYF6" i="264"/>
  <c r="SYE6" i="264"/>
  <c r="SYD6" i="264"/>
  <c r="SYC6" i="264"/>
  <c r="SYB6" i="264"/>
  <c r="SYA6" i="264"/>
  <c r="SXZ6" i="264"/>
  <c r="SXY6" i="264"/>
  <c r="SXX6" i="264"/>
  <c r="SXW6" i="264"/>
  <c r="SXV6" i="264"/>
  <c r="SXU6" i="264"/>
  <c r="SXT6" i="264"/>
  <c r="SXS6" i="264"/>
  <c r="SXR6" i="264"/>
  <c r="SXQ6" i="264"/>
  <c r="SXP6" i="264"/>
  <c r="SXO6" i="264"/>
  <c r="SXN6" i="264"/>
  <c r="SXM6" i="264"/>
  <c r="SXL6" i="264"/>
  <c r="SXK6" i="264"/>
  <c r="SXJ6" i="264"/>
  <c r="SXI6" i="264"/>
  <c r="SXH6" i="264"/>
  <c r="SXG6" i="264"/>
  <c r="SXF6" i="264"/>
  <c r="SXE6" i="264"/>
  <c r="SXD6" i="264"/>
  <c r="SXC6" i="264"/>
  <c r="SXB6" i="264"/>
  <c r="SXA6" i="264"/>
  <c r="SWZ6" i="264"/>
  <c r="SWY6" i="264"/>
  <c r="SWX6" i="264"/>
  <c r="SWW6" i="264"/>
  <c r="SWV6" i="264"/>
  <c r="SWU6" i="264"/>
  <c r="SWT6" i="264"/>
  <c r="SWS6" i="264"/>
  <c r="SWR6" i="264"/>
  <c r="SWQ6" i="264"/>
  <c r="SWP6" i="264"/>
  <c r="SWO6" i="264"/>
  <c r="SWN6" i="264"/>
  <c r="SWM6" i="264"/>
  <c r="SWL6" i="264"/>
  <c r="SWK6" i="264"/>
  <c r="SWJ6" i="264"/>
  <c r="SWI6" i="264"/>
  <c r="SWH6" i="264"/>
  <c r="SWG6" i="264"/>
  <c r="SWF6" i="264"/>
  <c r="SWE6" i="264"/>
  <c r="SWD6" i="264"/>
  <c r="SWC6" i="264"/>
  <c r="SWB6" i="264"/>
  <c r="SWA6" i="264"/>
  <c r="SVZ6" i="264"/>
  <c r="SVY6" i="264"/>
  <c r="SVX6" i="264"/>
  <c r="SVW6" i="264"/>
  <c r="SVV6" i="264"/>
  <c r="SVU6" i="264"/>
  <c r="SVT6" i="264"/>
  <c r="SVS6" i="264"/>
  <c r="SVR6" i="264"/>
  <c r="SVQ6" i="264"/>
  <c r="SVP6" i="264"/>
  <c r="SVO6" i="264"/>
  <c r="SVN6" i="264"/>
  <c r="SVM6" i="264"/>
  <c r="SVL6" i="264"/>
  <c r="SVK6" i="264"/>
  <c r="SVJ6" i="264"/>
  <c r="SVI6" i="264"/>
  <c r="SVH6" i="264"/>
  <c r="SVG6" i="264"/>
  <c r="SVF6" i="264"/>
  <c r="SVE6" i="264"/>
  <c r="SVD6" i="264"/>
  <c r="SVC6" i="264"/>
  <c r="SVB6" i="264"/>
  <c r="SVA6" i="264"/>
  <c r="SUZ6" i="264"/>
  <c r="SUY6" i="264"/>
  <c r="SUX6" i="264"/>
  <c r="SUW6" i="264"/>
  <c r="SUV6" i="264"/>
  <c r="SUU6" i="264"/>
  <c r="SUT6" i="264"/>
  <c r="SUS6" i="264"/>
  <c r="SUR6" i="264"/>
  <c r="SUQ6" i="264"/>
  <c r="SUP6" i="264"/>
  <c r="SUO6" i="264"/>
  <c r="SUN6" i="264"/>
  <c r="SUM6" i="264"/>
  <c r="SUL6" i="264"/>
  <c r="SUK6" i="264"/>
  <c r="SUJ6" i="264"/>
  <c r="SUI6" i="264"/>
  <c r="SUH6" i="264"/>
  <c r="SUG6" i="264"/>
  <c r="SUF6" i="264"/>
  <c r="SUE6" i="264"/>
  <c r="SUD6" i="264"/>
  <c r="SUC6" i="264"/>
  <c r="SUB6" i="264"/>
  <c r="SUA6" i="264"/>
  <c r="STZ6" i="264"/>
  <c r="STY6" i="264"/>
  <c r="STX6" i="264"/>
  <c r="STW6" i="264"/>
  <c r="STV6" i="264"/>
  <c r="STU6" i="264"/>
  <c r="STT6" i="264"/>
  <c r="STS6" i="264"/>
  <c r="STR6" i="264"/>
  <c r="STQ6" i="264"/>
  <c r="STP6" i="264"/>
  <c r="STO6" i="264"/>
  <c r="STN6" i="264"/>
  <c r="STM6" i="264"/>
  <c r="STL6" i="264"/>
  <c r="STK6" i="264"/>
  <c r="STJ6" i="264"/>
  <c r="STI6" i="264"/>
  <c r="STH6" i="264"/>
  <c r="STG6" i="264"/>
  <c r="STF6" i="264"/>
  <c r="STE6" i="264"/>
  <c r="STD6" i="264"/>
  <c r="STC6" i="264"/>
  <c r="STB6" i="264"/>
  <c r="STA6" i="264"/>
  <c r="SSZ6" i="264"/>
  <c r="SSY6" i="264"/>
  <c r="SSX6" i="264"/>
  <c r="SSW6" i="264"/>
  <c r="SSV6" i="264"/>
  <c r="SSU6" i="264"/>
  <c r="SST6" i="264"/>
  <c r="SSS6" i="264"/>
  <c r="SSR6" i="264"/>
  <c r="SSQ6" i="264"/>
  <c r="SSP6" i="264"/>
  <c r="SSO6" i="264"/>
  <c r="SSN6" i="264"/>
  <c r="SSM6" i="264"/>
  <c r="SSL6" i="264"/>
  <c r="SSK6" i="264"/>
  <c r="SSJ6" i="264"/>
  <c r="SSI6" i="264"/>
  <c r="SSH6" i="264"/>
  <c r="SSG6" i="264"/>
  <c r="SSF6" i="264"/>
  <c r="SSE6" i="264"/>
  <c r="SSD6" i="264"/>
  <c r="SSC6" i="264"/>
  <c r="SSB6" i="264"/>
  <c r="SSA6" i="264"/>
  <c r="SRZ6" i="264"/>
  <c r="SRY6" i="264"/>
  <c r="SRX6" i="264"/>
  <c r="SRW6" i="264"/>
  <c r="SRV6" i="264"/>
  <c r="SRU6" i="264"/>
  <c r="SRT6" i="264"/>
  <c r="SRS6" i="264"/>
  <c r="SRR6" i="264"/>
  <c r="SRQ6" i="264"/>
  <c r="SRP6" i="264"/>
  <c r="SRO6" i="264"/>
  <c r="SRN6" i="264"/>
  <c r="SRM6" i="264"/>
  <c r="SRL6" i="264"/>
  <c r="SRK6" i="264"/>
  <c r="SRJ6" i="264"/>
  <c r="SRI6" i="264"/>
  <c r="SRH6" i="264"/>
  <c r="SRG6" i="264"/>
  <c r="SRF6" i="264"/>
  <c r="SRE6" i="264"/>
  <c r="SRD6" i="264"/>
  <c r="SRC6" i="264"/>
  <c r="SRB6" i="264"/>
  <c r="SRA6" i="264"/>
  <c r="SQZ6" i="264"/>
  <c r="SQY6" i="264"/>
  <c r="SQX6" i="264"/>
  <c r="SQW6" i="264"/>
  <c r="SQV6" i="264"/>
  <c r="SQU6" i="264"/>
  <c r="SQT6" i="264"/>
  <c r="SQS6" i="264"/>
  <c r="SQR6" i="264"/>
  <c r="SQQ6" i="264"/>
  <c r="SQP6" i="264"/>
  <c r="SQO6" i="264"/>
  <c r="SQN6" i="264"/>
  <c r="SQM6" i="264"/>
  <c r="SQL6" i="264"/>
  <c r="SQK6" i="264"/>
  <c r="SQJ6" i="264"/>
  <c r="SQI6" i="264"/>
  <c r="SQH6" i="264"/>
  <c r="SQG6" i="264"/>
  <c r="SQF6" i="264"/>
  <c r="SQE6" i="264"/>
  <c r="SQD6" i="264"/>
  <c r="SQC6" i="264"/>
  <c r="SQB6" i="264"/>
  <c r="SQA6" i="264"/>
  <c r="SPZ6" i="264"/>
  <c r="SPY6" i="264"/>
  <c r="SPX6" i="264"/>
  <c r="SPW6" i="264"/>
  <c r="SPV6" i="264"/>
  <c r="SPU6" i="264"/>
  <c r="SPT6" i="264"/>
  <c r="SPS6" i="264"/>
  <c r="SPR6" i="264"/>
  <c r="SPQ6" i="264"/>
  <c r="SPP6" i="264"/>
  <c r="SPO6" i="264"/>
  <c r="SPN6" i="264"/>
  <c r="SPM6" i="264"/>
  <c r="SPL6" i="264"/>
  <c r="SPK6" i="264"/>
  <c r="SPJ6" i="264"/>
  <c r="SPI6" i="264"/>
  <c r="SPH6" i="264"/>
  <c r="SPG6" i="264"/>
  <c r="SPF6" i="264"/>
  <c r="SPE6" i="264"/>
  <c r="SPD6" i="264"/>
  <c r="SPC6" i="264"/>
  <c r="SPB6" i="264"/>
  <c r="SPA6" i="264"/>
  <c r="SOZ6" i="264"/>
  <c r="SOY6" i="264"/>
  <c r="SOX6" i="264"/>
  <c r="SOW6" i="264"/>
  <c r="SOV6" i="264"/>
  <c r="SOU6" i="264"/>
  <c r="SOT6" i="264"/>
  <c r="SOS6" i="264"/>
  <c r="SOR6" i="264"/>
  <c r="SOQ6" i="264"/>
  <c r="SOP6" i="264"/>
  <c r="SOO6" i="264"/>
  <c r="SON6" i="264"/>
  <c r="SOM6" i="264"/>
  <c r="SOL6" i="264"/>
  <c r="SOK6" i="264"/>
  <c r="SOJ6" i="264"/>
  <c r="SOI6" i="264"/>
  <c r="SOH6" i="264"/>
  <c r="SOG6" i="264"/>
  <c r="SOF6" i="264"/>
  <c r="SOE6" i="264"/>
  <c r="SOD6" i="264"/>
  <c r="SOC6" i="264"/>
  <c r="SOB6" i="264"/>
  <c r="SOA6" i="264"/>
  <c r="SNZ6" i="264"/>
  <c r="SNY6" i="264"/>
  <c r="SNX6" i="264"/>
  <c r="SNW6" i="264"/>
  <c r="SNV6" i="264"/>
  <c r="SNU6" i="264"/>
  <c r="SNT6" i="264"/>
  <c r="SNS6" i="264"/>
  <c r="SNR6" i="264"/>
  <c r="SNQ6" i="264"/>
  <c r="SNP6" i="264"/>
  <c r="SNO6" i="264"/>
  <c r="SNN6" i="264"/>
  <c r="SNM6" i="264"/>
  <c r="SNL6" i="264"/>
  <c r="SNK6" i="264"/>
  <c r="SNJ6" i="264"/>
  <c r="SNI6" i="264"/>
  <c r="SNH6" i="264"/>
  <c r="SNG6" i="264"/>
  <c r="SNF6" i="264"/>
  <c r="SNE6" i="264"/>
  <c r="SND6" i="264"/>
  <c r="SNC6" i="264"/>
  <c r="SNB6" i="264"/>
  <c r="SNA6" i="264"/>
  <c r="SMZ6" i="264"/>
  <c r="SMY6" i="264"/>
  <c r="SMX6" i="264"/>
  <c r="SMW6" i="264"/>
  <c r="SMV6" i="264"/>
  <c r="SMU6" i="264"/>
  <c r="SMT6" i="264"/>
  <c r="SMS6" i="264"/>
  <c r="SMR6" i="264"/>
  <c r="SMQ6" i="264"/>
  <c r="SMP6" i="264"/>
  <c r="SMO6" i="264"/>
  <c r="SMN6" i="264"/>
  <c r="SMM6" i="264"/>
  <c r="SML6" i="264"/>
  <c r="SMK6" i="264"/>
  <c r="SMJ6" i="264"/>
  <c r="SMI6" i="264"/>
  <c r="SMH6" i="264"/>
  <c r="SMG6" i="264"/>
  <c r="SMF6" i="264"/>
  <c r="SME6" i="264"/>
  <c r="SMD6" i="264"/>
  <c r="SMC6" i="264"/>
  <c r="SMB6" i="264"/>
  <c r="SMA6" i="264"/>
  <c r="SLZ6" i="264"/>
  <c r="SLY6" i="264"/>
  <c r="SLX6" i="264"/>
  <c r="SLW6" i="264"/>
  <c r="SLV6" i="264"/>
  <c r="SLU6" i="264"/>
  <c r="SLT6" i="264"/>
  <c r="SLS6" i="264"/>
  <c r="SLR6" i="264"/>
  <c r="SLQ6" i="264"/>
  <c r="SLP6" i="264"/>
  <c r="SLO6" i="264"/>
  <c r="SLN6" i="264"/>
  <c r="SLM6" i="264"/>
  <c r="SLL6" i="264"/>
  <c r="SLK6" i="264"/>
  <c r="SLJ6" i="264"/>
  <c r="SLI6" i="264"/>
  <c r="SLH6" i="264"/>
  <c r="SLG6" i="264"/>
  <c r="SLF6" i="264"/>
  <c r="SLE6" i="264"/>
  <c r="SLD6" i="264"/>
  <c r="SLC6" i="264"/>
  <c r="SLB6" i="264"/>
  <c r="SLA6" i="264"/>
  <c r="SKZ6" i="264"/>
  <c r="SKY6" i="264"/>
  <c r="SKX6" i="264"/>
  <c r="SKW6" i="264"/>
  <c r="SKV6" i="264"/>
  <c r="SKU6" i="264"/>
  <c r="SKT6" i="264"/>
  <c r="SKS6" i="264"/>
  <c r="SKR6" i="264"/>
  <c r="SKQ6" i="264"/>
  <c r="SKP6" i="264"/>
  <c r="SKO6" i="264"/>
  <c r="SKN6" i="264"/>
  <c r="SKM6" i="264"/>
  <c r="SKL6" i="264"/>
  <c r="SKK6" i="264"/>
  <c r="SKJ6" i="264"/>
  <c r="SKI6" i="264"/>
  <c r="SKH6" i="264"/>
  <c r="SKG6" i="264"/>
  <c r="SKF6" i="264"/>
  <c r="SKE6" i="264"/>
  <c r="SKD6" i="264"/>
  <c r="SKC6" i="264"/>
  <c r="SKB6" i="264"/>
  <c r="SKA6" i="264"/>
  <c r="SJZ6" i="264"/>
  <c r="SJY6" i="264"/>
  <c r="SJX6" i="264"/>
  <c r="SJW6" i="264"/>
  <c r="SJV6" i="264"/>
  <c r="SJU6" i="264"/>
  <c r="SJT6" i="264"/>
  <c r="SJS6" i="264"/>
  <c r="SJR6" i="264"/>
  <c r="SJQ6" i="264"/>
  <c r="SJP6" i="264"/>
  <c r="SJO6" i="264"/>
  <c r="SJN6" i="264"/>
  <c r="SJM6" i="264"/>
  <c r="SJL6" i="264"/>
  <c r="SJK6" i="264"/>
  <c r="SJJ6" i="264"/>
  <c r="SJI6" i="264"/>
  <c r="SJH6" i="264"/>
  <c r="SJG6" i="264"/>
  <c r="SJF6" i="264"/>
  <c r="SJE6" i="264"/>
  <c r="SJD6" i="264"/>
  <c r="SJC6" i="264"/>
  <c r="SJB6" i="264"/>
  <c r="SJA6" i="264"/>
  <c r="SIZ6" i="264"/>
  <c r="SIY6" i="264"/>
  <c r="SIX6" i="264"/>
  <c r="SIW6" i="264"/>
  <c r="SIV6" i="264"/>
  <c r="SIU6" i="264"/>
  <c r="SIT6" i="264"/>
  <c r="SIS6" i="264"/>
  <c r="SIR6" i="264"/>
  <c r="SIQ6" i="264"/>
  <c r="SIP6" i="264"/>
  <c r="SIO6" i="264"/>
  <c r="SIN6" i="264"/>
  <c r="SIM6" i="264"/>
  <c r="SIL6" i="264"/>
  <c r="SIK6" i="264"/>
  <c r="SIJ6" i="264"/>
  <c r="SII6" i="264"/>
  <c r="SIH6" i="264"/>
  <c r="SIG6" i="264"/>
  <c r="SIF6" i="264"/>
  <c r="SIE6" i="264"/>
  <c r="SID6" i="264"/>
  <c r="SIC6" i="264"/>
  <c r="SIB6" i="264"/>
  <c r="SIA6" i="264"/>
  <c r="SHZ6" i="264"/>
  <c r="SHY6" i="264"/>
  <c r="SHX6" i="264"/>
  <c r="SHW6" i="264"/>
  <c r="SHV6" i="264"/>
  <c r="SHU6" i="264"/>
  <c r="SHT6" i="264"/>
  <c r="SHS6" i="264"/>
  <c r="SHR6" i="264"/>
  <c r="SHQ6" i="264"/>
  <c r="SHP6" i="264"/>
  <c r="SHO6" i="264"/>
  <c r="SHN6" i="264"/>
  <c r="SHM6" i="264"/>
  <c r="SHL6" i="264"/>
  <c r="SHK6" i="264"/>
  <c r="SHJ6" i="264"/>
  <c r="SHI6" i="264"/>
  <c r="SHH6" i="264"/>
  <c r="SHG6" i="264"/>
  <c r="SHF6" i="264"/>
  <c r="SHE6" i="264"/>
  <c r="SHD6" i="264"/>
  <c r="SHC6" i="264"/>
  <c r="SHB6" i="264"/>
  <c r="SHA6" i="264"/>
  <c r="SGZ6" i="264"/>
  <c r="SGY6" i="264"/>
  <c r="SGX6" i="264"/>
  <c r="SGW6" i="264"/>
  <c r="SGV6" i="264"/>
  <c r="SGU6" i="264"/>
  <c r="SGT6" i="264"/>
  <c r="SGS6" i="264"/>
  <c r="SGR6" i="264"/>
  <c r="SGQ6" i="264"/>
  <c r="SGP6" i="264"/>
  <c r="SGO6" i="264"/>
  <c r="SGN6" i="264"/>
  <c r="SGM6" i="264"/>
  <c r="SGL6" i="264"/>
  <c r="SGK6" i="264"/>
  <c r="SGJ6" i="264"/>
  <c r="SGI6" i="264"/>
  <c r="SGH6" i="264"/>
  <c r="SGG6" i="264"/>
  <c r="SGF6" i="264"/>
  <c r="SGE6" i="264"/>
  <c r="SGD6" i="264"/>
  <c r="SGC6" i="264"/>
  <c r="SGB6" i="264"/>
  <c r="SGA6" i="264"/>
  <c r="SFZ6" i="264"/>
  <c r="SFY6" i="264"/>
  <c r="SFX6" i="264"/>
  <c r="SFW6" i="264"/>
  <c r="SFV6" i="264"/>
  <c r="SFU6" i="264"/>
  <c r="SFT6" i="264"/>
  <c r="SFS6" i="264"/>
  <c r="SFR6" i="264"/>
  <c r="SFQ6" i="264"/>
  <c r="SFP6" i="264"/>
  <c r="SFO6" i="264"/>
  <c r="SFN6" i="264"/>
  <c r="SFM6" i="264"/>
  <c r="SFL6" i="264"/>
  <c r="SFK6" i="264"/>
  <c r="SFJ6" i="264"/>
  <c r="SFI6" i="264"/>
  <c r="SFH6" i="264"/>
  <c r="SFG6" i="264"/>
  <c r="SFF6" i="264"/>
  <c r="SFE6" i="264"/>
  <c r="SFD6" i="264"/>
  <c r="SFC6" i="264"/>
  <c r="SFB6" i="264"/>
  <c r="SFA6" i="264"/>
  <c r="SEZ6" i="264"/>
  <c r="SEY6" i="264"/>
  <c r="SEX6" i="264"/>
  <c r="SEW6" i="264"/>
  <c r="SEV6" i="264"/>
  <c r="SEU6" i="264"/>
  <c r="SET6" i="264"/>
  <c r="SES6" i="264"/>
  <c r="SER6" i="264"/>
  <c r="SEQ6" i="264"/>
  <c r="SEP6" i="264"/>
  <c r="SEO6" i="264"/>
  <c r="SEN6" i="264"/>
  <c r="SEM6" i="264"/>
  <c r="SEL6" i="264"/>
  <c r="SEK6" i="264"/>
  <c r="SEJ6" i="264"/>
  <c r="SEI6" i="264"/>
  <c r="SEH6" i="264"/>
  <c r="SEG6" i="264"/>
  <c r="SEF6" i="264"/>
  <c r="SEE6" i="264"/>
  <c r="SED6" i="264"/>
  <c r="SEC6" i="264"/>
  <c r="SEB6" i="264"/>
  <c r="SEA6" i="264"/>
  <c r="SDZ6" i="264"/>
  <c r="SDY6" i="264"/>
  <c r="SDX6" i="264"/>
  <c r="SDW6" i="264"/>
  <c r="SDV6" i="264"/>
  <c r="SDU6" i="264"/>
  <c r="SDT6" i="264"/>
  <c r="SDS6" i="264"/>
  <c r="SDR6" i="264"/>
  <c r="SDQ6" i="264"/>
  <c r="SDP6" i="264"/>
  <c r="SDO6" i="264"/>
  <c r="SDN6" i="264"/>
  <c r="SDM6" i="264"/>
  <c r="SDL6" i="264"/>
  <c r="SDK6" i="264"/>
  <c r="SDJ6" i="264"/>
  <c r="SDI6" i="264"/>
  <c r="SDH6" i="264"/>
  <c r="SDG6" i="264"/>
  <c r="SDF6" i="264"/>
  <c r="SDE6" i="264"/>
  <c r="SDD6" i="264"/>
  <c r="SDC6" i="264"/>
  <c r="SDB6" i="264"/>
  <c r="SDA6" i="264"/>
  <c r="SCZ6" i="264"/>
  <c r="SCY6" i="264"/>
  <c r="SCX6" i="264"/>
  <c r="SCW6" i="264"/>
  <c r="SCV6" i="264"/>
  <c r="SCU6" i="264"/>
  <c r="SCT6" i="264"/>
  <c r="SCS6" i="264"/>
  <c r="SCR6" i="264"/>
  <c r="SCQ6" i="264"/>
  <c r="SCP6" i="264"/>
  <c r="SCO6" i="264"/>
  <c r="SCN6" i="264"/>
  <c r="SCM6" i="264"/>
  <c r="SCL6" i="264"/>
  <c r="SCK6" i="264"/>
  <c r="SCJ6" i="264"/>
  <c r="SCI6" i="264"/>
  <c r="SCH6" i="264"/>
  <c r="SCG6" i="264"/>
  <c r="SCF6" i="264"/>
  <c r="SCE6" i="264"/>
  <c r="SCD6" i="264"/>
  <c r="SCC6" i="264"/>
  <c r="SCB6" i="264"/>
  <c r="SCA6" i="264"/>
  <c r="SBZ6" i="264"/>
  <c r="SBY6" i="264"/>
  <c r="SBX6" i="264"/>
  <c r="SBW6" i="264"/>
  <c r="SBV6" i="264"/>
  <c r="SBU6" i="264"/>
  <c r="SBT6" i="264"/>
  <c r="SBS6" i="264"/>
  <c r="SBR6" i="264"/>
  <c r="SBQ6" i="264"/>
  <c r="SBP6" i="264"/>
  <c r="SBO6" i="264"/>
  <c r="SBN6" i="264"/>
  <c r="SBM6" i="264"/>
  <c r="SBL6" i="264"/>
  <c r="SBK6" i="264"/>
  <c r="SBJ6" i="264"/>
  <c r="SBI6" i="264"/>
  <c r="SBH6" i="264"/>
  <c r="SBG6" i="264"/>
  <c r="SBF6" i="264"/>
  <c r="SBE6" i="264"/>
  <c r="SBD6" i="264"/>
  <c r="SBC6" i="264"/>
  <c r="SBB6" i="264"/>
  <c r="SBA6" i="264"/>
  <c r="SAZ6" i="264"/>
  <c r="SAY6" i="264"/>
  <c r="SAX6" i="264"/>
  <c r="SAW6" i="264"/>
  <c r="SAV6" i="264"/>
  <c r="SAU6" i="264"/>
  <c r="SAT6" i="264"/>
  <c r="SAS6" i="264"/>
  <c r="SAR6" i="264"/>
  <c r="SAQ6" i="264"/>
  <c r="SAP6" i="264"/>
  <c r="SAO6" i="264"/>
  <c r="SAN6" i="264"/>
  <c r="SAM6" i="264"/>
  <c r="SAL6" i="264"/>
  <c r="SAK6" i="264"/>
  <c r="SAJ6" i="264"/>
  <c r="SAI6" i="264"/>
  <c r="SAH6" i="264"/>
  <c r="SAG6" i="264"/>
  <c r="SAF6" i="264"/>
  <c r="SAE6" i="264"/>
  <c r="SAD6" i="264"/>
  <c r="SAC6" i="264"/>
  <c r="SAB6" i="264"/>
  <c r="SAA6" i="264"/>
  <c r="RZZ6" i="264"/>
  <c r="RZY6" i="264"/>
  <c r="RZX6" i="264"/>
  <c r="RZW6" i="264"/>
  <c r="RZV6" i="264"/>
  <c r="RZU6" i="264"/>
  <c r="RZT6" i="264"/>
  <c r="RZS6" i="264"/>
  <c r="RZR6" i="264"/>
  <c r="RZQ6" i="264"/>
  <c r="RZP6" i="264"/>
  <c r="RZO6" i="264"/>
  <c r="RZN6" i="264"/>
  <c r="RZM6" i="264"/>
  <c r="RZL6" i="264"/>
  <c r="RZK6" i="264"/>
  <c r="RZJ6" i="264"/>
  <c r="RZI6" i="264"/>
  <c r="RZH6" i="264"/>
  <c r="RZG6" i="264"/>
  <c r="RZF6" i="264"/>
  <c r="RZE6" i="264"/>
  <c r="RZD6" i="264"/>
  <c r="RZC6" i="264"/>
  <c r="RZB6" i="264"/>
  <c r="RZA6" i="264"/>
  <c r="RYZ6" i="264"/>
  <c r="RYY6" i="264"/>
  <c r="RYX6" i="264"/>
  <c r="RYW6" i="264"/>
  <c r="RYV6" i="264"/>
  <c r="RYU6" i="264"/>
  <c r="RYT6" i="264"/>
  <c r="RYS6" i="264"/>
  <c r="RYR6" i="264"/>
  <c r="RYQ6" i="264"/>
  <c r="RYP6" i="264"/>
  <c r="RYO6" i="264"/>
  <c r="RYN6" i="264"/>
  <c r="RYM6" i="264"/>
  <c r="RYL6" i="264"/>
  <c r="RYK6" i="264"/>
  <c r="RYJ6" i="264"/>
  <c r="RYI6" i="264"/>
  <c r="RYH6" i="264"/>
  <c r="RYG6" i="264"/>
  <c r="RYF6" i="264"/>
  <c r="RYE6" i="264"/>
  <c r="RYD6" i="264"/>
  <c r="RYC6" i="264"/>
  <c r="RYB6" i="264"/>
  <c r="RYA6" i="264"/>
  <c r="RXZ6" i="264"/>
  <c r="RXY6" i="264"/>
  <c r="RXX6" i="264"/>
  <c r="RXW6" i="264"/>
  <c r="RXV6" i="264"/>
  <c r="RXU6" i="264"/>
  <c r="RXT6" i="264"/>
  <c r="RXS6" i="264"/>
  <c r="RXR6" i="264"/>
  <c r="RXQ6" i="264"/>
  <c r="RXP6" i="264"/>
  <c r="RXO6" i="264"/>
  <c r="RXN6" i="264"/>
  <c r="RXM6" i="264"/>
  <c r="RXL6" i="264"/>
  <c r="RXK6" i="264"/>
  <c r="RXJ6" i="264"/>
  <c r="RXI6" i="264"/>
  <c r="RXH6" i="264"/>
  <c r="RXG6" i="264"/>
  <c r="RXF6" i="264"/>
  <c r="RXE6" i="264"/>
  <c r="RXD6" i="264"/>
  <c r="RXC6" i="264"/>
  <c r="RXB6" i="264"/>
  <c r="RXA6" i="264"/>
  <c r="RWZ6" i="264"/>
  <c r="RWY6" i="264"/>
  <c r="RWX6" i="264"/>
  <c r="RWW6" i="264"/>
  <c r="RWV6" i="264"/>
  <c r="RWU6" i="264"/>
  <c r="RWT6" i="264"/>
  <c r="RWS6" i="264"/>
  <c r="RWR6" i="264"/>
  <c r="RWQ6" i="264"/>
  <c r="RWP6" i="264"/>
  <c r="RWO6" i="264"/>
  <c r="RWN6" i="264"/>
  <c r="RWM6" i="264"/>
  <c r="RWL6" i="264"/>
  <c r="RWK6" i="264"/>
  <c r="RWJ6" i="264"/>
  <c r="RWI6" i="264"/>
  <c r="RWH6" i="264"/>
  <c r="RWG6" i="264"/>
  <c r="RWF6" i="264"/>
  <c r="RWE6" i="264"/>
  <c r="RWD6" i="264"/>
  <c r="RWC6" i="264"/>
  <c r="RWB6" i="264"/>
  <c r="RWA6" i="264"/>
  <c r="RVZ6" i="264"/>
  <c r="RVY6" i="264"/>
  <c r="RVX6" i="264"/>
  <c r="RVW6" i="264"/>
  <c r="RVV6" i="264"/>
  <c r="RVU6" i="264"/>
  <c r="RVT6" i="264"/>
  <c r="RVS6" i="264"/>
  <c r="RVR6" i="264"/>
  <c r="RVQ6" i="264"/>
  <c r="RVP6" i="264"/>
  <c r="RVO6" i="264"/>
  <c r="RVN6" i="264"/>
  <c r="RVM6" i="264"/>
  <c r="RVL6" i="264"/>
  <c r="RVK6" i="264"/>
  <c r="RVJ6" i="264"/>
  <c r="RVI6" i="264"/>
  <c r="RVH6" i="264"/>
  <c r="RVG6" i="264"/>
  <c r="RVF6" i="264"/>
  <c r="RVE6" i="264"/>
  <c r="RVD6" i="264"/>
  <c r="RVC6" i="264"/>
  <c r="RVB6" i="264"/>
  <c r="RVA6" i="264"/>
  <c r="RUZ6" i="264"/>
  <c r="RUY6" i="264"/>
  <c r="RUX6" i="264"/>
  <c r="RUW6" i="264"/>
  <c r="RUV6" i="264"/>
  <c r="RUU6" i="264"/>
  <c r="RUT6" i="264"/>
  <c r="RUS6" i="264"/>
  <c r="RUR6" i="264"/>
  <c r="RUQ6" i="264"/>
  <c r="RUP6" i="264"/>
  <c r="RUO6" i="264"/>
  <c r="RUN6" i="264"/>
  <c r="RUM6" i="264"/>
  <c r="RUL6" i="264"/>
  <c r="RUK6" i="264"/>
  <c r="RUJ6" i="264"/>
  <c r="RUI6" i="264"/>
  <c r="RUH6" i="264"/>
  <c r="RUG6" i="264"/>
  <c r="RUF6" i="264"/>
  <c r="RUE6" i="264"/>
  <c r="RUD6" i="264"/>
  <c r="RUC6" i="264"/>
  <c r="RUB6" i="264"/>
  <c r="RUA6" i="264"/>
  <c r="RTZ6" i="264"/>
  <c r="RTY6" i="264"/>
  <c r="RTX6" i="264"/>
  <c r="RTW6" i="264"/>
  <c r="RTV6" i="264"/>
  <c r="RTU6" i="264"/>
  <c r="RTT6" i="264"/>
  <c r="RTS6" i="264"/>
  <c r="RTR6" i="264"/>
  <c r="RTQ6" i="264"/>
  <c r="RTP6" i="264"/>
  <c r="RTO6" i="264"/>
  <c r="RTN6" i="264"/>
  <c r="RTM6" i="264"/>
  <c r="RTL6" i="264"/>
  <c r="RTK6" i="264"/>
  <c r="RTJ6" i="264"/>
  <c r="RTI6" i="264"/>
  <c r="RTH6" i="264"/>
  <c r="RTG6" i="264"/>
  <c r="RTF6" i="264"/>
  <c r="RTE6" i="264"/>
  <c r="RTD6" i="264"/>
  <c r="RTC6" i="264"/>
  <c r="RTB6" i="264"/>
  <c r="RTA6" i="264"/>
  <c r="RSZ6" i="264"/>
  <c r="RSY6" i="264"/>
  <c r="RSX6" i="264"/>
  <c r="RSW6" i="264"/>
  <c r="RSV6" i="264"/>
  <c r="RSU6" i="264"/>
  <c r="RST6" i="264"/>
  <c r="RSS6" i="264"/>
  <c r="RSR6" i="264"/>
  <c r="RSQ6" i="264"/>
  <c r="RSP6" i="264"/>
  <c r="RSO6" i="264"/>
  <c r="RSN6" i="264"/>
  <c r="RSM6" i="264"/>
  <c r="RSL6" i="264"/>
  <c r="RSK6" i="264"/>
  <c r="RSJ6" i="264"/>
  <c r="RSI6" i="264"/>
  <c r="RSH6" i="264"/>
  <c r="RSG6" i="264"/>
  <c r="RSF6" i="264"/>
  <c r="RSE6" i="264"/>
  <c r="RSD6" i="264"/>
  <c r="RSC6" i="264"/>
  <c r="RSB6" i="264"/>
  <c r="RSA6" i="264"/>
  <c r="RRZ6" i="264"/>
  <c r="RRY6" i="264"/>
  <c r="RRX6" i="264"/>
  <c r="RRW6" i="264"/>
  <c r="RRV6" i="264"/>
  <c r="RRU6" i="264"/>
  <c r="RRT6" i="264"/>
  <c r="RRS6" i="264"/>
  <c r="RRR6" i="264"/>
  <c r="RRQ6" i="264"/>
  <c r="RRP6" i="264"/>
  <c r="RRO6" i="264"/>
  <c r="RRN6" i="264"/>
  <c r="RRM6" i="264"/>
  <c r="RRL6" i="264"/>
  <c r="RRK6" i="264"/>
  <c r="RRJ6" i="264"/>
  <c r="RRI6" i="264"/>
  <c r="RRH6" i="264"/>
  <c r="RRG6" i="264"/>
  <c r="RRF6" i="264"/>
  <c r="RRE6" i="264"/>
  <c r="RRD6" i="264"/>
  <c r="RRC6" i="264"/>
  <c r="RRB6" i="264"/>
  <c r="RRA6" i="264"/>
  <c r="RQZ6" i="264"/>
  <c r="RQY6" i="264"/>
  <c r="RQX6" i="264"/>
  <c r="RQW6" i="264"/>
  <c r="RQV6" i="264"/>
  <c r="RQU6" i="264"/>
  <c r="RQT6" i="264"/>
  <c r="RQS6" i="264"/>
  <c r="RQR6" i="264"/>
  <c r="RQQ6" i="264"/>
  <c r="RQP6" i="264"/>
  <c r="RQO6" i="264"/>
  <c r="RQN6" i="264"/>
  <c r="RQM6" i="264"/>
  <c r="RQL6" i="264"/>
  <c r="RQK6" i="264"/>
  <c r="RQJ6" i="264"/>
  <c r="RQI6" i="264"/>
  <c r="RQH6" i="264"/>
  <c r="RQG6" i="264"/>
  <c r="RQF6" i="264"/>
  <c r="RQE6" i="264"/>
  <c r="RQD6" i="264"/>
  <c r="RQC6" i="264"/>
  <c r="RQB6" i="264"/>
  <c r="RQA6" i="264"/>
  <c r="RPZ6" i="264"/>
  <c r="RPY6" i="264"/>
  <c r="RPX6" i="264"/>
  <c r="RPW6" i="264"/>
  <c r="RPV6" i="264"/>
  <c r="RPU6" i="264"/>
  <c r="RPT6" i="264"/>
  <c r="RPS6" i="264"/>
  <c r="RPR6" i="264"/>
  <c r="RPQ6" i="264"/>
  <c r="RPP6" i="264"/>
  <c r="RPO6" i="264"/>
  <c r="RPN6" i="264"/>
  <c r="RPM6" i="264"/>
  <c r="RPL6" i="264"/>
  <c r="RPK6" i="264"/>
  <c r="RPJ6" i="264"/>
  <c r="RPI6" i="264"/>
  <c r="RPH6" i="264"/>
  <c r="RPG6" i="264"/>
  <c r="RPF6" i="264"/>
  <c r="RPE6" i="264"/>
  <c r="RPD6" i="264"/>
  <c r="RPC6" i="264"/>
  <c r="RPB6" i="264"/>
  <c r="RPA6" i="264"/>
  <c r="ROZ6" i="264"/>
  <c r="ROY6" i="264"/>
  <c r="ROX6" i="264"/>
  <c r="ROW6" i="264"/>
  <c r="ROV6" i="264"/>
  <c r="ROU6" i="264"/>
  <c r="ROT6" i="264"/>
  <c r="ROS6" i="264"/>
  <c r="ROR6" i="264"/>
  <c r="ROQ6" i="264"/>
  <c r="ROP6" i="264"/>
  <c r="ROO6" i="264"/>
  <c r="RON6" i="264"/>
  <c r="ROM6" i="264"/>
  <c r="ROL6" i="264"/>
  <c r="ROK6" i="264"/>
  <c r="ROJ6" i="264"/>
  <c r="ROI6" i="264"/>
  <c r="ROH6" i="264"/>
  <c r="ROG6" i="264"/>
  <c r="ROF6" i="264"/>
  <c r="ROE6" i="264"/>
  <c r="ROD6" i="264"/>
  <c r="ROC6" i="264"/>
  <c r="ROB6" i="264"/>
  <c r="ROA6" i="264"/>
  <c r="RNZ6" i="264"/>
  <c r="RNY6" i="264"/>
  <c r="RNX6" i="264"/>
  <c r="RNW6" i="264"/>
  <c r="RNV6" i="264"/>
  <c r="RNU6" i="264"/>
  <c r="RNT6" i="264"/>
  <c r="RNS6" i="264"/>
  <c r="RNR6" i="264"/>
  <c r="RNQ6" i="264"/>
  <c r="RNP6" i="264"/>
  <c r="RNO6" i="264"/>
  <c r="RNN6" i="264"/>
  <c r="RNM6" i="264"/>
  <c r="RNL6" i="264"/>
  <c r="RNK6" i="264"/>
  <c r="RNJ6" i="264"/>
  <c r="RNI6" i="264"/>
  <c r="RNH6" i="264"/>
  <c r="RNG6" i="264"/>
  <c r="RNF6" i="264"/>
  <c r="RNE6" i="264"/>
  <c r="RND6" i="264"/>
  <c r="RNC6" i="264"/>
  <c r="RNB6" i="264"/>
  <c r="RNA6" i="264"/>
  <c r="RMZ6" i="264"/>
  <c r="RMY6" i="264"/>
  <c r="RMX6" i="264"/>
  <c r="RMW6" i="264"/>
  <c r="RMV6" i="264"/>
  <c r="RMU6" i="264"/>
  <c r="RMT6" i="264"/>
  <c r="RMS6" i="264"/>
  <c r="RMR6" i="264"/>
  <c r="RMQ6" i="264"/>
  <c r="RMP6" i="264"/>
  <c r="RMO6" i="264"/>
  <c r="RMN6" i="264"/>
  <c r="RMM6" i="264"/>
  <c r="RML6" i="264"/>
  <c r="RMK6" i="264"/>
  <c r="RMJ6" i="264"/>
  <c r="RMI6" i="264"/>
  <c r="RMH6" i="264"/>
  <c r="RMG6" i="264"/>
  <c r="RMF6" i="264"/>
  <c r="RME6" i="264"/>
  <c r="RMD6" i="264"/>
  <c r="RMC6" i="264"/>
  <c r="RMB6" i="264"/>
  <c r="RMA6" i="264"/>
  <c r="RLZ6" i="264"/>
  <c r="RLY6" i="264"/>
  <c r="RLX6" i="264"/>
  <c r="RLW6" i="264"/>
  <c r="RLV6" i="264"/>
  <c r="RLU6" i="264"/>
  <c r="RLT6" i="264"/>
  <c r="RLS6" i="264"/>
  <c r="RLR6" i="264"/>
  <c r="RLQ6" i="264"/>
  <c r="RLP6" i="264"/>
  <c r="RLO6" i="264"/>
  <c r="RLN6" i="264"/>
  <c r="RLM6" i="264"/>
  <c r="RLL6" i="264"/>
  <c r="RLK6" i="264"/>
  <c r="RLJ6" i="264"/>
  <c r="RLI6" i="264"/>
  <c r="RLH6" i="264"/>
  <c r="RLG6" i="264"/>
  <c r="RLF6" i="264"/>
  <c r="RLE6" i="264"/>
  <c r="RLD6" i="264"/>
  <c r="RLC6" i="264"/>
  <c r="RLB6" i="264"/>
  <c r="RLA6" i="264"/>
  <c r="RKZ6" i="264"/>
  <c r="RKY6" i="264"/>
  <c r="RKX6" i="264"/>
  <c r="RKW6" i="264"/>
  <c r="RKV6" i="264"/>
  <c r="RKU6" i="264"/>
  <c r="RKT6" i="264"/>
  <c r="RKS6" i="264"/>
  <c r="RKR6" i="264"/>
  <c r="RKQ6" i="264"/>
  <c r="RKP6" i="264"/>
  <c r="RKO6" i="264"/>
  <c r="RKN6" i="264"/>
  <c r="RKM6" i="264"/>
  <c r="RKL6" i="264"/>
  <c r="RKK6" i="264"/>
  <c r="RKJ6" i="264"/>
  <c r="RKI6" i="264"/>
  <c r="RKH6" i="264"/>
  <c r="RKG6" i="264"/>
  <c r="RKF6" i="264"/>
  <c r="RKE6" i="264"/>
  <c r="RKD6" i="264"/>
  <c r="RKC6" i="264"/>
  <c r="RKB6" i="264"/>
  <c r="RKA6" i="264"/>
  <c r="RJZ6" i="264"/>
  <c r="RJY6" i="264"/>
  <c r="RJX6" i="264"/>
  <c r="RJW6" i="264"/>
  <c r="RJV6" i="264"/>
  <c r="RJU6" i="264"/>
  <c r="RJT6" i="264"/>
  <c r="RJS6" i="264"/>
  <c r="RJR6" i="264"/>
  <c r="RJQ6" i="264"/>
  <c r="RJP6" i="264"/>
  <c r="RJO6" i="264"/>
  <c r="RJN6" i="264"/>
  <c r="RJM6" i="264"/>
  <c r="RJL6" i="264"/>
  <c r="RJK6" i="264"/>
  <c r="RJJ6" i="264"/>
  <c r="RJI6" i="264"/>
  <c r="RJH6" i="264"/>
  <c r="RJG6" i="264"/>
  <c r="RJF6" i="264"/>
  <c r="RJE6" i="264"/>
  <c r="RJD6" i="264"/>
  <c r="RJC6" i="264"/>
  <c r="RJB6" i="264"/>
  <c r="RJA6" i="264"/>
  <c r="RIZ6" i="264"/>
  <c r="RIY6" i="264"/>
  <c r="RIX6" i="264"/>
  <c r="RIW6" i="264"/>
  <c r="RIV6" i="264"/>
  <c r="RIU6" i="264"/>
  <c r="RIT6" i="264"/>
  <c r="RIS6" i="264"/>
  <c r="RIR6" i="264"/>
  <c r="RIQ6" i="264"/>
  <c r="RIP6" i="264"/>
  <c r="RIO6" i="264"/>
  <c r="RIN6" i="264"/>
  <c r="RIM6" i="264"/>
  <c r="RIL6" i="264"/>
  <c r="RIK6" i="264"/>
  <c r="RIJ6" i="264"/>
  <c r="RII6" i="264"/>
  <c r="RIH6" i="264"/>
  <c r="RIG6" i="264"/>
  <c r="RIF6" i="264"/>
  <c r="RIE6" i="264"/>
  <c r="RID6" i="264"/>
  <c r="RIC6" i="264"/>
  <c r="RIB6" i="264"/>
  <c r="RIA6" i="264"/>
  <c r="RHZ6" i="264"/>
  <c r="RHY6" i="264"/>
  <c r="RHX6" i="264"/>
  <c r="RHW6" i="264"/>
  <c r="RHV6" i="264"/>
  <c r="RHU6" i="264"/>
  <c r="RHT6" i="264"/>
  <c r="RHS6" i="264"/>
  <c r="RHR6" i="264"/>
  <c r="RHQ6" i="264"/>
  <c r="RHP6" i="264"/>
  <c r="RHO6" i="264"/>
  <c r="RHN6" i="264"/>
  <c r="RHM6" i="264"/>
  <c r="RHL6" i="264"/>
  <c r="RHK6" i="264"/>
  <c r="RHJ6" i="264"/>
  <c r="RHI6" i="264"/>
  <c r="RHH6" i="264"/>
  <c r="RHG6" i="264"/>
  <c r="RHF6" i="264"/>
  <c r="RHE6" i="264"/>
  <c r="RHD6" i="264"/>
  <c r="RHC6" i="264"/>
  <c r="RHB6" i="264"/>
  <c r="RHA6" i="264"/>
  <c r="RGZ6" i="264"/>
  <c r="RGY6" i="264"/>
  <c r="RGX6" i="264"/>
  <c r="RGW6" i="264"/>
  <c r="RGV6" i="264"/>
  <c r="RGU6" i="264"/>
  <c r="RGT6" i="264"/>
  <c r="RGS6" i="264"/>
  <c r="RGR6" i="264"/>
  <c r="RGQ6" i="264"/>
  <c r="RGP6" i="264"/>
  <c r="RGO6" i="264"/>
  <c r="RGN6" i="264"/>
  <c r="RGM6" i="264"/>
  <c r="RGL6" i="264"/>
  <c r="RGK6" i="264"/>
  <c r="RGJ6" i="264"/>
  <c r="RGI6" i="264"/>
  <c r="RGH6" i="264"/>
  <c r="RGG6" i="264"/>
  <c r="RGF6" i="264"/>
  <c r="RGE6" i="264"/>
  <c r="RGD6" i="264"/>
  <c r="RGC6" i="264"/>
  <c r="RGB6" i="264"/>
  <c r="RGA6" i="264"/>
  <c r="RFZ6" i="264"/>
  <c r="RFY6" i="264"/>
  <c r="RFX6" i="264"/>
  <c r="RFW6" i="264"/>
  <c r="RFV6" i="264"/>
  <c r="RFU6" i="264"/>
  <c r="RFT6" i="264"/>
  <c r="RFS6" i="264"/>
  <c r="RFR6" i="264"/>
  <c r="RFQ6" i="264"/>
  <c r="RFP6" i="264"/>
  <c r="RFO6" i="264"/>
  <c r="RFN6" i="264"/>
  <c r="RFM6" i="264"/>
  <c r="RFL6" i="264"/>
  <c r="RFK6" i="264"/>
  <c r="RFJ6" i="264"/>
  <c r="RFI6" i="264"/>
  <c r="RFH6" i="264"/>
  <c r="RFG6" i="264"/>
  <c r="RFF6" i="264"/>
  <c r="RFE6" i="264"/>
  <c r="RFD6" i="264"/>
  <c r="RFC6" i="264"/>
  <c r="RFB6" i="264"/>
  <c r="RFA6" i="264"/>
  <c r="REZ6" i="264"/>
  <c r="REY6" i="264"/>
  <c r="REX6" i="264"/>
  <c r="REW6" i="264"/>
  <c r="REV6" i="264"/>
  <c r="REU6" i="264"/>
  <c r="RET6" i="264"/>
  <c r="RES6" i="264"/>
  <c r="RER6" i="264"/>
  <c r="REQ6" i="264"/>
  <c r="REP6" i="264"/>
  <c r="REO6" i="264"/>
  <c r="REN6" i="264"/>
  <c r="REM6" i="264"/>
  <c r="REL6" i="264"/>
  <c r="REK6" i="264"/>
  <c r="REJ6" i="264"/>
  <c r="REI6" i="264"/>
  <c r="REH6" i="264"/>
  <c r="REG6" i="264"/>
  <c r="REF6" i="264"/>
  <c r="REE6" i="264"/>
  <c r="RED6" i="264"/>
  <c r="REC6" i="264"/>
  <c r="REB6" i="264"/>
  <c r="REA6" i="264"/>
  <c r="RDZ6" i="264"/>
  <c r="RDY6" i="264"/>
  <c r="RDX6" i="264"/>
  <c r="RDW6" i="264"/>
  <c r="RDV6" i="264"/>
  <c r="RDU6" i="264"/>
  <c r="RDT6" i="264"/>
  <c r="RDS6" i="264"/>
  <c r="RDR6" i="264"/>
  <c r="RDQ6" i="264"/>
  <c r="RDP6" i="264"/>
  <c r="RDO6" i="264"/>
  <c r="RDN6" i="264"/>
  <c r="RDM6" i="264"/>
  <c r="RDL6" i="264"/>
  <c r="RDK6" i="264"/>
  <c r="RDJ6" i="264"/>
  <c r="RDI6" i="264"/>
  <c r="RDH6" i="264"/>
  <c r="RDG6" i="264"/>
  <c r="RDF6" i="264"/>
  <c r="RDE6" i="264"/>
  <c r="RDD6" i="264"/>
  <c r="RDC6" i="264"/>
  <c r="RDB6" i="264"/>
  <c r="RDA6" i="264"/>
  <c r="RCZ6" i="264"/>
  <c r="RCY6" i="264"/>
  <c r="RCX6" i="264"/>
  <c r="RCW6" i="264"/>
  <c r="RCV6" i="264"/>
  <c r="RCU6" i="264"/>
  <c r="RCT6" i="264"/>
  <c r="RCS6" i="264"/>
  <c r="RCR6" i="264"/>
  <c r="RCQ6" i="264"/>
  <c r="RCP6" i="264"/>
  <c r="RCO6" i="264"/>
  <c r="RCN6" i="264"/>
  <c r="RCM6" i="264"/>
  <c r="RCL6" i="264"/>
  <c r="RCK6" i="264"/>
  <c r="RCJ6" i="264"/>
  <c r="RCI6" i="264"/>
  <c r="RCH6" i="264"/>
  <c r="RCG6" i="264"/>
  <c r="RCF6" i="264"/>
  <c r="RCE6" i="264"/>
  <c r="RCD6" i="264"/>
  <c r="RCC6" i="264"/>
  <c r="RCB6" i="264"/>
  <c r="RCA6" i="264"/>
  <c r="RBZ6" i="264"/>
  <c r="RBY6" i="264"/>
  <c r="RBX6" i="264"/>
  <c r="RBW6" i="264"/>
  <c r="RBV6" i="264"/>
  <c r="RBU6" i="264"/>
  <c r="RBT6" i="264"/>
  <c r="RBS6" i="264"/>
  <c r="RBR6" i="264"/>
  <c r="RBQ6" i="264"/>
  <c r="RBP6" i="264"/>
  <c r="RBO6" i="264"/>
  <c r="RBN6" i="264"/>
  <c r="RBM6" i="264"/>
  <c r="RBL6" i="264"/>
  <c r="RBK6" i="264"/>
  <c r="RBJ6" i="264"/>
  <c r="RBI6" i="264"/>
  <c r="RBH6" i="264"/>
  <c r="RBG6" i="264"/>
  <c r="RBF6" i="264"/>
  <c r="RBE6" i="264"/>
  <c r="RBD6" i="264"/>
  <c r="RBC6" i="264"/>
  <c r="RBB6" i="264"/>
  <c r="RBA6" i="264"/>
  <c r="RAZ6" i="264"/>
  <c r="RAY6" i="264"/>
  <c r="RAX6" i="264"/>
  <c r="RAW6" i="264"/>
  <c r="RAV6" i="264"/>
  <c r="RAU6" i="264"/>
  <c r="RAT6" i="264"/>
  <c r="RAS6" i="264"/>
  <c r="RAR6" i="264"/>
  <c r="RAQ6" i="264"/>
  <c r="RAP6" i="264"/>
  <c r="RAO6" i="264"/>
  <c r="RAN6" i="264"/>
  <c r="RAM6" i="264"/>
  <c r="RAL6" i="264"/>
  <c r="RAK6" i="264"/>
  <c r="RAJ6" i="264"/>
  <c r="RAI6" i="264"/>
  <c r="RAH6" i="264"/>
  <c r="RAG6" i="264"/>
  <c r="RAF6" i="264"/>
  <c r="RAE6" i="264"/>
  <c r="RAD6" i="264"/>
  <c r="RAC6" i="264"/>
  <c r="RAB6" i="264"/>
  <c r="RAA6" i="264"/>
  <c r="QZZ6" i="264"/>
  <c r="QZY6" i="264"/>
  <c r="QZX6" i="264"/>
  <c r="QZW6" i="264"/>
  <c r="QZV6" i="264"/>
  <c r="QZU6" i="264"/>
  <c r="QZT6" i="264"/>
  <c r="QZS6" i="264"/>
  <c r="QZR6" i="264"/>
  <c r="QZQ6" i="264"/>
  <c r="QZP6" i="264"/>
  <c r="QZO6" i="264"/>
  <c r="QZN6" i="264"/>
  <c r="QZM6" i="264"/>
  <c r="QZL6" i="264"/>
  <c r="QZK6" i="264"/>
  <c r="QZJ6" i="264"/>
  <c r="QZI6" i="264"/>
  <c r="QZH6" i="264"/>
  <c r="QZG6" i="264"/>
  <c r="QZF6" i="264"/>
  <c r="QZE6" i="264"/>
  <c r="QZD6" i="264"/>
  <c r="QZC6" i="264"/>
  <c r="QZB6" i="264"/>
  <c r="QZA6" i="264"/>
  <c r="QYZ6" i="264"/>
  <c r="QYY6" i="264"/>
  <c r="QYX6" i="264"/>
  <c r="QYW6" i="264"/>
  <c r="QYV6" i="264"/>
  <c r="QYU6" i="264"/>
  <c r="QYT6" i="264"/>
  <c r="QYS6" i="264"/>
  <c r="QYR6" i="264"/>
  <c r="QYQ6" i="264"/>
  <c r="QYP6" i="264"/>
  <c r="QYO6" i="264"/>
  <c r="QYN6" i="264"/>
  <c r="QYM6" i="264"/>
  <c r="QYL6" i="264"/>
  <c r="QYK6" i="264"/>
  <c r="QYJ6" i="264"/>
  <c r="QYI6" i="264"/>
  <c r="QYH6" i="264"/>
  <c r="QYG6" i="264"/>
  <c r="QYF6" i="264"/>
  <c r="QYE6" i="264"/>
  <c r="QYD6" i="264"/>
  <c r="QYC6" i="264"/>
  <c r="QYB6" i="264"/>
  <c r="QYA6" i="264"/>
  <c r="QXZ6" i="264"/>
  <c r="QXY6" i="264"/>
  <c r="QXX6" i="264"/>
  <c r="QXW6" i="264"/>
  <c r="QXV6" i="264"/>
  <c r="QXU6" i="264"/>
  <c r="QXT6" i="264"/>
  <c r="QXS6" i="264"/>
  <c r="QXR6" i="264"/>
  <c r="QXQ6" i="264"/>
  <c r="QXP6" i="264"/>
  <c r="QXO6" i="264"/>
  <c r="QXN6" i="264"/>
  <c r="QXM6" i="264"/>
  <c r="QXL6" i="264"/>
  <c r="QXK6" i="264"/>
  <c r="QXJ6" i="264"/>
  <c r="QXI6" i="264"/>
  <c r="QXH6" i="264"/>
  <c r="QXG6" i="264"/>
  <c r="QXF6" i="264"/>
  <c r="QXE6" i="264"/>
  <c r="QXD6" i="264"/>
  <c r="QXC6" i="264"/>
  <c r="QXB6" i="264"/>
  <c r="QXA6" i="264"/>
  <c r="QWZ6" i="264"/>
  <c r="QWY6" i="264"/>
  <c r="QWX6" i="264"/>
  <c r="QWW6" i="264"/>
  <c r="QWV6" i="264"/>
  <c r="QWU6" i="264"/>
  <c r="QWT6" i="264"/>
  <c r="QWS6" i="264"/>
  <c r="QWR6" i="264"/>
  <c r="QWQ6" i="264"/>
  <c r="QWP6" i="264"/>
  <c r="QWO6" i="264"/>
  <c r="QWN6" i="264"/>
  <c r="QWM6" i="264"/>
  <c r="QWL6" i="264"/>
  <c r="QWK6" i="264"/>
  <c r="QWJ6" i="264"/>
  <c r="QWI6" i="264"/>
  <c r="QWH6" i="264"/>
  <c r="QWG6" i="264"/>
  <c r="QWF6" i="264"/>
  <c r="QWE6" i="264"/>
  <c r="QWD6" i="264"/>
  <c r="QWC6" i="264"/>
  <c r="QWB6" i="264"/>
  <c r="QWA6" i="264"/>
  <c r="QVZ6" i="264"/>
  <c r="QVY6" i="264"/>
  <c r="QVX6" i="264"/>
  <c r="QVW6" i="264"/>
  <c r="QVV6" i="264"/>
  <c r="QVU6" i="264"/>
  <c r="QVT6" i="264"/>
  <c r="QVS6" i="264"/>
  <c r="QVR6" i="264"/>
  <c r="QVQ6" i="264"/>
  <c r="QVP6" i="264"/>
  <c r="QVO6" i="264"/>
  <c r="QVN6" i="264"/>
  <c r="QVM6" i="264"/>
  <c r="QVL6" i="264"/>
  <c r="QVK6" i="264"/>
  <c r="QVJ6" i="264"/>
  <c r="QVI6" i="264"/>
  <c r="QVH6" i="264"/>
  <c r="QVG6" i="264"/>
  <c r="QVF6" i="264"/>
  <c r="QVE6" i="264"/>
  <c r="QVD6" i="264"/>
  <c r="QVC6" i="264"/>
  <c r="QVB6" i="264"/>
  <c r="QVA6" i="264"/>
  <c r="QUZ6" i="264"/>
  <c r="QUY6" i="264"/>
  <c r="QUX6" i="264"/>
  <c r="QUW6" i="264"/>
  <c r="QUV6" i="264"/>
  <c r="QUU6" i="264"/>
  <c r="QUT6" i="264"/>
  <c r="QUS6" i="264"/>
  <c r="QUR6" i="264"/>
  <c r="QUQ6" i="264"/>
  <c r="QUP6" i="264"/>
  <c r="QUO6" i="264"/>
  <c r="QUN6" i="264"/>
  <c r="QUM6" i="264"/>
  <c r="QUL6" i="264"/>
  <c r="QUK6" i="264"/>
  <c r="QUJ6" i="264"/>
  <c r="QUI6" i="264"/>
  <c r="QUH6" i="264"/>
  <c r="QUG6" i="264"/>
  <c r="QUF6" i="264"/>
  <c r="QUE6" i="264"/>
  <c r="QUD6" i="264"/>
  <c r="QUC6" i="264"/>
  <c r="QUB6" i="264"/>
  <c r="QUA6" i="264"/>
  <c r="QTZ6" i="264"/>
  <c r="QTY6" i="264"/>
  <c r="QTX6" i="264"/>
  <c r="QTW6" i="264"/>
  <c r="QTV6" i="264"/>
  <c r="QTU6" i="264"/>
  <c r="QTT6" i="264"/>
  <c r="QTS6" i="264"/>
  <c r="QTR6" i="264"/>
  <c r="QTQ6" i="264"/>
  <c r="QTP6" i="264"/>
  <c r="QTO6" i="264"/>
  <c r="QTN6" i="264"/>
  <c r="QTM6" i="264"/>
  <c r="QTL6" i="264"/>
  <c r="QTK6" i="264"/>
  <c r="QTJ6" i="264"/>
  <c r="QTI6" i="264"/>
  <c r="QTH6" i="264"/>
  <c r="QTG6" i="264"/>
  <c r="QTF6" i="264"/>
  <c r="QTE6" i="264"/>
  <c r="QTD6" i="264"/>
  <c r="QTC6" i="264"/>
  <c r="QTB6" i="264"/>
  <c r="QTA6" i="264"/>
  <c r="QSZ6" i="264"/>
  <c r="QSY6" i="264"/>
  <c r="QSX6" i="264"/>
  <c r="QSW6" i="264"/>
  <c r="QSV6" i="264"/>
  <c r="QSU6" i="264"/>
  <c r="QST6" i="264"/>
  <c r="QSS6" i="264"/>
  <c r="QSR6" i="264"/>
  <c r="QSQ6" i="264"/>
  <c r="QSP6" i="264"/>
  <c r="QSO6" i="264"/>
  <c r="QSN6" i="264"/>
  <c r="QSM6" i="264"/>
  <c r="QSL6" i="264"/>
  <c r="QSK6" i="264"/>
  <c r="QSJ6" i="264"/>
  <c r="QSI6" i="264"/>
  <c r="QSH6" i="264"/>
  <c r="QSG6" i="264"/>
  <c r="QSF6" i="264"/>
  <c r="QSE6" i="264"/>
  <c r="QSD6" i="264"/>
  <c r="QSC6" i="264"/>
  <c r="QSB6" i="264"/>
  <c r="QSA6" i="264"/>
  <c r="QRZ6" i="264"/>
  <c r="QRY6" i="264"/>
  <c r="QRX6" i="264"/>
  <c r="QRW6" i="264"/>
  <c r="QRV6" i="264"/>
  <c r="QRU6" i="264"/>
  <c r="QRT6" i="264"/>
  <c r="QRS6" i="264"/>
  <c r="QRR6" i="264"/>
  <c r="QRQ6" i="264"/>
  <c r="QRP6" i="264"/>
  <c r="QRO6" i="264"/>
  <c r="QRN6" i="264"/>
  <c r="QRM6" i="264"/>
  <c r="QRL6" i="264"/>
  <c r="QRK6" i="264"/>
  <c r="QRJ6" i="264"/>
  <c r="QRI6" i="264"/>
  <c r="QRH6" i="264"/>
  <c r="QRG6" i="264"/>
  <c r="QRF6" i="264"/>
  <c r="QRE6" i="264"/>
  <c r="QRD6" i="264"/>
  <c r="QRC6" i="264"/>
  <c r="QRB6" i="264"/>
  <c r="QRA6" i="264"/>
  <c r="QQZ6" i="264"/>
  <c r="QQY6" i="264"/>
  <c r="QQX6" i="264"/>
  <c r="QQW6" i="264"/>
  <c r="QQV6" i="264"/>
  <c r="QQU6" i="264"/>
  <c r="QQT6" i="264"/>
  <c r="QQS6" i="264"/>
  <c r="QQR6" i="264"/>
  <c r="QQQ6" i="264"/>
  <c r="QQP6" i="264"/>
  <c r="QQO6" i="264"/>
  <c r="QQN6" i="264"/>
  <c r="QQM6" i="264"/>
  <c r="QQL6" i="264"/>
  <c r="QQK6" i="264"/>
  <c r="QQJ6" i="264"/>
  <c r="QQI6" i="264"/>
  <c r="QQH6" i="264"/>
  <c r="QQG6" i="264"/>
  <c r="QQF6" i="264"/>
  <c r="QQE6" i="264"/>
  <c r="QQD6" i="264"/>
  <c r="QQC6" i="264"/>
  <c r="QQB6" i="264"/>
  <c r="QQA6" i="264"/>
  <c r="QPZ6" i="264"/>
  <c r="QPY6" i="264"/>
  <c r="QPX6" i="264"/>
  <c r="QPW6" i="264"/>
  <c r="QPV6" i="264"/>
  <c r="QPU6" i="264"/>
  <c r="QPT6" i="264"/>
  <c r="QPS6" i="264"/>
  <c r="QPR6" i="264"/>
  <c r="QPQ6" i="264"/>
  <c r="QPP6" i="264"/>
  <c r="QPO6" i="264"/>
  <c r="QPN6" i="264"/>
  <c r="QPM6" i="264"/>
  <c r="QPL6" i="264"/>
  <c r="QPK6" i="264"/>
  <c r="QPJ6" i="264"/>
  <c r="QPI6" i="264"/>
  <c r="QPH6" i="264"/>
  <c r="QPG6" i="264"/>
  <c r="QPF6" i="264"/>
  <c r="QPE6" i="264"/>
  <c r="QPD6" i="264"/>
  <c r="QPC6" i="264"/>
  <c r="QPB6" i="264"/>
  <c r="QPA6" i="264"/>
  <c r="QOZ6" i="264"/>
  <c r="QOY6" i="264"/>
  <c r="QOX6" i="264"/>
  <c r="QOW6" i="264"/>
  <c r="QOV6" i="264"/>
  <c r="QOU6" i="264"/>
  <c r="QOT6" i="264"/>
  <c r="QOS6" i="264"/>
  <c r="QOR6" i="264"/>
  <c r="QOQ6" i="264"/>
  <c r="QOP6" i="264"/>
  <c r="QOO6" i="264"/>
  <c r="QON6" i="264"/>
  <c r="QOM6" i="264"/>
  <c r="QOL6" i="264"/>
  <c r="QOK6" i="264"/>
  <c r="QOJ6" i="264"/>
  <c r="QOI6" i="264"/>
  <c r="QOH6" i="264"/>
  <c r="QOG6" i="264"/>
  <c r="QOF6" i="264"/>
  <c r="QOE6" i="264"/>
  <c r="QOD6" i="264"/>
  <c r="QOC6" i="264"/>
  <c r="QOB6" i="264"/>
  <c r="QOA6" i="264"/>
  <c r="QNZ6" i="264"/>
  <c r="QNY6" i="264"/>
  <c r="QNX6" i="264"/>
  <c r="QNW6" i="264"/>
  <c r="QNV6" i="264"/>
  <c r="QNU6" i="264"/>
  <c r="QNT6" i="264"/>
  <c r="QNS6" i="264"/>
  <c r="QNR6" i="264"/>
  <c r="QNQ6" i="264"/>
  <c r="QNP6" i="264"/>
  <c r="QNO6" i="264"/>
  <c r="QNN6" i="264"/>
  <c r="QNM6" i="264"/>
  <c r="QNL6" i="264"/>
  <c r="QNK6" i="264"/>
  <c r="QNJ6" i="264"/>
  <c r="QNI6" i="264"/>
  <c r="QNH6" i="264"/>
  <c r="QNG6" i="264"/>
  <c r="QNF6" i="264"/>
  <c r="QNE6" i="264"/>
  <c r="QND6" i="264"/>
  <c r="QNC6" i="264"/>
  <c r="QNB6" i="264"/>
  <c r="QNA6" i="264"/>
  <c r="QMZ6" i="264"/>
  <c r="QMY6" i="264"/>
  <c r="QMX6" i="264"/>
  <c r="QMW6" i="264"/>
  <c r="QMV6" i="264"/>
  <c r="QMU6" i="264"/>
  <c r="QMT6" i="264"/>
  <c r="QMS6" i="264"/>
  <c r="QMR6" i="264"/>
  <c r="QMQ6" i="264"/>
  <c r="QMP6" i="264"/>
  <c r="QMO6" i="264"/>
  <c r="QMN6" i="264"/>
  <c r="QMM6" i="264"/>
  <c r="QML6" i="264"/>
  <c r="QMK6" i="264"/>
  <c r="QMJ6" i="264"/>
  <c r="QMI6" i="264"/>
  <c r="QMH6" i="264"/>
  <c r="QMG6" i="264"/>
  <c r="QMF6" i="264"/>
  <c r="QME6" i="264"/>
  <c r="QMD6" i="264"/>
  <c r="QMC6" i="264"/>
  <c r="QMB6" i="264"/>
  <c r="QMA6" i="264"/>
  <c r="QLZ6" i="264"/>
  <c r="QLY6" i="264"/>
  <c r="QLX6" i="264"/>
  <c r="QLW6" i="264"/>
  <c r="QLV6" i="264"/>
  <c r="QLU6" i="264"/>
  <c r="QLT6" i="264"/>
  <c r="QLS6" i="264"/>
  <c r="QLR6" i="264"/>
  <c r="QLQ6" i="264"/>
  <c r="QLP6" i="264"/>
  <c r="QLO6" i="264"/>
  <c r="QLN6" i="264"/>
  <c r="QLM6" i="264"/>
  <c r="QLL6" i="264"/>
  <c r="QLK6" i="264"/>
  <c r="QLJ6" i="264"/>
  <c r="QLI6" i="264"/>
  <c r="QLH6" i="264"/>
  <c r="QLG6" i="264"/>
  <c r="QLF6" i="264"/>
  <c r="QLE6" i="264"/>
  <c r="QLD6" i="264"/>
  <c r="QLC6" i="264"/>
  <c r="QLB6" i="264"/>
  <c r="QLA6" i="264"/>
  <c r="QKZ6" i="264"/>
  <c r="QKY6" i="264"/>
  <c r="QKX6" i="264"/>
  <c r="QKW6" i="264"/>
  <c r="QKV6" i="264"/>
  <c r="QKU6" i="264"/>
  <c r="QKT6" i="264"/>
  <c r="QKS6" i="264"/>
  <c r="QKR6" i="264"/>
  <c r="QKQ6" i="264"/>
  <c r="QKP6" i="264"/>
  <c r="QKO6" i="264"/>
  <c r="QKN6" i="264"/>
  <c r="QKM6" i="264"/>
  <c r="QKL6" i="264"/>
  <c r="QKK6" i="264"/>
  <c r="QKJ6" i="264"/>
  <c r="QKI6" i="264"/>
  <c r="QKH6" i="264"/>
  <c r="QKG6" i="264"/>
  <c r="QKF6" i="264"/>
  <c r="QKE6" i="264"/>
  <c r="QKD6" i="264"/>
  <c r="QKC6" i="264"/>
  <c r="QKB6" i="264"/>
  <c r="QKA6" i="264"/>
  <c r="QJZ6" i="264"/>
  <c r="QJY6" i="264"/>
  <c r="QJX6" i="264"/>
  <c r="QJW6" i="264"/>
  <c r="QJV6" i="264"/>
  <c r="QJU6" i="264"/>
  <c r="QJT6" i="264"/>
  <c r="QJS6" i="264"/>
  <c r="QJR6" i="264"/>
  <c r="QJQ6" i="264"/>
  <c r="QJP6" i="264"/>
  <c r="QJO6" i="264"/>
  <c r="QJN6" i="264"/>
  <c r="QJM6" i="264"/>
  <c r="QJL6" i="264"/>
  <c r="QJK6" i="264"/>
  <c r="QJJ6" i="264"/>
  <c r="QJI6" i="264"/>
  <c r="QJH6" i="264"/>
  <c r="QJG6" i="264"/>
  <c r="QJF6" i="264"/>
  <c r="QJE6" i="264"/>
  <c r="QJD6" i="264"/>
  <c r="QJC6" i="264"/>
  <c r="QJB6" i="264"/>
  <c r="QJA6" i="264"/>
  <c r="QIZ6" i="264"/>
  <c r="QIY6" i="264"/>
  <c r="QIX6" i="264"/>
  <c r="QIW6" i="264"/>
  <c r="QIV6" i="264"/>
  <c r="QIU6" i="264"/>
  <c r="QIT6" i="264"/>
  <c r="QIS6" i="264"/>
  <c r="QIR6" i="264"/>
  <c r="QIQ6" i="264"/>
  <c r="QIP6" i="264"/>
  <c r="QIO6" i="264"/>
  <c r="QIN6" i="264"/>
  <c r="QIM6" i="264"/>
  <c r="QIL6" i="264"/>
  <c r="QIK6" i="264"/>
  <c r="QIJ6" i="264"/>
  <c r="QII6" i="264"/>
  <c r="QIH6" i="264"/>
  <c r="QIG6" i="264"/>
  <c r="QIF6" i="264"/>
  <c r="QIE6" i="264"/>
  <c r="QID6" i="264"/>
  <c r="QIC6" i="264"/>
  <c r="QIB6" i="264"/>
  <c r="QIA6" i="264"/>
  <c r="QHZ6" i="264"/>
  <c r="QHY6" i="264"/>
  <c r="QHX6" i="264"/>
  <c r="QHW6" i="264"/>
  <c r="QHV6" i="264"/>
  <c r="QHU6" i="264"/>
  <c r="QHT6" i="264"/>
  <c r="QHS6" i="264"/>
  <c r="QHR6" i="264"/>
  <c r="QHQ6" i="264"/>
  <c r="QHP6" i="264"/>
  <c r="QHO6" i="264"/>
  <c r="QHN6" i="264"/>
  <c r="QHM6" i="264"/>
  <c r="QHL6" i="264"/>
  <c r="QHK6" i="264"/>
  <c r="QHJ6" i="264"/>
  <c r="QHI6" i="264"/>
  <c r="QHH6" i="264"/>
  <c r="QHG6" i="264"/>
  <c r="QHF6" i="264"/>
  <c r="QHE6" i="264"/>
  <c r="QHD6" i="264"/>
  <c r="QHC6" i="264"/>
  <c r="QHB6" i="264"/>
  <c r="QHA6" i="264"/>
  <c r="QGZ6" i="264"/>
  <c r="QGY6" i="264"/>
  <c r="QGX6" i="264"/>
  <c r="QGW6" i="264"/>
  <c r="QGV6" i="264"/>
  <c r="QGU6" i="264"/>
  <c r="QGT6" i="264"/>
  <c r="QGS6" i="264"/>
  <c r="QGR6" i="264"/>
  <c r="QGQ6" i="264"/>
  <c r="QGP6" i="264"/>
  <c r="QGO6" i="264"/>
  <c r="QGN6" i="264"/>
  <c r="QGM6" i="264"/>
  <c r="QGL6" i="264"/>
  <c r="QGK6" i="264"/>
  <c r="QGJ6" i="264"/>
  <c r="QGI6" i="264"/>
  <c r="QGH6" i="264"/>
  <c r="QGG6" i="264"/>
  <c r="QGF6" i="264"/>
  <c r="QGE6" i="264"/>
  <c r="QGD6" i="264"/>
  <c r="QGC6" i="264"/>
  <c r="QGB6" i="264"/>
  <c r="QGA6" i="264"/>
  <c r="QFZ6" i="264"/>
  <c r="QFY6" i="264"/>
  <c r="QFX6" i="264"/>
  <c r="QFW6" i="264"/>
  <c r="QFV6" i="264"/>
  <c r="QFU6" i="264"/>
  <c r="QFT6" i="264"/>
  <c r="QFS6" i="264"/>
  <c r="QFR6" i="264"/>
  <c r="QFQ6" i="264"/>
  <c r="QFP6" i="264"/>
  <c r="QFO6" i="264"/>
  <c r="QFN6" i="264"/>
  <c r="QFM6" i="264"/>
  <c r="QFL6" i="264"/>
  <c r="QFK6" i="264"/>
  <c r="QFJ6" i="264"/>
  <c r="QFI6" i="264"/>
  <c r="QFH6" i="264"/>
  <c r="QFG6" i="264"/>
  <c r="QFF6" i="264"/>
  <c r="QFE6" i="264"/>
  <c r="QFD6" i="264"/>
  <c r="QFC6" i="264"/>
  <c r="QFB6" i="264"/>
  <c r="QFA6" i="264"/>
  <c r="QEZ6" i="264"/>
  <c r="QEY6" i="264"/>
  <c r="QEX6" i="264"/>
  <c r="QEW6" i="264"/>
  <c r="QEV6" i="264"/>
  <c r="QEU6" i="264"/>
  <c r="QET6" i="264"/>
  <c r="QES6" i="264"/>
  <c r="QER6" i="264"/>
  <c r="QEQ6" i="264"/>
  <c r="QEP6" i="264"/>
  <c r="QEO6" i="264"/>
  <c r="QEN6" i="264"/>
  <c r="QEM6" i="264"/>
  <c r="QEL6" i="264"/>
  <c r="QEK6" i="264"/>
  <c r="QEJ6" i="264"/>
  <c r="QEI6" i="264"/>
  <c r="QEH6" i="264"/>
  <c r="QEG6" i="264"/>
  <c r="QEF6" i="264"/>
  <c r="QEE6" i="264"/>
  <c r="QED6" i="264"/>
  <c r="QEC6" i="264"/>
  <c r="QEB6" i="264"/>
  <c r="QEA6" i="264"/>
  <c r="QDZ6" i="264"/>
  <c r="QDY6" i="264"/>
  <c r="QDX6" i="264"/>
  <c r="QDW6" i="264"/>
  <c r="QDV6" i="264"/>
  <c r="QDU6" i="264"/>
  <c r="QDT6" i="264"/>
  <c r="QDS6" i="264"/>
  <c r="QDR6" i="264"/>
  <c r="QDQ6" i="264"/>
  <c r="QDP6" i="264"/>
  <c r="QDO6" i="264"/>
  <c r="QDN6" i="264"/>
  <c r="QDM6" i="264"/>
  <c r="QDL6" i="264"/>
  <c r="QDK6" i="264"/>
  <c r="QDJ6" i="264"/>
  <c r="QDI6" i="264"/>
  <c r="QDH6" i="264"/>
  <c r="QDG6" i="264"/>
  <c r="QDF6" i="264"/>
  <c r="QDE6" i="264"/>
  <c r="QDD6" i="264"/>
  <c r="QDC6" i="264"/>
  <c r="QDB6" i="264"/>
  <c r="QDA6" i="264"/>
  <c r="QCZ6" i="264"/>
  <c r="QCY6" i="264"/>
  <c r="QCX6" i="264"/>
  <c r="QCW6" i="264"/>
  <c r="QCV6" i="264"/>
  <c r="QCU6" i="264"/>
  <c r="QCT6" i="264"/>
  <c r="QCS6" i="264"/>
  <c r="QCR6" i="264"/>
  <c r="QCQ6" i="264"/>
  <c r="QCP6" i="264"/>
  <c r="QCO6" i="264"/>
  <c r="QCN6" i="264"/>
  <c r="QCM6" i="264"/>
  <c r="QCL6" i="264"/>
  <c r="QCK6" i="264"/>
  <c r="QCJ6" i="264"/>
  <c r="QCI6" i="264"/>
  <c r="QCH6" i="264"/>
  <c r="QCG6" i="264"/>
  <c r="QCF6" i="264"/>
  <c r="QCE6" i="264"/>
  <c r="QCD6" i="264"/>
  <c r="QCC6" i="264"/>
  <c r="QCB6" i="264"/>
  <c r="QCA6" i="264"/>
  <c r="QBZ6" i="264"/>
  <c r="QBY6" i="264"/>
  <c r="QBX6" i="264"/>
  <c r="QBW6" i="264"/>
  <c r="QBV6" i="264"/>
  <c r="QBU6" i="264"/>
  <c r="QBT6" i="264"/>
  <c r="QBS6" i="264"/>
  <c r="QBR6" i="264"/>
  <c r="QBQ6" i="264"/>
  <c r="QBP6" i="264"/>
  <c r="QBO6" i="264"/>
  <c r="QBN6" i="264"/>
  <c r="QBM6" i="264"/>
  <c r="QBL6" i="264"/>
  <c r="QBK6" i="264"/>
  <c r="QBJ6" i="264"/>
  <c r="QBI6" i="264"/>
  <c r="QBH6" i="264"/>
  <c r="QBG6" i="264"/>
  <c r="QBF6" i="264"/>
  <c r="QBE6" i="264"/>
  <c r="QBD6" i="264"/>
  <c r="QBC6" i="264"/>
  <c r="QBB6" i="264"/>
  <c r="QBA6" i="264"/>
  <c r="QAZ6" i="264"/>
  <c r="QAY6" i="264"/>
  <c r="QAX6" i="264"/>
  <c r="QAW6" i="264"/>
  <c r="QAV6" i="264"/>
  <c r="QAU6" i="264"/>
  <c r="QAT6" i="264"/>
  <c r="QAS6" i="264"/>
  <c r="QAR6" i="264"/>
  <c r="QAQ6" i="264"/>
  <c r="QAP6" i="264"/>
  <c r="QAO6" i="264"/>
  <c r="QAN6" i="264"/>
  <c r="QAM6" i="264"/>
  <c r="QAL6" i="264"/>
  <c r="QAK6" i="264"/>
  <c r="QAJ6" i="264"/>
  <c r="QAI6" i="264"/>
  <c r="QAH6" i="264"/>
  <c r="QAG6" i="264"/>
  <c r="QAF6" i="264"/>
  <c r="QAE6" i="264"/>
  <c r="QAD6" i="264"/>
  <c r="QAC6" i="264"/>
  <c r="QAB6" i="264"/>
  <c r="QAA6" i="264"/>
  <c r="PZZ6" i="264"/>
  <c r="PZY6" i="264"/>
  <c r="PZX6" i="264"/>
  <c r="PZW6" i="264"/>
  <c r="PZV6" i="264"/>
  <c r="PZU6" i="264"/>
  <c r="PZT6" i="264"/>
  <c r="PZS6" i="264"/>
  <c r="PZR6" i="264"/>
  <c r="PZQ6" i="264"/>
  <c r="PZP6" i="264"/>
  <c r="PZO6" i="264"/>
  <c r="PZN6" i="264"/>
  <c r="PZM6" i="264"/>
  <c r="PZL6" i="264"/>
  <c r="PZK6" i="264"/>
  <c r="PZJ6" i="264"/>
  <c r="PZI6" i="264"/>
  <c r="PZH6" i="264"/>
  <c r="PZG6" i="264"/>
  <c r="PZF6" i="264"/>
  <c r="PZE6" i="264"/>
  <c r="PZD6" i="264"/>
  <c r="PZC6" i="264"/>
  <c r="PZB6" i="264"/>
  <c r="PZA6" i="264"/>
  <c r="PYZ6" i="264"/>
  <c r="PYY6" i="264"/>
  <c r="PYX6" i="264"/>
  <c r="PYW6" i="264"/>
  <c r="PYV6" i="264"/>
  <c r="PYU6" i="264"/>
  <c r="PYT6" i="264"/>
  <c r="PYS6" i="264"/>
  <c r="PYR6" i="264"/>
  <c r="PYQ6" i="264"/>
  <c r="PYP6" i="264"/>
  <c r="PYO6" i="264"/>
  <c r="PYN6" i="264"/>
  <c r="PYM6" i="264"/>
  <c r="PYL6" i="264"/>
  <c r="PYK6" i="264"/>
  <c r="PYJ6" i="264"/>
  <c r="PYI6" i="264"/>
  <c r="PYH6" i="264"/>
  <c r="PYG6" i="264"/>
  <c r="PYF6" i="264"/>
  <c r="PYE6" i="264"/>
  <c r="PYD6" i="264"/>
  <c r="PYC6" i="264"/>
  <c r="PYB6" i="264"/>
  <c r="PYA6" i="264"/>
  <c r="PXZ6" i="264"/>
  <c r="PXY6" i="264"/>
  <c r="PXX6" i="264"/>
  <c r="PXW6" i="264"/>
  <c r="PXV6" i="264"/>
  <c r="PXU6" i="264"/>
  <c r="PXT6" i="264"/>
  <c r="PXS6" i="264"/>
  <c r="PXR6" i="264"/>
  <c r="PXQ6" i="264"/>
  <c r="PXP6" i="264"/>
  <c r="PXO6" i="264"/>
  <c r="PXN6" i="264"/>
  <c r="PXM6" i="264"/>
  <c r="PXL6" i="264"/>
  <c r="PXK6" i="264"/>
  <c r="PXJ6" i="264"/>
  <c r="PXI6" i="264"/>
  <c r="PXH6" i="264"/>
  <c r="PXG6" i="264"/>
  <c r="PXF6" i="264"/>
  <c r="PXE6" i="264"/>
  <c r="PXD6" i="264"/>
  <c r="PXC6" i="264"/>
  <c r="PXB6" i="264"/>
  <c r="PXA6" i="264"/>
  <c r="PWZ6" i="264"/>
  <c r="PWY6" i="264"/>
  <c r="PWX6" i="264"/>
  <c r="PWW6" i="264"/>
  <c r="PWV6" i="264"/>
  <c r="PWU6" i="264"/>
  <c r="PWT6" i="264"/>
  <c r="PWS6" i="264"/>
  <c r="PWR6" i="264"/>
  <c r="PWQ6" i="264"/>
  <c r="PWP6" i="264"/>
  <c r="PWO6" i="264"/>
  <c r="PWN6" i="264"/>
  <c r="PWM6" i="264"/>
  <c r="PWL6" i="264"/>
  <c r="PWK6" i="264"/>
  <c r="PWJ6" i="264"/>
  <c r="PWI6" i="264"/>
  <c r="PWH6" i="264"/>
  <c r="PWG6" i="264"/>
  <c r="PWF6" i="264"/>
  <c r="PWE6" i="264"/>
  <c r="PWD6" i="264"/>
  <c r="PWC6" i="264"/>
  <c r="PWB6" i="264"/>
  <c r="PWA6" i="264"/>
  <c r="PVZ6" i="264"/>
  <c r="PVY6" i="264"/>
  <c r="PVX6" i="264"/>
  <c r="PVW6" i="264"/>
  <c r="PVV6" i="264"/>
  <c r="PVU6" i="264"/>
  <c r="PVT6" i="264"/>
  <c r="PVS6" i="264"/>
  <c r="PVR6" i="264"/>
  <c r="PVQ6" i="264"/>
  <c r="PVP6" i="264"/>
  <c r="PVO6" i="264"/>
  <c r="PVN6" i="264"/>
  <c r="PVM6" i="264"/>
  <c r="PVL6" i="264"/>
  <c r="PVK6" i="264"/>
  <c r="PVJ6" i="264"/>
  <c r="PVI6" i="264"/>
  <c r="PVH6" i="264"/>
  <c r="PVG6" i="264"/>
  <c r="PVF6" i="264"/>
  <c r="PVE6" i="264"/>
  <c r="PVD6" i="264"/>
  <c r="PVC6" i="264"/>
  <c r="PVB6" i="264"/>
  <c r="PVA6" i="264"/>
  <c r="PUZ6" i="264"/>
  <c r="PUY6" i="264"/>
  <c r="PUX6" i="264"/>
  <c r="PUW6" i="264"/>
  <c r="PUV6" i="264"/>
  <c r="PUU6" i="264"/>
  <c r="PUT6" i="264"/>
  <c r="PUS6" i="264"/>
  <c r="PUR6" i="264"/>
  <c r="PUQ6" i="264"/>
  <c r="PUP6" i="264"/>
  <c r="PUO6" i="264"/>
  <c r="PUN6" i="264"/>
  <c r="PUM6" i="264"/>
  <c r="PUL6" i="264"/>
  <c r="PUK6" i="264"/>
  <c r="PUJ6" i="264"/>
  <c r="PUI6" i="264"/>
  <c r="PUH6" i="264"/>
  <c r="PUG6" i="264"/>
  <c r="PUF6" i="264"/>
  <c r="PUE6" i="264"/>
  <c r="PUD6" i="264"/>
  <c r="PUC6" i="264"/>
  <c r="PUB6" i="264"/>
  <c r="PUA6" i="264"/>
  <c r="PTZ6" i="264"/>
  <c r="PTY6" i="264"/>
  <c r="PTX6" i="264"/>
  <c r="PTW6" i="264"/>
  <c r="PTV6" i="264"/>
  <c r="PTU6" i="264"/>
  <c r="PTT6" i="264"/>
  <c r="PTS6" i="264"/>
  <c r="PTR6" i="264"/>
  <c r="PTQ6" i="264"/>
  <c r="PTP6" i="264"/>
  <c r="PTO6" i="264"/>
  <c r="PTN6" i="264"/>
  <c r="PTM6" i="264"/>
  <c r="PTL6" i="264"/>
  <c r="PTK6" i="264"/>
  <c r="PTJ6" i="264"/>
  <c r="PTI6" i="264"/>
  <c r="PTH6" i="264"/>
  <c r="PTG6" i="264"/>
  <c r="PTF6" i="264"/>
  <c r="PTE6" i="264"/>
  <c r="PTD6" i="264"/>
  <c r="PTC6" i="264"/>
  <c r="PTB6" i="264"/>
  <c r="PTA6" i="264"/>
  <c r="PSZ6" i="264"/>
  <c r="PSY6" i="264"/>
  <c r="PSX6" i="264"/>
  <c r="PSW6" i="264"/>
  <c r="PSV6" i="264"/>
  <c r="PSU6" i="264"/>
  <c r="PST6" i="264"/>
  <c r="PSS6" i="264"/>
  <c r="PSR6" i="264"/>
  <c r="PSQ6" i="264"/>
  <c r="PSP6" i="264"/>
  <c r="PSO6" i="264"/>
  <c r="PSN6" i="264"/>
  <c r="PSM6" i="264"/>
  <c r="PSL6" i="264"/>
  <c r="PSK6" i="264"/>
  <c r="PSJ6" i="264"/>
  <c r="PSI6" i="264"/>
  <c r="PSH6" i="264"/>
  <c r="PSG6" i="264"/>
  <c r="PSF6" i="264"/>
  <c r="PSE6" i="264"/>
  <c r="PSD6" i="264"/>
  <c r="PSC6" i="264"/>
  <c r="PSB6" i="264"/>
  <c r="PSA6" i="264"/>
  <c r="PRZ6" i="264"/>
  <c r="PRY6" i="264"/>
  <c r="PRX6" i="264"/>
  <c r="PRW6" i="264"/>
  <c r="PRV6" i="264"/>
  <c r="PRU6" i="264"/>
  <c r="PRT6" i="264"/>
  <c r="PRS6" i="264"/>
  <c r="PRR6" i="264"/>
  <c r="PRQ6" i="264"/>
  <c r="PRP6" i="264"/>
  <c r="PRO6" i="264"/>
  <c r="PRN6" i="264"/>
  <c r="PRM6" i="264"/>
  <c r="PRL6" i="264"/>
  <c r="PRK6" i="264"/>
  <c r="PRJ6" i="264"/>
  <c r="PRI6" i="264"/>
  <c r="PRH6" i="264"/>
  <c r="PRG6" i="264"/>
  <c r="PRF6" i="264"/>
  <c r="PRE6" i="264"/>
  <c r="PRD6" i="264"/>
  <c r="PRC6" i="264"/>
  <c r="PRB6" i="264"/>
  <c r="PRA6" i="264"/>
  <c r="PQZ6" i="264"/>
  <c r="PQY6" i="264"/>
  <c r="PQX6" i="264"/>
  <c r="PQW6" i="264"/>
  <c r="PQV6" i="264"/>
  <c r="PQU6" i="264"/>
  <c r="PQT6" i="264"/>
  <c r="PQS6" i="264"/>
  <c r="PQR6" i="264"/>
  <c r="PQQ6" i="264"/>
  <c r="PQP6" i="264"/>
  <c r="PQO6" i="264"/>
  <c r="PQN6" i="264"/>
  <c r="PQM6" i="264"/>
  <c r="PQL6" i="264"/>
  <c r="PQK6" i="264"/>
  <c r="PQJ6" i="264"/>
  <c r="PQI6" i="264"/>
  <c r="PQH6" i="264"/>
  <c r="PQG6" i="264"/>
  <c r="PQF6" i="264"/>
  <c r="PQE6" i="264"/>
  <c r="PQD6" i="264"/>
  <c r="PQC6" i="264"/>
  <c r="PQB6" i="264"/>
  <c r="PQA6" i="264"/>
  <c r="PPZ6" i="264"/>
  <c r="PPY6" i="264"/>
  <c r="PPX6" i="264"/>
  <c r="PPW6" i="264"/>
  <c r="PPV6" i="264"/>
  <c r="PPU6" i="264"/>
  <c r="PPT6" i="264"/>
  <c r="PPS6" i="264"/>
  <c r="PPR6" i="264"/>
  <c r="PPQ6" i="264"/>
  <c r="PPP6" i="264"/>
  <c r="PPO6" i="264"/>
  <c r="PPN6" i="264"/>
  <c r="PPM6" i="264"/>
  <c r="PPL6" i="264"/>
  <c r="PPK6" i="264"/>
  <c r="PPJ6" i="264"/>
  <c r="PPI6" i="264"/>
  <c r="PPH6" i="264"/>
  <c r="PPG6" i="264"/>
  <c r="PPF6" i="264"/>
  <c r="PPE6" i="264"/>
  <c r="PPD6" i="264"/>
  <c r="PPC6" i="264"/>
  <c r="PPB6" i="264"/>
  <c r="PPA6" i="264"/>
  <c r="POZ6" i="264"/>
  <c r="POY6" i="264"/>
  <c r="POX6" i="264"/>
  <c r="POW6" i="264"/>
  <c r="POV6" i="264"/>
  <c r="POU6" i="264"/>
  <c r="POT6" i="264"/>
  <c r="POS6" i="264"/>
  <c r="POR6" i="264"/>
  <c r="POQ6" i="264"/>
  <c r="POP6" i="264"/>
  <c r="POO6" i="264"/>
  <c r="PON6" i="264"/>
  <c r="POM6" i="264"/>
  <c r="POL6" i="264"/>
  <c r="POK6" i="264"/>
  <c r="POJ6" i="264"/>
  <c r="POI6" i="264"/>
  <c r="POH6" i="264"/>
  <c r="POG6" i="264"/>
  <c r="POF6" i="264"/>
  <c r="POE6" i="264"/>
  <c r="POD6" i="264"/>
  <c r="POC6" i="264"/>
  <c r="POB6" i="264"/>
  <c r="POA6" i="264"/>
  <c r="PNZ6" i="264"/>
  <c r="PNY6" i="264"/>
  <c r="PNX6" i="264"/>
  <c r="PNW6" i="264"/>
  <c r="PNV6" i="264"/>
  <c r="PNU6" i="264"/>
  <c r="PNT6" i="264"/>
  <c r="PNS6" i="264"/>
  <c r="PNR6" i="264"/>
  <c r="PNQ6" i="264"/>
  <c r="PNP6" i="264"/>
  <c r="PNO6" i="264"/>
  <c r="PNN6" i="264"/>
  <c r="PNM6" i="264"/>
  <c r="PNL6" i="264"/>
  <c r="PNK6" i="264"/>
  <c r="PNJ6" i="264"/>
  <c r="PNI6" i="264"/>
  <c r="PNH6" i="264"/>
  <c r="PNG6" i="264"/>
  <c r="PNF6" i="264"/>
  <c r="PNE6" i="264"/>
  <c r="PND6" i="264"/>
  <c r="PNC6" i="264"/>
  <c r="PNB6" i="264"/>
  <c r="PNA6" i="264"/>
  <c r="PMZ6" i="264"/>
  <c r="PMY6" i="264"/>
  <c r="PMX6" i="264"/>
  <c r="PMW6" i="264"/>
  <c r="PMV6" i="264"/>
  <c r="PMU6" i="264"/>
  <c r="PMT6" i="264"/>
  <c r="PMS6" i="264"/>
  <c r="PMR6" i="264"/>
  <c r="PMQ6" i="264"/>
  <c r="PMP6" i="264"/>
  <c r="PMO6" i="264"/>
  <c r="PMN6" i="264"/>
  <c r="PMM6" i="264"/>
  <c r="PML6" i="264"/>
  <c r="PMK6" i="264"/>
  <c r="PMJ6" i="264"/>
  <c r="PMI6" i="264"/>
  <c r="PMH6" i="264"/>
  <c r="PMG6" i="264"/>
  <c r="PMF6" i="264"/>
  <c r="PME6" i="264"/>
  <c r="PMD6" i="264"/>
  <c r="PMC6" i="264"/>
  <c r="PMB6" i="264"/>
  <c r="PMA6" i="264"/>
  <c r="PLZ6" i="264"/>
  <c r="PLY6" i="264"/>
  <c r="PLX6" i="264"/>
  <c r="PLW6" i="264"/>
  <c r="PLV6" i="264"/>
  <c r="PLU6" i="264"/>
  <c r="PLT6" i="264"/>
  <c r="PLS6" i="264"/>
  <c r="PLR6" i="264"/>
  <c r="PLQ6" i="264"/>
  <c r="PLP6" i="264"/>
  <c r="PLO6" i="264"/>
  <c r="PLN6" i="264"/>
  <c r="PLM6" i="264"/>
  <c r="PLL6" i="264"/>
  <c r="PLK6" i="264"/>
  <c r="PLJ6" i="264"/>
  <c r="PLI6" i="264"/>
  <c r="PLH6" i="264"/>
  <c r="PLG6" i="264"/>
  <c r="PLF6" i="264"/>
  <c r="PLE6" i="264"/>
  <c r="PLD6" i="264"/>
  <c r="PLC6" i="264"/>
  <c r="PLB6" i="264"/>
  <c r="PLA6" i="264"/>
  <c r="PKZ6" i="264"/>
  <c r="PKY6" i="264"/>
  <c r="PKX6" i="264"/>
  <c r="PKW6" i="264"/>
  <c r="PKV6" i="264"/>
  <c r="PKU6" i="264"/>
  <c r="PKT6" i="264"/>
  <c r="PKS6" i="264"/>
  <c r="PKR6" i="264"/>
  <c r="PKQ6" i="264"/>
  <c r="PKP6" i="264"/>
  <c r="PKO6" i="264"/>
  <c r="PKN6" i="264"/>
  <c r="PKM6" i="264"/>
  <c r="PKL6" i="264"/>
  <c r="PKK6" i="264"/>
  <c r="PKJ6" i="264"/>
  <c r="PKI6" i="264"/>
  <c r="PKH6" i="264"/>
  <c r="PKG6" i="264"/>
  <c r="PKF6" i="264"/>
  <c r="PKE6" i="264"/>
  <c r="PKD6" i="264"/>
  <c r="PKC6" i="264"/>
  <c r="PKB6" i="264"/>
  <c r="PKA6" i="264"/>
  <c r="PJZ6" i="264"/>
  <c r="PJY6" i="264"/>
  <c r="PJX6" i="264"/>
  <c r="PJW6" i="264"/>
  <c r="PJV6" i="264"/>
  <c r="PJU6" i="264"/>
  <c r="PJT6" i="264"/>
  <c r="PJS6" i="264"/>
  <c r="PJR6" i="264"/>
  <c r="PJQ6" i="264"/>
  <c r="PJP6" i="264"/>
  <c r="PJO6" i="264"/>
  <c r="PJN6" i="264"/>
  <c r="PJM6" i="264"/>
  <c r="PJL6" i="264"/>
  <c r="PJK6" i="264"/>
  <c r="PJJ6" i="264"/>
  <c r="PJI6" i="264"/>
  <c r="PJH6" i="264"/>
  <c r="PJG6" i="264"/>
  <c r="PJF6" i="264"/>
  <c r="PJE6" i="264"/>
  <c r="PJD6" i="264"/>
  <c r="PJC6" i="264"/>
  <c r="PJB6" i="264"/>
  <c r="PJA6" i="264"/>
  <c r="PIZ6" i="264"/>
  <c r="PIY6" i="264"/>
  <c r="PIX6" i="264"/>
  <c r="PIW6" i="264"/>
  <c r="PIV6" i="264"/>
  <c r="PIU6" i="264"/>
  <c r="PIT6" i="264"/>
  <c r="PIS6" i="264"/>
  <c r="PIR6" i="264"/>
  <c r="PIQ6" i="264"/>
  <c r="PIP6" i="264"/>
  <c r="PIO6" i="264"/>
  <c r="PIN6" i="264"/>
  <c r="PIM6" i="264"/>
  <c r="PIL6" i="264"/>
  <c r="PIK6" i="264"/>
  <c r="PIJ6" i="264"/>
  <c r="PII6" i="264"/>
  <c r="PIH6" i="264"/>
  <c r="PIG6" i="264"/>
  <c r="PIF6" i="264"/>
  <c r="PIE6" i="264"/>
  <c r="PID6" i="264"/>
  <c r="PIC6" i="264"/>
  <c r="PIB6" i="264"/>
  <c r="PIA6" i="264"/>
  <c r="PHZ6" i="264"/>
  <c r="PHY6" i="264"/>
  <c r="PHX6" i="264"/>
  <c r="PHW6" i="264"/>
  <c r="PHV6" i="264"/>
  <c r="PHU6" i="264"/>
  <c r="PHT6" i="264"/>
  <c r="PHS6" i="264"/>
  <c r="PHR6" i="264"/>
  <c r="PHQ6" i="264"/>
  <c r="PHP6" i="264"/>
  <c r="PHO6" i="264"/>
  <c r="PHN6" i="264"/>
  <c r="PHM6" i="264"/>
  <c r="PHL6" i="264"/>
  <c r="PHK6" i="264"/>
  <c r="PHJ6" i="264"/>
  <c r="PHI6" i="264"/>
  <c r="PHH6" i="264"/>
  <c r="PHG6" i="264"/>
  <c r="PHF6" i="264"/>
  <c r="PHE6" i="264"/>
  <c r="PHD6" i="264"/>
  <c r="PHC6" i="264"/>
  <c r="PHB6" i="264"/>
  <c r="PHA6" i="264"/>
  <c r="PGZ6" i="264"/>
  <c r="PGY6" i="264"/>
  <c r="PGX6" i="264"/>
  <c r="PGW6" i="264"/>
  <c r="PGV6" i="264"/>
  <c r="PGU6" i="264"/>
  <c r="PGT6" i="264"/>
  <c r="PGS6" i="264"/>
  <c r="PGR6" i="264"/>
  <c r="PGQ6" i="264"/>
  <c r="PGP6" i="264"/>
  <c r="PGO6" i="264"/>
  <c r="PGN6" i="264"/>
  <c r="PGM6" i="264"/>
  <c r="PGL6" i="264"/>
  <c r="PGK6" i="264"/>
  <c r="PGJ6" i="264"/>
  <c r="PGI6" i="264"/>
  <c r="PGH6" i="264"/>
  <c r="PGG6" i="264"/>
  <c r="PGF6" i="264"/>
  <c r="PGE6" i="264"/>
  <c r="PGD6" i="264"/>
  <c r="PGC6" i="264"/>
  <c r="PGB6" i="264"/>
  <c r="PGA6" i="264"/>
  <c r="PFZ6" i="264"/>
  <c r="PFY6" i="264"/>
  <c r="PFX6" i="264"/>
  <c r="PFW6" i="264"/>
  <c r="PFV6" i="264"/>
  <c r="PFU6" i="264"/>
  <c r="PFT6" i="264"/>
  <c r="PFS6" i="264"/>
  <c r="PFR6" i="264"/>
  <c r="PFQ6" i="264"/>
  <c r="PFP6" i="264"/>
  <c r="PFO6" i="264"/>
  <c r="PFN6" i="264"/>
  <c r="PFM6" i="264"/>
  <c r="PFL6" i="264"/>
  <c r="PFK6" i="264"/>
  <c r="PFJ6" i="264"/>
  <c r="PFI6" i="264"/>
  <c r="PFH6" i="264"/>
  <c r="PFG6" i="264"/>
  <c r="PFF6" i="264"/>
  <c r="PFE6" i="264"/>
  <c r="PFD6" i="264"/>
  <c r="PFC6" i="264"/>
  <c r="PFB6" i="264"/>
  <c r="PFA6" i="264"/>
  <c r="PEZ6" i="264"/>
  <c r="PEY6" i="264"/>
  <c r="PEX6" i="264"/>
  <c r="PEW6" i="264"/>
  <c r="PEV6" i="264"/>
  <c r="PEU6" i="264"/>
  <c r="PET6" i="264"/>
  <c r="PES6" i="264"/>
  <c r="PER6" i="264"/>
  <c r="PEQ6" i="264"/>
  <c r="PEP6" i="264"/>
  <c r="PEO6" i="264"/>
  <c r="PEN6" i="264"/>
  <c r="PEM6" i="264"/>
  <c r="PEL6" i="264"/>
  <c r="PEK6" i="264"/>
  <c r="PEJ6" i="264"/>
  <c r="PEI6" i="264"/>
  <c r="PEH6" i="264"/>
  <c r="PEG6" i="264"/>
  <c r="PEF6" i="264"/>
  <c r="PEE6" i="264"/>
  <c r="PED6" i="264"/>
  <c r="PEC6" i="264"/>
  <c r="PEB6" i="264"/>
  <c r="PEA6" i="264"/>
  <c r="PDZ6" i="264"/>
  <c r="PDY6" i="264"/>
  <c r="PDX6" i="264"/>
  <c r="PDW6" i="264"/>
  <c r="PDV6" i="264"/>
  <c r="PDU6" i="264"/>
  <c r="PDT6" i="264"/>
  <c r="PDS6" i="264"/>
  <c r="PDR6" i="264"/>
  <c r="PDQ6" i="264"/>
  <c r="PDP6" i="264"/>
  <c r="PDO6" i="264"/>
  <c r="PDN6" i="264"/>
  <c r="PDM6" i="264"/>
  <c r="PDL6" i="264"/>
  <c r="PDK6" i="264"/>
  <c r="PDJ6" i="264"/>
  <c r="PDI6" i="264"/>
  <c r="PDH6" i="264"/>
  <c r="PDG6" i="264"/>
  <c r="PDF6" i="264"/>
  <c r="PDE6" i="264"/>
  <c r="PDD6" i="264"/>
  <c r="PDC6" i="264"/>
  <c r="PDB6" i="264"/>
  <c r="PDA6" i="264"/>
  <c r="PCZ6" i="264"/>
  <c r="PCY6" i="264"/>
  <c r="PCX6" i="264"/>
  <c r="PCW6" i="264"/>
  <c r="PCV6" i="264"/>
  <c r="PCU6" i="264"/>
  <c r="PCT6" i="264"/>
  <c r="PCS6" i="264"/>
  <c r="PCR6" i="264"/>
  <c r="PCQ6" i="264"/>
  <c r="PCP6" i="264"/>
  <c r="PCO6" i="264"/>
  <c r="PCN6" i="264"/>
  <c r="PCM6" i="264"/>
  <c r="PCL6" i="264"/>
  <c r="PCK6" i="264"/>
  <c r="PCJ6" i="264"/>
  <c r="PCI6" i="264"/>
  <c r="PCH6" i="264"/>
  <c r="PCG6" i="264"/>
  <c r="PCF6" i="264"/>
  <c r="PCE6" i="264"/>
  <c r="PCD6" i="264"/>
  <c r="PCC6" i="264"/>
  <c r="PCB6" i="264"/>
  <c r="PCA6" i="264"/>
  <c r="PBZ6" i="264"/>
  <c r="PBY6" i="264"/>
  <c r="PBX6" i="264"/>
  <c r="PBW6" i="264"/>
  <c r="PBV6" i="264"/>
  <c r="PBU6" i="264"/>
  <c r="PBT6" i="264"/>
  <c r="PBS6" i="264"/>
  <c r="PBR6" i="264"/>
  <c r="PBQ6" i="264"/>
  <c r="PBP6" i="264"/>
  <c r="PBO6" i="264"/>
  <c r="PBN6" i="264"/>
  <c r="PBM6" i="264"/>
  <c r="PBL6" i="264"/>
  <c r="PBK6" i="264"/>
  <c r="PBJ6" i="264"/>
  <c r="PBI6" i="264"/>
  <c r="PBH6" i="264"/>
  <c r="PBG6" i="264"/>
  <c r="PBF6" i="264"/>
  <c r="PBE6" i="264"/>
  <c r="PBD6" i="264"/>
  <c r="PBC6" i="264"/>
  <c r="PBB6" i="264"/>
  <c r="PBA6" i="264"/>
  <c r="PAZ6" i="264"/>
  <c r="PAY6" i="264"/>
  <c r="PAX6" i="264"/>
  <c r="PAW6" i="264"/>
  <c r="PAV6" i="264"/>
  <c r="PAU6" i="264"/>
  <c r="PAT6" i="264"/>
  <c r="PAS6" i="264"/>
  <c r="PAR6" i="264"/>
  <c r="PAQ6" i="264"/>
  <c r="PAP6" i="264"/>
  <c r="PAO6" i="264"/>
  <c r="PAN6" i="264"/>
  <c r="PAM6" i="264"/>
  <c r="PAL6" i="264"/>
  <c r="PAK6" i="264"/>
  <c r="PAJ6" i="264"/>
  <c r="PAI6" i="264"/>
  <c r="PAH6" i="264"/>
  <c r="PAG6" i="264"/>
  <c r="PAF6" i="264"/>
  <c r="PAE6" i="264"/>
  <c r="PAD6" i="264"/>
  <c r="PAC6" i="264"/>
  <c r="PAB6" i="264"/>
  <c r="PAA6" i="264"/>
  <c r="OZZ6" i="264"/>
  <c r="OZY6" i="264"/>
  <c r="OZX6" i="264"/>
  <c r="OZW6" i="264"/>
  <c r="OZV6" i="264"/>
  <c r="OZU6" i="264"/>
  <c r="OZT6" i="264"/>
  <c r="OZS6" i="264"/>
  <c r="OZR6" i="264"/>
  <c r="OZQ6" i="264"/>
  <c r="OZP6" i="264"/>
  <c r="OZO6" i="264"/>
  <c r="OZN6" i="264"/>
  <c r="OZM6" i="264"/>
  <c r="OZL6" i="264"/>
  <c r="OZK6" i="264"/>
  <c r="OZJ6" i="264"/>
  <c r="OZI6" i="264"/>
  <c r="OZH6" i="264"/>
  <c r="OZG6" i="264"/>
  <c r="OZF6" i="264"/>
  <c r="OZE6" i="264"/>
  <c r="OZD6" i="264"/>
  <c r="OZC6" i="264"/>
  <c r="OZB6" i="264"/>
  <c r="OZA6" i="264"/>
  <c r="OYZ6" i="264"/>
  <c r="OYY6" i="264"/>
  <c r="OYX6" i="264"/>
  <c r="OYW6" i="264"/>
  <c r="OYV6" i="264"/>
  <c r="OYU6" i="264"/>
  <c r="OYT6" i="264"/>
  <c r="OYS6" i="264"/>
  <c r="OYR6" i="264"/>
  <c r="OYQ6" i="264"/>
  <c r="OYP6" i="264"/>
  <c r="OYO6" i="264"/>
  <c r="OYN6" i="264"/>
  <c r="OYM6" i="264"/>
  <c r="OYL6" i="264"/>
  <c r="OYK6" i="264"/>
  <c r="OYJ6" i="264"/>
  <c r="OYI6" i="264"/>
  <c r="OYH6" i="264"/>
  <c r="OYG6" i="264"/>
  <c r="OYF6" i="264"/>
  <c r="OYE6" i="264"/>
  <c r="OYD6" i="264"/>
  <c r="OYC6" i="264"/>
  <c r="OYB6" i="264"/>
  <c r="OYA6" i="264"/>
  <c r="OXZ6" i="264"/>
  <c r="OXY6" i="264"/>
  <c r="OXX6" i="264"/>
  <c r="OXW6" i="264"/>
  <c r="OXV6" i="264"/>
  <c r="OXU6" i="264"/>
  <c r="OXT6" i="264"/>
  <c r="OXS6" i="264"/>
  <c r="OXR6" i="264"/>
  <c r="OXQ6" i="264"/>
  <c r="OXP6" i="264"/>
  <c r="OXO6" i="264"/>
  <c r="OXN6" i="264"/>
  <c r="OXM6" i="264"/>
  <c r="OXL6" i="264"/>
  <c r="OXK6" i="264"/>
  <c r="OXJ6" i="264"/>
  <c r="OXI6" i="264"/>
  <c r="OXH6" i="264"/>
  <c r="OXG6" i="264"/>
  <c r="OXF6" i="264"/>
  <c r="OXE6" i="264"/>
  <c r="OXD6" i="264"/>
  <c r="OXC6" i="264"/>
  <c r="OXB6" i="264"/>
  <c r="OXA6" i="264"/>
  <c r="OWZ6" i="264"/>
  <c r="OWY6" i="264"/>
  <c r="OWX6" i="264"/>
  <c r="OWW6" i="264"/>
  <c r="OWV6" i="264"/>
  <c r="OWU6" i="264"/>
  <c r="OWT6" i="264"/>
  <c r="OWS6" i="264"/>
  <c r="OWR6" i="264"/>
  <c r="OWQ6" i="264"/>
  <c r="OWP6" i="264"/>
  <c r="OWO6" i="264"/>
  <c r="OWN6" i="264"/>
  <c r="OWM6" i="264"/>
  <c r="OWL6" i="264"/>
  <c r="OWK6" i="264"/>
  <c r="OWJ6" i="264"/>
  <c r="OWI6" i="264"/>
  <c r="OWH6" i="264"/>
  <c r="OWG6" i="264"/>
  <c r="OWF6" i="264"/>
  <c r="OWE6" i="264"/>
  <c r="OWD6" i="264"/>
  <c r="OWC6" i="264"/>
  <c r="OWB6" i="264"/>
  <c r="OWA6" i="264"/>
  <c r="OVZ6" i="264"/>
  <c r="OVY6" i="264"/>
  <c r="OVX6" i="264"/>
  <c r="OVW6" i="264"/>
  <c r="OVV6" i="264"/>
  <c r="OVU6" i="264"/>
  <c r="OVT6" i="264"/>
  <c r="OVS6" i="264"/>
  <c r="OVR6" i="264"/>
  <c r="OVQ6" i="264"/>
  <c r="OVP6" i="264"/>
  <c r="OVO6" i="264"/>
  <c r="OVN6" i="264"/>
  <c r="OVM6" i="264"/>
  <c r="OVL6" i="264"/>
  <c r="OVK6" i="264"/>
  <c r="OVJ6" i="264"/>
  <c r="OVI6" i="264"/>
  <c r="OVH6" i="264"/>
  <c r="OVG6" i="264"/>
  <c r="OVF6" i="264"/>
  <c r="OVE6" i="264"/>
  <c r="OVD6" i="264"/>
  <c r="OVC6" i="264"/>
  <c r="OVB6" i="264"/>
  <c r="OVA6" i="264"/>
  <c r="OUZ6" i="264"/>
  <c r="OUY6" i="264"/>
  <c r="OUX6" i="264"/>
  <c r="OUW6" i="264"/>
  <c r="OUV6" i="264"/>
  <c r="OUU6" i="264"/>
  <c r="OUT6" i="264"/>
  <c r="OUS6" i="264"/>
  <c r="OUR6" i="264"/>
  <c r="OUQ6" i="264"/>
  <c r="OUP6" i="264"/>
  <c r="OUO6" i="264"/>
  <c r="OUN6" i="264"/>
  <c r="OUM6" i="264"/>
  <c r="OUL6" i="264"/>
  <c r="OUK6" i="264"/>
  <c r="OUJ6" i="264"/>
  <c r="OUI6" i="264"/>
  <c r="OUH6" i="264"/>
  <c r="OUG6" i="264"/>
  <c r="OUF6" i="264"/>
  <c r="OUE6" i="264"/>
  <c r="OUD6" i="264"/>
  <c r="OUC6" i="264"/>
  <c r="OUB6" i="264"/>
  <c r="OUA6" i="264"/>
  <c r="OTZ6" i="264"/>
  <c r="OTY6" i="264"/>
  <c r="OTX6" i="264"/>
  <c r="OTW6" i="264"/>
  <c r="OTV6" i="264"/>
  <c r="OTU6" i="264"/>
  <c r="OTT6" i="264"/>
  <c r="OTS6" i="264"/>
  <c r="OTR6" i="264"/>
  <c r="OTQ6" i="264"/>
  <c r="OTP6" i="264"/>
  <c r="OTO6" i="264"/>
  <c r="OTN6" i="264"/>
  <c r="OTM6" i="264"/>
  <c r="OTL6" i="264"/>
  <c r="OTK6" i="264"/>
  <c r="OTJ6" i="264"/>
  <c r="OTI6" i="264"/>
  <c r="OTH6" i="264"/>
  <c r="OTG6" i="264"/>
  <c r="OTF6" i="264"/>
  <c r="OTE6" i="264"/>
  <c r="OTD6" i="264"/>
  <c r="OTC6" i="264"/>
  <c r="OTB6" i="264"/>
  <c r="OTA6" i="264"/>
  <c r="OSZ6" i="264"/>
  <c r="OSY6" i="264"/>
  <c r="OSX6" i="264"/>
  <c r="OSW6" i="264"/>
  <c r="OSV6" i="264"/>
  <c r="OSU6" i="264"/>
  <c r="OST6" i="264"/>
  <c r="OSS6" i="264"/>
  <c r="OSR6" i="264"/>
  <c r="OSQ6" i="264"/>
  <c r="OSP6" i="264"/>
  <c r="OSO6" i="264"/>
  <c r="OSN6" i="264"/>
  <c r="OSM6" i="264"/>
  <c r="OSL6" i="264"/>
  <c r="OSK6" i="264"/>
  <c r="OSJ6" i="264"/>
  <c r="OSI6" i="264"/>
  <c r="OSH6" i="264"/>
  <c r="OSG6" i="264"/>
  <c r="OSF6" i="264"/>
  <c r="OSE6" i="264"/>
  <c r="OSD6" i="264"/>
  <c r="OSC6" i="264"/>
  <c r="OSB6" i="264"/>
  <c r="OSA6" i="264"/>
  <c r="ORZ6" i="264"/>
  <c r="ORY6" i="264"/>
  <c r="ORX6" i="264"/>
  <c r="ORW6" i="264"/>
  <c r="ORV6" i="264"/>
  <c r="ORU6" i="264"/>
  <c r="ORT6" i="264"/>
  <c r="ORS6" i="264"/>
  <c r="ORR6" i="264"/>
  <c r="ORQ6" i="264"/>
  <c r="ORP6" i="264"/>
  <c r="ORO6" i="264"/>
  <c r="ORN6" i="264"/>
  <c r="ORM6" i="264"/>
  <c r="ORL6" i="264"/>
  <c r="ORK6" i="264"/>
  <c r="ORJ6" i="264"/>
  <c r="ORI6" i="264"/>
  <c r="ORH6" i="264"/>
  <c r="ORG6" i="264"/>
  <c r="ORF6" i="264"/>
  <c r="ORE6" i="264"/>
  <c r="ORD6" i="264"/>
  <c r="ORC6" i="264"/>
  <c r="ORB6" i="264"/>
  <c r="ORA6" i="264"/>
  <c r="OQZ6" i="264"/>
  <c r="OQY6" i="264"/>
  <c r="OQX6" i="264"/>
  <c r="OQW6" i="264"/>
  <c r="OQV6" i="264"/>
  <c r="OQU6" i="264"/>
  <c r="OQT6" i="264"/>
  <c r="OQS6" i="264"/>
  <c r="OQR6" i="264"/>
  <c r="OQQ6" i="264"/>
  <c r="OQP6" i="264"/>
  <c r="OQO6" i="264"/>
  <c r="OQN6" i="264"/>
  <c r="OQM6" i="264"/>
  <c r="OQL6" i="264"/>
  <c r="OQK6" i="264"/>
  <c r="OQJ6" i="264"/>
  <c r="OQI6" i="264"/>
  <c r="OQH6" i="264"/>
  <c r="OQG6" i="264"/>
  <c r="OQF6" i="264"/>
  <c r="OQE6" i="264"/>
  <c r="OQD6" i="264"/>
  <c r="OQC6" i="264"/>
  <c r="OQB6" i="264"/>
  <c r="OQA6" i="264"/>
  <c r="OPZ6" i="264"/>
  <c r="OPY6" i="264"/>
  <c r="OPX6" i="264"/>
  <c r="OPW6" i="264"/>
  <c r="OPV6" i="264"/>
  <c r="OPU6" i="264"/>
  <c r="OPT6" i="264"/>
  <c r="OPS6" i="264"/>
  <c r="OPR6" i="264"/>
  <c r="OPQ6" i="264"/>
  <c r="OPP6" i="264"/>
  <c r="OPO6" i="264"/>
  <c r="OPN6" i="264"/>
  <c r="OPM6" i="264"/>
  <c r="OPL6" i="264"/>
  <c r="OPK6" i="264"/>
  <c r="OPJ6" i="264"/>
  <c r="OPI6" i="264"/>
  <c r="OPH6" i="264"/>
  <c r="OPG6" i="264"/>
  <c r="OPF6" i="264"/>
  <c r="OPE6" i="264"/>
  <c r="OPD6" i="264"/>
  <c r="OPC6" i="264"/>
  <c r="OPB6" i="264"/>
  <c r="OPA6" i="264"/>
  <c r="OOZ6" i="264"/>
  <c r="OOY6" i="264"/>
  <c r="OOX6" i="264"/>
  <c r="OOW6" i="264"/>
  <c r="OOV6" i="264"/>
  <c r="OOU6" i="264"/>
  <c r="OOT6" i="264"/>
  <c r="OOS6" i="264"/>
  <c r="OOR6" i="264"/>
  <c r="OOQ6" i="264"/>
  <c r="OOP6" i="264"/>
  <c r="OOO6" i="264"/>
  <c r="OON6" i="264"/>
  <c r="OOM6" i="264"/>
  <c r="OOL6" i="264"/>
  <c r="OOK6" i="264"/>
  <c r="OOJ6" i="264"/>
  <c r="OOI6" i="264"/>
  <c r="OOH6" i="264"/>
  <c r="OOG6" i="264"/>
  <c r="OOF6" i="264"/>
  <c r="OOE6" i="264"/>
  <c r="OOD6" i="264"/>
  <c r="OOC6" i="264"/>
  <c r="OOB6" i="264"/>
  <c r="OOA6" i="264"/>
  <c r="ONZ6" i="264"/>
  <c r="ONY6" i="264"/>
  <c r="ONX6" i="264"/>
  <c r="ONW6" i="264"/>
  <c r="ONV6" i="264"/>
  <c r="ONU6" i="264"/>
  <c r="ONT6" i="264"/>
  <c r="ONS6" i="264"/>
  <c r="ONR6" i="264"/>
  <c r="ONQ6" i="264"/>
  <c r="ONP6" i="264"/>
  <c r="ONO6" i="264"/>
  <c r="ONN6" i="264"/>
  <c r="ONM6" i="264"/>
  <c r="ONL6" i="264"/>
  <c r="ONK6" i="264"/>
  <c r="ONJ6" i="264"/>
  <c r="ONI6" i="264"/>
  <c r="ONH6" i="264"/>
  <c r="ONG6" i="264"/>
  <c r="ONF6" i="264"/>
  <c r="ONE6" i="264"/>
  <c r="OND6" i="264"/>
  <c r="ONC6" i="264"/>
  <c r="ONB6" i="264"/>
  <c r="ONA6" i="264"/>
  <c r="OMZ6" i="264"/>
  <c r="OMY6" i="264"/>
  <c r="OMX6" i="264"/>
  <c r="OMW6" i="264"/>
  <c r="OMV6" i="264"/>
  <c r="OMU6" i="264"/>
  <c r="OMT6" i="264"/>
  <c r="OMS6" i="264"/>
  <c r="OMR6" i="264"/>
  <c r="OMQ6" i="264"/>
  <c r="OMP6" i="264"/>
  <c r="OMO6" i="264"/>
  <c r="OMN6" i="264"/>
  <c r="OMM6" i="264"/>
  <c r="OML6" i="264"/>
  <c r="OMK6" i="264"/>
  <c r="OMJ6" i="264"/>
  <c r="OMI6" i="264"/>
  <c r="OMH6" i="264"/>
  <c r="OMG6" i="264"/>
  <c r="OMF6" i="264"/>
  <c r="OME6" i="264"/>
  <c r="OMD6" i="264"/>
  <c r="OMC6" i="264"/>
  <c r="OMB6" i="264"/>
  <c r="OMA6" i="264"/>
  <c r="OLZ6" i="264"/>
  <c r="OLY6" i="264"/>
  <c r="OLX6" i="264"/>
  <c r="OLW6" i="264"/>
  <c r="OLV6" i="264"/>
  <c r="OLU6" i="264"/>
  <c r="OLT6" i="264"/>
  <c r="OLS6" i="264"/>
  <c r="OLR6" i="264"/>
  <c r="OLQ6" i="264"/>
  <c r="OLP6" i="264"/>
  <c r="OLO6" i="264"/>
  <c r="OLN6" i="264"/>
  <c r="OLM6" i="264"/>
  <c r="OLL6" i="264"/>
  <c r="OLK6" i="264"/>
  <c r="OLJ6" i="264"/>
  <c r="OLI6" i="264"/>
  <c r="OLH6" i="264"/>
  <c r="OLG6" i="264"/>
  <c r="OLF6" i="264"/>
  <c r="OLE6" i="264"/>
  <c r="OLD6" i="264"/>
  <c r="OLC6" i="264"/>
  <c r="OLB6" i="264"/>
  <c r="OLA6" i="264"/>
  <c r="OKZ6" i="264"/>
  <c r="OKY6" i="264"/>
  <c r="OKX6" i="264"/>
  <c r="OKW6" i="264"/>
  <c r="OKV6" i="264"/>
  <c r="OKU6" i="264"/>
  <c r="OKT6" i="264"/>
  <c r="OKS6" i="264"/>
  <c r="OKR6" i="264"/>
  <c r="OKQ6" i="264"/>
  <c r="OKP6" i="264"/>
  <c r="OKO6" i="264"/>
  <c r="OKN6" i="264"/>
  <c r="OKM6" i="264"/>
  <c r="OKL6" i="264"/>
  <c r="OKK6" i="264"/>
  <c r="OKJ6" i="264"/>
  <c r="OKI6" i="264"/>
  <c r="OKH6" i="264"/>
  <c r="OKG6" i="264"/>
  <c r="OKF6" i="264"/>
  <c r="OKE6" i="264"/>
  <c r="OKD6" i="264"/>
  <c r="OKC6" i="264"/>
  <c r="OKB6" i="264"/>
  <c r="OKA6" i="264"/>
  <c r="OJZ6" i="264"/>
  <c r="OJY6" i="264"/>
  <c r="OJX6" i="264"/>
  <c r="OJW6" i="264"/>
  <c r="OJV6" i="264"/>
  <c r="OJU6" i="264"/>
  <c r="OJT6" i="264"/>
  <c r="OJS6" i="264"/>
  <c r="OJR6" i="264"/>
  <c r="OJQ6" i="264"/>
  <c r="OJP6" i="264"/>
  <c r="OJO6" i="264"/>
  <c r="OJN6" i="264"/>
  <c r="OJM6" i="264"/>
  <c r="OJL6" i="264"/>
  <c r="OJK6" i="264"/>
  <c r="OJJ6" i="264"/>
  <c r="OJI6" i="264"/>
  <c r="OJH6" i="264"/>
  <c r="OJG6" i="264"/>
  <c r="OJF6" i="264"/>
  <c r="OJE6" i="264"/>
  <c r="OJD6" i="264"/>
  <c r="OJC6" i="264"/>
  <c r="OJB6" i="264"/>
  <c r="OJA6" i="264"/>
  <c r="OIZ6" i="264"/>
  <c r="OIY6" i="264"/>
  <c r="OIX6" i="264"/>
  <c r="OIW6" i="264"/>
  <c r="OIV6" i="264"/>
  <c r="OIU6" i="264"/>
  <c r="OIT6" i="264"/>
  <c r="OIS6" i="264"/>
  <c r="OIR6" i="264"/>
  <c r="OIQ6" i="264"/>
  <c r="OIP6" i="264"/>
  <c r="OIO6" i="264"/>
  <c r="OIN6" i="264"/>
  <c r="OIM6" i="264"/>
  <c r="OIL6" i="264"/>
  <c r="OIK6" i="264"/>
  <c r="OIJ6" i="264"/>
  <c r="OII6" i="264"/>
  <c r="OIH6" i="264"/>
  <c r="OIG6" i="264"/>
  <c r="OIF6" i="264"/>
  <c r="OIE6" i="264"/>
  <c r="OID6" i="264"/>
  <c r="OIC6" i="264"/>
  <c r="OIB6" i="264"/>
  <c r="OIA6" i="264"/>
  <c r="OHZ6" i="264"/>
  <c r="OHY6" i="264"/>
  <c r="OHX6" i="264"/>
  <c r="OHW6" i="264"/>
  <c r="OHV6" i="264"/>
  <c r="OHU6" i="264"/>
  <c r="OHT6" i="264"/>
  <c r="OHS6" i="264"/>
  <c r="OHR6" i="264"/>
  <c r="OHQ6" i="264"/>
  <c r="OHP6" i="264"/>
  <c r="OHO6" i="264"/>
  <c r="OHN6" i="264"/>
  <c r="OHM6" i="264"/>
  <c r="OHL6" i="264"/>
  <c r="OHK6" i="264"/>
  <c r="OHJ6" i="264"/>
  <c r="OHI6" i="264"/>
  <c r="OHH6" i="264"/>
  <c r="OHG6" i="264"/>
  <c r="OHF6" i="264"/>
  <c r="OHE6" i="264"/>
  <c r="OHD6" i="264"/>
  <c r="OHC6" i="264"/>
  <c r="OHB6" i="264"/>
  <c r="OHA6" i="264"/>
  <c r="OGZ6" i="264"/>
  <c r="OGY6" i="264"/>
  <c r="OGX6" i="264"/>
  <c r="OGW6" i="264"/>
  <c r="OGV6" i="264"/>
  <c r="OGU6" i="264"/>
  <c r="OGT6" i="264"/>
  <c r="OGS6" i="264"/>
  <c r="OGR6" i="264"/>
  <c r="OGQ6" i="264"/>
  <c r="OGP6" i="264"/>
  <c r="OGO6" i="264"/>
  <c r="OGN6" i="264"/>
  <c r="OGM6" i="264"/>
  <c r="OGL6" i="264"/>
  <c r="OGK6" i="264"/>
  <c r="OGJ6" i="264"/>
  <c r="OGI6" i="264"/>
  <c r="OGH6" i="264"/>
  <c r="OGG6" i="264"/>
  <c r="OGF6" i="264"/>
  <c r="OGE6" i="264"/>
  <c r="OGD6" i="264"/>
  <c r="OGC6" i="264"/>
  <c r="OGB6" i="264"/>
  <c r="OGA6" i="264"/>
  <c r="OFZ6" i="264"/>
  <c r="OFY6" i="264"/>
  <c r="OFX6" i="264"/>
  <c r="OFW6" i="264"/>
  <c r="OFV6" i="264"/>
  <c r="OFU6" i="264"/>
  <c r="OFT6" i="264"/>
  <c r="OFS6" i="264"/>
  <c r="OFR6" i="264"/>
  <c r="OFQ6" i="264"/>
  <c r="OFP6" i="264"/>
  <c r="OFO6" i="264"/>
  <c r="OFN6" i="264"/>
  <c r="OFM6" i="264"/>
  <c r="OFL6" i="264"/>
  <c r="OFK6" i="264"/>
  <c r="OFJ6" i="264"/>
  <c r="OFI6" i="264"/>
  <c r="OFH6" i="264"/>
  <c r="OFG6" i="264"/>
  <c r="OFF6" i="264"/>
  <c r="OFE6" i="264"/>
  <c r="OFD6" i="264"/>
  <c r="OFC6" i="264"/>
  <c r="OFB6" i="264"/>
  <c r="OFA6" i="264"/>
  <c r="OEZ6" i="264"/>
  <c r="OEY6" i="264"/>
  <c r="OEX6" i="264"/>
  <c r="OEW6" i="264"/>
  <c r="OEV6" i="264"/>
  <c r="OEU6" i="264"/>
  <c r="OET6" i="264"/>
  <c r="OES6" i="264"/>
  <c r="OER6" i="264"/>
  <c r="OEQ6" i="264"/>
  <c r="OEP6" i="264"/>
  <c r="OEO6" i="264"/>
  <c r="OEN6" i="264"/>
  <c r="OEM6" i="264"/>
  <c r="OEL6" i="264"/>
  <c r="OEK6" i="264"/>
  <c r="OEJ6" i="264"/>
  <c r="OEI6" i="264"/>
  <c r="OEH6" i="264"/>
  <c r="OEG6" i="264"/>
  <c r="OEF6" i="264"/>
  <c r="OEE6" i="264"/>
  <c r="OED6" i="264"/>
  <c r="OEC6" i="264"/>
  <c r="OEB6" i="264"/>
  <c r="OEA6" i="264"/>
  <c r="ODZ6" i="264"/>
  <c r="ODY6" i="264"/>
  <c r="ODX6" i="264"/>
  <c r="ODW6" i="264"/>
  <c r="ODV6" i="264"/>
  <c r="ODU6" i="264"/>
  <c r="ODT6" i="264"/>
  <c r="ODS6" i="264"/>
  <c r="ODR6" i="264"/>
  <c r="ODQ6" i="264"/>
  <c r="ODP6" i="264"/>
  <c r="ODO6" i="264"/>
  <c r="ODN6" i="264"/>
  <c r="ODM6" i="264"/>
  <c r="ODL6" i="264"/>
  <c r="ODK6" i="264"/>
  <c r="ODJ6" i="264"/>
  <c r="ODI6" i="264"/>
  <c r="ODH6" i="264"/>
  <c r="ODG6" i="264"/>
  <c r="ODF6" i="264"/>
  <c r="ODE6" i="264"/>
  <c r="ODD6" i="264"/>
  <c r="ODC6" i="264"/>
  <c r="ODB6" i="264"/>
  <c r="ODA6" i="264"/>
  <c r="OCZ6" i="264"/>
  <c r="OCY6" i="264"/>
  <c r="OCX6" i="264"/>
  <c r="OCW6" i="264"/>
  <c r="OCV6" i="264"/>
  <c r="OCU6" i="264"/>
  <c r="OCT6" i="264"/>
  <c r="OCS6" i="264"/>
  <c r="OCR6" i="264"/>
  <c r="OCQ6" i="264"/>
  <c r="OCP6" i="264"/>
  <c r="OCO6" i="264"/>
  <c r="OCN6" i="264"/>
  <c r="OCM6" i="264"/>
  <c r="OCL6" i="264"/>
  <c r="OCK6" i="264"/>
  <c r="OCJ6" i="264"/>
  <c r="OCI6" i="264"/>
  <c r="OCH6" i="264"/>
  <c r="OCG6" i="264"/>
  <c r="OCF6" i="264"/>
  <c r="OCE6" i="264"/>
  <c r="OCD6" i="264"/>
  <c r="OCC6" i="264"/>
  <c r="OCB6" i="264"/>
  <c r="OCA6" i="264"/>
  <c r="OBZ6" i="264"/>
  <c r="OBY6" i="264"/>
  <c r="OBX6" i="264"/>
  <c r="OBW6" i="264"/>
  <c r="OBV6" i="264"/>
  <c r="OBU6" i="264"/>
  <c r="OBT6" i="264"/>
  <c r="OBS6" i="264"/>
  <c r="OBR6" i="264"/>
  <c r="OBQ6" i="264"/>
  <c r="OBP6" i="264"/>
  <c r="OBO6" i="264"/>
  <c r="OBN6" i="264"/>
  <c r="OBM6" i="264"/>
  <c r="OBL6" i="264"/>
  <c r="OBK6" i="264"/>
  <c r="OBJ6" i="264"/>
  <c r="OBI6" i="264"/>
  <c r="OBH6" i="264"/>
  <c r="OBG6" i="264"/>
  <c r="OBF6" i="264"/>
  <c r="OBE6" i="264"/>
  <c r="OBD6" i="264"/>
  <c r="OBC6" i="264"/>
  <c r="OBB6" i="264"/>
  <c r="OBA6" i="264"/>
  <c r="OAZ6" i="264"/>
  <c r="OAY6" i="264"/>
  <c r="OAX6" i="264"/>
  <c r="OAW6" i="264"/>
  <c r="OAV6" i="264"/>
  <c r="OAU6" i="264"/>
  <c r="OAT6" i="264"/>
  <c r="OAS6" i="264"/>
  <c r="OAR6" i="264"/>
  <c r="OAQ6" i="264"/>
  <c r="OAP6" i="264"/>
  <c r="OAO6" i="264"/>
  <c r="OAN6" i="264"/>
  <c r="OAM6" i="264"/>
  <c r="OAL6" i="264"/>
  <c r="OAK6" i="264"/>
  <c r="OAJ6" i="264"/>
  <c r="OAI6" i="264"/>
  <c r="OAH6" i="264"/>
  <c r="OAG6" i="264"/>
  <c r="OAF6" i="264"/>
  <c r="OAE6" i="264"/>
  <c r="OAD6" i="264"/>
  <c r="OAC6" i="264"/>
  <c r="OAB6" i="264"/>
  <c r="OAA6" i="264"/>
  <c r="NZZ6" i="264"/>
  <c r="NZY6" i="264"/>
  <c r="NZX6" i="264"/>
  <c r="NZW6" i="264"/>
  <c r="NZV6" i="264"/>
  <c r="NZU6" i="264"/>
  <c r="NZT6" i="264"/>
  <c r="NZS6" i="264"/>
  <c r="NZR6" i="264"/>
  <c r="NZQ6" i="264"/>
  <c r="NZP6" i="264"/>
  <c r="NZO6" i="264"/>
  <c r="NZN6" i="264"/>
  <c r="NZM6" i="264"/>
  <c r="NZL6" i="264"/>
  <c r="NZK6" i="264"/>
  <c r="NZJ6" i="264"/>
  <c r="NZI6" i="264"/>
  <c r="NZH6" i="264"/>
  <c r="NZG6" i="264"/>
  <c r="NZF6" i="264"/>
  <c r="NZE6" i="264"/>
  <c r="NZD6" i="264"/>
  <c r="NZC6" i="264"/>
  <c r="NZB6" i="264"/>
  <c r="NZA6" i="264"/>
  <c r="NYZ6" i="264"/>
  <c r="NYY6" i="264"/>
  <c r="NYX6" i="264"/>
  <c r="NYW6" i="264"/>
  <c r="NYV6" i="264"/>
  <c r="NYU6" i="264"/>
  <c r="NYT6" i="264"/>
  <c r="NYS6" i="264"/>
  <c r="NYR6" i="264"/>
  <c r="NYQ6" i="264"/>
  <c r="NYP6" i="264"/>
  <c r="NYO6" i="264"/>
  <c r="NYN6" i="264"/>
  <c r="NYM6" i="264"/>
  <c r="NYL6" i="264"/>
  <c r="NYK6" i="264"/>
  <c r="NYJ6" i="264"/>
  <c r="NYI6" i="264"/>
  <c r="NYH6" i="264"/>
  <c r="NYG6" i="264"/>
  <c r="NYF6" i="264"/>
  <c r="NYE6" i="264"/>
  <c r="NYD6" i="264"/>
  <c r="NYC6" i="264"/>
  <c r="NYB6" i="264"/>
  <c r="NYA6" i="264"/>
  <c r="NXZ6" i="264"/>
  <c r="NXY6" i="264"/>
  <c r="NXX6" i="264"/>
  <c r="NXW6" i="264"/>
  <c r="NXV6" i="264"/>
  <c r="NXU6" i="264"/>
  <c r="NXT6" i="264"/>
  <c r="NXS6" i="264"/>
  <c r="NXR6" i="264"/>
  <c r="NXQ6" i="264"/>
  <c r="NXP6" i="264"/>
  <c r="NXO6" i="264"/>
  <c r="NXN6" i="264"/>
  <c r="NXM6" i="264"/>
  <c r="NXL6" i="264"/>
  <c r="NXK6" i="264"/>
  <c r="NXJ6" i="264"/>
  <c r="NXI6" i="264"/>
  <c r="NXH6" i="264"/>
  <c r="NXG6" i="264"/>
  <c r="NXF6" i="264"/>
  <c r="NXE6" i="264"/>
  <c r="NXD6" i="264"/>
  <c r="NXC6" i="264"/>
  <c r="NXB6" i="264"/>
  <c r="NXA6" i="264"/>
  <c r="NWZ6" i="264"/>
  <c r="NWY6" i="264"/>
  <c r="NWX6" i="264"/>
  <c r="NWW6" i="264"/>
  <c r="NWV6" i="264"/>
  <c r="NWU6" i="264"/>
  <c r="NWT6" i="264"/>
  <c r="NWS6" i="264"/>
  <c r="NWR6" i="264"/>
  <c r="NWQ6" i="264"/>
  <c r="NWP6" i="264"/>
  <c r="NWO6" i="264"/>
  <c r="NWN6" i="264"/>
  <c r="NWM6" i="264"/>
  <c r="NWL6" i="264"/>
  <c r="NWK6" i="264"/>
  <c r="NWJ6" i="264"/>
  <c r="NWI6" i="264"/>
  <c r="NWH6" i="264"/>
  <c r="NWG6" i="264"/>
  <c r="NWF6" i="264"/>
  <c r="NWE6" i="264"/>
  <c r="NWD6" i="264"/>
  <c r="NWC6" i="264"/>
  <c r="NWB6" i="264"/>
  <c r="NWA6" i="264"/>
  <c r="NVZ6" i="264"/>
  <c r="NVY6" i="264"/>
  <c r="NVX6" i="264"/>
  <c r="NVW6" i="264"/>
  <c r="NVV6" i="264"/>
  <c r="NVU6" i="264"/>
  <c r="NVT6" i="264"/>
  <c r="NVS6" i="264"/>
  <c r="NVR6" i="264"/>
  <c r="NVQ6" i="264"/>
  <c r="NVP6" i="264"/>
  <c r="NVO6" i="264"/>
  <c r="NVN6" i="264"/>
  <c r="NVM6" i="264"/>
  <c r="NVL6" i="264"/>
  <c r="NVK6" i="264"/>
  <c r="NVJ6" i="264"/>
  <c r="NVI6" i="264"/>
  <c r="NVH6" i="264"/>
  <c r="NVG6" i="264"/>
  <c r="NVF6" i="264"/>
  <c r="NVE6" i="264"/>
  <c r="NVD6" i="264"/>
  <c r="NVC6" i="264"/>
  <c r="NVB6" i="264"/>
  <c r="NVA6" i="264"/>
  <c r="NUZ6" i="264"/>
  <c r="NUY6" i="264"/>
  <c r="NUX6" i="264"/>
  <c r="NUW6" i="264"/>
  <c r="NUV6" i="264"/>
  <c r="NUU6" i="264"/>
  <c r="NUT6" i="264"/>
  <c r="NUS6" i="264"/>
  <c r="NUR6" i="264"/>
  <c r="NUQ6" i="264"/>
  <c r="NUP6" i="264"/>
  <c r="NUO6" i="264"/>
  <c r="NUN6" i="264"/>
  <c r="NUM6" i="264"/>
  <c r="NUL6" i="264"/>
  <c r="NUK6" i="264"/>
  <c r="NUJ6" i="264"/>
  <c r="NUI6" i="264"/>
  <c r="NUH6" i="264"/>
  <c r="NUG6" i="264"/>
  <c r="NUF6" i="264"/>
  <c r="NUE6" i="264"/>
  <c r="NUD6" i="264"/>
  <c r="NUC6" i="264"/>
  <c r="NUB6" i="264"/>
  <c r="NUA6" i="264"/>
  <c r="NTZ6" i="264"/>
  <c r="NTY6" i="264"/>
  <c r="NTX6" i="264"/>
  <c r="NTW6" i="264"/>
  <c r="NTV6" i="264"/>
  <c r="NTU6" i="264"/>
  <c r="NTT6" i="264"/>
  <c r="NTS6" i="264"/>
  <c r="NTR6" i="264"/>
  <c r="NTQ6" i="264"/>
  <c r="NTP6" i="264"/>
  <c r="NTO6" i="264"/>
  <c r="NTN6" i="264"/>
  <c r="NTM6" i="264"/>
  <c r="NTL6" i="264"/>
  <c r="NTK6" i="264"/>
  <c r="NTJ6" i="264"/>
  <c r="NTI6" i="264"/>
  <c r="NTH6" i="264"/>
  <c r="NTG6" i="264"/>
  <c r="NTF6" i="264"/>
  <c r="NTE6" i="264"/>
  <c r="NTD6" i="264"/>
  <c r="NTC6" i="264"/>
  <c r="NTB6" i="264"/>
  <c r="NTA6" i="264"/>
  <c r="NSZ6" i="264"/>
  <c r="NSY6" i="264"/>
  <c r="NSX6" i="264"/>
  <c r="NSW6" i="264"/>
  <c r="NSV6" i="264"/>
  <c r="NSU6" i="264"/>
  <c r="NST6" i="264"/>
  <c r="NSS6" i="264"/>
  <c r="NSR6" i="264"/>
  <c r="NSQ6" i="264"/>
  <c r="NSP6" i="264"/>
  <c r="NSO6" i="264"/>
  <c r="NSN6" i="264"/>
  <c r="NSM6" i="264"/>
  <c r="NSL6" i="264"/>
  <c r="NSK6" i="264"/>
  <c r="NSJ6" i="264"/>
  <c r="NSI6" i="264"/>
  <c r="NSH6" i="264"/>
  <c r="NSG6" i="264"/>
  <c r="NSF6" i="264"/>
  <c r="NSE6" i="264"/>
  <c r="NSD6" i="264"/>
  <c r="NSC6" i="264"/>
  <c r="NSB6" i="264"/>
  <c r="NSA6" i="264"/>
  <c r="NRZ6" i="264"/>
  <c r="NRY6" i="264"/>
  <c r="NRX6" i="264"/>
  <c r="NRW6" i="264"/>
  <c r="NRV6" i="264"/>
  <c r="NRU6" i="264"/>
  <c r="NRT6" i="264"/>
  <c r="NRS6" i="264"/>
  <c r="NRR6" i="264"/>
  <c r="NRQ6" i="264"/>
  <c r="NRP6" i="264"/>
  <c r="NRO6" i="264"/>
  <c r="NRN6" i="264"/>
  <c r="NRM6" i="264"/>
  <c r="NRL6" i="264"/>
  <c r="NRK6" i="264"/>
  <c r="NRJ6" i="264"/>
  <c r="NRI6" i="264"/>
  <c r="NRH6" i="264"/>
  <c r="NRG6" i="264"/>
  <c r="NRF6" i="264"/>
  <c r="NRE6" i="264"/>
  <c r="NRD6" i="264"/>
  <c r="NRC6" i="264"/>
  <c r="NRB6" i="264"/>
  <c r="NRA6" i="264"/>
  <c r="NQZ6" i="264"/>
  <c r="NQY6" i="264"/>
  <c r="NQX6" i="264"/>
  <c r="NQW6" i="264"/>
  <c r="NQV6" i="264"/>
  <c r="NQU6" i="264"/>
  <c r="NQT6" i="264"/>
  <c r="NQS6" i="264"/>
  <c r="NQR6" i="264"/>
  <c r="NQQ6" i="264"/>
  <c r="NQP6" i="264"/>
  <c r="NQO6" i="264"/>
  <c r="NQN6" i="264"/>
  <c r="NQM6" i="264"/>
  <c r="NQL6" i="264"/>
  <c r="NQK6" i="264"/>
  <c r="NQJ6" i="264"/>
  <c r="NQI6" i="264"/>
  <c r="NQH6" i="264"/>
  <c r="NQG6" i="264"/>
  <c r="NQF6" i="264"/>
  <c r="NQE6" i="264"/>
  <c r="NQD6" i="264"/>
  <c r="NQC6" i="264"/>
  <c r="NQB6" i="264"/>
  <c r="NQA6" i="264"/>
  <c r="NPZ6" i="264"/>
  <c r="NPY6" i="264"/>
  <c r="NPX6" i="264"/>
  <c r="NPW6" i="264"/>
  <c r="NPV6" i="264"/>
  <c r="NPU6" i="264"/>
  <c r="NPT6" i="264"/>
  <c r="NPS6" i="264"/>
  <c r="NPR6" i="264"/>
  <c r="NPQ6" i="264"/>
  <c r="NPP6" i="264"/>
  <c r="NPO6" i="264"/>
  <c r="NPN6" i="264"/>
  <c r="NPM6" i="264"/>
  <c r="NPL6" i="264"/>
  <c r="NPK6" i="264"/>
  <c r="NPJ6" i="264"/>
  <c r="NPI6" i="264"/>
  <c r="NPH6" i="264"/>
  <c r="NPG6" i="264"/>
  <c r="NPF6" i="264"/>
  <c r="NPE6" i="264"/>
  <c r="NPD6" i="264"/>
  <c r="NPC6" i="264"/>
  <c r="NPB6" i="264"/>
  <c r="NPA6" i="264"/>
  <c r="NOZ6" i="264"/>
  <c r="NOY6" i="264"/>
  <c r="NOX6" i="264"/>
  <c r="NOW6" i="264"/>
  <c r="NOV6" i="264"/>
  <c r="NOU6" i="264"/>
  <c r="NOT6" i="264"/>
  <c r="NOS6" i="264"/>
  <c r="NOR6" i="264"/>
  <c r="NOQ6" i="264"/>
  <c r="NOP6" i="264"/>
  <c r="NOO6" i="264"/>
  <c r="NON6" i="264"/>
  <c r="NOM6" i="264"/>
  <c r="NOL6" i="264"/>
  <c r="NOK6" i="264"/>
  <c r="NOJ6" i="264"/>
  <c r="NOI6" i="264"/>
  <c r="NOH6" i="264"/>
  <c r="NOG6" i="264"/>
  <c r="NOF6" i="264"/>
  <c r="NOE6" i="264"/>
  <c r="NOD6" i="264"/>
  <c r="NOC6" i="264"/>
  <c r="NOB6" i="264"/>
  <c r="NOA6" i="264"/>
  <c r="NNZ6" i="264"/>
  <c r="NNY6" i="264"/>
  <c r="NNX6" i="264"/>
  <c r="NNW6" i="264"/>
  <c r="NNV6" i="264"/>
  <c r="NNU6" i="264"/>
  <c r="NNT6" i="264"/>
  <c r="NNS6" i="264"/>
  <c r="NNR6" i="264"/>
  <c r="NNQ6" i="264"/>
  <c r="NNP6" i="264"/>
  <c r="NNO6" i="264"/>
  <c r="NNN6" i="264"/>
  <c r="NNM6" i="264"/>
  <c r="NNL6" i="264"/>
  <c r="NNK6" i="264"/>
  <c r="NNJ6" i="264"/>
  <c r="NNI6" i="264"/>
  <c r="NNH6" i="264"/>
  <c r="NNG6" i="264"/>
  <c r="NNF6" i="264"/>
  <c r="NNE6" i="264"/>
  <c r="NND6" i="264"/>
  <c r="NNC6" i="264"/>
  <c r="NNB6" i="264"/>
  <c r="NNA6" i="264"/>
  <c r="NMZ6" i="264"/>
  <c r="NMY6" i="264"/>
  <c r="NMX6" i="264"/>
  <c r="NMW6" i="264"/>
  <c r="NMV6" i="264"/>
  <c r="NMU6" i="264"/>
  <c r="NMT6" i="264"/>
  <c r="NMS6" i="264"/>
  <c r="NMR6" i="264"/>
  <c r="NMQ6" i="264"/>
  <c r="NMP6" i="264"/>
  <c r="NMO6" i="264"/>
  <c r="NMN6" i="264"/>
  <c r="NMM6" i="264"/>
  <c r="NML6" i="264"/>
  <c r="NMK6" i="264"/>
  <c r="NMJ6" i="264"/>
  <c r="NMI6" i="264"/>
  <c r="NMH6" i="264"/>
  <c r="NMG6" i="264"/>
  <c r="NMF6" i="264"/>
  <c r="NME6" i="264"/>
  <c r="NMD6" i="264"/>
  <c r="NMC6" i="264"/>
  <c r="NMB6" i="264"/>
  <c r="NMA6" i="264"/>
  <c r="NLZ6" i="264"/>
  <c r="NLY6" i="264"/>
  <c r="NLX6" i="264"/>
  <c r="NLW6" i="264"/>
  <c r="NLV6" i="264"/>
  <c r="NLU6" i="264"/>
  <c r="NLT6" i="264"/>
  <c r="NLS6" i="264"/>
  <c r="NLR6" i="264"/>
  <c r="NLQ6" i="264"/>
  <c r="NLP6" i="264"/>
  <c r="NLO6" i="264"/>
  <c r="NLN6" i="264"/>
  <c r="NLM6" i="264"/>
  <c r="NLL6" i="264"/>
  <c r="NLK6" i="264"/>
  <c r="NLJ6" i="264"/>
  <c r="NLI6" i="264"/>
  <c r="NLH6" i="264"/>
  <c r="NLG6" i="264"/>
  <c r="NLF6" i="264"/>
  <c r="NLE6" i="264"/>
  <c r="NLD6" i="264"/>
  <c r="NLC6" i="264"/>
  <c r="NLB6" i="264"/>
  <c r="NLA6" i="264"/>
  <c r="NKZ6" i="264"/>
  <c r="NKY6" i="264"/>
  <c r="NKX6" i="264"/>
  <c r="NKW6" i="264"/>
  <c r="NKV6" i="264"/>
  <c r="NKU6" i="264"/>
  <c r="NKT6" i="264"/>
  <c r="NKS6" i="264"/>
  <c r="NKR6" i="264"/>
  <c r="NKQ6" i="264"/>
  <c r="NKP6" i="264"/>
  <c r="NKO6" i="264"/>
  <c r="NKN6" i="264"/>
  <c r="NKM6" i="264"/>
  <c r="NKL6" i="264"/>
  <c r="NKK6" i="264"/>
  <c r="NKJ6" i="264"/>
  <c r="NKI6" i="264"/>
  <c r="NKH6" i="264"/>
  <c r="NKG6" i="264"/>
  <c r="NKF6" i="264"/>
  <c r="NKE6" i="264"/>
  <c r="NKD6" i="264"/>
  <c r="NKC6" i="264"/>
  <c r="NKB6" i="264"/>
  <c r="NKA6" i="264"/>
  <c r="NJZ6" i="264"/>
  <c r="NJY6" i="264"/>
  <c r="NJX6" i="264"/>
  <c r="NJW6" i="264"/>
  <c r="NJV6" i="264"/>
  <c r="NJU6" i="264"/>
  <c r="NJT6" i="264"/>
  <c r="NJS6" i="264"/>
  <c r="NJR6" i="264"/>
  <c r="NJQ6" i="264"/>
  <c r="NJP6" i="264"/>
  <c r="NJO6" i="264"/>
  <c r="NJN6" i="264"/>
  <c r="NJM6" i="264"/>
  <c r="NJL6" i="264"/>
  <c r="NJK6" i="264"/>
  <c r="NJJ6" i="264"/>
  <c r="NJI6" i="264"/>
  <c r="NJH6" i="264"/>
  <c r="NJG6" i="264"/>
  <c r="NJF6" i="264"/>
  <c r="NJE6" i="264"/>
  <c r="NJD6" i="264"/>
  <c r="NJC6" i="264"/>
  <c r="NJB6" i="264"/>
  <c r="NJA6" i="264"/>
  <c r="NIZ6" i="264"/>
  <c r="NIY6" i="264"/>
  <c r="NIX6" i="264"/>
  <c r="NIW6" i="264"/>
  <c r="NIV6" i="264"/>
  <c r="NIU6" i="264"/>
  <c r="NIT6" i="264"/>
  <c r="NIS6" i="264"/>
  <c r="NIR6" i="264"/>
  <c r="NIQ6" i="264"/>
  <c r="NIP6" i="264"/>
  <c r="NIO6" i="264"/>
  <c r="NIN6" i="264"/>
  <c r="NIM6" i="264"/>
  <c r="NIL6" i="264"/>
  <c r="NIK6" i="264"/>
  <c r="NIJ6" i="264"/>
  <c r="NII6" i="264"/>
  <c r="NIH6" i="264"/>
  <c r="NIG6" i="264"/>
  <c r="NIF6" i="264"/>
  <c r="NIE6" i="264"/>
  <c r="NID6" i="264"/>
  <c r="NIC6" i="264"/>
  <c r="NIB6" i="264"/>
  <c r="NIA6" i="264"/>
  <c r="NHZ6" i="264"/>
  <c r="NHY6" i="264"/>
  <c r="NHX6" i="264"/>
  <c r="NHW6" i="264"/>
  <c r="NHV6" i="264"/>
  <c r="NHU6" i="264"/>
  <c r="NHT6" i="264"/>
  <c r="NHS6" i="264"/>
  <c r="NHR6" i="264"/>
  <c r="NHQ6" i="264"/>
  <c r="NHP6" i="264"/>
  <c r="NHO6" i="264"/>
  <c r="NHN6" i="264"/>
  <c r="NHM6" i="264"/>
  <c r="NHL6" i="264"/>
  <c r="NHK6" i="264"/>
  <c r="NHJ6" i="264"/>
  <c r="NHI6" i="264"/>
  <c r="NHH6" i="264"/>
  <c r="NHG6" i="264"/>
  <c r="NHF6" i="264"/>
  <c r="NHE6" i="264"/>
  <c r="NHD6" i="264"/>
  <c r="NHC6" i="264"/>
  <c r="NHB6" i="264"/>
  <c r="NHA6" i="264"/>
  <c r="NGZ6" i="264"/>
  <c r="NGY6" i="264"/>
  <c r="NGX6" i="264"/>
  <c r="NGW6" i="264"/>
  <c r="NGV6" i="264"/>
  <c r="NGU6" i="264"/>
  <c r="NGT6" i="264"/>
  <c r="NGS6" i="264"/>
  <c r="NGR6" i="264"/>
  <c r="NGQ6" i="264"/>
  <c r="NGP6" i="264"/>
  <c r="NGO6" i="264"/>
  <c r="NGN6" i="264"/>
  <c r="NGM6" i="264"/>
  <c r="NGL6" i="264"/>
  <c r="NGK6" i="264"/>
  <c r="NGJ6" i="264"/>
  <c r="NGI6" i="264"/>
  <c r="NGH6" i="264"/>
  <c r="NGG6" i="264"/>
  <c r="NGF6" i="264"/>
  <c r="NGE6" i="264"/>
  <c r="NGD6" i="264"/>
  <c r="NGC6" i="264"/>
  <c r="NGB6" i="264"/>
  <c r="NGA6" i="264"/>
  <c r="NFZ6" i="264"/>
  <c r="NFY6" i="264"/>
  <c r="NFX6" i="264"/>
  <c r="NFW6" i="264"/>
  <c r="NFV6" i="264"/>
  <c r="NFU6" i="264"/>
  <c r="NFT6" i="264"/>
  <c r="NFS6" i="264"/>
  <c r="NFR6" i="264"/>
  <c r="NFQ6" i="264"/>
  <c r="NFP6" i="264"/>
  <c r="NFO6" i="264"/>
  <c r="NFN6" i="264"/>
  <c r="NFM6" i="264"/>
  <c r="NFL6" i="264"/>
  <c r="NFK6" i="264"/>
  <c r="NFJ6" i="264"/>
  <c r="NFI6" i="264"/>
  <c r="NFH6" i="264"/>
  <c r="NFG6" i="264"/>
  <c r="NFF6" i="264"/>
  <c r="NFE6" i="264"/>
  <c r="NFD6" i="264"/>
  <c r="NFC6" i="264"/>
  <c r="NFB6" i="264"/>
  <c r="NFA6" i="264"/>
  <c r="NEZ6" i="264"/>
  <c r="NEY6" i="264"/>
  <c r="NEX6" i="264"/>
  <c r="NEW6" i="264"/>
  <c r="NEV6" i="264"/>
  <c r="NEU6" i="264"/>
  <c r="NET6" i="264"/>
  <c r="NES6" i="264"/>
  <c r="NER6" i="264"/>
  <c r="NEQ6" i="264"/>
  <c r="NEP6" i="264"/>
  <c r="NEO6" i="264"/>
  <c r="NEN6" i="264"/>
  <c r="NEM6" i="264"/>
  <c r="NEL6" i="264"/>
  <c r="NEK6" i="264"/>
  <c r="NEJ6" i="264"/>
  <c r="NEI6" i="264"/>
  <c r="NEH6" i="264"/>
  <c r="NEG6" i="264"/>
  <c r="NEF6" i="264"/>
  <c r="NEE6" i="264"/>
  <c r="NED6" i="264"/>
  <c r="NEC6" i="264"/>
  <c r="NEB6" i="264"/>
  <c r="NEA6" i="264"/>
  <c r="NDZ6" i="264"/>
  <c r="NDY6" i="264"/>
  <c r="NDX6" i="264"/>
  <c r="NDW6" i="264"/>
  <c r="NDV6" i="264"/>
  <c r="NDU6" i="264"/>
  <c r="NDT6" i="264"/>
  <c r="NDS6" i="264"/>
  <c r="NDR6" i="264"/>
  <c r="NDQ6" i="264"/>
  <c r="NDP6" i="264"/>
  <c r="NDO6" i="264"/>
  <c r="NDN6" i="264"/>
  <c r="NDM6" i="264"/>
  <c r="NDL6" i="264"/>
  <c r="NDK6" i="264"/>
  <c r="NDJ6" i="264"/>
  <c r="NDI6" i="264"/>
  <c r="NDH6" i="264"/>
  <c r="NDG6" i="264"/>
  <c r="NDF6" i="264"/>
  <c r="NDE6" i="264"/>
  <c r="NDD6" i="264"/>
  <c r="NDC6" i="264"/>
  <c r="NDB6" i="264"/>
  <c r="NDA6" i="264"/>
  <c r="NCZ6" i="264"/>
  <c r="NCY6" i="264"/>
  <c r="NCX6" i="264"/>
  <c r="NCW6" i="264"/>
  <c r="NCV6" i="264"/>
  <c r="NCU6" i="264"/>
  <c r="NCT6" i="264"/>
  <c r="NCS6" i="264"/>
  <c r="NCR6" i="264"/>
  <c r="NCQ6" i="264"/>
  <c r="NCP6" i="264"/>
  <c r="NCO6" i="264"/>
  <c r="NCN6" i="264"/>
  <c r="NCM6" i="264"/>
  <c r="NCL6" i="264"/>
  <c r="NCK6" i="264"/>
  <c r="NCJ6" i="264"/>
  <c r="NCI6" i="264"/>
  <c r="NCH6" i="264"/>
  <c r="NCG6" i="264"/>
  <c r="NCF6" i="264"/>
  <c r="NCE6" i="264"/>
  <c r="NCD6" i="264"/>
  <c r="NCC6" i="264"/>
  <c r="NCB6" i="264"/>
  <c r="NCA6" i="264"/>
  <c r="NBZ6" i="264"/>
  <c r="NBY6" i="264"/>
  <c r="NBX6" i="264"/>
  <c r="NBW6" i="264"/>
  <c r="NBV6" i="264"/>
  <c r="NBU6" i="264"/>
  <c r="NBT6" i="264"/>
  <c r="NBS6" i="264"/>
  <c r="NBR6" i="264"/>
  <c r="NBQ6" i="264"/>
  <c r="NBP6" i="264"/>
  <c r="NBO6" i="264"/>
  <c r="NBN6" i="264"/>
  <c r="NBM6" i="264"/>
  <c r="NBL6" i="264"/>
  <c r="NBK6" i="264"/>
  <c r="NBJ6" i="264"/>
  <c r="NBI6" i="264"/>
  <c r="NBH6" i="264"/>
  <c r="NBG6" i="264"/>
  <c r="NBF6" i="264"/>
  <c r="NBE6" i="264"/>
  <c r="NBD6" i="264"/>
  <c r="NBC6" i="264"/>
  <c r="NBB6" i="264"/>
  <c r="NBA6" i="264"/>
  <c r="NAZ6" i="264"/>
  <c r="NAY6" i="264"/>
  <c r="NAX6" i="264"/>
  <c r="NAW6" i="264"/>
  <c r="NAV6" i="264"/>
  <c r="NAU6" i="264"/>
  <c r="NAT6" i="264"/>
  <c r="NAS6" i="264"/>
  <c r="NAR6" i="264"/>
  <c r="NAQ6" i="264"/>
  <c r="NAP6" i="264"/>
  <c r="NAO6" i="264"/>
  <c r="NAN6" i="264"/>
  <c r="NAM6" i="264"/>
  <c r="NAL6" i="264"/>
  <c r="NAK6" i="264"/>
  <c r="NAJ6" i="264"/>
  <c r="NAI6" i="264"/>
  <c r="NAH6" i="264"/>
  <c r="NAG6" i="264"/>
  <c r="NAF6" i="264"/>
  <c r="NAE6" i="264"/>
  <c r="NAD6" i="264"/>
  <c r="NAC6" i="264"/>
  <c r="NAB6" i="264"/>
  <c r="NAA6" i="264"/>
  <c r="MZZ6" i="264"/>
  <c r="MZY6" i="264"/>
  <c r="MZX6" i="264"/>
  <c r="MZW6" i="264"/>
  <c r="MZV6" i="264"/>
  <c r="MZU6" i="264"/>
  <c r="MZT6" i="264"/>
  <c r="MZS6" i="264"/>
  <c r="MZR6" i="264"/>
  <c r="MZQ6" i="264"/>
  <c r="MZP6" i="264"/>
  <c r="MZO6" i="264"/>
  <c r="MZN6" i="264"/>
  <c r="MZM6" i="264"/>
  <c r="MZL6" i="264"/>
  <c r="MZK6" i="264"/>
  <c r="MZJ6" i="264"/>
  <c r="MZI6" i="264"/>
  <c r="MZH6" i="264"/>
  <c r="MZG6" i="264"/>
  <c r="MZF6" i="264"/>
  <c r="MZE6" i="264"/>
  <c r="MZD6" i="264"/>
  <c r="MZC6" i="264"/>
  <c r="MZB6" i="264"/>
  <c r="MZA6" i="264"/>
  <c r="MYZ6" i="264"/>
  <c r="MYY6" i="264"/>
  <c r="MYX6" i="264"/>
  <c r="MYW6" i="264"/>
  <c r="MYV6" i="264"/>
  <c r="MYU6" i="264"/>
  <c r="MYT6" i="264"/>
  <c r="MYS6" i="264"/>
  <c r="MYR6" i="264"/>
  <c r="MYQ6" i="264"/>
  <c r="MYP6" i="264"/>
  <c r="MYO6" i="264"/>
  <c r="MYN6" i="264"/>
  <c r="MYM6" i="264"/>
  <c r="MYL6" i="264"/>
  <c r="MYK6" i="264"/>
  <c r="MYJ6" i="264"/>
  <c r="MYI6" i="264"/>
  <c r="MYH6" i="264"/>
  <c r="MYG6" i="264"/>
  <c r="MYF6" i="264"/>
  <c r="MYE6" i="264"/>
  <c r="MYD6" i="264"/>
  <c r="MYC6" i="264"/>
  <c r="MYB6" i="264"/>
  <c r="MYA6" i="264"/>
  <c r="MXZ6" i="264"/>
  <c r="MXY6" i="264"/>
  <c r="MXX6" i="264"/>
  <c r="MXW6" i="264"/>
  <c r="MXV6" i="264"/>
  <c r="MXU6" i="264"/>
  <c r="MXT6" i="264"/>
  <c r="MXS6" i="264"/>
  <c r="MXR6" i="264"/>
  <c r="MXQ6" i="264"/>
  <c r="MXP6" i="264"/>
  <c r="MXO6" i="264"/>
  <c r="MXN6" i="264"/>
  <c r="MXM6" i="264"/>
  <c r="MXL6" i="264"/>
  <c r="MXK6" i="264"/>
  <c r="MXJ6" i="264"/>
  <c r="MXI6" i="264"/>
  <c r="MXH6" i="264"/>
  <c r="MXG6" i="264"/>
  <c r="MXF6" i="264"/>
  <c r="MXE6" i="264"/>
  <c r="MXD6" i="264"/>
  <c r="MXC6" i="264"/>
  <c r="MXB6" i="264"/>
  <c r="MXA6" i="264"/>
  <c r="MWZ6" i="264"/>
  <c r="MWY6" i="264"/>
  <c r="MWX6" i="264"/>
  <c r="MWW6" i="264"/>
  <c r="MWV6" i="264"/>
  <c r="MWU6" i="264"/>
  <c r="MWT6" i="264"/>
  <c r="MWS6" i="264"/>
  <c r="MWR6" i="264"/>
  <c r="MWQ6" i="264"/>
  <c r="MWP6" i="264"/>
  <c r="MWO6" i="264"/>
  <c r="MWN6" i="264"/>
  <c r="MWM6" i="264"/>
  <c r="MWL6" i="264"/>
  <c r="MWK6" i="264"/>
  <c r="MWJ6" i="264"/>
  <c r="MWI6" i="264"/>
  <c r="MWH6" i="264"/>
  <c r="MWG6" i="264"/>
  <c r="MWF6" i="264"/>
  <c r="MWE6" i="264"/>
  <c r="MWD6" i="264"/>
  <c r="MWC6" i="264"/>
  <c r="MWB6" i="264"/>
  <c r="MWA6" i="264"/>
  <c r="MVZ6" i="264"/>
  <c r="MVY6" i="264"/>
  <c r="MVX6" i="264"/>
  <c r="MVW6" i="264"/>
  <c r="MVV6" i="264"/>
  <c r="MVU6" i="264"/>
  <c r="MVT6" i="264"/>
  <c r="MVS6" i="264"/>
  <c r="MVR6" i="264"/>
  <c r="MVQ6" i="264"/>
  <c r="MVP6" i="264"/>
  <c r="MVO6" i="264"/>
  <c r="MVN6" i="264"/>
  <c r="MVM6" i="264"/>
  <c r="MVL6" i="264"/>
  <c r="MVK6" i="264"/>
  <c r="MVJ6" i="264"/>
  <c r="MVI6" i="264"/>
  <c r="MVH6" i="264"/>
  <c r="MVG6" i="264"/>
  <c r="MVF6" i="264"/>
  <c r="MVE6" i="264"/>
  <c r="MVD6" i="264"/>
  <c r="MVC6" i="264"/>
  <c r="MVB6" i="264"/>
  <c r="MVA6" i="264"/>
  <c r="MUZ6" i="264"/>
  <c r="MUY6" i="264"/>
  <c r="MUX6" i="264"/>
  <c r="MUW6" i="264"/>
  <c r="MUV6" i="264"/>
  <c r="MUU6" i="264"/>
  <c r="MUT6" i="264"/>
  <c r="MUS6" i="264"/>
  <c r="MUR6" i="264"/>
  <c r="MUQ6" i="264"/>
  <c r="MUP6" i="264"/>
  <c r="MUO6" i="264"/>
  <c r="MUN6" i="264"/>
  <c r="MUM6" i="264"/>
  <c r="MUL6" i="264"/>
  <c r="MUK6" i="264"/>
  <c r="MUJ6" i="264"/>
  <c r="MUI6" i="264"/>
  <c r="MUH6" i="264"/>
  <c r="MUG6" i="264"/>
  <c r="MUF6" i="264"/>
  <c r="MUE6" i="264"/>
  <c r="MUD6" i="264"/>
  <c r="MUC6" i="264"/>
  <c r="MUB6" i="264"/>
  <c r="MUA6" i="264"/>
  <c r="MTZ6" i="264"/>
  <c r="MTY6" i="264"/>
  <c r="MTX6" i="264"/>
  <c r="MTW6" i="264"/>
  <c r="MTV6" i="264"/>
  <c r="MTU6" i="264"/>
  <c r="MTT6" i="264"/>
  <c r="MTS6" i="264"/>
  <c r="MTR6" i="264"/>
  <c r="MTQ6" i="264"/>
  <c r="MTP6" i="264"/>
  <c r="MTO6" i="264"/>
  <c r="MTN6" i="264"/>
  <c r="MTM6" i="264"/>
  <c r="MTL6" i="264"/>
  <c r="MTK6" i="264"/>
  <c r="MTJ6" i="264"/>
  <c r="MTI6" i="264"/>
  <c r="MTH6" i="264"/>
  <c r="MTG6" i="264"/>
  <c r="MTF6" i="264"/>
  <c r="MTE6" i="264"/>
  <c r="MTD6" i="264"/>
  <c r="MTC6" i="264"/>
  <c r="MTB6" i="264"/>
  <c r="MTA6" i="264"/>
  <c r="MSZ6" i="264"/>
  <c r="MSY6" i="264"/>
  <c r="MSX6" i="264"/>
  <c r="MSW6" i="264"/>
  <c r="MSV6" i="264"/>
  <c r="MSU6" i="264"/>
  <c r="MST6" i="264"/>
  <c r="MSS6" i="264"/>
  <c r="MSR6" i="264"/>
  <c r="MSQ6" i="264"/>
  <c r="MSP6" i="264"/>
  <c r="MSO6" i="264"/>
  <c r="MSN6" i="264"/>
  <c r="MSM6" i="264"/>
  <c r="MSL6" i="264"/>
  <c r="MSK6" i="264"/>
  <c r="MSJ6" i="264"/>
  <c r="MSI6" i="264"/>
  <c r="MSH6" i="264"/>
  <c r="MSG6" i="264"/>
  <c r="MSF6" i="264"/>
  <c r="MSE6" i="264"/>
  <c r="MSD6" i="264"/>
  <c r="MSC6" i="264"/>
  <c r="MSB6" i="264"/>
  <c r="MSA6" i="264"/>
  <c r="MRZ6" i="264"/>
  <c r="MRY6" i="264"/>
  <c r="MRX6" i="264"/>
  <c r="MRW6" i="264"/>
  <c r="MRV6" i="264"/>
  <c r="MRU6" i="264"/>
  <c r="MRT6" i="264"/>
  <c r="MRS6" i="264"/>
  <c r="MRR6" i="264"/>
  <c r="MRQ6" i="264"/>
  <c r="MRP6" i="264"/>
  <c r="MRO6" i="264"/>
  <c r="MRN6" i="264"/>
  <c r="MRM6" i="264"/>
  <c r="MRL6" i="264"/>
  <c r="MRK6" i="264"/>
  <c r="MRJ6" i="264"/>
  <c r="MRI6" i="264"/>
  <c r="MRH6" i="264"/>
  <c r="MRG6" i="264"/>
  <c r="MRF6" i="264"/>
  <c r="MRE6" i="264"/>
  <c r="MRD6" i="264"/>
  <c r="MRC6" i="264"/>
  <c r="MRB6" i="264"/>
  <c r="MRA6" i="264"/>
  <c r="MQZ6" i="264"/>
  <c r="MQY6" i="264"/>
  <c r="MQX6" i="264"/>
  <c r="MQW6" i="264"/>
  <c r="MQV6" i="264"/>
  <c r="MQU6" i="264"/>
  <c r="MQT6" i="264"/>
  <c r="MQS6" i="264"/>
  <c r="MQR6" i="264"/>
  <c r="MQQ6" i="264"/>
  <c r="MQP6" i="264"/>
  <c r="MQO6" i="264"/>
  <c r="MQN6" i="264"/>
  <c r="MQM6" i="264"/>
  <c r="MQL6" i="264"/>
  <c r="MQK6" i="264"/>
  <c r="MQJ6" i="264"/>
  <c r="MQI6" i="264"/>
  <c r="MQH6" i="264"/>
  <c r="MQG6" i="264"/>
  <c r="MQF6" i="264"/>
  <c r="MQE6" i="264"/>
  <c r="MQD6" i="264"/>
  <c r="MQC6" i="264"/>
  <c r="MQB6" i="264"/>
  <c r="MQA6" i="264"/>
  <c r="MPZ6" i="264"/>
  <c r="MPY6" i="264"/>
  <c r="MPX6" i="264"/>
  <c r="MPW6" i="264"/>
  <c r="MPV6" i="264"/>
  <c r="MPU6" i="264"/>
  <c r="MPT6" i="264"/>
  <c r="MPS6" i="264"/>
  <c r="MPR6" i="264"/>
  <c r="MPQ6" i="264"/>
  <c r="MPP6" i="264"/>
  <c r="MPO6" i="264"/>
  <c r="MPN6" i="264"/>
  <c r="MPM6" i="264"/>
  <c r="MPL6" i="264"/>
  <c r="MPK6" i="264"/>
  <c r="MPJ6" i="264"/>
  <c r="MPI6" i="264"/>
  <c r="MPH6" i="264"/>
  <c r="MPG6" i="264"/>
  <c r="MPF6" i="264"/>
  <c r="MPE6" i="264"/>
  <c r="MPD6" i="264"/>
  <c r="MPC6" i="264"/>
  <c r="MPB6" i="264"/>
  <c r="MPA6" i="264"/>
  <c r="MOZ6" i="264"/>
  <c r="MOY6" i="264"/>
  <c r="MOX6" i="264"/>
  <c r="MOW6" i="264"/>
  <c r="MOV6" i="264"/>
  <c r="MOU6" i="264"/>
  <c r="MOT6" i="264"/>
  <c r="MOS6" i="264"/>
  <c r="MOR6" i="264"/>
  <c r="MOQ6" i="264"/>
  <c r="MOP6" i="264"/>
  <c r="MOO6" i="264"/>
  <c r="MON6" i="264"/>
  <c r="MOM6" i="264"/>
  <c r="MOL6" i="264"/>
  <c r="MOK6" i="264"/>
  <c r="MOJ6" i="264"/>
  <c r="MOI6" i="264"/>
  <c r="MOH6" i="264"/>
  <c r="MOG6" i="264"/>
  <c r="MOF6" i="264"/>
  <c r="MOE6" i="264"/>
  <c r="MOD6" i="264"/>
  <c r="MOC6" i="264"/>
  <c r="MOB6" i="264"/>
  <c r="MOA6" i="264"/>
  <c r="MNZ6" i="264"/>
  <c r="MNY6" i="264"/>
  <c r="MNX6" i="264"/>
  <c r="MNW6" i="264"/>
  <c r="MNV6" i="264"/>
  <c r="MNU6" i="264"/>
  <c r="MNT6" i="264"/>
  <c r="MNS6" i="264"/>
  <c r="MNR6" i="264"/>
  <c r="MNQ6" i="264"/>
  <c r="MNP6" i="264"/>
  <c r="MNO6" i="264"/>
  <c r="MNN6" i="264"/>
  <c r="MNM6" i="264"/>
  <c r="MNL6" i="264"/>
  <c r="MNK6" i="264"/>
  <c r="MNJ6" i="264"/>
  <c r="MNI6" i="264"/>
  <c r="MNH6" i="264"/>
  <c r="MNG6" i="264"/>
  <c r="MNF6" i="264"/>
  <c r="MNE6" i="264"/>
  <c r="MND6" i="264"/>
  <c r="MNC6" i="264"/>
  <c r="MNB6" i="264"/>
  <c r="MNA6" i="264"/>
  <c r="MMZ6" i="264"/>
  <c r="MMY6" i="264"/>
  <c r="MMX6" i="264"/>
  <c r="MMW6" i="264"/>
  <c r="MMV6" i="264"/>
  <c r="MMU6" i="264"/>
  <c r="MMT6" i="264"/>
  <c r="MMS6" i="264"/>
  <c r="MMR6" i="264"/>
  <c r="MMQ6" i="264"/>
  <c r="MMP6" i="264"/>
  <c r="MMO6" i="264"/>
  <c r="MMN6" i="264"/>
  <c r="MMM6" i="264"/>
  <c r="MML6" i="264"/>
  <c r="MMK6" i="264"/>
  <c r="MMJ6" i="264"/>
  <c r="MMI6" i="264"/>
  <c r="MMH6" i="264"/>
  <c r="MMG6" i="264"/>
  <c r="MMF6" i="264"/>
  <c r="MME6" i="264"/>
  <c r="MMD6" i="264"/>
  <c r="MMC6" i="264"/>
  <c r="MMB6" i="264"/>
  <c r="MMA6" i="264"/>
  <c r="MLZ6" i="264"/>
  <c r="MLY6" i="264"/>
  <c r="MLX6" i="264"/>
  <c r="MLW6" i="264"/>
  <c r="MLV6" i="264"/>
  <c r="MLU6" i="264"/>
  <c r="MLT6" i="264"/>
  <c r="MLS6" i="264"/>
  <c r="MLR6" i="264"/>
  <c r="MLQ6" i="264"/>
  <c r="MLP6" i="264"/>
  <c r="MLO6" i="264"/>
  <c r="MLN6" i="264"/>
  <c r="MLM6" i="264"/>
  <c r="MLL6" i="264"/>
  <c r="MLK6" i="264"/>
  <c r="MLJ6" i="264"/>
  <c r="MLI6" i="264"/>
  <c r="MLH6" i="264"/>
  <c r="MLG6" i="264"/>
  <c r="MLF6" i="264"/>
  <c r="MLE6" i="264"/>
  <c r="MLD6" i="264"/>
  <c r="MLC6" i="264"/>
  <c r="MLB6" i="264"/>
  <c r="MLA6" i="264"/>
  <c r="MKZ6" i="264"/>
  <c r="MKY6" i="264"/>
  <c r="MKX6" i="264"/>
  <c r="MKW6" i="264"/>
  <c r="MKV6" i="264"/>
  <c r="MKU6" i="264"/>
  <c r="MKT6" i="264"/>
  <c r="MKS6" i="264"/>
  <c r="MKR6" i="264"/>
  <c r="MKQ6" i="264"/>
  <c r="MKP6" i="264"/>
  <c r="MKO6" i="264"/>
  <c r="MKN6" i="264"/>
  <c r="MKM6" i="264"/>
  <c r="MKL6" i="264"/>
  <c r="MKK6" i="264"/>
  <c r="MKJ6" i="264"/>
  <c r="MKI6" i="264"/>
  <c r="MKH6" i="264"/>
  <c r="MKG6" i="264"/>
  <c r="MKF6" i="264"/>
  <c r="MKE6" i="264"/>
  <c r="MKD6" i="264"/>
  <c r="MKC6" i="264"/>
  <c r="MKB6" i="264"/>
  <c r="MKA6" i="264"/>
  <c r="MJZ6" i="264"/>
  <c r="MJY6" i="264"/>
  <c r="MJX6" i="264"/>
  <c r="MJW6" i="264"/>
  <c r="MJV6" i="264"/>
  <c r="MJU6" i="264"/>
  <c r="MJT6" i="264"/>
  <c r="MJS6" i="264"/>
  <c r="MJR6" i="264"/>
  <c r="MJQ6" i="264"/>
  <c r="MJP6" i="264"/>
  <c r="MJO6" i="264"/>
  <c r="MJN6" i="264"/>
  <c r="MJM6" i="264"/>
  <c r="MJL6" i="264"/>
  <c r="MJK6" i="264"/>
  <c r="MJJ6" i="264"/>
  <c r="MJI6" i="264"/>
  <c r="MJH6" i="264"/>
  <c r="MJG6" i="264"/>
  <c r="MJF6" i="264"/>
  <c r="MJE6" i="264"/>
  <c r="MJD6" i="264"/>
  <c r="MJC6" i="264"/>
  <c r="MJB6" i="264"/>
  <c r="MJA6" i="264"/>
  <c r="MIZ6" i="264"/>
  <c r="MIY6" i="264"/>
  <c r="MIX6" i="264"/>
  <c r="MIW6" i="264"/>
  <c r="MIV6" i="264"/>
  <c r="MIU6" i="264"/>
  <c r="MIT6" i="264"/>
  <c r="MIS6" i="264"/>
  <c r="MIR6" i="264"/>
  <c r="MIQ6" i="264"/>
  <c r="MIP6" i="264"/>
  <c r="MIO6" i="264"/>
  <c r="MIN6" i="264"/>
  <c r="MIM6" i="264"/>
  <c r="MIL6" i="264"/>
  <c r="MIK6" i="264"/>
  <c r="MIJ6" i="264"/>
  <c r="MII6" i="264"/>
  <c r="MIH6" i="264"/>
  <c r="MIG6" i="264"/>
  <c r="MIF6" i="264"/>
  <c r="MIE6" i="264"/>
  <c r="MID6" i="264"/>
  <c r="MIC6" i="264"/>
  <c r="MIB6" i="264"/>
  <c r="MIA6" i="264"/>
  <c r="MHZ6" i="264"/>
  <c r="MHY6" i="264"/>
  <c r="MHX6" i="264"/>
  <c r="MHW6" i="264"/>
  <c r="MHV6" i="264"/>
  <c r="MHU6" i="264"/>
  <c r="MHT6" i="264"/>
  <c r="MHS6" i="264"/>
  <c r="MHR6" i="264"/>
  <c r="MHQ6" i="264"/>
  <c r="MHP6" i="264"/>
  <c r="MHO6" i="264"/>
  <c r="MHN6" i="264"/>
  <c r="MHM6" i="264"/>
  <c r="MHL6" i="264"/>
  <c r="MHK6" i="264"/>
  <c r="MHJ6" i="264"/>
  <c r="MHI6" i="264"/>
  <c r="MHH6" i="264"/>
  <c r="MHG6" i="264"/>
  <c r="MHF6" i="264"/>
  <c r="MHE6" i="264"/>
  <c r="MHD6" i="264"/>
  <c r="MHC6" i="264"/>
  <c r="MHB6" i="264"/>
  <c r="MHA6" i="264"/>
  <c r="MGZ6" i="264"/>
  <c r="MGY6" i="264"/>
  <c r="MGX6" i="264"/>
  <c r="MGW6" i="264"/>
  <c r="MGV6" i="264"/>
  <c r="MGU6" i="264"/>
  <c r="MGT6" i="264"/>
  <c r="MGS6" i="264"/>
  <c r="MGR6" i="264"/>
  <c r="MGQ6" i="264"/>
  <c r="MGP6" i="264"/>
  <c r="MGO6" i="264"/>
  <c r="MGN6" i="264"/>
  <c r="MGM6" i="264"/>
  <c r="MGL6" i="264"/>
  <c r="MGK6" i="264"/>
  <c r="MGJ6" i="264"/>
  <c r="MGI6" i="264"/>
  <c r="MGH6" i="264"/>
  <c r="MGG6" i="264"/>
  <c r="MGF6" i="264"/>
  <c r="MGE6" i="264"/>
  <c r="MGD6" i="264"/>
  <c r="MGC6" i="264"/>
  <c r="MGB6" i="264"/>
  <c r="MGA6" i="264"/>
  <c r="MFZ6" i="264"/>
  <c r="MFY6" i="264"/>
  <c r="MFX6" i="264"/>
  <c r="MFW6" i="264"/>
  <c r="MFV6" i="264"/>
  <c r="MFU6" i="264"/>
  <c r="MFT6" i="264"/>
  <c r="MFS6" i="264"/>
  <c r="MFR6" i="264"/>
  <c r="MFQ6" i="264"/>
  <c r="MFP6" i="264"/>
  <c r="MFO6" i="264"/>
  <c r="MFN6" i="264"/>
  <c r="MFM6" i="264"/>
  <c r="MFL6" i="264"/>
  <c r="MFK6" i="264"/>
  <c r="MFJ6" i="264"/>
  <c r="MFI6" i="264"/>
  <c r="MFH6" i="264"/>
  <c r="MFG6" i="264"/>
  <c r="MFF6" i="264"/>
  <c r="MFE6" i="264"/>
  <c r="MFD6" i="264"/>
  <c r="MFC6" i="264"/>
  <c r="MFB6" i="264"/>
  <c r="MFA6" i="264"/>
  <c r="MEZ6" i="264"/>
  <c r="MEY6" i="264"/>
  <c r="MEX6" i="264"/>
  <c r="MEW6" i="264"/>
  <c r="MEV6" i="264"/>
  <c r="MEU6" i="264"/>
  <c r="MET6" i="264"/>
  <c r="MES6" i="264"/>
  <c r="MER6" i="264"/>
  <c r="MEQ6" i="264"/>
  <c r="MEP6" i="264"/>
  <c r="MEO6" i="264"/>
  <c r="MEN6" i="264"/>
  <c r="MEM6" i="264"/>
  <c r="MEL6" i="264"/>
  <c r="MEK6" i="264"/>
  <c r="MEJ6" i="264"/>
  <c r="MEI6" i="264"/>
  <c r="MEH6" i="264"/>
  <c r="MEG6" i="264"/>
  <c r="MEF6" i="264"/>
  <c r="MEE6" i="264"/>
  <c r="MED6" i="264"/>
  <c r="MEC6" i="264"/>
  <c r="MEB6" i="264"/>
  <c r="MEA6" i="264"/>
  <c r="MDZ6" i="264"/>
  <c r="MDY6" i="264"/>
  <c r="MDX6" i="264"/>
  <c r="MDW6" i="264"/>
  <c r="MDV6" i="264"/>
  <c r="MDU6" i="264"/>
  <c r="MDT6" i="264"/>
  <c r="MDS6" i="264"/>
  <c r="MDR6" i="264"/>
  <c r="MDQ6" i="264"/>
  <c r="MDP6" i="264"/>
  <c r="MDO6" i="264"/>
  <c r="MDN6" i="264"/>
  <c r="MDM6" i="264"/>
  <c r="MDL6" i="264"/>
  <c r="MDK6" i="264"/>
  <c r="MDJ6" i="264"/>
  <c r="MDI6" i="264"/>
  <c r="MDH6" i="264"/>
  <c r="MDG6" i="264"/>
  <c r="MDF6" i="264"/>
  <c r="MDE6" i="264"/>
  <c r="MDD6" i="264"/>
  <c r="MDC6" i="264"/>
  <c r="MDB6" i="264"/>
  <c r="MDA6" i="264"/>
  <c r="MCZ6" i="264"/>
  <c r="MCY6" i="264"/>
  <c r="MCX6" i="264"/>
  <c r="MCW6" i="264"/>
  <c r="MCV6" i="264"/>
  <c r="MCU6" i="264"/>
  <c r="MCT6" i="264"/>
  <c r="MCS6" i="264"/>
  <c r="MCR6" i="264"/>
  <c r="MCQ6" i="264"/>
  <c r="MCP6" i="264"/>
  <c r="MCO6" i="264"/>
  <c r="MCN6" i="264"/>
  <c r="MCM6" i="264"/>
  <c r="MCL6" i="264"/>
  <c r="MCK6" i="264"/>
  <c r="MCJ6" i="264"/>
  <c r="MCI6" i="264"/>
  <c r="MCH6" i="264"/>
  <c r="MCG6" i="264"/>
  <c r="MCF6" i="264"/>
  <c r="MCE6" i="264"/>
  <c r="MCD6" i="264"/>
  <c r="MCC6" i="264"/>
  <c r="MCB6" i="264"/>
  <c r="MCA6" i="264"/>
  <c r="MBZ6" i="264"/>
  <c r="MBY6" i="264"/>
  <c r="MBX6" i="264"/>
  <c r="MBW6" i="264"/>
  <c r="MBV6" i="264"/>
  <c r="MBU6" i="264"/>
  <c r="MBT6" i="264"/>
  <c r="MBS6" i="264"/>
  <c r="MBR6" i="264"/>
  <c r="MBQ6" i="264"/>
  <c r="MBP6" i="264"/>
  <c r="MBO6" i="264"/>
  <c r="MBN6" i="264"/>
  <c r="MBM6" i="264"/>
  <c r="MBL6" i="264"/>
  <c r="MBK6" i="264"/>
  <c r="MBJ6" i="264"/>
  <c r="MBI6" i="264"/>
  <c r="MBH6" i="264"/>
  <c r="MBG6" i="264"/>
  <c r="MBF6" i="264"/>
  <c r="MBE6" i="264"/>
  <c r="MBD6" i="264"/>
  <c r="MBC6" i="264"/>
  <c r="MBB6" i="264"/>
  <c r="MBA6" i="264"/>
  <c r="MAZ6" i="264"/>
  <c r="MAY6" i="264"/>
  <c r="MAX6" i="264"/>
  <c r="MAW6" i="264"/>
  <c r="MAV6" i="264"/>
  <c r="MAU6" i="264"/>
  <c r="MAT6" i="264"/>
  <c r="MAS6" i="264"/>
  <c r="MAR6" i="264"/>
  <c r="MAQ6" i="264"/>
  <c r="MAP6" i="264"/>
  <c r="MAO6" i="264"/>
  <c r="MAN6" i="264"/>
  <c r="MAM6" i="264"/>
  <c r="MAL6" i="264"/>
  <c r="MAK6" i="264"/>
  <c r="MAJ6" i="264"/>
  <c r="MAI6" i="264"/>
  <c r="MAH6" i="264"/>
  <c r="MAG6" i="264"/>
  <c r="MAF6" i="264"/>
  <c r="MAE6" i="264"/>
  <c r="MAD6" i="264"/>
  <c r="MAC6" i="264"/>
  <c r="MAB6" i="264"/>
  <c r="MAA6" i="264"/>
  <c r="LZZ6" i="264"/>
  <c r="LZY6" i="264"/>
  <c r="LZX6" i="264"/>
  <c r="LZW6" i="264"/>
  <c r="LZV6" i="264"/>
  <c r="LZU6" i="264"/>
  <c r="LZT6" i="264"/>
  <c r="LZS6" i="264"/>
  <c r="LZR6" i="264"/>
  <c r="LZQ6" i="264"/>
  <c r="LZP6" i="264"/>
  <c r="LZO6" i="264"/>
  <c r="LZN6" i="264"/>
  <c r="LZM6" i="264"/>
  <c r="LZL6" i="264"/>
  <c r="LZK6" i="264"/>
  <c r="LZJ6" i="264"/>
  <c r="LZI6" i="264"/>
  <c r="LZH6" i="264"/>
  <c r="LZG6" i="264"/>
  <c r="LZF6" i="264"/>
  <c r="LZE6" i="264"/>
  <c r="LZD6" i="264"/>
  <c r="LZC6" i="264"/>
  <c r="LZB6" i="264"/>
  <c r="LZA6" i="264"/>
  <c r="LYZ6" i="264"/>
  <c r="LYY6" i="264"/>
  <c r="LYX6" i="264"/>
  <c r="LYW6" i="264"/>
  <c r="LYV6" i="264"/>
  <c r="LYU6" i="264"/>
  <c r="LYT6" i="264"/>
  <c r="LYS6" i="264"/>
  <c r="LYR6" i="264"/>
  <c r="LYQ6" i="264"/>
  <c r="LYP6" i="264"/>
  <c r="LYO6" i="264"/>
  <c r="LYN6" i="264"/>
  <c r="LYM6" i="264"/>
  <c r="LYL6" i="264"/>
  <c r="LYK6" i="264"/>
  <c r="LYJ6" i="264"/>
  <c r="LYI6" i="264"/>
  <c r="LYH6" i="264"/>
  <c r="LYG6" i="264"/>
  <c r="LYF6" i="264"/>
  <c r="LYE6" i="264"/>
  <c r="LYD6" i="264"/>
  <c r="LYC6" i="264"/>
  <c r="LYB6" i="264"/>
  <c r="LYA6" i="264"/>
  <c r="LXZ6" i="264"/>
  <c r="LXY6" i="264"/>
  <c r="LXX6" i="264"/>
  <c r="LXW6" i="264"/>
  <c r="LXV6" i="264"/>
  <c r="LXU6" i="264"/>
  <c r="LXT6" i="264"/>
  <c r="LXS6" i="264"/>
  <c r="LXR6" i="264"/>
  <c r="LXQ6" i="264"/>
  <c r="LXP6" i="264"/>
  <c r="LXO6" i="264"/>
  <c r="LXN6" i="264"/>
  <c r="LXM6" i="264"/>
  <c r="LXL6" i="264"/>
  <c r="LXK6" i="264"/>
  <c r="LXJ6" i="264"/>
  <c r="LXI6" i="264"/>
  <c r="LXH6" i="264"/>
  <c r="LXG6" i="264"/>
  <c r="LXF6" i="264"/>
  <c r="LXE6" i="264"/>
  <c r="LXD6" i="264"/>
  <c r="LXC6" i="264"/>
  <c r="LXB6" i="264"/>
  <c r="LXA6" i="264"/>
  <c r="LWZ6" i="264"/>
  <c r="LWY6" i="264"/>
  <c r="LWX6" i="264"/>
  <c r="LWW6" i="264"/>
  <c r="LWV6" i="264"/>
  <c r="LWU6" i="264"/>
  <c r="LWT6" i="264"/>
  <c r="LWS6" i="264"/>
  <c r="LWR6" i="264"/>
  <c r="LWQ6" i="264"/>
  <c r="LWP6" i="264"/>
  <c r="LWO6" i="264"/>
  <c r="LWN6" i="264"/>
  <c r="LWM6" i="264"/>
  <c r="LWL6" i="264"/>
  <c r="LWK6" i="264"/>
  <c r="LWJ6" i="264"/>
  <c r="LWI6" i="264"/>
  <c r="LWH6" i="264"/>
  <c r="LWG6" i="264"/>
  <c r="LWF6" i="264"/>
  <c r="LWE6" i="264"/>
  <c r="LWD6" i="264"/>
  <c r="LWC6" i="264"/>
  <c r="LWB6" i="264"/>
  <c r="LWA6" i="264"/>
  <c r="LVZ6" i="264"/>
  <c r="LVY6" i="264"/>
  <c r="LVX6" i="264"/>
  <c r="LVW6" i="264"/>
  <c r="LVV6" i="264"/>
  <c r="LVU6" i="264"/>
  <c r="LVT6" i="264"/>
  <c r="LVS6" i="264"/>
  <c r="LVR6" i="264"/>
  <c r="LVQ6" i="264"/>
  <c r="LVP6" i="264"/>
  <c r="LVO6" i="264"/>
  <c r="LVN6" i="264"/>
  <c r="LVM6" i="264"/>
  <c r="LVL6" i="264"/>
  <c r="LVK6" i="264"/>
  <c r="LVJ6" i="264"/>
  <c r="LVI6" i="264"/>
  <c r="LVH6" i="264"/>
  <c r="LVG6" i="264"/>
  <c r="LVF6" i="264"/>
  <c r="LVE6" i="264"/>
  <c r="LVD6" i="264"/>
  <c r="LVC6" i="264"/>
  <c r="LVB6" i="264"/>
  <c r="LVA6" i="264"/>
  <c r="LUZ6" i="264"/>
  <c r="LUY6" i="264"/>
  <c r="LUX6" i="264"/>
  <c r="LUW6" i="264"/>
  <c r="LUV6" i="264"/>
  <c r="LUU6" i="264"/>
  <c r="LUT6" i="264"/>
  <c r="LUS6" i="264"/>
  <c r="LUR6" i="264"/>
  <c r="LUQ6" i="264"/>
  <c r="LUP6" i="264"/>
  <c r="LUO6" i="264"/>
  <c r="LUN6" i="264"/>
  <c r="LUM6" i="264"/>
  <c r="LUL6" i="264"/>
  <c r="LUK6" i="264"/>
  <c r="LUJ6" i="264"/>
  <c r="LUI6" i="264"/>
  <c r="LUH6" i="264"/>
  <c r="LUG6" i="264"/>
  <c r="LUF6" i="264"/>
  <c r="LUE6" i="264"/>
  <c r="LUD6" i="264"/>
  <c r="LUC6" i="264"/>
  <c r="LUB6" i="264"/>
  <c r="LUA6" i="264"/>
  <c r="LTZ6" i="264"/>
  <c r="LTY6" i="264"/>
  <c r="LTX6" i="264"/>
  <c r="LTW6" i="264"/>
  <c r="LTV6" i="264"/>
  <c r="LTU6" i="264"/>
  <c r="LTT6" i="264"/>
  <c r="LTS6" i="264"/>
  <c r="LTR6" i="264"/>
  <c r="LTQ6" i="264"/>
  <c r="LTP6" i="264"/>
  <c r="LTO6" i="264"/>
  <c r="LTN6" i="264"/>
  <c r="LTM6" i="264"/>
  <c r="LTL6" i="264"/>
  <c r="LTK6" i="264"/>
  <c r="LTJ6" i="264"/>
  <c r="LTI6" i="264"/>
  <c r="LTH6" i="264"/>
  <c r="LTG6" i="264"/>
  <c r="LTF6" i="264"/>
  <c r="LTE6" i="264"/>
  <c r="LTD6" i="264"/>
  <c r="LTC6" i="264"/>
  <c r="LTB6" i="264"/>
  <c r="LTA6" i="264"/>
  <c r="LSZ6" i="264"/>
  <c r="LSY6" i="264"/>
  <c r="LSX6" i="264"/>
  <c r="LSW6" i="264"/>
  <c r="LSV6" i="264"/>
  <c r="LSU6" i="264"/>
  <c r="LST6" i="264"/>
  <c r="LSS6" i="264"/>
  <c r="LSR6" i="264"/>
  <c r="LSQ6" i="264"/>
  <c r="LSP6" i="264"/>
  <c r="LSO6" i="264"/>
  <c r="LSN6" i="264"/>
  <c r="LSM6" i="264"/>
  <c r="LSL6" i="264"/>
  <c r="LSK6" i="264"/>
  <c r="LSJ6" i="264"/>
  <c r="LSI6" i="264"/>
  <c r="LSH6" i="264"/>
  <c r="LSG6" i="264"/>
  <c r="LSF6" i="264"/>
  <c r="LSE6" i="264"/>
  <c r="LSD6" i="264"/>
  <c r="LSC6" i="264"/>
  <c r="LSB6" i="264"/>
  <c r="LSA6" i="264"/>
  <c r="LRZ6" i="264"/>
  <c r="LRY6" i="264"/>
  <c r="LRX6" i="264"/>
  <c r="LRW6" i="264"/>
  <c r="LRV6" i="264"/>
  <c r="LRU6" i="264"/>
  <c r="LRT6" i="264"/>
  <c r="LRS6" i="264"/>
  <c r="LRR6" i="264"/>
  <c r="LRQ6" i="264"/>
  <c r="LRP6" i="264"/>
  <c r="LRO6" i="264"/>
  <c r="LRN6" i="264"/>
  <c r="LRM6" i="264"/>
  <c r="LRL6" i="264"/>
  <c r="LRK6" i="264"/>
  <c r="LRJ6" i="264"/>
  <c r="LRI6" i="264"/>
  <c r="LRH6" i="264"/>
  <c r="LRG6" i="264"/>
  <c r="LRF6" i="264"/>
  <c r="LRE6" i="264"/>
  <c r="LRD6" i="264"/>
  <c r="LRC6" i="264"/>
  <c r="LRB6" i="264"/>
  <c r="LRA6" i="264"/>
  <c r="LQZ6" i="264"/>
  <c r="LQY6" i="264"/>
  <c r="LQX6" i="264"/>
  <c r="LQW6" i="264"/>
  <c r="LQV6" i="264"/>
  <c r="LQU6" i="264"/>
  <c r="LQT6" i="264"/>
  <c r="LQS6" i="264"/>
  <c r="LQR6" i="264"/>
  <c r="LQQ6" i="264"/>
  <c r="LQP6" i="264"/>
  <c r="LQO6" i="264"/>
  <c r="LQN6" i="264"/>
  <c r="LQM6" i="264"/>
  <c r="LQL6" i="264"/>
  <c r="LQK6" i="264"/>
  <c r="LQJ6" i="264"/>
  <c r="LQI6" i="264"/>
  <c r="LQH6" i="264"/>
  <c r="LQG6" i="264"/>
  <c r="LQF6" i="264"/>
  <c r="LQE6" i="264"/>
  <c r="LQD6" i="264"/>
  <c r="LQC6" i="264"/>
  <c r="LQB6" i="264"/>
  <c r="LQA6" i="264"/>
  <c r="LPZ6" i="264"/>
  <c r="LPY6" i="264"/>
  <c r="LPX6" i="264"/>
  <c r="LPW6" i="264"/>
  <c r="LPV6" i="264"/>
  <c r="LPU6" i="264"/>
  <c r="LPT6" i="264"/>
  <c r="LPS6" i="264"/>
  <c r="LPR6" i="264"/>
  <c r="LPQ6" i="264"/>
  <c r="LPP6" i="264"/>
  <c r="LPO6" i="264"/>
  <c r="LPN6" i="264"/>
  <c r="LPM6" i="264"/>
  <c r="LPL6" i="264"/>
  <c r="LPK6" i="264"/>
  <c r="LPJ6" i="264"/>
  <c r="LPI6" i="264"/>
  <c r="LPH6" i="264"/>
  <c r="LPG6" i="264"/>
  <c r="LPF6" i="264"/>
  <c r="LPE6" i="264"/>
  <c r="LPD6" i="264"/>
  <c r="LPC6" i="264"/>
  <c r="LPB6" i="264"/>
  <c r="LPA6" i="264"/>
  <c r="LOZ6" i="264"/>
  <c r="LOY6" i="264"/>
  <c r="LOX6" i="264"/>
  <c r="LOW6" i="264"/>
  <c r="LOV6" i="264"/>
  <c r="LOU6" i="264"/>
  <c r="LOT6" i="264"/>
  <c r="LOS6" i="264"/>
  <c r="LOR6" i="264"/>
  <c r="LOQ6" i="264"/>
  <c r="LOP6" i="264"/>
  <c r="LOO6" i="264"/>
  <c r="LON6" i="264"/>
  <c r="LOM6" i="264"/>
  <c r="LOL6" i="264"/>
  <c r="LOK6" i="264"/>
  <c r="LOJ6" i="264"/>
  <c r="LOI6" i="264"/>
  <c r="LOH6" i="264"/>
  <c r="LOG6" i="264"/>
  <c r="LOF6" i="264"/>
  <c r="LOE6" i="264"/>
  <c r="LOD6" i="264"/>
  <c r="LOC6" i="264"/>
  <c r="LOB6" i="264"/>
  <c r="LOA6" i="264"/>
  <c r="LNZ6" i="264"/>
  <c r="LNY6" i="264"/>
  <c r="LNX6" i="264"/>
  <c r="LNW6" i="264"/>
  <c r="LNV6" i="264"/>
  <c r="LNU6" i="264"/>
  <c r="LNT6" i="264"/>
  <c r="LNS6" i="264"/>
  <c r="LNR6" i="264"/>
  <c r="LNQ6" i="264"/>
  <c r="LNP6" i="264"/>
  <c r="LNO6" i="264"/>
  <c r="LNN6" i="264"/>
  <c r="LNM6" i="264"/>
  <c r="LNL6" i="264"/>
  <c r="LNK6" i="264"/>
  <c r="LNJ6" i="264"/>
  <c r="LNI6" i="264"/>
  <c r="LNH6" i="264"/>
  <c r="LNG6" i="264"/>
  <c r="LNF6" i="264"/>
  <c r="LNE6" i="264"/>
  <c r="LND6" i="264"/>
  <c r="LNC6" i="264"/>
  <c r="LNB6" i="264"/>
  <c r="LNA6" i="264"/>
  <c r="LMZ6" i="264"/>
  <c r="LMY6" i="264"/>
  <c r="LMX6" i="264"/>
  <c r="LMW6" i="264"/>
  <c r="LMV6" i="264"/>
  <c r="LMU6" i="264"/>
  <c r="LMT6" i="264"/>
  <c r="LMS6" i="264"/>
  <c r="LMR6" i="264"/>
  <c r="LMQ6" i="264"/>
  <c r="LMP6" i="264"/>
  <c r="LMO6" i="264"/>
  <c r="LMN6" i="264"/>
  <c r="LMM6" i="264"/>
  <c r="LML6" i="264"/>
  <c r="LMK6" i="264"/>
  <c r="LMJ6" i="264"/>
  <c r="LMI6" i="264"/>
  <c r="LMH6" i="264"/>
  <c r="LMG6" i="264"/>
  <c r="LMF6" i="264"/>
  <c r="LME6" i="264"/>
  <c r="LMD6" i="264"/>
  <c r="LMC6" i="264"/>
  <c r="LMB6" i="264"/>
  <c r="LMA6" i="264"/>
  <c r="LLZ6" i="264"/>
  <c r="LLY6" i="264"/>
  <c r="LLX6" i="264"/>
  <c r="LLW6" i="264"/>
  <c r="LLV6" i="264"/>
  <c r="LLU6" i="264"/>
  <c r="LLT6" i="264"/>
  <c r="LLS6" i="264"/>
  <c r="LLR6" i="264"/>
  <c r="LLQ6" i="264"/>
  <c r="LLP6" i="264"/>
  <c r="LLO6" i="264"/>
  <c r="LLN6" i="264"/>
  <c r="LLM6" i="264"/>
  <c r="LLL6" i="264"/>
  <c r="LLK6" i="264"/>
  <c r="LLJ6" i="264"/>
  <c r="LLI6" i="264"/>
  <c r="LLH6" i="264"/>
  <c r="LLG6" i="264"/>
  <c r="LLF6" i="264"/>
  <c r="LLE6" i="264"/>
  <c r="LLD6" i="264"/>
  <c r="LLC6" i="264"/>
  <c r="LLB6" i="264"/>
  <c r="LLA6" i="264"/>
  <c r="LKZ6" i="264"/>
  <c r="LKY6" i="264"/>
  <c r="LKX6" i="264"/>
  <c r="LKW6" i="264"/>
  <c r="LKV6" i="264"/>
  <c r="LKU6" i="264"/>
  <c r="LKT6" i="264"/>
  <c r="LKS6" i="264"/>
  <c r="LKR6" i="264"/>
  <c r="LKQ6" i="264"/>
  <c r="LKP6" i="264"/>
  <c r="LKO6" i="264"/>
  <c r="LKN6" i="264"/>
  <c r="LKM6" i="264"/>
  <c r="LKL6" i="264"/>
  <c r="LKK6" i="264"/>
  <c r="LKJ6" i="264"/>
  <c r="LKI6" i="264"/>
  <c r="LKH6" i="264"/>
  <c r="LKG6" i="264"/>
  <c r="LKF6" i="264"/>
  <c r="LKE6" i="264"/>
  <c r="LKD6" i="264"/>
  <c r="LKC6" i="264"/>
  <c r="LKB6" i="264"/>
  <c r="LKA6" i="264"/>
  <c r="LJZ6" i="264"/>
  <c r="LJY6" i="264"/>
  <c r="LJX6" i="264"/>
  <c r="LJW6" i="264"/>
  <c r="LJV6" i="264"/>
  <c r="LJU6" i="264"/>
  <c r="LJT6" i="264"/>
  <c r="LJS6" i="264"/>
  <c r="LJR6" i="264"/>
  <c r="LJQ6" i="264"/>
  <c r="LJP6" i="264"/>
  <c r="LJO6" i="264"/>
  <c r="LJN6" i="264"/>
  <c r="LJM6" i="264"/>
  <c r="LJL6" i="264"/>
  <c r="LJK6" i="264"/>
  <c r="LJJ6" i="264"/>
  <c r="LJI6" i="264"/>
  <c r="LJH6" i="264"/>
  <c r="LJG6" i="264"/>
  <c r="LJF6" i="264"/>
  <c r="LJE6" i="264"/>
  <c r="LJD6" i="264"/>
  <c r="LJC6" i="264"/>
  <c r="LJB6" i="264"/>
  <c r="LJA6" i="264"/>
  <c r="LIZ6" i="264"/>
  <c r="LIY6" i="264"/>
  <c r="LIX6" i="264"/>
  <c r="LIW6" i="264"/>
  <c r="LIV6" i="264"/>
  <c r="LIU6" i="264"/>
  <c r="LIT6" i="264"/>
  <c r="LIS6" i="264"/>
  <c r="LIR6" i="264"/>
  <c r="LIQ6" i="264"/>
  <c r="LIP6" i="264"/>
  <c r="LIO6" i="264"/>
  <c r="LIN6" i="264"/>
  <c r="LIM6" i="264"/>
  <c r="LIL6" i="264"/>
  <c r="LIK6" i="264"/>
  <c r="LIJ6" i="264"/>
  <c r="LII6" i="264"/>
  <c r="LIH6" i="264"/>
  <c r="LIG6" i="264"/>
  <c r="LIF6" i="264"/>
  <c r="LIE6" i="264"/>
  <c r="LID6" i="264"/>
  <c r="LIC6" i="264"/>
  <c r="LIB6" i="264"/>
  <c r="LIA6" i="264"/>
  <c r="LHZ6" i="264"/>
  <c r="LHY6" i="264"/>
  <c r="LHX6" i="264"/>
  <c r="LHW6" i="264"/>
  <c r="LHV6" i="264"/>
  <c r="LHU6" i="264"/>
  <c r="LHT6" i="264"/>
  <c r="LHS6" i="264"/>
  <c r="LHR6" i="264"/>
  <c r="LHQ6" i="264"/>
  <c r="LHP6" i="264"/>
  <c r="LHO6" i="264"/>
  <c r="LHN6" i="264"/>
  <c r="LHM6" i="264"/>
  <c r="LHL6" i="264"/>
  <c r="LHK6" i="264"/>
  <c r="LHJ6" i="264"/>
  <c r="LHI6" i="264"/>
  <c r="LHH6" i="264"/>
  <c r="LHG6" i="264"/>
  <c r="LHF6" i="264"/>
  <c r="LHE6" i="264"/>
  <c r="LHD6" i="264"/>
  <c r="LHC6" i="264"/>
  <c r="LHB6" i="264"/>
  <c r="LHA6" i="264"/>
  <c r="LGZ6" i="264"/>
  <c r="LGY6" i="264"/>
  <c r="LGX6" i="264"/>
  <c r="LGW6" i="264"/>
  <c r="LGV6" i="264"/>
  <c r="LGU6" i="264"/>
  <c r="LGT6" i="264"/>
  <c r="LGS6" i="264"/>
  <c r="LGR6" i="264"/>
  <c r="LGQ6" i="264"/>
  <c r="LGP6" i="264"/>
  <c r="LGO6" i="264"/>
  <c r="LGN6" i="264"/>
  <c r="LGM6" i="264"/>
  <c r="LGL6" i="264"/>
  <c r="LGK6" i="264"/>
  <c r="LGJ6" i="264"/>
  <c r="LGI6" i="264"/>
  <c r="LGH6" i="264"/>
  <c r="LGG6" i="264"/>
  <c r="LGF6" i="264"/>
  <c r="LGE6" i="264"/>
  <c r="LGD6" i="264"/>
  <c r="LGC6" i="264"/>
  <c r="LGB6" i="264"/>
  <c r="LGA6" i="264"/>
  <c r="LFZ6" i="264"/>
  <c r="LFY6" i="264"/>
  <c r="LFX6" i="264"/>
  <c r="LFW6" i="264"/>
  <c r="LFV6" i="264"/>
  <c r="LFU6" i="264"/>
  <c r="LFT6" i="264"/>
  <c r="LFS6" i="264"/>
  <c r="LFR6" i="264"/>
  <c r="LFQ6" i="264"/>
  <c r="LFP6" i="264"/>
  <c r="LFO6" i="264"/>
  <c r="LFN6" i="264"/>
  <c r="LFM6" i="264"/>
  <c r="LFL6" i="264"/>
  <c r="LFK6" i="264"/>
  <c r="LFJ6" i="264"/>
  <c r="LFI6" i="264"/>
  <c r="LFH6" i="264"/>
  <c r="LFG6" i="264"/>
  <c r="LFF6" i="264"/>
  <c r="LFE6" i="264"/>
  <c r="LFD6" i="264"/>
  <c r="LFC6" i="264"/>
  <c r="LFB6" i="264"/>
  <c r="LFA6" i="264"/>
  <c r="LEZ6" i="264"/>
  <c r="LEY6" i="264"/>
  <c r="LEX6" i="264"/>
  <c r="LEW6" i="264"/>
  <c r="LEV6" i="264"/>
  <c r="LEU6" i="264"/>
  <c r="LET6" i="264"/>
  <c r="LES6" i="264"/>
  <c r="LER6" i="264"/>
  <c r="LEQ6" i="264"/>
  <c r="LEP6" i="264"/>
  <c r="LEO6" i="264"/>
  <c r="LEN6" i="264"/>
  <c r="LEM6" i="264"/>
  <c r="LEL6" i="264"/>
  <c r="LEK6" i="264"/>
  <c r="LEJ6" i="264"/>
  <c r="LEI6" i="264"/>
  <c r="LEH6" i="264"/>
  <c r="LEG6" i="264"/>
  <c r="LEF6" i="264"/>
  <c r="LEE6" i="264"/>
  <c r="LED6" i="264"/>
  <c r="LEC6" i="264"/>
  <c r="LEB6" i="264"/>
  <c r="LEA6" i="264"/>
  <c r="LDZ6" i="264"/>
  <c r="LDY6" i="264"/>
  <c r="LDX6" i="264"/>
  <c r="LDW6" i="264"/>
  <c r="LDV6" i="264"/>
  <c r="LDU6" i="264"/>
  <c r="LDT6" i="264"/>
  <c r="LDS6" i="264"/>
  <c r="LDR6" i="264"/>
  <c r="LDQ6" i="264"/>
  <c r="LDP6" i="264"/>
  <c r="LDO6" i="264"/>
  <c r="LDN6" i="264"/>
  <c r="LDM6" i="264"/>
  <c r="LDL6" i="264"/>
  <c r="LDK6" i="264"/>
  <c r="LDJ6" i="264"/>
  <c r="LDI6" i="264"/>
  <c r="LDH6" i="264"/>
  <c r="LDG6" i="264"/>
  <c r="LDF6" i="264"/>
  <c r="LDE6" i="264"/>
  <c r="LDD6" i="264"/>
  <c r="LDC6" i="264"/>
  <c r="LDB6" i="264"/>
  <c r="LDA6" i="264"/>
  <c r="LCZ6" i="264"/>
  <c r="LCY6" i="264"/>
  <c r="LCX6" i="264"/>
  <c r="LCW6" i="264"/>
  <c r="LCV6" i="264"/>
  <c r="LCU6" i="264"/>
  <c r="LCT6" i="264"/>
  <c r="LCS6" i="264"/>
  <c r="LCR6" i="264"/>
  <c r="LCQ6" i="264"/>
  <c r="LCP6" i="264"/>
  <c r="LCO6" i="264"/>
  <c r="LCN6" i="264"/>
  <c r="LCM6" i="264"/>
  <c r="LCL6" i="264"/>
  <c r="LCK6" i="264"/>
  <c r="LCJ6" i="264"/>
  <c r="LCI6" i="264"/>
  <c r="LCH6" i="264"/>
  <c r="LCG6" i="264"/>
  <c r="LCF6" i="264"/>
  <c r="LCE6" i="264"/>
  <c r="LCD6" i="264"/>
  <c r="LCC6" i="264"/>
  <c r="LCB6" i="264"/>
  <c r="LCA6" i="264"/>
  <c r="LBZ6" i="264"/>
  <c r="LBY6" i="264"/>
  <c r="LBX6" i="264"/>
  <c r="LBW6" i="264"/>
  <c r="LBV6" i="264"/>
  <c r="LBU6" i="264"/>
  <c r="LBT6" i="264"/>
  <c r="LBS6" i="264"/>
  <c r="LBR6" i="264"/>
  <c r="LBQ6" i="264"/>
  <c r="LBP6" i="264"/>
  <c r="LBO6" i="264"/>
  <c r="LBN6" i="264"/>
  <c r="LBM6" i="264"/>
  <c r="LBL6" i="264"/>
  <c r="LBK6" i="264"/>
  <c r="LBJ6" i="264"/>
  <c r="LBI6" i="264"/>
  <c r="LBH6" i="264"/>
  <c r="LBG6" i="264"/>
  <c r="LBF6" i="264"/>
  <c r="LBE6" i="264"/>
  <c r="LBD6" i="264"/>
  <c r="LBC6" i="264"/>
  <c r="LBB6" i="264"/>
  <c r="LBA6" i="264"/>
  <c r="LAZ6" i="264"/>
  <c r="LAY6" i="264"/>
  <c r="LAX6" i="264"/>
  <c r="LAW6" i="264"/>
  <c r="LAV6" i="264"/>
  <c r="LAU6" i="264"/>
  <c r="LAT6" i="264"/>
  <c r="LAS6" i="264"/>
  <c r="LAR6" i="264"/>
  <c r="LAQ6" i="264"/>
  <c r="LAP6" i="264"/>
  <c r="LAO6" i="264"/>
  <c r="LAN6" i="264"/>
  <c r="LAM6" i="264"/>
  <c r="LAL6" i="264"/>
  <c r="LAK6" i="264"/>
  <c r="LAJ6" i="264"/>
  <c r="LAI6" i="264"/>
  <c r="LAH6" i="264"/>
  <c r="LAG6" i="264"/>
  <c r="LAF6" i="264"/>
  <c r="LAE6" i="264"/>
  <c r="LAD6" i="264"/>
  <c r="LAC6" i="264"/>
  <c r="LAB6" i="264"/>
  <c r="LAA6" i="264"/>
  <c r="KZZ6" i="264"/>
  <c r="KZY6" i="264"/>
  <c r="KZX6" i="264"/>
  <c r="KZW6" i="264"/>
  <c r="KZV6" i="264"/>
  <c r="KZU6" i="264"/>
  <c r="KZT6" i="264"/>
  <c r="KZS6" i="264"/>
  <c r="KZR6" i="264"/>
  <c r="KZQ6" i="264"/>
  <c r="KZP6" i="264"/>
  <c r="KZO6" i="264"/>
  <c r="KZN6" i="264"/>
  <c r="KZM6" i="264"/>
  <c r="KZL6" i="264"/>
  <c r="KZK6" i="264"/>
  <c r="KZJ6" i="264"/>
  <c r="KZI6" i="264"/>
  <c r="KZH6" i="264"/>
  <c r="KZG6" i="264"/>
  <c r="KZF6" i="264"/>
  <c r="KZE6" i="264"/>
  <c r="KZD6" i="264"/>
  <c r="KZC6" i="264"/>
  <c r="KZB6" i="264"/>
  <c r="KZA6" i="264"/>
  <c r="KYZ6" i="264"/>
  <c r="KYY6" i="264"/>
  <c r="KYX6" i="264"/>
  <c r="KYW6" i="264"/>
  <c r="KYV6" i="264"/>
  <c r="KYU6" i="264"/>
  <c r="KYT6" i="264"/>
  <c r="KYS6" i="264"/>
  <c r="KYR6" i="264"/>
  <c r="KYQ6" i="264"/>
  <c r="KYP6" i="264"/>
  <c r="KYO6" i="264"/>
  <c r="KYN6" i="264"/>
  <c r="KYM6" i="264"/>
  <c r="KYL6" i="264"/>
  <c r="KYK6" i="264"/>
  <c r="KYJ6" i="264"/>
  <c r="KYI6" i="264"/>
  <c r="KYH6" i="264"/>
  <c r="KYG6" i="264"/>
  <c r="KYF6" i="264"/>
  <c r="KYE6" i="264"/>
  <c r="KYD6" i="264"/>
  <c r="KYC6" i="264"/>
  <c r="KYB6" i="264"/>
  <c r="KYA6" i="264"/>
  <c r="KXZ6" i="264"/>
  <c r="KXY6" i="264"/>
  <c r="KXX6" i="264"/>
  <c r="KXW6" i="264"/>
  <c r="KXV6" i="264"/>
  <c r="KXU6" i="264"/>
  <c r="KXT6" i="264"/>
  <c r="KXS6" i="264"/>
  <c r="KXR6" i="264"/>
  <c r="KXQ6" i="264"/>
  <c r="KXP6" i="264"/>
  <c r="KXO6" i="264"/>
  <c r="KXN6" i="264"/>
  <c r="KXM6" i="264"/>
  <c r="KXL6" i="264"/>
  <c r="KXK6" i="264"/>
  <c r="KXJ6" i="264"/>
  <c r="KXI6" i="264"/>
  <c r="KXH6" i="264"/>
  <c r="KXG6" i="264"/>
  <c r="KXF6" i="264"/>
  <c r="KXE6" i="264"/>
  <c r="KXD6" i="264"/>
  <c r="KXC6" i="264"/>
  <c r="KXB6" i="264"/>
  <c r="KXA6" i="264"/>
  <c r="KWZ6" i="264"/>
  <c r="KWY6" i="264"/>
  <c r="KWX6" i="264"/>
  <c r="KWW6" i="264"/>
  <c r="KWV6" i="264"/>
  <c r="KWU6" i="264"/>
  <c r="KWT6" i="264"/>
  <c r="KWS6" i="264"/>
  <c r="KWR6" i="264"/>
  <c r="KWQ6" i="264"/>
  <c r="KWP6" i="264"/>
  <c r="KWO6" i="264"/>
  <c r="KWN6" i="264"/>
  <c r="KWM6" i="264"/>
  <c r="KWL6" i="264"/>
  <c r="KWK6" i="264"/>
  <c r="KWJ6" i="264"/>
  <c r="KWI6" i="264"/>
  <c r="KWH6" i="264"/>
  <c r="KWG6" i="264"/>
  <c r="KWF6" i="264"/>
  <c r="KWE6" i="264"/>
  <c r="KWD6" i="264"/>
  <c r="KWC6" i="264"/>
  <c r="KWB6" i="264"/>
  <c r="KWA6" i="264"/>
  <c r="KVZ6" i="264"/>
  <c r="KVY6" i="264"/>
  <c r="KVX6" i="264"/>
  <c r="KVW6" i="264"/>
  <c r="KVV6" i="264"/>
  <c r="KVU6" i="264"/>
  <c r="KVT6" i="264"/>
  <c r="KVS6" i="264"/>
  <c r="KVR6" i="264"/>
  <c r="KVQ6" i="264"/>
  <c r="KVP6" i="264"/>
  <c r="KVO6" i="264"/>
  <c r="KVN6" i="264"/>
  <c r="KVM6" i="264"/>
  <c r="KVL6" i="264"/>
  <c r="KVK6" i="264"/>
  <c r="KVJ6" i="264"/>
  <c r="KVI6" i="264"/>
  <c r="KVH6" i="264"/>
  <c r="KVG6" i="264"/>
  <c r="KVF6" i="264"/>
  <c r="KVE6" i="264"/>
  <c r="KVD6" i="264"/>
  <c r="KVC6" i="264"/>
  <c r="KVB6" i="264"/>
  <c r="KVA6" i="264"/>
  <c r="KUZ6" i="264"/>
  <c r="KUY6" i="264"/>
  <c r="KUX6" i="264"/>
  <c r="KUW6" i="264"/>
  <c r="KUV6" i="264"/>
  <c r="KUU6" i="264"/>
  <c r="KUT6" i="264"/>
  <c r="KUS6" i="264"/>
  <c r="KUR6" i="264"/>
  <c r="KUQ6" i="264"/>
  <c r="KUP6" i="264"/>
  <c r="KUO6" i="264"/>
  <c r="KUN6" i="264"/>
  <c r="KUM6" i="264"/>
  <c r="KUL6" i="264"/>
  <c r="KUK6" i="264"/>
  <c r="KUJ6" i="264"/>
  <c r="KUI6" i="264"/>
  <c r="KUH6" i="264"/>
  <c r="KUG6" i="264"/>
  <c r="KUF6" i="264"/>
  <c r="KUE6" i="264"/>
  <c r="KUD6" i="264"/>
  <c r="KUC6" i="264"/>
  <c r="KUB6" i="264"/>
  <c r="KUA6" i="264"/>
  <c r="KTZ6" i="264"/>
  <c r="KTY6" i="264"/>
  <c r="KTX6" i="264"/>
  <c r="KTW6" i="264"/>
  <c r="KTV6" i="264"/>
  <c r="KTU6" i="264"/>
  <c r="KTT6" i="264"/>
  <c r="KTS6" i="264"/>
  <c r="KTR6" i="264"/>
  <c r="KTQ6" i="264"/>
  <c r="KTP6" i="264"/>
  <c r="KTO6" i="264"/>
  <c r="KTN6" i="264"/>
  <c r="KTM6" i="264"/>
  <c r="KTL6" i="264"/>
  <c r="KTK6" i="264"/>
  <c r="KTJ6" i="264"/>
  <c r="KTI6" i="264"/>
  <c r="KTH6" i="264"/>
  <c r="KTG6" i="264"/>
  <c r="KTF6" i="264"/>
  <c r="KTE6" i="264"/>
  <c r="KTD6" i="264"/>
  <c r="KTC6" i="264"/>
  <c r="KTB6" i="264"/>
  <c r="KTA6" i="264"/>
  <c r="KSZ6" i="264"/>
  <c r="KSY6" i="264"/>
  <c r="KSX6" i="264"/>
  <c r="KSW6" i="264"/>
  <c r="KSV6" i="264"/>
  <c r="KSU6" i="264"/>
  <c r="KST6" i="264"/>
  <c r="KSS6" i="264"/>
  <c r="KSR6" i="264"/>
  <c r="KSQ6" i="264"/>
  <c r="KSP6" i="264"/>
  <c r="KSO6" i="264"/>
  <c r="KSN6" i="264"/>
  <c r="KSM6" i="264"/>
  <c r="KSL6" i="264"/>
  <c r="KSK6" i="264"/>
  <c r="KSJ6" i="264"/>
  <c r="KSI6" i="264"/>
  <c r="KSH6" i="264"/>
  <c r="KSG6" i="264"/>
  <c r="KSF6" i="264"/>
  <c r="KSE6" i="264"/>
  <c r="KSD6" i="264"/>
  <c r="KSC6" i="264"/>
  <c r="KSB6" i="264"/>
  <c r="KSA6" i="264"/>
  <c r="KRZ6" i="264"/>
  <c r="KRY6" i="264"/>
  <c r="KRX6" i="264"/>
  <c r="KRW6" i="264"/>
  <c r="KRV6" i="264"/>
  <c r="KRU6" i="264"/>
  <c r="KRT6" i="264"/>
  <c r="KRS6" i="264"/>
  <c r="KRR6" i="264"/>
  <c r="KRQ6" i="264"/>
  <c r="KRP6" i="264"/>
  <c r="KRO6" i="264"/>
  <c r="KRN6" i="264"/>
  <c r="KRM6" i="264"/>
  <c r="KRL6" i="264"/>
  <c r="KRK6" i="264"/>
  <c r="KRJ6" i="264"/>
  <c r="KRI6" i="264"/>
  <c r="KRH6" i="264"/>
  <c r="KRG6" i="264"/>
  <c r="KRF6" i="264"/>
  <c r="KRE6" i="264"/>
  <c r="KRD6" i="264"/>
  <c r="KRC6" i="264"/>
  <c r="KRB6" i="264"/>
  <c r="KRA6" i="264"/>
  <c r="KQZ6" i="264"/>
  <c r="KQY6" i="264"/>
  <c r="KQX6" i="264"/>
  <c r="KQW6" i="264"/>
  <c r="KQV6" i="264"/>
  <c r="KQU6" i="264"/>
  <c r="KQT6" i="264"/>
  <c r="KQS6" i="264"/>
  <c r="KQR6" i="264"/>
  <c r="KQQ6" i="264"/>
  <c r="KQP6" i="264"/>
  <c r="KQO6" i="264"/>
  <c r="KQN6" i="264"/>
  <c r="KQM6" i="264"/>
  <c r="KQL6" i="264"/>
  <c r="KQK6" i="264"/>
  <c r="KQJ6" i="264"/>
  <c r="KQI6" i="264"/>
  <c r="KQH6" i="264"/>
  <c r="KQG6" i="264"/>
  <c r="KQF6" i="264"/>
  <c r="KQE6" i="264"/>
  <c r="KQD6" i="264"/>
  <c r="KQC6" i="264"/>
  <c r="KQB6" i="264"/>
  <c r="KQA6" i="264"/>
  <c r="KPZ6" i="264"/>
  <c r="KPY6" i="264"/>
  <c r="KPX6" i="264"/>
  <c r="KPW6" i="264"/>
  <c r="KPV6" i="264"/>
  <c r="KPU6" i="264"/>
  <c r="KPT6" i="264"/>
  <c r="KPS6" i="264"/>
  <c r="KPR6" i="264"/>
  <c r="KPQ6" i="264"/>
  <c r="KPP6" i="264"/>
  <c r="KPO6" i="264"/>
  <c r="KPN6" i="264"/>
  <c r="KPM6" i="264"/>
  <c r="KPL6" i="264"/>
  <c r="KPK6" i="264"/>
  <c r="KPJ6" i="264"/>
  <c r="KPI6" i="264"/>
  <c r="KPH6" i="264"/>
  <c r="KPG6" i="264"/>
  <c r="KPF6" i="264"/>
  <c r="KPE6" i="264"/>
  <c r="KPD6" i="264"/>
  <c r="KPC6" i="264"/>
  <c r="KPB6" i="264"/>
  <c r="KPA6" i="264"/>
  <c r="KOZ6" i="264"/>
  <c r="KOY6" i="264"/>
  <c r="KOX6" i="264"/>
  <c r="KOW6" i="264"/>
  <c r="KOV6" i="264"/>
  <c r="KOU6" i="264"/>
  <c r="KOT6" i="264"/>
  <c r="KOS6" i="264"/>
  <c r="KOR6" i="264"/>
  <c r="KOQ6" i="264"/>
  <c r="KOP6" i="264"/>
  <c r="KOO6" i="264"/>
  <c r="KON6" i="264"/>
  <c r="KOM6" i="264"/>
  <c r="KOL6" i="264"/>
  <c r="KOK6" i="264"/>
  <c r="KOJ6" i="264"/>
  <c r="KOI6" i="264"/>
  <c r="KOH6" i="264"/>
  <c r="KOG6" i="264"/>
  <c r="KOF6" i="264"/>
  <c r="KOE6" i="264"/>
  <c r="KOD6" i="264"/>
  <c r="KOC6" i="264"/>
  <c r="KOB6" i="264"/>
  <c r="KOA6" i="264"/>
  <c r="KNZ6" i="264"/>
  <c r="KNY6" i="264"/>
  <c r="KNX6" i="264"/>
  <c r="KNW6" i="264"/>
  <c r="KNV6" i="264"/>
  <c r="KNU6" i="264"/>
  <c r="KNT6" i="264"/>
  <c r="KNS6" i="264"/>
  <c r="KNR6" i="264"/>
  <c r="KNQ6" i="264"/>
  <c r="KNP6" i="264"/>
  <c r="KNO6" i="264"/>
  <c r="KNN6" i="264"/>
  <c r="KNM6" i="264"/>
  <c r="KNL6" i="264"/>
  <c r="KNK6" i="264"/>
  <c r="KNJ6" i="264"/>
  <c r="KNI6" i="264"/>
  <c r="KNH6" i="264"/>
  <c r="KNG6" i="264"/>
  <c r="KNF6" i="264"/>
  <c r="KNE6" i="264"/>
  <c r="KND6" i="264"/>
  <c r="KNC6" i="264"/>
  <c r="KNB6" i="264"/>
  <c r="KNA6" i="264"/>
  <c r="KMZ6" i="264"/>
  <c r="KMY6" i="264"/>
  <c r="KMX6" i="264"/>
  <c r="KMW6" i="264"/>
  <c r="KMV6" i="264"/>
  <c r="KMU6" i="264"/>
  <c r="KMT6" i="264"/>
  <c r="KMS6" i="264"/>
  <c r="KMR6" i="264"/>
  <c r="KMQ6" i="264"/>
  <c r="KMP6" i="264"/>
  <c r="KMO6" i="264"/>
  <c r="KMN6" i="264"/>
  <c r="KMM6" i="264"/>
  <c r="KML6" i="264"/>
  <c r="KMK6" i="264"/>
  <c r="KMJ6" i="264"/>
  <c r="KMI6" i="264"/>
  <c r="KMH6" i="264"/>
  <c r="KMG6" i="264"/>
  <c r="KMF6" i="264"/>
  <c r="KME6" i="264"/>
  <c r="KMD6" i="264"/>
  <c r="KMC6" i="264"/>
  <c r="KMB6" i="264"/>
  <c r="KMA6" i="264"/>
  <c r="KLZ6" i="264"/>
  <c r="KLY6" i="264"/>
  <c r="KLX6" i="264"/>
  <c r="KLW6" i="264"/>
  <c r="KLV6" i="264"/>
  <c r="KLU6" i="264"/>
  <c r="KLT6" i="264"/>
  <c r="KLS6" i="264"/>
  <c r="KLR6" i="264"/>
  <c r="KLQ6" i="264"/>
  <c r="KLP6" i="264"/>
  <c r="KLO6" i="264"/>
  <c r="KLN6" i="264"/>
  <c r="KLM6" i="264"/>
  <c r="KLL6" i="264"/>
  <c r="KLK6" i="264"/>
  <c r="KLJ6" i="264"/>
  <c r="KLI6" i="264"/>
  <c r="KLH6" i="264"/>
  <c r="KLG6" i="264"/>
  <c r="KLF6" i="264"/>
  <c r="KLE6" i="264"/>
  <c r="KLD6" i="264"/>
  <c r="KLC6" i="264"/>
  <c r="KLB6" i="264"/>
  <c r="KLA6" i="264"/>
  <c r="KKZ6" i="264"/>
  <c r="KKY6" i="264"/>
  <c r="KKX6" i="264"/>
  <c r="KKW6" i="264"/>
  <c r="KKV6" i="264"/>
  <c r="KKU6" i="264"/>
  <c r="KKT6" i="264"/>
  <c r="KKS6" i="264"/>
  <c r="KKR6" i="264"/>
  <c r="KKQ6" i="264"/>
  <c r="KKP6" i="264"/>
  <c r="KKO6" i="264"/>
  <c r="KKN6" i="264"/>
  <c r="KKM6" i="264"/>
  <c r="KKL6" i="264"/>
  <c r="KKK6" i="264"/>
  <c r="KKJ6" i="264"/>
  <c r="KKI6" i="264"/>
  <c r="KKH6" i="264"/>
  <c r="KKG6" i="264"/>
  <c r="KKF6" i="264"/>
  <c r="KKE6" i="264"/>
  <c r="KKD6" i="264"/>
  <c r="KKC6" i="264"/>
  <c r="KKB6" i="264"/>
  <c r="KKA6" i="264"/>
  <c r="KJZ6" i="264"/>
  <c r="KJY6" i="264"/>
  <c r="KJX6" i="264"/>
  <c r="KJW6" i="264"/>
  <c r="KJV6" i="264"/>
  <c r="KJU6" i="264"/>
  <c r="KJT6" i="264"/>
  <c r="KJS6" i="264"/>
  <c r="KJR6" i="264"/>
  <c r="KJQ6" i="264"/>
  <c r="KJP6" i="264"/>
  <c r="KJO6" i="264"/>
  <c r="KJN6" i="264"/>
  <c r="KJM6" i="264"/>
  <c r="KJL6" i="264"/>
  <c r="KJK6" i="264"/>
  <c r="KJJ6" i="264"/>
  <c r="KJI6" i="264"/>
  <c r="KJH6" i="264"/>
  <c r="KJG6" i="264"/>
  <c r="KJF6" i="264"/>
  <c r="KJE6" i="264"/>
  <c r="KJD6" i="264"/>
  <c r="KJC6" i="264"/>
  <c r="KJB6" i="264"/>
  <c r="KJA6" i="264"/>
  <c r="KIZ6" i="264"/>
  <c r="KIY6" i="264"/>
  <c r="KIX6" i="264"/>
  <c r="KIW6" i="264"/>
  <c r="KIV6" i="264"/>
  <c r="KIU6" i="264"/>
  <c r="KIT6" i="264"/>
  <c r="KIS6" i="264"/>
  <c r="KIR6" i="264"/>
  <c r="KIQ6" i="264"/>
  <c r="KIP6" i="264"/>
  <c r="KIO6" i="264"/>
  <c r="KIN6" i="264"/>
  <c r="KIM6" i="264"/>
  <c r="KIL6" i="264"/>
  <c r="KIK6" i="264"/>
  <c r="KIJ6" i="264"/>
  <c r="KII6" i="264"/>
  <c r="KIH6" i="264"/>
  <c r="KIG6" i="264"/>
  <c r="KIF6" i="264"/>
  <c r="KIE6" i="264"/>
  <c r="KID6" i="264"/>
  <c r="KIC6" i="264"/>
  <c r="KIB6" i="264"/>
  <c r="KIA6" i="264"/>
  <c r="KHZ6" i="264"/>
  <c r="KHY6" i="264"/>
  <c r="KHX6" i="264"/>
  <c r="KHW6" i="264"/>
  <c r="KHV6" i="264"/>
  <c r="KHU6" i="264"/>
  <c r="KHT6" i="264"/>
  <c r="KHS6" i="264"/>
  <c r="KHR6" i="264"/>
  <c r="KHQ6" i="264"/>
  <c r="KHP6" i="264"/>
  <c r="KHO6" i="264"/>
  <c r="KHN6" i="264"/>
  <c r="KHM6" i="264"/>
  <c r="KHL6" i="264"/>
  <c r="KHK6" i="264"/>
  <c r="KHJ6" i="264"/>
  <c r="KHI6" i="264"/>
  <c r="KHH6" i="264"/>
  <c r="KHG6" i="264"/>
  <c r="KHF6" i="264"/>
  <c r="KHE6" i="264"/>
  <c r="KHD6" i="264"/>
  <c r="KHC6" i="264"/>
  <c r="KHB6" i="264"/>
  <c r="KHA6" i="264"/>
  <c r="KGZ6" i="264"/>
  <c r="KGY6" i="264"/>
  <c r="KGX6" i="264"/>
  <c r="KGW6" i="264"/>
  <c r="KGV6" i="264"/>
  <c r="KGU6" i="264"/>
  <c r="KGT6" i="264"/>
  <c r="KGS6" i="264"/>
  <c r="KGR6" i="264"/>
  <c r="KGQ6" i="264"/>
  <c r="KGP6" i="264"/>
  <c r="KGO6" i="264"/>
  <c r="KGN6" i="264"/>
  <c r="KGM6" i="264"/>
  <c r="KGL6" i="264"/>
  <c r="KGK6" i="264"/>
  <c r="KGJ6" i="264"/>
  <c r="KGI6" i="264"/>
  <c r="KGH6" i="264"/>
  <c r="KGG6" i="264"/>
  <c r="KGF6" i="264"/>
  <c r="KGE6" i="264"/>
  <c r="KGD6" i="264"/>
  <c r="KGC6" i="264"/>
  <c r="KGB6" i="264"/>
  <c r="KGA6" i="264"/>
  <c r="KFZ6" i="264"/>
  <c r="KFY6" i="264"/>
  <c r="KFX6" i="264"/>
  <c r="KFW6" i="264"/>
  <c r="KFV6" i="264"/>
  <c r="KFU6" i="264"/>
  <c r="KFT6" i="264"/>
  <c r="KFS6" i="264"/>
  <c r="KFR6" i="264"/>
  <c r="KFQ6" i="264"/>
  <c r="KFP6" i="264"/>
  <c r="KFO6" i="264"/>
  <c r="KFN6" i="264"/>
  <c r="KFM6" i="264"/>
  <c r="KFL6" i="264"/>
  <c r="KFK6" i="264"/>
  <c r="KFJ6" i="264"/>
  <c r="KFI6" i="264"/>
  <c r="KFH6" i="264"/>
  <c r="KFG6" i="264"/>
  <c r="KFF6" i="264"/>
  <c r="KFE6" i="264"/>
  <c r="KFD6" i="264"/>
  <c r="KFC6" i="264"/>
  <c r="KFB6" i="264"/>
  <c r="KFA6" i="264"/>
  <c r="KEZ6" i="264"/>
  <c r="KEY6" i="264"/>
  <c r="KEX6" i="264"/>
  <c r="KEW6" i="264"/>
  <c r="KEV6" i="264"/>
  <c r="KEU6" i="264"/>
  <c r="KET6" i="264"/>
  <c r="KES6" i="264"/>
  <c r="KER6" i="264"/>
  <c r="KEQ6" i="264"/>
  <c r="KEP6" i="264"/>
  <c r="KEO6" i="264"/>
  <c r="KEN6" i="264"/>
  <c r="KEM6" i="264"/>
  <c r="KEL6" i="264"/>
  <c r="KEK6" i="264"/>
  <c r="KEJ6" i="264"/>
  <c r="KEI6" i="264"/>
  <c r="KEH6" i="264"/>
  <c r="KEG6" i="264"/>
  <c r="KEF6" i="264"/>
  <c r="KEE6" i="264"/>
  <c r="KED6" i="264"/>
  <c r="KEC6" i="264"/>
  <c r="KEB6" i="264"/>
  <c r="KEA6" i="264"/>
  <c r="KDZ6" i="264"/>
  <c r="KDY6" i="264"/>
  <c r="KDX6" i="264"/>
  <c r="KDW6" i="264"/>
  <c r="KDV6" i="264"/>
  <c r="KDU6" i="264"/>
  <c r="KDT6" i="264"/>
  <c r="KDS6" i="264"/>
  <c r="KDR6" i="264"/>
  <c r="KDQ6" i="264"/>
  <c r="KDP6" i="264"/>
  <c r="KDO6" i="264"/>
  <c r="KDN6" i="264"/>
  <c r="KDM6" i="264"/>
  <c r="KDL6" i="264"/>
  <c r="KDK6" i="264"/>
  <c r="KDJ6" i="264"/>
  <c r="KDI6" i="264"/>
  <c r="KDH6" i="264"/>
  <c r="KDG6" i="264"/>
  <c r="KDF6" i="264"/>
  <c r="KDE6" i="264"/>
  <c r="KDD6" i="264"/>
  <c r="KDC6" i="264"/>
  <c r="KDB6" i="264"/>
  <c r="KDA6" i="264"/>
  <c r="KCZ6" i="264"/>
  <c r="KCY6" i="264"/>
  <c r="KCX6" i="264"/>
  <c r="KCW6" i="264"/>
  <c r="KCV6" i="264"/>
  <c r="KCU6" i="264"/>
  <c r="KCT6" i="264"/>
  <c r="KCS6" i="264"/>
  <c r="KCR6" i="264"/>
  <c r="KCQ6" i="264"/>
  <c r="KCP6" i="264"/>
  <c r="KCO6" i="264"/>
  <c r="KCN6" i="264"/>
  <c r="KCM6" i="264"/>
  <c r="KCL6" i="264"/>
  <c r="KCK6" i="264"/>
  <c r="KCJ6" i="264"/>
  <c r="KCI6" i="264"/>
  <c r="KCH6" i="264"/>
  <c r="KCG6" i="264"/>
  <c r="KCF6" i="264"/>
  <c r="KCE6" i="264"/>
  <c r="KCD6" i="264"/>
  <c r="KCC6" i="264"/>
  <c r="KCB6" i="264"/>
  <c r="KCA6" i="264"/>
  <c r="KBZ6" i="264"/>
  <c r="KBY6" i="264"/>
  <c r="KBX6" i="264"/>
  <c r="KBW6" i="264"/>
  <c r="KBV6" i="264"/>
  <c r="KBU6" i="264"/>
  <c r="KBT6" i="264"/>
  <c r="KBS6" i="264"/>
  <c r="KBR6" i="264"/>
  <c r="KBQ6" i="264"/>
  <c r="KBP6" i="264"/>
  <c r="KBO6" i="264"/>
  <c r="KBN6" i="264"/>
  <c r="KBM6" i="264"/>
  <c r="KBL6" i="264"/>
  <c r="KBK6" i="264"/>
  <c r="KBJ6" i="264"/>
  <c r="KBI6" i="264"/>
  <c r="KBH6" i="264"/>
  <c r="KBG6" i="264"/>
  <c r="KBF6" i="264"/>
  <c r="KBE6" i="264"/>
  <c r="KBD6" i="264"/>
  <c r="KBC6" i="264"/>
  <c r="KBB6" i="264"/>
  <c r="KBA6" i="264"/>
  <c r="KAZ6" i="264"/>
  <c r="KAY6" i="264"/>
  <c r="KAX6" i="264"/>
  <c r="KAW6" i="264"/>
  <c r="KAV6" i="264"/>
  <c r="KAU6" i="264"/>
  <c r="KAT6" i="264"/>
  <c r="KAS6" i="264"/>
  <c r="KAR6" i="264"/>
  <c r="KAQ6" i="264"/>
  <c r="KAP6" i="264"/>
  <c r="KAO6" i="264"/>
  <c r="KAN6" i="264"/>
  <c r="KAM6" i="264"/>
  <c r="KAL6" i="264"/>
  <c r="KAK6" i="264"/>
  <c r="KAJ6" i="264"/>
  <c r="KAI6" i="264"/>
  <c r="KAH6" i="264"/>
  <c r="KAG6" i="264"/>
  <c r="KAF6" i="264"/>
  <c r="KAE6" i="264"/>
  <c r="KAD6" i="264"/>
  <c r="KAC6" i="264"/>
  <c r="KAB6" i="264"/>
  <c r="KAA6" i="264"/>
  <c r="JZZ6" i="264"/>
  <c r="JZY6" i="264"/>
  <c r="JZX6" i="264"/>
  <c r="JZW6" i="264"/>
  <c r="JZV6" i="264"/>
  <c r="JZU6" i="264"/>
  <c r="JZT6" i="264"/>
  <c r="JZS6" i="264"/>
  <c r="JZR6" i="264"/>
  <c r="JZQ6" i="264"/>
  <c r="JZP6" i="264"/>
  <c r="JZO6" i="264"/>
  <c r="JZN6" i="264"/>
  <c r="JZM6" i="264"/>
  <c r="JZL6" i="264"/>
  <c r="JZK6" i="264"/>
  <c r="JZJ6" i="264"/>
  <c r="JZI6" i="264"/>
  <c r="JZH6" i="264"/>
  <c r="JZG6" i="264"/>
  <c r="JZF6" i="264"/>
  <c r="JZE6" i="264"/>
  <c r="JZD6" i="264"/>
  <c r="JZC6" i="264"/>
  <c r="JZB6" i="264"/>
  <c r="JZA6" i="264"/>
  <c r="JYZ6" i="264"/>
  <c r="JYY6" i="264"/>
  <c r="JYX6" i="264"/>
  <c r="JYW6" i="264"/>
  <c r="JYV6" i="264"/>
  <c r="JYU6" i="264"/>
  <c r="JYT6" i="264"/>
  <c r="JYS6" i="264"/>
  <c r="JYR6" i="264"/>
  <c r="JYQ6" i="264"/>
  <c r="JYP6" i="264"/>
  <c r="JYO6" i="264"/>
  <c r="JYN6" i="264"/>
  <c r="JYM6" i="264"/>
  <c r="JYL6" i="264"/>
  <c r="JYK6" i="264"/>
  <c r="JYJ6" i="264"/>
  <c r="JYI6" i="264"/>
  <c r="JYH6" i="264"/>
  <c r="JYG6" i="264"/>
  <c r="JYF6" i="264"/>
  <c r="JYE6" i="264"/>
  <c r="JYD6" i="264"/>
  <c r="JYC6" i="264"/>
  <c r="JYB6" i="264"/>
  <c r="JYA6" i="264"/>
  <c r="JXZ6" i="264"/>
  <c r="JXY6" i="264"/>
  <c r="JXX6" i="264"/>
  <c r="JXW6" i="264"/>
  <c r="JXV6" i="264"/>
  <c r="JXU6" i="264"/>
  <c r="JXT6" i="264"/>
  <c r="JXS6" i="264"/>
  <c r="JXR6" i="264"/>
  <c r="JXQ6" i="264"/>
  <c r="JXP6" i="264"/>
  <c r="JXO6" i="264"/>
  <c r="JXN6" i="264"/>
  <c r="JXM6" i="264"/>
  <c r="JXL6" i="264"/>
  <c r="JXK6" i="264"/>
  <c r="JXJ6" i="264"/>
  <c r="JXI6" i="264"/>
  <c r="JXH6" i="264"/>
  <c r="JXG6" i="264"/>
  <c r="JXF6" i="264"/>
  <c r="JXE6" i="264"/>
  <c r="JXD6" i="264"/>
  <c r="JXC6" i="264"/>
  <c r="JXB6" i="264"/>
  <c r="JXA6" i="264"/>
  <c r="JWZ6" i="264"/>
  <c r="JWY6" i="264"/>
  <c r="JWX6" i="264"/>
  <c r="JWW6" i="264"/>
  <c r="JWV6" i="264"/>
  <c r="JWU6" i="264"/>
  <c r="JWT6" i="264"/>
  <c r="JWS6" i="264"/>
  <c r="JWR6" i="264"/>
  <c r="JWQ6" i="264"/>
  <c r="JWP6" i="264"/>
  <c r="JWO6" i="264"/>
  <c r="JWN6" i="264"/>
  <c r="JWM6" i="264"/>
  <c r="JWL6" i="264"/>
  <c r="JWK6" i="264"/>
  <c r="JWJ6" i="264"/>
  <c r="JWI6" i="264"/>
  <c r="JWH6" i="264"/>
  <c r="JWG6" i="264"/>
  <c r="JWF6" i="264"/>
  <c r="JWE6" i="264"/>
  <c r="JWD6" i="264"/>
  <c r="JWC6" i="264"/>
  <c r="JWB6" i="264"/>
  <c r="JWA6" i="264"/>
  <c r="JVZ6" i="264"/>
  <c r="JVY6" i="264"/>
  <c r="JVX6" i="264"/>
  <c r="JVW6" i="264"/>
  <c r="JVV6" i="264"/>
  <c r="JVU6" i="264"/>
  <c r="JVT6" i="264"/>
  <c r="JVS6" i="264"/>
  <c r="JVR6" i="264"/>
  <c r="JVQ6" i="264"/>
  <c r="JVP6" i="264"/>
  <c r="JVO6" i="264"/>
  <c r="JVN6" i="264"/>
  <c r="JVM6" i="264"/>
  <c r="JVL6" i="264"/>
  <c r="JVK6" i="264"/>
  <c r="JVJ6" i="264"/>
  <c r="JVI6" i="264"/>
  <c r="JVH6" i="264"/>
  <c r="JVG6" i="264"/>
  <c r="JVF6" i="264"/>
  <c r="JVE6" i="264"/>
  <c r="JVD6" i="264"/>
  <c r="JVC6" i="264"/>
  <c r="JVB6" i="264"/>
  <c r="JVA6" i="264"/>
  <c r="JUZ6" i="264"/>
  <c r="JUY6" i="264"/>
  <c r="JUX6" i="264"/>
  <c r="JUW6" i="264"/>
  <c r="JUV6" i="264"/>
  <c r="JUU6" i="264"/>
  <c r="JUT6" i="264"/>
  <c r="JUS6" i="264"/>
  <c r="JUR6" i="264"/>
  <c r="JUQ6" i="264"/>
  <c r="JUP6" i="264"/>
  <c r="JUO6" i="264"/>
  <c r="JUN6" i="264"/>
  <c r="JUM6" i="264"/>
  <c r="JUL6" i="264"/>
  <c r="JUK6" i="264"/>
  <c r="JUJ6" i="264"/>
  <c r="JUI6" i="264"/>
  <c r="JUH6" i="264"/>
  <c r="JUG6" i="264"/>
  <c r="JUF6" i="264"/>
  <c r="JUE6" i="264"/>
  <c r="JUD6" i="264"/>
  <c r="JUC6" i="264"/>
  <c r="JUB6" i="264"/>
  <c r="JUA6" i="264"/>
  <c r="JTZ6" i="264"/>
  <c r="JTY6" i="264"/>
  <c r="JTX6" i="264"/>
  <c r="JTW6" i="264"/>
  <c r="JTV6" i="264"/>
  <c r="JTU6" i="264"/>
  <c r="JTT6" i="264"/>
  <c r="JTS6" i="264"/>
  <c r="JTR6" i="264"/>
  <c r="JTQ6" i="264"/>
  <c r="JTP6" i="264"/>
  <c r="JTO6" i="264"/>
  <c r="JTN6" i="264"/>
  <c r="JTM6" i="264"/>
  <c r="JTL6" i="264"/>
  <c r="JTK6" i="264"/>
  <c r="JTJ6" i="264"/>
  <c r="JTI6" i="264"/>
  <c r="JTH6" i="264"/>
  <c r="JTG6" i="264"/>
  <c r="JTF6" i="264"/>
  <c r="JTE6" i="264"/>
  <c r="JTD6" i="264"/>
  <c r="JTC6" i="264"/>
  <c r="JTB6" i="264"/>
  <c r="JTA6" i="264"/>
  <c r="JSZ6" i="264"/>
  <c r="JSY6" i="264"/>
  <c r="JSX6" i="264"/>
  <c r="JSW6" i="264"/>
  <c r="JSV6" i="264"/>
  <c r="JSU6" i="264"/>
  <c r="JST6" i="264"/>
  <c r="JSS6" i="264"/>
  <c r="JSR6" i="264"/>
  <c r="JSQ6" i="264"/>
  <c r="JSP6" i="264"/>
  <c r="JSO6" i="264"/>
  <c r="JSN6" i="264"/>
  <c r="JSM6" i="264"/>
  <c r="JSL6" i="264"/>
  <c r="JSK6" i="264"/>
  <c r="JSJ6" i="264"/>
  <c r="JSI6" i="264"/>
  <c r="JSH6" i="264"/>
  <c r="JSG6" i="264"/>
  <c r="JSF6" i="264"/>
  <c r="JSE6" i="264"/>
  <c r="JSD6" i="264"/>
  <c r="JSC6" i="264"/>
  <c r="JSB6" i="264"/>
  <c r="JSA6" i="264"/>
  <c r="JRZ6" i="264"/>
  <c r="JRY6" i="264"/>
  <c r="JRX6" i="264"/>
  <c r="JRW6" i="264"/>
  <c r="JRV6" i="264"/>
  <c r="JRU6" i="264"/>
  <c r="JRT6" i="264"/>
  <c r="JRS6" i="264"/>
  <c r="JRR6" i="264"/>
  <c r="JRQ6" i="264"/>
  <c r="JRP6" i="264"/>
  <c r="JRO6" i="264"/>
  <c r="JRN6" i="264"/>
  <c r="JRM6" i="264"/>
  <c r="JRL6" i="264"/>
  <c r="JRK6" i="264"/>
  <c r="JRJ6" i="264"/>
  <c r="JRI6" i="264"/>
  <c r="JRH6" i="264"/>
  <c r="JRG6" i="264"/>
  <c r="JRF6" i="264"/>
  <c r="JRE6" i="264"/>
  <c r="JRD6" i="264"/>
  <c r="JRC6" i="264"/>
  <c r="JRB6" i="264"/>
  <c r="JRA6" i="264"/>
  <c r="JQZ6" i="264"/>
  <c r="JQY6" i="264"/>
  <c r="JQX6" i="264"/>
  <c r="JQW6" i="264"/>
  <c r="JQV6" i="264"/>
  <c r="JQU6" i="264"/>
  <c r="JQT6" i="264"/>
  <c r="JQS6" i="264"/>
  <c r="JQR6" i="264"/>
  <c r="JQQ6" i="264"/>
  <c r="JQP6" i="264"/>
  <c r="JQO6" i="264"/>
  <c r="JQN6" i="264"/>
  <c r="JQM6" i="264"/>
  <c r="JQL6" i="264"/>
  <c r="JQK6" i="264"/>
  <c r="JQJ6" i="264"/>
  <c r="JQI6" i="264"/>
  <c r="JQH6" i="264"/>
  <c r="JQG6" i="264"/>
  <c r="JQF6" i="264"/>
  <c r="JQE6" i="264"/>
  <c r="JQD6" i="264"/>
  <c r="JQC6" i="264"/>
  <c r="JQB6" i="264"/>
  <c r="JQA6" i="264"/>
  <c r="JPZ6" i="264"/>
  <c r="JPY6" i="264"/>
  <c r="JPX6" i="264"/>
  <c r="JPW6" i="264"/>
  <c r="JPV6" i="264"/>
  <c r="JPU6" i="264"/>
  <c r="JPT6" i="264"/>
  <c r="JPS6" i="264"/>
  <c r="JPR6" i="264"/>
  <c r="JPQ6" i="264"/>
  <c r="JPP6" i="264"/>
  <c r="JPO6" i="264"/>
  <c r="JPN6" i="264"/>
  <c r="JPM6" i="264"/>
  <c r="JPL6" i="264"/>
  <c r="JPK6" i="264"/>
  <c r="JPJ6" i="264"/>
  <c r="JPI6" i="264"/>
  <c r="JPH6" i="264"/>
  <c r="JPG6" i="264"/>
  <c r="JPF6" i="264"/>
  <c r="JPE6" i="264"/>
  <c r="JPD6" i="264"/>
  <c r="JPC6" i="264"/>
  <c r="JPB6" i="264"/>
  <c r="JPA6" i="264"/>
  <c r="JOZ6" i="264"/>
  <c r="JOY6" i="264"/>
  <c r="JOX6" i="264"/>
  <c r="JOW6" i="264"/>
  <c r="JOV6" i="264"/>
  <c r="JOU6" i="264"/>
  <c r="JOT6" i="264"/>
  <c r="JOS6" i="264"/>
  <c r="JOR6" i="264"/>
  <c r="JOQ6" i="264"/>
  <c r="JOP6" i="264"/>
  <c r="JOO6" i="264"/>
  <c r="JON6" i="264"/>
  <c r="JOM6" i="264"/>
  <c r="JOL6" i="264"/>
  <c r="JOK6" i="264"/>
  <c r="JOJ6" i="264"/>
  <c r="JOI6" i="264"/>
  <c r="JOH6" i="264"/>
  <c r="JOG6" i="264"/>
  <c r="JOF6" i="264"/>
  <c r="JOE6" i="264"/>
  <c r="JOD6" i="264"/>
  <c r="JOC6" i="264"/>
  <c r="JOB6" i="264"/>
  <c r="JOA6" i="264"/>
  <c r="JNZ6" i="264"/>
  <c r="JNY6" i="264"/>
  <c r="JNX6" i="264"/>
  <c r="JNW6" i="264"/>
  <c r="JNV6" i="264"/>
  <c r="JNU6" i="264"/>
  <c r="JNT6" i="264"/>
  <c r="JNS6" i="264"/>
  <c r="JNR6" i="264"/>
  <c r="JNQ6" i="264"/>
  <c r="JNP6" i="264"/>
  <c r="JNO6" i="264"/>
  <c r="JNN6" i="264"/>
  <c r="JNM6" i="264"/>
  <c r="JNL6" i="264"/>
  <c r="JNK6" i="264"/>
  <c r="JNJ6" i="264"/>
  <c r="JNI6" i="264"/>
  <c r="JNH6" i="264"/>
  <c r="JNG6" i="264"/>
  <c r="JNF6" i="264"/>
  <c r="JNE6" i="264"/>
  <c r="JND6" i="264"/>
  <c r="JNC6" i="264"/>
  <c r="JNB6" i="264"/>
  <c r="JNA6" i="264"/>
  <c r="JMZ6" i="264"/>
  <c r="JMY6" i="264"/>
  <c r="JMX6" i="264"/>
  <c r="JMW6" i="264"/>
  <c r="JMV6" i="264"/>
  <c r="JMU6" i="264"/>
  <c r="JMT6" i="264"/>
  <c r="JMS6" i="264"/>
  <c r="JMR6" i="264"/>
  <c r="JMQ6" i="264"/>
  <c r="JMP6" i="264"/>
  <c r="JMO6" i="264"/>
  <c r="JMN6" i="264"/>
  <c r="JMM6" i="264"/>
  <c r="JML6" i="264"/>
  <c r="JMK6" i="264"/>
  <c r="JMJ6" i="264"/>
  <c r="JMI6" i="264"/>
  <c r="JMH6" i="264"/>
  <c r="JMG6" i="264"/>
  <c r="JMF6" i="264"/>
  <c r="JME6" i="264"/>
  <c r="JMD6" i="264"/>
  <c r="JMC6" i="264"/>
  <c r="JMB6" i="264"/>
  <c r="JMA6" i="264"/>
  <c r="JLZ6" i="264"/>
  <c r="JLY6" i="264"/>
  <c r="JLX6" i="264"/>
  <c r="JLW6" i="264"/>
  <c r="JLV6" i="264"/>
  <c r="JLU6" i="264"/>
  <c r="JLT6" i="264"/>
  <c r="JLS6" i="264"/>
  <c r="JLR6" i="264"/>
  <c r="JLQ6" i="264"/>
  <c r="JLP6" i="264"/>
  <c r="JLO6" i="264"/>
  <c r="JLN6" i="264"/>
  <c r="JLM6" i="264"/>
  <c r="JLL6" i="264"/>
  <c r="JLK6" i="264"/>
  <c r="JLJ6" i="264"/>
  <c r="JLI6" i="264"/>
  <c r="JLH6" i="264"/>
  <c r="JLG6" i="264"/>
  <c r="JLF6" i="264"/>
  <c r="JLE6" i="264"/>
  <c r="JLD6" i="264"/>
  <c r="JLC6" i="264"/>
  <c r="JLB6" i="264"/>
  <c r="JLA6" i="264"/>
  <c r="JKZ6" i="264"/>
  <c r="JKY6" i="264"/>
  <c r="JKX6" i="264"/>
  <c r="JKW6" i="264"/>
  <c r="JKV6" i="264"/>
  <c r="JKU6" i="264"/>
  <c r="JKT6" i="264"/>
  <c r="JKS6" i="264"/>
  <c r="JKR6" i="264"/>
  <c r="JKQ6" i="264"/>
  <c r="JKP6" i="264"/>
  <c r="JKO6" i="264"/>
  <c r="JKN6" i="264"/>
  <c r="JKM6" i="264"/>
  <c r="JKL6" i="264"/>
  <c r="JKK6" i="264"/>
  <c r="JKJ6" i="264"/>
  <c r="JKI6" i="264"/>
  <c r="JKH6" i="264"/>
  <c r="JKG6" i="264"/>
  <c r="JKF6" i="264"/>
  <c r="JKE6" i="264"/>
  <c r="JKD6" i="264"/>
  <c r="JKC6" i="264"/>
  <c r="JKB6" i="264"/>
  <c r="JKA6" i="264"/>
  <c r="JJZ6" i="264"/>
  <c r="JJY6" i="264"/>
  <c r="JJX6" i="264"/>
  <c r="JJW6" i="264"/>
  <c r="JJV6" i="264"/>
  <c r="JJU6" i="264"/>
  <c r="JJT6" i="264"/>
  <c r="JJS6" i="264"/>
  <c r="JJR6" i="264"/>
  <c r="JJQ6" i="264"/>
  <c r="JJP6" i="264"/>
  <c r="JJO6" i="264"/>
  <c r="JJN6" i="264"/>
  <c r="JJM6" i="264"/>
  <c r="JJL6" i="264"/>
  <c r="JJK6" i="264"/>
  <c r="JJJ6" i="264"/>
  <c r="JJI6" i="264"/>
  <c r="JJH6" i="264"/>
  <c r="JJG6" i="264"/>
  <c r="JJF6" i="264"/>
  <c r="JJE6" i="264"/>
  <c r="JJD6" i="264"/>
  <c r="JJC6" i="264"/>
  <c r="JJB6" i="264"/>
  <c r="JJA6" i="264"/>
  <c r="JIZ6" i="264"/>
  <c r="JIY6" i="264"/>
  <c r="JIX6" i="264"/>
  <c r="JIW6" i="264"/>
  <c r="JIV6" i="264"/>
  <c r="JIU6" i="264"/>
  <c r="JIT6" i="264"/>
  <c r="JIS6" i="264"/>
  <c r="JIR6" i="264"/>
  <c r="JIQ6" i="264"/>
  <c r="JIP6" i="264"/>
  <c r="JIO6" i="264"/>
  <c r="JIN6" i="264"/>
  <c r="JIM6" i="264"/>
  <c r="JIL6" i="264"/>
  <c r="JIK6" i="264"/>
  <c r="JIJ6" i="264"/>
  <c r="JII6" i="264"/>
  <c r="JIH6" i="264"/>
  <c r="JIG6" i="264"/>
  <c r="JIF6" i="264"/>
  <c r="JIE6" i="264"/>
  <c r="JID6" i="264"/>
  <c r="JIC6" i="264"/>
  <c r="JIB6" i="264"/>
  <c r="JIA6" i="264"/>
  <c r="JHZ6" i="264"/>
  <c r="JHY6" i="264"/>
  <c r="JHX6" i="264"/>
  <c r="JHW6" i="264"/>
  <c r="JHV6" i="264"/>
  <c r="JHU6" i="264"/>
  <c r="JHT6" i="264"/>
  <c r="JHS6" i="264"/>
  <c r="JHR6" i="264"/>
  <c r="JHQ6" i="264"/>
  <c r="JHP6" i="264"/>
  <c r="JHO6" i="264"/>
  <c r="JHN6" i="264"/>
  <c r="JHM6" i="264"/>
  <c r="JHL6" i="264"/>
  <c r="JHK6" i="264"/>
  <c r="JHJ6" i="264"/>
  <c r="JHI6" i="264"/>
  <c r="JHH6" i="264"/>
  <c r="JHG6" i="264"/>
  <c r="JHF6" i="264"/>
  <c r="JHE6" i="264"/>
  <c r="JHD6" i="264"/>
  <c r="JHC6" i="264"/>
  <c r="JHB6" i="264"/>
  <c r="JHA6" i="264"/>
  <c r="JGZ6" i="264"/>
  <c r="JGY6" i="264"/>
  <c r="JGX6" i="264"/>
  <c r="JGW6" i="264"/>
  <c r="JGV6" i="264"/>
  <c r="JGU6" i="264"/>
  <c r="JGT6" i="264"/>
  <c r="JGS6" i="264"/>
  <c r="JGR6" i="264"/>
  <c r="JGQ6" i="264"/>
  <c r="JGP6" i="264"/>
  <c r="JGO6" i="264"/>
  <c r="JGN6" i="264"/>
  <c r="JGM6" i="264"/>
  <c r="JGL6" i="264"/>
  <c r="JGK6" i="264"/>
  <c r="JGJ6" i="264"/>
  <c r="JGI6" i="264"/>
  <c r="JGH6" i="264"/>
  <c r="JGG6" i="264"/>
  <c r="JGF6" i="264"/>
  <c r="JGE6" i="264"/>
  <c r="JGD6" i="264"/>
  <c r="JGC6" i="264"/>
  <c r="JGB6" i="264"/>
  <c r="JGA6" i="264"/>
  <c r="JFZ6" i="264"/>
  <c r="JFY6" i="264"/>
  <c r="JFX6" i="264"/>
  <c r="JFW6" i="264"/>
  <c r="JFV6" i="264"/>
  <c r="JFU6" i="264"/>
  <c r="JFT6" i="264"/>
  <c r="JFS6" i="264"/>
  <c r="JFR6" i="264"/>
  <c r="JFQ6" i="264"/>
  <c r="JFP6" i="264"/>
  <c r="JFO6" i="264"/>
  <c r="JFN6" i="264"/>
  <c r="JFM6" i="264"/>
  <c r="JFL6" i="264"/>
  <c r="JFK6" i="264"/>
  <c r="JFJ6" i="264"/>
  <c r="JFI6" i="264"/>
  <c r="JFH6" i="264"/>
  <c r="JFG6" i="264"/>
  <c r="JFF6" i="264"/>
  <c r="JFE6" i="264"/>
  <c r="JFD6" i="264"/>
  <c r="JFC6" i="264"/>
  <c r="JFB6" i="264"/>
  <c r="JFA6" i="264"/>
  <c r="JEZ6" i="264"/>
  <c r="JEY6" i="264"/>
  <c r="JEX6" i="264"/>
  <c r="JEW6" i="264"/>
  <c r="JEV6" i="264"/>
  <c r="JEU6" i="264"/>
  <c r="JET6" i="264"/>
  <c r="JES6" i="264"/>
  <c r="JER6" i="264"/>
  <c r="JEQ6" i="264"/>
  <c r="JEP6" i="264"/>
  <c r="JEO6" i="264"/>
  <c r="JEN6" i="264"/>
  <c r="JEM6" i="264"/>
  <c r="JEL6" i="264"/>
  <c r="JEK6" i="264"/>
  <c r="JEJ6" i="264"/>
  <c r="JEI6" i="264"/>
  <c r="JEH6" i="264"/>
  <c r="JEG6" i="264"/>
  <c r="JEF6" i="264"/>
  <c r="JEE6" i="264"/>
  <c r="JED6" i="264"/>
  <c r="JEC6" i="264"/>
  <c r="JEB6" i="264"/>
  <c r="JEA6" i="264"/>
  <c r="JDZ6" i="264"/>
  <c r="JDY6" i="264"/>
  <c r="JDX6" i="264"/>
  <c r="JDW6" i="264"/>
  <c r="JDV6" i="264"/>
  <c r="JDU6" i="264"/>
  <c r="JDT6" i="264"/>
  <c r="JDS6" i="264"/>
  <c r="JDR6" i="264"/>
  <c r="JDQ6" i="264"/>
  <c r="JDP6" i="264"/>
  <c r="JDO6" i="264"/>
  <c r="JDN6" i="264"/>
  <c r="JDM6" i="264"/>
  <c r="JDL6" i="264"/>
  <c r="JDK6" i="264"/>
  <c r="JDJ6" i="264"/>
  <c r="JDI6" i="264"/>
  <c r="JDH6" i="264"/>
  <c r="JDG6" i="264"/>
  <c r="JDF6" i="264"/>
  <c r="JDE6" i="264"/>
  <c r="JDD6" i="264"/>
  <c r="JDC6" i="264"/>
  <c r="JDB6" i="264"/>
  <c r="JDA6" i="264"/>
  <c r="JCZ6" i="264"/>
  <c r="JCY6" i="264"/>
  <c r="JCX6" i="264"/>
  <c r="JCW6" i="264"/>
  <c r="JCV6" i="264"/>
  <c r="JCU6" i="264"/>
  <c r="JCT6" i="264"/>
  <c r="JCS6" i="264"/>
  <c r="JCR6" i="264"/>
  <c r="JCQ6" i="264"/>
  <c r="JCP6" i="264"/>
  <c r="JCO6" i="264"/>
  <c r="JCN6" i="264"/>
  <c r="JCM6" i="264"/>
  <c r="JCL6" i="264"/>
  <c r="JCK6" i="264"/>
  <c r="JCJ6" i="264"/>
  <c r="JCI6" i="264"/>
  <c r="JCH6" i="264"/>
  <c r="JCG6" i="264"/>
  <c r="JCF6" i="264"/>
  <c r="JCE6" i="264"/>
  <c r="JCD6" i="264"/>
  <c r="JCC6" i="264"/>
  <c r="JCB6" i="264"/>
  <c r="JCA6" i="264"/>
  <c r="JBZ6" i="264"/>
  <c r="JBY6" i="264"/>
  <c r="JBX6" i="264"/>
  <c r="JBW6" i="264"/>
  <c r="JBV6" i="264"/>
  <c r="JBU6" i="264"/>
  <c r="JBT6" i="264"/>
  <c r="JBS6" i="264"/>
  <c r="JBR6" i="264"/>
  <c r="JBQ6" i="264"/>
  <c r="JBP6" i="264"/>
  <c r="JBO6" i="264"/>
  <c r="JBN6" i="264"/>
  <c r="JBM6" i="264"/>
  <c r="JBL6" i="264"/>
  <c r="JBK6" i="264"/>
  <c r="JBJ6" i="264"/>
  <c r="JBI6" i="264"/>
  <c r="JBH6" i="264"/>
  <c r="JBG6" i="264"/>
  <c r="JBF6" i="264"/>
  <c r="JBE6" i="264"/>
  <c r="JBD6" i="264"/>
  <c r="JBC6" i="264"/>
  <c r="JBB6" i="264"/>
  <c r="JBA6" i="264"/>
  <c r="JAZ6" i="264"/>
  <c r="JAY6" i="264"/>
  <c r="JAX6" i="264"/>
  <c r="JAW6" i="264"/>
  <c r="JAV6" i="264"/>
  <c r="JAU6" i="264"/>
  <c r="JAT6" i="264"/>
  <c r="JAS6" i="264"/>
  <c r="JAR6" i="264"/>
  <c r="JAQ6" i="264"/>
  <c r="JAP6" i="264"/>
  <c r="JAO6" i="264"/>
  <c r="JAN6" i="264"/>
  <c r="JAM6" i="264"/>
  <c r="JAL6" i="264"/>
  <c r="JAK6" i="264"/>
  <c r="JAJ6" i="264"/>
  <c r="JAI6" i="264"/>
  <c r="JAH6" i="264"/>
  <c r="JAG6" i="264"/>
  <c r="JAF6" i="264"/>
  <c r="JAE6" i="264"/>
  <c r="JAD6" i="264"/>
  <c r="JAC6" i="264"/>
  <c r="JAB6" i="264"/>
  <c r="JAA6" i="264"/>
  <c r="IZZ6" i="264"/>
  <c r="IZY6" i="264"/>
  <c r="IZX6" i="264"/>
  <c r="IZW6" i="264"/>
  <c r="IZV6" i="264"/>
  <c r="IZU6" i="264"/>
  <c r="IZT6" i="264"/>
  <c r="IZS6" i="264"/>
  <c r="IZR6" i="264"/>
  <c r="IZQ6" i="264"/>
  <c r="IZP6" i="264"/>
  <c r="IZO6" i="264"/>
  <c r="IZN6" i="264"/>
  <c r="IZM6" i="264"/>
  <c r="IZL6" i="264"/>
  <c r="IZK6" i="264"/>
  <c r="IZJ6" i="264"/>
  <c r="IZI6" i="264"/>
  <c r="IZH6" i="264"/>
  <c r="IZG6" i="264"/>
  <c r="IZF6" i="264"/>
  <c r="IZE6" i="264"/>
  <c r="IZD6" i="264"/>
  <c r="IZC6" i="264"/>
  <c r="IZB6" i="264"/>
  <c r="IZA6" i="264"/>
  <c r="IYZ6" i="264"/>
  <c r="IYY6" i="264"/>
  <c r="IYX6" i="264"/>
  <c r="IYW6" i="264"/>
  <c r="IYV6" i="264"/>
  <c r="IYU6" i="264"/>
  <c r="IYT6" i="264"/>
  <c r="IYS6" i="264"/>
  <c r="IYR6" i="264"/>
  <c r="IYQ6" i="264"/>
  <c r="IYP6" i="264"/>
  <c r="IYO6" i="264"/>
  <c r="IYN6" i="264"/>
  <c r="IYM6" i="264"/>
  <c r="IYL6" i="264"/>
  <c r="IYK6" i="264"/>
  <c r="IYJ6" i="264"/>
  <c r="IYI6" i="264"/>
  <c r="IYH6" i="264"/>
  <c r="IYG6" i="264"/>
  <c r="IYF6" i="264"/>
  <c r="IYE6" i="264"/>
  <c r="IYD6" i="264"/>
  <c r="IYC6" i="264"/>
  <c r="IYB6" i="264"/>
  <c r="IYA6" i="264"/>
  <c r="IXZ6" i="264"/>
  <c r="IXY6" i="264"/>
  <c r="IXX6" i="264"/>
  <c r="IXW6" i="264"/>
  <c r="IXV6" i="264"/>
  <c r="IXU6" i="264"/>
  <c r="IXT6" i="264"/>
  <c r="IXS6" i="264"/>
  <c r="IXR6" i="264"/>
  <c r="IXQ6" i="264"/>
  <c r="IXP6" i="264"/>
  <c r="IXO6" i="264"/>
  <c r="IXN6" i="264"/>
  <c r="IXM6" i="264"/>
  <c r="IXL6" i="264"/>
  <c r="IXK6" i="264"/>
  <c r="IXJ6" i="264"/>
  <c r="IXI6" i="264"/>
  <c r="IXH6" i="264"/>
  <c r="IXG6" i="264"/>
  <c r="IXF6" i="264"/>
  <c r="IXE6" i="264"/>
  <c r="IXD6" i="264"/>
  <c r="IXC6" i="264"/>
  <c r="IXB6" i="264"/>
  <c r="IXA6" i="264"/>
  <c r="IWZ6" i="264"/>
  <c r="IWY6" i="264"/>
  <c r="IWX6" i="264"/>
  <c r="IWW6" i="264"/>
  <c r="IWV6" i="264"/>
  <c r="IWU6" i="264"/>
  <c r="IWT6" i="264"/>
  <c r="IWS6" i="264"/>
  <c r="IWR6" i="264"/>
  <c r="IWQ6" i="264"/>
  <c r="IWP6" i="264"/>
  <c r="IWO6" i="264"/>
  <c r="IWN6" i="264"/>
  <c r="IWM6" i="264"/>
  <c r="IWL6" i="264"/>
  <c r="IWK6" i="264"/>
  <c r="IWJ6" i="264"/>
  <c r="IWI6" i="264"/>
  <c r="IWH6" i="264"/>
  <c r="IWG6" i="264"/>
  <c r="IWF6" i="264"/>
  <c r="IWE6" i="264"/>
  <c r="IWD6" i="264"/>
  <c r="IWC6" i="264"/>
  <c r="IWB6" i="264"/>
  <c r="IWA6" i="264"/>
  <c r="IVZ6" i="264"/>
  <c r="IVY6" i="264"/>
  <c r="IVX6" i="264"/>
  <c r="IVW6" i="264"/>
  <c r="IVV6" i="264"/>
  <c r="IVU6" i="264"/>
  <c r="IVT6" i="264"/>
  <c r="IVS6" i="264"/>
  <c r="IVR6" i="264"/>
  <c r="IVQ6" i="264"/>
  <c r="IVP6" i="264"/>
  <c r="IVO6" i="264"/>
  <c r="IVN6" i="264"/>
  <c r="IVM6" i="264"/>
  <c r="IVL6" i="264"/>
  <c r="IVK6" i="264"/>
  <c r="IVJ6" i="264"/>
  <c r="IVI6" i="264"/>
  <c r="IVH6" i="264"/>
  <c r="IVG6" i="264"/>
  <c r="IVF6" i="264"/>
  <c r="IVE6" i="264"/>
  <c r="IVD6" i="264"/>
  <c r="IVC6" i="264"/>
  <c r="IVB6" i="264"/>
  <c r="IVA6" i="264"/>
  <c r="IUZ6" i="264"/>
  <c r="IUY6" i="264"/>
  <c r="IUX6" i="264"/>
  <c r="IUW6" i="264"/>
  <c r="IUV6" i="264"/>
  <c r="IUU6" i="264"/>
  <c r="IUT6" i="264"/>
  <c r="IUS6" i="264"/>
  <c r="IUR6" i="264"/>
  <c r="IUQ6" i="264"/>
  <c r="IUP6" i="264"/>
  <c r="IUO6" i="264"/>
  <c r="IUN6" i="264"/>
  <c r="IUM6" i="264"/>
  <c r="IUL6" i="264"/>
  <c r="IUK6" i="264"/>
  <c r="IUJ6" i="264"/>
  <c r="IUI6" i="264"/>
  <c r="IUH6" i="264"/>
  <c r="IUG6" i="264"/>
  <c r="IUF6" i="264"/>
  <c r="IUE6" i="264"/>
  <c r="IUD6" i="264"/>
  <c r="IUC6" i="264"/>
  <c r="IUB6" i="264"/>
  <c r="IUA6" i="264"/>
  <c r="ITZ6" i="264"/>
  <c r="ITY6" i="264"/>
  <c r="ITX6" i="264"/>
  <c r="ITW6" i="264"/>
  <c r="ITV6" i="264"/>
  <c r="ITU6" i="264"/>
  <c r="ITT6" i="264"/>
  <c r="ITS6" i="264"/>
  <c r="ITR6" i="264"/>
  <c r="ITQ6" i="264"/>
  <c r="ITP6" i="264"/>
  <c r="ITO6" i="264"/>
  <c r="ITN6" i="264"/>
  <c r="ITM6" i="264"/>
  <c r="ITL6" i="264"/>
  <c r="ITK6" i="264"/>
  <c r="ITJ6" i="264"/>
  <c r="ITI6" i="264"/>
  <c r="ITH6" i="264"/>
  <c r="ITG6" i="264"/>
  <c r="ITF6" i="264"/>
  <c r="ITE6" i="264"/>
  <c r="ITD6" i="264"/>
  <c r="ITC6" i="264"/>
  <c r="ITB6" i="264"/>
  <c r="ITA6" i="264"/>
  <c r="ISZ6" i="264"/>
  <c r="ISY6" i="264"/>
  <c r="ISX6" i="264"/>
  <c r="ISW6" i="264"/>
  <c r="ISV6" i="264"/>
  <c r="ISU6" i="264"/>
  <c r="IST6" i="264"/>
  <c r="ISS6" i="264"/>
  <c r="ISR6" i="264"/>
  <c r="ISQ6" i="264"/>
  <c r="ISP6" i="264"/>
  <c r="ISO6" i="264"/>
  <c r="ISN6" i="264"/>
  <c r="ISM6" i="264"/>
  <c r="ISL6" i="264"/>
  <c r="ISK6" i="264"/>
  <c r="ISJ6" i="264"/>
  <c r="ISI6" i="264"/>
  <c r="ISH6" i="264"/>
  <c r="ISG6" i="264"/>
  <c r="ISF6" i="264"/>
  <c r="ISE6" i="264"/>
  <c r="ISD6" i="264"/>
  <c r="ISC6" i="264"/>
  <c r="ISB6" i="264"/>
  <c r="ISA6" i="264"/>
  <c r="IRZ6" i="264"/>
  <c r="IRY6" i="264"/>
  <c r="IRX6" i="264"/>
  <c r="IRW6" i="264"/>
  <c r="IRV6" i="264"/>
  <c r="IRU6" i="264"/>
  <c r="IRT6" i="264"/>
  <c r="IRS6" i="264"/>
  <c r="IRR6" i="264"/>
  <c r="IRQ6" i="264"/>
  <c r="IRP6" i="264"/>
  <c r="IRO6" i="264"/>
  <c r="IRN6" i="264"/>
  <c r="IRM6" i="264"/>
  <c r="IRL6" i="264"/>
  <c r="IRK6" i="264"/>
  <c r="IRJ6" i="264"/>
  <c r="IRI6" i="264"/>
  <c r="IRH6" i="264"/>
  <c r="IRG6" i="264"/>
  <c r="IRF6" i="264"/>
  <c r="IRE6" i="264"/>
  <c r="IRD6" i="264"/>
  <c r="IRC6" i="264"/>
  <c r="IRB6" i="264"/>
  <c r="IRA6" i="264"/>
  <c r="IQZ6" i="264"/>
  <c r="IQY6" i="264"/>
  <c r="IQX6" i="264"/>
  <c r="IQW6" i="264"/>
  <c r="IQV6" i="264"/>
  <c r="IQU6" i="264"/>
  <c r="IQT6" i="264"/>
  <c r="IQS6" i="264"/>
  <c r="IQR6" i="264"/>
  <c r="IQQ6" i="264"/>
  <c r="IQP6" i="264"/>
  <c r="IQO6" i="264"/>
  <c r="IQN6" i="264"/>
  <c r="IQM6" i="264"/>
  <c r="IQL6" i="264"/>
  <c r="IQK6" i="264"/>
  <c r="IQJ6" i="264"/>
  <c r="IQI6" i="264"/>
  <c r="IQH6" i="264"/>
  <c r="IQG6" i="264"/>
  <c r="IQF6" i="264"/>
  <c r="IQE6" i="264"/>
  <c r="IQD6" i="264"/>
  <c r="IQC6" i="264"/>
  <c r="IQB6" i="264"/>
  <c r="IQA6" i="264"/>
  <c r="IPZ6" i="264"/>
  <c r="IPY6" i="264"/>
  <c r="IPX6" i="264"/>
  <c r="IPW6" i="264"/>
  <c r="IPV6" i="264"/>
  <c r="IPU6" i="264"/>
  <c r="IPT6" i="264"/>
  <c r="IPS6" i="264"/>
  <c r="IPR6" i="264"/>
  <c r="IPQ6" i="264"/>
  <c r="IPP6" i="264"/>
  <c r="IPO6" i="264"/>
  <c r="IPN6" i="264"/>
  <c r="IPM6" i="264"/>
  <c r="IPL6" i="264"/>
  <c r="IPK6" i="264"/>
  <c r="IPJ6" i="264"/>
  <c r="IPI6" i="264"/>
  <c r="IPH6" i="264"/>
  <c r="IPG6" i="264"/>
  <c r="IPF6" i="264"/>
  <c r="IPE6" i="264"/>
  <c r="IPD6" i="264"/>
  <c r="IPC6" i="264"/>
  <c r="IPB6" i="264"/>
  <c r="IPA6" i="264"/>
  <c r="IOZ6" i="264"/>
  <c r="IOY6" i="264"/>
  <c r="IOX6" i="264"/>
  <c r="IOW6" i="264"/>
  <c r="IOV6" i="264"/>
  <c r="IOU6" i="264"/>
  <c r="IOT6" i="264"/>
  <c r="IOS6" i="264"/>
  <c r="IOR6" i="264"/>
  <c r="IOQ6" i="264"/>
  <c r="IOP6" i="264"/>
  <c r="IOO6" i="264"/>
  <c r="ION6" i="264"/>
  <c r="IOM6" i="264"/>
  <c r="IOL6" i="264"/>
  <c r="IOK6" i="264"/>
  <c r="IOJ6" i="264"/>
  <c r="IOI6" i="264"/>
  <c r="IOH6" i="264"/>
  <c r="IOG6" i="264"/>
  <c r="IOF6" i="264"/>
  <c r="IOE6" i="264"/>
  <c r="IOD6" i="264"/>
  <c r="IOC6" i="264"/>
  <c r="IOB6" i="264"/>
  <c r="IOA6" i="264"/>
  <c r="INZ6" i="264"/>
  <c r="INY6" i="264"/>
  <c r="INX6" i="264"/>
  <c r="INW6" i="264"/>
  <c r="INV6" i="264"/>
  <c r="INU6" i="264"/>
  <c r="INT6" i="264"/>
  <c r="INS6" i="264"/>
  <c r="INR6" i="264"/>
  <c r="INQ6" i="264"/>
  <c r="INP6" i="264"/>
  <c r="INO6" i="264"/>
  <c r="INN6" i="264"/>
  <c r="INM6" i="264"/>
  <c r="INL6" i="264"/>
  <c r="INK6" i="264"/>
  <c r="INJ6" i="264"/>
  <c r="INI6" i="264"/>
  <c r="INH6" i="264"/>
  <c r="ING6" i="264"/>
  <c r="INF6" i="264"/>
  <c r="INE6" i="264"/>
  <c r="IND6" i="264"/>
  <c r="INC6" i="264"/>
  <c r="INB6" i="264"/>
  <c r="INA6" i="264"/>
  <c r="IMZ6" i="264"/>
  <c r="IMY6" i="264"/>
  <c r="IMX6" i="264"/>
  <c r="IMW6" i="264"/>
  <c r="IMV6" i="264"/>
  <c r="IMU6" i="264"/>
  <c r="IMT6" i="264"/>
  <c r="IMS6" i="264"/>
  <c r="IMR6" i="264"/>
  <c r="IMQ6" i="264"/>
  <c r="IMP6" i="264"/>
  <c r="IMO6" i="264"/>
  <c r="IMN6" i="264"/>
  <c r="IMM6" i="264"/>
  <c r="IML6" i="264"/>
  <c r="IMK6" i="264"/>
  <c r="IMJ6" i="264"/>
  <c r="IMI6" i="264"/>
  <c r="IMH6" i="264"/>
  <c r="IMG6" i="264"/>
  <c r="IMF6" i="264"/>
  <c r="IME6" i="264"/>
  <c r="IMD6" i="264"/>
  <c r="IMC6" i="264"/>
  <c r="IMB6" i="264"/>
  <c r="IMA6" i="264"/>
  <c r="ILZ6" i="264"/>
  <c r="ILY6" i="264"/>
  <c r="ILX6" i="264"/>
  <c r="ILW6" i="264"/>
  <c r="ILV6" i="264"/>
  <c r="ILU6" i="264"/>
  <c r="ILT6" i="264"/>
  <c r="ILS6" i="264"/>
  <c r="ILR6" i="264"/>
  <c r="ILQ6" i="264"/>
  <c r="ILP6" i="264"/>
  <c r="ILO6" i="264"/>
  <c r="ILN6" i="264"/>
  <c r="ILM6" i="264"/>
  <c r="ILL6" i="264"/>
  <c r="ILK6" i="264"/>
  <c r="ILJ6" i="264"/>
  <c r="ILI6" i="264"/>
  <c r="ILH6" i="264"/>
  <c r="ILG6" i="264"/>
  <c r="ILF6" i="264"/>
  <c r="ILE6" i="264"/>
  <c r="ILD6" i="264"/>
  <c r="ILC6" i="264"/>
  <c r="ILB6" i="264"/>
  <c r="ILA6" i="264"/>
  <c r="IKZ6" i="264"/>
  <c r="IKY6" i="264"/>
  <c r="IKX6" i="264"/>
  <c r="IKW6" i="264"/>
  <c r="IKV6" i="264"/>
  <c r="IKU6" i="264"/>
  <c r="IKT6" i="264"/>
  <c r="IKS6" i="264"/>
  <c r="IKR6" i="264"/>
  <c r="IKQ6" i="264"/>
  <c r="IKP6" i="264"/>
  <c r="IKO6" i="264"/>
  <c r="IKN6" i="264"/>
  <c r="IKM6" i="264"/>
  <c r="IKL6" i="264"/>
  <c r="IKK6" i="264"/>
  <c r="IKJ6" i="264"/>
  <c r="IKI6" i="264"/>
  <c r="IKH6" i="264"/>
  <c r="IKG6" i="264"/>
  <c r="IKF6" i="264"/>
  <c r="IKE6" i="264"/>
  <c r="IKD6" i="264"/>
  <c r="IKC6" i="264"/>
  <c r="IKB6" i="264"/>
  <c r="IKA6" i="264"/>
  <c r="IJZ6" i="264"/>
  <c r="IJY6" i="264"/>
  <c r="IJX6" i="264"/>
  <c r="IJW6" i="264"/>
  <c r="IJV6" i="264"/>
  <c r="IJU6" i="264"/>
  <c r="IJT6" i="264"/>
  <c r="IJS6" i="264"/>
  <c r="IJR6" i="264"/>
  <c r="IJQ6" i="264"/>
  <c r="IJP6" i="264"/>
  <c r="IJO6" i="264"/>
  <c r="IJN6" i="264"/>
  <c r="IJM6" i="264"/>
  <c r="IJL6" i="264"/>
  <c r="IJK6" i="264"/>
  <c r="IJJ6" i="264"/>
  <c r="IJI6" i="264"/>
  <c r="IJH6" i="264"/>
  <c r="IJG6" i="264"/>
  <c r="IJF6" i="264"/>
  <c r="IJE6" i="264"/>
  <c r="IJD6" i="264"/>
  <c r="IJC6" i="264"/>
  <c r="IJB6" i="264"/>
  <c r="IJA6" i="264"/>
  <c r="IIZ6" i="264"/>
  <c r="IIY6" i="264"/>
  <c r="IIX6" i="264"/>
  <c r="IIW6" i="264"/>
  <c r="IIV6" i="264"/>
  <c r="IIU6" i="264"/>
  <c r="IIT6" i="264"/>
  <c r="IIS6" i="264"/>
  <c r="IIR6" i="264"/>
  <c r="IIQ6" i="264"/>
  <c r="IIP6" i="264"/>
  <c r="IIO6" i="264"/>
  <c r="IIN6" i="264"/>
  <c r="IIM6" i="264"/>
  <c r="IIL6" i="264"/>
  <c r="IIK6" i="264"/>
  <c r="IIJ6" i="264"/>
  <c r="III6" i="264"/>
  <c r="IIH6" i="264"/>
  <c r="IIG6" i="264"/>
  <c r="IIF6" i="264"/>
  <c r="IIE6" i="264"/>
  <c r="IID6" i="264"/>
  <c r="IIC6" i="264"/>
  <c r="IIB6" i="264"/>
  <c r="IIA6" i="264"/>
  <c r="IHZ6" i="264"/>
  <c r="IHY6" i="264"/>
  <c r="IHX6" i="264"/>
  <c r="IHW6" i="264"/>
  <c r="IHV6" i="264"/>
  <c r="IHU6" i="264"/>
  <c r="IHT6" i="264"/>
  <c r="IHS6" i="264"/>
  <c r="IHR6" i="264"/>
  <c r="IHQ6" i="264"/>
  <c r="IHP6" i="264"/>
  <c r="IHO6" i="264"/>
  <c r="IHN6" i="264"/>
  <c r="IHM6" i="264"/>
  <c r="IHL6" i="264"/>
  <c r="IHK6" i="264"/>
  <c r="IHJ6" i="264"/>
  <c r="IHI6" i="264"/>
  <c r="IHH6" i="264"/>
  <c r="IHG6" i="264"/>
  <c r="IHF6" i="264"/>
  <c r="IHE6" i="264"/>
  <c r="IHD6" i="264"/>
  <c r="IHC6" i="264"/>
  <c r="IHB6" i="264"/>
  <c r="IHA6" i="264"/>
  <c r="IGZ6" i="264"/>
  <c r="IGY6" i="264"/>
  <c r="IGX6" i="264"/>
  <c r="IGW6" i="264"/>
  <c r="IGV6" i="264"/>
  <c r="IGU6" i="264"/>
  <c r="IGT6" i="264"/>
  <c r="IGS6" i="264"/>
  <c r="IGR6" i="264"/>
  <c r="IGQ6" i="264"/>
  <c r="IGP6" i="264"/>
  <c r="IGO6" i="264"/>
  <c r="IGN6" i="264"/>
  <c r="IGM6" i="264"/>
  <c r="IGL6" i="264"/>
  <c r="IGK6" i="264"/>
  <c r="IGJ6" i="264"/>
  <c r="IGI6" i="264"/>
  <c r="IGH6" i="264"/>
  <c r="IGG6" i="264"/>
  <c r="IGF6" i="264"/>
  <c r="IGE6" i="264"/>
  <c r="IGD6" i="264"/>
  <c r="IGC6" i="264"/>
  <c r="IGB6" i="264"/>
  <c r="IGA6" i="264"/>
  <c r="IFZ6" i="264"/>
  <c r="IFY6" i="264"/>
  <c r="IFX6" i="264"/>
  <c r="IFW6" i="264"/>
  <c r="IFV6" i="264"/>
  <c r="IFU6" i="264"/>
  <c r="IFT6" i="264"/>
  <c r="IFS6" i="264"/>
  <c r="IFR6" i="264"/>
  <c r="IFQ6" i="264"/>
  <c r="IFP6" i="264"/>
  <c r="IFO6" i="264"/>
  <c r="IFN6" i="264"/>
  <c r="IFM6" i="264"/>
  <c r="IFL6" i="264"/>
  <c r="IFK6" i="264"/>
  <c r="IFJ6" i="264"/>
  <c r="IFI6" i="264"/>
  <c r="IFH6" i="264"/>
  <c r="IFG6" i="264"/>
  <c r="IFF6" i="264"/>
  <c r="IFE6" i="264"/>
  <c r="IFD6" i="264"/>
  <c r="IFC6" i="264"/>
  <c r="IFB6" i="264"/>
  <c r="IFA6" i="264"/>
  <c r="IEZ6" i="264"/>
  <c r="IEY6" i="264"/>
  <c r="IEX6" i="264"/>
  <c r="IEW6" i="264"/>
  <c r="IEV6" i="264"/>
  <c r="IEU6" i="264"/>
  <c r="IET6" i="264"/>
  <c r="IES6" i="264"/>
  <c r="IER6" i="264"/>
  <c r="IEQ6" i="264"/>
  <c r="IEP6" i="264"/>
  <c r="IEO6" i="264"/>
  <c r="IEN6" i="264"/>
  <c r="IEM6" i="264"/>
  <c r="IEL6" i="264"/>
  <c r="IEK6" i="264"/>
  <c r="IEJ6" i="264"/>
  <c r="IEI6" i="264"/>
  <c r="IEH6" i="264"/>
  <c r="IEG6" i="264"/>
  <c r="IEF6" i="264"/>
  <c r="IEE6" i="264"/>
  <c r="IED6" i="264"/>
  <c r="IEC6" i="264"/>
  <c r="IEB6" i="264"/>
  <c r="IEA6" i="264"/>
  <c r="IDZ6" i="264"/>
  <c r="IDY6" i="264"/>
  <c r="IDX6" i="264"/>
  <c r="IDW6" i="264"/>
  <c r="IDV6" i="264"/>
  <c r="IDU6" i="264"/>
  <c r="IDT6" i="264"/>
  <c r="IDS6" i="264"/>
  <c r="IDR6" i="264"/>
  <c r="IDQ6" i="264"/>
  <c r="IDP6" i="264"/>
  <c r="IDO6" i="264"/>
  <c r="IDN6" i="264"/>
  <c r="IDM6" i="264"/>
  <c r="IDL6" i="264"/>
  <c r="IDK6" i="264"/>
  <c r="IDJ6" i="264"/>
  <c r="IDI6" i="264"/>
  <c r="IDH6" i="264"/>
  <c r="IDG6" i="264"/>
  <c r="IDF6" i="264"/>
  <c r="IDE6" i="264"/>
  <c r="IDD6" i="264"/>
  <c r="IDC6" i="264"/>
  <c r="IDB6" i="264"/>
  <c r="IDA6" i="264"/>
  <c r="ICZ6" i="264"/>
  <c r="ICY6" i="264"/>
  <c r="ICX6" i="264"/>
  <c r="ICW6" i="264"/>
  <c r="ICV6" i="264"/>
  <c r="ICU6" i="264"/>
  <c r="ICT6" i="264"/>
  <c r="ICS6" i="264"/>
  <c r="ICR6" i="264"/>
  <c r="ICQ6" i="264"/>
  <c r="ICP6" i="264"/>
  <c r="ICO6" i="264"/>
  <c r="ICN6" i="264"/>
  <c r="ICM6" i="264"/>
  <c r="ICL6" i="264"/>
  <c r="ICK6" i="264"/>
  <c r="ICJ6" i="264"/>
  <c r="ICI6" i="264"/>
  <c r="ICH6" i="264"/>
  <c r="ICG6" i="264"/>
  <c r="ICF6" i="264"/>
  <c r="ICE6" i="264"/>
  <c r="ICD6" i="264"/>
  <c r="ICC6" i="264"/>
  <c r="ICB6" i="264"/>
  <c r="ICA6" i="264"/>
  <c r="IBZ6" i="264"/>
  <c r="IBY6" i="264"/>
  <c r="IBX6" i="264"/>
  <c r="IBW6" i="264"/>
  <c r="IBV6" i="264"/>
  <c r="IBU6" i="264"/>
  <c r="IBT6" i="264"/>
  <c r="IBS6" i="264"/>
  <c r="IBR6" i="264"/>
  <c r="IBQ6" i="264"/>
  <c r="IBP6" i="264"/>
  <c r="IBO6" i="264"/>
  <c r="IBN6" i="264"/>
  <c r="IBM6" i="264"/>
  <c r="IBL6" i="264"/>
  <c r="IBK6" i="264"/>
  <c r="IBJ6" i="264"/>
  <c r="IBI6" i="264"/>
  <c r="IBH6" i="264"/>
  <c r="IBG6" i="264"/>
  <c r="IBF6" i="264"/>
  <c r="IBE6" i="264"/>
  <c r="IBD6" i="264"/>
  <c r="IBC6" i="264"/>
  <c r="IBB6" i="264"/>
  <c r="IBA6" i="264"/>
  <c r="IAZ6" i="264"/>
  <c r="IAY6" i="264"/>
  <c r="IAX6" i="264"/>
  <c r="IAW6" i="264"/>
  <c r="IAV6" i="264"/>
  <c r="IAU6" i="264"/>
  <c r="IAT6" i="264"/>
  <c r="IAS6" i="264"/>
  <c r="IAR6" i="264"/>
  <c r="IAQ6" i="264"/>
  <c r="IAP6" i="264"/>
  <c r="IAO6" i="264"/>
  <c r="IAN6" i="264"/>
  <c r="IAM6" i="264"/>
  <c r="IAL6" i="264"/>
  <c r="IAK6" i="264"/>
  <c r="IAJ6" i="264"/>
  <c r="IAI6" i="264"/>
  <c r="IAH6" i="264"/>
  <c r="IAG6" i="264"/>
  <c r="IAF6" i="264"/>
  <c r="IAE6" i="264"/>
  <c r="IAD6" i="264"/>
  <c r="IAC6" i="264"/>
  <c r="IAB6" i="264"/>
  <c r="IAA6" i="264"/>
  <c r="HZZ6" i="264"/>
  <c r="HZY6" i="264"/>
  <c r="HZX6" i="264"/>
  <c r="HZW6" i="264"/>
  <c r="HZV6" i="264"/>
  <c r="HZU6" i="264"/>
  <c r="HZT6" i="264"/>
  <c r="HZS6" i="264"/>
  <c r="HZR6" i="264"/>
  <c r="HZQ6" i="264"/>
  <c r="HZP6" i="264"/>
  <c r="HZO6" i="264"/>
  <c r="HZN6" i="264"/>
  <c r="HZM6" i="264"/>
  <c r="HZL6" i="264"/>
  <c r="HZK6" i="264"/>
  <c r="HZJ6" i="264"/>
  <c r="HZI6" i="264"/>
  <c r="HZH6" i="264"/>
  <c r="HZG6" i="264"/>
  <c r="HZF6" i="264"/>
  <c r="HZE6" i="264"/>
  <c r="HZD6" i="264"/>
  <c r="HZC6" i="264"/>
  <c r="HZB6" i="264"/>
  <c r="HZA6" i="264"/>
  <c r="HYZ6" i="264"/>
  <c r="HYY6" i="264"/>
  <c r="HYX6" i="264"/>
  <c r="HYW6" i="264"/>
  <c r="HYV6" i="264"/>
  <c r="HYU6" i="264"/>
  <c r="HYT6" i="264"/>
  <c r="HYS6" i="264"/>
  <c r="HYR6" i="264"/>
  <c r="HYQ6" i="264"/>
  <c r="HYP6" i="264"/>
  <c r="HYO6" i="264"/>
  <c r="HYN6" i="264"/>
  <c r="HYM6" i="264"/>
  <c r="HYL6" i="264"/>
  <c r="HYK6" i="264"/>
  <c r="HYJ6" i="264"/>
  <c r="HYI6" i="264"/>
  <c r="HYH6" i="264"/>
  <c r="HYG6" i="264"/>
  <c r="HYF6" i="264"/>
  <c r="HYE6" i="264"/>
  <c r="HYD6" i="264"/>
  <c r="HYC6" i="264"/>
  <c r="HYB6" i="264"/>
  <c r="HYA6" i="264"/>
  <c r="HXZ6" i="264"/>
  <c r="HXY6" i="264"/>
  <c r="HXX6" i="264"/>
  <c r="HXW6" i="264"/>
  <c r="HXV6" i="264"/>
  <c r="HXU6" i="264"/>
  <c r="HXT6" i="264"/>
  <c r="HXS6" i="264"/>
  <c r="HXR6" i="264"/>
  <c r="HXQ6" i="264"/>
  <c r="HXP6" i="264"/>
  <c r="HXO6" i="264"/>
  <c r="HXN6" i="264"/>
  <c r="HXM6" i="264"/>
  <c r="HXL6" i="264"/>
  <c r="HXK6" i="264"/>
  <c r="HXJ6" i="264"/>
  <c r="HXI6" i="264"/>
  <c r="HXH6" i="264"/>
  <c r="HXG6" i="264"/>
  <c r="HXF6" i="264"/>
  <c r="HXE6" i="264"/>
  <c r="HXD6" i="264"/>
  <c r="HXC6" i="264"/>
  <c r="HXB6" i="264"/>
  <c r="HXA6" i="264"/>
  <c r="HWZ6" i="264"/>
  <c r="HWY6" i="264"/>
  <c r="HWX6" i="264"/>
  <c r="HWW6" i="264"/>
  <c r="HWV6" i="264"/>
  <c r="HWU6" i="264"/>
  <c r="HWT6" i="264"/>
  <c r="HWS6" i="264"/>
  <c r="HWR6" i="264"/>
  <c r="HWQ6" i="264"/>
  <c r="HWP6" i="264"/>
  <c r="HWO6" i="264"/>
  <c r="HWN6" i="264"/>
  <c r="HWM6" i="264"/>
  <c r="HWL6" i="264"/>
  <c r="HWK6" i="264"/>
  <c r="HWJ6" i="264"/>
  <c r="HWI6" i="264"/>
  <c r="HWH6" i="264"/>
  <c r="HWG6" i="264"/>
  <c r="HWF6" i="264"/>
  <c r="HWE6" i="264"/>
  <c r="HWD6" i="264"/>
  <c r="HWC6" i="264"/>
  <c r="HWB6" i="264"/>
  <c r="HWA6" i="264"/>
  <c r="HVZ6" i="264"/>
  <c r="HVY6" i="264"/>
  <c r="HVX6" i="264"/>
  <c r="HVW6" i="264"/>
  <c r="HVV6" i="264"/>
  <c r="HVU6" i="264"/>
  <c r="HVT6" i="264"/>
  <c r="HVS6" i="264"/>
  <c r="HVR6" i="264"/>
  <c r="HVQ6" i="264"/>
  <c r="HVP6" i="264"/>
  <c r="HVO6" i="264"/>
  <c r="HVN6" i="264"/>
  <c r="HVM6" i="264"/>
  <c r="HVL6" i="264"/>
  <c r="HVK6" i="264"/>
  <c r="HVJ6" i="264"/>
  <c r="HVI6" i="264"/>
  <c r="HVH6" i="264"/>
  <c r="HVG6" i="264"/>
  <c r="HVF6" i="264"/>
  <c r="HVE6" i="264"/>
  <c r="HVD6" i="264"/>
  <c r="HVC6" i="264"/>
  <c r="HVB6" i="264"/>
  <c r="HVA6" i="264"/>
  <c r="HUZ6" i="264"/>
  <c r="HUY6" i="264"/>
  <c r="HUX6" i="264"/>
  <c r="HUW6" i="264"/>
  <c r="HUV6" i="264"/>
  <c r="HUU6" i="264"/>
  <c r="HUT6" i="264"/>
  <c r="HUS6" i="264"/>
  <c r="HUR6" i="264"/>
  <c r="HUQ6" i="264"/>
  <c r="HUP6" i="264"/>
  <c r="HUO6" i="264"/>
  <c r="HUN6" i="264"/>
  <c r="HUM6" i="264"/>
  <c r="HUL6" i="264"/>
  <c r="HUK6" i="264"/>
  <c r="HUJ6" i="264"/>
  <c r="HUI6" i="264"/>
  <c r="HUH6" i="264"/>
  <c r="HUG6" i="264"/>
  <c r="HUF6" i="264"/>
  <c r="HUE6" i="264"/>
  <c r="HUD6" i="264"/>
  <c r="HUC6" i="264"/>
  <c r="HUB6" i="264"/>
  <c r="HUA6" i="264"/>
  <c r="HTZ6" i="264"/>
  <c r="HTY6" i="264"/>
  <c r="HTX6" i="264"/>
  <c r="HTW6" i="264"/>
  <c r="HTV6" i="264"/>
  <c r="HTU6" i="264"/>
  <c r="HTT6" i="264"/>
  <c r="HTS6" i="264"/>
  <c r="HTR6" i="264"/>
  <c r="HTQ6" i="264"/>
  <c r="HTP6" i="264"/>
  <c r="HTO6" i="264"/>
  <c r="HTN6" i="264"/>
  <c r="HTM6" i="264"/>
  <c r="HTL6" i="264"/>
  <c r="HTK6" i="264"/>
  <c r="HTJ6" i="264"/>
  <c r="HTI6" i="264"/>
  <c r="HTH6" i="264"/>
  <c r="HTG6" i="264"/>
  <c r="HTF6" i="264"/>
  <c r="HTE6" i="264"/>
  <c r="HTD6" i="264"/>
  <c r="HTC6" i="264"/>
  <c r="HTB6" i="264"/>
  <c r="HTA6" i="264"/>
  <c r="HSZ6" i="264"/>
  <c r="HSY6" i="264"/>
  <c r="HSX6" i="264"/>
  <c r="HSW6" i="264"/>
  <c r="HSV6" i="264"/>
  <c r="HSU6" i="264"/>
  <c r="HST6" i="264"/>
  <c r="HSS6" i="264"/>
  <c r="HSR6" i="264"/>
  <c r="HSQ6" i="264"/>
  <c r="HSP6" i="264"/>
  <c r="HSO6" i="264"/>
  <c r="HSN6" i="264"/>
  <c r="HSM6" i="264"/>
  <c r="HSL6" i="264"/>
  <c r="HSK6" i="264"/>
  <c r="HSJ6" i="264"/>
  <c r="HSI6" i="264"/>
  <c r="HSH6" i="264"/>
  <c r="HSG6" i="264"/>
  <c r="HSF6" i="264"/>
  <c r="HSE6" i="264"/>
  <c r="HSD6" i="264"/>
  <c r="HSC6" i="264"/>
  <c r="HSB6" i="264"/>
  <c r="HSA6" i="264"/>
  <c r="HRZ6" i="264"/>
  <c r="HRY6" i="264"/>
  <c r="HRX6" i="264"/>
  <c r="HRW6" i="264"/>
  <c r="HRV6" i="264"/>
  <c r="HRU6" i="264"/>
  <c r="HRT6" i="264"/>
  <c r="HRS6" i="264"/>
  <c r="HRR6" i="264"/>
  <c r="HRQ6" i="264"/>
  <c r="HRP6" i="264"/>
  <c r="HRO6" i="264"/>
  <c r="HRN6" i="264"/>
  <c r="HRM6" i="264"/>
  <c r="HRL6" i="264"/>
  <c r="HRK6" i="264"/>
  <c r="HRJ6" i="264"/>
  <c r="HRI6" i="264"/>
  <c r="HRH6" i="264"/>
  <c r="HRG6" i="264"/>
  <c r="HRF6" i="264"/>
  <c r="HRE6" i="264"/>
  <c r="HRD6" i="264"/>
  <c r="HRC6" i="264"/>
  <c r="HRB6" i="264"/>
  <c r="HRA6" i="264"/>
  <c r="HQZ6" i="264"/>
  <c r="HQY6" i="264"/>
  <c r="HQX6" i="264"/>
  <c r="HQW6" i="264"/>
  <c r="HQV6" i="264"/>
  <c r="HQU6" i="264"/>
  <c r="HQT6" i="264"/>
  <c r="HQS6" i="264"/>
  <c r="HQR6" i="264"/>
  <c r="HQQ6" i="264"/>
  <c r="HQP6" i="264"/>
  <c r="HQO6" i="264"/>
  <c r="HQN6" i="264"/>
  <c r="HQM6" i="264"/>
  <c r="HQL6" i="264"/>
  <c r="HQK6" i="264"/>
  <c r="HQJ6" i="264"/>
  <c r="HQI6" i="264"/>
  <c r="HQH6" i="264"/>
  <c r="HQG6" i="264"/>
  <c r="HQF6" i="264"/>
  <c r="HQE6" i="264"/>
  <c r="HQD6" i="264"/>
  <c r="HQC6" i="264"/>
  <c r="HQB6" i="264"/>
  <c r="HQA6" i="264"/>
  <c r="HPZ6" i="264"/>
  <c r="HPY6" i="264"/>
  <c r="HPX6" i="264"/>
  <c r="HPW6" i="264"/>
  <c r="HPV6" i="264"/>
  <c r="HPU6" i="264"/>
  <c r="HPT6" i="264"/>
  <c r="HPS6" i="264"/>
  <c r="HPR6" i="264"/>
  <c r="HPQ6" i="264"/>
  <c r="HPP6" i="264"/>
  <c r="HPO6" i="264"/>
  <c r="HPN6" i="264"/>
  <c r="HPM6" i="264"/>
  <c r="HPL6" i="264"/>
  <c r="HPK6" i="264"/>
  <c r="HPJ6" i="264"/>
  <c r="HPI6" i="264"/>
  <c r="HPH6" i="264"/>
  <c r="HPG6" i="264"/>
  <c r="HPF6" i="264"/>
  <c r="HPE6" i="264"/>
  <c r="HPD6" i="264"/>
  <c r="HPC6" i="264"/>
  <c r="HPB6" i="264"/>
  <c r="HPA6" i="264"/>
  <c r="HOZ6" i="264"/>
  <c r="HOY6" i="264"/>
  <c r="HOX6" i="264"/>
  <c r="HOW6" i="264"/>
  <c r="HOV6" i="264"/>
  <c r="HOU6" i="264"/>
  <c r="HOT6" i="264"/>
  <c r="HOS6" i="264"/>
  <c r="HOR6" i="264"/>
  <c r="HOQ6" i="264"/>
  <c r="HOP6" i="264"/>
  <c r="HOO6" i="264"/>
  <c r="HON6" i="264"/>
  <c r="HOM6" i="264"/>
  <c r="HOL6" i="264"/>
  <c r="HOK6" i="264"/>
  <c r="HOJ6" i="264"/>
  <c r="HOI6" i="264"/>
  <c r="HOH6" i="264"/>
  <c r="HOG6" i="264"/>
  <c r="HOF6" i="264"/>
  <c r="HOE6" i="264"/>
  <c r="HOD6" i="264"/>
  <c r="HOC6" i="264"/>
  <c r="HOB6" i="264"/>
  <c r="HOA6" i="264"/>
  <c r="HNZ6" i="264"/>
  <c r="HNY6" i="264"/>
  <c r="HNX6" i="264"/>
  <c r="HNW6" i="264"/>
  <c r="HNV6" i="264"/>
  <c r="HNU6" i="264"/>
  <c r="HNT6" i="264"/>
  <c r="HNS6" i="264"/>
  <c r="HNR6" i="264"/>
  <c r="HNQ6" i="264"/>
  <c r="HNP6" i="264"/>
  <c r="HNO6" i="264"/>
  <c r="HNN6" i="264"/>
  <c r="HNM6" i="264"/>
  <c r="HNL6" i="264"/>
  <c r="HNK6" i="264"/>
  <c r="HNJ6" i="264"/>
  <c r="HNI6" i="264"/>
  <c r="HNH6" i="264"/>
  <c r="HNG6" i="264"/>
  <c r="HNF6" i="264"/>
  <c r="HNE6" i="264"/>
  <c r="HND6" i="264"/>
  <c r="HNC6" i="264"/>
  <c r="HNB6" i="264"/>
  <c r="HNA6" i="264"/>
  <c r="HMZ6" i="264"/>
  <c r="HMY6" i="264"/>
  <c r="HMX6" i="264"/>
  <c r="HMW6" i="264"/>
  <c r="HMV6" i="264"/>
  <c r="HMU6" i="264"/>
  <c r="HMT6" i="264"/>
  <c r="HMS6" i="264"/>
  <c r="HMR6" i="264"/>
  <c r="HMQ6" i="264"/>
  <c r="HMP6" i="264"/>
  <c r="HMO6" i="264"/>
  <c r="HMN6" i="264"/>
  <c r="HMM6" i="264"/>
  <c r="HML6" i="264"/>
  <c r="HMK6" i="264"/>
  <c r="HMJ6" i="264"/>
  <c r="HMI6" i="264"/>
  <c r="HMH6" i="264"/>
  <c r="HMG6" i="264"/>
  <c r="HMF6" i="264"/>
  <c r="HME6" i="264"/>
  <c r="HMD6" i="264"/>
  <c r="HMC6" i="264"/>
  <c r="HMB6" i="264"/>
  <c r="HMA6" i="264"/>
  <c r="HLZ6" i="264"/>
  <c r="HLY6" i="264"/>
  <c r="HLX6" i="264"/>
  <c r="HLW6" i="264"/>
  <c r="HLV6" i="264"/>
  <c r="HLU6" i="264"/>
  <c r="HLT6" i="264"/>
  <c r="HLS6" i="264"/>
  <c r="HLR6" i="264"/>
  <c r="HLQ6" i="264"/>
  <c r="HLP6" i="264"/>
  <c r="HLO6" i="264"/>
  <c r="HLN6" i="264"/>
  <c r="HLM6" i="264"/>
  <c r="HLL6" i="264"/>
  <c r="HLK6" i="264"/>
  <c r="HLJ6" i="264"/>
  <c r="HLI6" i="264"/>
  <c r="HLH6" i="264"/>
  <c r="HLG6" i="264"/>
  <c r="HLF6" i="264"/>
  <c r="HLE6" i="264"/>
  <c r="HLD6" i="264"/>
  <c r="HLC6" i="264"/>
  <c r="HLB6" i="264"/>
  <c r="HLA6" i="264"/>
  <c r="HKZ6" i="264"/>
  <c r="HKY6" i="264"/>
  <c r="HKX6" i="264"/>
  <c r="HKW6" i="264"/>
  <c r="HKV6" i="264"/>
  <c r="HKU6" i="264"/>
  <c r="HKT6" i="264"/>
  <c r="HKS6" i="264"/>
  <c r="HKR6" i="264"/>
  <c r="HKQ6" i="264"/>
  <c r="HKP6" i="264"/>
  <c r="HKO6" i="264"/>
  <c r="HKN6" i="264"/>
  <c r="HKM6" i="264"/>
  <c r="HKL6" i="264"/>
  <c r="HKK6" i="264"/>
  <c r="HKJ6" i="264"/>
  <c r="HKI6" i="264"/>
  <c r="HKH6" i="264"/>
  <c r="HKG6" i="264"/>
  <c r="HKF6" i="264"/>
  <c r="HKE6" i="264"/>
  <c r="HKD6" i="264"/>
  <c r="HKC6" i="264"/>
  <c r="HKB6" i="264"/>
  <c r="HKA6" i="264"/>
  <c r="HJZ6" i="264"/>
  <c r="HJY6" i="264"/>
  <c r="HJX6" i="264"/>
  <c r="HJW6" i="264"/>
  <c r="HJV6" i="264"/>
  <c r="HJU6" i="264"/>
  <c r="HJT6" i="264"/>
  <c r="HJS6" i="264"/>
  <c r="HJR6" i="264"/>
  <c r="HJQ6" i="264"/>
  <c r="HJP6" i="264"/>
  <c r="HJO6" i="264"/>
  <c r="HJN6" i="264"/>
  <c r="HJM6" i="264"/>
  <c r="HJL6" i="264"/>
  <c r="HJK6" i="264"/>
  <c r="HJJ6" i="264"/>
  <c r="HJI6" i="264"/>
  <c r="HJH6" i="264"/>
  <c r="HJG6" i="264"/>
  <c r="HJF6" i="264"/>
  <c r="HJE6" i="264"/>
  <c r="HJD6" i="264"/>
  <c r="HJC6" i="264"/>
  <c r="HJB6" i="264"/>
  <c r="HJA6" i="264"/>
  <c r="HIZ6" i="264"/>
  <c r="HIY6" i="264"/>
  <c r="HIX6" i="264"/>
  <c r="HIW6" i="264"/>
  <c r="HIV6" i="264"/>
  <c r="HIU6" i="264"/>
  <c r="HIT6" i="264"/>
  <c r="HIS6" i="264"/>
  <c r="HIR6" i="264"/>
  <c r="HIQ6" i="264"/>
  <c r="HIP6" i="264"/>
  <c r="HIO6" i="264"/>
  <c r="HIN6" i="264"/>
  <c r="HIM6" i="264"/>
  <c r="HIL6" i="264"/>
  <c r="HIK6" i="264"/>
  <c r="HIJ6" i="264"/>
  <c r="HII6" i="264"/>
  <c r="HIH6" i="264"/>
  <c r="HIG6" i="264"/>
  <c r="HIF6" i="264"/>
  <c r="HIE6" i="264"/>
  <c r="HID6" i="264"/>
  <c r="HIC6" i="264"/>
  <c r="HIB6" i="264"/>
  <c r="HIA6" i="264"/>
  <c r="HHZ6" i="264"/>
  <c r="HHY6" i="264"/>
  <c r="HHX6" i="264"/>
  <c r="HHW6" i="264"/>
  <c r="HHV6" i="264"/>
  <c r="HHU6" i="264"/>
  <c r="HHT6" i="264"/>
  <c r="HHS6" i="264"/>
  <c r="HHR6" i="264"/>
  <c r="HHQ6" i="264"/>
  <c r="HHP6" i="264"/>
  <c r="HHO6" i="264"/>
  <c r="HHN6" i="264"/>
  <c r="HHM6" i="264"/>
  <c r="HHL6" i="264"/>
  <c r="HHK6" i="264"/>
  <c r="HHJ6" i="264"/>
  <c r="HHI6" i="264"/>
  <c r="HHH6" i="264"/>
  <c r="HHG6" i="264"/>
  <c r="HHF6" i="264"/>
  <c r="HHE6" i="264"/>
  <c r="HHD6" i="264"/>
  <c r="HHC6" i="264"/>
  <c r="HHB6" i="264"/>
  <c r="HHA6" i="264"/>
  <c r="HGZ6" i="264"/>
  <c r="HGY6" i="264"/>
  <c r="HGX6" i="264"/>
  <c r="HGW6" i="264"/>
  <c r="HGV6" i="264"/>
  <c r="HGU6" i="264"/>
  <c r="HGT6" i="264"/>
  <c r="HGS6" i="264"/>
  <c r="HGR6" i="264"/>
  <c r="HGQ6" i="264"/>
  <c r="HGP6" i="264"/>
  <c r="HGO6" i="264"/>
  <c r="HGN6" i="264"/>
  <c r="HGM6" i="264"/>
  <c r="HGL6" i="264"/>
  <c r="HGK6" i="264"/>
  <c r="HGJ6" i="264"/>
  <c r="HGI6" i="264"/>
  <c r="HGH6" i="264"/>
  <c r="HGG6" i="264"/>
  <c r="HGF6" i="264"/>
  <c r="HGE6" i="264"/>
  <c r="HGD6" i="264"/>
  <c r="HGC6" i="264"/>
  <c r="HGB6" i="264"/>
  <c r="HGA6" i="264"/>
  <c r="HFZ6" i="264"/>
  <c r="HFY6" i="264"/>
  <c r="HFX6" i="264"/>
  <c r="HFW6" i="264"/>
  <c r="HFV6" i="264"/>
  <c r="HFU6" i="264"/>
  <c r="HFT6" i="264"/>
  <c r="HFS6" i="264"/>
  <c r="HFR6" i="264"/>
  <c r="HFQ6" i="264"/>
  <c r="HFP6" i="264"/>
  <c r="HFO6" i="264"/>
  <c r="HFN6" i="264"/>
  <c r="HFM6" i="264"/>
  <c r="HFL6" i="264"/>
  <c r="HFK6" i="264"/>
  <c r="HFJ6" i="264"/>
  <c r="HFI6" i="264"/>
  <c r="HFH6" i="264"/>
  <c r="HFG6" i="264"/>
  <c r="HFF6" i="264"/>
  <c r="HFE6" i="264"/>
  <c r="HFD6" i="264"/>
  <c r="HFC6" i="264"/>
  <c r="HFB6" i="264"/>
  <c r="HFA6" i="264"/>
  <c r="HEZ6" i="264"/>
  <c r="HEY6" i="264"/>
  <c r="HEX6" i="264"/>
  <c r="HEW6" i="264"/>
  <c r="HEV6" i="264"/>
  <c r="HEU6" i="264"/>
  <c r="HET6" i="264"/>
  <c r="HES6" i="264"/>
  <c r="HER6" i="264"/>
  <c r="HEQ6" i="264"/>
  <c r="HEP6" i="264"/>
  <c r="HEO6" i="264"/>
  <c r="HEN6" i="264"/>
  <c r="HEM6" i="264"/>
  <c r="HEL6" i="264"/>
  <c r="HEK6" i="264"/>
  <c r="HEJ6" i="264"/>
  <c r="HEI6" i="264"/>
  <c r="HEH6" i="264"/>
  <c r="HEG6" i="264"/>
  <c r="HEF6" i="264"/>
  <c r="HEE6" i="264"/>
  <c r="HED6" i="264"/>
  <c r="HEC6" i="264"/>
  <c r="HEB6" i="264"/>
  <c r="HEA6" i="264"/>
  <c r="HDZ6" i="264"/>
  <c r="HDY6" i="264"/>
  <c r="HDX6" i="264"/>
  <c r="HDW6" i="264"/>
  <c r="HDV6" i="264"/>
  <c r="HDU6" i="264"/>
  <c r="HDT6" i="264"/>
  <c r="HDS6" i="264"/>
  <c r="HDR6" i="264"/>
  <c r="HDQ6" i="264"/>
  <c r="HDP6" i="264"/>
  <c r="HDO6" i="264"/>
  <c r="HDN6" i="264"/>
  <c r="HDM6" i="264"/>
  <c r="HDL6" i="264"/>
  <c r="HDK6" i="264"/>
  <c r="HDJ6" i="264"/>
  <c r="HDI6" i="264"/>
  <c r="HDH6" i="264"/>
  <c r="HDG6" i="264"/>
  <c r="HDF6" i="264"/>
  <c r="HDE6" i="264"/>
  <c r="HDD6" i="264"/>
  <c r="HDC6" i="264"/>
  <c r="HDB6" i="264"/>
  <c r="HDA6" i="264"/>
  <c r="HCZ6" i="264"/>
  <c r="HCY6" i="264"/>
  <c r="HCX6" i="264"/>
  <c r="HCW6" i="264"/>
  <c r="HCV6" i="264"/>
  <c r="HCU6" i="264"/>
  <c r="HCT6" i="264"/>
  <c r="HCS6" i="264"/>
  <c r="HCR6" i="264"/>
  <c r="HCQ6" i="264"/>
  <c r="HCP6" i="264"/>
  <c r="HCO6" i="264"/>
  <c r="HCN6" i="264"/>
  <c r="HCM6" i="264"/>
  <c r="HCL6" i="264"/>
  <c r="HCK6" i="264"/>
  <c r="HCJ6" i="264"/>
  <c r="HCI6" i="264"/>
  <c r="HCH6" i="264"/>
  <c r="HCG6" i="264"/>
  <c r="HCF6" i="264"/>
  <c r="HCE6" i="264"/>
  <c r="HCD6" i="264"/>
  <c r="HCC6" i="264"/>
  <c r="HCB6" i="264"/>
  <c r="HCA6" i="264"/>
  <c r="HBZ6" i="264"/>
  <c r="HBY6" i="264"/>
  <c r="HBX6" i="264"/>
  <c r="HBW6" i="264"/>
  <c r="HBV6" i="264"/>
  <c r="HBU6" i="264"/>
  <c r="HBT6" i="264"/>
  <c r="HBS6" i="264"/>
  <c r="HBR6" i="264"/>
  <c r="HBQ6" i="264"/>
  <c r="HBP6" i="264"/>
  <c r="HBO6" i="264"/>
  <c r="HBN6" i="264"/>
  <c r="HBM6" i="264"/>
  <c r="HBL6" i="264"/>
  <c r="HBK6" i="264"/>
  <c r="HBJ6" i="264"/>
  <c r="HBI6" i="264"/>
  <c r="HBH6" i="264"/>
  <c r="HBG6" i="264"/>
  <c r="HBF6" i="264"/>
  <c r="HBE6" i="264"/>
  <c r="HBD6" i="264"/>
  <c r="HBC6" i="264"/>
  <c r="HBB6" i="264"/>
  <c r="HBA6" i="264"/>
  <c r="HAZ6" i="264"/>
  <c r="HAY6" i="264"/>
  <c r="HAX6" i="264"/>
  <c r="HAW6" i="264"/>
  <c r="HAV6" i="264"/>
  <c r="HAU6" i="264"/>
  <c r="HAT6" i="264"/>
  <c r="HAS6" i="264"/>
  <c r="HAR6" i="264"/>
  <c r="HAQ6" i="264"/>
  <c r="HAP6" i="264"/>
  <c r="HAO6" i="264"/>
  <c r="HAN6" i="264"/>
  <c r="HAM6" i="264"/>
  <c r="HAL6" i="264"/>
  <c r="HAK6" i="264"/>
  <c r="HAJ6" i="264"/>
  <c r="HAI6" i="264"/>
  <c r="HAH6" i="264"/>
  <c r="HAG6" i="264"/>
  <c r="HAF6" i="264"/>
  <c r="HAE6" i="264"/>
  <c r="HAD6" i="264"/>
  <c r="HAC6" i="264"/>
  <c r="HAB6" i="264"/>
  <c r="HAA6" i="264"/>
  <c r="GZZ6" i="264"/>
  <c r="GZY6" i="264"/>
  <c r="GZX6" i="264"/>
  <c r="GZW6" i="264"/>
  <c r="GZV6" i="264"/>
  <c r="GZU6" i="264"/>
  <c r="GZT6" i="264"/>
  <c r="GZS6" i="264"/>
  <c r="GZR6" i="264"/>
  <c r="GZQ6" i="264"/>
  <c r="GZP6" i="264"/>
  <c r="GZO6" i="264"/>
  <c r="GZN6" i="264"/>
  <c r="GZM6" i="264"/>
  <c r="GZL6" i="264"/>
  <c r="GZK6" i="264"/>
  <c r="GZJ6" i="264"/>
  <c r="GZI6" i="264"/>
  <c r="GZH6" i="264"/>
  <c r="GZG6" i="264"/>
  <c r="GZF6" i="264"/>
  <c r="GZE6" i="264"/>
  <c r="GZD6" i="264"/>
  <c r="GZC6" i="264"/>
  <c r="GZB6" i="264"/>
  <c r="GZA6" i="264"/>
  <c r="GYZ6" i="264"/>
  <c r="GYY6" i="264"/>
  <c r="GYX6" i="264"/>
  <c r="GYW6" i="264"/>
  <c r="GYV6" i="264"/>
  <c r="GYU6" i="264"/>
  <c r="GYT6" i="264"/>
  <c r="GYS6" i="264"/>
  <c r="GYR6" i="264"/>
  <c r="GYQ6" i="264"/>
  <c r="GYP6" i="264"/>
  <c r="GYO6" i="264"/>
  <c r="GYN6" i="264"/>
  <c r="GYM6" i="264"/>
  <c r="GYL6" i="264"/>
  <c r="GYK6" i="264"/>
  <c r="GYJ6" i="264"/>
  <c r="GYI6" i="264"/>
  <c r="GYH6" i="264"/>
  <c r="GYG6" i="264"/>
  <c r="GYF6" i="264"/>
  <c r="GYE6" i="264"/>
  <c r="GYD6" i="264"/>
  <c r="GYC6" i="264"/>
  <c r="GYB6" i="264"/>
  <c r="GYA6" i="264"/>
  <c r="GXZ6" i="264"/>
  <c r="GXY6" i="264"/>
  <c r="GXX6" i="264"/>
  <c r="GXW6" i="264"/>
  <c r="GXV6" i="264"/>
  <c r="GXU6" i="264"/>
  <c r="GXT6" i="264"/>
  <c r="GXS6" i="264"/>
  <c r="GXR6" i="264"/>
  <c r="GXQ6" i="264"/>
  <c r="GXP6" i="264"/>
  <c r="GXO6" i="264"/>
  <c r="GXN6" i="264"/>
  <c r="GXM6" i="264"/>
  <c r="GXL6" i="264"/>
  <c r="GXK6" i="264"/>
  <c r="GXJ6" i="264"/>
  <c r="GXI6" i="264"/>
  <c r="GXH6" i="264"/>
  <c r="GXG6" i="264"/>
  <c r="GXF6" i="264"/>
  <c r="GXE6" i="264"/>
  <c r="GXD6" i="264"/>
  <c r="GXC6" i="264"/>
  <c r="GXB6" i="264"/>
  <c r="GXA6" i="264"/>
  <c r="GWZ6" i="264"/>
  <c r="GWY6" i="264"/>
  <c r="GWX6" i="264"/>
  <c r="GWW6" i="264"/>
  <c r="GWV6" i="264"/>
  <c r="GWU6" i="264"/>
  <c r="GWT6" i="264"/>
  <c r="GWS6" i="264"/>
  <c r="GWR6" i="264"/>
  <c r="GWQ6" i="264"/>
  <c r="GWP6" i="264"/>
  <c r="GWO6" i="264"/>
  <c r="GWN6" i="264"/>
  <c r="GWM6" i="264"/>
  <c r="GWL6" i="264"/>
  <c r="GWK6" i="264"/>
  <c r="GWJ6" i="264"/>
  <c r="GWI6" i="264"/>
  <c r="GWH6" i="264"/>
  <c r="GWG6" i="264"/>
  <c r="GWF6" i="264"/>
  <c r="GWE6" i="264"/>
  <c r="GWD6" i="264"/>
  <c r="GWC6" i="264"/>
  <c r="GWB6" i="264"/>
  <c r="GWA6" i="264"/>
  <c r="GVZ6" i="264"/>
  <c r="GVY6" i="264"/>
  <c r="GVX6" i="264"/>
  <c r="GVW6" i="264"/>
  <c r="GVV6" i="264"/>
  <c r="GVU6" i="264"/>
  <c r="GVT6" i="264"/>
  <c r="GVS6" i="264"/>
  <c r="GVR6" i="264"/>
  <c r="GVQ6" i="264"/>
  <c r="GVP6" i="264"/>
  <c r="GVO6" i="264"/>
  <c r="GVN6" i="264"/>
  <c r="GVM6" i="264"/>
  <c r="GVL6" i="264"/>
  <c r="GVK6" i="264"/>
  <c r="GVJ6" i="264"/>
  <c r="GVI6" i="264"/>
  <c r="GVH6" i="264"/>
  <c r="GVG6" i="264"/>
  <c r="GVF6" i="264"/>
  <c r="GVE6" i="264"/>
  <c r="GVD6" i="264"/>
  <c r="GVC6" i="264"/>
  <c r="GVB6" i="264"/>
  <c r="GVA6" i="264"/>
  <c r="GUZ6" i="264"/>
  <c r="GUY6" i="264"/>
  <c r="GUX6" i="264"/>
  <c r="GUW6" i="264"/>
  <c r="GUV6" i="264"/>
  <c r="GUU6" i="264"/>
  <c r="GUT6" i="264"/>
  <c r="GUS6" i="264"/>
  <c r="GUR6" i="264"/>
  <c r="GUQ6" i="264"/>
  <c r="GUP6" i="264"/>
  <c r="GUO6" i="264"/>
  <c r="GUN6" i="264"/>
  <c r="GUM6" i="264"/>
  <c r="GUL6" i="264"/>
  <c r="GUK6" i="264"/>
  <c r="GUJ6" i="264"/>
  <c r="GUI6" i="264"/>
  <c r="GUH6" i="264"/>
  <c r="GUG6" i="264"/>
  <c r="GUF6" i="264"/>
  <c r="GUE6" i="264"/>
  <c r="GUD6" i="264"/>
  <c r="GUC6" i="264"/>
  <c r="GUB6" i="264"/>
  <c r="GUA6" i="264"/>
  <c r="GTZ6" i="264"/>
  <c r="GTY6" i="264"/>
  <c r="GTX6" i="264"/>
  <c r="GTW6" i="264"/>
  <c r="GTV6" i="264"/>
  <c r="GTU6" i="264"/>
  <c r="GTT6" i="264"/>
  <c r="GTS6" i="264"/>
  <c r="GTR6" i="264"/>
  <c r="GTQ6" i="264"/>
  <c r="GTP6" i="264"/>
  <c r="GTO6" i="264"/>
  <c r="GTN6" i="264"/>
  <c r="GTM6" i="264"/>
  <c r="GTL6" i="264"/>
  <c r="GTK6" i="264"/>
  <c r="GTJ6" i="264"/>
  <c r="GTI6" i="264"/>
  <c r="GTH6" i="264"/>
  <c r="GTG6" i="264"/>
  <c r="GTF6" i="264"/>
  <c r="GTE6" i="264"/>
  <c r="GTD6" i="264"/>
  <c r="GTC6" i="264"/>
  <c r="GTB6" i="264"/>
  <c r="GTA6" i="264"/>
  <c r="GSZ6" i="264"/>
  <c r="GSY6" i="264"/>
  <c r="GSX6" i="264"/>
  <c r="GSW6" i="264"/>
  <c r="GSV6" i="264"/>
  <c r="GSU6" i="264"/>
  <c r="GST6" i="264"/>
  <c r="GSS6" i="264"/>
  <c r="GSR6" i="264"/>
  <c r="GSQ6" i="264"/>
  <c r="GSP6" i="264"/>
  <c r="GSO6" i="264"/>
  <c r="GSN6" i="264"/>
  <c r="GSM6" i="264"/>
  <c r="GSL6" i="264"/>
  <c r="GSK6" i="264"/>
  <c r="GSJ6" i="264"/>
  <c r="GSI6" i="264"/>
  <c r="GSH6" i="264"/>
  <c r="GSG6" i="264"/>
  <c r="GSF6" i="264"/>
  <c r="GSE6" i="264"/>
  <c r="GSD6" i="264"/>
  <c r="GSC6" i="264"/>
  <c r="GSB6" i="264"/>
  <c r="GSA6" i="264"/>
  <c r="GRZ6" i="264"/>
  <c r="GRY6" i="264"/>
  <c r="GRX6" i="264"/>
  <c r="GRW6" i="264"/>
  <c r="GRV6" i="264"/>
  <c r="GRU6" i="264"/>
  <c r="GRT6" i="264"/>
  <c r="GRS6" i="264"/>
  <c r="GRR6" i="264"/>
  <c r="GRQ6" i="264"/>
  <c r="GRP6" i="264"/>
  <c r="GRO6" i="264"/>
  <c r="GRN6" i="264"/>
  <c r="GRM6" i="264"/>
  <c r="GRL6" i="264"/>
  <c r="GRK6" i="264"/>
  <c r="GRJ6" i="264"/>
  <c r="GRI6" i="264"/>
  <c r="GRH6" i="264"/>
  <c r="GRG6" i="264"/>
  <c r="GRF6" i="264"/>
  <c r="GRE6" i="264"/>
  <c r="GRD6" i="264"/>
  <c r="GRC6" i="264"/>
  <c r="GRB6" i="264"/>
  <c r="GRA6" i="264"/>
  <c r="GQZ6" i="264"/>
  <c r="GQY6" i="264"/>
  <c r="GQX6" i="264"/>
  <c r="GQW6" i="264"/>
  <c r="GQV6" i="264"/>
  <c r="GQU6" i="264"/>
  <c r="GQT6" i="264"/>
  <c r="GQS6" i="264"/>
  <c r="GQR6" i="264"/>
  <c r="GQQ6" i="264"/>
  <c r="GQP6" i="264"/>
  <c r="GQO6" i="264"/>
  <c r="GQN6" i="264"/>
  <c r="GQM6" i="264"/>
  <c r="GQL6" i="264"/>
  <c r="GQK6" i="264"/>
  <c r="GQJ6" i="264"/>
  <c r="GQI6" i="264"/>
  <c r="GQH6" i="264"/>
  <c r="GQG6" i="264"/>
  <c r="GQF6" i="264"/>
  <c r="GQE6" i="264"/>
  <c r="GQD6" i="264"/>
  <c r="GQC6" i="264"/>
  <c r="GQB6" i="264"/>
  <c r="GQA6" i="264"/>
  <c r="GPZ6" i="264"/>
  <c r="GPY6" i="264"/>
  <c r="GPX6" i="264"/>
  <c r="GPW6" i="264"/>
  <c r="GPV6" i="264"/>
  <c r="GPU6" i="264"/>
  <c r="GPT6" i="264"/>
  <c r="GPS6" i="264"/>
  <c r="GPR6" i="264"/>
  <c r="GPQ6" i="264"/>
  <c r="GPP6" i="264"/>
  <c r="GPO6" i="264"/>
  <c r="GPN6" i="264"/>
  <c r="GPM6" i="264"/>
  <c r="GPL6" i="264"/>
  <c r="GPK6" i="264"/>
  <c r="GPJ6" i="264"/>
  <c r="GPI6" i="264"/>
  <c r="GPH6" i="264"/>
  <c r="GPG6" i="264"/>
  <c r="GPF6" i="264"/>
  <c r="GPE6" i="264"/>
  <c r="GPD6" i="264"/>
  <c r="GPC6" i="264"/>
  <c r="GPB6" i="264"/>
  <c r="GPA6" i="264"/>
  <c r="GOZ6" i="264"/>
  <c r="GOY6" i="264"/>
  <c r="GOX6" i="264"/>
  <c r="GOW6" i="264"/>
  <c r="GOV6" i="264"/>
  <c r="GOU6" i="264"/>
  <c r="GOT6" i="264"/>
  <c r="GOS6" i="264"/>
  <c r="GOR6" i="264"/>
  <c r="GOQ6" i="264"/>
  <c r="GOP6" i="264"/>
  <c r="GOO6" i="264"/>
  <c r="GON6" i="264"/>
  <c r="GOM6" i="264"/>
  <c r="GOL6" i="264"/>
  <c r="GOK6" i="264"/>
  <c r="GOJ6" i="264"/>
  <c r="GOI6" i="264"/>
  <c r="GOH6" i="264"/>
  <c r="GOG6" i="264"/>
  <c r="GOF6" i="264"/>
  <c r="GOE6" i="264"/>
  <c r="GOD6" i="264"/>
  <c r="GOC6" i="264"/>
  <c r="GOB6" i="264"/>
  <c r="GOA6" i="264"/>
  <c r="GNZ6" i="264"/>
  <c r="GNY6" i="264"/>
  <c r="GNX6" i="264"/>
  <c r="GNW6" i="264"/>
  <c r="GNV6" i="264"/>
  <c r="GNU6" i="264"/>
  <c r="GNT6" i="264"/>
  <c r="GNS6" i="264"/>
  <c r="GNR6" i="264"/>
  <c r="GNQ6" i="264"/>
  <c r="GNP6" i="264"/>
  <c r="GNO6" i="264"/>
  <c r="GNN6" i="264"/>
  <c r="GNM6" i="264"/>
  <c r="GNL6" i="264"/>
  <c r="GNK6" i="264"/>
  <c r="GNJ6" i="264"/>
  <c r="GNI6" i="264"/>
  <c r="GNH6" i="264"/>
  <c r="GNG6" i="264"/>
  <c r="GNF6" i="264"/>
  <c r="GNE6" i="264"/>
  <c r="GND6" i="264"/>
  <c r="GNC6" i="264"/>
  <c r="GNB6" i="264"/>
  <c r="GNA6" i="264"/>
  <c r="GMZ6" i="264"/>
  <c r="GMY6" i="264"/>
  <c r="GMX6" i="264"/>
  <c r="GMW6" i="264"/>
  <c r="GMV6" i="264"/>
  <c r="GMU6" i="264"/>
  <c r="GMT6" i="264"/>
  <c r="GMS6" i="264"/>
  <c r="GMR6" i="264"/>
  <c r="GMQ6" i="264"/>
  <c r="GMP6" i="264"/>
  <c r="GMO6" i="264"/>
  <c r="GMN6" i="264"/>
  <c r="GMM6" i="264"/>
  <c r="GML6" i="264"/>
  <c r="GMK6" i="264"/>
  <c r="GMJ6" i="264"/>
  <c r="GMI6" i="264"/>
  <c r="GMH6" i="264"/>
  <c r="GMG6" i="264"/>
  <c r="GMF6" i="264"/>
  <c r="GME6" i="264"/>
  <c r="GMD6" i="264"/>
  <c r="GMC6" i="264"/>
  <c r="GMB6" i="264"/>
  <c r="GMA6" i="264"/>
  <c r="GLZ6" i="264"/>
  <c r="GLY6" i="264"/>
  <c r="GLX6" i="264"/>
  <c r="GLW6" i="264"/>
  <c r="GLV6" i="264"/>
  <c r="GLU6" i="264"/>
  <c r="GLT6" i="264"/>
  <c r="GLS6" i="264"/>
  <c r="GLR6" i="264"/>
  <c r="GLQ6" i="264"/>
  <c r="GLP6" i="264"/>
  <c r="GLO6" i="264"/>
  <c r="GLN6" i="264"/>
  <c r="GLM6" i="264"/>
  <c r="GLL6" i="264"/>
  <c r="GLK6" i="264"/>
  <c r="GLJ6" i="264"/>
  <c r="GLI6" i="264"/>
  <c r="GLH6" i="264"/>
  <c r="GLG6" i="264"/>
  <c r="GLF6" i="264"/>
  <c r="GLE6" i="264"/>
  <c r="GLD6" i="264"/>
  <c r="GLC6" i="264"/>
  <c r="GLB6" i="264"/>
  <c r="GLA6" i="264"/>
  <c r="GKZ6" i="264"/>
  <c r="GKY6" i="264"/>
  <c r="GKX6" i="264"/>
  <c r="GKW6" i="264"/>
  <c r="GKV6" i="264"/>
  <c r="GKU6" i="264"/>
  <c r="GKT6" i="264"/>
  <c r="GKS6" i="264"/>
  <c r="GKR6" i="264"/>
  <c r="GKQ6" i="264"/>
  <c r="GKP6" i="264"/>
  <c r="GKO6" i="264"/>
  <c r="GKN6" i="264"/>
  <c r="GKM6" i="264"/>
  <c r="GKL6" i="264"/>
  <c r="GKK6" i="264"/>
  <c r="GKJ6" i="264"/>
  <c r="GKI6" i="264"/>
  <c r="GKH6" i="264"/>
  <c r="GKG6" i="264"/>
  <c r="GKF6" i="264"/>
  <c r="GKE6" i="264"/>
  <c r="GKD6" i="264"/>
  <c r="GKC6" i="264"/>
  <c r="GKB6" i="264"/>
  <c r="GKA6" i="264"/>
  <c r="GJZ6" i="264"/>
  <c r="GJY6" i="264"/>
  <c r="GJX6" i="264"/>
  <c r="GJW6" i="264"/>
  <c r="GJV6" i="264"/>
  <c r="GJU6" i="264"/>
  <c r="GJT6" i="264"/>
  <c r="GJS6" i="264"/>
  <c r="GJR6" i="264"/>
  <c r="GJQ6" i="264"/>
  <c r="GJP6" i="264"/>
  <c r="GJO6" i="264"/>
  <c r="GJN6" i="264"/>
  <c r="GJM6" i="264"/>
  <c r="GJL6" i="264"/>
  <c r="GJK6" i="264"/>
  <c r="GJJ6" i="264"/>
  <c r="GJI6" i="264"/>
  <c r="GJH6" i="264"/>
  <c r="GJG6" i="264"/>
  <c r="GJF6" i="264"/>
  <c r="GJE6" i="264"/>
  <c r="GJD6" i="264"/>
  <c r="GJC6" i="264"/>
  <c r="GJB6" i="264"/>
  <c r="GJA6" i="264"/>
  <c r="GIZ6" i="264"/>
  <c r="GIY6" i="264"/>
  <c r="GIX6" i="264"/>
  <c r="GIW6" i="264"/>
  <c r="GIV6" i="264"/>
  <c r="GIU6" i="264"/>
  <c r="GIT6" i="264"/>
  <c r="GIS6" i="264"/>
  <c r="GIR6" i="264"/>
  <c r="GIQ6" i="264"/>
  <c r="GIP6" i="264"/>
  <c r="GIO6" i="264"/>
  <c r="GIN6" i="264"/>
  <c r="GIM6" i="264"/>
  <c r="GIL6" i="264"/>
  <c r="GIK6" i="264"/>
  <c r="GIJ6" i="264"/>
  <c r="GII6" i="264"/>
  <c r="GIH6" i="264"/>
  <c r="GIG6" i="264"/>
  <c r="GIF6" i="264"/>
  <c r="GIE6" i="264"/>
  <c r="GID6" i="264"/>
  <c r="GIC6" i="264"/>
  <c r="GIB6" i="264"/>
  <c r="GIA6" i="264"/>
  <c r="GHZ6" i="264"/>
  <c r="GHY6" i="264"/>
  <c r="GHX6" i="264"/>
  <c r="GHW6" i="264"/>
  <c r="GHV6" i="264"/>
  <c r="GHU6" i="264"/>
  <c r="GHT6" i="264"/>
  <c r="GHS6" i="264"/>
  <c r="GHR6" i="264"/>
  <c r="GHQ6" i="264"/>
  <c r="GHP6" i="264"/>
  <c r="GHO6" i="264"/>
  <c r="GHN6" i="264"/>
  <c r="GHM6" i="264"/>
  <c r="GHL6" i="264"/>
  <c r="GHK6" i="264"/>
  <c r="GHJ6" i="264"/>
  <c r="GHI6" i="264"/>
  <c r="GHH6" i="264"/>
  <c r="GHG6" i="264"/>
  <c r="GHF6" i="264"/>
  <c r="GHE6" i="264"/>
  <c r="GHD6" i="264"/>
  <c r="GHC6" i="264"/>
  <c r="GHB6" i="264"/>
  <c r="GHA6" i="264"/>
  <c r="GGZ6" i="264"/>
  <c r="GGY6" i="264"/>
  <c r="GGX6" i="264"/>
  <c r="GGW6" i="264"/>
  <c r="GGV6" i="264"/>
  <c r="GGU6" i="264"/>
  <c r="GGT6" i="264"/>
  <c r="GGS6" i="264"/>
  <c r="GGR6" i="264"/>
  <c r="GGQ6" i="264"/>
  <c r="GGP6" i="264"/>
  <c r="GGO6" i="264"/>
  <c r="GGN6" i="264"/>
  <c r="GGM6" i="264"/>
  <c r="GGL6" i="264"/>
  <c r="GGK6" i="264"/>
  <c r="GGJ6" i="264"/>
  <c r="GGI6" i="264"/>
  <c r="GGH6" i="264"/>
  <c r="GGG6" i="264"/>
  <c r="GGF6" i="264"/>
  <c r="GGE6" i="264"/>
  <c r="GGD6" i="264"/>
  <c r="GGC6" i="264"/>
  <c r="GGB6" i="264"/>
  <c r="GGA6" i="264"/>
  <c r="GFZ6" i="264"/>
  <c r="GFY6" i="264"/>
  <c r="GFX6" i="264"/>
  <c r="GFW6" i="264"/>
  <c r="GFV6" i="264"/>
  <c r="GFU6" i="264"/>
  <c r="GFT6" i="264"/>
  <c r="GFS6" i="264"/>
  <c r="GFR6" i="264"/>
  <c r="GFQ6" i="264"/>
  <c r="GFP6" i="264"/>
  <c r="GFO6" i="264"/>
  <c r="GFN6" i="264"/>
  <c r="GFM6" i="264"/>
  <c r="GFL6" i="264"/>
  <c r="GFK6" i="264"/>
  <c r="GFJ6" i="264"/>
  <c r="GFI6" i="264"/>
  <c r="GFH6" i="264"/>
  <c r="GFG6" i="264"/>
  <c r="GFF6" i="264"/>
  <c r="GFE6" i="264"/>
  <c r="GFD6" i="264"/>
  <c r="GFC6" i="264"/>
  <c r="GFB6" i="264"/>
  <c r="GFA6" i="264"/>
  <c r="GEZ6" i="264"/>
  <c r="GEY6" i="264"/>
  <c r="GEX6" i="264"/>
  <c r="GEW6" i="264"/>
  <c r="GEV6" i="264"/>
  <c r="GEU6" i="264"/>
  <c r="GET6" i="264"/>
  <c r="GES6" i="264"/>
  <c r="GER6" i="264"/>
  <c r="GEQ6" i="264"/>
  <c r="GEP6" i="264"/>
  <c r="GEO6" i="264"/>
  <c r="GEN6" i="264"/>
  <c r="GEM6" i="264"/>
  <c r="GEL6" i="264"/>
  <c r="GEK6" i="264"/>
  <c r="GEJ6" i="264"/>
  <c r="GEI6" i="264"/>
  <c r="GEH6" i="264"/>
  <c r="GEG6" i="264"/>
  <c r="GEF6" i="264"/>
  <c r="GEE6" i="264"/>
  <c r="GED6" i="264"/>
  <c r="GEC6" i="264"/>
  <c r="GEB6" i="264"/>
  <c r="GEA6" i="264"/>
  <c r="GDZ6" i="264"/>
  <c r="GDY6" i="264"/>
  <c r="GDX6" i="264"/>
  <c r="GDW6" i="264"/>
  <c r="GDV6" i="264"/>
  <c r="GDU6" i="264"/>
  <c r="GDT6" i="264"/>
  <c r="GDS6" i="264"/>
  <c r="GDR6" i="264"/>
  <c r="GDQ6" i="264"/>
  <c r="GDP6" i="264"/>
  <c r="GDO6" i="264"/>
  <c r="GDN6" i="264"/>
  <c r="GDM6" i="264"/>
  <c r="GDL6" i="264"/>
  <c r="GDK6" i="264"/>
  <c r="GDJ6" i="264"/>
  <c r="GDI6" i="264"/>
  <c r="GDH6" i="264"/>
  <c r="GDG6" i="264"/>
  <c r="GDF6" i="264"/>
  <c r="GDE6" i="264"/>
  <c r="GDD6" i="264"/>
  <c r="GDC6" i="264"/>
  <c r="GDB6" i="264"/>
  <c r="GDA6" i="264"/>
  <c r="GCZ6" i="264"/>
  <c r="GCY6" i="264"/>
  <c r="GCX6" i="264"/>
  <c r="GCW6" i="264"/>
  <c r="GCV6" i="264"/>
  <c r="GCU6" i="264"/>
  <c r="GCT6" i="264"/>
  <c r="GCS6" i="264"/>
  <c r="GCR6" i="264"/>
  <c r="GCQ6" i="264"/>
  <c r="GCP6" i="264"/>
  <c r="GCO6" i="264"/>
  <c r="GCN6" i="264"/>
  <c r="GCM6" i="264"/>
  <c r="GCL6" i="264"/>
  <c r="GCK6" i="264"/>
  <c r="GCJ6" i="264"/>
  <c r="GCI6" i="264"/>
  <c r="GCH6" i="264"/>
  <c r="GCG6" i="264"/>
  <c r="GCF6" i="264"/>
  <c r="GCE6" i="264"/>
  <c r="GCD6" i="264"/>
  <c r="GCC6" i="264"/>
  <c r="GCB6" i="264"/>
  <c r="GCA6" i="264"/>
  <c r="GBZ6" i="264"/>
  <c r="GBY6" i="264"/>
  <c r="GBX6" i="264"/>
  <c r="GBW6" i="264"/>
  <c r="GBV6" i="264"/>
  <c r="GBU6" i="264"/>
  <c r="GBT6" i="264"/>
  <c r="GBS6" i="264"/>
  <c r="GBR6" i="264"/>
  <c r="GBQ6" i="264"/>
  <c r="GBP6" i="264"/>
  <c r="GBO6" i="264"/>
  <c r="GBN6" i="264"/>
  <c r="GBM6" i="264"/>
  <c r="GBL6" i="264"/>
  <c r="GBK6" i="264"/>
  <c r="GBJ6" i="264"/>
  <c r="GBI6" i="264"/>
  <c r="GBH6" i="264"/>
  <c r="GBG6" i="264"/>
  <c r="GBF6" i="264"/>
  <c r="GBE6" i="264"/>
  <c r="GBD6" i="264"/>
  <c r="GBC6" i="264"/>
  <c r="GBB6" i="264"/>
  <c r="GBA6" i="264"/>
  <c r="GAZ6" i="264"/>
  <c r="GAY6" i="264"/>
  <c r="GAX6" i="264"/>
  <c r="GAW6" i="264"/>
  <c r="GAV6" i="264"/>
  <c r="GAU6" i="264"/>
  <c r="GAT6" i="264"/>
  <c r="GAS6" i="264"/>
  <c r="GAR6" i="264"/>
  <c r="GAQ6" i="264"/>
  <c r="GAP6" i="264"/>
  <c r="GAO6" i="264"/>
  <c r="GAN6" i="264"/>
  <c r="GAM6" i="264"/>
  <c r="GAL6" i="264"/>
  <c r="GAK6" i="264"/>
  <c r="GAJ6" i="264"/>
  <c r="GAI6" i="264"/>
  <c r="GAH6" i="264"/>
  <c r="GAG6" i="264"/>
  <c r="GAF6" i="264"/>
  <c r="GAE6" i="264"/>
  <c r="GAD6" i="264"/>
  <c r="GAC6" i="264"/>
  <c r="GAB6" i="264"/>
  <c r="GAA6" i="264"/>
  <c r="FZZ6" i="264"/>
  <c r="FZY6" i="264"/>
  <c r="FZX6" i="264"/>
  <c r="FZW6" i="264"/>
  <c r="FZV6" i="264"/>
  <c r="FZU6" i="264"/>
  <c r="FZT6" i="264"/>
  <c r="FZS6" i="264"/>
  <c r="FZR6" i="264"/>
  <c r="FZQ6" i="264"/>
  <c r="FZP6" i="264"/>
  <c r="FZO6" i="264"/>
  <c r="FZN6" i="264"/>
  <c r="FZM6" i="264"/>
  <c r="FZL6" i="264"/>
  <c r="FZK6" i="264"/>
  <c r="FZJ6" i="264"/>
  <c r="FZI6" i="264"/>
  <c r="FZH6" i="264"/>
  <c r="FZG6" i="264"/>
  <c r="FZF6" i="264"/>
  <c r="FZE6" i="264"/>
  <c r="FZD6" i="264"/>
  <c r="FZC6" i="264"/>
  <c r="FZB6" i="264"/>
  <c r="FZA6" i="264"/>
  <c r="FYZ6" i="264"/>
  <c r="FYY6" i="264"/>
  <c r="FYX6" i="264"/>
  <c r="FYW6" i="264"/>
  <c r="FYV6" i="264"/>
  <c r="FYU6" i="264"/>
  <c r="FYT6" i="264"/>
  <c r="FYS6" i="264"/>
  <c r="FYR6" i="264"/>
  <c r="FYQ6" i="264"/>
  <c r="FYP6" i="264"/>
  <c r="FYO6" i="264"/>
  <c r="FYN6" i="264"/>
  <c r="FYM6" i="264"/>
  <c r="FYL6" i="264"/>
  <c r="FYK6" i="264"/>
  <c r="FYJ6" i="264"/>
  <c r="FYI6" i="264"/>
  <c r="FYH6" i="264"/>
  <c r="FYG6" i="264"/>
  <c r="FYF6" i="264"/>
  <c r="FYE6" i="264"/>
  <c r="FYD6" i="264"/>
  <c r="FYC6" i="264"/>
  <c r="FYB6" i="264"/>
  <c r="FYA6" i="264"/>
  <c r="FXZ6" i="264"/>
  <c r="FXY6" i="264"/>
  <c r="FXX6" i="264"/>
  <c r="FXW6" i="264"/>
  <c r="FXV6" i="264"/>
  <c r="FXU6" i="264"/>
  <c r="FXT6" i="264"/>
  <c r="FXS6" i="264"/>
  <c r="FXR6" i="264"/>
  <c r="FXQ6" i="264"/>
  <c r="FXP6" i="264"/>
  <c r="FXO6" i="264"/>
  <c r="FXN6" i="264"/>
  <c r="FXM6" i="264"/>
  <c r="FXL6" i="264"/>
  <c r="FXK6" i="264"/>
  <c r="FXJ6" i="264"/>
  <c r="FXI6" i="264"/>
  <c r="FXH6" i="264"/>
  <c r="FXG6" i="264"/>
  <c r="FXF6" i="264"/>
  <c r="FXE6" i="264"/>
  <c r="FXD6" i="264"/>
  <c r="FXC6" i="264"/>
  <c r="FXB6" i="264"/>
  <c r="FXA6" i="264"/>
  <c r="FWZ6" i="264"/>
  <c r="FWY6" i="264"/>
  <c r="FWX6" i="264"/>
  <c r="FWW6" i="264"/>
  <c r="FWV6" i="264"/>
  <c r="FWU6" i="264"/>
  <c r="FWT6" i="264"/>
  <c r="FWS6" i="264"/>
  <c r="FWR6" i="264"/>
  <c r="FWQ6" i="264"/>
  <c r="FWP6" i="264"/>
  <c r="FWO6" i="264"/>
  <c r="FWN6" i="264"/>
  <c r="FWM6" i="264"/>
  <c r="FWL6" i="264"/>
  <c r="FWK6" i="264"/>
  <c r="FWJ6" i="264"/>
  <c r="FWI6" i="264"/>
  <c r="FWH6" i="264"/>
  <c r="FWG6" i="264"/>
  <c r="FWF6" i="264"/>
  <c r="FWE6" i="264"/>
  <c r="FWD6" i="264"/>
  <c r="FWC6" i="264"/>
  <c r="FWB6" i="264"/>
  <c r="FWA6" i="264"/>
  <c r="FVZ6" i="264"/>
  <c r="FVY6" i="264"/>
  <c r="FVX6" i="264"/>
  <c r="FVW6" i="264"/>
  <c r="FVV6" i="264"/>
  <c r="FVU6" i="264"/>
  <c r="FVT6" i="264"/>
  <c r="FVS6" i="264"/>
  <c r="FVR6" i="264"/>
  <c r="FVQ6" i="264"/>
  <c r="FVP6" i="264"/>
  <c r="FVO6" i="264"/>
  <c r="FVN6" i="264"/>
  <c r="FVM6" i="264"/>
  <c r="FVL6" i="264"/>
  <c r="FVK6" i="264"/>
  <c r="FVJ6" i="264"/>
  <c r="FVI6" i="264"/>
  <c r="FVH6" i="264"/>
  <c r="FVG6" i="264"/>
  <c r="FVF6" i="264"/>
  <c r="FVE6" i="264"/>
  <c r="FVD6" i="264"/>
  <c r="FVC6" i="264"/>
  <c r="FVB6" i="264"/>
  <c r="FVA6" i="264"/>
  <c r="FUZ6" i="264"/>
  <c r="FUY6" i="264"/>
  <c r="FUX6" i="264"/>
  <c r="FUW6" i="264"/>
  <c r="FUV6" i="264"/>
  <c r="FUU6" i="264"/>
  <c r="FUT6" i="264"/>
  <c r="FUS6" i="264"/>
  <c r="FUR6" i="264"/>
  <c r="FUQ6" i="264"/>
  <c r="FUP6" i="264"/>
  <c r="FUO6" i="264"/>
  <c r="FUN6" i="264"/>
  <c r="FUM6" i="264"/>
  <c r="FUL6" i="264"/>
  <c r="FUK6" i="264"/>
  <c r="FUJ6" i="264"/>
  <c r="FUI6" i="264"/>
  <c r="FUH6" i="264"/>
  <c r="FUG6" i="264"/>
  <c r="FUF6" i="264"/>
  <c r="FUE6" i="264"/>
  <c r="FUD6" i="264"/>
  <c r="FUC6" i="264"/>
  <c r="FUB6" i="264"/>
  <c r="FUA6" i="264"/>
  <c r="FTZ6" i="264"/>
  <c r="FTY6" i="264"/>
  <c r="FTX6" i="264"/>
  <c r="FTW6" i="264"/>
  <c r="FTV6" i="264"/>
  <c r="FTU6" i="264"/>
  <c r="FTT6" i="264"/>
  <c r="FTS6" i="264"/>
  <c r="FTR6" i="264"/>
  <c r="FTQ6" i="264"/>
  <c r="FTP6" i="264"/>
  <c r="FTO6" i="264"/>
  <c r="FTN6" i="264"/>
  <c r="FTM6" i="264"/>
  <c r="FTL6" i="264"/>
  <c r="FTK6" i="264"/>
  <c r="FTJ6" i="264"/>
  <c r="FTI6" i="264"/>
  <c r="FTH6" i="264"/>
  <c r="FTG6" i="264"/>
  <c r="FTF6" i="264"/>
  <c r="FTE6" i="264"/>
  <c r="FTD6" i="264"/>
  <c r="FTC6" i="264"/>
  <c r="FTB6" i="264"/>
  <c r="FTA6" i="264"/>
  <c r="FSZ6" i="264"/>
  <c r="FSY6" i="264"/>
  <c r="FSX6" i="264"/>
  <c r="FSW6" i="264"/>
  <c r="FSV6" i="264"/>
  <c r="FSU6" i="264"/>
  <c r="FST6" i="264"/>
  <c r="FSS6" i="264"/>
  <c r="FSR6" i="264"/>
  <c r="FSQ6" i="264"/>
  <c r="FSP6" i="264"/>
  <c r="FSO6" i="264"/>
  <c r="FSN6" i="264"/>
  <c r="FSM6" i="264"/>
  <c r="FSL6" i="264"/>
  <c r="FSK6" i="264"/>
  <c r="FSJ6" i="264"/>
  <c r="FSI6" i="264"/>
  <c r="FSH6" i="264"/>
  <c r="FSG6" i="264"/>
  <c r="FSF6" i="264"/>
  <c r="FSE6" i="264"/>
  <c r="FSD6" i="264"/>
  <c r="FSC6" i="264"/>
  <c r="FSB6" i="264"/>
  <c r="FSA6" i="264"/>
  <c r="FRZ6" i="264"/>
  <c r="FRY6" i="264"/>
  <c r="FRX6" i="264"/>
  <c r="FRW6" i="264"/>
  <c r="FRV6" i="264"/>
  <c r="FRU6" i="264"/>
  <c r="FRT6" i="264"/>
  <c r="FRS6" i="264"/>
  <c r="FRR6" i="264"/>
  <c r="FRQ6" i="264"/>
  <c r="FRP6" i="264"/>
  <c r="FRO6" i="264"/>
  <c r="FRN6" i="264"/>
  <c r="FRM6" i="264"/>
  <c r="FRL6" i="264"/>
  <c r="FRK6" i="264"/>
  <c r="FRJ6" i="264"/>
  <c r="FRI6" i="264"/>
  <c r="FRH6" i="264"/>
  <c r="FRG6" i="264"/>
  <c r="FRF6" i="264"/>
  <c r="FRE6" i="264"/>
  <c r="FRD6" i="264"/>
  <c r="FRC6" i="264"/>
  <c r="FRB6" i="264"/>
  <c r="FRA6" i="264"/>
  <c r="FQZ6" i="264"/>
  <c r="FQY6" i="264"/>
  <c r="FQX6" i="264"/>
  <c r="FQW6" i="264"/>
  <c r="FQV6" i="264"/>
  <c r="FQU6" i="264"/>
  <c r="FQT6" i="264"/>
  <c r="FQS6" i="264"/>
  <c r="FQR6" i="264"/>
  <c r="FQQ6" i="264"/>
  <c r="FQP6" i="264"/>
  <c r="FQO6" i="264"/>
  <c r="FQN6" i="264"/>
  <c r="FQM6" i="264"/>
  <c r="FQL6" i="264"/>
  <c r="FQK6" i="264"/>
  <c r="FQJ6" i="264"/>
  <c r="FQI6" i="264"/>
  <c r="FQH6" i="264"/>
  <c r="FQG6" i="264"/>
  <c r="FQF6" i="264"/>
  <c r="FQE6" i="264"/>
  <c r="FQD6" i="264"/>
  <c r="FQC6" i="264"/>
  <c r="FQB6" i="264"/>
  <c r="FQA6" i="264"/>
  <c r="FPZ6" i="264"/>
  <c r="FPY6" i="264"/>
  <c r="FPX6" i="264"/>
  <c r="FPW6" i="264"/>
  <c r="FPV6" i="264"/>
  <c r="FPU6" i="264"/>
  <c r="FPT6" i="264"/>
  <c r="FPS6" i="264"/>
  <c r="FPR6" i="264"/>
  <c r="FPQ6" i="264"/>
  <c r="FPP6" i="264"/>
  <c r="FPO6" i="264"/>
  <c r="FPN6" i="264"/>
  <c r="FPM6" i="264"/>
  <c r="FPL6" i="264"/>
  <c r="FPK6" i="264"/>
  <c r="FPJ6" i="264"/>
  <c r="FPI6" i="264"/>
  <c r="FPH6" i="264"/>
  <c r="FPG6" i="264"/>
  <c r="FPF6" i="264"/>
  <c r="FPE6" i="264"/>
  <c r="FPD6" i="264"/>
  <c r="FPC6" i="264"/>
  <c r="FPB6" i="264"/>
  <c r="FPA6" i="264"/>
  <c r="FOZ6" i="264"/>
  <c r="FOY6" i="264"/>
  <c r="FOX6" i="264"/>
  <c r="FOW6" i="264"/>
  <c r="FOV6" i="264"/>
  <c r="FOU6" i="264"/>
  <c r="FOT6" i="264"/>
  <c r="FOS6" i="264"/>
  <c r="FOR6" i="264"/>
  <c r="FOQ6" i="264"/>
  <c r="FOP6" i="264"/>
  <c r="FOO6" i="264"/>
  <c r="FON6" i="264"/>
  <c r="FOM6" i="264"/>
  <c r="FOL6" i="264"/>
  <c r="FOK6" i="264"/>
  <c r="FOJ6" i="264"/>
  <c r="FOI6" i="264"/>
  <c r="FOH6" i="264"/>
  <c r="FOG6" i="264"/>
  <c r="FOF6" i="264"/>
  <c r="FOE6" i="264"/>
  <c r="FOD6" i="264"/>
  <c r="FOC6" i="264"/>
  <c r="FOB6" i="264"/>
  <c r="FOA6" i="264"/>
  <c r="FNZ6" i="264"/>
  <c r="FNY6" i="264"/>
  <c r="FNX6" i="264"/>
  <c r="FNW6" i="264"/>
  <c r="FNV6" i="264"/>
  <c r="FNU6" i="264"/>
  <c r="FNT6" i="264"/>
  <c r="FNS6" i="264"/>
  <c r="FNR6" i="264"/>
  <c r="FNQ6" i="264"/>
  <c r="FNP6" i="264"/>
  <c r="FNO6" i="264"/>
  <c r="FNN6" i="264"/>
  <c r="FNM6" i="264"/>
  <c r="FNL6" i="264"/>
  <c r="FNK6" i="264"/>
  <c r="FNJ6" i="264"/>
  <c r="FNI6" i="264"/>
  <c r="FNH6" i="264"/>
  <c r="FNG6" i="264"/>
  <c r="FNF6" i="264"/>
  <c r="FNE6" i="264"/>
  <c r="FND6" i="264"/>
  <c r="FNC6" i="264"/>
  <c r="FNB6" i="264"/>
  <c r="FNA6" i="264"/>
  <c r="FMZ6" i="264"/>
  <c r="FMY6" i="264"/>
  <c r="FMX6" i="264"/>
  <c r="FMW6" i="264"/>
  <c r="FMV6" i="264"/>
  <c r="FMU6" i="264"/>
  <c r="FMT6" i="264"/>
  <c r="FMS6" i="264"/>
  <c r="FMR6" i="264"/>
  <c r="FMQ6" i="264"/>
  <c r="FMP6" i="264"/>
  <c r="FMO6" i="264"/>
  <c r="FMN6" i="264"/>
  <c r="FMM6" i="264"/>
  <c r="FML6" i="264"/>
  <c r="FMK6" i="264"/>
  <c r="FMJ6" i="264"/>
  <c r="FMI6" i="264"/>
  <c r="FMH6" i="264"/>
  <c r="FMG6" i="264"/>
  <c r="FMF6" i="264"/>
  <c r="FME6" i="264"/>
  <c r="FMD6" i="264"/>
  <c r="FMC6" i="264"/>
  <c r="FMB6" i="264"/>
  <c r="FMA6" i="264"/>
  <c r="FLZ6" i="264"/>
  <c r="FLY6" i="264"/>
  <c r="FLX6" i="264"/>
  <c r="FLW6" i="264"/>
  <c r="FLV6" i="264"/>
  <c r="FLU6" i="264"/>
  <c r="FLT6" i="264"/>
  <c r="FLS6" i="264"/>
  <c r="FLR6" i="264"/>
  <c r="FLQ6" i="264"/>
  <c r="FLP6" i="264"/>
  <c r="FLO6" i="264"/>
  <c r="FLN6" i="264"/>
  <c r="FLM6" i="264"/>
  <c r="FLL6" i="264"/>
  <c r="FLK6" i="264"/>
  <c r="FLJ6" i="264"/>
  <c r="FLI6" i="264"/>
  <c r="FLH6" i="264"/>
  <c r="FLG6" i="264"/>
  <c r="FLF6" i="264"/>
  <c r="FLE6" i="264"/>
  <c r="FLD6" i="264"/>
  <c r="FLC6" i="264"/>
  <c r="FLB6" i="264"/>
  <c r="FLA6" i="264"/>
  <c r="FKZ6" i="264"/>
  <c r="FKY6" i="264"/>
  <c r="FKX6" i="264"/>
  <c r="FKW6" i="264"/>
  <c r="FKV6" i="264"/>
  <c r="FKU6" i="264"/>
  <c r="FKT6" i="264"/>
  <c r="FKS6" i="264"/>
  <c r="FKR6" i="264"/>
  <c r="FKQ6" i="264"/>
  <c r="FKP6" i="264"/>
  <c r="FKO6" i="264"/>
  <c r="FKN6" i="264"/>
  <c r="FKM6" i="264"/>
  <c r="FKL6" i="264"/>
  <c r="FKK6" i="264"/>
  <c r="FKJ6" i="264"/>
  <c r="FKI6" i="264"/>
  <c r="FKH6" i="264"/>
  <c r="FKG6" i="264"/>
  <c r="FKF6" i="264"/>
  <c r="FKE6" i="264"/>
  <c r="FKD6" i="264"/>
  <c r="FKC6" i="264"/>
  <c r="FKB6" i="264"/>
  <c r="FKA6" i="264"/>
  <c r="FJZ6" i="264"/>
  <c r="FJY6" i="264"/>
  <c r="FJX6" i="264"/>
  <c r="FJW6" i="264"/>
  <c r="FJV6" i="264"/>
  <c r="FJU6" i="264"/>
  <c r="FJT6" i="264"/>
  <c r="FJS6" i="264"/>
  <c r="FJR6" i="264"/>
  <c r="FJQ6" i="264"/>
  <c r="FJP6" i="264"/>
  <c r="FJO6" i="264"/>
  <c r="FJN6" i="264"/>
  <c r="FJM6" i="264"/>
  <c r="FJL6" i="264"/>
  <c r="FJK6" i="264"/>
  <c r="FJJ6" i="264"/>
  <c r="FJI6" i="264"/>
  <c r="FJH6" i="264"/>
  <c r="FJG6" i="264"/>
  <c r="FJF6" i="264"/>
  <c r="FJE6" i="264"/>
  <c r="FJD6" i="264"/>
  <c r="FJC6" i="264"/>
  <c r="FJB6" i="264"/>
  <c r="FJA6" i="264"/>
  <c r="FIZ6" i="264"/>
  <c r="FIY6" i="264"/>
  <c r="FIX6" i="264"/>
  <c r="FIW6" i="264"/>
  <c r="FIV6" i="264"/>
  <c r="FIU6" i="264"/>
  <c r="FIT6" i="264"/>
  <c r="FIS6" i="264"/>
  <c r="FIR6" i="264"/>
  <c r="FIQ6" i="264"/>
  <c r="FIP6" i="264"/>
  <c r="FIO6" i="264"/>
  <c r="FIN6" i="264"/>
  <c r="FIM6" i="264"/>
  <c r="FIL6" i="264"/>
  <c r="FIK6" i="264"/>
  <c r="FIJ6" i="264"/>
  <c r="FII6" i="264"/>
  <c r="FIH6" i="264"/>
  <c r="FIG6" i="264"/>
  <c r="FIF6" i="264"/>
  <c r="FIE6" i="264"/>
  <c r="FID6" i="264"/>
  <c r="FIC6" i="264"/>
  <c r="FIB6" i="264"/>
  <c r="FIA6" i="264"/>
  <c r="FHZ6" i="264"/>
  <c r="FHY6" i="264"/>
  <c r="FHX6" i="264"/>
  <c r="FHW6" i="264"/>
  <c r="FHV6" i="264"/>
  <c r="FHU6" i="264"/>
  <c r="FHT6" i="264"/>
  <c r="FHS6" i="264"/>
  <c r="FHR6" i="264"/>
  <c r="FHQ6" i="264"/>
  <c r="FHP6" i="264"/>
  <c r="FHO6" i="264"/>
  <c r="FHN6" i="264"/>
  <c r="FHM6" i="264"/>
  <c r="FHL6" i="264"/>
  <c r="FHK6" i="264"/>
  <c r="FHJ6" i="264"/>
  <c r="FHI6" i="264"/>
  <c r="FHH6" i="264"/>
  <c r="FHG6" i="264"/>
  <c r="FHF6" i="264"/>
  <c r="FHE6" i="264"/>
  <c r="FHD6" i="264"/>
  <c r="FHC6" i="264"/>
  <c r="FHB6" i="264"/>
  <c r="FHA6" i="264"/>
  <c r="FGZ6" i="264"/>
  <c r="FGY6" i="264"/>
  <c r="FGX6" i="264"/>
  <c r="FGW6" i="264"/>
  <c r="FGV6" i="264"/>
  <c r="FGU6" i="264"/>
  <c r="FGT6" i="264"/>
  <c r="FGS6" i="264"/>
  <c r="FGR6" i="264"/>
  <c r="FGQ6" i="264"/>
  <c r="FGP6" i="264"/>
  <c r="FGO6" i="264"/>
  <c r="FGN6" i="264"/>
  <c r="FGM6" i="264"/>
  <c r="FGL6" i="264"/>
  <c r="FGK6" i="264"/>
  <c r="FGJ6" i="264"/>
  <c r="FGI6" i="264"/>
  <c r="FGH6" i="264"/>
  <c r="FGG6" i="264"/>
  <c r="FGF6" i="264"/>
  <c r="FGE6" i="264"/>
  <c r="FGD6" i="264"/>
  <c r="FGC6" i="264"/>
  <c r="FGB6" i="264"/>
  <c r="FGA6" i="264"/>
  <c r="FFZ6" i="264"/>
  <c r="FFY6" i="264"/>
  <c r="FFX6" i="264"/>
  <c r="FFW6" i="264"/>
  <c r="FFV6" i="264"/>
  <c r="FFU6" i="264"/>
  <c r="FFT6" i="264"/>
  <c r="FFS6" i="264"/>
  <c r="FFR6" i="264"/>
  <c r="FFQ6" i="264"/>
  <c r="FFP6" i="264"/>
  <c r="FFO6" i="264"/>
  <c r="FFN6" i="264"/>
  <c r="FFM6" i="264"/>
  <c r="FFL6" i="264"/>
  <c r="FFK6" i="264"/>
  <c r="FFJ6" i="264"/>
  <c r="FFI6" i="264"/>
  <c r="FFH6" i="264"/>
  <c r="FFG6" i="264"/>
  <c r="FFF6" i="264"/>
  <c r="FFE6" i="264"/>
  <c r="FFD6" i="264"/>
  <c r="FFC6" i="264"/>
  <c r="FFB6" i="264"/>
  <c r="FFA6" i="264"/>
  <c r="FEZ6" i="264"/>
  <c r="FEY6" i="264"/>
  <c r="FEX6" i="264"/>
  <c r="FEW6" i="264"/>
  <c r="FEV6" i="264"/>
  <c r="FEU6" i="264"/>
  <c r="FET6" i="264"/>
  <c r="FES6" i="264"/>
  <c r="FER6" i="264"/>
  <c r="FEQ6" i="264"/>
  <c r="FEP6" i="264"/>
  <c r="FEO6" i="264"/>
  <c r="FEN6" i="264"/>
  <c r="FEM6" i="264"/>
  <c r="FEL6" i="264"/>
  <c r="FEK6" i="264"/>
  <c r="FEJ6" i="264"/>
  <c r="FEI6" i="264"/>
  <c r="FEH6" i="264"/>
  <c r="FEG6" i="264"/>
  <c r="FEF6" i="264"/>
  <c r="FEE6" i="264"/>
  <c r="FED6" i="264"/>
  <c r="FEC6" i="264"/>
  <c r="FEB6" i="264"/>
  <c r="FEA6" i="264"/>
  <c r="FDZ6" i="264"/>
  <c r="FDY6" i="264"/>
  <c r="FDX6" i="264"/>
  <c r="FDW6" i="264"/>
  <c r="FDV6" i="264"/>
  <c r="FDU6" i="264"/>
  <c r="FDT6" i="264"/>
  <c r="FDS6" i="264"/>
  <c r="FDR6" i="264"/>
  <c r="FDQ6" i="264"/>
  <c r="FDP6" i="264"/>
  <c r="FDO6" i="264"/>
  <c r="FDN6" i="264"/>
  <c r="FDM6" i="264"/>
  <c r="FDL6" i="264"/>
  <c r="FDK6" i="264"/>
  <c r="FDJ6" i="264"/>
  <c r="FDI6" i="264"/>
  <c r="FDH6" i="264"/>
  <c r="FDG6" i="264"/>
  <c r="FDF6" i="264"/>
  <c r="FDE6" i="264"/>
  <c r="FDD6" i="264"/>
  <c r="FDC6" i="264"/>
  <c r="FDB6" i="264"/>
  <c r="FDA6" i="264"/>
  <c r="FCZ6" i="264"/>
  <c r="FCY6" i="264"/>
  <c r="FCX6" i="264"/>
  <c r="FCW6" i="264"/>
  <c r="FCV6" i="264"/>
  <c r="FCU6" i="264"/>
  <c r="FCT6" i="264"/>
  <c r="FCS6" i="264"/>
  <c r="FCR6" i="264"/>
  <c r="FCQ6" i="264"/>
  <c r="FCP6" i="264"/>
  <c r="FCO6" i="264"/>
  <c r="FCN6" i="264"/>
  <c r="FCM6" i="264"/>
  <c r="FCL6" i="264"/>
  <c r="FCK6" i="264"/>
  <c r="FCJ6" i="264"/>
  <c r="FCI6" i="264"/>
  <c r="FCH6" i="264"/>
  <c r="FCG6" i="264"/>
  <c r="FCF6" i="264"/>
  <c r="FCE6" i="264"/>
  <c r="FCD6" i="264"/>
  <c r="FCC6" i="264"/>
  <c r="FCB6" i="264"/>
  <c r="FCA6" i="264"/>
  <c r="FBZ6" i="264"/>
  <c r="FBY6" i="264"/>
  <c r="FBX6" i="264"/>
  <c r="FBW6" i="264"/>
  <c r="FBV6" i="264"/>
  <c r="FBU6" i="264"/>
  <c r="FBT6" i="264"/>
  <c r="FBS6" i="264"/>
  <c r="FBR6" i="264"/>
  <c r="FBQ6" i="264"/>
  <c r="FBP6" i="264"/>
  <c r="FBO6" i="264"/>
  <c r="FBN6" i="264"/>
  <c r="FBM6" i="264"/>
  <c r="FBL6" i="264"/>
  <c r="FBK6" i="264"/>
  <c r="FBJ6" i="264"/>
  <c r="FBI6" i="264"/>
  <c r="FBH6" i="264"/>
  <c r="FBG6" i="264"/>
  <c r="FBF6" i="264"/>
  <c r="FBE6" i="264"/>
  <c r="FBD6" i="264"/>
  <c r="FBC6" i="264"/>
  <c r="FBB6" i="264"/>
  <c r="FBA6" i="264"/>
  <c r="FAZ6" i="264"/>
  <c r="FAY6" i="264"/>
  <c r="FAX6" i="264"/>
  <c r="FAW6" i="264"/>
  <c r="FAV6" i="264"/>
  <c r="FAU6" i="264"/>
  <c r="FAT6" i="264"/>
  <c r="FAS6" i="264"/>
  <c r="FAR6" i="264"/>
  <c r="FAQ6" i="264"/>
  <c r="FAP6" i="264"/>
  <c r="FAO6" i="264"/>
  <c r="FAN6" i="264"/>
  <c r="FAM6" i="264"/>
  <c r="FAL6" i="264"/>
  <c r="FAK6" i="264"/>
  <c r="FAJ6" i="264"/>
  <c r="FAI6" i="264"/>
  <c r="FAH6" i="264"/>
  <c r="FAG6" i="264"/>
  <c r="FAF6" i="264"/>
  <c r="FAE6" i="264"/>
  <c r="FAD6" i="264"/>
  <c r="FAC6" i="264"/>
  <c r="FAB6" i="264"/>
  <c r="FAA6" i="264"/>
  <c r="EZZ6" i="264"/>
  <c r="EZY6" i="264"/>
  <c r="EZX6" i="264"/>
  <c r="EZW6" i="264"/>
  <c r="EZV6" i="264"/>
  <c r="EZU6" i="264"/>
  <c r="EZT6" i="264"/>
  <c r="EZS6" i="264"/>
  <c r="EZR6" i="264"/>
  <c r="EZQ6" i="264"/>
  <c r="EZP6" i="264"/>
  <c r="EZO6" i="264"/>
  <c r="EZN6" i="264"/>
  <c r="EZM6" i="264"/>
  <c r="EZL6" i="264"/>
  <c r="EZK6" i="264"/>
  <c r="EZJ6" i="264"/>
  <c r="EZI6" i="264"/>
  <c r="EZH6" i="264"/>
  <c r="EZG6" i="264"/>
  <c r="EZF6" i="264"/>
  <c r="EZE6" i="264"/>
  <c r="EZD6" i="264"/>
  <c r="EZC6" i="264"/>
  <c r="EZB6" i="264"/>
  <c r="EZA6" i="264"/>
  <c r="EYZ6" i="264"/>
  <c r="EYY6" i="264"/>
  <c r="EYX6" i="264"/>
  <c r="EYW6" i="264"/>
  <c r="EYV6" i="264"/>
  <c r="EYU6" i="264"/>
  <c r="EYT6" i="264"/>
  <c r="EYS6" i="264"/>
  <c r="EYR6" i="264"/>
  <c r="EYQ6" i="264"/>
  <c r="EYP6" i="264"/>
  <c r="EYO6" i="264"/>
  <c r="EYN6" i="264"/>
  <c r="EYM6" i="264"/>
  <c r="EYL6" i="264"/>
  <c r="EYK6" i="264"/>
  <c r="EYJ6" i="264"/>
  <c r="EYI6" i="264"/>
  <c r="EYH6" i="264"/>
  <c r="EYG6" i="264"/>
  <c r="EYF6" i="264"/>
  <c r="EYE6" i="264"/>
  <c r="EYD6" i="264"/>
  <c r="EYC6" i="264"/>
  <c r="EYB6" i="264"/>
  <c r="EYA6" i="264"/>
  <c r="EXZ6" i="264"/>
  <c r="EXY6" i="264"/>
  <c r="EXX6" i="264"/>
  <c r="EXW6" i="264"/>
  <c r="EXV6" i="264"/>
  <c r="EXU6" i="264"/>
  <c r="EXT6" i="264"/>
  <c r="EXS6" i="264"/>
  <c r="EXR6" i="264"/>
  <c r="EXQ6" i="264"/>
  <c r="EXP6" i="264"/>
  <c r="EXO6" i="264"/>
  <c r="EXN6" i="264"/>
  <c r="EXM6" i="264"/>
  <c r="EXL6" i="264"/>
  <c r="EXK6" i="264"/>
  <c r="EXJ6" i="264"/>
  <c r="EXI6" i="264"/>
  <c r="EXH6" i="264"/>
  <c r="EXG6" i="264"/>
  <c r="EXF6" i="264"/>
  <c r="EXE6" i="264"/>
  <c r="EXD6" i="264"/>
  <c r="EXC6" i="264"/>
  <c r="EXB6" i="264"/>
  <c r="EXA6" i="264"/>
  <c r="EWZ6" i="264"/>
  <c r="EWY6" i="264"/>
  <c r="EWX6" i="264"/>
  <c r="EWW6" i="264"/>
  <c r="EWV6" i="264"/>
  <c r="EWU6" i="264"/>
  <c r="EWT6" i="264"/>
  <c r="EWS6" i="264"/>
  <c r="EWR6" i="264"/>
  <c r="EWQ6" i="264"/>
  <c r="EWP6" i="264"/>
  <c r="EWO6" i="264"/>
  <c r="EWN6" i="264"/>
  <c r="EWM6" i="264"/>
  <c r="EWL6" i="264"/>
  <c r="EWK6" i="264"/>
  <c r="EWJ6" i="264"/>
  <c r="EWI6" i="264"/>
  <c r="EWH6" i="264"/>
  <c r="EWG6" i="264"/>
  <c r="EWF6" i="264"/>
  <c r="EWE6" i="264"/>
  <c r="EWD6" i="264"/>
  <c r="EWC6" i="264"/>
  <c r="EWB6" i="264"/>
  <c r="EWA6" i="264"/>
  <c r="EVZ6" i="264"/>
  <c r="EVY6" i="264"/>
  <c r="EVX6" i="264"/>
  <c r="EVW6" i="264"/>
  <c r="EVV6" i="264"/>
  <c r="EVU6" i="264"/>
  <c r="EVT6" i="264"/>
  <c r="EVS6" i="264"/>
  <c r="EVR6" i="264"/>
  <c r="EVQ6" i="264"/>
  <c r="EVP6" i="264"/>
  <c r="EVO6" i="264"/>
  <c r="EVN6" i="264"/>
  <c r="EVM6" i="264"/>
  <c r="EVL6" i="264"/>
  <c r="EVK6" i="264"/>
  <c r="EVJ6" i="264"/>
  <c r="EVI6" i="264"/>
  <c r="EVH6" i="264"/>
  <c r="EVG6" i="264"/>
  <c r="EVF6" i="264"/>
  <c r="EVE6" i="264"/>
  <c r="EVD6" i="264"/>
  <c r="EVC6" i="264"/>
  <c r="EVB6" i="264"/>
  <c r="EVA6" i="264"/>
  <c r="EUZ6" i="264"/>
  <c r="EUY6" i="264"/>
  <c r="EUX6" i="264"/>
  <c r="EUW6" i="264"/>
  <c r="EUV6" i="264"/>
  <c r="EUU6" i="264"/>
  <c r="EUT6" i="264"/>
  <c r="EUS6" i="264"/>
  <c r="EUR6" i="264"/>
  <c r="EUQ6" i="264"/>
  <c r="EUP6" i="264"/>
  <c r="EUO6" i="264"/>
  <c r="EUN6" i="264"/>
  <c r="EUM6" i="264"/>
  <c r="EUL6" i="264"/>
  <c r="EUK6" i="264"/>
  <c r="EUJ6" i="264"/>
  <c r="EUI6" i="264"/>
  <c r="EUH6" i="264"/>
  <c r="EUG6" i="264"/>
  <c r="EUF6" i="264"/>
  <c r="EUE6" i="264"/>
  <c r="EUD6" i="264"/>
  <c r="EUC6" i="264"/>
  <c r="EUB6" i="264"/>
  <c r="EUA6" i="264"/>
  <c r="ETZ6" i="264"/>
  <c r="ETY6" i="264"/>
  <c r="ETX6" i="264"/>
  <c r="ETW6" i="264"/>
  <c r="ETV6" i="264"/>
  <c r="ETU6" i="264"/>
  <c r="ETT6" i="264"/>
  <c r="ETS6" i="264"/>
  <c r="ETR6" i="264"/>
  <c r="ETQ6" i="264"/>
  <c r="ETP6" i="264"/>
  <c r="ETO6" i="264"/>
  <c r="ETN6" i="264"/>
  <c r="ETM6" i="264"/>
  <c r="ETL6" i="264"/>
  <c r="ETK6" i="264"/>
  <c r="ETJ6" i="264"/>
  <c r="ETI6" i="264"/>
  <c r="ETH6" i="264"/>
  <c r="ETG6" i="264"/>
  <c r="ETF6" i="264"/>
  <c r="ETE6" i="264"/>
  <c r="ETD6" i="264"/>
  <c r="ETC6" i="264"/>
  <c r="ETB6" i="264"/>
  <c r="ETA6" i="264"/>
  <c r="ESZ6" i="264"/>
  <c r="ESY6" i="264"/>
  <c r="ESX6" i="264"/>
  <c r="ESW6" i="264"/>
  <c r="ESV6" i="264"/>
  <c r="ESU6" i="264"/>
  <c r="EST6" i="264"/>
  <c r="ESS6" i="264"/>
  <c r="ESR6" i="264"/>
  <c r="ESQ6" i="264"/>
  <c r="ESP6" i="264"/>
  <c r="ESO6" i="264"/>
  <c r="ESN6" i="264"/>
  <c r="ESM6" i="264"/>
  <c r="ESL6" i="264"/>
  <c r="ESK6" i="264"/>
  <c r="ESJ6" i="264"/>
  <c r="ESI6" i="264"/>
  <c r="ESH6" i="264"/>
  <c r="ESG6" i="264"/>
  <c r="ESF6" i="264"/>
  <c r="ESE6" i="264"/>
  <c r="ESD6" i="264"/>
  <c r="ESC6" i="264"/>
  <c r="ESB6" i="264"/>
  <c r="ESA6" i="264"/>
  <c r="ERZ6" i="264"/>
  <c r="ERY6" i="264"/>
  <c r="ERX6" i="264"/>
  <c r="ERW6" i="264"/>
  <c r="ERV6" i="264"/>
  <c r="ERU6" i="264"/>
  <c r="ERT6" i="264"/>
  <c r="ERS6" i="264"/>
  <c r="ERR6" i="264"/>
  <c r="ERQ6" i="264"/>
  <c r="ERP6" i="264"/>
  <c r="ERO6" i="264"/>
  <c r="ERN6" i="264"/>
  <c r="ERM6" i="264"/>
  <c r="ERL6" i="264"/>
  <c r="ERK6" i="264"/>
  <c r="ERJ6" i="264"/>
  <c r="ERI6" i="264"/>
  <c r="ERH6" i="264"/>
  <c r="ERG6" i="264"/>
  <c r="ERF6" i="264"/>
  <c r="ERE6" i="264"/>
  <c r="ERD6" i="264"/>
  <c r="ERC6" i="264"/>
  <c r="ERB6" i="264"/>
  <c r="ERA6" i="264"/>
  <c r="EQZ6" i="264"/>
  <c r="EQY6" i="264"/>
  <c r="EQX6" i="264"/>
  <c r="EQW6" i="264"/>
  <c r="EQV6" i="264"/>
  <c r="EQU6" i="264"/>
  <c r="EQT6" i="264"/>
  <c r="EQS6" i="264"/>
  <c r="EQR6" i="264"/>
  <c r="EQQ6" i="264"/>
  <c r="EQP6" i="264"/>
  <c r="EQO6" i="264"/>
  <c r="EQN6" i="264"/>
  <c r="EQM6" i="264"/>
  <c r="EQL6" i="264"/>
  <c r="EQK6" i="264"/>
  <c r="EQJ6" i="264"/>
  <c r="EQI6" i="264"/>
  <c r="EQH6" i="264"/>
  <c r="EQG6" i="264"/>
  <c r="EQF6" i="264"/>
  <c r="EQE6" i="264"/>
  <c r="EQD6" i="264"/>
  <c r="EQC6" i="264"/>
  <c r="EQB6" i="264"/>
  <c r="EQA6" i="264"/>
  <c r="EPZ6" i="264"/>
  <c r="EPY6" i="264"/>
  <c r="EPX6" i="264"/>
  <c r="EPW6" i="264"/>
  <c r="EPV6" i="264"/>
  <c r="EPU6" i="264"/>
  <c r="EPT6" i="264"/>
  <c r="EPS6" i="264"/>
  <c r="EPR6" i="264"/>
  <c r="EPQ6" i="264"/>
  <c r="EPP6" i="264"/>
  <c r="EPO6" i="264"/>
  <c r="EPN6" i="264"/>
  <c r="EPM6" i="264"/>
  <c r="EPL6" i="264"/>
  <c r="EPK6" i="264"/>
  <c r="EPJ6" i="264"/>
  <c r="EPI6" i="264"/>
  <c r="EPH6" i="264"/>
  <c r="EPG6" i="264"/>
  <c r="EPF6" i="264"/>
  <c r="EPE6" i="264"/>
  <c r="EPD6" i="264"/>
  <c r="EPC6" i="264"/>
  <c r="EPB6" i="264"/>
  <c r="EPA6" i="264"/>
  <c r="EOZ6" i="264"/>
  <c r="EOY6" i="264"/>
  <c r="EOX6" i="264"/>
  <c r="EOW6" i="264"/>
  <c r="EOV6" i="264"/>
  <c r="EOU6" i="264"/>
  <c r="EOT6" i="264"/>
  <c r="EOS6" i="264"/>
  <c r="EOR6" i="264"/>
  <c r="EOQ6" i="264"/>
  <c r="EOP6" i="264"/>
  <c r="EOO6" i="264"/>
  <c r="EON6" i="264"/>
  <c r="EOM6" i="264"/>
  <c r="EOL6" i="264"/>
  <c r="EOK6" i="264"/>
  <c r="EOJ6" i="264"/>
  <c r="EOI6" i="264"/>
  <c r="EOH6" i="264"/>
  <c r="EOG6" i="264"/>
  <c r="EOF6" i="264"/>
  <c r="EOE6" i="264"/>
  <c r="EOD6" i="264"/>
  <c r="EOC6" i="264"/>
  <c r="EOB6" i="264"/>
  <c r="EOA6" i="264"/>
  <c r="ENZ6" i="264"/>
  <c r="ENY6" i="264"/>
  <c r="ENX6" i="264"/>
  <c r="ENW6" i="264"/>
  <c r="ENV6" i="264"/>
  <c r="ENU6" i="264"/>
  <c r="ENT6" i="264"/>
  <c r="ENS6" i="264"/>
  <c r="ENR6" i="264"/>
  <c r="ENQ6" i="264"/>
  <c r="ENP6" i="264"/>
  <c r="ENO6" i="264"/>
  <c r="ENN6" i="264"/>
  <c r="ENM6" i="264"/>
  <c r="ENL6" i="264"/>
  <c r="ENK6" i="264"/>
  <c r="ENJ6" i="264"/>
  <c r="ENI6" i="264"/>
  <c r="ENH6" i="264"/>
  <c r="ENG6" i="264"/>
  <c r="ENF6" i="264"/>
  <c r="ENE6" i="264"/>
  <c r="END6" i="264"/>
  <c r="ENC6" i="264"/>
  <c r="ENB6" i="264"/>
  <c r="ENA6" i="264"/>
  <c r="EMZ6" i="264"/>
  <c r="EMY6" i="264"/>
  <c r="EMX6" i="264"/>
  <c r="EMW6" i="264"/>
  <c r="EMV6" i="264"/>
  <c r="EMU6" i="264"/>
  <c r="EMT6" i="264"/>
  <c r="EMS6" i="264"/>
  <c r="EMR6" i="264"/>
  <c r="EMQ6" i="264"/>
  <c r="EMP6" i="264"/>
  <c r="EMO6" i="264"/>
  <c r="EMN6" i="264"/>
  <c r="EMM6" i="264"/>
  <c r="EML6" i="264"/>
  <c r="EMK6" i="264"/>
  <c r="EMJ6" i="264"/>
  <c r="EMI6" i="264"/>
  <c r="EMH6" i="264"/>
  <c r="EMG6" i="264"/>
  <c r="EMF6" i="264"/>
  <c r="EME6" i="264"/>
  <c r="EMD6" i="264"/>
  <c r="EMC6" i="264"/>
  <c r="EMB6" i="264"/>
  <c r="EMA6" i="264"/>
  <c r="ELZ6" i="264"/>
  <c r="ELY6" i="264"/>
  <c r="ELX6" i="264"/>
  <c r="ELW6" i="264"/>
  <c r="ELV6" i="264"/>
  <c r="ELU6" i="264"/>
  <c r="ELT6" i="264"/>
  <c r="ELS6" i="264"/>
  <c r="ELR6" i="264"/>
  <c r="ELQ6" i="264"/>
  <c r="ELP6" i="264"/>
  <c r="ELO6" i="264"/>
  <c r="ELN6" i="264"/>
  <c r="ELM6" i="264"/>
  <c r="ELL6" i="264"/>
  <c r="ELK6" i="264"/>
  <c r="ELJ6" i="264"/>
  <c r="ELI6" i="264"/>
  <c r="ELH6" i="264"/>
  <c r="ELG6" i="264"/>
  <c r="ELF6" i="264"/>
  <c r="ELE6" i="264"/>
  <c r="ELD6" i="264"/>
  <c r="ELC6" i="264"/>
  <c r="ELB6" i="264"/>
  <c r="ELA6" i="264"/>
  <c r="EKZ6" i="264"/>
  <c r="EKY6" i="264"/>
  <c r="EKX6" i="264"/>
  <c r="EKW6" i="264"/>
  <c r="EKV6" i="264"/>
  <c r="EKU6" i="264"/>
  <c r="EKT6" i="264"/>
  <c r="EKS6" i="264"/>
  <c r="EKR6" i="264"/>
  <c r="EKQ6" i="264"/>
  <c r="EKP6" i="264"/>
  <c r="EKO6" i="264"/>
  <c r="EKN6" i="264"/>
  <c r="EKM6" i="264"/>
  <c r="EKL6" i="264"/>
  <c r="EKK6" i="264"/>
  <c r="EKJ6" i="264"/>
  <c r="EKI6" i="264"/>
  <c r="EKH6" i="264"/>
  <c r="EKG6" i="264"/>
  <c r="EKF6" i="264"/>
  <c r="EKE6" i="264"/>
  <c r="EKD6" i="264"/>
  <c r="EKC6" i="264"/>
  <c r="EKB6" i="264"/>
  <c r="EKA6" i="264"/>
  <c r="EJZ6" i="264"/>
  <c r="EJY6" i="264"/>
  <c r="EJX6" i="264"/>
  <c r="EJW6" i="264"/>
  <c r="EJV6" i="264"/>
  <c r="EJU6" i="264"/>
  <c r="EJT6" i="264"/>
  <c r="EJS6" i="264"/>
  <c r="EJR6" i="264"/>
  <c r="EJQ6" i="264"/>
  <c r="EJP6" i="264"/>
  <c r="EJO6" i="264"/>
  <c r="EJN6" i="264"/>
  <c r="EJM6" i="264"/>
  <c r="EJL6" i="264"/>
  <c r="EJK6" i="264"/>
  <c r="EJJ6" i="264"/>
  <c r="EJI6" i="264"/>
  <c r="EJH6" i="264"/>
  <c r="EJG6" i="264"/>
  <c r="EJF6" i="264"/>
  <c r="EJE6" i="264"/>
  <c r="EJD6" i="264"/>
  <c r="EJC6" i="264"/>
  <c r="EJB6" i="264"/>
  <c r="EJA6" i="264"/>
  <c r="EIZ6" i="264"/>
  <c r="EIY6" i="264"/>
  <c r="EIX6" i="264"/>
  <c r="EIW6" i="264"/>
  <c r="EIV6" i="264"/>
  <c r="EIU6" i="264"/>
  <c r="EIT6" i="264"/>
  <c r="EIS6" i="264"/>
  <c r="EIR6" i="264"/>
  <c r="EIQ6" i="264"/>
  <c r="EIP6" i="264"/>
  <c r="EIO6" i="264"/>
  <c r="EIN6" i="264"/>
  <c r="EIM6" i="264"/>
  <c r="EIL6" i="264"/>
  <c r="EIK6" i="264"/>
  <c r="EIJ6" i="264"/>
  <c r="EII6" i="264"/>
  <c r="EIH6" i="264"/>
  <c r="EIG6" i="264"/>
  <c r="EIF6" i="264"/>
  <c r="EIE6" i="264"/>
  <c r="EID6" i="264"/>
  <c r="EIC6" i="264"/>
  <c r="EIB6" i="264"/>
  <c r="EIA6" i="264"/>
  <c r="EHZ6" i="264"/>
  <c r="EHY6" i="264"/>
  <c r="EHX6" i="264"/>
  <c r="EHW6" i="264"/>
  <c r="EHV6" i="264"/>
  <c r="EHU6" i="264"/>
  <c r="EHT6" i="264"/>
  <c r="EHS6" i="264"/>
  <c r="EHR6" i="264"/>
  <c r="EHQ6" i="264"/>
  <c r="EHP6" i="264"/>
  <c r="EHO6" i="264"/>
  <c r="EHN6" i="264"/>
  <c r="EHM6" i="264"/>
  <c r="EHL6" i="264"/>
  <c r="EHK6" i="264"/>
  <c r="EHJ6" i="264"/>
  <c r="EHI6" i="264"/>
  <c r="EHH6" i="264"/>
  <c r="EHG6" i="264"/>
  <c r="EHF6" i="264"/>
  <c r="EHE6" i="264"/>
  <c r="EHD6" i="264"/>
  <c r="EHC6" i="264"/>
  <c r="EHB6" i="264"/>
  <c r="EHA6" i="264"/>
  <c r="EGZ6" i="264"/>
  <c r="EGY6" i="264"/>
  <c r="EGX6" i="264"/>
  <c r="EGW6" i="264"/>
  <c r="EGV6" i="264"/>
  <c r="EGU6" i="264"/>
  <c r="EGT6" i="264"/>
  <c r="EGS6" i="264"/>
  <c r="EGR6" i="264"/>
  <c r="EGQ6" i="264"/>
  <c r="EGP6" i="264"/>
  <c r="EGO6" i="264"/>
  <c r="EGN6" i="264"/>
  <c r="EGM6" i="264"/>
  <c r="EGL6" i="264"/>
  <c r="EGK6" i="264"/>
  <c r="EGJ6" i="264"/>
  <c r="EGI6" i="264"/>
  <c r="EGH6" i="264"/>
  <c r="EGG6" i="264"/>
  <c r="EGF6" i="264"/>
  <c r="EGE6" i="264"/>
  <c r="EGD6" i="264"/>
  <c r="EGC6" i="264"/>
  <c r="EGB6" i="264"/>
  <c r="EGA6" i="264"/>
  <c r="EFZ6" i="264"/>
  <c r="EFY6" i="264"/>
  <c r="EFX6" i="264"/>
  <c r="EFW6" i="264"/>
  <c r="EFV6" i="264"/>
  <c r="EFU6" i="264"/>
  <c r="EFT6" i="264"/>
  <c r="EFS6" i="264"/>
  <c r="EFR6" i="264"/>
  <c r="EFQ6" i="264"/>
  <c r="EFP6" i="264"/>
  <c r="EFO6" i="264"/>
  <c r="EFN6" i="264"/>
  <c r="EFM6" i="264"/>
  <c r="EFL6" i="264"/>
  <c r="EFK6" i="264"/>
  <c r="EFJ6" i="264"/>
  <c r="EFI6" i="264"/>
  <c r="EFH6" i="264"/>
  <c r="EFG6" i="264"/>
  <c r="EFF6" i="264"/>
  <c r="EFE6" i="264"/>
  <c r="EFD6" i="264"/>
  <c r="EFC6" i="264"/>
  <c r="EFB6" i="264"/>
  <c r="EFA6" i="264"/>
  <c r="EEZ6" i="264"/>
  <c r="EEY6" i="264"/>
  <c r="EEX6" i="264"/>
  <c r="EEW6" i="264"/>
  <c r="EEV6" i="264"/>
  <c r="EEU6" i="264"/>
  <c r="EET6" i="264"/>
  <c r="EES6" i="264"/>
  <c r="EER6" i="264"/>
  <c r="EEQ6" i="264"/>
  <c r="EEP6" i="264"/>
  <c r="EEO6" i="264"/>
  <c r="EEN6" i="264"/>
  <c r="EEM6" i="264"/>
  <c r="EEL6" i="264"/>
  <c r="EEK6" i="264"/>
  <c r="EEJ6" i="264"/>
  <c r="EEI6" i="264"/>
  <c r="EEH6" i="264"/>
  <c r="EEG6" i="264"/>
  <c r="EEF6" i="264"/>
  <c r="EEE6" i="264"/>
  <c r="EED6" i="264"/>
  <c r="EEC6" i="264"/>
  <c r="EEB6" i="264"/>
  <c r="EEA6" i="264"/>
  <c r="EDZ6" i="264"/>
  <c r="EDY6" i="264"/>
  <c r="EDX6" i="264"/>
  <c r="EDW6" i="264"/>
  <c r="EDV6" i="264"/>
  <c r="EDU6" i="264"/>
  <c r="EDT6" i="264"/>
  <c r="EDS6" i="264"/>
  <c r="EDR6" i="264"/>
  <c r="EDQ6" i="264"/>
  <c r="EDP6" i="264"/>
  <c r="EDO6" i="264"/>
  <c r="EDN6" i="264"/>
  <c r="EDM6" i="264"/>
  <c r="EDL6" i="264"/>
  <c r="EDK6" i="264"/>
  <c r="EDJ6" i="264"/>
  <c r="EDI6" i="264"/>
  <c r="EDH6" i="264"/>
  <c r="EDG6" i="264"/>
  <c r="EDF6" i="264"/>
  <c r="EDE6" i="264"/>
  <c r="EDD6" i="264"/>
  <c r="EDC6" i="264"/>
  <c r="EDB6" i="264"/>
  <c r="EDA6" i="264"/>
  <c r="ECZ6" i="264"/>
  <c r="ECY6" i="264"/>
  <c r="ECX6" i="264"/>
  <c r="ECW6" i="264"/>
  <c r="ECV6" i="264"/>
  <c r="ECU6" i="264"/>
  <c r="ECT6" i="264"/>
  <c r="ECS6" i="264"/>
  <c r="ECR6" i="264"/>
  <c r="ECQ6" i="264"/>
  <c r="ECP6" i="264"/>
  <c r="ECO6" i="264"/>
  <c r="ECN6" i="264"/>
  <c r="ECM6" i="264"/>
  <c r="ECL6" i="264"/>
  <c r="ECK6" i="264"/>
  <c r="ECJ6" i="264"/>
  <c r="ECI6" i="264"/>
  <c r="ECH6" i="264"/>
  <c r="ECG6" i="264"/>
  <c r="ECF6" i="264"/>
  <c r="ECE6" i="264"/>
  <c r="ECD6" i="264"/>
  <c r="ECC6" i="264"/>
  <c r="ECB6" i="264"/>
  <c r="ECA6" i="264"/>
  <c r="EBZ6" i="264"/>
  <c r="EBY6" i="264"/>
  <c r="EBX6" i="264"/>
  <c r="EBW6" i="264"/>
  <c r="EBV6" i="264"/>
  <c r="EBU6" i="264"/>
  <c r="EBT6" i="264"/>
  <c r="EBS6" i="264"/>
  <c r="EBR6" i="264"/>
  <c r="EBQ6" i="264"/>
  <c r="EBP6" i="264"/>
  <c r="EBO6" i="264"/>
  <c r="EBN6" i="264"/>
  <c r="EBM6" i="264"/>
  <c r="EBL6" i="264"/>
  <c r="EBK6" i="264"/>
  <c r="EBJ6" i="264"/>
  <c r="EBI6" i="264"/>
  <c r="EBH6" i="264"/>
  <c r="EBG6" i="264"/>
  <c r="EBF6" i="264"/>
  <c r="EBE6" i="264"/>
  <c r="EBD6" i="264"/>
  <c r="EBC6" i="264"/>
  <c r="EBB6" i="264"/>
  <c r="EBA6" i="264"/>
  <c r="EAZ6" i="264"/>
  <c r="EAY6" i="264"/>
  <c r="EAX6" i="264"/>
  <c r="EAW6" i="264"/>
  <c r="EAV6" i="264"/>
  <c r="EAU6" i="264"/>
  <c r="EAT6" i="264"/>
  <c r="EAS6" i="264"/>
  <c r="EAR6" i="264"/>
  <c r="EAQ6" i="264"/>
  <c r="EAP6" i="264"/>
  <c r="EAO6" i="264"/>
  <c r="EAN6" i="264"/>
  <c r="EAM6" i="264"/>
  <c r="EAL6" i="264"/>
  <c r="EAK6" i="264"/>
  <c r="EAJ6" i="264"/>
  <c r="EAI6" i="264"/>
  <c r="EAH6" i="264"/>
  <c r="EAG6" i="264"/>
  <c r="EAF6" i="264"/>
  <c r="EAE6" i="264"/>
  <c r="EAD6" i="264"/>
  <c r="EAC6" i="264"/>
  <c r="EAB6" i="264"/>
  <c r="EAA6" i="264"/>
  <c r="DZZ6" i="264"/>
  <c r="DZY6" i="264"/>
  <c r="DZX6" i="264"/>
  <c r="DZW6" i="264"/>
  <c r="DZV6" i="264"/>
  <c r="DZU6" i="264"/>
  <c r="DZT6" i="264"/>
  <c r="DZS6" i="264"/>
  <c r="DZR6" i="264"/>
  <c r="DZQ6" i="264"/>
  <c r="DZP6" i="264"/>
  <c r="DZO6" i="264"/>
  <c r="DZN6" i="264"/>
  <c r="DZM6" i="264"/>
  <c r="DZL6" i="264"/>
  <c r="DZK6" i="264"/>
  <c r="DZJ6" i="264"/>
  <c r="DZI6" i="264"/>
  <c r="DZH6" i="264"/>
  <c r="DZG6" i="264"/>
  <c r="DZF6" i="264"/>
  <c r="DZE6" i="264"/>
  <c r="DZD6" i="264"/>
  <c r="DZC6" i="264"/>
  <c r="DZB6" i="264"/>
  <c r="DZA6" i="264"/>
  <c r="DYZ6" i="264"/>
  <c r="DYY6" i="264"/>
  <c r="DYX6" i="264"/>
  <c r="DYW6" i="264"/>
  <c r="DYV6" i="264"/>
  <c r="DYU6" i="264"/>
  <c r="DYT6" i="264"/>
  <c r="DYS6" i="264"/>
  <c r="DYR6" i="264"/>
  <c r="DYQ6" i="264"/>
  <c r="DYP6" i="264"/>
  <c r="DYO6" i="264"/>
  <c r="DYN6" i="264"/>
  <c r="DYM6" i="264"/>
  <c r="DYL6" i="264"/>
  <c r="DYK6" i="264"/>
  <c r="DYJ6" i="264"/>
  <c r="DYI6" i="264"/>
  <c r="DYH6" i="264"/>
  <c r="DYG6" i="264"/>
  <c r="DYF6" i="264"/>
  <c r="DYE6" i="264"/>
  <c r="DYD6" i="264"/>
  <c r="DYC6" i="264"/>
  <c r="DYB6" i="264"/>
  <c r="DYA6" i="264"/>
  <c r="DXZ6" i="264"/>
  <c r="DXY6" i="264"/>
  <c r="DXX6" i="264"/>
  <c r="DXW6" i="264"/>
  <c r="DXV6" i="264"/>
  <c r="DXU6" i="264"/>
  <c r="DXT6" i="264"/>
  <c r="DXS6" i="264"/>
  <c r="DXR6" i="264"/>
  <c r="DXQ6" i="264"/>
  <c r="DXP6" i="264"/>
  <c r="DXO6" i="264"/>
  <c r="DXN6" i="264"/>
  <c r="DXM6" i="264"/>
  <c r="DXL6" i="264"/>
  <c r="DXK6" i="264"/>
  <c r="DXJ6" i="264"/>
  <c r="DXI6" i="264"/>
  <c r="DXH6" i="264"/>
  <c r="DXG6" i="264"/>
  <c r="DXF6" i="264"/>
  <c r="DXE6" i="264"/>
  <c r="DXD6" i="264"/>
  <c r="DXC6" i="264"/>
  <c r="DXB6" i="264"/>
  <c r="DXA6" i="264"/>
  <c r="DWZ6" i="264"/>
  <c r="DWY6" i="264"/>
  <c r="DWX6" i="264"/>
  <c r="DWW6" i="264"/>
  <c r="DWV6" i="264"/>
  <c r="DWU6" i="264"/>
  <c r="DWT6" i="264"/>
  <c r="DWS6" i="264"/>
  <c r="DWR6" i="264"/>
  <c r="DWQ6" i="264"/>
  <c r="DWP6" i="264"/>
  <c r="DWO6" i="264"/>
  <c r="DWN6" i="264"/>
  <c r="DWM6" i="264"/>
  <c r="DWL6" i="264"/>
  <c r="DWK6" i="264"/>
  <c r="DWJ6" i="264"/>
  <c r="DWI6" i="264"/>
  <c r="DWH6" i="264"/>
  <c r="DWG6" i="264"/>
  <c r="DWF6" i="264"/>
  <c r="DWE6" i="264"/>
  <c r="DWD6" i="264"/>
  <c r="DWC6" i="264"/>
  <c r="DWB6" i="264"/>
  <c r="DWA6" i="264"/>
  <c r="DVZ6" i="264"/>
  <c r="DVY6" i="264"/>
  <c r="DVX6" i="264"/>
  <c r="DVW6" i="264"/>
  <c r="DVV6" i="264"/>
  <c r="DVU6" i="264"/>
  <c r="DVT6" i="264"/>
  <c r="DVS6" i="264"/>
  <c r="DVR6" i="264"/>
  <c r="DVQ6" i="264"/>
  <c r="DVP6" i="264"/>
  <c r="DVO6" i="264"/>
  <c r="DVN6" i="264"/>
  <c r="DVM6" i="264"/>
  <c r="DVL6" i="264"/>
  <c r="DVK6" i="264"/>
  <c r="DVJ6" i="264"/>
  <c r="DVI6" i="264"/>
  <c r="DVH6" i="264"/>
  <c r="DVG6" i="264"/>
  <c r="DVF6" i="264"/>
  <c r="DVE6" i="264"/>
  <c r="DVD6" i="264"/>
  <c r="DVC6" i="264"/>
  <c r="DVB6" i="264"/>
  <c r="DVA6" i="264"/>
  <c r="DUZ6" i="264"/>
  <c r="DUY6" i="264"/>
  <c r="DUX6" i="264"/>
  <c r="DUW6" i="264"/>
  <c r="DUV6" i="264"/>
  <c r="DUU6" i="264"/>
  <c r="DUT6" i="264"/>
  <c r="DUS6" i="264"/>
  <c r="DUR6" i="264"/>
  <c r="DUQ6" i="264"/>
  <c r="DUP6" i="264"/>
  <c r="DUO6" i="264"/>
  <c r="DUN6" i="264"/>
  <c r="DUM6" i="264"/>
  <c r="DUL6" i="264"/>
  <c r="DUK6" i="264"/>
  <c r="DUJ6" i="264"/>
  <c r="DUI6" i="264"/>
  <c r="DUH6" i="264"/>
  <c r="DUG6" i="264"/>
  <c r="DUF6" i="264"/>
  <c r="DUE6" i="264"/>
  <c r="DUD6" i="264"/>
  <c r="DUC6" i="264"/>
  <c r="DUB6" i="264"/>
  <c r="DUA6" i="264"/>
  <c r="DTZ6" i="264"/>
  <c r="DTY6" i="264"/>
  <c r="DTX6" i="264"/>
  <c r="DTW6" i="264"/>
  <c r="DTV6" i="264"/>
  <c r="DTU6" i="264"/>
  <c r="DTT6" i="264"/>
  <c r="DTS6" i="264"/>
  <c r="DTR6" i="264"/>
  <c r="DTQ6" i="264"/>
  <c r="DTP6" i="264"/>
  <c r="DTO6" i="264"/>
  <c r="DTN6" i="264"/>
  <c r="DTM6" i="264"/>
  <c r="DTL6" i="264"/>
  <c r="DTK6" i="264"/>
  <c r="DTJ6" i="264"/>
  <c r="DTI6" i="264"/>
  <c r="DTH6" i="264"/>
  <c r="DTG6" i="264"/>
  <c r="DTF6" i="264"/>
  <c r="DTE6" i="264"/>
  <c r="DTD6" i="264"/>
  <c r="DTC6" i="264"/>
  <c r="DTB6" i="264"/>
  <c r="DTA6" i="264"/>
  <c r="DSZ6" i="264"/>
  <c r="DSY6" i="264"/>
  <c r="DSX6" i="264"/>
  <c r="DSW6" i="264"/>
  <c r="DSV6" i="264"/>
  <c r="DSU6" i="264"/>
  <c r="DST6" i="264"/>
  <c r="DSS6" i="264"/>
  <c r="DSR6" i="264"/>
  <c r="DSQ6" i="264"/>
  <c r="DSP6" i="264"/>
  <c r="DSO6" i="264"/>
  <c r="DSN6" i="264"/>
  <c r="DSM6" i="264"/>
  <c r="DSL6" i="264"/>
  <c r="DSK6" i="264"/>
  <c r="DSJ6" i="264"/>
  <c r="DSI6" i="264"/>
  <c r="DSH6" i="264"/>
  <c r="DSG6" i="264"/>
  <c r="DSF6" i="264"/>
  <c r="DSE6" i="264"/>
  <c r="DSD6" i="264"/>
  <c r="DSC6" i="264"/>
  <c r="DSB6" i="264"/>
  <c r="DSA6" i="264"/>
  <c r="DRZ6" i="264"/>
  <c r="DRY6" i="264"/>
  <c r="DRX6" i="264"/>
  <c r="DRW6" i="264"/>
  <c r="DRV6" i="264"/>
  <c r="DRU6" i="264"/>
  <c r="DRT6" i="264"/>
  <c r="DRS6" i="264"/>
  <c r="DRR6" i="264"/>
  <c r="DRQ6" i="264"/>
  <c r="DRP6" i="264"/>
  <c r="DRO6" i="264"/>
  <c r="DRN6" i="264"/>
  <c r="DRM6" i="264"/>
  <c r="DRL6" i="264"/>
  <c r="DRK6" i="264"/>
  <c r="DRJ6" i="264"/>
  <c r="DRI6" i="264"/>
  <c r="DRH6" i="264"/>
  <c r="DRG6" i="264"/>
  <c r="DRF6" i="264"/>
  <c r="DRE6" i="264"/>
  <c r="DRD6" i="264"/>
  <c r="DRC6" i="264"/>
  <c r="DRB6" i="264"/>
  <c r="DRA6" i="264"/>
  <c r="DQZ6" i="264"/>
  <c r="DQY6" i="264"/>
  <c r="DQX6" i="264"/>
  <c r="DQW6" i="264"/>
  <c r="DQV6" i="264"/>
  <c r="DQU6" i="264"/>
  <c r="DQT6" i="264"/>
  <c r="DQS6" i="264"/>
  <c r="DQR6" i="264"/>
  <c r="DQQ6" i="264"/>
  <c r="DQP6" i="264"/>
  <c r="DQO6" i="264"/>
  <c r="DQN6" i="264"/>
  <c r="DQM6" i="264"/>
  <c r="DQL6" i="264"/>
  <c r="DQK6" i="264"/>
  <c r="DQJ6" i="264"/>
  <c r="DQI6" i="264"/>
  <c r="DQH6" i="264"/>
  <c r="DQG6" i="264"/>
  <c r="DQF6" i="264"/>
  <c r="DQE6" i="264"/>
  <c r="DQD6" i="264"/>
  <c r="DQC6" i="264"/>
  <c r="DQB6" i="264"/>
  <c r="DQA6" i="264"/>
  <c r="DPZ6" i="264"/>
  <c r="DPY6" i="264"/>
  <c r="DPX6" i="264"/>
  <c r="DPW6" i="264"/>
  <c r="DPV6" i="264"/>
  <c r="DPU6" i="264"/>
  <c r="DPT6" i="264"/>
  <c r="DPS6" i="264"/>
  <c r="DPR6" i="264"/>
  <c r="DPQ6" i="264"/>
  <c r="DPP6" i="264"/>
  <c r="DPO6" i="264"/>
  <c r="DPN6" i="264"/>
  <c r="DPM6" i="264"/>
  <c r="DPL6" i="264"/>
  <c r="DPK6" i="264"/>
  <c r="DPJ6" i="264"/>
  <c r="DPI6" i="264"/>
  <c r="DPH6" i="264"/>
  <c r="DPG6" i="264"/>
  <c r="DPF6" i="264"/>
  <c r="DPE6" i="264"/>
  <c r="DPD6" i="264"/>
  <c r="DPC6" i="264"/>
  <c r="DPB6" i="264"/>
  <c r="DPA6" i="264"/>
  <c r="DOZ6" i="264"/>
  <c r="DOY6" i="264"/>
  <c r="DOX6" i="264"/>
  <c r="DOW6" i="264"/>
  <c r="DOV6" i="264"/>
  <c r="DOU6" i="264"/>
  <c r="DOT6" i="264"/>
  <c r="DOS6" i="264"/>
  <c r="DOR6" i="264"/>
  <c r="DOQ6" i="264"/>
  <c r="DOP6" i="264"/>
  <c r="DOO6" i="264"/>
  <c r="DON6" i="264"/>
  <c r="DOM6" i="264"/>
  <c r="DOL6" i="264"/>
  <c r="DOK6" i="264"/>
  <c r="DOJ6" i="264"/>
  <c r="DOI6" i="264"/>
  <c r="DOH6" i="264"/>
  <c r="DOG6" i="264"/>
  <c r="DOF6" i="264"/>
  <c r="DOE6" i="264"/>
  <c r="DOD6" i="264"/>
  <c r="DOC6" i="264"/>
  <c r="DOB6" i="264"/>
  <c r="DOA6" i="264"/>
  <c r="DNZ6" i="264"/>
  <c r="DNY6" i="264"/>
  <c r="DNX6" i="264"/>
  <c r="DNW6" i="264"/>
  <c r="DNV6" i="264"/>
  <c r="DNU6" i="264"/>
  <c r="DNT6" i="264"/>
  <c r="DNS6" i="264"/>
  <c r="DNR6" i="264"/>
  <c r="DNQ6" i="264"/>
  <c r="DNP6" i="264"/>
  <c r="DNO6" i="264"/>
  <c r="DNN6" i="264"/>
  <c r="DNM6" i="264"/>
  <c r="DNL6" i="264"/>
  <c r="DNK6" i="264"/>
  <c r="DNJ6" i="264"/>
  <c r="DNI6" i="264"/>
  <c r="DNH6" i="264"/>
  <c r="DNG6" i="264"/>
  <c r="DNF6" i="264"/>
  <c r="DNE6" i="264"/>
  <c r="DND6" i="264"/>
  <c r="DNC6" i="264"/>
  <c r="DNB6" i="264"/>
  <c r="DNA6" i="264"/>
  <c r="DMZ6" i="264"/>
  <c r="DMY6" i="264"/>
  <c r="DMX6" i="264"/>
  <c r="DMW6" i="264"/>
  <c r="DMV6" i="264"/>
  <c r="DMU6" i="264"/>
  <c r="DMT6" i="264"/>
  <c r="DMS6" i="264"/>
  <c r="DMR6" i="264"/>
  <c r="DMQ6" i="264"/>
  <c r="DMP6" i="264"/>
  <c r="DMO6" i="264"/>
  <c r="DMN6" i="264"/>
  <c r="DMM6" i="264"/>
  <c r="DML6" i="264"/>
  <c r="DMK6" i="264"/>
  <c r="DMJ6" i="264"/>
  <c r="DMI6" i="264"/>
  <c r="DMH6" i="264"/>
  <c r="DMG6" i="264"/>
  <c r="DMF6" i="264"/>
  <c r="DME6" i="264"/>
  <c r="DMD6" i="264"/>
  <c r="DMC6" i="264"/>
  <c r="DMB6" i="264"/>
  <c r="DMA6" i="264"/>
  <c r="DLZ6" i="264"/>
  <c r="DLY6" i="264"/>
  <c r="DLX6" i="264"/>
  <c r="DLW6" i="264"/>
  <c r="DLV6" i="264"/>
  <c r="DLU6" i="264"/>
  <c r="DLT6" i="264"/>
  <c r="DLS6" i="264"/>
  <c r="DLR6" i="264"/>
  <c r="DLQ6" i="264"/>
  <c r="DLP6" i="264"/>
  <c r="DLO6" i="264"/>
  <c r="DLN6" i="264"/>
  <c r="DLM6" i="264"/>
  <c r="DLL6" i="264"/>
  <c r="DLK6" i="264"/>
  <c r="DLJ6" i="264"/>
  <c r="DLI6" i="264"/>
  <c r="DLH6" i="264"/>
  <c r="DLG6" i="264"/>
  <c r="DLF6" i="264"/>
  <c r="DLE6" i="264"/>
  <c r="DLD6" i="264"/>
  <c r="DLC6" i="264"/>
  <c r="DLB6" i="264"/>
  <c r="DLA6" i="264"/>
  <c r="DKZ6" i="264"/>
  <c r="DKY6" i="264"/>
  <c r="DKX6" i="264"/>
  <c r="DKW6" i="264"/>
  <c r="DKV6" i="264"/>
  <c r="DKU6" i="264"/>
  <c r="DKT6" i="264"/>
  <c r="DKS6" i="264"/>
  <c r="DKR6" i="264"/>
  <c r="DKQ6" i="264"/>
  <c r="DKP6" i="264"/>
  <c r="DKO6" i="264"/>
  <c r="DKN6" i="264"/>
  <c r="DKM6" i="264"/>
  <c r="DKL6" i="264"/>
  <c r="DKK6" i="264"/>
  <c r="DKJ6" i="264"/>
  <c r="DKI6" i="264"/>
  <c r="DKH6" i="264"/>
  <c r="DKG6" i="264"/>
  <c r="DKF6" i="264"/>
  <c r="DKE6" i="264"/>
  <c r="DKD6" i="264"/>
  <c r="DKC6" i="264"/>
  <c r="DKB6" i="264"/>
  <c r="DKA6" i="264"/>
  <c r="DJZ6" i="264"/>
  <c r="DJY6" i="264"/>
  <c r="DJX6" i="264"/>
  <c r="DJW6" i="264"/>
  <c r="DJV6" i="264"/>
  <c r="DJU6" i="264"/>
  <c r="DJT6" i="264"/>
  <c r="DJS6" i="264"/>
  <c r="DJR6" i="264"/>
  <c r="DJQ6" i="264"/>
  <c r="DJP6" i="264"/>
  <c r="DJO6" i="264"/>
  <c r="DJN6" i="264"/>
  <c r="DJM6" i="264"/>
  <c r="DJL6" i="264"/>
  <c r="DJK6" i="264"/>
  <c r="DJJ6" i="264"/>
  <c r="DJI6" i="264"/>
  <c r="DJH6" i="264"/>
  <c r="DJG6" i="264"/>
  <c r="DJF6" i="264"/>
  <c r="DJE6" i="264"/>
  <c r="DJD6" i="264"/>
  <c r="DJC6" i="264"/>
  <c r="DJB6" i="264"/>
  <c r="DJA6" i="264"/>
  <c r="DIZ6" i="264"/>
  <c r="DIY6" i="264"/>
  <c r="DIX6" i="264"/>
  <c r="DIW6" i="264"/>
  <c r="DIV6" i="264"/>
  <c r="DIU6" i="264"/>
  <c r="DIT6" i="264"/>
  <c r="DIS6" i="264"/>
  <c r="DIR6" i="264"/>
  <c r="DIQ6" i="264"/>
  <c r="DIP6" i="264"/>
  <c r="DIO6" i="264"/>
  <c r="DIN6" i="264"/>
  <c r="DIM6" i="264"/>
  <c r="DIL6" i="264"/>
  <c r="DIK6" i="264"/>
  <c r="DIJ6" i="264"/>
  <c r="DII6" i="264"/>
  <c r="DIH6" i="264"/>
  <c r="DIG6" i="264"/>
  <c r="DIF6" i="264"/>
  <c r="DIE6" i="264"/>
  <c r="DID6" i="264"/>
  <c r="DIC6" i="264"/>
  <c r="DIB6" i="264"/>
  <c r="DIA6" i="264"/>
  <c r="DHZ6" i="264"/>
  <c r="DHY6" i="264"/>
  <c r="DHX6" i="264"/>
  <c r="DHW6" i="264"/>
  <c r="DHV6" i="264"/>
  <c r="DHU6" i="264"/>
  <c r="DHT6" i="264"/>
  <c r="DHS6" i="264"/>
  <c r="DHR6" i="264"/>
  <c r="DHQ6" i="264"/>
  <c r="DHP6" i="264"/>
  <c r="DHO6" i="264"/>
  <c r="DHN6" i="264"/>
  <c r="DHM6" i="264"/>
  <c r="DHL6" i="264"/>
  <c r="DHK6" i="264"/>
  <c r="DHJ6" i="264"/>
  <c r="DHI6" i="264"/>
  <c r="DHH6" i="264"/>
  <c r="DHG6" i="264"/>
  <c r="DHF6" i="264"/>
  <c r="DHE6" i="264"/>
  <c r="DHD6" i="264"/>
  <c r="DHC6" i="264"/>
  <c r="DHB6" i="264"/>
  <c r="DHA6" i="264"/>
  <c r="DGZ6" i="264"/>
  <c r="DGY6" i="264"/>
  <c r="DGX6" i="264"/>
  <c r="DGW6" i="264"/>
  <c r="DGV6" i="264"/>
  <c r="DGU6" i="264"/>
  <c r="DGT6" i="264"/>
  <c r="DGS6" i="264"/>
  <c r="DGR6" i="264"/>
  <c r="DGQ6" i="264"/>
  <c r="DGP6" i="264"/>
  <c r="DGO6" i="264"/>
  <c r="DGN6" i="264"/>
  <c r="DGM6" i="264"/>
  <c r="DGL6" i="264"/>
  <c r="DGK6" i="264"/>
  <c r="DGJ6" i="264"/>
  <c r="DGI6" i="264"/>
  <c r="DGH6" i="264"/>
  <c r="DGG6" i="264"/>
  <c r="DGF6" i="264"/>
  <c r="DGE6" i="264"/>
  <c r="DGD6" i="264"/>
  <c r="DGC6" i="264"/>
  <c r="DGB6" i="264"/>
  <c r="DGA6" i="264"/>
  <c r="DFZ6" i="264"/>
  <c r="DFY6" i="264"/>
  <c r="DFX6" i="264"/>
  <c r="DFW6" i="264"/>
  <c r="DFV6" i="264"/>
  <c r="DFU6" i="264"/>
  <c r="DFT6" i="264"/>
  <c r="DFS6" i="264"/>
  <c r="DFR6" i="264"/>
  <c r="DFQ6" i="264"/>
  <c r="DFP6" i="264"/>
  <c r="DFO6" i="264"/>
  <c r="DFN6" i="264"/>
  <c r="DFM6" i="264"/>
  <c r="DFL6" i="264"/>
  <c r="DFK6" i="264"/>
  <c r="DFJ6" i="264"/>
  <c r="DFI6" i="264"/>
  <c r="DFH6" i="264"/>
  <c r="DFG6" i="264"/>
  <c r="DFF6" i="264"/>
  <c r="DFE6" i="264"/>
  <c r="DFD6" i="264"/>
  <c r="DFC6" i="264"/>
  <c r="DFB6" i="264"/>
  <c r="DFA6" i="264"/>
  <c r="DEZ6" i="264"/>
  <c r="DEY6" i="264"/>
  <c r="DEX6" i="264"/>
  <c r="DEW6" i="264"/>
  <c r="DEV6" i="264"/>
  <c r="DEU6" i="264"/>
  <c r="DET6" i="264"/>
  <c r="DES6" i="264"/>
  <c r="DER6" i="264"/>
  <c r="DEQ6" i="264"/>
  <c r="DEP6" i="264"/>
  <c r="DEO6" i="264"/>
  <c r="DEN6" i="264"/>
  <c r="DEM6" i="264"/>
  <c r="DEL6" i="264"/>
  <c r="DEK6" i="264"/>
  <c r="DEJ6" i="264"/>
  <c r="DEI6" i="264"/>
  <c r="DEH6" i="264"/>
  <c r="DEG6" i="264"/>
  <c r="DEF6" i="264"/>
  <c r="DEE6" i="264"/>
  <c r="DED6" i="264"/>
  <c r="DEC6" i="264"/>
  <c r="DEB6" i="264"/>
  <c r="DEA6" i="264"/>
  <c r="DDZ6" i="264"/>
  <c r="DDY6" i="264"/>
  <c r="DDX6" i="264"/>
  <c r="DDW6" i="264"/>
  <c r="DDV6" i="264"/>
  <c r="DDU6" i="264"/>
  <c r="DDT6" i="264"/>
  <c r="DDS6" i="264"/>
  <c r="DDR6" i="264"/>
  <c r="DDQ6" i="264"/>
  <c r="DDP6" i="264"/>
  <c r="DDO6" i="264"/>
  <c r="DDN6" i="264"/>
  <c r="DDM6" i="264"/>
  <c r="DDL6" i="264"/>
  <c r="DDK6" i="264"/>
  <c r="DDJ6" i="264"/>
  <c r="DDI6" i="264"/>
  <c r="DDH6" i="264"/>
  <c r="DDG6" i="264"/>
  <c r="DDF6" i="264"/>
  <c r="DDE6" i="264"/>
  <c r="DDD6" i="264"/>
  <c r="DDC6" i="264"/>
  <c r="DDB6" i="264"/>
  <c r="DDA6" i="264"/>
  <c r="DCZ6" i="264"/>
  <c r="DCY6" i="264"/>
  <c r="DCX6" i="264"/>
  <c r="DCW6" i="264"/>
  <c r="DCV6" i="264"/>
  <c r="DCU6" i="264"/>
  <c r="DCT6" i="264"/>
  <c r="DCS6" i="264"/>
  <c r="DCR6" i="264"/>
  <c r="DCQ6" i="264"/>
  <c r="DCP6" i="264"/>
  <c r="DCO6" i="264"/>
  <c r="DCN6" i="264"/>
  <c r="DCM6" i="264"/>
  <c r="DCL6" i="264"/>
  <c r="DCK6" i="264"/>
  <c r="DCJ6" i="264"/>
  <c r="DCI6" i="264"/>
  <c r="DCH6" i="264"/>
  <c r="DCG6" i="264"/>
  <c r="DCF6" i="264"/>
  <c r="DCE6" i="264"/>
  <c r="DCD6" i="264"/>
  <c r="DCC6" i="264"/>
  <c r="DCB6" i="264"/>
  <c r="DCA6" i="264"/>
  <c r="DBZ6" i="264"/>
  <c r="DBY6" i="264"/>
  <c r="DBX6" i="264"/>
  <c r="DBW6" i="264"/>
  <c r="DBV6" i="264"/>
  <c r="DBU6" i="264"/>
  <c r="DBT6" i="264"/>
  <c r="DBS6" i="264"/>
  <c r="DBR6" i="264"/>
  <c r="DBQ6" i="264"/>
  <c r="DBP6" i="264"/>
  <c r="DBO6" i="264"/>
  <c r="DBN6" i="264"/>
  <c r="DBM6" i="264"/>
  <c r="DBL6" i="264"/>
  <c r="DBK6" i="264"/>
  <c r="DBJ6" i="264"/>
  <c r="DBI6" i="264"/>
  <c r="DBH6" i="264"/>
  <c r="DBG6" i="264"/>
  <c r="DBF6" i="264"/>
  <c r="DBE6" i="264"/>
  <c r="DBD6" i="264"/>
  <c r="DBC6" i="264"/>
  <c r="DBB6" i="264"/>
  <c r="DBA6" i="264"/>
  <c r="DAZ6" i="264"/>
  <c r="DAY6" i="264"/>
  <c r="DAX6" i="264"/>
  <c r="DAW6" i="264"/>
  <c r="DAV6" i="264"/>
  <c r="DAU6" i="264"/>
  <c r="DAT6" i="264"/>
  <c r="DAS6" i="264"/>
  <c r="DAR6" i="264"/>
  <c r="DAQ6" i="264"/>
  <c r="DAP6" i="264"/>
  <c r="DAO6" i="264"/>
  <c r="DAN6" i="264"/>
  <c r="DAM6" i="264"/>
  <c r="DAL6" i="264"/>
  <c r="DAK6" i="264"/>
  <c r="DAJ6" i="264"/>
  <c r="DAI6" i="264"/>
  <c r="DAH6" i="264"/>
  <c r="DAG6" i="264"/>
  <c r="DAF6" i="264"/>
  <c r="DAE6" i="264"/>
  <c r="DAD6" i="264"/>
  <c r="DAC6" i="264"/>
  <c r="DAB6" i="264"/>
  <c r="DAA6" i="264"/>
  <c r="CZZ6" i="264"/>
  <c r="CZY6" i="264"/>
  <c r="CZX6" i="264"/>
  <c r="CZW6" i="264"/>
  <c r="CZV6" i="264"/>
  <c r="CZU6" i="264"/>
  <c r="CZT6" i="264"/>
  <c r="CZS6" i="264"/>
  <c r="CZR6" i="264"/>
  <c r="CZQ6" i="264"/>
  <c r="CZP6" i="264"/>
  <c r="CZO6" i="264"/>
  <c r="CZN6" i="264"/>
  <c r="CZM6" i="264"/>
  <c r="CZL6" i="264"/>
  <c r="CZK6" i="264"/>
  <c r="CZJ6" i="264"/>
  <c r="CZI6" i="264"/>
  <c r="CZH6" i="264"/>
  <c r="CZG6" i="264"/>
  <c r="CZF6" i="264"/>
  <c r="CZE6" i="264"/>
  <c r="CZD6" i="264"/>
  <c r="CZC6" i="264"/>
  <c r="CZB6" i="264"/>
  <c r="CZA6" i="264"/>
  <c r="CYZ6" i="264"/>
  <c r="CYY6" i="264"/>
  <c r="CYX6" i="264"/>
  <c r="CYW6" i="264"/>
  <c r="CYV6" i="264"/>
  <c r="CYU6" i="264"/>
  <c r="CYT6" i="264"/>
  <c r="CYS6" i="264"/>
  <c r="CYR6" i="264"/>
  <c r="CYQ6" i="264"/>
  <c r="CYP6" i="264"/>
  <c r="CYO6" i="264"/>
  <c r="CYN6" i="264"/>
  <c r="CYM6" i="264"/>
  <c r="CYL6" i="264"/>
  <c r="CYK6" i="264"/>
  <c r="CYJ6" i="264"/>
  <c r="CYI6" i="264"/>
  <c r="CYH6" i="264"/>
  <c r="CYG6" i="264"/>
  <c r="CYF6" i="264"/>
  <c r="CYE6" i="264"/>
  <c r="CYD6" i="264"/>
  <c r="CYC6" i="264"/>
  <c r="CYB6" i="264"/>
  <c r="CYA6" i="264"/>
  <c r="CXZ6" i="264"/>
  <c r="CXY6" i="264"/>
  <c r="CXX6" i="264"/>
  <c r="CXW6" i="264"/>
  <c r="CXV6" i="264"/>
  <c r="CXU6" i="264"/>
  <c r="CXT6" i="264"/>
  <c r="CXS6" i="264"/>
  <c r="CXR6" i="264"/>
  <c r="CXQ6" i="264"/>
  <c r="CXP6" i="264"/>
  <c r="CXO6" i="264"/>
  <c r="CXN6" i="264"/>
  <c r="CXM6" i="264"/>
  <c r="CXL6" i="264"/>
  <c r="CXK6" i="264"/>
  <c r="CXJ6" i="264"/>
  <c r="CXI6" i="264"/>
  <c r="CXH6" i="264"/>
  <c r="CXG6" i="264"/>
  <c r="CXF6" i="264"/>
  <c r="CXE6" i="264"/>
  <c r="CXD6" i="264"/>
  <c r="CXC6" i="264"/>
  <c r="CXB6" i="264"/>
  <c r="CXA6" i="264"/>
  <c r="CWZ6" i="264"/>
  <c r="CWY6" i="264"/>
  <c r="CWX6" i="264"/>
  <c r="CWW6" i="264"/>
  <c r="CWV6" i="264"/>
  <c r="CWU6" i="264"/>
  <c r="CWT6" i="264"/>
  <c r="CWS6" i="264"/>
  <c r="CWR6" i="264"/>
  <c r="CWQ6" i="264"/>
  <c r="CWP6" i="264"/>
  <c r="CWO6" i="264"/>
  <c r="CWN6" i="264"/>
  <c r="CWM6" i="264"/>
  <c r="CWL6" i="264"/>
  <c r="CWK6" i="264"/>
  <c r="CWJ6" i="264"/>
  <c r="CWI6" i="264"/>
  <c r="CWH6" i="264"/>
  <c r="CWG6" i="264"/>
  <c r="CWF6" i="264"/>
  <c r="CWE6" i="264"/>
  <c r="CWD6" i="264"/>
  <c r="CWC6" i="264"/>
  <c r="CWB6" i="264"/>
  <c r="CWA6" i="264"/>
  <c r="CVZ6" i="264"/>
  <c r="CVY6" i="264"/>
  <c r="CVX6" i="264"/>
  <c r="CVW6" i="264"/>
  <c r="CVV6" i="264"/>
  <c r="CVU6" i="264"/>
  <c r="CVT6" i="264"/>
  <c r="CVS6" i="264"/>
  <c r="CVR6" i="264"/>
  <c r="CVQ6" i="264"/>
  <c r="CVP6" i="264"/>
  <c r="CVO6" i="264"/>
  <c r="CVN6" i="264"/>
  <c r="CVM6" i="264"/>
  <c r="CVL6" i="264"/>
  <c r="CVK6" i="264"/>
  <c r="CVJ6" i="264"/>
  <c r="CVI6" i="264"/>
  <c r="CVH6" i="264"/>
  <c r="CVG6" i="264"/>
  <c r="CVF6" i="264"/>
  <c r="CVE6" i="264"/>
  <c r="CVD6" i="264"/>
  <c r="CVC6" i="264"/>
  <c r="CVB6" i="264"/>
  <c r="CVA6" i="264"/>
  <c r="CUZ6" i="264"/>
  <c r="CUY6" i="264"/>
  <c r="CUX6" i="264"/>
  <c r="CUW6" i="264"/>
  <c r="CUV6" i="264"/>
  <c r="CUU6" i="264"/>
  <c r="CUT6" i="264"/>
  <c r="CUS6" i="264"/>
  <c r="CUR6" i="264"/>
  <c r="CUQ6" i="264"/>
  <c r="CUP6" i="264"/>
  <c r="CUO6" i="264"/>
  <c r="CUN6" i="264"/>
  <c r="CUM6" i="264"/>
  <c r="CUL6" i="264"/>
  <c r="CUK6" i="264"/>
  <c r="CUJ6" i="264"/>
  <c r="CUI6" i="264"/>
  <c r="CUH6" i="264"/>
  <c r="CUG6" i="264"/>
  <c r="CUF6" i="264"/>
  <c r="CUE6" i="264"/>
  <c r="CUD6" i="264"/>
  <c r="CUC6" i="264"/>
  <c r="CUB6" i="264"/>
  <c r="CUA6" i="264"/>
  <c r="CTZ6" i="264"/>
  <c r="CTY6" i="264"/>
  <c r="CTX6" i="264"/>
  <c r="CTW6" i="264"/>
  <c r="CTV6" i="264"/>
  <c r="CTU6" i="264"/>
  <c r="CTT6" i="264"/>
  <c r="CTS6" i="264"/>
  <c r="CTR6" i="264"/>
  <c r="CTQ6" i="264"/>
  <c r="CTP6" i="264"/>
  <c r="CTO6" i="264"/>
  <c r="CTN6" i="264"/>
  <c r="CTM6" i="264"/>
  <c r="CTL6" i="264"/>
  <c r="CTK6" i="264"/>
  <c r="CTJ6" i="264"/>
  <c r="CTI6" i="264"/>
  <c r="CTH6" i="264"/>
  <c r="CTG6" i="264"/>
  <c r="CTF6" i="264"/>
  <c r="CTE6" i="264"/>
  <c r="CTD6" i="264"/>
  <c r="CTC6" i="264"/>
  <c r="CTB6" i="264"/>
  <c r="CTA6" i="264"/>
  <c r="CSZ6" i="264"/>
  <c r="CSY6" i="264"/>
  <c r="CSX6" i="264"/>
  <c r="CSW6" i="264"/>
  <c r="CSV6" i="264"/>
  <c r="CSU6" i="264"/>
  <c r="CST6" i="264"/>
  <c r="CSS6" i="264"/>
  <c r="CSR6" i="264"/>
  <c r="CSQ6" i="264"/>
  <c r="CSP6" i="264"/>
  <c r="CSO6" i="264"/>
  <c r="CSN6" i="264"/>
  <c r="CSM6" i="264"/>
  <c r="CSL6" i="264"/>
  <c r="CSK6" i="264"/>
  <c r="CSJ6" i="264"/>
  <c r="CSI6" i="264"/>
  <c r="CSH6" i="264"/>
  <c r="CSG6" i="264"/>
  <c r="CSF6" i="264"/>
  <c r="CSE6" i="264"/>
  <c r="CSD6" i="264"/>
  <c r="CSC6" i="264"/>
  <c r="CSB6" i="264"/>
  <c r="CSA6" i="264"/>
  <c r="CRZ6" i="264"/>
  <c r="CRY6" i="264"/>
  <c r="CRX6" i="264"/>
  <c r="CRW6" i="264"/>
  <c r="CRV6" i="264"/>
  <c r="CRU6" i="264"/>
  <c r="CRT6" i="264"/>
  <c r="CRS6" i="264"/>
  <c r="CRR6" i="264"/>
  <c r="CRQ6" i="264"/>
  <c r="CRP6" i="264"/>
  <c r="CRO6" i="264"/>
  <c r="CRN6" i="264"/>
  <c r="CRM6" i="264"/>
  <c r="CRL6" i="264"/>
  <c r="CRK6" i="264"/>
  <c r="CRJ6" i="264"/>
  <c r="CRI6" i="264"/>
  <c r="CRH6" i="264"/>
  <c r="CRG6" i="264"/>
  <c r="CRF6" i="264"/>
  <c r="CRE6" i="264"/>
  <c r="CRD6" i="264"/>
  <c r="CRC6" i="264"/>
  <c r="CRB6" i="264"/>
  <c r="CRA6" i="264"/>
  <c r="CQZ6" i="264"/>
  <c r="CQY6" i="264"/>
  <c r="CQX6" i="264"/>
  <c r="CQW6" i="264"/>
  <c r="CQV6" i="264"/>
  <c r="CQU6" i="264"/>
  <c r="CQT6" i="264"/>
  <c r="CQS6" i="264"/>
  <c r="CQR6" i="264"/>
  <c r="CQQ6" i="264"/>
  <c r="CQP6" i="264"/>
  <c r="CQO6" i="264"/>
  <c r="CQN6" i="264"/>
  <c r="CQM6" i="264"/>
  <c r="CQL6" i="264"/>
  <c r="CQK6" i="264"/>
  <c r="CQJ6" i="264"/>
  <c r="CQI6" i="264"/>
  <c r="CQH6" i="264"/>
  <c r="CQG6" i="264"/>
  <c r="CQF6" i="264"/>
  <c r="CQE6" i="264"/>
  <c r="CQD6" i="264"/>
  <c r="CQC6" i="264"/>
  <c r="CQB6" i="264"/>
  <c r="CQA6" i="264"/>
  <c r="CPZ6" i="264"/>
  <c r="CPY6" i="264"/>
  <c r="CPX6" i="264"/>
  <c r="CPW6" i="264"/>
  <c r="CPV6" i="264"/>
  <c r="CPU6" i="264"/>
  <c r="CPT6" i="264"/>
  <c r="CPS6" i="264"/>
  <c r="CPR6" i="264"/>
  <c r="CPQ6" i="264"/>
  <c r="CPP6" i="264"/>
  <c r="CPO6" i="264"/>
  <c r="CPN6" i="264"/>
  <c r="CPM6" i="264"/>
  <c r="CPL6" i="264"/>
  <c r="CPK6" i="264"/>
  <c r="CPJ6" i="264"/>
  <c r="CPI6" i="264"/>
  <c r="CPH6" i="264"/>
  <c r="CPG6" i="264"/>
  <c r="CPF6" i="264"/>
  <c r="CPE6" i="264"/>
  <c r="CPD6" i="264"/>
  <c r="CPC6" i="264"/>
  <c r="CPB6" i="264"/>
  <c r="CPA6" i="264"/>
  <c r="COZ6" i="264"/>
  <c r="COY6" i="264"/>
  <c r="COX6" i="264"/>
  <c r="COW6" i="264"/>
  <c r="COV6" i="264"/>
  <c r="COU6" i="264"/>
  <c r="COT6" i="264"/>
  <c r="COS6" i="264"/>
  <c r="COR6" i="264"/>
  <c r="COQ6" i="264"/>
  <c r="COP6" i="264"/>
  <c r="COO6" i="264"/>
  <c r="CON6" i="264"/>
  <c r="COM6" i="264"/>
  <c r="COL6" i="264"/>
  <c r="COK6" i="264"/>
  <c r="COJ6" i="264"/>
  <c r="COI6" i="264"/>
  <c r="COH6" i="264"/>
  <c r="COG6" i="264"/>
  <c r="COF6" i="264"/>
  <c r="COE6" i="264"/>
  <c r="COD6" i="264"/>
  <c r="COC6" i="264"/>
  <c r="COB6" i="264"/>
  <c r="COA6" i="264"/>
  <c r="CNZ6" i="264"/>
  <c r="CNY6" i="264"/>
  <c r="CNX6" i="264"/>
  <c r="CNW6" i="264"/>
  <c r="CNV6" i="264"/>
  <c r="CNU6" i="264"/>
  <c r="CNT6" i="264"/>
  <c r="CNS6" i="264"/>
  <c r="CNR6" i="264"/>
  <c r="CNQ6" i="264"/>
  <c r="CNP6" i="264"/>
  <c r="CNO6" i="264"/>
  <c r="CNN6" i="264"/>
  <c r="CNM6" i="264"/>
  <c r="CNL6" i="264"/>
  <c r="CNK6" i="264"/>
  <c r="CNJ6" i="264"/>
  <c r="CNI6" i="264"/>
  <c r="CNH6" i="264"/>
  <c r="CNG6" i="264"/>
  <c r="CNF6" i="264"/>
  <c r="CNE6" i="264"/>
  <c r="CND6" i="264"/>
  <c r="CNC6" i="264"/>
  <c r="CNB6" i="264"/>
  <c r="CNA6" i="264"/>
  <c r="CMZ6" i="264"/>
  <c r="CMY6" i="264"/>
  <c r="CMX6" i="264"/>
  <c r="CMW6" i="264"/>
  <c r="CMV6" i="264"/>
  <c r="CMU6" i="264"/>
  <c r="CMT6" i="264"/>
  <c r="CMS6" i="264"/>
  <c r="CMR6" i="264"/>
  <c r="CMQ6" i="264"/>
  <c r="CMP6" i="264"/>
  <c r="CMO6" i="264"/>
  <c r="CMN6" i="264"/>
  <c r="CMM6" i="264"/>
  <c r="CML6" i="264"/>
  <c r="CMK6" i="264"/>
  <c r="CMJ6" i="264"/>
  <c r="CMI6" i="264"/>
  <c r="CMH6" i="264"/>
  <c r="CMG6" i="264"/>
  <c r="CMF6" i="264"/>
  <c r="CME6" i="264"/>
  <c r="CMD6" i="264"/>
  <c r="CMC6" i="264"/>
  <c r="CMB6" i="264"/>
  <c r="CMA6" i="264"/>
  <c r="CLZ6" i="264"/>
  <c r="CLY6" i="264"/>
  <c r="CLX6" i="264"/>
  <c r="CLW6" i="264"/>
  <c r="CLV6" i="264"/>
  <c r="CLU6" i="264"/>
  <c r="CLT6" i="264"/>
  <c r="CLS6" i="264"/>
  <c r="CLR6" i="264"/>
  <c r="CLQ6" i="264"/>
  <c r="CLP6" i="264"/>
  <c r="CLO6" i="264"/>
  <c r="CLN6" i="264"/>
  <c r="CLM6" i="264"/>
  <c r="CLL6" i="264"/>
  <c r="CLK6" i="264"/>
  <c r="CLJ6" i="264"/>
  <c r="CLI6" i="264"/>
  <c r="CLH6" i="264"/>
  <c r="CLG6" i="264"/>
  <c r="CLF6" i="264"/>
  <c r="CLE6" i="264"/>
  <c r="CLD6" i="264"/>
  <c r="CLC6" i="264"/>
  <c r="CLB6" i="264"/>
  <c r="CLA6" i="264"/>
  <c r="CKZ6" i="264"/>
  <c r="CKY6" i="264"/>
  <c r="CKX6" i="264"/>
  <c r="CKW6" i="264"/>
  <c r="CKV6" i="264"/>
  <c r="CKU6" i="264"/>
  <c r="CKT6" i="264"/>
  <c r="CKS6" i="264"/>
  <c r="CKR6" i="264"/>
  <c r="CKQ6" i="264"/>
  <c r="CKP6" i="264"/>
  <c r="CKO6" i="264"/>
  <c r="CKN6" i="264"/>
  <c r="CKM6" i="264"/>
  <c r="CKL6" i="264"/>
  <c r="CKK6" i="264"/>
  <c r="CKJ6" i="264"/>
  <c r="CKI6" i="264"/>
  <c r="CKH6" i="264"/>
  <c r="CKG6" i="264"/>
  <c r="CKF6" i="264"/>
  <c r="CKE6" i="264"/>
  <c r="CKD6" i="264"/>
  <c r="CKC6" i="264"/>
  <c r="CKB6" i="264"/>
  <c r="CKA6" i="264"/>
  <c r="CJZ6" i="264"/>
  <c r="CJY6" i="264"/>
  <c r="CJX6" i="264"/>
  <c r="CJW6" i="264"/>
  <c r="CJV6" i="264"/>
  <c r="CJU6" i="264"/>
  <c r="CJT6" i="264"/>
  <c r="CJS6" i="264"/>
  <c r="CJR6" i="264"/>
  <c r="CJQ6" i="264"/>
  <c r="CJP6" i="264"/>
  <c r="CJO6" i="264"/>
  <c r="CJN6" i="264"/>
  <c r="CJM6" i="264"/>
  <c r="CJL6" i="264"/>
  <c r="CJK6" i="264"/>
  <c r="CJJ6" i="264"/>
  <c r="CJI6" i="264"/>
  <c r="CJH6" i="264"/>
  <c r="CJG6" i="264"/>
  <c r="CJF6" i="264"/>
  <c r="CJE6" i="264"/>
  <c r="CJD6" i="264"/>
  <c r="CJC6" i="264"/>
  <c r="CJB6" i="264"/>
  <c r="CJA6" i="264"/>
  <c r="CIZ6" i="264"/>
  <c r="CIY6" i="264"/>
  <c r="CIX6" i="264"/>
  <c r="CIW6" i="264"/>
  <c r="CIV6" i="264"/>
  <c r="CIU6" i="264"/>
  <c r="CIT6" i="264"/>
  <c r="CIS6" i="264"/>
  <c r="CIR6" i="264"/>
  <c r="CIQ6" i="264"/>
  <c r="CIP6" i="264"/>
  <c r="CIO6" i="264"/>
  <c r="CIN6" i="264"/>
  <c r="CIM6" i="264"/>
  <c r="CIL6" i="264"/>
  <c r="CIK6" i="264"/>
  <c r="CIJ6" i="264"/>
  <c r="CII6" i="264"/>
  <c r="CIH6" i="264"/>
  <c r="CIG6" i="264"/>
  <c r="CIF6" i="264"/>
  <c r="CIE6" i="264"/>
  <c r="CID6" i="264"/>
  <c r="CIC6" i="264"/>
  <c r="CIB6" i="264"/>
  <c r="CIA6" i="264"/>
  <c r="CHZ6" i="264"/>
  <c r="CHY6" i="264"/>
  <c r="CHX6" i="264"/>
  <c r="CHW6" i="264"/>
  <c r="CHV6" i="264"/>
  <c r="CHU6" i="264"/>
  <c r="CHT6" i="264"/>
  <c r="CHS6" i="264"/>
  <c r="CHR6" i="264"/>
  <c r="CHQ6" i="264"/>
  <c r="CHP6" i="264"/>
  <c r="CHO6" i="264"/>
  <c r="CHN6" i="264"/>
  <c r="CHM6" i="264"/>
  <c r="CHL6" i="264"/>
  <c r="CHK6" i="264"/>
  <c r="CHJ6" i="264"/>
  <c r="CHI6" i="264"/>
  <c r="CHH6" i="264"/>
  <c r="CHG6" i="264"/>
  <c r="CHF6" i="264"/>
  <c r="CHE6" i="264"/>
  <c r="CHD6" i="264"/>
  <c r="CHC6" i="264"/>
  <c r="CHB6" i="264"/>
  <c r="CHA6" i="264"/>
  <c r="CGZ6" i="264"/>
  <c r="CGY6" i="264"/>
  <c r="CGX6" i="264"/>
  <c r="CGW6" i="264"/>
  <c r="CGV6" i="264"/>
  <c r="CGU6" i="264"/>
  <c r="CGT6" i="264"/>
  <c r="CGS6" i="264"/>
  <c r="CGR6" i="264"/>
  <c r="CGQ6" i="264"/>
  <c r="CGP6" i="264"/>
  <c r="CGO6" i="264"/>
  <c r="CGN6" i="264"/>
  <c r="CGM6" i="264"/>
  <c r="CGL6" i="264"/>
  <c r="CGK6" i="264"/>
  <c r="CGJ6" i="264"/>
  <c r="CGI6" i="264"/>
  <c r="CGH6" i="264"/>
  <c r="CGG6" i="264"/>
  <c r="CGF6" i="264"/>
  <c r="CGE6" i="264"/>
  <c r="CGD6" i="264"/>
  <c r="CGC6" i="264"/>
  <c r="CGB6" i="264"/>
  <c r="CGA6" i="264"/>
  <c r="CFZ6" i="264"/>
  <c r="CFY6" i="264"/>
  <c r="CFX6" i="264"/>
  <c r="CFW6" i="264"/>
  <c r="CFV6" i="264"/>
  <c r="CFU6" i="264"/>
  <c r="CFT6" i="264"/>
  <c r="CFS6" i="264"/>
  <c r="CFR6" i="264"/>
  <c r="CFQ6" i="264"/>
  <c r="CFP6" i="264"/>
  <c r="CFO6" i="264"/>
  <c r="CFN6" i="264"/>
  <c r="CFM6" i="264"/>
  <c r="CFL6" i="264"/>
  <c r="CFK6" i="264"/>
  <c r="CFJ6" i="264"/>
  <c r="CFI6" i="264"/>
  <c r="CFH6" i="264"/>
  <c r="CFG6" i="264"/>
  <c r="CFF6" i="264"/>
  <c r="CFE6" i="264"/>
  <c r="CFD6" i="264"/>
  <c r="CFC6" i="264"/>
  <c r="CFB6" i="264"/>
  <c r="CFA6" i="264"/>
  <c r="CEZ6" i="264"/>
  <c r="CEY6" i="264"/>
  <c r="CEX6" i="264"/>
  <c r="CEW6" i="264"/>
  <c r="CEV6" i="264"/>
  <c r="CEU6" i="264"/>
  <c r="CET6" i="264"/>
  <c r="CES6" i="264"/>
  <c r="CER6" i="264"/>
  <c r="CEQ6" i="264"/>
  <c r="CEP6" i="264"/>
  <c r="CEO6" i="264"/>
  <c r="CEN6" i="264"/>
  <c r="CEM6" i="264"/>
  <c r="CEL6" i="264"/>
  <c r="CEK6" i="264"/>
  <c r="CEJ6" i="264"/>
  <c r="CEI6" i="264"/>
  <c r="CEH6" i="264"/>
  <c r="CEG6" i="264"/>
  <c r="CEF6" i="264"/>
  <c r="CEE6" i="264"/>
  <c r="CED6" i="264"/>
  <c r="CEC6" i="264"/>
  <c r="CEB6" i="264"/>
  <c r="CEA6" i="264"/>
  <c r="CDZ6" i="264"/>
  <c r="CDY6" i="264"/>
  <c r="CDX6" i="264"/>
  <c r="CDW6" i="264"/>
  <c r="CDV6" i="264"/>
  <c r="CDU6" i="264"/>
  <c r="CDT6" i="264"/>
  <c r="CDS6" i="264"/>
  <c r="CDR6" i="264"/>
  <c r="CDQ6" i="264"/>
  <c r="CDP6" i="264"/>
  <c r="CDO6" i="264"/>
  <c r="CDN6" i="264"/>
  <c r="CDM6" i="264"/>
  <c r="CDL6" i="264"/>
  <c r="CDK6" i="264"/>
  <c r="CDJ6" i="264"/>
  <c r="CDI6" i="264"/>
  <c r="CDH6" i="264"/>
  <c r="CDG6" i="264"/>
  <c r="CDF6" i="264"/>
  <c r="CDE6" i="264"/>
  <c r="CDD6" i="264"/>
  <c r="CDC6" i="264"/>
  <c r="CDB6" i="264"/>
  <c r="CDA6" i="264"/>
  <c r="CCZ6" i="264"/>
  <c r="CCY6" i="264"/>
  <c r="CCX6" i="264"/>
  <c r="CCW6" i="264"/>
  <c r="CCV6" i="264"/>
  <c r="CCU6" i="264"/>
  <c r="CCT6" i="264"/>
  <c r="CCS6" i="264"/>
  <c r="CCR6" i="264"/>
  <c r="CCQ6" i="264"/>
  <c r="CCP6" i="264"/>
  <c r="CCO6" i="264"/>
  <c r="CCN6" i="264"/>
  <c r="CCM6" i="264"/>
  <c r="CCL6" i="264"/>
  <c r="CCK6" i="264"/>
  <c r="CCJ6" i="264"/>
  <c r="CCI6" i="264"/>
  <c r="CCH6" i="264"/>
  <c r="CCG6" i="264"/>
  <c r="CCF6" i="264"/>
  <c r="CCE6" i="264"/>
  <c r="CCD6" i="264"/>
  <c r="CCC6" i="264"/>
  <c r="CCB6" i="264"/>
  <c r="CCA6" i="264"/>
  <c r="CBZ6" i="264"/>
  <c r="CBY6" i="264"/>
  <c r="CBX6" i="264"/>
  <c r="CBW6" i="264"/>
  <c r="CBV6" i="264"/>
  <c r="CBU6" i="264"/>
  <c r="CBT6" i="264"/>
  <c r="CBS6" i="264"/>
  <c r="CBR6" i="264"/>
  <c r="CBQ6" i="264"/>
  <c r="CBP6" i="264"/>
  <c r="CBO6" i="264"/>
  <c r="CBN6" i="264"/>
  <c r="CBM6" i="264"/>
  <c r="CBL6" i="264"/>
  <c r="CBK6" i="264"/>
  <c r="CBJ6" i="264"/>
  <c r="CBI6" i="264"/>
  <c r="CBH6" i="264"/>
  <c r="CBG6" i="264"/>
  <c r="CBF6" i="264"/>
  <c r="CBE6" i="264"/>
  <c r="CBD6" i="264"/>
  <c r="CBC6" i="264"/>
  <c r="CBB6" i="264"/>
  <c r="CBA6" i="264"/>
  <c r="CAZ6" i="264"/>
  <c r="CAY6" i="264"/>
  <c r="CAX6" i="264"/>
  <c r="CAW6" i="264"/>
  <c r="CAV6" i="264"/>
  <c r="CAU6" i="264"/>
  <c r="CAT6" i="264"/>
  <c r="CAS6" i="264"/>
  <c r="CAR6" i="264"/>
  <c r="CAQ6" i="264"/>
  <c r="CAP6" i="264"/>
  <c r="CAO6" i="264"/>
  <c r="CAN6" i="264"/>
  <c r="CAM6" i="264"/>
  <c r="CAL6" i="264"/>
  <c r="CAK6" i="264"/>
  <c r="CAJ6" i="264"/>
  <c r="CAI6" i="264"/>
  <c r="CAH6" i="264"/>
  <c r="CAG6" i="264"/>
  <c r="CAF6" i="264"/>
  <c r="CAE6" i="264"/>
  <c r="CAD6" i="264"/>
  <c r="CAC6" i="264"/>
  <c r="CAB6" i="264"/>
  <c r="CAA6" i="264"/>
  <c r="BZZ6" i="264"/>
  <c r="BZY6" i="264"/>
  <c r="BZX6" i="264"/>
  <c r="BZW6" i="264"/>
  <c r="BZV6" i="264"/>
  <c r="BZU6" i="264"/>
  <c r="BZT6" i="264"/>
  <c r="BZS6" i="264"/>
  <c r="BZR6" i="264"/>
  <c r="BZQ6" i="264"/>
  <c r="BZP6" i="264"/>
  <c r="BZO6" i="264"/>
  <c r="BZN6" i="264"/>
  <c r="BZM6" i="264"/>
  <c r="BZL6" i="264"/>
  <c r="BZK6" i="264"/>
  <c r="BZJ6" i="264"/>
  <c r="BZI6" i="264"/>
  <c r="BZH6" i="264"/>
  <c r="BZG6" i="264"/>
  <c r="BZF6" i="264"/>
  <c r="BZE6" i="264"/>
  <c r="BZD6" i="264"/>
  <c r="BZC6" i="264"/>
  <c r="BZB6" i="264"/>
  <c r="BZA6" i="264"/>
  <c r="BYZ6" i="264"/>
  <c r="BYY6" i="264"/>
  <c r="BYX6" i="264"/>
  <c r="BYW6" i="264"/>
  <c r="BYV6" i="264"/>
  <c r="BYU6" i="264"/>
  <c r="BYT6" i="264"/>
  <c r="BYS6" i="264"/>
  <c r="BYR6" i="264"/>
  <c r="BYQ6" i="264"/>
  <c r="BYP6" i="264"/>
  <c r="BYO6" i="264"/>
  <c r="BYN6" i="264"/>
  <c r="BYM6" i="264"/>
  <c r="BYL6" i="264"/>
  <c r="BYK6" i="264"/>
  <c r="BYJ6" i="264"/>
  <c r="BYI6" i="264"/>
  <c r="BYH6" i="264"/>
  <c r="BYG6" i="264"/>
  <c r="BYF6" i="264"/>
  <c r="BYE6" i="264"/>
  <c r="BYD6" i="264"/>
  <c r="BYC6" i="264"/>
  <c r="BYB6" i="264"/>
  <c r="BYA6" i="264"/>
  <c r="BXZ6" i="264"/>
  <c r="BXY6" i="264"/>
  <c r="BXX6" i="264"/>
  <c r="BXW6" i="264"/>
  <c r="BXV6" i="264"/>
  <c r="BXU6" i="264"/>
  <c r="BXT6" i="264"/>
  <c r="BXS6" i="264"/>
  <c r="BXR6" i="264"/>
  <c r="BXQ6" i="264"/>
  <c r="BXP6" i="264"/>
  <c r="BXO6" i="264"/>
  <c r="BXN6" i="264"/>
  <c r="BXM6" i="264"/>
  <c r="BXL6" i="264"/>
  <c r="BXK6" i="264"/>
  <c r="BXJ6" i="264"/>
  <c r="BXI6" i="264"/>
  <c r="BXH6" i="264"/>
  <c r="BXG6" i="264"/>
  <c r="BXF6" i="264"/>
  <c r="BXE6" i="264"/>
  <c r="BXD6" i="264"/>
  <c r="BXC6" i="264"/>
  <c r="BXB6" i="264"/>
  <c r="BXA6" i="264"/>
  <c r="BWZ6" i="264"/>
  <c r="BWY6" i="264"/>
  <c r="BWX6" i="264"/>
  <c r="BWW6" i="264"/>
  <c r="BWV6" i="264"/>
  <c r="BWU6" i="264"/>
  <c r="BWT6" i="264"/>
  <c r="BWS6" i="264"/>
  <c r="BWR6" i="264"/>
  <c r="BWQ6" i="264"/>
  <c r="BWP6" i="264"/>
  <c r="BWO6" i="264"/>
  <c r="BWN6" i="264"/>
  <c r="BWM6" i="264"/>
  <c r="BWL6" i="264"/>
  <c r="BWK6" i="264"/>
  <c r="BWJ6" i="264"/>
  <c r="BWI6" i="264"/>
  <c r="BWH6" i="264"/>
  <c r="BWG6" i="264"/>
  <c r="BWF6" i="264"/>
  <c r="BWE6" i="264"/>
  <c r="BWD6" i="264"/>
  <c r="BWC6" i="264"/>
  <c r="BWB6" i="264"/>
  <c r="BWA6" i="264"/>
  <c r="BVZ6" i="264"/>
  <c r="BVY6" i="264"/>
  <c r="BVX6" i="264"/>
  <c r="BVW6" i="264"/>
  <c r="BVV6" i="264"/>
  <c r="BVU6" i="264"/>
  <c r="BVT6" i="264"/>
  <c r="BVS6" i="264"/>
  <c r="BVR6" i="264"/>
  <c r="BVQ6" i="264"/>
  <c r="BVP6" i="264"/>
  <c r="BVO6" i="264"/>
  <c r="BVN6" i="264"/>
  <c r="BVM6" i="264"/>
  <c r="BVL6" i="264"/>
  <c r="BVK6" i="264"/>
  <c r="BVJ6" i="264"/>
  <c r="BVI6" i="264"/>
  <c r="BVH6" i="264"/>
  <c r="BVG6" i="264"/>
  <c r="BVF6" i="264"/>
  <c r="BVE6" i="264"/>
  <c r="BVD6" i="264"/>
  <c r="BVC6" i="264"/>
  <c r="BVB6" i="264"/>
  <c r="BVA6" i="264"/>
  <c r="BUZ6" i="264"/>
  <c r="BUY6" i="264"/>
  <c r="BUX6" i="264"/>
  <c r="BUW6" i="264"/>
  <c r="BUV6" i="264"/>
  <c r="BUU6" i="264"/>
  <c r="BUT6" i="264"/>
  <c r="BUS6" i="264"/>
  <c r="BUR6" i="264"/>
  <c r="BUQ6" i="264"/>
  <c r="BUP6" i="264"/>
  <c r="BUO6" i="264"/>
  <c r="BUN6" i="264"/>
  <c r="BUM6" i="264"/>
  <c r="BUL6" i="264"/>
  <c r="BUK6" i="264"/>
  <c r="BUJ6" i="264"/>
  <c r="BUI6" i="264"/>
  <c r="BUH6" i="264"/>
  <c r="BUG6" i="264"/>
  <c r="BUF6" i="264"/>
  <c r="BUE6" i="264"/>
  <c r="BUD6" i="264"/>
  <c r="BUC6" i="264"/>
  <c r="BUB6" i="264"/>
  <c r="BUA6" i="264"/>
  <c r="BTZ6" i="264"/>
  <c r="BTY6" i="264"/>
  <c r="BTX6" i="264"/>
  <c r="BTW6" i="264"/>
  <c r="BTV6" i="264"/>
  <c r="BTU6" i="264"/>
  <c r="BTT6" i="264"/>
  <c r="BTS6" i="264"/>
  <c r="BTR6" i="264"/>
  <c r="BTQ6" i="264"/>
  <c r="BTP6" i="264"/>
  <c r="BTO6" i="264"/>
  <c r="BTN6" i="264"/>
  <c r="BTM6" i="264"/>
  <c r="BTL6" i="264"/>
  <c r="BTK6" i="264"/>
  <c r="BTJ6" i="264"/>
  <c r="BTI6" i="264"/>
  <c r="BTH6" i="264"/>
  <c r="BTG6" i="264"/>
  <c r="BTF6" i="264"/>
  <c r="BTE6" i="264"/>
  <c r="BTD6" i="264"/>
  <c r="BTC6" i="264"/>
  <c r="BTB6" i="264"/>
  <c r="BTA6" i="264"/>
  <c r="BSZ6" i="264"/>
  <c r="BSY6" i="264"/>
  <c r="BSX6" i="264"/>
  <c r="BSW6" i="264"/>
  <c r="BSV6" i="264"/>
  <c r="BSU6" i="264"/>
  <c r="BST6" i="264"/>
  <c r="BSS6" i="264"/>
  <c r="BSR6" i="264"/>
  <c r="BSQ6" i="264"/>
  <c r="BSP6" i="264"/>
  <c r="BSO6" i="264"/>
  <c r="BSN6" i="264"/>
  <c r="BSM6" i="264"/>
  <c r="BSL6" i="264"/>
  <c r="BSK6" i="264"/>
  <c r="BSJ6" i="264"/>
  <c r="BSI6" i="264"/>
  <c r="BSH6" i="264"/>
  <c r="BSG6" i="264"/>
  <c r="BSF6" i="264"/>
  <c r="BSE6" i="264"/>
  <c r="BSD6" i="264"/>
  <c r="BSC6" i="264"/>
  <c r="BSB6" i="264"/>
  <c r="BSA6" i="264"/>
  <c r="BRZ6" i="264"/>
  <c r="BRY6" i="264"/>
  <c r="BRX6" i="264"/>
  <c r="BRW6" i="264"/>
  <c r="BRV6" i="264"/>
  <c r="BRU6" i="264"/>
  <c r="BRT6" i="264"/>
  <c r="BRS6" i="264"/>
  <c r="BRR6" i="264"/>
  <c r="BRQ6" i="264"/>
  <c r="BRP6" i="264"/>
  <c r="BRO6" i="264"/>
  <c r="BRN6" i="264"/>
  <c r="BRM6" i="264"/>
  <c r="BRL6" i="264"/>
  <c r="BRK6" i="264"/>
  <c r="BRJ6" i="264"/>
  <c r="BRI6" i="264"/>
  <c r="BRH6" i="264"/>
  <c r="BRG6" i="264"/>
  <c r="BRF6" i="264"/>
  <c r="BRE6" i="264"/>
  <c r="BRD6" i="264"/>
  <c r="BRC6" i="264"/>
  <c r="BRB6" i="264"/>
  <c r="BRA6" i="264"/>
  <c r="BQZ6" i="264"/>
  <c r="BQY6" i="264"/>
  <c r="BQX6" i="264"/>
  <c r="BQW6" i="264"/>
  <c r="BQV6" i="264"/>
  <c r="BQU6" i="264"/>
  <c r="BQT6" i="264"/>
  <c r="BQS6" i="264"/>
  <c r="BQR6" i="264"/>
  <c r="BQQ6" i="264"/>
  <c r="BQP6" i="264"/>
  <c r="BQO6" i="264"/>
  <c r="BQN6" i="264"/>
  <c r="BQM6" i="264"/>
  <c r="BQL6" i="264"/>
  <c r="BQK6" i="264"/>
  <c r="BQJ6" i="264"/>
  <c r="BQI6" i="264"/>
  <c r="BQH6" i="264"/>
  <c r="BQG6" i="264"/>
  <c r="BQF6" i="264"/>
  <c r="BQE6" i="264"/>
  <c r="BQD6" i="264"/>
  <c r="BQC6" i="264"/>
  <c r="BQB6" i="264"/>
  <c r="BQA6" i="264"/>
  <c r="BPZ6" i="264"/>
  <c r="BPY6" i="264"/>
  <c r="BPX6" i="264"/>
  <c r="BPW6" i="264"/>
  <c r="BPV6" i="264"/>
  <c r="BPU6" i="264"/>
  <c r="BPT6" i="264"/>
  <c r="BPS6" i="264"/>
  <c r="BPR6" i="264"/>
  <c r="BPQ6" i="264"/>
  <c r="BPP6" i="264"/>
  <c r="BPO6" i="264"/>
  <c r="BPN6" i="264"/>
  <c r="BPM6" i="264"/>
  <c r="BPL6" i="264"/>
  <c r="BPK6" i="264"/>
  <c r="BPJ6" i="264"/>
  <c r="BPI6" i="264"/>
  <c r="BPH6" i="264"/>
  <c r="BPG6" i="264"/>
  <c r="BPF6" i="264"/>
  <c r="BPE6" i="264"/>
  <c r="BPD6" i="264"/>
  <c r="BPC6" i="264"/>
  <c r="BPB6" i="264"/>
  <c r="BPA6" i="264"/>
  <c r="BOZ6" i="264"/>
  <c r="BOY6" i="264"/>
  <c r="BOX6" i="264"/>
  <c r="BOW6" i="264"/>
  <c r="BOV6" i="264"/>
  <c r="BOU6" i="264"/>
  <c r="BOT6" i="264"/>
  <c r="BOS6" i="264"/>
  <c r="BOR6" i="264"/>
  <c r="BOQ6" i="264"/>
  <c r="BOP6" i="264"/>
  <c r="BOO6" i="264"/>
  <c r="BON6" i="264"/>
  <c r="BOM6" i="264"/>
  <c r="BOL6" i="264"/>
  <c r="BOK6" i="264"/>
  <c r="BOJ6" i="264"/>
  <c r="BOI6" i="264"/>
  <c r="BOH6" i="264"/>
  <c r="BOG6" i="264"/>
  <c r="BOF6" i="264"/>
  <c r="BOE6" i="264"/>
  <c r="BOD6" i="264"/>
  <c r="BOC6" i="264"/>
  <c r="BOB6" i="264"/>
  <c r="BOA6" i="264"/>
  <c r="BNZ6" i="264"/>
  <c r="BNY6" i="264"/>
  <c r="BNX6" i="264"/>
  <c r="BNW6" i="264"/>
  <c r="BNV6" i="264"/>
  <c r="BNU6" i="264"/>
  <c r="BNT6" i="264"/>
  <c r="BNS6" i="264"/>
  <c r="BNR6" i="264"/>
  <c r="BNQ6" i="264"/>
  <c r="BNP6" i="264"/>
  <c r="BNO6" i="264"/>
  <c r="BNN6" i="264"/>
  <c r="BNM6" i="264"/>
  <c r="BNL6" i="264"/>
  <c r="BNK6" i="264"/>
  <c r="BNJ6" i="264"/>
  <c r="BNI6" i="264"/>
  <c r="BNH6" i="264"/>
  <c r="BNG6" i="264"/>
  <c r="BNF6" i="264"/>
  <c r="BNE6" i="264"/>
  <c r="BND6" i="264"/>
  <c r="BNC6" i="264"/>
  <c r="BNB6" i="264"/>
  <c r="BNA6" i="264"/>
  <c r="BMZ6" i="264"/>
  <c r="BMY6" i="264"/>
  <c r="BMX6" i="264"/>
  <c r="BMW6" i="264"/>
  <c r="BMV6" i="264"/>
  <c r="BMU6" i="264"/>
  <c r="BMT6" i="264"/>
  <c r="BMS6" i="264"/>
  <c r="BMR6" i="264"/>
  <c r="BMQ6" i="264"/>
  <c r="BMP6" i="264"/>
  <c r="BMO6" i="264"/>
  <c r="BMN6" i="264"/>
  <c r="BMM6" i="264"/>
  <c r="BML6" i="264"/>
  <c r="BMK6" i="264"/>
  <c r="BMJ6" i="264"/>
  <c r="BMI6" i="264"/>
  <c r="BMH6" i="264"/>
  <c r="BMG6" i="264"/>
  <c r="BMF6" i="264"/>
  <c r="BME6" i="264"/>
  <c r="BMD6" i="264"/>
  <c r="BMC6" i="264"/>
  <c r="BMB6" i="264"/>
  <c r="BMA6" i="264"/>
  <c r="BLZ6" i="264"/>
  <c r="BLY6" i="264"/>
  <c r="BLX6" i="264"/>
  <c r="BLW6" i="264"/>
  <c r="BLV6" i="264"/>
  <c r="BLU6" i="264"/>
  <c r="BLT6" i="264"/>
  <c r="BLS6" i="264"/>
  <c r="BLR6" i="264"/>
  <c r="BLQ6" i="264"/>
  <c r="BLP6" i="264"/>
  <c r="BLO6" i="264"/>
  <c r="BLN6" i="264"/>
  <c r="BLM6" i="264"/>
  <c r="BLL6" i="264"/>
  <c r="BLK6" i="264"/>
  <c r="BLJ6" i="264"/>
  <c r="BLI6" i="264"/>
  <c r="BLH6" i="264"/>
  <c r="BLG6" i="264"/>
  <c r="BLF6" i="264"/>
  <c r="BLE6" i="264"/>
  <c r="BLD6" i="264"/>
  <c r="BLC6" i="264"/>
  <c r="BLB6" i="264"/>
  <c r="BLA6" i="264"/>
  <c r="BKZ6" i="264"/>
  <c r="BKY6" i="264"/>
  <c r="BKX6" i="264"/>
  <c r="BKW6" i="264"/>
  <c r="BKV6" i="264"/>
  <c r="BKU6" i="264"/>
  <c r="BKT6" i="264"/>
  <c r="BKS6" i="264"/>
  <c r="BKR6" i="264"/>
  <c r="BKQ6" i="264"/>
  <c r="BKP6" i="264"/>
  <c r="BKO6" i="264"/>
  <c r="BKN6" i="264"/>
  <c r="BKM6" i="264"/>
  <c r="BKL6" i="264"/>
  <c r="BKK6" i="264"/>
  <c r="BKJ6" i="264"/>
  <c r="BKI6" i="264"/>
  <c r="BKH6" i="264"/>
  <c r="BKG6" i="264"/>
  <c r="BKF6" i="264"/>
  <c r="BKE6" i="264"/>
  <c r="BKD6" i="264"/>
  <c r="BKC6" i="264"/>
  <c r="BKB6" i="264"/>
  <c r="BKA6" i="264"/>
  <c r="BJZ6" i="264"/>
  <c r="BJY6" i="264"/>
  <c r="BJX6" i="264"/>
  <c r="BJW6" i="264"/>
  <c r="BJV6" i="264"/>
  <c r="BJU6" i="264"/>
  <c r="BJT6" i="264"/>
  <c r="BJS6" i="264"/>
  <c r="BJR6" i="264"/>
  <c r="BJQ6" i="264"/>
  <c r="BJP6" i="264"/>
  <c r="BJO6" i="264"/>
  <c r="BJN6" i="264"/>
  <c r="BJM6" i="264"/>
  <c r="BJL6" i="264"/>
  <c r="BJK6" i="264"/>
  <c r="BJJ6" i="264"/>
  <c r="BJI6" i="264"/>
  <c r="BJH6" i="264"/>
  <c r="BJG6" i="264"/>
  <c r="BJF6" i="264"/>
  <c r="BJE6" i="264"/>
  <c r="BJD6" i="264"/>
  <c r="BJC6" i="264"/>
  <c r="BJB6" i="264"/>
  <c r="BJA6" i="264"/>
  <c r="BIZ6" i="264"/>
  <c r="BIY6" i="264"/>
  <c r="BIX6" i="264"/>
  <c r="BIW6" i="264"/>
  <c r="BIV6" i="264"/>
  <c r="BIU6" i="264"/>
  <c r="BIT6" i="264"/>
  <c r="BIS6" i="264"/>
  <c r="BIR6" i="264"/>
  <c r="BIQ6" i="264"/>
  <c r="BIP6" i="264"/>
  <c r="BIO6" i="264"/>
  <c r="BIN6" i="264"/>
  <c r="BIM6" i="264"/>
  <c r="BIL6" i="264"/>
  <c r="BIK6" i="264"/>
  <c r="BIJ6" i="264"/>
  <c r="BII6" i="264"/>
  <c r="BIH6" i="264"/>
  <c r="BIG6" i="264"/>
  <c r="BIF6" i="264"/>
  <c r="BIE6" i="264"/>
  <c r="BID6" i="264"/>
  <c r="BIC6" i="264"/>
  <c r="BIB6" i="264"/>
  <c r="BIA6" i="264"/>
  <c r="BHZ6" i="264"/>
  <c r="BHY6" i="264"/>
  <c r="BHX6" i="264"/>
  <c r="BHW6" i="264"/>
  <c r="BHV6" i="264"/>
  <c r="BHU6" i="264"/>
  <c r="BHT6" i="264"/>
  <c r="BHS6" i="264"/>
  <c r="BHR6" i="264"/>
  <c r="BHQ6" i="264"/>
  <c r="BHP6" i="264"/>
  <c r="BHO6" i="264"/>
  <c r="BHN6" i="264"/>
  <c r="BHM6" i="264"/>
  <c r="BHL6" i="264"/>
  <c r="BHK6" i="264"/>
  <c r="BHJ6" i="264"/>
  <c r="BHI6" i="264"/>
  <c r="BHH6" i="264"/>
  <c r="BHG6" i="264"/>
  <c r="BHF6" i="264"/>
  <c r="BHE6" i="264"/>
  <c r="BHD6" i="264"/>
  <c r="BHC6" i="264"/>
  <c r="BHB6" i="264"/>
  <c r="BHA6" i="264"/>
  <c r="BGZ6" i="264"/>
  <c r="BGY6" i="264"/>
  <c r="BGX6" i="264"/>
  <c r="BGW6" i="264"/>
  <c r="BGV6" i="264"/>
  <c r="BGU6" i="264"/>
  <c r="BGT6" i="264"/>
  <c r="BGS6" i="264"/>
  <c r="BGR6" i="264"/>
  <c r="BGQ6" i="264"/>
  <c r="BGP6" i="264"/>
  <c r="BGO6" i="264"/>
  <c r="BGN6" i="264"/>
  <c r="BGM6" i="264"/>
  <c r="BGL6" i="264"/>
  <c r="BGK6" i="264"/>
  <c r="BGJ6" i="264"/>
  <c r="BGI6" i="264"/>
  <c r="BGH6" i="264"/>
  <c r="BGG6" i="264"/>
  <c r="BGF6" i="264"/>
  <c r="BGE6" i="264"/>
  <c r="BGD6" i="264"/>
  <c r="BGC6" i="264"/>
  <c r="BGB6" i="264"/>
  <c r="BGA6" i="264"/>
  <c r="BFZ6" i="264"/>
  <c r="BFY6" i="264"/>
  <c r="BFX6" i="264"/>
  <c r="BFW6" i="264"/>
  <c r="BFV6" i="264"/>
  <c r="BFU6" i="264"/>
  <c r="BFT6" i="264"/>
  <c r="BFS6" i="264"/>
  <c r="BFR6" i="264"/>
  <c r="BFQ6" i="264"/>
  <c r="BFP6" i="264"/>
  <c r="BFO6" i="264"/>
  <c r="BFN6" i="264"/>
  <c r="BFM6" i="264"/>
  <c r="BFL6" i="264"/>
  <c r="BFK6" i="264"/>
  <c r="BFJ6" i="264"/>
  <c r="BFI6" i="264"/>
  <c r="BFH6" i="264"/>
  <c r="BFG6" i="264"/>
  <c r="BFF6" i="264"/>
  <c r="BFE6" i="264"/>
  <c r="BFD6" i="264"/>
  <c r="BFC6" i="264"/>
  <c r="BFB6" i="264"/>
  <c r="BFA6" i="264"/>
  <c r="BEZ6" i="264"/>
  <c r="BEY6" i="264"/>
  <c r="BEX6" i="264"/>
  <c r="BEW6" i="264"/>
  <c r="BEV6" i="264"/>
  <c r="BEU6" i="264"/>
  <c r="BET6" i="264"/>
  <c r="BES6" i="264"/>
  <c r="BER6" i="264"/>
  <c r="BEQ6" i="264"/>
  <c r="BEP6" i="264"/>
  <c r="BEO6" i="264"/>
  <c r="BEN6" i="264"/>
  <c r="BEM6" i="264"/>
  <c r="BEL6" i="264"/>
  <c r="BEK6" i="264"/>
  <c r="BEJ6" i="264"/>
  <c r="BEI6" i="264"/>
  <c r="BEH6" i="264"/>
  <c r="BEG6" i="264"/>
  <c r="BEF6" i="264"/>
  <c r="BEE6" i="264"/>
  <c r="BED6" i="264"/>
  <c r="BEC6" i="264"/>
  <c r="BEB6" i="264"/>
  <c r="BEA6" i="264"/>
  <c r="BDZ6" i="264"/>
  <c r="BDY6" i="264"/>
  <c r="BDX6" i="264"/>
  <c r="BDW6" i="264"/>
  <c r="BDV6" i="264"/>
  <c r="BDU6" i="264"/>
  <c r="BDT6" i="264"/>
  <c r="BDS6" i="264"/>
  <c r="BDR6" i="264"/>
  <c r="BDQ6" i="264"/>
  <c r="BDP6" i="264"/>
  <c r="BDO6" i="264"/>
  <c r="BDN6" i="264"/>
  <c r="BDM6" i="264"/>
  <c r="BDL6" i="264"/>
  <c r="BDK6" i="264"/>
  <c r="BDJ6" i="264"/>
  <c r="BDI6" i="264"/>
  <c r="BDH6" i="264"/>
  <c r="BDG6" i="264"/>
  <c r="BDF6" i="264"/>
  <c r="BDE6" i="264"/>
  <c r="BDD6" i="264"/>
  <c r="BDC6" i="264"/>
  <c r="BDB6" i="264"/>
  <c r="BDA6" i="264"/>
  <c r="BCZ6" i="264"/>
  <c r="BCY6" i="264"/>
  <c r="BCX6" i="264"/>
  <c r="BCW6" i="264"/>
  <c r="BCV6" i="264"/>
  <c r="BCU6" i="264"/>
  <c r="BCT6" i="264"/>
  <c r="BCS6" i="264"/>
  <c r="BCR6" i="264"/>
  <c r="BCQ6" i="264"/>
  <c r="BCP6" i="264"/>
  <c r="BCO6" i="264"/>
  <c r="BCN6" i="264"/>
  <c r="BCM6" i="264"/>
  <c r="BCL6" i="264"/>
  <c r="BCK6" i="264"/>
  <c r="BCJ6" i="264"/>
  <c r="BCI6" i="264"/>
  <c r="BCH6" i="264"/>
  <c r="BCG6" i="264"/>
  <c r="BCF6" i="264"/>
  <c r="BCE6" i="264"/>
  <c r="BCD6" i="264"/>
  <c r="BCC6" i="264"/>
  <c r="BCB6" i="264"/>
  <c r="BCA6" i="264"/>
  <c r="BBZ6" i="264"/>
  <c r="BBY6" i="264"/>
  <c r="BBX6" i="264"/>
  <c r="BBW6" i="264"/>
  <c r="BBV6" i="264"/>
  <c r="BBU6" i="264"/>
  <c r="BBT6" i="264"/>
  <c r="BBS6" i="264"/>
  <c r="BBR6" i="264"/>
  <c r="BBQ6" i="264"/>
  <c r="BBP6" i="264"/>
  <c r="BBO6" i="264"/>
  <c r="BBN6" i="264"/>
  <c r="BBM6" i="264"/>
  <c r="BBL6" i="264"/>
  <c r="BBK6" i="264"/>
  <c r="BBJ6" i="264"/>
  <c r="BBI6" i="264"/>
  <c r="BBH6" i="264"/>
  <c r="BBG6" i="264"/>
  <c r="BBF6" i="264"/>
  <c r="BBE6" i="264"/>
  <c r="BBD6" i="264"/>
  <c r="BBC6" i="264"/>
  <c r="BBB6" i="264"/>
  <c r="BBA6" i="264"/>
  <c r="BAZ6" i="264"/>
  <c r="BAY6" i="264"/>
  <c r="BAX6" i="264"/>
  <c r="BAW6" i="264"/>
  <c r="BAV6" i="264"/>
  <c r="BAU6" i="264"/>
  <c r="BAT6" i="264"/>
  <c r="BAS6" i="264"/>
  <c r="BAR6" i="264"/>
  <c r="BAQ6" i="264"/>
  <c r="BAP6" i="264"/>
  <c r="BAO6" i="264"/>
  <c r="BAN6" i="264"/>
  <c r="BAM6" i="264"/>
  <c r="BAL6" i="264"/>
  <c r="BAK6" i="264"/>
  <c r="BAJ6" i="264"/>
  <c r="BAI6" i="264"/>
  <c r="BAH6" i="264"/>
  <c r="BAG6" i="264"/>
  <c r="BAF6" i="264"/>
  <c r="BAE6" i="264"/>
  <c r="BAD6" i="264"/>
  <c r="BAC6" i="264"/>
  <c r="BAB6" i="264"/>
  <c r="BAA6" i="264"/>
  <c r="AZZ6" i="264"/>
  <c r="AZY6" i="264"/>
  <c r="AZX6" i="264"/>
  <c r="AZW6" i="264"/>
  <c r="AZV6" i="264"/>
  <c r="AZU6" i="264"/>
  <c r="AZT6" i="264"/>
  <c r="AZS6" i="264"/>
  <c r="AZR6" i="264"/>
  <c r="AZQ6" i="264"/>
  <c r="AZP6" i="264"/>
  <c r="AZO6" i="264"/>
  <c r="AZN6" i="264"/>
  <c r="AZM6" i="264"/>
  <c r="AZL6" i="264"/>
  <c r="AZK6" i="264"/>
  <c r="AZJ6" i="264"/>
  <c r="AZI6" i="264"/>
  <c r="AZH6" i="264"/>
  <c r="AZG6" i="264"/>
  <c r="AZF6" i="264"/>
  <c r="AZE6" i="264"/>
  <c r="AZD6" i="264"/>
  <c r="AZC6" i="264"/>
  <c r="AZB6" i="264"/>
  <c r="AZA6" i="264"/>
  <c r="AYZ6" i="264"/>
  <c r="AYY6" i="264"/>
  <c r="AYX6" i="264"/>
  <c r="AYW6" i="264"/>
  <c r="AYV6" i="264"/>
  <c r="AYU6" i="264"/>
  <c r="AYT6" i="264"/>
  <c r="AYS6" i="264"/>
  <c r="AYR6" i="264"/>
  <c r="AYQ6" i="264"/>
  <c r="AYP6" i="264"/>
  <c r="AYO6" i="264"/>
  <c r="AYN6" i="264"/>
  <c r="AYM6" i="264"/>
  <c r="AYL6" i="264"/>
  <c r="AYK6" i="264"/>
  <c r="AYJ6" i="264"/>
  <c r="AYI6" i="264"/>
  <c r="AYH6" i="264"/>
  <c r="AYG6" i="264"/>
  <c r="AYF6" i="264"/>
  <c r="AYE6" i="264"/>
  <c r="AYD6" i="264"/>
  <c r="AYC6" i="264"/>
  <c r="AYB6" i="264"/>
  <c r="AYA6" i="264"/>
  <c r="AXZ6" i="264"/>
  <c r="AXY6" i="264"/>
  <c r="AXX6" i="264"/>
  <c r="AXW6" i="264"/>
  <c r="AXV6" i="264"/>
  <c r="AXU6" i="264"/>
  <c r="AXT6" i="264"/>
  <c r="AXS6" i="264"/>
  <c r="AXR6" i="264"/>
  <c r="AXQ6" i="264"/>
  <c r="AXP6" i="264"/>
  <c r="AXO6" i="264"/>
  <c r="AXN6" i="264"/>
  <c r="AXM6" i="264"/>
  <c r="AXL6" i="264"/>
  <c r="AXK6" i="264"/>
  <c r="AXJ6" i="264"/>
  <c r="AXI6" i="264"/>
  <c r="AXH6" i="264"/>
  <c r="AXG6" i="264"/>
  <c r="AXF6" i="264"/>
  <c r="AXE6" i="264"/>
  <c r="AXD6" i="264"/>
  <c r="AXC6" i="264"/>
  <c r="AXB6" i="264"/>
  <c r="AXA6" i="264"/>
  <c r="AWZ6" i="264"/>
  <c r="AWY6" i="264"/>
  <c r="AWX6" i="264"/>
  <c r="AWW6" i="264"/>
  <c r="AWV6" i="264"/>
  <c r="AWU6" i="264"/>
  <c r="AWT6" i="264"/>
  <c r="AWS6" i="264"/>
  <c r="AWR6" i="264"/>
  <c r="AWQ6" i="264"/>
  <c r="AWP6" i="264"/>
  <c r="AWO6" i="264"/>
  <c r="AWN6" i="264"/>
  <c r="AWM6" i="264"/>
  <c r="AWL6" i="264"/>
  <c r="AWK6" i="264"/>
  <c r="AWJ6" i="264"/>
  <c r="AWI6" i="264"/>
  <c r="AWH6" i="264"/>
  <c r="AWG6" i="264"/>
  <c r="AWF6" i="264"/>
  <c r="AWE6" i="264"/>
  <c r="AWD6" i="264"/>
  <c r="AWC6" i="264"/>
  <c r="AWB6" i="264"/>
  <c r="AWA6" i="264"/>
  <c r="AVZ6" i="264"/>
  <c r="AVY6" i="264"/>
  <c r="AVX6" i="264"/>
  <c r="AVW6" i="264"/>
  <c r="AVV6" i="264"/>
  <c r="AVU6" i="264"/>
  <c r="AVT6" i="264"/>
  <c r="AVS6" i="264"/>
  <c r="AVR6" i="264"/>
  <c r="AVQ6" i="264"/>
  <c r="AVP6" i="264"/>
  <c r="AVO6" i="264"/>
  <c r="AVN6" i="264"/>
  <c r="AVM6" i="264"/>
  <c r="AVL6" i="264"/>
  <c r="AVK6" i="264"/>
  <c r="AVJ6" i="264"/>
  <c r="AVI6" i="264"/>
  <c r="AVH6" i="264"/>
  <c r="AVG6" i="264"/>
  <c r="AVF6" i="264"/>
  <c r="AVE6" i="264"/>
  <c r="AVD6" i="264"/>
  <c r="AVC6" i="264"/>
  <c r="AVB6" i="264"/>
  <c r="AVA6" i="264"/>
  <c r="AUZ6" i="264"/>
  <c r="AUY6" i="264"/>
  <c r="AUX6" i="264"/>
  <c r="AUW6" i="264"/>
  <c r="AUV6" i="264"/>
  <c r="AUU6" i="264"/>
  <c r="AUT6" i="264"/>
  <c r="AUS6" i="264"/>
  <c r="AUR6" i="264"/>
  <c r="AUQ6" i="264"/>
  <c r="AUP6" i="264"/>
  <c r="AUO6" i="264"/>
  <c r="AUN6" i="264"/>
  <c r="AUM6" i="264"/>
  <c r="AUL6" i="264"/>
  <c r="AUK6" i="264"/>
  <c r="AUJ6" i="264"/>
  <c r="AUI6" i="264"/>
  <c r="AUH6" i="264"/>
  <c r="AUG6" i="264"/>
  <c r="AUF6" i="264"/>
  <c r="AUE6" i="264"/>
  <c r="AUD6" i="264"/>
  <c r="AUC6" i="264"/>
  <c r="AUB6" i="264"/>
  <c r="AUA6" i="264"/>
  <c r="ATZ6" i="264"/>
  <c r="ATY6" i="264"/>
  <c r="ATX6" i="264"/>
  <c r="ATW6" i="264"/>
  <c r="ATV6" i="264"/>
  <c r="ATU6" i="264"/>
  <c r="ATT6" i="264"/>
  <c r="ATS6" i="264"/>
  <c r="ATR6" i="264"/>
  <c r="ATQ6" i="264"/>
  <c r="ATP6" i="264"/>
  <c r="ATO6" i="264"/>
  <c r="ATN6" i="264"/>
  <c r="ATM6" i="264"/>
  <c r="ATL6" i="264"/>
  <c r="ATK6" i="264"/>
  <c r="ATJ6" i="264"/>
  <c r="ATI6" i="264"/>
  <c r="ATH6" i="264"/>
  <c r="ATG6" i="264"/>
  <c r="ATF6" i="264"/>
  <c r="ATE6" i="264"/>
  <c r="ATD6" i="264"/>
  <c r="ATC6" i="264"/>
  <c r="ATB6" i="264"/>
  <c r="ATA6" i="264"/>
  <c r="ASZ6" i="264"/>
  <c r="ASY6" i="264"/>
  <c r="ASX6" i="264"/>
  <c r="ASW6" i="264"/>
  <c r="ASV6" i="264"/>
  <c r="ASU6" i="264"/>
  <c r="AST6" i="264"/>
  <c r="ASS6" i="264"/>
  <c r="ASR6" i="264"/>
  <c r="ASQ6" i="264"/>
  <c r="ASP6" i="264"/>
  <c r="ASO6" i="264"/>
  <c r="ASN6" i="264"/>
  <c r="ASM6" i="264"/>
  <c r="ASL6" i="264"/>
  <c r="ASK6" i="264"/>
  <c r="ASJ6" i="264"/>
  <c r="ASI6" i="264"/>
  <c r="ASH6" i="264"/>
  <c r="ASG6" i="264"/>
  <c r="ASF6" i="264"/>
  <c r="ASE6" i="264"/>
  <c r="ASD6" i="264"/>
  <c r="ASC6" i="264"/>
  <c r="ASB6" i="264"/>
  <c r="ASA6" i="264"/>
  <c r="ARZ6" i="264"/>
  <c r="ARY6" i="264"/>
  <c r="ARX6" i="264"/>
  <c r="ARW6" i="264"/>
  <c r="ARV6" i="264"/>
  <c r="ARU6" i="264"/>
  <c r="ART6" i="264"/>
  <c r="ARS6" i="264"/>
  <c r="ARR6" i="264"/>
  <c r="ARQ6" i="264"/>
  <c r="ARP6" i="264"/>
  <c r="ARO6" i="264"/>
  <c r="ARN6" i="264"/>
  <c r="ARM6" i="264"/>
  <c r="ARL6" i="264"/>
  <c r="ARK6" i="264"/>
  <c r="ARJ6" i="264"/>
  <c r="ARI6" i="264"/>
  <c r="ARH6" i="264"/>
  <c r="ARG6" i="264"/>
  <c r="ARF6" i="264"/>
  <c r="ARE6" i="264"/>
  <c r="ARD6" i="264"/>
  <c r="ARC6" i="264"/>
  <c r="ARB6" i="264"/>
  <c r="ARA6" i="264"/>
  <c r="AQZ6" i="264"/>
  <c r="AQY6" i="264"/>
  <c r="AQX6" i="264"/>
  <c r="AQW6" i="264"/>
  <c r="AQV6" i="264"/>
  <c r="AQU6" i="264"/>
  <c r="AQT6" i="264"/>
  <c r="AQS6" i="264"/>
  <c r="AQR6" i="264"/>
  <c r="AQQ6" i="264"/>
  <c r="AQP6" i="264"/>
  <c r="AQO6" i="264"/>
  <c r="AQN6" i="264"/>
  <c r="AQM6" i="264"/>
  <c r="AQL6" i="264"/>
  <c r="AQK6" i="264"/>
  <c r="AQJ6" i="264"/>
  <c r="AQI6" i="264"/>
  <c r="AQH6" i="264"/>
  <c r="AQG6" i="264"/>
  <c r="AQF6" i="264"/>
  <c r="AQE6" i="264"/>
  <c r="AQD6" i="264"/>
  <c r="AQC6" i="264"/>
  <c r="AQB6" i="264"/>
  <c r="AQA6" i="264"/>
  <c r="APZ6" i="264"/>
  <c r="APY6" i="264"/>
  <c r="APX6" i="264"/>
  <c r="APW6" i="264"/>
  <c r="APV6" i="264"/>
  <c r="APU6" i="264"/>
  <c r="APT6" i="264"/>
  <c r="APS6" i="264"/>
  <c r="APR6" i="264"/>
  <c r="APQ6" i="264"/>
  <c r="APP6" i="264"/>
  <c r="APO6" i="264"/>
  <c r="APN6" i="264"/>
  <c r="APM6" i="264"/>
  <c r="APL6" i="264"/>
  <c r="APK6" i="264"/>
  <c r="APJ6" i="264"/>
  <c r="API6" i="264"/>
  <c r="APH6" i="264"/>
  <c r="APG6" i="264"/>
  <c r="APF6" i="264"/>
  <c r="APE6" i="264"/>
  <c r="APD6" i="264"/>
  <c r="APC6" i="264"/>
  <c r="APB6" i="264"/>
  <c r="APA6" i="264"/>
  <c r="AOZ6" i="264"/>
  <c r="AOY6" i="264"/>
  <c r="AOX6" i="264"/>
  <c r="AOW6" i="264"/>
  <c r="AOV6" i="264"/>
  <c r="AOU6" i="264"/>
  <c r="AOT6" i="264"/>
  <c r="AOS6" i="264"/>
  <c r="AOR6" i="264"/>
  <c r="AOQ6" i="264"/>
  <c r="AOP6" i="264"/>
  <c r="AOO6" i="264"/>
  <c r="AON6" i="264"/>
  <c r="AOM6" i="264"/>
  <c r="AOL6" i="264"/>
  <c r="AOK6" i="264"/>
  <c r="AOJ6" i="264"/>
  <c r="AOI6" i="264"/>
  <c r="AOH6" i="264"/>
  <c r="AOG6" i="264"/>
  <c r="AOF6" i="264"/>
  <c r="AOE6" i="264"/>
  <c r="AOD6" i="264"/>
  <c r="AOC6" i="264"/>
  <c r="AOB6" i="264"/>
  <c r="AOA6" i="264"/>
  <c r="ANZ6" i="264"/>
  <c r="ANY6" i="264"/>
  <c r="ANX6" i="264"/>
  <c r="ANW6" i="264"/>
  <c r="ANV6" i="264"/>
  <c r="ANU6" i="264"/>
  <c r="ANT6" i="264"/>
  <c r="ANS6" i="264"/>
  <c r="ANR6" i="264"/>
  <c r="ANQ6" i="264"/>
  <c r="ANP6" i="264"/>
  <c r="ANO6" i="264"/>
  <c r="ANN6" i="264"/>
  <c r="ANM6" i="264"/>
  <c r="ANL6" i="264"/>
  <c r="ANK6" i="264"/>
  <c r="ANJ6" i="264"/>
  <c r="ANI6" i="264"/>
  <c r="ANH6" i="264"/>
  <c r="ANG6" i="264"/>
  <c r="ANF6" i="264"/>
  <c r="ANE6" i="264"/>
  <c r="AND6" i="264"/>
  <c r="ANC6" i="264"/>
  <c r="ANB6" i="264"/>
  <c r="ANA6" i="264"/>
  <c r="AMZ6" i="264"/>
  <c r="AMY6" i="264"/>
  <c r="AMX6" i="264"/>
  <c r="AMW6" i="264"/>
  <c r="AMV6" i="264"/>
  <c r="AMU6" i="264"/>
  <c r="AMT6" i="264"/>
  <c r="AMS6" i="264"/>
  <c r="AMR6" i="264"/>
  <c r="AMQ6" i="264"/>
  <c r="AMP6" i="264"/>
  <c r="AMO6" i="264"/>
  <c r="AMN6" i="264"/>
  <c r="AMM6" i="264"/>
  <c r="AML6" i="264"/>
  <c r="AMK6" i="264"/>
  <c r="AMJ6" i="264"/>
  <c r="AMI6" i="264"/>
  <c r="AMH6" i="264"/>
  <c r="AMG6" i="264"/>
  <c r="AMF6" i="264"/>
  <c r="AME6" i="264"/>
  <c r="AMD6" i="264"/>
  <c r="AMC6" i="264"/>
  <c r="AMB6" i="264"/>
  <c r="AMA6" i="264"/>
  <c r="ALZ6" i="264"/>
  <c r="ALY6" i="264"/>
  <c r="ALX6" i="264"/>
  <c r="ALW6" i="264"/>
  <c r="ALV6" i="264"/>
  <c r="ALU6" i="264"/>
  <c r="ALT6" i="264"/>
  <c r="ALS6" i="264"/>
  <c r="ALR6" i="264"/>
  <c r="ALQ6" i="264"/>
  <c r="ALP6" i="264"/>
  <c r="ALO6" i="264"/>
  <c r="ALN6" i="264"/>
  <c r="ALM6" i="264"/>
  <c r="ALL6" i="264"/>
  <c r="ALK6" i="264"/>
  <c r="ALJ6" i="264"/>
  <c r="ALI6" i="264"/>
  <c r="ALH6" i="264"/>
  <c r="ALG6" i="264"/>
  <c r="ALF6" i="264"/>
  <c r="ALE6" i="264"/>
  <c r="ALD6" i="264"/>
  <c r="ALC6" i="264"/>
  <c r="ALB6" i="264"/>
  <c r="ALA6" i="264"/>
  <c r="AKZ6" i="264"/>
  <c r="AKY6" i="264"/>
  <c r="AKX6" i="264"/>
  <c r="AKW6" i="264"/>
  <c r="AKV6" i="264"/>
  <c r="AKU6" i="264"/>
  <c r="AKT6" i="264"/>
  <c r="AKS6" i="264"/>
  <c r="AKR6" i="264"/>
  <c r="AKQ6" i="264"/>
  <c r="AKP6" i="264"/>
  <c r="AKO6" i="264"/>
  <c r="AKN6" i="264"/>
  <c r="AKM6" i="264"/>
  <c r="AKL6" i="264"/>
  <c r="AKK6" i="264"/>
  <c r="AKJ6" i="264"/>
  <c r="AKI6" i="264"/>
  <c r="AKH6" i="264"/>
  <c r="AKG6" i="264"/>
  <c r="AKF6" i="264"/>
  <c r="AKE6" i="264"/>
  <c r="AKD6" i="264"/>
  <c r="AKC6" i="264"/>
  <c r="AKB6" i="264"/>
  <c r="AKA6" i="264"/>
  <c r="AJZ6" i="264"/>
  <c r="AJY6" i="264"/>
  <c r="AJX6" i="264"/>
  <c r="AJW6" i="264"/>
  <c r="AJV6" i="264"/>
  <c r="AJU6" i="264"/>
  <c r="AJT6" i="264"/>
  <c r="AJS6" i="264"/>
  <c r="AJR6" i="264"/>
  <c r="AJQ6" i="264"/>
  <c r="AJP6" i="264"/>
  <c r="AJO6" i="264"/>
  <c r="AJN6" i="264"/>
  <c r="AJM6" i="264"/>
  <c r="AJL6" i="264"/>
  <c r="AJK6" i="264"/>
  <c r="AJJ6" i="264"/>
  <c r="AJI6" i="264"/>
  <c r="AJH6" i="264"/>
  <c r="AJG6" i="264"/>
  <c r="AJF6" i="264"/>
  <c r="AJE6" i="264"/>
  <c r="AJD6" i="264"/>
  <c r="AJC6" i="264"/>
  <c r="AJB6" i="264"/>
  <c r="AJA6" i="264"/>
  <c r="AIZ6" i="264"/>
  <c r="AIY6" i="264"/>
  <c r="AIX6" i="264"/>
  <c r="AIW6" i="264"/>
  <c r="AIV6" i="264"/>
  <c r="AIU6" i="264"/>
  <c r="AIT6" i="264"/>
  <c r="AIS6" i="264"/>
  <c r="AIR6" i="264"/>
  <c r="AIQ6" i="264"/>
  <c r="AIP6" i="264"/>
  <c r="AIO6" i="264"/>
  <c r="AIN6" i="264"/>
  <c r="AIM6" i="264"/>
  <c r="AIL6" i="264"/>
  <c r="AIK6" i="264"/>
  <c r="AIJ6" i="264"/>
  <c r="AII6" i="264"/>
  <c r="AIH6" i="264"/>
  <c r="AIG6" i="264"/>
  <c r="AIF6" i="264"/>
  <c r="AIE6" i="264"/>
  <c r="AID6" i="264"/>
  <c r="AIC6" i="264"/>
  <c r="AIB6" i="264"/>
  <c r="AIA6" i="264"/>
  <c r="AHZ6" i="264"/>
  <c r="AHY6" i="264"/>
  <c r="AHX6" i="264"/>
  <c r="AHW6" i="264"/>
  <c r="AHV6" i="264"/>
  <c r="AHU6" i="264"/>
  <c r="AHT6" i="264"/>
  <c r="AHS6" i="264"/>
  <c r="AHR6" i="264"/>
  <c r="AHQ6" i="264"/>
  <c r="AHP6" i="264"/>
  <c r="AHO6" i="264"/>
  <c r="AHN6" i="264"/>
  <c r="AHM6" i="264"/>
  <c r="AHL6" i="264"/>
  <c r="AHK6" i="264"/>
  <c r="AHJ6" i="264"/>
  <c r="AHI6" i="264"/>
  <c r="AHH6" i="264"/>
  <c r="AHG6" i="264"/>
  <c r="AHF6" i="264"/>
  <c r="AHE6" i="264"/>
  <c r="AHD6" i="264"/>
  <c r="AHC6" i="264"/>
  <c r="AHB6" i="264"/>
  <c r="AHA6" i="264"/>
  <c r="AGZ6" i="264"/>
  <c r="AGY6" i="264"/>
  <c r="AGX6" i="264"/>
  <c r="AGW6" i="264"/>
  <c r="AGV6" i="264"/>
  <c r="AGU6" i="264"/>
  <c r="AGT6" i="264"/>
  <c r="AGS6" i="264"/>
  <c r="AGR6" i="264"/>
  <c r="AGQ6" i="264"/>
  <c r="AGP6" i="264"/>
  <c r="AGO6" i="264"/>
  <c r="AGN6" i="264"/>
  <c r="AGM6" i="264"/>
  <c r="AGL6" i="264"/>
  <c r="AGK6" i="264"/>
  <c r="AGJ6" i="264"/>
  <c r="AGI6" i="264"/>
  <c r="AGH6" i="264"/>
  <c r="AGG6" i="264"/>
  <c r="AGF6" i="264"/>
  <c r="AGE6" i="264"/>
  <c r="AGD6" i="264"/>
  <c r="AGC6" i="264"/>
  <c r="AGB6" i="264"/>
  <c r="AGA6" i="264"/>
  <c r="AFZ6" i="264"/>
  <c r="AFY6" i="264"/>
  <c r="AFX6" i="264"/>
  <c r="AFW6" i="264"/>
  <c r="AFV6" i="264"/>
  <c r="AFU6" i="264"/>
  <c r="AFT6" i="264"/>
  <c r="AFS6" i="264"/>
  <c r="AFR6" i="264"/>
  <c r="AFQ6" i="264"/>
  <c r="AFP6" i="264"/>
  <c r="AFO6" i="264"/>
  <c r="AFN6" i="264"/>
  <c r="AFM6" i="264"/>
  <c r="AFL6" i="264"/>
  <c r="AFK6" i="264"/>
  <c r="AFJ6" i="264"/>
  <c r="AFI6" i="264"/>
  <c r="AFH6" i="264"/>
  <c r="AFG6" i="264"/>
  <c r="AFF6" i="264"/>
  <c r="AFE6" i="264"/>
  <c r="AFD6" i="264"/>
  <c r="AFC6" i="264"/>
  <c r="AFB6" i="264"/>
  <c r="AFA6" i="264"/>
  <c r="AEZ6" i="264"/>
  <c r="AEY6" i="264"/>
  <c r="AEX6" i="264"/>
  <c r="AEW6" i="264"/>
  <c r="AEV6" i="264"/>
  <c r="AEU6" i="264"/>
  <c r="AET6" i="264"/>
  <c r="AES6" i="264"/>
  <c r="AER6" i="264"/>
  <c r="AEQ6" i="264"/>
  <c r="AEP6" i="264"/>
  <c r="AEO6" i="264"/>
  <c r="AEN6" i="264"/>
  <c r="AEM6" i="264"/>
  <c r="AEL6" i="264"/>
  <c r="AEK6" i="264"/>
  <c r="AEJ6" i="264"/>
  <c r="AEI6" i="264"/>
  <c r="AEH6" i="264"/>
  <c r="AEG6" i="264"/>
  <c r="AEF6" i="264"/>
  <c r="AEE6" i="264"/>
  <c r="AED6" i="264"/>
  <c r="AEC6" i="264"/>
  <c r="AEB6" i="264"/>
  <c r="AEA6" i="264"/>
  <c r="ADZ6" i="264"/>
  <c r="ADY6" i="264"/>
  <c r="ADX6" i="264"/>
  <c r="ADW6" i="264"/>
  <c r="ADV6" i="264"/>
  <c r="ADU6" i="264"/>
  <c r="ADT6" i="264"/>
  <c r="ADS6" i="264"/>
  <c r="ADR6" i="264"/>
  <c r="ADQ6" i="264"/>
  <c r="ADP6" i="264"/>
  <c r="ADO6" i="264"/>
  <c r="ADN6" i="264"/>
  <c r="ADM6" i="264"/>
  <c r="ADL6" i="264"/>
  <c r="ADK6" i="264"/>
  <c r="ADJ6" i="264"/>
  <c r="ADI6" i="264"/>
  <c r="ADH6" i="264"/>
  <c r="ADG6" i="264"/>
  <c r="ADF6" i="264"/>
  <c r="ADE6" i="264"/>
  <c r="ADD6" i="264"/>
  <c r="ADC6" i="264"/>
  <c r="ADB6" i="264"/>
  <c r="ADA6" i="264"/>
  <c r="ACZ6" i="264"/>
  <c r="ACY6" i="264"/>
  <c r="ACX6" i="264"/>
  <c r="ACW6" i="264"/>
  <c r="ACV6" i="264"/>
  <c r="ACU6" i="264"/>
  <c r="ACT6" i="264"/>
  <c r="ACS6" i="264"/>
  <c r="ACR6" i="264"/>
  <c r="ACQ6" i="264"/>
  <c r="ACP6" i="264"/>
  <c r="ACO6" i="264"/>
  <c r="ACN6" i="264"/>
  <c r="ACM6" i="264"/>
  <c r="ACL6" i="264"/>
  <c r="ACK6" i="264"/>
  <c r="ACJ6" i="264"/>
  <c r="ACI6" i="264"/>
  <c r="ACH6" i="264"/>
  <c r="ACG6" i="264"/>
  <c r="ACF6" i="264"/>
  <c r="ACE6" i="264"/>
  <c r="ACD6" i="264"/>
  <c r="ACC6" i="264"/>
  <c r="ACB6" i="264"/>
  <c r="ACA6" i="264"/>
  <c r="ABZ6" i="264"/>
  <c r="ABY6" i="264"/>
  <c r="ABX6" i="264"/>
  <c r="ABW6" i="264"/>
  <c r="ABV6" i="264"/>
  <c r="ABU6" i="264"/>
  <c r="ABT6" i="264"/>
  <c r="ABS6" i="264"/>
  <c r="ABR6" i="264"/>
  <c r="ABQ6" i="264"/>
  <c r="ABP6" i="264"/>
  <c r="ABO6" i="264"/>
  <c r="ABN6" i="264"/>
  <c r="ABM6" i="264"/>
  <c r="ABL6" i="264"/>
  <c r="ABK6" i="264"/>
  <c r="ABJ6" i="264"/>
  <c r="ABI6" i="264"/>
  <c r="ABH6" i="264"/>
  <c r="ABG6" i="264"/>
  <c r="ABF6" i="264"/>
  <c r="ABE6" i="264"/>
  <c r="ABD6" i="264"/>
  <c r="ABC6" i="264"/>
  <c r="ABB6" i="264"/>
  <c r="ABA6" i="264"/>
  <c r="AAZ6" i="264"/>
  <c r="AAY6" i="264"/>
  <c r="AAX6" i="264"/>
  <c r="AAW6" i="264"/>
  <c r="AAV6" i="264"/>
  <c r="AAU6" i="264"/>
  <c r="AAT6" i="264"/>
  <c r="AAS6" i="264"/>
  <c r="AAR6" i="264"/>
  <c r="AAQ6" i="264"/>
  <c r="AAP6" i="264"/>
  <c r="AAO6" i="264"/>
  <c r="AAN6" i="264"/>
  <c r="AAM6" i="264"/>
  <c r="AAL6" i="264"/>
  <c r="AAK6" i="264"/>
  <c r="AAJ6" i="264"/>
  <c r="AAI6" i="264"/>
  <c r="AAH6" i="264"/>
  <c r="AAG6" i="264"/>
  <c r="AAF6" i="264"/>
  <c r="AAE6" i="264"/>
  <c r="AAD6" i="264"/>
  <c r="AAC6" i="264"/>
  <c r="AAB6" i="264"/>
  <c r="AAA6" i="264"/>
  <c r="ZZ6" i="264"/>
  <c r="ZY6" i="264"/>
  <c r="ZX6" i="264"/>
  <c r="ZW6" i="264"/>
  <c r="ZV6" i="264"/>
  <c r="ZU6" i="264"/>
  <c r="ZT6" i="264"/>
  <c r="ZS6" i="264"/>
  <c r="ZR6" i="264"/>
  <c r="ZQ6" i="264"/>
  <c r="ZP6" i="264"/>
  <c r="ZO6" i="264"/>
  <c r="ZN6" i="264"/>
  <c r="ZM6" i="264"/>
  <c r="ZL6" i="264"/>
  <c r="ZK6" i="264"/>
  <c r="ZJ6" i="264"/>
  <c r="ZI6" i="264"/>
  <c r="ZH6" i="264"/>
  <c r="ZG6" i="264"/>
  <c r="ZF6" i="264"/>
  <c r="ZE6" i="264"/>
  <c r="ZD6" i="264"/>
  <c r="ZC6" i="264"/>
  <c r="ZB6" i="264"/>
  <c r="ZA6" i="264"/>
  <c r="YZ6" i="264"/>
  <c r="YY6" i="264"/>
  <c r="YX6" i="264"/>
  <c r="YW6" i="264"/>
  <c r="YV6" i="264"/>
  <c r="YU6" i="264"/>
  <c r="YT6" i="264"/>
  <c r="YS6" i="264"/>
  <c r="YR6" i="264"/>
  <c r="YQ6" i="264"/>
  <c r="YP6" i="264"/>
  <c r="YO6" i="264"/>
  <c r="YN6" i="264"/>
  <c r="YM6" i="264"/>
  <c r="YL6" i="264"/>
  <c r="YK6" i="264"/>
  <c r="YJ6" i="264"/>
  <c r="YI6" i="264"/>
  <c r="YH6" i="264"/>
  <c r="YG6" i="264"/>
  <c r="YF6" i="264"/>
  <c r="YE6" i="264"/>
  <c r="YD6" i="264"/>
  <c r="YC6" i="264"/>
  <c r="YB6" i="264"/>
  <c r="YA6" i="264"/>
  <c r="XZ6" i="264"/>
  <c r="XY6" i="264"/>
  <c r="XX6" i="264"/>
  <c r="XW6" i="264"/>
  <c r="XV6" i="264"/>
  <c r="XU6" i="264"/>
  <c r="XT6" i="264"/>
  <c r="XS6" i="264"/>
  <c r="XR6" i="264"/>
  <c r="XQ6" i="264"/>
  <c r="XP6" i="264"/>
  <c r="XO6" i="264"/>
  <c r="XN6" i="264"/>
  <c r="XM6" i="264"/>
  <c r="XL6" i="264"/>
  <c r="XK6" i="264"/>
  <c r="XJ6" i="264"/>
  <c r="XI6" i="264"/>
  <c r="XH6" i="264"/>
  <c r="XG6" i="264"/>
  <c r="XF6" i="264"/>
  <c r="XE6" i="264"/>
  <c r="XD6" i="264"/>
  <c r="XC6" i="264"/>
  <c r="XB6" i="264"/>
  <c r="XA6" i="264"/>
  <c r="WZ6" i="264"/>
  <c r="WY6" i="264"/>
  <c r="WX6" i="264"/>
  <c r="WW6" i="264"/>
  <c r="WV6" i="264"/>
  <c r="WU6" i="264"/>
  <c r="WT6" i="264"/>
  <c r="WS6" i="264"/>
  <c r="WR6" i="264"/>
  <c r="WQ6" i="264"/>
  <c r="WP6" i="264"/>
  <c r="WO6" i="264"/>
  <c r="WN6" i="264"/>
  <c r="WM6" i="264"/>
  <c r="WL6" i="264"/>
  <c r="WK6" i="264"/>
  <c r="WJ6" i="264"/>
  <c r="WI6" i="264"/>
  <c r="WH6" i="264"/>
  <c r="WG6" i="264"/>
  <c r="WF6" i="264"/>
  <c r="WE6" i="264"/>
  <c r="WD6" i="264"/>
  <c r="WC6" i="264"/>
  <c r="WB6" i="264"/>
  <c r="WA6" i="264"/>
  <c r="VZ6" i="264"/>
  <c r="VY6" i="264"/>
  <c r="VX6" i="264"/>
  <c r="VW6" i="264"/>
  <c r="VV6" i="264"/>
  <c r="VU6" i="264"/>
  <c r="VT6" i="264"/>
  <c r="VS6" i="264"/>
  <c r="VR6" i="264"/>
  <c r="VQ6" i="264"/>
  <c r="VP6" i="264"/>
  <c r="VO6" i="264"/>
  <c r="VN6" i="264"/>
  <c r="VM6" i="264"/>
  <c r="VL6" i="264"/>
  <c r="VK6" i="264"/>
  <c r="VJ6" i="264"/>
  <c r="VI6" i="264"/>
  <c r="VH6" i="264"/>
  <c r="VG6" i="264"/>
  <c r="VF6" i="264"/>
  <c r="VE6" i="264"/>
  <c r="VD6" i="264"/>
  <c r="VC6" i="264"/>
  <c r="VB6" i="264"/>
  <c r="VA6" i="264"/>
  <c r="UZ6" i="264"/>
  <c r="UY6" i="264"/>
  <c r="UX6" i="264"/>
  <c r="UW6" i="264"/>
  <c r="UV6" i="264"/>
  <c r="UU6" i="264"/>
  <c r="UT6" i="264"/>
  <c r="US6" i="264"/>
  <c r="UR6" i="264"/>
  <c r="UQ6" i="264"/>
  <c r="UP6" i="264"/>
  <c r="UO6" i="264"/>
  <c r="UN6" i="264"/>
  <c r="UM6" i="264"/>
  <c r="UL6" i="264"/>
  <c r="UK6" i="264"/>
  <c r="UJ6" i="264"/>
  <c r="UI6" i="264"/>
  <c r="UH6" i="264"/>
  <c r="UG6" i="264"/>
  <c r="UF6" i="264"/>
  <c r="UE6" i="264"/>
  <c r="UD6" i="264"/>
  <c r="UC6" i="264"/>
  <c r="UB6" i="264"/>
  <c r="UA6" i="264"/>
  <c r="TZ6" i="264"/>
  <c r="TY6" i="264"/>
  <c r="TX6" i="264"/>
  <c r="TW6" i="264"/>
  <c r="TV6" i="264"/>
  <c r="TU6" i="264"/>
  <c r="TT6" i="264"/>
  <c r="TS6" i="264"/>
  <c r="TR6" i="264"/>
  <c r="TQ6" i="264"/>
  <c r="TP6" i="264"/>
  <c r="TO6" i="264"/>
  <c r="TN6" i="264"/>
  <c r="TM6" i="264"/>
  <c r="TL6" i="264"/>
  <c r="TK6" i="264"/>
  <c r="TJ6" i="264"/>
  <c r="TI6" i="264"/>
  <c r="TH6" i="264"/>
  <c r="TG6" i="264"/>
  <c r="TF6" i="264"/>
  <c r="TE6" i="264"/>
  <c r="TD6" i="264"/>
  <c r="TC6" i="264"/>
  <c r="TB6" i="264"/>
  <c r="TA6" i="264"/>
  <c r="SZ6" i="264"/>
  <c r="SY6" i="264"/>
  <c r="SX6" i="264"/>
  <c r="SW6" i="264"/>
  <c r="SV6" i="264"/>
  <c r="SU6" i="264"/>
  <c r="ST6" i="264"/>
  <c r="SS6" i="264"/>
  <c r="SR6" i="264"/>
  <c r="SQ6" i="264"/>
  <c r="SP6" i="264"/>
  <c r="SO6" i="264"/>
  <c r="SN6" i="264"/>
  <c r="SM6" i="264"/>
  <c r="SL6" i="264"/>
  <c r="SK6" i="264"/>
  <c r="SJ6" i="264"/>
  <c r="SI6" i="264"/>
  <c r="SH6" i="264"/>
  <c r="SG6" i="264"/>
  <c r="SF6" i="264"/>
  <c r="SE6" i="264"/>
  <c r="SD6" i="264"/>
  <c r="SC6" i="264"/>
  <c r="SB6" i="264"/>
  <c r="SA6" i="264"/>
  <c r="RZ6" i="264"/>
  <c r="RY6" i="264"/>
  <c r="RX6" i="264"/>
  <c r="RW6" i="264"/>
  <c r="RV6" i="264"/>
  <c r="RU6" i="264"/>
  <c r="RT6" i="264"/>
  <c r="RS6" i="264"/>
  <c r="RR6" i="264"/>
  <c r="RQ6" i="264"/>
  <c r="RP6" i="264"/>
  <c r="RO6" i="264"/>
  <c r="RN6" i="264"/>
  <c r="RM6" i="264"/>
  <c r="RL6" i="264"/>
  <c r="RK6" i="264"/>
  <c r="RJ6" i="264"/>
  <c r="RI6" i="264"/>
  <c r="RH6" i="264"/>
  <c r="RG6" i="264"/>
  <c r="RF6" i="264"/>
  <c r="RE6" i="264"/>
  <c r="RD6" i="264"/>
  <c r="RC6" i="264"/>
  <c r="RB6" i="264"/>
  <c r="RA6" i="264"/>
  <c r="QZ6" i="264"/>
  <c r="QY6" i="264"/>
  <c r="QX6" i="264"/>
  <c r="QW6" i="264"/>
  <c r="QV6" i="264"/>
  <c r="QU6" i="264"/>
  <c r="QT6" i="264"/>
  <c r="QS6" i="264"/>
  <c r="QR6" i="264"/>
  <c r="QQ6" i="264"/>
  <c r="QP6" i="264"/>
  <c r="QO6" i="264"/>
  <c r="QN6" i="264"/>
  <c r="QM6" i="264"/>
  <c r="QL6" i="264"/>
  <c r="QK6" i="264"/>
  <c r="QJ6" i="264"/>
  <c r="QI6" i="264"/>
  <c r="QH6" i="264"/>
  <c r="QG6" i="264"/>
  <c r="QF6" i="264"/>
  <c r="QE6" i="264"/>
  <c r="QD6" i="264"/>
  <c r="QC6" i="264"/>
  <c r="QB6" i="264"/>
  <c r="QA6" i="264"/>
  <c r="PZ6" i="264"/>
  <c r="PY6" i="264"/>
  <c r="PX6" i="264"/>
  <c r="PW6" i="264"/>
  <c r="PV6" i="264"/>
  <c r="PU6" i="264"/>
  <c r="PT6" i="264"/>
  <c r="PS6" i="264"/>
  <c r="PR6" i="264"/>
  <c r="PQ6" i="264"/>
  <c r="PP6" i="264"/>
  <c r="PO6" i="264"/>
  <c r="PN6" i="264"/>
  <c r="PM6" i="264"/>
  <c r="PL6" i="264"/>
  <c r="PK6" i="264"/>
  <c r="PJ6" i="264"/>
  <c r="PI6" i="264"/>
  <c r="PH6" i="264"/>
  <c r="PG6" i="264"/>
  <c r="PF6" i="264"/>
  <c r="PE6" i="264"/>
  <c r="PD6" i="264"/>
  <c r="PC6" i="264"/>
  <c r="PB6" i="264"/>
  <c r="PA6" i="264"/>
  <c r="OZ6" i="264"/>
  <c r="OY6" i="264"/>
  <c r="OX6" i="264"/>
  <c r="OW6" i="264"/>
  <c r="OV6" i="264"/>
  <c r="OU6" i="264"/>
  <c r="OT6" i="264"/>
  <c r="OS6" i="264"/>
  <c r="OR6" i="264"/>
  <c r="OQ6" i="264"/>
  <c r="OP6" i="264"/>
  <c r="OO6" i="264"/>
  <c r="ON6" i="264"/>
  <c r="OM6" i="264"/>
  <c r="OL6" i="264"/>
  <c r="OK6" i="264"/>
  <c r="OJ6" i="264"/>
  <c r="OI6" i="264"/>
  <c r="OH6" i="264"/>
  <c r="OG6" i="264"/>
  <c r="OF6" i="264"/>
  <c r="OE6" i="264"/>
  <c r="OD6" i="264"/>
  <c r="OC6" i="264"/>
  <c r="OB6" i="264"/>
  <c r="OA6" i="264"/>
  <c r="NZ6" i="264"/>
  <c r="NY6" i="264"/>
  <c r="NX6" i="264"/>
  <c r="NW6" i="264"/>
  <c r="NV6" i="264"/>
  <c r="NU6" i="264"/>
  <c r="NT6" i="264"/>
  <c r="NS6" i="264"/>
  <c r="NR6" i="264"/>
  <c r="NQ6" i="264"/>
  <c r="NP6" i="264"/>
  <c r="NO6" i="264"/>
  <c r="NN6" i="264"/>
  <c r="NM6" i="264"/>
  <c r="NL6" i="264"/>
  <c r="NK6" i="264"/>
  <c r="NJ6" i="264"/>
  <c r="NI6" i="264"/>
  <c r="NH6" i="264"/>
  <c r="NG6" i="264"/>
  <c r="NF6" i="264"/>
  <c r="NE6" i="264"/>
  <c r="ND6" i="264"/>
  <c r="NC6" i="264"/>
  <c r="NB6" i="264"/>
  <c r="NA6" i="264"/>
  <c r="MZ6" i="264"/>
  <c r="MY6" i="264"/>
  <c r="MX6" i="264"/>
  <c r="MW6" i="264"/>
  <c r="MV6" i="264"/>
  <c r="MU6" i="264"/>
  <c r="MT6" i="264"/>
  <c r="MS6" i="264"/>
  <c r="MR6" i="264"/>
  <c r="MQ6" i="264"/>
  <c r="MP6" i="264"/>
  <c r="MO6" i="264"/>
  <c r="MN6" i="264"/>
  <c r="MM6" i="264"/>
  <c r="ML6" i="264"/>
  <c r="MK6" i="264"/>
  <c r="MJ6" i="264"/>
  <c r="MI6" i="264"/>
  <c r="MH6" i="264"/>
  <c r="MG6" i="264"/>
  <c r="MF6" i="264"/>
  <c r="ME6" i="264"/>
  <c r="MD6" i="264"/>
  <c r="MC6" i="264"/>
  <c r="MB6" i="264"/>
  <c r="MA6" i="264"/>
  <c r="LZ6" i="264"/>
  <c r="LY6" i="264"/>
  <c r="LX6" i="264"/>
  <c r="LW6" i="264"/>
  <c r="LV6" i="264"/>
  <c r="LU6" i="264"/>
  <c r="LT6" i="264"/>
  <c r="LS6" i="264"/>
  <c r="LR6" i="264"/>
  <c r="LQ6" i="264"/>
  <c r="LP6" i="264"/>
  <c r="LO6" i="264"/>
  <c r="LN6" i="264"/>
  <c r="LM6" i="264"/>
  <c r="LL6" i="264"/>
  <c r="LK6" i="264"/>
  <c r="LJ6" i="264"/>
  <c r="LI6" i="264"/>
  <c r="LH6" i="264"/>
  <c r="LG6" i="264"/>
  <c r="LF6" i="264"/>
  <c r="LE6" i="264"/>
  <c r="LD6" i="264"/>
  <c r="LC6" i="264"/>
  <c r="LB6" i="264"/>
  <c r="LA6" i="264"/>
  <c r="KZ6" i="264"/>
  <c r="KY6" i="264"/>
  <c r="KX6" i="264"/>
  <c r="KW6" i="264"/>
  <c r="KV6" i="264"/>
  <c r="KU6" i="264"/>
  <c r="KT6" i="264"/>
  <c r="KS6" i="264"/>
  <c r="KR6" i="264"/>
  <c r="KQ6" i="264"/>
  <c r="KP6" i="264"/>
  <c r="KO6" i="264"/>
  <c r="KN6" i="264"/>
  <c r="KM6" i="264"/>
  <c r="KL6" i="264"/>
  <c r="KK6" i="264"/>
  <c r="KJ6" i="264"/>
  <c r="KI6" i="264"/>
  <c r="KH6" i="264"/>
  <c r="KG6" i="264"/>
  <c r="KF6" i="264"/>
  <c r="KE6" i="264"/>
  <c r="KD6" i="264"/>
  <c r="KC6" i="264"/>
  <c r="KB6" i="264"/>
  <c r="KA6" i="264"/>
  <c r="JZ6" i="264"/>
  <c r="JY6" i="264"/>
  <c r="JX6" i="264"/>
  <c r="JW6" i="264"/>
  <c r="JV6" i="264"/>
  <c r="JU6" i="264"/>
  <c r="JT6" i="264"/>
  <c r="JS6" i="264"/>
  <c r="JR6" i="264"/>
  <c r="JQ6" i="264"/>
  <c r="JP6" i="264"/>
  <c r="JO6" i="264"/>
  <c r="JN6" i="264"/>
  <c r="JM6" i="264"/>
  <c r="JL6" i="264"/>
  <c r="JK6" i="264"/>
  <c r="JJ6" i="264"/>
  <c r="JI6" i="264"/>
  <c r="JH6" i="264"/>
  <c r="JG6" i="264"/>
  <c r="JF6" i="264"/>
  <c r="JE6" i="264"/>
  <c r="JD6" i="264"/>
  <c r="JC6" i="264"/>
  <c r="JB6" i="264"/>
  <c r="JA6" i="264"/>
  <c r="IZ6" i="264"/>
  <c r="IY6" i="264"/>
  <c r="IX6" i="264"/>
  <c r="IW6" i="264"/>
  <c r="IV6" i="264"/>
  <c r="IU6" i="264"/>
  <c r="IT6" i="264"/>
  <c r="IS6" i="264"/>
  <c r="IR6" i="264"/>
  <c r="IQ6" i="264"/>
  <c r="IP6" i="264"/>
  <c r="IO6" i="264"/>
  <c r="IN6" i="264"/>
  <c r="IM6" i="264"/>
  <c r="IL6" i="264"/>
  <c r="IK6" i="264"/>
  <c r="IJ6" i="264"/>
  <c r="II6" i="264"/>
  <c r="IH6" i="264"/>
  <c r="IG6" i="264"/>
  <c r="IF6" i="264"/>
  <c r="IE6" i="264"/>
  <c r="ID6" i="264"/>
  <c r="IC6" i="264"/>
  <c r="IB6" i="264"/>
  <c r="IA6" i="264"/>
  <c r="HZ6" i="264"/>
  <c r="HY6" i="264"/>
  <c r="HX6" i="264"/>
  <c r="HW6" i="264"/>
  <c r="HV6" i="264"/>
  <c r="HU6" i="264"/>
  <c r="HT6" i="264"/>
  <c r="HS6" i="264"/>
  <c r="HR6" i="264"/>
  <c r="HQ6" i="264"/>
  <c r="HP6" i="264"/>
  <c r="HO6" i="264"/>
  <c r="HN6" i="264"/>
  <c r="HM6" i="264"/>
  <c r="HL6" i="264"/>
  <c r="HK6" i="264"/>
  <c r="HJ6" i="264"/>
  <c r="HI6" i="264"/>
  <c r="HH6" i="264"/>
  <c r="HG6" i="264"/>
  <c r="HF6" i="264"/>
  <c r="HE6" i="264"/>
  <c r="HD6" i="264"/>
  <c r="HC6" i="264"/>
  <c r="HB6" i="264"/>
  <c r="HA6" i="264"/>
  <c r="GZ6" i="264"/>
  <c r="GY6" i="264"/>
  <c r="GX6" i="264"/>
  <c r="GW6" i="264"/>
  <c r="GV6" i="264"/>
  <c r="GU6" i="264"/>
  <c r="GT6" i="264"/>
  <c r="GS6" i="264"/>
  <c r="GR6" i="264"/>
  <c r="GQ6" i="264"/>
  <c r="GP6" i="264"/>
  <c r="GO6" i="264"/>
  <c r="GN6" i="264"/>
  <c r="GM6" i="264"/>
  <c r="GL6" i="264"/>
  <c r="GK6" i="264"/>
  <c r="GJ6" i="264"/>
  <c r="GI6" i="264"/>
  <c r="GH6" i="264"/>
  <c r="GG6" i="264"/>
  <c r="GF6" i="264"/>
  <c r="GE6" i="264"/>
  <c r="GD6" i="264"/>
  <c r="GC6" i="264"/>
  <c r="GB6" i="264"/>
  <c r="GA6" i="264"/>
  <c r="FZ6" i="264"/>
  <c r="FY6" i="264"/>
  <c r="FX6" i="264"/>
  <c r="FW6" i="264"/>
  <c r="FV6" i="264"/>
  <c r="FU6" i="264"/>
  <c r="FT6" i="264"/>
  <c r="FS6" i="264"/>
  <c r="FR6" i="264"/>
  <c r="FQ6" i="264"/>
  <c r="FP6" i="264"/>
  <c r="FO6" i="264"/>
  <c r="FN6" i="264"/>
  <c r="FM6" i="264"/>
  <c r="FL6" i="264"/>
  <c r="FK6" i="264"/>
  <c r="FJ6" i="264"/>
  <c r="FI6" i="264"/>
  <c r="FH6" i="264"/>
  <c r="FG6" i="264"/>
  <c r="FF6" i="264"/>
  <c r="FE6" i="264"/>
  <c r="FD6" i="264"/>
  <c r="FC6" i="264"/>
  <c r="FB6" i="264"/>
  <c r="FA6" i="264"/>
  <c r="EZ6" i="264"/>
  <c r="EY6" i="264"/>
  <c r="EX6" i="264"/>
  <c r="EW6" i="264"/>
  <c r="EV6" i="264"/>
  <c r="EU6" i="264"/>
  <c r="ET6" i="264"/>
  <c r="ES6" i="264"/>
  <c r="ER6" i="264"/>
  <c r="EQ6" i="264"/>
  <c r="EP6" i="264"/>
  <c r="EO6" i="264"/>
  <c r="EN6" i="264"/>
  <c r="EM6" i="264"/>
  <c r="EL6" i="264"/>
  <c r="EK6" i="264"/>
  <c r="EJ6" i="264"/>
  <c r="EI6" i="264"/>
  <c r="EH6" i="264"/>
  <c r="EG6" i="264"/>
  <c r="EF6" i="264"/>
  <c r="EE6" i="264"/>
  <c r="ED6" i="264"/>
  <c r="EC6" i="264"/>
  <c r="EB6" i="264"/>
  <c r="EA6" i="264"/>
  <c r="DZ6" i="264"/>
  <c r="DY6" i="264"/>
  <c r="DX6" i="264"/>
  <c r="DW6" i="264"/>
  <c r="DV6" i="264"/>
  <c r="DU6" i="264"/>
  <c r="DT6" i="264"/>
  <c r="DS6" i="264"/>
  <c r="DR6" i="264"/>
  <c r="DQ6" i="264"/>
  <c r="DP6" i="264"/>
  <c r="DO6" i="264"/>
  <c r="DN6" i="264"/>
  <c r="DM6" i="264"/>
  <c r="DL6" i="264"/>
  <c r="DK6" i="264"/>
  <c r="DJ6" i="264"/>
  <c r="DI6" i="264"/>
  <c r="DH6" i="264"/>
  <c r="DG6" i="264"/>
  <c r="DF6" i="264"/>
  <c r="DE6" i="264"/>
  <c r="DD6" i="264"/>
  <c r="DC6" i="264"/>
  <c r="DB6" i="264"/>
  <c r="DA6" i="264"/>
  <c r="CZ6" i="264"/>
  <c r="CY6" i="264"/>
  <c r="CX6" i="264"/>
  <c r="CW6" i="264"/>
  <c r="CV6" i="264"/>
  <c r="CU6" i="264"/>
  <c r="CT6" i="264"/>
  <c r="CS6" i="264"/>
  <c r="CR6" i="264"/>
  <c r="CQ6" i="264"/>
  <c r="CP6" i="264"/>
  <c r="CO6" i="264"/>
  <c r="CN6" i="264"/>
  <c r="CM6" i="264"/>
  <c r="CL6" i="264"/>
  <c r="CK6" i="264"/>
  <c r="CJ6" i="264"/>
  <c r="CI6" i="264"/>
  <c r="CH6" i="264"/>
  <c r="CG6" i="264"/>
  <c r="CF6" i="264"/>
  <c r="CE6" i="264"/>
  <c r="CD6" i="264"/>
  <c r="CC6" i="264"/>
  <c r="CB6" i="264"/>
  <c r="CA6" i="264"/>
  <c r="BZ6" i="264"/>
  <c r="BY6" i="264"/>
  <c r="BX6" i="264"/>
  <c r="BW6" i="264"/>
  <c r="BV6" i="264"/>
  <c r="BU6" i="264"/>
  <c r="BT6" i="264"/>
  <c r="BS6" i="264"/>
  <c r="BR6" i="264"/>
  <c r="BQ6" i="264"/>
  <c r="BP6" i="264"/>
  <c r="BO6" i="264"/>
  <c r="BN6" i="264"/>
  <c r="BM6" i="264"/>
  <c r="BL6" i="264"/>
  <c r="BK6" i="264"/>
  <c r="BJ6" i="264"/>
  <c r="BI6" i="264"/>
  <c r="BH6" i="264"/>
  <c r="BG6" i="264"/>
  <c r="BF6" i="264"/>
  <c r="BE6" i="264"/>
  <c r="BD6" i="264"/>
  <c r="BC6" i="264"/>
  <c r="BB6" i="264"/>
  <c r="BA6" i="264"/>
  <c r="AZ6" i="264"/>
  <c r="AY6" i="264"/>
  <c r="AX6" i="264"/>
  <c r="AW6" i="264"/>
  <c r="AV6" i="264"/>
  <c r="AU6" i="264"/>
  <c r="AT6" i="264"/>
  <c r="AS6" i="264"/>
  <c r="AR6" i="264"/>
  <c r="AQ6" i="264"/>
  <c r="AP6" i="264"/>
  <c r="AO6" i="264"/>
  <c r="AN6" i="264"/>
  <c r="AM6" i="264"/>
  <c r="AL6" i="264"/>
  <c r="AK6" i="264"/>
  <c r="AJ6" i="264"/>
  <c r="AI6" i="264"/>
  <c r="AH102" i="263"/>
  <c r="AG102" i="263"/>
  <c r="AF102" i="263"/>
  <c r="O33" i="290" s="1"/>
  <c r="AE102" i="263"/>
  <c r="O32" i="290" s="1"/>
  <c r="AD102" i="263"/>
  <c r="O31" i="290" s="1"/>
  <c r="AC102" i="263"/>
  <c r="O30" i="290" s="1"/>
  <c r="AB102" i="263"/>
  <c r="O29" i="290" s="1"/>
  <c r="AA102" i="263"/>
  <c r="O28" i="290" s="1"/>
  <c r="Z102" i="263"/>
  <c r="O27" i="290" s="1"/>
  <c r="Y102" i="263"/>
  <c r="O26" i="290" s="1"/>
  <c r="X102" i="263"/>
  <c r="O25" i="290" s="1"/>
  <c r="W102" i="263"/>
  <c r="O24" i="290" s="1"/>
  <c r="V102" i="263"/>
  <c r="O23" i="290" s="1"/>
  <c r="U102" i="263"/>
  <c r="O22" i="290" s="1"/>
  <c r="T102" i="263"/>
  <c r="O21" i="290" s="1"/>
  <c r="S102" i="263"/>
  <c r="O20" i="290" s="1"/>
  <c r="R102" i="263"/>
  <c r="O19" i="290" s="1"/>
  <c r="Q102" i="263"/>
  <c r="O18" i="290" s="1"/>
  <c r="P102" i="263"/>
  <c r="O17" i="290" s="1"/>
  <c r="O102" i="263"/>
  <c r="O16" i="290" s="1"/>
  <c r="N102" i="263"/>
  <c r="O15" i="290" s="1"/>
  <c r="M102" i="263"/>
  <c r="O14" i="290" s="1"/>
  <c r="L102" i="263"/>
  <c r="O13" i="290" s="1"/>
  <c r="K102" i="263"/>
  <c r="O12" i="290" s="1"/>
  <c r="J102" i="263"/>
  <c r="O11" i="290" s="1"/>
  <c r="I102" i="263"/>
  <c r="O10" i="290" s="1"/>
  <c r="H102" i="263"/>
  <c r="O9" i="290" s="1"/>
  <c r="G102" i="263"/>
  <c r="O8" i="290" s="1"/>
  <c r="F102" i="263"/>
  <c r="O7" i="290" s="1"/>
  <c r="E102" i="263"/>
  <c r="O6" i="290" s="1"/>
  <c r="AH94" i="263"/>
  <c r="AG94" i="263"/>
  <c r="AF94" i="263"/>
  <c r="N33" i="290" s="1"/>
  <c r="AE94" i="263"/>
  <c r="N32" i="290" s="1"/>
  <c r="AD94" i="263"/>
  <c r="N31" i="290" s="1"/>
  <c r="AC94" i="263"/>
  <c r="N30" i="290" s="1"/>
  <c r="AB94" i="263"/>
  <c r="N29" i="290" s="1"/>
  <c r="AA94" i="263"/>
  <c r="N28" i="290" s="1"/>
  <c r="Z94" i="263"/>
  <c r="N27" i="290" s="1"/>
  <c r="Y94" i="263"/>
  <c r="N26" i="290" s="1"/>
  <c r="X94" i="263"/>
  <c r="N25" i="290" s="1"/>
  <c r="W94" i="263"/>
  <c r="N24" i="290" s="1"/>
  <c r="V94" i="263"/>
  <c r="N23" i="290" s="1"/>
  <c r="U94" i="263"/>
  <c r="N22" i="290" s="1"/>
  <c r="T94" i="263"/>
  <c r="N21" i="290" s="1"/>
  <c r="S94" i="263"/>
  <c r="N20" i="290" s="1"/>
  <c r="R94" i="263"/>
  <c r="N19" i="290" s="1"/>
  <c r="Q94" i="263"/>
  <c r="N18" i="290" s="1"/>
  <c r="P94" i="263"/>
  <c r="N17" i="290" s="1"/>
  <c r="O94" i="263"/>
  <c r="N16" i="290" s="1"/>
  <c r="N94" i="263"/>
  <c r="N15" i="290" s="1"/>
  <c r="M94" i="263"/>
  <c r="N14" i="290" s="1"/>
  <c r="L94" i="263"/>
  <c r="N13" i="290" s="1"/>
  <c r="K94" i="263"/>
  <c r="N12" i="290" s="1"/>
  <c r="J94" i="263"/>
  <c r="N11" i="290" s="1"/>
  <c r="I94" i="263"/>
  <c r="N10" i="290" s="1"/>
  <c r="H94" i="263"/>
  <c r="N9" i="290" s="1"/>
  <c r="G94" i="263"/>
  <c r="N8" i="290" s="1"/>
  <c r="F94" i="263"/>
  <c r="N7" i="290" s="1"/>
  <c r="E94" i="263"/>
  <c r="N6" i="290" s="1"/>
  <c r="AH86" i="263"/>
  <c r="AG86" i="263"/>
  <c r="AF86" i="263"/>
  <c r="M33" i="290" s="1"/>
  <c r="AE86" i="263"/>
  <c r="M32" i="290" s="1"/>
  <c r="AD86" i="263"/>
  <c r="M31" i="290" s="1"/>
  <c r="AC86" i="263"/>
  <c r="M30" i="290" s="1"/>
  <c r="AB86" i="263"/>
  <c r="M29" i="290" s="1"/>
  <c r="AA86" i="263"/>
  <c r="M28" i="290" s="1"/>
  <c r="Z86" i="263"/>
  <c r="M27" i="290" s="1"/>
  <c r="Y86" i="263"/>
  <c r="M26" i="290" s="1"/>
  <c r="X86" i="263"/>
  <c r="M25" i="290" s="1"/>
  <c r="W86" i="263"/>
  <c r="M24" i="290" s="1"/>
  <c r="V86" i="263"/>
  <c r="M23" i="290" s="1"/>
  <c r="U86" i="263"/>
  <c r="M22" i="290" s="1"/>
  <c r="T86" i="263"/>
  <c r="M21" i="290" s="1"/>
  <c r="S86" i="263"/>
  <c r="M20" i="290" s="1"/>
  <c r="R86" i="263"/>
  <c r="M19" i="290" s="1"/>
  <c r="Q86" i="263"/>
  <c r="M18" i="290" s="1"/>
  <c r="P86" i="263"/>
  <c r="M17" i="290" s="1"/>
  <c r="O86" i="263"/>
  <c r="M16" i="290" s="1"/>
  <c r="N86" i="263"/>
  <c r="M15" i="290" s="1"/>
  <c r="M86" i="263"/>
  <c r="M14" i="290" s="1"/>
  <c r="L86" i="263"/>
  <c r="M13" i="290" s="1"/>
  <c r="K86" i="263"/>
  <c r="M12" i="290" s="1"/>
  <c r="J86" i="263"/>
  <c r="M11" i="290" s="1"/>
  <c r="I86" i="263"/>
  <c r="M10" i="290" s="1"/>
  <c r="H86" i="263"/>
  <c r="M9" i="290" s="1"/>
  <c r="G86" i="263"/>
  <c r="M8" i="290" s="1"/>
  <c r="F86" i="263"/>
  <c r="M7" i="290" s="1"/>
  <c r="E86" i="263"/>
  <c r="M6" i="290" s="1"/>
  <c r="AH78" i="263"/>
  <c r="AG78" i="263"/>
  <c r="AF78" i="263"/>
  <c r="L33" i="290" s="1"/>
  <c r="AE78" i="263"/>
  <c r="L32" i="290" s="1"/>
  <c r="AD78" i="263"/>
  <c r="L31" i="290" s="1"/>
  <c r="AC78" i="263"/>
  <c r="L30" i="290" s="1"/>
  <c r="AB78" i="263"/>
  <c r="L29" i="290" s="1"/>
  <c r="AA78" i="263"/>
  <c r="L28" i="290" s="1"/>
  <c r="Z78" i="263"/>
  <c r="L27" i="290" s="1"/>
  <c r="Y78" i="263"/>
  <c r="L26" i="290" s="1"/>
  <c r="X78" i="263"/>
  <c r="L25" i="290" s="1"/>
  <c r="W78" i="263"/>
  <c r="L24" i="290" s="1"/>
  <c r="V78" i="263"/>
  <c r="L23" i="290" s="1"/>
  <c r="U78" i="263"/>
  <c r="L22" i="290" s="1"/>
  <c r="T78" i="263"/>
  <c r="L21" i="290" s="1"/>
  <c r="S78" i="263"/>
  <c r="L20" i="290" s="1"/>
  <c r="R78" i="263"/>
  <c r="L19" i="290" s="1"/>
  <c r="Q78" i="263"/>
  <c r="L18" i="290" s="1"/>
  <c r="P78" i="263"/>
  <c r="L17" i="290" s="1"/>
  <c r="O78" i="263"/>
  <c r="L16" i="290" s="1"/>
  <c r="N78" i="263"/>
  <c r="L15" i="290" s="1"/>
  <c r="M78" i="263"/>
  <c r="L14" i="290" s="1"/>
  <c r="L78" i="263"/>
  <c r="L13" i="290" s="1"/>
  <c r="K78" i="263"/>
  <c r="L12" i="290" s="1"/>
  <c r="J78" i="263"/>
  <c r="L11" i="290" s="1"/>
  <c r="I78" i="263"/>
  <c r="L10" i="290" s="1"/>
  <c r="H78" i="263"/>
  <c r="L9" i="290" s="1"/>
  <c r="G78" i="263"/>
  <c r="L8" i="290" s="1"/>
  <c r="F78" i="263"/>
  <c r="L7" i="290" s="1"/>
  <c r="E78" i="263"/>
  <c r="L6" i="290" s="1"/>
  <c r="AH70" i="263"/>
  <c r="AG70" i="263"/>
  <c r="AF70" i="263"/>
  <c r="K33" i="290" s="1"/>
  <c r="AE70" i="263"/>
  <c r="K32" i="290" s="1"/>
  <c r="AD70" i="263"/>
  <c r="K31" i="290" s="1"/>
  <c r="AC70" i="263"/>
  <c r="K30" i="290" s="1"/>
  <c r="AB70" i="263"/>
  <c r="K29" i="290" s="1"/>
  <c r="AA70" i="263"/>
  <c r="K28" i="290" s="1"/>
  <c r="Z70" i="263"/>
  <c r="K27" i="290" s="1"/>
  <c r="Y70" i="263"/>
  <c r="K26" i="290" s="1"/>
  <c r="X70" i="263"/>
  <c r="K25" i="290" s="1"/>
  <c r="W70" i="263"/>
  <c r="K24" i="290" s="1"/>
  <c r="V70" i="263"/>
  <c r="K23" i="290" s="1"/>
  <c r="U70" i="263"/>
  <c r="K22" i="290" s="1"/>
  <c r="T70" i="263"/>
  <c r="K21" i="290" s="1"/>
  <c r="S70" i="263"/>
  <c r="K20" i="290" s="1"/>
  <c r="R70" i="263"/>
  <c r="K19" i="290" s="1"/>
  <c r="Q70" i="263"/>
  <c r="K18" i="290" s="1"/>
  <c r="P70" i="263"/>
  <c r="K17" i="290" s="1"/>
  <c r="O70" i="263"/>
  <c r="K16" i="290" s="1"/>
  <c r="N70" i="263"/>
  <c r="K15" i="290" s="1"/>
  <c r="M70" i="263"/>
  <c r="K14" i="290" s="1"/>
  <c r="L70" i="263"/>
  <c r="K13" i="290" s="1"/>
  <c r="K70" i="263"/>
  <c r="K12" i="290" s="1"/>
  <c r="J70" i="263"/>
  <c r="K11" i="290" s="1"/>
  <c r="I70" i="263"/>
  <c r="K10" i="290" s="1"/>
  <c r="H70" i="263"/>
  <c r="K9" i="290" s="1"/>
  <c r="G70" i="263"/>
  <c r="K8" i="290" s="1"/>
  <c r="F70" i="263"/>
  <c r="K7" i="290" s="1"/>
  <c r="E70" i="263"/>
  <c r="K6" i="290" s="1"/>
  <c r="AH62" i="263"/>
  <c r="AG62" i="263"/>
  <c r="AF62" i="263"/>
  <c r="J33" i="290" s="1"/>
  <c r="AE62" i="263"/>
  <c r="J32" i="290" s="1"/>
  <c r="AD62" i="263"/>
  <c r="J31" i="290" s="1"/>
  <c r="AC62" i="263"/>
  <c r="J30" i="290" s="1"/>
  <c r="AB62" i="263"/>
  <c r="J29" i="290" s="1"/>
  <c r="J28" i="290"/>
  <c r="J27" i="290"/>
  <c r="J26" i="290"/>
  <c r="J25" i="290"/>
  <c r="J24" i="290"/>
  <c r="J23" i="290"/>
  <c r="J22" i="290"/>
  <c r="J21" i="290"/>
  <c r="J20" i="290"/>
  <c r="J19" i="290"/>
  <c r="J18" i="290"/>
  <c r="J17" i="290"/>
  <c r="J16" i="290"/>
  <c r="J15" i="290"/>
  <c r="J14" i="290"/>
  <c r="J13" i="290"/>
  <c r="J12" i="290"/>
  <c r="J11" i="290"/>
  <c r="J10" i="290"/>
  <c r="J9" i="290"/>
  <c r="J8" i="290"/>
  <c r="J7" i="290"/>
  <c r="J6" i="290"/>
  <c r="AH54" i="263"/>
  <c r="AG54" i="263"/>
  <c r="AF54" i="263"/>
  <c r="I33" i="290" s="1"/>
  <c r="AE54" i="263"/>
  <c r="I32" i="290" s="1"/>
  <c r="AD54" i="263"/>
  <c r="I31" i="290" s="1"/>
  <c r="AC54" i="263"/>
  <c r="I30" i="290" s="1"/>
  <c r="AB54" i="263"/>
  <c r="I29" i="290" s="1"/>
  <c r="I28" i="290"/>
  <c r="I27" i="290"/>
  <c r="I26" i="290"/>
  <c r="I25" i="290"/>
  <c r="I24" i="290"/>
  <c r="I23" i="290"/>
  <c r="I22" i="290"/>
  <c r="I21" i="290"/>
  <c r="I20" i="290"/>
  <c r="I19" i="290"/>
  <c r="I18" i="290"/>
  <c r="I17" i="290"/>
  <c r="I16" i="290"/>
  <c r="I15" i="290"/>
  <c r="I14" i="290"/>
  <c r="I13" i="290"/>
  <c r="I12" i="290"/>
  <c r="I11" i="290"/>
  <c r="I10" i="290"/>
  <c r="I9" i="290"/>
  <c r="I8" i="290"/>
  <c r="I7" i="290"/>
  <c r="I6" i="290"/>
  <c r="AH46" i="263"/>
  <c r="AG46" i="263"/>
  <c r="AF46" i="263"/>
  <c r="H33" i="290" s="1"/>
  <c r="AE46" i="263"/>
  <c r="H32" i="290" s="1"/>
  <c r="AD46" i="263"/>
  <c r="H31" i="290" s="1"/>
  <c r="AC46" i="263"/>
  <c r="H30" i="290" s="1"/>
  <c r="AB46" i="263"/>
  <c r="H29" i="290" s="1"/>
  <c r="H28" i="290"/>
  <c r="H27" i="290"/>
  <c r="H26" i="290"/>
  <c r="H25" i="290"/>
  <c r="H24" i="290"/>
  <c r="H23" i="290"/>
  <c r="H22" i="290"/>
  <c r="H21" i="290"/>
  <c r="H20" i="290"/>
  <c r="H19" i="290"/>
  <c r="H18" i="290"/>
  <c r="H17" i="290"/>
  <c r="H16" i="290"/>
  <c r="H15" i="290"/>
  <c r="H14" i="290"/>
  <c r="H13" i="290"/>
  <c r="H12" i="290"/>
  <c r="H11" i="290"/>
  <c r="H10" i="290"/>
  <c r="H9" i="290"/>
  <c r="H8" i="290"/>
  <c r="H7" i="290"/>
  <c r="H6" i="290"/>
  <c r="AH38" i="263"/>
  <c r="AG38" i="263"/>
  <c r="AF38" i="263"/>
  <c r="G33" i="290" s="1"/>
  <c r="AE38" i="263"/>
  <c r="G32" i="290" s="1"/>
  <c r="AD38" i="263"/>
  <c r="G31" i="290" s="1"/>
  <c r="AC38" i="263"/>
  <c r="G30" i="290" s="1"/>
  <c r="AB38" i="263"/>
  <c r="G29" i="290" s="1"/>
  <c r="G28" i="290"/>
  <c r="G27" i="290"/>
  <c r="G26" i="290"/>
  <c r="G25" i="290"/>
  <c r="G24" i="290"/>
  <c r="G23" i="290"/>
  <c r="G22" i="290"/>
  <c r="G21" i="290"/>
  <c r="G20" i="290"/>
  <c r="G19" i="290"/>
  <c r="G18" i="290"/>
  <c r="G17" i="290"/>
  <c r="G16" i="290"/>
  <c r="G15" i="290"/>
  <c r="G14" i="290"/>
  <c r="G13" i="290"/>
  <c r="G12" i="290"/>
  <c r="G11" i="290"/>
  <c r="G10" i="290"/>
  <c r="G9" i="290"/>
  <c r="G8" i="290"/>
  <c r="G7" i="290"/>
  <c r="G6" i="290"/>
  <c r="AH30" i="263"/>
  <c r="AG30" i="263"/>
  <c r="AF30" i="263"/>
  <c r="F33" i="290" s="1"/>
  <c r="AE30" i="263"/>
  <c r="F32" i="290" s="1"/>
  <c r="AD30" i="263"/>
  <c r="F31" i="290" s="1"/>
  <c r="AC30" i="263"/>
  <c r="F30" i="290" s="1"/>
  <c r="AB30" i="263"/>
  <c r="F29" i="290" s="1"/>
  <c r="F28" i="290"/>
  <c r="F27" i="290"/>
  <c r="F26" i="290"/>
  <c r="F25" i="290"/>
  <c r="F24" i="290"/>
  <c r="F23" i="290"/>
  <c r="F22" i="290"/>
  <c r="F21" i="290"/>
  <c r="F20" i="290"/>
  <c r="F19" i="290"/>
  <c r="F18" i="290"/>
  <c r="F17" i="290"/>
  <c r="F16" i="290"/>
  <c r="F15" i="290"/>
  <c r="F14" i="290"/>
  <c r="F13" i="290"/>
  <c r="F12" i="290"/>
  <c r="F11" i="290"/>
  <c r="F10" i="290"/>
  <c r="F9" i="290"/>
  <c r="F8" i="290"/>
  <c r="F7" i="290"/>
  <c r="F6" i="290"/>
  <c r="D6" i="290"/>
  <c r="E6" i="290"/>
  <c r="AH22" i="263"/>
  <c r="AG22" i="263"/>
  <c r="AF22" i="263"/>
  <c r="E33" i="290" s="1"/>
  <c r="AE22" i="263"/>
  <c r="E32" i="290" s="1"/>
  <c r="AD22" i="263"/>
  <c r="E31" i="290" s="1"/>
  <c r="AC22" i="263"/>
  <c r="E30" i="290" s="1"/>
  <c r="AB22" i="263"/>
  <c r="E29" i="290" s="1"/>
  <c r="E28" i="290"/>
  <c r="E27" i="290"/>
  <c r="E26" i="290"/>
  <c r="E25" i="290"/>
  <c r="E24" i="290"/>
  <c r="E23" i="290"/>
  <c r="E22" i="290"/>
  <c r="E21" i="290"/>
  <c r="E20" i="290"/>
  <c r="E19" i="290"/>
  <c r="E18" i="290"/>
  <c r="E17" i="290"/>
  <c r="E16" i="290"/>
  <c r="E15" i="290"/>
  <c r="E14" i="290"/>
  <c r="E13" i="290"/>
  <c r="E12" i="290"/>
  <c r="E11" i="290"/>
  <c r="E10" i="290"/>
  <c r="E9" i="290"/>
  <c r="E8" i="290"/>
  <c r="E7" i="290"/>
  <c r="AH14" i="263"/>
  <c r="AG14" i="263"/>
  <c r="AF14" i="263"/>
  <c r="D33" i="290" s="1"/>
  <c r="AE14" i="263"/>
  <c r="D32" i="290" s="1"/>
  <c r="AD14" i="263"/>
  <c r="D31" i="290" s="1"/>
  <c r="AC14" i="263"/>
  <c r="D30" i="290" s="1"/>
  <c r="AB14" i="263"/>
  <c r="D29" i="290" s="1"/>
  <c r="D28" i="290"/>
  <c r="D27" i="290"/>
  <c r="D26" i="290"/>
  <c r="D25" i="290"/>
  <c r="D24" i="290"/>
  <c r="D23" i="290"/>
  <c r="D22" i="290"/>
  <c r="D21" i="290"/>
  <c r="D20" i="290"/>
  <c r="D19" i="290"/>
  <c r="D18" i="290"/>
  <c r="D17" i="290"/>
  <c r="D16" i="290"/>
  <c r="D15" i="290"/>
  <c r="D14" i="290"/>
  <c r="D13" i="290"/>
  <c r="D12" i="290"/>
  <c r="D11" i="290"/>
  <c r="D10" i="290"/>
  <c r="D9" i="290"/>
  <c r="D8" i="290"/>
  <c r="D7" i="290"/>
  <c r="C7" i="290"/>
  <c r="C8" i="290"/>
  <c r="C9" i="290"/>
  <c r="C10" i="290"/>
  <c r="C11" i="290"/>
  <c r="C12" i="290"/>
  <c r="C13" i="290"/>
  <c r="C14" i="290"/>
  <c r="C15" i="290"/>
  <c r="C16" i="290"/>
  <c r="C17" i="290"/>
  <c r="C18" i="290"/>
  <c r="C19" i="290"/>
  <c r="C20" i="290"/>
  <c r="C21" i="290"/>
  <c r="C22" i="290"/>
  <c r="C23" i="290"/>
  <c r="C24" i="290"/>
  <c r="C25" i="290"/>
  <c r="C26" i="290"/>
  <c r="C27" i="290"/>
  <c r="C28" i="290"/>
  <c r="AB6" i="263"/>
  <c r="AC6" i="263"/>
  <c r="AD6" i="263"/>
  <c r="AE6" i="263"/>
  <c r="AF6" i="263"/>
  <c r="AG6" i="263"/>
  <c r="AH6" i="263"/>
  <c r="AI6" i="263"/>
  <c r="AI118" i="263" s="1"/>
  <c r="AJ6" i="263"/>
  <c r="AJ118" i="263" s="1"/>
  <c r="AK6" i="263"/>
  <c r="AK118" i="263" s="1"/>
  <c r="AL6" i="263"/>
  <c r="AL118" i="263" s="1"/>
  <c r="AM6" i="263"/>
  <c r="AM118" i="263" s="1"/>
  <c r="AN6" i="263"/>
  <c r="AN118" i="263" s="1"/>
  <c r="AO6" i="263"/>
  <c r="AO118" i="263" s="1"/>
  <c r="AP6" i="263"/>
  <c r="AP118" i="263" s="1"/>
  <c r="AQ6" i="263"/>
  <c r="AQ118" i="263" s="1"/>
  <c r="AR6" i="263"/>
  <c r="AR118" i="263" s="1"/>
  <c r="AS6" i="263"/>
  <c r="AS118" i="263" s="1"/>
  <c r="AT6" i="263"/>
  <c r="AT118" i="263" s="1"/>
  <c r="AU6" i="263"/>
  <c r="AU118" i="263" s="1"/>
  <c r="AV6" i="263"/>
  <c r="AV118" i="263" s="1"/>
  <c r="AW6" i="263"/>
  <c r="AW118" i="263" s="1"/>
  <c r="AX6" i="263"/>
  <c r="AX118" i="263" s="1"/>
  <c r="AY6" i="263"/>
  <c r="AY118" i="263" s="1"/>
  <c r="AZ6" i="263"/>
  <c r="AZ118" i="263" s="1"/>
  <c r="BA6" i="263"/>
  <c r="BA118" i="263" s="1"/>
  <c r="BB6" i="263"/>
  <c r="BB118" i="263" s="1"/>
  <c r="BC6" i="263"/>
  <c r="BC118" i="263" s="1"/>
  <c r="BD6" i="263"/>
  <c r="BD118" i="263" s="1"/>
  <c r="BE6" i="263"/>
  <c r="BE118" i="263" s="1"/>
  <c r="BF6" i="263"/>
  <c r="BF118" i="263" s="1"/>
  <c r="BG6" i="263"/>
  <c r="BG118" i="263" s="1"/>
  <c r="BH6" i="263"/>
  <c r="BH118" i="263" s="1"/>
  <c r="BI6" i="263"/>
  <c r="BI118" i="263" s="1"/>
  <c r="BJ6" i="263"/>
  <c r="BJ118" i="263" s="1"/>
  <c r="BK6" i="263"/>
  <c r="BK118" i="263" s="1"/>
  <c r="BL6" i="263"/>
  <c r="BL118" i="263" s="1"/>
  <c r="BM6" i="263"/>
  <c r="BM118" i="263" s="1"/>
  <c r="BN6" i="263"/>
  <c r="BN118" i="263" s="1"/>
  <c r="BO6" i="263"/>
  <c r="BO118" i="263" s="1"/>
  <c r="BP6" i="263"/>
  <c r="BP118" i="263" s="1"/>
  <c r="BQ6" i="263"/>
  <c r="BQ118" i="263" s="1"/>
  <c r="BR6" i="263"/>
  <c r="BR118" i="263" s="1"/>
  <c r="BS6" i="263"/>
  <c r="BS118" i="263" s="1"/>
  <c r="BT6" i="263"/>
  <c r="BT118" i="263" s="1"/>
  <c r="BU6" i="263"/>
  <c r="BU118" i="263" s="1"/>
  <c r="BV6" i="263"/>
  <c r="BV118" i="263" s="1"/>
  <c r="BW6" i="263"/>
  <c r="BW118" i="263" s="1"/>
  <c r="BX6" i="263"/>
  <c r="BX118" i="263" s="1"/>
  <c r="BY6" i="263"/>
  <c r="BY118" i="263" s="1"/>
  <c r="BZ6" i="263"/>
  <c r="BZ118" i="263" s="1"/>
  <c r="CA6" i="263"/>
  <c r="CA118" i="263" s="1"/>
  <c r="CB6" i="263"/>
  <c r="CB118" i="263" s="1"/>
  <c r="CC6" i="263"/>
  <c r="CC118" i="263" s="1"/>
  <c r="CD6" i="263"/>
  <c r="CD118" i="263" s="1"/>
  <c r="CE6" i="263"/>
  <c r="CE118" i="263" s="1"/>
  <c r="CF6" i="263"/>
  <c r="CF118" i="263" s="1"/>
  <c r="CG6" i="263"/>
  <c r="CG118" i="263" s="1"/>
  <c r="CH6" i="263"/>
  <c r="CH118" i="263" s="1"/>
  <c r="CI6" i="263"/>
  <c r="CI118" i="263" s="1"/>
  <c r="CJ6" i="263"/>
  <c r="CJ118" i="263" s="1"/>
  <c r="CK6" i="263"/>
  <c r="CK118" i="263" s="1"/>
  <c r="CL6" i="263"/>
  <c r="CL118" i="263" s="1"/>
  <c r="CM6" i="263"/>
  <c r="CM118" i="263" s="1"/>
  <c r="CN6" i="263"/>
  <c r="CN118" i="263" s="1"/>
  <c r="CO6" i="263"/>
  <c r="CO118" i="263" s="1"/>
  <c r="CP6" i="263"/>
  <c r="CP118" i="263" s="1"/>
  <c r="CQ6" i="263"/>
  <c r="CQ118" i="263" s="1"/>
  <c r="CR6" i="263"/>
  <c r="CR118" i="263" s="1"/>
  <c r="CS6" i="263"/>
  <c r="CS118" i="263" s="1"/>
  <c r="CT6" i="263"/>
  <c r="CT118" i="263" s="1"/>
  <c r="CU6" i="263"/>
  <c r="CU118" i="263" s="1"/>
  <c r="CV6" i="263"/>
  <c r="CV118" i="263" s="1"/>
  <c r="CW6" i="263"/>
  <c r="CW118" i="263" s="1"/>
  <c r="CX6" i="263"/>
  <c r="CX118" i="263" s="1"/>
  <c r="CY6" i="263"/>
  <c r="CY118" i="263" s="1"/>
  <c r="CZ6" i="263"/>
  <c r="CZ118" i="263" s="1"/>
  <c r="DA6" i="263"/>
  <c r="DA118" i="263" s="1"/>
  <c r="DB6" i="263"/>
  <c r="DB118" i="263" s="1"/>
  <c r="DC6" i="263"/>
  <c r="DC118" i="263" s="1"/>
  <c r="DD6" i="263"/>
  <c r="DD118" i="263" s="1"/>
  <c r="DE6" i="263"/>
  <c r="DE118" i="263" s="1"/>
  <c r="DF6" i="263"/>
  <c r="DF118" i="263" s="1"/>
  <c r="DG6" i="263"/>
  <c r="DG118" i="263" s="1"/>
  <c r="DH6" i="263"/>
  <c r="DH118" i="263" s="1"/>
  <c r="DI6" i="263"/>
  <c r="DI118" i="263" s="1"/>
  <c r="DJ6" i="263"/>
  <c r="DJ118" i="263" s="1"/>
  <c r="DK6" i="263"/>
  <c r="DK118" i="263" s="1"/>
  <c r="DL6" i="263"/>
  <c r="DL118" i="263" s="1"/>
  <c r="DM6" i="263"/>
  <c r="DM118" i="263" s="1"/>
  <c r="DN6" i="263"/>
  <c r="DN118" i="263" s="1"/>
  <c r="DO6" i="263"/>
  <c r="DO118" i="263" s="1"/>
  <c r="DP6" i="263"/>
  <c r="DP118" i="263" s="1"/>
  <c r="DQ6" i="263"/>
  <c r="DQ118" i="263" s="1"/>
  <c r="DR6" i="263"/>
  <c r="DR118" i="263" s="1"/>
  <c r="DS6" i="263"/>
  <c r="DS118" i="263" s="1"/>
  <c r="DT6" i="263"/>
  <c r="DT118" i="263" s="1"/>
  <c r="DU6" i="263"/>
  <c r="DU118" i="263" s="1"/>
  <c r="DV6" i="263"/>
  <c r="DV118" i="263" s="1"/>
  <c r="DW6" i="263"/>
  <c r="DW118" i="263" s="1"/>
  <c r="DX6" i="263"/>
  <c r="DX118" i="263" s="1"/>
  <c r="DY6" i="263"/>
  <c r="DY118" i="263" s="1"/>
  <c r="DZ6" i="263"/>
  <c r="DZ118" i="263" s="1"/>
  <c r="EA6" i="263"/>
  <c r="EA118" i="263" s="1"/>
  <c r="EB6" i="263"/>
  <c r="EB118" i="263" s="1"/>
  <c r="EC6" i="263"/>
  <c r="EC118" i="263" s="1"/>
  <c r="ED6" i="263"/>
  <c r="ED118" i="263" s="1"/>
  <c r="EE6" i="263"/>
  <c r="EE118" i="263" s="1"/>
  <c r="EF6" i="263"/>
  <c r="EF118" i="263" s="1"/>
  <c r="EG6" i="263"/>
  <c r="EG118" i="263" s="1"/>
  <c r="EH6" i="263"/>
  <c r="EH118" i="263" s="1"/>
  <c r="EI6" i="263"/>
  <c r="EI118" i="263" s="1"/>
  <c r="EJ6" i="263"/>
  <c r="EJ118" i="263" s="1"/>
  <c r="EK6" i="263"/>
  <c r="EK118" i="263" s="1"/>
  <c r="EL6" i="263"/>
  <c r="EL118" i="263" s="1"/>
  <c r="EM6" i="263"/>
  <c r="EM118" i="263" s="1"/>
  <c r="EN6" i="263"/>
  <c r="EN118" i="263" s="1"/>
  <c r="EO6" i="263"/>
  <c r="EO118" i="263" s="1"/>
  <c r="EP6" i="263"/>
  <c r="EP118" i="263" s="1"/>
  <c r="EQ6" i="263"/>
  <c r="EQ118" i="263" s="1"/>
  <c r="ER6" i="263"/>
  <c r="ER118" i="263" s="1"/>
  <c r="ES6" i="263"/>
  <c r="ES118" i="263" s="1"/>
  <c r="ET6" i="263"/>
  <c r="ET118" i="263" s="1"/>
  <c r="EU6" i="263"/>
  <c r="EU118" i="263" s="1"/>
  <c r="EV6" i="263"/>
  <c r="EV118" i="263" s="1"/>
  <c r="EW6" i="263"/>
  <c r="EW118" i="263" s="1"/>
  <c r="EX6" i="263"/>
  <c r="EX118" i="263" s="1"/>
  <c r="EY6" i="263"/>
  <c r="EY118" i="263" s="1"/>
  <c r="EZ6" i="263"/>
  <c r="EZ118" i="263" s="1"/>
  <c r="FA6" i="263"/>
  <c r="FA118" i="263" s="1"/>
  <c r="FB6" i="263"/>
  <c r="FB118" i="263" s="1"/>
  <c r="FC6" i="263"/>
  <c r="FC118" i="263" s="1"/>
  <c r="FD6" i="263"/>
  <c r="FD118" i="263" s="1"/>
  <c r="FE6" i="263"/>
  <c r="FE118" i="263" s="1"/>
  <c r="FF6" i="263"/>
  <c r="FF118" i="263" s="1"/>
  <c r="FG6" i="263"/>
  <c r="FG118" i="263" s="1"/>
  <c r="FH6" i="263"/>
  <c r="FH118" i="263" s="1"/>
  <c r="FI6" i="263"/>
  <c r="FI118" i="263" s="1"/>
  <c r="FJ6" i="263"/>
  <c r="FJ118" i="263" s="1"/>
  <c r="FK6" i="263"/>
  <c r="FK118" i="263" s="1"/>
  <c r="FL6" i="263"/>
  <c r="FL118" i="263" s="1"/>
  <c r="FM6" i="263"/>
  <c r="FM118" i="263" s="1"/>
  <c r="FN6" i="263"/>
  <c r="FN118" i="263" s="1"/>
  <c r="FO6" i="263"/>
  <c r="FO118" i="263" s="1"/>
  <c r="FP6" i="263"/>
  <c r="FP118" i="263" s="1"/>
  <c r="FQ6" i="263"/>
  <c r="FQ118" i="263" s="1"/>
  <c r="FR6" i="263"/>
  <c r="FR118" i="263" s="1"/>
  <c r="FS6" i="263"/>
  <c r="FS118" i="263" s="1"/>
  <c r="FT6" i="263"/>
  <c r="FT118" i="263" s="1"/>
  <c r="FU6" i="263"/>
  <c r="FU118" i="263" s="1"/>
  <c r="FV6" i="263"/>
  <c r="FV118" i="263" s="1"/>
  <c r="FW6" i="263"/>
  <c r="FW118" i="263" s="1"/>
  <c r="FX6" i="263"/>
  <c r="FX118" i="263" s="1"/>
  <c r="FY6" i="263"/>
  <c r="FY118" i="263" s="1"/>
  <c r="FZ6" i="263"/>
  <c r="FZ118" i="263" s="1"/>
  <c r="GA6" i="263"/>
  <c r="GA118" i="263" s="1"/>
  <c r="GB6" i="263"/>
  <c r="GB118" i="263" s="1"/>
  <c r="GC6" i="263"/>
  <c r="GC118" i="263" s="1"/>
  <c r="GD6" i="263"/>
  <c r="GD118" i="263" s="1"/>
  <c r="GE6" i="263"/>
  <c r="GE118" i="263" s="1"/>
  <c r="GF6" i="263"/>
  <c r="GF118" i="263" s="1"/>
  <c r="GG6" i="263"/>
  <c r="GG118" i="263" s="1"/>
  <c r="GH6" i="263"/>
  <c r="GH118" i="263" s="1"/>
  <c r="GI6" i="263"/>
  <c r="GI118" i="263" s="1"/>
  <c r="GJ6" i="263"/>
  <c r="GJ118" i="263" s="1"/>
  <c r="GK6" i="263"/>
  <c r="GK118" i="263" s="1"/>
  <c r="GL6" i="263"/>
  <c r="GL118" i="263" s="1"/>
  <c r="GM6" i="263"/>
  <c r="GM118" i="263" s="1"/>
  <c r="GN6" i="263"/>
  <c r="GN118" i="263" s="1"/>
  <c r="GO6" i="263"/>
  <c r="GO118" i="263" s="1"/>
  <c r="GP6" i="263"/>
  <c r="GP118" i="263" s="1"/>
  <c r="GQ6" i="263"/>
  <c r="GQ118" i="263" s="1"/>
  <c r="GR6" i="263"/>
  <c r="GR118" i="263" s="1"/>
  <c r="GS6" i="263"/>
  <c r="GS118" i="263" s="1"/>
  <c r="GT6" i="263"/>
  <c r="GT118" i="263" s="1"/>
  <c r="GU6" i="263"/>
  <c r="GU118" i="263" s="1"/>
  <c r="GV6" i="263"/>
  <c r="GV118" i="263" s="1"/>
  <c r="GW6" i="263"/>
  <c r="GW118" i="263" s="1"/>
  <c r="GX6" i="263"/>
  <c r="GX118" i="263" s="1"/>
  <c r="GY6" i="263"/>
  <c r="GY118" i="263" s="1"/>
  <c r="GZ6" i="263"/>
  <c r="GZ118" i="263" s="1"/>
  <c r="HA6" i="263"/>
  <c r="HA118" i="263" s="1"/>
  <c r="HB6" i="263"/>
  <c r="HB118" i="263" s="1"/>
  <c r="HC6" i="263"/>
  <c r="HC118" i="263" s="1"/>
  <c r="HD6" i="263"/>
  <c r="HD118" i="263" s="1"/>
  <c r="HE6" i="263"/>
  <c r="HE118" i="263" s="1"/>
  <c r="HF6" i="263"/>
  <c r="HF118" i="263" s="1"/>
  <c r="HG6" i="263"/>
  <c r="HG118" i="263" s="1"/>
  <c r="HH6" i="263"/>
  <c r="HH118" i="263" s="1"/>
  <c r="HI6" i="263"/>
  <c r="HI118" i="263" s="1"/>
  <c r="HJ6" i="263"/>
  <c r="HJ118" i="263" s="1"/>
  <c r="HK6" i="263"/>
  <c r="HK118" i="263" s="1"/>
  <c r="HL6" i="263"/>
  <c r="HL118" i="263" s="1"/>
  <c r="HM6" i="263"/>
  <c r="HM118" i="263" s="1"/>
  <c r="HN6" i="263"/>
  <c r="HN118" i="263" s="1"/>
  <c r="HO6" i="263"/>
  <c r="HO118" i="263" s="1"/>
  <c r="HP6" i="263"/>
  <c r="HP118" i="263" s="1"/>
  <c r="HQ6" i="263"/>
  <c r="HQ118" i="263" s="1"/>
  <c r="HR6" i="263"/>
  <c r="HR118" i="263" s="1"/>
  <c r="HS6" i="263"/>
  <c r="HS118" i="263" s="1"/>
  <c r="HT6" i="263"/>
  <c r="HT118" i="263" s="1"/>
  <c r="HU6" i="263"/>
  <c r="HU118" i="263" s="1"/>
  <c r="HV6" i="263"/>
  <c r="HV118" i="263" s="1"/>
  <c r="HW6" i="263"/>
  <c r="HW118" i="263" s="1"/>
  <c r="HX6" i="263"/>
  <c r="HX118" i="263" s="1"/>
  <c r="HY6" i="263"/>
  <c r="HY118" i="263" s="1"/>
  <c r="HZ6" i="263"/>
  <c r="HZ118" i="263" s="1"/>
  <c r="IA6" i="263"/>
  <c r="IA118" i="263" s="1"/>
  <c r="IB6" i="263"/>
  <c r="IB118" i="263" s="1"/>
  <c r="IC6" i="263"/>
  <c r="IC118" i="263" s="1"/>
  <c r="ID6" i="263"/>
  <c r="ID118" i="263" s="1"/>
  <c r="IE6" i="263"/>
  <c r="IE118" i="263" s="1"/>
  <c r="IF6" i="263"/>
  <c r="IF118" i="263" s="1"/>
  <c r="IG6" i="263"/>
  <c r="IG118" i="263" s="1"/>
  <c r="IH6" i="263"/>
  <c r="IH118" i="263" s="1"/>
  <c r="II6" i="263"/>
  <c r="II118" i="263" s="1"/>
  <c r="IJ6" i="263"/>
  <c r="IJ118" i="263" s="1"/>
  <c r="IK6" i="263"/>
  <c r="IK118" i="263" s="1"/>
  <c r="IL6" i="263"/>
  <c r="IL118" i="263" s="1"/>
  <c r="IM6" i="263"/>
  <c r="IM118" i="263" s="1"/>
  <c r="IN6" i="263"/>
  <c r="IN118" i="263" s="1"/>
  <c r="IO6" i="263"/>
  <c r="IO118" i="263" s="1"/>
  <c r="IP6" i="263"/>
  <c r="IP118" i="263" s="1"/>
  <c r="IQ6" i="263"/>
  <c r="IQ118" i="263" s="1"/>
  <c r="IR6" i="263"/>
  <c r="IR118" i="263" s="1"/>
  <c r="IS6" i="263"/>
  <c r="IS118" i="263" s="1"/>
  <c r="IT6" i="263"/>
  <c r="IT118" i="263" s="1"/>
  <c r="IU6" i="263"/>
  <c r="IU118" i="263" s="1"/>
  <c r="IV6" i="263"/>
  <c r="IV118" i="263" s="1"/>
  <c r="IW6" i="263"/>
  <c r="IW118" i="263" s="1"/>
  <c r="IX6" i="263"/>
  <c r="IX118" i="263" s="1"/>
  <c r="IY6" i="263"/>
  <c r="IY118" i="263" s="1"/>
  <c r="IZ6" i="263"/>
  <c r="IZ118" i="263" s="1"/>
  <c r="JA6" i="263"/>
  <c r="JA118" i="263" s="1"/>
  <c r="JB6" i="263"/>
  <c r="JB118" i="263" s="1"/>
  <c r="JC6" i="263"/>
  <c r="JC118" i="263" s="1"/>
  <c r="JD6" i="263"/>
  <c r="JD118" i="263" s="1"/>
  <c r="JE6" i="263"/>
  <c r="JE118" i="263" s="1"/>
  <c r="JF6" i="263"/>
  <c r="JF118" i="263" s="1"/>
  <c r="JG6" i="263"/>
  <c r="JG118" i="263" s="1"/>
  <c r="JH6" i="263"/>
  <c r="JH118" i="263" s="1"/>
  <c r="JI6" i="263"/>
  <c r="JI118" i="263" s="1"/>
  <c r="JJ6" i="263"/>
  <c r="JJ118" i="263" s="1"/>
  <c r="JK6" i="263"/>
  <c r="JK118" i="263" s="1"/>
  <c r="JL6" i="263"/>
  <c r="JL118" i="263" s="1"/>
  <c r="JM6" i="263"/>
  <c r="JM118" i="263" s="1"/>
  <c r="JN6" i="263"/>
  <c r="JN118" i="263" s="1"/>
  <c r="JO6" i="263"/>
  <c r="JO118" i="263" s="1"/>
  <c r="JP6" i="263"/>
  <c r="JP118" i="263" s="1"/>
  <c r="JQ6" i="263"/>
  <c r="JQ118" i="263" s="1"/>
  <c r="JR6" i="263"/>
  <c r="JR118" i="263" s="1"/>
  <c r="JS6" i="263"/>
  <c r="JS118" i="263" s="1"/>
  <c r="JT6" i="263"/>
  <c r="JT118" i="263" s="1"/>
  <c r="JU6" i="263"/>
  <c r="JU118" i="263" s="1"/>
  <c r="JV6" i="263"/>
  <c r="JV118" i="263" s="1"/>
  <c r="JW6" i="263"/>
  <c r="JW118" i="263" s="1"/>
  <c r="JX6" i="263"/>
  <c r="JX118" i="263" s="1"/>
  <c r="JY6" i="263"/>
  <c r="JY118" i="263" s="1"/>
  <c r="JZ6" i="263"/>
  <c r="JZ118" i="263" s="1"/>
  <c r="KA6" i="263"/>
  <c r="KA118" i="263" s="1"/>
  <c r="KB6" i="263"/>
  <c r="KB118" i="263" s="1"/>
  <c r="KC6" i="263"/>
  <c r="KC118" i="263" s="1"/>
  <c r="KD6" i="263"/>
  <c r="KD118" i="263" s="1"/>
  <c r="KE6" i="263"/>
  <c r="KE118" i="263" s="1"/>
  <c r="KF6" i="263"/>
  <c r="KF118" i="263" s="1"/>
  <c r="KG6" i="263"/>
  <c r="KG118" i="263" s="1"/>
  <c r="KH6" i="263"/>
  <c r="KH118" i="263" s="1"/>
  <c r="KI6" i="263"/>
  <c r="KI118" i="263" s="1"/>
  <c r="KJ6" i="263"/>
  <c r="KJ118" i="263" s="1"/>
  <c r="KK6" i="263"/>
  <c r="KK118" i="263" s="1"/>
  <c r="KL6" i="263"/>
  <c r="KL118" i="263" s="1"/>
  <c r="KM6" i="263"/>
  <c r="KM118" i="263" s="1"/>
  <c r="KN6" i="263"/>
  <c r="KN118" i="263" s="1"/>
  <c r="KO6" i="263"/>
  <c r="KO118" i="263" s="1"/>
  <c r="KP6" i="263"/>
  <c r="KP118" i="263" s="1"/>
  <c r="KQ6" i="263"/>
  <c r="KQ118" i="263" s="1"/>
  <c r="KR6" i="263"/>
  <c r="KR118" i="263" s="1"/>
  <c r="KS6" i="263"/>
  <c r="KS118" i="263" s="1"/>
  <c r="KT6" i="263"/>
  <c r="KT118" i="263" s="1"/>
  <c r="KU6" i="263"/>
  <c r="KU118" i="263" s="1"/>
  <c r="KV6" i="263"/>
  <c r="KV118" i="263" s="1"/>
  <c r="KW6" i="263"/>
  <c r="KW118" i="263" s="1"/>
  <c r="KX6" i="263"/>
  <c r="KX118" i="263" s="1"/>
  <c r="KY6" i="263"/>
  <c r="KY118" i="263" s="1"/>
  <c r="KZ6" i="263"/>
  <c r="KZ118" i="263" s="1"/>
  <c r="LA6" i="263"/>
  <c r="LA118" i="263" s="1"/>
  <c r="LB6" i="263"/>
  <c r="LB118" i="263" s="1"/>
  <c r="LC6" i="263"/>
  <c r="LC118" i="263" s="1"/>
  <c r="LD6" i="263"/>
  <c r="LD118" i="263" s="1"/>
  <c r="LE6" i="263"/>
  <c r="LE118" i="263" s="1"/>
  <c r="LF6" i="263"/>
  <c r="LF118" i="263" s="1"/>
  <c r="LG6" i="263"/>
  <c r="LG118" i="263" s="1"/>
  <c r="LH6" i="263"/>
  <c r="LH118" i="263" s="1"/>
  <c r="LI6" i="263"/>
  <c r="LI118" i="263" s="1"/>
  <c r="LJ6" i="263"/>
  <c r="LJ118" i="263" s="1"/>
  <c r="LK6" i="263"/>
  <c r="LK118" i="263" s="1"/>
  <c r="LL6" i="263"/>
  <c r="LL118" i="263" s="1"/>
  <c r="LM6" i="263"/>
  <c r="LM118" i="263" s="1"/>
  <c r="LN6" i="263"/>
  <c r="LN118" i="263" s="1"/>
  <c r="LO6" i="263"/>
  <c r="LO118" i="263" s="1"/>
  <c r="LP6" i="263"/>
  <c r="LP118" i="263" s="1"/>
  <c r="LQ6" i="263"/>
  <c r="LQ118" i="263" s="1"/>
  <c r="LR6" i="263"/>
  <c r="LR118" i="263" s="1"/>
  <c r="LS6" i="263"/>
  <c r="LS118" i="263" s="1"/>
  <c r="LT6" i="263"/>
  <c r="LT118" i="263" s="1"/>
  <c r="LU6" i="263"/>
  <c r="LU118" i="263" s="1"/>
  <c r="LV6" i="263"/>
  <c r="LV118" i="263" s="1"/>
  <c r="LW6" i="263"/>
  <c r="LW118" i="263" s="1"/>
  <c r="LX6" i="263"/>
  <c r="LX118" i="263" s="1"/>
  <c r="LY6" i="263"/>
  <c r="LY118" i="263" s="1"/>
  <c r="LZ6" i="263"/>
  <c r="LZ118" i="263" s="1"/>
  <c r="MA6" i="263"/>
  <c r="MA118" i="263" s="1"/>
  <c r="MB6" i="263"/>
  <c r="MB118" i="263" s="1"/>
  <c r="MC6" i="263"/>
  <c r="MC118" i="263" s="1"/>
  <c r="MD6" i="263"/>
  <c r="MD118" i="263" s="1"/>
  <c r="ME6" i="263"/>
  <c r="ME118" i="263" s="1"/>
  <c r="MF6" i="263"/>
  <c r="MF118" i="263" s="1"/>
  <c r="MG6" i="263"/>
  <c r="MG118" i="263" s="1"/>
  <c r="MH6" i="263"/>
  <c r="MH118" i="263" s="1"/>
  <c r="MI6" i="263"/>
  <c r="MI118" i="263" s="1"/>
  <c r="MJ6" i="263"/>
  <c r="MJ118" i="263" s="1"/>
  <c r="MK6" i="263"/>
  <c r="MK118" i="263" s="1"/>
  <c r="ML6" i="263"/>
  <c r="ML118" i="263" s="1"/>
  <c r="MM6" i="263"/>
  <c r="MM118" i="263" s="1"/>
  <c r="MN6" i="263"/>
  <c r="MN118" i="263" s="1"/>
  <c r="MO6" i="263"/>
  <c r="MO118" i="263" s="1"/>
  <c r="MP6" i="263"/>
  <c r="MP118" i="263" s="1"/>
  <c r="MQ6" i="263"/>
  <c r="MQ118" i="263" s="1"/>
  <c r="MR6" i="263"/>
  <c r="MR118" i="263" s="1"/>
  <c r="MS6" i="263"/>
  <c r="MS118" i="263" s="1"/>
  <c r="MT6" i="263"/>
  <c r="MT118" i="263" s="1"/>
  <c r="MU6" i="263"/>
  <c r="MU118" i="263" s="1"/>
  <c r="MV6" i="263"/>
  <c r="MV118" i="263" s="1"/>
  <c r="MW6" i="263"/>
  <c r="MW118" i="263" s="1"/>
  <c r="MX6" i="263"/>
  <c r="MX118" i="263" s="1"/>
  <c r="MY6" i="263"/>
  <c r="MY118" i="263" s="1"/>
  <c r="MZ6" i="263"/>
  <c r="MZ118" i="263" s="1"/>
  <c r="NA6" i="263"/>
  <c r="NA118" i="263" s="1"/>
  <c r="NB6" i="263"/>
  <c r="NB118" i="263" s="1"/>
  <c r="NC6" i="263"/>
  <c r="NC118" i="263" s="1"/>
  <c r="ND6" i="263"/>
  <c r="ND118" i="263" s="1"/>
  <c r="NE6" i="263"/>
  <c r="NE118" i="263" s="1"/>
  <c r="NF6" i="263"/>
  <c r="NF118" i="263" s="1"/>
  <c r="NG6" i="263"/>
  <c r="NG118" i="263" s="1"/>
  <c r="NH6" i="263"/>
  <c r="NH118" i="263" s="1"/>
  <c r="NI6" i="263"/>
  <c r="NI118" i="263" s="1"/>
  <c r="NJ6" i="263"/>
  <c r="NJ118" i="263" s="1"/>
  <c r="NK6" i="263"/>
  <c r="NK118" i="263" s="1"/>
  <c r="NL6" i="263"/>
  <c r="NL118" i="263" s="1"/>
  <c r="NM6" i="263"/>
  <c r="NM118" i="263" s="1"/>
  <c r="NN6" i="263"/>
  <c r="NN118" i="263" s="1"/>
  <c r="NO6" i="263"/>
  <c r="NO118" i="263" s="1"/>
  <c r="NP6" i="263"/>
  <c r="NP118" i="263" s="1"/>
  <c r="NQ6" i="263"/>
  <c r="NQ118" i="263" s="1"/>
  <c r="NR6" i="263"/>
  <c r="NR118" i="263" s="1"/>
  <c r="NS6" i="263"/>
  <c r="NS118" i="263" s="1"/>
  <c r="NT6" i="263"/>
  <c r="NT118" i="263" s="1"/>
  <c r="NU6" i="263"/>
  <c r="NU118" i="263" s="1"/>
  <c r="NV6" i="263"/>
  <c r="NV118" i="263" s="1"/>
  <c r="NW6" i="263"/>
  <c r="NW118" i="263" s="1"/>
  <c r="NX6" i="263"/>
  <c r="NX118" i="263" s="1"/>
  <c r="NY6" i="263"/>
  <c r="NY118" i="263" s="1"/>
  <c r="NZ6" i="263"/>
  <c r="NZ118" i="263" s="1"/>
  <c r="OA6" i="263"/>
  <c r="OA118" i="263" s="1"/>
  <c r="OB6" i="263"/>
  <c r="OB118" i="263" s="1"/>
  <c r="OC6" i="263"/>
  <c r="OC118" i="263" s="1"/>
  <c r="OD6" i="263"/>
  <c r="OD118" i="263" s="1"/>
  <c r="OE6" i="263"/>
  <c r="OE118" i="263" s="1"/>
  <c r="OF6" i="263"/>
  <c r="OF118" i="263" s="1"/>
  <c r="OG6" i="263"/>
  <c r="OG118" i="263" s="1"/>
  <c r="OH6" i="263"/>
  <c r="OH118" i="263" s="1"/>
  <c r="OI6" i="263"/>
  <c r="OI118" i="263" s="1"/>
  <c r="OJ6" i="263"/>
  <c r="OJ118" i="263" s="1"/>
  <c r="OK6" i="263"/>
  <c r="OK118" i="263" s="1"/>
  <c r="OL6" i="263"/>
  <c r="OL118" i="263" s="1"/>
  <c r="OM6" i="263"/>
  <c r="OM118" i="263" s="1"/>
  <c r="ON6" i="263"/>
  <c r="ON118" i="263" s="1"/>
  <c r="OO6" i="263"/>
  <c r="OO118" i="263" s="1"/>
  <c r="OP6" i="263"/>
  <c r="OP118" i="263" s="1"/>
  <c r="OQ6" i="263"/>
  <c r="OQ118" i="263" s="1"/>
  <c r="OR6" i="263"/>
  <c r="OR118" i="263" s="1"/>
  <c r="OS6" i="263"/>
  <c r="OS118" i="263" s="1"/>
  <c r="OT6" i="263"/>
  <c r="OT118" i="263" s="1"/>
  <c r="OU6" i="263"/>
  <c r="OU118" i="263" s="1"/>
  <c r="OV6" i="263"/>
  <c r="OV118" i="263" s="1"/>
  <c r="OW6" i="263"/>
  <c r="OW118" i="263" s="1"/>
  <c r="OX6" i="263"/>
  <c r="OX118" i="263" s="1"/>
  <c r="OY6" i="263"/>
  <c r="OY118" i="263" s="1"/>
  <c r="OZ6" i="263"/>
  <c r="OZ118" i="263" s="1"/>
  <c r="PA6" i="263"/>
  <c r="PA118" i="263" s="1"/>
  <c r="PB6" i="263"/>
  <c r="PB118" i="263" s="1"/>
  <c r="PC6" i="263"/>
  <c r="PC118" i="263" s="1"/>
  <c r="PD6" i="263"/>
  <c r="PD118" i="263" s="1"/>
  <c r="PE6" i="263"/>
  <c r="PE118" i="263" s="1"/>
  <c r="PF6" i="263"/>
  <c r="PF118" i="263" s="1"/>
  <c r="PG6" i="263"/>
  <c r="PG118" i="263" s="1"/>
  <c r="PH6" i="263"/>
  <c r="PH118" i="263" s="1"/>
  <c r="PI6" i="263"/>
  <c r="PI118" i="263" s="1"/>
  <c r="PJ6" i="263"/>
  <c r="PJ118" i="263" s="1"/>
  <c r="PK6" i="263"/>
  <c r="PK118" i="263" s="1"/>
  <c r="PL6" i="263"/>
  <c r="PL118" i="263" s="1"/>
  <c r="PM6" i="263"/>
  <c r="PM118" i="263" s="1"/>
  <c r="PN6" i="263"/>
  <c r="PN118" i="263" s="1"/>
  <c r="PO6" i="263"/>
  <c r="PO118" i="263" s="1"/>
  <c r="PP6" i="263"/>
  <c r="PP118" i="263" s="1"/>
  <c r="PQ6" i="263"/>
  <c r="PQ118" i="263" s="1"/>
  <c r="PR6" i="263"/>
  <c r="PR118" i="263" s="1"/>
  <c r="PS6" i="263"/>
  <c r="PS118" i="263" s="1"/>
  <c r="PT6" i="263"/>
  <c r="PT118" i="263" s="1"/>
  <c r="PU6" i="263"/>
  <c r="PU118" i="263" s="1"/>
  <c r="PV6" i="263"/>
  <c r="PV118" i="263" s="1"/>
  <c r="PW6" i="263"/>
  <c r="PW118" i="263" s="1"/>
  <c r="PX6" i="263"/>
  <c r="PX118" i="263" s="1"/>
  <c r="PY6" i="263"/>
  <c r="PY118" i="263" s="1"/>
  <c r="PZ6" i="263"/>
  <c r="PZ118" i="263" s="1"/>
  <c r="QA6" i="263"/>
  <c r="QA118" i="263" s="1"/>
  <c r="QB6" i="263"/>
  <c r="QB118" i="263" s="1"/>
  <c r="QC6" i="263"/>
  <c r="QC118" i="263" s="1"/>
  <c r="QD6" i="263"/>
  <c r="QD118" i="263" s="1"/>
  <c r="QE6" i="263"/>
  <c r="QE118" i="263" s="1"/>
  <c r="QF6" i="263"/>
  <c r="QF118" i="263" s="1"/>
  <c r="QG6" i="263"/>
  <c r="QG118" i="263" s="1"/>
  <c r="QH6" i="263"/>
  <c r="QH118" i="263" s="1"/>
  <c r="QI6" i="263"/>
  <c r="QI118" i="263" s="1"/>
  <c r="QJ6" i="263"/>
  <c r="QJ118" i="263" s="1"/>
  <c r="QK6" i="263"/>
  <c r="QK118" i="263" s="1"/>
  <c r="QL6" i="263"/>
  <c r="QL118" i="263" s="1"/>
  <c r="QM6" i="263"/>
  <c r="QM118" i="263" s="1"/>
  <c r="QN6" i="263"/>
  <c r="QN118" i="263" s="1"/>
  <c r="QO6" i="263"/>
  <c r="QO118" i="263" s="1"/>
  <c r="QP6" i="263"/>
  <c r="QP118" i="263" s="1"/>
  <c r="QQ6" i="263"/>
  <c r="QQ118" i="263" s="1"/>
  <c r="QR6" i="263"/>
  <c r="QR118" i="263" s="1"/>
  <c r="QS6" i="263"/>
  <c r="QS118" i="263" s="1"/>
  <c r="QT6" i="263"/>
  <c r="QT118" i="263" s="1"/>
  <c r="QU6" i="263"/>
  <c r="QU118" i="263" s="1"/>
  <c r="QV6" i="263"/>
  <c r="QV118" i="263" s="1"/>
  <c r="QW6" i="263"/>
  <c r="QW118" i="263" s="1"/>
  <c r="QX6" i="263"/>
  <c r="QX118" i="263" s="1"/>
  <c r="QY6" i="263"/>
  <c r="QY118" i="263" s="1"/>
  <c r="QZ6" i="263"/>
  <c r="QZ118" i="263" s="1"/>
  <c r="RA6" i="263"/>
  <c r="RA118" i="263" s="1"/>
  <c r="RB6" i="263"/>
  <c r="RB118" i="263" s="1"/>
  <c r="RC6" i="263"/>
  <c r="RC118" i="263" s="1"/>
  <c r="RD6" i="263"/>
  <c r="RD118" i="263" s="1"/>
  <c r="RE6" i="263"/>
  <c r="RE118" i="263" s="1"/>
  <c r="RF6" i="263"/>
  <c r="RF118" i="263" s="1"/>
  <c r="RG6" i="263"/>
  <c r="RG118" i="263" s="1"/>
  <c r="RH6" i="263"/>
  <c r="RH118" i="263" s="1"/>
  <c r="RI6" i="263"/>
  <c r="RI118" i="263" s="1"/>
  <c r="RJ6" i="263"/>
  <c r="RJ118" i="263" s="1"/>
  <c r="RK6" i="263"/>
  <c r="RK118" i="263" s="1"/>
  <c r="RL6" i="263"/>
  <c r="RL118" i="263" s="1"/>
  <c r="RM6" i="263"/>
  <c r="RM118" i="263" s="1"/>
  <c r="RN6" i="263"/>
  <c r="RN118" i="263" s="1"/>
  <c r="RO6" i="263"/>
  <c r="RO118" i="263" s="1"/>
  <c r="RP6" i="263"/>
  <c r="RP118" i="263" s="1"/>
  <c r="RQ6" i="263"/>
  <c r="RQ118" i="263" s="1"/>
  <c r="RR6" i="263"/>
  <c r="RR118" i="263" s="1"/>
  <c r="RS6" i="263"/>
  <c r="RS118" i="263" s="1"/>
  <c r="RT6" i="263"/>
  <c r="RT118" i="263" s="1"/>
  <c r="RU6" i="263"/>
  <c r="RU118" i="263" s="1"/>
  <c r="RV6" i="263"/>
  <c r="RV118" i="263" s="1"/>
  <c r="RW6" i="263"/>
  <c r="RW118" i="263" s="1"/>
  <c r="RX6" i="263"/>
  <c r="RX118" i="263" s="1"/>
  <c r="RY6" i="263"/>
  <c r="RY118" i="263" s="1"/>
  <c r="RZ6" i="263"/>
  <c r="RZ118" i="263" s="1"/>
  <c r="SA6" i="263"/>
  <c r="SA118" i="263" s="1"/>
  <c r="SB6" i="263"/>
  <c r="SB118" i="263" s="1"/>
  <c r="SC6" i="263"/>
  <c r="SC118" i="263" s="1"/>
  <c r="SD6" i="263"/>
  <c r="SD118" i="263" s="1"/>
  <c r="SE6" i="263"/>
  <c r="SE118" i="263" s="1"/>
  <c r="SF6" i="263"/>
  <c r="SF118" i="263" s="1"/>
  <c r="SG6" i="263"/>
  <c r="SG118" i="263" s="1"/>
  <c r="SH6" i="263"/>
  <c r="SH118" i="263" s="1"/>
  <c r="SI6" i="263"/>
  <c r="SI118" i="263" s="1"/>
  <c r="SJ6" i="263"/>
  <c r="SJ118" i="263" s="1"/>
  <c r="SK6" i="263"/>
  <c r="SK118" i="263" s="1"/>
  <c r="SL6" i="263"/>
  <c r="SL118" i="263" s="1"/>
  <c r="SM6" i="263"/>
  <c r="SM118" i="263" s="1"/>
  <c r="SN6" i="263"/>
  <c r="SN118" i="263" s="1"/>
  <c r="SO6" i="263"/>
  <c r="SO118" i="263" s="1"/>
  <c r="SP6" i="263"/>
  <c r="SP118" i="263" s="1"/>
  <c r="SQ6" i="263"/>
  <c r="SQ118" i="263" s="1"/>
  <c r="SR6" i="263"/>
  <c r="SR118" i="263" s="1"/>
  <c r="SS6" i="263"/>
  <c r="SS118" i="263" s="1"/>
  <c r="ST6" i="263"/>
  <c r="ST118" i="263" s="1"/>
  <c r="SU6" i="263"/>
  <c r="SU118" i="263" s="1"/>
  <c r="SV6" i="263"/>
  <c r="SV118" i="263" s="1"/>
  <c r="SW6" i="263"/>
  <c r="SW118" i="263" s="1"/>
  <c r="SX6" i="263"/>
  <c r="SX118" i="263" s="1"/>
  <c r="SY6" i="263"/>
  <c r="SY118" i="263" s="1"/>
  <c r="SZ6" i="263"/>
  <c r="SZ118" i="263" s="1"/>
  <c r="TA6" i="263"/>
  <c r="TA118" i="263" s="1"/>
  <c r="TB6" i="263"/>
  <c r="TB118" i="263" s="1"/>
  <c r="TC6" i="263"/>
  <c r="TC118" i="263" s="1"/>
  <c r="TD6" i="263"/>
  <c r="TD118" i="263" s="1"/>
  <c r="TE6" i="263"/>
  <c r="TE118" i="263" s="1"/>
  <c r="TF6" i="263"/>
  <c r="TF118" i="263" s="1"/>
  <c r="TG6" i="263"/>
  <c r="TG118" i="263" s="1"/>
  <c r="TH6" i="263"/>
  <c r="TH118" i="263" s="1"/>
  <c r="TI6" i="263"/>
  <c r="TI118" i="263" s="1"/>
  <c r="TJ6" i="263"/>
  <c r="TJ118" i="263" s="1"/>
  <c r="TK6" i="263"/>
  <c r="TK118" i="263" s="1"/>
  <c r="TL6" i="263"/>
  <c r="TL118" i="263" s="1"/>
  <c r="TM6" i="263"/>
  <c r="TM118" i="263" s="1"/>
  <c r="TN6" i="263"/>
  <c r="TN118" i="263" s="1"/>
  <c r="TO6" i="263"/>
  <c r="TO118" i="263" s="1"/>
  <c r="TP6" i="263"/>
  <c r="TP118" i="263" s="1"/>
  <c r="TQ6" i="263"/>
  <c r="TQ118" i="263" s="1"/>
  <c r="TR6" i="263"/>
  <c r="TR118" i="263" s="1"/>
  <c r="TS6" i="263"/>
  <c r="TS118" i="263" s="1"/>
  <c r="TT6" i="263"/>
  <c r="TT118" i="263" s="1"/>
  <c r="TU6" i="263"/>
  <c r="TU118" i="263" s="1"/>
  <c r="TV6" i="263"/>
  <c r="TV118" i="263" s="1"/>
  <c r="TW6" i="263"/>
  <c r="TW118" i="263" s="1"/>
  <c r="TX6" i="263"/>
  <c r="TX118" i="263" s="1"/>
  <c r="TY6" i="263"/>
  <c r="TY118" i="263" s="1"/>
  <c r="TZ6" i="263"/>
  <c r="TZ118" i="263" s="1"/>
  <c r="UA6" i="263"/>
  <c r="UA118" i="263" s="1"/>
  <c r="UB6" i="263"/>
  <c r="UB118" i="263" s="1"/>
  <c r="UC6" i="263"/>
  <c r="UC118" i="263" s="1"/>
  <c r="UD6" i="263"/>
  <c r="UD118" i="263" s="1"/>
  <c r="UE6" i="263"/>
  <c r="UE118" i="263" s="1"/>
  <c r="UF6" i="263"/>
  <c r="UF118" i="263" s="1"/>
  <c r="UG6" i="263"/>
  <c r="UG118" i="263" s="1"/>
  <c r="UH6" i="263"/>
  <c r="UH118" i="263" s="1"/>
  <c r="UI6" i="263"/>
  <c r="UI118" i="263" s="1"/>
  <c r="UJ6" i="263"/>
  <c r="UJ118" i="263" s="1"/>
  <c r="UK6" i="263"/>
  <c r="UK118" i="263" s="1"/>
  <c r="UL6" i="263"/>
  <c r="UL118" i="263" s="1"/>
  <c r="UM6" i="263"/>
  <c r="UM118" i="263" s="1"/>
  <c r="UN6" i="263"/>
  <c r="UN118" i="263" s="1"/>
  <c r="UO6" i="263"/>
  <c r="UO118" i="263" s="1"/>
  <c r="UP6" i="263"/>
  <c r="UP118" i="263" s="1"/>
  <c r="UQ6" i="263"/>
  <c r="UQ118" i="263" s="1"/>
  <c r="UR6" i="263"/>
  <c r="UR118" i="263" s="1"/>
  <c r="US6" i="263"/>
  <c r="US118" i="263" s="1"/>
  <c r="UT6" i="263"/>
  <c r="UT118" i="263" s="1"/>
  <c r="UU6" i="263"/>
  <c r="UU118" i="263" s="1"/>
  <c r="UV6" i="263"/>
  <c r="UV118" i="263" s="1"/>
  <c r="UW6" i="263"/>
  <c r="UW118" i="263" s="1"/>
  <c r="UX6" i="263"/>
  <c r="UX118" i="263" s="1"/>
  <c r="UY6" i="263"/>
  <c r="UY118" i="263" s="1"/>
  <c r="UZ6" i="263"/>
  <c r="UZ118" i="263" s="1"/>
  <c r="VA6" i="263"/>
  <c r="VA118" i="263" s="1"/>
  <c r="VB6" i="263"/>
  <c r="VB118" i="263" s="1"/>
  <c r="VC6" i="263"/>
  <c r="VC118" i="263" s="1"/>
  <c r="VD6" i="263"/>
  <c r="VD118" i="263" s="1"/>
  <c r="VE6" i="263"/>
  <c r="VE118" i="263" s="1"/>
  <c r="VF6" i="263"/>
  <c r="VF118" i="263" s="1"/>
  <c r="VG6" i="263"/>
  <c r="VG118" i="263" s="1"/>
  <c r="VH6" i="263"/>
  <c r="VH118" i="263" s="1"/>
  <c r="VI6" i="263"/>
  <c r="VI118" i="263" s="1"/>
  <c r="VJ6" i="263"/>
  <c r="VJ118" i="263" s="1"/>
  <c r="VK6" i="263"/>
  <c r="VK118" i="263" s="1"/>
  <c r="VL6" i="263"/>
  <c r="VL118" i="263" s="1"/>
  <c r="VM6" i="263"/>
  <c r="VM118" i="263" s="1"/>
  <c r="VN6" i="263"/>
  <c r="VN118" i="263" s="1"/>
  <c r="VO6" i="263"/>
  <c r="VO118" i="263" s="1"/>
  <c r="VP6" i="263"/>
  <c r="VP118" i="263" s="1"/>
  <c r="VQ6" i="263"/>
  <c r="VQ118" i="263" s="1"/>
  <c r="VR6" i="263"/>
  <c r="VR118" i="263" s="1"/>
  <c r="VS6" i="263"/>
  <c r="VS118" i="263" s="1"/>
  <c r="VT6" i="263"/>
  <c r="VT118" i="263" s="1"/>
  <c r="VU6" i="263"/>
  <c r="VU118" i="263" s="1"/>
  <c r="VV6" i="263"/>
  <c r="VV118" i="263" s="1"/>
  <c r="VW6" i="263"/>
  <c r="VW118" i="263" s="1"/>
  <c r="VX6" i="263"/>
  <c r="VX118" i="263" s="1"/>
  <c r="VY6" i="263"/>
  <c r="VY118" i="263" s="1"/>
  <c r="VZ6" i="263"/>
  <c r="VZ118" i="263" s="1"/>
  <c r="WA6" i="263"/>
  <c r="WA118" i="263" s="1"/>
  <c r="WB6" i="263"/>
  <c r="WB118" i="263" s="1"/>
  <c r="WC6" i="263"/>
  <c r="WC118" i="263" s="1"/>
  <c r="WD6" i="263"/>
  <c r="WD118" i="263" s="1"/>
  <c r="WE6" i="263"/>
  <c r="WE118" i="263" s="1"/>
  <c r="WF6" i="263"/>
  <c r="WF118" i="263" s="1"/>
  <c r="WG6" i="263"/>
  <c r="WG118" i="263" s="1"/>
  <c r="WH6" i="263"/>
  <c r="WH118" i="263" s="1"/>
  <c r="WI6" i="263"/>
  <c r="WI118" i="263" s="1"/>
  <c r="WJ6" i="263"/>
  <c r="WJ118" i="263" s="1"/>
  <c r="WK6" i="263"/>
  <c r="WK118" i="263" s="1"/>
  <c r="WL6" i="263"/>
  <c r="WL118" i="263" s="1"/>
  <c r="WM6" i="263"/>
  <c r="WM118" i="263" s="1"/>
  <c r="WN6" i="263"/>
  <c r="WN118" i="263" s="1"/>
  <c r="WO6" i="263"/>
  <c r="WO118" i="263" s="1"/>
  <c r="WP6" i="263"/>
  <c r="WP118" i="263" s="1"/>
  <c r="WQ6" i="263"/>
  <c r="WQ118" i="263" s="1"/>
  <c r="WR6" i="263"/>
  <c r="WR118" i="263" s="1"/>
  <c r="WS6" i="263"/>
  <c r="WS118" i="263" s="1"/>
  <c r="WT6" i="263"/>
  <c r="WT118" i="263" s="1"/>
  <c r="WU6" i="263"/>
  <c r="WU118" i="263" s="1"/>
  <c r="WV6" i="263"/>
  <c r="WV118" i="263" s="1"/>
  <c r="WW6" i="263"/>
  <c r="WW118" i="263" s="1"/>
  <c r="WX6" i="263"/>
  <c r="WX118" i="263" s="1"/>
  <c r="WY6" i="263"/>
  <c r="WY118" i="263" s="1"/>
  <c r="WZ6" i="263"/>
  <c r="WZ118" i="263" s="1"/>
  <c r="XA6" i="263"/>
  <c r="XA118" i="263" s="1"/>
  <c r="XB6" i="263"/>
  <c r="XB118" i="263" s="1"/>
  <c r="XC6" i="263"/>
  <c r="XC118" i="263" s="1"/>
  <c r="XD6" i="263"/>
  <c r="XD118" i="263" s="1"/>
  <c r="XE6" i="263"/>
  <c r="XE118" i="263" s="1"/>
  <c r="XF6" i="263"/>
  <c r="XF118" i="263" s="1"/>
  <c r="XG6" i="263"/>
  <c r="XG118" i="263" s="1"/>
  <c r="XH6" i="263"/>
  <c r="XH118" i="263" s="1"/>
  <c r="XI6" i="263"/>
  <c r="XI118" i="263" s="1"/>
  <c r="XJ6" i="263"/>
  <c r="XJ118" i="263" s="1"/>
  <c r="XK6" i="263"/>
  <c r="XK118" i="263" s="1"/>
  <c r="XL6" i="263"/>
  <c r="XL118" i="263" s="1"/>
  <c r="XM6" i="263"/>
  <c r="XM118" i="263" s="1"/>
  <c r="XN6" i="263"/>
  <c r="XN118" i="263" s="1"/>
  <c r="XO6" i="263"/>
  <c r="XO118" i="263" s="1"/>
  <c r="XP6" i="263"/>
  <c r="XP118" i="263" s="1"/>
  <c r="XQ6" i="263"/>
  <c r="XQ118" i="263" s="1"/>
  <c r="XR6" i="263"/>
  <c r="XR118" i="263" s="1"/>
  <c r="XS6" i="263"/>
  <c r="XS118" i="263" s="1"/>
  <c r="XT6" i="263"/>
  <c r="XT118" i="263" s="1"/>
  <c r="XU6" i="263"/>
  <c r="XU118" i="263" s="1"/>
  <c r="XV6" i="263"/>
  <c r="XV118" i="263" s="1"/>
  <c r="XW6" i="263"/>
  <c r="XW118" i="263" s="1"/>
  <c r="XX6" i="263"/>
  <c r="XX118" i="263" s="1"/>
  <c r="XY6" i="263"/>
  <c r="XY118" i="263" s="1"/>
  <c r="XZ6" i="263"/>
  <c r="XZ118" i="263" s="1"/>
  <c r="YA6" i="263"/>
  <c r="YA118" i="263" s="1"/>
  <c r="YB6" i="263"/>
  <c r="YB118" i="263" s="1"/>
  <c r="YC6" i="263"/>
  <c r="YC118" i="263" s="1"/>
  <c r="YD6" i="263"/>
  <c r="YD118" i="263" s="1"/>
  <c r="YE6" i="263"/>
  <c r="YE118" i="263" s="1"/>
  <c r="YF6" i="263"/>
  <c r="YF118" i="263" s="1"/>
  <c r="YG6" i="263"/>
  <c r="YG118" i="263" s="1"/>
  <c r="YH6" i="263"/>
  <c r="YH118" i="263" s="1"/>
  <c r="YI6" i="263"/>
  <c r="YI118" i="263" s="1"/>
  <c r="YJ6" i="263"/>
  <c r="YJ118" i="263" s="1"/>
  <c r="YK6" i="263"/>
  <c r="YK118" i="263" s="1"/>
  <c r="YL6" i="263"/>
  <c r="YL118" i="263" s="1"/>
  <c r="YM6" i="263"/>
  <c r="YM118" i="263" s="1"/>
  <c r="YN6" i="263"/>
  <c r="YN118" i="263" s="1"/>
  <c r="YO6" i="263"/>
  <c r="YO118" i="263" s="1"/>
  <c r="YP6" i="263"/>
  <c r="YP118" i="263" s="1"/>
  <c r="YQ6" i="263"/>
  <c r="YQ118" i="263" s="1"/>
  <c r="YR6" i="263"/>
  <c r="YR118" i="263" s="1"/>
  <c r="YS6" i="263"/>
  <c r="YS118" i="263" s="1"/>
  <c r="YT6" i="263"/>
  <c r="YT118" i="263" s="1"/>
  <c r="YU6" i="263"/>
  <c r="YU118" i="263" s="1"/>
  <c r="YV6" i="263"/>
  <c r="YV118" i="263" s="1"/>
  <c r="YW6" i="263"/>
  <c r="YW118" i="263" s="1"/>
  <c r="YX6" i="263"/>
  <c r="YX118" i="263" s="1"/>
  <c r="YY6" i="263"/>
  <c r="YY118" i="263" s="1"/>
  <c r="YZ6" i="263"/>
  <c r="YZ118" i="263" s="1"/>
  <c r="ZA6" i="263"/>
  <c r="ZA118" i="263" s="1"/>
  <c r="ZB6" i="263"/>
  <c r="ZB118" i="263" s="1"/>
  <c r="ZC6" i="263"/>
  <c r="ZC118" i="263" s="1"/>
  <c r="ZD6" i="263"/>
  <c r="ZD118" i="263" s="1"/>
  <c r="ZE6" i="263"/>
  <c r="ZE118" i="263" s="1"/>
  <c r="ZF6" i="263"/>
  <c r="ZF118" i="263" s="1"/>
  <c r="ZG6" i="263"/>
  <c r="ZG118" i="263" s="1"/>
  <c r="ZH6" i="263"/>
  <c r="ZH118" i="263" s="1"/>
  <c r="ZI6" i="263"/>
  <c r="ZI118" i="263" s="1"/>
  <c r="ZJ6" i="263"/>
  <c r="ZJ118" i="263" s="1"/>
  <c r="ZK6" i="263"/>
  <c r="ZK118" i="263" s="1"/>
  <c r="ZL6" i="263"/>
  <c r="ZL118" i="263" s="1"/>
  <c r="ZM6" i="263"/>
  <c r="ZM118" i="263" s="1"/>
  <c r="ZN6" i="263"/>
  <c r="ZN118" i="263" s="1"/>
  <c r="ZO6" i="263"/>
  <c r="ZO118" i="263" s="1"/>
  <c r="ZP6" i="263"/>
  <c r="ZP118" i="263" s="1"/>
  <c r="ZQ6" i="263"/>
  <c r="ZQ118" i="263" s="1"/>
  <c r="ZR6" i="263"/>
  <c r="ZR118" i="263" s="1"/>
  <c r="ZS6" i="263"/>
  <c r="ZS118" i="263" s="1"/>
  <c r="ZT6" i="263"/>
  <c r="ZT118" i="263" s="1"/>
  <c r="ZU6" i="263"/>
  <c r="ZU118" i="263" s="1"/>
  <c r="ZV6" i="263"/>
  <c r="ZV118" i="263" s="1"/>
  <c r="ZW6" i="263"/>
  <c r="ZW118" i="263" s="1"/>
  <c r="ZX6" i="263"/>
  <c r="ZX118" i="263" s="1"/>
  <c r="ZY6" i="263"/>
  <c r="ZY118" i="263" s="1"/>
  <c r="ZZ6" i="263"/>
  <c r="ZZ118" i="263" s="1"/>
  <c r="AAA6" i="263"/>
  <c r="AAA118" i="263" s="1"/>
  <c r="AAB6" i="263"/>
  <c r="AAB118" i="263" s="1"/>
  <c r="AAC6" i="263"/>
  <c r="AAC118" i="263" s="1"/>
  <c r="AAD6" i="263"/>
  <c r="AAD118" i="263" s="1"/>
  <c r="AAE6" i="263"/>
  <c r="AAE118" i="263" s="1"/>
  <c r="AAF6" i="263"/>
  <c r="AAF118" i="263" s="1"/>
  <c r="AAG6" i="263"/>
  <c r="AAG118" i="263" s="1"/>
  <c r="AAH6" i="263"/>
  <c r="AAH118" i="263" s="1"/>
  <c r="AAI6" i="263"/>
  <c r="AAI118" i="263" s="1"/>
  <c r="AAJ6" i="263"/>
  <c r="AAJ118" i="263" s="1"/>
  <c r="AAK6" i="263"/>
  <c r="AAK118" i="263" s="1"/>
  <c r="AAL6" i="263"/>
  <c r="AAL118" i="263" s="1"/>
  <c r="AAM6" i="263"/>
  <c r="AAM118" i="263" s="1"/>
  <c r="AAN6" i="263"/>
  <c r="AAN118" i="263" s="1"/>
  <c r="AAO6" i="263"/>
  <c r="AAO118" i="263" s="1"/>
  <c r="AAP6" i="263"/>
  <c r="AAP118" i="263" s="1"/>
  <c r="AAQ6" i="263"/>
  <c r="AAQ118" i="263" s="1"/>
  <c r="AAR6" i="263"/>
  <c r="AAR118" i="263" s="1"/>
  <c r="AAS6" i="263"/>
  <c r="AAS118" i="263" s="1"/>
  <c r="AAT6" i="263"/>
  <c r="AAT118" i="263" s="1"/>
  <c r="AAU6" i="263"/>
  <c r="AAU118" i="263" s="1"/>
  <c r="AAV6" i="263"/>
  <c r="AAV118" i="263" s="1"/>
  <c r="AAW6" i="263"/>
  <c r="AAW118" i="263" s="1"/>
  <c r="AAX6" i="263"/>
  <c r="AAX118" i="263" s="1"/>
  <c r="AAY6" i="263"/>
  <c r="AAY118" i="263" s="1"/>
  <c r="AAZ6" i="263"/>
  <c r="AAZ118" i="263" s="1"/>
  <c r="ABA6" i="263"/>
  <c r="ABA118" i="263" s="1"/>
  <c r="ABB6" i="263"/>
  <c r="ABB118" i="263" s="1"/>
  <c r="ABC6" i="263"/>
  <c r="ABC118" i="263" s="1"/>
  <c r="ABD6" i="263"/>
  <c r="ABD118" i="263" s="1"/>
  <c r="ABE6" i="263"/>
  <c r="ABE118" i="263" s="1"/>
  <c r="ABF6" i="263"/>
  <c r="ABF118" i="263" s="1"/>
  <c r="ABG6" i="263"/>
  <c r="ABG118" i="263" s="1"/>
  <c r="ABH6" i="263"/>
  <c r="ABH118" i="263" s="1"/>
  <c r="ABI6" i="263"/>
  <c r="ABI118" i="263" s="1"/>
  <c r="ABJ6" i="263"/>
  <c r="ABJ118" i="263" s="1"/>
  <c r="ABK6" i="263"/>
  <c r="ABK118" i="263" s="1"/>
  <c r="ABL6" i="263"/>
  <c r="ABL118" i="263" s="1"/>
  <c r="ABM6" i="263"/>
  <c r="ABM118" i="263" s="1"/>
  <c r="ABN6" i="263"/>
  <c r="ABN118" i="263" s="1"/>
  <c r="ABO6" i="263"/>
  <c r="ABO118" i="263" s="1"/>
  <c r="ABP6" i="263"/>
  <c r="ABP118" i="263" s="1"/>
  <c r="ABQ6" i="263"/>
  <c r="ABQ118" i="263" s="1"/>
  <c r="ABR6" i="263"/>
  <c r="ABR118" i="263" s="1"/>
  <c r="ABS6" i="263"/>
  <c r="ABS118" i="263" s="1"/>
  <c r="ABT6" i="263"/>
  <c r="ABT118" i="263" s="1"/>
  <c r="ABU6" i="263"/>
  <c r="ABU118" i="263" s="1"/>
  <c r="ABV6" i="263"/>
  <c r="ABV118" i="263" s="1"/>
  <c r="ABW6" i="263"/>
  <c r="ABW118" i="263" s="1"/>
  <c r="ABX6" i="263"/>
  <c r="ABX118" i="263" s="1"/>
  <c r="ABY6" i="263"/>
  <c r="ABY118" i="263" s="1"/>
  <c r="ABZ6" i="263"/>
  <c r="ABZ118" i="263" s="1"/>
  <c r="ACA6" i="263"/>
  <c r="ACA118" i="263" s="1"/>
  <c r="ACB6" i="263"/>
  <c r="ACB118" i="263" s="1"/>
  <c r="ACC6" i="263"/>
  <c r="ACC118" i="263" s="1"/>
  <c r="ACD6" i="263"/>
  <c r="ACD118" i="263" s="1"/>
  <c r="ACE6" i="263"/>
  <c r="ACE118" i="263" s="1"/>
  <c r="ACF6" i="263"/>
  <c r="ACF118" i="263" s="1"/>
  <c r="ACG6" i="263"/>
  <c r="ACG118" i="263" s="1"/>
  <c r="ACH6" i="263"/>
  <c r="ACH118" i="263" s="1"/>
  <c r="ACI6" i="263"/>
  <c r="ACI118" i="263" s="1"/>
  <c r="ACJ6" i="263"/>
  <c r="ACJ118" i="263" s="1"/>
  <c r="ACK6" i="263"/>
  <c r="ACK118" i="263" s="1"/>
  <c r="ACL6" i="263"/>
  <c r="ACL118" i="263" s="1"/>
  <c r="ACM6" i="263"/>
  <c r="ACM118" i="263" s="1"/>
  <c r="ACN6" i="263"/>
  <c r="ACN118" i="263" s="1"/>
  <c r="ACO6" i="263"/>
  <c r="ACO118" i="263" s="1"/>
  <c r="ACP6" i="263"/>
  <c r="ACP118" i="263" s="1"/>
  <c r="ACQ6" i="263"/>
  <c r="ACQ118" i="263" s="1"/>
  <c r="ACR6" i="263"/>
  <c r="ACR118" i="263" s="1"/>
  <c r="ACS6" i="263"/>
  <c r="ACS118" i="263" s="1"/>
  <c r="ACT6" i="263"/>
  <c r="ACT118" i="263" s="1"/>
  <c r="ACU6" i="263"/>
  <c r="ACU118" i="263" s="1"/>
  <c r="ACV6" i="263"/>
  <c r="ACV118" i="263" s="1"/>
  <c r="ACW6" i="263"/>
  <c r="ACW118" i="263" s="1"/>
  <c r="ACX6" i="263"/>
  <c r="ACX118" i="263" s="1"/>
  <c r="ACY6" i="263"/>
  <c r="ACY118" i="263" s="1"/>
  <c r="ACZ6" i="263"/>
  <c r="ACZ118" i="263" s="1"/>
  <c r="ADA6" i="263"/>
  <c r="ADA118" i="263" s="1"/>
  <c r="ADB6" i="263"/>
  <c r="ADB118" i="263" s="1"/>
  <c r="ADC6" i="263"/>
  <c r="ADC118" i="263" s="1"/>
  <c r="ADD6" i="263"/>
  <c r="ADD118" i="263" s="1"/>
  <c r="ADE6" i="263"/>
  <c r="ADE118" i="263" s="1"/>
  <c r="ADF6" i="263"/>
  <c r="ADF118" i="263" s="1"/>
  <c r="ADG6" i="263"/>
  <c r="ADG118" i="263" s="1"/>
  <c r="ADH6" i="263"/>
  <c r="ADH118" i="263" s="1"/>
  <c r="ADI6" i="263"/>
  <c r="ADI118" i="263" s="1"/>
  <c r="ADJ6" i="263"/>
  <c r="ADJ118" i="263" s="1"/>
  <c r="ADK6" i="263"/>
  <c r="ADK118" i="263" s="1"/>
  <c r="ADL6" i="263"/>
  <c r="ADL118" i="263" s="1"/>
  <c r="ADM6" i="263"/>
  <c r="ADM118" i="263" s="1"/>
  <c r="ADN6" i="263"/>
  <c r="ADN118" i="263" s="1"/>
  <c r="ADO6" i="263"/>
  <c r="ADO118" i="263" s="1"/>
  <c r="ADP6" i="263"/>
  <c r="ADP118" i="263" s="1"/>
  <c r="ADQ6" i="263"/>
  <c r="ADQ118" i="263" s="1"/>
  <c r="ADR6" i="263"/>
  <c r="ADR118" i="263" s="1"/>
  <c r="ADS6" i="263"/>
  <c r="ADS118" i="263" s="1"/>
  <c r="ADT6" i="263"/>
  <c r="ADT118" i="263" s="1"/>
  <c r="ADU6" i="263"/>
  <c r="ADU118" i="263" s="1"/>
  <c r="ADV6" i="263"/>
  <c r="ADV118" i="263" s="1"/>
  <c r="ADW6" i="263"/>
  <c r="ADW118" i="263" s="1"/>
  <c r="ADX6" i="263"/>
  <c r="ADX118" i="263" s="1"/>
  <c r="ADY6" i="263"/>
  <c r="ADY118" i="263" s="1"/>
  <c r="ADZ6" i="263"/>
  <c r="ADZ118" i="263" s="1"/>
  <c r="AEA6" i="263"/>
  <c r="AEA118" i="263" s="1"/>
  <c r="AEB6" i="263"/>
  <c r="AEB118" i="263" s="1"/>
  <c r="AEC6" i="263"/>
  <c r="AEC118" i="263" s="1"/>
  <c r="AED6" i="263"/>
  <c r="AED118" i="263" s="1"/>
  <c r="AEE6" i="263"/>
  <c r="AEE118" i="263" s="1"/>
  <c r="AEF6" i="263"/>
  <c r="AEF118" i="263" s="1"/>
  <c r="AEG6" i="263"/>
  <c r="AEG118" i="263" s="1"/>
  <c r="AEH6" i="263"/>
  <c r="AEH118" i="263" s="1"/>
  <c r="AEI6" i="263"/>
  <c r="AEI118" i="263" s="1"/>
  <c r="AEJ6" i="263"/>
  <c r="AEJ118" i="263" s="1"/>
  <c r="AEK6" i="263"/>
  <c r="AEK118" i="263" s="1"/>
  <c r="AEL6" i="263"/>
  <c r="AEL118" i="263" s="1"/>
  <c r="AEM6" i="263"/>
  <c r="AEM118" i="263" s="1"/>
  <c r="AEN6" i="263"/>
  <c r="AEN118" i="263" s="1"/>
  <c r="AEO6" i="263"/>
  <c r="AEO118" i="263" s="1"/>
  <c r="AEP6" i="263"/>
  <c r="AEP118" i="263" s="1"/>
  <c r="AEQ6" i="263"/>
  <c r="AEQ118" i="263" s="1"/>
  <c r="AER6" i="263"/>
  <c r="AER118" i="263" s="1"/>
  <c r="AES6" i="263"/>
  <c r="AES118" i="263" s="1"/>
  <c r="AET6" i="263"/>
  <c r="AET118" i="263" s="1"/>
  <c r="AEU6" i="263"/>
  <c r="AEU118" i="263" s="1"/>
  <c r="AEV6" i="263"/>
  <c r="AEV118" i="263" s="1"/>
  <c r="AEW6" i="263"/>
  <c r="AEW118" i="263" s="1"/>
  <c r="AEX6" i="263"/>
  <c r="AEX118" i="263" s="1"/>
  <c r="AEY6" i="263"/>
  <c r="AEY118" i="263" s="1"/>
  <c r="AEZ6" i="263"/>
  <c r="AEZ118" i="263" s="1"/>
  <c r="AFA6" i="263"/>
  <c r="AFA118" i="263" s="1"/>
  <c r="AFB6" i="263"/>
  <c r="AFB118" i="263" s="1"/>
  <c r="AFC6" i="263"/>
  <c r="AFC118" i="263" s="1"/>
  <c r="AFD6" i="263"/>
  <c r="AFD118" i="263" s="1"/>
  <c r="AFE6" i="263"/>
  <c r="AFE118" i="263" s="1"/>
  <c r="AFF6" i="263"/>
  <c r="AFF118" i="263" s="1"/>
  <c r="AFG6" i="263"/>
  <c r="AFG118" i="263" s="1"/>
  <c r="AFH6" i="263"/>
  <c r="AFH118" i="263" s="1"/>
  <c r="AFI6" i="263"/>
  <c r="AFI118" i="263" s="1"/>
  <c r="AFJ6" i="263"/>
  <c r="AFJ118" i="263" s="1"/>
  <c r="AFK6" i="263"/>
  <c r="AFK118" i="263" s="1"/>
  <c r="AFL6" i="263"/>
  <c r="AFL118" i="263" s="1"/>
  <c r="AFM6" i="263"/>
  <c r="AFM118" i="263" s="1"/>
  <c r="AFN6" i="263"/>
  <c r="AFN118" i="263" s="1"/>
  <c r="AFO6" i="263"/>
  <c r="AFO118" i="263" s="1"/>
  <c r="AFP6" i="263"/>
  <c r="AFP118" i="263" s="1"/>
  <c r="AFQ6" i="263"/>
  <c r="AFQ118" i="263" s="1"/>
  <c r="AFR6" i="263"/>
  <c r="AFR118" i="263" s="1"/>
  <c r="AFS6" i="263"/>
  <c r="AFS118" i="263" s="1"/>
  <c r="AFT6" i="263"/>
  <c r="AFT118" i="263" s="1"/>
  <c r="AFU6" i="263"/>
  <c r="AFU118" i="263" s="1"/>
  <c r="AFV6" i="263"/>
  <c r="AFV118" i="263" s="1"/>
  <c r="AFW6" i="263"/>
  <c r="AFW118" i="263" s="1"/>
  <c r="AFX6" i="263"/>
  <c r="AFX118" i="263" s="1"/>
  <c r="AFY6" i="263"/>
  <c r="AFY118" i="263" s="1"/>
  <c r="AFZ6" i="263"/>
  <c r="AFZ118" i="263" s="1"/>
  <c r="AGA6" i="263"/>
  <c r="AGA118" i="263" s="1"/>
  <c r="AGB6" i="263"/>
  <c r="AGB118" i="263" s="1"/>
  <c r="AGC6" i="263"/>
  <c r="AGC118" i="263" s="1"/>
  <c r="AGD6" i="263"/>
  <c r="AGD118" i="263" s="1"/>
  <c r="AGE6" i="263"/>
  <c r="AGE118" i="263" s="1"/>
  <c r="AGF6" i="263"/>
  <c r="AGF118" i="263" s="1"/>
  <c r="AGG6" i="263"/>
  <c r="AGG118" i="263" s="1"/>
  <c r="AGH6" i="263"/>
  <c r="AGH118" i="263" s="1"/>
  <c r="AGI6" i="263"/>
  <c r="AGI118" i="263" s="1"/>
  <c r="AGJ6" i="263"/>
  <c r="AGJ118" i="263" s="1"/>
  <c r="AGK6" i="263"/>
  <c r="AGK118" i="263" s="1"/>
  <c r="AGL6" i="263"/>
  <c r="AGL118" i="263" s="1"/>
  <c r="AGM6" i="263"/>
  <c r="AGM118" i="263" s="1"/>
  <c r="AGN6" i="263"/>
  <c r="AGN118" i="263" s="1"/>
  <c r="AGO6" i="263"/>
  <c r="AGO118" i="263" s="1"/>
  <c r="AGP6" i="263"/>
  <c r="AGP118" i="263" s="1"/>
  <c r="AGQ6" i="263"/>
  <c r="AGQ118" i="263" s="1"/>
  <c r="AGR6" i="263"/>
  <c r="AGR118" i="263" s="1"/>
  <c r="AGS6" i="263"/>
  <c r="AGS118" i="263" s="1"/>
  <c r="AGT6" i="263"/>
  <c r="AGT118" i="263" s="1"/>
  <c r="AGU6" i="263"/>
  <c r="AGU118" i="263" s="1"/>
  <c r="AGV6" i="263"/>
  <c r="AGV118" i="263" s="1"/>
  <c r="AGW6" i="263"/>
  <c r="AGW118" i="263" s="1"/>
  <c r="AGX6" i="263"/>
  <c r="AGX118" i="263" s="1"/>
  <c r="AGY6" i="263"/>
  <c r="AGY118" i="263" s="1"/>
  <c r="AGZ6" i="263"/>
  <c r="AGZ118" i="263" s="1"/>
  <c r="AHA6" i="263"/>
  <c r="AHA118" i="263" s="1"/>
  <c r="AHB6" i="263"/>
  <c r="AHB118" i="263" s="1"/>
  <c r="AHC6" i="263"/>
  <c r="AHC118" i="263" s="1"/>
  <c r="AHD6" i="263"/>
  <c r="AHD118" i="263" s="1"/>
  <c r="AHE6" i="263"/>
  <c r="AHE118" i="263" s="1"/>
  <c r="AHF6" i="263"/>
  <c r="AHF118" i="263" s="1"/>
  <c r="AHG6" i="263"/>
  <c r="AHG118" i="263" s="1"/>
  <c r="AHH6" i="263"/>
  <c r="AHH118" i="263" s="1"/>
  <c r="AHI6" i="263"/>
  <c r="AHI118" i="263" s="1"/>
  <c r="AHJ6" i="263"/>
  <c r="AHJ118" i="263" s="1"/>
  <c r="AHK6" i="263"/>
  <c r="AHK118" i="263" s="1"/>
  <c r="AHL6" i="263"/>
  <c r="AHL118" i="263" s="1"/>
  <c r="AHM6" i="263"/>
  <c r="AHM118" i="263" s="1"/>
  <c r="AHN6" i="263"/>
  <c r="AHN118" i="263" s="1"/>
  <c r="AHO6" i="263"/>
  <c r="AHO118" i="263" s="1"/>
  <c r="AHP6" i="263"/>
  <c r="AHP118" i="263" s="1"/>
  <c r="AHQ6" i="263"/>
  <c r="AHQ118" i="263" s="1"/>
  <c r="AHR6" i="263"/>
  <c r="AHR118" i="263" s="1"/>
  <c r="AHS6" i="263"/>
  <c r="AHS118" i="263" s="1"/>
  <c r="AHT6" i="263"/>
  <c r="AHT118" i="263" s="1"/>
  <c r="AHU6" i="263"/>
  <c r="AHU118" i="263" s="1"/>
  <c r="AHV6" i="263"/>
  <c r="AHV118" i="263" s="1"/>
  <c r="AHW6" i="263"/>
  <c r="AHW118" i="263" s="1"/>
  <c r="AHX6" i="263"/>
  <c r="AHX118" i="263" s="1"/>
  <c r="AHY6" i="263"/>
  <c r="AHY118" i="263" s="1"/>
  <c r="AHZ6" i="263"/>
  <c r="AHZ118" i="263" s="1"/>
  <c r="AIA6" i="263"/>
  <c r="AIA118" i="263" s="1"/>
  <c r="AIB6" i="263"/>
  <c r="AIB118" i="263" s="1"/>
  <c r="AIC6" i="263"/>
  <c r="AIC118" i="263" s="1"/>
  <c r="AID6" i="263"/>
  <c r="AID118" i="263" s="1"/>
  <c r="AIE6" i="263"/>
  <c r="AIE118" i="263" s="1"/>
  <c r="AIF6" i="263"/>
  <c r="AIF118" i="263" s="1"/>
  <c r="AIG6" i="263"/>
  <c r="AIG118" i="263" s="1"/>
  <c r="AIH6" i="263"/>
  <c r="AIH118" i="263" s="1"/>
  <c r="AII6" i="263"/>
  <c r="AII118" i="263" s="1"/>
  <c r="AIJ6" i="263"/>
  <c r="AIJ118" i="263" s="1"/>
  <c r="AIK6" i="263"/>
  <c r="AIK118" i="263" s="1"/>
  <c r="AIL6" i="263"/>
  <c r="AIL118" i="263" s="1"/>
  <c r="AIM6" i="263"/>
  <c r="AIM118" i="263" s="1"/>
  <c r="AIN6" i="263"/>
  <c r="AIN118" i="263" s="1"/>
  <c r="AIO6" i="263"/>
  <c r="AIO118" i="263" s="1"/>
  <c r="AIP6" i="263"/>
  <c r="AIP118" i="263" s="1"/>
  <c r="AIQ6" i="263"/>
  <c r="AIQ118" i="263" s="1"/>
  <c r="AIR6" i="263"/>
  <c r="AIR118" i="263" s="1"/>
  <c r="AIS6" i="263"/>
  <c r="AIS118" i="263" s="1"/>
  <c r="AIT6" i="263"/>
  <c r="AIT118" i="263" s="1"/>
  <c r="AIU6" i="263"/>
  <c r="AIU118" i="263" s="1"/>
  <c r="AIV6" i="263"/>
  <c r="AIV118" i="263" s="1"/>
  <c r="AIW6" i="263"/>
  <c r="AIW118" i="263" s="1"/>
  <c r="AIX6" i="263"/>
  <c r="AIX118" i="263" s="1"/>
  <c r="AIY6" i="263"/>
  <c r="AIY118" i="263" s="1"/>
  <c r="AIZ6" i="263"/>
  <c r="AIZ118" i="263" s="1"/>
  <c r="AJA6" i="263"/>
  <c r="AJA118" i="263" s="1"/>
  <c r="AJB6" i="263"/>
  <c r="AJB118" i="263" s="1"/>
  <c r="AJC6" i="263"/>
  <c r="AJC118" i="263" s="1"/>
  <c r="AJD6" i="263"/>
  <c r="AJD118" i="263" s="1"/>
  <c r="AJE6" i="263"/>
  <c r="AJE118" i="263" s="1"/>
  <c r="AJF6" i="263"/>
  <c r="AJF118" i="263" s="1"/>
  <c r="AJG6" i="263"/>
  <c r="AJG118" i="263" s="1"/>
  <c r="AJH6" i="263"/>
  <c r="AJH118" i="263" s="1"/>
  <c r="AJI6" i="263"/>
  <c r="AJI118" i="263" s="1"/>
  <c r="AJJ6" i="263"/>
  <c r="AJJ118" i="263" s="1"/>
  <c r="AJK6" i="263"/>
  <c r="AJK118" i="263" s="1"/>
  <c r="AJL6" i="263"/>
  <c r="AJL118" i="263" s="1"/>
  <c r="AJM6" i="263"/>
  <c r="AJM118" i="263" s="1"/>
  <c r="AJN6" i="263"/>
  <c r="AJN118" i="263" s="1"/>
  <c r="AJO6" i="263"/>
  <c r="AJO118" i="263" s="1"/>
  <c r="AJP6" i="263"/>
  <c r="AJP118" i="263" s="1"/>
  <c r="AJQ6" i="263"/>
  <c r="AJQ118" i="263" s="1"/>
  <c r="AJR6" i="263"/>
  <c r="AJR118" i="263" s="1"/>
  <c r="AJS6" i="263"/>
  <c r="AJS118" i="263" s="1"/>
  <c r="AJT6" i="263"/>
  <c r="AJT118" i="263" s="1"/>
  <c r="AJU6" i="263"/>
  <c r="AJU118" i="263" s="1"/>
  <c r="AJV6" i="263"/>
  <c r="AJV118" i="263" s="1"/>
  <c r="AJW6" i="263"/>
  <c r="AJW118" i="263" s="1"/>
  <c r="AJX6" i="263"/>
  <c r="AJX118" i="263" s="1"/>
  <c r="AJY6" i="263"/>
  <c r="AJY118" i="263" s="1"/>
  <c r="AJZ6" i="263"/>
  <c r="AJZ118" i="263" s="1"/>
  <c r="AKA6" i="263"/>
  <c r="AKA118" i="263" s="1"/>
  <c r="AKB6" i="263"/>
  <c r="AKB118" i="263" s="1"/>
  <c r="AKC6" i="263"/>
  <c r="AKC118" i="263" s="1"/>
  <c r="AKD6" i="263"/>
  <c r="AKD118" i="263" s="1"/>
  <c r="AKE6" i="263"/>
  <c r="AKE118" i="263" s="1"/>
  <c r="AKF6" i="263"/>
  <c r="AKF118" i="263" s="1"/>
  <c r="AKG6" i="263"/>
  <c r="AKG118" i="263" s="1"/>
  <c r="AKH6" i="263"/>
  <c r="AKH118" i="263" s="1"/>
  <c r="AKI6" i="263"/>
  <c r="AKI118" i="263" s="1"/>
  <c r="AKJ6" i="263"/>
  <c r="AKJ118" i="263" s="1"/>
  <c r="AKK6" i="263"/>
  <c r="AKK118" i="263" s="1"/>
  <c r="AKL6" i="263"/>
  <c r="AKL118" i="263" s="1"/>
  <c r="AKM6" i="263"/>
  <c r="AKM118" i="263" s="1"/>
  <c r="AKN6" i="263"/>
  <c r="AKN118" i="263" s="1"/>
  <c r="AKO6" i="263"/>
  <c r="AKO118" i="263" s="1"/>
  <c r="AKP6" i="263"/>
  <c r="AKP118" i="263" s="1"/>
  <c r="AKQ6" i="263"/>
  <c r="AKQ118" i="263" s="1"/>
  <c r="AKR6" i="263"/>
  <c r="AKR118" i="263" s="1"/>
  <c r="AKS6" i="263"/>
  <c r="AKS118" i="263" s="1"/>
  <c r="AKT6" i="263"/>
  <c r="AKT118" i="263" s="1"/>
  <c r="AKU6" i="263"/>
  <c r="AKU118" i="263" s="1"/>
  <c r="AKV6" i="263"/>
  <c r="AKV118" i="263" s="1"/>
  <c r="AKW6" i="263"/>
  <c r="AKW118" i="263" s="1"/>
  <c r="AKX6" i="263"/>
  <c r="AKX118" i="263" s="1"/>
  <c r="AKY6" i="263"/>
  <c r="AKY118" i="263" s="1"/>
  <c r="AKZ6" i="263"/>
  <c r="AKZ118" i="263" s="1"/>
  <c r="ALA6" i="263"/>
  <c r="ALA118" i="263" s="1"/>
  <c r="ALB6" i="263"/>
  <c r="ALB118" i="263" s="1"/>
  <c r="ALC6" i="263"/>
  <c r="ALC118" i="263" s="1"/>
  <c r="ALD6" i="263"/>
  <c r="ALD118" i="263" s="1"/>
  <c r="ALE6" i="263"/>
  <c r="ALE118" i="263" s="1"/>
  <c r="ALF6" i="263"/>
  <c r="ALF118" i="263" s="1"/>
  <c r="ALG6" i="263"/>
  <c r="ALG118" i="263" s="1"/>
  <c r="ALH6" i="263"/>
  <c r="ALH118" i="263" s="1"/>
  <c r="ALI6" i="263"/>
  <c r="ALI118" i="263" s="1"/>
  <c r="ALJ6" i="263"/>
  <c r="ALJ118" i="263" s="1"/>
  <c r="ALK6" i="263"/>
  <c r="ALK118" i="263" s="1"/>
  <c r="ALL6" i="263"/>
  <c r="ALL118" i="263" s="1"/>
  <c r="ALM6" i="263"/>
  <c r="ALM118" i="263" s="1"/>
  <c r="ALN6" i="263"/>
  <c r="ALN118" i="263" s="1"/>
  <c r="ALO6" i="263"/>
  <c r="ALO118" i="263" s="1"/>
  <c r="ALP6" i="263"/>
  <c r="ALP118" i="263" s="1"/>
  <c r="ALQ6" i="263"/>
  <c r="ALQ118" i="263" s="1"/>
  <c r="ALR6" i="263"/>
  <c r="ALR118" i="263" s="1"/>
  <c r="ALS6" i="263"/>
  <c r="ALS118" i="263" s="1"/>
  <c r="ALT6" i="263"/>
  <c r="ALT118" i="263" s="1"/>
  <c r="ALU6" i="263"/>
  <c r="ALU118" i="263" s="1"/>
  <c r="ALV6" i="263"/>
  <c r="ALV118" i="263" s="1"/>
  <c r="ALW6" i="263"/>
  <c r="ALW118" i="263" s="1"/>
  <c r="ALX6" i="263"/>
  <c r="ALX118" i="263" s="1"/>
  <c r="ALY6" i="263"/>
  <c r="ALY118" i="263" s="1"/>
  <c r="ALZ6" i="263"/>
  <c r="ALZ118" i="263" s="1"/>
  <c r="AMA6" i="263"/>
  <c r="AMA118" i="263" s="1"/>
  <c r="AMB6" i="263"/>
  <c r="AMB118" i="263" s="1"/>
  <c r="AMC6" i="263"/>
  <c r="AMC118" i="263" s="1"/>
  <c r="AMD6" i="263"/>
  <c r="AMD118" i="263" s="1"/>
  <c r="AME6" i="263"/>
  <c r="AME118" i="263" s="1"/>
  <c r="AMF6" i="263"/>
  <c r="AMF118" i="263" s="1"/>
  <c r="AMG6" i="263"/>
  <c r="AMG118" i="263" s="1"/>
  <c r="AMH6" i="263"/>
  <c r="AMH118" i="263" s="1"/>
  <c r="AMI6" i="263"/>
  <c r="AMI118" i="263" s="1"/>
  <c r="AMJ6" i="263"/>
  <c r="AMJ118" i="263" s="1"/>
  <c r="AMK6" i="263"/>
  <c r="AMK118" i="263" s="1"/>
  <c r="AML6" i="263"/>
  <c r="AML118" i="263" s="1"/>
  <c r="AMM6" i="263"/>
  <c r="AMM118" i="263" s="1"/>
  <c r="AMN6" i="263"/>
  <c r="AMN118" i="263" s="1"/>
  <c r="AMO6" i="263"/>
  <c r="AMO118" i="263" s="1"/>
  <c r="AMP6" i="263"/>
  <c r="AMP118" i="263" s="1"/>
  <c r="AMQ6" i="263"/>
  <c r="AMQ118" i="263" s="1"/>
  <c r="AMR6" i="263"/>
  <c r="AMR118" i="263" s="1"/>
  <c r="AMS6" i="263"/>
  <c r="AMS118" i="263" s="1"/>
  <c r="AMT6" i="263"/>
  <c r="AMT118" i="263" s="1"/>
  <c r="AMU6" i="263"/>
  <c r="AMU118" i="263" s="1"/>
  <c r="AMV6" i="263"/>
  <c r="AMV118" i="263" s="1"/>
  <c r="AMW6" i="263"/>
  <c r="AMW118" i="263" s="1"/>
  <c r="AMX6" i="263"/>
  <c r="AMX118" i="263" s="1"/>
  <c r="AMY6" i="263"/>
  <c r="AMY118" i="263" s="1"/>
  <c r="AMZ6" i="263"/>
  <c r="AMZ118" i="263" s="1"/>
  <c r="ANA6" i="263"/>
  <c r="ANA118" i="263" s="1"/>
  <c r="ANB6" i="263"/>
  <c r="ANB118" i="263" s="1"/>
  <c r="ANC6" i="263"/>
  <c r="ANC118" i="263" s="1"/>
  <c r="AND6" i="263"/>
  <c r="AND118" i="263" s="1"/>
  <c r="ANE6" i="263"/>
  <c r="ANE118" i="263" s="1"/>
  <c r="ANF6" i="263"/>
  <c r="ANF118" i="263" s="1"/>
  <c r="ANG6" i="263"/>
  <c r="ANG118" i="263" s="1"/>
  <c r="ANH6" i="263"/>
  <c r="ANH118" i="263" s="1"/>
  <c r="ANI6" i="263"/>
  <c r="ANI118" i="263" s="1"/>
  <c r="ANJ6" i="263"/>
  <c r="ANJ118" i="263" s="1"/>
  <c r="ANK6" i="263"/>
  <c r="ANK118" i="263" s="1"/>
  <c r="ANL6" i="263"/>
  <c r="ANL118" i="263" s="1"/>
  <c r="ANM6" i="263"/>
  <c r="ANM118" i="263" s="1"/>
  <c r="ANN6" i="263"/>
  <c r="ANN118" i="263" s="1"/>
  <c r="ANO6" i="263"/>
  <c r="ANO118" i="263" s="1"/>
  <c r="ANP6" i="263"/>
  <c r="ANP118" i="263" s="1"/>
  <c r="ANQ6" i="263"/>
  <c r="ANQ118" i="263" s="1"/>
  <c r="ANR6" i="263"/>
  <c r="ANR118" i="263" s="1"/>
  <c r="ANS6" i="263"/>
  <c r="ANS118" i="263" s="1"/>
  <c r="ANT6" i="263"/>
  <c r="ANT118" i="263" s="1"/>
  <c r="ANU6" i="263"/>
  <c r="ANU118" i="263" s="1"/>
  <c r="ANV6" i="263"/>
  <c r="ANV118" i="263" s="1"/>
  <c r="ANW6" i="263"/>
  <c r="ANW118" i="263" s="1"/>
  <c r="ANX6" i="263"/>
  <c r="ANX118" i="263" s="1"/>
  <c r="ANY6" i="263"/>
  <c r="ANY118" i="263" s="1"/>
  <c r="ANZ6" i="263"/>
  <c r="ANZ118" i="263" s="1"/>
  <c r="AOA6" i="263"/>
  <c r="AOA118" i="263" s="1"/>
  <c r="AOB6" i="263"/>
  <c r="AOB118" i="263" s="1"/>
  <c r="AOC6" i="263"/>
  <c r="AOC118" i="263" s="1"/>
  <c r="AOD6" i="263"/>
  <c r="AOD118" i="263" s="1"/>
  <c r="AOE6" i="263"/>
  <c r="AOE118" i="263" s="1"/>
  <c r="AOF6" i="263"/>
  <c r="AOF118" i="263" s="1"/>
  <c r="AOG6" i="263"/>
  <c r="AOG118" i="263" s="1"/>
  <c r="AOH6" i="263"/>
  <c r="AOH118" i="263" s="1"/>
  <c r="AOI6" i="263"/>
  <c r="AOI118" i="263" s="1"/>
  <c r="AOJ6" i="263"/>
  <c r="AOJ118" i="263" s="1"/>
  <c r="AOK6" i="263"/>
  <c r="AOK118" i="263" s="1"/>
  <c r="AOL6" i="263"/>
  <c r="AOL118" i="263" s="1"/>
  <c r="AOM6" i="263"/>
  <c r="AOM118" i="263" s="1"/>
  <c r="AON6" i="263"/>
  <c r="AON118" i="263" s="1"/>
  <c r="AOO6" i="263"/>
  <c r="AOO118" i="263" s="1"/>
  <c r="AOP6" i="263"/>
  <c r="AOP118" i="263" s="1"/>
  <c r="AOQ6" i="263"/>
  <c r="AOQ118" i="263" s="1"/>
  <c r="AOR6" i="263"/>
  <c r="AOR118" i="263" s="1"/>
  <c r="AOS6" i="263"/>
  <c r="AOS118" i="263" s="1"/>
  <c r="AOT6" i="263"/>
  <c r="AOT118" i="263" s="1"/>
  <c r="AOU6" i="263"/>
  <c r="AOU118" i="263" s="1"/>
  <c r="AOV6" i="263"/>
  <c r="AOV118" i="263" s="1"/>
  <c r="AOW6" i="263"/>
  <c r="AOW118" i="263" s="1"/>
  <c r="AOX6" i="263"/>
  <c r="AOX118" i="263" s="1"/>
  <c r="AOY6" i="263"/>
  <c r="AOY118" i="263" s="1"/>
  <c r="AOZ6" i="263"/>
  <c r="AOZ118" i="263" s="1"/>
  <c r="APA6" i="263"/>
  <c r="APA118" i="263" s="1"/>
  <c r="APB6" i="263"/>
  <c r="APB118" i="263" s="1"/>
  <c r="APC6" i="263"/>
  <c r="APC118" i="263" s="1"/>
  <c r="APD6" i="263"/>
  <c r="APD118" i="263" s="1"/>
  <c r="APE6" i="263"/>
  <c r="APE118" i="263" s="1"/>
  <c r="APF6" i="263"/>
  <c r="APF118" i="263" s="1"/>
  <c r="APG6" i="263"/>
  <c r="APG118" i="263" s="1"/>
  <c r="APH6" i="263"/>
  <c r="APH118" i="263" s="1"/>
  <c r="API6" i="263"/>
  <c r="API118" i="263" s="1"/>
  <c r="APJ6" i="263"/>
  <c r="APJ118" i="263" s="1"/>
  <c r="APK6" i="263"/>
  <c r="APK118" i="263" s="1"/>
  <c r="APL6" i="263"/>
  <c r="APL118" i="263" s="1"/>
  <c r="APM6" i="263"/>
  <c r="APM118" i="263" s="1"/>
  <c r="APN6" i="263"/>
  <c r="APN118" i="263" s="1"/>
  <c r="APO6" i="263"/>
  <c r="APO118" i="263" s="1"/>
  <c r="APP6" i="263"/>
  <c r="APP118" i="263" s="1"/>
  <c r="APQ6" i="263"/>
  <c r="APQ118" i="263" s="1"/>
  <c r="APR6" i="263"/>
  <c r="APR118" i="263" s="1"/>
  <c r="APS6" i="263"/>
  <c r="APS118" i="263" s="1"/>
  <c r="APT6" i="263"/>
  <c r="APT118" i="263" s="1"/>
  <c r="APU6" i="263"/>
  <c r="APU118" i="263" s="1"/>
  <c r="APV6" i="263"/>
  <c r="APV118" i="263" s="1"/>
  <c r="APW6" i="263"/>
  <c r="APW118" i="263" s="1"/>
  <c r="APX6" i="263"/>
  <c r="APX118" i="263" s="1"/>
  <c r="APY6" i="263"/>
  <c r="APY118" i="263" s="1"/>
  <c r="APZ6" i="263"/>
  <c r="APZ118" i="263" s="1"/>
  <c r="AQA6" i="263"/>
  <c r="AQA118" i="263" s="1"/>
  <c r="AQB6" i="263"/>
  <c r="AQB118" i="263" s="1"/>
  <c r="AQC6" i="263"/>
  <c r="AQC118" i="263" s="1"/>
  <c r="AQD6" i="263"/>
  <c r="AQD118" i="263" s="1"/>
  <c r="AQE6" i="263"/>
  <c r="AQE118" i="263" s="1"/>
  <c r="AQF6" i="263"/>
  <c r="AQF118" i="263" s="1"/>
  <c r="AQG6" i="263"/>
  <c r="AQG118" i="263" s="1"/>
  <c r="AQH6" i="263"/>
  <c r="AQH118" i="263" s="1"/>
  <c r="AQI6" i="263"/>
  <c r="AQI118" i="263" s="1"/>
  <c r="AQJ6" i="263"/>
  <c r="AQJ118" i="263" s="1"/>
  <c r="AQK6" i="263"/>
  <c r="AQK118" i="263" s="1"/>
  <c r="AQL6" i="263"/>
  <c r="AQL118" i="263" s="1"/>
  <c r="AQM6" i="263"/>
  <c r="AQM118" i="263" s="1"/>
  <c r="AQN6" i="263"/>
  <c r="AQN118" i="263" s="1"/>
  <c r="AQO6" i="263"/>
  <c r="AQO118" i="263" s="1"/>
  <c r="AQP6" i="263"/>
  <c r="AQP118" i="263" s="1"/>
  <c r="AQQ6" i="263"/>
  <c r="AQQ118" i="263" s="1"/>
  <c r="AQR6" i="263"/>
  <c r="AQR118" i="263" s="1"/>
  <c r="AQS6" i="263"/>
  <c r="AQS118" i="263" s="1"/>
  <c r="AQT6" i="263"/>
  <c r="AQT118" i="263" s="1"/>
  <c r="AQU6" i="263"/>
  <c r="AQU118" i="263" s="1"/>
  <c r="AQV6" i="263"/>
  <c r="AQV118" i="263" s="1"/>
  <c r="AQW6" i="263"/>
  <c r="AQW118" i="263" s="1"/>
  <c r="AQX6" i="263"/>
  <c r="AQX118" i="263" s="1"/>
  <c r="AQY6" i="263"/>
  <c r="AQY118" i="263" s="1"/>
  <c r="AQZ6" i="263"/>
  <c r="AQZ118" i="263" s="1"/>
  <c r="ARA6" i="263"/>
  <c r="ARA118" i="263" s="1"/>
  <c r="ARB6" i="263"/>
  <c r="ARB118" i="263" s="1"/>
  <c r="ARC6" i="263"/>
  <c r="ARC118" i="263" s="1"/>
  <c r="ARD6" i="263"/>
  <c r="ARD118" i="263" s="1"/>
  <c r="ARE6" i="263"/>
  <c r="ARE118" i="263" s="1"/>
  <c r="ARF6" i="263"/>
  <c r="ARF118" i="263" s="1"/>
  <c r="ARG6" i="263"/>
  <c r="ARG118" i="263" s="1"/>
  <c r="ARH6" i="263"/>
  <c r="ARH118" i="263" s="1"/>
  <c r="ARI6" i="263"/>
  <c r="ARI118" i="263" s="1"/>
  <c r="ARJ6" i="263"/>
  <c r="ARJ118" i="263" s="1"/>
  <c r="ARK6" i="263"/>
  <c r="ARK118" i="263" s="1"/>
  <c r="ARL6" i="263"/>
  <c r="ARL118" i="263" s="1"/>
  <c r="ARM6" i="263"/>
  <c r="ARM118" i="263" s="1"/>
  <c r="ARN6" i="263"/>
  <c r="ARN118" i="263" s="1"/>
  <c r="ARO6" i="263"/>
  <c r="ARO118" i="263" s="1"/>
  <c r="ARP6" i="263"/>
  <c r="ARP118" i="263" s="1"/>
  <c r="ARQ6" i="263"/>
  <c r="ARQ118" i="263" s="1"/>
  <c r="ARR6" i="263"/>
  <c r="ARR118" i="263" s="1"/>
  <c r="ARS6" i="263"/>
  <c r="ARS118" i="263" s="1"/>
  <c r="ART6" i="263"/>
  <c r="ART118" i="263" s="1"/>
  <c r="ARU6" i="263"/>
  <c r="ARU118" i="263" s="1"/>
  <c r="ARV6" i="263"/>
  <c r="ARV118" i="263" s="1"/>
  <c r="ARW6" i="263"/>
  <c r="ARW118" i="263" s="1"/>
  <c r="ARX6" i="263"/>
  <c r="ARX118" i="263" s="1"/>
  <c r="ARY6" i="263"/>
  <c r="ARY118" i="263" s="1"/>
  <c r="ARZ6" i="263"/>
  <c r="ARZ118" i="263" s="1"/>
  <c r="ASA6" i="263"/>
  <c r="ASA118" i="263" s="1"/>
  <c r="ASB6" i="263"/>
  <c r="ASB118" i="263" s="1"/>
  <c r="ASC6" i="263"/>
  <c r="ASC118" i="263" s="1"/>
  <c r="ASD6" i="263"/>
  <c r="ASD118" i="263" s="1"/>
  <c r="ASE6" i="263"/>
  <c r="ASE118" i="263" s="1"/>
  <c r="ASF6" i="263"/>
  <c r="ASF118" i="263" s="1"/>
  <c r="ASG6" i="263"/>
  <c r="ASG118" i="263" s="1"/>
  <c r="ASH6" i="263"/>
  <c r="ASH118" i="263" s="1"/>
  <c r="ASI6" i="263"/>
  <c r="ASI118" i="263" s="1"/>
  <c r="ASJ6" i="263"/>
  <c r="ASJ118" i="263" s="1"/>
  <c r="ASK6" i="263"/>
  <c r="ASK118" i="263" s="1"/>
  <c r="ASL6" i="263"/>
  <c r="ASL118" i="263" s="1"/>
  <c r="ASM6" i="263"/>
  <c r="ASM118" i="263" s="1"/>
  <c r="ASN6" i="263"/>
  <c r="ASN118" i="263" s="1"/>
  <c r="ASO6" i="263"/>
  <c r="ASO118" i="263" s="1"/>
  <c r="ASP6" i="263"/>
  <c r="ASP118" i="263" s="1"/>
  <c r="ASQ6" i="263"/>
  <c r="ASQ118" i="263" s="1"/>
  <c r="ASR6" i="263"/>
  <c r="ASR118" i="263" s="1"/>
  <c r="ASS6" i="263"/>
  <c r="ASS118" i="263" s="1"/>
  <c r="AST6" i="263"/>
  <c r="AST118" i="263" s="1"/>
  <c r="ASU6" i="263"/>
  <c r="ASU118" i="263" s="1"/>
  <c r="ASV6" i="263"/>
  <c r="ASV118" i="263" s="1"/>
  <c r="ASW6" i="263"/>
  <c r="ASW118" i="263" s="1"/>
  <c r="ASX6" i="263"/>
  <c r="ASX118" i="263" s="1"/>
  <c r="ASY6" i="263"/>
  <c r="ASY118" i="263" s="1"/>
  <c r="ASZ6" i="263"/>
  <c r="ASZ118" i="263" s="1"/>
  <c r="ATA6" i="263"/>
  <c r="ATA118" i="263" s="1"/>
  <c r="ATB6" i="263"/>
  <c r="ATB118" i="263" s="1"/>
  <c r="ATC6" i="263"/>
  <c r="ATC118" i="263" s="1"/>
  <c r="ATD6" i="263"/>
  <c r="ATD118" i="263" s="1"/>
  <c r="ATE6" i="263"/>
  <c r="ATE118" i="263" s="1"/>
  <c r="ATF6" i="263"/>
  <c r="ATF118" i="263" s="1"/>
  <c r="ATG6" i="263"/>
  <c r="ATG118" i="263" s="1"/>
  <c r="ATH6" i="263"/>
  <c r="ATH118" i="263" s="1"/>
  <c r="ATI6" i="263"/>
  <c r="ATI118" i="263" s="1"/>
  <c r="ATJ6" i="263"/>
  <c r="ATJ118" i="263" s="1"/>
  <c r="ATK6" i="263"/>
  <c r="ATK118" i="263" s="1"/>
  <c r="ATL6" i="263"/>
  <c r="ATL118" i="263" s="1"/>
  <c r="ATM6" i="263"/>
  <c r="ATM118" i="263" s="1"/>
  <c r="ATN6" i="263"/>
  <c r="ATN118" i="263" s="1"/>
  <c r="ATO6" i="263"/>
  <c r="ATO118" i="263" s="1"/>
  <c r="ATP6" i="263"/>
  <c r="ATP118" i="263" s="1"/>
  <c r="ATQ6" i="263"/>
  <c r="ATQ118" i="263" s="1"/>
  <c r="ATR6" i="263"/>
  <c r="ATR118" i="263" s="1"/>
  <c r="ATS6" i="263"/>
  <c r="ATS118" i="263" s="1"/>
  <c r="ATT6" i="263"/>
  <c r="ATT118" i="263" s="1"/>
  <c r="ATU6" i="263"/>
  <c r="ATU118" i="263" s="1"/>
  <c r="ATV6" i="263"/>
  <c r="ATV118" i="263" s="1"/>
  <c r="ATW6" i="263"/>
  <c r="ATW118" i="263" s="1"/>
  <c r="ATX6" i="263"/>
  <c r="ATX118" i="263" s="1"/>
  <c r="ATY6" i="263"/>
  <c r="ATY118" i="263" s="1"/>
  <c r="ATZ6" i="263"/>
  <c r="ATZ118" i="263" s="1"/>
  <c r="AUA6" i="263"/>
  <c r="AUA118" i="263" s="1"/>
  <c r="AUB6" i="263"/>
  <c r="AUB118" i="263" s="1"/>
  <c r="AUC6" i="263"/>
  <c r="AUC118" i="263" s="1"/>
  <c r="AUD6" i="263"/>
  <c r="AUD118" i="263" s="1"/>
  <c r="AUE6" i="263"/>
  <c r="AUE118" i="263" s="1"/>
  <c r="AUF6" i="263"/>
  <c r="AUF118" i="263" s="1"/>
  <c r="AUG6" i="263"/>
  <c r="AUG118" i="263" s="1"/>
  <c r="AUH6" i="263"/>
  <c r="AUH118" i="263" s="1"/>
  <c r="AUI6" i="263"/>
  <c r="AUI118" i="263" s="1"/>
  <c r="AUJ6" i="263"/>
  <c r="AUJ118" i="263" s="1"/>
  <c r="AUK6" i="263"/>
  <c r="AUK118" i="263" s="1"/>
  <c r="AUL6" i="263"/>
  <c r="AUL118" i="263" s="1"/>
  <c r="AUM6" i="263"/>
  <c r="AUM118" i="263" s="1"/>
  <c r="AUN6" i="263"/>
  <c r="AUN118" i="263" s="1"/>
  <c r="AUO6" i="263"/>
  <c r="AUO118" i="263" s="1"/>
  <c r="AUP6" i="263"/>
  <c r="AUP118" i="263" s="1"/>
  <c r="AUQ6" i="263"/>
  <c r="AUQ118" i="263" s="1"/>
  <c r="AUR6" i="263"/>
  <c r="AUR118" i="263" s="1"/>
  <c r="AUS6" i="263"/>
  <c r="AUS118" i="263" s="1"/>
  <c r="AUT6" i="263"/>
  <c r="AUT118" i="263" s="1"/>
  <c r="AUU6" i="263"/>
  <c r="AUU118" i="263" s="1"/>
  <c r="AUV6" i="263"/>
  <c r="AUV118" i="263" s="1"/>
  <c r="AUW6" i="263"/>
  <c r="AUW118" i="263" s="1"/>
  <c r="AUX6" i="263"/>
  <c r="AUX118" i="263" s="1"/>
  <c r="AUY6" i="263"/>
  <c r="AUY118" i="263" s="1"/>
  <c r="AUZ6" i="263"/>
  <c r="AUZ118" i="263" s="1"/>
  <c r="AVA6" i="263"/>
  <c r="AVA118" i="263" s="1"/>
  <c r="AVB6" i="263"/>
  <c r="AVB118" i="263" s="1"/>
  <c r="AVC6" i="263"/>
  <c r="AVC118" i="263" s="1"/>
  <c r="AVD6" i="263"/>
  <c r="AVD118" i="263" s="1"/>
  <c r="AVE6" i="263"/>
  <c r="AVE118" i="263" s="1"/>
  <c r="AVF6" i="263"/>
  <c r="AVF118" i="263" s="1"/>
  <c r="AVG6" i="263"/>
  <c r="AVG118" i="263" s="1"/>
  <c r="AVH6" i="263"/>
  <c r="AVH118" i="263" s="1"/>
  <c r="AVI6" i="263"/>
  <c r="AVI118" i="263" s="1"/>
  <c r="AVJ6" i="263"/>
  <c r="AVJ118" i="263" s="1"/>
  <c r="AVK6" i="263"/>
  <c r="AVK118" i="263" s="1"/>
  <c r="AVL6" i="263"/>
  <c r="AVL118" i="263" s="1"/>
  <c r="AVM6" i="263"/>
  <c r="AVM118" i="263" s="1"/>
  <c r="AVN6" i="263"/>
  <c r="AVN118" i="263" s="1"/>
  <c r="AVO6" i="263"/>
  <c r="AVO118" i="263" s="1"/>
  <c r="AVP6" i="263"/>
  <c r="AVP118" i="263" s="1"/>
  <c r="AVQ6" i="263"/>
  <c r="AVQ118" i="263" s="1"/>
  <c r="AVR6" i="263"/>
  <c r="AVR118" i="263" s="1"/>
  <c r="AVS6" i="263"/>
  <c r="AVS118" i="263" s="1"/>
  <c r="AVT6" i="263"/>
  <c r="AVT118" i="263" s="1"/>
  <c r="AVU6" i="263"/>
  <c r="AVU118" i="263" s="1"/>
  <c r="AVV6" i="263"/>
  <c r="AVV118" i="263" s="1"/>
  <c r="AVW6" i="263"/>
  <c r="AVW118" i="263" s="1"/>
  <c r="AVX6" i="263"/>
  <c r="AVX118" i="263" s="1"/>
  <c r="AVY6" i="263"/>
  <c r="AVY118" i="263" s="1"/>
  <c r="AVZ6" i="263"/>
  <c r="AVZ118" i="263" s="1"/>
  <c r="AWA6" i="263"/>
  <c r="AWA118" i="263" s="1"/>
  <c r="AWB6" i="263"/>
  <c r="AWB118" i="263" s="1"/>
  <c r="AWC6" i="263"/>
  <c r="AWC118" i="263" s="1"/>
  <c r="AWD6" i="263"/>
  <c r="AWD118" i="263" s="1"/>
  <c r="AWE6" i="263"/>
  <c r="AWE118" i="263" s="1"/>
  <c r="AWF6" i="263"/>
  <c r="AWF118" i="263" s="1"/>
  <c r="AWG6" i="263"/>
  <c r="AWG118" i="263" s="1"/>
  <c r="AWH6" i="263"/>
  <c r="AWH118" i="263" s="1"/>
  <c r="AWI6" i="263"/>
  <c r="AWI118" i="263" s="1"/>
  <c r="AWJ6" i="263"/>
  <c r="AWJ118" i="263" s="1"/>
  <c r="AWK6" i="263"/>
  <c r="AWK118" i="263" s="1"/>
  <c r="AWL6" i="263"/>
  <c r="AWL118" i="263" s="1"/>
  <c r="AWM6" i="263"/>
  <c r="AWM118" i="263" s="1"/>
  <c r="AWN6" i="263"/>
  <c r="AWN118" i="263" s="1"/>
  <c r="AWO6" i="263"/>
  <c r="AWO118" i="263" s="1"/>
  <c r="AWP6" i="263"/>
  <c r="AWP118" i="263" s="1"/>
  <c r="AWQ6" i="263"/>
  <c r="AWQ118" i="263" s="1"/>
  <c r="AWR6" i="263"/>
  <c r="AWR118" i="263" s="1"/>
  <c r="AWS6" i="263"/>
  <c r="AWS118" i="263" s="1"/>
  <c r="AWT6" i="263"/>
  <c r="AWT118" i="263" s="1"/>
  <c r="AWU6" i="263"/>
  <c r="AWU118" i="263" s="1"/>
  <c r="AWV6" i="263"/>
  <c r="AWV118" i="263" s="1"/>
  <c r="AWW6" i="263"/>
  <c r="AWW118" i="263" s="1"/>
  <c r="AWX6" i="263"/>
  <c r="AWX118" i="263" s="1"/>
  <c r="AWY6" i="263"/>
  <c r="AWY118" i="263" s="1"/>
  <c r="AWZ6" i="263"/>
  <c r="AWZ118" i="263" s="1"/>
  <c r="AXA6" i="263"/>
  <c r="AXA118" i="263" s="1"/>
  <c r="AXB6" i="263"/>
  <c r="AXB118" i="263" s="1"/>
  <c r="AXC6" i="263"/>
  <c r="AXC118" i="263" s="1"/>
  <c r="AXD6" i="263"/>
  <c r="AXD118" i="263" s="1"/>
  <c r="AXE6" i="263"/>
  <c r="AXE118" i="263" s="1"/>
  <c r="AXF6" i="263"/>
  <c r="AXF118" i="263" s="1"/>
  <c r="AXG6" i="263"/>
  <c r="AXG118" i="263" s="1"/>
  <c r="AXH6" i="263"/>
  <c r="AXH118" i="263" s="1"/>
  <c r="AXI6" i="263"/>
  <c r="AXI118" i="263" s="1"/>
  <c r="AXJ6" i="263"/>
  <c r="AXJ118" i="263" s="1"/>
  <c r="AXK6" i="263"/>
  <c r="AXK118" i="263" s="1"/>
  <c r="AXL6" i="263"/>
  <c r="AXL118" i="263" s="1"/>
  <c r="AXM6" i="263"/>
  <c r="AXM118" i="263" s="1"/>
  <c r="AXN6" i="263"/>
  <c r="AXN118" i="263" s="1"/>
  <c r="AXO6" i="263"/>
  <c r="AXO118" i="263" s="1"/>
  <c r="AXP6" i="263"/>
  <c r="AXP118" i="263" s="1"/>
  <c r="AXQ6" i="263"/>
  <c r="AXQ118" i="263" s="1"/>
  <c r="AXR6" i="263"/>
  <c r="AXR118" i="263" s="1"/>
  <c r="AXS6" i="263"/>
  <c r="AXS118" i="263" s="1"/>
  <c r="AXT6" i="263"/>
  <c r="AXT118" i="263" s="1"/>
  <c r="AXU6" i="263"/>
  <c r="AXU118" i="263" s="1"/>
  <c r="AXV6" i="263"/>
  <c r="AXV118" i="263" s="1"/>
  <c r="AXW6" i="263"/>
  <c r="AXW118" i="263" s="1"/>
  <c r="AXX6" i="263"/>
  <c r="AXX118" i="263" s="1"/>
  <c r="AXY6" i="263"/>
  <c r="AXY118" i="263" s="1"/>
  <c r="AXZ6" i="263"/>
  <c r="AXZ118" i="263" s="1"/>
  <c r="AYA6" i="263"/>
  <c r="AYA118" i="263" s="1"/>
  <c r="AYB6" i="263"/>
  <c r="AYB118" i="263" s="1"/>
  <c r="AYC6" i="263"/>
  <c r="AYC118" i="263" s="1"/>
  <c r="AYD6" i="263"/>
  <c r="AYD118" i="263" s="1"/>
  <c r="AYE6" i="263"/>
  <c r="AYE118" i="263" s="1"/>
  <c r="AYF6" i="263"/>
  <c r="AYF118" i="263" s="1"/>
  <c r="AYG6" i="263"/>
  <c r="AYG118" i="263" s="1"/>
  <c r="AYH6" i="263"/>
  <c r="AYH118" i="263" s="1"/>
  <c r="AYI6" i="263"/>
  <c r="AYI118" i="263" s="1"/>
  <c r="AYJ6" i="263"/>
  <c r="AYJ118" i="263" s="1"/>
  <c r="AYK6" i="263"/>
  <c r="AYK118" i="263" s="1"/>
  <c r="AYL6" i="263"/>
  <c r="AYL118" i="263" s="1"/>
  <c r="AYM6" i="263"/>
  <c r="AYM118" i="263" s="1"/>
  <c r="AYN6" i="263"/>
  <c r="AYN118" i="263" s="1"/>
  <c r="AYO6" i="263"/>
  <c r="AYO118" i="263" s="1"/>
  <c r="AYP6" i="263"/>
  <c r="AYP118" i="263" s="1"/>
  <c r="AYQ6" i="263"/>
  <c r="AYQ118" i="263" s="1"/>
  <c r="AYR6" i="263"/>
  <c r="AYR118" i="263" s="1"/>
  <c r="AYS6" i="263"/>
  <c r="AYS118" i="263" s="1"/>
  <c r="AYT6" i="263"/>
  <c r="AYT118" i="263" s="1"/>
  <c r="AYU6" i="263"/>
  <c r="AYU118" i="263" s="1"/>
  <c r="AYV6" i="263"/>
  <c r="AYV118" i="263" s="1"/>
  <c r="AYW6" i="263"/>
  <c r="AYW118" i="263" s="1"/>
  <c r="AYX6" i="263"/>
  <c r="AYX118" i="263" s="1"/>
  <c r="AYY6" i="263"/>
  <c r="AYY118" i="263" s="1"/>
  <c r="AYZ6" i="263"/>
  <c r="AYZ118" i="263" s="1"/>
  <c r="AZA6" i="263"/>
  <c r="AZA118" i="263" s="1"/>
  <c r="AZB6" i="263"/>
  <c r="AZB118" i="263" s="1"/>
  <c r="AZC6" i="263"/>
  <c r="AZC118" i="263" s="1"/>
  <c r="AZD6" i="263"/>
  <c r="AZD118" i="263" s="1"/>
  <c r="AZE6" i="263"/>
  <c r="AZE118" i="263" s="1"/>
  <c r="AZF6" i="263"/>
  <c r="AZF118" i="263" s="1"/>
  <c r="AZG6" i="263"/>
  <c r="AZG118" i="263" s="1"/>
  <c r="AZH6" i="263"/>
  <c r="AZH118" i="263" s="1"/>
  <c r="AZI6" i="263"/>
  <c r="AZI118" i="263" s="1"/>
  <c r="AZJ6" i="263"/>
  <c r="AZJ118" i="263" s="1"/>
  <c r="AZK6" i="263"/>
  <c r="AZK118" i="263" s="1"/>
  <c r="AZL6" i="263"/>
  <c r="AZL118" i="263" s="1"/>
  <c r="AZM6" i="263"/>
  <c r="AZM118" i="263" s="1"/>
  <c r="AZN6" i="263"/>
  <c r="AZN118" i="263" s="1"/>
  <c r="AZO6" i="263"/>
  <c r="AZO118" i="263" s="1"/>
  <c r="AZP6" i="263"/>
  <c r="AZP118" i="263" s="1"/>
  <c r="AZQ6" i="263"/>
  <c r="AZQ118" i="263" s="1"/>
  <c r="AZR6" i="263"/>
  <c r="AZR118" i="263" s="1"/>
  <c r="AZS6" i="263"/>
  <c r="AZS118" i="263" s="1"/>
  <c r="AZT6" i="263"/>
  <c r="AZT118" i="263" s="1"/>
  <c r="AZU6" i="263"/>
  <c r="AZU118" i="263" s="1"/>
  <c r="AZV6" i="263"/>
  <c r="AZV118" i="263" s="1"/>
  <c r="AZW6" i="263"/>
  <c r="AZW118" i="263" s="1"/>
  <c r="AZX6" i="263"/>
  <c r="AZX118" i="263" s="1"/>
  <c r="AZY6" i="263"/>
  <c r="AZY118" i="263" s="1"/>
  <c r="AZZ6" i="263"/>
  <c r="AZZ118" i="263" s="1"/>
  <c r="BAA6" i="263"/>
  <c r="BAA118" i="263" s="1"/>
  <c r="BAB6" i="263"/>
  <c r="BAB118" i="263" s="1"/>
  <c r="BAC6" i="263"/>
  <c r="BAC118" i="263" s="1"/>
  <c r="BAD6" i="263"/>
  <c r="BAD118" i="263" s="1"/>
  <c r="BAE6" i="263"/>
  <c r="BAE118" i="263" s="1"/>
  <c r="BAF6" i="263"/>
  <c r="BAF118" i="263" s="1"/>
  <c r="BAG6" i="263"/>
  <c r="BAG118" i="263" s="1"/>
  <c r="BAH6" i="263"/>
  <c r="BAH118" i="263" s="1"/>
  <c r="BAI6" i="263"/>
  <c r="BAI118" i="263" s="1"/>
  <c r="BAJ6" i="263"/>
  <c r="BAJ118" i="263" s="1"/>
  <c r="BAK6" i="263"/>
  <c r="BAK118" i="263" s="1"/>
  <c r="BAL6" i="263"/>
  <c r="BAL118" i="263" s="1"/>
  <c r="BAM6" i="263"/>
  <c r="BAM118" i="263" s="1"/>
  <c r="BAN6" i="263"/>
  <c r="BAN118" i="263" s="1"/>
  <c r="BAO6" i="263"/>
  <c r="BAO118" i="263" s="1"/>
  <c r="BAP6" i="263"/>
  <c r="BAP118" i="263" s="1"/>
  <c r="BAQ6" i="263"/>
  <c r="BAQ118" i="263" s="1"/>
  <c r="BAR6" i="263"/>
  <c r="BAR118" i="263" s="1"/>
  <c r="BAS6" i="263"/>
  <c r="BAS118" i="263" s="1"/>
  <c r="BAT6" i="263"/>
  <c r="BAT118" i="263" s="1"/>
  <c r="BAU6" i="263"/>
  <c r="BAU118" i="263" s="1"/>
  <c r="BAV6" i="263"/>
  <c r="BAV118" i="263" s="1"/>
  <c r="BAW6" i="263"/>
  <c r="BAW118" i="263" s="1"/>
  <c r="BAX6" i="263"/>
  <c r="BAX118" i="263" s="1"/>
  <c r="BAY6" i="263"/>
  <c r="BAY118" i="263" s="1"/>
  <c r="BAZ6" i="263"/>
  <c r="BAZ118" i="263" s="1"/>
  <c r="BBA6" i="263"/>
  <c r="BBA118" i="263" s="1"/>
  <c r="BBB6" i="263"/>
  <c r="BBB118" i="263" s="1"/>
  <c r="BBC6" i="263"/>
  <c r="BBC118" i="263" s="1"/>
  <c r="BBD6" i="263"/>
  <c r="BBD118" i="263" s="1"/>
  <c r="BBE6" i="263"/>
  <c r="BBE118" i="263" s="1"/>
  <c r="BBF6" i="263"/>
  <c r="BBF118" i="263" s="1"/>
  <c r="BBG6" i="263"/>
  <c r="BBG118" i="263" s="1"/>
  <c r="BBH6" i="263"/>
  <c r="BBH118" i="263" s="1"/>
  <c r="BBI6" i="263"/>
  <c r="BBI118" i="263" s="1"/>
  <c r="BBJ6" i="263"/>
  <c r="BBJ118" i="263" s="1"/>
  <c r="BBK6" i="263"/>
  <c r="BBK118" i="263" s="1"/>
  <c r="BBL6" i="263"/>
  <c r="BBL118" i="263" s="1"/>
  <c r="BBM6" i="263"/>
  <c r="BBM118" i="263" s="1"/>
  <c r="BBN6" i="263"/>
  <c r="BBN118" i="263" s="1"/>
  <c r="BBO6" i="263"/>
  <c r="BBO118" i="263" s="1"/>
  <c r="BBP6" i="263"/>
  <c r="BBP118" i="263" s="1"/>
  <c r="BBQ6" i="263"/>
  <c r="BBQ118" i="263" s="1"/>
  <c r="BBR6" i="263"/>
  <c r="BBR118" i="263" s="1"/>
  <c r="BBS6" i="263"/>
  <c r="BBS118" i="263" s="1"/>
  <c r="BBT6" i="263"/>
  <c r="BBT118" i="263" s="1"/>
  <c r="BBU6" i="263"/>
  <c r="BBU118" i="263" s="1"/>
  <c r="BBV6" i="263"/>
  <c r="BBV118" i="263" s="1"/>
  <c r="BBW6" i="263"/>
  <c r="BBW118" i="263" s="1"/>
  <c r="BBX6" i="263"/>
  <c r="BBX118" i="263" s="1"/>
  <c r="BBY6" i="263"/>
  <c r="BBY118" i="263" s="1"/>
  <c r="BBZ6" i="263"/>
  <c r="BBZ118" i="263" s="1"/>
  <c r="BCA6" i="263"/>
  <c r="BCA118" i="263" s="1"/>
  <c r="BCB6" i="263"/>
  <c r="BCB118" i="263" s="1"/>
  <c r="BCC6" i="263"/>
  <c r="BCC118" i="263" s="1"/>
  <c r="BCD6" i="263"/>
  <c r="BCD118" i="263" s="1"/>
  <c r="BCE6" i="263"/>
  <c r="BCE118" i="263" s="1"/>
  <c r="BCF6" i="263"/>
  <c r="BCF118" i="263" s="1"/>
  <c r="BCG6" i="263"/>
  <c r="BCG118" i="263" s="1"/>
  <c r="BCH6" i="263"/>
  <c r="BCH118" i="263" s="1"/>
  <c r="BCI6" i="263"/>
  <c r="BCI118" i="263" s="1"/>
  <c r="BCJ6" i="263"/>
  <c r="BCJ118" i="263" s="1"/>
  <c r="BCK6" i="263"/>
  <c r="BCK118" i="263" s="1"/>
  <c r="BCL6" i="263"/>
  <c r="BCL118" i="263" s="1"/>
  <c r="BCM6" i="263"/>
  <c r="BCM118" i="263" s="1"/>
  <c r="BCN6" i="263"/>
  <c r="BCN118" i="263" s="1"/>
  <c r="BCO6" i="263"/>
  <c r="BCO118" i="263" s="1"/>
  <c r="BCP6" i="263"/>
  <c r="BCP118" i="263" s="1"/>
  <c r="BCQ6" i="263"/>
  <c r="BCQ118" i="263" s="1"/>
  <c r="BCR6" i="263"/>
  <c r="BCR118" i="263" s="1"/>
  <c r="BCS6" i="263"/>
  <c r="BCS118" i="263" s="1"/>
  <c r="BCT6" i="263"/>
  <c r="BCT118" i="263" s="1"/>
  <c r="BCU6" i="263"/>
  <c r="BCU118" i="263" s="1"/>
  <c r="BCV6" i="263"/>
  <c r="BCV118" i="263" s="1"/>
  <c r="BCW6" i="263"/>
  <c r="BCW118" i="263" s="1"/>
  <c r="BCX6" i="263"/>
  <c r="BCX118" i="263" s="1"/>
  <c r="BCY6" i="263"/>
  <c r="BCY118" i="263" s="1"/>
  <c r="BCZ6" i="263"/>
  <c r="BCZ118" i="263" s="1"/>
  <c r="BDA6" i="263"/>
  <c r="BDA118" i="263" s="1"/>
  <c r="BDB6" i="263"/>
  <c r="BDB118" i="263" s="1"/>
  <c r="BDC6" i="263"/>
  <c r="BDC118" i="263" s="1"/>
  <c r="BDD6" i="263"/>
  <c r="BDD118" i="263" s="1"/>
  <c r="BDE6" i="263"/>
  <c r="BDE118" i="263" s="1"/>
  <c r="BDF6" i="263"/>
  <c r="BDF118" i="263" s="1"/>
  <c r="BDG6" i="263"/>
  <c r="BDG118" i="263" s="1"/>
  <c r="BDH6" i="263"/>
  <c r="BDH118" i="263" s="1"/>
  <c r="BDI6" i="263"/>
  <c r="BDI118" i="263" s="1"/>
  <c r="BDJ6" i="263"/>
  <c r="BDJ118" i="263" s="1"/>
  <c r="BDK6" i="263"/>
  <c r="BDK118" i="263" s="1"/>
  <c r="BDL6" i="263"/>
  <c r="BDL118" i="263" s="1"/>
  <c r="BDM6" i="263"/>
  <c r="BDM118" i="263" s="1"/>
  <c r="BDN6" i="263"/>
  <c r="BDN118" i="263" s="1"/>
  <c r="BDO6" i="263"/>
  <c r="BDO118" i="263" s="1"/>
  <c r="BDP6" i="263"/>
  <c r="BDP118" i="263" s="1"/>
  <c r="BDQ6" i="263"/>
  <c r="BDQ118" i="263" s="1"/>
  <c r="BDR6" i="263"/>
  <c r="BDR118" i="263" s="1"/>
  <c r="BDS6" i="263"/>
  <c r="BDS118" i="263" s="1"/>
  <c r="BDT6" i="263"/>
  <c r="BDT118" i="263" s="1"/>
  <c r="BDU6" i="263"/>
  <c r="BDU118" i="263" s="1"/>
  <c r="BDV6" i="263"/>
  <c r="BDV118" i="263" s="1"/>
  <c r="BDW6" i="263"/>
  <c r="BDW118" i="263" s="1"/>
  <c r="BDX6" i="263"/>
  <c r="BDX118" i="263" s="1"/>
  <c r="BDY6" i="263"/>
  <c r="BDY118" i="263" s="1"/>
  <c r="BDZ6" i="263"/>
  <c r="BDZ118" i="263" s="1"/>
  <c r="BEA6" i="263"/>
  <c r="BEA118" i="263" s="1"/>
  <c r="BEB6" i="263"/>
  <c r="BEB118" i="263" s="1"/>
  <c r="BEC6" i="263"/>
  <c r="BEC118" i="263" s="1"/>
  <c r="BED6" i="263"/>
  <c r="BED118" i="263" s="1"/>
  <c r="BEE6" i="263"/>
  <c r="BEE118" i="263" s="1"/>
  <c r="BEF6" i="263"/>
  <c r="BEF118" i="263" s="1"/>
  <c r="BEG6" i="263"/>
  <c r="BEG118" i="263" s="1"/>
  <c r="BEH6" i="263"/>
  <c r="BEH118" i="263" s="1"/>
  <c r="BEI6" i="263"/>
  <c r="BEI118" i="263" s="1"/>
  <c r="BEJ6" i="263"/>
  <c r="BEJ118" i="263" s="1"/>
  <c r="BEK6" i="263"/>
  <c r="BEK118" i="263" s="1"/>
  <c r="BEL6" i="263"/>
  <c r="BEL118" i="263" s="1"/>
  <c r="BEM6" i="263"/>
  <c r="BEM118" i="263" s="1"/>
  <c r="BEN6" i="263"/>
  <c r="BEN118" i="263" s="1"/>
  <c r="BEO6" i="263"/>
  <c r="BEO118" i="263" s="1"/>
  <c r="BEP6" i="263"/>
  <c r="BEP118" i="263" s="1"/>
  <c r="BEQ6" i="263"/>
  <c r="BEQ118" i="263" s="1"/>
  <c r="BER6" i="263"/>
  <c r="BER118" i="263" s="1"/>
  <c r="BES6" i="263"/>
  <c r="BES118" i="263" s="1"/>
  <c r="BET6" i="263"/>
  <c r="BET118" i="263" s="1"/>
  <c r="BEU6" i="263"/>
  <c r="BEU118" i="263" s="1"/>
  <c r="BEV6" i="263"/>
  <c r="BEV118" i="263" s="1"/>
  <c r="BEW6" i="263"/>
  <c r="BEW118" i="263" s="1"/>
  <c r="BEX6" i="263"/>
  <c r="BEX118" i="263" s="1"/>
  <c r="BEY6" i="263"/>
  <c r="BEY118" i="263" s="1"/>
  <c r="BEZ6" i="263"/>
  <c r="BEZ118" i="263" s="1"/>
  <c r="BFA6" i="263"/>
  <c r="BFA118" i="263" s="1"/>
  <c r="BFB6" i="263"/>
  <c r="BFB118" i="263" s="1"/>
  <c r="BFC6" i="263"/>
  <c r="BFC118" i="263" s="1"/>
  <c r="BFD6" i="263"/>
  <c r="BFD118" i="263" s="1"/>
  <c r="BFE6" i="263"/>
  <c r="BFE118" i="263" s="1"/>
  <c r="BFF6" i="263"/>
  <c r="BFF118" i="263" s="1"/>
  <c r="BFG6" i="263"/>
  <c r="BFG118" i="263" s="1"/>
  <c r="BFH6" i="263"/>
  <c r="BFH118" i="263" s="1"/>
  <c r="BFI6" i="263"/>
  <c r="BFI118" i="263" s="1"/>
  <c r="BFJ6" i="263"/>
  <c r="BFJ118" i="263" s="1"/>
  <c r="BFK6" i="263"/>
  <c r="BFK118" i="263" s="1"/>
  <c r="BFL6" i="263"/>
  <c r="BFL118" i="263" s="1"/>
  <c r="BFM6" i="263"/>
  <c r="BFM118" i="263" s="1"/>
  <c r="BFN6" i="263"/>
  <c r="BFN118" i="263" s="1"/>
  <c r="BFO6" i="263"/>
  <c r="BFO118" i="263" s="1"/>
  <c r="BFP6" i="263"/>
  <c r="BFP118" i="263" s="1"/>
  <c r="BFQ6" i="263"/>
  <c r="BFQ118" i="263" s="1"/>
  <c r="BFR6" i="263"/>
  <c r="BFR118" i="263" s="1"/>
  <c r="BFS6" i="263"/>
  <c r="BFS118" i="263" s="1"/>
  <c r="BFT6" i="263"/>
  <c r="BFT118" i="263" s="1"/>
  <c r="BFU6" i="263"/>
  <c r="BFU118" i="263" s="1"/>
  <c r="BFV6" i="263"/>
  <c r="BFV118" i="263" s="1"/>
  <c r="BFW6" i="263"/>
  <c r="BFW118" i="263" s="1"/>
  <c r="BFX6" i="263"/>
  <c r="BFX118" i="263" s="1"/>
  <c r="BFY6" i="263"/>
  <c r="BFY118" i="263" s="1"/>
  <c r="BFZ6" i="263"/>
  <c r="BFZ118" i="263" s="1"/>
  <c r="BGA6" i="263"/>
  <c r="BGA118" i="263" s="1"/>
  <c r="BGB6" i="263"/>
  <c r="BGB118" i="263" s="1"/>
  <c r="BGC6" i="263"/>
  <c r="BGC118" i="263" s="1"/>
  <c r="BGD6" i="263"/>
  <c r="BGD118" i="263" s="1"/>
  <c r="BGE6" i="263"/>
  <c r="BGE118" i="263" s="1"/>
  <c r="BGF6" i="263"/>
  <c r="BGF118" i="263" s="1"/>
  <c r="BGG6" i="263"/>
  <c r="BGG118" i="263" s="1"/>
  <c r="BGH6" i="263"/>
  <c r="BGH118" i="263" s="1"/>
  <c r="BGI6" i="263"/>
  <c r="BGI118" i="263" s="1"/>
  <c r="BGJ6" i="263"/>
  <c r="BGJ118" i="263" s="1"/>
  <c r="BGK6" i="263"/>
  <c r="BGK118" i="263" s="1"/>
  <c r="BGL6" i="263"/>
  <c r="BGL118" i="263" s="1"/>
  <c r="BGM6" i="263"/>
  <c r="BGM118" i="263" s="1"/>
  <c r="BGN6" i="263"/>
  <c r="BGN118" i="263" s="1"/>
  <c r="BGO6" i="263"/>
  <c r="BGO118" i="263" s="1"/>
  <c r="BGP6" i="263"/>
  <c r="BGP118" i="263" s="1"/>
  <c r="BGQ6" i="263"/>
  <c r="BGQ118" i="263" s="1"/>
  <c r="BGR6" i="263"/>
  <c r="BGR118" i="263" s="1"/>
  <c r="BGS6" i="263"/>
  <c r="BGS118" i="263" s="1"/>
  <c r="BGT6" i="263"/>
  <c r="BGT118" i="263" s="1"/>
  <c r="BGU6" i="263"/>
  <c r="BGU118" i="263" s="1"/>
  <c r="BGV6" i="263"/>
  <c r="BGV118" i="263" s="1"/>
  <c r="BGW6" i="263"/>
  <c r="BGW118" i="263" s="1"/>
  <c r="BGX6" i="263"/>
  <c r="BGX118" i="263" s="1"/>
  <c r="BGY6" i="263"/>
  <c r="BGY118" i="263" s="1"/>
  <c r="BGZ6" i="263"/>
  <c r="BGZ118" i="263" s="1"/>
  <c r="BHA6" i="263"/>
  <c r="BHA118" i="263" s="1"/>
  <c r="BHB6" i="263"/>
  <c r="BHB118" i="263" s="1"/>
  <c r="BHC6" i="263"/>
  <c r="BHC118" i="263" s="1"/>
  <c r="BHD6" i="263"/>
  <c r="BHD118" i="263" s="1"/>
  <c r="BHE6" i="263"/>
  <c r="BHE118" i="263" s="1"/>
  <c r="BHF6" i="263"/>
  <c r="BHF118" i="263" s="1"/>
  <c r="BHG6" i="263"/>
  <c r="BHG118" i="263" s="1"/>
  <c r="BHH6" i="263"/>
  <c r="BHH118" i="263" s="1"/>
  <c r="BHI6" i="263"/>
  <c r="BHI118" i="263" s="1"/>
  <c r="BHJ6" i="263"/>
  <c r="BHJ118" i="263" s="1"/>
  <c r="BHK6" i="263"/>
  <c r="BHK118" i="263" s="1"/>
  <c r="BHL6" i="263"/>
  <c r="BHL118" i="263" s="1"/>
  <c r="BHM6" i="263"/>
  <c r="BHM118" i="263" s="1"/>
  <c r="BHN6" i="263"/>
  <c r="BHN118" i="263" s="1"/>
  <c r="BHO6" i="263"/>
  <c r="BHO118" i="263" s="1"/>
  <c r="BHP6" i="263"/>
  <c r="BHP118" i="263" s="1"/>
  <c r="BHQ6" i="263"/>
  <c r="BHQ118" i="263" s="1"/>
  <c r="BHR6" i="263"/>
  <c r="BHR118" i="263" s="1"/>
  <c r="BHS6" i="263"/>
  <c r="BHS118" i="263" s="1"/>
  <c r="BHT6" i="263"/>
  <c r="BHT118" i="263" s="1"/>
  <c r="BHU6" i="263"/>
  <c r="BHU118" i="263" s="1"/>
  <c r="BHV6" i="263"/>
  <c r="BHV118" i="263" s="1"/>
  <c r="BHW6" i="263"/>
  <c r="BHW118" i="263" s="1"/>
  <c r="BHX6" i="263"/>
  <c r="BHX118" i="263" s="1"/>
  <c r="BHY6" i="263"/>
  <c r="BHY118" i="263" s="1"/>
  <c r="BHZ6" i="263"/>
  <c r="BHZ118" i="263" s="1"/>
  <c r="BIA6" i="263"/>
  <c r="BIA118" i="263" s="1"/>
  <c r="BIB6" i="263"/>
  <c r="BIB118" i="263" s="1"/>
  <c r="BIC6" i="263"/>
  <c r="BIC118" i="263" s="1"/>
  <c r="BID6" i="263"/>
  <c r="BID118" i="263" s="1"/>
  <c r="BIE6" i="263"/>
  <c r="BIE118" i="263" s="1"/>
  <c r="BIF6" i="263"/>
  <c r="BIF118" i="263" s="1"/>
  <c r="BIG6" i="263"/>
  <c r="BIG118" i="263" s="1"/>
  <c r="BIH6" i="263"/>
  <c r="BIH118" i="263" s="1"/>
  <c r="BII6" i="263"/>
  <c r="BII118" i="263" s="1"/>
  <c r="BIJ6" i="263"/>
  <c r="BIJ118" i="263" s="1"/>
  <c r="BIK6" i="263"/>
  <c r="BIK118" i="263" s="1"/>
  <c r="BIL6" i="263"/>
  <c r="BIL118" i="263" s="1"/>
  <c r="BIM6" i="263"/>
  <c r="BIM118" i="263" s="1"/>
  <c r="BIN6" i="263"/>
  <c r="BIN118" i="263" s="1"/>
  <c r="BIO6" i="263"/>
  <c r="BIO118" i="263" s="1"/>
  <c r="BIP6" i="263"/>
  <c r="BIP118" i="263" s="1"/>
  <c r="BIQ6" i="263"/>
  <c r="BIQ118" i="263" s="1"/>
  <c r="BIR6" i="263"/>
  <c r="BIR118" i="263" s="1"/>
  <c r="BIS6" i="263"/>
  <c r="BIS118" i="263" s="1"/>
  <c r="BIT6" i="263"/>
  <c r="BIT118" i="263" s="1"/>
  <c r="BIU6" i="263"/>
  <c r="BIU118" i="263" s="1"/>
  <c r="BIV6" i="263"/>
  <c r="BIV118" i="263" s="1"/>
  <c r="BIW6" i="263"/>
  <c r="BIW118" i="263" s="1"/>
  <c r="BIX6" i="263"/>
  <c r="BIX118" i="263" s="1"/>
  <c r="BIY6" i="263"/>
  <c r="BIY118" i="263" s="1"/>
  <c r="BIZ6" i="263"/>
  <c r="BIZ118" i="263" s="1"/>
  <c r="BJA6" i="263"/>
  <c r="BJA118" i="263" s="1"/>
  <c r="BJB6" i="263"/>
  <c r="BJB118" i="263" s="1"/>
  <c r="BJC6" i="263"/>
  <c r="BJC118" i="263" s="1"/>
  <c r="BJD6" i="263"/>
  <c r="BJD118" i="263" s="1"/>
  <c r="BJE6" i="263"/>
  <c r="BJE118" i="263" s="1"/>
  <c r="BJF6" i="263"/>
  <c r="BJF118" i="263" s="1"/>
  <c r="BJG6" i="263"/>
  <c r="BJG118" i="263" s="1"/>
  <c r="BJH6" i="263"/>
  <c r="BJH118" i="263" s="1"/>
  <c r="BJI6" i="263"/>
  <c r="BJI118" i="263" s="1"/>
  <c r="BJJ6" i="263"/>
  <c r="BJJ118" i="263" s="1"/>
  <c r="BJK6" i="263"/>
  <c r="BJK118" i="263" s="1"/>
  <c r="BJL6" i="263"/>
  <c r="BJL118" i="263" s="1"/>
  <c r="BJM6" i="263"/>
  <c r="BJM118" i="263" s="1"/>
  <c r="BJN6" i="263"/>
  <c r="BJN118" i="263" s="1"/>
  <c r="BJO6" i="263"/>
  <c r="BJO118" i="263" s="1"/>
  <c r="BJP6" i="263"/>
  <c r="BJP118" i="263" s="1"/>
  <c r="BJQ6" i="263"/>
  <c r="BJQ118" i="263" s="1"/>
  <c r="BJR6" i="263"/>
  <c r="BJR118" i="263" s="1"/>
  <c r="BJS6" i="263"/>
  <c r="BJS118" i="263" s="1"/>
  <c r="BJT6" i="263"/>
  <c r="BJT118" i="263" s="1"/>
  <c r="BJU6" i="263"/>
  <c r="BJU118" i="263" s="1"/>
  <c r="BJV6" i="263"/>
  <c r="BJV118" i="263" s="1"/>
  <c r="BJW6" i="263"/>
  <c r="BJW118" i="263" s="1"/>
  <c r="BJX6" i="263"/>
  <c r="BJX118" i="263" s="1"/>
  <c r="BJY6" i="263"/>
  <c r="BJY118" i="263" s="1"/>
  <c r="BJZ6" i="263"/>
  <c r="BJZ118" i="263" s="1"/>
  <c r="BKA6" i="263"/>
  <c r="BKA118" i="263" s="1"/>
  <c r="BKB6" i="263"/>
  <c r="BKB118" i="263" s="1"/>
  <c r="BKC6" i="263"/>
  <c r="BKC118" i="263" s="1"/>
  <c r="BKD6" i="263"/>
  <c r="BKD118" i="263" s="1"/>
  <c r="BKE6" i="263"/>
  <c r="BKE118" i="263" s="1"/>
  <c r="BKF6" i="263"/>
  <c r="BKF118" i="263" s="1"/>
  <c r="BKG6" i="263"/>
  <c r="BKG118" i="263" s="1"/>
  <c r="BKH6" i="263"/>
  <c r="BKH118" i="263" s="1"/>
  <c r="BKI6" i="263"/>
  <c r="BKI118" i="263" s="1"/>
  <c r="BKJ6" i="263"/>
  <c r="BKJ118" i="263" s="1"/>
  <c r="BKK6" i="263"/>
  <c r="BKK118" i="263" s="1"/>
  <c r="BKL6" i="263"/>
  <c r="BKL118" i="263" s="1"/>
  <c r="BKM6" i="263"/>
  <c r="BKM118" i="263" s="1"/>
  <c r="BKN6" i="263"/>
  <c r="BKN118" i="263" s="1"/>
  <c r="BKO6" i="263"/>
  <c r="BKO118" i="263" s="1"/>
  <c r="BKP6" i="263"/>
  <c r="BKP118" i="263" s="1"/>
  <c r="BKQ6" i="263"/>
  <c r="BKQ118" i="263" s="1"/>
  <c r="BKR6" i="263"/>
  <c r="BKR118" i="263" s="1"/>
  <c r="BKS6" i="263"/>
  <c r="BKS118" i="263" s="1"/>
  <c r="BKT6" i="263"/>
  <c r="BKT118" i="263" s="1"/>
  <c r="BKU6" i="263"/>
  <c r="BKU118" i="263" s="1"/>
  <c r="BKV6" i="263"/>
  <c r="BKV118" i="263" s="1"/>
  <c r="BKW6" i="263"/>
  <c r="BKW118" i="263" s="1"/>
  <c r="BKX6" i="263"/>
  <c r="BKX118" i="263" s="1"/>
  <c r="BKY6" i="263"/>
  <c r="BKY118" i="263" s="1"/>
  <c r="BKZ6" i="263"/>
  <c r="BKZ118" i="263" s="1"/>
  <c r="BLA6" i="263"/>
  <c r="BLA118" i="263" s="1"/>
  <c r="BLB6" i="263"/>
  <c r="BLB118" i="263" s="1"/>
  <c r="BLC6" i="263"/>
  <c r="BLC118" i="263" s="1"/>
  <c r="BLD6" i="263"/>
  <c r="BLD118" i="263" s="1"/>
  <c r="BLE6" i="263"/>
  <c r="BLE118" i="263" s="1"/>
  <c r="BLF6" i="263"/>
  <c r="BLF118" i="263" s="1"/>
  <c r="BLG6" i="263"/>
  <c r="BLG118" i="263" s="1"/>
  <c r="BLH6" i="263"/>
  <c r="BLH118" i="263" s="1"/>
  <c r="BLI6" i="263"/>
  <c r="BLI118" i="263" s="1"/>
  <c r="BLJ6" i="263"/>
  <c r="BLJ118" i="263" s="1"/>
  <c r="BLK6" i="263"/>
  <c r="BLK118" i="263" s="1"/>
  <c r="BLL6" i="263"/>
  <c r="BLL118" i="263" s="1"/>
  <c r="BLM6" i="263"/>
  <c r="BLM118" i="263" s="1"/>
  <c r="BLN6" i="263"/>
  <c r="BLN118" i="263" s="1"/>
  <c r="BLO6" i="263"/>
  <c r="BLO118" i="263" s="1"/>
  <c r="BLP6" i="263"/>
  <c r="BLP118" i="263" s="1"/>
  <c r="BLQ6" i="263"/>
  <c r="BLQ118" i="263" s="1"/>
  <c r="BLR6" i="263"/>
  <c r="BLR118" i="263" s="1"/>
  <c r="BLS6" i="263"/>
  <c r="BLS118" i="263" s="1"/>
  <c r="BLT6" i="263"/>
  <c r="BLT118" i="263" s="1"/>
  <c r="BLU6" i="263"/>
  <c r="BLU118" i="263" s="1"/>
  <c r="BLV6" i="263"/>
  <c r="BLV118" i="263" s="1"/>
  <c r="BLW6" i="263"/>
  <c r="BLW118" i="263" s="1"/>
  <c r="BLX6" i="263"/>
  <c r="BLX118" i="263" s="1"/>
  <c r="BLY6" i="263"/>
  <c r="BLY118" i="263" s="1"/>
  <c r="BLZ6" i="263"/>
  <c r="BLZ118" i="263" s="1"/>
  <c r="BMA6" i="263"/>
  <c r="BMA118" i="263" s="1"/>
  <c r="BMB6" i="263"/>
  <c r="BMB118" i="263" s="1"/>
  <c r="BMC6" i="263"/>
  <c r="BMC118" i="263" s="1"/>
  <c r="BMD6" i="263"/>
  <c r="BMD118" i="263" s="1"/>
  <c r="BME6" i="263"/>
  <c r="BME118" i="263" s="1"/>
  <c r="BMF6" i="263"/>
  <c r="BMF118" i="263" s="1"/>
  <c r="BMG6" i="263"/>
  <c r="BMG118" i="263" s="1"/>
  <c r="BMH6" i="263"/>
  <c r="BMH118" i="263" s="1"/>
  <c r="BMI6" i="263"/>
  <c r="BMI118" i="263" s="1"/>
  <c r="BMJ6" i="263"/>
  <c r="BMJ118" i="263" s="1"/>
  <c r="BMK6" i="263"/>
  <c r="BMK118" i="263" s="1"/>
  <c r="BML6" i="263"/>
  <c r="BML118" i="263" s="1"/>
  <c r="BMM6" i="263"/>
  <c r="BMM118" i="263" s="1"/>
  <c r="BMN6" i="263"/>
  <c r="BMN118" i="263" s="1"/>
  <c r="BMO6" i="263"/>
  <c r="BMO118" i="263" s="1"/>
  <c r="BMP6" i="263"/>
  <c r="BMP118" i="263" s="1"/>
  <c r="BMQ6" i="263"/>
  <c r="BMQ118" i="263" s="1"/>
  <c r="BMR6" i="263"/>
  <c r="BMR118" i="263" s="1"/>
  <c r="BMS6" i="263"/>
  <c r="BMS118" i="263" s="1"/>
  <c r="BMT6" i="263"/>
  <c r="BMT118" i="263" s="1"/>
  <c r="BMU6" i="263"/>
  <c r="BMU118" i="263" s="1"/>
  <c r="BMV6" i="263"/>
  <c r="BMV118" i="263" s="1"/>
  <c r="BMW6" i="263"/>
  <c r="BMW118" i="263" s="1"/>
  <c r="BMX6" i="263"/>
  <c r="BMX118" i="263" s="1"/>
  <c r="BMY6" i="263"/>
  <c r="BMY118" i="263" s="1"/>
  <c r="BMZ6" i="263"/>
  <c r="BMZ118" i="263" s="1"/>
  <c r="BNA6" i="263"/>
  <c r="BNA118" i="263" s="1"/>
  <c r="BNB6" i="263"/>
  <c r="BNB118" i="263" s="1"/>
  <c r="BNC6" i="263"/>
  <c r="BNC118" i="263" s="1"/>
  <c r="BND6" i="263"/>
  <c r="BND118" i="263" s="1"/>
  <c r="BNE6" i="263"/>
  <c r="BNE118" i="263" s="1"/>
  <c r="BNF6" i="263"/>
  <c r="BNF118" i="263" s="1"/>
  <c r="BNG6" i="263"/>
  <c r="BNG118" i="263" s="1"/>
  <c r="BNH6" i="263"/>
  <c r="BNH118" i="263" s="1"/>
  <c r="BNI6" i="263"/>
  <c r="BNI118" i="263" s="1"/>
  <c r="BNJ6" i="263"/>
  <c r="BNJ118" i="263" s="1"/>
  <c r="BNK6" i="263"/>
  <c r="BNK118" i="263" s="1"/>
  <c r="BNL6" i="263"/>
  <c r="BNL118" i="263" s="1"/>
  <c r="BNM6" i="263"/>
  <c r="BNM118" i="263" s="1"/>
  <c r="BNN6" i="263"/>
  <c r="BNN118" i="263" s="1"/>
  <c r="BNO6" i="263"/>
  <c r="BNO118" i="263" s="1"/>
  <c r="BNP6" i="263"/>
  <c r="BNP118" i="263" s="1"/>
  <c r="BNQ6" i="263"/>
  <c r="BNQ118" i="263" s="1"/>
  <c r="BNR6" i="263"/>
  <c r="BNR118" i="263" s="1"/>
  <c r="BNS6" i="263"/>
  <c r="BNS118" i="263" s="1"/>
  <c r="BNT6" i="263"/>
  <c r="BNT118" i="263" s="1"/>
  <c r="BNU6" i="263"/>
  <c r="BNU118" i="263" s="1"/>
  <c r="BNV6" i="263"/>
  <c r="BNV118" i="263" s="1"/>
  <c r="BNW6" i="263"/>
  <c r="BNW118" i="263" s="1"/>
  <c r="BNX6" i="263"/>
  <c r="BNX118" i="263" s="1"/>
  <c r="BNY6" i="263"/>
  <c r="BNY118" i="263" s="1"/>
  <c r="BNZ6" i="263"/>
  <c r="BNZ118" i="263" s="1"/>
  <c r="BOA6" i="263"/>
  <c r="BOA118" i="263" s="1"/>
  <c r="BOB6" i="263"/>
  <c r="BOB118" i="263" s="1"/>
  <c r="BOC6" i="263"/>
  <c r="BOC118" i="263" s="1"/>
  <c r="BOD6" i="263"/>
  <c r="BOD118" i="263" s="1"/>
  <c r="BOE6" i="263"/>
  <c r="BOE118" i="263" s="1"/>
  <c r="BOF6" i="263"/>
  <c r="BOF118" i="263" s="1"/>
  <c r="BOG6" i="263"/>
  <c r="BOG118" i="263" s="1"/>
  <c r="BOH6" i="263"/>
  <c r="BOH118" i="263" s="1"/>
  <c r="BOI6" i="263"/>
  <c r="BOI118" i="263" s="1"/>
  <c r="BOJ6" i="263"/>
  <c r="BOJ118" i="263" s="1"/>
  <c r="BOK6" i="263"/>
  <c r="BOK118" i="263" s="1"/>
  <c r="BOL6" i="263"/>
  <c r="BOL118" i="263" s="1"/>
  <c r="BOM6" i="263"/>
  <c r="BOM118" i="263" s="1"/>
  <c r="BON6" i="263"/>
  <c r="BON118" i="263" s="1"/>
  <c r="BOO6" i="263"/>
  <c r="BOO118" i="263" s="1"/>
  <c r="BOP6" i="263"/>
  <c r="BOP118" i="263" s="1"/>
  <c r="BOQ6" i="263"/>
  <c r="BOQ118" i="263" s="1"/>
  <c r="BOR6" i="263"/>
  <c r="BOR118" i="263" s="1"/>
  <c r="BOS6" i="263"/>
  <c r="BOS118" i="263" s="1"/>
  <c r="BOT6" i="263"/>
  <c r="BOT118" i="263" s="1"/>
  <c r="BOU6" i="263"/>
  <c r="BOU118" i="263" s="1"/>
  <c r="BOV6" i="263"/>
  <c r="BOV118" i="263" s="1"/>
  <c r="BOW6" i="263"/>
  <c r="BOW118" i="263" s="1"/>
  <c r="BOX6" i="263"/>
  <c r="BOX118" i="263" s="1"/>
  <c r="BOY6" i="263"/>
  <c r="BOY118" i="263" s="1"/>
  <c r="BOZ6" i="263"/>
  <c r="BOZ118" i="263" s="1"/>
  <c r="BPA6" i="263"/>
  <c r="BPA118" i="263" s="1"/>
  <c r="BPB6" i="263"/>
  <c r="BPB118" i="263" s="1"/>
  <c r="BPC6" i="263"/>
  <c r="BPC118" i="263" s="1"/>
  <c r="BPD6" i="263"/>
  <c r="BPD118" i="263" s="1"/>
  <c r="BPE6" i="263"/>
  <c r="BPE118" i="263" s="1"/>
  <c r="BPF6" i="263"/>
  <c r="BPF118" i="263" s="1"/>
  <c r="BPG6" i="263"/>
  <c r="BPG118" i="263" s="1"/>
  <c r="BPH6" i="263"/>
  <c r="BPH118" i="263" s="1"/>
  <c r="BPI6" i="263"/>
  <c r="BPI118" i="263" s="1"/>
  <c r="BPJ6" i="263"/>
  <c r="BPJ118" i="263" s="1"/>
  <c r="BPK6" i="263"/>
  <c r="BPK118" i="263" s="1"/>
  <c r="BPL6" i="263"/>
  <c r="BPL118" i="263" s="1"/>
  <c r="BPM6" i="263"/>
  <c r="BPM118" i="263" s="1"/>
  <c r="BPN6" i="263"/>
  <c r="BPN118" i="263" s="1"/>
  <c r="BPO6" i="263"/>
  <c r="BPO118" i="263" s="1"/>
  <c r="BPP6" i="263"/>
  <c r="BPP118" i="263" s="1"/>
  <c r="BPQ6" i="263"/>
  <c r="BPQ118" i="263" s="1"/>
  <c r="BPR6" i="263"/>
  <c r="BPR118" i="263" s="1"/>
  <c r="BPS6" i="263"/>
  <c r="BPS118" i="263" s="1"/>
  <c r="BPT6" i="263"/>
  <c r="BPT118" i="263" s="1"/>
  <c r="BPU6" i="263"/>
  <c r="BPU118" i="263" s="1"/>
  <c r="BPV6" i="263"/>
  <c r="BPV118" i="263" s="1"/>
  <c r="BPW6" i="263"/>
  <c r="BPW118" i="263" s="1"/>
  <c r="BPX6" i="263"/>
  <c r="BPX118" i="263" s="1"/>
  <c r="BPY6" i="263"/>
  <c r="BPY118" i="263" s="1"/>
  <c r="BPZ6" i="263"/>
  <c r="BPZ118" i="263" s="1"/>
  <c r="BQA6" i="263"/>
  <c r="BQA118" i="263" s="1"/>
  <c r="BQB6" i="263"/>
  <c r="BQB118" i="263" s="1"/>
  <c r="BQC6" i="263"/>
  <c r="BQC118" i="263" s="1"/>
  <c r="BQD6" i="263"/>
  <c r="BQD118" i="263" s="1"/>
  <c r="BQE6" i="263"/>
  <c r="BQE118" i="263" s="1"/>
  <c r="BQF6" i="263"/>
  <c r="BQF118" i="263" s="1"/>
  <c r="BQG6" i="263"/>
  <c r="BQG118" i="263" s="1"/>
  <c r="BQH6" i="263"/>
  <c r="BQH118" i="263" s="1"/>
  <c r="BQI6" i="263"/>
  <c r="BQI118" i="263" s="1"/>
  <c r="BQJ6" i="263"/>
  <c r="BQJ118" i="263" s="1"/>
  <c r="BQK6" i="263"/>
  <c r="BQK118" i="263" s="1"/>
  <c r="BQL6" i="263"/>
  <c r="BQL118" i="263" s="1"/>
  <c r="BQM6" i="263"/>
  <c r="BQM118" i="263" s="1"/>
  <c r="BQN6" i="263"/>
  <c r="BQN118" i="263" s="1"/>
  <c r="BQO6" i="263"/>
  <c r="BQO118" i="263" s="1"/>
  <c r="BQP6" i="263"/>
  <c r="BQP118" i="263" s="1"/>
  <c r="BQQ6" i="263"/>
  <c r="BQQ118" i="263" s="1"/>
  <c r="BQR6" i="263"/>
  <c r="BQR118" i="263" s="1"/>
  <c r="BQS6" i="263"/>
  <c r="BQS118" i="263" s="1"/>
  <c r="BQT6" i="263"/>
  <c r="BQT118" i="263" s="1"/>
  <c r="BQU6" i="263"/>
  <c r="BQU118" i="263" s="1"/>
  <c r="BQV6" i="263"/>
  <c r="BQV118" i="263" s="1"/>
  <c r="BQW6" i="263"/>
  <c r="BQW118" i="263" s="1"/>
  <c r="BQX6" i="263"/>
  <c r="BQX118" i="263" s="1"/>
  <c r="BQY6" i="263"/>
  <c r="BQY118" i="263" s="1"/>
  <c r="BQZ6" i="263"/>
  <c r="BQZ118" i="263" s="1"/>
  <c r="BRA6" i="263"/>
  <c r="BRA118" i="263" s="1"/>
  <c r="BRB6" i="263"/>
  <c r="BRB118" i="263" s="1"/>
  <c r="BRC6" i="263"/>
  <c r="BRC118" i="263" s="1"/>
  <c r="BRD6" i="263"/>
  <c r="BRD118" i="263" s="1"/>
  <c r="BRE6" i="263"/>
  <c r="BRE118" i="263" s="1"/>
  <c r="BRF6" i="263"/>
  <c r="BRF118" i="263" s="1"/>
  <c r="BRG6" i="263"/>
  <c r="BRG118" i="263" s="1"/>
  <c r="BRH6" i="263"/>
  <c r="BRH118" i="263" s="1"/>
  <c r="BRI6" i="263"/>
  <c r="BRI118" i="263" s="1"/>
  <c r="BRJ6" i="263"/>
  <c r="BRJ118" i="263" s="1"/>
  <c r="BRK6" i="263"/>
  <c r="BRK118" i="263" s="1"/>
  <c r="BRL6" i="263"/>
  <c r="BRL118" i="263" s="1"/>
  <c r="BRM6" i="263"/>
  <c r="BRM118" i="263" s="1"/>
  <c r="BRN6" i="263"/>
  <c r="BRN118" i="263" s="1"/>
  <c r="BRO6" i="263"/>
  <c r="BRO118" i="263" s="1"/>
  <c r="BRP6" i="263"/>
  <c r="BRP118" i="263" s="1"/>
  <c r="BRQ6" i="263"/>
  <c r="BRQ118" i="263" s="1"/>
  <c r="BRR6" i="263"/>
  <c r="BRR118" i="263" s="1"/>
  <c r="BRS6" i="263"/>
  <c r="BRS118" i="263" s="1"/>
  <c r="BRT6" i="263"/>
  <c r="BRT118" i="263" s="1"/>
  <c r="BRU6" i="263"/>
  <c r="BRU118" i="263" s="1"/>
  <c r="BRV6" i="263"/>
  <c r="BRV118" i="263" s="1"/>
  <c r="BRW6" i="263"/>
  <c r="BRW118" i="263" s="1"/>
  <c r="BRX6" i="263"/>
  <c r="BRX118" i="263" s="1"/>
  <c r="BRY6" i="263"/>
  <c r="BRY118" i="263" s="1"/>
  <c r="BRZ6" i="263"/>
  <c r="BRZ118" i="263" s="1"/>
  <c r="BSA6" i="263"/>
  <c r="BSA118" i="263" s="1"/>
  <c r="BSB6" i="263"/>
  <c r="BSB118" i="263" s="1"/>
  <c r="BSC6" i="263"/>
  <c r="BSC118" i="263" s="1"/>
  <c r="BSD6" i="263"/>
  <c r="BSD118" i="263" s="1"/>
  <c r="BSE6" i="263"/>
  <c r="BSE118" i="263" s="1"/>
  <c r="BSF6" i="263"/>
  <c r="BSF118" i="263" s="1"/>
  <c r="BSG6" i="263"/>
  <c r="BSG118" i="263" s="1"/>
  <c r="BSH6" i="263"/>
  <c r="BSH118" i="263" s="1"/>
  <c r="BSI6" i="263"/>
  <c r="BSI118" i="263" s="1"/>
  <c r="BSJ6" i="263"/>
  <c r="BSJ118" i="263" s="1"/>
  <c r="BSK6" i="263"/>
  <c r="BSK118" i="263" s="1"/>
  <c r="BSL6" i="263"/>
  <c r="BSL118" i="263" s="1"/>
  <c r="BSM6" i="263"/>
  <c r="BSM118" i="263" s="1"/>
  <c r="BSN6" i="263"/>
  <c r="BSN118" i="263" s="1"/>
  <c r="BSO6" i="263"/>
  <c r="BSO118" i="263" s="1"/>
  <c r="BSP6" i="263"/>
  <c r="BSP118" i="263" s="1"/>
  <c r="BSQ6" i="263"/>
  <c r="BSQ118" i="263" s="1"/>
  <c r="BSR6" i="263"/>
  <c r="BSR118" i="263" s="1"/>
  <c r="BSS6" i="263"/>
  <c r="BSS118" i="263" s="1"/>
  <c r="BST6" i="263"/>
  <c r="BST118" i="263" s="1"/>
  <c r="BSU6" i="263"/>
  <c r="BSU118" i="263" s="1"/>
  <c r="BSV6" i="263"/>
  <c r="BSV118" i="263" s="1"/>
  <c r="BSW6" i="263"/>
  <c r="BSW118" i="263" s="1"/>
  <c r="BSX6" i="263"/>
  <c r="BSX118" i="263" s="1"/>
  <c r="BSY6" i="263"/>
  <c r="BSY118" i="263" s="1"/>
  <c r="BSZ6" i="263"/>
  <c r="BSZ118" i="263" s="1"/>
  <c r="BTA6" i="263"/>
  <c r="BTA118" i="263" s="1"/>
  <c r="BTB6" i="263"/>
  <c r="BTB118" i="263" s="1"/>
  <c r="BTC6" i="263"/>
  <c r="BTC118" i="263" s="1"/>
  <c r="BTD6" i="263"/>
  <c r="BTD118" i="263" s="1"/>
  <c r="BTE6" i="263"/>
  <c r="BTE118" i="263" s="1"/>
  <c r="BTF6" i="263"/>
  <c r="BTF118" i="263" s="1"/>
  <c r="BTG6" i="263"/>
  <c r="BTG118" i="263" s="1"/>
  <c r="BTH6" i="263"/>
  <c r="BTH118" i="263" s="1"/>
  <c r="BTI6" i="263"/>
  <c r="BTI118" i="263" s="1"/>
  <c r="BTJ6" i="263"/>
  <c r="BTJ118" i="263" s="1"/>
  <c r="BTK6" i="263"/>
  <c r="BTK118" i="263" s="1"/>
  <c r="BTL6" i="263"/>
  <c r="BTL118" i="263" s="1"/>
  <c r="BTM6" i="263"/>
  <c r="BTM118" i="263" s="1"/>
  <c r="BTN6" i="263"/>
  <c r="BTN118" i="263" s="1"/>
  <c r="BTO6" i="263"/>
  <c r="BTO118" i="263" s="1"/>
  <c r="BTP6" i="263"/>
  <c r="BTP118" i="263" s="1"/>
  <c r="BTQ6" i="263"/>
  <c r="BTQ118" i="263" s="1"/>
  <c r="BTR6" i="263"/>
  <c r="BTR118" i="263" s="1"/>
  <c r="BTS6" i="263"/>
  <c r="BTS118" i="263" s="1"/>
  <c r="BTT6" i="263"/>
  <c r="BTT118" i="263" s="1"/>
  <c r="BTU6" i="263"/>
  <c r="BTU118" i="263" s="1"/>
  <c r="BTV6" i="263"/>
  <c r="BTV118" i="263" s="1"/>
  <c r="BTW6" i="263"/>
  <c r="BTW118" i="263" s="1"/>
  <c r="BTX6" i="263"/>
  <c r="BTX118" i="263" s="1"/>
  <c r="BTY6" i="263"/>
  <c r="BTY118" i="263" s="1"/>
  <c r="BTZ6" i="263"/>
  <c r="BTZ118" i="263" s="1"/>
  <c r="BUA6" i="263"/>
  <c r="BUA118" i="263" s="1"/>
  <c r="BUB6" i="263"/>
  <c r="BUB118" i="263" s="1"/>
  <c r="BUC6" i="263"/>
  <c r="BUC118" i="263" s="1"/>
  <c r="BUD6" i="263"/>
  <c r="BUD118" i="263" s="1"/>
  <c r="BUE6" i="263"/>
  <c r="BUE118" i="263" s="1"/>
  <c r="BUF6" i="263"/>
  <c r="BUF118" i="263" s="1"/>
  <c r="BUG6" i="263"/>
  <c r="BUG118" i="263" s="1"/>
  <c r="BUH6" i="263"/>
  <c r="BUH118" i="263" s="1"/>
  <c r="BUI6" i="263"/>
  <c r="BUI118" i="263" s="1"/>
  <c r="BUJ6" i="263"/>
  <c r="BUJ118" i="263" s="1"/>
  <c r="BUK6" i="263"/>
  <c r="BUK118" i="263" s="1"/>
  <c r="BUL6" i="263"/>
  <c r="BUL118" i="263" s="1"/>
  <c r="BUM6" i="263"/>
  <c r="BUM118" i="263" s="1"/>
  <c r="BUN6" i="263"/>
  <c r="BUN118" i="263" s="1"/>
  <c r="BUO6" i="263"/>
  <c r="BUO118" i="263" s="1"/>
  <c r="BUP6" i="263"/>
  <c r="BUP118" i="263" s="1"/>
  <c r="BUQ6" i="263"/>
  <c r="BUQ118" i="263" s="1"/>
  <c r="BUR6" i="263"/>
  <c r="BUR118" i="263" s="1"/>
  <c r="BUS6" i="263"/>
  <c r="BUS118" i="263" s="1"/>
  <c r="BUT6" i="263"/>
  <c r="BUT118" i="263" s="1"/>
  <c r="BUU6" i="263"/>
  <c r="BUU118" i="263" s="1"/>
  <c r="BUV6" i="263"/>
  <c r="BUV118" i="263" s="1"/>
  <c r="BUW6" i="263"/>
  <c r="BUW118" i="263" s="1"/>
  <c r="BUX6" i="263"/>
  <c r="BUX118" i="263" s="1"/>
  <c r="BUY6" i="263"/>
  <c r="BUY118" i="263" s="1"/>
  <c r="BUZ6" i="263"/>
  <c r="BUZ118" i="263" s="1"/>
  <c r="BVA6" i="263"/>
  <c r="BVA118" i="263" s="1"/>
  <c r="BVB6" i="263"/>
  <c r="BVB118" i="263" s="1"/>
  <c r="BVC6" i="263"/>
  <c r="BVC118" i="263" s="1"/>
  <c r="BVD6" i="263"/>
  <c r="BVD118" i="263" s="1"/>
  <c r="BVE6" i="263"/>
  <c r="BVE118" i="263" s="1"/>
  <c r="BVF6" i="263"/>
  <c r="BVF118" i="263" s="1"/>
  <c r="BVG6" i="263"/>
  <c r="BVG118" i="263" s="1"/>
  <c r="BVH6" i="263"/>
  <c r="BVH118" i="263" s="1"/>
  <c r="BVI6" i="263"/>
  <c r="BVI118" i="263" s="1"/>
  <c r="BVJ6" i="263"/>
  <c r="BVJ118" i="263" s="1"/>
  <c r="BVK6" i="263"/>
  <c r="BVK118" i="263" s="1"/>
  <c r="BVL6" i="263"/>
  <c r="BVL118" i="263" s="1"/>
  <c r="BVM6" i="263"/>
  <c r="BVM118" i="263" s="1"/>
  <c r="BVN6" i="263"/>
  <c r="BVN118" i="263" s="1"/>
  <c r="BVO6" i="263"/>
  <c r="BVO118" i="263" s="1"/>
  <c r="BVP6" i="263"/>
  <c r="BVP118" i="263" s="1"/>
  <c r="BVQ6" i="263"/>
  <c r="BVQ118" i="263" s="1"/>
  <c r="BVR6" i="263"/>
  <c r="BVR118" i="263" s="1"/>
  <c r="BVS6" i="263"/>
  <c r="BVS118" i="263" s="1"/>
  <c r="BVT6" i="263"/>
  <c r="BVT118" i="263" s="1"/>
  <c r="BVU6" i="263"/>
  <c r="BVU118" i="263" s="1"/>
  <c r="BVV6" i="263"/>
  <c r="BVV118" i="263" s="1"/>
  <c r="BVW6" i="263"/>
  <c r="BVW118" i="263" s="1"/>
  <c r="BVX6" i="263"/>
  <c r="BVX118" i="263" s="1"/>
  <c r="BVY6" i="263"/>
  <c r="BVY118" i="263" s="1"/>
  <c r="BVZ6" i="263"/>
  <c r="BVZ118" i="263" s="1"/>
  <c r="BWA6" i="263"/>
  <c r="BWA118" i="263" s="1"/>
  <c r="BWB6" i="263"/>
  <c r="BWB118" i="263" s="1"/>
  <c r="BWC6" i="263"/>
  <c r="BWC118" i="263" s="1"/>
  <c r="BWD6" i="263"/>
  <c r="BWD118" i="263" s="1"/>
  <c r="BWE6" i="263"/>
  <c r="BWE118" i="263" s="1"/>
  <c r="BWF6" i="263"/>
  <c r="BWF118" i="263" s="1"/>
  <c r="BWG6" i="263"/>
  <c r="BWG118" i="263" s="1"/>
  <c r="BWH6" i="263"/>
  <c r="BWH118" i="263" s="1"/>
  <c r="BWI6" i="263"/>
  <c r="BWI118" i="263" s="1"/>
  <c r="BWJ6" i="263"/>
  <c r="BWJ118" i="263" s="1"/>
  <c r="BWK6" i="263"/>
  <c r="BWK118" i="263" s="1"/>
  <c r="BWL6" i="263"/>
  <c r="BWL118" i="263" s="1"/>
  <c r="BWM6" i="263"/>
  <c r="BWM118" i="263" s="1"/>
  <c r="BWN6" i="263"/>
  <c r="BWN118" i="263" s="1"/>
  <c r="BWO6" i="263"/>
  <c r="BWO118" i="263" s="1"/>
  <c r="BWP6" i="263"/>
  <c r="BWP118" i="263" s="1"/>
  <c r="BWQ6" i="263"/>
  <c r="BWQ118" i="263" s="1"/>
  <c r="BWR6" i="263"/>
  <c r="BWR118" i="263" s="1"/>
  <c r="BWS6" i="263"/>
  <c r="BWS118" i="263" s="1"/>
  <c r="BWT6" i="263"/>
  <c r="BWT118" i="263" s="1"/>
  <c r="BWU6" i="263"/>
  <c r="BWU118" i="263" s="1"/>
  <c r="BWV6" i="263"/>
  <c r="BWV118" i="263" s="1"/>
  <c r="BWW6" i="263"/>
  <c r="BWW118" i="263" s="1"/>
  <c r="BWX6" i="263"/>
  <c r="BWX118" i="263" s="1"/>
  <c r="BWY6" i="263"/>
  <c r="BWY118" i="263" s="1"/>
  <c r="BWZ6" i="263"/>
  <c r="BWZ118" i="263" s="1"/>
  <c r="BXA6" i="263"/>
  <c r="BXA118" i="263" s="1"/>
  <c r="BXB6" i="263"/>
  <c r="BXB118" i="263" s="1"/>
  <c r="BXC6" i="263"/>
  <c r="BXC118" i="263" s="1"/>
  <c r="BXD6" i="263"/>
  <c r="BXD118" i="263" s="1"/>
  <c r="BXE6" i="263"/>
  <c r="BXE118" i="263" s="1"/>
  <c r="BXF6" i="263"/>
  <c r="BXF118" i="263" s="1"/>
  <c r="BXG6" i="263"/>
  <c r="BXG118" i="263" s="1"/>
  <c r="BXH6" i="263"/>
  <c r="BXH118" i="263" s="1"/>
  <c r="BXI6" i="263"/>
  <c r="BXI118" i="263" s="1"/>
  <c r="BXJ6" i="263"/>
  <c r="BXJ118" i="263" s="1"/>
  <c r="BXK6" i="263"/>
  <c r="BXK118" i="263" s="1"/>
  <c r="BXL6" i="263"/>
  <c r="BXL118" i="263" s="1"/>
  <c r="BXM6" i="263"/>
  <c r="BXM118" i="263" s="1"/>
  <c r="BXN6" i="263"/>
  <c r="BXN118" i="263" s="1"/>
  <c r="BXO6" i="263"/>
  <c r="BXO118" i="263" s="1"/>
  <c r="BXP6" i="263"/>
  <c r="BXP118" i="263" s="1"/>
  <c r="BXQ6" i="263"/>
  <c r="BXQ118" i="263" s="1"/>
  <c r="BXR6" i="263"/>
  <c r="BXR118" i="263" s="1"/>
  <c r="BXS6" i="263"/>
  <c r="BXS118" i="263" s="1"/>
  <c r="BXT6" i="263"/>
  <c r="BXT118" i="263" s="1"/>
  <c r="BXU6" i="263"/>
  <c r="BXU118" i="263" s="1"/>
  <c r="BXV6" i="263"/>
  <c r="BXV118" i="263" s="1"/>
  <c r="BXW6" i="263"/>
  <c r="BXW118" i="263" s="1"/>
  <c r="BXX6" i="263"/>
  <c r="BXX118" i="263" s="1"/>
  <c r="BXY6" i="263"/>
  <c r="BXY118" i="263" s="1"/>
  <c r="BXZ6" i="263"/>
  <c r="BXZ118" i="263" s="1"/>
  <c r="BYA6" i="263"/>
  <c r="BYA118" i="263" s="1"/>
  <c r="BYB6" i="263"/>
  <c r="BYB118" i="263" s="1"/>
  <c r="BYC6" i="263"/>
  <c r="BYC118" i="263" s="1"/>
  <c r="BYD6" i="263"/>
  <c r="BYD118" i="263" s="1"/>
  <c r="BYE6" i="263"/>
  <c r="BYE118" i="263" s="1"/>
  <c r="BYF6" i="263"/>
  <c r="BYF118" i="263" s="1"/>
  <c r="BYG6" i="263"/>
  <c r="BYG118" i="263" s="1"/>
  <c r="BYH6" i="263"/>
  <c r="BYH118" i="263" s="1"/>
  <c r="BYI6" i="263"/>
  <c r="BYI118" i="263" s="1"/>
  <c r="BYJ6" i="263"/>
  <c r="BYJ118" i="263" s="1"/>
  <c r="BYK6" i="263"/>
  <c r="BYK118" i="263" s="1"/>
  <c r="BYL6" i="263"/>
  <c r="BYL118" i="263" s="1"/>
  <c r="BYM6" i="263"/>
  <c r="BYM118" i="263" s="1"/>
  <c r="BYN6" i="263"/>
  <c r="BYN118" i="263" s="1"/>
  <c r="BYO6" i="263"/>
  <c r="BYO118" i="263" s="1"/>
  <c r="BYP6" i="263"/>
  <c r="BYP118" i="263" s="1"/>
  <c r="BYQ6" i="263"/>
  <c r="BYQ118" i="263" s="1"/>
  <c r="BYR6" i="263"/>
  <c r="BYR118" i="263" s="1"/>
  <c r="BYS6" i="263"/>
  <c r="BYS118" i="263" s="1"/>
  <c r="BYT6" i="263"/>
  <c r="BYT118" i="263" s="1"/>
  <c r="BYU6" i="263"/>
  <c r="BYU118" i="263" s="1"/>
  <c r="BYV6" i="263"/>
  <c r="BYV118" i="263" s="1"/>
  <c r="BYW6" i="263"/>
  <c r="BYW118" i="263" s="1"/>
  <c r="BYX6" i="263"/>
  <c r="BYX118" i="263" s="1"/>
  <c r="BYY6" i="263"/>
  <c r="BYY118" i="263" s="1"/>
  <c r="BYZ6" i="263"/>
  <c r="BYZ118" i="263" s="1"/>
  <c r="BZA6" i="263"/>
  <c r="BZA118" i="263" s="1"/>
  <c r="BZB6" i="263"/>
  <c r="BZB118" i="263" s="1"/>
  <c r="BZC6" i="263"/>
  <c r="BZC118" i="263" s="1"/>
  <c r="BZD6" i="263"/>
  <c r="BZD118" i="263" s="1"/>
  <c r="BZE6" i="263"/>
  <c r="BZE118" i="263" s="1"/>
  <c r="BZF6" i="263"/>
  <c r="BZF118" i="263" s="1"/>
  <c r="BZG6" i="263"/>
  <c r="BZG118" i="263" s="1"/>
  <c r="BZH6" i="263"/>
  <c r="BZH118" i="263" s="1"/>
  <c r="BZI6" i="263"/>
  <c r="BZI118" i="263" s="1"/>
  <c r="BZJ6" i="263"/>
  <c r="BZJ118" i="263" s="1"/>
  <c r="BZK6" i="263"/>
  <c r="BZK118" i="263" s="1"/>
  <c r="BZL6" i="263"/>
  <c r="BZL118" i="263" s="1"/>
  <c r="BZM6" i="263"/>
  <c r="BZM118" i="263" s="1"/>
  <c r="BZN6" i="263"/>
  <c r="BZN118" i="263" s="1"/>
  <c r="BZO6" i="263"/>
  <c r="BZO118" i="263" s="1"/>
  <c r="BZP6" i="263"/>
  <c r="BZP118" i="263" s="1"/>
  <c r="BZQ6" i="263"/>
  <c r="BZQ118" i="263" s="1"/>
  <c r="BZR6" i="263"/>
  <c r="BZR118" i="263" s="1"/>
  <c r="BZS6" i="263"/>
  <c r="BZS118" i="263" s="1"/>
  <c r="BZT6" i="263"/>
  <c r="BZT118" i="263" s="1"/>
  <c r="BZU6" i="263"/>
  <c r="BZU118" i="263" s="1"/>
  <c r="BZV6" i="263"/>
  <c r="BZV118" i="263" s="1"/>
  <c r="BZW6" i="263"/>
  <c r="BZW118" i="263" s="1"/>
  <c r="BZX6" i="263"/>
  <c r="BZX118" i="263" s="1"/>
  <c r="BZY6" i="263"/>
  <c r="BZY118" i="263" s="1"/>
  <c r="BZZ6" i="263"/>
  <c r="BZZ118" i="263" s="1"/>
  <c r="CAA6" i="263"/>
  <c r="CAA118" i="263" s="1"/>
  <c r="CAB6" i="263"/>
  <c r="CAB118" i="263" s="1"/>
  <c r="CAC6" i="263"/>
  <c r="CAC118" i="263" s="1"/>
  <c r="CAD6" i="263"/>
  <c r="CAD118" i="263" s="1"/>
  <c r="CAE6" i="263"/>
  <c r="CAE118" i="263" s="1"/>
  <c r="CAF6" i="263"/>
  <c r="CAF118" i="263" s="1"/>
  <c r="CAG6" i="263"/>
  <c r="CAG118" i="263" s="1"/>
  <c r="CAH6" i="263"/>
  <c r="CAH118" i="263" s="1"/>
  <c r="CAI6" i="263"/>
  <c r="CAI118" i="263" s="1"/>
  <c r="CAJ6" i="263"/>
  <c r="CAJ118" i="263" s="1"/>
  <c r="CAK6" i="263"/>
  <c r="CAK118" i="263" s="1"/>
  <c r="CAL6" i="263"/>
  <c r="CAL118" i="263" s="1"/>
  <c r="CAM6" i="263"/>
  <c r="CAM118" i="263" s="1"/>
  <c r="CAN6" i="263"/>
  <c r="CAN118" i="263" s="1"/>
  <c r="CAO6" i="263"/>
  <c r="CAO118" i="263" s="1"/>
  <c r="CAP6" i="263"/>
  <c r="CAP118" i="263" s="1"/>
  <c r="CAQ6" i="263"/>
  <c r="CAQ118" i="263" s="1"/>
  <c r="CAR6" i="263"/>
  <c r="CAR118" i="263" s="1"/>
  <c r="CAS6" i="263"/>
  <c r="CAS118" i="263" s="1"/>
  <c r="CAT6" i="263"/>
  <c r="CAT118" i="263" s="1"/>
  <c r="CAU6" i="263"/>
  <c r="CAU118" i="263" s="1"/>
  <c r="CAV6" i="263"/>
  <c r="CAV118" i="263" s="1"/>
  <c r="CAW6" i="263"/>
  <c r="CAW118" i="263" s="1"/>
  <c r="CAX6" i="263"/>
  <c r="CAX118" i="263" s="1"/>
  <c r="CAY6" i="263"/>
  <c r="CAY118" i="263" s="1"/>
  <c r="CAZ6" i="263"/>
  <c r="CAZ118" i="263" s="1"/>
  <c r="CBA6" i="263"/>
  <c r="CBA118" i="263" s="1"/>
  <c r="CBB6" i="263"/>
  <c r="CBB118" i="263" s="1"/>
  <c r="CBC6" i="263"/>
  <c r="CBC118" i="263" s="1"/>
  <c r="CBD6" i="263"/>
  <c r="CBD118" i="263" s="1"/>
  <c r="CBE6" i="263"/>
  <c r="CBE118" i="263" s="1"/>
  <c r="CBF6" i="263"/>
  <c r="CBF118" i="263" s="1"/>
  <c r="CBG6" i="263"/>
  <c r="CBG118" i="263" s="1"/>
  <c r="CBH6" i="263"/>
  <c r="CBH118" i="263" s="1"/>
  <c r="CBI6" i="263"/>
  <c r="CBI118" i="263" s="1"/>
  <c r="CBJ6" i="263"/>
  <c r="CBJ118" i="263" s="1"/>
  <c r="CBK6" i="263"/>
  <c r="CBK118" i="263" s="1"/>
  <c r="CBL6" i="263"/>
  <c r="CBL118" i="263" s="1"/>
  <c r="CBM6" i="263"/>
  <c r="CBM118" i="263" s="1"/>
  <c r="CBN6" i="263"/>
  <c r="CBN118" i="263" s="1"/>
  <c r="CBO6" i="263"/>
  <c r="CBO118" i="263" s="1"/>
  <c r="CBP6" i="263"/>
  <c r="CBP118" i="263" s="1"/>
  <c r="CBQ6" i="263"/>
  <c r="CBQ118" i="263" s="1"/>
  <c r="CBR6" i="263"/>
  <c r="CBR118" i="263" s="1"/>
  <c r="CBS6" i="263"/>
  <c r="CBS118" i="263" s="1"/>
  <c r="CBT6" i="263"/>
  <c r="CBT118" i="263" s="1"/>
  <c r="CBU6" i="263"/>
  <c r="CBU118" i="263" s="1"/>
  <c r="CBV6" i="263"/>
  <c r="CBV118" i="263" s="1"/>
  <c r="CBW6" i="263"/>
  <c r="CBW118" i="263" s="1"/>
  <c r="CBX6" i="263"/>
  <c r="CBX118" i="263" s="1"/>
  <c r="CBY6" i="263"/>
  <c r="CBY118" i="263" s="1"/>
  <c r="CBZ6" i="263"/>
  <c r="CBZ118" i="263" s="1"/>
  <c r="CCA6" i="263"/>
  <c r="CCA118" i="263" s="1"/>
  <c r="CCB6" i="263"/>
  <c r="CCB118" i="263" s="1"/>
  <c r="CCC6" i="263"/>
  <c r="CCC118" i="263" s="1"/>
  <c r="CCD6" i="263"/>
  <c r="CCD118" i="263" s="1"/>
  <c r="CCE6" i="263"/>
  <c r="CCE118" i="263" s="1"/>
  <c r="CCF6" i="263"/>
  <c r="CCF118" i="263" s="1"/>
  <c r="CCG6" i="263"/>
  <c r="CCG118" i="263" s="1"/>
  <c r="CCH6" i="263"/>
  <c r="CCH118" i="263" s="1"/>
  <c r="CCI6" i="263"/>
  <c r="CCI118" i="263" s="1"/>
  <c r="CCJ6" i="263"/>
  <c r="CCJ118" i="263" s="1"/>
  <c r="CCK6" i="263"/>
  <c r="CCK118" i="263" s="1"/>
  <c r="CCL6" i="263"/>
  <c r="CCL118" i="263" s="1"/>
  <c r="CCM6" i="263"/>
  <c r="CCM118" i="263" s="1"/>
  <c r="CCN6" i="263"/>
  <c r="CCN118" i="263" s="1"/>
  <c r="CCO6" i="263"/>
  <c r="CCO118" i="263" s="1"/>
  <c r="CCP6" i="263"/>
  <c r="CCP118" i="263" s="1"/>
  <c r="CCQ6" i="263"/>
  <c r="CCQ118" i="263" s="1"/>
  <c r="CCR6" i="263"/>
  <c r="CCR118" i="263" s="1"/>
  <c r="CCS6" i="263"/>
  <c r="CCS118" i="263" s="1"/>
  <c r="CCT6" i="263"/>
  <c r="CCT118" i="263" s="1"/>
  <c r="CCU6" i="263"/>
  <c r="CCU118" i="263" s="1"/>
  <c r="CCV6" i="263"/>
  <c r="CCV118" i="263" s="1"/>
  <c r="CCW6" i="263"/>
  <c r="CCW118" i="263" s="1"/>
  <c r="CCX6" i="263"/>
  <c r="CCX118" i="263" s="1"/>
  <c r="CCY6" i="263"/>
  <c r="CCY118" i="263" s="1"/>
  <c r="CCZ6" i="263"/>
  <c r="CCZ118" i="263" s="1"/>
  <c r="CDA6" i="263"/>
  <c r="CDA118" i="263" s="1"/>
  <c r="CDB6" i="263"/>
  <c r="CDB118" i="263" s="1"/>
  <c r="CDC6" i="263"/>
  <c r="CDC118" i="263" s="1"/>
  <c r="CDD6" i="263"/>
  <c r="CDD118" i="263" s="1"/>
  <c r="CDE6" i="263"/>
  <c r="CDE118" i="263" s="1"/>
  <c r="CDF6" i="263"/>
  <c r="CDF118" i="263" s="1"/>
  <c r="CDG6" i="263"/>
  <c r="CDG118" i="263" s="1"/>
  <c r="CDH6" i="263"/>
  <c r="CDH118" i="263" s="1"/>
  <c r="CDI6" i="263"/>
  <c r="CDI118" i="263" s="1"/>
  <c r="CDJ6" i="263"/>
  <c r="CDJ118" i="263" s="1"/>
  <c r="CDK6" i="263"/>
  <c r="CDK118" i="263" s="1"/>
  <c r="CDL6" i="263"/>
  <c r="CDL118" i="263" s="1"/>
  <c r="CDM6" i="263"/>
  <c r="CDM118" i="263" s="1"/>
  <c r="CDN6" i="263"/>
  <c r="CDN118" i="263" s="1"/>
  <c r="CDO6" i="263"/>
  <c r="CDO118" i="263" s="1"/>
  <c r="CDP6" i="263"/>
  <c r="CDP118" i="263" s="1"/>
  <c r="CDQ6" i="263"/>
  <c r="CDQ118" i="263" s="1"/>
  <c r="CDR6" i="263"/>
  <c r="CDR118" i="263" s="1"/>
  <c r="CDS6" i="263"/>
  <c r="CDS118" i="263" s="1"/>
  <c r="CDT6" i="263"/>
  <c r="CDT118" i="263" s="1"/>
  <c r="CDU6" i="263"/>
  <c r="CDU118" i="263" s="1"/>
  <c r="CDV6" i="263"/>
  <c r="CDV118" i="263" s="1"/>
  <c r="CDW6" i="263"/>
  <c r="CDW118" i="263" s="1"/>
  <c r="CDX6" i="263"/>
  <c r="CDX118" i="263" s="1"/>
  <c r="CDY6" i="263"/>
  <c r="CDY118" i="263" s="1"/>
  <c r="CDZ6" i="263"/>
  <c r="CDZ118" i="263" s="1"/>
  <c r="CEA6" i="263"/>
  <c r="CEA118" i="263" s="1"/>
  <c r="CEB6" i="263"/>
  <c r="CEB118" i="263" s="1"/>
  <c r="CEC6" i="263"/>
  <c r="CEC118" i="263" s="1"/>
  <c r="CED6" i="263"/>
  <c r="CED118" i="263" s="1"/>
  <c r="CEE6" i="263"/>
  <c r="CEE118" i="263" s="1"/>
  <c r="CEF6" i="263"/>
  <c r="CEF118" i="263" s="1"/>
  <c r="CEG6" i="263"/>
  <c r="CEG118" i="263" s="1"/>
  <c r="CEH6" i="263"/>
  <c r="CEH118" i="263" s="1"/>
  <c r="CEI6" i="263"/>
  <c r="CEI118" i="263" s="1"/>
  <c r="CEJ6" i="263"/>
  <c r="CEJ118" i="263" s="1"/>
  <c r="CEK6" i="263"/>
  <c r="CEK118" i="263" s="1"/>
  <c r="CEL6" i="263"/>
  <c r="CEL118" i="263" s="1"/>
  <c r="CEM6" i="263"/>
  <c r="CEM118" i="263" s="1"/>
  <c r="CEN6" i="263"/>
  <c r="CEN118" i="263" s="1"/>
  <c r="CEO6" i="263"/>
  <c r="CEO118" i="263" s="1"/>
  <c r="CEP6" i="263"/>
  <c r="CEP118" i="263" s="1"/>
  <c r="CEQ6" i="263"/>
  <c r="CEQ118" i="263" s="1"/>
  <c r="CER6" i="263"/>
  <c r="CER118" i="263" s="1"/>
  <c r="CES6" i="263"/>
  <c r="CES118" i="263" s="1"/>
  <c r="CET6" i="263"/>
  <c r="CET118" i="263" s="1"/>
  <c r="CEU6" i="263"/>
  <c r="CEU118" i="263" s="1"/>
  <c r="CEV6" i="263"/>
  <c r="CEV118" i="263" s="1"/>
  <c r="CEW6" i="263"/>
  <c r="CEW118" i="263" s="1"/>
  <c r="CEX6" i="263"/>
  <c r="CEX118" i="263" s="1"/>
  <c r="CEY6" i="263"/>
  <c r="CEY118" i="263" s="1"/>
  <c r="CEZ6" i="263"/>
  <c r="CEZ118" i="263" s="1"/>
  <c r="CFA6" i="263"/>
  <c r="CFA118" i="263" s="1"/>
  <c r="CFB6" i="263"/>
  <c r="CFB118" i="263" s="1"/>
  <c r="CFC6" i="263"/>
  <c r="CFC118" i="263" s="1"/>
  <c r="CFD6" i="263"/>
  <c r="CFD118" i="263" s="1"/>
  <c r="CFE6" i="263"/>
  <c r="CFE118" i="263" s="1"/>
  <c r="CFF6" i="263"/>
  <c r="CFF118" i="263" s="1"/>
  <c r="CFG6" i="263"/>
  <c r="CFG118" i="263" s="1"/>
  <c r="CFH6" i="263"/>
  <c r="CFH118" i="263" s="1"/>
  <c r="CFI6" i="263"/>
  <c r="CFI118" i="263" s="1"/>
  <c r="CFJ6" i="263"/>
  <c r="CFJ118" i="263" s="1"/>
  <c r="CFK6" i="263"/>
  <c r="CFK118" i="263" s="1"/>
  <c r="CFL6" i="263"/>
  <c r="CFL118" i="263" s="1"/>
  <c r="CFM6" i="263"/>
  <c r="CFM118" i="263" s="1"/>
  <c r="CFN6" i="263"/>
  <c r="CFN118" i="263" s="1"/>
  <c r="CFO6" i="263"/>
  <c r="CFO118" i="263" s="1"/>
  <c r="CFP6" i="263"/>
  <c r="CFP118" i="263" s="1"/>
  <c r="CFQ6" i="263"/>
  <c r="CFQ118" i="263" s="1"/>
  <c r="CFR6" i="263"/>
  <c r="CFR118" i="263" s="1"/>
  <c r="CFS6" i="263"/>
  <c r="CFS118" i="263" s="1"/>
  <c r="CFT6" i="263"/>
  <c r="CFT118" i="263" s="1"/>
  <c r="CFU6" i="263"/>
  <c r="CFU118" i="263" s="1"/>
  <c r="CFV6" i="263"/>
  <c r="CFV118" i="263" s="1"/>
  <c r="CFW6" i="263"/>
  <c r="CFW118" i="263" s="1"/>
  <c r="CFX6" i="263"/>
  <c r="CFX118" i="263" s="1"/>
  <c r="CFY6" i="263"/>
  <c r="CFY118" i="263" s="1"/>
  <c r="CFZ6" i="263"/>
  <c r="CFZ118" i="263" s="1"/>
  <c r="CGA6" i="263"/>
  <c r="CGA118" i="263" s="1"/>
  <c r="CGB6" i="263"/>
  <c r="CGB118" i="263" s="1"/>
  <c r="CGC6" i="263"/>
  <c r="CGC118" i="263" s="1"/>
  <c r="CGD6" i="263"/>
  <c r="CGD118" i="263" s="1"/>
  <c r="CGE6" i="263"/>
  <c r="CGE118" i="263" s="1"/>
  <c r="CGF6" i="263"/>
  <c r="CGF118" i="263" s="1"/>
  <c r="CGG6" i="263"/>
  <c r="CGG118" i="263" s="1"/>
  <c r="CGH6" i="263"/>
  <c r="CGH118" i="263" s="1"/>
  <c r="CGI6" i="263"/>
  <c r="CGI118" i="263" s="1"/>
  <c r="CGJ6" i="263"/>
  <c r="CGJ118" i="263" s="1"/>
  <c r="CGK6" i="263"/>
  <c r="CGK118" i="263" s="1"/>
  <c r="CGL6" i="263"/>
  <c r="CGL118" i="263" s="1"/>
  <c r="CGM6" i="263"/>
  <c r="CGM118" i="263" s="1"/>
  <c r="CGN6" i="263"/>
  <c r="CGN118" i="263" s="1"/>
  <c r="CGO6" i="263"/>
  <c r="CGO118" i="263" s="1"/>
  <c r="CGP6" i="263"/>
  <c r="CGP118" i="263" s="1"/>
  <c r="CGQ6" i="263"/>
  <c r="CGQ118" i="263" s="1"/>
  <c r="CGR6" i="263"/>
  <c r="CGR118" i="263" s="1"/>
  <c r="CGS6" i="263"/>
  <c r="CGS118" i="263" s="1"/>
  <c r="CGT6" i="263"/>
  <c r="CGT118" i="263" s="1"/>
  <c r="CGU6" i="263"/>
  <c r="CGU118" i="263" s="1"/>
  <c r="CGV6" i="263"/>
  <c r="CGV118" i="263" s="1"/>
  <c r="CGW6" i="263"/>
  <c r="CGW118" i="263" s="1"/>
  <c r="CGX6" i="263"/>
  <c r="CGX118" i="263" s="1"/>
  <c r="CGY6" i="263"/>
  <c r="CGY118" i="263" s="1"/>
  <c r="CGZ6" i="263"/>
  <c r="CGZ118" i="263" s="1"/>
  <c r="CHA6" i="263"/>
  <c r="CHA118" i="263" s="1"/>
  <c r="CHB6" i="263"/>
  <c r="CHB118" i="263" s="1"/>
  <c r="CHC6" i="263"/>
  <c r="CHC118" i="263" s="1"/>
  <c r="CHD6" i="263"/>
  <c r="CHD118" i="263" s="1"/>
  <c r="CHE6" i="263"/>
  <c r="CHE118" i="263" s="1"/>
  <c r="CHF6" i="263"/>
  <c r="CHF118" i="263" s="1"/>
  <c r="CHG6" i="263"/>
  <c r="CHG118" i="263" s="1"/>
  <c r="CHH6" i="263"/>
  <c r="CHH118" i="263" s="1"/>
  <c r="CHI6" i="263"/>
  <c r="CHI118" i="263" s="1"/>
  <c r="CHJ6" i="263"/>
  <c r="CHJ118" i="263" s="1"/>
  <c r="CHK6" i="263"/>
  <c r="CHK118" i="263" s="1"/>
  <c r="CHL6" i="263"/>
  <c r="CHL118" i="263" s="1"/>
  <c r="CHM6" i="263"/>
  <c r="CHM118" i="263" s="1"/>
  <c r="CHN6" i="263"/>
  <c r="CHN118" i="263" s="1"/>
  <c r="CHO6" i="263"/>
  <c r="CHO118" i="263" s="1"/>
  <c r="CHP6" i="263"/>
  <c r="CHP118" i="263" s="1"/>
  <c r="CHQ6" i="263"/>
  <c r="CHQ118" i="263" s="1"/>
  <c r="CHR6" i="263"/>
  <c r="CHR118" i="263" s="1"/>
  <c r="CHS6" i="263"/>
  <c r="CHS118" i="263" s="1"/>
  <c r="CHT6" i="263"/>
  <c r="CHT118" i="263" s="1"/>
  <c r="CHU6" i="263"/>
  <c r="CHU118" i="263" s="1"/>
  <c r="CHV6" i="263"/>
  <c r="CHV118" i="263" s="1"/>
  <c r="CHW6" i="263"/>
  <c r="CHW118" i="263" s="1"/>
  <c r="CHX6" i="263"/>
  <c r="CHX118" i="263" s="1"/>
  <c r="CHY6" i="263"/>
  <c r="CHY118" i="263" s="1"/>
  <c r="CHZ6" i="263"/>
  <c r="CHZ118" i="263" s="1"/>
  <c r="CIA6" i="263"/>
  <c r="CIA118" i="263" s="1"/>
  <c r="CIB6" i="263"/>
  <c r="CIB118" i="263" s="1"/>
  <c r="CIC6" i="263"/>
  <c r="CIC118" i="263" s="1"/>
  <c r="CID6" i="263"/>
  <c r="CID118" i="263" s="1"/>
  <c r="CIE6" i="263"/>
  <c r="CIE118" i="263" s="1"/>
  <c r="CIF6" i="263"/>
  <c r="CIF118" i="263" s="1"/>
  <c r="CIG6" i="263"/>
  <c r="CIG118" i="263" s="1"/>
  <c r="CIH6" i="263"/>
  <c r="CIH118" i="263" s="1"/>
  <c r="CII6" i="263"/>
  <c r="CII118" i="263" s="1"/>
  <c r="CIJ6" i="263"/>
  <c r="CIJ118" i="263" s="1"/>
  <c r="CIK6" i="263"/>
  <c r="CIK118" i="263" s="1"/>
  <c r="CIL6" i="263"/>
  <c r="CIL118" i="263" s="1"/>
  <c r="CIM6" i="263"/>
  <c r="CIM118" i="263" s="1"/>
  <c r="CIN6" i="263"/>
  <c r="CIN118" i="263" s="1"/>
  <c r="CIO6" i="263"/>
  <c r="CIO118" i="263" s="1"/>
  <c r="CIP6" i="263"/>
  <c r="CIP118" i="263" s="1"/>
  <c r="CIQ6" i="263"/>
  <c r="CIQ118" i="263" s="1"/>
  <c r="CIR6" i="263"/>
  <c r="CIR118" i="263" s="1"/>
  <c r="CIS6" i="263"/>
  <c r="CIS118" i="263" s="1"/>
  <c r="CIT6" i="263"/>
  <c r="CIT118" i="263" s="1"/>
  <c r="CIU6" i="263"/>
  <c r="CIU118" i="263" s="1"/>
  <c r="CIV6" i="263"/>
  <c r="CIV118" i="263" s="1"/>
  <c r="CIW6" i="263"/>
  <c r="CIW118" i="263" s="1"/>
  <c r="CIX6" i="263"/>
  <c r="CIX118" i="263" s="1"/>
  <c r="CIY6" i="263"/>
  <c r="CIY118" i="263" s="1"/>
  <c r="CIZ6" i="263"/>
  <c r="CIZ118" i="263" s="1"/>
  <c r="CJA6" i="263"/>
  <c r="CJA118" i="263" s="1"/>
  <c r="CJB6" i="263"/>
  <c r="CJB118" i="263" s="1"/>
  <c r="CJC6" i="263"/>
  <c r="CJC118" i="263" s="1"/>
  <c r="CJD6" i="263"/>
  <c r="CJD118" i="263" s="1"/>
  <c r="CJE6" i="263"/>
  <c r="CJE118" i="263" s="1"/>
  <c r="CJF6" i="263"/>
  <c r="CJF118" i="263" s="1"/>
  <c r="CJG6" i="263"/>
  <c r="CJG118" i="263" s="1"/>
  <c r="CJH6" i="263"/>
  <c r="CJH118" i="263" s="1"/>
  <c r="CJI6" i="263"/>
  <c r="CJI118" i="263" s="1"/>
  <c r="CJJ6" i="263"/>
  <c r="CJJ118" i="263" s="1"/>
  <c r="CJK6" i="263"/>
  <c r="CJK118" i="263" s="1"/>
  <c r="CJL6" i="263"/>
  <c r="CJL118" i="263" s="1"/>
  <c r="CJM6" i="263"/>
  <c r="CJM118" i="263" s="1"/>
  <c r="CJN6" i="263"/>
  <c r="CJN118" i="263" s="1"/>
  <c r="CJO6" i="263"/>
  <c r="CJO118" i="263" s="1"/>
  <c r="CJP6" i="263"/>
  <c r="CJP118" i="263" s="1"/>
  <c r="CJQ6" i="263"/>
  <c r="CJQ118" i="263" s="1"/>
  <c r="CJR6" i="263"/>
  <c r="CJR118" i="263" s="1"/>
  <c r="CJS6" i="263"/>
  <c r="CJS118" i="263" s="1"/>
  <c r="CJT6" i="263"/>
  <c r="CJT118" i="263" s="1"/>
  <c r="CJU6" i="263"/>
  <c r="CJU118" i="263" s="1"/>
  <c r="CJV6" i="263"/>
  <c r="CJV118" i="263" s="1"/>
  <c r="CJW6" i="263"/>
  <c r="CJW118" i="263" s="1"/>
  <c r="CJX6" i="263"/>
  <c r="CJX118" i="263" s="1"/>
  <c r="CJY6" i="263"/>
  <c r="CJY118" i="263" s="1"/>
  <c r="CJZ6" i="263"/>
  <c r="CJZ118" i="263" s="1"/>
  <c r="CKA6" i="263"/>
  <c r="CKA118" i="263" s="1"/>
  <c r="CKB6" i="263"/>
  <c r="CKB118" i="263" s="1"/>
  <c r="CKC6" i="263"/>
  <c r="CKC118" i="263" s="1"/>
  <c r="CKD6" i="263"/>
  <c r="CKD118" i="263" s="1"/>
  <c r="CKE6" i="263"/>
  <c r="CKE118" i="263" s="1"/>
  <c r="CKF6" i="263"/>
  <c r="CKF118" i="263" s="1"/>
  <c r="CKG6" i="263"/>
  <c r="CKG118" i="263" s="1"/>
  <c r="CKH6" i="263"/>
  <c r="CKH118" i="263" s="1"/>
  <c r="CKI6" i="263"/>
  <c r="CKI118" i="263" s="1"/>
  <c r="CKJ6" i="263"/>
  <c r="CKJ118" i="263" s="1"/>
  <c r="CKK6" i="263"/>
  <c r="CKK118" i="263" s="1"/>
  <c r="CKL6" i="263"/>
  <c r="CKL118" i="263" s="1"/>
  <c r="CKM6" i="263"/>
  <c r="CKM118" i="263" s="1"/>
  <c r="CKN6" i="263"/>
  <c r="CKN118" i="263" s="1"/>
  <c r="CKO6" i="263"/>
  <c r="CKO118" i="263" s="1"/>
  <c r="CKP6" i="263"/>
  <c r="CKP118" i="263" s="1"/>
  <c r="CKQ6" i="263"/>
  <c r="CKQ118" i="263" s="1"/>
  <c r="CKR6" i="263"/>
  <c r="CKR118" i="263" s="1"/>
  <c r="CKS6" i="263"/>
  <c r="CKS118" i="263" s="1"/>
  <c r="CKT6" i="263"/>
  <c r="CKT118" i="263" s="1"/>
  <c r="CKU6" i="263"/>
  <c r="CKU118" i="263" s="1"/>
  <c r="CKV6" i="263"/>
  <c r="CKV118" i="263" s="1"/>
  <c r="CKW6" i="263"/>
  <c r="CKW118" i="263" s="1"/>
  <c r="CKX6" i="263"/>
  <c r="CKX118" i="263" s="1"/>
  <c r="CKY6" i="263"/>
  <c r="CKY118" i="263" s="1"/>
  <c r="CKZ6" i="263"/>
  <c r="CKZ118" i="263" s="1"/>
  <c r="CLA6" i="263"/>
  <c r="CLA118" i="263" s="1"/>
  <c r="CLB6" i="263"/>
  <c r="CLB118" i="263" s="1"/>
  <c r="CLC6" i="263"/>
  <c r="CLC118" i="263" s="1"/>
  <c r="CLD6" i="263"/>
  <c r="CLD118" i="263" s="1"/>
  <c r="CLE6" i="263"/>
  <c r="CLE118" i="263" s="1"/>
  <c r="CLF6" i="263"/>
  <c r="CLF118" i="263" s="1"/>
  <c r="CLG6" i="263"/>
  <c r="CLG118" i="263" s="1"/>
  <c r="CLH6" i="263"/>
  <c r="CLH118" i="263" s="1"/>
  <c r="CLI6" i="263"/>
  <c r="CLI118" i="263" s="1"/>
  <c r="CLJ6" i="263"/>
  <c r="CLJ118" i="263" s="1"/>
  <c r="CLK6" i="263"/>
  <c r="CLK118" i="263" s="1"/>
  <c r="CLL6" i="263"/>
  <c r="CLL118" i="263" s="1"/>
  <c r="CLM6" i="263"/>
  <c r="CLM118" i="263" s="1"/>
  <c r="CLN6" i="263"/>
  <c r="CLN118" i="263" s="1"/>
  <c r="CLO6" i="263"/>
  <c r="CLO118" i="263" s="1"/>
  <c r="CLP6" i="263"/>
  <c r="CLP118" i="263" s="1"/>
  <c r="CLQ6" i="263"/>
  <c r="CLQ118" i="263" s="1"/>
  <c r="CLR6" i="263"/>
  <c r="CLR118" i="263" s="1"/>
  <c r="CLS6" i="263"/>
  <c r="CLS118" i="263" s="1"/>
  <c r="CLT6" i="263"/>
  <c r="CLT118" i="263" s="1"/>
  <c r="CLU6" i="263"/>
  <c r="CLU118" i="263" s="1"/>
  <c r="CLV6" i="263"/>
  <c r="CLV118" i="263" s="1"/>
  <c r="CLW6" i="263"/>
  <c r="CLW118" i="263" s="1"/>
  <c r="CLX6" i="263"/>
  <c r="CLX118" i="263" s="1"/>
  <c r="CLY6" i="263"/>
  <c r="CLY118" i="263" s="1"/>
  <c r="CLZ6" i="263"/>
  <c r="CLZ118" i="263" s="1"/>
  <c r="CMA6" i="263"/>
  <c r="CMA118" i="263" s="1"/>
  <c r="CMB6" i="263"/>
  <c r="CMB118" i="263" s="1"/>
  <c r="CMC6" i="263"/>
  <c r="CMC118" i="263" s="1"/>
  <c r="CMD6" i="263"/>
  <c r="CMD118" i="263" s="1"/>
  <c r="CME6" i="263"/>
  <c r="CME118" i="263" s="1"/>
  <c r="CMF6" i="263"/>
  <c r="CMF118" i="263" s="1"/>
  <c r="CMG6" i="263"/>
  <c r="CMG118" i="263" s="1"/>
  <c r="CMH6" i="263"/>
  <c r="CMH118" i="263" s="1"/>
  <c r="CMI6" i="263"/>
  <c r="CMI118" i="263" s="1"/>
  <c r="CMJ6" i="263"/>
  <c r="CMJ118" i="263" s="1"/>
  <c r="CMK6" i="263"/>
  <c r="CMK118" i="263" s="1"/>
  <c r="CML6" i="263"/>
  <c r="CML118" i="263" s="1"/>
  <c r="CMM6" i="263"/>
  <c r="CMM118" i="263" s="1"/>
  <c r="CMN6" i="263"/>
  <c r="CMN118" i="263" s="1"/>
  <c r="CMO6" i="263"/>
  <c r="CMO118" i="263" s="1"/>
  <c r="CMP6" i="263"/>
  <c r="CMP118" i="263" s="1"/>
  <c r="CMQ6" i="263"/>
  <c r="CMQ118" i="263" s="1"/>
  <c r="CMR6" i="263"/>
  <c r="CMR118" i="263" s="1"/>
  <c r="CMS6" i="263"/>
  <c r="CMS118" i="263" s="1"/>
  <c r="CMT6" i="263"/>
  <c r="CMT118" i="263" s="1"/>
  <c r="CMU6" i="263"/>
  <c r="CMU118" i="263" s="1"/>
  <c r="CMV6" i="263"/>
  <c r="CMV118" i="263" s="1"/>
  <c r="CMW6" i="263"/>
  <c r="CMW118" i="263" s="1"/>
  <c r="CMX6" i="263"/>
  <c r="CMX118" i="263" s="1"/>
  <c r="CMY6" i="263"/>
  <c r="CMY118" i="263" s="1"/>
  <c r="CMZ6" i="263"/>
  <c r="CMZ118" i="263" s="1"/>
  <c r="CNA6" i="263"/>
  <c r="CNA118" i="263" s="1"/>
  <c r="CNB6" i="263"/>
  <c r="CNB118" i="263" s="1"/>
  <c r="CNC6" i="263"/>
  <c r="CNC118" i="263" s="1"/>
  <c r="CND6" i="263"/>
  <c r="CND118" i="263" s="1"/>
  <c r="CNE6" i="263"/>
  <c r="CNE118" i="263" s="1"/>
  <c r="CNF6" i="263"/>
  <c r="CNF118" i="263" s="1"/>
  <c r="CNG6" i="263"/>
  <c r="CNG118" i="263" s="1"/>
  <c r="CNH6" i="263"/>
  <c r="CNH118" i="263" s="1"/>
  <c r="CNI6" i="263"/>
  <c r="CNI118" i="263" s="1"/>
  <c r="CNJ6" i="263"/>
  <c r="CNJ118" i="263" s="1"/>
  <c r="CNK6" i="263"/>
  <c r="CNK118" i="263" s="1"/>
  <c r="CNL6" i="263"/>
  <c r="CNL118" i="263" s="1"/>
  <c r="CNM6" i="263"/>
  <c r="CNM118" i="263" s="1"/>
  <c r="CNN6" i="263"/>
  <c r="CNN118" i="263" s="1"/>
  <c r="CNO6" i="263"/>
  <c r="CNO118" i="263" s="1"/>
  <c r="CNP6" i="263"/>
  <c r="CNP118" i="263" s="1"/>
  <c r="CNQ6" i="263"/>
  <c r="CNQ118" i="263" s="1"/>
  <c r="CNR6" i="263"/>
  <c r="CNR118" i="263" s="1"/>
  <c r="CNS6" i="263"/>
  <c r="CNS118" i="263" s="1"/>
  <c r="CNT6" i="263"/>
  <c r="CNT118" i="263" s="1"/>
  <c r="CNU6" i="263"/>
  <c r="CNU118" i="263" s="1"/>
  <c r="CNV6" i="263"/>
  <c r="CNV118" i="263" s="1"/>
  <c r="CNW6" i="263"/>
  <c r="CNW118" i="263" s="1"/>
  <c r="CNX6" i="263"/>
  <c r="CNX118" i="263" s="1"/>
  <c r="CNY6" i="263"/>
  <c r="CNY118" i="263" s="1"/>
  <c r="CNZ6" i="263"/>
  <c r="CNZ118" i="263" s="1"/>
  <c r="COA6" i="263"/>
  <c r="COA118" i="263" s="1"/>
  <c r="COB6" i="263"/>
  <c r="COB118" i="263" s="1"/>
  <c r="COC6" i="263"/>
  <c r="COC118" i="263" s="1"/>
  <c r="COD6" i="263"/>
  <c r="COD118" i="263" s="1"/>
  <c r="COE6" i="263"/>
  <c r="COE118" i="263" s="1"/>
  <c r="COF6" i="263"/>
  <c r="COF118" i="263" s="1"/>
  <c r="COG6" i="263"/>
  <c r="COG118" i="263" s="1"/>
  <c r="COH6" i="263"/>
  <c r="COH118" i="263" s="1"/>
  <c r="COI6" i="263"/>
  <c r="COI118" i="263" s="1"/>
  <c r="COJ6" i="263"/>
  <c r="COJ118" i="263" s="1"/>
  <c r="COK6" i="263"/>
  <c r="COK118" i="263" s="1"/>
  <c r="COL6" i="263"/>
  <c r="COL118" i="263" s="1"/>
  <c r="COM6" i="263"/>
  <c r="COM118" i="263" s="1"/>
  <c r="CON6" i="263"/>
  <c r="CON118" i="263" s="1"/>
  <c r="COO6" i="263"/>
  <c r="COO118" i="263" s="1"/>
  <c r="COP6" i="263"/>
  <c r="COP118" i="263" s="1"/>
  <c r="COQ6" i="263"/>
  <c r="COQ118" i="263" s="1"/>
  <c r="COR6" i="263"/>
  <c r="COR118" i="263" s="1"/>
  <c r="COS6" i="263"/>
  <c r="COS118" i="263" s="1"/>
  <c r="COT6" i="263"/>
  <c r="COT118" i="263" s="1"/>
  <c r="COU6" i="263"/>
  <c r="COU118" i="263" s="1"/>
  <c r="COV6" i="263"/>
  <c r="COV118" i="263" s="1"/>
  <c r="COW6" i="263"/>
  <c r="COW118" i="263" s="1"/>
  <c r="COX6" i="263"/>
  <c r="COX118" i="263" s="1"/>
  <c r="COY6" i="263"/>
  <c r="COY118" i="263" s="1"/>
  <c r="COZ6" i="263"/>
  <c r="COZ118" i="263" s="1"/>
  <c r="CPA6" i="263"/>
  <c r="CPA118" i="263" s="1"/>
  <c r="CPB6" i="263"/>
  <c r="CPB118" i="263" s="1"/>
  <c r="CPC6" i="263"/>
  <c r="CPC118" i="263" s="1"/>
  <c r="CPD6" i="263"/>
  <c r="CPD118" i="263" s="1"/>
  <c r="CPE6" i="263"/>
  <c r="CPE118" i="263" s="1"/>
  <c r="CPF6" i="263"/>
  <c r="CPF118" i="263" s="1"/>
  <c r="CPG6" i="263"/>
  <c r="CPG118" i="263" s="1"/>
  <c r="CPH6" i="263"/>
  <c r="CPH118" i="263" s="1"/>
  <c r="CPI6" i="263"/>
  <c r="CPI118" i="263" s="1"/>
  <c r="CPJ6" i="263"/>
  <c r="CPJ118" i="263" s="1"/>
  <c r="CPK6" i="263"/>
  <c r="CPK118" i="263" s="1"/>
  <c r="CPL6" i="263"/>
  <c r="CPL118" i="263" s="1"/>
  <c r="CPM6" i="263"/>
  <c r="CPM118" i="263" s="1"/>
  <c r="CPN6" i="263"/>
  <c r="CPN118" i="263" s="1"/>
  <c r="CPO6" i="263"/>
  <c r="CPO118" i="263" s="1"/>
  <c r="CPP6" i="263"/>
  <c r="CPP118" i="263" s="1"/>
  <c r="CPQ6" i="263"/>
  <c r="CPQ118" i="263" s="1"/>
  <c r="CPR6" i="263"/>
  <c r="CPR118" i="263" s="1"/>
  <c r="CPS6" i="263"/>
  <c r="CPS118" i="263" s="1"/>
  <c r="CPT6" i="263"/>
  <c r="CPT118" i="263" s="1"/>
  <c r="CPU6" i="263"/>
  <c r="CPU118" i="263" s="1"/>
  <c r="CPV6" i="263"/>
  <c r="CPV118" i="263" s="1"/>
  <c r="CPW6" i="263"/>
  <c r="CPW118" i="263" s="1"/>
  <c r="CPX6" i="263"/>
  <c r="CPX118" i="263" s="1"/>
  <c r="CPY6" i="263"/>
  <c r="CPY118" i="263" s="1"/>
  <c r="CPZ6" i="263"/>
  <c r="CPZ118" i="263" s="1"/>
  <c r="CQA6" i="263"/>
  <c r="CQA118" i="263" s="1"/>
  <c r="CQB6" i="263"/>
  <c r="CQB118" i="263" s="1"/>
  <c r="CQC6" i="263"/>
  <c r="CQC118" i="263" s="1"/>
  <c r="CQD6" i="263"/>
  <c r="CQD118" i="263" s="1"/>
  <c r="CQE6" i="263"/>
  <c r="CQE118" i="263" s="1"/>
  <c r="CQF6" i="263"/>
  <c r="CQF118" i="263" s="1"/>
  <c r="CQG6" i="263"/>
  <c r="CQG118" i="263" s="1"/>
  <c r="CQH6" i="263"/>
  <c r="CQH118" i="263" s="1"/>
  <c r="CQI6" i="263"/>
  <c r="CQI118" i="263" s="1"/>
  <c r="CQJ6" i="263"/>
  <c r="CQJ118" i="263" s="1"/>
  <c r="CQK6" i="263"/>
  <c r="CQK118" i="263" s="1"/>
  <c r="CQL6" i="263"/>
  <c r="CQL118" i="263" s="1"/>
  <c r="CQM6" i="263"/>
  <c r="CQM118" i="263" s="1"/>
  <c r="CQN6" i="263"/>
  <c r="CQN118" i="263" s="1"/>
  <c r="CQO6" i="263"/>
  <c r="CQO118" i="263" s="1"/>
  <c r="CQP6" i="263"/>
  <c r="CQP118" i="263" s="1"/>
  <c r="CQQ6" i="263"/>
  <c r="CQQ118" i="263" s="1"/>
  <c r="CQR6" i="263"/>
  <c r="CQR118" i="263" s="1"/>
  <c r="CQS6" i="263"/>
  <c r="CQS118" i="263" s="1"/>
  <c r="CQT6" i="263"/>
  <c r="CQT118" i="263" s="1"/>
  <c r="CQU6" i="263"/>
  <c r="CQU118" i="263" s="1"/>
  <c r="CQV6" i="263"/>
  <c r="CQV118" i="263" s="1"/>
  <c r="CQW6" i="263"/>
  <c r="CQW118" i="263" s="1"/>
  <c r="CQX6" i="263"/>
  <c r="CQX118" i="263" s="1"/>
  <c r="CQY6" i="263"/>
  <c r="CQY118" i="263" s="1"/>
  <c r="CQZ6" i="263"/>
  <c r="CQZ118" i="263" s="1"/>
  <c r="CRA6" i="263"/>
  <c r="CRA118" i="263" s="1"/>
  <c r="CRB6" i="263"/>
  <c r="CRB118" i="263" s="1"/>
  <c r="CRC6" i="263"/>
  <c r="CRC118" i="263" s="1"/>
  <c r="CRD6" i="263"/>
  <c r="CRD118" i="263" s="1"/>
  <c r="CRE6" i="263"/>
  <c r="CRE118" i="263" s="1"/>
  <c r="CRF6" i="263"/>
  <c r="CRF118" i="263" s="1"/>
  <c r="CRG6" i="263"/>
  <c r="CRG118" i="263" s="1"/>
  <c r="CRH6" i="263"/>
  <c r="CRH118" i="263" s="1"/>
  <c r="CRI6" i="263"/>
  <c r="CRI118" i="263" s="1"/>
  <c r="CRJ6" i="263"/>
  <c r="CRJ118" i="263" s="1"/>
  <c r="CRK6" i="263"/>
  <c r="CRK118" i="263" s="1"/>
  <c r="CRL6" i="263"/>
  <c r="CRL118" i="263" s="1"/>
  <c r="CRM6" i="263"/>
  <c r="CRM118" i="263" s="1"/>
  <c r="CRN6" i="263"/>
  <c r="CRN118" i="263" s="1"/>
  <c r="CRO6" i="263"/>
  <c r="CRO118" i="263" s="1"/>
  <c r="CRP6" i="263"/>
  <c r="CRP118" i="263" s="1"/>
  <c r="CRQ6" i="263"/>
  <c r="CRQ118" i="263" s="1"/>
  <c r="CRR6" i="263"/>
  <c r="CRR118" i="263" s="1"/>
  <c r="CRS6" i="263"/>
  <c r="CRS118" i="263" s="1"/>
  <c r="CRT6" i="263"/>
  <c r="CRT118" i="263" s="1"/>
  <c r="CRU6" i="263"/>
  <c r="CRU118" i="263" s="1"/>
  <c r="CRV6" i="263"/>
  <c r="CRV118" i="263" s="1"/>
  <c r="CRW6" i="263"/>
  <c r="CRW118" i="263" s="1"/>
  <c r="CRX6" i="263"/>
  <c r="CRX118" i="263" s="1"/>
  <c r="CRY6" i="263"/>
  <c r="CRY118" i="263" s="1"/>
  <c r="CRZ6" i="263"/>
  <c r="CRZ118" i="263" s="1"/>
  <c r="CSA6" i="263"/>
  <c r="CSA118" i="263" s="1"/>
  <c r="CSB6" i="263"/>
  <c r="CSB118" i="263" s="1"/>
  <c r="CSC6" i="263"/>
  <c r="CSC118" i="263" s="1"/>
  <c r="CSD6" i="263"/>
  <c r="CSD118" i="263" s="1"/>
  <c r="CSE6" i="263"/>
  <c r="CSE118" i="263" s="1"/>
  <c r="CSF6" i="263"/>
  <c r="CSF118" i="263" s="1"/>
  <c r="CSG6" i="263"/>
  <c r="CSG118" i="263" s="1"/>
  <c r="CSH6" i="263"/>
  <c r="CSH118" i="263" s="1"/>
  <c r="CSI6" i="263"/>
  <c r="CSI118" i="263" s="1"/>
  <c r="CSJ6" i="263"/>
  <c r="CSJ118" i="263" s="1"/>
  <c r="CSK6" i="263"/>
  <c r="CSK118" i="263" s="1"/>
  <c r="CSL6" i="263"/>
  <c r="CSL118" i="263" s="1"/>
  <c r="CSM6" i="263"/>
  <c r="CSM118" i="263" s="1"/>
  <c r="CSN6" i="263"/>
  <c r="CSN118" i="263" s="1"/>
  <c r="CSO6" i="263"/>
  <c r="CSO118" i="263" s="1"/>
  <c r="CSP6" i="263"/>
  <c r="CSP118" i="263" s="1"/>
  <c r="CSQ6" i="263"/>
  <c r="CSQ118" i="263" s="1"/>
  <c r="CSR6" i="263"/>
  <c r="CSR118" i="263" s="1"/>
  <c r="CSS6" i="263"/>
  <c r="CSS118" i="263" s="1"/>
  <c r="CST6" i="263"/>
  <c r="CST118" i="263" s="1"/>
  <c r="CSU6" i="263"/>
  <c r="CSU118" i="263" s="1"/>
  <c r="CSV6" i="263"/>
  <c r="CSV118" i="263" s="1"/>
  <c r="CSW6" i="263"/>
  <c r="CSW118" i="263" s="1"/>
  <c r="CSX6" i="263"/>
  <c r="CSX118" i="263" s="1"/>
  <c r="CSY6" i="263"/>
  <c r="CSY118" i="263" s="1"/>
  <c r="CSZ6" i="263"/>
  <c r="CSZ118" i="263" s="1"/>
  <c r="CTA6" i="263"/>
  <c r="CTA118" i="263" s="1"/>
  <c r="CTB6" i="263"/>
  <c r="CTB118" i="263" s="1"/>
  <c r="CTC6" i="263"/>
  <c r="CTC118" i="263" s="1"/>
  <c r="CTD6" i="263"/>
  <c r="CTD118" i="263" s="1"/>
  <c r="CTE6" i="263"/>
  <c r="CTE118" i="263" s="1"/>
  <c r="CTF6" i="263"/>
  <c r="CTF118" i="263" s="1"/>
  <c r="CTG6" i="263"/>
  <c r="CTG118" i="263" s="1"/>
  <c r="CTH6" i="263"/>
  <c r="CTH118" i="263" s="1"/>
  <c r="CTI6" i="263"/>
  <c r="CTI118" i="263" s="1"/>
  <c r="CTJ6" i="263"/>
  <c r="CTJ118" i="263" s="1"/>
  <c r="CTK6" i="263"/>
  <c r="CTK118" i="263" s="1"/>
  <c r="CTL6" i="263"/>
  <c r="CTL118" i="263" s="1"/>
  <c r="CTM6" i="263"/>
  <c r="CTM118" i="263" s="1"/>
  <c r="CTN6" i="263"/>
  <c r="CTN118" i="263" s="1"/>
  <c r="CTO6" i="263"/>
  <c r="CTO118" i="263" s="1"/>
  <c r="CTP6" i="263"/>
  <c r="CTP118" i="263" s="1"/>
  <c r="CTQ6" i="263"/>
  <c r="CTQ118" i="263" s="1"/>
  <c r="CTR6" i="263"/>
  <c r="CTR118" i="263" s="1"/>
  <c r="CTS6" i="263"/>
  <c r="CTS118" i="263" s="1"/>
  <c r="CTT6" i="263"/>
  <c r="CTT118" i="263" s="1"/>
  <c r="CTU6" i="263"/>
  <c r="CTU118" i="263" s="1"/>
  <c r="CTV6" i="263"/>
  <c r="CTV118" i="263" s="1"/>
  <c r="CTW6" i="263"/>
  <c r="CTW118" i="263" s="1"/>
  <c r="CTX6" i="263"/>
  <c r="CTX118" i="263" s="1"/>
  <c r="CTY6" i="263"/>
  <c r="CTY118" i="263" s="1"/>
  <c r="CTZ6" i="263"/>
  <c r="CTZ118" i="263" s="1"/>
  <c r="CUA6" i="263"/>
  <c r="CUA118" i="263" s="1"/>
  <c r="CUB6" i="263"/>
  <c r="CUB118" i="263" s="1"/>
  <c r="CUC6" i="263"/>
  <c r="CUC118" i="263" s="1"/>
  <c r="CUD6" i="263"/>
  <c r="CUD118" i="263" s="1"/>
  <c r="CUE6" i="263"/>
  <c r="CUE118" i="263" s="1"/>
  <c r="CUF6" i="263"/>
  <c r="CUF118" i="263" s="1"/>
  <c r="CUG6" i="263"/>
  <c r="CUG118" i="263" s="1"/>
  <c r="CUH6" i="263"/>
  <c r="CUH118" i="263" s="1"/>
  <c r="CUI6" i="263"/>
  <c r="CUI118" i="263" s="1"/>
  <c r="CUJ6" i="263"/>
  <c r="CUJ118" i="263" s="1"/>
  <c r="CUK6" i="263"/>
  <c r="CUK118" i="263" s="1"/>
  <c r="CUL6" i="263"/>
  <c r="CUL118" i="263" s="1"/>
  <c r="CUM6" i="263"/>
  <c r="CUM118" i="263" s="1"/>
  <c r="CUN6" i="263"/>
  <c r="CUN118" i="263" s="1"/>
  <c r="CUO6" i="263"/>
  <c r="CUO118" i="263" s="1"/>
  <c r="CUP6" i="263"/>
  <c r="CUP118" i="263" s="1"/>
  <c r="CUQ6" i="263"/>
  <c r="CUQ118" i="263" s="1"/>
  <c r="CUR6" i="263"/>
  <c r="CUR118" i="263" s="1"/>
  <c r="CUS6" i="263"/>
  <c r="CUS118" i="263" s="1"/>
  <c r="CUT6" i="263"/>
  <c r="CUT118" i="263" s="1"/>
  <c r="CUU6" i="263"/>
  <c r="CUU118" i="263" s="1"/>
  <c r="CUV6" i="263"/>
  <c r="CUV118" i="263" s="1"/>
  <c r="CUW6" i="263"/>
  <c r="CUW118" i="263" s="1"/>
  <c r="CUX6" i="263"/>
  <c r="CUX118" i="263" s="1"/>
  <c r="CUY6" i="263"/>
  <c r="CUY118" i="263" s="1"/>
  <c r="CUZ6" i="263"/>
  <c r="CUZ118" i="263" s="1"/>
  <c r="CVA6" i="263"/>
  <c r="CVA118" i="263" s="1"/>
  <c r="CVB6" i="263"/>
  <c r="CVB118" i="263" s="1"/>
  <c r="CVC6" i="263"/>
  <c r="CVC118" i="263" s="1"/>
  <c r="CVD6" i="263"/>
  <c r="CVD118" i="263" s="1"/>
  <c r="CVE6" i="263"/>
  <c r="CVE118" i="263" s="1"/>
  <c r="CVF6" i="263"/>
  <c r="CVF118" i="263" s="1"/>
  <c r="CVG6" i="263"/>
  <c r="CVG118" i="263" s="1"/>
  <c r="CVH6" i="263"/>
  <c r="CVH118" i="263" s="1"/>
  <c r="CVI6" i="263"/>
  <c r="CVI118" i="263" s="1"/>
  <c r="CVJ6" i="263"/>
  <c r="CVJ118" i="263" s="1"/>
  <c r="CVK6" i="263"/>
  <c r="CVK118" i="263" s="1"/>
  <c r="CVL6" i="263"/>
  <c r="CVL118" i="263" s="1"/>
  <c r="CVM6" i="263"/>
  <c r="CVM118" i="263" s="1"/>
  <c r="CVN6" i="263"/>
  <c r="CVN118" i="263" s="1"/>
  <c r="CVO6" i="263"/>
  <c r="CVO118" i="263" s="1"/>
  <c r="CVP6" i="263"/>
  <c r="CVP118" i="263" s="1"/>
  <c r="CVQ6" i="263"/>
  <c r="CVQ118" i="263" s="1"/>
  <c r="CVR6" i="263"/>
  <c r="CVR118" i="263" s="1"/>
  <c r="CVS6" i="263"/>
  <c r="CVS118" i="263" s="1"/>
  <c r="CVT6" i="263"/>
  <c r="CVT118" i="263" s="1"/>
  <c r="CVU6" i="263"/>
  <c r="CVU118" i="263" s="1"/>
  <c r="CVV6" i="263"/>
  <c r="CVV118" i="263" s="1"/>
  <c r="CVW6" i="263"/>
  <c r="CVW118" i="263" s="1"/>
  <c r="CVX6" i="263"/>
  <c r="CVX118" i="263" s="1"/>
  <c r="CVY6" i="263"/>
  <c r="CVY118" i="263" s="1"/>
  <c r="CVZ6" i="263"/>
  <c r="CVZ118" i="263" s="1"/>
  <c r="CWA6" i="263"/>
  <c r="CWA118" i="263" s="1"/>
  <c r="CWB6" i="263"/>
  <c r="CWB118" i="263" s="1"/>
  <c r="CWC6" i="263"/>
  <c r="CWC118" i="263" s="1"/>
  <c r="CWD6" i="263"/>
  <c r="CWD118" i="263" s="1"/>
  <c r="CWE6" i="263"/>
  <c r="CWE118" i="263" s="1"/>
  <c r="CWF6" i="263"/>
  <c r="CWF118" i="263" s="1"/>
  <c r="CWG6" i="263"/>
  <c r="CWG118" i="263" s="1"/>
  <c r="CWH6" i="263"/>
  <c r="CWH118" i="263" s="1"/>
  <c r="CWI6" i="263"/>
  <c r="CWI118" i="263" s="1"/>
  <c r="CWJ6" i="263"/>
  <c r="CWJ118" i="263" s="1"/>
  <c r="CWK6" i="263"/>
  <c r="CWK118" i="263" s="1"/>
  <c r="CWL6" i="263"/>
  <c r="CWL118" i="263" s="1"/>
  <c r="CWM6" i="263"/>
  <c r="CWM118" i="263" s="1"/>
  <c r="CWN6" i="263"/>
  <c r="CWN118" i="263" s="1"/>
  <c r="CWO6" i="263"/>
  <c r="CWO118" i="263" s="1"/>
  <c r="CWP6" i="263"/>
  <c r="CWP118" i="263" s="1"/>
  <c r="CWQ6" i="263"/>
  <c r="CWQ118" i="263" s="1"/>
  <c r="CWR6" i="263"/>
  <c r="CWR118" i="263" s="1"/>
  <c r="CWS6" i="263"/>
  <c r="CWS118" i="263" s="1"/>
  <c r="CWT6" i="263"/>
  <c r="CWT118" i="263" s="1"/>
  <c r="CWU6" i="263"/>
  <c r="CWU118" i="263" s="1"/>
  <c r="CWV6" i="263"/>
  <c r="CWV118" i="263" s="1"/>
  <c r="CWW6" i="263"/>
  <c r="CWW118" i="263" s="1"/>
  <c r="CWX6" i="263"/>
  <c r="CWX118" i="263" s="1"/>
  <c r="CWY6" i="263"/>
  <c r="CWY118" i="263" s="1"/>
  <c r="CWZ6" i="263"/>
  <c r="CWZ118" i="263" s="1"/>
  <c r="CXA6" i="263"/>
  <c r="CXA118" i="263" s="1"/>
  <c r="CXB6" i="263"/>
  <c r="CXB118" i="263" s="1"/>
  <c r="CXC6" i="263"/>
  <c r="CXC118" i="263" s="1"/>
  <c r="CXD6" i="263"/>
  <c r="CXD118" i="263" s="1"/>
  <c r="CXE6" i="263"/>
  <c r="CXE118" i="263" s="1"/>
  <c r="CXF6" i="263"/>
  <c r="CXF118" i="263" s="1"/>
  <c r="CXG6" i="263"/>
  <c r="CXG118" i="263" s="1"/>
  <c r="CXH6" i="263"/>
  <c r="CXH118" i="263" s="1"/>
  <c r="CXI6" i="263"/>
  <c r="CXI118" i="263" s="1"/>
  <c r="CXJ6" i="263"/>
  <c r="CXJ118" i="263" s="1"/>
  <c r="CXK6" i="263"/>
  <c r="CXK118" i="263" s="1"/>
  <c r="CXL6" i="263"/>
  <c r="CXL118" i="263" s="1"/>
  <c r="CXM6" i="263"/>
  <c r="CXM118" i="263" s="1"/>
  <c r="CXN6" i="263"/>
  <c r="CXN118" i="263" s="1"/>
  <c r="CXO6" i="263"/>
  <c r="CXO118" i="263" s="1"/>
  <c r="CXP6" i="263"/>
  <c r="CXP118" i="263" s="1"/>
  <c r="CXQ6" i="263"/>
  <c r="CXQ118" i="263" s="1"/>
  <c r="CXR6" i="263"/>
  <c r="CXR118" i="263" s="1"/>
  <c r="CXS6" i="263"/>
  <c r="CXS118" i="263" s="1"/>
  <c r="CXT6" i="263"/>
  <c r="CXT118" i="263" s="1"/>
  <c r="CXU6" i="263"/>
  <c r="CXU118" i="263" s="1"/>
  <c r="CXV6" i="263"/>
  <c r="CXV118" i="263" s="1"/>
  <c r="CXW6" i="263"/>
  <c r="CXW118" i="263" s="1"/>
  <c r="CXX6" i="263"/>
  <c r="CXX118" i="263" s="1"/>
  <c r="CXY6" i="263"/>
  <c r="CXY118" i="263" s="1"/>
  <c r="CXZ6" i="263"/>
  <c r="CXZ118" i="263" s="1"/>
  <c r="CYA6" i="263"/>
  <c r="CYA118" i="263" s="1"/>
  <c r="CYB6" i="263"/>
  <c r="CYB118" i="263" s="1"/>
  <c r="CYC6" i="263"/>
  <c r="CYC118" i="263" s="1"/>
  <c r="CYD6" i="263"/>
  <c r="CYD118" i="263" s="1"/>
  <c r="CYE6" i="263"/>
  <c r="CYE118" i="263" s="1"/>
  <c r="CYF6" i="263"/>
  <c r="CYF118" i="263" s="1"/>
  <c r="CYG6" i="263"/>
  <c r="CYG118" i="263" s="1"/>
  <c r="CYH6" i="263"/>
  <c r="CYH118" i="263" s="1"/>
  <c r="CYI6" i="263"/>
  <c r="CYI118" i="263" s="1"/>
  <c r="CYJ6" i="263"/>
  <c r="CYJ118" i="263" s="1"/>
  <c r="CYK6" i="263"/>
  <c r="CYK118" i="263" s="1"/>
  <c r="CYL6" i="263"/>
  <c r="CYL118" i="263" s="1"/>
  <c r="CYM6" i="263"/>
  <c r="CYM118" i="263" s="1"/>
  <c r="CYN6" i="263"/>
  <c r="CYN118" i="263" s="1"/>
  <c r="CYO6" i="263"/>
  <c r="CYO118" i="263" s="1"/>
  <c r="CYP6" i="263"/>
  <c r="CYP118" i="263" s="1"/>
  <c r="CYQ6" i="263"/>
  <c r="CYQ118" i="263" s="1"/>
  <c r="CYR6" i="263"/>
  <c r="CYR118" i="263" s="1"/>
  <c r="CYS6" i="263"/>
  <c r="CYS118" i="263" s="1"/>
  <c r="CYT6" i="263"/>
  <c r="CYT118" i="263" s="1"/>
  <c r="CYU6" i="263"/>
  <c r="CYU118" i="263" s="1"/>
  <c r="CYV6" i="263"/>
  <c r="CYV118" i="263" s="1"/>
  <c r="CYW6" i="263"/>
  <c r="CYW118" i="263" s="1"/>
  <c r="CYX6" i="263"/>
  <c r="CYX118" i="263" s="1"/>
  <c r="CYY6" i="263"/>
  <c r="CYY118" i="263" s="1"/>
  <c r="CYZ6" i="263"/>
  <c r="CYZ118" i="263" s="1"/>
  <c r="CZA6" i="263"/>
  <c r="CZA118" i="263" s="1"/>
  <c r="CZB6" i="263"/>
  <c r="CZB118" i="263" s="1"/>
  <c r="CZC6" i="263"/>
  <c r="CZC118" i="263" s="1"/>
  <c r="CZD6" i="263"/>
  <c r="CZD118" i="263" s="1"/>
  <c r="CZE6" i="263"/>
  <c r="CZE118" i="263" s="1"/>
  <c r="CZF6" i="263"/>
  <c r="CZF118" i="263" s="1"/>
  <c r="CZG6" i="263"/>
  <c r="CZG118" i="263" s="1"/>
  <c r="CZH6" i="263"/>
  <c r="CZH118" i="263" s="1"/>
  <c r="CZI6" i="263"/>
  <c r="CZI118" i="263" s="1"/>
  <c r="CZJ6" i="263"/>
  <c r="CZJ118" i="263" s="1"/>
  <c r="CZK6" i="263"/>
  <c r="CZK118" i="263" s="1"/>
  <c r="CZL6" i="263"/>
  <c r="CZL118" i="263" s="1"/>
  <c r="CZM6" i="263"/>
  <c r="CZM118" i="263" s="1"/>
  <c r="CZN6" i="263"/>
  <c r="CZN118" i="263" s="1"/>
  <c r="CZO6" i="263"/>
  <c r="CZO118" i="263" s="1"/>
  <c r="CZP6" i="263"/>
  <c r="CZP118" i="263" s="1"/>
  <c r="CZQ6" i="263"/>
  <c r="CZQ118" i="263" s="1"/>
  <c r="CZR6" i="263"/>
  <c r="CZR118" i="263" s="1"/>
  <c r="CZS6" i="263"/>
  <c r="CZS118" i="263" s="1"/>
  <c r="CZT6" i="263"/>
  <c r="CZT118" i="263" s="1"/>
  <c r="CZU6" i="263"/>
  <c r="CZU118" i="263" s="1"/>
  <c r="CZV6" i="263"/>
  <c r="CZV118" i="263" s="1"/>
  <c r="CZW6" i="263"/>
  <c r="CZW118" i="263" s="1"/>
  <c r="CZX6" i="263"/>
  <c r="CZX118" i="263" s="1"/>
  <c r="CZY6" i="263"/>
  <c r="CZY118" i="263" s="1"/>
  <c r="CZZ6" i="263"/>
  <c r="CZZ118" i="263" s="1"/>
  <c r="DAA6" i="263"/>
  <c r="DAA118" i="263" s="1"/>
  <c r="DAB6" i="263"/>
  <c r="DAB118" i="263" s="1"/>
  <c r="DAC6" i="263"/>
  <c r="DAC118" i="263" s="1"/>
  <c r="DAD6" i="263"/>
  <c r="DAD118" i="263" s="1"/>
  <c r="DAE6" i="263"/>
  <c r="DAE118" i="263" s="1"/>
  <c r="DAF6" i="263"/>
  <c r="DAF118" i="263" s="1"/>
  <c r="DAG6" i="263"/>
  <c r="DAG118" i="263" s="1"/>
  <c r="DAH6" i="263"/>
  <c r="DAH118" i="263" s="1"/>
  <c r="DAI6" i="263"/>
  <c r="DAI118" i="263" s="1"/>
  <c r="DAJ6" i="263"/>
  <c r="DAJ118" i="263" s="1"/>
  <c r="DAK6" i="263"/>
  <c r="DAK118" i="263" s="1"/>
  <c r="DAL6" i="263"/>
  <c r="DAL118" i="263" s="1"/>
  <c r="DAM6" i="263"/>
  <c r="DAM118" i="263" s="1"/>
  <c r="DAN6" i="263"/>
  <c r="DAN118" i="263" s="1"/>
  <c r="DAO6" i="263"/>
  <c r="DAO118" i="263" s="1"/>
  <c r="DAP6" i="263"/>
  <c r="DAP118" i="263" s="1"/>
  <c r="DAQ6" i="263"/>
  <c r="DAQ118" i="263" s="1"/>
  <c r="DAR6" i="263"/>
  <c r="DAR118" i="263" s="1"/>
  <c r="DAS6" i="263"/>
  <c r="DAS118" i="263" s="1"/>
  <c r="DAT6" i="263"/>
  <c r="DAT118" i="263" s="1"/>
  <c r="DAU6" i="263"/>
  <c r="DAU118" i="263" s="1"/>
  <c r="DAV6" i="263"/>
  <c r="DAV118" i="263" s="1"/>
  <c r="DAW6" i="263"/>
  <c r="DAW118" i="263" s="1"/>
  <c r="DAX6" i="263"/>
  <c r="DAX118" i="263" s="1"/>
  <c r="DAY6" i="263"/>
  <c r="DAY118" i="263" s="1"/>
  <c r="DAZ6" i="263"/>
  <c r="DAZ118" i="263" s="1"/>
  <c r="DBA6" i="263"/>
  <c r="DBA118" i="263" s="1"/>
  <c r="DBB6" i="263"/>
  <c r="DBB118" i="263" s="1"/>
  <c r="DBC6" i="263"/>
  <c r="DBC118" i="263" s="1"/>
  <c r="DBD6" i="263"/>
  <c r="DBD118" i="263" s="1"/>
  <c r="DBE6" i="263"/>
  <c r="DBE118" i="263" s="1"/>
  <c r="DBF6" i="263"/>
  <c r="DBF118" i="263" s="1"/>
  <c r="DBG6" i="263"/>
  <c r="DBG118" i="263" s="1"/>
  <c r="DBH6" i="263"/>
  <c r="DBH118" i="263" s="1"/>
  <c r="DBI6" i="263"/>
  <c r="DBI118" i="263" s="1"/>
  <c r="DBJ6" i="263"/>
  <c r="DBJ118" i="263" s="1"/>
  <c r="DBK6" i="263"/>
  <c r="DBK118" i="263" s="1"/>
  <c r="DBL6" i="263"/>
  <c r="DBL118" i="263" s="1"/>
  <c r="DBM6" i="263"/>
  <c r="DBM118" i="263" s="1"/>
  <c r="DBN6" i="263"/>
  <c r="DBN118" i="263" s="1"/>
  <c r="DBO6" i="263"/>
  <c r="DBO118" i="263" s="1"/>
  <c r="DBP6" i="263"/>
  <c r="DBP118" i="263" s="1"/>
  <c r="DBQ6" i="263"/>
  <c r="DBQ118" i="263" s="1"/>
  <c r="DBR6" i="263"/>
  <c r="DBR118" i="263" s="1"/>
  <c r="DBS6" i="263"/>
  <c r="DBS118" i="263" s="1"/>
  <c r="DBT6" i="263"/>
  <c r="DBT118" i="263" s="1"/>
  <c r="DBU6" i="263"/>
  <c r="DBU118" i="263" s="1"/>
  <c r="DBV6" i="263"/>
  <c r="DBV118" i="263" s="1"/>
  <c r="DBW6" i="263"/>
  <c r="DBW118" i="263" s="1"/>
  <c r="DBX6" i="263"/>
  <c r="DBX118" i="263" s="1"/>
  <c r="DBY6" i="263"/>
  <c r="DBY118" i="263" s="1"/>
  <c r="DBZ6" i="263"/>
  <c r="DBZ118" i="263" s="1"/>
  <c r="DCA6" i="263"/>
  <c r="DCA118" i="263" s="1"/>
  <c r="DCB6" i="263"/>
  <c r="DCB118" i="263" s="1"/>
  <c r="DCC6" i="263"/>
  <c r="DCC118" i="263" s="1"/>
  <c r="DCD6" i="263"/>
  <c r="DCD118" i="263" s="1"/>
  <c r="DCE6" i="263"/>
  <c r="DCE118" i="263" s="1"/>
  <c r="DCF6" i="263"/>
  <c r="DCF118" i="263" s="1"/>
  <c r="DCG6" i="263"/>
  <c r="DCG118" i="263" s="1"/>
  <c r="DCH6" i="263"/>
  <c r="DCH118" i="263" s="1"/>
  <c r="DCI6" i="263"/>
  <c r="DCI118" i="263" s="1"/>
  <c r="DCJ6" i="263"/>
  <c r="DCJ118" i="263" s="1"/>
  <c r="DCK6" i="263"/>
  <c r="DCK118" i="263" s="1"/>
  <c r="DCL6" i="263"/>
  <c r="DCL118" i="263" s="1"/>
  <c r="DCM6" i="263"/>
  <c r="DCM118" i="263" s="1"/>
  <c r="DCN6" i="263"/>
  <c r="DCN118" i="263" s="1"/>
  <c r="DCO6" i="263"/>
  <c r="DCO118" i="263" s="1"/>
  <c r="DCP6" i="263"/>
  <c r="DCP118" i="263" s="1"/>
  <c r="DCQ6" i="263"/>
  <c r="DCQ118" i="263" s="1"/>
  <c r="DCR6" i="263"/>
  <c r="DCR118" i="263" s="1"/>
  <c r="DCS6" i="263"/>
  <c r="DCS118" i="263" s="1"/>
  <c r="DCT6" i="263"/>
  <c r="DCT118" i="263" s="1"/>
  <c r="DCU6" i="263"/>
  <c r="DCU118" i="263" s="1"/>
  <c r="DCV6" i="263"/>
  <c r="DCV118" i="263" s="1"/>
  <c r="DCW6" i="263"/>
  <c r="DCW118" i="263" s="1"/>
  <c r="DCX6" i="263"/>
  <c r="DCX118" i="263" s="1"/>
  <c r="DCY6" i="263"/>
  <c r="DCY118" i="263" s="1"/>
  <c r="DCZ6" i="263"/>
  <c r="DCZ118" i="263" s="1"/>
  <c r="DDA6" i="263"/>
  <c r="DDA118" i="263" s="1"/>
  <c r="DDB6" i="263"/>
  <c r="DDB118" i="263" s="1"/>
  <c r="DDC6" i="263"/>
  <c r="DDC118" i="263" s="1"/>
  <c r="DDD6" i="263"/>
  <c r="DDD118" i="263" s="1"/>
  <c r="DDE6" i="263"/>
  <c r="DDE118" i="263" s="1"/>
  <c r="DDF6" i="263"/>
  <c r="DDF118" i="263" s="1"/>
  <c r="DDG6" i="263"/>
  <c r="DDG118" i="263" s="1"/>
  <c r="DDH6" i="263"/>
  <c r="DDH118" i="263" s="1"/>
  <c r="DDI6" i="263"/>
  <c r="DDI118" i="263" s="1"/>
  <c r="DDJ6" i="263"/>
  <c r="DDJ118" i="263" s="1"/>
  <c r="DDK6" i="263"/>
  <c r="DDK118" i="263" s="1"/>
  <c r="DDL6" i="263"/>
  <c r="DDL118" i="263" s="1"/>
  <c r="DDM6" i="263"/>
  <c r="DDM118" i="263" s="1"/>
  <c r="DDN6" i="263"/>
  <c r="DDN118" i="263" s="1"/>
  <c r="DDO6" i="263"/>
  <c r="DDO118" i="263" s="1"/>
  <c r="DDP6" i="263"/>
  <c r="DDP118" i="263" s="1"/>
  <c r="DDQ6" i="263"/>
  <c r="DDQ118" i="263" s="1"/>
  <c r="DDR6" i="263"/>
  <c r="DDR118" i="263" s="1"/>
  <c r="DDS6" i="263"/>
  <c r="DDS118" i="263" s="1"/>
  <c r="DDT6" i="263"/>
  <c r="DDT118" i="263" s="1"/>
  <c r="DDU6" i="263"/>
  <c r="DDU118" i="263" s="1"/>
  <c r="DDV6" i="263"/>
  <c r="DDV118" i="263" s="1"/>
  <c r="DDW6" i="263"/>
  <c r="DDW118" i="263" s="1"/>
  <c r="DDX6" i="263"/>
  <c r="DDX118" i="263" s="1"/>
  <c r="DDY6" i="263"/>
  <c r="DDY118" i="263" s="1"/>
  <c r="DDZ6" i="263"/>
  <c r="DDZ118" i="263" s="1"/>
  <c r="DEA6" i="263"/>
  <c r="DEA118" i="263" s="1"/>
  <c r="DEB6" i="263"/>
  <c r="DEB118" i="263" s="1"/>
  <c r="DEC6" i="263"/>
  <c r="DEC118" i="263" s="1"/>
  <c r="DED6" i="263"/>
  <c r="DED118" i="263" s="1"/>
  <c r="DEE6" i="263"/>
  <c r="DEE118" i="263" s="1"/>
  <c r="DEF6" i="263"/>
  <c r="DEF118" i="263" s="1"/>
  <c r="DEG6" i="263"/>
  <c r="DEG118" i="263" s="1"/>
  <c r="DEH6" i="263"/>
  <c r="DEH118" i="263" s="1"/>
  <c r="DEI6" i="263"/>
  <c r="DEI118" i="263" s="1"/>
  <c r="DEJ6" i="263"/>
  <c r="DEJ118" i="263" s="1"/>
  <c r="DEK6" i="263"/>
  <c r="DEK118" i="263" s="1"/>
  <c r="DEL6" i="263"/>
  <c r="DEL118" i="263" s="1"/>
  <c r="DEM6" i="263"/>
  <c r="DEM118" i="263" s="1"/>
  <c r="DEN6" i="263"/>
  <c r="DEN118" i="263" s="1"/>
  <c r="DEO6" i="263"/>
  <c r="DEO118" i="263" s="1"/>
  <c r="DEP6" i="263"/>
  <c r="DEP118" i="263" s="1"/>
  <c r="DEQ6" i="263"/>
  <c r="DEQ118" i="263" s="1"/>
  <c r="DER6" i="263"/>
  <c r="DER118" i="263" s="1"/>
  <c r="DES6" i="263"/>
  <c r="DES118" i="263" s="1"/>
  <c r="DET6" i="263"/>
  <c r="DET118" i="263" s="1"/>
  <c r="DEU6" i="263"/>
  <c r="DEU118" i="263" s="1"/>
  <c r="DEV6" i="263"/>
  <c r="DEV118" i="263" s="1"/>
  <c r="DEW6" i="263"/>
  <c r="DEW118" i="263" s="1"/>
  <c r="DEX6" i="263"/>
  <c r="DEX118" i="263" s="1"/>
  <c r="DEY6" i="263"/>
  <c r="DEY118" i="263" s="1"/>
  <c r="DEZ6" i="263"/>
  <c r="DEZ118" i="263" s="1"/>
  <c r="DFA6" i="263"/>
  <c r="DFA118" i="263" s="1"/>
  <c r="DFB6" i="263"/>
  <c r="DFB118" i="263" s="1"/>
  <c r="DFC6" i="263"/>
  <c r="DFC118" i="263" s="1"/>
  <c r="DFD6" i="263"/>
  <c r="DFD118" i="263" s="1"/>
  <c r="DFE6" i="263"/>
  <c r="DFE118" i="263" s="1"/>
  <c r="DFF6" i="263"/>
  <c r="DFF118" i="263" s="1"/>
  <c r="DFG6" i="263"/>
  <c r="DFG118" i="263" s="1"/>
  <c r="DFH6" i="263"/>
  <c r="DFH118" i="263" s="1"/>
  <c r="DFI6" i="263"/>
  <c r="DFI118" i="263" s="1"/>
  <c r="DFJ6" i="263"/>
  <c r="DFJ118" i="263" s="1"/>
  <c r="DFK6" i="263"/>
  <c r="DFK118" i="263" s="1"/>
  <c r="DFL6" i="263"/>
  <c r="DFL118" i="263" s="1"/>
  <c r="DFM6" i="263"/>
  <c r="DFM118" i="263" s="1"/>
  <c r="DFN6" i="263"/>
  <c r="DFN118" i="263" s="1"/>
  <c r="DFO6" i="263"/>
  <c r="DFO118" i="263" s="1"/>
  <c r="DFP6" i="263"/>
  <c r="DFP118" i="263" s="1"/>
  <c r="DFQ6" i="263"/>
  <c r="DFQ118" i="263" s="1"/>
  <c r="DFR6" i="263"/>
  <c r="DFR118" i="263" s="1"/>
  <c r="DFS6" i="263"/>
  <c r="DFS118" i="263" s="1"/>
  <c r="DFT6" i="263"/>
  <c r="DFT118" i="263" s="1"/>
  <c r="DFU6" i="263"/>
  <c r="DFU118" i="263" s="1"/>
  <c r="DFV6" i="263"/>
  <c r="DFV118" i="263" s="1"/>
  <c r="DFW6" i="263"/>
  <c r="DFW118" i="263" s="1"/>
  <c r="DFX6" i="263"/>
  <c r="DFX118" i="263" s="1"/>
  <c r="DFY6" i="263"/>
  <c r="DFY118" i="263" s="1"/>
  <c r="DFZ6" i="263"/>
  <c r="DFZ118" i="263" s="1"/>
  <c r="DGA6" i="263"/>
  <c r="DGA118" i="263" s="1"/>
  <c r="DGB6" i="263"/>
  <c r="DGB118" i="263" s="1"/>
  <c r="DGC6" i="263"/>
  <c r="DGC118" i="263" s="1"/>
  <c r="DGD6" i="263"/>
  <c r="DGD118" i="263" s="1"/>
  <c r="DGE6" i="263"/>
  <c r="DGE118" i="263" s="1"/>
  <c r="DGF6" i="263"/>
  <c r="DGF118" i="263" s="1"/>
  <c r="DGG6" i="263"/>
  <c r="DGG118" i="263" s="1"/>
  <c r="DGH6" i="263"/>
  <c r="DGH118" i="263" s="1"/>
  <c r="DGI6" i="263"/>
  <c r="DGI118" i="263" s="1"/>
  <c r="DGJ6" i="263"/>
  <c r="DGJ118" i="263" s="1"/>
  <c r="DGK6" i="263"/>
  <c r="DGK118" i="263" s="1"/>
  <c r="DGL6" i="263"/>
  <c r="DGL118" i="263" s="1"/>
  <c r="DGM6" i="263"/>
  <c r="DGM118" i="263" s="1"/>
  <c r="DGN6" i="263"/>
  <c r="DGN118" i="263" s="1"/>
  <c r="DGO6" i="263"/>
  <c r="DGO118" i="263" s="1"/>
  <c r="DGP6" i="263"/>
  <c r="DGP118" i="263" s="1"/>
  <c r="DGQ6" i="263"/>
  <c r="DGQ118" i="263" s="1"/>
  <c r="DGR6" i="263"/>
  <c r="DGR118" i="263" s="1"/>
  <c r="DGS6" i="263"/>
  <c r="DGS118" i="263" s="1"/>
  <c r="DGT6" i="263"/>
  <c r="DGT118" i="263" s="1"/>
  <c r="DGU6" i="263"/>
  <c r="DGU118" i="263" s="1"/>
  <c r="DGV6" i="263"/>
  <c r="DGV118" i="263" s="1"/>
  <c r="DGW6" i="263"/>
  <c r="DGW118" i="263" s="1"/>
  <c r="DGX6" i="263"/>
  <c r="DGX118" i="263" s="1"/>
  <c r="DGY6" i="263"/>
  <c r="DGY118" i="263" s="1"/>
  <c r="DGZ6" i="263"/>
  <c r="DGZ118" i="263" s="1"/>
  <c r="DHA6" i="263"/>
  <c r="DHA118" i="263" s="1"/>
  <c r="DHB6" i="263"/>
  <c r="DHB118" i="263" s="1"/>
  <c r="DHC6" i="263"/>
  <c r="DHC118" i="263" s="1"/>
  <c r="DHD6" i="263"/>
  <c r="DHD118" i="263" s="1"/>
  <c r="DHE6" i="263"/>
  <c r="DHE118" i="263" s="1"/>
  <c r="DHF6" i="263"/>
  <c r="DHF118" i="263" s="1"/>
  <c r="DHG6" i="263"/>
  <c r="DHG118" i="263" s="1"/>
  <c r="DHH6" i="263"/>
  <c r="DHH118" i="263" s="1"/>
  <c r="DHI6" i="263"/>
  <c r="DHI118" i="263" s="1"/>
  <c r="DHJ6" i="263"/>
  <c r="DHJ118" i="263" s="1"/>
  <c r="DHK6" i="263"/>
  <c r="DHK118" i="263" s="1"/>
  <c r="DHL6" i="263"/>
  <c r="DHL118" i="263" s="1"/>
  <c r="DHM6" i="263"/>
  <c r="DHM118" i="263" s="1"/>
  <c r="DHN6" i="263"/>
  <c r="DHN118" i="263" s="1"/>
  <c r="DHO6" i="263"/>
  <c r="DHO118" i="263" s="1"/>
  <c r="DHP6" i="263"/>
  <c r="DHP118" i="263" s="1"/>
  <c r="DHQ6" i="263"/>
  <c r="DHQ118" i="263" s="1"/>
  <c r="DHR6" i="263"/>
  <c r="DHR118" i="263" s="1"/>
  <c r="DHS6" i="263"/>
  <c r="DHS118" i="263" s="1"/>
  <c r="DHT6" i="263"/>
  <c r="DHT118" i="263" s="1"/>
  <c r="DHU6" i="263"/>
  <c r="DHU118" i="263" s="1"/>
  <c r="DHV6" i="263"/>
  <c r="DHV118" i="263" s="1"/>
  <c r="DHW6" i="263"/>
  <c r="DHW118" i="263" s="1"/>
  <c r="DHX6" i="263"/>
  <c r="DHX118" i="263" s="1"/>
  <c r="DHY6" i="263"/>
  <c r="DHY118" i="263" s="1"/>
  <c r="DHZ6" i="263"/>
  <c r="DHZ118" i="263" s="1"/>
  <c r="DIA6" i="263"/>
  <c r="DIA118" i="263" s="1"/>
  <c r="DIB6" i="263"/>
  <c r="DIB118" i="263" s="1"/>
  <c r="DIC6" i="263"/>
  <c r="DIC118" i="263" s="1"/>
  <c r="DID6" i="263"/>
  <c r="DID118" i="263" s="1"/>
  <c r="DIE6" i="263"/>
  <c r="DIE118" i="263" s="1"/>
  <c r="DIF6" i="263"/>
  <c r="DIF118" i="263" s="1"/>
  <c r="DIG6" i="263"/>
  <c r="DIG118" i="263" s="1"/>
  <c r="DIH6" i="263"/>
  <c r="DIH118" i="263" s="1"/>
  <c r="DII6" i="263"/>
  <c r="DII118" i="263" s="1"/>
  <c r="DIJ6" i="263"/>
  <c r="DIJ118" i="263" s="1"/>
  <c r="DIK6" i="263"/>
  <c r="DIK118" i="263" s="1"/>
  <c r="DIL6" i="263"/>
  <c r="DIL118" i="263" s="1"/>
  <c r="DIM6" i="263"/>
  <c r="DIM118" i="263" s="1"/>
  <c r="DIN6" i="263"/>
  <c r="DIN118" i="263" s="1"/>
  <c r="DIO6" i="263"/>
  <c r="DIO118" i="263" s="1"/>
  <c r="DIP6" i="263"/>
  <c r="DIP118" i="263" s="1"/>
  <c r="DIQ6" i="263"/>
  <c r="DIQ118" i="263" s="1"/>
  <c r="DIR6" i="263"/>
  <c r="DIR118" i="263" s="1"/>
  <c r="DIS6" i="263"/>
  <c r="DIS118" i="263" s="1"/>
  <c r="DIT6" i="263"/>
  <c r="DIT118" i="263" s="1"/>
  <c r="DIU6" i="263"/>
  <c r="DIU118" i="263" s="1"/>
  <c r="DIV6" i="263"/>
  <c r="DIV118" i="263" s="1"/>
  <c r="DIW6" i="263"/>
  <c r="DIW118" i="263" s="1"/>
  <c r="DIX6" i="263"/>
  <c r="DIX118" i="263" s="1"/>
  <c r="DIY6" i="263"/>
  <c r="DIY118" i="263" s="1"/>
  <c r="DIZ6" i="263"/>
  <c r="DIZ118" i="263" s="1"/>
  <c r="DJA6" i="263"/>
  <c r="DJA118" i="263" s="1"/>
  <c r="DJB6" i="263"/>
  <c r="DJB118" i="263" s="1"/>
  <c r="DJC6" i="263"/>
  <c r="DJC118" i="263" s="1"/>
  <c r="DJD6" i="263"/>
  <c r="DJD118" i="263" s="1"/>
  <c r="DJE6" i="263"/>
  <c r="DJE118" i="263" s="1"/>
  <c r="DJF6" i="263"/>
  <c r="DJF118" i="263" s="1"/>
  <c r="DJG6" i="263"/>
  <c r="DJG118" i="263" s="1"/>
  <c r="DJH6" i="263"/>
  <c r="DJH118" i="263" s="1"/>
  <c r="DJI6" i="263"/>
  <c r="DJI118" i="263" s="1"/>
  <c r="DJJ6" i="263"/>
  <c r="DJJ118" i="263" s="1"/>
  <c r="DJK6" i="263"/>
  <c r="DJK118" i="263" s="1"/>
  <c r="DJL6" i="263"/>
  <c r="DJL118" i="263" s="1"/>
  <c r="DJM6" i="263"/>
  <c r="DJM118" i="263" s="1"/>
  <c r="DJN6" i="263"/>
  <c r="DJN118" i="263" s="1"/>
  <c r="DJO6" i="263"/>
  <c r="DJO118" i="263" s="1"/>
  <c r="DJP6" i="263"/>
  <c r="DJP118" i="263" s="1"/>
  <c r="DJQ6" i="263"/>
  <c r="DJQ118" i="263" s="1"/>
  <c r="DJR6" i="263"/>
  <c r="DJR118" i="263" s="1"/>
  <c r="DJS6" i="263"/>
  <c r="DJS118" i="263" s="1"/>
  <c r="DJT6" i="263"/>
  <c r="DJT118" i="263" s="1"/>
  <c r="DJU6" i="263"/>
  <c r="DJU118" i="263" s="1"/>
  <c r="DJV6" i="263"/>
  <c r="DJV118" i="263" s="1"/>
  <c r="DJW6" i="263"/>
  <c r="DJW118" i="263" s="1"/>
  <c r="DJX6" i="263"/>
  <c r="DJX118" i="263" s="1"/>
  <c r="DJY6" i="263"/>
  <c r="DJY118" i="263" s="1"/>
  <c r="DJZ6" i="263"/>
  <c r="DJZ118" i="263" s="1"/>
  <c r="DKA6" i="263"/>
  <c r="DKA118" i="263" s="1"/>
  <c r="DKB6" i="263"/>
  <c r="DKB118" i="263" s="1"/>
  <c r="DKC6" i="263"/>
  <c r="DKC118" i="263" s="1"/>
  <c r="DKD6" i="263"/>
  <c r="DKD118" i="263" s="1"/>
  <c r="DKE6" i="263"/>
  <c r="DKE118" i="263" s="1"/>
  <c r="DKF6" i="263"/>
  <c r="DKF118" i="263" s="1"/>
  <c r="DKG6" i="263"/>
  <c r="DKG118" i="263" s="1"/>
  <c r="DKH6" i="263"/>
  <c r="DKH118" i="263" s="1"/>
  <c r="DKI6" i="263"/>
  <c r="DKI118" i="263" s="1"/>
  <c r="DKJ6" i="263"/>
  <c r="DKJ118" i="263" s="1"/>
  <c r="DKK6" i="263"/>
  <c r="DKK118" i="263" s="1"/>
  <c r="DKL6" i="263"/>
  <c r="DKL118" i="263" s="1"/>
  <c r="DKM6" i="263"/>
  <c r="DKM118" i="263" s="1"/>
  <c r="DKN6" i="263"/>
  <c r="DKN118" i="263" s="1"/>
  <c r="DKO6" i="263"/>
  <c r="DKO118" i="263" s="1"/>
  <c r="DKP6" i="263"/>
  <c r="DKP118" i="263" s="1"/>
  <c r="DKQ6" i="263"/>
  <c r="DKQ118" i="263" s="1"/>
  <c r="DKR6" i="263"/>
  <c r="DKR118" i="263" s="1"/>
  <c r="DKS6" i="263"/>
  <c r="DKS118" i="263" s="1"/>
  <c r="DKT6" i="263"/>
  <c r="DKT118" i="263" s="1"/>
  <c r="DKU6" i="263"/>
  <c r="DKU118" i="263" s="1"/>
  <c r="DKV6" i="263"/>
  <c r="DKV118" i="263" s="1"/>
  <c r="DKW6" i="263"/>
  <c r="DKW118" i="263" s="1"/>
  <c r="DKX6" i="263"/>
  <c r="DKX118" i="263" s="1"/>
  <c r="DKY6" i="263"/>
  <c r="DKY118" i="263" s="1"/>
  <c r="DKZ6" i="263"/>
  <c r="DKZ118" i="263" s="1"/>
  <c r="DLA6" i="263"/>
  <c r="DLA118" i="263" s="1"/>
  <c r="DLB6" i="263"/>
  <c r="DLB118" i="263" s="1"/>
  <c r="DLC6" i="263"/>
  <c r="DLC118" i="263" s="1"/>
  <c r="DLD6" i="263"/>
  <c r="DLD118" i="263" s="1"/>
  <c r="DLE6" i="263"/>
  <c r="DLE118" i="263" s="1"/>
  <c r="DLF6" i="263"/>
  <c r="DLF118" i="263" s="1"/>
  <c r="DLG6" i="263"/>
  <c r="DLG118" i="263" s="1"/>
  <c r="DLH6" i="263"/>
  <c r="DLH118" i="263" s="1"/>
  <c r="DLI6" i="263"/>
  <c r="DLI118" i="263" s="1"/>
  <c r="DLJ6" i="263"/>
  <c r="DLJ118" i="263" s="1"/>
  <c r="DLK6" i="263"/>
  <c r="DLK118" i="263" s="1"/>
  <c r="DLL6" i="263"/>
  <c r="DLL118" i="263" s="1"/>
  <c r="DLM6" i="263"/>
  <c r="DLM118" i="263" s="1"/>
  <c r="DLN6" i="263"/>
  <c r="DLN118" i="263" s="1"/>
  <c r="DLO6" i="263"/>
  <c r="DLO118" i="263" s="1"/>
  <c r="DLP6" i="263"/>
  <c r="DLP118" i="263" s="1"/>
  <c r="DLQ6" i="263"/>
  <c r="DLQ118" i="263" s="1"/>
  <c r="DLR6" i="263"/>
  <c r="DLR118" i="263" s="1"/>
  <c r="DLS6" i="263"/>
  <c r="DLS118" i="263" s="1"/>
  <c r="DLT6" i="263"/>
  <c r="DLT118" i="263" s="1"/>
  <c r="DLU6" i="263"/>
  <c r="DLU118" i="263" s="1"/>
  <c r="DLV6" i="263"/>
  <c r="DLV118" i="263" s="1"/>
  <c r="DLW6" i="263"/>
  <c r="DLW118" i="263" s="1"/>
  <c r="DLX6" i="263"/>
  <c r="DLX118" i="263" s="1"/>
  <c r="DLY6" i="263"/>
  <c r="DLY118" i="263" s="1"/>
  <c r="DLZ6" i="263"/>
  <c r="DLZ118" i="263" s="1"/>
  <c r="DMA6" i="263"/>
  <c r="DMA118" i="263" s="1"/>
  <c r="DMB6" i="263"/>
  <c r="DMB118" i="263" s="1"/>
  <c r="DMC6" i="263"/>
  <c r="DMC118" i="263" s="1"/>
  <c r="DMD6" i="263"/>
  <c r="DMD118" i="263" s="1"/>
  <c r="DME6" i="263"/>
  <c r="DME118" i="263" s="1"/>
  <c r="DMF6" i="263"/>
  <c r="DMF118" i="263" s="1"/>
  <c r="DMG6" i="263"/>
  <c r="DMG118" i="263" s="1"/>
  <c r="DMH6" i="263"/>
  <c r="DMH118" i="263" s="1"/>
  <c r="DMI6" i="263"/>
  <c r="DMI118" i="263" s="1"/>
  <c r="DMJ6" i="263"/>
  <c r="DMJ118" i="263" s="1"/>
  <c r="DMK6" i="263"/>
  <c r="DMK118" i="263" s="1"/>
  <c r="DML6" i="263"/>
  <c r="DML118" i="263" s="1"/>
  <c r="DMM6" i="263"/>
  <c r="DMM118" i="263" s="1"/>
  <c r="DMN6" i="263"/>
  <c r="DMN118" i="263" s="1"/>
  <c r="DMO6" i="263"/>
  <c r="DMO118" i="263" s="1"/>
  <c r="DMP6" i="263"/>
  <c r="DMP118" i="263" s="1"/>
  <c r="DMQ6" i="263"/>
  <c r="DMQ118" i="263" s="1"/>
  <c r="DMR6" i="263"/>
  <c r="DMR118" i="263" s="1"/>
  <c r="DMS6" i="263"/>
  <c r="DMS118" i="263" s="1"/>
  <c r="DMT6" i="263"/>
  <c r="DMT118" i="263" s="1"/>
  <c r="DMU6" i="263"/>
  <c r="DMU118" i="263" s="1"/>
  <c r="DMV6" i="263"/>
  <c r="DMV118" i="263" s="1"/>
  <c r="DMW6" i="263"/>
  <c r="DMW118" i="263" s="1"/>
  <c r="DMX6" i="263"/>
  <c r="DMX118" i="263" s="1"/>
  <c r="DMY6" i="263"/>
  <c r="DMY118" i="263" s="1"/>
  <c r="DMZ6" i="263"/>
  <c r="DMZ118" i="263" s="1"/>
  <c r="DNA6" i="263"/>
  <c r="DNA118" i="263" s="1"/>
  <c r="DNB6" i="263"/>
  <c r="DNB118" i="263" s="1"/>
  <c r="DNC6" i="263"/>
  <c r="DNC118" i="263" s="1"/>
  <c r="DND6" i="263"/>
  <c r="DND118" i="263" s="1"/>
  <c r="DNE6" i="263"/>
  <c r="DNE118" i="263" s="1"/>
  <c r="DNF6" i="263"/>
  <c r="DNF118" i="263" s="1"/>
  <c r="DNG6" i="263"/>
  <c r="DNG118" i="263" s="1"/>
  <c r="DNH6" i="263"/>
  <c r="DNH118" i="263" s="1"/>
  <c r="DNI6" i="263"/>
  <c r="DNI118" i="263" s="1"/>
  <c r="DNJ6" i="263"/>
  <c r="DNJ118" i="263" s="1"/>
  <c r="DNK6" i="263"/>
  <c r="DNK118" i="263" s="1"/>
  <c r="DNL6" i="263"/>
  <c r="DNL118" i="263" s="1"/>
  <c r="DNM6" i="263"/>
  <c r="DNM118" i="263" s="1"/>
  <c r="DNN6" i="263"/>
  <c r="DNN118" i="263" s="1"/>
  <c r="DNO6" i="263"/>
  <c r="DNO118" i="263" s="1"/>
  <c r="DNP6" i="263"/>
  <c r="DNP118" i="263" s="1"/>
  <c r="DNQ6" i="263"/>
  <c r="DNQ118" i="263" s="1"/>
  <c r="DNR6" i="263"/>
  <c r="DNR118" i="263" s="1"/>
  <c r="DNS6" i="263"/>
  <c r="DNS118" i="263" s="1"/>
  <c r="DNT6" i="263"/>
  <c r="DNT118" i="263" s="1"/>
  <c r="DNU6" i="263"/>
  <c r="DNU118" i="263" s="1"/>
  <c r="DNV6" i="263"/>
  <c r="DNV118" i="263" s="1"/>
  <c r="DNW6" i="263"/>
  <c r="DNW118" i="263" s="1"/>
  <c r="DNX6" i="263"/>
  <c r="DNX118" i="263" s="1"/>
  <c r="DNY6" i="263"/>
  <c r="DNY118" i="263" s="1"/>
  <c r="DNZ6" i="263"/>
  <c r="DNZ118" i="263" s="1"/>
  <c r="DOA6" i="263"/>
  <c r="DOA118" i="263" s="1"/>
  <c r="DOB6" i="263"/>
  <c r="DOB118" i="263" s="1"/>
  <c r="DOC6" i="263"/>
  <c r="DOC118" i="263" s="1"/>
  <c r="DOD6" i="263"/>
  <c r="DOD118" i="263" s="1"/>
  <c r="DOE6" i="263"/>
  <c r="DOE118" i="263" s="1"/>
  <c r="DOF6" i="263"/>
  <c r="DOF118" i="263" s="1"/>
  <c r="DOG6" i="263"/>
  <c r="DOG118" i="263" s="1"/>
  <c r="DOH6" i="263"/>
  <c r="DOH118" i="263" s="1"/>
  <c r="DOI6" i="263"/>
  <c r="DOI118" i="263" s="1"/>
  <c r="DOJ6" i="263"/>
  <c r="DOJ118" i="263" s="1"/>
  <c r="DOK6" i="263"/>
  <c r="DOK118" i="263" s="1"/>
  <c r="DOL6" i="263"/>
  <c r="DOL118" i="263" s="1"/>
  <c r="DOM6" i="263"/>
  <c r="DOM118" i="263" s="1"/>
  <c r="DON6" i="263"/>
  <c r="DON118" i="263" s="1"/>
  <c r="DOO6" i="263"/>
  <c r="DOO118" i="263" s="1"/>
  <c r="DOP6" i="263"/>
  <c r="DOP118" i="263" s="1"/>
  <c r="DOQ6" i="263"/>
  <c r="DOQ118" i="263" s="1"/>
  <c r="DOR6" i="263"/>
  <c r="DOR118" i="263" s="1"/>
  <c r="DOS6" i="263"/>
  <c r="DOS118" i="263" s="1"/>
  <c r="DOT6" i="263"/>
  <c r="DOT118" i="263" s="1"/>
  <c r="DOU6" i="263"/>
  <c r="DOU118" i="263" s="1"/>
  <c r="DOV6" i="263"/>
  <c r="DOV118" i="263" s="1"/>
  <c r="DOW6" i="263"/>
  <c r="DOW118" i="263" s="1"/>
  <c r="DOX6" i="263"/>
  <c r="DOX118" i="263" s="1"/>
  <c r="DOY6" i="263"/>
  <c r="DOY118" i="263" s="1"/>
  <c r="DOZ6" i="263"/>
  <c r="DOZ118" i="263" s="1"/>
  <c r="DPA6" i="263"/>
  <c r="DPA118" i="263" s="1"/>
  <c r="DPB6" i="263"/>
  <c r="DPB118" i="263" s="1"/>
  <c r="DPC6" i="263"/>
  <c r="DPC118" i="263" s="1"/>
  <c r="DPD6" i="263"/>
  <c r="DPD118" i="263" s="1"/>
  <c r="DPE6" i="263"/>
  <c r="DPE118" i="263" s="1"/>
  <c r="DPF6" i="263"/>
  <c r="DPF118" i="263" s="1"/>
  <c r="DPG6" i="263"/>
  <c r="DPG118" i="263" s="1"/>
  <c r="DPH6" i="263"/>
  <c r="DPH118" i="263" s="1"/>
  <c r="DPI6" i="263"/>
  <c r="DPI118" i="263" s="1"/>
  <c r="DPJ6" i="263"/>
  <c r="DPJ118" i="263" s="1"/>
  <c r="DPK6" i="263"/>
  <c r="DPK118" i="263" s="1"/>
  <c r="DPL6" i="263"/>
  <c r="DPL118" i="263" s="1"/>
  <c r="DPM6" i="263"/>
  <c r="DPM118" i="263" s="1"/>
  <c r="DPN6" i="263"/>
  <c r="DPN118" i="263" s="1"/>
  <c r="DPO6" i="263"/>
  <c r="DPO118" i="263" s="1"/>
  <c r="DPP6" i="263"/>
  <c r="DPP118" i="263" s="1"/>
  <c r="DPQ6" i="263"/>
  <c r="DPQ118" i="263" s="1"/>
  <c r="DPR6" i="263"/>
  <c r="DPR118" i="263" s="1"/>
  <c r="DPS6" i="263"/>
  <c r="DPS118" i="263" s="1"/>
  <c r="DPT6" i="263"/>
  <c r="DPT118" i="263" s="1"/>
  <c r="DPU6" i="263"/>
  <c r="DPU118" i="263" s="1"/>
  <c r="DPV6" i="263"/>
  <c r="DPV118" i="263" s="1"/>
  <c r="DPW6" i="263"/>
  <c r="DPW118" i="263" s="1"/>
  <c r="DPX6" i="263"/>
  <c r="DPX118" i="263" s="1"/>
  <c r="DPY6" i="263"/>
  <c r="DPY118" i="263" s="1"/>
  <c r="DPZ6" i="263"/>
  <c r="DPZ118" i="263" s="1"/>
  <c r="DQA6" i="263"/>
  <c r="DQA118" i="263" s="1"/>
  <c r="DQB6" i="263"/>
  <c r="DQB118" i="263" s="1"/>
  <c r="DQC6" i="263"/>
  <c r="DQC118" i="263" s="1"/>
  <c r="DQD6" i="263"/>
  <c r="DQD118" i="263" s="1"/>
  <c r="DQE6" i="263"/>
  <c r="DQE118" i="263" s="1"/>
  <c r="DQF6" i="263"/>
  <c r="DQF118" i="263" s="1"/>
  <c r="DQG6" i="263"/>
  <c r="DQG118" i="263" s="1"/>
  <c r="DQH6" i="263"/>
  <c r="DQH118" i="263" s="1"/>
  <c r="DQI6" i="263"/>
  <c r="DQI118" i="263" s="1"/>
  <c r="DQJ6" i="263"/>
  <c r="DQJ118" i="263" s="1"/>
  <c r="DQK6" i="263"/>
  <c r="DQK118" i="263" s="1"/>
  <c r="DQL6" i="263"/>
  <c r="DQL118" i="263" s="1"/>
  <c r="DQM6" i="263"/>
  <c r="DQM118" i="263" s="1"/>
  <c r="DQN6" i="263"/>
  <c r="DQN118" i="263" s="1"/>
  <c r="DQO6" i="263"/>
  <c r="DQO118" i="263" s="1"/>
  <c r="DQP6" i="263"/>
  <c r="DQP118" i="263" s="1"/>
  <c r="DQQ6" i="263"/>
  <c r="DQQ118" i="263" s="1"/>
  <c r="DQR6" i="263"/>
  <c r="DQR118" i="263" s="1"/>
  <c r="DQS6" i="263"/>
  <c r="DQS118" i="263" s="1"/>
  <c r="DQT6" i="263"/>
  <c r="DQT118" i="263" s="1"/>
  <c r="DQU6" i="263"/>
  <c r="DQU118" i="263" s="1"/>
  <c r="DQV6" i="263"/>
  <c r="DQV118" i="263" s="1"/>
  <c r="DQW6" i="263"/>
  <c r="DQW118" i="263" s="1"/>
  <c r="DQX6" i="263"/>
  <c r="DQX118" i="263" s="1"/>
  <c r="DQY6" i="263"/>
  <c r="DQY118" i="263" s="1"/>
  <c r="DQZ6" i="263"/>
  <c r="DQZ118" i="263" s="1"/>
  <c r="DRA6" i="263"/>
  <c r="DRA118" i="263" s="1"/>
  <c r="DRB6" i="263"/>
  <c r="DRB118" i="263" s="1"/>
  <c r="DRC6" i="263"/>
  <c r="DRC118" i="263" s="1"/>
  <c r="DRD6" i="263"/>
  <c r="DRD118" i="263" s="1"/>
  <c r="DRE6" i="263"/>
  <c r="DRE118" i="263" s="1"/>
  <c r="DRF6" i="263"/>
  <c r="DRF118" i="263" s="1"/>
  <c r="DRG6" i="263"/>
  <c r="DRG118" i="263" s="1"/>
  <c r="DRH6" i="263"/>
  <c r="DRH118" i="263" s="1"/>
  <c r="DRI6" i="263"/>
  <c r="DRI118" i="263" s="1"/>
  <c r="DRJ6" i="263"/>
  <c r="DRJ118" i="263" s="1"/>
  <c r="DRK6" i="263"/>
  <c r="DRK118" i="263" s="1"/>
  <c r="DRL6" i="263"/>
  <c r="DRL118" i="263" s="1"/>
  <c r="DRM6" i="263"/>
  <c r="DRM118" i="263" s="1"/>
  <c r="DRN6" i="263"/>
  <c r="DRN118" i="263" s="1"/>
  <c r="DRO6" i="263"/>
  <c r="DRO118" i="263" s="1"/>
  <c r="DRP6" i="263"/>
  <c r="DRP118" i="263" s="1"/>
  <c r="DRQ6" i="263"/>
  <c r="DRQ118" i="263" s="1"/>
  <c r="DRR6" i="263"/>
  <c r="DRR118" i="263" s="1"/>
  <c r="DRS6" i="263"/>
  <c r="DRS118" i="263" s="1"/>
  <c r="DRT6" i="263"/>
  <c r="DRT118" i="263" s="1"/>
  <c r="DRU6" i="263"/>
  <c r="DRU118" i="263" s="1"/>
  <c r="DRV6" i="263"/>
  <c r="DRV118" i="263" s="1"/>
  <c r="DRW6" i="263"/>
  <c r="DRW118" i="263" s="1"/>
  <c r="DRX6" i="263"/>
  <c r="DRX118" i="263" s="1"/>
  <c r="DRY6" i="263"/>
  <c r="DRY118" i="263" s="1"/>
  <c r="DRZ6" i="263"/>
  <c r="DRZ118" i="263" s="1"/>
  <c r="DSA6" i="263"/>
  <c r="DSA118" i="263" s="1"/>
  <c r="DSB6" i="263"/>
  <c r="DSB118" i="263" s="1"/>
  <c r="DSC6" i="263"/>
  <c r="DSC118" i="263" s="1"/>
  <c r="DSD6" i="263"/>
  <c r="DSD118" i="263" s="1"/>
  <c r="DSE6" i="263"/>
  <c r="DSE118" i="263" s="1"/>
  <c r="DSF6" i="263"/>
  <c r="DSF118" i="263" s="1"/>
  <c r="DSG6" i="263"/>
  <c r="DSG118" i="263" s="1"/>
  <c r="DSH6" i="263"/>
  <c r="DSH118" i="263" s="1"/>
  <c r="DSI6" i="263"/>
  <c r="DSI118" i="263" s="1"/>
  <c r="DSJ6" i="263"/>
  <c r="DSJ118" i="263" s="1"/>
  <c r="DSK6" i="263"/>
  <c r="DSK118" i="263" s="1"/>
  <c r="DSL6" i="263"/>
  <c r="DSL118" i="263" s="1"/>
  <c r="DSM6" i="263"/>
  <c r="DSM118" i="263" s="1"/>
  <c r="DSN6" i="263"/>
  <c r="DSN118" i="263" s="1"/>
  <c r="DSO6" i="263"/>
  <c r="DSO118" i="263" s="1"/>
  <c r="DSP6" i="263"/>
  <c r="DSP118" i="263" s="1"/>
  <c r="DSQ6" i="263"/>
  <c r="DSQ118" i="263" s="1"/>
  <c r="DSR6" i="263"/>
  <c r="DSR118" i="263" s="1"/>
  <c r="DSS6" i="263"/>
  <c r="DSS118" i="263" s="1"/>
  <c r="DST6" i="263"/>
  <c r="DST118" i="263" s="1"/>
  <c r="DSU6" i="263"/>
  <c r="DSU118" i="263" s="1"/>
  <c r="DSV6" i="263"/>
  <c r="DSV118" i="263" s="1"/>
  <c r="DSW6" i="263"/>
  <c r="DSW118" i="263" s="1"/>
  <c r="DSX6" i="263"/>
  <c r="DSX118" i="263" s="1"/>
  <c r="DSY6" i="263"/>
  <c r="DSY118" i="263" s="1"/>
  <c r="DSZ6" i="263"/>
  <c r="DSZ118" i="263" s="1"/>
  <c r="DTA6" i="263"/>
  <c r="DTA118" i="263" s="1"/>
  <c r="DTB6" i="263"/>
  <c r="DTB118" i="263" s="1"/>
  <c r="DTC6" i="263"/>
  <c r="DTC118" i="263" s="1"/>
  <c r="DTD6" i="263"/>
  <c r="DTD118" i="263" s="1"/>
  <c r="DTE6" i="263"/>
  <c r="DTE118" i="263" s="1"/>
  <c r="DTF6" i="263"/>
  <c r="DTF118" i="263" s="1"/>
  <c r="DTG6" i="263"/>
  <c r="DTG118" i="263" s="1"/>
  <c r="DTH6" i="263"/>
  <c r="DTH118" i="263" s="1"/>
  <c r="DTI6" i="263"/>
  <c r="DTI118" i="263" s="1"/>
  <c r="DTJ6" i="263"/>
  <c r="DTJ118" i="263" s="1"/>
  <c r="DTK6" i="263"/>
  <c r="DTK118" i="263" s="1"/>
  <c r="DTL6" i="263"/>
  <c r="DTL118" i="263" s="1"/>
  <c r="DTM6" i="263"/>
  <c r="DTM118" i="263" s="1"/>
  <c r="DTN6" i="263"/>
  <c r="DTN118" i="263" s="1"/>
  <c r="DTO6" i="263"/>
  <c r="DTO118" i="263" s="1"/>
  <c r="DTP6" i="263"/>
  <c r="DTP118" i="263" s="1"/>
  <c r="DTQ6" i="263"/>
  <c r="DTQ118" i="263" s="1"/>
  <c r="DTR6" i="263"/>
  <c r="DTR118" i="263" s="1"/>
  <c r="DTS6" i="263"/>
  <c r="DTS118" i="263" s="1"/>
  <c r="DTT6" i="263"/>
  <c r="DTT118" i="263" s="1"/>
  <c r="DTU6" i="263"/>
  <c r="DTU118" i="263" s="1"/>
  <c r="DTV6" i="263"/>
  <c r="DTV118" i="263" s="1"/>
  <c r="DTW6" i="263"/>
  <c r="DTW118" i="263" s="1"/>
  <c r="DTX6" i="263"/>
  <c r="DTX118" i="263" s="1"/>
  <c r="DTY6" i="263"/>
  <c r="DTY118" i="263" s="1"/>
  <c r="DTZ6" i="263"/>
  <c r="DTZ118" i="263" s="1"/>
  <c r="DUA6" i="263"/>
  <c r="DUA118" i="263" s="1"/>
  <c r="DUB6" i="263"/>
  <c r="DUB118" i="263" s="1"/>
  <c r="DUC6" i="263"/>
  <c r="DUC118" i="263" s="1"/>
  <c r="DUD6" i="263"/>
  <c r="DUD118" i="263" s="1"/>
  <c r="DUE6" i="263"/>
  <c r="DUE118" i="263" s="1"/>
  <c r="DUF6" i="263"/>
  <c r="DUF118" i="263" s="1"/>
  <c r="DUG6" i="263"/>
  <c r="DUG118" i="263" s="1"/>
  <c r="DUH6" i="263"/>
  <c r="DUH118" i="263" s="1"/>
  <c r="DUI6" i="263"/>
  <c r="DUI118" i="263" s="1"/>
  <c r="DUJ6" i="263"/>
  <c r="DUJ118" i="263" s="1"/>
  <c r="DUK6" i="263"/>
  <c r="DUK118" i="263" s="1"/>
  <c r="DUL6" i="263"/>
  <c r="DUL118" i="263" s="1"/>
  <c r="DUM6" i="263"/>
  <c r="DUM118" i="263" s="1"/>
  <c r="DUN6" i="263"/>
  <c r="DUN118" i="263" s="1"/>
  <c r="DUO6" i="263"/>
  <c r="DUO118" i="263" s="1"/>
  <c r="DUP6" i="263"/>
  <c r="DUP118" i="263" s="1"/>
  <c r="DUQ6" i="263"/>
  <c r="DUQ118" i="263" s="1"/>
  <c r="DUR6" i="263"/>
  <c r="DUR118" i="263" s="1"/>
  <c r="DUS6" i="263"/>
  <c r="DUS118" i="263" s="1"/>
  <c r="DUT6" i="263"/>
  <c r="DUT118" i="263" s="1"/>
  <c r="DUU6" i="263"/>
  <c r="DUU118" i="263" s="1"/>
  <c r="DUV6" i="263"/>
  <c r="DUV118" i="263" s="1"/>
  <c r="DUW6" i="263"/>
  <c r="DUW118" i="263" s="1"/>
  <c r="DUX6" i="263"/>
  <c r="DUX118" i="263" s="1"/>
  <c r="DUY6" i="263"/>
  <c r="DUY118" i="263" s="1"/>
  <c r="DUZ6" i="263"/>
  <c r="DUZ118" i="263" s="1"/>
  <c r="DVA6" i="263"/>
  <c r="DVA118" i="263" s="1"/>
  <c r="DVB6" i="263"/>
  <c r="DVB118" i="263" s="1"/>
  <c r="DVC6" i="263"/>
  <c r="DVC118" i="263" s="1"/>
  <c r="DVD6" i="263"/>
  <c r="DVD118" i="263" s="1"/>
  <c r="DVE6" i="263"/>
  <c r="DVE118" i="263" s="1"/>
  <c r="DVF6" i="263"/>
  <c r="DVF118" i="263" s="1"/>
  <c r="DVG6" i="263"/>
  <c r="DVG118" i="263" s="1"/>
  <c r="DVH6" i="263"/>
  <c r="DVH118" i="263" s="1"/>
  <c r="DVI6" i="263"/>
  <c r="DVI118" i="263" s="1"/>
  <c r="DVJ6" i="263"/>
  <c r="DVJ118" i="263" s="1"/>
  <c r="DVK6" i="263"/>
  <c r="DVK118" i="263" s="1"/>
  <c r="DVL6" i="263"/>
  <c r="DVL118" i="263" s="1"/>
  <c r="DVM6" i="263"/>
  <c r="DVM118" i="263" s="1"/>
  <c r="DVN6" i="263"/>
  <c r="DVN118" i="263" s="1"/>
  <c r="DVO6" i="263"/>
  <c r="DVO118" i="263" s="1"/>
  <c r="DVP6" i="263"/>
  <c r="DVP118" i="263" s="1"/>
  <c r="DVQ6" i="263"/>
  <c r="DVQ118" i="263" s="1"/>
  <c r="DVR6" i="263"/>
  <c r="DVR118" i="263" s="1"/>
  <c r="DVS6" i="263"/>
  <c r="DVS118" i="263" s="1"/>
  <c r="DVT6" i="263"/>
  <c r="DVT118" i="263" s="1"/>
  <c r="DVU6" i="263"/>
  <c r="DVU118" i="263" s="1"/>
  <c r="DVV6" i="263"/>
  <c r="DVV118" i="263" s="1"/>
  <c r="DVW6" i="263"/>
  <c r="DVW118" i="263" s="1"/>
  <c r="DVX6" i="263"/>
  <c r="DVX118" i="263" s="1"/>
  <c r="DVY6" i="263"/>
  <c r="DVY118" i="263" s="1"/>
  <c r="DVZ6" i="263"/>
  <c r="DVZ118" i="263" s="1"/>
  <c r="DWA6" i="263"/>
  <c r="DWA118" i="263" s="1"/>
  <c r="DWB6" i="263"/>
  <c r="DWB118" i="263" s="1"/>
  <c r="DWC6" i="263"/>
  <c r="DWC118" i="263" s="1"/>
  <c r="DWD6" i="263"/>
  <c r="DWD118" i="263" s="1"/>
  <c r="DWE6" i="263"/>
  <c r="DWE118" i="263" s="1"/>
  <c r="DWF6" i="263"/>
  <c r="DWF118" i="263" s="1"/>
  <c r="DWG6" i="263"/>
  <c r="DWG118" i="263" s="1"/>
  <c r="DWH6" i="263"/>
  <c r="DWH118" i="263" s="1"/>
  <c r="DWI6" i="263"/>
  <c r="DWI118" i="263" s="1"/>
  <c r="DWJ6" i="263"/>
  <c r="DWJ118" i="263" s="1"/>
  <c r="DWK6" i="263"/>
  <c r="DWK118" i="263" s="1"/>
  <c r="DWL6" i="263"/>
  <c r="DWL118" i="263" s="1"/>
  <c r="DWM6" i="263"/>
  <c r="DWM118" i="263" s="1"/>
  <c r="DWN6" i="263"/>
  <c r="DWN118" i="263" s="1"/>
  <c r="DWO6" i="263"/>
  <c r="DWO118" i="263" s="1"/>
  <c r="DWP6" i="263"/>
  <c r="DWP118" i="263" s="1"/>
  <c r="DWQ6" i="263"/>
  <c r="DWQ118" i="263" s="1"/>
  <c r="DWR6" i="263"/>
  <c r="DWR118" i="263" s="1"/>
  <c r="DWS6" i="263"/>
  <c r="DWS118" i="263" s="1"/>
  <c r="DWT6" i="263"/>
  <c r="DWT118" i="263" s="1"/>
  <c r="DWU6" i="263"/>
  <c r="DWU118" i="263" s="1"/>
  <c r="DWV6" i="263"/>
  <c r="DWV118" i="263" s="1"/>
  <c r="DWW6" i="263"/>
  <c r="DWW118" i="263" s="1"/>
  <c r="DWX6" i="263"/>
  <c r="DWX118" i="263" s="1"/>
  <c r="DWY6" i="263"/>
  <c r="DWY118" i="263" s="1"/>
  <c r="DWZ6" i="263"/>
  <c r="DWZ118" i="263" s="1"/>
  <c r="DXA6" i="263"/>
  <c r="DXA118" i="263" s="1"/>
  <c r="DXB6" i="263"/>
  <c r="DXB118" i="263" s="1"/>
  <c r="DXC6" i="263"/>
  <c r="DXC118" i="263" s="1"/>
  <c r="DXD6" i="263"/>
  <c r="DXD118" i="263" s="1"/>
  <c r="DXE6" i="263"/>
  <c r="DXE118" i="263" s="1"/>
  <c r="DXF6" i="263"/>
  <c r="DXF118" i="263" s="1"/>
  <c r="DXG6" i="263"/>
  <c r="DXG118" i="263" s="1"/>
  <c r="DXH6" i="263"/>
  <c r="DXH118" i="263" s="1"/>
  <c r="DXI6" i="263"/>
  <c r="DXI118" i="263" s="1"/>
  <c r="DXJ6" i="263"/>
  <c r="DXJ118" i="263" s="1"/>
  <c r="DXK6" i="263"/>
  <c r="DXK118" i="263" s="1"/>
  <c r="DXL6" i="263"/>
  <c r="DXL118" i="263" s="1"/>
  <c r="DXM6" i="263"/>
  <c r="DXM118" i="263" s="1"/>
  <c r="DXN6" i="263"/>
  <c r="DXN118" i="263" s="1"/>
  <c r="DXO6" i="263"/>
  <c r="DXO118" i="263" s="1"/>
  <c r="DXP6" i="263"/>
  <c r="DXP118" i="263" s="1"/>
  <c r="DXQ6" i="263"/>
  <c r="DXQ118" i="263" s="1"/>
  <c r="DXR6" i="263"/>
  <c r="DXR118" i="263" s="1"/>
  <c r="DXS6" i="263"/>
  <c r="DXS118" i="263" s="1"/>
  <c r="DXT6" i="263"/>
  <c r="DXT118" i="263" s="1"/>
  <c r="DXU6" i="263"/>
  <c r="DXU118" i="263" s="1"/>
  <c r="DXV6" i="263"/>
  <c r="DXV118" i="263" s="1"/>
  <c r="DXW6" i="263"/>
  <c r="DXW118" i="263" s="1"/>
  <c r="DXX6" i="263"/>
  <c r="DXX118" i="263" s="1"/>
  <c r="DXY6" i="263"/>
  <c r="DXY118" i="263" s="1"/>
  <c r="DXZ6" i="263"/>
  <c r="DXZ118" i="263" s="1"/>
  <c r="DYA6" i="263"/>
  <c r="DYA118" i="263" s="1"/>
  <c r="DYB6" i="263"/>
  <c r="DYB118" i="263" s="1"/>
  <c r="DYC6" i="263"/>
  <c r="DYC118" i="263" s="1"/>
  <c r="DYD6" i="263"/>
  <c r="DYD118" i="263" s="1"/>
  <c r="DYE6" i="263"/>
  <c r="DYE118" i="263" s="1"/>
  <c r="DYF6" i="263"/>
  <c r="DYF118" i="263" s="1"/>
  <c r="DYG6" i="263"/>
  <c r="DYG118" i="263" s="1"/>
  <c r="DYH6" i="263"/>
  <c r="DYH118" i="263" s="1"/>
  <c r="DYI6" i="263"/>
  <c r="DYI118" i="263" s="1"/>
  <c r="DYJ6" i="263"/>
  <c r="DYJ118" i="263" s="1"/>
  <c r="DYK6" i="263"/>
  <c r="DYK118" i="263" s="1"/>
  <c r="DYL6" i="263"/>
  <c r="DYL118" i="263" s="1"/>
  <c r="DYM6" i="263"/>
  <c r="DYM118" i="263" s="1"/>
  <c r="DYN6" i="263"/>
  <c r="DYN118" i="263" s="1"/>
  <c r="DYO6" i="263"/>
  <c r="DYO118" i="263" s="1"/>
  <c r="DYP6" i="263"/>
  <c r="DYP118" i="263" s="1"/>
  <c r="DYQ6" i="263"/>
  <c r="DYQ118" i="263" s="1"/>
  <c r="DYR6" i="263"/>
  <c r="DYR118" i="263" s="1"/>
  <c r="DYS6" i="263"/>
  <c r="DYS118" i="263" s="1"/>
  <c r="DYT6" i="263"/>
  <c r="DYT118" i="263" s="1"/>
  <c r="DYU6" i="263"/>
  <c r="DYU118" i="263" s="1"/>
  <c r="DYV6" i="263"/>
  <c r="DYV118" i="263" s="1"/>
  <c r="DYW6" i="263"/>
  <c r="DYW118" i="263" s="1"/>
  <c r="DYX6" i="263"/>
  <c r="DYX118" i="263" s="1"/>
  <c r="DYY6" i="263"/>
  <c r="DYY118" i="263" s="1"/>
  <c r="DYZ6" i="263"/>
  <c r="DYZ118" i="263" s="1"/>
  <c r="DZA6" i="263"/>
  <c r="DZA118" i="263" s="1"/>
  <c r="DZB6" i="263"/>
  <c r="DZB118" i="263" s="1"/>
  <c r="DZC6" i="263"/>
  <c r="DZC118" i="263" s="1"/>
  <c r="DZD6" i="263"/>
  <c r="DZD118" i="263" s="1"/>
  <c r="DZE6" i="263"/>
  <c r="DZE118" i="263" s="1"/>
  <c r="DZF6" i="263"/>
  <c r="DZF118" i="263" s="1"/>
  <c r="DZG6" i="263"/>
  <c r="DZG118" i="263" s="1"/>
  <c r="DZH6" i="263"/>
  <c r="DZH118" i="263" s="1"/>
  <c r="DZI6" i="263"/>
  <c r="DZI118" i="263" s="1"/>
  <c r="DZJ6" i="263"/>
  <c r="DZJ118" i="263" s="1"/>
  <c r="DZK6" i="263"/>
  <c r="DZK118" i="263" s="1"/>
  <c r="DZL6" i="263"/>
  <c r="DZL118" i="263" s="1"/>
  <c r="DZM6" i="263"/>
  <c r="DZM118" i="263" s="1"/>
  <c r="DZN6" i="263"/>
  <c r="DZN118" i="263" s="1"/>
  <c r="DZO6" i="263"/>
  <c r="DZO118" i="263" s="1"/>
  <c r="DZP6" i="263"/>
  <c r="DZP118" i="263" s="1"/>
  <c r="DZQ6" i="263"/>
  <c r="DZQ118" i="263" s="1"/>
  <c r="DZR6" i="263"/>
  <c r="DZR118" i="263" s="1"/>
  <c r="DZS6" i="263"/>
  <c r="DZS118" i="263" s="1"/>
  <c r="DZT6" i="263"/>
  <c r="DZT118" i="263" s="1"/>
  <c r="DZU6" i="263"/>
  <c r="DZU118" i="263" s="1"/>
  <c r="DZV6" i="263"/>
  <c r="DZV118" i="263" s="1"/>
  <c r="DZW6" i="263"/>
  <c r="DZW118" i="263" s="1"/>
  <c r="DZX6" i="263"/>
  <c r="DZX118" i="263" s="1"/>
  <c r="DZY6" i="263"/>
  <c r="DZY118" i="263" s="1"/>
  <c r="DZZ6" i="263"/>
  <c r="DZZ118" i="263" s="1"/>
  <c r="EAA6" i="263"/>
  <c r="EAA118" i="263" s="1"/>
  <c r="EAB6" i="263"/>
  <c r="EAB118" i="263" s="1"/>
  <c r="EAC6" i="263"/>
  <c r="EAC118" i="263" s="1"/>
  <c r="EAD6" i="263"/>
  <c r="EAD118" i="263" s="1"/>
  <c r="EAE6" i="263"/>
  <c r="EAE118" i="263" s="1"/>
  <c r="EAF6" i="263"/>
  <c r="EAF118" i="263" s="1"/>
  <c r="EAG6" i="263"/>
  <c r="EAG118" i="263" s="1"/>
  <c r="EAH6" i="263"/>
  <c r="EAH118" i="263" s="1"/>
  <c r="EAI6" i="263"/>
  <c r="EAI118" i="263" s="1"/>
  <c r="EAJ6" i="263"/>
  <c r="EAJ118" i="263" s="1"/>
  <c r="EAK6" i="263"/>
  <c r="EAK118" i="263" s="1"/>
  <c r="EAL6" i="263"/>
  <c r="EAL118" i="263" s="1"/>
  <c r="EAM6" i="263"/>
  <c r="EAM118" i="263" s="1"/>
  <c r="EAN6" i="263"/>
  <c r="EAN118" i="263" s="1"/>
  <c r="EAO6" i="263"/>
  <c r="EAO118" i="263" s="1"/>
  <c r="EAP6" i="263"/>
  <c r="EAP118" i="263" s="1"/>
  <c r="EAQ6" i="263"/>
  <c r="EAQ118" i="263" s="1"/>
  <c r="EAR6" i="263"/>
  <c r="EAR118" i="263" s="1"/>
  <c r="EAS6" i="263"/>
  <c r="EAS118" i="263" s="1"/>
  <c r="EAT6" i="263"/>
  <c r="EAT118" i="263" s="1"/>
  <c r="EAU6" i="263"/>
  <c r="EAU118" i="263" s="1"/>
  <c r="EAV6" i="263"/>
  <c r="EAV118" i="263" s="1"/>
  <c r="EAW6" i="263"/>
  <c r="EAW118" i="263" s="1"/>
  <c r="EAX6" i="263"/>
  <c r="EAX118" i="263" s="1"/>
  <c r="EAY6" i="263"/>
  <c r="EAY118" i="263" s="1"/>
  <c r="EAZ6" i="263"/>
  <c r="EAZ118" i="263" s="1"/>
  <c r="EBA6" i="263"/>
  <c r="EBA118" i="263" s="1"/>
  <c r="EBB6" i="263"/>
  <c r="EBB118" i="263" s="1"/>
  <c r="EBC6" i="263"/>
  <c r="EBC118" i="263" s="1"/>
  <c r="EBD6" i="263"/>
  <c r="EBD118" i="263" s="1"/>
  <c r="EBE6" i="263"/>
  <c r="EBE118" i="263" s="1"/>
  <c r="EBF6" i="263"/>
  <c r="EBF118" i="263" s="1"/>
  <c r="EBG6" i="263"/>
  <c r="EBG118" i="263" s="1"/>
  <c r="EBH6" i="263"/>
  <c r="EBH118" i="263" s="1"/>
  <c r="EBI6" i="263"/>
  <c r="EBI118" i="263" s="1"/>
  <c r="EBJ6" i="263"/>
  <c r="EBJ118" i="263" s="1"/>
  <c r="EBK6" i="263"/>
  <c r="EBK118" i="263" s="1"/>
  <c r="EBL6" i="263"/>
  <c r="EBL118" i="263" s="1"/>
  <c r="EBM6" i="263"/>
  <c r="EBM118" i="263" s="1"/>
  <c r="EBN6" i="263"/>
  <c r="EBN118" i="263" s="1"/>
  <c r="EBO6" i="263"/>
  <c r="EBO118" i="263" s="1"/>
  <c r="EBP6" i="263"/>
  <c r="EBP118" i="263" s="1"/>
  <c r="EBQ6" i="263"/>
  <c r="EBQ118" i="263" s="1"/>
  <c r="EBR6" i="263"/>
  <c r="EBR118" i="263" s="1"/>
  <c r="EBS6" i="263"/>
  <c r="EBS118" i="263" s="1"/>
  <c r="EBT6" i="263"/>
  <c r="EBT118" i="263" s="1"/>
  <c r="EBU6" i="263"/>
  <c r="EBU118" i="263" s="1"/>
  <c r="EBV6" i="263"/>
  <c r="EBV118" i="263" s="1"/>
  <c r="EBW6" i="263"/>
  <c r="EBW118" i="263" s="1"/>
  <c r="EBX6" i="263"/>
  <c r="EBX118" i="263" s="1"/>
  <c r="EBY6" i="263"/>
  <c r="EBY118" i="263" s="1"/>
  <c r="EBZ6" i="263"/>
  <c r="EBZ118" i="263" s="1"/>
  <c r="ECA6" i="263"/>
  <c r="ECA118" i="263" s="1"/>
  <c r="ECB6" i="263"/>
  <c r="ECB118" i="263" s="1"/>
  <c r="ECC6" i="263"/>
  <c r="ECC118" i="263" s="1"/>
  <c r="ECD6" i="263"/>
  <c r="ECD118" i="263" s="1"/>
  <c r="ECE6" i="263"/>
  <c r="ECE118" i="263" s="1"/>
  <c r="ECF6" i="263"/>
  <c r="ECF118" i="263" s="1"/>
  <c r="ECG6" i="263"/>
  <c r="ECG118" i="263" s="1"/>
  <c r="ECH6" i="263"/>
  <c r="ECH118" i="263" s="1"/>
  <c r="ECI6" i="263"/>
  <c r="ECI118" i="263" s="1"/>
  <c r="ECJ6" i="263"/>
  <c r="ECJ118" i="263" s="1"/>
  <c r="ECK6" i="263"/>
  <c r="ECK118" i="263" s="1"/>
  <c r="ECL6" i="263"/>
  <c r="ECL118" i="263" s="1"/>
  <c r="ECM6" i="263"/>
  <c r="ECM118" i="263" s="1"/>
  <c r="ECN6" i="263"/>
  <c r="ECN118" i="263" s="1"/>
  <c r="ECO6" i="263"/>
  <c r="ECO118" i="263" s="1"/>
  <c r="ECP6" i="263"/>
  <c r="ECP118" i="263" s="1"/>
  <c r="ECQ6" i="263"/>
  <c r="ECQ118" i="263" s="1"/>
  <c r="ECR6" i="263"/>
  <c r="ECR118" i="263" s="1"/>
  <c r="ECS6" i="263"/>
  <c r="ECS118" i="263" s="1"/>
  <c r="ECT6" i="263"/>
  <c r="ECT118" i="263" s="1"/>
  <c r="ECU6" i="263"/>
  <c r="ECU118" i="263" s="1"/>
  <c r="ECV6" i="263"/>
  <c r="ECV118" i="263" s="1"/>
  <c r="ECW6" i="263"/>
  <c r="ECW118" i="263" s="1"/>
  <c r="ECX6" i="263"/>
  <c r="ECX118" i="263" s="1"/>
  <c r="ECY6" i="263"/>
  <c r="ECY118" i="263" s="1"/>
  <c r="ECZ6" i="263"/>
  <c r="ECZ118" i="263" s="1"/>
  <c r="EDA6" i="263"/>
  <c r="EDA118" i="263" s="1"/>
  <c r="EDB6" i="263"/>
  <c r="EDB118" i="263" s="1"/>
  <c r="EDC6" i="263"/>
  <c r="EDC118" i="263" s="1"/>
  <c r="EDD6" i="263"/>
  <c r="EDD118" i="263" s="1"/>
  <c r="EDE6" i="263"/>
  <c r="EDE118" i="263" s="1"/>
  <c r="EDF6" i="263"/>
  <c r="EDF118" i="263" s="1"/>
  <c r="EDG6" i="263"/>
  <c r="EDG118" i="263" s="1"/>
  <c r="EDH6" i="263"/>
  <c r="EDH118" i="263" s="1"/>
  <c r="EDI6" i="263"/>
  <c r="EDI118" i="263" s="1"/>
  <c r="EDJ6" i="263"/>
  <c r="EDJ118" i="263" s="1"/>
  <c r="EDK6" i="263"/>
  <c r="EDK118" i="263" s="1"/>
  <c r="EDL6" i="263"/>
  <c r="EDL118" i="263" s="1"/>
  <c r="EDM6" i="263"/>
  <c r="EDM118" i="263" s="1"/>
  <c r="EDN6" i="263"/>
  <c r="EDN118" i="263" s="1"/>
  <c r="EDO6" i="263"/>
  <c r="EDO118" i="263" s="1"/>
  <c r="EDP6" i="263"/>
  <c r="EDP118" i="263" s="1"/>
  <c r="EDQ6" i="263"/>
  <c r="EDQ118" i="263" s="1"/>
  <c r="EDR6" i="263"/>
  <c r="EDR118" i="263" s="1"/>
  <c r="EDS6" i="263"/>
  <c r="EDS118" i="263" s="1"/>
  <c r="EDT6" i="263"/>
  <c r="EDT118" i="263" s="1"/>
  <c r="EDU6" i="263"/>
  <c r="EDU118" i="263" s="1"/>
  <c r="EDV6" i="263"/>
  <c r="EDV118" i="263" s="1"/>
  <c r="EDW6" i="263"/>
  <c r="EDW118" i="263" s="1"/>
  <c r="EDX6" i="263"/>
  <c r="EDX118" i="263" s="1"/>
  <c r="EDY6" i="263"/>
  <c r="EDY118" i="263" s="1"/>
  <c r="EDZ6" i="263"/>
  <c r="EDZ118" i="263" s="1"/>
  <c r="EEA6" i="263"/>
  <c r="EEA118" i="263" s="1"/>
  <c r="EEB6" i="263"/>
  <c r="EEB118" i="263" s="1"/>
  <c r="EEC6" i="263"/>
  <c r="EEC118" i="263" s="1"/>
  <c r="EED6" i="263"/>
  <c r="EED118" i="263" s="1"/>
  <c r="EEE6" i="263"/>
  <c r="EEE118" i="263" s="1"/>
  <c r="EEF6" i="263"/>
  <c r="EEF118" i="263" s="1"/>
  <c r="EEG6" i="263"/>
  <c r="EEG118" i="263" s="1"/>
  <c r="EEH6" i="263"/>
  <c r="EEH118" i="263" s="1"/>
  <c r="EEI6" i="263"/>
  <c r="EEI118" i="263" s="1"/>
  <c r="EEJ6" i="263"/>
  <c r="EEJ118" i="263" s="1"/>
  <c r="EEK6" i="263"/>
  <c r="EEK118" i="263" s="1"/>
  <c r="EEL6" i="263"/>
  <c r="EEL118" i="263" s="1"/>
  <c r="EEM6" i="263"/>
  <c r="EEM118" i="263" s="1"/>
  <c r="EEN6" i="263"/>
  <c r="EEN118" i="263" s="1"/>
  <c r="EEO6" i="263"/>
  <c r="EEO118" i="263" s="1"/>
  <c r="EEP6" i="263"/>
  <c r="EEP118" i="263" s="1"/>
  <c r="EEQ6" i="263"/>
  <c r="EEQ118" i="263" s="1"/>
  <c r="EER6" i="263"/>
  <c r="EER118" i="263" s="1"/>
  <c r="EES6" i="263"/>
  <c r="EES118" i="263" s="1"/>
  <c r="EET6" i="263"/>
  <c r="EET118" i="263" s="1"/>
  <c r="EEU6" i="263"/>
  <c r="EEU118" i="263" s="1"/>
  <c r="EEV6" i="263"/>
  <c r="EEV118" i="263" s="1"/>
  <c r="EEW6" i="263"/>
  <c r="EEW118" i="263" s="1"/>
  <c r="EEX6" i="263"/>
  <c r="EEX118" i="263" s="1"/>
  <c r="EEY6" i="263"/>
  <c r="EEY118" i="263" s="1"/>
  <c r="EEZ6" i="263"/>
  <c r="EEZ118" i="263" s="1"/>
  <c r="EFA6" i="263"/>
  <c r="EFA118" i="263" s="1"/>
  <c r="EFB6" i="263"/>
  <c r="EFB118" i="263" s="1"/>
  <c r="EFC6" i="263"/>
  <c r="EFC118" i="263" s="1"/>
  <c r="EFD6" i="263"/>
  <c r="EFD118" i="263" s="1"/>
  <c r="EFE6" i="263"/>
  <c r="EFE118" i="263" s="1"/>
  <c r="EFF6" i="263"/>
  <c r="EFF118" i="263" s="1"/>
  <c r="EFG6" i="263"/>
  <c r="EFG118" i="263" s="1"/>
  <c r="EFH6" i="263"/>
  <c r="EFH118" i="263" s="1"/>
  <c r="EFI6" i="263"/>
  <c r="EFI118" i="263" s="1"/>
  <c r="EFJ6" i="263"/>
  <c r="EFJ118" i="263" s="1"/>
  <c r="EFK6" i="263"/>
  <c r="EFK118" i="263" s="1"/>
  <c r="EFL6" i="263"/>
  <c r="EFL118" i="263" s="1"/>
  <c r="EFM6" i="263"/>
  <c r="EFM118" i="263" s="1"/>
  <c r="EFN6" i="263"/>
  <c r="EFN118" i="263" s="1"/>
  <c r="EFO6" i="263"/>
  <c r="EFO118" i="263" s="1"/>
  <c r="EFP6" i="263"/>
  <c r="EFP118" i="263" s="1"/>
  <c r="EFQ6" i="263"/>
  <c r="EFQ118" i="263" s="1"/>
  <c r="EFR6" i="263"/>
  <c r="EFR118" i="263" s="1"/>
  <c r="EFS6" i="263"/>
  <c r="EFS118" i="263" s="1"/>
  <c r="EFT6" i="263"/>
  <c r="EFT118" i="263" s="1"/>
  <c r="EFU6" i="263"/>
  <c r="EFU118" i="263" s="1"/>
  <c r="EFV6" i="263"/>
  <c r="EFV118" i="263" s="1"/>
  <c r="EFW6" i="263"/>
  <c r="EFW118" i="263" s="1"/>
  <c r="EFX6" i="263"/>
  <c r="EFX118" i="263" s="1"/>
  <c r="EFY6" i="263"/>
  <c r="EFY118" i="263" s="1"/>
  <c r="EFZ6" i="263"/>
  <c r="EFZ118" i="263" s="1"/>
  <c r="EGA6" i="263"/>
  <c r="EGA118" i="263" s="1"/>
  <c r="EGB6" i="263"/>
  <c r="EGB118" i="263" s="1"/>
  <c r="EGC6" i="263"/>
  <c r="EGC118" i="263" s="1"/>
  <c r="EGD6" i="263"/>
  <c r="EGD118" i="263" s="1"/>
  <c r="EGE6" i="263"/>
  <c r="EGE118" i="263" s="1"/>
  <c r="EGF6" i="263"/>
  <c r="EGF118" i="263" s="1"/>
  <c r="EGG6" i="263"/>
  <c r="EGG118" i="263" s="1"/>
  <c r="EGH6" i="263"/>
  <c r="EGH118" i="263" s="1"/>
  <c r="EGI6" i="263"/>
  <c r="EGI118" i="263" s="1"/>
  <c r="EGJ6" i="263"/>
  <c r="EGJ118" i="263" s="1"/>
  <c r="EGK6" i="263"/>
  <c r="EGK118" i="263" s="1"/>
  <c r="EGL6" i="263"/>
  <c r="EGL118" i="263" s="1"/>
  <c r="EGM6" i="263"/>
  <c r="EGM118" i="263" s="1"/>
  <c r="EGN6" i="263"/>
  <c r="EGN118" i="263" s="1"/>
  <c r="EGO6" i="263"/>
  <c r="EGO118" i="263" s="1"/>
  <c r="EGP6" i="263"/>
  <c r="EGP118" i="263" s="1"/>
  <c r="EGQ6" i="263"/>
  <c r="EGQ118" i="263" s="1"/>
  <c r="EGR6" i="263"/>
  <c r="EGR118" i="263" s="1"/>
  <c r="EGS6" i="263"/>
  <c r="EGS118" i="263" s="1"/>
  <c r="EGT6" i="263"/>
  <c r="EGT118" i="263" s="1"/>
  <c r="EGU6" i="263"/>
  <c r="EGU118" i="263" s="1"/>
  <c r="EGV6" i="263"/>
  <c r="EGV118" i="263" s="1"/>
  <c r="EGW6" i="263"/>
  <c r="EGW118" i="263" s="1"/>
  <c r="EGX6" i="263"/>
  <c r="EGX118" i="263" s="1"/>
  <c r="EGY6" i="263"/>
  <c r="EGY118" i="263" s="1"/>
  <c r="EGZ6" i="263"/>
  <c r="EGZ118" i="263" s="1"/>
  <c r="EHA6" i="263"/>
  <c r="EHA118" i="263" s="1"/>
  <c r="EHB6" i="263"/>
  <c r="EHB118" i="263" s="1"/>
  <c r="EHC6" i="263"/>
  <c r="EHC118" i="263" s="1"/>
  <c r="EHD6" i="263"/>
  <c r="EHD118" i="263" s="1"/>
  <c r="EHE6" i="263"/>
  <c r="EHE118" i="263" s="1"/>
  <c r="EHF6" i="263"/>
  <c r="EHF118" i="263" s="1"/>
  <c r="EHG6" i="263"/>
  <c r="EHG118" i="263" s="1"/>
  <c r="EHH6" i="263"/>
  <c r="EHH118" i="263" s="1"/>
  <c r="EHI6" i="263"/>
  <c r="EHI118" i="263" s="1"/>
  <c r="EHJ6" i="263"/>
  <c r="EHJ118" i="263" s="1"/>
  <c r="EHK6" i="263"/>
  <c r="EHK118" i="263" s="1"/>
  <c r="EHL6" i="263"/>
  <c r="EHL118" i="263" s="1"/>
  <c r="EHM6" i="263"/>
  <c r="EHM118" i="263" s="1"/>
  <c r="EHN6" i="263"/>
  <c r="EHN118" i="263" s="1"/>
  <c r="EHO6" i="263"/>
  <c r="EHO118" i="263" s="1"/>
  <c r="EHP6" i="263"/>
  <c r="EHP118" i="263" s="1"/>
  <c r="EHQ6" i="263"/>
  <c r="EHQ118" i="263" s="1"/>
  <c r="EHR6" i="263"/>
  <c r="EHR118" i="263" s="1"/>
  <c r="EHS6" i="263"/>
  <c r="EHS118" i="263" s="1"/>
  <c r="EHT6" i="263"/>
  <c r="EHT118" i="263" s="1"/>
  <c r="EHU6" i="263"/>
  <c r="EHU118" i="263" s="1"/>
  <c r="EHV6" i="263"/>
  <c r="EHV118" i="263" s="1"/>
  <c r="EHW6" i="263"/>
  <c r="EHW118" i="263" s="1"/>
  <c r="EHX6" i="263"/>
  <c r="EHX118" i="263" s="1"/>
  <c r="EHY6" i="263"/>
  <c r="EHY118" i="263" s="1"/>
  <c r="EHZ6" i="263"/>
  <c r="EHZ118" i="263" s="1"/>
  <c r="EIA6" i="263"/>
  <c r="EIA118" i="263" s="1"/>
  <c r="EIB6" i="263"/>
  <c r="EIB118" i="263" s="1"/>
  <c r="EIC6" i="263"/>
  <c r="EIC118" i="263" s="1"/>
  <c r="EID6" i="263"/>
  <c r="EID118" i="263" s="1"/>
  <c r="EIE6" i="263"/>
  <c r="EIE118" i="263" s="1"/>
  <c r="EIF6" i="263"/>
  <c r="EIF118" i="263" s="1"/>
  <c r="EIG6" i="263"/>
  <c r="EIG118" i="263" s="1"/>
  <c r="EIH6" i="263"/>
  <c r="EIH118" i="263" s="1"/>
  <c r="EII6" i="263"/>
  <c r="EII118" i="263" s="1"/>
  <c r="EIJ6" i="263"/>
  <c r="EIJ118" i="263" s="1"/>
  <c r="EIK6" i="263"/>
  <c r="EIK118" i="263" s="1"/>
  <c r="EIL6" i="263"/>
  <c r="EIL118" i="263" s="1"/>
  <c r="EIM6" i="263"/>
  <c r="EIM118" i="263" s="1"/>
  <c r="EIN6" i="263"/>
  <c r="EIN118" i="263" s="1"/>
  <c r="EIO6" i="263"/>
  <c r="EIO118" i="263" s="1"/>
  <c r="EIP6" i="263"/>
  <c r="EIP118" i="263" s="1"/>
  <c r="EIQ6" i="263"/>
  <c r="EIQ118" i="263" s="1"/>
  <c r="EIR6" i="263"/>
  <c r="EIR118" i="263" s="1"/>
  <c r="EIS6" i="263"/>
  <c r="EIS118" i="263" s="1"/>
  <c r="EIT6" i="263"/>
  <c r="EIT118" i="263" s="1"/>
  <c r="EIU6" i="263"/>
  <c r="EIU118" i="263" s="1"/>
  <c r="EIV6" i="263"/>
  <c r="EIV118" i="263" s="1"/>
  <c r="EIW6" i="263"/>
  <c r="EIW118" i="263" s="1"/>
  <c r="EIX6" i="263"/>
  <c r="EIX118" i="263" s="1"/>
  <c r="EIY6" i="263"/>
  <c r="EIY118" i="263" s="1"/>
  <c r="EIZ6" i="263"/>
  <c r="EIZ118" i="263" s="1"/>
  <c r="EJA6" i="263"/>
  <c r="EJA118" i="263" s="1"/>
  <c r="EJB6" i="263"/>
  <c r="EJB118" i="263" s="1"/>
  <c r="EJC6" i="263"/>
  <c r="EJC118" i="263" s="1"/>
  <c r="EJD6" i="263"/>
  <c r="EJD118" i="263" s="1"/>
  <c r="EJE6" i="263"/>
  <c r="EJE118" i="263" s="1"/>
  <c r="EJF6" i="263"/>
  <c r="EJF118" i="263" s="1"/>
  <c r="EJG6" i="263"/>
  <c r="EJG118" i="263" s="1"/>
  <c r="EJH6" i="263"/>
  <c r="EJH118" i="263" s="1"/>
  <c r="EJI6" i="263"/>
  <c r="EJI118" i="263" s="1"/>
  <c r="EJJ6" i="263"/>
  <c r="EJJ118" i="263" s="1"/>
  <c r="EJK6" i="263"/>
  <c r="EJK118" i="263" s="1"/>
  <c r="EJL6" i="263"/>
  <c r="EJL118" i="263" s="1"/>
  <c r="EJM6" i="263"/>
  <c r="EJM118" i="263" s="1"/>
  <c r="EJN6" i="263"/>
  <c r="EJN118" i="263" s="1"/>
  <c r="EJO6" i="263"/>
  <c r="EJO118" i="263" s="1"/>
  <c r="EJP6" i="263"/>
  <c r="EJP118" i="263" s="1"/>
  <c r="EJQ6" i="263"/>
  <c r="EJQ118" i="263" s="1"/>
  <c r="EJR6" i="263"/>
  <c r="EJR118" i="263" s="1"/>
  <c r="EJS6" i="263"/>
  <c r="EJS118" i="263" s="1"/>
  <c r="EJT6" i="263"/>
  <c r="EJT118" i="263" s="1"/>
  <c r="EJU6" i="263"/>
  <c r="EJU118" i="263" s="1"/>
  <c r="EJV6" i="263"/>
  <c r="EJV118" i="263" s="1"/>
  <c r="EJW6" i="263"/>
  <c r="EJW118" i="263" s="1"/>
  <c r="EJX6" i="263"/>
  <c r="EJX118" i="263" s="1"/>
  <c r="EJY6" i="263"/>
  <c r="EJY118" i="263" s="1"/>
  <c r="EJZ6" i="263"/>
  <c r="EJZ118" i="263" s="1"/>
  <c r="EKA6" i="263"/>
  <c r="EKA118" i="263" s="1"/>
  <c r="EKB6" i="263"/>
  <c r="EKB118" i="263" s="1"/>
  <c r="EKC6" i="263"/>
  <c r="EKC118" i="263" s="1"/>
  <c r="EKD6" i="263"/>
  <c r="EKD118" i="263" s="1"/>
  <c r="EKE6" i="263"/>
  <c r="EKE118" i="263" s="1"/>
  <c r="EKF6" i="263"/>
  <c r="EKF118" i="263" s="1"/>
  <c r="EKG6" i="263"/>
  <c r="EKG118" i="263" s="1"/>
  <c r="EKH6" i="263"/>
  <c r="EKH118" i="263" s="1"/>
  <c r="EKI6" i="263"/>
  <c r="EKI118" i="263" s="1"/>
  <c r="EKJ6" i="263"/>
  <c r="EKJ118" i="263" s="1"/>
  <c r="EKK6" i="263"/>
  <c r="EKK118" i="263" s="1"/>
  <c r="EKL6" i="263"/>
  <c r="EKL118" i="263" s="1"/>
  <c r="EKM6" i="263"/>
  <c r="EKM118" i="263" s="1"/>
  <c r="EKN6" i="263"/>
  <c r="EKN118" i="263" s="1"/>
  <c r="EKO6" i="263"/>
  <c r="EKO118" i="263" s="1"/>
  <c r="EKP6" i="263"/>
  <c r="EKP118" i="263" s="1"/>
  <c r="EKQ6" i="263"/>
  <c r="EKQ118" i="263" s="1"/>
  <c r="EKR6" i="263"/>
  <c r="EKR118" i="263" s="1"/>
  <c r="EKS6" i="263"/>
  <c r="EKS118" i="263" s="1"/>
  <c r="EKT6" i="263"/>
  <c r="EKT118" i="263" s="1"/>
  <c r="EKU6" i="263"/>
  <c r="EKU118" i="263" s="1"/>
  <c r="EKV6" i="263"/>
  <c r="EKV118" i="263" s="1"/>
  <c r="EKW6" i="263"/>
  <c r="EKW118" i="263" s="1"/>
  <c r="EKX6" i="263"/>
  <c r="EKX118" i="263" s="1"/>
  <c r="EKY6" i="263"/>
  <c r="EKY118" i="263" s="1"/>
  <c r="EKZ6" i="263"/>
  <c r="EKZ118" i="263" s="1"/>
  <c r="ELA6" i="263"/>
  <c r="ELA118" i="263" s="1"/>
  <c r="ELB6" i="263"/>
  <c r="ELB118" i="263" s="1"/>
  <c r="ELC6" i="263"/>
  <c r="ELC118" i="263" s="1"/>
  <c r="ELD6" i="263"/>
  <c r="ELD118" i="263" s="1"/>
  <c r="ELE6" i="263"/>
  <c r="ELE118" i="263" s="1"/>
  <c r="ELF6" i="263"/>
  <c r="ELF118" i="263" s="1"/>
  <c r="ELG6" i="263"/>
  <c r="ELG118" i="263" s="1"/>
  <c r="ELH6" i="263"/>
  <c r="ELH118" i="263" s="1"/>
  <c r="ELI6" i="263"/>
  <c r="ELI118" i="263" s="1"/>
  <c r="ELJ6" i="263"/>
  <c r="ELJ118" i="263" s="1"/>
  <c r="ELK6" i="263"/>
  <c r="ELK118" i="263" s="1"/>
  <c r="ELL6" i="263"/>
  <c r="ELL118" i="263" s="1"/>
  <c r="ELM6" i="263"/>
  <c r="ELM118" i="263" s="1"/>
  <c r="ELN6" i="263"/>
  <c r="ELN118" i="263" s="1"/>
  <c r="ELO6" i="263"/>
  <c r="ELO118" i="263" s="1"/>
  <c r="ELP6" i="263"/>
  <c r="ELP118" i="263" s="1"/>
  <c r="ELQ6" i="263"/>
  <c r="ELQ118" i="263" s="1"/>
  <c r="ELR6" i="263"/>
  <c r="ELR118" i="263" s="1"/>
  <c r="ELS6" i="263"/>
  <c r="ELS118" i="263" s="1"/>
  <c r="ELT6" i="263"/>
  <c r="ELT118" i="263" s="1"/>
  <c r="ELU6" i="263"/>
  <c r="ELU118" i="263" s="1"/>
  <c r="ELV6" i="263"/>
  <c r="ELV118" i="263" s="1"/>
  <c r="ELW6" i="263"/>
  <c r="ELW118" i="263" s="1"/>
  <c r="ELX6" i="263"/>
  <c r="ELX118" i="263" s="1"/>
  <c r="ELY6" i="263"/>
  <c r="ELY118" i="263" s="1"/>
  <c r="ELZ6" i="263"/>
  <c r="ELZ118" i="263" s="1"/>
  <c r="EMA6" i="263"/>
  <c r="EMA118" i="263" s="1"/>
  <c r="EMB6" i="263"/>
  <c r="EMB118" i="263" s="1"/>
  <c r="EMC6" i="263"/>
  <c r="EMC118" i="263" s="1"/>
  <c r="EMD6" i="263"/>
  <c r="EMD118" i="263" s="1"/>
  <c r="EME6" i="263"/>
  <c r="EME118" i="263" s="1"/>
  <c r="EMF6" i="263"/>
  <c r="EMF118" i="263" s="1"/>
  <c r="EMG6" i="263"/>
  <c r="EMG118" i="263" s="1"/>
  <c r="EMH6" i="263"/>
  <c r="EMH118" i="263" s="1"/>
  <c r="EMI6" i="263"/>
  <c r="EMI118" i="263" s="1"/>
  <c r="EMJ6" i="263"/>
  <c r="EMJ118" i="263" s="1"/>
  <c r="EMK6" i="263"/>
  <c r="EMK118" i="263" s="1"/>
  <c r="EML6" i="263"/>
  <c r="EML118" i="263" s="1"/>
  <c r="EMM6" i="263"/>
  <c r="EMM118" i="263" s="1"/>
  <c r="EMN6" i="263"/>
  <c r="EMN118" i="263" s="1"/>
  <c r="EMO6" i="263"/>
  <c r="EMO118" i="263" s="1"/>
  <c r="EMP6" i="263"/>
  <c r="EMP118" i="263" s="1"/>
  <c r="EMQ6" i="263"/>
  <c r="EMQ118" i="263" s="1"/>
  <c r="EMR6" i="263"/>
  <c r="EMR118" i="263" s="1"/>
  <c r="EMS6" i="263"/>
  <c r="EMS118" i="263" s="1"/>
  <c r="EMT6" i="263"/>
  <c r="EMT118" i="263" s="1"/>
  <c r="EMU6" i="263"/>
  <c r="EMU118" i="263" s="1"/>
  <c r="EMV6" i="263"/>
  <c r="EMV118" i="263" s="1"/>
  <c r="EMW6" i="263"/>
  <c r="EMW118" i="263" s="1"/>
  <c r="EMX6" i="263"/>
  <c r="EMX118" i="263" s="1"/>
  <c r="EMY6" i="263"/>
  <c r="EMY118" i="263" s="1"/>
  <c r="EMZ6" i="263"/>
  <c r="EMZ118" i="263" s="1"/>
  <c r="ENA6" i="263"/>
  <c r="ENA118" i="263" s="1"/>
  <c r="ENB6" i="263"/>
  <c r="ENB118" i="263" s="1"/>
  <c r="ENC6" i="263"/>
  <c r="ENC118" i="263" s="1"/>
  <c r="END6" i="263"/>
  <c r="END118" i="263" s="1"/>
  <c r="ENE6" i="263"/>
  <c r="ENE118" i="263" s="1"/>
  <c r="ENF6" i="263"/>
  <c r="ENF118" i="263" s="1"/>
  <c r="ENG6" i="263"/>
  <c r="ENG118" i="263" s="1"/>
  <c r="ENH6" i="263"/>
  <c r="ENH118" i="263" s="1"/>
  <c r="ENI6" i="263"/>
  <c r="ENI118" i="263" s="1"/>
  <c r="ENJ6" i="263"/>
  <c r="ENJ118" i="263" s="1"/>
  <c r="ENK6" i="263"/>
  <c r="ENK118" i="263" s="1"/>
  <c r="ENL6" i="263"/>
  <c r="ENL118" i="263" s="1"/>
  <c r="ENM6" i="263"/>
  <c r="ENM118" i="263" s="1"/>
  <c r="ENN6" i="263"/>
  <c r="ENN118" i="263" s="1"/>
  <c r="ENO6" i="263"/>
  <c r="ENO118" i="263" s="1"/>
  <c r="ENP6" i="263"/>
  <c r="ENP118" i="263" s="1"/>
  <c r="ENQ6" i="263"/>
  <c r="ENQ118" i="263" s="1"/>
  <c r="ENR6" i="263"/>
  <c r="ENR118" i="263" s="1"/>
  <c r="ENS6" i="263"/>
  <c r="ENS118" i="263" s="1"/>
  <c r="ENT6" i="263"/>
  <c r="ENT118" i="263" s="1"/>
  <c r="ENU6" i="263"/>
  <c r="ENU118" i="263" s="1"/>
  <c r="ENV6" i="263"/>
  <c r="ENV118" i="263" s="1"/>
  <c r="ENW6" i="263"/>
  <c r="ENW118" i="263" s="1"/>
  <c r="ENX6" i="263"/>
  <c r="ENX118" i="263" s="1"/>
  <c r="ENY6" i="263"/>
  <c r="ENY118" i="263" s="1"/>
  <c r="ENZ6" i="263"/>
  <c r="ENZ118" i="263" s="1"/>
  <c r="EOA6" i="263"/>
  <c r="EOA118" i="263" s="1"/>
  <c r="EOB6" i="263"/>
  <c r="EOB118" i="263" s="1"/>
  <c r="EOC6" i="263"/>
  <c r="EOC118" i="263" s="1"/>
  <c r="EOD6" i="263"/>
  <c r="EOD118" i="263" s="1"/>
  <c r="EOE6" i="263"/>
  <c r="EOE118" i="263" s="1"/>
  <c r="EOF6" i="263"/>
  <c r="EOF118" i="263" s="1"/>
  <c r="EOG6" i="263"/>
  <c r="EOG118" i="263" s="1"/>
  <c r="EOH6" i="263"/>
  <c r="EOH118" i="263" s="1"/>
  <c r="EOI6" i="263"/>
  <c r="EOI118" i="263" s="1"/>
  <c r="EOJ6" i="263"/>
  <c r="EOJ118" i="263" s="1"/>
  <c r="EOK6" i="263"/>
  <c r="EOK118" i="263" s="1"/>
  <c r="EOL6" i="263"/>
  <c r="EOL118" i="263" s="1"/>
  <c r="EOM6" i="263"/>
  <c r="EOM118" i="263" s="1"/>
  <c r="EON6" i="263"/>
  <c r="EON118" i="263" s="1"/>
  <c r="EOO6" i="263"/>
  <c r="EOO118" i="263" s="1"/>
  <c r="EOP6" i="263"/>
  <c r="EOP118" i="263" s="1"/>
  <c r="EOQ6" i="263"/>
  <c r="EOQ118" i="263" s="1"/>
  <c r="EOR6" i="263"/>
  <c r="EOR118" i="263" s="1"/>
  <c r="EOS6" i="263"/>
  <c r="EOS118" i="263" s="1"/>
  <c r="EOT6" i="263"/>
  <c r="EOT118" i="263" s="1"/>
  <c r="EOU6" i="263"/>
  <c r="EOU118" i="263" s="1"/>
  <c r="EOV6" i="263"/>
  <c r="EOV118" i="263" s="1"/>
  <c r="EOW6" i="263"/>
  <c r="EOW118" i="263" s="1"/>
  <c r="EOX6" i="263"/>
  <c r="EOX118" i="263" s="1"/>
  <c r="EOY6" i="263"/>
  <c r="EOY118" i="263" s="1"/>
  <c r="EOZ6" i="263"/>
  <c r="EOZ118" i="263" s="1"/>
  <c r="EPA6" i="263"/>
  <c r="EPA118" i="263" s="1"/>
  <c r="EPB6" i="263"/>
  <c r="EPB118" i="263" s="1"/>
  <c r="EPC6" i="263"/>
  <c r="EPC118" i="263" s="1"/>
  <c r="EPD6" i="263"/>
  <c r="EPD118" i="263" s="1"/>
  <c r="EPE6" i="263"/>
  <c r="EPE118" i="263" s="1"/>
  <c r="EPF6" i="263"/>
  <c r="EPF118" i="263" s="1"/>
  <c r="EPG6" i="263"/>
  <c r="EPG118" i="263" s="1"/>
  <c r="EPH6" i="263"/>
  <c r="EPH118" i="263" s="1"/>
  <c r="EPI6" i="263"/>
  <c r="EPI118" i="263" s="1"/>
  <c r="EPJ6" i="263"/>
  <c r="EPJ118" i="263" s="1"/>
  <c r="EPK6" i="263"/>
  <c r="EPK118" i="263" s="1"/>
  <c r="EPL6" i="263"/>
  <c r="EPL118" i="263" s="1"/>
  <c r="EPM6" i="263"/>
  <c r="EPM118" i="263" s="1"/>
  <c r="EPN6" i="263"/>
  <c r="EPN118" i="263" s="1"/>
  <c r="EPO6" i="263"/>
  <c r="EPO118" i="263" s="1"/>
  <c r="EPP6" i="263"/>
  <c r="EPP118" i="263" s="1"/>
  <c r="EPQ6" i="263"/>
  <c r="EPQ118" i="263" s="1"/>
  <c r="EPR6" i="263"/>
  <c r="EPR118" i="263" s="1"/>
  <c r="EPS6" i="263"/>
  <c r="EPS118" i="263" s="1"/>
  <c r="EPT6" i="263"/>
  <c r="EPT118" i="263" s="1"/>
  <c r="EPU6" i="263"/>
  <c r="EPU118" i="263" s="1"/>
  <c r="EPV6" i="263"/>
  <c r="EPV118" i="263" s="1"/>
  <c r="EPW6" i="263"/>
  <c r="EPW118" i="263" s="1"/>
  <c r="EPX6" i="263"/>
  <c r="EPX118" i="263" s="1"/>
  <c r="EPY6" i="263"/>
  <c r="EPY118" i="263" s="1"/>
  <c r="EPZ6" i="263"/>
  <c r="EPZ118" i="263" s="1"/>
  <c r="EQA6" i="263"/>
  <c r="EQA118" i="263" s="1"/>
  <c r="EQB6" i="263"/>
  <c r="EQB118" i="263" s="1"/>
  <c r="EQC6" i="263"/>
  <c r="EQC118" i="263" s="1"/>
  <c r="EQD6" i="263"/>
  <c r="EQD118" i="263" s="1"/>
  <c r="EQE6" i="263"/>
  <c r="EQE118" i="263" s="1"/>
  <c r="EQF6" i="263"/>
  <c r="EQF118" i="263" s="1"/>
  <c r="EQG6" i="263"/>
  <c r="EQG118" i="263" s="1"/>
  <c r="EQH6" i="263"/>
  <c r="EQH118" i="263" s="1"/>
  <c r="EQI6" i="263"/>
  <c r="EQI118" i="263" s="1"/>
  <c r="EQJ6" i="263"/>
  <c r="EQJ118" i="263" s="1"/>
  <c r="EQK6" i="263"/>
  <c r="EQK118" i="263" s="1"/>
  <c r="EQL6" i="263"/>
  <c r="EQL118" i="263" s="1"/>
  <c r="EQM6" i="263"/>
  <c r="EQM118" i="263" s="1"/>
  <c r="EQN6" i="263"/>
  <c r="EQN118" i="263" s="1"/>
  <c r="EQO6" i="263"/>
  <c r="EQO118" i="263" s="1"/>
  <c r="EQP6" i="263"/>
  <c r="EQP118" i="263" s="1"/>
  <c r="EQQ6" i="263"/>
  <c r="EQQ118" i="263" s="1"/>
  <c r="EQR6" i="263"/>
  <c r="EQR118" i="263" s="1"/>
  <c r="EQS6" i="263"/>
  <c r="EQS118" i="263" s="1"/>
  <c r="EQT6" i="263"/>
  <c r="EQT118" i="263" s="1"/>
  <c r="EQU6" i="263"/>
  <c r="EQU118" i="263" s="1"/>
  <c r="EQV6" i="263"/>
  <c r="EQV118" i="263" s="1"/>
  <c r="EQW6" i="263"/>
  <c r="EQW118" i="263" s="1"/>
  <c r="EQX6" i="263"/>
  <c r="EQX118" i="263" s="1"/>
  <c r="EQY6" i="263"/>
  <c r="EQY118" i="263" s="1"/>
  <c r="EQZ6" i="263"/>
  <c r="EQZ118" i="263" s="1"/>
  <c r="ERA6" i="263"/>
  <c r="ERA118" i="263" s="1"/>
  <c r="ERB6" i="263"/>
  <c r="ERB118" i="263" s="1"/>
  <c r="ERC6" i="263"/>
  <c r="ERC118" i="263" s="1"/>
  <c r="ERD6" i="263"/>
  <c r="ERD118" i="263" s="1"/>
  <c r="ERE6" i="263"/>
  <c r="ERE118" i="263" s="1"/>
  <c r="ERF6" i="263"/>
  <c r="ERF118" i="263" s="1"/>
  <c r="ERG6" i="263"/>
  <c r="ERG118" i="263" s="1"/>
  <c r="ERH6" i="263"/>
  <c r="ERH118" i="263" s="1"/>
  <c r="ERI6" i="263"/>
  <c r="ERI118" i="263" s="1"/>
  <c r="ERJ6" i="263"/>
  <c r="ERJ118" i="263" s="1"/>
  <c r="ERK6" i="263"/>
  <c r="ERK118" i="263" s="1"/>
  <c r="ERL6" i="263"/>
  <c r="ERL118" i="263" s="1"/>
  <c r="ERM6" i="263"/>
  <c r="ERM118" i="263" s="1"/>
  <c r="ERN6" i="263"/>
  <c r="ERN118" i="263" s="1"/>
  <c r="ERO6" i="263"/>
  <c r="ERO118" i="263" s="1"/>
  <c r="ERP6" i="263"/>
  <c r="ERP118" i="263" s="1"/>
  <c r="ERQ6" i="263"/>
  <c r="ERQ118" i="263" s="1"/>
  <c r="ERR6" i="263"/>
  <c r="ERR118" i="263" s="1"/>
  <c r="ERS6" i="263"/>
  <c r="ERS118" i="263" s="1"/>
  <c r="ERT6" i="263"/>
  <c r="ERT118" i="263" s="1"/>
  <c r="ERU6" i="263"/>
  <c r="ERU118" i="263" s="1"/>
  <c r="ERV6" i="263"/>
  <c r="ERV118" i="263" s="1"/>
  <c r="ERW6" i="263"/>
  <c r="ERW118" i="263" s="1"/>
  <c r="ERX6" i="263"/>
  <c r="ERX118" i="263" s="1"/>
  <c r="ERY6" i="263"/>
  <c r="ERY118" i="263" s="1"/>
  <c r="ERZ6" i="263"/>
  <c r="ERZ118" i="263" s="1"/>
  <c r="ESA6" i="263"/>
  <c r="ESA118" i="263" s="1"/>
  <c r="ESB6" i="263"/>
  <c r="ESB118" i="263" s="1"/>
  <c r="ESC6" i="263"/>
  <c r="ESC118" i="263" s="1"/>
  <c r="ESD6" i="263"/>
  <c r="ESD118" i="263" s="1"/>
  <c r="ESE6" i="263"/>
  <c r="ESE118" i="263" s="1"/>
  <c r="ESF6" i="263"/>
  <c r="ESF118" i="263" s="1"/>
  <c r="ESG6" i="263"/>
  <c r="ESG118" i="263" s="1"/>
  <c r="ESH6" i="263"/>
  <c r="ESH118" i="263" s="1"/>
  <c r="ESI6" i="263"/>
  <c r="ESI118" i="263" s="1"/>
  <c r="ESJ6" i="263"/>
  <c r="ESJ118" i="263" s="1"/>
  <c r="ESK6" i="263"/>
  <c r="ESK118" i="263" s="1"/>
  <c r="ESL6" i="263"/>
  <c r="ESL118" i="263" s="1"/>
  <c r="ESM6" i="263"/>
  <c r="ESM118" i="263" s="1"/>
  <c r="ESN6" i="263"/>
  <c r="ESN118" i="263" s="1"/>
  <c r="ESO6" i="263"/>
  <c r="ESO118" i="263" s="1"/>
  <c r="ESP6" i="263"/>
  <c r="ESP118" i="263" s="1"/>
  <c r="ESQ6" i="263"/>
  <c r="ESQ118" i="263" s="1"/>
  <c r="ESR6" i="263"/>
  <c r="ESR118" i="263" s="1"/>
  <c r="ESS6" i="263"/>
  <c r="ESS118" i="263" s="1"/>
  <c r="EST6" i="263"/>
  <c r="EST118" i="263" s="1"/>
  <c r="ESU6" i="263"/>
  <c r="ESU118" i="263" s="1"/>
  <c r="ESV6" i="263"/>
  <c r="ESV118" i="263" s="1"/>
  <c r="ESW6" i="263"/>
  <c r="ESW118" i="263" s="1"/>
  <c r="ESX6" i="263"/>
  <c r="ESX118" i="263" s="1"/>
  <c r="ESY6" i="263"/>
  <c r="ESY118" i="263" s="1"/>
  <c r="ESZ6" i="263"/>
  <c r="ESZ118" i="263" s="1"/>
  <c r="ETA6" i="263"/>
  <c r="ETA118" i="263" s="1"/>
  <c r="ETB6" i="263"/>
  <c r="ETB118" i="263" s="1"/>
  <c r="ETC6" i="263"/>
  <c r="ETC118" i="263" s="1"/>
  <c r="ETD6" i="263"/>
  <c r="ETD118" i="263" s="1"/>
  <c r="ETE6" i="263"/>
  <c r="ETE118" i="263" s="1"/>
  <c r="ETF6" i="263"/>
  <c r="ETF118" i="263" s="1"/>
  <c r="ETG6" i="263"/>
  <c r="ETG118" i="263" s="1"/>
  <c r="ETH6" i="263"/>
  <c r="ETH118" i="263" s="1"/>
  <c r="ETI6" i="263"/>
  <c r="ETI118" i="263" s="1"/>
  <c r="ETJ6" i="263"/>
  <c r="ETJ118" i="263" s="1"/>
  <c r="ETK6" i="263"/>
  <c r="ETK118" i="263" s="1"/>
  <c r="ETL6" i="263"/>
  <c r="ETL118" i="263" s="1"/>
  <c r="ETM6" i="263"/>
  <c r="ETM118" i="263" s="1"/>
  <c r="ETN6" i="263"/>
  <c r="ETN118" i="263" s="1"/>
  <c r="ETO6" i="263"/>
  <c r="ETO118" i="263" s="1"/>
  <c r="ETP6" i="263"/>
  <c r="ETP118" i="263" s="1"/>
  <c r="ETQ6" i="263"/>
  <c r="ETQ118" i="263" s="1"/>
  <c r="ETR6" i="263"/>
  <c r="ETR118" i="263" s="1"/>
  <c r="ETS6" i="263"/>
  <c r="ETS118" i="263" s="1"/>
  <c r="ETT6" i="263"/>
  <c r="ETT118" i="263" s="1"/>
  <c r="ETU6" i="263"/>
  <c r="ETU118" i="263" s="1"/>
  <c r="ETV6" i="263"/>
  <c r="ETV118" i="263" s="1"/>
  <c r="ETW6" i="263"/>
  <c r="ETW118" i="263" s="1"/>
  <c r="ETX6" i="263"/>
  <c r="ETX118" i="263" s="1"/>
  <c r="ETY6" i="263"/>
  <c r="ETY118" i="263" s="1"/>
  <c r="ETZ6" i="263"/>
  <c r="ETZ118" i="263" s="1"/>
  <c r="EUA6" i="263"/>
  <c r="EUA118" i="263" s="1"/>
  <c r="EUB6" i="263"/>
  <c r="EUB118" i="263" s="1"/>
  <c r="EUC6" i="263"/>
  <c r="EUC118" i="263" s="1"/>
  <c r="EUD6" i="263"/>
  <c r="EUD118" i="263" s="1"/>
  <c r="EUE6" i="263"/>
  <c r="EUE118" i="263" s="1"/>
  <c r="EUF6" i="263"/>
  <c r="EUF118" i="263" s="1"/>
  <c r="EUG6" i="263"/>
  <c r="EUG118" i="263" s="1"/>
  <c r="EUH6" i="263"/>
  <c r="EUH118" i="263" s="1"/>
  <c r="EUI6" i="263"/>
  <c r="EUI118" i="263" s="1"/>
  <c r="EUJ6" i="263"/>
  <c r="EUJ118" i="263" s="1"/>
  <c r="EUK6" i="263"/>
  <c r="EUK118" i="263" s="1"/>
  <c r="EUL6" i="263"/>
  <c r="EUL118" i="263" s="1"/>
  <c r="EUM6" i="263"/>
  <c r="EUM118" i="263" s="1"/>
  <c r="EUN6" i="263"/>
  <c r="EUN118" i="263" s="1"/>
  <c r="EUO6" i="263"/>
  <c r="EUO118" i="263" s="1"/>
  <c r="EUP6" i="263"/>
  <c r="EUP118" i="263" s="1"/>
  <c r="EUQ6" i="263"/>
  <c r="EUQ118" i="263" s="1"/>
  <c r="EUR6" i="263"/>
  <c r="EUR118" i="263" s="1"/>
  <c r="EUS6" i="263"/>
  <c r="EUS118" i="263" s="1"/>
  <c r="EUT6" i="263"/>
  <c r="EUT118" i="263" s="1"/>
  <c r="EUU6" i="263"/>
  <c r="EUU118" i="263" s="1"/>
  <c r="EUV6" i="263"/>
  <c r="EUV118" i="263" s="1"/>
  <c r="EUW6" i="263"/>
  <c r="EUW118" i="263" s="1"/>
  <c r="EUX6" i="263"/>
  <c r="EUX118" i="263" s="1"/>
  <c r="EUY6" i="263"/>
  <c r="EUY118" i="263" s="1"/>
  <c r="EUZ6" i="263"/>
  <c r="EUZ118" i="263" s="1"/>
  <c r="EVA6" i="263"/>
  <c r="EVA118" i="263" s="1"/>
  <c r="EVB6" i="263"/>
  <c r="EVB118" i="263" s="1"/>
  <c r="EVC6" i="263"/>
  <c r="EVC118" i="263" s="1"/>
  <c r="EVD6" i="263"/>
  <c r="EVD118" i="263" s="1"/>
  <c r="EVE6" i="263"/>
  <c r="EVE118" i="263" s="1"/>
  <c r="EVF6" i="263"/>
  <c r="EVF118" i="263" s="1"/>
  <c r="EVG6" i="263"/>
  <c r="EVG118" i="263" s="1"/>
  <c r="EVH6" i="263"/>
  <c r="EVH118" i="263" s="1"/>
  <c r="EVI6" i="263"/>
  <c r="EVI118" i="263" s="1"/>
  <c r="EVJ6" i="263"/>
  <c r="EVJ118" i="263" s="1"/>
  <c r="EVK6" i="263"/>
  <c r="EVK118" i="263" s="1"/>
  <c r="EVL6" i="263"/>
  <c r="EVL118" i="263" s="1"/>
  <c r="EVM6" i="263"/>
  <c r="EVM118" i="263" s="1"/>
  <c r="EVN6" i="263"/>
  <c r="EVN118" i="263" s="1"/>
  <c r="EVO6" i="263"/>
  <c r="EVO118" i="263" s="1"/>
  <c r="EVP6" i="263"/>
  <c r="EVP118" i="263" s="1"/>
  <c r="EVQ6" i="263"/>
  <c r="EVQ118" i="263" s="1"/>
  <c r="EVR6" i="263"/>
  <c r="EVR118" i="263" s="1"/>
  <c r="EVS6" i="263"/>
  <c r="EVS118" i="263" s="1"/>
  <c r="EVT6" i="263"/>
  <c r="EVT118" i="263" s="1"/>
  <c r="EVU6" i="263"/>
  <c r="EVU118" i="263" s="1"/>
  <c r="EVV6" i="263"/>
  <c r="EVV118" i="263" s="1"/>
  <c r="EVW6" i="263"/>
  <c r="EVW118" i="263" s="1"/>
  <c r="EVX6" i="263"/>
  <c r="EVX118" i="263" s="1"/>
  <c r="EVY6" i="263"/>
  <c r="EVY118" i="263" s="1"/>
  <c r="EVZ6" i="263"/>
  <c r="EVZ118" i="263" s="1"/>
  <c r="EWA6" i="263"/>
  <c r="EWA118" i="263" s="1"/>
  <c r="EWB6" i="263"/>
  <c r="EWB118" i="263" s="1"/>
  <c r="EWC6" i="263"/>
  <c r="EWC118" i="263" s="1"/>
  <c r="EWD6" i="263"/>
  <c r="EWD118" i="263" s="1"/>
  <c r="EWE6" i="263"/>
  <c r="EWE118" i="263" s="1"/>
  <c r="EWF6" i="263"/>
  <c r="EWF118" i="263" s="1"/>
  <c r="EWG6" i="263"/>
  <c r="EWG118" i="263" s="1"/>
  <c r="EWH6" i="263"/>
  <c r="EWH118" i="263" s="1"/>
  <c r="EWI6" i="263"/>
  <c r="EWI118" i="263" s="1"/>
  <c r="EWJ6" i="263"/>
  <c r="EWJ118" i="263" s="1"/>
  <c r="EWK6" i="263"/>
  <c r="EWK118" i="263" s="1"/>
  <c r="EWL6" i="263"/>
  <c r="EWL118" i="263" s="1"/>
  <c r="EWM6" i="263"/>
  <c r="EWM118" i="263" s="1"/>
  <c r="EWN6" i="263"/>
  <c r="EWN118" i="263" s="1"/>
  <c r="EWO6" i="263"/>
  <c r="EWO118" i="263" s="1"/>
  <c r="EWP6" i="263"/>
  <c r="EWP118" i="263" s="1"/>
  <c r="EWQ6" i="263"/>
  <c r="EWQ118" i="263" s="1"/>
  <c r="EWR6" i="263"/>
  <c r="EWR118" i="263" s="1"/>
  <c r="EWS6" i="263"/>
  <c r="EWS118" i="263" s="1"/>
  <c r="EWT6" i="263"/>
  <c r="EWT118" i="263" s="1"/>
  <c r="EWU6" i="263"/>
  <c r="EWU118" i="263" s="1"/>
  <c r="EWV6" i="263"/>
  <c r="EWV118" i="263" s="1"/>
  <c r="EWW6" i="263"/>
  <c r="EWW118" i="263" s="1"/>
  <c r="EWX6" i="263"/>
  <c r="EWX118" i="263" s="1"/>
  <c r="EWY6" i="263"/>
  <c r="EWY118" i="263" s="1"/>
  <c r="EWZ6" i="263"/>
  <c r="EWZ118" i="263" s="1"/>
  <c r="EXA6" i="263"/>
  <c r="EXA118" i="263" s="1"/>
  <c r="EXB6" i="263"/>
  <c r="EXB118" i="263" s="1"/>
  <c r="EXC6" i="263"/>
  <c r="EXC118" i="263" s="1"/>
  <c r="EXD6" i="263"/>
  <c r="EXD118" i="263" s="1"/>
  <c r="EXE6" i="263"/>
  <c r="EXE118" i="263" s="1"/>
  <c r="EXF6" i="263"/>
  <c r="EXF118" i="263" s="1"/>
  <c r="EXG6" i="263"/>
  <c r="EXG118" i="263" s="1"/>
  <c r="EXH6" i="263"/>
  <c r="EXH118" i="263" s="1"/>
  <c r="EXI6" i="263"/>
  <c r="EXI118" i="263" s="1"/>
  <c r="EXJ6" i="263"/>
  <c r="EXJ118" i="263" s="1"/>
  <c r="EXK6" i="263"/>
  <c r="EXK118" i="263" s="1"/>
  <c r="EXL6" i="263"/>
  <c r="EXL118" i="263" s="1"/>
  <c r="EXM6" i="263"/>
  <c r="EXM118" i="263" s="1"/>
  <c r="EXN6" i="263"/>
  <c r="EXN118" i="263" s="1"/>
  <c r="EXO6" i="263"/>
  <c r="EXO118" i="263" s="1"/>
  <c r="EXP6" i="263"/>
  <c r="EXP118" i="263" s="1"/>
  <c r="EXQ6" i="263"/>
  <c r="EXQ118" i="263" s="1"/>
  <c r="EXR6" i="263"/>
  <c r="EXR118" i="263" s="1"/>
  <c r="EXS6" i="263"/>
  <c r="EXS118" i="263" s="1"/>
  <c r="EXT6" i="263"/>
  <c r="EXT118" i="263" s="1"/>
  <c r="EXU6" i="263"/>
  <c r="EXU118" i="263" s="1"/>
  <c r="EXV6" i="263"/>
  <c r="EXV118" i="263" s="1"/>
  <c r="EXW6" i="263"/>
  <c r="EXW118" i="263" s="1"/>
  <c r="EXX6" i="263"/>
  <c r="EXX118" i="263" s="1"/>
  <c r="EXY6" i="263"/>
  <c r="EXY118" i="263" s="1"/>
  <c r="EXZ6" i="263"/>
  <c r="EXZ118" i="263" s="1"/>
  <c r="EYA6" i="263"/>
  <c r="EYA118" i="263" s="1"/>
  <c r="EYB6" i="263"/>
  <c r="EYB118" i="263" s="1"/>
  <c r="EYC6" i="263"/>
  <c r="EYC118" i="263" s="1"/>
  <c r="EYD6" i="263"/>
  <c r="EYD118" i="263" s="1"/>
  <c r="EYE6" i="263"/>
  <c r="EYE118" i="263" s="1"/>
  <c r="EYF6" i="263"/>
  <c r="EYF118" i="263" s="1"/>
  <c r="EYG6" i="263"/>
  <c r="EYG118" i="263" s="1"/>
  <c r="EYH6" i="263"/>
  <c r="EYH118" i="263" s="1"/>
  <c r="EYI6" i="263"/>
  <c r="EYI118" i="263" s="1"/>
  <c r="EYJ6" i="263"/>
  <c r="EYJ118" i="263" s="1"/>
  <c r="EYK6" i="263"/>
  <c r="EYK118" i="263" s="1"/>
  <c r="EYL6" i="263"/>
  <c r="EYL118" i="263" s="1"/>
  <c r="EYM6" i="263"/>
  <c r="EYM118" i="263" s="1"/>
  <c r="EYN6" i="263"/>
  <c r="EYN118" i="263" s="1"/>
  <c r="EYO6" i="263"/>
  <c r="EYO118" i="263" s="1"/>
  <c r="EYP6" i="263"/>
  <c r="EYP118" i="263" s="1"/>
  <c r="EYQ6" i="263"/>
  <c r="EYQ118" i="263" s="1"/>
  <c r="EYR6" i="263"/>
  <c r="EYR118" i="263" s="1"/>
  <c r="EYS6" i="263"/>
  <c r="EYS118" i="263" s="1"/>
  <c r="EYT6" i="263"/>
  <c r="EYT118" i="263" s="1"/>
  <c r="EYU6" i="263"/>
  <c r="EYU118" i="263" s="1"/>
  <c r="EYV6" i="263"/>
  <c r="EYV118" i="263" s="1"/>
  <c r="EYW6" i="263"/>
  <c r="EYW118" i="263" s="1"/>
  <c r="EYX6" i="263"/>
  <c r="EYX118" i="263" s="1"/>
  <c r="EYY6" i="263"/>
  <c r="EYY118" i="263" s="1"/>
  <c r="EYZ6" i="263"/>
  <c r="EYZ118" i="263" s="1"/>
  <c r="EZA6" i="263"/>
  <c r="EZA118" i="263" s="1"/>
  <c r="EZB6" i="263"/>
  <c r="EZB118" i="263" s="1"/>
  <c r="EZC6" i="263"/>
  <c r="EZC118" i="263" s="1"/>
  <c r="EZD6" i="263"/>
  <c r="EZD118" i="263" s="1"/>
  <c r="EZE6" i="263"/>
  <c r="EZE118" i="263" s="1"/>
  <c r="EZF6" i="263"/>
  <c r="EZF118" i="263" s="1"/>
  <c r="EZG6" i="263"/>
  <c r="EZG118" i="263" s="1"/>
  <c r="EZH6" i="263"/>
  <c r="EZH118" i="263" s="1"/>
  <c r="EZI6" i="263"/>
  <c r="EZI118" i="263" s="1"/>
  <c r="EZJ6" i="263"/>
  <c r="EZJ118" i="263" s="1"/>
  <c r="EZK6" i="263"/>
  <c r="EZK118" i="263" s="1"/>
  <c r="EZL6" i="263"/>
  <c r="EZL118" i="263" s="1"/>
  <c r="EZM6" i="263"/>
  <c r="EZM118" i="263" s="1"/>
  <c r="EZN6" i="263"/>
  <c r="EZN118" i="263" s="1"/>
  <c r="EZO6" i="263"/>
  <c r="EZO118" i="263" s="1"/>
  <c r="EZP6" i="263"/>
  <c r="EZP118" i="263" s="1"/>
  <c r="EZQ6" i="263"/>
  <c r="EZQ118" i="263" s="1"/>
  <c r="EZR6" i="263"/>
  <c r="EZR118" i="263" s="1"/>
  <c r="EZS6" i="263"/>
  <c r="EZS118" i="263" s="1"/>
  <c r="EZT6" i="263"/>
  <c r="EZT118" i="263" s="1"/>
  <c r="EZU6" i="263"/>
  <c r="EZU118" i="263" s="1"/>
  <c r="EZV6" i="263"/>
  <c r="EZV118" i="263" s="1"/>
  <c r="EZW6" i="263"/>
  <c r="EZW118" i="263" s="1"/>
  <c r="EZX6" i="263"/>
  <c r="EZX118" i="263" s="1"/>
  <c r="EZY6" i="263"/>
  <c r="EZY118" i="263" s="1"/>
  <c r="EZZ6" i="263"/>
  <c r="EZZ118" i="263" s="1"/>
  <c r="FAA6" i="263"/>
  <c r="FAA118" i="263" s="1"/>
  <c r="FAB6" i="263"/>
  <c r="FAB118" i="263" s="1"/>
  <c r="FAC6" i="263"/>
  <c r="FAC118" i="263" s="1"/>
  <c r="FAD6" i="263"/>
  <c r="FAD118" i="263" s="1"/>
  <c r="FAE6" i="263"/>
  <c r="FAE118" i="263" s="1"/>
  <c r="FAF6" i="263"/>
  <c r="FAF118" i="263" s="1"/>
  <c r="FAG6" i="263"/>
  <c r="FAG118" i="263" s="1"/>
  <c r="FAH6" i="263"/>
  <c r="FAH118" i="263" s="1"/>
  <c r="FAI6" i="263"/>
  <c r="FAI118" i="263" s="1"/>
  <c r="FAJ6" i="263"/>
  <c r="FAJ118" i="263" s="1"/>
  <c r="FAK6" i="263"/>
  <c r="FAK118" i="263" s="1"/>
  <c r="FAL6" i="263"/>
  <c r="FAL118" i="263" s="1"/>
  <c r="FAM6" i="263"/>
  <c r="FAM118" i="263" s="1"/>
  <c r="FAN6" i="263"/>
  <c r="FAN118" i="263" s="1"/>
  <c r="FAO6" i="263"/>
  <c r="FAO118" i="263" s="1"/>
  <c r="FAP6" i="263"/>
  <c r="FAP118" i="263" s="1"/>
  <c r="FAQ6" i="263"/>
  <c r="FAQ118" i="263" s="1"/>
  <c r="FAR6" i="263"/>
  <c r="FAR118" i="263" s="1"/>
  <c r="FAS6" i="263"/>
  <c r="FAS118" i="263" s="1"/>
  <c r="FAT6" i="263"/>
  <c r="FAT118" i="263" s="1"/>
  <c r="FAU6" i="263"/>
  <c r="FAU118" i="263" s="1"/>
  <c r="FAV6" i="263"/>
  <c r="FAV118" i="263" s="1"/>
  <c r="FAW6" i="263"/>
  <c r="FAW118" i="263" s="1"/>
  <c r="FAX6" i="263"/>
  <c r="FAX118" i="263" s="1"/>
  <c r="FAY6" i="263"/>
  <c r="FAY118" i="263" s="1"/>
  <c r="FAZ6" i="263"/>
  <c r="FAZ118" i="263" s="1"/>
  <c r="FBA6" i="263"/>
  <c r="FBA118" i="263" s="1"/>
  <c r="FBB6" i="263"/>
  <c r="FBB118" i="263" s="1"/>
  <c r="FBC6" i="263"/>
  <c r="FBC118" i="263" s="1"/>
  <c r="FBD6" i="263"/>
  <c r="FBD118" i="263" s="1"/>
  <c r="FBE6" i="263"/>
  <c r="FBE118" i="263" s="1"/>
  <c r="FBF6" i="263"/>
  <c r="FBF118" i="263" s="1"/>
  <c r="FBG6" i="263"/>
  <c r="FBG118" i="263" s="1"/>
  <c r="FBH6" i="263"/>
  <c r="FBH118" i="263" s="1"/>
  <c r="FBI6" i="263"/>
  <c r="FBI118" i="263" s="1"/>
  <c r="FBJ6" i="263"/>
  <c r="FBJ118" i="263" s="1"/>
  <c r="FBK6" i="263"/>
  <c r="FBK118" i="263" s="1"/>
  <c r="FBL6" i="263"/>
  <c r="FBL118" i="263" s="1"/>
  <c r="FBM6" i="263"/>
  <c r="FBM118" i="263" s="1"/>
  <c r="FBN6" i="263"/>
  <c r="FBN118" i="263" s="1"/>
  <c r="FBO6" i="263"/>
  <c r="FBO118" i="263" s="1"/>
  <c r="FBP6" i="263"/>
  <c r="FBP118" i="263" s="1"/>
  <c r="FBQ6" i="263"/>
  <c r="FBQ118" i="263" s="1"/>
  <c r="FBR6" i="263"/>
  <c r="FBR118" i="263" s="1"/>
  <c r="FBS6" i="263"/>
  <c r="FBS118" i="263" s="1"/>
  <c r="FBT6" i="263"/>
  <c r="FBT118" i="263" s="1"/>
  <c r="FBU6" i="263"/>
  <c r="FBU118" i="263" s="1"/>
  <c r="FBV6" i="263"/>
  <c r="FBV118" i="263" s="1"/>
  <c r="FBW6" i="263"/>
  <c r="FBW118" i="263" s="1"/>
  <c r="FBX6" i="263"/>
  <c r="FBX118" i="263" s="1"/>
  <c r="FBY6" i="263"/>
  <c r="FBY118" i="263" s="1"/>
  <c r="FBZ6" i="263"/>
  <c r="FBZ118" i="263" s="1"/>
  <c r="FCA6" i="263"/>
  <c r="FCA118" i="263" s="1"/>
  <c r="FCB6" i="263"/>
  <c r="FCB118" i="263" s="1"/>
  <c r="FCC6" i="263"/>
  <c r="FCC118" i="263" s="1"/>
  <c r="FCD6" i="263"/>
  <c r="FCD118" i="263" s="1"/>
  <c r="FCE6" i="263"/>
  <c r="FCE118" i="263" s="1"/>
  <c r="FCF6" i="263"/>
  <c r="FCF118" i="263" s="1"/>
  <c r="FCG6" i="263"/>
  <c r="FCG118" i="263" s="1"/>
  <c r="FCH6" i="263"/>
  <c r="FCH118" i="263" s="1"/>
  <c r="FCI6" i="263"/>
  <c r="FCI118" i="263" s="1"/>
  <c r="FCJ6" i="263"/>
  <c r="FCJ118" i="263" s="1"/>
  <c r="FCK6" i="263"/>
  <c r="FCK118" i="263" s="1"/>
  <c r="FCL6" i="263"/>
  <c r="FCL118" i="263" s="1"/>
  <c r="FCM6" i="263"/>
  <c r="FCM118" i="263" s="1"/>
  <c r="FCN6" i="263"/>
  <c r="FCN118" i="263" s="1"/>
  <c r="FCO6" i="263"/>
  <c r="FCO118" i="263" s="1"/>
  <c r="FCP6" i="263"/>
  <c r="FCP118" i="263" s="1"/>
  <c r="FCQ6" i="263"/>
  <c r="FCQ118" i="263" s="1"/>
  <c r="FCR6" i="263"/>
  <c r="FCR118" i="263" s="1"/>
  <c r="FCS6" i="263"/>
  <c r="FCS118" i="263" s="1"/>
  <c r="FCT6" i="263"/>
  <c r="FCT118" i="263" s="1"/>
  <c r="FCU6" i="263"/>
  <c r="FCU118" i="263" s="1"/>
  <c r="FCV6" i="263"/>
  <c r="FCV118" i="263" s="1"/>
  <c r="FCW6" i="263"/>
  <c r="FCW118" i="263" s="1"/>
  <c r="FCX6" i="263"/>
  <c r="FCX118" i="263" s="1"/>
  <c r="FCY6" i="263"/>
  <c r="FCY118" i="263" s="1"/>
  <c r="FCZ6" i="263"/>
  <c r="FCZ118" i="263" s="1"/>
  <c r="FDA6" i="263"/>
  <c r="FDA118" i="263" s="1"/>
  <c r="FDB6" i="263"/>
  <c r="FDB118" i="263" s="1"/>
  <c r="FDC6" i="263"/>
  <c r="FDC118" i="263" s="1"/>
  <c r="FDD6" i="263"/>
  <c r="FDD118" i="263" s="1"/>
  <c r="FDE6" i="263"/>
  <c r="FDE118" i="263" s="1"/>
  <c r="FDF6" i="263"/>
  <c r="FDF118" i="263" s="1"/>
  <c r="FDG6" i="263"/>
  <c r="FDG118" i="263" s="1"/>
  <c r="FDH6" i="263"/>
  <c r="FDH118" i="263" s="1"/>
  <c r="FDI6" i="263"/>
  <c r="FDI118" i="263" s="1"/>
  <c r="FDJ6" i="263"/>
  <c r="FDJ118" i="263" s="1"/>
  <c r="FDK6" i="263"/>
  <c r="FDK118" i="263" s="1"/>
  <c r="FDL6" i="263"/>
  <c r="FDL118" i="263" s="1"/>
  <c r="FDM6" i="263"/>
  <c r="FDM118" i="263" s="1"/>
  <c r="FDN6" i="263"/>
  <c r="FDN118" i="263" s="1"/>
  <c r="FDO6" i="263"/>
  <c r="FDO118" i="263" s="1"/>
  <c r="FDP6" i="263"/>
  <c r="FDP118" i="263" s="1"/>
  <c r="FDQ6" i="263"/>
  <c r="FDQ118" i="263" s="1"/>
  <c r="FDR6" i="263"/>
  <c r="FDR118" i="263" s="1"/>
  <c r="FDS6" i="263"/>
  <c r="FDS118" i="263" s="1"/>
  <c r="FDT6" i="263"/>
  <c r="FDT118" i="263" s="1"/>
  <c r="FDU6" i="263"/>
  <c r="FDU118" i="263" s="1"/>
  <c r="FDV6" i="263"/>
  <c r="FDV118" i="263" s="1"/>
  <c r="FDW6" i="263"/>
  <c r="FDW118" i="263" s="1"/>
  <c r="FDX6" i="263"/>
  <c r="FDX118" i="263" s="1"/>
  <c r="FDY6" i="263"/>
  <c r="FDY118" i="263" s="1"/>
  <c r="FDZ6" i="263"/>
  <c r="FDZ118" i="263" s="1"/>
  <c r="FEA6" i="263"/>
  <c r="FEA118" i="263" s="1"/>
  <c r="FEB6" i="263"/>
  <c r="FEB118" i="263" s="1"/>
  <c r="FEC6" i="263"/>
  <c r="FEC118" i="263" s="1"/>
  <c r="FED6" i="263"/>
  <c r="FED118" i="263" s="1"/>
  <c r="FEE6" i="263"/>
  <c r="FEE118" i="263" s="1"/>
  <c r="FEF6" i="263"/>
  <c r="FEF118" i="263" s="1"/>
  <c r="FEG6" i="263"/>
  <c r="FEG118" i="263" s="1"/>
  <c r="FEH6" i="263"/>
  <c r="FEH118" i="263" s="1"/>
  <c r="FEI6" i="263"/>
  <c r="FEI118" i="263" s="1"/>
  <c r="FEJ6" i="263"/>
  <c r="FEJ118" i="263" s="1"/>
  <c r="FEK6" i="263"/>
  <c r="FEK118" i="263" s="1"/>
  <c r="FEL6" i="263"/>
  <c r="FEL118" i="263" s="1"/>
  <c r="FEM6" i="263"/>
  <c r="FEM118" i="263" s="1"/>
  <c r="FEN6" i="263"/>
  <c r="FEN118" i="263" s="1"/>
  <c r="FEO6" i="263"/>
  <c r="FEO118" i="263" s="1"/>
  <c r="FEP6" i="263"/>
  <c r="FEP118" i="263" s="1"/>
  <c r="FEQ6" i="263"/>
  <c r="FEQ118" i="263" s="1"/>
  <c r="FER6" i="263"/>
  <c r="FER118" i="263" s="1"/>
  <c r="FES6" i="263"/>
  <c r="FES118" i="263" s="1"/>
  <c r="FET6" i="263"/>
  <c r="FET118" i="263" s="1"/>
  <c r="FEU6" i="263"/>
  <c r="FEU118" i="263" s="1"/>
  <c r="FEV6" i="263"/>
  <c r="FEV118" i="263" s="1"/>
  <c r="FEW6" i="263"/>
  <c r="FEW118" i="263" s="1"/>
  <c r="FEX6" i="263"/>
  <c r="FEX118" i="263" s="1"/>
  <c r="FEY6" i="263"/>
  <c r="FEY118" i="263" s="1"/>
  <c r="FEZ6" i="263"/>
  <c r="FEZ118" i="263" s="1"/>
  <c r="FFA6" i="263"/>
  <c r="FFA118" i="263" s="1"/>
  <c r="FFB6" i="263"/>
  <c r="FFB118" i="263" s="1"/>
  <c r="FFC6" i="263"/>
  <c r="FFC118" i="263" s="1"/>
  <c r="FFD6" i="263"/>
  <c r="FFD118" i="263" s="1"/>
  <c r="FFE6" i="263"/>
  <c r="FFE118" i="263" s="1"/>
  <c r="FFF6" i="263"/>
  <c r="FFF118" i="263" s="1"/>
  <c r="FFG6" i="263"/>
  <c r="FFG118" i="263" s="1"/>
  <c r="FFH6" i="263"/>
  <c r="FFH118" i="263" s="1"/>
  <c r="FFI6" i="263"/>
  <c r="FFI118" i="263" s="1"/>
  <c r="FFJ6" i="263"/>
  <c r="FFJ118" i="263" s="1"/>
  <c r="FFK6" i="263"/>
  <c r="FFK118" i="263" s="1"/>
  <c r="FFL6" i="263"/>
  <c r="FFL118" i="263" s="1"/>
  <c r="FFM6" i="263"/>
  <c r="FFM118" i="263" s="1"/>
  <c r="FFN6" i="263"/>
  <c r="FFN118" i="263" s="1"/>
  <c r="FFO6" i="263"/>
  <c r="FFO118" i="263" s="1"/>
  <c r="FFP6" i="263"/>
  <c r="FFP118" i="263" s="1"/>
  <c r="FFQ6" i="263"/>
  <c r="FFQ118" i="263" s="1"/>
  <c r="FFR6" i="263"/>
  <c r="FFR118" i="263" s="1"/>
  <c r="FFS6" i="263"/>
  <c r="FFS118" i="263" s="1"/>
  <c r="FFT6" i="263"/>
  <c r="FFT118" i="263" s="1"/>
  <c r="FFU6" i="263"/>
  <c r="FFU118" i="263" s="1"/>
  <c r="FFV6" i="263"/>
  <c r="FFV118" i="263" s="1"/>
  <c r="FFW6" i="263"/>
  <c r="FFW118" i="263" s="1"/>
  <c r="FFX6" i="263"/>
  <c r="FFX118" i="263" s="1"/>
  <c r="FFY6" i="263"/>
  <c r="FFY118" i="263" s="1"/>
  <c r="FFZ6" i="263"/>
  <c r="FFZ118" i="263" s="1"/>
  <c r="FGA6" i="263"/>
  <c r="FGA118" i="263" s="1"/>
  <c r="FGB6" i="263"/>
  <c r="FGB118" i="263" s="1"/>
  <c r="FGC6" i="263"/>
  <c r="FGC118" i="263" s="1"/>
  <c r="FGD6" i="263"/>
  <c r="FGD118" i="263" s="1"/>
  <c r="FGE6" i="263"/>
  <c r="FGE118" i="263" s="1"/>
  <c r="FGF6" i="263"/>
  <c r="FGF118" i="263" s="1"/>
  <c r="FGG6" i="263"/>
  <c r="FGG118" i="263" s="1"/>
  <c r="FGH6" i="263"/>
  <c r="FGH118" i="263" s="1"/>
  <c r="FGI6" i="263"/>
  <c r="FGI118" i="263" s="1"/>
  <c r="FGJ6" i="263"/>
  <c r="FGJ118" i="263" s="1"/>
  <c r="FGK6" i="263"/>
  <c r="FGK118" i="263" s="1"/>
  <c r="FGL6" i="263"/>
  <c r="FGL118" i="263" s="1"/>
  <c r="FGM6" i="263"/>
  <c r="FGM118" i="263" s="1"/>
  <c r="FGN6" i="263"/>
  <c r="FGN118" i="263" s="1"/>
  <c r="FGO6" i="263"/>
  <c r="FGO118" i="263" s="1"/>
  <c r="FGP6" i="263"/>
  <c r="FGP118" i="263" s="1"/>
  <c r="FGQ6" i="263"/>
  <c r="FGQ118" i="263" s="1"/>
  <c r="FGR6" i="263"/>
  <c r="FGR118" i="263" s="1"/>
  <c r="FGS6" i="263"/>
  <c r="FGS118" i="263" s="1"/>
  <c r="FGT6" i="263"/>
  <c r="FGT118" i="263" s="1"/>
  <c r="FGU6" i="263"/>
  <c r="FGU118" i="263" s="1"/>
  <c r="FGV6" i="263"/>
  <c r="FGV118" i="263" s="1"/>
  <c r="FGW6" i="263"/>
  <c r="FGW118" i="263" s="1"/>
  <c r="FGX6" i="263"/>
  <c r="FGX118" i="263" s="1"/>
  <c r="FGY6" i="263"/>
  <c r="FGY118" i="263" s="1"/>
  <c r="FGZ6" i="263"/>
  <c r="FGZ118" i="263" s="1"/>
  <c r="FHA6" i="263"/>
  <c r="FHA118" i="263" s="1"/>
  <c r="FHB6" i="263"/>
  <c r="FHB118" i="263" s="1"/>
  <c r="FHC6" i="263"/>
  <c r="FHC118" i="263" s="1"/>
  <c r="FHD6" i="263"/>
  <c r="FHD118" i="263" s="1"/>
  <c r="FHE6" i="263"/>
  <c r="FHE118" i="263" s="1"/>
  <c r="FHF6" i="263"/>
  <c r="FHF118" i="263" s="1"/>
  <c r="FHG6" i="263"/>
  <c r="FHG118" i="263" s="1"/>
  <c r="FHH6" i="263"/>
  <c r="FHH118" i="263" s="1"/>
  <c r="FHI6" i="263"/>
  <c r="FHI118" i="263" s="1"/>
  <c r="FHJ6" i="263"/>
  <c r="FHJ118" i="263" s="1"/>
  <c r="FHK6" i="263"/>
  <c r="FHK118" i="263" s="1"/>
  <c r="FHL6" i="263"/>
  <c r="FHL118" i="263" s="1"/>
  <c r="FHM6" i="263"/>
  <c r="FHM118" i="263" s="1"/>
  <c r="FHN6" i="263"/>
  <c r="FHN118" i="263" s="1"/>
  <c r="FHO6" i="263"/>
  <c r="FHO118" i="263" s="1"/>
  <c r="FHP6" i="263"/>
  <c r="FHP118" i="263" s="1"/>
  <c r="FHQ6" i="263"/>
  <c r="FHQ118" i="263" s="1"/>
  <c r="FHR6" i="263"/>
  <c r="FHR118" i="263" s="1"/>
  <c r="FHS6" i="263"/>
  <c r="FHS118" i="263" s="1"/>
  <c r="FHT6" i="263"/>
  <c r="FHT118" i="263" s="1"/>
  <c r="FHU6" i="263"/>
  <c r="FHU118" i="263" s="1"/>
  <c r="FHV6" i="263"/>
  <c r="FHV118" i="263" s="1"/>
  <c r="FHW6" i="263"/>
  <c r="FHW118" i="263" s="1"/>
  <c r="FHX6" i="263"/>
  <c r="FHX118" i="263" s="1"/>
  <c r="FHY6" i="263"/>
  <c r="FHY118" i="263" s="1"/>
  <c r="FHZ6" i="263"/>
  <c r="FHZ118" i="263" s="1"/>
  <c r="FIA6" i="263"/>
  <c r="FIA118" i="263" s="1"/>
  <c r="FIB6" i="263"/>
  <c r="FIB118" i="263" s="1"/>
  <c r="FIC6" i="263"/>
  <c r="FIC118" i="263" s="1"/>
  <c r="FID6" i="263"/>
  <c r="FID118" i="263" s="1"/>
  <c r="FIE6" i="263"/>
  <c r="FIE118" i="263" s="1"/>
  <c r="FIF6" i="263"/>
  <c r="FIF118" i="263" s="1"/>
  <c r="FIG6" i="263"/>
  <c r="FIG118" i="263" s="1"/>
  <c r="FIH6" i="263"/>
  <c r="FIH118" i="263" s="1"/>
  <c r="FII6" i="263"/>
  <c r="FII118" i="263" s="1"/>
  <c r="FIJ6" i="263"/>
  <c r="FIJ118" i="263" s="1"/>
  <c r="FIK6" i="263"/>
  <c r="FIK118" i="263" s="1"/>
  <c r="FIL6" i="263"/>
  <c r="FIL118" i="263" s="1"/>
  <c r="FIM6" i="263"/>
  <c r="FIM118" i="263" s="1"/>
  <c r="FIN6" i="263"/>
  <c r="FIN118" i="263" s="1"/>
  <c r="FIO6" i="263"/>
  <c r="FIO118" i="263" s="1"/>
  <c r="FIP6" i="263"/>
  <c r="FIP118" i="263" s="1"/>
  <c r="FIQ6" i="263"/>
  <c r="FIQ118" i="263" s="1"/>
  <c r="FIR6" i="263"/>
  <c r="FIR118" i="263" s="1"/>
  <c r="FIS6" i="263"/>
  <c r="FIS118" i="263" s="1"/>
  <c r="FIT6" i="263"/>
  <c r="FIT118" i="263" s="1"/>
  <c r="FIU6" i="263"/>
  <c r="FIU118" i="263" s="1"/>
  <c r="FIV6" i="263"/>
  <c r="FIV118" i="263" s="1"/>
  <c r="FIW6" i="263"/>
  <c r="FIW118" i="263" s="1"/>
  <c r="FIX6" i="263"/>
  <c r="FIX118" i="263" s="1"/>
  <c r="FIY6" i="263"/>
  <c r="FIY118" i="263" s="1"/>
  <c r="FIZ6" i="263"/>
  <c r="FIZ118" i="263" s="1"/>
  <c r="FJA6" i="263"/>
  <c r="FJA118" i="263" s="1"/>
  <c r="FJB6" i="263"/>
  <c r="FJB118" i="263" s="1"/>
  <c r="FJC6" i="263"/>
  <c r="FJC118" i="263" s="1"/>
  <c r="FJD6" i="263"/>
  <c r="FJD118" i="263" s="1"/>
  <c r="FJE6" i="263"/>
  <c r="FJE118" i="263" s="1"/>
  <c r="FJF6" i="263"/>
  <c r="FJF118" i="263" s="1"/>
  <c r="FJG6" i="263"/>
  <c r="FJG118" i="263" s="1"/>
  <c r="FJH6" i="263"/>
  <c r="FJH118" i="263" s="1"/>
  <c r="FJI6" i="263"/>
  <c r="FJI118" i="263" s="1"/>
  <c r="FJJ6" i="263"/>
  <c r="FJJ118" i="263" s="1"/>
  <c r="FJK6" i="263"/>
  <c r="FJK118" i="263" s="1"/>
  <c r="FJL6" i="263"/>
  <c r="FJL118" i="263" s="1"/>
  <c r="FJM6" i="263"/>
  <c r="FJM118" i="263" s="1"/>
  <c r="FJN6" i="263"/>
  <c r="FJN118" i="263" s="1"/>
  <c r="FJO6" i="263"/>
  <c r="FJO118" i="263" s="1"/>
  <c r="FJP6" i="263"/>
  <c r="FJP118" i="263" s="1"/>
  <c r="FJQ6" i="263"/>
  <c r="FJQ118" i="263" s="1"/>
  <c r="FJR6" i="263"/>
  <c r="FJR118" i="263" s="1"/>
  <c r="FJS6" i="263"/>
  <c r="FJS118" i="263" s="1"/>
  <c r="FJT6" i="263"/>
  <c r="FJT118" i="263" s="1"/>
  <c r="FJU6" i="263"/>
  <c r="FJU118" i="263" s="1"/>
  <c r="FJV6" i="263"/>
  <c r="FJV118" i="263" s="1"/>
  <c r="FJW6" i="263"/>
  <c r="FJW118" i="263" s="1"/>
  <c r="FJX6" i="263"/>
  <c r="FJX118" i="263" s="1"/>
  <c r="FJY6" i="263"/>
  <c r="FJY118" i="263" s="1"/>
  <c r="FJZ6" i="263"/>
  <c r="FJZ118" i="263" s="1"/>
  <c r="FKA6" i="263"/>
  <c r="FKA118" i="263" s="1"/>
  <c r="FKB6" i="263"/>
  <c r="FKB118" i="263" s="1"/>
  <c r="FKC6" i="263"/>
  <c r="FKC118" i="263" s="1"/>
  <c r="FKD6" i="263"/>
  <c r="FKD118" i="263" s="1"/>
  <c r="FKE6" i="263"/>
  <c r="FKE118" i="263" s="1"/>
  <c r="FKF6" i="263"/>
  <c r="FKF118" i="263" s="1"/>
  <c r="FKG6" i="263"/>
  <c r="FKG118" i="263" s="1"/>
  <c r="FKH6" i="263"/>
  <c r="FKH118" i="263" s="1"/>
  <c r="FKI6" i="263"/>
  <c r="FKI118" i="263" s="1"/>
  <c r="FKJ6" i="263"/>
  <c r="FKJ118" i="263" s="1"/>
  <c r="FKK6" i="263"/>
  <c r="FKK118" i="263" s="1"/>
  <c r="FKL6" i="263"/>
  <c r="FKL118" i="263" s="1"/>
  <c r="FKM6" i="263"/>
  <c r="FKM118" i="263" s="1"/>
  <c r="FKN6" i="263"/>
  <c r="FKN118" i="263" s="1"/>
  <c r="FKO6" i="263"/>
  <c r="FKO118" i="263" s="1"/>
  <c r="FKP6" i="263"/>
  <c r="FKP118" i="263" s="1"/>
  <c r="FKQ6" i="263"/>
  <c r="FKQ118" i="263" s="1"/>
  <c r="FKR6" i="263"/>
  <c r="FKR118" i="263" s="1"/>
  <c r="FKS6" i="263"/>
  <c r="FKS118" i="263" s="1"/>
  <c r="FKT6" i="263"/>
  <c r="FKT118" i="263" s="1"/>
  <c r="FKU6" i="263"/>
  <c r="FKU118" i="263" s="1"/>
  <c r="FKV6" i="263"/>
  <c r="FKV118" i="263" s="1"/>
  <c r="FKW6" i="263"/>
  <c r="FKW118" i="263" s="1"/>
  <c r="FKX6" i="263"/>
  <c r="FKX118" i="263" s="1"/>
  <c r="FKY6" i="263"/>
  <c r="FKY118" i="263" s="1"/>
  <c r="FKZ6" i="263"/>
  <c r="FKZ118" i="263" s="1"/>
  <c r="FLA6" i="263"/>
  <c r="FLA118" i="263" s="1"/>
  <c r="FLB6" i="263"/>
  <c r="FLB118" i="263" s="1"/>
  <c r="FLC6" i="263"/>
  <c r="FLC118" i="263" s="1"/>
  <c r="FLD6" i="263"/>
  <c r="FLD118" i="263" s="1"/>
  <c r="FLE6" i="263"/>
  <c r="FLE118" i="263" s="1"/>
  <c r="FLF6" i="263"/>
  <c r="FLF118" i="263" s="1"/>
  <c r="FLG6" i="263"/>
  <c r="FLG118" i="263" s="1"/>
  <c r="FLH6" i="263"/>
  <c r="FLH118" i="263" s="1"/>
  <c r="FLI6" i="263"/>
  <c r="FLI118" i="263" s="1"/>
  <c r="FLJ6" i="263"/>
  <c r="FLJ118" i="263" s="1"/>
  <c r="FLK6" i="263"/>
  <c r="FLK118" i="263" s="1"/>
  <c r="FLL6" i="263"/>
  <c r="FLL118" i="263" s="1"/>
  <c r="FLM6" i="263"/>
  <c r="FLM118" i="263" s="1"/>
  <c r="FLN6" i="263"/>
  <c r="FLN118" i="263" s="1"/>
  <c r="FLO6" i="263"/>
  <c r="FLO118" i="263" s="1"/>
  <c r="FLP6" i="263"/>
  <c r="FLP118" i="263" s="1"/>
  <c r="FLQ6" i="263"/>
  <c r="FLQ118" i="263" s="1"/>
  <c r="FLR6" i="263"/>
  <c r="FLR118" i="263" s="1"/>
  <c r="FLS6" i="263"/>
  <c r="FLS118" i="263" s="1"/>
  <c r="FLT6" i="263"/>
  <c r="FLT118" i="263" s="1"/>
  <c r="FLU6" i="263"/>
  <c r="FLU118" i="263" s="1"/>
  <c r="FLV6" i="263"/>
  <c r="FLV118" i="263" s="1"/>
  <c r="FLW6" i="263"/>
  <c r="FLW118" i="263" s="1"/>
  <c r="FLX6" i="263"/>
  <c r="FLX118" i="263" s="1"/>
  <c r="FLY6" i="263"/>
  <c r="FLY118" i="263" s="1"/>
  <c r="FLZ6" i="263"/>
  <c r="FLZ118" i="263" s="1"/>
  <c r="FMA6" i="263"/>
  <c r="FMA118" i="263" s="1"/>
  <c r="FMB6" i="263"/>
  <c r="FMB118" i="263" s="1"/>
  <c r="FMC6" i="263"/>
  <c r="FMC118" i="263" s="1"/>
  <c r="FMD6" i="263"/>
  <c r="FMD118" i="263" s="1"/>
  <c r="FME6" i="263"/>
  <c r="FME118" i="263" s="1"/>
  <c r="FMF6" i="263"/>
  <c r="FMF118" i="263" s="1"/>
  <c r="FMG6" i="263"/>
  <c r="FMG118" i="263" s="1"/>
  <c r="FMH6" i="263"/>
  <c r="FMH118" i="263" s="1"/>
  <c r="FMI6" i="263"/>
  <c r="FMI118" i="263" s="1"/>
  <c r="FMJ6" i="263"/>
  <c r="FMJ118" i="263" s="1"/>
  <c r="FMK6" i="263"/>
  <c r="FMK118" i="263" s="1"/>
  <c r="FML6" i="263"/>
  <c r="FML118" i="263" s="1"/>
  <c r="FMM6" i="263"/>
  <c r="FMM118" i="263" s="1"/>
  <c r="FMN6" i="263"/>
  <c r="FMN118" i="263" s="1"/>
  <c r="FMO6" i="263"/>
  <c r="FMO118" i="263" s="1"/>
  <c r="FMP6" i="263"/>
  <c r="FMP118" i="263" s="1"/>
  <c r="FMQ6" i="263"/>
  <c r="FMQ118" i="263" s="1"/>
  <c r="FMR6" i="263"/>
  <c r="FMR118" i="263" s="1"/>
  <c r="FMS6" i="263"/>
  <c r="FMS118" i="263" s="1"/>
  <c r="FMT6" i="263"/>
  <c r="FMT118" i="263" s="1"/>
  <c r="FMU6" i="263"/>
  <c r="FMU118" i="263" s="1"/>
  <c r="FMV6" i="263"/>
  <c r="FMV118" i="263" s="1"/>
  <c r="FMW6" i="263"/>
  <c r="FMW118" i="263" s="1"/>
  <c r="FMX6" i="263"/>
  <c r="FMX118" i="263" s="1"/>
  <c r="FMY6" i="263"/>
  <c r="FMY118" i="263" s="1"/>
  <c r="FMZ6" i="263"/>
  <c r="FMZ118" i="263" s="1"/>
  <c r="FNA6" i="263"/>
  <c r="FNA118" i="263" s="1"/>
  <c r="FNB6" i="263"/>
  <c r="FNB118" i="263" s="1"/>
  <c r="FNC6" i="263"/>
  <c r="FNC118" i="263" s="1"/>
  <c r="FND6" i="263"/>
  <c r="FND118" i="263" s="1"/>
  <c r="FNE6" i="263"/>
  <c r="FNE118" i="263" s="1"/>
  <c r="FNF6" i="263"/>
  <c r="FNF118" i="263" s="1"/>
  <c r="FNG6" i="263"/>
  <c r="FNG118" i="263" s="1"/>
  <c r="FNH6" i="263"/>
  <c r="FNH118" i="263" s="1"/>
  <c r="FNI6" i="263"/>
  <c r="FNI118" i="263" s="1"/>
  <c r="FNJ6" i="263"/>
  <c r="FNJ118" i="263" s="1"/>
  <c r="FNK6" i="263"/>
  <c r="FNK118" i="263" s="1"/>
  <c r="FNL6" i="263"/>
  <c r="FNL118" i="263" s="1"/>
  <c r="FNM6" i="263"/>
  <c r="FNM118" i="263" s="1"/>
  <c r="FNN6" i="263"/>
  <c r="FNN118" i="263" s="1"/>
  <c r="FNO6" i="263"/>
  <c r="FNO118" i="263" s="1"/>
  <c r="FNP6" i="263"/>
  <c r="FNP118" i="263" s="1"/>
  <c r="FNQ6" i="263"/>
  <c r="FNQ118" i="263" s="1"/>
  <c r="FNR6" i="263"/>
  <c r="FNR118" i="263" s="1"/>
  <c r="FNS6" i="263"/>
  <c r="FNS118" i="263" s="1"/>
  <c r="FNT6" i="263"/>
  <c r="FNT118" i="263" s="1"/>
  <c r="FNU6" i="263"/>
  <c r="FNU118" i="263" s="1"/>
  <c r="FNV6" i="263"/>
  <c r="FNV118" i="263" s="1"/>
  <c r="FNW6" i="263"/>
  <c r="FNW118" i="263" s="1"/>
  <c r="FNX6" i="263"/>
  <c r="FNX118" i="263" s="1"/>
  <c r="FNY6" i="263"/>
  <c r="FNY118" i="263" s="1"/>
  <c r="FNZ6" i="263"/>
  <c r="FNZ118" i="263" s="1"/>
  <c r="FOA6" i="263"/>
  <c r="FOA118" i="263" s="1"/>
  <c r="FOB6" i="263"/>
  <c r="FOB118" i="263" s="1"/>
  <c r="FOC6" i="263"/>
  <c r="FOC118" i="263" s="1"/>
  <c r="FOD6" i="263"/>
  <c r="FOD118" i="263" s="1"/>
  <c r="FOE6" i="263"/>
  <c r="FOE118" i="263" s="1"/>
  <c r="FOF6" i="263"/>
  <c r="FOF118" i="263" s="1"/>
  <c r="FOG6" i="263"/>
  <c r="FOG118" i="263" s="1"/>
  <c r="FOH6" i="263"/>
  <c r="FOH118" i="263" s="1"/>
  <c r="FOI6" i="263"/>
  <c r="FOI118" i="263" s="1"/>
  <c r="FOJ6" i="263"/>
  <c r="FOJ118" i="263" s="1"/>
  <c r="FOK6" i="263"/>
  <c r="FOK118" i="263" s="1"/>
  <c r="FOL6" i="263"/>
  <c r="FOL118" i="263" s="1"/>
  <c r="FOM6" i="263"/>
  <c r="FOM118" i="263" s="1"/>
  <c r="FON6" i="263"/>
  <c r="FON118" i="263" s="1"/>
  <c r="FOO6" i="263"/>
  <c r="FOO118" i="263" s="1"/>
  <c r="FOP6" i="263"/>
  <c r="FOP118" i="263" s="1"/>
  <c r="FOQ6" i="263"/>
  <c r="FOQ118" i="263" s="1"/>
  <c r="FOR6" i="263"/>
  <c r="FOR118" i="263" s="1"/>
  <c r="FOS6" i="263"/>
  <c r="FOS118" i="263" s="1"/>
  <c r="FOT6" i="263"/>
  <c r="FOT118" i="263" s="1"/>
  <c r="FOU6" i="263"/>
  <c r="FOU118" i="263" s="1"/>
  <c r="FOV6" i="263"/>
  <c r="FOV118" i="263" s="1"/>
  <c r="FOW6" i="263"/>
  <c r="FOW118" i="263" s="1"/>
  <c r="FOX6" i="263"/>
  <c r="FOX118" i="263" s="1"/>
  <c r="FOY6" i="263"/>
  <c r="FOY118" i="263" s="1"/>
  <c r="FOZ6" i="263"/>
  <c r="FOZ118" i="263" s="1"/>
  <c r="FPA6" i="263"/>
  <c r="FPA118" i="263" s="1"/>
  <c r="FPB6" i="263"/>
  <c r="FPB118" i="263" s="1"/>
  <c r="FPC6" i="263"/>
  <c r="FPC118" i="263" s="1"/>
  <c r="FPD6" i="263"/>
  <c r="FPD118" i="263" s="1"/>
  <c r="FPE6" i="263"/>
  <c r="FPE118" i="263" s="1"/>
  <c r="FPF6" i="263"/>
  <c r="FPF118" i="263" s="1"/>
  <c r="FPG6" i="263"/>
  <c r="FPG118" i="263" s="1"/>
  <c r="FPH6" i="263"/>
  <c r="FPH118" i="263" s="1"/>
  <c r="FPI6" i="263"/>
  <c r="FPI118" i="263" s="1"/>
  <c r="FPJ6" i="263"/>
  <c r="FPJ118" i="263" s="1"/>
  <c r="FPK6" i="263"/>
  <c r="FPK118" i="263" s="1"/>
  <c r="FPL6" i="263"/>
  <c r="FPL118" i="263" s="1"/>
  <c r="FPM6" i="263"/>
  <c r="FPM118" i="263" s="1"/>
  <c r="FPN6" i="263"/>
  <c r="FPN118" i="263" s="1"/>
  <c r="FPO6" i="263"/>
  <c r="FPO118" i="263" s="1"/>
  <c r="FPP6" i="263"/>
  <c r="FPP118" i="263" s="1"/>
  <c r="FPQ6" i="263"/>
  <c r="FPQ118" i="263" s="1"/>
  <c r="FPR6" i="263"/>
  <c r="FPR118" i="263" s="1"/>
  <c r="FPS6" i="263"/>
  <c r="FPS118" i="263" s="1"/>
  <c r="FPT6" i="263"/>
  <c r="FPT118" i="263" s="1"/>
  <c r="FPU6" i="263"/>
  <c r="FPU118" i="263" s="1"/>
  <c r="FPV6" i="263"/>
  <c r="FPV118" i="263" s="1"/>
  <c r="FPW6" i="263"/>
  <c r="FPW118" i="263" s="1"/>
  <c r="FPX6" i="263"/>
  <c r="FPX118" i="263" s="1"/>
  <c r="FPY6" i="263"/>
  <c r="FPY118" i="263" s="1"/>
  <c r="FPZ6" i="263"/>
  <c r="FPZ118" i="263" s="1"/>
  <c r="FQA6" i="263"/>
  <c r="FQA118" i="263" s="1"/>
  <c r="FQB6" i="263"/>
  <c r="FQB118" i="263" s="1"/>
  <c r="FQC6" i="263"/>
  <c r="FQC118" i="263" s="1"/>
  <c r="FQD6" i="263"/>
  <c r="FQD118" i="263" s="1"/>
  <c r="FQE6" i="263"/>
  <c r="FQE118" i="263" s="1"/>
  <c r="FQF6" i="263"/>
  <c r="FQF118" i="263" s="1"/>
  <c r="FQG6" i="263"/>
  <c r="FQG118" i="263" s="1"/>
  <c r="FQH6" i="263"/>
  <c r="FQH118" i="263" s="1"/>
  <c r="FQI6" i="263"/>
  <c r="FQI118" i="263" s="1"/>
  <c r="FQJ6" i="263"/>
  <c r="FQJ118" i="263" s="1"/>
  <c r="FQK6" i="263"/>
  <c r="FQK118" i="263" s="1"/>
  <c r="FQL6" i="263"/>
  <c r="FQL118" i="263" s="1"/>
  <c r="FQM6" i="263"/>
  <c r="FQM118" i="263" s="1"/>
  <c r="FQN6" i="263"/>
  <c r="FQN118" i="263" s="1"/>
  <c r="FQO6" i="263"/>
  <c r="FQO118" i="263" s="1"/>
  <c r="FQP6" i="263"/>
  <c r="FQP118" i="263" s="1"/>
  <c r="FQQ6" i="263"/>
  <c r="FQQ118" i="263" s="1"/>
  <c r="FQR6" i="263"/>
  <c r="FQR118" i="263" s="1"/>
  <c r="FQS6" i="263"/>
  <c r="FQS118" i="263" s="1"/>
  <c r="FQT6" i="263"/>
  <c r="FQT118" i="263" s="1"/>
  <c r="FQU6" i="263"/>
  <c r="FQU118" i="263" s="1"/>
  <c r="FQV6" i="263"/>
  <c r="FQV118" i="263" s="1"/>
  <c r="FQW6" i="263"/>
  <c r="FQW118" i="263" s="1"/>
  <c r="FQX6" i="263"/>
  <c r="FQX118" i="263" s="1"/>
  <c r="FQY6" i="263"/>
  <c r="FQY118" i="263" s="1"/>
  <c r="FQZ6" i="263"/>
  <c r="FQZ118" i="263" s="1"/>
  <c r="FRA6" i="263"/>
  <c r="FRA118" i="263" s="1"/>
  <c r="FRB6" i="263"/>
  <c r="FRB118" i="263" s="1"/>
  <c r="FRC6" i="263"/>
  <c r="FRC118" i="263" s="1"/>
  <c r="FRD6" i="263"/>
  <c r="FRD118" i="263" s="1"/>
  <c r="FRE6" i="263"/>
  <c r="FRE118" i="263" s="1"/>
  <c r="FRF6" i="263"/>
  <c r="FRF118" i="263" s="1"/>
  <c r="FRG6" i="263"/>
  <c r="FRG118" i="263" s="1"/>
  <c r="FRH6" i="263"/>
  <c r="FRH118" i="263" s="1"/>
  <c r="FRI6" i="263"/>
  <c r="FRI118" i="263" s="1"/>
  <c r="FRJ6" i="263"/>
  <c r="FRJ118" i="263" s="1"/>
  <c r="FRK6" i="263"/>
  <c r="FRK118" i="263" s="1"/>
  <c r="FRL6" i="263"/>
  <c r="FRL118" i="263" s="1"/>
  <c r="FRM6" i="263"/>
  <c r="FRM118" i="263" s="1"/>
  <c r="FRN6" i="263"/>
  <c r="FRN118" i="263" s="1"/>
  <c r="FRO6" i="263"/>
  <c r="FRO118" i="263" s="1"/>
  <c r="FRP6" i="263"/>
  <c r="FRP118" i="263" s="1"/>
  <c r="FRQ6" i="263"/>
  <c r="FRQ118" i="263" s="1"/>
  <c r="FRR6" i="263"/>
  <c r="FRR118" i="263" s="1"/>
  <c r="FRS6" i="263"/>
  <c r="FRS118" i="263" s="1"/>
  <c r="FRT6" i="263"/>
  <c r="FRT118" i="263" s="1"/>
  <c r="FRU6" i="263"/>
  <c r="FRU118" i="263" s="1"/>
  <c r="FRV6" i="263"/>
  <c r="FRV118" i="263" s="1"/>
  <c r="FRW6" i="263"/>
  <c r="FRW118" i="263" s="1"/>
  <c r="FRX6" i="263"/>
  <c r="FRX118" i="263" s="1"/>
  <c r="FRY6" i="263"/>
  <c r="FRY118" i="263" s="1"/>
  <c r="FRZ6" i="263"/>
  <c r="FRZ118" i="263" s="1"/>
  <c r="FSA6" i="263"/>
  <c r="FSA118" i="263" s="1"/>
  <c r="FSB6" i="263"/>
  <c r="FSB118" i="263" s="1"/>
  <c r="FSC6" i="263"/>
  <c r="FSC118" i="263" s="1"/>
  <c r="FSD6" i="263"/>
  <c r="FSD118" i="263" s="1"/>
  <c r="FSE6" i="263"/>
  <c r="FSE118" i="263" s="1"/>
  <c r="FSF6" i="263"/>
  <c r="FSF118" i="263" s="1"/>
  <c r="FSG6" i="263"/>
  <c r="FSG118" i="263" s="1"/>
  <c r="FSH6" i="263"/>
  <c r="FSH118" i="263" s="1"/>
  <c r="FSI6" i="263"/>
  <c r="FSI118" i="263" s="1"/>
  <c r="FSJ6" i="263"/>
  <c r="FSJ118" i="263" s="1"/>
  <c r="FSK6" i="263"/>
  <c r="FSK118" i="263" s="1"/>
  <c r="FSL6" i="263"/>
  <c r="FSL118" i="263" s="1"/>
  <c r="FSM6" i="263"/>
  <c r="FSM118" i="263" s="1"/>
  <c r="FSN6" i="263"/>
  <c r="FSN118" i="263" s="1"/>
  <c r="FSO6" i="263"/>
  <c r="FSO118" i="263" s="1"/>
  <c r="FSP6" i="263"/>
  <c r="FSP118" i="263" s="1"/>
  <c r="FSQ6" i="263"/>
  <c r="FSQ118" i="263" s="1"/>
  <c r="FSR6" i="263"/>
  <c r="FSR118" i="263" s="1"/>
  <c r="FSS6" i="263"/>
  <c r="FSS118" i="263" s="1"/>
  <c r="FST6" i="263"/>
  <c r="FST118" i="263" s="1"/>
  <c r="FSU6" i="263"/>
  <c r="FSU118" i="263" s="1"/>
  <c r="FSV6" i="263"/>
  <c r="FSV118" i="263" s="1"/>
  <c r="FSW6" i="263"/>
  <c r="FSW118" i="263" s="1"/>
  <c r="FSX6" i="263"/>
  <c r="FSX118" i="263" s="1"/>
  <c r="FSY6" i="263"/>
  <c r="FSY118" i="263" s="1"/>
  <c r="FSZ6" i="263"/>
  <c r="FSZ118" i="263" s="1"/>
  <c r="FTA6" i="263"/>
  <c r="FTA118" i="263" s="1"/>
  <c r="FTB6" i="263"/>
  <c r="FTB118" i="263" s="1"/>
  <c r="FTC6" i="263"/>
  <c r="FTC118" i="263" s="1"/>
  <c r="FTD6" i="263"/>
  <c r="FTD118" i="263" s="1"/>
  <c r="FTE6" i="263"/>
  <c r="FTE118" i="263" s="1"/>
  <c r="FTF6" i="263"/>
  <c r="FTF118" i="263" s="1"/>
  <c r="FTG6" i="263"/>
  <c r="FTG118" i="263" s="1"/>
  <c r="FTH6" i="263"/>
  <c r="FTH118" i="263" s="1"/>
  <c r="FTI6" i="263"/>
  <c r="FTI118" i="263" s="1"/>
  <c r="FTJ6" i="263"/>
  <c r="FTJ118" i="263" s="1"/>
  <c r="FTK6" i="263"/>
  <c r="FTK118" i="263" s="1"/>
  <c r="FTL6" i="263"/>
  <c r="FTL118" i="263" s="1"/>
  <c r="FTM6" i="263"/>
  <c r="FTM118" i="263" s="1"/>
  <c r="FTN6" i="263"/>
  <c r="FTN118" i="263" s="1"/>
  <c r="FTO6" i="263"/>
  <c r="FTO118" i="263" s="1"/>
  <c r="FTP6" i="263"/>
  <c r="FTP118" i="263" s="1"/>
  <c r="FTQ6" i="263"/>
  <c r="FTQ118" i="263" s="1"/>
  <c r="FTR6" i="263"/>
  <c r="FTR118" i="263" s="1"/>
  <c r="FTS6" i="263"/>
  <c r="FTS118" i="263" s="1"/>
  <c r="FTT6" i="263"/>
  <c r="FTT118" i="263" s="1"/>
  <c r="FTU6" i="263"/>
  <c r="FTU118" i="263" s="1"/>
  <c r="FTV6" i="263"/>
  <c r="FTV118" i="263" s="1"/>
  <c r="FTW6" i="263"/>
  <c r="FTW118" i="263" s="1"/>
  <c r="FTX6" i="263"/>
  <c r="FTX118" i="263" s="1"/>
  <c r="FTY6" i="263"/>
  <c r="FTY118" i="263" s="1"/>
  <c r="FTZ6" i="263"/>
  <c r="FTZ118" i="263" s="1"/>
  <c r="FUA6" i="263"/>
  <c r="FUA118" i="263" s="1"/>
  <c r="FUB6" i="263"/>
  <c r="FUB118" i="263" s="1"/>
  <c r="FUC6" i="263"/>
  <c r="FUC118" i="263" s="1"/>
  <c r="FUD6" i="263"/>
  <c r="FUD118" i="263" s="1"/>
  <c r="FUE6" i="263"/>
  <c r="FUE118" i="263" s="1"/>
  <c r="FUF6" i="263"/>
  <c r="FUF118" i="263" s="1"/>
  <c r="FUG6" i="263"/>
  <c r="FUG118" i="263" s="1"/>
  <c r="FUH6" i="263"/>
  <c r="FUH118" i="263" s="1"/>
  <c r="FUI6" i="263"/>
  <c r="FUI118" i="263" s="1"/>
  <c r="FUJ6" i="263"/>
  <c r="FUJ118" i="263" s="1"/>
  <c r="FUK6" i="263"/>
  <c r="FUK118" i="263" s="1"/>
  <c r="FUL6" i="263"/>
  <c r="FUL118" i="263" s="1"/>
  <c r="FUM6" i="263"/>
  <c r="FUM118" i="263" s="1"/>
  <c r="FUN6" i="263"/>
  <c r="FUN118" i="263" s="1"/>
  <c r="FUO6" i="263"/>
  <c r="FUO118" i="263" s="1"/>
  <c r="FUP6" i="263"/>
  <c r="FUP118" i="263" s="1"/>
  <c r="FUQ6" i="263"/>
  <c r="FUQ118" i="263" s="1"/>
  <c r="FUR6" i="263"/>
  <c r="FUR118" i="263" s="1"/>
  <c r="FUS6" i="263"/>
  <c r="FUS118" i="263" s="1"/>
  <c r="FUT6" i="263"/>
  <c r="FUT118" i="263" s="1"/>
  <c r="FUU6" i="263"/>
  <c r="FUU118" i="263" s="1"/>
  <c r="FUV6" i="263"/>
  <c r="FUV118" i="263" s="1"/>
  <c r="FUW6" i="263"/>
  <c r="FUW118" i="263" s="1"/>
  <c r="FUX6" i="263"/>
  <c r="FUX118" i="263" s="1"/>
  <c r="FUY6" i="263"/>
  <c r="FUY118" i="263" s="1"/>
  <c r="FUZ6" i="263"/>
  <c r="FUZ118" i="263" s="1"/>
  <c r="FVA6" i="263"/>
  <c r="FVA118" i="263" s="1"/>
  <c r="FVB6" i="263"/>
  <c r="FVB118" i="263" s="1"/>
  <c r="FVC6" i="263"/>
  <c r="FVC118" i="263" s="1"/>
  <c r="FVD6" i="263"/>
  <c r="FVD118" i="263" s="1"/>
  <c r="FVE6" i="263"/>
  <c r="FVE118" i="263" s="1"/>
  <c r="FVF6" i="263"/>
  <c r="FVF118" i="263" s="1"/>
  <c r="FVG6" i="263"/>
  <c r="FVG118" i="263" s="1"/>
  <c r="FVH6" i="263"/>
  <c r="FVH118" i="263" s="1"/>
  <c r="FVI6" i="263"/>
  <c r="FVI118" i="263" s="1"/>
  <c r="FVJ6" i="263"/>
  <c r="FVJ118" i="263" s="1"/>
  <c r="FVK6" i="263"/>
  <c r="FVK118" i="263" s="1"/>
  <c r="FVL6" i="263"/>
  <c r="FVL118" i="263" s="1"/>
  <c r="FVM6" i="263"/>
  <c r="FVM118" i="263" s="1"/>
  <c r="FVN6" i="263"/>
  <c r="FVN118" i="263" s="1"/>
  <c r="FVO6" i="263"/>
  <c r="FVO118" i="263" s="1"/>
  <c r="FVP6" i="263"/>
  <c r="FVP118" i="263" s="1"/>
  <c r="FVQ6" i="263"/>
  <c r="FVQ118" i="263" s="1"/>
  <c r="FVR6" i="263"/>
  <c r="FVR118" i="263" s="1"/>
  <c r="FVS6" i="263"/>
  <c r="FVS118" i="263" s="1"/>
  <c r="FVT6" i="263"/>
  <c r="FVT118" i="263" s="1"/>
  <c r="FVU6" i="263"/>
  <c r="FVU118" i="263" s="1"/>
  <c r="FVV6" i="263"/>
  <c r="FVV118" i="263" s="1"/>
  <c r="FVW6" i="263"/>
  <c r="FVW118" i="263" s="1"/>
  <c r="FVX6" i="263"/>
  <c r="FVX118" i="263" s="1"/>
  <c r="FVY6" i="263"/>
  <c r="FVY118" i="263" s="1"/>
  <c r="FVZ6" i="263"/>
  <c r="FVZ118" i="263" s="1"/>
  <c r="FWA6" i="263"/>
  <c r="FWA118" i="263" s="1"/>
  <c r="FWB6" i="263"/>
  <c r="FWB118" i="263" s="1"/>
  <c r="FWC6" i="263"/>
  <c r="FWC118" i="263" s="1"/>
  <c r="FWD6" i="263"/>
  <c r="FWD118" i="263" s="1"/>
  <c r="FWE6" i="263"/>
  <c r="FWE118" i="263" s="1"/>
  <c r="FWF6" i="263"/>
  <c r="FWF118" i="263" s="1"/>
  <c r="FWG6" i="263"/>
  <c r="FWG118" i="263" s="1"/>
  <c r="FWH6" i="263"/>
  <c r="FWH118" i="263" s="1"/>
  <c r="FWI6" i="263"/>
  <c r="FWI118" i="263" s="1"/>
  <c r="FWJ6" i="263"/>
  <c r="FWJ118" i="263" s="1"/>
  <c r="FWK6" i="263"/>
  <c r="FWK118" i="263" s="1"/>
  <c r="FWL6" i="263"/>
  <c r="FWL118" i="263" s="1"/>
  <c r="FWM6" i="263"/>
  <c r="FWM118" i="263" s="1"/>
  <c r="FWN6" i="263"/>
  <c r="FWN118" i="263" s="1"/>
  <c r="FWO6" i="263"/>
  <c r="FWO118" i="263" s="1"/>
  <c r="FWP6" i="263"/>
  <c r="FWP118" i="263" s="1"/>
  <c r="FWQ6" i="263"/>
  <c r="FWQ118" i="263" s="1"/>
  <c r="FWR6" i="263"/>
  <c r="FWR118" i="263" s="1"/>
  <c r="FWS6" i="263"/>
  <c r="FWS118" i="263" s="1"/>
  <c r="FWT6" i="263"/>
  <c r="FWT118" i="263" s="1"/>
  <c r="FWU6" i="263"/>
  <c r="FWU118" i="263" s="1"/>
  <c r="FWV6" i="263"/>
  <c r="FWV118" i="263" s="1"/>
  <c r="FWW6" i="263"/>
  <c r="FWW118" i="263" s="1"/>
  <c r="FWX6" i="263"/>
  <c r="FWX118" i="263" s="1"/>
  <c r="FWY6" i="263"/>
  <c r="FWY118" i="263" s="1"/>
  <c r="FWZ6" i="263"/>
  <c r="FWZ118" i="263" s="1"/>
  <c r="FXA6" i="263"/>
  <c r="FXA118" i="263" s="1"/>
  <c r="FXB6" i="263"/>
  <c r="FXB118" i="263" s="1"/>
  <c r="FXC6" i="263"/>
  <c r="FXC118" i="263" s="1"/>
  <c r="FXD6" i="263"/>
  <c r="FXD118" i="263" s="1"/>
  <c r="FXE6" i="263"/>
  <c r="FXE118" i="263" s="1"/>
  <c r="FXF6" i="263"/>
  <c r="FXF118" i="263" s="1"/>
  <c r="FXG6" i="263"/>
  <c r="FXG118" i="263" s="1"/>
  <c r="FXH6" i="263"/>
  <c r="FXH118" i="263" s="1"/>
  <c r="FXI6" i="263"/>
  <c r="FXI118" i="263" s="1"/>
  <c r="FXJ6" i="263"/>
  <c r="FXJ118" i="263" s="1"/>
  <c r="FXK6" i="263"/>
  <c r="FXK118" i="263" s="1"/>
  <c r="FXL6" i="263"/>
  <c r="FXL118" i="263" s="1"/>
  <c r="FXM6" i="263"/>
  <c r="FXM118" i="263" s="1"/>
  <c r="FXN6" i="263"/>
  <c r="FXN118" i="263" s="1"/>
  <c r="FXO6" i="263"/>
  <c r="FXO118" i="263" s="1"/>
  <c r="FXP6" i="263"/>
  <c r="FXP118" i="263" s="1"/>
  <c r="FXQ6" i="263"/>
  <c r="FXQ118" i="263" s="1"/>
  <c r="FXR6" i="263"/>
  <c r="FXR118" i="263" s="1"/>
  <c r="FXS6" i="263"/>
  <c r="FXS118" i="263" s="1"/>
  <c r="FXT6" i="263"/>
  <c r="FXT118" i="263" s="1"/>
  <c r="FXU6" i="263"/>
  <c r="FXU118" i="263" s="1"/>
  <c r="FXV6" i="263"/>
  <c r="FXV118" i="263" s="1"/>
  <c r="FXW6" i="263"/>
  <c r="FXW118" i="263" s="1"/>
  <c r="FXX6" i="263"/>
  <c r="FXX118" i="263" s="1"/>
  <c r="FXY6" i="263"/>
  <c r="FXY118" i="263" s="1"/>
  <c r="FXZ6" i="263"/>
  <c r="FXZ118" i="263" s="1"/>
  <c r="FYA6" i="263"/>
  <c r="FYA118" i="263" s="1"/>
  <c r="FYB6" i="263"/>
  <c r="FYB118" i="263" s="1"/>
  <c r="FYC6" i="263"/>
  <c r="FYC118" i="263" s="1"/>
  <c r="FYD6" i="263"/>
  <c r="FYD118" i="263" s="1"/>
  <c r="FYE6" i="263"/>
  <c r="FYE118" i="263" s="1"/>
  <c r="FYF6" i="263"/>
  <c r="FYF118" i="263" s="1"/>
  <c r="FYG6" i="263"/>
  <c r="FYG118" i="263" s="1"/>
  <c r="FYH6" i="263"/>
  <c r="FYH118" i="263" s="1"/>
  <c r="FYI6" i="263"/>
  <c r="FYI118" i="263" s="1"/>
  <c r="FYJ6" i="263"/>
  <c r="FYJ118" i="263" s="1"/>
  <c r="FYK6" i="263"/>
  <c r="FYK118" i="263" s="1"/>
  <c r="FYL6" i="263"/>
  <c r="FYL118" i="263" s="1"/>
  <c r="FYM6" i="263"/>
  <c r="FYM118" i="263" s="1"/>
  <c r="FYN6" i="263"/>
  <c r="FYN118" i="263" s="1"/>
  <c r="FYO6" i="263"/>
  <c r="FYO118" i="263" s="1"/>
  <c r="FYP6" i="263"/>
  <c r="FYP118" i="263" s="1"/>
  <c r="FYQ6" i="263"/>
  <c r="FYQ118" i="263" s="1"/>
  <c r="FYR6" i="263"/>
  <c r="FYR118" i="263" s="1"/>
  <c r="FYS6" i="263"/>
  <c r="FYS118" i="263" s="1"/>
  <c r="FYT6" i="263"/>
  <c r="FYT118" i="263" s="1"/>
  <c r="FYU6" i="263"/>
  <c r="FYU118" i="263" s="1"/>
  <c r="FYV6" i="263"/>
  <c r="FYV118" i="263" s="1"/>
  <c r="FYW6" i="263"/>
  <c r="FYW118" i="263" s="1"/>
  <c r="FYX6" i="263"/>
  <c r="FYX118" i="263" s="1"/>
  <c r="FYY6" i="263"/>
  <c r="FYY118" i="263" s="1"/>
  <c r="FYZ6" i="263"/>
  <c r="FYZ118" i="263" s="1"/>
  <c r="FZA6" i="263"/>
  <c r="FZA118" i="263" s="1"/>
  <c r="FZB6" i="263"/>
  <c r="FZB118" i="263" s="1"/>
  <c r="FZC6" i="263"/>
  <c r="FZC118" i="263" s="1"/>
  <c r="FZD6" i="263"/>
  <c r="FZD118" i="263" s="1"/>
  <c r="FZE6" i="263"/>
  <c r="FZE118" i="263" s="1"/>
  <c r="FZF6" i="263"/>
  <c r="FZF118" i="263" s="1"/>
  <c r="FZG6" i="263"/>
  <c r="FZG118" i="263" s="1"/>
  <c r="FZH6" i="263"/>
  <c r="FZH118" i="263" s="1"/>
  <c r="FZI6" i="263"/>
  <c r="FZI118" i="263" s="1"/>
  <c r="FZJ6" i="263"/>
  <c r="FZJ118" i="263" s="1"/>
  <c r="FZK6" i="263"/>
  <c r="FZK118" i="263" s="1"/>
  <c r="FZL6" i="263"/>
  <c r="FZL118" i="263" s="1"/>
  <c r="FZM6" i="263"/>
  <c r="FZM118" i="263" s="1"/>
  <c r="FZN6" i="263"/>
  <c r="FZN118" i="263" s="1"/>
  <c r="FZO6" i="263"/>
  <c r="FZO118" i="263" s="1"/>
  <c r="FZP6" i="263"/>
  <c r="FZP118" i="263" s="1"/>
  <c r="FZQ6" i="263"/>
  <c r="FZQ118" i="263" s="1"/>
  <c r="FZR6" i="263"/>
  <c r="FZR118" i="263" s="1"/>
  <c r="FZS6" i="263"/>
  <c r="FZS118" i="263" s="1"/>
  <c r="FZT6" i="263"/>
  <c r="FZT118" i="263" s="1"/>
  <c r="FZU6" i="263"/>
  <c r="FZU118" i="263" s="1"/>
  <c r="FZV6" i="263"/>
  <c r="FZV118" i="263" s="1"/>
  <c r="FZW6" i="263"/>
  <c r="FZW118" i="263" s="1"/>
  <c r="FZX6" i="263"/>
  <c r="FZX118" i="263" s="1"/>
  <c r="FZY6" i="263"/>
  <c r="FZY118" i="263" s="1"/>
  <c r="FZZ6" i="263"/>
  <c r="FZZ118" i="263" s="1"/>
  <c r="GAA6" i="263"/>
  <c r="GAA118" i="263" s="1"/>
  <c r="GAB6" i="263"/>
  <c r="GAB118" i="263" s="1"/>
  <c r="GAC6" i="263"/>
  <c r="GAC118" i="263" s="1"/>
  <c r="GAD6" i="263"/>
  <c r="GAD118" i="263" s="1"/>
  <c r="GAE6" i="263"/>
  <c r="GAE118" i="263" s="1"/>
  <c r="GAF6" i="263"/>
  <c r="GAF118" i="263" s="1"/>
  <c r="GAG6" i="263"/>
  <c r="GAG118" i="263" s="1"/>
  <c r="GAH6" i="263"/>
  <c r="GAH118" i="263" s="1"/>
  <c r="GAI6" i="263"/>
  <c r="GAI118" i="263" s="1"/>
  <c r="GAJ6" i="263"/>
  <c r="GAJ118" i="263" s="1"/>
  <c r="GAK6" i="263"/>
  <c r="GAK118" i="263" s="1"/>
  <c r="GAL6" i="263"/>
  <c r="GAL118" i="263" s="1"/>
  <c r="GAM6" i="263"/>
  <c r="GAM118" i="263" s="1"/>
  <c r="GAN6" i="263"/>
  <c r="GAN118" i="263" s="1"/>
  <c r="GAO6" i="263"/>
  <c r="GAO118" i="263" s="1"/>
  <c r="GAP6" i="263"/>
  <c r="GAP118" i="263" s="1"/>
  <c r="GAQ6" i="263"/>
  <c r="GAQ118" i="263" s="1"/>
  <c r="GAR6" i="263"/>
  <c r="GAR118" i="263" s="1"/>
  <c r="GAS6" i="263"/>
  <c r="GAS118" i="263" s="1"/>
  <c r="GAT6" i="263"/>
  <c r="GAT118" i="263" s="1"/>
  <c r="GAU6" i="263"/>
  <c r="GAU118" i="263" s="1"/>
  <c r="GAV6" i="263"/>
  <c r="GAV118" i="263" s="1"/>
  <c r="GAW6" i="263"/>
  <c r="GAW118" i="263" s="1"/>
  <c r="GAX6" i="263"/>
  <c r="GAX118" i="263" s="1"/>
  <c r="GAY6" i="263"/>
  <c r="GAY118" i="263" s="1"/>
  <c r="GAZ6" i="263"/>
  <c r="GAZ118" i="263" s="1"/>
  <c r="GBA6" i="263"/>
  <c r="GBA118" i="263" s="1"/>
  <c r="GBB6" i="263"/>
  <c r="GBB118" i="263" s="1"/>
  <c r="GBC6" i="263"/>
  <c r="GBC118" i="263" s="1"/>
  <c r="GBD6" i="263"/>
  <c r="GBD118" i="263" s="1"/>
  <c r="GBE6" i="263"/>
  <c r="GBE118" i="263" s="1"/>
  <c r="GBF6" i="263"/>
  <c r="GBF118" i="263" s="1"/>
  <c r="GBG6" i="263"/>
  <c r="GBG118" i="263" s="1"/>
  <c r="GBH6" i="263"/>
  <c r="GBH118" i="263" s="1"/>
  <c r="GBI6" i="263"/>
  <c r="GBI118" i="263" s="1"/>
  <c r="GBJ6" i="263"/>
  <c r="GBJ118" i="263" s="1"/>
  <c r="GBK6" i="263"/>
  <c r="GBK118" i="263" s="1"/>
  <c r="GBL6" i="263"/>
  <c r="GBL118" i="263" s="1"/>
  <c r="GBM6" i="263"/>
  <c r="GBM118" i="263" s="1"/>
  <c r="GBN6" i="263"/>
  <c r="GBN118" i="263" s="1"/>
  <c r="GBO6" i="263"/>
  <c r="GBO118" i="263" s="1"/>
  <c r="GBP6" i="263"/>
  <c r="GBP118" i="263" s="1"/>
  <c r="GBQ6" i="263"/>
  <c r="GBQ118" i="263" s="1"/>
  <c r="GBR6" i="263"/>
  <c r="GBR118" i="263" s="1"/>
  <c r="GBS6" i="263"/>
  <c r="GBS118" i="263" s="1"/>
  <c r="GBT6" i="263"/>
  <c r="GBT118" i="263" s="1"/>
  <c r="GBU6" i="263"/>
  <c r="GBU118" i="263" s="1"/>
  <c r="GBV6" i="263"/>
  <c r="GBV118" i="263" s="1"/>
  <c r="GBW6" i="263"/>
  <c r="GBW118" i="263" s="1"/>
  <c r="GBX6" i="263"/>
  <c r="GBX118" i="263" s="1"/>
  <c r="GBY6" i="263"/>
  <c r="GBY118" i="263" s="1"/>
  <c r="GBZ6" i="263"/>
  <c r="GBZ118" i="263" s="1"/>
  <c r="GCA6" i="263"/>
  <c r="GCA118" i="263" s="1"/>
  <c r="GCB6" i="263"/>
  <c r="GCB118" i="263" s="1"/>
  <c r="GCC6" i="263"/>
  <c r="GCC118" i="263" s="1"/>
  <c r="GCD6" i="263"/>
  <c r="GCD118" i="263" s="1"/>
  <c r="GCE6" i="263"/>
  <c r="GCE118" i="263" s="1"/>
  <c r="GCF6" i="263"/>
  <c r="GCF118" i="263" s="1"/>
  <c r="GCG6" i="263"/>
  <c r="GCG118" i="263" s="1"/>
  <c r="GCH6" i="263"/>
  <c r="GCH118" i="263" s="1"/>
  <c r="GCI6" i="263"/>
  <c r="GCI118" i="263" s="1"/>
  <c r="GCJ6" i="263"/>
  <c r="GCJ118" i="263" s="1"/>
  <c r="GCK6" i="263"/>
  <c r="GCK118" i="263" s="1"/>
  <c r="GCL6" i="263"/>
  <c r="GCL118" i="263" s="1"/>
  <c r="GCM6" i="263"/>
  <c r="GCM118" i="263" s="1"/>
  <c r="GCN6" i="263"/>
  <c r="GCN118" i="263" s="1"/>
  <c r="GCO6" i="263"/>
  <c r="GCO118" i="263" s="1"/>
  <c r="GCP6" i="263"/>
  <c r="GCP118" i="263" s="1"/>
  <c r="GCQ6" i="263"/>
  <c r="GCQ118" i="263" s="1"/>
  <c r="GCR6" i="263"/>
  <c r="GCR118" i="263" s="1"/>
  <c r="GCS6" i="263"/>
  <c r="GCS118" i="263" s="1"/>
  <c r="GCT6" i="263"/>
  <c r="GCT118" i="263" s="1"/>
  <c r="GCU6" i="263"/>
  <c r="GCU118" i="263" s="1"/>
  <c r="GCV6" i="263"/>
  <c r="GCV118" i="263" s="1"/>
  <c r="GCW6" i="263"/>
  <c r="GCW118" i="263" s="1"/>
  <c r="GCX6" i="263"/>
  <c r="GCX118" i="263" s="1"/>
  <c r="GCY6" i="263"/>
  <c r="GCY118" i="263" s="1"/>
  <c r="GCZ6" i="263"/>
  <c r="GCZ118" i="263" s="1"/>
  <c r="GDA6" i="263"/>
  <c r="GDA118" i="263" s="1"/>
  <c r="GDB6" i="263"/>
  <c r="GDB118" i="263" s="1"/>
  <c r="GDC6" i="263"/>
  <c r="GDC118" i="263" s="1"/>
  <c r="GDD6" i="263"/>
  <c r="GDD118" i="263" s="1"/>
  <c r="GDE6" i="263"/>
  <c r="GDE118" i="263" s="1"/>
  <c r="GDF6" i="263"/>
  <c r="GDF118" i="263" s="1"/>
  <c r="GDG6" i="263"/>
  <c r="GDG118" i="263" s="1"/>
  <c r="GDH6" i="263"/>
  <c r="GDH118" i="263" s="1"/>
  <c r="GDI6" i="263"/>
  <c r="GDI118" i="263" s="1"/>
  <c r="GDJ6" i="263"/>
  <c r="GDJ118" i="263" s="1"/>
  <c r="GDK6" i="263"/>
  <c r="GDK118" i="263" s="1"/>
  <c r="GDL6" i="263"/>
  <c r="GDL118" i="263" s="1"/>
  <c r="GDM6" i="263"/>
  <c r="GDM118" i="263" s="1"/>
  <c r="GDN6" i="263"/>
  <c r="GDN118" i="263" s="1"/>
  <c r="GDO6" i="263"/>
  <c r="GDO118" i="263" s="1"/>
  <c r="GDP6" i="263"/>
  <c r="GDP118" i="263" s="1"/>
  <c r="GDQ6" i="263"/>
  <c r="GDQ118" i="263" s="1"/>
  <c r="GDR6" i="263"/>
  <c r="GDR118" i="263" s="1"/>
  <c r="GDS6" i="263"/>
  <c r="GDS118" i="263" s="1"/>
  <c r="GDT6" i="263"/>
  <c r="GDT118" i="263" s="1"/>
  <c r="GDU6" i="263"/>
  <c r="GDU118" i="263" s="1"/>
  <c r="GDV6" i="263"/>
  <c r="GDV118" i="263" s="1"/>
  <c r="GDW6" i="263"/>
  <c r="GDW118" i="263" s="1"/>
  <c r="GDX6" i="263"/>
  <c r="GDX118" i="263" s="1"/>
  <c r="GDY6" i="263"/>
  <c r="GDY118" i="263" s="1"/>
  <c r="GDZ6" i="263"/>
  <c r="GDZ118" i="263" s="1"/>
  <c r="GEA6" i="263"/>
  <c r="GEA118" i="263" s="1"/>
  <c r="GEB6" i="263"/>
  <c r="GEB118" i="263" s="1"/>
  <c r="GEC6" i="263"/>
  <c r="GEC118" i="263" s="1"/>
  <c r="GED6" i="263"/>
  <c r="GED118" i="263" s="1"/>
  <c r="GEE6" i="263"/>
  <c r="GEE118" i="263" s="1"/>
  <c r="GEF6" i="263"/>
  <c r="GEF118" i="263" s="1"/>
  <c r="GEG6" i="263"/>
  <c r="GEG118" i="263" s="1"/>
  <c r="GEH6" i="263"/>
  <c r="GEH118" i="263" s="1"/>
  <c r="GEI6" i="263"/>
  <c r="GEI118" i="263" s="1"/>
  <c r="GEJ6" i="263"/>
  <c r="GEJ118" i="263" s="1"/>
  <c r="GEK6" i="263"/>
  <c r="GEK118" i="263" s="1"/>
  <c r="GEL6" i="263"/>
  <c r="GEL118" i="263" s="1"/>
  <c r="GEM6" i="263"/>
  <c r="GEM118" i="263" s="1"/>
  <c r="GEN6" i="263"/>
  <c r="GEN118" i="263" s="1"/>
  <c r="GEO6" i="263"/>
  <c r="GEO118" i="263" s="1"/>
  <c r="GEP6" i="263"/>
  <c r="GEP118" i="263" s="1"/>
  <c r="GEQ6" i="263"/>
  <c r="GEQ118" i="263" s="1"/>
  <c r="GER6" i="263"/>
  <c r="GER118" i="263" s="1"/>
  <c r="GES6" i="263"/>
  <c r="GES118" i="263" s="1"/>
  <c r="GET6" i="263"/>
  <c r="GET118" i="263" s="1"/>
  <c r="GEU6" i="263"/>
  <c r="GEU118" i="263" s="1"/>
  <c r="GEV6" i="263"/>
  <c r="GEV118" i="263" s="1"/>
  <c r="GEW6" i="263"/>
  <c r="GEW118" i="263" s="1"/>
  <c r="GEX6" i="263"/>
  <c r="GEX118" i="263" s="1"/>
  <c r="GEY6" i="263"/>
  <c r="GEY118" i="263" s="1"/>
  <c r="GEZ6" i="263"/>
  <c r="GEZ118" i="263" s="1"/>
  <c r="GFA6" i="263"/>
  <c r="GFA118" i="263" s="1"/>
  <c r="GFB6" i="263"/>
  <c r="GFB118" i="263" s="1"/>
  <c r="GFC6" i="263"/>
  <c r="GFC118" i="263" s="1"/>
  <c r="GFD6" i="263"/>
  <c r="GFD118" i="263" s="1"/>
  <c r="GFE6" i="263"/>
  <c r="GFE118" i="263" s="1"/>
  <c r="GFF6" i="263"/>
  <c r="GFF118" i="263" s="1"/>
  <c r="GFG6" i="263"/>
  <c r="GFG118" i="263" s="1"/>
  <c r="GFH6" i="263"/>
  <c r="GFH118" i="263" s="1"/>
  <c r="GFI6" i="263"/>
  <c r="GFI118" i="263" s="1"/>
  <c r="GFJ6" i="263"/>
  <c r="GFJ118" i="263" s="1"/>
  <c r="GFK6" i="263"/>
  <c r="GFK118" i="263" s="1"/>
  <c r="GFL6" i="263"/>
  <c r="GFL118" i="263" s="1"/>
  <c r="GFM6" i="263"/>
  <c r="GFM118" i="263" s="1"/>
  <c r="GFN6" i="263"/>
  <c r="GFN118" i="263" s="1"/>
  <c r="GFO6" i="263"/>
  <c r="GFO118" i="263" s="1"/>
  <c r="GFP6" i="263"/>
  <c r="GFP118" i="263" s="1"/>
  <c r="GFQ6" i="263"/>
  <c r="GFQ118" i="263" s="1"/>
  <c r="GFR6" i="263"/>
  <c r="GFR118" i="263" s="1"/>
  <c r="GFS6" i="263"/>
  <c r="GFS118" i="263" s="1"/>
  <c r="GFT6" i="263"/>
  <c r="GFT118" i="263" s="1"/>
  <c r="GFU6" i="263"/>
  <c r="GFU118" i="263" s="1"/>
  <c r="GFV6" i="263"/>
  <c r="GFV118" i="263" s="1"/>
  <c r="GFW6" i="263"/>
  <c r="GFW118" i="263" s="1"/>
  <c r="GFX6" i="263"/>
  <c r="GFX118" i="263" s="1"/>
  <c r="GFY6" i="263"/>
  <c r="GFY118" i="263" s="1"/>
  <c r="GFZ6" i="263"/>
  <c r="GFZ118" i="263" s="1"/>
  <c r="GGA6" i="263"/>
  <c r="GGA118" i="263" s="1"/>
  <c r="GGB6" i="263"/>
  <c r="GGB118" i="263" s="1"/>
  <c r="GGC6" i="263"/>
  <c r="GGC118" i="263" s="1"/>
  <c r="GGD6" i="263"/>
  <c r="GGD118" i="263" s="1"/>
  <c r="GGE6" i="263"/>
  <c r="GGE118" i="263" s="1"/>
  <c r="GGF6" i="263"/>
  <c r="GGF118" i="263" s="1"/>
  <c r="GGG6" i="263"/>
  <c r="GGG118" i="263" s="1"/>
  <c r="GGH6" i="263"/>
  <c r="GGH118" i="263" s="1"/>
  <c r="GGI6" i="263"/>
  <c r="GGI118" i="263" s="1"/>
  <c r="GGJ6" i="263"/>
  <c r="GGJ118" i="263" s="1"/>
  <c r="GGK6" i="263"/>
  <c r="GGK118" i="263" s="1"/>
  <c r="GGL6" i="263"/>
  <c r="GGL118" i="263" s="1"/>
  <c r="GGM6" i="263"/>
  <c r="GGM118" i="263" s="1"/>
  <c r="GGN6" i="263"/>
  <c r="GGN118" i="263" s="1"/>
  <c r="GGO6" i="263"/>
  <c r="GGO118" i="263" s="1"/>
  <c r="GGP6" i="263"/>
  <c r="GGP118" i="263" s="1"/>
  <c r="GGQ6" i="263"/>
  <c r="GGQ118" i="263" s="1"/>
  <c r="GGR6" i="263"/>
  <c r="GGR118" i="263" s="1"/>
  <c r="GGS6" i="263"/>
  <c r="GGS118" i="263" s="1"/>
  <c r="GGT6" i="263"/>
  <c r="GGT118" i="263" s="1"/>
  <c r="GGU6" i="263"/>
  <c r="GGU118" i="263" s="1"/>
  <c r="GGV6" i="263"/>
  <c r="GGV118" i="263" s="1"/>
  <c r="GGW6" i="263"/>
  <c r="GGW118" i="263" s="1"/>
  <c r="GGX6" i="263"/>
  <c r="GGX118" i="263" s="1"/>
  <c r="GGY6" i="263"/>
  <c r="GGY118" i="263" s="1"/>
  <c r="GGZ6" i="263"/>
  <c r="GGZ118" i="263" s="1"/>
  <c r="GHA6" i="263"/>
  <c r="GHA118" i="263" s="1"/>
  <c r="GHB6" i="263"/>
  <c r="GHB118" i="263" s="1"/>
  <c r="GHC6" i="263"/>
  <c r="GHC118" i="263" s="1"/>
  <c r="GHD6" i="263"/>
  <c r="GHD118" i="263" s="1"/>
  <c r="GHE6" i="263"/>
  <c r="GHE118" i="263" s="1"/>
  <c r="GHF6" i="263"/>
  <c r="GHF118" i="263" s="1"/>
  <c r="GHG6" i="263"/>
  <c r="GHG118" i="263" s="1"/>
  <c r="GHH6" i="263"/>
  <c r="GHH118" i="263" s="1"/>
  <c r="GHI6" i="263"/>
  <c r="GHI118" i="263" s="1"/>
  <c r="GHJ6" i="263"/>
  <c r="GHJ118" i="263" s="1"/>
  <c r="GHK6" i="263"/>
  <c r="GHK118" i="263" s="1"/>
  <c r="GHL6" i="263"/>
  <c r="GHL118" i="263" s="1"/>
  <c r="GHM6" i="263"/>
  <c r="GHM118" i="263" s="1"/>
  <c r="GHN6" i="263"/>
  <c r="GHN118" i="263" s="1"/>
  <c r="GHO6" i="263"/>
  <c r="GHO118" i="263" s="1"/>
  <c r="GHP6" i="263"/>
  <c r="GHP118" i="263" s="1"/>
  <c r="GHQ6" i="263"/>
  <c r="GHQ118" i="263" s="1"/>
  <c r="GHR6" i="263"/>
  <c r="GHR118" i="263" s="1"/>
  <c r="GHS6" i="263"/>
  <c r="GHS118" i="263" s="1"/>
  <c r="GHT6" i="263"/>
  <c r="GHT118" i="263" s="1"/>
  <c r="GHU6" i="263"/>
  <c r="GHU118" i="263" s="1"/>
  <c r="GHV6" i="263"/>
  <c r="GHV118" i="263" s="1"/>
  <c r="GHW6" i="263"/>
  <c r="GHW118" i="263" s="1"/>
  <c r="GHX6" i="263"/>
  <c r="GHX118" i="263" s="1"/>
  <c r="GHY6" i="263"/>
  <c r="GHY118" i="263" s="1"/>
  <c r="GHZ6" i="263"/>
  <c r="GHZ118" i="263" s="1"/>
  <c r="GIA6" i="263"/>
  <c r="GIA118" i="263" s="1"/>
  <c r="GIB6" i="263"/>
  <c r="GIB118" i="263" s="1"/>
  <c r="GIC6" i="263"/>
  <c r="GIC118" i="263" s="1"/>
  <c r="GID6" i="263"/>
  <c r="GID118" i="263" s="1"/>
  <c r="GIE6" i="263"/>
  <c r="GIE118" i="263" s="1"/>
  <c r="GIF6" i="263"/>
  <c r="GIF118" i="263" s="1"/>
  <c r="GIG6" i="263"/>
  <c r="GIG118" i="263" s="1"/>
  <c r="GIH6" i="263"/>
  <c r="GIH118" i="263" s="1"/>
  <c r="GII6" i="263"/>
  <c r="GII118" i="263" s="1"/>
  <c r="GIJ6" i="263"/>
  <c r="GIJ118" i="263" s="1"/>
  <c r="GIK6" i="263"/>
  <c r="GIK118" i="263" s="1"/>
  <c r="GIL6" i="263"/>
  <c r="GIL118" i="263" s="1"/>
  <c r="GIM6" i="263"/>
  <c r="GIM118" i="263" s="1"/>
  <c r="GIN6" i="263"/>
  <c r="GIN118" i="263" s="1"/>
  <c r="GIO6" i="263"/>
  <c r="GIO118" i="263" s="1"/>
  <c r="GIP6" i="263"/>
  <c r="GIP118" i="263" s="1"/>
  <c r="GIQ6" i="263"/>
  <c r="GIQ118" i="263" s="1"/>
  <c r="GIR6" i="263"/>
  <c r="GIR118" i="263" s="1"/>
  <c r="GIS6" i="263"/>
  <c r="GIS118" i="263" s="1"/>
  <c r="GIT6" i="263"/>
  <c r="GIT118" i="263" s="1"/>
  <c r="GIU6" i="263"/>
  <c r="GIU118" i="263" s="1"/>
  <c r="GIV6" i="263"/>
  <c r="GIV118" i="263" s="1"/>
  <c r="GIW6" i="263"/>
  <c r="GIW118" i="263" s="1"/>
  <c r="GIX6" i="263"/>
  <c r="GIX118" i="263" s="1"/>
  <c r="GIY6" i="263"/>
  <c r="GIY118" i="263" s="1"/>
  <c r="GIZ6" i="263"/>
  <c r="GIZ118" i="263" s="1"/>
  <c r="GJA6" i="263"/>
  <c r="GJA118" i="263" s="1"/>
  <c r="GJB6" i="263"/>
  <c r="GJB118" i="263" s="1"/>
  <c r="GJC6" i="263"/>
  <c r="GJC118" i="263" s="1"/>
  <c r="GJD6" i="263"/>
  <c r="GJD118" i="263" s="1"/>
  <c r="GJE6" i="263"/>
  <c r="GJE118" i="263" s="1"/>
  <c r="GJF6" i="263"/>
  <c r="GJF118" i="263" s="1"/>
  <c r="GJG6" i="263"/>
  <c r="GJG118" i="263" s="1"/>
  <c r="GJH6" i="263"/>
  <c r="GJH118" i="263" s="1"/>
  <c r="GJI6" i="263"/>
  <c r="GJI118" i="263" s="1"/>
  <c r="GJJ6" i="263"/>
  <c r="GJJ118" i="263" s="1"/>
  <c r="GJK6" i="263"/>
  <c r="GJK118" i="263" s="1"/>
  <c r="GJL6" i="263"/>
  <c r="GJL118" i="263" s="1"/>
  <c r="GJM6" i="263"/>
  <c r="GJM118" i="263" s="1"/>
  <c r="GJN6" i="263"/>
  <c r="GJN118" i="263" s="1"/>
  <c r="GJO6" i="263"/>
  <c r="GJO118" i="263" s="1"/>
  <c r="GJP6" i="263"/>
  <c r="GJP118" i="263" s="1"/>
  <c r="GJQ6" i="263"/>
  <c r="GJQ118" i="263" s="1"/>
  <c r="GJR6" i="263"/>
  <c r="GJR118" i="263" s="1"/>
  <c r="GJS6" i="263"/>
  <c r="GJS118" i="263" s="1"/>
  <c r="GJT6" i="263"/>
  <c r="GJT118" i="263" s="1"/>
  <c r="GJU6" i="263"/>
  <c r="GJU118" i="263" s="1"/>
  <c r="GJV6" i="263"/>
  <c r="GJV118" i="263" s="1"/>
  <c r="GJW6" i="263"/>
  <c r="GJW118" i="263" s="1"/>
  <c r="GJX6" i="263"/>
  <c r="GJX118" i="263" s="1"/>
  <c r="GJY6" i="263"/>
  <c r="GJY118" i="263" s="1"/>
  <c r="GJZ6" i="263"/>
  <c r="GJZ118" i="263" s="1"/>
  <c r="GKA6" i="263"/>
  <c r="GKA118" i="263" s="1"/>
  <c r="GKB6" i="263"/>
  <c r="GKB118" i="263" s="1"/>
  <c r="GKC6" i="263"/>
  <c r="GKC118" i="263" s="1"/>
  <c r="GKD6" i="263"/>
  <c r="GKD118" i="263" s="1"/>
  <c r="GKE6" i="263"/>
  <c r="GKE118" i="263" s="1"/>
  <c r="GKF6" i="263"/>
  <c r="GKF118" i="263" s="1"/>
  <c r="GKG6" i="263"/>
  <c r="GKG118" i="263" s="1"/>
  <c r="GKH6" i="263"/>
  <c r="GKH118" i="263" s="1"/>
  <c r="GKI6" i="263"/>
  <c r="GKI118" i="263" s="1"/>
  <c r="GKJ6" i="263"/>
  <c r="GKJ118" i="263" s="1"/>
  <c r="GKK6" i="263"/>
  <c r="GKK118" i="263" s="1"/>
  <c r="GKL6" i="263"/>
  <c r="GKL118" i="263" s="1"/>
  <c r="GKM6" i="263"/>
  <c r="GKM118" i="263" s="1"/>
  <c r="GKN6" i="263"/>
  <c r="GKN118" i="263" s="1"/>
  <c r="GKO6" i="263"/>
  <c r="GKO118" i="263" s="1"/>
  <c r="GKP6" i="263"/>
  <c r="GKP118" i="263" s="1"/>
  <c r="GKQ6" i="263"/>
  <c r="GKQ118" i="263" s="1"/>
  <c r="GKR6" i="263"/>
  <c r="GKR118" i="263" s="1"/>
  <c r="GKS6" i="263"/>
  <c r="GKS118" i="263" s="1"/>
  <c r="GKT6" i="263"/>
  <c r="GKT118" i="263" s="1"/>
  <c r="GKU6" i="263"/>
  <c r="GKU118" i="263" s="1"/>
  <c r="GKV6" i="263"/>
  <c r="GKV118" i="263" s="1"/>
  <c r="GKW6" i="263"/>
  <c r="GKW118" i="263" s="1"/>
  <c r="GKX6" i="263"/>
  <c r="GKX118" i="263" s="1"/>
  <c r="GKY6" i="263"/>
  <c r="GKY118" i="263" s="1"/>
  <c r="GKZ6" i="263"/>
  <c r="GKZ118" i="263" s="1"/>
  <c r="GLA6" i="263"/>
  <c r="GLA118" i="263" s="1"/>
  <c r="GLB6" i="263"/>
  <c r="GLB118" i="263" s="1"/>
  <c r="GLC6" i="263"/>
  <c r="GLC118" i="263" s="1"/>
  <c r="GLD6" i="263"/>
  <c r="GLD118" i="263" s="1"/>
  <c r="GLE6" i="263"/>
  <c r="GLE118" i="263" s="1"/>
  <c r="GLF6" i="263"/>
  <c r="GLF118" i="263" s="1"/>
  <c r="GLG6" i="263"/>
  <c r="GLG118" i="263" s="1"/>
  <c r="GLH6" i="263"/>
  <c r="GLH118" i="263" s="1"/>
  <c r="GLI6" i="263"/>
  <c r="GLI118" i="263" s="1"/>
  <c r="GLJ6" i="263"/>
  <c r="GLJ118" i="263" s="1"/>
  <c r="GLK6" i="263"/>
  <c r="GLK118" i="263" s="1"/>
  <c r="GLL6" i="263"/>
  <c r="GLL118" i="263" s="1"/>
  <c r="GLM6" i="263"/>
  <c r="GLM118" i="263" s="1"/>
  <c r="GLN6" i="263"/>
  <c r="GLN118" i="263" s="1"/>
  <c r="GLO6" i="263"/>
  <c r="GLO118" i="263" s="1"/>
  <c r="GLP6" i="263"/>
  <c r="GLP118" i="263" s="1"/>
  <c r="GLQ6" i="263"/>
  <c r="GLQ118" i="263" s="1"/>
  <c r="GLR6" i="263"/>
  <c r="GLR118" i="263" s="1"/>
  <c r="GLS6" i="263"/>
  <c r="GLS118" i="263" s="1"/>
  <c r="GLT6" i="263"/>
  <c r="GLT118" i="263" s="1"/>
  <c r="GLU6" i="263"/>
  <c r="GLU118" i="263" s="1"/>
  <c r="GLV6" i="263"/>
  <c r="GLV118" i="263" s="1"/>
  <c r="GLW6" i="263"/>
  <c r="GLW118" i="263" s="1"/>
  <c r="GLX6" i="263"/>
  <c r="GLX118" i="263" s="1"/>
  <c r="GLY6" i="263"/>
  <c r="GLY118" i="263" s="1"/>
  <c r="GLZ6" i="263"/>
  <c r="GLZ118" i="263" s="1"/>
  <c r="GMA6" i="263"/>
  <c r="GMA118" i="263" s="1"/>
  <c r="GMB6" i="263"/>
  <c r="GMB118" i="263" s="1"/>
  <c r="GMC6" i="263"/>
  <c r="GMC118" i="263" s="1"/>
  <c r="GMD6" i="263"/>
  <c r="GMD118" i="263" s="1"/>
  <c r="GME6" i="263"/>
  <c r="GME118" i="263" s="1"/>
  <c r="GMF6" i="263"/>
  <c r="GMF118" i="263" s="1"/>
  <c r="GMG6" i="263"/>
  <c r="GMG118" i="263" s="1"/>
  <c r="GMH6" i="263"/>
  <c r="GMH118" i="263" s="1"/>
  <c r="GMI6" i="263"/>
  <c r="GMI118" i="263" s="1"/>
  <c r="GMJ6" i="263"/>
  <c r="GMJ118" i="263" s="1"/>
  <c r="GMK6" i="263"/>
  <c r="GMK118" i="263" s="1"/>
  <c r="GML6" i="263"/>
  <c r="GML118" i="263" s="1"/>
  <c r="GMM6" i="263"/>
  <c r="GMM118" i="263" s="1"/>
  <c r="GMN6" i="263"/>
  <c r="GMN118" i="263" s="1"/>
  <c r="GMO6" i="263"/>
  <c r="GMO118" i="263" s="1"/>
  <c r="GMP6" i="263"/>
  <c r="GMP118" i="263" s="1"/>
  <c r="GMQ6" i="263"/>
  <c r="GMQ118" i="263" s="1"/>
  <c r="GMR6" i="263"/>
  <c r="GMR118" i="263" s="1"/>
  <c r="GMS6" i="263"/>
  <c r="GMS118" i="263" s="1"/>
  <c r="GMT6" i="263"/>
  <c r="GMT118" i="263" s="1"/>
  <c r="GMU6" i="263"/>
  <c r="GMU118" i="263" s="1"/>
  <c r="GMV6" i="263"/>
  <c r="GMV118" i="263" s="1"/>
  <c r="GMW6" i="263"/>
  <c r="GMW118" i="263" s="1"/>
  <c r="GMX6" i="263"/>
  <c r="GMX118" i="263" s="1"/>
  <c r="GMY6" i="263"/>
  <c r="GMY118" i="263" s="1"/>
  <c r="GMZ6" i="263"/>
  <c r="GMZ118" i="263" s="1"/>
  <c r="GNA6" i="263"/>
  <c r="GNA118" i="263" s="1"/>
  <c r="GNB6" i="263"/>
  <c r="GNB118" i="263" s="1"/>
  <c r="GNC6" i="263"/>
  <c r="GNC118" i="263" s="1"/>
  <c r="GND6" i="263"/>
  <c r="GND118" i="263" s="1"/>
  <c r="GNE6" i="263"/>
  <c r="GNE118" i="263" s="1"/>
  <c r="GNF6" i="263"/>
  <c r="GNF118" i="263" s="1"/>
  <c r="GNG6" i="263"/>
  <c r="GNG118" i="263" s="1"/>
  <c r="GNH6" i="263"/>
  <c r="GNH118" i="263" s="1"/>
  <c r="GNI6" i="263"/>
  <c r="GNI118" i="263" s="1"/>
  <c r="GNJ6" i="263"/>
  <c r="GNJ118" i="263" s="1"/>
  <c r="GNK6" i="263"/>
  <c r="GNK118" i="263" s="1"/>
  <c r="GNL6" i="263"/>
  <c r="GNL118" i="263" s="1"/>
  <c r="GNM6" i="263"/>
  <c r="GNM118" i="263" s="1"/>
  <c r="GNN6" i="263"/>
  <c r="GNN118" i="263" s="1"/>
  <c r="GNO6" i="263"/>
  <c r="GNO118" i="263" s="1"/>
  <c r="GNP6" i="263"/>
  <c r="GNP118" i="263" s="1"/>
  <c r="GNQ6" i="263"/>
  <c r="GNQ118" i="263" s="1"/>
  <c r="GNR6" i="263"/>
  <c r="GNR118" i="263" s="1"/>
  <c r="GNS6" i="263"/>
  <c r="GNS118" i="263" s="1"/>
  <c r="GNT6" i="263"/>
  <c r="GNT118" i="263" s="1"/>
  <c r="GNU6" i="263"/>
  <c r="GNU118" i="263" s="1"/>
  <c r="GNV6" i="263"/>
  <c r="GNV118" i="263" s="1"/>
  <c r="GNW6" i="263"/>
  <c r="GNW118" i="263" s="1"/>
  <c r="GNX6" i="263"/>
  <c r="GNX118" i="263" s="1"/>
  <c r="GNY6" i="263"/>
  <c r="GNY118" i="263" s="1"/>
  <c r="GNZ6" i="263"/>
  <c r="GNZ118" i="263" s="1"/>
  <c r="GOA6" i="263"/>
  <c r="GOA118" i="263" s="1"/>
  <c r="GOB6" i="263"/>
  <c r="GOB118" i="263" s="1"/>
  <c r="GOC6" i="263"/>
  <c r="GOC118" i="263" s="1"/>
  <c r="GOD6" i="263"/>
  <c r="GOD118" i="263" s="1"/>
  <c r="GOE6" i="263"/>
  <c r="GOE118" i="263" s="1"/>
  <c r="GOF6" i="263"/>
  <c r="GOF118" i="263" s="1"/>
  <c r="GOG6" i="263"/>
  <c r="GOG118" i="263" s="1"/>
  <c r="GOH6" i="263"/>
  <c r="GOH118" i="263" s="1"/>
  <c r="GOI6" i="263"/>
  <c r="GOI118" i="263" s="1"/>
  <c r="GOJ6" i="263"/>
  <c r="GOJ118" i="263" s="1"/>
  <c r="GOK6" i="263"/>
  <c r="GOK118" i="263" s="1"/>
  <c r="GOL6" i="263"/>
  <c r="GOL118" i="263" s="1"/>
  <c r="GOM6" i="263"/>
  <c r="GOM118" i="263" s="1"/>
  <c r="GON6" i="263"/>
  <c r="GON118" i="263" s="1"/>
  <c r="GOO6" i="263"/>
  <c r="GOO118" i="263" s="1"/>
  <c r="GOP6" i="263"/>
  <c r="GOP118" i="263" s="1"/>
  <c r="GOQ6" i="263"/>
  <c r="GOQ118" i="263" s="1"/>
  <c r="GOR6" i="263"/>
  <c r="GOR118" i="263" s="1"/>
  <c r="GOS6" i="263"/>
  <c r="GOS118" i="263" s="1"/>
  <c r="GOT6" i="263"/>
  <c r="GOT118" i="263" s="1"/>
  <c r="GOU6" i="263"/>
  <c r="GOU118" i="263" s="1"/>
  <c r="GOV6" i="263"/>
  <c r="GOV118" i="263" s="1"/>
  <c r="GOW6" i="263"/>
  <c r="GOW118" i="263" s="1"/>
  <c r="GOX6" i="263"/>
  <c r="GOX118" i="263" s="1"/>
  <c r="GOY6" i="263"/>
  <c r="GOY118" i="263" s="1"/>
  <c r="GOZ6" i="263"/>
  <c r="GOZ118" i="263" s="1"/>
  <c r="GPA6" i="263"/>
  <c r="GPA118" i="263" s="1"/>
  <c r="GPB6" i="263"/>
  <c r="GPB118" i="263" s="1"/>
  <c r="GPC6" i="263"/>
  <c r="GPC118" i="263" s="1"/>
  <c r="GPD6" i="263"/>
  <c r="GPD118" i="263" s="1"/>
  <c r="GPE6" i="263"/>
  <c r="GPE118" i="263" s="1"/>
  <c r="GPF6" i="263"/>
  <c r="GPF118" i="263" s="1"/>
  <c r="GPG6" i="263"/>
  <c r="GPG118" i="263" s="1"/>
  <c r="GPH6" i="263"/>
  <c r="GPH118" i="263" s="1"/>
  <c r="GPI6" i="263"/>
  <c r="GPI118" i="263" s="1"/>
  <c r="GPJ6" i="263"/>
  <c r="GPJ118" i="263" s="1"/>
  <c r="GPK6" i="263"/>
  <c r="GPK118" i="263" s="1"/>
  <c r="GPL6" i="263"/>
  <c r="GPL118" i="263" s="1"/>
  <c r="GPM6" i="263"/>
  <c r="GPM118" i="263" s="1"/>
  <c r="GPN6" i="263"/>
  <c r="GPN118" i="263" s="1"/>
  <c r="GPO6" i="263"/>
  <c r="GPO118" i="263" s="1"/>
  <c r="GPP6" i="263"/>
  <c r="GPP118" i="263" s="1"/>
  <c r="GPQ6" i="263"/>
  <c r="GPQ118" i="263" s="1"/>
  <c r="GPR6" i="263"/>
  <c r="GPR118" i="263" s="1"/>
  <c r="GPS6" i="263"/>
  <c r="GPS118" i="263" s="1"/>
  <c r="GPT6" i="263"/>
  <c r="GPT118" i="263" s="1"/>
  <c r="GPU6" i="263"/>
  <c r="GPU118" i="263" s="1"/>
  <c r="GPV6" i="263"/>
  <c r="GPV118" i="263" s="1"/>
  <c r="GPW6" i="263"/>
  <c r="GPW118" i="263" s="1"/>
  <c r="GPX6" i="263"/>
  <c r="GPX118" i="263" s="1"/>
  <c r="GPY6" i="263"/>
  <c r="GPY118" i="263" s="1"/>
  <c r="GPZ6" i="263"/>
  <c r="GPZ118" i="263" s="1"/>
  <c r="GQA6" i="263"/>
  <c r="GQA118" i="263" s="1"/>
  <c r="GQB6" i="263"/>
  <c r="GQB118" i="263" s="1"/>
  <c r="GQC6" i="263"/>
  <c r="GQC118" i="263" s="1"/>
  <c r="GQD6" i="263"/>
  <c r="GQD118" i="263" s="1"/>
  <c r="GQE6" i="263"/>
  <c r="GQE118" i="263" s="1"/>
  <c r="GQF6" i="263"/>
  <c r="GQF118" i="263" s="1"/>
  <c r="GQG6" i="263"/>
  <c r="GQG118" i="263" s="1"/>
  <c r="GQH6" i="263"/>
  <c r="GQH118" i="263" s="1"/>
  <c r="GQI6" i="263"/>
  <c r="GQI118" i="263" s="1"/>
  <c r="GQJ6" i="263"/>
  <c r="GQJ118" i="263" s="1"/>
  <c r="GQK6" i="263"/>
  <c r="GQK118" i="263" s="1"/>
  <c r="GQL6" i="263"/>
  <c r="GQL118" i="263" s="1"/>
  <c r="GQM6" i="263"/>
  <c r="GQM118" i="263" s="1"/>
  <c r="GQN6" i="263"/>
  <c r="GQN118" i="263" s="1"/>
  <c r="GQO6" i="263"/>
  <c r="GQO118" i="263" s="1"/>
  <c r="GQP6" i="263"/>
  <c r="GQP118" i="263" s="1"/>
  <c r="GQQ6" i="263"/>
  <c r="GQQ118" i="263" s="1"/>
  <c r="GQR6" i="263"/>
  <c r="GQR118" i="263" s="1"/>
  <c r="GQS6" i="263"/>
  <c r="GQS118" i="263" s="1"/>
  <c r="GQT6" i="263"/>
  <c r="GQT118" i="263" s="1"/>
  <c r="GQU6" i="263"/>
  <c r="GQU118" i="263" s="1"/>
  <c r="GQV6" i="263"/>
  <c r="GQV118" i="263" s="1"/>
  <c r="GQW6" i="263"/>
  <c r="GQW118" i="263" s="1"/>
  <c r="GQX6" i="263"/>
  <c r="GQX118" i="263" s="1"/>
  <c r="GQY6" i="263"/>
  <c r="GQY118" i="263" s="1"/>
  <c r="GQZ6" i="263"/>
  <c r="GQZ118" i="263" s="1"/>
  <c r="GRA6" i="263"/>
  <c r="GRA118" i="263" s="1"/>
  <c r="GRB6" i="263"/>
  <c r="GRB118" i="263" s="1"/>
  <c r="GRC6" i="263"/>
  <c r="GRC118" i="263" s="1"/>
  <c r="GRD6" i="263"/>
  <c r="GRD118" i="263" s="1"/>
  <c r="GRE6" i="263"/>
  <c r="GRE118" i="263" s="1"/>
  <c r="GRF6" i="263"/>
  <c r="GRF118" i="263" s="1"/>
  <c r="GRG6" i="263"/>
  <c r="GRG118" i="263" s="1"/>
  <c r="GRH6" i="263"/>
  <c r="GRH118" i="263" s="1"/>
  <c r="GRI6" i="263"/>
  <c r="GRI118" i="263" s="1"/>
  <c r="GRJ6" i="263"/>
  <c r="GRJ118" i="263" s="1"/>
  <c r="GRK6" i="263"/>
  <c r="GRK118" i="263" s="1"/>
  <c r="GRL6" i="263"/>
  <c r="GRL118" i="263" s="1"/>
  <c r="GRM6" i="263"/>
  <c r="GRM118" i="263" s="1"/>
  <c r="GRN6" i="263"/>
  <c r="GRN118" i="263" s="1"/>
  <c r="GRO6" i="263"/>
  <c r="GRO118" i="263" s="1"/>
  <c r="GRP6" i="263"/>
  <c r="GRP118" i="263" s="1"/>
  <c r="GRQ6" i="263"/>
  <c r="GRQ118" i="263" s="1"/>
  <c r="GRR6" i="263"/>
  <c r="GRR118" i="263" s="1"/>
  <c r="GRS6" i="263"/>
  <c r="GRS118" i="263" s="1"/>
  <c r="GRT6" i="263"/>
  <c r="GRT118" i="263" s="1"/>
  <c r="GRU6" i="263"/>
  <c r="GRU118" i="263" s="1"/>
  <c r="GRV6" i="263"/>
  <c r="GRV118" i="263" s="1"/>
  <c r="GRW6" i="263"/>
  <c r="GRW118" i="263" s="1"/>
  <c r="GRX6" i="263"/>
  <c r="GRX118" i="263" s="1"/>
  <c r="GRY6" i="263"/>
  <c r="GRY118" i="263" s="1"/>
  <c r="GRZ6" i="263"/>
  <c r="GRZ118" i="263" s="1"/>
  <c r="GSA6" i="263"/>
  <c r="GSA118" i="263" s="1"/>
  <c r="GSB6" i="263"/>
  <c r="GSB118" i="263" s="1"/>
  <c r="GSC6" i="263"/>
  <c r="GSC118" i="263" s="1"/>
  <c r="GSD6" i="263"/>
  <c r="GSD118" i="263" s="1"/>
  <c r="GSE6" i="263"/>
  <c r="GSE118" i="263" s="1"/>
  <c r="GSF6" i="263"/>
  <c r="GSF118" i="263" s="1"/>
  <c r="GSG6" i="263"/>
  <c r="GSG118" i="263" s="1"/>
  <c r="GSH6" i="263"/>
  <c r="GSH118" i="263" s="1"/>
  <c r="GSI6" i="263"/>
  <c r="GSI118" i="263" s="1"/>
  <c r="GSJ6" i="263"/>
  <c r="GSJ118" i="263" s="1"/>
  <c r="GSK6" i="263"/>
  <c r="GSK118" i="263" s="1"/>
  <c r="GSL6" i="263"/>
  <c r="GSL118" i="263" s="1"/>
  <c r="GSM6" i="263"/>
  <c r="GSM118" i="263" s="1"/>
  <c r="GSN6" i="263"/>
  <c r="GSN118" i="263" s="1"/>
  <c r="GSO6" i="263"/>
  <c r="GSO118" i="263" s="1"/>
  <c r="GSP6" i="263"/>
  <c r="GSP118" i="263" s="1"/>
  <c r="GSQ6" i="263"/>
  <c r="GSQ118" i="263" s="1"/>
  <c r="GSR6" i="263"/>
  <c r="GSR118" i="263" s="1"/>
  <c r="GSS6" i="263"/>
  <c r="GSS118" i="263" s="1"/>
  <c r="GST6" i="263"/>
  <c r="GST118" i="263" s="1"/>
  <c r="GSU6" i="263"/>
  <c r="GSU118" i="263" s="1"/>
  <c r="GSV6" i="263"/>
  <c r="GSV118" i="263" s="1"/>
  <c r="GSW6" i="263"/>
  <c r="GSW118" i="263" s="1"/>
  <c r="GSX6" i="263"/>
  <c r="GSX118" i="263" s="1"/>
  <c r="GSY6" i="263"/>
  <c r="GSY118" i="263" s="1"/>
  <c r="GSZ6" i="263"/>
  <c r="GSZ118" i="263" s="1"/>
  <c r="GTA6" i="263"/>
  <c r="GTA118" i="263" s="1"/>
  <c r="GTB6" i="263"/>
  <c r="GTB118" i="263" s="1"/>
  <c r="GTC6" i="263"/>
  <c r="GTC118" i="263" s="1"/>
  <c r="GTD6" i="263"/>
  <c r="GTD118" i="263" s="1"/>
  <c r="GTE6" i="263"/>
  <c r="GTE118" i="263" s="1"/>
  <c r="GTF6" i="263"/>
  <c r="GTF118" i="263" s="1"/>
  <c r="GTG6" i="263"/>
  <c r="GTG118" i="263" s="1"/>
  <c r="GTH6" i="263"/>
  <c r="GTH118" i="263" s="1"/>
  <c r="GTI6" i="263"/>
  <c r="GTI118" i="263" s="1"/>
  <c r="GTJ6" i="263"/>
  <c r="GTJ118" i="263" s="1"/>
  <c r="GTK6" i="263"/>
  <c r="GTK118" i="263" s="1"/>
  <c r="GTL6" i="263"/>
  <c r="GTL118" i="263" s="1"/>
  <c r="GTM6" i="263"/>
  <c r="GTM118" i="263" s="1"/>
  <c r="GTN6" i="263"/>
  <c r="GTN118" i="263" s="1"/>
  <c r="GTO6" i="263"/>
  <c r="GTO118" i="263" s="1"/>
  <c r="GTP6" i="263"/>
  <c r="GTP118" i="263" s="1"/>
  <c r="GTQ6" i="263"/>
  <c r="GTQ118" i="263" s="1"/>
  <c r="GTR6" i="263"/>
  <c r="GTR118" i="263" s="1"/>
  <c r="GTS6" i="263"/>
  <c r="GTS118" i="263" s="1"/>
  <c r="GTT6" i="263"/>
  <c r="GTT118" i="263" s="1"/>
  <c r="GTU6" i="263"/>
  <c r="GTU118" i="263" s="1"/>
  <c r="GTV6" i="263"/>
  <c r="GTV118" i="263" s="1"/>
  <c r="GTW6" i="263"/>
  <c r="GTW118" i="263" s="1"/>
  <c r="GTX6" i="263"/>
  <c r="GTX118" i="263" s="1"/>
  <c r="GTY6" i="263"/>
  <c r="GTY118" i="263" s="1"/>
  <c r="GTZ6" i="263"/>
  <c r="GTZ118" i="263" s="1"/>
  <c r="GUA6" i="263"/>
  <c r="GUA118" i="263" s="1"/>
  <c r="GUB6" i="263"/>
  <c r="GUB118" i="263" s="1"/>
  <c r="GUC6" i="263"/>
  <c r="GUC118" i="263" s="1"/>
  <c r="GUD6" i="263"/>
  <c r="GUD118" i="263" s="1"/>
  <c r="GUE6" i="263"/>
  <c r="GUE118" i="263" s="1"/>
  <c r="GUF6" i="263"/>
  <c r="GUF118" i="263" s="1"/>
  <c r="GUG6" i="263"/>
  <c r="GUG118" i="263" s="1"/>
  <c r="GUH6" i="263"/>
  <c r="GUH118" i="263" s="1"/>
  <c r="GUI6" i="263"/>
  <c r="GUI118" i="263" s="1"/>
  <c r="GUJ6" i="263"/>
  <c r="GUJ118" i="263" s="1"/>
  <c r="GUK6" i="263"/>
  <c r="GUK118" i="263" s="1"/>
  <c r="GUL6" i="263"/>
  <c r="GUL118" i="263" s="1"/>
  <c r="GUM6" i="263"/>
  <c r="GUM118" i="263" s="1"/>
  <c r="GUN6" i="263"/>
  <c r="GUN118" i="263" s="1"/>
  <c r="GUO6" i="263"/>
  <c r="GUO118" i="263" s="1"/>
  <c r="GUP6" i="263"/>
  <c r="GUP118" i="263" s="1"/>
  <c r="GUQ6" i="263"/>
  <c r="GUQ118" i="263" s="1"/>
  <c r="GUR6" i="263"/>
  <c r="GUR118" i="263" s="1"/>
  <c r="GUS6" i="263"/>
  <c r="GUS118" i="263" s="1"/>
  <c r="GUT6" i="263"/>
  <c r="GUT118" i="263" s="1"/>
  <c r="GUU6" i="263"/>
  <c r="GUU118" i="263" s="1"/>
  <c r="GUV6" i="263"/>
  <c r="GUV118" i="263" s="1"/>
  <c r="GUW6" i="263"/>
  <c r="GUW118" i="263" s="1"/>
  <c r="GUX6" i="263"/>
  <c r="GUX118" i="263" s="1"/>
  <c r="GUY6" i="263"/>
  <c r="GUY118" i="263" s="1"/>
  <c r="GUZ6" i="263"/>
  <c r="GUZ118" i="263" s="1"/>
  <c r="GVA6" i="263"/>
  <c r="GVA118" i="263" s="1"/>
  <c r="GVB6" i="263"/>
  <c r="GVB118" i="263" s="1"/>
  <c r="GVC6" i="263"/>
  <c r="GVC118" i="263" s="1"/>
  <c r="GVD6" i="263"/>
  <c r="GVD118" i="263" s="1"/>
  <c r="GVE6" i="263"/>
  <c r="GVE118" i="263" s="1"/>
  <c r="GVF6" i="263"/>
  <c r="GVF118" i="263" s="1"/>
  <c r="GVG6" i="263"/>
  <c r="GVG118" i="263" s="1"/>
  <c r="GVH6" i="263"/>
  <c r="GVH118" i="263" s="1"/>
  <c r="GVI6" i="263"/>
  <c r="GVI118" i="263" s="1"/>
  <c r="GVJ6" i="263"/>
  <c r="GVJ118" i="263" s="1"/>
  <c r="GVK6" i="263"/>
  <c r="GVK118" i="263" s="1"/>
  <c r="GVL6" i="263"/>
  <c r="GVL118" i="263" s="1"/>
  <c r="GVM6" i="263"/>
  <c r="GVM118" i="263" s="1"/>
  <c r="GVN6" i="263"/>
  <c r="GVN118" i="263" s="1"/>
  <c r="GVO6" i="263"/>
  <c r="GVO118" i="263" s="1"/>
  <c r="GVP6" i="263"/>
  <c r="GVP118" i="263" s="1"/>
  <c r="GVQ6" i="263"/>
  <c r="GVQ118" i="263" s="1"/>
  <c r="GVR6" i="263"/>
  <c r="GVR118" i="263" s="1"/>
  <c r="GVS6" i="263"/>
  <c r="GVS118" i="263" s="1"/>
  <c r="GVT6" i="263"/>
  <c r="GVT118" i="263" s="1"/>
  <c r="GVU6" i="263"/>
  <c r="GVU118" i="263" s="1"/>
  <c r="GVV6" i="263"/>
  <c r="GVV118" i="263" s="1"/>
  <c r="GVW6" i="263"/>
  <c r="GVW118" i="263" s="1"/>
  <c r="GVX6" i="263"/>
  <c r="GVX118" i="263" s="1"/>
  <c r="GVY6" i="263"/>
  <c r="GVY118" i="263" s="1"/>
  <c r="GVZ6" i="263"/>
  <c r="GVZ118" i="263" s="1"/>
  <c r="GWA6" i="263"/>
  <c r="GWA118" i="263" s="1"/>
  <c r="GWB6" i="263"/>
  <c r="GWB118" i="263" s="1"/>
  <c r="GWC6" i="263"/>
  <c r="GWC118" i="263" s="1"/>
  <c r="GWD6" i="263"/>
  <c r="GWD118" i="263" s="1"/>
  <c r="GWE6" i="263"/>
  <c r="GWE118" i="263" s="1"/>
  <c r="GWF6" i="263"/>
  <c r="GWF118" i="263" s="1"/>
  <c r="GWG6" i="263"/>
  <c r="GWG118" i="263" s="1"/>
  <c r="GWH6" i="263"/>
  <c r="GWH118" i="263" s="1"/>
  <c r="GWI6" i="263"/>
  <c r="GWI118" i="263" s="1"/>
  <c r="GWJ6" i="263"/>
  <c r="GWJ118" i="263" s="1"/>
  <c r="GWK6" i="263"/>
  <c r="GWK118" i="263" s="1"/>
  <c r="GWL6" i="263"/>
  <c r="GWL118" i="263" s="1"/>
  <c r="GWM6" i="263"/>
  <c r="GWM118" i="263" s="1"/>
  <c r="GWN6" i="263"/>
  <c r="GWN118" i="263" s="1"/>
  <c r="GWO6" i="263"/>
  <c r="GWO118" i="263" s="1"/>
  <c r="GWP6" i="263"/>
  <c r="GWP118" i="263" s="1"/>
  <c r="GWQ6" i="263"/>
  <c r="GWQ118" i="263" s="1"/>
  <c r="GWR6" i="263"/>
  <c r="GWR118" i="263" s="1"/>
  <c r="GWS6" i="263"/>
  <c r="GWS118" i="263" s="1"/>
  <c r="GWT6" i="263"/>
  <c r="GWT118" i="263" s="1"/>
  <c r="GWU6" i="263"/>
  <c r="GWU118" i="263" s="1"/>
  <c r="GWV6" i="263"/>
  <c r="GWV118" i="263" s="1"/>
  <c r="GWW6" i="263"/>
  <c r="GWW118" i="263" s="1"/>
  <c r="GWX6" i="263"/>
  <c r="GWX118" i="263" s="1"/>
  <c r="GWY6" i="263"/>
  <c r="GWY118" i="263" s="1"/>
  <c r="GWZ6" i="263"/>
  <c r="GWZ118" i="263" s="1"/>
  <c r="GXA6" i="263"/>
  <c r="GXA118" i="263" s="1"/>
  <c r="GXB6" i="263"/>
  <c r="GXB118" i="263" s="1"/>
  <c r="GXC6" i="263"/>
  <c r="GXC118" i="263" s="1"/>
  <c r="GXD6" i="263"/>
  <c r="GXD118" i="263" s="1"/>
  <c r="GXE6" i="263"/>
  <c r="GXE118" i="263" s="1"/>
  <c r="GXF6" i="263"/>
  <c r="GXF118" i="263" s="1"/>
  <c r="GXG6" i="263"/>
  <c r="GXG118" i="263" s="1"/>
  <c r="GXH6" i="263"/>
  <c r="GXH118" i="263" s="1"/>
  <c r="GXI6" i="263"/>
  <c r="GXI118" i="263" s="1"/>
  <c r="GXJ6" i="263"/>
  <c r="GXJ118" i="263" s="1"/>
  <c r="GXK6" i="263"/>
  <c r="GXK118" i="263" s="1"/>
  <c r="GXL6" i="263"/>
  <c r="GXL118" i="263" s="1"/>
  <c r="GXM6" i="263"/>
  <c r="GXM118" i="263" s="1"/>
  <c r="GXN6" i="263"/>
  <c r="GXN118" i="263" s="1"/>
  <c r="GXO6" i="263"/>
  <c r="GXO118" i="263" s="1"/>
  <c r="GXP6" i="263"/>
  <c r="GXP118" i="263" s="1"/>
  <c r="GXQ6" i="263"/>
  <c r="GXQ118" i="263" s="1"/>
  <c r="GXR6" i="263"/>
  <c r="GXR118" i="263" s="1"/>
  <c r="GXS6" i="263"/>
  <c r="GXS118" i="263" s="1"/>
  <c r="GXT6" i="263"/>
  <c r="GXT118" i="263" s="1"/>
  <c r="GXU6" i="263"/>
  <c r="GXU118" i="263" s="1"/>
  <c r="GXV6" i="263"/>
  <c r="GXV118" i="263" s="1"/>
  <c r="GXW6" i="263"/>
  <c r="GXW118" i="263" s="1"/>
  <c r="GXX6" i="263"/>
  <c r="GXX118" i="263" s="1"/>
  <c r="GXY6" i="263"/>
  <c r="GXY118" i="263" s="1"/>
  <c r="GXZ6" i="263"/>
  <c r="GXZ118" i="263" s="1"/>
  <c r="GYA6" i="263"/>
  <c r="GYA118" i="263" s="1"/>
  <c r="GYB6" i="263"/>
  <c r="GYB118" i="263" s="1"/>
  <c r="GYC6" i="263"/>
  <c r="GYC118" i="263" s="1"/>
  <c r="GYD6" i="263"/>
  <c r="GYD118" i="263" s="1"/>
  <c r="GYE6" i="263"/>
  <c r="GYE118" i="263" s="1"/>
  <c r="GYF6" i="263"/>
  <c r="GYF118" i="263" s="1"/>
  <c r="GYG6" i="263"/>
  <c r="GYG118" i="263" s="1"/>
  <c r="GYH6" i="263"/>
  <c r="GYH118" i="263" s="1"/>
  <c r="GYI6" i="263"/>
  <c r="GYI118" i="263" s="1"/>
  <c r="GYJ6" i="263"/>
  <c r="GYJ118" i="263" s="1"/>
  <c r="GYK6" i="263"/>
  <c r="GYK118" i="263" s="1"/>
  <c r="GYL6" i="263"/>
  <c r="GYL118" i="263" s="1"/>
  <c r="GYM6" i="263"/>
  <c r="GYM118" i="263" s="1"/>
  <c r="GYN6" i="263"/>
  <c r="GYN118" i="263" s="1"/>
  <c r="GYO6" i="263"/>
  <c r="GYO118" i="263" s="1"/>
  <c r="GYP6" i="263"/>
  <c r="GYP118" i="263" s="1"/>
  <c r="GYQ6" i="263"/>
  <c r="GYQ118" i="263" s="1"/>
  <c r="GYR6" i="263"/>
  <c r="GYR118" i="263" s="1"/>
  <c r="GYS6" i="263"/>
  <c r="GYS118" i="263" s="1"/>
  <c r="GYT6" i="263"/>
  <c r="GYT118" i="263" s="1"/>
  <c r="GYU6" i="263"/>
  <c r="GYU118" i="263" s="1"/>
  <c r="GYV6" i="263"/>
  <c r="GYV118" i="263" s="1"/>
  <c r="GYW6" i="263"/>
  <c r="GYW118" i="263" s="1"/>
  <c r="GYX6" i="263"/>
  <c r="GYX118" i="263" s="1"/>
  <c r="GYY6" i="263"/>
  <c r="GYY118" i="263" s="1"/>
  <c r="GYZ6" i="263"/>
  <c r="GYZ118" i="263" s="1"/>
  <c r="GZA6" i="263"/>
  <c r="GZA118" i="263" s="1"/>
  <c r="GZB6" i="263"/>
  <c r="GZB118" i="263" s="1"/>
  <c r="GZC6" i="263"/>
  <c r="GZC118" i="263" s="1"/>
  <c r="GZD6" i="263"/>
  <c r="GZD118" i="263" s="1"/>
  <c r="GZE6" i="263"/>
  <c r="GZE118" i="263" s="1"/>
  <c r="GZF6" i="263"/>
  <c r="GZF118" i="263" s="1"/>
  <c r="GZG6" i="263"/>
  <c r="GZG118" i="263" s="1"/>
  <c r="GZH6" i="263"/>
  <c r="GZH118" i="263" s="1"/>
  <c r="GZI6" i="263"/>
  <c r="GZI118" i="263" s="1"/>
  <c r="GZJ6" i="263"/>
  <c r="GZJ118" i="263" s="1"/>
  <c r="GZK6" i="263"/>
  <c r="GZK118" i="263" s="1"/>
  <c r="GZL6" i="263"/>
  <c r="GZL118" i="263" s="1"/>
  <c r="GZM6" i="263"/>
  <c r="GZM118" i="263" s="1"/>
  <c r="GZN6" i="263"/>
  <c r="GZN118" i="263" s="1"/>
  <c r="GZO6" i="263"/>
  <c r="GZO118" i="263" s="1"/>
  <c r="GZP6" i="263"/>
  <c r="GZP118" i="263" s="1"/>
  <c r="GZQ6" i="263"/>
  <c r="GZQ118" i="263" s="1"/>
  <c r="GZR6" i="263"/>
  <c r="GZR118" i="263" s="1"/>
  <c r="GZS6" i="263"/>
  <c r="GZS118" i="263" s="1"/>
  <c r="GZT6" i="263"/>
  <c r="GZT118" i="263" s="1"/>
  <c r="GZU6" i="263"/>
  <c r="GZU118" i="263" s="1"/>
  <c r="GZV6" i="263"/>
  <c r="GZV118" i="263" s="1"/>
  <c r="GZW6" i="263"/>
  <c r="GZW118" i="263" s="1"/>
  <c r="GZX6" i="263"/>
  <c r="GZX118" i="263" s="1"/>
  <c r="GZY6" i="263"/>
  <c r="GZY118" i="263" s="1"/>
  <c r="GZZ6" i="263"/>
  <c r="GZZ118" i="263" s="1"/>
  <c r="HAA6" i="263"/>
  <c r="HAA118" i="263" s="1"/>
  <c r="HAB6" i="263"/>
  <c r="HAB118" i="263" s="1"/>
  <c r="HAC6" i="263"/>
  <c r="HAC118" i="263" s="1"/>
  <c r="HAD6" i="263"/>
  <c r="HAD118" i="263" s="1"/>
  <c r="HAE6" i="263"/>
  <c r="HAE118" i="263" s="1"/>
  <c r="HAF6" i="263"/>
  <c r="HAF118" i="263" s="1"/>
  <c r="HAG6" i="263"/>
  <c r="HAG118" i="263" s="1"/>
  <c r="HAH6" i="263"/>
  <c r="HAH118" i="263" s="1"/>
  <c r="HAI6" i="263"/>
  <c r="HAI118" i="263" s="1"/>
  <c r="HAJ6" i="263"/>
  <c r="HAJ118" i="263" s="1"/>
  <c r="HAK6" i="263"/>
  <c r="HAK118" i="263" s="1"/>
  <c r="HAL6" i="263"/>
  <c r="HAL118" i="263" s="1"/>
  <c r="HAM6" i="263"/>
  <c r="HAM118" i="263" s="1"/>
  <c r="HAN6" i="263"/>
  <c r="HAN118" i="263" s="1"/>
  <c r="HAO6" i="263"/>
  <c r="HAO118" i="263" s="1"/>
  <c r="HAP6" i="263"/>
  <c r="HAP118" i="263" s="1"/>
  <c r="HAQ6" i="263"/>
  <c r="HAQ118" i="263" s="1"/>
  <c r="HAR6" i="263"/>
  <c r="HAR118" i="263" s="1"/>
  <c r="HAS6" i="263"/>
  <c r="HAS118" i="263" s="1"/>
  <c r="HAT6" i="263"/>
  <c r="HAT118" i="263" s="1"/>
  <c r="HAU6" i="263"/>
  <c r="HAU118" i="263" s="1"/>
  <c r="HAV6" i="263"/>
  <c r="HAV118" i="263" s="1"/>
  <c r="HAW6" i="263"/>
  <c r="HAW118" i="263" s="1"/>
  <c r="HAX6" i="263"/>
  <c r="HAX118" i="263" s="1"/>
  <c r="HAY6" i="263"/>
  <c r="HAY118" i="263" s="1"/>
  <c r="HAZ6" i="263"/>
  <c r="HAZ118" i="263" s="1"/>
  <c r="HBA6" i="263"/>
  <c r="HBA118" i="263" s="1"/>
  <c r="HBB6" i="263"/>
  <c r="HBB118" i="263" s="1"/>
  <c r="HBC6" i="263"/>
  <c r="HBC118" i="263" s="1"/>
  <c r="HBD6" i="263"/>
  <c r="HBD118" i="263" s="1"/>
  <c r="HBE6" i="263"/>
  <c r="HBE118" i="263" s="1"/>
  <c r="HBF6" i="263"/>
  <c r="HBF118" i="263" s="1"/>
  <c r="HBG6" i="263"/>
  <c r="HBG118" i="263" s="1"/>
  <c r="HBH6" i="263"/>
  <c r="HBH118" i="263" s="1"/>
  <c r="HBI6" i="263"/>
  <c r="HBI118" i="263" s="1"/>
  <c r="HBJ6" i="263"/>
  <c r="HBJ118" i="263" s="1"/>
  <c r="HBK6" i="263"/>
  <c r="HBK118" i="263" s="1"/>
  <c r="HBL6" i="263"/>
  <c r="HBL118" i="263" s="1"/>
  <c r="HBM6" i="263"/>
  <c r="HBM118" i="263" s="1"/>
  <c r="HBN6" i="263"/>
  <c r="HBN118" i="263" s="1"/>
  <c r="HBO6" i="263"/>
  <c r="HBO118" i="263" s="1"/>
  <c r="HBP6" i="263"/>
  <c r="HBP118" i="263" s="1"/>
  <c r="HBQ6" i="263"/>
  <c r="HBQ118" i="263" s="1"/>
  <c r="HBR6" i="263"/>
  <c r="HBR118" i="263" s="1"/>
  <c r="HBS6" i="263"/>
  <c r="HBS118" i="263" s="1"/>
  <c r="HBT6" i="263"/>
  <c r="HBT118" i="263" s="1"/>
  <c r="HBU6" i="263"/>
  <c r="HBU118" i="263" s="1"/>
  <c r="HBV6" i="263"/>
  <c r="HBV118" i="263" s="1"/>
  <c r="HBW6" i="263"/>
  <c r="HBW118" i="263" s="1"/>
  <c r="HBX6" i="263"/>
  <c r="HBX118" i="263" s="1"/>
  <c r="HBY6" i="263"/>
  <c r="HBY118" i="263" s="1"/>
  <c r="HBZ6" i="263"/>
  <c r="HBZ118" i="263" s="1"/>
  <c r="HCA6" i="263"/>
  <c r="HCA118" i="263" s="1"/>
  <c r="HCB6" i="263"/>
  <c r="HCB118" i="263" s="1"/>
  <c r="HCC6" i="263"/>
  <c r="HCC118" i="263" s="1"/>
  <c r="HCD6" i="263"/>
  <c r="HCD118" i="263" s="1"/>
  <c r="HCE6" i="263"/>
  <c r="HCE118" i="263" s="1"/>
  <c r="HCF6" i="263"/>
  <c r="HCF118" i="263" s="1"/>
  <c r="HCG6" i="263"/>
  <c r="HCG118" i="263" s="1"/>
  <c r="HCH6" i="263"/>
  <c r="HCH118" i="263" s="1"/>
  <c r="HCI6" i="263"/>
  <c r="HCI118" i="263" s="1"/>
  <c r="HCJ6" i="263"/>
  <c r="HCJ118" i="263" s="1"/>
  <c r="HCK6" i="263"/>
  <c r="HCK118" i="263" s="1"/>
  <c r="HCL6" i="263"/>
  <c r="HCL118" i="263" s="1"/>
  <c r="HCM6" i="263"/>
  <c r="HCM118" i="263" s="1"/>
  <c r="HCN6" i="263"/>
  <c r="HCN118" i="263" s="1"/>
  <c r="HCO6" i="263"/>
  <c r="HCO118" i="263" s="1"/>
  <c r="HCP6" i="263"/>
  <c r="HCP118" i="263" s="1"/>
  <c r="HCQ6" i="263"/>
  <c r="HCQ118" i="263" s="1"/>
  <c r="HCR6" i="263"/>
  <c r="HCR118" i="263" s="1"/>
  <c r="HCS6" i="263"/>
  <c r="HCS118" i="263" s="1"/>
  <c r="HCT6" i="263"/>
  <c r="HCT118" i="263" s="1"/>
  <c r="HCU6" i="263"/>
  <c r="HCU118" i="263" s="1"/>
  <c r="HCV6" i="263"/>
  <c r="HCV118" i="263" s="1"/>
  <c r="HCW6" i="263"/>
  <c r="HCW118" i="263" s="1"/>
  <c r="HCX6" i="263"/>
  <c r="HCX118" i="263" s="1"/>
  <c r="HCY6" i="263"/>
  <c r="HCY118" i="263" s="1"/>
  <c r="HCZ6" i="263"/>
  <c r="HCZ118" i="263" s="1"/>
  <c r="HDA6" i="263"/>
  <c r="HDA118" i="263" s="1"/>
  <c r="HDB6" i="263"/>
  <c r="HDB118" i="263" s="1"/>
  <c r="HDC6" i="263"/>
  <c r="HDC118" i="263" s="1"/>
  <c r="HDD6" i="263"/>
  <c r="HDD118" i="263" s="1"/>
  <c r="HDE6" i="263"/>
  <c r="HDE118" i="263" s="1"/>
  <c r="HDF6" i="263"/>
  <c r="HDF118" i="263" s="1"/>
  <c r="HDG6" i="263"/>
  <c r="HDG118" i="263" s="1"/>
  <c r="HDH6" i="263"/>
  <c r="HDH118" i="263" s="1"/>
  <c r="HDI6" i="263"/>
  <c r="HDI118" i="263" s="1"/>
  <c r="HDJ6" i="263"/>
  <c r="HDJ118" i="263" s="1"/>
  <c r="HDK6" i="263"/>
  <c r="HDK118" i="263" s="1"/>
  <c r="HDL6" i="263"/>
  <c r="HDL118" i="263" s="1"/>
  <c r="HDM6" i="263"/>
  <c r="HDM118" i="263" s="1"/>
  <c r="HDN6" i="263"/>
  <c r="HDN118" i="263" s="1"/>
  <c r="HDO6" i="263"/>
  <c r="HDO118" i="263" s="1"/>
  <c r="HDP6" i="263"/>
  <c r="HDP118" i="263" s="1"/>
  <c r="HDQ6" i="263"/>
  <c r="HDQ118" i="263" s="1"/>
  <c r="HDR6" i="263"/>
  <c r="HDR118" i="263" s="1"/>
  <c r="HDS6" i="263"/>
  <c r="HDS118" i="263" s="1"/>
  <c r="HDT6" i="263"/>
  <c r="HDT118" i="263" s="1"/>
  <c r="HDU6" i="263"/>
  <c r="HDU118" i="263" s="1"/>
  <c r="HDV6" i="263"/>
  <c r="HDV118" i="263" s="1"/>
  <c r="HDW6" i="263"/>
  <c r="HDW118" i="263" s="1"/>
  <c r="HDX6" i="263"/>
  <c r="HDX118" i="263" s="1"/>
  <c r="HDY6" i="263"/>
  <c r="HDY118" i="263" s="1"/>
  <c r="HDZ6" i="263"/>
  <c r="HDZ118" i="263" s="1"/>
  <c r="HEA6" i="263"/>
  <c r="HEA118" i="263" s="1"/>
  <c r="HEB6" i="263"/>
  <c r="HEB118" i="263" s="1"/>
  <c r="HEC6" i="263"/>
  <c r="HEC118" i="263" s="1"/>
  <c r="HED6" i="263"/>
  <c r="HED118" i="263" s="1"/>
  <c r="HEE6" i="263"/>
  <c r="HEE118" i="263" s="1"/>
  <c r="HEF6" i="263"/>
  <c r="HEF118" i="263" s="1"/>
  <c r="HEG6" i="263"/>
  <c r="HEG118" i="263" s="1"/>
  <c r="HEH6" i="263"/>
  <c r="HEH118" i="263" s="1"/>
  <c r="HEI6" i="263"/>
  <c r="HEI118" i="263" s="1"/>
  <c r="HEJ6" i="263"/>
  <c r="HEJ118" i="263" s="1"/>
  <c r="HEK6" i="263"/>
  <c r="HEK118" i="263" s="1"/>
  <c r="HEL6" i="263"/>
  <c r="HEL118" i="263" s="1"/>
  <c r="HEM6" i="263"/>
  <c r="HEM118" i="263" s="1"/>
  <c r="HEN6" i="263"/>
  <c r="HEN118" i="263" s="1"/>
  <c r="HEO6" i="263"/>
  <c r="HEO118" i="263" s="1"/>
  <c r="HEP6" i="263"/>
  <c r="HEP118" i="263" s="1"/>
  <c r="HEQ6" i="263"/>
  <c r="HEQ118" i="263" s="1"/>
  <c r="HER6" i="263"/>
  <c r="HER118" i="263" s="1"/>
  <c r="HES6" i="263"/>
  <c r="HES118" i="263" s="1"/>
  <c r="HET6" i="263"/>
  <c r="HET118" i="263" s="1"/>
  <c r="HEU6" i="263"/>
  <c r="HEU118" i="263" s="1"/>
  <c r="HEV6" i="263"/>
  <c r="HEV118" i="263" s="1"/>
  <c r="HEW6" i="263"/>
  <c r="HEW118" i="263" s="1"/>
  <c r="HEX6" i="263"/>
  <c r="HEX118" i="263" s="1"/>
  <c r="HEY6" i="263"/>
  <c r="HEY118" i="263" s="1"/>
  <c r="HEZ6" i="263"/>
  <c r="HEZ118" i="263" s="1"/>
  <c r="HFA6" i="263"/>
  <c r="HFA118" i="263" s="1"/>
  <c r="HFB6" i="263"/>
  <c r="HFB118" i="263" s="1"/>
  <c r="HFC6" i="263"/>
  <c r="HFC118" i="263" s="1"/>
  <c r="HFD6" i="263"/>
  <c r="HFD118" i="263" s="1"/>
  <c r="HFE6" i="263"/>
  <c r="HFE118" i="263" s="1"/>
  <c r="HFF6" i="263"/>
  <c r="HFF118" i="263" s="1"/>
  <c r="HFG6" i="263"/>
  <c r="HFG118" i="263" s="1"/>
  <c r="HFH6" i="263"/>
  <c r="HFH118" i="263" s="1"/>
  <c r="HFI6" i="263"/>
  <c r="HFI118" i="263" s="1"/>
  <c r="HFJ6" i="263"/>
  <c r="HFJ118" i="263" s="1"/>
  <c r="HFK6" i="263"/>
  <c r="HFK118" i="263" s="1"/>
  <c r="HFL6" i="263"/>
  <c r="HFL118" i="263" s="1"/>
  <c r="HFM6" i="263"/>
  <c r="HFM118" i="263" s="1"/>
  <c r="HFN6" i="263"/>
  <c r="HFN118" i="263" s="1"/>
  <c r="HFO6" i="263"/>
  <c r="HFO118" i="263" s="1"/>
  <c r="HFP6" i="263"/>
  <c r="HFP118" i="263" s="1"/>
  <c r="HFQ6" i="263"/>
  <c r="HFQ118" i="263" s="1"/>
  <c r="HFR6" i="263"/>
  <c r="HFR118" i="263" s="1"/>
  <c r="HFS6" i="263"/>
  <c r="HFS118" i="263" s="1"/>
  <c r="HFT6" i="263"/>
  <c r="HFT118" i="263" s="1"/>
  <c r="HFU6" i="263"/>
  <c r="HFU118" i="263" s="1"/>
  <c r="HFV6" i="263"/>
  <c r="HFV118" i="263" s="1"/>
  <c r="HFW6" i="263"/>
  <c r="HFW118" i="263" s="1"/>
  <c r="HFX6" i="263"/>
  <c r="HFX118" i="263" s="1"/>
  <c r="HFY6" i="263"/>
  <c r="HFY118" i="263" s="1"/>
  <c r="HFZ6" i="263"/>
  <c r="HFZ118" i="263" s="1"/>
  <c r="HGA6" i="263"/>
  <c r="HGA118" i="263" s="1"/>
  <c r="HGB6" i="263"/>
  <c r="HGB118" i="263" s="1"/>
  <c r="HGC6" i="263"/>
  <c r="HGC118" i="263" s="1"/>
  <c r="HGD6" i="263"/>
  <c r="HGD118" i="263" s="1"/>
  <c r="HGE6" i="263"/>
  <c r="HGE118" i="263" s="1"/>
  <c r="HGF6" i="263"/>
  <c r="HGF118" i="263" s="1"/>
  <c r="HGG6" i="263"/>
  <c r="HGG118" i="263" s="1"/>
  <c r="HGH6" i="263"/>
  <c r="HGH118" i="263" s="1"/>
  <c r="HGI6" i="263"/>
  <c r="HGI118" i="263" s="1"/>
  <c r="HGJ6" i="263"/>
  <c r="HGJ118" i="263" s="1"/>
  <c r="HGK6" i="263"/>
  <c r="HGK118" i="263" s="1"/>
  <c r="HGL6" i="263"/>
  <c r="HGL118" i="263" s="1"/>
  <c r="HGM6" i="263"/>
  <c r="HGM118" i="263" s="1"/>
  <c r="HGN6" i="263"/>
  <c r="HGN118" i="263" s="1"/>
  <c r="HGO6" i="263"/>
  <c r="HGO118" i="263" s="1"/>
  <c r="HGP6" i="263"/>
  <c r="HGP118" i="263" s="1"/>
  <c r="HGQ6" i="263"/>
  <c r="HGQ118" i="263" s="1"/>
  <c r="HGR6" i="263"/>
  <c r="HGR118" i="263" s="1"/>
  <c r="HGS6" i="263"/>
  <c r="HGS118" i="263" s="1"/>
  <c r="HGT6" i="263"/>
  <c r="HGT118" i="263" s="1"/>
  <c r="HGU6" i="263"/>
  <c r="HGU118" i="263" s="1"/>
  <c r="HGV6" i="263"/>
  <c r="HGV118" i="263" s="1"/>
  <c r="HGW6" i="263"/>
  <c r="HGW118" i="263" s="1"/>
  <c r="HGX6" i="263"/>
  <c r="HGX118" i="263" s="1"/>
  <c r="HGY6" i="263"/>
  <c r="HGY118" i="263" s="1"/>
  <c r="HGZ6" i="263"/>
  <c r="HGZ118" i="263" s="1"/>
  <c r="HHA6" i="263"/>
  <c r="HHA118" i="263" s="1"/>
  <c r="HHB6" i="263"/>
  <c r="HHB118" i="263" s="1"/>
  <c r="HHC6" i="263"/>
  <c r="HHC118" i="263" s="1"/>
  <c r="HHD6" i="263"/>
  <c r="HHD118" i="263" s="1"/>
  <c r="HHE6" i="263"/>
  <c r="HHE118" i="263" s="1"/>
  <c r="HHF6" i="263"/>
  <c r="HHF118" i="263" s="1"/>
  <c r="HHG6" i="263"/>
  <c r="HHG118" i="263" s="1"/>
  <c r="HHH6" i="263"/>
  <c r="HHH118" i="263" s="1"/>
  <c r="HHI6" i="263"/>
  <c r="HHI118" i="263" s="1"/>
  <c r="HHJ6" i="263"/>
  <c r="HHJ118" i="263" s="1"/>
  <c r="HHK6" i="263"/>
  <c r="HHK118" i="263" s="1"/>
  <c r="HHL6" i="263"/>
  <c r="HHL118" i="263" s="1"/>
  <c r="HHM6" i="263"/>
  <c r="HHM118" i="263" s="1"/>
  <c r="HHN6" i="263"/>
  <c r="HHN118" i="263" s="1"/>
  <c r="HHO6" i="263"/>
  <c r="HHO118" i="263" s="1"/>
  <c r="HHP6" i="263"/>
  <c r="HHP118" i="263" s="1"/>
  <c r="HHQ6" i="263"/>
  <c r="HHQ118" i="263" s="1"/>
  <c r="HHR6" i="263"/>
  <c r="HHR118" i="263" s="1"/>
  <c r="HHS6" i="263"/>
  <c r="HHS118" i="263" s="1"/>
  <c r="HHT6" i="263"/>
  <c r="HHT118" i="263" s="1"/>
  <c r="HHU6" i="263"/>
  <c r="HHU118" i="263" s="1"/>
  <c r="HHV6" i="263"/>
  <c r="HHV118" i="263" s="1"/>
  <c r="HHW6" i="263"/>
  <c r="HHW118" i="263" s="1"/>
  <c r="HHX6" i="263"/>
  <c r="HHX118" i="263" s="1"/>
  <c r="HHY6" i="263"/>
  <c r="HHY118" i="263" s="1"/>
  <c r="HHZ6" i="263"/>
  <c r="HHZ118" i="263" s="1"/>
  <c r="HIA6" i="263"/>
  <c r="HIA118" i="263" s="1"/>
  <c r="HIB6" i="263"/>
  <c r="HIB118" i="263" s="1"/>
  <c r="HIC6" i="263"/>
  <c r="HIC118" i="263" s="1"/>
  <c r="HID6" i="263"/>
  <c r="HID118" i="263" s="1"/>
  <c r="HIE6" i="263"/>
  <c r="HIE118" i="263" s="1"/>
  <c r="HIF6" i="263"/>
  <c r="HIF118" i="263" s="1"/>
  <c r="HIG6" i="263"/>
  <c r="HIG118" i="263" s="1"/>
  <c r="HIH6" i="263"/>
  <c r="HIH118" i="263" s="1"/>
  <c r="HII6" i="263"/>
  <c r="HII118" i="263" s="1"/>
  <c r="HIJ6" i="263"/>
  <c r="HIJ118" i="263" s="1"/>
  <c r="HIK6" i="263"/>
  <c r="HIK118" i="263" s="1"/>
  <c r="HIL6" i="263"/>
  <c r="HIL118" i="263" s="1"/>
  <c r="HIM6" i="263"/>
  <c r="HIM118" i="263" s="1"/>
  <c r="HIN6" i="263"/>
  <c r="HIN118" i="263" s="1"/>
  <c r="HIO6" i="263"/>
  <c r="HIO118" i="263" s="1"/>
  <c r="HIP6" i="263"/>
  <c r="HIP118" i="263" s="1"/>
  <c r="HIQ6" i="263"/>
  <c r="HIQ118" i="263" s="1"/>
  <c r="HIR6" i="263"/>
  <c r="HIR118" i="263" s="1"/>
  <c r="HIS6" i="263"/>
  <c r="HIS118" i="263" s="1"/>
  <c r="HIT6" i="263"/>
  <c r="HIT118" i="263" s="1"/>
  <c r="HIU6" i="263"/>
  <c r="HIU118" i="263" s="1"/>
  <c r="HIV6" i="263"/>
  <c r="HIV118" i="263" s="1"/>
  <c r="HIW6" i="263"/>
  <c r="HIW118" i="263" s="1"/>
  <c r="HIX6" i="263"/>
  <c r="HIX118" i="263" s="1"/>
  <c r="HIY6" i="263"/>
  <c r="HIY118" i="263" s="1"/>
  <c r="HIZ6" i="263"/>
  <c r="HIZ118" i="263" s="1"/>
  <c r="HJA6" i="263"/>
  <c r="HJA118" i="263" s="1"/>
  <c r="HJB6" i="263"/>
  <c r="HJB118" i="263" s="1"/>
  <c r="HJC6" i="263"/>
  <c r="HJC118" i="263" s="1"/>
  <c r="HJD6" i="263"/>
  <c r="HJD118" i="263" s="1"/>
  <c r="HJE6" i="263"/>
  <c r="HJE118" i="263" s="1"/>
  <c r="HJF6" i="263"/>
  <c r="HJF118" i="263" s="1"/>
  <c r="HJG6" i="263"/>
  <c r="HJG118" i="263" s="1"/>
  <c r="HJH6" i="263"/>
  <c r="HJH118" i="263" s="1"/>
  <c r="HJI6" i="263"/>
  <c r="HJI118" i="263" s="1"/>
  <c r="HJJ6" i="263"/>
  <c r="HJJ118" i="263" s="1"/>
  <c r="HJK6" i="263"/>
  <c r="HJK118" i="263" s="1"/>
  <c r="HJL6" i="263"/>
  <c r="HJL118" i="263" s="1"/>
  <c r="HJM6" i="263"/>
  <c r="HJM118" i="263" s="1"/>
  <c r="HJN6" i="263"/>
  <c r="HJN118" i="263" s="1"/>
  <c r="HJO6" i="263"/>
  <c r="HJO118" i="263" s="1"/>
  <c r="HJP6" i="263"/>
  <c r="HJP118" i="263" s="1"/>
  <c r="HJQ6" i="263"/>
  <c r="HJQ118" i="263" s="1"/>
  <c r="HJR6" i="263"/>
  <c r="HJR118" i="263" s="1"/>
  <c r="HJS6" i="263"/>
  <c r="HJS118" i="263" s="1"/>
  <c r="HJT6" i="263"/>
  <c r="HJT118" i="263" s="1"/>
  <c r="HJU6" i="263"/>
  <c r="HJU118" i="263" s="1"/>
  <c r="HJV6" i="263"/>
  <c r="HJV118" i="263" s="1"/>
  <c r="HJW6" i="263"/>
  <c r="HJW118" i="263" s="1"/>
  <c r="HJX6" i="263"/>
  <c r="HJX118" i="263" s="1"/>
  <c r="HJY6" i="263"/>
  <c r="HJY118" i="263" s="1"/>
  <c r="HJZ6" i="263"/>
  <c r="HJZ118" i="263" s="1"/>
  <c r="HKA6" i="263"/>
  <c r="HKA118" i="263" s="1"/>
  <c r="HKB6" i="263"/>
  <c r="HKB118" i="263" s="1"/>
  <c r="HKC6" i="263"/>
  <c r="HKC118" i="263" s="1"/>
  <c r="HKD6" i="263"/>
  <c r="HKD118" i="263" s="1"/>
  <c r="HKE6" i="263"/>
  <c r="HKE118" i="263" s="1"/>
  <c r="HKF6" i="263"/>
  <c r="HKF118" i="263" s="1"/>
  <c r="HKG6" i="263"/>
  <c r="HKG118" i="263" s="1"/>
  <c r="HKH6" i="263"/>
  <c r="HKH118" i="263" s="1"/>
  <c r="HKI6" i="263"/>
  <c r="HKI118" i="263" s="1"/>
  <c r="HKJ6" i="263"/>
  <c r="HKJ118" i="263" s="1"/>
  <c r="HKK6" i="263"/>
  <c r="HKK118" i="263" s="1"/>
  <c r="HKL6" i="263"/>
  <c r="HKL118" i="263" s="1"/>
  <c r="HKM6" i="263"/>
  <c r="HKM118" i="263" s="1"/>
  <c r="HKN6" i="263"/>
  <c r="HKN118" i="263" s="1"/>
  <c r="HKO6" i="263"/>
  <c r="HKO118" i="263" s="1"/>
  <c r="HKP6" i="263"/>
  <c r="HKP118" i="263" s="1"/>
  <c r="HKQ6" i="263"/>
  <c r="HKQ118" i="263" s="1"/>
  <c r="HKR6" i="263"/>
  <c r="HKR118" i="263" s="1"/>
  <c r="HKS6" i="263"/>
  <c r="HKS118" i="263" s="1"/>
  <c r="HKT6" i="263"/>
  <c r="HKT118" i="263" s="1"/>
  <c r="HKU6" i="263"/>
  <c r="HKU118" i="263" s="1"/>
  <c r="HKV6" i="263"/>
  <c r="HKV118" i="263" s="1"/>
  <c r="HKW6" i="263"/>
  <c r="HKW118" i="263" s="1"/>
  <c r="HKX6" i="263"/>
  <c r="HKX118" i="263" s="1"/>
  <c r="HKY6" i="263"/>
  <c r="HKY118" i="263" s="1"/>
  <c r="HKZ6" i="263"/>
  <c r="HKZ118" i="263" s="1"/>
  <c r="HLA6" i="263"/>
  <c r="HLA118" i="263" s="1"/>
  <c r="HLB6" i="263"/>
  <c r="HLB118" i="263" s="1"/>
  <c r="HLC6" i="263"/>
  <c r="HLC118" i="263" s="1"/>
  <c r="HLD6" i="263"/>
  <c r="HLD118" i="263" s="1"/>
  <c r="HLE6" i="263"/>
  <c r="HLE118" i="263" s="1"/>
  <c r="HLF6" i="263"/>
  <c r="HLF118" i="263" s="1"/>
  <c r="HLG6" i="263"/>
  <c r="HLG118" i="263" s="1"/>
  <c r="HLH6" i="263"/>
  <c r="HLH118" i="263" s="1"/>
  <c r="HLI6" i="263"/>
  <c r="HLI118" i="263" s="1"/>
  <c r="HLJ6" i="263"/>
  <c r="HLJ118" i="263" s="1"/>
  <c r="HLK6" i="263"/>
  <c r="HLK118" i="263" s="1"/>
  <c r="HLL6" i="263"/>
  <c r="HLL118" i="263" s="1"/>
  <c r="HLM6" i="263"/>
  <c r="HLM118" i="263" s="1"/>
  <c r="HLN6" i="263"/>
  <c r="HLN118" i="263" s="1"/>
  <c r="HLO6" i="263"/>
  <c r="HLO118" i="263" s="1"/>
  <c r="HLP6" i="263"/>
  <c r="HLP118" i="263" s="1"/>
  <c r="HLQ6" i="263"/>
  <c r="HLQ118" i="263" s="1"/>
  <c r="HLR6" i="263"/>
  <c r="HLR118" i="263" s="1"/>
  <c r="HLS6" i="263"/>
  <c r="HLS118" i="263" s="1"/>
  <c r="HLT6" i="263"/>
  <c r="HLT118" i="263" s="1"/>
  <c r="HLU6" i="263"/>
  <c r="HLU118" i="263" s="1"/>
  <c r="HLV6" i="263"/>
  <c r="HLV118" i="263" s="1"/>
  <c r="HLW6" i="263"/>
  <c r="HLW118" i="263" s="1"/>
  <c r="HLX6" i="263"/>
  <c r="HLX118" i="263" s="1"/>
  <c r="HLY6" i="263"/>
  <c r="HLY118" i="263" s="1"/>
  <c r="HLZ6" i="263"/>
  <c r="HLZ118" i="263" s="1"/>
  <c r="HMA6" i="263"/>
  <c r="HMA118" i="263" s="1"/>
  <c r="HMB6" i="263"/>
  <c r="HMB118" i="263" s="1"/>
  <c r="HMC6" i="263"/>
  <c r="HMC118" i="263" s="1"/>
  <c r="HMD6" i="263"/>
  <c r="HMD118" i="263" s="1"/>
  <c r="HME6" i="263"/>
  <c r="HME118" i="263" s="1"/>
  <c r="HMF6" i="263"/>
  <c r="HMF118" i="263" s="1"/>
  <c r="HMG6" i="263"/>
  <c r="HMG118" i="263" s="1"/>
  <c r="HMH6" i="263"/>
  <c r="HMH118" i="263" s="1"/>
  <c r="HMI6" i="263"/>
  <c r="HMI118" i="263" s="1"/>
  <c r="HMJ6" i="263"/>
  <c r="HMJ118" i="263" s="1"/>
  <c r="HMK6" i="263"/>
  <c r="HMK118" i="263" s="1"/>
  <c r="HML6" i="263"/>
  <c r="HML118" i="263" s="1"/>
  <c r="HMM6" i="263"/>
  <c r="HMM118" i="263" s="1"/>
  <c r="HMN6" i="263"/>
  <c r="HMN118" i="263" s="1"/>
  <c r="HMO6" i="263"/>
  <c r="HMO118" i="263" s="1"/>
  <c r="HMP6" i="263"/>
  <c r="HMP118" i="263" s="1"/>
  <c r="HMQ6" i="263"/>
  <c r="HMQ118" i="263" s="1"/>
  <c r="HMR6" i="263"/>
  <c r="HMR118" i="263" s="1"/>
  <c r="HMS6" i="263"/>
  <c r="HMS118" i="263" s="1"/>
  <c r="HMT6" i="263"/>
  <c r="HMT118" i="263" s="1"/>
  <c r="HMU6" i="263"/>
  <c r="HMU118" i="263" s="1"/>
  <c r="HMV6" i="263"/>
  <c r="HMV118" i="263" s="1"/>
  <c r="HMW6" i="263"/>
  <c r="HMW118" i="263" s="1"/>
  <c r="HMX6" i="263"/>
  <c r="HMX118" i="263" s="1"/>
  <c r="HMY6" i="263"/>
  <c r="HMY118" i="263" s="1"/>
  <c r="HMZ6" i="263"/>
  <c r="HMZ118" i="263" s="1"/>
  <c r="HNA6" i="263"/>
  <c r="HNA118" i="263" s="1"/>
  <c r="HNB6" i="263"/>
  <c r="HNB118" i="263" s="1"/>
  <c r="HNC6" i="263"/>
  <c r="HNC118" i="263" s="1"/>
  <c r="HND6" i="263"/>
  <c r="HND118" i="263" s="1"/>
  <c r="HNE6" i="263"/>
  <c r="HNE118" i="263" s="1"/>
  <c r="HNF6" i="263"/>
  <c r="HNF118" i="263" s="1"/>
  <c r="HNG6" i="263"/>
  <c r="HNG118" i="263" s="1"/>
  <c r="HNH6" i="263"/>
  <c r="HNH118" i="263" s="1"/>
  <c r="HNI6" i="263"/>
  <c r="HNI118" i="263" s="1"/>
  <c r="HNJ6" i="263"/>
  <c r="HNJ118" i="263" s="1"/>
  <c r="HNK6" i="263"/>
  <c r="HNK118" i="263" s="1"/>
  <c r="HNL6" i="263"/>
  <c r="HNL118" i="263" s="1"/>
  <c r="HNM6" i="263"/>
  <c r="HNM118" i="263" s="1"/>
  <c r="HNN6" i="263"/>
  <c r="HNN118" i="263" s="1"/>
  <c r="HNO6" i="263"/>
  <c r="HNO118" i="263" s="1"/>
  <c r="HNP6" i="263"/>
  <c r="HNP118" i="263" s="1"/>
  <c r="HNQ6" i="263"/>
  <c r="HNQ118" i="263" s="1"/>
  <c r="HNR6" i="263"/>
  <c r="HNR118" i="263" s="1"/>
  <c r="HNS6" i="263"/>
  <c r="HNS118" i="263" s="1"/>
  <c r="HNT6" i="263"/>
  <c r="HNT118" i="263" s="1"/>
  <c r="HNU6" i="263"/>
  <c r="HNU118" i="263" s="1"/>
  <c r="HNV6" i="263"/>
  <c r="HNV118" i="263" s="1"/>
  <c r="HNW6" i="263"/>
  <c r="HNW118" i="263" s="1"/>
  <c r="HNX6" i="263"/>
  <c r="HNX118" i="263" s="1"/>
  <c r="HNY6" i="263"/>
  <c r="HNY118" i="263" s="1"/>
  <c r="HNZ6" i="263"/>
  <c r="HNZ118" i="263" s="1"/>
  <c r="HOA6" i="263"/>
  <c r="HOA118" i="263" s="1"/>
  <c r="HOB6" i="263"/>
  <c r="HOB118" i="263" s="1"/>
  <c r="HOC6" i="263"/>
  <c r="HOC118" i="263" s="1"/>
  <c r="HOD6" i="263"/>
  <c r="HOD118" i="263" s="1"/>
  <c r="HOE6" i="263"/>
  <c r="HOE118" i="263" s="1"/>
  <c r="HOF6" i="263"/>
  <c r="HOF118" i="263" s="1"/>
  <c r="HOG6" i="263"/>
  <c r="HOG118" i="263" s="1"/>
  <c r="HOH6" i="263"/>
  <c r="HOH118" i="263" s="1"/>
  <c r="HOI6" i="263"/>
  <c r="HOI118" i="263" s="1"/>
  <c r="HOJ6" i="263"/>
  <c r="HOJ118" i="263" s="1"/>
  <c r="HOK6" i="263"/>
  <c r="HOK118" i="263" s="1"/>
  <c r="HOL6" i="263"/>
  <c r="HOL118" i="263" s="1"/>
  <c r="HOM6" i="263"/>
  <c r="HOM118" i="263" s="1"/>
  <c r="HON6" i="263"/>
  <c r="HON118" i="263" s="1"/>
  <c r="HOO6" i="263"/>
  <c r="HOO118" i="263" s="1"/>
  <c r="HOP6" i="263"/>
  <c r="HOP118" i="263" s="1"/>
  <c r="HOQ6" i="263"/>
  <c r="HOQ118" i="263" s="1"/>
  <c r="HOR6" i="263"/>
  <c r="HOR118" i="263" s="1"/>
  <c r="HOS6" i="263"/>
  <c r="HOS118" i="263" s="1"/>
  <c r="HOT6" i="263"/>
  <c r="HOT118" i="263" s="1"/>
  <c r="HOU6" i="263"/>
  <c r="HOU118" i="263" s="1"/>
  <c r="HOV6" i="263"/>
  <c r="HOV118" i="263" s="1"/>
  <c r="HOW6" i="263"/>
  <c r="HOW118" i="263" s="1"/>
  <c r="HOX6" i="263"/>
  <c r="HOX118" i="263" s="1"/>
  <c r="HOY6" i="263"/>
  <c r="HOY118" i="263" s="1"/>
  <c r="HOZ6" i="263"/>
  <c r="HOZ118" i="263" s="1"/>
  <c r="HPA6" i="263"/>
  <c r="HPA118" i="263" s="1"/>
  <c r="HPB6" i="263"/>
  <c r="HPB118" i="263" s="1"/>
  <c r="HPC6" i="263"/>
  <c r="HPC118" i="263" s="1"/>
  <c r="HPD6" i="263"/>
  <c r="HPD118" i="263" s="1"/>
  <c r="HPE6" i="263"/>
  <c r="HPE118" i="263" s="1"/>
  <c r="HPF6" i="263"/>
  <c r="HPF118" i="263" s="1"/>
  <c r="HPG6" i="263"/>
  <c r="HPG118" i="263" s="1"/>
  <c r="HPH6" i="263"/>
  <c r="HPH118" i="263" s="1"/>
  <c r="HPI6" i="263"/>
  <c r="HPI118" i="263" s="1"/>
  <c r="HPJ6" i="263"/>
  <c r="HPJ118" i="263" s="1"/>
  <c r="HPK6" i="263"/>
  <c r="HPK118" i="263" s="1"/>
  <c r="HPL6" i="263"/>
  <c r="HPL118" i="263" s="1"/>
  <c r="HPM6" i="263"/>
  <c r="HPM118" i="263" s="1"/>
  <c r="HPN6" i="263"/>
  <c r="HPN118" i="263" s="1"/>
  <c r="HPO6" i="263"/>
  <c r="HPO118" i="263" s="1"/>
  <c r="HPP6" i="263"/>
  <c r="HPP118" i="263" s="1"/>
  <c r="HPQ6" i="263"/>
  <c r="HPQ118" i="263" s="1"/>
  <c r="HPR6" i="263"/>
  <c r="HPR118" i="263" s="1"/>
  <c r="HPS6" i="263"/>
  <c r="HPS118" i="263" s="1"/>
  <c r="HPT6" i="263"/>
  <c r="HPT118" i="263" s="1"/>
  <c r="HPU6" i="263"/>
  <c r="HPU118" i="263" s="1"/>
  <c r="HPV6" i="263"/>
  <c r="HPV118" i="263" s="1"/>
  <c r="HPW6" i="263"/>
  <c r="HPW118" i="263" s="1"/>
  <c r="HPX6" i="263"/>
  <c r="HPX118" i="263" s="1"/>
  <c r="HPY6" i="263"/>
  <c r="HPY118" i="263" s="1"/>
  <c r="HPZ6" i="263"/>
  <c r="HPZ118" i="263" s="1"/>
  <c r="HQA6" i="263"/>
  <c r="HQA118" i="263" s="1"/>
  <c r="HQB6" i="263"/>
  <c r="HQB118" i="263" s="1"/>
  <c r="HQC6" i="263"/>
  <c r="HQC118" i="263" s="1"/>
  <c r="HQD6" i="263"/>
  <c r="HQD118" i="263" s="1"/>
  <c r="HQE6" i="263"/>
  <c r="HQE118" i="263" s="1"/>
  <c r="HQF6" i="263"/>
  <c r="HQF118" i="263" s="1"/>
  <c r="HQG6" i="263"/>
  <c r="HQG118" i="263" s="1"/>
  <c r="HQH6" i="263"/>
  <c r="HQH118" i="263" s="1"/>
  <c r="HQI6" i="263"/>
  <c r="HQI118" i="263" s="1"/>
  <c r="HQJ6" i="263"/>
  <c r="HQJ118" i="263" s="1"/>
  <c r="HQK6" i="263"/>
  <c r="HQK118" i="263" s="1"/>
  <c r="HQL6" i="263"/>
  <c r="HQL118" i="263" s="1"/>
  <c r="HQM6" i="263"/>
  <c r="HQM118" i="263" s="1"/>
  <c r="HQN6" i="263"/>
  <c r="HQN118" i="263" s="1"/>
  <c r="HQO6" i="263"/>
  <c r="HQO118" i="263" s="1"/>
  <c r="HQP6" i="263"/>
  <c r="HQP118" i="263" s="1"/>
  <c r="HQQ6" i="263"/>
  <c r="HQQ118" i="263" s="1"/>
  <c r="HQR6" i="263"/>
  <c r="HQR118" i="263" s="1"/>
  <c r="HQS6" i="263"/>
  <c r="HQS118" i="263" s="1"/>
  <c r="HQT6" i="263"/>
  <c r="HQT118" i="263" s="1"/>
  <c r="HQU6" i="263"/>
  <c r="HQU118" i="263" s="1"/>
  <c r="HQV6" i="263"/>
  <c r="HQV118" i="263" s="1"/>
  <c r="HQW6" i="263"/>
  <c r="HQW118" i="263" s="1"/>
  <c r="HQX6" i="263"/>
  <c r="HQX118" i="263" s="1"/>
  <c r="HQY6" i="263"/>
  <c r="HQY118" i="263" s="1"/>
  <c r="HQZ6" i="263"/>
  <c r="HQZ118" i="263" s="1"/>
  <c r="HRA6" i="263"/>
  <c r="HRA118" i="263" s="1"/>
  <c r="HRB6" i="263"/>
  <c r="HRB118" i="263" s="1"/>
  <c r="HRC6" i="263"/>
  <c r="HRC118" i="263" s="1"/>
  <c r="HRD6" i="263"/>
  <c r="HRD118" i="263" s="1"/>
  <c r="HRE6" i="263"/>
  <c r="HRE118" i="263" s="1"/>
  <c r="HRF6" i="263"/>
  <c r="HRF118" i="263" s="1"/>
  <c r="HRG6" i="263"/>
  <c r="HRG118" i="263" s="1"/>
  <c r="HRH6" i="263"/>
  <c r="HRH118" i="263" s="1"/>
  <c r="HRI6" i="263"/>
  <c r="HRI118" i="263" s="1"/>
  <c r="HRJ6" i="263"/>
  <c r="HRJ118" i="263" s="1"/>
  <c r="HRK6" i="263"/>
  <c r="HRK118" i="263" s="1"/>
  <c r="HRL6" i="263"/>
  <c r="HRL118" i="263" s="1"/>
  <c r="HRM6" i="263"/>
  <c r="HRM118" i="263" s="1"/>
  <c r="HRN6" i="263"/>
  <c r="HRN118" i="263" s="1"/>
  <c r="HRO6" i="263"/>
  <c r="HRO118" i="263" s="1"/>
  <c r="HRP6" i="263"/>
  <c r="HRP118" i="263" s="1"/>
  <c r="HRQ6" i="263"/>
  <c r="HRQ118" i="263" s="1"/>
  <c r="HRR6" i="263"/>
  <c r="HRR118" i="263" s="1"/>
  <c r="HRS6" i="263"/>
  <c r="HRS118" i="263" s="1"/>
  <c r="HRT6" i="263"/>
  <c r="HRT118" i="263" s="1"/>
  <c r="HRU6" i="263"/>
  <c r="HRU118" i="263" s="1"/>
  <c r="HRV6" i="263"/>
  <c r="HRV118" i="263" s="1"/>
  <c r="HRW6" i="263"/>
  <c r="HRW118" i="263" s="1"/>
  <c r="HRX6" i="263"/>
  <c r="HRX118" i="263" s="1"/>
  <c r="HRY6" i="263"/>
  <c r="HRY118" i="263" s="1"/>
  <c r="HRZ6" i="263"/>
  <c r="HRZ118" i="263" s="1"/>
  <c r="HSA6" i="263"/>
  <c r="HSA118" i="263" s="1"/>
  <c r="HSB6" i="263"/>
  <c r="HSB118" i="263" s="1"/>
  <c r="HSC6" i="263"/>
  <c r="HSC118" i="263" s="1"/>
  <c r="HSD6" i="263"/>
  <c r="HSD118" i="263" s="1"/>
  <c r="HSE6" i="263"/>
  <c r="HSE118" i="263" s="1"/>
  <c r="HSF6" i="263"/>
  <c r="HSF118" i="263" s="1"/>
  <c r="HSG6" i="263"/>
  <c r="HSG118" i="263" s="1"/>
  <c r="HSH6" i="263"/>
  <c r="HSH118" i="263" s="1"/>
  <c r="HSI6" i="263"/>
  <c r="HSI118" i="263" s="1"/>
  <c r="HSJ6" i="263"/>
  <c r="HSJ118" i="263" s="1"/>
  <c r="HSK6" i="263"/>
  <c r="HSK118" i="263" s="1"/>
  <c r="HSL6" i="263"/>
  <c r="HSL118" i="263" s="1"/>
  <c r="HSM6" i="263"/>
  <c r="HSM118" i="263" s="1"/>
  <c r="HSN6" i="263"/>
  <c r="HSN118" i="263" s="1"/>
  <c r="HSO6" i="263"/>
  <c r="HSO118" i="263" s="1"/>
  <c r="HSP6" i="263"/>
  <c r="HSP118" i="263" s="1"/>
  <c r="HSQ6" i="263"/>
  <c r="HSQ118" i="263" s="1"/>
  <c r="HSR6" i="263"/>
  <c r="HSR118" i="263" s="1"/>
  <c r="HSS6" i="263"/>
  <c r="HSS118" i="263" s="1"/>
  <c r="HST6" i="263"/>
  <c r="HST118" i="263" s="1"/>
  <c r="HSU6" i="263"/>
  <c r="HSU118" i="263" s="1"/>
  <c r="HSV6" i="263"/>
  <c r="HSV118" i="263" s="1"/>
  <c r="HSW6" i="263"/>
  <c r="HSW118" i="263" s="1"/>
  <c r="HSX6" i="263"/>
  <c r="HSX118" i="263" s="1"/>
  <c r="HSY6" i="263"/>
  <c r="HSY118" i="263" s="1"/>
  <c r="HSZ6" i="263"/>
  <c r="HSZ118" i="263" s="1"/>
  <c r="HTA6" i="263"/>
  <c r="HTA118" i="263" s="1"/>
  <c r="HTB6" i="263"/>
  <c r="HTB118" i="263" s="1"/>
  <c r="HTC6" i="263"/>
  <c r="HTC118" i="263" s="1"/>
  <c r="HTD6" i="263"/>
  <c r="HTD118" i="263" s="1"/>
  <c r="HTE6" i="263"/>
  <c r="HTE118" i="263" s="1"/>
  <c r="HTF6" i="263"/>
  <c r="HTF118" i="263" s="1"/>
  <c r="HTG6" i="263"/>
  <c r="HTG118" i="263" s="1"/>
  <c r="HTH6" i="263"/>
  <c r="HTH118" i="263" s="1"/>
  <c r="HTI6" i="263"/>
  <c r="HTI118" i="263" s="1"/>
  <c r="HTJ6" i="263"/>
  <c r="HTJ118" i="263" s="1"/>
  <c r="HTK6" i="263"/>
  <c r="HTK118" i="263" s="1"/>
  <c r="HTL6" i="263"/>
  <c r="HTL118" i="263" s="1"/>
  <c r="HTM6" i="263"/>
  <c r="HTM118" i="263" s="1"/>
  <c r="HTN6" i="263"/>
  <c r="HTN118" i="263" s="1"/>
  <c r="HTO6" i="263"/>
  <c r="HTO118" i="263" s="1"/>
  <c r="HTP6" i="263"/>
  <c r="HTP118" i="263" s="1"/>
  <c r="HTQ6" i="263"/>
  <c r="HTQ118" i="263" s="1"/>
  <c r="HTR6" i="263"/>
  <c r="HTR118" i="263" s="1"/>
  <c r="HTS6" i="263"/>
  <c r="HTS118" i="263" s="1"/>
  <c r="HTT6" i="263"/>
  <c r="HTT118" i="263" s="1"/>
  <c r="HTU6" i="263"/>
  <c r="HTU118" i="263" s="1"/>
  <c r="HTV6" i="263"/>
  <c r="HTV118" i="263" s="1"/>
  <c r="HTW6" i="263"/>
  <c r="HTW118" i="263" s="1"/>
  <c r="HTX6" i="263"/>
  <c r="HTX118" i="263" s="1"/>
  <c r="HTY6" i="263"/>
  <c r="HTY118" i="263" s="1"/>
  <c r="HTZ6" i="263"/>
  <c r="HTZ118" i="263" s="1"/>
  <c r="HUA6" i="263"/>
  <c r="HUA118" i="263" s="1"/>
  <c r="HUB6" i="263"/>
  <c r="HUB118" i="263" s="1"/>
  <c r="HUC6" i="263"/>
  <c r="HUC118" i="263" s="1"/>
  <c r="HUD6" i="263"/>
  <c r="HUD118" i="263" s="1"/>
  <c r="HUE6" i="263"/>
  <c r="HUE118" i="263" s="1"/>
  <c r="HUF6" i="263"/>
  <c r="HUF118" i="263" s="1"/>
  <c r="HUG6" i="263"/>
  <c r="HUG118" i="263" s="1"/>
  <c r="HUH6" i="263"/>
  <c r="HUH118" i="263" s="1"/>
  <c r="HUI6" i="263"/>
  <c r="HUI118" i="263" s="1"/>
  <c r="HUJ6" i="263"/>
  <c r="HUJ118" i="263" s="1"/>
  <c r="HUK6" i="263"/>
  <c r="HUK118" i="263" s="1"/>
  <c r="HUL6" i="263"/>
  <c r="HUL118" i="263" s="1"/>
  <c r="HUM6" i="263"/>
  <c r="HUM118" i="263" s="1"/>
  <c r="HUN6" i="263"/>
  <c r="HUN118" i="263" s="1"/>
  <c r="HUO6" i="263"/>
  <c r="HUO118" i="263" s="1"/>
  <c r="HUP6" i="263"/>
  <c r="HUP118" i="263" s="1"/>
  <c r="HUQ6" i="263"/>
  <c r="HUQ118" i="263" s="1"/>
  <c r="HUR6" i="263"/>
  <c r="HUR118" i="263" s="1"/>
  <c r="HUS6" i="263"/>
  <c r="HUS118" i="263" s="1"/>
  <c r="HUT6" i="263"/>
  <c r="HUT118" i="263" s="1"/>
  <c r="HUU6" i="263"/>
  <c r="HUU118" i="263" s="1"/>
  <c r="HUV6" i="263"/>
  <c r="HUV118" i="263" s="1"/>
  <c r="HUW6" i="263"/>
  <c r="HUW118" i="263" s="1"/>
  <c r="HUX6" i="263"/>
  <c r="HUX118" i="263" s="1"/>
  <c r="HUY6" i="263"/>
  <c r="HUY118" i="263" s="1"/>
  <c r="HUZ6" i="263"/>
  <c r="HUZ118" i="263" s="1"/>
  <c r="HVA6" i="263"/>
  <c r="HVA118" i="263" s="1"/>
  <c r="HVB6" i="263"/>
  <c r="HVB118" i="263" s="1"/>
  <c r="HVC6" i="263"/>
  <c r="HVC118" i="263" s="1"/>
  <c r="HVD6" i="263"/>
  <c r="HVD118" i="263" s="1"/>
  <c r="HVE6" i="263"/>
  <c r="HVE118" i="263" s="1"/>
  <c r="HVF6" i="263"/>
  <c r="HVF118" i="263" s="1"/>
  <c r="HVG6" i="263"/>
  <c r="HVG118" i="263" s="1"/>
  <c r="HVH6" i="263"/>
  <c r="HVH118" i="263" s="1"/>
  <c r="HVI6" i="263"/>
  <c r="HVI118" i="263" s="1"/>
  <c r="HVJ6" i="263"/>
  <c r="HVJ118" i="263" s="1"/>
  <c r="HVK6" i="263"/>
  <c r="HVK118" i="263" s="1"/>
  <c r="HVL6" i="263"/>
  <c r="HVL118" i="263" s="1"/>
  <c r="HVM6" i="263"/>
  <c r="HVM118" i="263" s="1"/>
  <c r="HVN6" i="263"/>
  <c r="HVN118" i="263" s="1"/>
  <c r="HVO6" i="263"/>
  <c r="HVO118" i="263" s="1"/>
  <c r="HVP6" i="263"/>
  <c r="HVP118" i="263" s="1"/>
  <c r="HVQ6" i="263"/>
  <c r="HVQ118" i="263" s="1"/>
  <c r="HVR6" i="263"/>
  <c r="HVR118" i="263" s="1"/>
  <c r="HVS6" i="263"/>
  <c r="HVS118" i="263" s="1"/>
  <c r="HVT6" i="263"/>
  <c r="HVT118" i="263" s="1"/>
  <c r="HVU6" i="263"/>
  <c r="HVU118" i="263" s="1"/>
  <c r="HVV6" i="263"/>
  <c r="HVV118" i="263" s="1"/>
  <c r="HVW6" i="263"/>
  <c r="HVW118" i="263" s="1"/>
  <c r="HVX6" i="263"/>
  <c r="HVX118" i="263" s="1"/>
  <c r="HVY6" i="263"/>
  <c r="HVY118" i="263" s="1"/>
  <c r="HVZ6" i="263"/>
  <c r="HVZ118" i="263" s="1"/>
  <c r="HWA6" i="263"/>
  <c r="HWA118" i="263" s="1"/>
  <c r="HWB6" i="263"/>
  <c r="HWB118" i="263" s="1"/>
  <c r="HWC6" i="263"/>
  <c r="HWC118" i="263" s="1"/>
  <c r="HWD6" i="263"/>
  <c r="HWD118" i="263" s="1"/>
  <c r="HWE6" i="263"/>
  <c r="HWE118" i="263" s="1"/>
  <c r="HWF6" i="263"/>
  <c r="HWF118" i="263" s="1"/>
  <c r="HWG6" i="263"/>
  <c r="HWG118" i="263" s="1"/>
  <c r="HWH6" i="263"/>
  <c r="HWH118" i="263" s="1"/>
  <c r="HWI6" i="263"/>
  <c r="HWI118" i="263" s="1"/>
  <c r="HWJ6" i="263"/>
  <c r="HWJ118" i="263" s="1"/>
  <c r="HWK6" i="263"/>
  <c r="HWK118" i="263" s="1"/>
  <c r="HWL6" i="263"/>
  <c r="HWL118" i="263" s="1"/>
  <c r="HWM6" i="263"/>
  <c r="HWM118" i="263" s="1"/>
  <c r="HWN6" i="263"/>
  <c r="HWN118" i="263" s="1"/>
  <c r="HWO6" i="263"/>
  <c r="HWO118" i="263" s="1"/>
  <c r="HWP6" i="263"/>
  <c r="HWP118" i="263" s="1"/>
  <c r="HWQ6" i="263"/>
  <c r="HWQ118" i="263" s="1"/>
  <c r="HWR6" i="263"/>
  <c r="HWR118" i="263" s="1"/>
  <c r="HWS6" i="263"/>
  <c r="HWS118" i="263" s="1"/>
  <c r="HWT6" i="263"/>
  <c r="HWT118" i="263" s="1"/>
  <c r="HWU6" i="263"/>
  <c r="HWU118" i="263" s="1"/>
  <c r="HWV6" i="263"/>
  <c r="HWV118" i="263" s="1"/>
  <c r="HWW6" i="263"/>
  <c r="HWW118" i="263" s="1"/>
  <c r="HWX6" i="263"/>
  <c r="HWX118" i="263" s="1"/>
  <c r="HWY6" i="263"/>
  <c r="HWY118" i="263" s="1"/>
  <c r="HWZ6" i="263"/>
  <c r="HWZ118" i="263" s="1"/>
  <c r="HXA6" i="263"/>
  <c r="HXA118" i="263" s="1"/>
  <c r="HXB6" i="263"/>
  <c r="HXB118" i="263" s="1"/>
  <c r="HXC6" i="263"/>
  <c r="HXC118" i="263" s="1"/>
  <c r="HXD6" i="263"/>
  <c r="HXD118" i="263" s="1"/>
  <c r="HXE6" i="263"/>
  <c r="HXE118" i="263" s="1"/>
  <c r="HXF6" i="263"/>
  <c r="HXF118" i="263" s="1"/>
  <c r="HXG6" i="263"/>
  <c r="HXG118" i="263" s="1"/>
  <c r="HXH6" i="263"/>
  <c r="HXH118" i="263" s="1"/>
  <c r="HXI6" i="263"/>
  <c r="HXI118" i="263" s="1"/>
  <c r="HXJ6" i="263"/>
  <c r="HXJ118" i="263" s="1"/>
  <c r="HXK6" i="263"/>
  <c r="HXK118" i="263" s="1"/>
  <c r="HXL6" i="263"/>
  <c r="HXL118" i="263" s="1"/>
  <c r="HXM6" i="263"/>
  <c r="HXM118" i="263" s="1"/>
  <c r="HXN6" i="263"/>
  <c r="HXN118" i="263" s="1"/>
  <c r="HXO6" i="263"/>
  <c r="HXO118" i="263" s="1"/>
  <c r="HXP6" i="263"/>
  <c r="HXP118" i="263" s="1"/>
  <c r="HXQ6" i="263"/>
  <c r="HXQ118" i="263" s="1"/>
  <c r="HXR6" i="263"/>
  <c r="HXR118" i="263" s="1"/>
  <c r="HXS6" i="263"/>
  <c r="HXS118" i="263" s="1"/>
  <c r="HXT6" i="263"/>
  <c r="HXT118" i="263" s="1"/>
  <c r="HXU6" i="263"/>
  <c r="HXU118" i="263" s="1"/>
  <c r="HXV6" i="263"/>
  <c r="HXV118" i="263" s="1"/>
  <c r="HXW6" i="263"/>
  <c r="HXW118" i="263" s="1"/>
  <c r="HXX6" i="263"/>
  <c r="HXX118" i="263" s="1"/>
  <c r="HXY6" i="263"/>
  <c r="HXY118" i="263" s="1"/>
  <c r="HXZ6" i="263"/>
  <c r="HXZ118" i="263" s="1"/>
  <c r="HYA6" i="263"/>
  <c r="HYA118" i="263" s="1"/>
  <c r="HYB6" i="263"/>
  <c r="HYB118" i="263" s="1"/>
  <c r="HYC6" i="263"/>
  <c r="HYC118" i="263" s="1"/>
  <c r="HYD6" i="263"/>
  <c r="HYD118" i="263" s="1"/>
  <c r="HYE6" i="263"/>
  <c r="HYE118" i="263" s="1"/>
  <c r="HYF6" i="263"/>
  <c r="HYF118" i="263" s="1"/>
  <c r="HYG6" i="263"/>
  <c r="HYG118" i="263" s="1"/>
  <c r="HYH6" i="263"/>
  <c r="HYH118" i="263" s="1"/>
  <c r="HYI6" i="263"/>
  <c r="HYI118" i="263" s="1"/>
  <c r="HYJ6" i="263"/>
  <c r="HYJ118" i="263" s="1"/>
  <c r="HYK6" i="263"/>
  <c r="HYK118" i="263" s="1"/>
  <c r="HYL6" i="263"/>
  <c r="HYL118" i="263" s="1"/>
  <c r="HYM6" i="263"/>
  <c r="HYM118" i="263" s="1"/>
  <c r="HYN6" i="263"/>
  <c r="HYN118" i="263" s="1"/>
  <c r="HYO6" i="263"/>
  <c r="HYO118" i="263" s="1"/>
  <c r="HYP6" i="263"/>
  <c r="HYP118" i="263" s="1"/>
  <c r="HYQ6" i="263"/>
  <c r="HYQ118" i="263" s="1"/>
  <c r="HYR6" i="263"/>
  <c r="HYR118" i="263" s="1"/>
  <c r="HYS6" i="263"/>
  <c r="HYS118" i="263" s="1"/>
  <c r="HYT6" i="263"/>
  <c r="HYT118" i="263" s="1"/>
  <c r="HYU6" i="263"/>
  <c r="HYU118" i="263" s="1"/>
  <c r="HYV6" i="263"/>
  <c r="HYV118" i="263" s="1"/>
  <c r="HYW6" i="263"/>
  <c r="HYW118" i="263" s="1"/>
  <c r="HYX6" i="263"/>
  <c r="HYX118" i="263" s="1"/>
  <c r="HYY6" i="263"/>
  <c r="HYY118" i="263" s="1"/>
  <c r="HYZ6" i="263"/>
  <c r="HYZ118" i="263" s="1"/>
  <c r="HZA6" i="263"/>
  <c r="HZA118" i="263" s="1"/>
  <c r="HZB6" i="263"/>
  <c r="HZB118" i="263" s="1"/>
  <c r="HZC6" i="263"/>
  <c r="HZC118" i="263" s="1"/>
  <c r="HZD6" i="263"/>
  <c r="HZD118" i="263" s="1"/>
  <c r="HZE6" i="263"/>
  <c r="HZE118" i="263" s="1"/>
  <c r="HZF6" i="263"/>
  <c r="HZF118" i="263" s="1"/>
  <c r="HZG6" i="263"/>
  <c r="HZG118" i="263" s="1"/>
  <c r="HZH6" i="263"/>
  <c r="HZH118" i="263" s="1"/>
  <c r="HZI6" i="263"/>
  <c r="HZI118" i="263" s="1"/>
  <c r="HZJ6" i="263"/>
  <c r="HZJ118" i="263" s="1"/>
  <c r="HZK6" i="263"/>
  <c r="HZK118" i="263" s="1"/>
  <c r="HZL6" i="263"/>
  <c r="HZL118" i="263" s="1"/>
  <c r="HZM6" i="263"/>
  <c r="HZM118" i="263" s="1"/>
  <c r="HZN6" i="263"/>
  <c r="HZN118" i="263" s="1"/>
  <c r="HZO6" i="263"/>
  <c r="HZO118" i="263" s="1"/>
  <c r="HZP6" i="263"/>
  <c r="HZP118" i="263" s="1"/>
  <c r="HZQ6" i="263"/>
  <c r="HZQ118" i="263" s="1"/>
  <c r="HZR6" i="263"/>
  <c r="HZR118" i="263" s="1"/>
  <c r="HZS6" i="263"/>
  <c r="HZS118" i="263" s="1"/>
  <c r="HZT6" i="263"/>
  <c r="HZT118" i="263" s="1"/>
  <c r="HZU6" i="263"/>
  <c r="HZU118" i="263" s="1"/>
  <c r="HZV6" i="263"/>
  <c r="HZV118" i="263" s="1"/>
  <c r="HZW6" i="263"/>
  <c r="HZW118" i="263" s="1"/>
  <c r="HZX6" i="263"/>
  <c r="HZX118" i="263" s="1"/>
  <c r="HZY6" i="263"/>
  <c r="HZY118" i="263" s="1"/>
  <c r="HZZ6" i="263"/>
  <c r="HZZ118" i="263" s="1"/>
  <c r="IAA6" i="263"/>
  <c r="IAA118" i="263" s="1"/>
  <c r="IAB6" i="263"/>
  <c r="IAB118" i="263" s="1"/>
  <c r="IAC6" i="263"/>
  <c r="IAC118" i="263" s="1"/>
  <c r="IAD6" i="263"/>
  <c r="IAD118" i="263" s="1"/>
  <c r="IAE6" i="263"/>
  <c r="IAE118" i="263" s="1"/>
  <c r="IAF6" i="263"/>
  <c r="IAF118" i="263" s="1"/>
  <c r="IAG6" i="263"/>
  <c r="IAG118" i="263" s="1"/>
  <c r="IAH6" i="263"/>
  <c r="IAH118" i="263" s="1"/>
  <c r="IAI6" i="263"/>
  <c r="IAI118" i="263" s="1"/>
  <c r="IAJ6" i="263"/>
  <c r="IAJ118" i="263" s="1"/>
  <c r="IAK6" i="263"/>
  <c r="IAK118" i="263" s="1"/>
  <c r="IAL6" i="263"/>
  <c r="IAL118" i="263" s="1"/>
  <c r="IAM6" i="263"/>
  <c r="IAM118" i="263" s="1"/>
  <c r="IAN6" i="263"/>
  <c r="IAN118" i="263" s="1"/>
  <c r="IAO6" i="263"/>
  <c r="IAO118" i="263" s="1"/>
  <c r="IAP6" i="263"/>
  <c r="IAP118" i="263" s="1"/>
  <c r="IAQ6" i="263"/>
  <c r="IAQ118" i="263" s="1"/>
  <c r="IAR6" i="263"/>
  <c r="IAR118" i="263" s="1"/>
  <c r="IAS6" i="263"/>
  <c r="IAS118" i="263" s="1"/>
  <c r="IAT6" i="263"/>
  <c r="IAT118" i="263" s="1"/>
  <c r="IAU6" i="263"/>
  <c r="IAU118" i="263" s="1"/>
  <c r="IAV6" i="263"/>
  <c r="IAV118" i="263" s="1"/>
  <c r="IAW6" i="263"/>
  <c r="IAW118" i="263" s="1"/>
  <c r="IAX6" i="263"/>
  <c r="IAX118" i="263" s="1"/>
  <c r="IAY6" i="263"/>
  <c r="IAY118" i="263" s="1"/>
  <c r="IAZ6" i="263"/>
  <c r="IAZ118" i="263" s="1"/>
  <c r="IBA6" i="263"/>
  <c r="IBA118" i="263" s="1"/>
  <c r="IBB6" i="263"/>
  <c r="IBB118" i="263" s="1"/>
  <c r="IBC6" i="263"/>
  <c r="IBC118" i="263" s="1"/>
  <c r="IBD6" i="263"/>
  <c r="IBD118" i="263" s="1"/>
  <c r="IBE6" i="263"/>
  <c r="IBE118" i="263" s="1"/>
  <c r="IBF6" i="263"/>
  <c r="IBF118" i="263" s="1"/>
  <c r="IBG6" i="263"/>
  <c r="IBG118" i="263" s="1"/>
  <c r="IBH6" i="263"/>
  <c r="IBH118" i="263" s="1"/>
  <c r="IBI6" i="263"/>
  <c r="IBI118" i="263" s="1"/>
  <c r="IBJ6" i="263"/>
  <c r="IBJ118" i="263" s="1"/>
  <c r="IBK6" i="263"/>
  <c r="IBK118" i="263" s="1"/>
  <c r="IBL6" i="263"/>
  <c r="IBL118" i="263" s="1"/>
  <c r="IBM6" i="263"/>
  <c r="IBM118" i="263" s="1"/>
  <c r="IBN6" i="263"/>
  <c r="IBN118" i="263" s="1"/>
  <c r="IBO6" i="263"/>
  <c r="IBO118" i="263" s="1"/>
  <c r="IBP6" i="263"/>
  <c r="IBP118" i="263" s="1"/>
  <c r="IBQ6" i="263"/>
  <c r="IBQ118" i="263" s="1"/>
  <c r="IBR6" i="263"/>
  <c r="IBR118" i="263" s="1"/>
  <c r="IBS6" i="263"/>
  <c r="IBS118" i="263" s="1"/>
  <c r="IBT6" i="263"/>
  <c r="IBT118" i="263" s="1"/>
  <c r="IBU6" i="263"/>
  <c r="IBU118" i="263" s="1"/>
  <c r="IBV6" i="263"/>
  <c r="IBV118" i="263" s="1"/>
  <c r="IBW6" i="263"/>
  <c r="IBW118" i="263" s="1"/>
  <c r="IBX6" i="263"/>
  <c r="IBX118" i="263" s="1"/>
  <c r="IBY6" i="263"/>
  <c r="IBY118" i="263" s="1"/>
  <c r="IBZ6" i="263"/>
  <c r="IBZ118" i="263" s="1"/>
  <c r="ICA6" i="263"/>
  <c r="ICA118" i="263" s="1"/>
  <c r="ICB6" i="263"/>
  <c r="ICB118" i="263" s="1"/>
  <c r="ICC6" i="263"/>
  <c r="ICC118" i="263" s="1"/>
  <c r="ICD6" i="263"/>
  <c r="ICD118" i="263" s="1"/>
  <c r="ICE6" i="263"/>
  <c r="ICE118" i="263" s="1"/>
  <c r="ICF6" i="263"/>
  <c r="ICF118" i="263" s="1"/>
  <c r="ICG6" i="263"/>
  <c r="ICG118" i="263" s="1"/>
  <c r="ICH6" i="263"/>
  <c r="ICH118" i="263" s="1"/>
  <c r="ICI6" i="263"/>
  <c r="ICI118" i="263" s="1"/>
  <c r="ICJ6" i="263"/>
  <c r="ICJ118" i="263" s="1"/>
  <c r="ICK6" i="263"/>
  <c r="ICK118" i="263" s="1"/>
  <c r="ICL6" i="263"/>
  <c r="ICL118" i="263" s="1"/>
  <c r="ICM6" i="263"/>
  <c r="ICM118" i="263" s="1"/>
  <c r="ICN6" i="263"/>
  <c r="ICN118" i="263" s="1"/>
  <c r="ICO6" i="263"/>
  <c r="ICO118" i="263" s="1"/>
  <c r="ICP6" i="263"/>
  <c r="ICP118" i="263" s="1"/>
  <c r="ICQ6" i="263"/>
  <c r="ICQ118" i="263" s="1"/>
  <c r="ICR6" i="263"/>
  <c r="ICR118" i="263" s="1"/>
  <c r="ICS6" i="263"/>
  <c r="ICS118" i="263" s="1"/>
  <c r="ICT6" i="263"/>
  <c r="ICT118" i="263" s="1"/>
  <c r="ICU6" i="263"/>
  <c r="ICU118" i="263" s="1"/>
  <c r="ICV6" i="263"/>
  <c r="ICV118" i="263" s="1"/>
  <c r="ICW6" i="263"/>
  <c r="ICW118" i="263" s="1"/>
  <c r="ICX6" i="263"/>
  <c r="ICX118" i="263" s="1"/>
  <c r="ICY6" i="263"/>
  <c r="ICY118" i="263" s="1"/>
  <c r="ICZ6" i="263"/>
  <c r="ICZ118" i="263" s="1"/>
  <c r="IDA6" i="263"/>
  <c r="IDA118" i="263" s="1"/>
  <c r="IDB6" i="263"/>
  <c r="IDB118" i="263" s="1"/>
  <c r="IDC6" i="263"/>
  <c r="IDC118" i="263" s="1"/>
  <c r="IDD6" i="263"/>
  <c r="IDD118" i="263" s="1"/>
  <c r="IDE6" i="263"/>
  <c r="IDE118" i="263" s="1"/>
  <c r="IDF6" i="263"/>
  <c r="IDF118" i="263" s="1"/>
  <c r="IDG6" i="263"/>
  <c r="IDG118" i="263" s="1"/>
  <c r="IDH6" i="263"/>
  <c r="IDH118" i="263" s="1"/>
  <c r="IDI6" i="263"/>
  <c r="IDI118" i="263" s="1"/>
  <c r="IDJ6" i="263"/>
  <c r="IDJ118" i="263" s="1"/>
  <c r="IDK6" i="263"/>
  <c r="IDK118" i="263" s="1"/>
  <c r="IDL6" i="263"/>
  <c r="IDL118" i="263" s="1"/>
  <c r="IDM6" i="263"/>
  <c r="IDM118" i="263" s="1"/>
  <c r="IDN6" i="263"/>
  <c r="IDN118" i="263" s="1"/>
  <c r="IDO6" i="263"/>
  <c r="IDO118" i="263" s="1"/>
  <c r="IDP6" i="263"/>
  <c r="IDP118" i="263" s="1"/>
  <c r="IDQ6" i="263"/>
  <c r="IDQ118" i="263" s="1"/>
  <c r="IDR6" i="263"/>
  <c r="IDR118" i="263" s="1"/>
  <c r="IDS6" i="263"/>
  <c r="IDS118" i="263" s="1"/>
  <c r="IDT6" i="263"/>
  <c r="IDT118" i="263" s="1"/>
  <c r="IDU6" i="263"/>
  <c r="IDU118" i="263" s="1"/>
  <c r="IDV6" i="263"/>
  <c r="IDV118" i="263" s="1"/>
  <c r="IDW6" i="263"/>
  <c r="IDW118" i="263" s="1"/>
  <c r="IDX6" i="263"/>
  <c r="IDX118" i="263" s="1"/>
  <c r="IDY6" i="263"/>
  <c r="IDY118" i="263" s="1"/>
  <c r="IDZ6" i="263"/>
  <c r="IDZ118" i="263" s="1"/>
  <c r="IEA6" i="263"/>
  <c r="IEA118" i="263" s="1"/>
  <c r="IEB6" i="263"/>
  <c r="IEB118" i="263" s="1"/>
  <c r="IEC6" i="263"/>
  <c r="IEC118" i="263" s="1"/>
  <c r="IED6" i="263"/>
  <c r="IED118" i="263" s="1"/>
  <c r="IEE6" i="263"/>
  <c r="IEE118" i="263" s="1"/>
  <c r="IEF6" i="263"/>
  <c r="IEF118" i="263" s="1"/>
  <c r="IEG6" i="263"/>
  <c r="IEG118" i="263" s="1"/>
  <c r="IEH6" i="263"/>
  <c r="IEH118" i="263" s="1"/>
  <c r="IEI6" i="263"/>
  <c r="IEI118" i="263" s="1"/>
  <c r="IEJ6" i="263"/>
  <c r="IEJ118" i="263" s="1"/>
  <c r="IEK6" i="263"/>
  <c r="IEK118" i="263" s="1"/>
  <c r="IEL6" i="263"/>
  <c r="IEL118" i="263" s="1"/>
  <c r="IEM6" i="263"/>
  <c r="IEM118" i="263" s="1"/>
  <c r="IEN6" i="263"/>
  <c r="IEN118" i="263" s="1"/>
  <c r="IEO6" i="263"/>
  <c r="IEO118" i="263" s="1"/>
  <c r="IEP6" i="263"/>
  <c r="IEP118" i="263" s="1"/>
  <c r="IEQ6" i="263"/>
  <c r="IEQ118" i="263" s="1"/>
  <c r="IER6" i="263"/>
  <c r="IER118" i="263" s="1"/>
  <c r="IES6" i="263"/>
  <c r="IES118" i="263" s="1"/>
  <c r="IET6" i="263"/>
  <c r="IET118" i="263" s="1"/>
  <c r="IEU6" i="263"/>
  <c r="IEU118" i="263" s="1"/>
  <c r="IEV6" i="263"/>
  <c r="IEV118" i="263" s="1"/>
  <c r="IEW6" i="263"/>
  <c r="IEW118" i="263" s="1"/>
  <c r="IEX6" i="263"/>
  <c r="IEX118" i="263" s="1"/>
  <c r="IEY6" i="263"/>
  <c r="IEY118" i="263" s="1"/>
  <c r="IEZ6" i="263"/>
  <c r="IEZ118" i="263" s="1"/>
  <c r="IFA6" i="263"/>
  <c r="IFA118" i="263" s="1"/>
  <c r="IFB6" i="263"/>
  <c r="IFB118" i="263" s="1"/>
  <c r="IFC6" i="263"/>
  <c r="IFC118" i="263" s="1"/>
  <c r="IFD6" i="263"/>
  <c r="IFD118" i="263" s="1"/>
  <c r="IFE6" i="263"/>
  <c r="IFE118" i="263" s="1"/>
  <c r="IFF6" i="263"/>
  <c r="IFF118" i="263" s="1"/>
  <c r="IFG6" i="263"/>
  <c r="IFG118" i="263" s="1"/>
  <c r="IFH6" i="263"/>
  <c r="IFH118" i="263" s="1"/>
  <c r="IFI6" i="263"/>
  <c r="IFI118" i="263" s="1"/>
  <c r="IFJ6" i="263"/>
  <c r="IFJ118" i="263" s="1"/>
  <c r="IFK6" i="263"/>
  <c r="IFK118" i="263" s="1"/>
  <c r="IFL6" i="263"/>
  <c r="IFL118" i="263" s="1"/>
  <c r="IFM6" i="263"/>
  <c r="IFM118" i="263" s="1"/>
  <c r="IFN6" i="263"/>
  <c r="IFN118" i="263" s="1"/>
  <c r="IFO6" i="263"/>
  <c r="IFO118" i="263" s="1"/>
  <c r="IFP6" i="263"/>
  <c r="IFP118" i="263" s="1"/>
  <c r="IFQ6" i="263"/>
  <c r="IFQ118" i="263" s="1"/>
  <c r="IFR6" i="263"/>
  <c r="IFR118" i="263" s="1"/>
  <c r="IFS6" i="263"/>
  <c r="IFS118" i="263" s="1"/>
  <c r="IFT6" i="263"/>
  <c r="IFT118" i="263" s="1"/>
  <c r="IFU6" i="263"/>
  <c r="IFU118" i="263" s="1"/>
  <c r="IFV6" i="263"/>
  <c r="IFV118" i="263" s="1"/>
  <c r="IFW6" i="263"/>
  <c r="IFW118" i="263" s="1"/>
  <c r="IFX6" i="263"/>
  <c r="IFX118" i="263" s="1"/>
  <c r="IFY6" i="263"/>
  <c r="IFY118" i="263" s="1"/>
  <c r="IFZ6" i="263"/>
  <c r="IFZ118" i="263" s="1"/>
  <c r="IGA6" i="263"/>
  <c r="IGA118" i="263" s="1"/>
  <c r="IGB6" i="263"/>
  <c r="IGB118" i="263" s="1"/>
  <c r="IGC6" i="263"/>
  <c r="IGC118" i="263" s="1"/>
  <c r="IGD6" i="263"/>
  <c r="IGD118" i="263" s="1"/>
  <c r="IGE6" i="263"/>
  <c r="IGE118" i="263" s="1"/>
  <c r="IGF6" i="263"/>
  <c r="IGF118" i="263" s="1"/>
  <c r="IGG6" i="263"/>
  <c r="IGG118" i="263" s="1"/>
  <c r="IGH6" i="263"/>
  <c r="IGH118" i="263" s="1"/>
  <c r="IGI6" i="263"/>
  <c r="IGI118" i="263" s="1"/>
  <c r="IGJ6" i="263"/>
  <c r="IGJ118" i="263" s="1"/>
  <c r="IGK6" i="263"/>
  <c r="IGK118" i="263" s="1"/>
  <c r="IGL6" i="263"/>
  <c r="IGL118" i="263" s="1"/>
  <c r="IGM6" i="263"/>
  <c r="IGM118" i="263" s="1"/>
  <c r="IGN6" i="263"/>
  <c r="IGN118" i="263" s="1"/>
  <c r="IGO6" i="263"/>
  <c r="IGO118" i="263" s="1"/>
  <c r="IGP6" i="263"/>
  <c r="IGP118" i="263" s="1"/>
  <c r="IGQ6" i="263"/>
  <c r="IGQ118" i="263" s="1"/>
  <c r="IGR6" i="263"/>
  <c r="IGR118" i="263" s="1"/>
  <c r="IGS6" i="263"/>
  <c r="IGS118" i="263" s="1"/>
  <c r="IGT6" i="263"/>
  <c r="IGT118" i="263" s="1"/>
  <c r="IGU6" i="263"/>
  <c r="IGU118" i="263" s="1"/>
  <c r="IGV6" i="263"/>
  <c r="IGV118" i="263" s="1"/>
  <c r="IGW6" i="263"/>
  <c r="IGW118" i="263" s="1"/>
  <c r="IGX6" i="263"/>
  <c r="IGX118" i="263" s="1"/>
  <c r="IGY6" i="263"/>
  <c r="IGY118" i="263" s="1"/>
  <c r="IGZ6" i="263"/>
  <c r="IGZ118" i="263" s="1"/>
  <c r="IHA6" i="263"/>
  <c r="IHA118" i="263" s="1"/>
  <c r="IHB6" i="263"/>
  <c r="IHB118" i="263" s="1"/>
  <c r="IHC6" i="263"/>
  <c r="IHC118" i="263" s="1"/>
  <c r="IHD6" i="263"/>
  <c r="IHD118" i="263" s="1"/>
  <c r="IHE6" i="263"/>
  <c r="IHE118" i="263" s="1"/>
  <c r="IHF6" i="263"/>
  <c r="IHF118" i="263" s="1"/>
  <c r="IHG6" i="263"/>
  <c r="IHG118" i="263" s="1"/>
  <c r="IHH6" i="263"/>
  <c r="IHH118" i="263" s="1"/>
  <c r="IHI6" i="263"/>
  <c r="IHI118" i="263" s="1"/>
  <c r="IHJ6" i="263"/>
  <c r="IHJ118" i="263" s="1"/>
  <c r="IHK6" i="263"/>
  <c r="IHK118" i="263" s="1"/>
  <c r="IHL6" i="263"/>
  <c r="IHL118" i="263" s="1"/>
  <c r="IHM6" i="263"/>
  <c r="IHM118" i="263" s="1"/>
  <c r="IHN6" i="263"/>
  <c r="IHN118" i="263" s="1"/>
  <c r="IHO6" i="263"/>
  <c r="IHO118" i="263" s="1"/>
  <c r="IHP6" i="263"/>
  <c r="IHP118" i="263" s="1"/>
  <c r="IHQ6" i="263"/>
  <c r="IHQ118" i="263" s="1"/>
  <c r="IHR6" i="263"/>
  <c r="IHR118" i="263" s="1"/>
  <c r="IHS6" i="263"/>
  <c r="IHS118" i="263" s="1"/>
  <c r="IHT6" i="263"/>
  <c r="IHT118" i="263" s="1"/>
  <c r="IHU6" i="263"/>
  <c r="IHU118" i="263" s="1"/>
  <c r="IHV6" i="263"/>
  <c r="IHV118" i="263" s="1"/>
  <c r="IHW6" i="263"/>
  <c r="IHW118" i="263" s="1"/>
  <c r="IHX6" i="263"/>
  <c r="IHX118" i="263" s="1"/>
  <c r="IHY6" i="263"/>
  <c r="IHY118" i="263" s="1"/>
  <c r="IHZ6" i="263"/>
  <c r="IHZ118" i="263" s="1"/>
  <c r="IIA6" i="263"/>
  <c r="IIA118" i="263" s="1"/>
  <c r="IIB6" i="263"/>
  <c r="IIB118" i="263" s="1"/>
  <c r="IIC6" i="263"/>
  <c r="IIC118" i="263" s="1"/>
  <c r="IID6" i="263"/>
  <c r="IID118" i="263" s="1"/>
  <c r="IIE6" i="263"/>
  <c r="IIE118" i="263" s="1"/>
  <c r="IIF6" i="263"/>
  <c r="IIF118" i="263" s="1"/>
  <c r="IIG6" i="263"/>
  <c r="IIG118" i="263" s="1"/>
  <c r="IIH6" i="263"/>
  <c r="IIH118" i="263" s="1"/>
  <c r="III6" i="263"/>
  <c r="III118" i="263" s="1"/>
  <c r="IIJ6" i="263"/>
  <c r="IIJ118" i="263" s="1"/>
  <c r="IIK6" i="263"/>
  <c r="IIK118" i="263" s="1"/>
  <c r="IIL6" i="263"/>
  <c r="IIL118" i="263" s="1"/>
  <c r="IIM6" i="263"/>
  <c r="IIM118" i="263" s="1"/>
  <c r="IIN6" i="263"/>
  <c r="IIN118" i="263" s="1"/>
  <c r="IIO6" i="263"/>
  <c r="IIO118" i="263" s="1"/>
  <c r="IIP6" i="263"/>
  <c r="IIP118" i="263" s="1"/>
  <c r="IIQ6" i="263"/>
  <c r="IIQ118" i="263" s="1"/>
  <c r="IIR6" i="263"/>
  <c r="IIR118" i="263" s="1"/>
  <c r="IIS6" i="263"/>
  <c r="IIS118" i="263" s="1"/>
  <c r="IIT6" i="263"/>
  <c r="IIT118" i="263" s="1"/>
  <c r="IIU6" i="263"/>
  <c r="IIU118" i="263" s="1"/>
  <c r="IIV6" i="263"/>
  <c r="IIV118" i="263" s="1"/>
  <c r="IIW6" i="263"/>
  <c r="IIW118" i="263" s="1"/>
  <c r="IIX6" i="263"/>
  <c r="IIX118" i="263" s="1"/>
  <c r="IIY6" i="263"/>
  <c r="IIY118" i="263" s="1"/>
  <c r="IIZ6" i="263"/>
  <c r="IIZ118" i="263" s="1"/>
  <c r="IJA6" i="263"/>
  <c r="IJA118" i="263" s="1"/>
  <c r="IJB6" i="263"/>
  <c r="IJB118" i="263" s="1"/>
  <c r="IJC6" i="263"/>
  <c r="IJC118" i="263" s="1"/>
  <c r="IJD6" i="263"/>
  <c r="IJD118" i="263" s="1"/>
  <c r="IJE6" i="263"/>
  <c r="IJE118" i="263" s="1"/>
  <c r="IJF6" i="263"/>
  <c r="IJF118" i="263" s="1"/>
  <c r="IJG6" i="263"/>
  <c r="IJG118" i="263" s="1"/>
  <c r="IJH6" i="263"/>
  <c r="IJH118" i="263" s="1"/>
  <c r="IJI6" i="263"/>
  <c r="IJI118" i="263" s="1"/>
  <c r="IJJ6" i="263"/>
  <c r="IJJ118" i="263" s="1"/>
  <c r="IJK6" i="263"/>
  <c r="IJK118" i="263" s="1"/>
  <c r="IJL6" i="263"/>
  <c r="IJL118" i="263" s="1"/>
  <c r="IJM6" i="263"/>
  <c r="IJM118" i="263" s="1"/>
  <c r="IJN6" i="263"/>
  <c r="IJN118" i="263" s="1"/>
  <c r="IJO6" i="263"/>
  <c r="IJO118" i="263" s="1"/>
  <c r="IJP6" i="263"/>
  <c r="IJP118" i="263" s="1"/>
  <c r="IJQ6" i="263"/>
  <c r="IJQ118" i="263" s="1"/>
  <c r="IJR6" i="263"/>
  <c r="IJR118" i="263" s="1"/>
  <c r="IJS6" i="263"/>
  <c r="IJS118" i="263" s="1"/>
  <c r="IJT6" i="263"/>
  <c r="IJT118" i="263" s="1"/>
  <c r="IJU6" i="263"/>
  <c r="IJU118" i="263" s="1"/>
  <c r="IJV6" i="263"/>
  <c r="IJV118" i="263" s="1"/>
  <c r="IJW6" i="263"/>
  <c r="IJW118" i="263" s="1"/>
  <c r="IJX6" i="263"/>
  <c r="IJX118" i="263" s="1"/>
  <c r="IJY6" i="263"/>
  <c r="IJY118" i="263" s="1"/>
  <c r="IJZ6" i="263"/>
  <c r="IJZ118" i="263" s="1"/>
  <c r="IKA6" i="263"/>
  <c r="IKA118" i="263" s="1"/>
  <c r="IKB6" i="263"/>
  <c r="IKB118" i="263" s="1"/>
  <c r="IKC6" i="263"/>
  <c r="IKC118" i="263" s="1"/>
  <c r="IKD6" i="263"/>
  <c r="IKD118" i="263" s="1"/>
  <c r="IKE6" i="263"/>
  <c r="IKE118" i="263" s="1"/>
  <c r="IKF6" i="263"/>
  <c r="IKF118" i="263" s="1"/>
  <c r="IKG6" i="263"/>
  <c r="IKG118" i="263" s="1"/>
  <c r="IKH6" i="263"/>
  <c r="IKH118" i="263" s="1"/>
  <c r="IKI6" i="263"/>
  <c r="IKI118" i="263" s="1"/>
  <c r="IKJ6" i="263"/>
  <c r="IKJ118" i="263" s="1"/>
  <c r="IKK6" i="263"/>
  <c r="IKK118" i="263" s="1"/>
  <c r="IKL6" i="263"/>
  <c r="IKL118" i="263" s="1"/>
  <c r="IKM6" i="263"/>
  <c r="IKM118" i="263" s="1"/>
  <c r="IKN6" i="263"/>
  <c r="IKN118" i="263" s="1"/>
  <c r="IKO6" i="263"/>
  <c r="IKO118" i="263" s="1"/>
  <c r="IKP6" i="263"/>
  <c r="IKP118" i="263" s="1"/>
  <c r="IKQ6" i="263"/>
  <c r="IKQ118" i="263" s="1"/>
  <c r="IKR6" i="263"/>
  <c r="IKR118" i="263" s="1"/>
  <c r="IKS6" i="263"/>
  <c r="IKS118" i="263" s="1"/>
  <c r="IKT6" i="263"/>
  <c r="IKT118" i="263" s="1"/>
  <c r="IKU6" i="263"/>
  <c r="IKU118" i="263" s="1"/>
  <c r="IKV6" i="263"/>
  <c r="IKV118" i="263" s="1"/>
  <c r="IKW6" i="263"/>
  <c r="IKW118" i="263" s="1"/>
  <c r="IKX6" i="263"/>
  <c r="IKX118" i="263" s="1"/>
  <c r="IKY6" i="263"/>
  <c r="IKY118" i="263" s="1"/>
  <c r="IKZ6" i="263"/>
  <c r="IKZ118" i="263" s="1"/>
  <c r="ILA6" i="263"/>
  <c r="ILA118" i="263" s="1"/>
  <c r="ILB6" i="263"/>
  <c r="ILB118" i="263" s="1"/>
  <c r="ILC6" i="263"/>
  <c r="ILC118" i="263" s="1"/>
  <c r="ILD6" i="263"/>
  <c r="ILD118" i="263" s="1"/>
  <c r="ILE6" i="263"/>
  <c r="ILE118" i="263" s="1"/>
  <c r="ILF6" i="263"/>
  <c r="ILF118" i="263" s="1"/>
  <c r="ILG6" i="263"/>
  <c r="ILG118" i="263" s="1"/>
  <c r="ILH6" i="263"/>
  <c r="ILH118" i="263" s="1"/>
  <c r="ILI6" i="263"/>
  <c r="ILI118" i="263" s="1"/>
  <c r="ILJ6" i="263"/>
  <c r="ILJ118" i="263" s="1"/>
  <c r="ILK6" i="263"/>
  <c r="ILK118" i="263" s="1"/>
  <c r="ILL6" i="263"/>
  <c r="ILL118" i="263" s="1"/>
  <c r="ILM6" i="263"/>
  <c r="ILM118" i="263" s="1"/>
  <c r="ILN6" i="263"/>
  <c r="ILN118" i="263" s="1"/>
  <c r="ILO6" i="263"/>
  <c r="ILO118" i="263" s="1"/>
  <c r="ILP6" i="263"/>
  <c r="ILP118" i="263" s="1"/>
  <c r="ILQ6" i="263"/>
  <c r="ILQ118" i="263" s="1"/>
  <c r="ILR6" i="263"/>
  <c r="ILR118" i="263" s="1"/>
  <c r="ILS6" i="263"/>
  <c r="ILS118" i="263" s="1"/>
  <c r="ILT6" i="263"/>
  <c r="ILT118" i="263" s="1"/>
  <c r="ILU6" i="263"/>
  <c r="ILU118" i="263" s="1"/>
  <c r="ILV6" i="263"/>
  <c r="ILV118" i="263" s="1"/>
  <c r="ILW6" i="263"/>
  <c r="ILW118" i="263" s="1"/>
  <c r="ILX6" i="263"/>
  <c r="ILX118" i="263" s="1"/>
  <c r="ILY6" i="263"/>
  <c r="ILY118" i="263" s="1"/>
  <c r="ILZ6" i="263"/>
  <c r="ILZ118" i="263" s="1"/>
  <c r="IMA6" i="263"/>
  <c r="IMA118" i="263" s="1"/>
  <c r="IMB6" i="263"/>
  <c r="IMB118" i="263" s="1"/>
  <c r="IMC6" i="263"/>
  <c r="IMC118" i="263" s="1"/>
  <c r="IMD6" i="263"/>
  <c r="IMD118" i="263" s="1"/>
  <c r="IME6" i="263"/>
  <c r="IME118" i="263" s="1"/>
  <c r="IMF6" i="263"/>
  <c r="IMF118" i="263" s="1"/>
  <c r="IMG6" i="263"/>
  <c r="IMG118" i="263" s="1"/>
  <c r="IMH6" i="263"/>
  <c r="IMH118" i="263" s="1"/>
  <c r="IMI6" i="263"/>
  <c r="IMI118" i="263" s="1"/>
  <c r="IMJ6" i="263"/>
  <c r="IMJ118" i="263" s="1"/>
  <c r="IMK6" i="263"/>
  <c r="IMK118" i="263" s="1"/>
  <c r="IML6" i="263"/>
  <c r="IML118" i="263" s="1"/>
  <c r="IMM6" i="263"/>
  <c r="IMM118" i="263" s="1"/>
  <c r="IMN6" i="263"/>
  <c r="IMN118" i="263" s="1"/>
  <c r="IMO6" i="263"/>
  <c r="IMO118" i="263" s="1"/>
  <c r="IMP6" i="263"/>
  <c r="IMP118" i="263" s="1"/>
  <c r="IMQ6" i="263"/>
  <c r="IMQ118" i="263" s="1"/>
  <c r="IMR6" i="263"/>
  <c r="IMR118" i="263" s="1"/>
  <c r="IMS6" i="263"/>
  <c r="IMS118" i="263" s="1"/>
  <c r="IMT6" i="263"/>
  <c r="IMT118" i="263" s="1"/>
  <c r="IMU6" i="263"/>
  <c r="IMU118" i="263" s="1"/>
  <c r="IMV6" i="263"/>
  <c r="IMV118" i="263" s="1"/>
  <c r="IMW6" i="263"/>
  <c r="IMW118" i="263" s="1"/>
  <c r="IMX6" i="263"/>
  <c r="IMX118" i="263" s="1"/>
  <c r="IMY6" i="263"/>
  <c r="IMY118" i="263" s="1"/>
  <c r="IMZ6" i="263"/>
  <c r="IMZ118" i="263" s="1"/>
  <c r="INA6" i="263"/>
  <c r="INA118" i="263" s="1"/>
  <c r="INB6" i="263"/>
  <c r="INB118" i="263" s="1"/>
  <c r="INC6" i="263"/>
  <c r="INC118" i="263" s="1"/>
  <c r="IND6" i="263"/>
  <c r="IND118" i="263" s="1"/>
  <c r="INE6" i="263"/>
  <c r="INE118" i="263" s="1"/>
  <c r="INF6" i="263"/>
  <c r="INF118" i="263" s="1"/>
  <c r="ING6" i="263"/>
  <c r="ING118" i="263" s="1"/>
  <c r="INH6" i="263"/>
  <c r="INH118" i="263" s="1"/>
  <c r="INI6" i="263"/>
  <c r="INI118" i="263" s="1"/>
  <c r="INJ6" i="263"/>
  <c r="INJ118" i="263" s="1"/>
  <c r="INK6" i="263"/>
  <c r="INK118" i="263" s="1"/>
  <c r="INL6" i="263"/>
  <c r="INL118" i="263" s="1"/>
  <c r="INM6" i="263"/>
  <c r="INM118" i="263" s="1"/>
  <c r="INN6" i="263"/>
  <c r="INN118" i="263" s="1"/>
  <c r="INO6" i="263"/>
  <c r="INO118" i="263" s="1"/>
  <c r="INP6" i="263"/>
  <c r="INP118" i="263" s="1"/>
  <c r="INQ6" i="263"/>
  <c r="INQ118" i="263" s="1"/>
  <c r="INR6" i="263"/>
  <c r="INR118" i="263" s="1"/>
  <c r="INS6" i="263"/>
  <c r="INS118" i="263" s="1"/>
  <c r="INT6" i="263"/>
  <c r="INT118" i="263" s="1"/>
  <c r="INU6" i="263"/>
  <c r="INU118" i="263" s="1"/>
  <c r="INV6" i="263"/>
  <c r="INV118" i="263" s="1"/>
  <c r="INW6" i="263"/>
  <c r="INW118" i="263" s="1"/>
  <c r="INX6" i="263"/>
  <c r="INX118" i="263" s="1"/>
  <c r="INY6" i="263"/>
  <c r="INY118" i="263" s="1"/>
  <c r="INZ6" i="263"/>
  <c r="INZ118" i="263" s="1"/>
  <c r="IOA6" i="263"/>
  <c r="IOA118" i="263" s="1"/>
  <c r="IOB6" i="263"/>
  <c r="IOB118" i="263" s="1"/>
  <c r="IOC6" i="263"/>
  <c r="IOC118" i="263" s="1"/>
  <c r="IOD6" i="263"/>
  <c r="IOD118" i="263" s="1"/>
  <c r="IOE6" i="263"/>
  <c r="IOE118" i="263" s="1"/>
  <c r="IOF6" i="263"/>
  <c r="IOF118" i="263" s="1"/>
  <c r="IOG6" i="263"/>
  <c r="IOG118" i="263" s="1"/>
  <c r="IOH6" i="263"/>
  <c r="IOH118" i="263" s="1"/>
  <c r="IOI6" i="263"/>
  <c r="IOI118" i="263" s="1"/>
  <c r="IOJ6" i="263"/>
  <c r="IOJ118" i="263" s="1"/>
  <c r="IOK6" i="263"/>
  <c r="IOK118" i="263" s="1"/>
  <c r="IOL6" i="263"/>
  <c r="IOL118" i="263" s="1"/>
  <c r="IOM6" i="263"/>
  <c r="IOM118" i="263" s="1"/>
  <c r="ION6" i="263"/>
  <c r="ION118" i="263" s="1"/>
  <c r="IOO6" i="263"/>
  <c r="IOO118" i="263" s="1"/>
  <c r="IOP6" i="263"/>
  <c r="IOP118" i="263" s="1"/>
  <c r="IOQ6" i="263"/>
  <c r="IOQ118" i="263" s="1"/>
  <c r="IOR6" i="263"/>
  <c r="IOR118" i="263" s="1"/>
  <c r="IOS6" i="263"/>
  <c r="IOS118" i="263" s="1"/>
  <c r="IOT6" i="263"/>
  <c r="IOT118" i="263" s="1"/>
  <c r="IOU6" i="263"/>
  <c r="IOU118" i="263" s="1"/>
  <c r="IOV6" i="263"/>
  <c r="IOV118" i="263" s="1"/>
  <c r="IOW6" i="263"/>
  <c r="IOW118" i="263" s="1"/>
  <c r="IOX6" i="263"/>
  <c r="IOX118" i="263" s="1"/>
  <c r="IOY6" i="263"/>
  <c r="IOY118" i="263" s="1"/>
  <c r="IOZ6" i="263"/>
  <c r="IOZ118" i="263" s="1"/>
  <c r="IPA6" i="263"/>
  <c r="IPA118" i="263" s="1"/>
  <c r="IPB6" i="263"/>
  <c r="IPB118" i="263" s="1"/>
  <c r="IPC6" i="263"/>
  <c r="IPC118" i="263" s="1"/>
  <c r="IPD6" i="263"/>
  <c r="IPD118" i="263" s="1"/>
  <c r="IPE6" i="263"/>
  <c r="IPE118" i="263" s="1"/>
  <c r="IPF6" i="263"/>
  <c r="IPF118" i="263" s="1"/>
  <c r="IPG6" i="263"/>
  <c r="IPG118" i="263" s="1"/>
  <c r="IPH6" i="263"/>
  <c r="IPH118" i="263" s="1"/>
  <c r="IPI6" i="263"/>
  <c r="IPI118" i="263" s="1"/>
  <c r="IPJ6" i="263"/>
  <c r="IPJ118" i="263" s="1"/>
  <c r="IPK6" i="263"/>
  <c r="IPK118" i="263" s="1"/>
  <c r="IPL6" i="263"/>
  <c r="IPL118" i="263" s="1"/>
  <c r="IPM6" i="263"/>
  <c r="IPM118" i="263" s="1"/>
  <c r="IPN6" i="263"/>
  <c r="IPN118" i="263" s="1"/>
  <c r="IPO6" i="263"/>
  <c r="IPO118" i="263" s="1"/>
  <c r="IPP6" i="263"/>
  <c r="IPP118" i="263" s="1"/>
  <c r="IPQ6" i="263"/>
  <c r="IPQ118" i="263" s="1"/>
  <c r="IPR6" i="263"/>
  <c r="IPR118" i="263" s="1"/>
  <c r="IPS6" i="263"/>
  <c r="IPS118" i="263" s="1"/>
  <c r="IPT6" i="263"/>
  <c r="IPT118" i="263" s="1"/>
  <c r="IPU6" i="263"/>
  <c r="IPU118" i="263" s="1"/>
  <c r="IPV6" i="263"/>
  <c r="IPV118" i="263" s="1"/>
  <c r="IPW6" i="263"/>
  <c r="IPW118" i="263" s="1"/>
  <c r="IPX6" i="263"/>
  <c r="IPX118" i="263" s="1"/>
  <c r="IPY6" i="263"/>
  <c r="IPY118" i="263" s="1"/>
  <c r="IPZ6" i="263"/>
  <c r="IPZ118" i="263" s="1"/>
  <c r="IQA6" i="263"/>
  <c r="IQA118" i="263" s="1"/>
  <c r="IQB6" i="263"/>
  <c r="IQB118" i="263" s="1"/>
  <c r="IQC6" i="263"/>
  <c r="IQC118" i="263" s="1"/>
  <c r="IQD6" i="263"/>
  <c r="IQD118" i="263" s="1"/>
  <c r="IQE6" i="263"/>
  <c r="IQE118" i="263" s="1"/>
  <c r="IQF6" i="263"/>
  <c r="IQF118" i="263" s="1"/>
  <c r="IQG6" i="263"/>
  <c r="IQG118" i="263" s="1"/>
  <c r="IQH6" i="263"/>
  <c r="IQH118" i="263" s="1"/>
  <c r="IQI6" i="263"/>
  <c r="IQI118" i="263" s="1"/>
  <c r="IQJ6" i="263"/>
  <c r="IQJ118" i="263" s="1"/>
  <c r="IQK6" i="263"/>
  <c r="IQK118" i="263" s="1"/>
  <c r="IQL6" i="263"/>
  <c r="IQL118" i="263" s="1"/>
  <c r="IQM6" i="263"/>
  <c r="IQM118" i="263" s="1"/>
  <c r="IQN6" i="263"/>
  <c r="IQN118" i="263" s="1"/>
  <c r="IQO6" i="263"/>
  <c r="IQO118" i="263" s="1"/>
  <c r="IQP6" i="263"/>
  <c r="IQP118" i="263" s="1"/>
  <c r="IQQ6" i="263"/>
  <c r="IQQ118" i="263" s="1"/>
  <c r="IQR6" i="263"/>
  <c r="IQR118" i="263" s="1"/>
  <c r="IQS6" i="263"/>
  <c r="IQS118" i="263" s="1"/>
  <c r="IQT6" i="263"/>
  <c r="IQT118" i="263" s="1"/>
  <c r="IQU6" i="263"/>
  <c r="IQU118" i="263" s="1"/>
  <c r="IQV6" i="263"/>
  <c r="IQV118" i="263" s="1"/>
  <c r="IQW6" i="263"/>
  <c r="IQW118" i="263" s="1"/>
  <c r="IQX6" i="263"/>
  <c r="IQX118" i="263" s="1"/>
  <c r="IQY6" i="263"/>
  <c r="IQY118" i="263" s="1"/>
  <c r="IQZ6" i="263"/>
  <c r="IQZ118" i="263" s="1"/>
  <c r="IRA6" i="263"/>
  <c r="IRA118" i="263" s="1"/>
  <c r="IRB6" i="263"/>
  <c r="IRB118" i="263" s="1"/>
  <c r="IRC6" i="263"/>
  <c r="IRC118" i="263" s="1"/>
  <c r="IRD6" i="263"/>
  <c r="IRD118" i="263" s="1"/>
  <c r="IRE6" i="263"/>
  <c r="IRE118" i="263" s="1"/>
  <c r="IRF6" i="263"/>
  <c r="IRF118" i="263" s="1"/>
  <c r="IRG6" i="263"/>
  <c r="IRG118" i="263" s="1"/>
  <c r="IRH6" i="263"/>
  <c r="IRH118" i="263" s="1"/>
  <c r="IRI6" i="263"/>
  <c r="IRI118" i="263" s="1"/>
  <c r="IRJ6" i="263"/>
  <c r="IRJ118" i="263" s="1"/>
  <c r="IRK6" i="263"/>
  <c r="IRK118" i="263" s="1"/>
  <c r="IRL6" i="263"/>
  <c r="IRL118" i="263" s="1"/>
  <c r="IRM6" i="263"/>
  <c r="IRM118" i="263" s="1"/>
  <c r="IRN6" i="263"/>
  <c r="IRN118" i="263" s="1"/>
  <c r="IRO6" i="263"/>
  <c r="IRO118" i="263" s="1"/>
  <c r="IRP6" i="263"/>
  <c r="IRP118" i="263" s="1"/>
  <c r="IRQ6" i="263"/>
  <c r="IRQ118" i="263" s="1"/>
  <c r="IRR6" i="263"/>
  <c r="IRR118" i="263" s="1"/>
  <c r="IRS6" i="263"/>
  <c r="IRS118" i="263" s="1"/>
  <c r="IRT6" i="263"/>
  <c r="IRT118" i="263" s="1"/>
  <c r="IRU6" i="263"/>
  <c r="IRU118" i="263" s="1"/>
  <c r="IRV6" i="263"/>
  <c r="IRV118" i="263" s="1"/>
  <c r="IRW6" i="263"/>
  <c r="IRW118" i="263" s="1"/>
  <c r="IRX6" i="263"/>
  <c r="IRX118" i="263" s="1"/>
  <c r="IRY6" i="263"/>
  <c r="IRY118" i="263" s="1"/>
  <c r="IRZ6" i="263"/>
  <c r="IRZ118" i="263" s="1"/>
  <c r="ISA6" i="263"/>
  <c r="ISA118" i="263" s="1"/>
  <c r="ISB6" i="263"/>
  <c r="ISB118" i="263" s="1"/>
  <c r="ISC6" i="263"/>
  <c r="ISC118" i="263" s="1"/>
  <c r="ISD6" i="263"/>
  <c r="ISD118" i="263" s="1"/>
  <c r="ISE6" i="263"/>
  <c r="ISE118" i="263" s="1"/>
  <c r="ISF6" i="263"/>
  <c r="ISF118" i="263" s="1"/>
  <c r="ISG6" i="263"/>
  <c r="ISG118" i="263" s="1"/>
  <c r="ISH6" i="263"/>
  <c r="ISH118" i="263" s="1"/>
  <c r="ISI6" i="263"/>
  <c r="ISI118" i="263" s="1"/>
  <c r="ISJ6" i="263"/>
  <c r="ISJ118" i="263" s="1"/>
  <c r="ISK6" i="263"/>
  <c r="ISK118" i="263" s="1"/>
  <c r="ISL6" i="263"/>
  <c r="ISL118" i="263" s="1"/>
  <c r="ISM6" i="263"/>
  <c r="ISM118" i="263" s="1"/>
  <c r="ISN6" i="263"/>
  <c r="ISN118" i="263" s="1"/>
  <c r="ISO6" i="263"/>
  <c r="ISO118" i="263" s="1"/>
  <c r="ISP6" i="263"/>
  <c r="ISP118" i="263" s="1"/>
  <c r="ISQ6" i="263"/>
  <c r="ISQ118" i="263" s="1"/>
  <c r="ISR6" i="263"/>
  <c r="ISR118" i="263" s="1"/>
  <c r="ISS6" i="263"/>
  <c r="ISS118" i="263" s="1"/>
  <c r="IST6" i="263"/>
  <c r="IST118" i="263" s="1"/>
  <c r="ISU6" i="263"/>
  <c r="ISU118" i="263" s="1"/>
  <c r="ISV6" i="263"/>
  <c r="ISV118" i="263" s="1"/>
  <c r="ISW6" i="263"/>
  <c r="ISW118" i="263" s="1"/>
  <c r="ISX6" i="263"/>
  <c r="ISX118" i="263" s="1"/>
  <c r="ISY6" i="263"/>
  <c r="ISY118" i="263" s="1"/>
  <c r="ISZ6" i="263"/>
  <c r="ISZ118" i="263" s="1"/>
  <c r="ITA6" i="263"/>
  <c r="ITA118" i="263" s="1"/>
  <c r="ITB6" i="263"/>
  <c r="ITB118" i="263" s="1"/>
  <c r="ITC6" i="263"/>
  <c r="ITC118" i="263" s="1"/>
  <c r="ITD6" i="263"/>
  <c r="ITD118" i="263" s="1"/>
  <c r="ITE6" i="263"/>
  <c r="ITE118" i="263" s="1"/>
  <c r="ITF6" i="263"/>
  <c r="ITF118" i="263" s="1"/>
  <c r="ITG6" i="263"/>
  <c r="ITG118" i="263" s="1"/>
  <c r="ITH6" i="263"/>
  <c r="ITH118" i="263" s="1"/>
  <c r="ITI6" i="263"/>
  <c r="ITI118" i="263" s="1"/>
  <c r="ITJ6" i="263"/>
  <c r="ITJ118" i="263" s="1"/>
  <c r="ITK6" i="263"/>
  <c r="ITK118" i="263" s="1"/>
  <c r="ITL6" i="263"/>
  <c r="ITL118" i="263" s="1"/>
  <c r="ITM6" i="263"/>
  <c r="ITM118" i="263" s="1"/>
  <c r="ITN6" i="263"/>
  <c r="ITN118" i="263" s="1"/>
  <c r="ITO6" i="263"/>
  <c r="ITO118" i="263" s="1"/>
  <c r="ITP6" i="263"/>
  <c r="ITP118" i="263" s="1"/>
  <c r="ITQ6" i="263"/>
  <c r="ITQ118" i="263" s="1"/>
  <c r="ITR6" i="263"/>
  <c r="ITR118" i="263" s="1"/>
  <c r="ITS6" i="263"/>
  <c r="ITS118" i="263" s="1"/>
  <c r="ITT6" i="263"/>
  <c r="ITT118" i="263" s="1"/>
  <c r="ITU6" i="263"/>
  <c r="ITU118" i="263" s="1"/>
  <c r="ITV6" i="263"/>
  <c r="ITV118" i="263" s="1"/>
  <c r="ITW6" i="263"/>
  <c r="ITW118" i="263" s="1"/>
  <c r="ITX6" i="263"/>
  <c r="ITX118" i="263" s="1"/>
  <c r="ITY6" i="263"/>
  <c r="ITY118" i="263" s="1"/>
  <c r="ITZ6" i="263"/>
  <c r="ITZ118" i="263" s="1"/>
  <c r="IUA6" i="263"/>
  <c r="IUA118" i="263" s="1"/>
  <c r="IUB6" i="263"/>
  <c r="IUB118" i="263" s="1"/>
  <c r="IUC6" i="263"/>
  <c r="IUC118" i="263" s="1"/>
  <c r="IUD6" i="263"/>
  <c r="IUD118" i="263" s="1"/>
  <c r="IUE6" i="263"/>
  <c r="IUE118" i="263" s="1"/>
  <c r="IUF6" i="263"/>
  <c r="IUF118" i="263" s="1"/>
  <c r="IUG6" i="263"/>
  <c r="IUG118" i="263" s="1"/>
  <c r="IUH6" i="263"/>
  <c r="IUH118" i="263" s="1"/>
  <c r="IUI6" i="263"/>
  <c r="IUI118" i="263" s="1"/>
  <c r="IUJ6" i="263"/>
  <c r="IUJ118" i="263" s="1"/>
  <c r="IUK6" i="263"/>
  <c r="IUK118" i="263" s="1"/>
  <c r="IUL6" i="263"/>
  <c r="IUL118" i="263" s="1"/>
  <c r="IUM6" i="263"/>
  <c r="IUM118" i="263" s="1"/>
  <c r="IUN6" i="263"/>
  <c r="IUN118" i="263" s="1"/>
  <c r="IUO6" i="263"/>
  <c r="IUO118" i="263" s="1"/>
  <c r="IUP6" i="263"/>
  <c r="IUP118" i="263" s="1"/>
  <c r="IUQ6" i="263"/>
  <c r="IUQ118" i="263" s="1"/>
  <c r="IUR6" i="263"/>
  <c r="IUR118" i="263" s="1"/>
  <c r="IUS6" i="263"/>
  <c r="IUS118" i="263" s="1"/>
  <c r="IUT6" i="263"/>
  <c r="IUT118" i="263" s="1"/>
  <c r="IUU6" i="263"/>
  <c r="IUU118" i="263" s="1"/>
  <c r="IUV6" i="263"/>
  <c r="IUV118" i="263" s="1"/>
  <c r="IUW6" i="263"/>
  <c r="IUW118" i="263" s="1"/>
  <c r="IUX6" i="263"/>
  <c r="IUX118" i="263" s="1"/>
  <c r="IUY6" i="263"/>
  <c r="IUY118" i="263" s="1"/>
  <c r="IUZ6" i="263"/>
  <c r="IUZ118" i="263" s="1"/>
  <c r="IVA6" i="263"/>
  <c r="IVA118" i="263" s="1"/>
  <c r="IVB6" i="263"/>
  <c r="IVB118" i="263" s="1"/>
  <c r="IVC6" i="263"/>
  <c r="IVC118" i="263" s="1"/>
  <c r="IVD6" i="263"/>
  <c r="IVD118" i="263" s="1"/>
  <c r="IVE6" i="263"/>
  <c r="IVE118" i="263" s="1"/>
  <c r="IVF6" i="263"/>
  <c r="IVF118" i="263" s="1"/>
  <c r="IVG6" i="263"/>
  <c r="IVG118" i="263" s="1"/>
  <c r="IVH6" i="263"/>
  <c r="IVH118" i="263" s="1"/>
  <c r="IVI6" i="263"/>
  <c r="IVI118" i="263" s="1"/>
  <c r="IVJ6" i="263"/>
  <c r="IVJ118" i="263" s="1"/>
  <c r="IVK6" i="263"/>
  <c r="IVK118" i="263" s="1"/>
  <c r="IVL6" i="263"/>
  <c r="IVL118" i="263" s="1"/>
  <c r="IVM6" i="263"/>
  <c r="IVM118" i="263" s="1"/>
  <c r="IVN6" i="263"/>
  <c r="IVN118" i="263" s="1"/>
  <c r="IVO6" i="263"/>
  <c r="IVO118" i="263" s="1"/>
  <c r="IVP6" i="263"/>
  <c r="IVP118" i="263" s="1"/>
  <c r="IVQ6" i="263"/>
  <c r="IVQ118" i="263" s="1"/>
  <c r="IVR6" i="263"/>
  <c r="IVR118" i="263" s="1"/>
  <c r="IVS6" i="263"/>
  <c r="IVS118" i="263" s="1"/>
  <c r="IVT6" i="263"/>
  <c r="IVT118" i="263" s="1"/>
  <c r="IVU6" i="263"/>
  <c r="IVU118" i="263" s="1"/>
  <c r="IVV6" i="263"/>
  <c r="IVV118" i="263" s="1"/>
  <c r="IVW6" i="263"/>
  <c r="IVW118" i="263" s="1"/>
  <c r="IVX6" i="263"/>
  <c r="IVX118" i="263" s="1"/>
  <c r="IVY6" i="263"/>
  <c r="IVY118" i="263" s="1"/>
  <c r="IVZ6" i="263"/>
  <c r="IVZ118" i="263" s="1"/>
  <c r="IWA6" i="263"/>
  <c r="IWA118" i="263" s="1"/>
  <c r="IWB6" i="263"/>
  <c r="IWB118" i="263" s="1"/>
  <c r="IWC6" i="263"/>
  <c r="IWC118" i="263" s="1"/>
  <c r="IWD6" i="263"/>
  <c r="IWD118" i="263" s="1"/>
  <c r="IWE6" i="263"/>
  <c r="IWE118" i="263" s="1"/>
  <c r="IWF6" i="263"/>
  <c r="IWF118" i="263" s="1"/>
  <c r="IWG6" i="263"/>
  <c r="IWG118" i="263" s="1"/>
  <c r="IWH6" i="263"/>
  <c r="IWH118" i="263" s="1"/>
  <c r="IWI6" i="263"/>
  <c r="IWI118" i="263" s="1"/>
  <c r="IWJ6" i="263"/>
  <c r="IWJ118" i="263" s="1"/>
  <c r="IWK6" i="263"/>
  <c r="IWK118" i="263" s="1"/>
  <c r="IWL6" i="263"/>
  <c r="IWL118" i="263" s="1"/>
  <c r="IWM6" i="263"/>
  <c r="IWM118" i="263" s="1"/>
  <c r="IWN6" i="263"/>
  <c r="IWN118" i="263" s="1"/>
  <c r="IWO6" i="263"/>
  <c r="IWO118" i="263" s="1"/>
  <c r="IWP6" i="263"/>
  <c r="IWP118" i="263" s="1"/>
  <c r="IWQ6" i="263"/>
  <c r="IWQ118" i="263" s="1"/>
  <c r="IWR6" i="263"/>
  <c r="IWR118" i="263" s="1"/>
  <c r="IWS6" i="263"/>
  <c r="IWS118" i="263" s="1"/>
  <c r="IWT6" i="263"/>
  <c r="IWT118" i="263" s="1"/>
  <c r="IWU6" i="263"/>
  <c r="IWU118" i="263" s="1"/>
  <c r="IWV6" i="263"/>
  <c r="IWV118" i="263" s="1"/>
  <c r="IWW6" i="263"/>
  <c r="IWW118" i="263" s="1"/>
  <c r="IWX6" i="263"/>
  <c r="IWX118" i="263" s="1"/>
  <c r="IWY6" i="263"/>
  <c r="IWY118" i="263" s="1"/>
  <c r="IWZ6" i="263"/>
  <c r="IWZ118" i="263" s="1"/>
  <c r="IXA6" i="263"/>
  <c r="IXA118" i="263" s="1"/>
  <c r="IXB6" i="263"/>
  <c r="IXB118" i="263" s="1"/>
  <c r="IXC6" i="263"/>
  <c r="IXC118" i="263" s="1"/>
  <c r="IXD6" i="263"/>
  <c r="IXD118" i="263" s="1"/>
  <c r="IXE6" i="263"/>
  <c r="IXE118" i="263" s="1"/>
  <c r="IXF6" i="263"/>
  <c r="IXF118" i="263" s="1"/>
  <c r="IXG6" i="263"/>
  <c r="IXG118" i="263" s="1"/>
  <c r="IXH6" i="263"/>
  <c r="IXH118" i="263" s="1"/>
  <c r="IXI6" i="263"/>
  <c r="IXI118" i="263" s="1"/>
  <c r="IXJ6" i="263"/>
  <c r="IXJ118" i="263" s="1"/>
  <c r="IXK6" i="263"/>
  <c r="IXK118" i="263" s="1"/>
  <c r="IXL6" i="263"/>
  <c r="IXL118" i="263" s="1"/>
  <c r="IXM6" i="263"/>
  <c r="IXM118" i="263" s="1"/>
  <c r="IXN6" i="263"/>
  <c r="IXN118" i="263" s="1"/>
  <c r="IXO6" i="263"/>
  <c r="IXO118" i="263" s="1"/>
  <c r="IXP6" i="263"/>
  <c r="IXP118" i="263" s="1"/>
  <c r="IXQ6" i="263"/>
  <c r="IXQ118" i="263" s="1"/>
  <c r="IXR6" i="263"/>
  <c r="IXR118" i="263" s="1"/>
  <c r="IXS6" i="263"/>
  <c r="IXS118" i="263" s="1"/>
  <c r="IXT6" i="263"/>
  <c r="IXT118" i="263" s="1"/>
  <c r="IXU6" i="263"/>
  <c r="IXU118" i="263" s="1"/>
  <c r="IXV6" i="263"/>
  <c r="IXV118" i="263" s="1"/>
  <c r="IXW6" i="263"/>
  <c r="IXW118" i="263" s="1"/>
  <c r="IXX6" i="263"/>
  <c r="IXX118" i="263" s="1"/>
  <c r="IXY6" i="263"/>
  <c r="IXY118" i="263" s="1"/>
  <c r="IXZ6" i="263"/>
  <c r="IXZ118" i="263" s="1"/>
  <c r="IYA6" i="263"/>
  <c r="IYA118" i="263" s="1"/>
  <c r="IYB6" i="263"/>
  <c r="IYB118" i="263" s="1"/>
  <c r="IYC6" i="263"/>
  <c r="IYC118" i="263" s="1"/>
  <c r="IYD6" i="263"/>
  <c r="IYD118" i="263" s="1"/>
  <c r="IYE6" i="263"/>
  <c r="IYE118" i="263" s="1"/>
  <c r="IYF6" i="263"/>
  <c r="IYF118" i="263" s="1"/>
  <c r="IYG6" i="263"/>
  <c r="IYG118" i="263" s="1"/>
  <c r="IYH6" i="263"/>
  <c r="IYH118" i="263" s="1"/>
  <c r="IYI6" i="263"/>
  <c r="IYI118" i="263" s="1"/>
  <c r="IYJ6" i="263"/>
  <c r="IYJ118" i="263" s="1"/>
  <c r="IYK6" i="263"/>
  <c r="IYK118" i="263" s="1"/>
  <c r="IYL6" i="263"/>
  <c r="IYL118" i="263" s="1"/>
  <c r="IYM6" i="263"/>
  <c r="IYM118" i="263" s="1"/>
  <c r="IYN6" i="263"/>
  <c r="IYN118" i="263" s="1"/>
  <c r="IYO6" i="263"/>
  <c r="IYO118" i="263" s="1"/>
  <c r="IYP6" i="263"/>
  <c r="IYP118" i="263" s="1"/>
  <c r="IYQ6" i="263"/>
  <c r="IYQ118" i="263" s="1"/>
  <c r="IYR6" i="263"/>
  <c r="IYR118" i="263" s="1"/>
  <c r="IYS6" i="263"/>
  <c r="IYS118" i="263" s="1"/>
  <c r="IYT6" i="263"/>
  <c r="IYT118" i="263" s="1"/>
  <c r="IYU6" i="263"/>
  <c r="IYU118" i="263" s="1"/>
  <c r="IYV6" i="263"/>
  <c r="IYV118" i="263" s="1"/>
  <c r="IYW6" i="263"/>
  <c r="IYW118" i="263" s="1"/>
  <c r="IYX6" i="263"/>
  <c r="IYX118" i="263" s="1"/>
  <c r="IYY6" i="263"/>
  <c r="IYY118" i="263" s="1"/>
  <c r="IYZ6" i="263"/>
  <c r="IYZ118" i="263" s="1"/>
  <c r="IZA6" i="263"/>
  <c r="IZA118" i="263" s="1"/>
  <c r="IZB6" i="263"/>
  <c r="IZB118" i="263" s="1"/>
  <c r="IZC6" i="263"/>
  <c r="IZC118" i="263" s="1"/>
  <c r="IZD6" i="263"/>
  <c r="IZD118" i="263" s="1"/>
  <c r="IZE6" i="263"/>
  <c r="IZE118" i="263" s="1"/>
  <c r="IZF6" i="263"/>
  <c r="IZF118" i="263" s="1"/>
  <c r="IZG6" i="263"/>
  <c r="IZG118" i="263" s="1"/>
  <c r="IZH6" i="263"/>
  <c r="IZH118" i="263" s="1"/>
  <c r="IZI6" i="263"/>
  <c r="IZI118" i="263" s="1"/>
  <c r="IZJ6" i="263"/>
  <c r="IZJ118" i="263" s="1"/>
  <c r="IZK6" i="263"/>
  <c r="IZK118" i="263" s="1"/>
  <c r="IZL6" i="263"/>
  <c r="IZL118" i="263" s="1"/>
  <c r="IZM6" i="263"/>
  <c r="IZM118" i="263" s="1"/>
  <c r="IZN6" i="263"/>
  <c r="IZN118" i="263" s="1"/>
  <c r="IZO6" i="263"/>
  <c r="IZO118" i="263" s="1"/>
  <c r="IZP6" i="263"/>
  <c r="IZP118" i="263" s="1"/>
  <c r="IZQ6" i="263"/>
  <c r="IZQ118" i="263" s="1"/>
  <c r="IZR6" i="263"/>
  <c r="IZR118" i="263" s="1"/>
  <c r="IZS6" i="263"/>
  <c r="IZS118" i="263" s="1"/>
  <c r="IZT6" i="263"/>
  <c r="IZT118" i="263" s="1"/>
  <c r="IZU6" i="263"/>
  <c r="IZU118" i="263" s="1"/>
  <c r="IZV6" i="263"/>
  <c r="IZV118" i="263" s="1"/>
  <c r="IZW6" i="263"/>
  <c r="IZW118" i="263" s="1"/>
  <c r="IZX6" i="263"/>
  <c r="IZX118" i="263" s="1"/>
  <c r="IZY6" i="263"/>
  <c r="IZY118" i="263" s="1"/>
  <c r="IZZ6" i="263"/>
  <c r="IZZ118" i="263" s="1"/>
  <c r="JAA6" i="263"/>
  <c r="JAA118" i="263" s="1"/>
  <c r="JAB6" i="263"/>
  <c r="JAB118" i="263" s="1"/>
  <c r="JAC6" i="263"/>
  <c r="JAC118" i="263" s="1"/>
  <c r="JAD6" i="263"/>
  <c r="JAD118" i="263" s="1"/>
  <c r="JAE6" i="263"/>
  <c r="JAE118" i="263" s="1"/>
  <c r="JAF6" i="263"/>
  <c r="JAF118" i="263" s="1"/>
  <c r="JAG6" i="263"/>
  <c r="JAG118" i="263" s="1"/>
  <c r="JAH6" i="263"/>
  <c r="JAH118" i="263" s="1"/>
  <c r="JAI6" i="263"/>
  <c r="JAI118" i="263" s="1"/>
  <c r="JAJ6" i="263"/>
  <c r="JAJ118" i="263" s="1"/>
  <c r="JAK6" i="263"/>
  <c r="JAK118" i="263" s="1"/>
  <c r="JAL6" i="263"/>
  <c r="JAL118" i="263" s="1"/>
  <c r="JAM6" i="263"/>
  <c r="JAM118" i="263" s="1"/>
  <c r="JAN6" i="263"/>
  <c r="JAN118" i="263" s="1"/>
  <c r="JAO6" i="263"/>
  <c r="JAO118" i="263" s="1"/>
  <c r="JAP6" i="263"/>
  <c r="JAP118" i="263" s="1"/>
  <c r="JAQ6" i="263"/>
  <c r="JAQ118" i="263" s="1"/>
  <c r="JAR6" i="263"/>
  <c r="JAR118" i="263" s="1"/>
  <c r="JAS6" i="263"/>
  <c r="JAS118" i="263" s="1"/>
  <c r="JAT6" i="263"/>
  <c r="JAT118" i="263" s="1"/>
  <c r="JAU6" i="263"/>
  <c r="JAU118" i="263" s="1"/>
  <c r="JAV6" i="263"/>
  <c r="JAV118" i="263" s="1"/>
  <c r="JAW6" i="263"/>
  <c r="JAW118" i="263" s="1"/>
  <c r="JAX6" i="263"/>
  <c r="JAX118" i="263" s="1"/>
  <c r="JAY6" i="263"/>
  <c r="JAY118" i="263" s="1"/>
  <c r="JAZ6" i="263"/>
  <c r="JAZ118" i="263" s="1"/>
  <c r="JBA6" i="263"/>
  <c r="JBA118" i="263" s="1"/>
  <c r="JBB6" i="263"/>
  <c r="JBB118" i="263" s="1"/>
  <c r="JBC6" i="263"/>
  <c r="JBC118" i="263" s="1"/>
  <c r="JBD6" i="263"/>
  <c r="JBD118" i="263" s="1"/>
  <c r="JBE6" i="263"/>
  <c r="JBE118" i="263" s="1"/>
  <c r="JBF6" i="263"/>
  <c r="JBF118" i="263" s="1"/>
  <c r="JBG6" i="263"/>
  <c r="JBG118" i="263" s="1"/>
  <c r="JBH6" i="263"/>
  <c r="JBH118" i="263" s="1"/>
  <c r="JBI6" i="263"/>
  <c r="JBI118" i="263" s="1"/>
  <c r="JBJ6" i="263"/>
  <c r="JBJ118" i="263" s="1"/>
  <c r="JBK6" i="263"/>
  <c r="JBK118" i="263" s="1"/>
  <c r="JBL6" i="263"/>
  <c r="JBL118" i="263" s="1"/>
  <c r="JBM6" i="263"/>
  <c r="JBM118" i="263" s="1"/>
  <c r="JBN6" i="263"/>
  <c r="JBN118" i="263" s="1"/>
  <c r="JBO6" i="263"/>
  <c r="JBO118" i="263" s="1"/>
  <c r="JBP6" i="263"/>
  <c r="JBP118" i="263" s="1"/>
  <c r="JBQ6" i="263"/>
  <c r="JBQ118" i="263" s="1"/>
  <c r="JBR6" i="263"/>
  <c r="JBR118" i="263" s="1"/>
  <c r="JBS6" i="263"/>
  <c r="JBS118" i="263" s="1"/>
  <c r="JBT6" i="263"/>
  <c r="JBT118" i="263" s="1"/>
  <c r="JBU6" i="263"/>
  <c r="JBU118" i="263" s="1"/>
  <c r="JBV6" i="263"/>
  <c r="JBV118" i="263" s="1"/>
  <c r="JBW6" i="263"/>
  <c r="JBW118" i="263" s="1"/>
  <c r="JBX6" i="263"/>
  <c r="JBX118" i="263" s="1"/>
  <c r="JBY6" i="263"/>
  <c r="JBY118" i="263" s="1"/>
  <c r="JBZ6" i="263"/>
  <c r="JBZ118" i="263" s="1"/>
  <c r="JCA6" i="263"/>
  <c r="JCA118" i="263" s="1"/>
  <c r="JCB6" i="263"/>
  <c r="JCB118" i="263" s="1"/>
  <c r="JCC6" i="263"/>
  <c r="JCC118" i="263" s="1"/>
  <c r="JCD6" i="263"/>
  <c r="JCD118" i="263" s="1"/>
  <c r="JCE6" i="263"/>
  <c r="JCE118" i="263" s="1"/>
  <c r="JCF6" i="263"/>
  <c r="JCF118" i="263" s="1"/>
  <c r="JCG6" i="263"/>
  <c r="JCG118" i="263" s="1"/>
  <c r="JCH6" i="263"/>
  <c r="JCH118" i="263" s="1"/>
  <c r="JCI6" i="263"/>
  <c r="JCI118" i="263" s="1"/>
  <c r="JCJ6" i="263"/>
  <c r="JCJ118" i="263" s="1"/>
  <c r="JCK6" i="263"/>
  <c r="JCK118" i="263" s="1"/>
  <c r="JCL6" i="263"/>
  <c r="JCL118" i="263" s="1"/>
  <c r="JCM6" i="263"/>
  <c r="JCM118" i="263" s="1"/>
  <c r="JCN6" i="263"/>
  <c r="JCN118" i="263" s="1"/>
  <c r="JCO6" i="263"/>
  <c r="JCO118" i="263" s="1"/>
  <c r="JCP6" i="263"/>
  <c r="JCP118" i="263" s="1"/>
  <c r="JCQ6" i="263"/>
  <c r="JCQ118" i="263" s="1"/>
  <c r="JCR6" i="263"/>
  <c r="JCR118" i="263" s="1"/>
  <c r="JCS6" i="263"/>
  <c r="JCS118" i="263" s="1"/>
  <c r="JCT6" i="263"/>
  <c r="JCT118" i="263" s="1"/>
  <c r="JCU6" i="263"/>
  <c r="JCU118" i="263" s="1"/>
  <c r="JCV6" i="263"/>
  <c r="JCV118" i="263" s="1"/>
  <c r="JCW6" i="263"/>
  <c r="JCW118" i="263" s="1"/>
  <c r="JCX6" i="263"/>
  <c r="JCX118" i="263" s="1"/>
  <c r="JCY6" i="263"/>
  <c r="JCY118" i="263" s="1"/>
  <c r="JCZ6" i="263"/>
  <c r="JCZ118" i="263" s="1"/>
  <c r="JDA6" i="263"/>
  <c r="JDA118" i="263" s="1"/>
  <c r="JDB6" i="263"/>
  <c r="JDB118" i="263" s="1"/>
  <c r="JDC6" i="263"/>
  <c r="JDC118" i="263" s="1"/>
  <c r="JDD6" i="263"/>
  <c r="JDD118" i="263" s="1"/>
  <c r="JDE6" i="263"/>
  <c r="JDE118" i="263" s="1"/>
  <c r="JDF6" i="263"/>
  <c r="JDF118" i="263" s="1"/>
  <c r="JDG6" i="263"/>
  <c r="JDG118" i="263" s="1"/>
  <c r="JDH6" i="263"/>
  <c r="JDH118" i="263" s="1"/>
  <c r="JDI6" i="263"/>
  <c r="JDI118" i="263" s="1"/>
  <c r="JDJ6" i="263"/>
  <c r="JDJ118" i="263" s="1"/>
  <c r="JDK6" i="263"/>
  <c r="JDK118" i="263" s="1"/>
  <c r="JDL6" i="263"/>
  <c r="JDL118" i="263" s="1"/>
  <c r="JDM6" i="263"/>
  <c r="JDM118" i="263" s="1"/>
  <c r="JDN6" i="263"/>
  <c r="JDN118" i="263" s="1"/>
  <c r="JDO6" i="263"/>
  <c r="JDO118" i="263" s="1"/>
  <c r="JDP6" i="263"/>
  <c r="JDP118" i="263" s="1"/>
  <c r="JDQ6" i="263"/>
  <c r="JDQ118" i="263" s="1"/>
  <c r="JDR6" i="263"/>
  <c r="JDR118" i="263" s="1"/>
  <c r="JDS6" i="263"/>
  <c r="JDS118" i="263" s="1"/>
  <c r="JDT6" i="263"/>
  <c r="JDT118" i="263" s="1"/>
  <c r="JDU6" i="263"/>
  <c r="JDU118" i="263" s="1"/>
  <c r="JDV6" i="263"/>
  <c r="JDV118" i="263" s="1"/>
  <c r="JDW6" i="263"/>
  <c r="JDW118" i="263" s="1"/>
  <c r="JDX6" i="263"/>
  <c r="JDX118" i="263" s="1"/>
  <c r="JDY6" i="263"/>
  <c r="JDY118" i="263" s="1"/>
  <c r="JDZ6" i="263"/>
  <c r="JDZ118" i="263" s="1"/>
  <c r="JEA6" i="263"/>
  <c r="JEA118" i="263" s="1"/>
  <c r="JEB6" i="263"/>
  <c r="JEB118" i="263" s="1"/>
  <c r="JEC6" i="263"/>
  <c r="JEC118" i="263" s="1"/>
  <c r="JED6" i="263"/>
  <c r="JED118" i="263" s="1"/>
  <c r="JEE6" i="263"/>
  <c r="JEE118" i="263" s="1"/>
  <c r="JEF6" i="263"/>
  <c r="JEF118" i="263" s="1"/>
  <c r="JEG6" i="263"/>
  <c r="JEG118" i="263" s="1"/>
  <c r="JEH6" i="263"/>
  <c r="JEH118" i="263" s="1"/>
  <c r="JEI6" i="263"/>
  <c r="JEI118" i="263" s="1"/>
  <c r="JEJ6" i="263"/>
  <c r="JEJ118" i="263" s="1"/>
  <c r="JEK6" i="263"/>
  <c r="JEK118" i="263" s="1"/>
  <c r="JEL6" i="263"/>
  <c r="JEL118" i="263" s="1"/>
  <c r="JEM6" i="263"/>
  <c r="JEM118" i="263" s="1"/>
  <c r="JEN6" i="263"/>
  <c r="JEN118" i="263" s="1"/>
  <c r="JEO6" i="263"/>
  <c r="JEO118" i="263" s="1"/>
  <c r="JEP6" i="263"/>
  <c r="JEP118" i="263" s="1"/>
  <c r="JEQ6" i="263"/>
  <c r="JEQ118" i="263" s="1"/>
  <c r="JER6" i="263"/>
  <c r="JER118" i="263" s="1"/>
  <c r="JES6" i="263"/>
  <c r="JES118" i="263" s="1"/>
  <c r="JET6" i="263"/>
  <c r="JET118" i="263" s="1"/>
  <c r="JEU6" i="263"/>
  <c r="JEU118" i="263" s="1"/>
  <c r="JEV6" i="263"/>
  <c r="JEV118" i="263" s="1"/>
  <c r="JEW6" i="263"/>
  <c r="JEW118" i="263" s="1"/>
  <c r="JEX6" i="263"/>
  <c r="JEX118" i="263" s="1"/>
  <c r="JEY6" i="263"/>
  <c r="JEY118" i="263" s="1"/>
  <c r="JEZ6" i="263"/>
  <c r="JEZ118" i="263" s="1"/>
  <c r="JFA6" i="263"/>
  <c r="JFA118" i="263" s="1"/>
  <c r="JFB6" i="263"/>
  <c r="JFB118" i="263" s="1"/>
  <c r="JFC6" i="263"/>
  <c r="JFC118" i="263" s="1"/>
  <c r="JFD6" i="263"/>
  <c r="JFD118" i="263" s="1"/>
  <c r="JFE6" i="263"/>
  <c r="JFE118" i="263" s="1"/>
  <c r="JFF6" i="263"/>
  <c r="JFF118" i="263" s="1"/>
  <c r="JFG6" i="263"/>
  <c r="JFG118" i="263" s="1"/>
  <c r="JFH6" i="263"/>
  <c r="JFH118" i="263" s="1"/>
  <c r="JFI6" i="263"/>
  <c r="JFI118" i="263" s="1"/>
  <c r="JFJ6" i="263"/>
  <c r="JFJ118" i="263" s="1"/>
  <c r="JFK6" i="263"/>
  <c r="JFK118" i="263" s="1"/>
  <c r="JFL6" i="263"/>
  <c r="JFL118" i="263" s="1"/>
  <c r="JFM6" i="263"/>
  <c r="JFM118" i="263" s="1"/>
  <c r="JFN6" i="263"/>
  <c r="JFN118" i="263" s="1"/>
  <c r="JFO6" i="263"/>
  <c r="JFO118" i="263" s="1"/>
  <c r="JFP6" i="263"/>
  <c r="JFP118" i="263" s="1"/>
  <c r="JFQ6" i="263"/>
  <c r="JFQ118" i="263" s="1"/>
  <c r="JFR6" i="263"/>
  <c r="JFR118" i="263" s="1"/>
  <c r="JFS6" i="263"/>
  <c r="JFS118" i="263" s="1"/>
  <c r="JFT6" i="263"/>
  <c r="JFT118" i="263" s="1"/>
  <c r="JFU6" i="263"/>
  <c r="JFU118" i="263" s="1"/>
  <c r="JFV6" i="263"/>
  <c r="JFV118" i="263" s="1"/>
  <c r="JFW6" i="263"/>
  <c r="JFW118" i="263" s="1"/>
  <c r="JFX6" i="263"/>
  <c r="JFX118" i="263" s="1"/>
  <c r="JFY6" i="263"/>
  <c r="JFY118" i="263" s="1"/>
  <c r="JFZ6" i="263"/>
  <c r="JFZ118" i="263" s="1"/>
  <c r="JGA6" i="263"/>
  <c r="JGA118" i="263" s="1"/>
  <c r="JGB6" i="263"/>
  <c r="JGB118" i="263" s="1"/>
  <c r="JGC6" i="263"/>
  <c r="JGC118" i="263" s="1"/>
  <c r="JGD6" i="263"/>
  <c r="JGD118" i="263" s="1"/>
  <c r="JGE6" i="263"/>
  <c r="JGE118" i="263" s="1"/>
  <c r="JGF6" i="263"/>
  <c r="JGF118" i="263" s="1"/>
  <c r="JGG6" i="263"/>
  <c r="JGG118" i="263" s="1"/>
  <c r="JGH6" i="263"/>
  <c r="JGH118" i="263" s="1"/>
  <c r="JGI6" i="263"/>
  <c r="JGI118" i="263" s="1"/>
  <c r="JGJ6" i="263"/>
  <c r="JGJ118" i="263" s="1"/>
  <c r="JGK6" i="263"/>
  <c r="JGK118" i="263" s="1"/>
  <c r="JGL6" i="263"/>
  <c r="JGL118" i="263" s="1"/>
  <c r="JGM6" i="263"/>
  <c r="JGM118" i="263" s="1"/>
  <c r="JGN6" i="263"/>
  <c r="JGN118" i="263" s="1"/>
  <c r="JGO6" i="263"/>
  <c r="JGO118" i="263" s="1"/>
  <c r="JGP6" i="263"/>
  <c r="JGP118" i="263" s="1"/>
  <c r="JGQ6" i="263"/>
  <c r="JGQ118" i="263" s="1"/>
  <c r="JGR6" i="263"/>
  <c r="JGR118" i="263" s="1"/>
  <c r="JGS6" i="263"/>
  <c r="JGS118" i="263" s="1"/>
  <c r="JGT6" i="263"/>
  <c r="JGT118" i="263" s="1"/>
  <c r="JGU6" i="263"/>
  <c r="JGU118" i="263" s="1"/>
  <c r="JGV6" i="263"/>
  <c r="JGV118" i="263" s="1"/>
  <c r="JGW6" i="263"/>
  <c r="JGW118" i="263" s="1"/>
  <c r="JGX6" i="263"/>
  <c r="JGX118" i="263" s="1"/>
  <c r="JGY6" i="263"/>
  <c r="JGY118" i="263" s="1"/>
  <c r="JGZ6" i="263"/>
  <c r="JGZ118" i="263" s="1"/>
  <c r="JHA6" i="263"/>
  <c r="JHA118" i="263" s="1"/>
  <c r="JHB6" i="263"/>
  <c r="JHB118" i="263" s="1"/>
  <c r="JHC6" i="263"/>
  <c r="JHC118" i="263" s="1"/>
  <c r="JHD6" i="263"/>
  <c r="JHD118" i="263" s="1"/>
  <c r="JHE6" i="263"/>
  <c r="JHE118" i="263" s="1"/>
  <c r="JHF6" i="263"/>
  <c r="JHF118" i="263" s="1"/>
  <c r="JHG6" i="263"/>
  <c r="JHG118" i="263" s="1"/>
  <c r="JHH6" i="263"/>
  <c r="JHH118" i="263" s="1"/>
  <c r="JHI6" i="263"/>
  <c r="JHI118" i="263" s="1"/>
  <c r="JHJ6" i="263"/>
  <c r="JHJ118" i="263" s="1"/>
  <c r="JHK6" i="263"/>
  <c r="JHK118" i="263" s="1"/>
  <c r="JHL6" i="263"/>
  <c r="JHL118" i="263" s="1"/>
  <c r="JHM6" i="263"/>
  <c r="JHM118" i="263" s="1"/>
  <c r="JHN6" i="263"/>
  <c r="JHN118" i="263" s="1"/>
  <c r="JHO6" i="263"/>
  <c r="JHO118" i="263" s="1"/>
  <c r="JHP6" i="263"/>
  <c r="JHP118" i="263" s="1"/>
  <c r="JHQ6" i="263"/>
  <c r="JHQ118" i="263" s="1"/>
  <c r="JHR6" i="263"/>
  <c r="JHR118" i="263" s="1"/>
  <c r="JHS6" i="263"/>
  <c r="JHS118" i="263" s="1"/>
  <c r="JHT6" i="263"/>
  <c r="JHT118" i="263" s="1"/>
  <c r="JHU6" i="263"/>
  <c r="JHU118" i="263" s="1"/>
  <c r="JHV6" i="263"/>
  <c r="JHV118" i="263" s="1"/>
  <c r="JHW6" i="263"/>
  <c r="JHW118" i="263" s="1"/>
  <c r="JHX6" i="263"/>
  <c r="JHX118" i="263" s="1"/>
  <c r="JHY6" i="263"/>
  <c r="JHY118" i="263" s="1"/>
  <c r="JHZ6" i="263"/>
  <c r="JHZ118" i="263" s="1"/>
  <c r="JIA6" i="263"/>
  <c r="JIA118" i="263" s="1"/>
  <c r="JIB6" i="263"/>
  <c r="JIB118" i="263" s="1"/>
  <c r="JIC6" i="263"/>
  <c r="JIC118" i="263" s="1"/>
  <c r="JID6" i="263"/>
  <c r="JID118" i="263" s="1"/>
  <c r="JIE6" i="263"/>
  <c r="JIE118" i="263" s="1"/>
  <c r="JIF6" i="263"/>
  <c r="JIF118" i="263" s="1"/>
  <c r="JIG6" i="263"/>
  <c r="JIG118" i="263" s="1"/>
  <c r="JIH6" i="263"/>
  <c r="JIH118" i="263" s="1"/>
  <c r="JII6" i="263"/>
  <c r="JII118" i="263" s="1"/>
  <c r="JIJ6" i="263"/>
  <c r="JIJ118" i="263" s="1"/>
  <c r="JIK6" i="263"/>
  <c r="JIK118" i="263" s="1"/>
  <c r="JIL6" i="263"/>
  <c r="JIL118" i="263" s="1"/>
  <c r="JIM6" i="263"/>
  <c r="JIM118" i="263" s="1"/>
  <c r="JIN6" i="263"/>
  <c r="JIN118" i="263" s="1"/>
  <c r="JIO6" i="263"/>
  <c r="JIO118" i="263" s="1"/>
  <c r="JIP6" i="263"/>
  <c r="JIP118" i="263" s="1"/>
  <c r="JIQ6" i="263"/>
  <c r="JIQ118" i="263" s="1"/>
  <c r="JIR6" i="263"/>
  <c r="JIR118" i="263" s="1"/>
  <c r="JIS6" i="263"/>
  <c r="JIS118" i="263" s="1"/>
  <c r="JIT6" i="263"/>
  <c r="JIT118" i="263" s="1"/>
  <c r="JIU6" i="263"/>
  <c r="JIU118" i="263" s="1"/>
  <c r="JIV6" i="263"/>
  <c r="JIV118" i="263" s="1"/>
  <c r="JIW6" i="263"/>
  <c r="JIW118" i="263" s="1"/>
  <c r="JIX6" i="263"/>
  <c r="JIX118" i="263" s="1"/>
  <c r="JIY6" i="263"/>
  <c r="JIY118" i="263" s="1"/>
  <c r="JIZ6" i="263"/>
  <c r="JIZ118" i="263" s="1"/>
  <c r="JJA6" i="263"/>
  <c r="JJA118" i="263" s="1"/>
  <c r="JJB6" i="263"/>
  <c r="JJB118" i="263" s="1"/>
  <c r="JJC6" i="263"/>
  <c r="JJC118" i="263" s="1"/>
  <c r="JJD6" i="263"/>
  <c r="JJD118" i="263" s="1"/>
  <c r="JJE6" i="263"/>
  <c r="JJE118" i="263" s="1"/>
  <c r="JJF6" i="263"/>
  <c r="JJF118" i="263" s="1"/>
  <c r="JJG6" i="263"/>
  <c r="JJG118" i="263" s="1"/>
  <c r="JJH6" i="263"/>
  <c r="JJH118" i="263" s="1"/>
  <c r="JJI6" i="263"/>
  <c r="JJI118" i="263" s="1"/>
  <c r="JJJ6" i="263"/>
  <c r="JJJ118" i="263" s="1"/>
  <c r="JJK6" i="263"/>
  <c r="JJK118" i="263" s="1"/>
  <c r="JJL6" i="263"/>
  <c r="JJL118" i="263" s="1"/>
  <c r="JJM6" i="263"/>
  <c r="JJM118" i="263" s="1"/>
  <c r="JJN6" i="263"/>
  <c r="JJN118" i="263" s="1"/>
  <c r="JJO6" i="263"/>
  <c r="JJO118" i="263" s="1"/>
  <c r="JJP6" i="263"/>
  <c r="JJP118" i="263" s="1"/>
  <c r="JJQ6" i="263"/>
  <c r="JJQ118" i="263" s="1"/>
  <c r="JJR6" i="263"/>
  <c r="JJR118" i="263" s="1"/>
  <c r="JJS6" i="263"/>
  <c r="JJS118" i="263" s="1"/>
  <c r="JJT6" i="263"/>
  <c r="JJT118" i="263" s="1"/>
  <c r="JJU6" i="263"/>
  <c r="JJU118" i="263" s="1"/>
  <c r="JJV6" i="263"/>
  <c r="JJV118" i="263" s="1"/>
  <c r="JJW6" i="263"/>
  <c r="JJW118" i="263" s="1"/>
  <c r="JJX6" i="263"/>
  <c r="JJX118" i="263" s="1"/>
  <c r="JJY6" i="263"/>
  <c r="JJY118" i="263" s="1"/>
  <c r="JJZ6" i="263"/>
  <c r="JJZ118" i="263" s="1"/>
  <c r="JKA6" i="263"/>
  <c r="JKA118" i="263" s="1"/>
  <c r="JKB6" i="263"/>
  <c r="JKB118" i="263" s="1"/>
  <c r="JKC6" i="263"/>
  <c r="JKC118" i="263" s="1"/>
  <c r="JKD6" i="263"/>
  <c r="JKD118" i="263" s="1"/>
  <c r="JKE6" i="263"/>
  <c r="JKE118" i="263" s="1"/>
  <c r="JKF6" i="263"/>
  <c r="JKF118" i="263" s="1"/>
  <c r="JKG6" i="263"/>
  <c r="JKG118" i="263" s="1"/>
  <c r="JKH6" i="263"/>
  <c r="JKH118" i="263" s="1"/>
  <c r="JKI6" i="263"/>
  <c r="JKI118" i="263" s="1"/>
  <c r="JKJ6" i="263"/>
  <c r="JKJ118" i="263" s="1"/>
  <c r="JKK6" i="263"/>
  <c r="JKK118" i="263" s="1"/>
  <c r="JKL6" i="263"/>
  <c r="JKL118" i="263" s="1"/>
  <c r="JKM6" i="263"/>
  <c r="JKM118" i="263" s="1"/>
  <c r="JKN6" i="263"/>
  <c r="JKN118" i="263" s="1"/>
  <c r="JKO6" i="263"/>
  <c r="JKO118" i="263" s="1"/>
  <c r="JKP6" i="263"/>
  <c r="JKP118" i="263" s="1"/>
  <c r="JKQ6" i="263"/>
  <c r="JKQ118" i="263" s="1"/>
  <c r="JKR6" i="263"/>
  <c r="JKR118" i="263" s="1"/>
  <c r="JKS6" i="263"/>
  <c r="JKS118" i="263" s="1"/>
  <c r="JKT6" i="263"/>
  <c r="JKT118" i="263" s="1"/>
  <c r="JKU6" i="263"/>
  <c r="JKU118" i="263" s="1"/>
  <c r="JKV6" i="263"/>
  <c r="JKV118" i="263" s="1"/>
  <c r="JKW6" i="263"/>
  <c r="JKW118" i="263" s="1"/>
  <c r="JKX6" i="263"/>
  <c r="JKX118" i="263" s="1"/>
  <c r="JKY6" i="263"/>
  <c r="JKY118" i="263" s="1"/>
  <c r="JKZ6" i="263"/>
  <c r="JKZ118" i="263" s="1"/>
  <c r="JLA6" i="263"/>
  <c r="JLA118" i="263" s="1"/>
  <c r="JLB6" i="263"/>
  <c r="JLB118" i="263" s="1"/>
  <c r="JLC6" i="263"/>
  <c r="JLC118" i="263" s="1"/>
  <c r="JLD6" i="263"/>
  <c r="JLD118" i="263" s="1"/>
  <c r="JLE6" i="263"/>
  <c r="JLE118" i="263" s="1"/>
  <c r="JLF6" i="263"/>
  <c r="JLF118" i="263" s="1"/>
  <c r="JLG6" i="263"/>
  <c r="JLG118" i="263" s="1"/>
  <c r="JLH6" i="263"/>
  <c r="JLH118" i="263" s="1"/>
  <c r="JLI6" i="263"/>
  <c r="JLI118" i="263" s="1"/>
  <c r="JLJ6" i="263"/>
  <c r="JLJ118" i="263" s="1"/>
  <c r="JLK6" i="263"/>
  <c r="JLK118" i="263" s="1"/>
  <c r="JLL6" i="263"/>
  <c r="JLL118" i="263" s="1"/>
  <c r="JLM6" i="263"/>
  <c r="JLM118" i="263" s="1"/>
  <c r="JLN6" i="263"/>
  <c r="JLN118" i="263" s="1"/>
  <c r="JLO6" i="263"/>
  <c r="JLO118" i="263" s="1"/>
  <c r="JLP6" i="263"/>
  <c r="JLP118" i="263" s="1"/>
  <c r="JLQ6" i="263"/>
  <c r="JLQ118" i="263" s="1"/>
  <c r="JLR6" i="263"/>
  <c r="JLR118" i="263" s="1"/>
  <c r="JLS6" i="263"/>
  <c r="JLS118" i="263" s="1"/>
  <c r="JLT6" i="263"/>
  <c r="JLT118" i="263" s="1"/>
  <c r="JLU6" i="263"/>
  <c r="JLU118" i="263" s="1"/>
  <c r="JLV6" i="263"/>
  <c r="JLV118" i="263" s="1"/>
  <c r="JLW6" i="263"/>
  <c r="JLW118" i="263" s="1"/>
  <c r="JLX6" i="263"/>
  <c r="JLX118" i="263" s="1"/>
  <c r="JLY6" i="263"/>
  <c r="JLY118" i="263" s="1"/>
  <c r="JLZ6" i="263"/>
  <c r="JLZ118" i="263" s="1"/>
  <c r="JMA6" i="263"/>
  <c r="JMA118" i="263" s="1"/>
  <c r="JMB6" i="263"/>
  <c r="JMB118" i="263" s="1"/>
  <c r="JMC6" i="263"/>
  <c r="JMC118" i="263" s="1"/>
  <c r="JMD6" i="263"/>
  <c r="JMD118" i="263" s="1"/>
  <c r="JME6" i="263"/>
  <c r="JME118" i="263" s="1"/>
  <c r="JMF6" i="263"/>
  <c r="JMF118" i="263" s="1"/>
  <c r="JMG6" i="263"/>
  <c r="JMG118" i="263" s="1"/>
  <c r="JMH6" i="263"/>
  <c r="JMH118" i="263" s="1"/>
  <c r="JMI6" i="263"/>
  <c r="JMI118" i="263" s="1"/>
  <c r="JMJ6" i="263"/>
  <c r="JMJ118" i="263" s="1"/>
  <c r="JMK6" i="263"/>
  <c r="JMK118" i="263" s="1"/>
  <c r="JML6" i="263"/>
  <c r="JML118" i="263" s="1"/>
  <c r="JMM6" i="263"/>
  <c r="JMM118" i="263" s="1"/>
  <c r="JMN6" i="263"/>
  <c r="JMN118" i="263" s="1"/>
  <c r="JMO6" i="263"/>
  <c r="JMO118" i="263" s="1"/>
  <c r="JMP6" i="263"/>
  <c r="JMP118" i="263" s="1"/>
  <c r="JMQ6" i="263"/>
  <c r="JMQ118" i="263" s="1"/>
  <c r="JMR6" i="263"/>
  <c r="JMR118" i="263" s="1"/>
  <c r="JMS6" i="263"/>
  <c r="JMS118" i="263" s="1"/>
  <c r="JMT6" i="263"/>
  <c r="JMT118" i="263" s="1"/>
  <c r="JMU6" i="263"/>
  <c r="JMU118" i="263" s="1"/>
  <c r="JMV6" i="263"/>
  <c r="JMV118" i="263" s="1"/>
  <c r="JMW6" i="263"/>
  <c r="JMW118" i="263" s="1"/>
  <c r="JMX6" i="263"/>
  <c r="JMX118" i="263" s="1"/>
  <c r="JMY6" i="263"/>
  <c r="JMY118" i="263" s="1"/>
  <c r="JMZ6" i="263"/>
  <c r="JMZ118" i="263" s="1"/>
  <c r="JNA6" i="263"/>
  <c r="JNA118" i="263" s="1"/>
  <c r="JNB6" i="263"/>
  <c r="JNB118" i="263" s="1"/>
  <c r="JNC6" i="263"/>
  <c r="JNC118" i="263" s="1"/>
  <c r="JND6" i="263"/>
  <c r="JND118" i="263" s="1"/>
  <c r="JNE6" i="263"/>
  <c r="JNE118" i="263" s="1"/>
  <c r="JNF6" i="263"/>
  <c r="JNF118" i="263" s="1"/>
  <c r="JNG6" i="263"/>
  <c r="JNG118" i="263" s="1"/>
  <c r="JNH6" i="263"/>
  <c r="JNH118" i="263" s="1"/>
  <c r="JNI6" i="263"/>
  <c r="JNI118" i="263" s="1"/>
  <c r="JNJ6" i="263"/>
  <c r="JNJ118" i="263" s="1"/>
  <c r="JNK6" i="263"/>
  <c r="JNK118" i="263" s="1"/>
  <c r="JNL6" i="263"/>
  <c r="JNL118" i="263" s="1"/>
  <c r="JNM6" i="263"/>
  <c r="JNM118" i="263" s="1"/>
  <c r="JNN6" i="263"/>
  <c r="JNN118" i="263" s="1"/>
  <c r="JNO6" i="263"/>
  <c r="JNO118" i="263" s="1"/>
  <c r="JNP6" i="263"/>
  <c r="JNP118" i="263" s="1"/>
  <c r="JNQ6" i="263"/>
  <c r="JNQ118" i="263" s="1"/>
  <c r="JNR6" i="263"/>
  <c r="JNR118" i="263" s="1"/>
  <c r="JNS6" i="263"/>
  <c r="JNS118" i="263" s="1"/>
  <c r="JNT6" i="263"/>
  <c r="JNT118" i="263" s="1"/>
  <c r="JNU6" i="263"/>
  <c r="JNU118" i="263" s="1"/>
  <c r="JNV6" i="263"/>
  <c r="JNV118" i="263" s="1"/>
  <c r="JNW6" i="263"/>
  <c r="JNW118" i="263" s="1"/>
  <c r="JNX6" i="263"/>
  <c r="JNX118" i="263" s="1"/>
  <c r="JNY6" i="263"/>
  <c r="JNY118" i="263" s="1"/>
  <c r="JNZ6" i="263"/>
  <c r="JNZ118" i="263" s="1"/>
  <c r="JOA6" i="263"/>
  <c r="JOA118" i="263" s="1"/>
  <c r="JOB6" i="263"/>
  <c r="JOB118" i="263" s="1"/>
  <c r="JOC6" i="263"/>
  <c r="JOC118" i="263" s="1"/>
  <c r="JOD6" i="263"/>
  <c r="JOD118" i="263" s="1"/>
  <c r="JOE6" i="263"/>
  <c r="JOE118" i="263" s="1"/>
  <c r="JOF6" i="263"/>
  <c r="JOF118" i="263" s="1"/>
  <c r="JOG6" i="263"/>
  <c r="JOG118" i="263" s="1"/>
  <c r="JOH6" i="263"/>
  <c r="JOH118" i="263" s="1"/>
  <c r="JOI6" i="263"/>
  <c r="JOI118" i="263" s="1"/>
  <c r="JOJ6" i="263"/>
  <c r="JOJ118" i="263" s="1"/>
  <c r="JOK6" i="263"/>
  <c r="JOK118" i="263" s="1"/>
  <c r="JOL6" i="263"/>
  <c r="JOL118" i="263" s="1"/>
  <c r="JOM6" i="263"/>
  <c r="JOM118" i="263" s="1"/>
  <c r="JON6" i="263"/>
  <c r="JON118" i="263" s="1"/>
  <c r="JOO6" i="263"/>
  <c r="JOO118" i="263" s="1"/>
  <c r="JOP6" i="263"/>
  <c r="JOP118" i="263" s="1"/>
  <c r="JOQ6" i="263"/>
  <c r="JOQ118" i="263" s="1"/>
  <c r="JOR6" i="263"/>
  <c r="JOR118" i="263" s="1"/>
  <c r="JOS6" i="263"/>
  <c r="JOS118" i="263" s="1"/>
  <c r="JOT6" i="263"/>
  <c r="JOT118" i="263" s="1"/>
  <c r="JOU6" i="263"/>
  <c r="JOU118" i="263" s="1"/>
  <c r="JOV6" i="263"/>
  <c r="JOV118" i="263" s="1"/>
  <c r="JOW6" i="263"/>
  <c r="JOW118" i="263" s="1"/>
  <c r="JOX6" i="263"/>
  <c r="JOX118" i="263" s="1"/>
  <c r="JOY6" i="263"/>
  <c r="JOY118" i="263" s="1"/>
  <c r="JOZ6" i="263"/>
  <c r="JOZ118" i="263" s="1"/>
  <c r="JPA6" i="263"/>
  <c r="JPA118" i="263" s="1"/>
  <c r="JPB6" i="263"/>
  <c r="JPB118" i="263" s="1"/>
  <c r="JPC6" i="263"/>
  <c r="JPC118" i="263" s="1"/>
  <c r="JPD6" i="263"/>
  <c r="JPD118" i="263" s="1"/>
  <c r="JPE6" i="263"/>
  <c r="JPE118" i="263" s="1"/>
  <c r="JPF6" i="263"/>
  <c r="JPF118" i="263" s="1"/>
  <c r="JPG6" i="263"/>
  <c r="JPG118" i="263" s="1"/>
  <c r="JPH6" i="263"/>
  <c r="JPH118" i="263" s="1"/>
  <c r="JPI6" i="263"/>
  <c r="JPI118" i="263" s="1"/>
  <c r="JPJ6" i="263"/>
  <c r="JPJ118" i="263" s="1"/>
  <c r="JPK6" i="263"/>
  <c r="JPK118" i="263" s="1"/>
  <c r="JPL6" i="263"/>
  <c r="JPL118" i="263" s="1"/>
  <c r="JPM6" i="263"/>
  <c r="JPM118" i="263" s="1"/>
  <c r="JPN6" i="263"/>
  <c r="JPN118" i="263" s="1"/>
  <c r="JPO6" i="263"/>
  <c r="JPO118" i="263" s="1"/>
  <c r="JPP6" i="263"/>
  <c r="JPP118" i="263" s="1"/>
  <c r="JPQ6" i="263"/>
  <c r="JPQ118" i="263" s="1"/>
  <c r="JPR6" i="263"/>
  <c r="JPR118" i="263" s="1"/>
  <c r="JPS6" i="263"/>
  <c r="JPS118" i="263" s="1"/>
  <c r="JPT6" i="263"/>
  <c r="JPT118" i="263" s="1"/>
  <c r="JPU6" i="263"/>
  <c r="JPU118" i="263" s="1"/>
  <c r="JPV6" i="263"/>
  <c r="JPV118" i="263" s="1"/>
  <c r="JPW6" i="263"/>
  <c r="JPW118" i="263" s="1"/>
  <c r="JPX6" i="263"/>
  <c r="JPX118" i="263" s="1"/>
  <c r="JPY6" i="263"/>
  <c r="JPY118" i="263" s="1"/>
  <c r="JPZ6" i="263"/>
  <c r="JPZ118" i="263" s="1"/>
  <c r="JQA6" i="263"/>
  <c r="JQA118" i="263" s="1"/>
  <c r="JQB6" i="263"/>
  <c r="JQB118" i="263" s="1"/>
  <c r="JQC6" i="263"/>
  <c r="JQC118" i="263" s="1"/>
  <c r="JQD6" i="263"/>
  <c r="JQD118" i="263" s="1"/>
  <c r="JQE6" i="263"/>
  <c r="JQE118" i="263" s="1"/>
  <c r="JQF6" i="263"/>
  <c r="JQF118" i="263" s="1"/>
  <c r="JQG6" i="263"/>
  <c r="JQG118" i="263" s="1"/>
  <c r="JQH6" i="263"/>
  <c r="JQH118" i="263" s="1"/>
  <c r="JQI6" i="263"/>
  <c r="JQI118" i="263" s="1"/>
  <c r="JQJ6" i="263"/>
  <c r="JQJ118" i="263" s="1"/>
  <c r="JQK6" i="263"/>
  <c r="JQK118" i="263" s="1"/>
  <c r="JQL6" i="263"/>
  <c r="JQL118" i="263" s="1"/>
  <c r="JQM6" i="263"/>
  <c r="JQM118" i="263" s="1"/>
  <c r="JQN6" i="263"/>
  <c r="JQN118" i="263" s="1"/>
  <c r="JQO6" i="263"/>
  <c r="JQO118" i="263" s="1"/>
  <c r="JQP6" i="263"/>
  <c r="JQP118" i="263" s="1"/>
  <c r="JQQ6" i="263"/>
  <c r="JQQ118" i="263" s="1"/>
  <c r="JQR6" i="263"/>
  <c r="JQR118" i="263" s="1"/>
  <c r="JQS6" i="263"/>
  <c r="JQS118" i="263" s="1"/>
  <c r="JQT6" i="263"/>
  <c r="JQT118" i="263" s="1"/>
  <c r="JQU6" i="263"/>
  <c r="JQU118" i="263" s="1"/>
  <c r="JQV6" i="263"/>
  <c r="JQV118" i="263" s="1"/>
  <c r="JQW6" i="263"/>
  <c r="JQW118" i="263" s="1"/>
  <c r="JQX6" i="263"/>
  <c r="JQX118" i="263" s="1"/>
  <c r="JQY6" i="263"/>
  <c r="JQY118" i="263" s="1"/>
  <c r="JQZ6" i="263"/>
  <c r="JQZ118" i="263" s="1"/>
  <c r="JRA6" i="263"/>
  <c r="JRA118" i="263" s="1"/>
  <c r="JRB6" i="263"/>
  <c r="JRB118" i="263" s="1"/>
  <c r="JRC6" i="263"/>
  <c r="JRC118" i="263" s="1"/>
  <c r="JRD6" i="263"/>
  <c r="JRD118" i="263" s="1"/>
  <c r="JRE6" i="263"/>
  <c r="JRE118" i="263" s="1"/>
  <c r="JRF6" i="263"/>
  <c r="JRF118" i="263" s="1"/>
  <c r="JRG6" i="263"/>
  <c r="JRG118" i="263" s="1"/>
  <c r="JRH6" i="263"/>
  <c r="JRH118" i="263" s="1"/>
  <c r="JRI6" i="263"/>
  <c r="JRI118" i="263" s="1"/>
  <c r="JRJ6" i="263"/>
  <c r="JRJ118" i="263" s="1"/>
  <c r="JRK6" i="263"/>
  <c r="JRK118" i="263" s="1"/>
  <c r="JRL6" i="263"/>
  <c r="JRL118" i="263" s="1"/>
  <c r="JRM6" i="263"/>
  <c r="JRM118" i="263" s="1"/>
  <c r="JRN6" i="263"/>
  <c r="JRN118" i="263" s="1"/>
  <c r="JRO6" i="263"/>
  <c r="JRO118" i="263" s="1"/>
  <c r="JRP6" i="263"/>
  <c r="JRP118" i="263" s="1"/>
  <c r="JRQ6" i="263"/>
  <c r="JRQ118" i="263" s="1"/>
  <c r="JRR6" i="263"/>
  <c r="JRR118" i="263" s="1"/>
  <c r="JRS6" i="263"/>
  <c r="JRS118" i="263" s="1"/>
  <c r="JRT6" i="263"/>
  <c r="JRT118" i="263" s="1"/>
  <c r="JRU6" i="263"/>
  <c r="JRU118" i="263" s="1"/>
  <c r="JRV6" i="263"/>
  <c r="JRV118" i="263" s="1"/>
  <c r="JRW6" i="263"/>
  <c r="JRW118" i="263" s="1"/>
  <c r="JRX6" i="263"/>
  <c r="JRX118" i="263" s="1"/>
  <c r="JRY6" i="263"/>
  <c r="JRY118" i="263" s="1"/>
  <c r="JRZ6" i="263"/>
  <c r="JRZ118" i="263" s="1"/>
  <c r="JSA6" i="263"/>
  <c r="JSA118" i="263" s="1"/>
  <c r="JSB6" i="263"/>
  <c r="JSB118" i="263" s="1"/>
  <c r="JSC6" i="263"/>
  <c r="JSC118" i="263" s="1"/>
  <c r="JSD6" i="263"/>
  <c r="JSD118" i="263" s="1"/>
  <c r="JSE6" i="263"/>
  <c r="JSE118" i="263" s="1"/>
  <c r="JSF6" i="263"/>
  <c r="JSF118" i="263" s="1"/>
  <c r="JSG6" i="263"/>
  <c r="JSG118" i="263" s="1"/>
  <c r="JSH6" i="263"/>
  <c r="JSH118" i="263" s="1"/>
  <c r="JSI6" i="263"/>
  <c r="JSI118" i="263" s="1"/>
  <c r="JSJ6" i="263"/>
  <c r="JSJ118" i="263" s="1"/>
  <c r="JSK6" i="263"/>
  <c r="JSK118" i="263" s="1"/>
  <c r="JSL6" i="263"/>
  <c r="JSL118" i="263" s="1"/>
  <c r="JSM6" i="263"/>
  <c r="JSM118" i="263" s="1"/>
  <c r="JSN6" i="263"/>
  <c r="JSN118" i="263" s="1"/>
  <c r="JSO6" i="263"/>
  <c r="JSO118" i="263" s="1"/>
  <c r="JSP6" i="263"/>
  <c r="JSP118" i="263" s="1"/>
  <c r="JSQ6" i="263"/>
  <c r="JSQ118" i="263" s="1"/>
  <c r="JSR6" i="263"/>
  <c r="JSR118" i="263" s="1"/>
  <c r="JSS6" i="263"/>
  <c r="JSS118" i="263" s="1"/>
  <c r="JST6" i="263"/>
  <c r="JST118" i="263" s="1"/>
  <c r="JSU6" i="263"/>
  <c r="JSU118" i="263" s="1"/>
  <c r="JSV6" i="263"/>
  <c r="JSV118" i="263" s="1"/>
  <c r="JSW6" i="263"/>
  <c r="JSW118" i="263" s="1"/>
  <c r="JSX6" i="263"/>
  <c r="JSX118" i="263" s="1"/>
  <c r="JSY6" i="263"/>
  <c r="JSY118" i="263" s="1"/>
  <c r="JSZ6" i="263"/>
  <c r="JSZ118" i="263" s="1"/>
  <c r="JTA6" i="263"/>
  <c r="JTA118" i="263" s="1"/>
  <c r="JTB6" i="263"/>
  <c r="JTB118" i="263" s="1"/>
  <c r="JTC6" i="263"/>
  <c r="JTC118" i="263" s="1"/>
  <c r="JTD6" i="263"/>
  <c r="JTD118" i="263" s="1"/>
  <c r="JTE6" i="263"/>
  <c r="JTE118" i="263" s="1"/>
  <c r="JTF6" i="263"/>
  <c r="JTF118" i="263" s="1"/>
  <c r="JTG6" i="263"/>
  <c r="JTG118" i="263" s="1"/>
  <c r="JTH6" i="263"/>
  <c r="JTH118" i="263" s="1"/>
  <c r="JTI6" i="263"/>
  <c r="JTI118" i="263" s="1"/>
  <c r="JTJ6" i="263"/>
  <c r="JTJ118" i="263" s="1"/>
  <c r="JTK6" i="263"/>
  <c r="JTK118" i="263" s="1"/>
  <c r="JTL6" i="263"/>
  <c r="JTL118" i="263" s="1"/>
  <c r="JTM6" i="263"/>
  <c r="JTM118" i="263" s="1"/>
  <c r="JTN6" i="263"/>
  <c r="JTN118" i="263" s="1"/>
  <c r="JTO6" i="263"/>
  <c r="JTO118" i="263" s="1"/>
  <c r="JTP6" i="263"/>
  <c r="JTP118" i="263" s="1"/>
  <c r="JTQ6" i="263"/>
  <c r="JTQ118" i="263" s="1"/>
  <c r="JTR6" i="263"/>
  <c r="JTR118" i="263" s="1"/>
  <c r="JTS6" i="263"/>
  <c r="JTS118" i="263" s="1"/>
  <c r="JTT6" i="263"/>
  <c r="JTT118" i="263" s="1"/>
  <c r="JTU6" i="263"/>
  <c r="JTU118" i="263" s="1"/>
  <c r="JTV6" i="263"/>
  <c r="JTV118" i="263" s="1"/>
  <c r="JTW6" i="263"/>
  <c r="JTW118" i="263" s="1"/>
  <c r="JTX6" i="263"/>
  <c r="JTX118" i="263" s="1"/>
  <c r="JTY6" i="263"/>
  <c r="JTY118" i="263" s="1"/>
  <c r="JTZ6" i="263"/>
  <c r="JTZ118" i="263" s="1"/>
  <c r="JUA6" i="263"/>
  <c r="JUA118" i="263" s="1"/>
  <c r="JUB6" i="263"/>
  <c r="JUB118" i="263" s="1"/>
  <c r="JUC6" i="263"/>
  <c r="JUC118" i="263" s="1"/>
  <c r="JUD6" i="263"/>
  <c r="JUD118" i="263" s="1"/>
  <c r="JUE6" i="263"/>
  <c r="JUE118" i="263" s="1"/>
  <c r="JUF6" i="263"/>
  <c r="JUF118" i="263" s="1"/>
  <c r="JUG6" i="263"/>
  <c r="JUG118" i="263" s="1"/>
  <c r="JUH6" i="263"/>
  <c r="JUH118" i="263" s="1"/>
  <c r="JUI6" i="263"/>
  <c r="JUI118" i="263" s="1"/>
  <c r="JUJ6" i="263"/>
  <c r="JUJ118" i="263" s="1"/>
  <c r="JUK6" i="263"/>
  <c r="JUK118" i="263" s="1"/>
  <c r="JUL6" i="263"/>
  <c r="JUL118" i="263" s="1"/>
  <c r="JUM6" i="263"/>
  <c r="JUM118" i="263" s="1"/>
  <c r="JUN6" i="263"/>
  <c r="JUN118" i="263" s="1"/>
  <c r="JUO6" i="263"/>
  <c r="JUO118" i="263" s="1"/>
  <c r="JUP6" i="263"/>
  <c r="JUP118" i="263" s="1"/>
  <c r="JUQ6" i="263"/>
  <c r="JUQ118" i="263" s="1"/>
  <c r="JUR6" i="263"/>
  <c r="JUR118" i="263" s="1"/>
  <c r="JUS6" i="263"/>
  <c r="JUS118" i="263" s="1"/>
  <c r="JUT6" i="263"/>
  <c r="JUT118" i="263" s="1"/>
  <c r="JUU6" i="263"/>
  <c r="JUU118" i="263" s="1"/>
  <c r="JUV6" i="263"/>
  <c r="JUV118" i="263" s="1"/>
  <c r="JUW6" i="263"/>
  <c r="JUW118" i="263" s="1"/>
  <c r="JUX6" i="263"/>
  <c r="JUX118" i="263" s="1"/>
  <c r="JUY6" i="263"/>
  <c r="JUY118" i="263" s="1"/>
  <c r="JUZ6" i="263"/>
  <c r="JUZ118" i="263" s="1"/>
  <c r="JVA6" i="263"/>
  <c r="JVA118" i="263" s="1"/>
  <c r="JVB6" i="263"/>
  <c r="JVB118" i="263" s="1"/>
  <c r="JVC6" i="263"/>
  <c r="JVC118" i="263" s="1"/>
  <c r="JVD6" i="263"/>
  <c r="JVD118" i="263" s="1"/>
  <c r="JVE6" i="263"/>
  <c r="JVE118" i="263" s="1"/>
  <c r="JVF6" i="263"/>
  <c r="JVF118" i="263" s="1"/>
  <c r="JVG6" i="263"/>
  <c r="JVG118" i="263" s="1"/>
  <c r="JVH6" i="263"/>
  <c r="JVH118" i="263" s="1"/>
  <c r="JVI6" i="263"/>
  <c r="JVI118" i="263" s="1"/>
  <c r="JVJ6" i="263"/>
  <c r="JVJ118" i="263" s="1"/>
  <c r="JVK6" i="263"/>
  <c r="JVK118" i="263" s="1"/>
  <c r="JVL6" i="263"/>
  <c r="JVL118" i="263" s="1"/>
  <c r="JVM6" i="263"/>
  <c r="JVM118" i="263" s="1"/>
  <c r="JVN6" i="263"/>
  <c r="JVN118" i="263" s="1"/>
  <c r="JVO6" i="263"/>
  <c r="JVO118" i="263" s="1"/>
  <c r="JVP6" i="263"/>
  <c r="JVP118" i="263" s="1"/>
  <c r="JVQ6" i="263"/>
  <c r="JVQ118" i="263" s="1"/>
  <c r="JVR6" i="263"/>
  <c r="JVR118" i="263" s="1"/>
  <c r="JVS6" i="263"/>
  <c r="JVS118" i="263" s="1"/>
  <c r="JVT6" i="263"/>
  <c r="JVT118" i="263" s="1"/>
  <c r="JVU6" i="263"/>
  <c r="JVU118" i="263" s="1"/>
  <c r="JVV6" i="263"/>
  <c r="JVV118" i="263" s="1"/>
  <c r="JVW6" i="263"/>
  <c r="JVW118" i="263" s="1"/>
  <c r="JVX6" i="263"/>
  <c r="JVX118" i="263" s="1"/>
  <c r="JVY6" i="263"/>
  <c r="JVY118" i="263" s="1"/>
  <c r="JVZ6" i="263"/>
  <c r="JVZ118" i="263" s="1"/>
  <c r="JWA6" i="263"/>
  <c r="JWA118" i="263" s="1"/>
  <c r="JWB6" i="263"/>
  <c r="JWB118" i="263" s="1"/>
  <c r="JWC6" i="263"/>
  <c r="JWC118" i="263" s="1"/>
  <c r="JWD6" i="263"/>
  <c r="JWD118" i="263" s="1"/>
  <c r="JWE6" i="263"/>
  <c r="JWE118" i="263" s="1"/>
  <c r="JWF6" i="263"/>
  <c r="JWF118" i="263" s="1"/>
  <c r="JWG6" i="263"/>
  <c r="JWG118" i="263" s="1"/>
  <c r="JWH6" i="263"/>
  <c r="JWH118" i="263" s="1"/>
  <c r="JWI6" i="263"/>
  <c r="JWI118" i="263" s="1"/>
  <c r="JWJ6" i="263"/>
  <c r="JWJ118" i="263" s="1"/>
  <c r="JWK6" i="263"/>
  <c r="JWK118" i="263" s="1"/>
  <c r="JWL6" i="263"/>
  <c r="JWL118" i="263" s="1"/>
  <c r="JWM6" i="263"/>
  <c r="JWM118" i="263" s="1"/>
  <c r="JWN6" i="263"/>
  <c r="JWN118" i="263" s="1"/>
  <c r="JWO6" i="263"/>
  <c r="JWO118" i="263" s="1"/>
  <c r="JWP6" i="263"/>
  <c r="JWP118" i="263" s="1"/>
  <c r="JWQ6" i="263"/>
  <c r="JWQ118" i="263" s="1"/>
  <c r="JWR6" i="263"/>
  <c r="JWR118" i="263" s="1"/>
  <c r="JWS6" i="263"/>
  <c r="JWS118" i="263" s="1"/>
  <c r="JWT6" i="263"/>
  <c r="JWT118" i="263" s="1"/>
  <c r="JWU6" i="263"/>
  <c r="JWU118" i="263" s="1"/>
  <c r="JWV6" i="263"/>
  <c r="JWV118" i="263" s="1"/>
  <c r="JWW6" i="263"/>
  <c r="JWW118" i="263" s="1"/>
  <c r="JWX6" i="263"/>
  <c r="JWX118" i="263" s="1"/>
  <c r="JWY6" i="263"/>
  <c r="JWY118" i="263" s="1"/>
  <c r="JWZ6" i="263"/>
  <c r="JWZ118" i="263" s="1"/>
  <c r="JXA6" i="263"/>
  <c r="JXA118" i="263" s="1"/>
  <c r="JXB6" i="263"/>
  <c r="JXB118" i="263" s="1"/>
  <c r="JXC6" i="263"/>
  <c r="JXC118" i="263" s="1"/>
  <c r="JXD6" i="263"/>
  <c r="JXD118" i="263" s="1"/>
  <c r="JXE6" i="263"/>
  <c r="JXE118" i="263" s="1"/>
  <c r="JXF6" i="263"/>
  <c r="JXF118" i="263" s="1"/>
  <c r="JXG6" i="263"/>
  <c r="JXG118" i="263" s="1"/>
  <c r="JXH6" i="263"/>
  <c r="JXH118" i="263" s="1"/>
  <c r="JXI6" i="263"/>
  <c r="JXI118" i="263" s="1"/>
  <c r="JXJ6" i="263"/>
  <c r="JXJ118" i="263" s="1"/>
  <c r="JXK6" i="263"/>
  <c r="JXK118" i="263" s="1"/>
  <c r="JXL6" i="263"/>
  <c r="JXL118" i="263" s="1"/>
  <c r="JXM6" i="263"/>
  <c r="JXM118" i="263" s="1"/>
  <c r="JXN6" i="263"/>
  <c r="JXN118" i="263" s="1"/>
  <c r="JXO6" i="263"/>
  <c r="JXO118" i="263" s="1"/>
  <c r="JXP6" i="263"/>
  <c r="JXP118" i="263" s="1"/>
  <c r="JXQ6" i="263"/>
  <c r="JXQ118" i="263" s="1"/>
  <c r="JXR6" i="263"/>
  <c r="JXR118" i="263" s="1"/>
  <c r="JXS6" i="263"/>
  <c r="JXS118" i="263" s="1"/>
  <c r="JXT6" i="263"/>
  <c r="JXT118" i="263" s="1"/>
  <c r="JXU6" i="263"/>
  <c r="JXU118" i="263" s="1"/>
  <c r="JXV6" i="263"/>
  <c r="JXV118" i="263" s="1"/>
  <c r="JXW6" i="263"/>
  <c r="JXW118" i="263" s="1"/>
  <c r="JXX6" i="263"/>
  <c r="JXX118" i="263" s="1"/>
  <c r="JXY6" i="263"/>
  <c r="JXY118" i="263" s="1"/>
  <c r="JXZ6" i="263"/>
  <c r="JXZ118" i="263" s="1"/>
  <c r="JYA6" i="263"/>
  <c r="JYA118" i="263" s="1"/>
  <c r="JYB6" i="263"/>
  <c r="JYB118" i="263" s="1"/>
  <c r="JYC6" i="263"/>
  <c r="JYC118" i="263" s="1"/>
  <c r="JYD6" i="263"/>
  <c r="JYD118" i="263" s="1"/>
  <c r="JYE6" i="263"/>
  <c r="JYE118" i="263" s="1"/>
  <c r="JYF6" i="263"/>
  <c r="JYF118" i="263" s="1"/>
  <c r="JYG6" i="263"/>
  <c r="JYG118" i="263" s="1"/>
  <c r="JYH6" i="263"/>
  <c r="JYH118" i="263" s="1"/>
  <c r="JYI6" i="263"/>
  <c r="JYI118" i="263" s="1"/>
  <c r="JYJ6" i="263"/>
  <c r="JYJ118" i="263" s="1"/>
  <c r="JYK6" i="263"/>
  <c r="JYK118" i="263" s="1"/>
  <c r="JYL6" i="263"/>
  <c r="JYL118" i="263" s="1"/>
  <c r="JYM6" i="263"/>
  <c r="JYM118" i="263" s="1"/>
  <c r="JYN6" i="263"/>
  <c r="JYN118" i="263" s="1"/>
  <c r="JYO6" i="263"/>
  <c r="JYO118" i="263" s="1"/>
  <c r="JYP6" i="263"/>
  <c r="JYP118" i="263" s="1"/>
  <c r="JYQ6" i="263"/>
  <c r="JYQ118" i="263" s="1"/>
  <c r="JYR6" i="263"/>
  <c r="JYR118" i="263" s="1"/>
  <c r="JYS6" i="263"/>
  <c r="JYS118" i="263" s="1"/>
  <c r="JYT6" i="263"/>
  <c r="JYT118" i="263" s="1"/>
  <c r="JYU6" i="263"/>
  <c r="JYU118" i="263" s="1"/>
  <c r="JYV6" i="263"/>
  <c r="JYV118" i="263" s="1"/>
  <c r="JYW6" i="263"/>
  <c r="JYW118" i="263" s="1"/>
  <c r="JYX6" i="263"/>
  <c r="JYX118" i="263" s="1"/>
  <c r="JYY6" i="263"/>
  <c r="JYY118" i="263" s="1"/>
  <c r="JYZ6" i="263"/>
  <c r="JYZ118" i="263" s="1"/>
  <c r="JZA6" i="263"/>
  <c r="JZA118" i="263" s="1"/>
  <c r="JZB6" i="263"/>
  <c r="JZB118" i="263" s="1"/>
  <c r="JZC6" i="263"/>
  <c r="JZC118" i="263" s="1"/>
  <c r="JZD6" i="263"/>
  <c r="JZD118" i="263" s="1"/>
  <c r="JZE6" i="263"/>
  <c r="JZE118" i="263" s="1"/>
  <c r="JZF6" i="263"/>
  <c r="JZF118" i="263" s="1"/>
  <c r="JZG6" i="263"/>
  <c r="JZG118" i="263" s="1"/>
  <c r="JZH6" i="263"/>
  <c r="JZH118" i="263" s="1"/>
  <c r="JZI6" i="263"/>
  <c r="JZI118" i="263" s="1"/>
  <c r="JZJ6" i="263"/>
  <c r="JZJ118" i="263" s="1"/>
  <c r="JZK6" i="263"/>
  <c r="JZK118" i="263" s="1"/>
  <c r="JZL6" i="263"/>
  <c r="JZL118" i="263" s="1"/>
  <c r="JZM6" i="263"/>
  <c r="JZM118" i="263" s="1"/>
  <c r="JZN6" i="263"/>
  <c r="JZN118" i="263" s="1"/>
  <c r="JZO6" i="263"/>
  <c r="JZO118" i="263" s="1"/>
  <c r="JZP6" i="263"/>
  <c r="JZP118" i="263" s="1"/>
  <c r="JZQ6" i="263"/>
  <c r="JZQ118" i="263" s="1"/>
  <c r="JZR6" i="263"/>
  <c r="JZR118" i="263" s="1"/>
  <c r="JZS6" i="263"/>
  <c r="JZS118" i="263" s="1"/>
  <c r="JZT6" i="263"/>
  <c r="JZT118" i="263" s="1"/>
  <c r="JZU6" i="263"/>
  <c r="JZU118" i="263" s="1"/>
  <c r="JZV6" i="263"/>
  <c r="JZV118" i="263" s="1"/>
  <c r="JZW6" i="263"/>
  <c r="JZW118" i="263" s="1"/>
  <c r="JZX6" i="263"/>
  <c r="JZX118" i="263" s="1"/>
  <c r="JZY6" i="263"/>
  <c r="JZY118" i="263" s="1"/>
  <c r="JZZ6" i="263"/>
  <c r="JZZ118" i="263" s="1"/>
  <c r="KAA6" i="263"/>
  <c r="KAA118" i="263" s="1"/>
  <c r="KAB6" i="263"/>
  <c r="KAB118" i="263" s="1"/>
  <c r="KAC6" i="263"/>
  <c r="KAC118" i="263" s="1"/>
  <c r="KAD6" i="263"/>
  <c r="KAD118" i="263" s="1"/>
  <c r="KAE6" i="263"/>
  <c r="KAE118" i="263" s="1"/>
  <c r="KAF6" i="263"/>
  <c r="KAF118" i="263" s="1"/>
  <c r="KAG6" i="263"/>
  <c r="KAG118" i="263" s="1"/>
  <c r="KAH6" i="263"/>
  <c r="KAH118" i="263" s="1"/>
  <c r="KAI6" i="263"/>
  <c r="KAI118" i="263" s="1"/>
  <c r="KAJ6" i="263"/>
  <c r="KAJ118" i="263" s="1"/>
  <c r="KAK6" i="263"/>
  <c r="KAK118" i="263" s="1"/>
  <c r="KAL6" i="263"/>
  <c r="KAL118" i="263" s="1"/>
  <c r="KAM6" i="263"/>
  <c r="KAM118" i="263" s="1"/>
  <c r="KAN6" i="263"/>
  <c r="KAN118" i="263" s="1"/>
  <c r="KAO6" i="263"/>
  <c r="KAO118" i="263" s="1"/>
  <c r="KAP6" i="263"/>
  <c r="KAP118" i="263" s="1"/>
  <c r="KAQ6" i="263"/>
  <c r="KAQ118" i="263" s="1"/>
  <c r="KAR6" i="263"/>
  <c r="KAR118" i="263" s="1"/>
  <c r="KAS6" i="263"/>
  <c r="KAS118" i="263" s="1"/>
  <c r="KAT6" i="263"/>
  <c r="KAT118" i="263" s="1"/>
  <c r="KAU6" i="263"/>
  <c r="KAU118" i="263" s="1"/>
  <c r="KAV6" i="263"/>
  <c r="KAV118" i="263" s="1"/>
  <c r="KAW6" i="263"/>
  <c r="KAW118" i="263" s="1"/>
  <c r="KAX6" i="263"/>
  <c r="KAX118" i="263" s="1"/>
  <c r="KAY6" i="263"/>
  <c r="KAY118" i="263" s="1"/>
  <c r="KAZ6" i="263"/>
  <c r="KAZ118" i="263" s="1"/>
  <c r="KBA6" i="263"/>
  <c r="KBA118" i="263" s="1"/>
  <c r="KBB6" i="263"/>
  <c r="KBB118" i="263" s="1"/>
  <c r="KBC6" i="263"/>
  <c r="KBC118" i="263" s="1"/>
  <c r="KBD6" i="263"/>
  <c r="KBD118" i="263" s="1"/>
  <c r="KBE6" i="263"/>
  <c r="KBE118" i="263" s="1"/>
  <c r="KBF6" i="263"/>
  <c r="KBF118" i="263" s="1"/>
  <c r="KBG6" i="263"/>
  <c r="KBG118" i="263" s="1"/>
  <c r="KBH6" i="263"/>
  <c r="KBH118" i="263" s="1"/>
  <c r="KBI6" i="263"/>
  <c r="KBI118" i="263" s="1"/>
  <c r="KBJ6" i="263"/>
  <c r="KBJ118" i="263" s="1"/>
  <c r="KBK6" i="263"/>
  <c r="KBK118" i="263" s="1"/>
  <c r="KBL6" i="263"/>
  <c r="KBL118" i="263" s="1"/>
  <c r="KBM6" i="263"/>
  <c r="KBM118" i="263" s="1"/>
  <c r="KBN6" i="263"/>
  <c r="KBN118" i="263" s="1"/>
  <c r="KBO6" i="263"/>
  <c r="KBO118" i="263" s="1"/>
  <c r="KBP6" i="263"/>
  <c r="KBP118" i="263" s="1"/>
  <c r="KBQ6" i="263"/>
  <c r="KBQ118" i="263" s="1"/>
  <c r="KBR6" i="263"/>
  <c r="KBR118" i="263" s="1"/>
  <c r="KBS6" i="263"/>
  <c r="KBS118" i="263" s="1"/>
  <c r="KBT6" i="263"/>
  <c r="KBT118" i="263" s="1"/>
  <c r="KBU6" i="263"/>
  <c r="KBU118" i="263" s="1"/>
  <c r="KBV6" i="263"/>
  <c r="KBV118" i="263" s="1"/>
  <c r="KBW6" i="263"/>
  <c r="KBW118" i="263" s="1"/>
  <c r="KBX6" i="263"/>
  <c r="KBX118" i="263" s="1"/>
  <c r="KBY6" i="263"/>
  <c r="KBY118" i="263" s="1"/>
  <c r="KBZ6" i="263"/>
  <c r="KBZ118" i="263" s="1"/>
  <c r="KCA6" i="263"/>
  <c r="KCA118" i="263" s="1"/>
  <c r="KCB6" i="263"/>
  <c r="KCB118" i="263" s="1"/>
  <c r="KCC6" i="263"/>
  <c r="KCC118" i="263" s="1"/>
  <c r="KCD6" i="263"/>
  <c r="KCD118" i="263" s="1"/>
  <c r="KCE6" i="263"/>
  <c r="KCE118" i="263" s="1"/>
  <c r="KCF6" i="263"/>
  <c r="KCF118" i="263" s="1"/>
  <c r="KCG6" i="263"/>
  <c r="KCG118" i="263" s="1"/>
  <c r="KCH6" i="263"/>
  <c r="KCH118" i="263" s="1"/>
  <c r="KCI6" i="263"/>
  <c r="KCI118" i="263" s="1"/>
  <c r="KCJ6" i="263"/>
  <c r="KCJ118" i="263" s="1"/>
  <c r="KCK6" i="263"/>
  <c r="KCK118" i="263" s="1"/>
  <c r="KCL6" i="263"/>
  <c r="KCL118" i="263" s="1"/>
  <c r="KCM6" i="263"/>
  <c r="KCM118" i="263" s="1"/>
  <c r="KCN6" i="263"/>
  <c r="KCN118" i="263" s="1"/>
  <c r="KCO6" i="263"/>
  <c r="KCO118" i="263" s="1"/>
  <c r="KCP6" i="263"/>
  <c r="KCP118" i="263" s="1"/>
  <c r="KCQ6" i="263"/>
  <c r="KCQ118" i="263" s="1"/>
  <c r="KCR6" i="263"/>
  <c r="KCR118" i="263" s="1"/>
  <c r="KCS6" i="263"/>
  <c r="KCS118" i="263" s="1"/>
  <c r="KCT6" i="263"/>
  <c r="KCT118" i="263" s="1"/>
  <c r="KCU6" i="263"/>
  <c r="KCU118" i="263" s="1"/>
  <c r="KCV6" i="263"/>
  <c r="KCV118" i="263" s="1"/>
  <c r="KCW6" i="263"/>
  <c r="KCW118" i="263" s="1"/>
  <c r="KCX6" i="263"/>
  <c r="KCX118" i="263" s="1"/>
  <c r="KCY6" i="263"/>
  <c r="KCY118" i="263" s="1"/>
  <c r="KCZ6" i="263"/>
  <c r="KCZ118" i="263" s="1"/>
  <c r="KDA6" i="263"/>
  <c r="KDA118" i="263" s="1"/>
  <c r="KDB6" i="263"/>
  <c r="KDB118" i="263" s="1"/>
  <c r="KDC6" i="263"/>
  <c r="KDC118" i="263" s="1"/>
  <c r="KDD6" i="263"/>
  <c r="KDD118" i="263" s="1"/>
  <c r="KDE6" i="263"/>
  <c r="KDE118" i="263" s="1"/>
  <c r="KDF6" i="263"/>
  <c r="KDF118" i="263" s="1"/>
  <c r="KDG6" i="263"/>
  <c r="KDG118" i="263" s="1"/>
  <c r="KDH6" i="263"/>
  <c r="KDH118" i="263" s="1"/>
  <c r="KDI6" i="263"/>
  <c r="KDI118" i="263" s="1"/>
  <c r="KDJ6" i="263"/>
  <c r="KDJ118" i="263" s="1"/>
  <c r="KDK6" i="263"/>
  <c r="KDK118" i="263" s="1"/>
  <c r="KDL6" i="263"/>
  <c r="KDL118" i="263" s="1"/>
  <c r="KDM6" i="263"/>
  <c r="KDM118" i="263" s="1"/>
  <c r="KDN6" i="263"/>
  <c r="KDN118" i="263" s="1"/>
  <c r="KDO6" i="263"/>
  <c r="KDO118" i="263" s="1"/>
  <c r="KDP6" i="263"/>
  <c r="KDP118" i="263" s="1"/>
  <c r="KDQ6" i="263"/>
  <c r="KDQ118" i="263" s="1"/>
  <c r="KDR6" i="263"/>
  <c r="KDR118" i="263" s="1"/>
  <c r="KDS6" i="263"/>
  <c r="KDS118" i="263" s="1"/>
  <c r="KDT6" i="263"/>
  <c r="KDT118" i="263" s="1"/>
  <c r="KDU6" i="263"/>
  <c r="KDU118" i="263" s="1"/>
  <c r="KDV6" i="263"/>
  <c r="KDV118" i="263" s="1"/>
  <c r="KDW6" i="263"/>
  <c r="KDW118" i="263" s="1"/>
  <c r="KDX6" i="263"/>
  <c r="KDX118" i="263" s="1"/>
  <c r="KDY6" i="263"/>
  <c r="KDY118" i="263" s="1"/>
  <c r="KDZ6" i="263"/>
  <c r="KDZ118" i="263" s="1"/>
  <c r="KEA6" i="263"/>
  <c r="KEA118" i="263" s="1"/>
  <c r="KEB6" i="263"/>
  <c r="KEB118" i="263" s="1"/>
  <c r="KEC6" i="263"/>
  <c r="KEC118" i="263" s="1"/>
  <c r="KED6" i="263"/>
  <c r="KED118" i="263" s="1"/>
  <c r="KEE6" i="263"/>
  <c r="KEE118" i="263" s="1"/>
  <c r="KEF6" i="263"/>
  <c r="KEF118" i="263" s="1"/>
  <c r="KEG6" i="263"/>
  <c r="KEG118" i="263" s="1"/>
  <c r="KEH6" i="263"/>
  <c r="KEH118" i="263" s="1"/>
  <c r="KEI6" i="263"/>
  <c r="KEI118" i="263" s="1"/>
  <c r="KEJ6" i="263"/>
  <c r="KEJ118" i="263" s="1"/>
  <c r="KEK6" i="263"/>
  <c r="KEK118" i="263" s="1"/>
  <c r="KEL6" i="263"/>
  <c r="KEL118" i="263" s="1"/>
  <c r="KEM6" i="263"/>
  <c r="KEM118" i="263" s="1"/>
  <c r="KEN6" i="263"/>
  <c r="KEN118" i="263" s="1"/>
  <c r="KEO6" i="263"/>
  <c r="KEO118" i="263" s="1"/>
  <c r="KEP6" i="263"/>
  <c r="KEP118" i="263" s="1"/>
  <c r="KEQ6" i="263"/>
  <c r="KEQ118" i="263" s="1"/>
  <c r="KER6" i="263"/>
  <c r="KER118" i="263" s="1"/>
  <c r="KES6" i="263"/>
  <c r="KES118" i="263" s="1"/>
  <c r="KET6" i="263"/>
  <c r="KET118" i="263" s="1"/>
  <c r="KEU6" i="263"/>
  <c r="KEU118" i="263" s="1"/>
  <c r="KEV6" i="263"/>
  <c r="KEV118" i="263" s="1"/>
  <c r="KEW6" i="263"/>
  <c r="KEW118" i="263" s="1"/>
  <c r="KEX6" i="263"/>
  <c r="KEX118" i="263" s="1"/>
  <c r="KEY6" i="263"/>
  <c r="KEY118" i="263" s="1"/>
  <c r="KEZ6" i="263"/>
  <c r="KEZ118" i="263" s="1"/>
  <c r="KFA6" i="263"/>
  <c r="KFA118" i="263" s="1"/>
  <c r="KFB6" i="263"/>
  <c r="KFB118" i="263" s="1"/>
  <c r="KFC6" i="263"/>
  <c r="KFC118" i="263" s="1"/>
  <c r="KFD6" i="263"/>
  <c r="KFD118" i="263" s="1"/>
  <c r="KFE6" i="263"/>
  <c r="KFE118" i="263" s="1"/>
  <c r="KFF6" i="263"/>
  <c r="KFF118" i="263" s="1"/>
  <c r="KFG6" i="263"/>
  <c r="KFG118" i="263" s="1"/>
  <c r="KFH6" i="263"/>
  <c r="KFH118" i="263" s="1"/>
  <c r="KFI6" i="263"/>
  <c r="KFI118" i="263" s="1"/>
  <c r="KFJ6" i="263"/>
  <c r="KFJ118" i="263" s="1"/>
  <c r="KFK6" i="263"/>
  <c r="KFK118" i="263" s="1"/>
  <c r="KFL6" i="263"/>
  <c r="KFL118" i="263" s="1"/>
  <c r="KFM6" i="263"/>
  <c r="KFM118" i="263" s="1"/>
  <c r="KFN6" i="263"/>
  <c r="KFN118" i="263" s="1"/>
  <c r="KFO6" i="263"/>
  <c r="KFO118" i="263" s="1"/>
  <c r="KFP6" i="263"/>
  <c r="KFP118" i="263" s="1"/>
  <c r="KFQ6" i="263"/>
  <c r="KFQ118" i="263" s="1"/>
  <c r="KFR6" i="263"/>
  <c r="KFR118" i="263" s="1"/>
  <c r="KFS6" i="263"/>
  <c r="KFS118" i="263" s="1"/>
  <c r="KFT6" i="263"/>
  <c r="KFT118" i="263" s="1"/>
  <c r="KFU6" i="263"/>
  <c r="KFU118" i="263" s="1"/>
  <c r="KFV6" i="263"/>
  <c r="KFV118" i="263" s="1"/>
  <c r="KFW6" i="263"/>
  <c r="KFW118" i="263" s="1"/>
  <c r="KFX6" i="263"/>
  <c r="KFX118" i="263" s="1"/>
  <c r="KFY6" i="263"/>
  <c r="KFY118" i="263" s="1"/>
  <c r="KFZ6" i="263"/>
  <c r="KFZ118" i="263" s="1"/>
  <c r="KGA6" i="263"/>
  <c r="KGA118" i="263" s="1"/>
  <c r="KGB6" i="263"/>
  <c r="KGB118" i="263" s="1"/>
  <c r="KGC6" i="263"/>
  <c r="KGC118" i="263" s="1"/>
  <c r="KGD6" i="263"/>
  <c r="KGD118" i="263" s="1"/>
  <c r="KGE6" i="263"/>
  <c r="KGE118" i="263" s="1"/>
  <c r="KGF6" i="263"/>
  <c r="KGF118" i="263" s="1"/>
  <c r="KGG6" i="263"/>
  <c r="KGG118" i="263" s="1"/>
  <c r="KGH6" i="263"/>
  <c r="KGH118" i="263" s="1"/>
  <c r="KGI6" i="263"/>
  <c r="KGI118" i="263" s="1"/>
  <c r="KGJ6" i="263"/>
  <c r="KGJ118" i="263" s="1"/>
  <c r="KGK6" i="263"/>
  <c r="KGK118" i="263" s="1"/>
  <c r="KGL6" i="263"/>
  <c r="KGL118" i="263" s="1"/>
  <c r="KGM6" i="263"/>
  <c r="KGM118" i="263" s="1"/>
  <c r="KGN6" i="263"/>
  <c r="KGN118" i="263" s="1"/>
  <c r="KGO6" i="263"/>
  <c r="KGO118" i="263" s="1"/>
  <c r="KGP6" i="263"/>
  <c r="KGP118" i="263" s="1"/>
  <c r="KGQ6" i="263"/>
  <c r="KGQ118" i="263" s="1"/>
  <c r="KGR6" i="263"/>
  <c r="KGR118" i="263" s="1"/>
  <c r="KGS6" i="263"/>
  <c r="KGS118" i="263" s="1"/>
  <c r="KGT6" i="263"/>
  <c r="KGT118" i="263" s="1"/>
  <c r="KGU6" i="263"/>
  <c r="KGU118" i="263" s="1"/>
  <c r="KGV6" i="263"/>
  <c r="KGV118" i="263" s="1"/>
  <c r="KGW6" i="263"/>
  <c r="KGW118" i="263" s="1"/>
  <c r="KGX6" i="263"/>
  <c r="KGX118" i="263" s="1"/>
  <c r="KGY6" i="263"/>
  <c r="KGY118" i="263" s="1"/>
  <c r="KGZ6" i="263"/>
  <c r="KGZ118" i="263" s="1"/>
  <c r="KHA6" i="263"/>
  <c r="KHA118" i="263" s="1"/>
  <c r="KHB6" i="263"/>
  <c r="KHB118" i="263" s="1"/>
  <c r="KHC6" i="263"/>
  <c r="KHC118" i="263" s="1"/>
  <c r="KHD6" i="263"/>
  <c r="KHD118" i="263" s="1"/>
  <c r="KHE6" i="263"/>
  <c r="KHE118" i="263" s="1"/>
  <c r="KHF6" i="263"/>
  <c r="KHF118" i="263" s="1"/>
  <c r="KHG6" i="263"/>
  <c r="KHG118" i="263" s="1"/>
  <c r="KHH6" i="263"/>
  <c r="KHH118" i="263" s="1"/>
  <c r="KHI6" i="263"/>
  <c r="KHI118" i="263" s="1"/>
  <c r="KHJ6" i="263"/>
  <c r="KHJ118" i="263" s="1"/>
  <c r="KHK6" i="263"/>
  <c r="KHK118" i="263" s="1"/>
  <c r="KHL6" i="263"/>
  <c r="KHL118" i="263" s="1"/>
  <c r="KHM6" i="263"/>
  <c r="KHM118" i="263" s="1"/>
  <c r="KHN6" i="263"/>
  <c r="KHN118" i="263" s="1"/>
  <c r="KHO6" i="263"/>
  <c r="KHO118" i="263" s="1"/>
  <c r="KHP6" i="263"/>
  <c r="KHP118" i="263" s="1"/>
  <c r="KHQ6" i="263"/>
  <c r="KHQ118" i="263" s="1"/>
  <c r="KHR6" i="263"/>
  <c r="KHR118" i="263" s="1"/>
  <c r="KHS6" i="263"/>
  <c r="KHS118" i="263" s="1"/>
  <c r="KHT6" i="263"/>
  <c r="KHT118" i="263" s="1"/>
  <c r="KHU6" i="263"/>
  <c r="KHU118" i="263" s="1"/>
  <c r="KHV6" i="263"/>
  <c r="KHV118" i="263" s="1"/>
  <c r="KHW6" i="263"/>
  <c r="KHW118" i="263" s="1"/>
  <c r="KHX6" i="263"/>
  <c r="KHX118" i="263" s="1"/>
  <c r="KHY6" i="263"/>
  <c r="KHY118" i="263" s="1"/>
  <c r="KHZ6" i="263"/>
  <c r="KHZ118" i="263" s="1"/>
  <c r="KIA6" i="263"/>
  <c r="KIA118" i="263" s="1"/>
  <c r="KIB6" i="263"/>
  <c r="KIB118" i="263" s="1"/>
  <c r="KIC6" i="263"/>
  <c r="KIC118" i="263" s="1"/>
  <c r="KID6" i="263"/>
  <c r="KID118" i="263" s="1"/>
  <c r="KIE6" i="263"/>
  <c r="KIE118" i="263" s="1"/>
  <c r="KIF6" i="263"/>
  <c r="KIF118" i="263" s="1"/>
  <c r="KIG6" i="263"/>
  <c r="KIG118" i="263" s="1"/>
  <c r="KIH6" i="263"/>
  <c r="KIH118" i="263" s="1"/>
  <c r="KII6" i="263"/>
  <c r="KII118" i="263" s="1"/>
  <c r="KIJ6" i="263"/>
  <c r="KIJ118" i="263" s="1"/>
  <c r="KIK6" i="263"/>
  <c r="KIK118" i="263" s="1"/>
  <c r="KIL6" i="263"/>
  <c r="KIL118" i="263" s="1"/>
  <c r="KIM6" i="263"/>
  <c r="KIM118" i="263" s="1"/>
  <c r="KIN6" i="263"/>
  <c r="KIN118" i="263" s="1"/>
  <c r="KIO6" i="263"/>
  <c r="KIO118" i="263" s="1"/>
  <c r="KIP6" i="263"/>
  <c r="KIP118" i="263" s="1"/>
  <c r="KIQ6" i="263"/>
  <c r="KIQ118" i="263" s="1"/>
  <c r="KIR6" i="263"/>
  <c r="KIR118" i="263" s="1"/>
  <c r="KIS6" i="263"/>
  <c r="KIS118" i="263" s="1"/>
  <c r="KIT6" i="263"/>
  <c r="KIT118" i="263" s="1"/>
  <c r="KIU6" i="263"/>
  <c r="KIU118" i="263" s="1"/>
  <c r="KIV6" i="263"/>
  <c r="KIV118" i="263" s="1"/>
  <c r="KIW6" i="263"/>
  <c r="KIW118" i="263" s="1"/>
  <c r="KIX6" i="263"/>
  <c r="KIX118" i="263" s="1"/>
  <c r="KIY6" i="263"/>
  <c r="KIY118" i="263" s="1"/>
  <c r="KIZ6" i="263"/>
  <c r="KIZ118" i="263" s="1"/>
  <c r="KJA6" i="263"/>
  <c r="KJA118" i="263" s="1"/>
  <c r="KJB6" i="263"/>
  <c r="KJB118" i="263" s="1"/>
  <c r="KJC6" i="263"/>
  <c r="KJC118" i="263" s="1"/>
  <c r="KJD6" i="263"/>
  <c r="KJD118" i="263" s="1"/>
  <c r="KJE6" i="263"/>
  <c r="KJE118" i="263" s="1"/>
  <c r="KJF6" i="263"/>
  <c r="KJF118" i="263" s="1"/>
  <c r="KJG6" i="263"/>
  <c r="KJG118" i="263" s="1"/>
  <c r="KJH6" i="263"/>
  <c r="KJH118" i="263" s="1"/>
  <c r="KJI6" i="263"/>
  <c r="KJI118" i="263" s="1"/>
  <c r="KJJ6" i="263"/>
  <c r="KJJ118" i="263" s="1"/>
  <c r="KJK6" i="263"/>
  <c r="KJK118" i="263" s="1"/>
  <c r="KJL6" i="263"/>
  <c r="KJL118" i="263" s="1"/>
  <c r="KJM6" i="263"/>
  <c r="KJM118" i="263" s="1"/>
  <c r="KJN6" i="263"/>
  <c r="KJN118" i="263" s="1"/>
  <c r="KJO6" i="263"/>
  <c r="KJO118" i="263" s="1"/>
  <c r="KJP6" i="263"/>
  <c r="KJP118" i="263" s="1"/>
  <c r="KJQ6" i="263"/>
  <c r="KJQ118" i="263" s="1"/>
  <c r="KJR6" i="263"/>
  <c r="KJR118" i="263" s="1"/>
  <c r="KJS6" i="263"/>
  <c r="KJS118" i="263" s="1"/>
  <c r="KJT6" i="263"/>
  <c r="KJT118" i="263" s="1"/>
  <c r="KJU6" i="263"/>
  <c r="KJU118" i="263" s="1"/>
  <c r="KJV6" i="263"/>
  <c r="KJV118" i="263" s="1"/>
  <c r="KJW6" i="263"/>
  <c r="KJW118" i="263" s="1"/>
  <c r="KJX6" i="263"/>
  <c r="KJX118" i="263" s="1"/>
  <c r="KJY6" i="263"/>
  <c r="KJY118" i="263" s="1"/>
  <c r="KJZ6" i="263"/>
  <c r="KJZ118" i="263" s="1"/>
  <c r="KKA6" i="263"/>
  <c r="KKA118" i="263" s="1"/>
  <c r="KKB6" i="263"/>
  <c r="KKB118" i="263" s="1"/>
  <c r="KKC6" i="263"/>
  <c r="KKC118" i="263" s="1"/>
  <c r="KKD6" i="263"/>
  <c r="KKD118" i="263" s="1"/>
  <c r="KKE6" i="263"/>
  <c r="KKE118" i="263" s="1"/>
  <c r="KKF6" i="263"/>
  <c r="KKF118" i="263" s="1"/>
  <c r="KKG6" i="263"/>
  <c r="KKG118" i="263" s="1"/>
  <c r="KKH6" i="263"/>
  <c r="KKH118" i="263" s="1"/>
  <c r="KKI6" i="263"/>
  <c r="KKI118" i="263" s="1"/>
  <c r="KKJ6" i="263"/>
  <c r="KKJ118" i="263" s="1"/>
  <c r="KKK6" i="263"/>
  <c r="KKK118" i="263" s="1"/>
  <c r="KKL6" i="263"/>
  <c r="KKL118" i="263" s="1"/>
  <c r="KKM6" i="263"/>
  <c r="KKM118" i="263" s="1"/>
  <c r="KKN6" i="263"/>
  <c r="KKN118" i="263" s="1"/>
  <c r="KKO6" i="263"/>
  <c r="KKO118" i="263" s="1"/>
  <c r="KKP6" i="263"/>
  <c r="KKP118" i="263" s="1"/>
  <c r="KKQ6" i="263"/>
  <c r="KKQ118" i="263" s="1"/>
  <c r="KKR6" i="263"/>
  <c r="KKR118" i="263" s="1"/>
  <c r="KKS6" i="263"/>
  <c r="KKS118" i="263" s="1"/>
  <c r="KKT6" i="263"/>
  <c r="KKT118" i="263" s="1"/>
  <c r="KKU6" i="263"/>
  <c r="KKU118" i="263" s="1"/>
  <c r="KKV6" i="263"/>
  <c r="KKV118" i="263" s="1"/>
  <c r="KKW6" i="263"/>
  <c r="KKW118" i="263" s="1"/>
  <c r="KKX6" i="263"/>
  <c r="KKX118" i="263" s="1"/>
  <c r="KKY6" i="263"/>
  <c r="KKY118" i="263" s="1"/>
  <c r="KKZ6" i="263"/>
  <c r="KKZ118" i="263" s="1"/>
  <c r="KLA6" i="263"/>
  <c r="KLA118" i="263" s="1"/>
  <c r="KLB6" i="263"/>
  <c r="KLB118" i="263" s="1"/>
  <c r="KLC6" i="263"/>
  <c r="KLC118" i="263" s="1"/>
  <c r="KLD6" i="263"/>
  <c r="KLD118" i="263" s="1"/>
  <c r="KLE6" i="263"/>
  <c r="KLE118" i="263" s="1"/>
  <c r="KLF6" i="263"/>
  <c r="KLF118" i="263" s="1"/>
  <c r="KLG6" i="263"/>
  <c r="KLG118" i="263" s="1"/>
  <c r="KLH6" i="263"/>
  <c r="KLH118" i="263" s="1"/>
  <c r="KLI6" i="263"/>
  <c r="KLI118" i="263" s="1"/>
  <c r="KLJ6" i="263"/>
  <c r="KLJ118" i="263" s="1"/>
  <c r="KLK6" i="263"/>
  <c r="KLK118" i="263" s="1"/>
  <c r="KLL6" i="263"/>
  <c r="KLL118" i="263" s="1"/>
  <c r="KLM6" i="263"/>
  <c r="KLM118" i="263" s="1"/>
  <c r="KLN6" i="263"/>
  <c r="KLN118" i="263" s="1"/>
  <c r="KLO6" i="263"/>
  <c r="KLO118" i="263" s="1"/>
  <c r="KLP6" i="263"/>
  <c r="KLP118" i="263" s="1"/>
  <c r="KLQ6" i="263"/>
  <c r="KLQ118" i="263" s="1"/>
  <c r="KLR6" i="263"/>
  <c r="KLR118" i="263" s="1"/>
  <c r="KLS6" i="263"/>
  <c r="KLS118" i="263" s="1"/>
  <c r="KLT6" i="263"/>
  <c r="KLT118" i="263" s="1"/>
  <c r="KLU6" i="263"/>
  <c r="KLU118" i="263" s="1"/>
  <c r="KLV6" i="263"/>
  <c r="KLV118" i="263" s="1"/>
  <c r="KLW6" i="263"/>
  <c r="KLW118" i="263" s="1"/>
  <c r="KLX6" i="263"/>
  <c r="KLX118" i="263" s="1"/>
  <c r="KLY6" i="263"/>
  <c r="KLY118" i="263" s="1"/>
  <c r="KLZ6" i="263"/>
  <c r="KLZ118" i="263" s="1"/>
  <c r="KMA6" i="263"/>
  <c r="KMA118" i="263" s="1"/>
  <c r="KMB6" i="263"/>
  <c r="KMB118" i="263" s="1"/>
  <c r="KMC6" i="263"/>
  <c r="KMC118" i="263" s="1"/>
  <c r="KMD6" i="263"/>
  <c r="KMD118" i="263" s="1"/>
  <c r="KME6" i="263"/>
  <c r="KME118" i="263" s="1"/>
  <c r="KMF6" i="263"/>
  <c r="KMF118" i="263" s="1"/>
  <c r="KMG6" i="263"/>
  <c r="KMG118" i="263" s="1"/>
  <c r="KMH6" i="263"/>
  <c r="KMH118" i="263" s="1"/>
  <c r="KMI6" i="263"/>
  <c r="KMI118" i="263" s="1"/>
  <c r="KMJ6" i="263"/>
  <c r="KMJ118" i="263" s="1"/>
  <c r="KMK6" i="263"/>
  <c r="KMK118" i="263" s="1"/>
  <c r="KML6" i="263"/>
  <c r="KML118" i="263" s="1"/>
  <c r="KMM6" i="263"/>
  <c r="KMM118" i="263" s="1"/>
  <c r="KMN6" i="263"/>
  <c r="KMN118" i="263" s="1"/>
  <c r="KMO6" i="263"/>
  <c r="KMO118" i="263" s="1"/>
  <c r="KMP6" i="263"/>
  <c r="KMP118" i="263" s="1"/>
  <c r="KMQ6" i="263"/>
  <c r="KMQ118" i="263" s="1"/>
  <c r="KMR6" i="263"/>
  <c r="KMR118" i="263" s="1"/>
  <c r="KMS6" i="263"/>
  <c r="KMS118" i="263" s="1"/>
  <c r="KMT6" i="263"/>
  <c r="KMT118" i="263" s="1"/>
  <c r="KMU6" i="263"/>
  <c r="KMU118" i="263" s="1"/>
  <c r="KMV6" i="263"/>
  <c r="KMV118" i="263" s="1"/>
  <c r="KMW6" i="263"/>
  <c r="KMW118" i="263" s="1"/>
  <c r="KMX6" i="263"/>
  <c r="KMX118" i="263" s="1"/>
  <c r="KMY6" i="263"/>
  <c r="KMY118" i="263" s="1"/>
  <c r="KMZ6" i="263"/>
  <c r="KMZ118" i="263" s="1"/>
  <c r="KNA6" i="263"/>
  <c r="KNA118" i="263" s="1"/>
  <c r="KNB6" i="263"/>
  <c r="KNB118" i="263" s="1"/>
  <c r="KNC6" i="263"/>
  <c r="KNC118" i="263" s="1"/>
  <c r="KND6" i="263"/>
  <c r="KND118" i="263" s="1"/>
  <c r="KNE6" i="263"/>
  <c r="KNE118" i="263" s="1"/>
  <c r="KNF6" i="263"/>
  <c r="KNF118" i="263" s="1"/>
  <c r="KNG6" i="263"/>
  <c r="KNG118" i="263" s="1"/>
  <c r="KNH6" i="263"/>
  <c r="KNH118" i="263" s="1"/>
  <c r="KNI6" i="263"/>
  <c r="KNI118" i="263" s="1"/>
  <c r="KNJ6" i="263"/>
  <c r="KNJ118" i="263" s="1"/>
  <c r="KNK6" i="263"/>
  <c r="KNK118" i="263" s="1"/>
  <c r="KNL6" i="263"/>
  <c r="KNL118" i="263" s="1"/>
  <c r="KNM6" i="263"/>
  <c r="KNM118" i="263" s="1"/>
  <c r="KNN6" i="263"/>
  <c r="KNN118" i="263" s="1"/>
  <c r="KNO6" i="263"/>
  <c r="KNO118" i="263" s="1"/>
  <c r="KNP6" i="263"/>
  <c r="KNP118" i="263" s="1"/>
  <c r="KNQ6" i="263"/>
  <c r="KNQ118" i="263" s="1"/>
  <c r="KNR6" i="263"/>
  <c r="KNR118" i="263" s="1"/>
  <c r="KNS6" i="263"/>
  <c r="KNS118" i="263" s="1"/>
  <c r="KNT6" i="263"/>
  <c r="KNT118" i="263" s="1"/>
  <c r="KNU6" i="263"/>
  <c r="KNU118" i="263" s="1"/>
  <c r="KNV6" i="263"/>
  <c r="KNV118" i="263" s="1"/>
  <c r="KNW6" i="263"/>
  <c r="KNW118" i="263" s="1"/>
  <c r="KNX6" i="263"/>
  <c r="KNX118" i="263" s="1"/>
  <c r="KNY6" i="263"/>
  <c r="KNY118" i="263" s="1"/>
  <c r="KNZ6" i="263"/>
  <c r="KNZ118" i="263" s="1"/>
  <c r="KOA6" i="263"/>
  <c r="KOA118" i="263" s="1"/>
  <c r="KOB6" i="263"/>
  <c r="KOB118" i="263" s="1"/>
  <c r="KOC6" i="263"/>
  <c r="KOC118" i="263" s="1"/>
  <c r="KOD6" i="263"/>
  <c r="KOD118" i="263" s="1"/>
  <c r="KOE6" i="263"/>
  <c r="KOE118" i="263" s="1"/>
  <c r="KOF6" i="263"/>
  <c r="KOF118" i="263" s="1"/>
  <c r="KOG6" i="263"/>
  <c r="KOG118" i="263" s="1"/>
  <c r="KOH6" i="263"/>
  <c r="KOH118" i="263" s="1"/>
  <c r="KOI6" i="263"/>
  <c r="KOI118" i="263" s="1"/>
  <c r="KOJ6" i="263"/>
  <c r="KOJ118" i="263" s="1"/>
  <c r="KOK6" i="263"/>
  <c r="KOK118" i="263" s="1"/>
  <c r="KOL6" i="263"/>
  <c r="KOL118" i="263" s="1"/>
  <c r="KOM6" i="263"/>
  <c r="KOM118" i="263" s="1"/>
  <c r="KON6" i="263"/>
  <c r="KON118" i="263" s="1"/>
  <c r="KOO6" i="263"/>
  <c r="KOO118" i="263" s="1"/>
  <c r="KOP6" i="263"/>
  <c r="KOP118" i="263" s="1"/>
  <c r="KOQ6" i="263"/>
  <c r="KOQ118" i="263" s="1"/>
  <c r="KOR6" i="263"/>
  <c r="KOR118" i="263" s="1"/>
  <c r="KOS6" i="263"/>
  <c r="KOS118" i="263" s="1"/>
  <c r="KOT6" i="263"/>
  <c r="KOT118" i="263" s="1"/>
  <c r="KOU6" i="263"/>
  <c r="KOU118" i="263" s="1"/>
  <c r="KOV6" i="263"/>
  <c r="KOV118" i="263" s="1"/>
  <c r="KOW6" i="263"/>
  <c r="KOW118" i="263" s="1"/>
  <c r="KOX6" i="263"/>
  <c r="KOX118" i="263" s="1"/>
  <c r="KOY6" i="263"/>
  <c r="KOY118" i="263" s="1"/>
  <c r="KOZ6" i="263"/>
  <c r="KOZ118" i="263" s="1"/>
  <c r="KPA6" i="263"/>
  <c r="KPA118" i="263" s="1"/>
  <c r="KPB6" i="263"/>
  <c r="KPB118" i="263" s="1"/>
  <c r="KPC6" i="263"/>
  <c r="KPC118" i="263" s="1"/>
  <c r="KPD6" i="263"/>
  <c r="KPD118" i="263" s="1"/>
  <c r="KPE6" i="263"/>
  <c r="KPE118" i="263" s="1"/>
  <c r="KPF6" i="263"/>
  <c r="KPF118" i="263" s="1"/>
  <c r="KPG6" i="263"/>
  <c r="KPG118" i="263" s="1"/>
  <c r="KPH6" i="263"/>
  <c r="KPH118" i="263" s="1"/>
  <c r="KPI6" i="263"/>
  <c r="KPI118" i="263" s="1"/>
  <c r="KPJ6" i="263"/>
  <c r="KPJ118" i="263" s="1"/>
  <c r="KPK6" i="263"/>
  <c r="KPK118" i="263" s="1"/>
  <c r="KPL6" i="263"/>
  <c r="KPL118" i="263" s="1"/>
  <c r="KPM6" i="263"/>
  <c r="KPM118" i="263" s="1"/>
  <c r="KPN6" i="263"/>
  <c r="KPN118" i="263" s="1"/>
  <c r="KPO6" i="263"/>
  <c r="KPO118" i="263" s="1"/>
  <c r="KPP6" i="263"/>
  <c r="KPP118" i="263" s="1"/>
  <c r="KPQ6" i="263"/>
  <c r="KPQ118" i="263" s="1"/>
  <c r="KPR6" i="263"/>
  <c r="KPR118" i="263" s="1"/>
  <c r="KPS6" i="263"/>
  <c r="KPS118" i="263" s="1"/>
  <c r="KPT6" i="263"/>
  <c r="KPT118" i="263" s="1"/>
  <c r="KPU6" i="263"/>
  <c r="KPU118" i="263" s="1"/>
  <c r="KPV6" i="263"/>
  <c r="KPV118" i="263" s="1"/>
  <c r="KPW6" i="263"/>
  <c r="KPW118" i="263" s="1"/>
  <c r="KPX6" i="263"/>
  <c r="KPX118" i="263" s="1"/>
  <c r="KPY6" i="263"/>
  <c r="KPY118" i="263" s="1"/>
  <c r="KPZ6" i="263"/>
  <c r="KPZ118" i="263" s="1"/>
  <c r="KQA6" i="263"/>
  <c r="KQA118" i="263" s="1"/>
  <c r="KQB6" i="263"/>
  <c r="KQB118" i="263" s="1"/>
  <c r="KQC6" i="263"/>
  <c r="KQC118" i="263" s="1"/>
  <c r="KQD6" i="263"/>
  <c r="KQD118" i="263" s="1"/>
  <c r="KQE6" i="263"/>
  <c r="KQE118" i="263" s="1"/>
  <c r="KQF6" i="263"/>
  <c r="KQF118" i="263" s="1"/>
  <c r="KQG6" i="263"/>
  <c r="KQG118" i="263" s="1"/>
  <c r="KQH6" i="263"/>
  <c r="KQH118" i="263" s="1"/>
  <c r="KQI6" i="263"/>
  <c r="KQI118" i="263" s="1"/>
  <c r="KQJ6" i="263"/>
  <c r="KQJ118" i="263" s="1"/>
  <c r="KQK6" i="263"/>
  <c r="KQK118" i="263" s="1"/>
  <c r="KQL6" i="263"/>
  <c r="KQL118" i="263" s="1"/>
  <c r="KQM6" i="263"/>
  <c r="KQM118" i="263" s="1"/>
  <c r="KQN6" i="263"/>
  <c r="KQN118" i="263" s="1"/>
  <c r="KQO6" i="263"/>
  <c r="KQO118" i="263" s="1"/>
  <c r="KQP6" i="263"/>
  <c r="KQP118" i="263" s="1"/>
  <c r="KQQ6" i="263"/>
  <c r="KQQ118" i="263" s="1"/>
  <c r="KQR6" i="263"/>
  <c r="KQR118" i="263" s="1"/>
  <c r="KQS6" i="263"/>
  <c r="KQS118" i="263" s="1"/>
  <c r="KQT6" i="263"/>
  <c r="KQT118" i="263" s="1"/>
  <c r="KQU6" i="263"/>
  <c r="KQU118" i="263" s="1"/>
  <c r="KQV6" i="263"/>
  <c r="KQV118" i="263" s="1"/>
  <c r="KQW6" i="263"/>
  <c r="KQW118" i="263" s="1"/>
  <c r="KQX6" i="263"/>
  <c r="KQX118" i="263" s="1"/>
  <c r="KQY6" i="263"/>
  <c r="KQY118" i="263" s="1"/>
  <c r="KQZ6" i="263"/>
  <c r="KQZ118" i="263" s="1"/>
  <c r="KRA6" i="263"/>
  <c r="KRA118" i="263" s="1"/>
  <c r="KRB6" i="263"/>
  <c r="KRB118" i="263" s="1"/>
  <c r="KRC6" i="263"/>
  <c r="KRC118" i="263" s="1"/>
  <c r="KRD6" i="263"/>
  <c r="KRD118" i="263" s="1"/>
  <c r="KRE6" i="263"/>
  <c r="KRE118" i="263" s="1"/>
  <c r="KRF6" i="263"/>
  <c r="KRF118" i="263" s="1"/>
  <c r="KRG6" i="263"/>
  <c r="KRG118" i="263" s="1"/>
  <c r="KRH6" i="263"/>
  <c r="KRH118" i="263" s="1"/>
  <c r="KRI6" i="263"/>
  <c r="KRI118" i="263" s="1"/>
  <c r="KRJ6" i="263"/>
  <c r="KRJ118" i="263" s="1"/>
  <c r="KRK6" i="263"/>
  <c r="KRK118" i="263" s="1"/>
  <c r="KRL6" i="263"/>
  <c r="KRL118" i="263" s="1"/>
  <c r="KRM6" i="263"/>
  <c r="KRM118" i="263" s="1"/>
  <c r="KRN6" i="263"/>
  <c r="KRN118" i="263" s="1"/>
  <c r="KRO6" i="263"/>
  <c r="KRO118" i="263" s="1"/>
  <c r="KRP6" i="263"/>
  <c r="KRP118" i="263" s="1"/>
  <c r="KRQ6" i="263"/>
  <c r="KRQ118" i="263" s="1"/>
  <c r="KRR6" i="263"/>
  <c r="KRR118" i="263" s="1"/>
  <c r="KRS6" i="263"/>
  <c r="KRS118" i="263" s="1"/>
  <c r="KRT6" i="263"/>
  <c r="KRT118" i="263" s="1"/>
  <c r="KRU6" i="263"/>
  <c r="KRU118" i="263" s="1"/>
  <c r="KRV6" i="263"/>
  <c r="KRV118" i="263" s="1"/>
  <c r="KRW6" i="263"/>
  <c r="KRW118" i="263" s="1"/>
  <c r="KRX6" i="263"/>
  <c r="KRX118" i="263" s="1"/>
  <c r="KRY6" i="263"/>
  <c r="KRY118" i="263" s="1"/>
  <c r="KRZ6" i="263"/>
  <c r="KRZ118" i="263" s="1"/>
  <c r="KSA6" i="263"/>
  <c r="KSA118" i="263" s="1"/>
  <c r="KSB6" i="263"/>
  <c r="KSB118" i="263" s="1"/>
  <c r="KSC6" i="263"/>
  <c r="KSC118" i="263" s="1"/>
  <c r="KSD6" i="263"/>
  <c r="KSD118" i="263" s="1"/>
  <c r="KSE6" i="263"/>
  <c r="KSE118" i="263" s="1"/>
  <c r="KSF6" i="263"/>
  <c r="KSF118" i="263" s="1"/>
  <c r="KSG6" i="263"/>
  <c r="KSG118" i="263" s="1"/>
  <c r="KSH6" i="263"/>
  <c r="KSH118" i="263" s="1"/>
  <c r="KSI6" i="263"/>
  <c r="KSI118" i="263" s="1"/>
  <c r="KSJ6" i="263"/>
  <c r="KSJ118" i="263" s="1"/>
  <c r="KSK6" i="263"/>
  <c r="KSK118" i="263" s="1"/>
  <c r="KSL6" i="263"/>
  <c r="KSL118" i="263" s="1"/>
  <c r="KSM6" i="263"/>
  <c r="KSM118" i="263" s="1"/>
  <c r="KSN6" i="263"/>
  <c r="KSN118" i="263" s="1"/>
  <c r="KSO6" i="263"/>
  <c r="KSO118" i="263" s="1"/>
  <c r="KSP6" i="263"/>
  <c r="KSP118" i="263" s="1"/>
  <c r="KSQ6" i="263"/>
  <c r="KSQ118" i="263" s="1"/>
  <c r="KSR6" i="263"/>
  <c r="KSR118" i="263" s="1"/>
  <c r="KSS6" i="263"/>
  <c r="KSS118" i="263" s="1"/>
  <c r="KST6" i="263"/>
  <c r="KST118" i="263" s="1"/>
  <c r="KSU6" i="263"/>
  <c r="KSU118" i="263" s="1"/>
  <c r="KSV6" i="263"/>
  <c r="KSV118" i="263" s="1"/>
  <c r="KSW6" i="263"/>
  <c r="KSW118" i="263" s="1"/>
  <c r="KSX6" i="263"/>
  <c r="KSX118" i="263" s="1"/>
  <c r="KSY6" i="263"/>
  <c r="KSY118" i="263" s="1"/>
  <c r="KSZ6" i="263"/>
  <c r="KSZ118" i="263" s="1"/>
  <c r="KTA6" i="263"/>
  <c r="KTA118" i="263" s="1"/>
  <c r="KTB6" i="263"/>
  <c r="KTB118" i="263" s="1"/>
  <c r="KTC6" i="263"/>
  <c r="KTC118" i="263" s="1"/>
  <c r="KTD6" i="263"/>
  <c r="KTD118" i="263" s="1"/>
  <c r="KTE6" i="263"/>
  <c r="KTE118" i="263" s="1"/>
  <c r="KTF6" i="263"/>
  <c r="KTF118" i="263" s="1"/>
  <c r="KTG6" i="263"/>
  <c r="KTG118" i="263" s="1"/>
  <c r="KTH6" i="263"/>
  <c r="KTH118" i="263" s="1"/>
  <c r="KTI6" i="263"/>
  <c r="KTI118" i="263" s="1"/>
  <c r="KTJ6" i="263"/>
  <c r="KTJ118" i="263" s="1"/>
  <c r="KTK6" i="263"/>
  <c r="KTK118" i="263" s="1"/>
  <c r="KTL6" i="263"/>
  <c r="KTL118" i="263" s="1"/>
  <c r="KTM6" i="263"/>
  <c r="KTM118" i="263" s="1"/>
  <c r="KTN6" i="263"/>
  <c r="KTN118" i="263" s="1"/>
  <c r="KTO6" i="263"/>
  <c r="KTO118" i="263" s="1"/>
  <c r="KTP6" i="263"/>
  <c r="KTP118" i="263" s="1"/>
  <c r="KTQ6" i="263"/>
  <c r="KTQ118" i="263" s="1"/>
  <c r="KTR6" i="263"/>
  <c r="KTR118" i="263" s="1"/>
  <c r="KTS6" i="263"/>
  <c r="KTS118" i="263" s="1"/>
  <c r="KTT6" i="263"/>
  <c r="KTT118" i="263" s="1"/>
  <c r="KTU6" i="263"/>
  <c r="KTU118" i="263" s="1"/>
  <c r="KTV6" i="263"/>
  <c r="KTV118" i="263" s="1"/>
  <c r="KTW6" i="263"/>
  <c r="KTW118" i="263" s="1"/>
  <c r="KTX6" i="263"/>
  <c r="KTX118" i="263" s="1"/>
  <c r="KTY6" i="263"/>
  <c r="KTY118" i="263" s="1"/>
  <c r="KTZ6" i="263"/>
  <c r="KTZ118" i="263" s="1"/>
  <c r="KUA6" i="263"/>
  <c r="KUA118" i="263" s="1"/>
  <c r="KUB6" i="263"/>
  <c r="KUB118" i="263" s="1"/>
  <c r="KUC6" i="263"/>
  <c r="KUC118" i="263" s="1"/>
  <c r="KUD6" i="263"/>
  <c r="KUD118" i="263" s="1"/>
  <c r="KUE6" i="263"/>
  <c r="KUE118" i="263" s="1"/>
  <c r="KUF6" i="263"/>
  <c r="KUF118" i="263" s="1"/>
  <c r="KUG6" i="263"/>
  <c r="KUG118" i="263" s="1"/>
  <c r="KUH6" i="263"/>
  <c r="KUH118" i="263" s="1"/>
  <c r="KUI6" i="263"/>
  <c r="KUI118" i="263" s="1"/>
  <c r="KUJ6" i="263"/>
  <c r="KUJ118" i="263" s="1"/>
  <c r="KUK6" i="263"/>
  <c r="KUK118" i="263" s="1"/>
  <c r="KUL6" i="263"/>
  <c r="KUL118" i="263" s="1"/>
  <c r="KUM6" i="263"/>
  <c r="KUM118" i="263" s="1"/>
  <c r="KUN6" i="263"/>
  <c r="KUN118" i="263" s="1"/>
  <c r="KUO6" i="263"/>
  <c r="KUO118" i="263" s="1"/>
  <c r="KUP6" i="263"/>
  <c r="KUP118" i="263" s="1"/>
  <c r="KUQ6" i="263"/>
  <c r="KUQ118" i="263" s="1"/>
  <c r="KUR6" i="263"/>
  <c r="KUR118" i="263" s="1"/>
  <c r="KUS6" i="263"/>
  <c r="KUS118" i="263" s="1"/>
  <c r="KUT6" i="263"/>
  <c r="KUT118" i="263" s="1"/>
  <c r="KUU6" i="263"/>
  <c r="KUU118" i="263" s="1"/>
  <c r="KUV6" i="263"/>
  <c r="KUV118" i="263" s="1"/>
  <c r="KUW6" i="263"/>
  <c r="KUW118" i="263" s="1"/>
  <c r="KUX6" i="263"/>
  <c r="KUX118" i="263" s="1"/>
  <c r="KUY6" i="263"/>
  <c r="KUY118" i="263" s="1"/>
  <c r="KUZ6" i="263"/>
  <c r="KUZ118" i="263" s="1"/>
  <c r="KVA6" i="263"/>
  <c r="KVA118" i="263" s="1"/>
  <c r="KVB6" i="263"/>
  <c r="KVB118" i="263" s="1"/>
  <c r="KVC6" i="263"/>
  <c r="KVC118" i="263" s="1"/>
  <c r="KVD6" i="263"/>
  <c r="KVD118" i="263" s="1"/>
  <c r="KVE6" i="263"/>
  <c r="KVE118" i="263" s="1"/>
  <c r="KVF6" i="263"/>
  <c r="KVF118" i="263" s="1"/>
  <c r="KVG6" i="263"/>
  <c r="KVG118" i="263" s="1"/>
  <c r="KVH6" i="263"/>
  <c r="KVH118" i="263" s="1"/>
  <c r="KVI6" i="263"/>
  <c r="KVI118" i="263" s="1"/>
  <c r="KVJ6" i="263"/>
  <c r="KVJ118" i="263" s="1"/>
  <c r="KVK6" i="263"/>
  <c r="KVK118" i="263" s="1"/>
  <c r="KVL6" i="263"/>
  <c r="KVL118" i="263" s="1"/>
  <c r="KVM6" i="263"/>
  <c r="KVM118" i="263" s="1"/>
  <c r="KVN6" i="263"/>
  <c r="KVN118" i="263" s="1"/>
  <c r="KVO6" i="263"/>
  <c r="KVO118" i="263" s="1"/>
  <c r="KVP6" i="263"/>
  <c r="KVP118" i="263" s="1"/>
  <c r="KVQ6" i="263"/>
  <c r="KVQ118" i="263" s="1"/>
  <c r="KVR6" i="263"/>
  <c r="KVR118" i="263" s="1"/>
  <c r="KVS6" i="263"/>
  <c r="KVS118" i="263" s="1"/>
  <c r="KVT6" i="263"/>
  <c r="KVT118" i="263" s="1"/>
  <c r="KVU6" i="263"/>
  <c r="KVU118" i="263" s="1"/>
  <c r="KVV6" i="263"/>
  <c r="KVV118" i="263" s="1"/>
  <c r="KVW6" i="263"/>
  <c r="KVW118" i="263" s="1"/>
  <c r="KVX6" i="263"/>
  <c r="KVX118" i="263" s="1"/>
  <c r="KVY6" i="263"/>
  <c r="KVY118" i="263" s="1"/>
  <c r="KVZ6" i="263"/>
  <c r="KVZ118" i="263" s="1"/>
  <c r="KWA6" i="263"/>
  <c r="KWA118" i="263" s="1"/>
  <c r="KWB6" i="263"/>
  <c r="KWB118" i="263" s="1"/>
  <c r="KWC6" i="263"/>
  <c r="KWC118" i="263" s="1"/>
  <c r="KWD6" i="263"/>
  <c r="KWD118" i="263" s="1"/>
  <c r="KWE6" i="263"/>
  <c r="KWE118" i="263" s="1"/>
  <c r="KWF6" i="263"/>
  <c r="KWF118" i="263" s="1"/>
  <c r="KWG6" i="263"/>
  <c r="KWG118" i="263" s="1"/>
  <c r="KWH6" i="263"/>
  <c r="KWH118" i="263" s="1"/>
  <c r="KWI6" i="263"/>
  <c r="KWI118" i="263" s="1"/>
  <c r="KWJ6" i="263"/>
  <c r="KWJ118" i="263" s="1"/>
  <c r="KWK6" i="263"/>
  <c r="KWK118" i="263" s="1"/>
  <c r="KWL6" i="263"/>
  <c r="KWL118" i="263" s="1"/>
  <c r="KWM6" i="263"/>
  <c r="KWM118" i="263" s="1"/>
  <c r="KWN6" i="263"/>
  <c r="KWN118" i="263" s="1"/>
  <c r="KWO6" i="263"/>
  <c r="KWO118" i="263" s="1"/>
  <c r="KWP6" i="263"/>
  <c r="KWP118" i="263" s="1"/>
  <c r="KWQ6" i="263"/>
  <c r="KWQ118" i="263" s="1"/>
  <c r="KWR6" i="263"/>
  <c r="KWR118" i="263" s="1"/>
  <c r="KWS6" i="263"/>
  <c r="KWS118" i="263" s="1"/>
  <c r="KWT6" i="263"/>
  <c r="KWT118" i="263" s="1"/>
  <c r="KWU6" i="263"/>
  <c r="KWU118" i="263" s="1"/>
  <c r="KWV6" i="263"/>
  <c r="KWV118" i="263" s="1"/>
  <c r="KWW6" i="263"/>
  <c r="KWW118" i="263" s="1"/>
  <c r="KWX6" i="263"/>
  <c r="KWX118" i="263" s="1"/>
  <c r="KWY6" i="263"/>
  <c r="KWY118" i="263" s="1"/>
  <c r="KWZ6" i="263"/>
  <c r="KWZ118" i="263" s="1"/>
  <c r="KXA6" i="263"/>
  <c r="KXA118" i="263" s="1"/>
  <c r="KXB6" i="263"/>
  <c r="KXB118" i="263" s="1"/>
  <c r="KXC6" i="263"/>
  <c r="KXC118" i="263" s="1"/>
  <c r="KXD6" i="263"/>
  <c r="KXD118" i="263" s="1"/>
  <c r="KXE6" i="263"/>
  <c r="KXE118" i="263" s="1"/>
  <c r="KXF6" i="263"/>
  <c r="KXF118" i="263" s="1"/>
  <c r="KXG6" i="263"/>
  <c r="KXG118" i="263" s="1"/>
  <c r="KXH6" i="263"/>
  <c r="KXH118" i="263" s="1"/>
  <c r="KXI6" i="263"/>
  <c r="KXI118" i="263" s="1"/>
  <c r="KXJ6" i="263"/>
  <c r="KXJ118" i="263" s="1"/>
  <c r="KXK6" i="263"/>
  <c r="KXK118" i="263" s="1"/>
  <c r="KXL6" i="263"/>
  <c r="KXL118" i="263" s="1"/>
  <c r="KXM6" i="263"/>
  <c r="KXM118" i="263" s="1"/>
  <c r="KXN6" i="263"/>
  <c r="KXN118" i="263" s="1"/>
  <c r="KXO6" i="263"/>
  <c r="KXO118" i="263" s="1"/>
  <c r="KXP6" i="263"/>
  <c r="KXP118" i="263" s="1"/>
  <c r="KXQ6" i="263"/>
  <c r="KXQ118" i="263" s="1"/>
  <c r="KXR6" i="263"/>
  <c r="KXR118" i="263" s="1"/>
  <c r="KXS6" i="263"/>
  <c r="KXS118" i="263" s="1"/>
  <c r="KXT6" i="263"/>
  <c r="KXT118" i="263" s="1"/>
  <c r="KXU6" i="263"/>
  <c r="KXU118" i="263" s="1"/>
  <c r="KXV6" i="263"/>
  <c r="KXV118" i="263" s="1"/>
  <c r="KXW6" i="263"/>
  <c r="KXW118" i="263" s="1"/>
  <c r="KXX6" i="263"/>
  <c r="KXX118" i="263" s="1"/>
  <c r="KXY6" i="263"/>
  <c r="KXY118" i="263" s="1"/>
  <c r="KXZ6" i="263"/>
  <c r="KXZ118" i="263" s="1"/>
  <c r="KYA6" i="263"/>
  <c r="KYA118" i="263" s="1"/>
  <c r="KYB6" i="263"/>
  <c r="KYB118" i="263" s="1"/>
  <c r="KYC6" i="263"/>
  <c r="KYC118" i="263" s="1"/>
  <c r="KYD6" i="263"/>
  <c r="KYD118" i="263" s="1"/>
  <c r="KYE6" i="263"/>
  <c r="KYE118" i="263" s="1"/>
  <c r="KYF6" i="263"/>
  <c r="KYF118" i="263" s="1"/>
  <c r="KYG6" i="263"/>
  <c r="KYG118" i="263" s="1"/>
  <c r="KYH6" i="263"/>
  <c r="KYH118" i="263" s="1"/>
  <c r="KYI6" i="263"/>
  <c r="KYI118" i="263" s="1"/>
  <c r="KYJ6" i="263"/>
  <c r="KYJ118" i="263" s="1"/>
  <c r="KYK6" i="263"/>
  <c r="KYK118" i="263" s="1"/>
  <c r="KYL6" i="263"/>
  <c r="KYL118" i="263" s="1"/>
  <c r="KYM6" i="263"/>
  <c r="KYM118" i="263" s="1"/>
  <c r="KYN6" i="263"/>
  <c r="KYN118" i="263" s="1"/>
  <c r="KYO6" i="263"/>
  <c r="KYO118" i="263" s="1"/>
  <c r="KYP6" i="263"/>
  <c r="KYP118" i="263" s="1"/>
  <c r="KYQ6" i="263"/>
  <c r="KYQ118" i="263" s="1"/>
  <c r="KYR6" i="263"/>
  <c r="KYR118" i="263" s="1"/>
  <c r="KYS6" i="263"/>
  <c r="KYS118" i="263" s="1"/>
  <c r="KYT6" i="263"/>
  <c r="KYT118" i="263" s="1"/>
  <c r="KYU6" i="263"/>
  <c r="KYU118" i="263" s="1"/>
  <c r="KYV6" i="263"/>
  <c r="KYV118" i="263" s="1"/>
  <c r="KYW6" i="263"/>
  <c r="KYW118" i="263" s="1"/>
  <c r="KYX6" i="263"/>
  <c r="KYX118" i="263" s="1"/>
  <c r="KYY6" i="263"/>
  <c r="KYY118" i="263" s="1"/>
  <c r="KYZ6" i="263"/>
  <c r="KYZ118" i="263" s="1"/>
  <c r="KZA6" i="263"/>
  <c r="KZA118" i="263" s="1"/>
  <c r="KZB6" i="263"/>
  <c r="KZB118" i="263" s="1"/>
  <c r="KZC6" i="263"/>
  <c r="KZC118" i="263" s="1"/>
  <c r="KZD6" i="263"/>
  <c r="KZD118" i="263" s="1"/>
  <c r="KZE6" i="263"/>
  <c r="KZE118" i="263" s="1"/>
  <c r="KZF6" i="263"/>
  <c r="KZF118" i="263" s="1"/>
  <c r="KZG6" i="263"/>
  <c r="KZG118" i="263" s="1"/>
  <c r="KZH6" i="263"/>
  <c r="KZH118" i="263" s="1"/>
  <c r="KZI6" i="263"/>
  <c r="KZI118" i="263" s="1"/>
  <c r="KZJ6" i="263"/>
  <c r="KZJ118" i="263" s="1"/>
  <c r="KZK6" i="263"/>
  <c r="KZK118" i="263" s="1"/>
  <c r="KZL6" i="263"/>
  <c r="KZL118" i="263" s="1"/>
  <c r="KZM6" i="263"/>
  <c r="KZM118" i="263" s="1"/>
  <c r="KZN6" i="263"/>
  <c r="KZN118" i="263" s="1"/>
  <c r="KZO6" i="263"/>
  <c r="KZO118" i="263" s="1"/>
  <c r="KZP6" i="263"/>
  <c r="KZP118" i="263" s="1"/>
  <c r="KZQ6" i="263"/>
  <c r="KZQ118" i="263" s="1"/>
  <c r="KZR6" i="263"/>
  <c r="KZR118" i="263" s="1"/>
  <c r="KZS6" i="263"/>
  <c r="KZS118" i="263" s="1"/>
  <c r="KZT6" i="263"/>
  <c r="KZT118" i="263" s="1"/>
  <c r="KZU6" i="263"/>
  <c r="KZU118" i="263" s="1"/>
  <c r="KZV6" i="263"/>
  <c r="KZV118" i="263" s="1"/>
  <c r="KZW6" i="263"/>
  <c r="KZW118" i="263" s="1"/>
  <c r="KZX6" i="263"/>
  <c r="KZX118" i="263" s="1"/>
  <c r="KZY6" i="263"/>
  <c r="KZY118" i="263" s="1"/>
  <c r="KZZ6" i="263"/>
  <c r="KZZ118" i="263" s="1"/>
  <c r="LAA6" i="263"/>
  <c r="LAA118" i="263" s="1"/>
  <c r="LAB6" i="263"/>
  <c r="LAB118" i="263" s="1"/>
  <c r="LAC6" i="263"/>
  <c r="LAC118" i="263" s="1"/>
  <c r="LAD6" i="263"/>
  <c r="LAD118" i="263" s="1"/>
  <c r="LAE6" i="263"/>
  <c r="LAE118" i="263" s="1"/>
  <c r="LAF6" i="263"/>
  <c r="LAF118" i="263" s="1"/>
  <c r="LAG6" i="263"/>
  <c r="LAG118" i="263" s="1"/>
  <c r="LAH6" i="263"/>
  <c r="LAH118" i="263" s="1"/>
  <c r="LAI6" i="263"/>
  <c r="LAI118" i="263" s="1"/>
  <c r="LAJ6" i="263"/>
  <c r="LAJ118" i="263" s="1"/>
  <c r="LAK6" i="263"/>
  <c r="LAK118" i="263" s="1"/>
  <c r="LAL6" i="263"/>
  <c r="LAL118" i="263" s="1"/>
  <c r="LAM6" i="263"/>
  <c r="LAM118" i="263" s="1"/>
  <c r="LAN6" i="263"/>
  <c r="LAN118" i="263" s="1"/>
  <c r="LAO6" i="263"/>
  <c r="LAO118" i="263" s="1"/>
  <c r="LAP6" i="263"/>
  <c r="LAP118" i="263" s="1"/>
  <c r="LAQ6" i="263"/>
  <c r="LAQ118" i="263" s="1"/>
  <c r="LAR6" i="263"/>
  <c r="LAR118" i="263" s="1"/>
  <c r="LAS6" i="263"/>
  <c r="LAS118" i="263" s="1"/>
  <c r="LAT6" i="263"/>
  <c r="LAT118" i="263" s="1"/>
  <c r="LAU6" i="263"/>
  <c r="LAU118" i="263" s="1"/>
  <c r="LAV6" i="263"/>
  <c r="LAV118" i="263" s="1"/>
  <c r="LAW6" i="263"/>
  <c r="LAW118" i="263" s="1"/>
  <c r="LAX6" i="263"/>
  <c r="LAX118" i="263" s="1"/>
  <c r="LAY6" i="263"/>
  <c r="LAY118" i="263" s="1"/>
  <c r="LAZ6" i="263"/>
  <c r="LAZ118" i="263" s="1"/>
  <c r="LBA6" i="263"/>
  <c r="LBA118" i="263" s="1"/>
  <c r="LBB6" i="263"/>
  <c r="LBB118" i="263" s="1"/>
  <c r="LBC6" i="263"/>
  <c r="LBC118" i="263" s="1"/>
  <c r="LBD6" i="263"/>
  <c r="LBD118" i="263" s="1"/>
  <c r="LBE6" i="263"/>
  <c r="LBE118" i="263" s="1"/>
  <c r="LBF6" i="263"/>
  <c r="LBF118" i="263" s="1"/>
  <c r="LBG6" i="263"/>
  <c r="LBG118" i="263" s="1"/>
  <c r="LBH6" i="263"/>
  <c r="LBH118" i="263" s="1"/>
  <c r="LBI6" i="263"/>
  <c r="LBI118" i="263" s="1"/>
  <c r="LBJ6" i="263"/>
  <c r="LBJ118" i="263" s="1"/>
  <c r="LBK6" i="263"/>
  <c r="LBK118" i="263" s="1"/>
  <c r="LBL6" i="263"/>
  <c r="LBL118" i="263" s="1"/>
  <c r="LBM6" i="263"/>
  <c r="LBM118" i="263" s="1"/>
  <c r="LBN6" i="263"/>
  <c r="LBN118" i="263" s="1"/>
  <c r="LBO6" i="263"/>
  <c r="LBO118" i="263" s="1"/>
  <c r="LBP6" i="263"/>
  <c r="LBP118" i="263" s="1"/>
  <c r="LBQ6" i="263"/>
  <c r="LBQ118" i="263" s="1"/>
  <c r="LBR6" i="263"/>
  <c r="LBR118" i="263" s="1"/>
  <c r="LBS6" i="263"/>
  <c r="LBS118" i="263" s="1"/>
  <c r="LBT6" i="263"/>
  <c r="LBT118" i="263" s="1"/>
  <c r="LBU6" i="263"/>
  <c r="LBU118" i="263" s="1"/>
  <c r="LBV6" i="263"/>
  <c r="LBV118" i="263" s="1"/>
  <c r="LBW6" i="263"/>
  <c r="LBW118" i="263" s="1"/>
  <c r="LBX6" i="263"/>
  <c r="LBX118" i="263" s="1"/>
  <c r="LBY6" i="263"/>
  <c r="LBY118" i="263" s="1"/>
  <c r="LBZ6" i="263"/>
  <c r="LBZ118" i="263" s="1"/>
  <c r="LCA6" i="263"/>
  <c r="LCA118" i="263" s="1"/>
  <c r="LCB6" i="263"/>
  <c r="LCB118" i="263" s="1"/>
  <c r="LCC6" i="263"/>
  <c r="LCC118" i="263" s="1"/>
  <c r="LCD6" i="263"/>
  <c r="LCD118" i="263" s="1"/>
  <c r="LCE6" i="263"/>
  <c r="LCE118" i="263" s="1"/>
  <c r="LCF6" i="263"/>
  <c r="LCF118" i="263" s="1"/>
  <c r="LCG6" i="263"/>
  <c r="LCG118" i="263" s="1"/>
  <c r="LCH6" i="263"/>
  <c r="LCH118" i="263" s="1"/>
  <c r="LCI6" i="263"/>
  <c r="LCI118" i="263" s="1"/>
  <c r="LCJ6" i="263"/>
  <c r="LCJ118" i="263" s="1"/>
  <c r="LCK6" i="263"/>
  <c r="LCK118" i="263" s="1"/>
  <c r="LCL6" i="263"/>
  <c r="LCL118" i="263" s="1"/>
  <c r="LCM6" i="263"/>
  <c r="LCM118" i="263" s="1"/>
  <c r="LCN6" i="263"/>
  <c r="LCN118" i="263" s="1"/>
  <c r="LCO6" i="263"/>
  <c r="LCO118" i="263" s="1"/>
  <c r="LCP6" i="263"/>
  <c r="LCP118" i="263" s="1"/>
  <c r="LCQ6" i="263"/>
  <c r="LCQ118" i="263" s="1"/>
  <c r="LCR6" i="263"/>
  <c r="LCR118" i="263" s="1"/>
  <c r="LCS6" i="263"/>
  <c r="LCS118" i="263" s="1"/>
  <c r="LCT6" i="263"/>
  <c r="LCT118" i="263" s="1"/>
  <c r="LCU6" i="263"/>
  <c r="LCU118" i="263" s="1"/>
  <c r="LCV6" i="263"/>
  <c r="LCV118" i="263" s="1"/>
  <c r="LCW6" i="263"/>
  <c r="LCW118" i="263" s="1"/>
  <c r="LCX6" i="263"/>
  <c r="LCX118" i="263" s="1"/>
  <c r="LCY6" i="263"/>
  <c r="LCY118" i="263" s="1"/>
  <c r="LCZ6" i="263"/>
  <c r="LCZ118" i="263" s="1"/>
  <c r="LDA6" i="263"/>
  <c r="LDA118" i="263" s="1"/>
  <c r="LDB6" i="263"/>
  <c r="LDB118" i="263" s="1"/>
  <c r="LDC6" i="263"/>
  <c r="LDC118" i="263" s="1"/>
  <c r="LDD6" i="263"/>
  <c r="LDD118" i="263" s="1"/>
  <c r="LDE6" i="263"/>
  <c r="LDE118" i="263" s="1"/>
  <c r="LDF6" i="263"/>
  <c r="LDF118" i="263" s="1"/>
  <c r="LDG6" i="263"/>
  <c r="LDG118" i="263" s="1"/>
  <c r="LDH6" i="263"/>
  <c r="LDH118" i="263" s="1"/>
  <c r="LDI6" i="263"/>
  <c r="LDI118" i="263" s="1"/>
  <c r="LDJ6" i="263"/>
  <c r="LDJ118" i="263" s="1"/>
  <c r="LDK6" i="263"/>
  <c r="LDK118" i="263" s="1"/>
  <c r="LDL6" i="263"/>
  <c r="LDL118" i="263" s="1"/>
  <c r="LDM6" i="263"/>
  <c r="LDM118" i="263" s="1"/>
  <c r="LDN6" i="263"/>
  <c r="LDN118" i="263" s="1"/>
  <c r="LDO6" i="263"/>
  <c r="LDO118" i="263" s="1"/>
  <c r="LDP6" i="263"/>
  <c r="LDP118" i="263" s="1"/>
  <c r="LDQ6" i="263"/>
  <c r="LDQ118" i="263" s="1"/>
  <c r="LDR6" i="263"/>
  <c r="LDR118" i="263" s="1"/>
  <c r="LDS6" i="263"/>
  <c r="LDS118" i="263" s="1"/>
  <c r="LDT6" i="263"/>
  <c r="LDT118" i="263" s="1"/>
  <c r="LDU6" i="263"/>
  <c r="LDU118" i="263" s="1"/>
  <c r="LDV6" i="263"/>
  <c r="LDV118" i="263" s="1"/>
  <c r="LDW6" i="263"/>
  <c r="LDW118" i="263" s="1"/>
  <c r="LDX6" i="263"/>
  <c r="LDX118" i="263" s="1"/>
  <c r="LDY6" i="263"/>
  <c r="LDY118" i="263" s="1"/>
  <c r="LDZ6" i="263"/>
  <c r="LDZ118" i="263" s="1"/>
  <c r="LEA6" i="263"/>
  <c r="LEA118" i="263" s="1"/>
  <c r="LEB6" i="263"/>
  <c r="LEB118" i="263" s="1"/>
  <c r="LEC6" i="263"/>
  <c r="LEC118" i="263" s="1"/>
  <c r="LED6" i="263"/>
  <c r="LED118" i="263" s="1"/>
  <c r="LEE6" i="263"/>
  <c r="LEE118" i="263" s="1"/>
  <c r="LEF6" i="263"/>
  <c r="LEF118" i="263" s="1"/>
  <c r="LEG6" i="263"/>
  <c r="LEG118" i="263" s="1"/>
  <c r="LEH6" i="263"/>
  <c r="LEH118" i="263" s="1"/>
  <c r="LEI6" i="263"/>
  <c r="LEI118" i="263" s="1"/>
  <c r="LEJ6" i="263"/>
  <c r="LEJ118" i="263" s="1"/>
  <c r="LEK6" i="263"/>
  <c r="LEK118" i="263" s="1"/>
  <c r="LEL6" i="263"/>
  <c r="LEL118" i="263" s="1"/>
  <c r="LEM6" i="263"/>
  <c r="LEM118" i="263" s="1"/>
  <c r="LEN6" i="263"/>
  <c r="LEN118" i="263" s="1"/>
  <c r="LEO6" i="263"/>
  <c r="LEO118" i="263" s="1"/>
  <c r="LEP6" i="263"/>
  <c r="LEP118" i="263" s="1"/>
  <c r="LEQ6" i="263"/>
  <c r="LEQ118" i="263" s="1"/>
  <c r="LER6" i="263"/>
  <c r="LER118" i="263" s="1"/>
  <c r="LES6" i="263"/>
  <c r="LES118" i="263" s="1"/>
  <c r="LET6" i="263"/>
  <c r="LET118" i="263" s="1"/>
  <c r="LEU6" i="263"/>
  <c r="LEU118" i="263" s="1"/>
  <c r="LEV6" i="263"/>
  <c r="LEV118" i="263" s="1"/>
  <c r="LEW6" i="263"/>
  <c r="LEW118" i="263" s="1"/>
  <c r="LEX6" i="263"/>
  <c r="LEX118" i="263" s="1"/>
  <c r="LEY6" i="263"/>
  <c r="LEY118" i="263" s="1"/>
  <c r="LEZ6" i="263"/>
  <c r="LEZ118" i="263" s="1"/>
  <c r="LFA6" i="263"/>
  <c r="LFA118" i="263" s="1"/>
  <c r="LFB6" i="263"/>
  <c r="LFB118" i="263" s="1"/>
  <c r="LFC6" i="263"/>
  <c r="LFC118" i="263" s="1"/>
  <c r="LFD6" i="263"/>
  <c r="LFD118" i="263" s="1"/>
  <c r="LFE6" i="263"/>
  <c r="LFE118" i="263" s="1"/>
  <c r="LFF6" i="263"/>
  <c r="LFF118" i="263" s="1"/>
  <c r="LFG6" i="263"/>
  <c r="LFG118" i="263" s="1"/>
  <c r="LFH6" i="263"/>
  <c r="LFH118" i="263" s="1"/>
  <c r="LFI6" i="263"/>
  <c r="LFI118" i="263" s="1"/>
  <c r="LFJ6" i="263"/>
  <c r="LFJ118" i="263" s="1"/>
  <c r="LFK6" i="263"/>
  <c r="LFK118" i="263" s="1"/>
  <c r="LFL6" i="263"/>
  <c r="LFL118" i="263" s="1"/>
  <c r="LFM6" i="263"/>
  <c r="LFM118" i="263" s="1"/>
  <c r="LFN6" i="263"/>
  <c r="LFN118" i="263" s="1"/>
  <c r="LFO6" i="263"/>
  <c r="LFO118" i="263" s="1"/>
  <c r="LFP6" i="263"/>
  <c r="LFP118" i="263" s="1"/>
  <c r="LFQ6" i="263"/>
  <c r="LFQ118" i="263" s="1"/>
  <c r="LFR6" i="263"/>
  <c r="LFR118" i="263" s="1"/>
  <c r="LFS6" i="263"/>
  <c r="LFS118" i="263" s="1"/>
  <c r="LFT6" i="263"/>
  <c r="LFT118" i="263" s="1"/>
  <c r="LFU6" i="263"/>
  <c r="LFU118" i="263" s="1"/>
  <c r="LFV6" i="263"/>
  <c r="LFV118" i="263" s="1"/>
  <c r="LFW6" i="263"/>
  <c r="LFW118" i="263" s="1"/>
  <c r="LFX6" i="263"/>
  <c r="LFX118" i="263" s="1"/>
  <c r="LFY6" i="263"/>
  <c r="LFY118" i="263" s="1"/>
  <c r="LFZ6" i="263"/>
  <c r="LFZ118" i="263" s="1"/>
  <c r="LGA6" i="263"/>
  <c r="LGA118" i="263" s="1"/>
  <c r="LGB6" i="263"/>
  <c r="LGB118" i="263" s="1"/>
  <c r="LGC6" i="263"/>
  <c r="LGC118" i="263" s="1"/>
  <c r="LGD6" i="263"/>
  <c r="LGD118" i="263" s="1"/>
  <c r="LGE6" i="263"/>
  <c r="LGE118" i="263" s="1"/>
  <c r="LGF6" i="263"/>
  <c r="LGF118" i="263" s="1"/>
  <c r="LGG6" i="263"/>
  <c r="LGG118" i="263" s="1"/>
  <c r="LGH6" i="263"/>
  <c r="LGH118" i="263" s="1"/>
  <c r="LGI6" i="263"/>
  <c r="LGI118" i="263" s="1"/>
  <c r="LGJ6" i="263"/>
  <c r="LGJ118" i="263" s="1"/>
  <c r="LGK6" i="263"/>
  <c r="LGK118" i="263" s="1"/>
  <c r="LGL6" i="263"/>
  <c r="LGL118" i="263" s="1"/>
  <c r="LGM6" i="263"/>
  <c r="LGM118" i="263" s="1"/>
  <c r="LGN6" i="263"/>
  <c r="LGN118" i="263" s="1"/>
  <c r="LGO6" i="263"/>
  <c r="LGO118" i="263" s="1"/>
  <c r="LGP6" i="263"/>
  <c r="LGP118" i="263" s="1"/>
  <c r="LGQ6" i="263"/>
  <c r="LGQ118" i="263" s="1"/>
  <c r="LGR6" i="263"/>
  <c r="LGR118" i="263" s="1"/>
  <c r="LGS6" i="263"/>
  <c r="LGS118" i="263" s="1"/>
  <c r="LGT6" i="263"/>
  <c r="LGT118" i="263" s="1"/>
  <c r="LGU6" i="263"/>
  <c r="LGU118" i="263" s="1"/>
  <c r="LGV6" i="263"/>
  <c r="LGV118" i="263" s="1"/>
  <c r="LGW6" i="263"/>
  <c r="LGW118" i="263" s="1"/>
  <c r="LGX6" i="263"/>
  <c r="LGX118" i="263" s="1"/>
  <c r="LGY6" i="263"/>
  <c r="LGY118" i="263" s="1"/>
  <c r="LGZ6" i="263"/>
  <c r="LGZ118" i="263" s="1"/>
  <c r="LHA6" i="263"/>
  <c r="LHA118" i="263" s="1"/>
  <c r="LHB6" i="263"/>
  <c r="LHB118" i="263" s="1"/>
  <c r="LHC6" i="263"/>
  <c r="LHC118" i="263" s="1"/>
  <c r="LHD6" i="263"/>
  <c r="LHD118" i="263" s="1"/>
  <c r="LHE6" i="263"/>
  <c r="LHE118" i="263" s="1"/>
  <c r="LHF6" i="263"/>
  <c r="LHF118" i="263" s="1"/>
  <c r="LHG6" i="263"/>
  <c r="LHG118" i="263" s="1"/>
  <c r="LHH6" i="263"/>
  <c r="LHH118" i="263" s="1"/>
  <c r="LHI6" i="263"/>
  <c r="LHI118" i="263" s="1"/>
  <c r="LHJ6" i="263"/>
  <c r="LHJ118" i="263" s="1"/>
  <c r="LHK6" i="263"/>
  <c r="LHK118" i="263" s="1"/>
  <c r="LHL6" i="263"/>
  <c r="LHL118" i="263" s="1"/>
  <c r="LHM6" i="263"/>
  <c r="LHM118" i="263" s="1"/>
  <c r="LHN6" i="263"/>
  <c r="LHN118" i="263" s="1"/>
  <c r="LHO6" i="263"/>
  <c r="LHO118" i="263" s="1"/>
  <c r="LHP6" i="263"/>
  <c r="LHP118" i="263" s="1"/>
  <c r="LHQ6" i="263"/>
  <c r="LHQ118" i="263" s="1"/>
  <c r="LHR6" i="263"/>
  <c r="LHR118" i="263" s="1"/>
  <c r="LHS6" i="263"/>
  <c r="LHS118" i="263" s="1"/>
  <c r="LHT6" i="263"/>
  <c r="LHT118" i="263" s="1"/>
  <c r="LHU6" i="263"/>
  <c r="LHU118" i="263" s="1"/>
  <c r="LHV6" i="263"/>
  <c r="LHV118" i="263" s="1"/>
  <c r="LHW6" i="263"/>
  <c r="LHW118" i="263" s="1"/>
  <c r="LHX6" i="263"/>
  <c r="LHX118" i="263" s="1"/>
  <c r="LHY6" i="263"/>
  <c r="LHY118" i="263" s="1"/>
  <c r="LHZ6" i="263"/>
  <c r="LHZ118" i="263" s="1"/>
  <c r="LIA6" i="263"/>
  <c r="LIA118" i="263" s="1"/>
  <c r="LIB6" i="263"/>
  <c r="LIB118" i="263" s="1"/>
  <c r="LIC6" i="263"/>
  <c r="LIC118" i="263" s="1"/>
  <c r="LID6" i="263"/>
  <c r="LID118" i="263" s="1"/>
  <c r="LIE6" i="263"/>
  <c r="LIE118" i="263" s="1"/>
  <c r="LIF6" i="263"/>
  <c r="LIF118" i="263" s="1"/>
  <c r="LIG6" i="263"/>
  <c r="LIG118" i="263" s="1"/>
  <c r="LIH6" i="263"/>
  <c r="LIH118" i="263" s="1"/>
  <c r="LII6" i="263"/>
  <c r="LII118" i="263" s="1"/>
  <c r="LIJ6" i="263"/>
  <c r="LIJ118" i="263" s="1"/>
  <c r="LIK6" i="263"/>
  <c r="LIK118" i="263" s="1"/>
  <c r="LIL6" i="263"/>
  <c r="LIL118" i="263" s="1"/>
  <c r="LIM6" i="263"/>
  <c r="LIM118" i="263" s="1"/>
  <c r="LIN6" i="263"/>
  <c r="LIN118" i="263" s="1"/>
  <c r="LIO6" i="263"/>
  <c r="LIO118" i="263" s="1"/>
  <c r="LIP6" i="263"/>
  <c r="LIP118" i="263" s="1"/>
  <c r="LIQ6" i="263"/>
  <c r="LIQ118" i="263" s="1"/>
  <c r="LIR6" i="263"/>
  <c r="LIR118" i="263" s="1"/>
  <c r="LIS6" i="263"/>
  <c r="LIS118" i="263" s="1"/>
  <c r="LIT6" i="263"/>
  <c r="LIT118" i="263" s="1"/>
  <c r="LIU6" i="263"/>
  <c r="LIU118" i="263" s="1"/>
  <c r="LIV6" i="263"/>
  <c r="LIV118" i="263" s="1"/>
  <c r="LIW6" i="263"/>
  <c r="LIW118" i="263" s="1"/>
  <c r="LIX6" i="263"/>
  <c r="LIX118" i="263" s="1"/>
  <c r="LIY6" i="263"/>
  <c r="LIY118" i="263" s="1"/>
  <c r="LIZ6" i="263"/>
  <c r="LIZ118" i="263" s="1"/>
  <c r="LJA6" i="263"/>
  <c r="LJA118" i="263" s="1"/>
  <c r="LJB6" i="263"/>
  <c r="LJB118" i="263" s="1"/>
  <c r="LJC6" i="263"/>
  <c r="LJC118" i="263" s="1"/>
  <c r="LJD6" i="263"/>
  <c r="LJD118" i="263" s="1"/>
  <c r="LJE6" i="263"/>
  <c r="LJE118" i="263" s="1"/>
  <c r="LJF6" i="263"/>
  <c r="LJF118" i="263" s="1"/>
  <c r="LJG6" i="263"/>
  <c r="LJG118" i="263" s="1"/>
  <c r="LJH6" i="263"/>
  <c r="LJH118" i="263" s="1"/>
  <c r="LJI6" i="263"/>
  <c r="LJI118" i="263" s="1"/>
  <c r="LJJ6" i="263"/>
  <c r="LJJ118" i="263" s="1"/>
  <c r="LJK6" i="263"/>
  <c r="LJK118" i="263" s="1"/>
  <c r="LJL6" i="263"/>
  <c r="LJL118" i="263" s="1"/>
  <c r="LJM6" i="263"/>
  <c r="LJM118" i="263" s="1"/>
  <c r="LJN6" i="263"/>
  <c r="LJN118" i="263" s="1"/>
  <c r="LJO6" i="263"/>
  <c r="LJO118" i="263" s="1"/>
  <c r="LJP6" i="263"/>
  <c r="LJP118" i="263" s="1"/>
  <c r="LJQ6" i="263"/>
  <c r="LJQ118" i="263" s="1"/>
  <c r="LJR6" i="263"/>
  <c r="LJR118" i="263" s="1"/>
  <c r="LJS6" i="263"/>
  <c r="LJS118" i="263" s="1"/>
  <c r="LJT6" i="263"/>
  <c r="LJT118" i="263" s="1"/>
  <c r="LJU6" i="263"/>
  <c r="LJU118" i="263" s="1"/>
  <c r="LJV6" i="263"/>
  <c r="LJV118" i="263" s="1"/>
  <c r="LJW6" i="263"/>
  <c r="LJW118" i="263" s="1"/>
  <c r="LJX6" i="263"/>
  <c r="LJX118" i="263" s="1"/>
  <c r="LJY6" i="263"/>
  <c r="LJY118" i="263" s="1"/>
  <c r="LJZ6" i="263"/>
  <c r="LJZ118" i="263" s="1"/>
  <c r="LKA6" i="263"/>
  <c r="LKA118" i="263" s="1"/>
  <c r="LKB6" i="263"/>
  <c r="LKB118" i="263" s="1"/>
  <c r="LKC6" i="263"/>
  <c r="LKC118" i="263" s="1"/>
  <c r="LKD6" i="263"/>
  <c r="LKD118" i="263" s="1"/>
  <c r="LKE6" i="263"/>
  <c r="LKE118" i="263" s="1"/>
  <c r="LKF6" i="263"/>
  <c r="LKF118" i="263" s="1"/>
  <c r="LKG6" i="263"/>
  <c r="LKG118" i="263" s="1"/>
  <c r="LKH6" i="263"/>
  <c r="LKH118" i="263" s="1"/>
  <c r="LKI6" i="263"/>
  <c r="LKI118" i="263" s="1"/>
  <c r="LKJ6" i="263"/>
  <c r="LKJ118" i="263" s="1"/>
  <c r="LKK6" i="263"/>
  <c r="LKK118" i="263" s="1"/>
  <c r="LKL6" i="263"/>
  <c r="LKL118" i="263" s="1"/>
  <c r="LKM6" i="263"/>
  <c r="LKM118" i="263" s="1"/>
  <c r="LKN6" i="263"/>
  <c r="LKN118" i="263" s="1"/>
  <c r="LKO6" i="263"/>
  <c r="LKO118" i="263" s="1"/>
  <c r="LKP6" i="263"/>
  <c r="LKP118" i="263" s="1"/>
  <c r="LKQ6" i="263"/>
  <c r="LKQ118" i="263" s="1"/>
  <c r="LKR6" i="263"/>
  <c r="LKR118" i="263" s="1"/>
  <c r="LKS6" i="263"/>
  <c r="LKS118" i="263" s="1"/>
  <c r="LKT6" i="263"/>
  <c r="LKT118" i="263" s="1"/>
  <c r="LKU6" i="263"/>
  <c r="LKU118" i="263" s="1"/>
  <c r="LKV6" i="263"/>
  <c r="LKV118" i="263" s="1"/>
  <c r="LKW6" i="263"/>
  <c r="LKW118" i="263" s="1"/>
  <c r="LKX6" i="263"/>
  <c r="LKX118" i="263" s="1"/>
  <c r="LKY6" i="263"/>
  <c r="LKY118" i="263" s="1"/>
  <c r="LKZ6" i="263"/>
  <c r="LKZ118" i="263" s="1"/>
  <c r="LLA6" i="263"/>
  <c r="LLA118" i="263" s="1"/>
  <c r="LLB6" i="263"/>
  <c r="LLB118" i="263" s="1"/>
  <c r="LLC6" i="263"/>
  <c r="LLC118" i="263" s="1"/>
  <c r="LLD6" i="263"/>
  <c r="LLD118" i="263" s="1"/>
  <c r="LLE6" i="263"/>
  <c r="LLE118" i="263" s="1"/>
  <c r="LLF6" i="263"/>
  <c r="LLF118" i="263" s="1"/>
  <c r="LLG6" i="263"/>
  <c r="LLG118" i="263" s="1"/>
  <c r="LLH6" i="263"/>
  <c r="LLH118" i="263" s="1"/>
  <c r="LLI6" i="263"/>
  <c r="LLI118" i="263" s="1"/>
  <c r="LLJ6" i="263"/>
  <c r="LLJ118" i="263" s="1"/>
  <c r="LLK6" i="263"/>
  <c r="LLK118" i="263" s="1"/>
  <c r="LLL6" i="263"/>
  <c r="LLL118" i="263" s="1"/>
  <c r="LLM6" i="263"/>
  <c r="LLM118" i="263" s="1"/>
  <c r="LLN6" i="263"/>
  <c r="LLN118" i="263" s="1"/>
  <c r="LLO6" i="263"/>
  <c r="LLO118" i="263" s="1"/>
  <c r="LLP6" i="263"/>
  <c r="LLP118" i="263" s="1"/>
  <c r="LLQ6" i="263"/>
  <c r="LLQ118" i="263" s="1"/>
  <c r="LLR6" i="263"/>
  <c r="LLR118" i="263" s="1"/>
  <c r="LLS6" i="263"/>
  <c r="LLS118" i="263" s="1"/>
  <c r="LLT6" i="263"/>
  <c r="LLT118" i="263" s="1"/>
  <c r="LLU6" i="263"/>
  <c r="LLU118" i="263" s="1"/>
  <c r="LLV6" i="263"/>
  <c r="LLV118" i="263" s="1"/>
  <c r="LLW6" i="263"/>
  <c r="LLW118" i="263" s="1"/>
  <c r="LLX6" i="263"/>
  <c r="LLX118" i="263" s="1"/>
  <c r="LLY6" i="263"/>
  <c r="LLY118" i="263" s="1"/>
  <c r="LLZ6" i="263"/>
  <c r="LLZ118" i="263" s="1"/>
  <c r="LMA6" i="263"/>
  <c r="LMA118" i="263" s="1"/>
  <c r="LMB6" i="263"/>
  <c r="LMB118" i="263" s="1"/>
  <c r="LMC6" i="263"/>
  <c r="LMC118" i="263" s="1"/>
  <c r="LMD6" i="263"/>
  <c r="LMD118" i="263" s="1"/>
  <c r="LME6" i="263"/>
  <c r="LME118" i="263" s="1"/>
  <c r="LMF6" i="263"/>
  <c r="LMF118" i="263" s="1"/>
  <c r="LMG6" i="263"/>
  <c r="LMG118" i="263" s="1"/>
  <c r="LMH6" i="263"/>
  <c r="LMH118" i="263" s="1"/>
  <c r="LMI6" i="263"/>
  <c r="LMI118" i="263" s="1"/>
  <c r="LMJ6" i="263"/>
  <c r="LMJ118" i="263" s="1"/>
  <c r="LMK6" i="263"/>
  <c r="LMK118" i="263" s="1"/>
  <c r="LML6" i="263"/>
  <c r="LML118" i="263" s="1"/>
  <c r="LMM6" i="263"/>
  <c r="LMM118" i="263" s="1"/>
  <c r="LMN6" i="263"/>
  <c r="LMN118" i="263" s="1"/>
  <c r="LMO6" i="263"/>
  <c r="LMO118" i="263" s="1"/>
  <c r="LMP6" i="263"/>
  <c r="LMP118" i="263" s="1"/>
  <c r="LMQ6" i="263"/>
  <c r="LMQ118" i="263" s="1"/>
  <c r="LMR6" i="263"/>
  <c r="LMR118" i="263" s="1"/>
  <c r="LMS6" i="263"/>
  <c r="LMS118" i="263" s="1"/>
  <c r="LMT6" i="263"/>
  <c r="LMT118" i="263" s="1"/>
  <c r="LMU6" i="263"/>
  <c r="LMU118" i="263" s="1"/>
  <c r="LMV6" i="263"/>
  <c r="LMV118" i="263" s="1"/>
  <c r="LMW6" i="263"/>
  <c r="LMW118" i="263" s="1"/>
  <c r="LMX6" i="263"/>
  <c r="LMX118" i="263" s="1"/>
  <c r="LMY6" i="263"/>
  <c r="LMY118" i="263" s="1"/>
  <c r="LMZ6" i="263"/>
  <c r="LMZ118" i="263" s="1"/>
  <c r="LNA6" i="263"/>
  <c r="LNA118" i="263" s="1"/>
  <c r="LNB6" i="263"/>
  <c r="LNB118" i="263" s="1"/>
  <c r="LNC6" i="263"/>
  <c r="LNC118" i="263" s="1"/>
  <c r="LND6" i="263"/>
  <c r="LND118" i="263" s="1"/>
  <c r="LNE6" i="263"/>
  <c r="LNE118" i="263" s="1"/>
  <c r="LNF6" i="263"/>
  <c r="LNF118" i="263" s="1"/>
  <c r="LNG6" i="263"/>
  <c r="LNG118" i="263" s="1"/>
  <c r="LNH6" i="263"/>
  <c r="LNH118" i="263" s="1"/>
  <c r="LNI6" i="263"/>
  <c r="LNI118" i="263" s="1"/>
  <c r="LNJ6" i="263"/>
  <c r="LNJ118" i="263" s="1"/>
  <c r="LNK6" i="263"/>
  <c r="LNK118" i="263" s="1"/>
  <c r="LNL6" i="263"/>
  <c r="LNL118" i="263" s="1"/>
  <c r="LNM6" i="263"/>
  <c r="LNM118" i="263" s="1"/>
  <c r="LNN6" i="263"/>
  <c r="LNN118" i="263" s="1"/>
  <c r="LNO6" i="263"/>
  <c r="LNO118" i="263" s="1"/>
  <c r="LNP6" i="263"/>
  <c r="LNP118" i="263" s="1"/>
  <c r="LNQ6" i="263"/>
  <c r="LNQ118" i="263" s="1"/>
  <c r="LNR6" i="263"/>
  <c r="LNR118" i="263" s="1"/>
  <c r="LNS6" i="263"/>
  <c r="LNS118" i="263" s="1"/>
  <c r="LNT6" i="263"/>
  <c r="LNT118" i="263" s="1"/>
  <c r="LNU6" i="263"/>
  <c r="LNU118" i="263" s="1"/>
  <c r="LNV6" i="263"/>
  <c r="LNV118" i="263" s="1"/>
  <c r="LNW6" i="263"/>
  <c r="LNW118" i="263" s="1"/>
  <c r="LNX6" i="263"/>
  <c r="LNX118" i="263" s="1"/>
  <c r="LNY6" i="263"/>
  <c r="LNY118" i="263" s="1"/>
  <c r="LNZ6" i="263"/>
  <c r="LNZ118" i="263" s="1"/>
  <c r="LOA6" i="263"/>
  <c r="LOA118" i="263" s="1"/>
  <c r="LOB6" i="263"/>
  <c r="LOB118" i="263" s="1"/>
  <c r="LOC6" i="263"/>
  <c r="LOC118" i="263" s="1"/>
  <c r="LOD6" i="263"/>
  <c r="LOD118" i="263" s="1"/>
  <c r="LOE6" i="263"/>
  <c r="LOE118" i="263" s="1"/>
  <c r="LOF6" i="263"/>
  <c r="LOF118" i="263" s="1"/>
  <c r="LOG6" i="263"/>
  <c r="LOG118" i="263" s="1"/>
  <c r="LOH6" i="263"/>
  <c r="LOH118" i="263" s="1"/>
  <c r="LOI6" i="263"/>
  <c r="LOI118" i="263" s="1"/>
  <c r="LOJ6" i="263"/>
  <c r="LOJ118" i="263" s="1"/>
  <c r="LOK6" i="263"/>
  <c r="LOK118" i="263" s="1"/>
  <c r="LOL6" i="263"/>
  <c r="LOL118" i="263" s="1"/>
  <c r="LOM6" i="263"/>
  <c r="LOM118" i="263" s="1"/>
  <c r="LON6" i="263"/>
  <c r="LON118" i="263" s="1"/>
  <c r="LOO6" i="263"/>
  <c r="LOO118" i="263" s="1"/>
  <c r="LOP6" i="263"/>
  <c r="LOP118" i="263" s="1"/>
  <c r="LOQ6" i="263"/>
  <c r="LOQ118" i="263" s="1"/>
  <c r="LOR6" i="263"/>
  <c r="LOR118" i="263" s="1"/>
  <c r="LOS6" i="263"/>
  <c r="LOS118" i="263" s="1"/>
  <c r="LOT6" i="263"/>
  <c r="LOT118" i="263" s="1"/>
  <c r="LOU6" i="263"/>
  <c r="LOU118" i="263" s="1"/>
  <c r="LOV6" i="263"/>
  <c r="LOV118" i="263" s="1"/>
  <c r="LOW6" i="263"/>
  <c r="LOW118" i="263" s="1"/>
  <c r="LOX6" i="263"/>
  <c r="LOX118" i="263" s="1"/>
  <c r="LOY6" i="263"/>
  <c r="LOY118" i="263" s="1"/>
  <c r="LOZ6" i="263"/>
  <c r="LOZ118" i="263" s="1"/>
  <c r="LPA6" i="263"/>
  <c r="LPA118" i="263" s="1"/>
  <c r="LPB6" i="263"/>
  <c r="LPB118" i="263" s="1"/>
  <c r="LPC6" i="263"/>
  <c r="LPC118" i="263" s="1"/>
  <c r="LPD6" i="263"/>
  <c r="LPD118" i="263" s="1"/>
  <c r="LPE6" i="263"/>
  <c r="LPE118" i="263" s="1"/>
  <c r="LPF6" i="263"/>
  <c r="LPF118" i="263" s="1"/>
  <c r="LPG6" i="263"/>
  <c r="LPG118" i="263" s="1"/>
  <c r="LPH6" i="263"/>
  <c r="LPH118" i="263" s="1"/>
  <c r="LPI6" i="263"/>
  <c r="LPI118" i="263" s="1"/>
  <c r="LPJ6" i="263"/>
  <c r="LPJ118" i="263" s="1"/>
  <c r="LPK6" i="263"/>
  <c r="LPK118" i="263" s="1"/>
  <c r="LPL6" i="263"/>
  <c r="LPL118" i="263" s="1"/>
  <c r="LPM6" i="263"/>
  <c r="LPM118" i="263" s="1"/>
  <c r="LPN6" i="263"/>
  <c r="LPN118" i="263" s="1"/>
  <c r="LPO6" i="263"/>
  <c r="LPO118" i="263" s="1"/>
  <c r="LPP6" i="263"/>
  <c r="LPP118" i="263" s="1"/>
  <c r="LPQ6" i="263"/>
  <c r="LPQ118" i="263" s="1"/>
  <c r="LPR6" i="263"/>
  <c r="LPR118" i="263" s="1"/>
  <c r="LPS6" i="263"/>
  <c r="LPS118" i="263" s="1"/>
  <c r="LPT6" i="263"/>
  <c r="LPT118" i="263" s="1"/>
  <c r="LPU6" i="263"/>
  <c r="LPU118" i="263" s="1"/>
  <c r="LPV6" i="263"/>
  <c r="LPV118" i="263" s="1"/>
  <c r="LPW6" i="263"/>
  <c r="LPW118" i="263" s="1"/>
  <c r="LPX6" i="263"/>
  <c r="LPX118" i="263" s="1"/>
  <c r="LPY6" i="263"/>
  <c r="LPY118" i="263" s="1"/>
  <c r="LPZ6" i="263"/>
  <c r="LPZ118" i="263" s="1"/>
  <c r="LQA6" i="263"/>
  <c r="LQA118" i="263" s="1"/>
  <c r="LQB6" i="263"/>
  <c r="LQB118" i="263" s="1"/>
  <c r="LQC6" i="263"/>
  <c r="LQC118" i="263" s="1"/>
  <c r="LQD6" i="263"/>
  <c r="LQD118" i="263" s="1"/>
  <c r="LQE6" i="263"/>
  <c r="LQE118" i="263" s="1"/>
  <c r="LQF6" i="263"/>
  <c r="LQF118" i="263" s="1"/>
  <c r="LQG6" i="263"/>
  <c r="LQG118" i="263" s="1"/>
  <c r="LQH6" i="263"/>
  <c r="LQH118" i="263" s="1"/>
  <c r="LQI6" i="263"/>
  <c r="LQI118" i="263" s="1"/>
  <c r="LQJ6" i="263"/>
  <c r="LQJ118" i="263" s="1"/>
  <c r="LQK6" i="263"/>
  <c r="LQK118" i="263" s="1"/>
  <c r="LQL6" i="263"/>
  <c r="LQL118" i="263" s="1"/>
  <c r="LQM6" i="263"/>
  <c r="LQM118" i="263" s="1"/>
  <c r="LQN6" i="263"/>
  <c r="LQN118" i="263" s="1"/>
  <c r="LQO6" i="263"/>
  <c r="LQO118" i="263" s="1"/>
  <c r="LQP6" i="263"/>
  <c r="LQP118" i="263" s="1"/>
  <c r="LQQ6" i="263"/>
  <c r="LQQ118" i="263" s="1"/>
  <c r="LQR6" i="263"/>
  <c r="LQR118" i="263" s="1"/>
  <c r="LQS6" i="263"/>
  <c r="LQS118" i="263" s="1"/>
  <c r="LQT6" i="263"/>
  <c r="LQT118" i="263" s="1"/>
  <c r="LQU6" i="263"/>
  <c r="LQU118" i="263" s="1"/>
  <c r="LQV6" i="263"/>
  <c r="LQV118" i="263" s="1"/>
  <c r="LQW6" i="263"/>
  <c r="LQW118" i="263" s="1"/>
  <c r="LQX6" i="263"/>
  <c r="LQX118" i="263" s="1"/>
  <c r="LQY6" i="263"/>
  <c r="LQY118" i="263" s="1"/>
  <c r="LQZ6" i="263"/>
  <c r="LQZ118" i="263" s="1"/>
  <c r="LRA6" i="263"/>
  <c r="LRA118" i="263" s="1"/>
  <c r="LRB6" i="263"/>
  <c r="LRB118" i="263" s="1"/>
  <c r="LRC6" i="263"/>
  <c r="LRC118" i="263" s="1"/>
  <c r="LRD6" i="263"/>
  <c r="LRD118" i="263" s="1"/>
  <c r="LRE6" i="263"/>
  <c r="LRE118" i="263" s="1"/>
  <c r="LRF6" i="263"/>
  <c r="LRF118" i="263" s="1"/>
  <c r="LRG6" i="263"/>
  <c r="LRG118" i="263" s="1"/>
  <c r="LRH6" i="263"/>
  <c r="LRH118" i="263" s="1"/>
  <c r="LRI6" i="263"/>
  <c r="LRI118" i="263" s="1"/>
  <c r="LRJ6" i="263"/>
  <c r="LRJ118" i="263" s="1"/>
  <c r="LRK6" i="263"/>
  <c r="LRK118" i="263" s="1"/>
  <c r="LRL6" i="263"/>
  <c r="LRL118" i="263" s="1"/>
  <c r="LRM6" i="263"/>
  <c r="LRM118" i="263" s="1"/>
  <c r="LRN6" i="263"/>
  <c r="LRN118" i="263" s="1"/>
  <c r="LRO6" i="263"/>
  <c r="LRO118" i="263" s="1"/>
  <c r="LRP6" i="263"/>
  <c r="LRP118" i="263" s="1"/>
  <c r="LRQ6" i="263"/>
  <c r="LRQ118" i="263" s="1"/>
  <c r="LRR6" i="263"/>
  <c r="LRR118" i="263" s="1"/>
  <c r="LRS6" i="263"/>
  <c r="LRS118" i="263" s="1"/>
  <c r="LRT6" i="263"/>
  <c r="LRT118" i="263" s="1"/>
  <c r="LRU6" i="263"/>
  <c r="LRU118" i="263" s="1"/>
  <c r="LRV6" i="263"/>
  <c r="LRV118" i="263" s="1"/>
  <c r="LRW6" i="263"/>
  <c r="LRW118" i="263" s="1"/>
  <c r="LRX6" i="263"/>
  <c r="LRX118" i="263" s="1"/>
  <c r="LRY6" i="263"/>
  <c r="LRY118" i="263" s="1"/>
  <c r="LRZ6" i="263"/>
  <c r="LRZ118" i="263" s="1"/>
  <c r="LSA6" i="263"/>
  <c r="LSA118" i="263" s="1"/>
  <c r="LSB6" i="263"/>
  <c r="LSB118" i="263" s="1"/>
  <c r="LSC6" i="263"/>
  <c r="LSC118" i="263" s="1"/>
  <c r="LSD6" i="263"/>
  <c r="LSD118" i="263" s="1"/>
  <c r="LSE6" i="263"/>
  <c r="LSE118" i="263" s="1"/>
  <c r="LSF6" i="263"/>
  <c r="LSF118" i="263" s="1"/>
  <c r="LSG6" i="263"/>
  <c r="LSG118" i="263" s="1"/>
  <c r="LSH6" i="263"/>
  <c r="LSH118" i="263" s="1"/>
  <c r="LSI6" i="263"/>
  <c r="LSI118" i="263" s="1"/>
  <c r="LSJ6" i="263"/>
  <c r="LSJ118" i="263" s="1"/>
  <c r="LSK6" i="263"/>
  <c r="LSK118" i="263" s="1"/>
  <c r="LSL6" i="263"/>
  <c r="LSL118" i="263" s="1"/>
  <c r="LSM6" i="263"/>
  <c r="LSM118" i="263" s="1"/>
  <c r="LSN6" i="263"/>
  <c r="LSN118" i="263" s="1"/>
  <c r="LSO6" i="263"/>
  <c r="LSO118" i="263" s="1"/>
  <c r="LSP6" i="263"/>
  <c r="LSP118" i="263" s="1"/>
  <c r="LSQ6" i="263"/>
  <c r="LSQ118" i="263" s="1"/>
  <c r="LSR6" i="263"/>
  <c r="LSR118" i="263" s="1"/>
  <c r="LSS6" i="263"/>
  <c r="LSS118" i="263" s="1"/>
  <c r="LST6" i="263"/>
  <c r="LST118" i="263" s="1"/>
  <c r="LSU6" i="263"/>
  <c r="LSU118" i="263" s="1"/>
  <c r="LSV6" i="263"/>
  <c r="LSV118" i="263" s="1"/>
  <c r="LSW6" i="263"/>
  <c r="LSW118" i="263" s="1"/>
  <c r="LSX6" i="263"/>
  <c r="LSX118" i="263" s="1"/>
  <c r="LSY6" i="263"/>
  <c r="LSY118" i="263" s="1"/>
  <c r="LSZ6" i="263"/>
  <c r="LSZ118" i="263" s="1"/>
  <c r="LTA6" i="263"/>
  <c r="LTA118" i="263" s="1"/>
  <c r="LTB6" i="263"/>
  <c r="LTB118" i="263" s="1"/>
  <c r="LTC6" i="263"/>
  <c r="LTC118" i="263" s="1"/>
  <c r="LTD6" i="263"/>
  <c r="LTD118" i="263" s="1"/>
  <c r="LTE6" i="263"/>
  <c r="LTE118" i="263" s="1"/>
  <c r="LTF6" i="263"/>
  <c r="LTF118" i="263" s="1"/>
  <c r="LTG6" i="263"/>
  <c r="LTG118" i="263" s="1"/>
  <c r="LTH6" i="263"/>
  <c r="LTH118" i="263" s="1"/>
  <c r="LTI6" i="263"/>
  <c r="LTI118" i="263" s="1"/>
  <c r="LTJ6" i="263"/>
  <c r="LTJ118" i="263" s="1"/>
  <c r="LTK6" i="263"/>
  <c r="LTK118" i="263" s="1"/>
  <c r="LTL6" i="263"/>
  <c r="LTL118" i="263" s="1"/>
  <c r="LTM6" i="263"/>
  <c r="LTM118" i="263" s="1"/>
  <c r="LTN6" i="263"/>
  <c r="LTN118" i="263" s="1"/>
  <c r="LTO6" i="263"/>
  <c r="LTO118" i="263" s="1"/>
  <c r="LTP6" i="263"/>
  <c r="LTP118" i="263" s="1"/>
  <c r="LTQ6" i="263"/>
  <c r="LTQ118" i="263" s="1"/>
  <c r="LTR6" i="263"/>
  <c r="LTR118" i="263" s="1"/>
  <c r="LTS6" i="263"/>
  <c r="LTS118" i="263" s="1"/>
  <c r="LTT6" i="263"/>
  <c r="LTT118" i="263" s="1"/>
  <c r="LTU6" i="263"/>
  <c r="LTU118" i="263" s="1"/>
  <c r="LTV6" i="263"/>
  <c r="LTV118" i="263" s="1"/>
  <c r="LTW6" i="263"/>
  <c r="LTW118" i="263" s="1"/>
  <c r="LTX6" i="263"/>
  <c r="LTX118" i="263" s="1"/>
  <c r="LTY6" i="263"/>
  <c r="LTY118" i="263" s="1"/>
  <c r="LTZ6" i="263"/>
  <c r="LTZ118" i="263" s="1"/>
  <c r="LUA6" i="263"/>
  <c r="LUA118" i="263" s="1"/>
  <c r="LUB6" i="263"/>
  <c r="LUB118" i="263" s="1"/>
  <c r="LUC6" i="263"/>
  <c r="LUC118" i="263" s="1"/>
  <c r="LUD6" i="263"/>
  <c r="LUD118" i="263" s="1"/>
  <c r="LUE6" i="263"/>
  <c r="LUE118" i="263" s="1"/>
  <c r="LUF6" i="263"/>
  <c r="LUF118" i="263" s="1"/>
  <c r="LUG6" i="263"/>
  <c r="LUG118" i="263" s="1"/>
  <c r="LUH6" i="263"/>
  <c r="LUH118" i="263" s="1"/>
  <c r="LUI6" i="263"/>
  <c r="LUI118" i="263" s="1"/>
  <c r="LUJ6" i="263"/>
  <c r="LUJ118" i="263" s="1"/>
  <c r="LUK6" i="263"/>
  <c r="LUK118" i="263" s="1"/>
  <c r="LUL6" i="263"/>
  <c r="LUL118" i="263" s="1"/>
  <c r="LUM6" i="263"/>
  <c r="LUM118" i="263" s="1"/>
  <c r="LUN6" i="263"/>
  <c r="LUN118" i="263" s="1"/>
  <c r="LUO6" i="263"/>
  <c r="LUO118" i="263" s="1"/>
  <c r="LUP6" i="263"/>
  <c r="LUP118" i="263" s="1"/>
  <c r="LUQ6" i="263"/>
  <c r="LUQ118" i="263" s="1"/>
  <c r="LUR6" i="263"/>
  <c r="LUR118" i="263" s="1"/>
  <c r="LUS6" i="263"/>
  <c r="LUS118" i="263" s="1"/>
  <c r="LUT6" i="263"/>
  <c r="LUT118" i="263" s="1"/>
  <c r="LUU6" i="263"/>
  <c r="LUU118" i="263" s="1"/>
  <c r="LUV6" i="263"/>
  <c r="LUV118" i="263" s="1"/>
  <c r="LUW6" i="263"/>
  <c r="LUW118" i="263" s="1"/>
  <c r="LUX6" i="263"/>
  <c r="LUX118" i="263" s="1"/>
  <c r="LUY6" i="263"/>
  <c r="LUY118" i="263" s="1"/>
  <c r="LUZ6" i="263"/>
  <c r="LUZ118" i="263" s="1"/>
  <c r="LVA6" i="263"/>
  <c r="LVA118" i="263" s="1"/>
  <c r="LVB6" i="263"/>
  <c r="LVB118" i="263" s="1"/>
  <c r="LVC6" i="263"/>
  <c r="LVC118" i="263" s="1"/>
  <c r="LVD6" i="263"/>
  <c r="LVD118" i="263" s="1"/>
  <c r="LVE6" i="263"/>
  <c r="LVE118" i="263" s="1"/>
  <c r="LVF6" i="263"/>
  <c r="LVF118" i="263" s="1"/>
  <c r="LVG6" i="263"/>
  <c r="LVG118" i="263" s="1"/>
  <c r="LVH6" i="263"/>
  <c r="LVH118" i="263" s="1"/>
  <c r="LVI6" i="263"/>
  <c r="LVI118" i="263" s="1"/>
  <c r="LVJ6" i="263"/>
  <c r="LVJ118" i="263" s="1"/>
  <c r="LVK6" i="263"/>
  <c r="LVK118" i="263" s="1"/>
  <c r="LVL6" i="263"/>
  <c r="LVL118" i="263" s="1"/>
  <c r="LVM6" i="263"/>
  <c r="LVM118" i="263" s="1"/>
  <c r="LVN6" i="263"/>
  <c r="LVN118" i="263" s="1"/>
  <c r="LVO6" i="263"/>
  <c r="LVO118" i="263" s="1"/>
  <c r="LVP6" i="263"/>
  <c r="LVP118" i="263" s="1"/>
  <c r="LVQ6" i="263"/>
  <c r="LVQ118" i="263" s="1"/>
  <c r="LVR6" i="263"/>
  <c r="LVR118" i="263" s="1"/>
  <c r="LVS6" i="263"/>
  <c r="LVS118" i="263" s="1"/>
  <c r="LVT6" i="263"/>
  <c r="LVT118" i="263" s="1"/>
  <c r="LVU6" i="263"/>
  <c r="LVU118" i="263" s="1"/>
  <c r="LVV6" i="263"/>
  <c r="LVV118" i="263" s="1"/>
  <c r="LVW6" i="263"/>
  <c r="LVW118" i="263" s="1"/>
  <c r="LVX6" i="263"/>
  <c r="LVX118" i="263" s="1"/>
  <c r="LVY6" i="263"/>
  <c r="LVY118" i="263" s="1"/>
  <c r="LVZ6" i="263"/>
  <c r="LVZ118" i="263" s="1"/>
  <c r="LWA6" i="263"/>
  <c r="LWA118" i="263" s="1"/>
  <c r="LWB6" i="263"/>
  <c r="LWB118" i="263" s="1"/>
  <c r="LWC6" i="263"/>
  <c r="LWC118" i="263" s="1"/>
  <c r="LWD6" i="263"/>
  <c r="LWD118" i="263" s="1"/>
  <c r="LWE6" i="263"/>
  <c r="LWE118" i="263" s="1"/>
  <c r="LWF6" i="263"/>
  <c r="LWF118" i="263" s="1"/>
  <c r="LWG6" i="263"/>
  <c r="LWG118" i="263" s="1"/>
  <c r="LWH6" i="263"/>
  <c r="LWH118" i="263" s="1"/>
  <c r="LWI6" i="263"/>
  <c r="LWI118" i="263" s="1"/>
  <c r="LWJ6" i="263"/>
  <c r="LWJ118" i="263" s="1"/>
  <c r="LWK6" i="263"/>
  <c r="LWK118" i="263" s="1"/>
  <c r="LWL6" i="263"/>
  <c r="LWL118" i="263" s="1"/>
  <c r="LWM6" i="263"/>
  <c r="LWM118" i="263" s="1"/>
  <c r="LWN6" i="263"/>
  <c r="LWN118" i="263" s="1"/>
  <c r="LWO6" i="263"/>
  <c r="LWO118" i="263" s="1"/>
  <c r="LWP6" i="263"/>
  <c r="LWP118" i="263" s="1"/>
  <c r="LWQ6" i="263"/>
  <c r="LWQ118" i="263" s="1"/>
  <c r="LWR6" i="263"/>
  <c r="LWR118" i="263" s="1"/>
  <c r="LWS6" i="263"/>
  <c r="LWS118" i="263" s="1"/>
  <c r="LWT6" i="263"/>
  <c r="LWT118" i="263" s="1"/>
  <c r="LWU6" i="263"/>
  <c r="LWU118" i="263" s="1"/>
  <c r="LWV6" i="263"/>
  <c r="LWV118" i="263" s="1"/>
  <c r="LWW6" i="263"/>
  <c r="LWW118" i="263" s="1"/>
  <c r="LWX6" i="263"/>
  <c r="LWX118" i="263" s="1"/>
  <c r="LWY6" i="263"/>
  <c r="LWY118" i="263" s="1"/>
  <c r="LWZ6" i="263"/>
  <c r="LWZ118" i="263" s="1"/>
  <c r="LXA6" i="263"/>
  <c r="LXA118" i="263" s="1"/>
  <c r="LXB6" i="263"/>
  <c r="LXB118" i="263" s="1"/>
  <c r="LXC6" i="263"/>
  <c r="LXC118" i="263" s="1"/>
  <c r="LXD6" i="263"/>
  <c r="LXD118" i="263" s="1"/>
  <c r="LXE6" i="263"/>
  <c r="LXE118" i="263" s="1"/>
  <c r="LXF6" i="263"/>
  <c r="LXF118" i="263" s="1"/>
  <c r="LXG6" i="263"/>
  <c r="LXG118" i="263" s="1"/>
  <c r="LXH6" i="263"/>
  <c r="LXH118" i="263" s="1"/>
  <c r="LXI6" i="263"/>
  <c r="LXI118" i="263" s="1"/>
  <c r="LXJ6" i="263"/>
  <c r="LXJ118" i="263" s="1"/>
  <c r="LXK6" i="263"/>
  <c r="LXK118" i="263" s="1"/>
  <c r="LXL6" i="263"/>
  <c r="LXL118" i="263" s="1"/>
  <c r="LXM6" i="263"/>
  <c r="LXM118" i="263" s="1"/>
  <c r="LXN6" i="263"/>
  <c r="LXN118" i="263" s="1"/>
  <c r="LXO6" i="263"/>
  <c r="LXO118" i="263" s="1"/>
  <c r="LXP6" i="263"/>
  <c r="LXP118" i="263" s="1"/>
  <c r="LXQ6" i="263"/>
  <c r="LXQ118" i="263" s="1"/>
  <c r="LXR6" i="263"/>
  <c r="LXR118" i="263" s="1"/>
  <c r="LXS6" i="263"/>
  <c r="LXS118" i="263" s="1"/>
  <c r="LXT6" i="263"/>
  <c r="LXT118" i="263" s="1"/>
  <c r="LXU6" i="263"/>
  <c r="LXU118" i="263" s="1"/>
  <c r="LXV6" i="263"/>
  <c r="LXV118" i="263" s="1"/>
  <c r="LXW6" i="263"/>
  <c r="LXW118" i="263" s="1"/>
  <c r="LXX6" i="263"/>
  <c r="LXX118" i="263" s="1"/>
  <c r="LXY6" i="263"/>
  <c r="LXY118" i="263" s="1"/>
  <c r="LXZ6" i="263"/>
  <c r="LXZ118" i="263" s="1"/>
  <c r="LYA6" i="263"/>
  <c r="LYA118" i="263" s="1"/>
  <c r="LYB6" i="263"/>
  <c r="LYB118" i="263" s="1"/>
  <c r="LYC6" i="263"/>
  <c r="LYC118" i="263" s="1"/>
  <c r="LYD6" i="263"/>
  <c r="LYD118" i="263" s="1"/>
  <c r="LYE6" i="263"/>
  <c r="LYE118" i="263" s="1"/>
  <c r="LYF6" i="263"/>
  <c r="LYF118" i="263" s="1"/>
  <c r="LYG6" i="263"/>
  <c r="LYG118" i="263" s="1"/>
  <c r="LYH6" i="263"/>
  <c r="LYH118" i="263" s="1"/>
  <c r="LYI6" i="263"/>
  <c r="LYI118" i="263" s="1"/>
  <c r="LYJ6" i="263"/>
  <c r="LYJ118" i="263" s="1"/>
  <c r="LYK6" i="263"/>
  <c r="LYK118" i="263" s="1"/>
  <c r="LYL6" i="263"/>
  <c r="LYL118" i="263" s="1"/>
  <c r="LYM6" i="263"/>
  <c r="LYM118" i="263" s="1"/>
  <c r="LYN6" i="263"/>
  <c r="LYN118" i="263" s="1"/>
  <c r="LYO6" i="263"/>
  <c r="LYO118" i="263" s="1"/>
  <c r="LYP6" i="263"/>
  <c r="LYP118" i="263" s="1"/>
  <c r="LYQ6" i="263"/>
  <c r="LYQ118" i="263" s="1"/>
  <c r="LYR6" i="263"/>
  <c r="LYR118" i="263" s="1"/>
  <c r="LYS6" i="263"/>
  <c r="LYS118" i="263" s="1"/>
  <c r="LYT6" i="263"/>
  <c r="LYT118" i="263" s="1"/>
  <c r="LYU6" i="263"/>
  <c r="LYU118" i="263" s="1"/>
  <c r="LYV6" i="263"/>
  <c r="LYV118" i="263" s="1"/>
  <c r="LYW6" i="263"/>
  <c r="LYW118" i="263" s="1"/>
  <c r="LYX6" i="263"/>
  <c r="LYX118" i="263" s="1"/>
  <c r="LYY6" i="263"/>
  <c r="LYY118" i="263" s="1"/>
  <c r="LYZ6" i="263"/>
  <c r="LYZ118" i="263" s="1"/>
  <c r="LZA6" i="263"/>
  <c r="LZA118" i="263" s="1"/>
  <c r="LZB6" i="263"/>
  <c r="LZB118" i="263" s="1"/>
  <c r="LZC6" i="263"/>
  <c r="LZC118" i="263" s="1"/>
  <c r="LZD6" i="263"/>
  <c r="LZD118" i="263" s="1"/>
  <c r="LZE6" i="263"/>
  <c r="LZE118" i="263" s="1"/>
  <c r="LZF6" i="263"/>
  <c r="LZF118" i="263" s="1"/>
  <c r="LZG6" i="263"/>
  <c r="LZG118" i="263" s="1"/>
  <c r="LZH6" i="263"/>
  <c r="LZH118" i="263" s="1"/>
  <c r="LZI6" i="263"/>
  <c r="LZI118" i="263" s="1"/>
  <c r="LZJ6" i="263"/>
  <c r="LZJ118" i="263" s="1"/>
  <c r="LZK6" i="263"/>
  <c r="LZK118" i="263" s="1"/>
  <c r="LZL6" i="263"/>
  <c r="LZL118" i="263" s="1"/>
  <c r="LZM6" i="263"/>
  <c r="LZM118" i="263" s="1"/>
  <c r="LZN6" i="263"/>
  <c r="LZN118" i="263" s="1"/>
  <c r="LZO6" i="263"/>
  <c r="LZO118" i="263" s="1"/>
  <c r="LZP6" i="263"/>
  <c r="LZP118" i="263" s="1"/>
  <c r="LZQ6" i="263"/>
  <c r="LZQ118" i="263" s="1"/>
  <c r="LZR6" i="263"/>
  <c r="LZR118" i="263" s="1"/>
  <c r="LZS6" i="263"/>
  <c r="LZS118" i="263" s="1"/>
  <c r="LZT6" i="263"/>
  <c r="LZT118" i="263" s="1"/>
  <c r="LZU6" i="263"/>
  <c r="LZU118" i="263" s="1"/>
  <c r="LZV6" i="263"/>
  <c r="LZV118" i="263" s="1"/>
  <c r="LZW6" i="263"/>
  <c r="LZW118" i="263" s="1"/>
  <c r="LZX6" i="263"/>
  <c r="LZX118" i="263" s="1"/>
  <c r="LZY6" i="263"/>
  <c r="LZY118" i="263" s="1"/>
  <c r="LZZ6" i="263"/>
  <c r="LZZ118" i="263" s="1"/>
  <c r="MAA6" i="263"/>
  <c r="MAA118" i="263" s="1"/>
  <c r="MAB6" i="263"/>
  <c r="MAB118" i="263" s="1"/>
  <c r="MAC6" i="263"/>
  <c r="MAC118" i="263" s="1"/>
  <c r="MAD6" i="263"/>
  <c r="MAD118" i="263" s="1"/>
  <c r="MAE6" i="263"/>
  <c r="MAE118" i="263" s="1"/>
  <c r="MAF6" i="263"/>
  <c r="MAF118" i="263" s="1"/>
  <c r="MAG6" i="263"/>
  <c r="MAG118" i="263" s="1"/>
  <c r="MAH6" i="263"/>
  <c r="MAH118" i="263" s="1"/>
  <c r="MAI6" i="263"/>
  <c r="MAI118" i="263" s="1"/>
  <c r="MAJ6" i="263"/>
  <c r="MAJ118" i="263" s="1"/>
  <c r="MAK6" i="263"/>
  <c r="MAK118" i="263" s="1"/>
  <c r="MAL6" i="263"/>
  <c r="MAL118" i="263" s="1"/>
  <c r="MAM6" i="263"/>
  <c r="MAM118" i="263" s="1"/>
  <c r="MAN6" i="263"/>
  <c r="MAN118" i="263" s="1"/>
  <c r="MAO6" i="263"/>
  <c r="MAO118" i="263" s="1"/>
  <c r="MAP6" i="263"/>
  <c r="MAP118" i="263" s="1"/>
  <c r="MAQ6" i="263"/>
  <c r="MAQ118" i="263" s="1"/>
  <c r="MAR6" i="263"/>
  <c r="MAR118" i="263" s="1"/>
  <c r="MAS6" i="263"/>
  <c r="MAS118" i="263" s="1"/>
  <c r="MAT6" i="263"/>
  <c r="MAT118" i="263" s="1"/>
  <c r="MAU6" i="263"/>
  <c r="MAU118" i="263" s="1"/>
  <c r="MAV6" i="263"/>
  <c r="MAV118" i="263" s="1"/>
  <c r="MAW6" i="263"/>
  <c r="MAW118" i="263" s="1"/>
  <c r="MAX6" i="263"/>
  <c r="MAX118" i="263" s="1"/>
  <c r="MAY6" i="263"/>
  <c r="MAY118" i="263" s="1"/>
  <c r="MAZ6" i="263"/>
  <c r="MAZ118" i="263" s="1"/>
  <c r="MBA6" i="263"/>
  <c r="MBA118" i="263" s="1"/>
  <c r="MBB6" i="263"/>
  <c r="MBB118" i="263" s="1"/>
  <c r="MBC6" i="263"/>
  <c r="MBC118" i="263" s="1"/>
  <c r="MBD6" i="263"/>
  <c r="MBD118" i="263" s="1"/>
  <c r="MBE6" i="263"/>
  <c r="MBE118" i="263" s="1"/>
  <c r="MBF6" i="263"/>
  <c r="MBF118" i="263" s="1"/>
  <c r="MBG6" i="263"/>
  <c r="MBG118" i="263" s="1"/>
  <c r="MBH6" i="263"/>
  <c r="MBH118" i="263" s="1"/>
  <c r="MBI6" i="263"/>
  <c r="MBI118" i="263" s="1"/>
  <c r="MBJ6" i="263"/>
  <c r="MBJ118" i="263" s="1"/>
  <c r="MBK6" i="263"/>
  <c r="MBK118" i="263" s="1"/>
  <c r="MBL6" i="263"/>
  <c r="MBL118" i="263" s="1"/>
  <c r="MBM6" i="263"/>
  <c r="MBM118" i="263" s="1"/>
  <c r="MBN6" i="263"/>
  <c r="MBN118" i="263" s="1"/>
  <c r="MBO6" i="263"/>
  <c r="MBO118" i="263" s="1"/>
  <c r="MBP6" i="263"/>
  <c r="MBP118" i="263" s="1"/>
  <c r="MBQ6" i="263"/>
  <c r="MBQ118" i="263" s="1"/>
  <c r="MBR6" i="263"/>
  <c r="MBR118" i="263" s="1"/>
  <c r="MBS6" i="263"/>
  <c r="MBS118" i="263" s="1"/>
  <c r="MBT6" i="263"/>
  <c r="MBT118" i="263" s="1"/>
  <c r="MBU6" i="263"/>
  <c r="MBU118" i="263" s="1"/>
  <c r="MBV6" i="263"/>
  <c r="MBV118" i="263" s="1"/>
  <c r="MBW6" i="263"/>
  <c r="MBW118" i="263" s="1"/>
  <c r="MBX6" i="263"/>
  <c r="MBX118" i="263" s="1"/>
  <c r="MBY6" i="263"/>
  <c r="MBY118" i="263" s="1"/>
  <c r="MBZ6" i="263"/>
  <c r="MBZ118" i="263" s="1"/>
  <c r="MCA6" i="263"/>
  <c r="MCA118" i="263" s="1"/>
  <c r="MCB6" i="263"/>
  <c r="MCB118" i="263" s="1"/>
  <c r="MCC6" i="263"/>
  <c r="MCC118" i="263" s="1"/>
  <c r="MCD6" i="263"/>
  <c r="MCD118" i="263" s="1"/>
  <c r="MCE6" i="263"/>
  <c r="MCE118" i="263" s="1"/>
  <c r="MCF6" i="263"/>
  <c r="MCF118" i="263" s="1"/>
  <c r="MCG6" i="263"/>
  <c r="MCG118" i="263" s="1"/>
  <c r="MCH6" i="263"/>
  <c r="MCH118" i="263" s="1"/>
  <c r="MCI6" i="263"/>
  <c r="MCI118" i="263" s="1"/>
  <c r="MCJ6" i="263"/>
  <c r="MCJ118" i="263" s="1"/>
  <c r="MCK6" i="263"/>
  <c r="MCK118" i="263" s="1"/>
  <c r="MCL6" i="263"/>
  <c r="MCL118" i="263" s="1"/>
  <c r="MCM6" i="263"/>
  <c r="MCM118" i="263" s="1"/>
  <c r="MCN6" i="263"/>
  <c r="MCN118" i="263" s="1"/>
  <c r="MCO6" i="263"/>
  <c r="MCO118" i="263" s="1"/>
  <c r="MCP6" i="263"/>
  <c r="MCP118" i="263" s="1"/>
  <c r="MCQ6" i="263"/>
  <c r="MCQ118" i="263" s="1"/>
  <c r="MCR6" i="263"/>
  <c r="MCR118" i="263" s="1"/>
  <c r="MCS6" i="263"/>
  <c r="MCS118" i="263" s="1"/>
  <c r="MCT6" i="263"/>
  <c r="MCT118" i="263" s="1"/>
  <c r="MCU6" i="263"/>
  <c r="MCU118" i="263" s="1"/>
  <c r="MCV6" i="263"/>
  <c r="MCV118" i="263" s="1"/>
  <c r="MCW6" i="263"/>
  <c r="MCW118" i="263" s="1"/>
  <c r="MCX6" i="263"/>
  <c r="MCX118" i="263" s="1"/>
  <c r="MCY6" i="263"/>
  <c r="MCY118" i="263" s="1"/>
  <c r="MCZ6" i="263"/>
  <c r="MCZ118" i="263" s="1"/>
  <c r="MDA6" i="263"/>
  <c r="MDA118" i="263" s="1"/>
  <c r="MDB6" i="263"/>
  <c r="MDB118" i="263" s="1"/>
  <c r="MDC6" i="263"/>
  <c r="MDC118" i="263" s="1"/>
  <c r="MDD6" i="263"/>
  <c r="MDD118" i="263" s="1"/>
  <c r="MDE6" i="263"/>
  <c r="MDE118" i="263" s="1"/>
  <c r="MDF6" i="263"/>
  <c r="MDF118" i="263" s="1"/>
  <c r="MDG6" i="263"/>
  <c r="MDG118" i="263" s="1"/>
  <c r="MDH6" i="263"/>
  <c r="MDH118" i="263" s="1"/>
  <c r="MDI6" i="263"/>
  <c r="MDI118" i="263" s="1"/>
  <c r="MDJ6" i="263"/>
  <c r="MDJ118" i="263" s="1"/>
  <c r="MDK6" i="263"/>
  <c r="MDK118" i="263" s="1"/>
  <c r="MDL6" i="263"/>
  <c r="MDL118" i="263" s="1"/>
  <c r="MDM6" i="263"/>
  <c r="MDM118" i="263" s="1"/>
  <c r="MDN6" i="263"/>
  <c r="MDN118" i="263" s="1"/>
  <c r="MDO6" i="263"/>
  <c r="MDO118" i="263" s="1"/>
  <c r="MDP6" i="263"/>
  <c r="MDP118" i="263" s="1"/>
  <c r="MDQ6" i="263"/>
  <c r="MDQ118" i="263" s="1"/>
  <c r="MDR6" i="263"/>
  <c r="MDR118" i="263" s="1"/>
  <c r="MDS6" i="263"/>
  <c r="MDS118" i="263" s="1"/>
  <c r="MDT6" i="263"/>
  <c r="MDT118" i="263" s="1"/>
  <c r="MDU6" i="263"/>
  <c r="MDU118" i="263" s="1"/>
  <c r="MDV6" i="263"/>
  <c r="MDV118" i="263" s="1"/>
  <c r="MDW6" i="263"/>
  <c r="MDW118" i="263" s="1"/>
  <c r="MDX6" i="263"/>
  <c r="MDX118" i="263" s="1"/>
  <c r="MDY6" i="263"/>
  <c r="MDY118" i="263" s="1"/>
  <c r="MDZ6" i="263"/>
  <c r="MDZ118" i="263" s="1"/>
  <c r="MEA6" i="263"/>
  <c r="MEA118" i="263" s="1"/>
  <c r="MEB6" i="263"/>
  <c r="MEB118" i="263" s="1"/>
  <c r="MEC6" i="263"/>
  <c r="MEC118" i="263" s="1"/>
  <c r="MED6" i="263"/>
  <c r="MED118" i="263" s="1"/>
  <c r="MEE6" i="263"/>
  <c r="MEE118" i="263" s="1"/>
  <c r="MEF6" i="263"/>
  <c r="MEF118" i="263" s="1"/>
  <c r="MEG6" i="263"/>
  <c r="MEG118" i="263" s="1"/>
  <c r="MEH6" i="263"/>
  <c r="MEH118" i="263" s="1"/>
  <c r="MEI6" i="263"/>
  <c r="MEI118" i="263" s="1"/>
  <c r="MEJ6" i="263"/>
  <c r="MEJ118" i="263" s="1"/>
  <c r="MEK6" i="263"/>
  <c r="MEK118" i="263" s="1"/>
  <c r="MEL6" i="263"/>
  <c r="MEL118" i="263" s="1"/>
  <c r="MEM6" i="263"/>
  <c r="MEM118" i="263" s="1"/>
  <c r="MEN6" i="263"/>
  <c r="MEN118" i="263" s="1"/>
  <c r="MEO6" i="263"/>
  <c r="MEO118" i="263" s="1"/>
  <c r="MEP6" i="263"/>
  <c r="MEP118" i="263" s="1"/>
  <c r="MEQ6" i="263"/>
  <c r="MEQ118" i="263" s="1"/>
  <c r="MER6" i="263"/>
  <c r="MER118" i="263" s="1"/>
  <c r="MES6" i="263"/>
  <c r="MES118" i="263" s="1"/>
  <c r="MET6" i="263"/>
  <c r="MET118" i="263" s="1"/>
  <c r="MEU6" i="263"/>
  <c r="MEU118" i="263" s="1"/>
  <c r="MEV6" i="263"/>
  <c r="MEV118" i="263" s="1"/>
  <c r="MEW6" i="263"/>
  <c r="MEW118" i="263" s="1"/>
  <c r="MEX6" i="263"/>
  <c r="MEX118" i="263" s="1"/>
  <c r="MEY6" i="263"/>
  <c r="MEY118" i="263" s="1"/>
  <c r="MEZ6" i="263"/>
  <c r="MEZ118" i="263" s="1"/>
  <c r="MFA6" i="263"/>
  <c r="MFA118" i="263" s="1"/>
  <c r="MFB6" i="263"/>
  <c r="MFB118" i="263" s="1"/>
  <c r="MFC6" i="263"/>
  <c r="MFC118" i="263" s="1"/>
  <c r="MFD6" i="263"/>
  <c r="MFD118" i="263" s="1"/>
  <c r="MFE6" i="263"/>
  <c r="MFE118" i="263" s="1"/>
  <c r="MFF6" i="263"/>
  <c r="MFF118" i="263" s="1"/>
  <c r="MFG6" i="263"/>
  <c r="MFG118" i="263" s="1"/>
  <c r="MFH6" i="263"/>
  <c r="MFH118" i="263" s="1"/>
  <c r="MFI6" i="263"/>
  <c r="MFI118" i="263" s="1"/>
  <c r="MFJ6" i="263"/>
  <c r="MFJ118" i="263" s="1"/>
  <c r="MFK6" i="263"/>
  <c r="MFK118" i="263" s="1"/>
  <c r="MFL6" i="263"/>
  <c r="MFL118" i="263" s="1"/>
  <c r="MFM6" i="263"/>
  <c r="MFM118" i="263" s="1"/>
  <c r="MFN6" i="263"/>
  <c r="MFN118" i="263" s="1"/>
  <c r="MFO6" i="263"/>
  <c r="MFO118" i="263" s="1"/>
  <c r="MFP6" i="263"/>
  <c r="MFP118" i="263" s="1"/>
  <c r="MFQ6" i="263"/>
  <c r="MFQ118" i="263" s="1"/>
  <c r="MFR6" i="263"/>
  <c r="MFR118" i="263" s="1"/>
  <c r="MFS6" i="263"/>
  <c r="MFS118" i="263" s="1"/>
  <c r="MFT6" i="263"/>
  <c r="MFT118" i="263" s="1"/>
  <c r="MFU6" i="263"/>
  <c r="MFU118" i="263" s="1"/>
  <c r="MFV6" i="263"/>
  <c r="MFV118" i="263" s="1"/>
  <c r="MFW6" i="263"/>
  <c r="MFW118" i="263" s="1"/>
  <c r="MFX6" i="263"/>
  <c r="MFX118" i="263" s="1"/>
  <c r="MFY6" i="263"/>
  <c r="MFY118" i="263" s="1"/>
  <c r="MFZ6" i="263"/>
  <c r="MFZ118" i="263" s="1"/>
  <c r="MGA6" i="263"/>
  <c r="MGA118" i="263" s="1"/>
  <c r="MGB6" i="263"/>
  <c r="MGB118" i="263" s="1"/>
  <c r="MGC6" i="263"/>
  <c r="MGC118" i="263" s="1"/>
  <c r="MGD6" i="263"/>
  <c r="MGD118" i="263" s="1"/>
  <c r="MGE6" i="263"/>
  <c r="MGE118" i="263" s="1"/>
  <c r="MGF6" i="263"/>
  <c r="MGF118" i="263" s="1"/>
  <c r="MGG6" i="263"/>
  <c r="MGG118" i="263" s="1"/>
  <c r="MGH6" i="263"/>
  <c r="MGH118" i="263" s="1"/>
  <c r="MGI6" i="263"/>
  <c r="MGI118" i="263" s="1"/>
  <c r="MGJ6" i="263"/>
  <c r="MGJ118" i="263" s="1"/>
  <c r="MGK6" i="263"/>
  <c r="MGK118" i="263" s="1"/>
  <c r="MGL6" i="263"/>
  <c r="MGL118" i="263" s="1"/>
  <c r="MGM6" i="263"/>
  <c r="MGM118" i="263" s="1"/>
  <c r="MGN6" i="263"/>
  <c r="MGN118" i="263" s="1"/>
  <c r="MGO6" i="263"/>
  <c r="MGO118" i="263" s="1"/>
  <c r="MGP6" i="263"/>
  <c r="MGP118" i="263" s="1"/>
  <c r="MGQ6" i="263"/>
  <c r="MGQ118" i="263" s="1"/>
  <c r="MGR6" i="263"/>
  <c r="MGR118" i="263" s="1"/>
  <c r="MGS6" i="263"/>
  <c r="MGS118" i="263" s="1"/>
  <c r="MGT6" i="263"/>
  <c r="MGT118" i="263" s="1"/>
  <c r="MGU6" i="263"/>
  <c r="MGU118" i="263" s="1"/>
  <c r="MGV6" i="263"/>
  <c r="MGV118" i="263" s="1"/>
  <c r="MGW6" i="263"/>
  <c r="MGW118" i="263" s="1"/>
  <c r="MGX6" i="263"/>
  <c r="MGX118" i="263" s="1"/>
  <c r="MGY6" i="263"/>
  <c r="MGY118" i="263" s="1"/>
  <c r="MGZ6" i="263"/>
  <c r="MGZ118" i="263" s="1"/>
  <c r="MHA6" i="263"/>
  <c r="MHA118" i="263" s="1"/>
  <c r="MHB6" i="263"/>
  <c r="MHB118" i="263" s="1"/>
  <c r="MHC6" i="263"/>
  <c r="MHC118" i="263" s="1"/>
  <c r="MHD6" i="263"/>
  <c r="MHD118" i="263" s="1"/>
  <c r="MHE6" i="263"/>
  <c r="MHE118" i="263" s="1"/>
  <c r="MHF6" i="263"/>
  <c r="MHF118" i="263" s="1"/>
  <c r="MHG6" i="263"/>
  <c r="MHG118" i="263" s="1"/>
  <c r="MHH6" i="263"/>
  <c r="MHH118" i="263" s="1"/>
  <c r="MHI6" i="263"/>
  <c r="MHI118" i="263" s="1"/>
  <c r="MHJ6" i="263"/>
  <c r="MHJ118" i="263" s="1"/>
  <c r="MHK6" i="263"/>
  <c r="MHK118" i="263" s="1"/>
  <c r="MHL6" i="263"/>
  <c r="MHL118" i="263" s="1"/>
  <c r="MHM6" i="263"/>
  <c r="MHM118" i="263" s="1"/>
  <c r="MHN6" i="263"/>
  <c r="MHN118" i="263" s="1"/>
  <c r="MHO6" i="263"/>
  <c r="MHO118" i="263" s="1"/>
  <c r="MHP6" i="263"/>
  <c r="MHP118" i="263" s="1"/>
  <c r="MHQ6" i="263"/>
  <c r="MHQ118" i="263" s="1"/>
  <c r="MHR6" i="263"/>
  <c r="MHR118" i="263" s="1"/>
  <c r="MHS6" i="263"/>
  <c r="MHS118" i="263" s="1"/>
  <c r="MHT6" i="263"/>
  <c r="MHT118" i="263" s="1"/>
  <c r="MHU6" i="263"/>
  <c r="MHU118" i="263" s="1"/>
  <c r="MHV6" i="263"/>
  <c r="MHV118" i="263" s="1"/>
  <c r="MHW6" i="263"/>
  <c r="MHW118" i="263" s="1"/>
  <c r="MHX6" i="263"/>
  <c r="MHX118" i="263" s="1"/>
  <c r="MHY6" i="263"/>
  <c r="MHY118" i="263" s="1"/>
  <c r="MHZ6" i="263"/>
  <c r="MHZ118" i="263" s="1"/>
  <c r="MIA6" i="263"/>
  <c r="MIA118" i="263" s="1"/>
  <c r="MIB6" i="263"/>
  <c r="MIB118" i="263" s="1"/>
  <c r="MIC6" i="263"/>
  <c r="MIC118" i="263" s="1"/>
  <c r="MID6" i="263"/>
  <c r="MID118" i="263" s="1"/>
  <c r="MIE6" i="263"/>
  <c r="MIE118" i="263" s="1"/>
  <c r="MIF6" i="263"/>
  <c r="MIF118" i="263" s="1"/>
  <c r="MIG6" i="263"/>
  <c r="MIG118" i="263" s="1"/>
  <c r="MIH6" i="263"/>
  <c r="MIH118" i="263" s="1"/>
  <c r="MII6" i="263"/>
  <c r="MII118" i="263" s="1"/>
  <c r="MIJ6" i="263"/>
  <c r="MIJ118" i="263" s="1"/>
  <c r="MIK6" i="263"/>
  <c r="MIK118" i="263" s="1"/>
  <c r="MIL6" i="263"/>
  <c r="MIL118" i="263" s="1"/>
  <c r="MIM6" i="263"/>
  <c r="MIM118" i="263" s="1"/>
  <c r="MIN6" i="263"/>
  <c r="MIN118" i="263" s="1"/>
  <c r="MIO6" i="263"/>
  <c r="MIO118" i="263" s="1"/>
  <c r="MIP6" i="263"/>
  <c r="MIP118" i="263" s="1"/>
  <c r="MIQ6" i="263"/>
  <c r="MIQ118" i="263" s="1"/>
  <c r="MIR6" i="263"/>
  <c r="MIR118" i="263" s="1"/>
  <c r="MIS6" i="263"/>
  <c r="MIS118" i="263" s="1"/>
  <c r="MIT6" i="263"/>
  <c r="MIT118" i="263" s="1"/>
  <c r="MIU6" i="263"/>
  <c r="MIU118" i="263" s="1"/>
  <c r="MIV6" i="263"/>
  <c r="MIV118" i="263" s="1"/>
  <c r="MIW6" i="263"/>
  <c r="MIW118" i="263" s="1"/>
  <c r="MIX6" i="263"/>
  <c r="MIX118" i="263" s="1"/>
  <c r="MIY6" i="263"/>
  <c r="MIY118" i="263" s="1"/>
  <c r="MIZ6" i="263"/>
  <c r="MIZ118" i="263" s="1"/>
  <c r="MJA6" i="263"/>
  <c r="MJA118" i="263" s="1"/>
  <c r="MJB6" i="263"/>
  <c r="MJB118" i="263" s="1"/>
  <c r="MJC6" i="263"/>
  <c r="MJC118" i="263" s="1"/>
  <c r="MJD6" i="263"/>
  <c r="MJD118" i="263" s="1"/>
  <c r="MJE6" i="263"/>
  <c r="MJE118" i="263" s="1"/>
  <c r="MJF6" i="263"/>
  <c r="MJF118" i="263" s="1"/>
  <c r="MJG6" i="263"/>
  <c r="MJG118" i="263" s="1"/>
  <c r="MJH6" i="263"/>
  <c r="MJH118" i="263" s="1"/>
  <c r="MJI6" i="263"/>
  <c r="MJI118" i="263" s="1"/>
  <c r="MJJ6" i="263"/>
  <c r="MJJ118" i="263" s="1"/>
  <c r="MJK6" i="263"/>
  <c r="MJK118" i="263" s="1"/>
  <c r="MJL6" i="263"/>
  <c r="MJL118" i="263" s="1"/>
  <c r="MJM6" i="263"/>
  <c r="MJM118" i="263" s="1"/>
  <c r="MJN6" i="263"/>
  <c r="MJN118" i="263" s="1"/>
  <c r="MJO6" i="263"/>
  <c r="MJO118" i="263" s="1"/>
  <c r="MJP6" i="263"/>
  <c r="MJP118" i="263" s="1"/>
  <c r="MJQ6" i="263"/>
  <c r="MJQ118" i="263" s="1"/>
  <c r="MJR6" i="263"/>
  <c r="MJR118" i="263" s="1"/>
  <c r="MJS6" i="263"/>
  <c r="MJS118" i="263" s="1"/>
  <c r="MJT6" i="263"/>
  <c r="MJT118" i="263" s="1"/>
  <c r="MJU6" i="263"/>
  <c r="MJU118" i="263" s="1"/>
  <c r="MJV6" i="263"/>
  <c r="MJV118" i="263" s="1"/>
  <c r="MJW6" i="263"/>
  <c r="MJW118" i="263" s="1"/>
  <c r="MJX6" i="263"/>
  <c r="MJX118" i="263" s="1"/>
  <c r="MJY6" i="263"/>
  <c r="MJY118" i="263" s="1"/>
  <c r="MJZ6" i="263"/>
  <c r="MJZ118" i="263" s="1"/>
  <c r="MKA6" i="263"/>
  <c r="MKA118" i="263" s="1"/>
  <c r="MKB6" i="263"/>
  <c r="MKB118" i="263" s="1"/>
  <c r="MKC6" i="263"/>
  <c r="MKC118" i="263" s="1"/>
  <c r="MKD6" i="263"/>
  <c r="MKD118" i="263" s="1"/>
  <c r="MKE6" i="263"/>
  <c r="MKE118" i="263" s="1"/>
  <c r="MKF6" i="263"/>
  <c r="MKF118" i="263" s="1"/>
  <c r="MKG6" i="263"/>
  <c r="MKG118" i="263" s="1"/>
  <c r="MKH6" i="263"/>
  <c r="MKH118" i="263" s="1"/>
  <c r="MKI6" i="263"/>
  <c r="MKI118" i="263" s="1"/>
  <c r="MKJ6" i="263"/>
  <c r="MKJ118" i="263" s="1"/>
  <c r="MKK6" i="263"/>
  <c r="MKK118" i="263" s="1"/>
  <c r="MKL6" i="263"/>
  <c r="MKL118" i="263" s="1"/>
  <c r="MKM6" i="263"/>
  <c r="MKM118" i="263" s="1"/>
  <c r="MKN6" i="263"/>
  <c r="MKN118" i="263" s="1"/>
  <c r="MKO6" i="263"/>
  <c r="MKO118" i="263" s="1"/>
  <c r="MKP6" i="263"/>
  <c r="MKP118" i="263" s="1"/>
  <c r="MKQ6" i="263"/>
  <c r="MKQ118" i="263" s="1"/>
  <c r="MKR6" i="263"/>
  <c r="MKR118" i="263" s="1"/>
  <c r="MKS6" i="263"/>
  <c r="MKS118" i="263" s="1"/>
  <c r="MKT6" i="263"/>
  <c r="MKT118" i="263" s="1"/>
  <c r="MKU6" i="263"/>
  <c r="MKU118" i="263" s="1"/>
  <c r="MKV6" i="263"/>
  <c r="MKV118" i="263" s="1"/>
  <c r="MKW6" i="263"/>
  <c r="MKW118" i="263" s="1"/>
  <c r="MKX6" i="263"/>
  <c r="MKX118" i="263" s="1"/>
  <c r="MKY6" i="263"/>
  <c r="MKY118" i="263" s="1"/>
  <c r="MKZ6" i="263"/>
  <c r="MKZ118" i="263" s="1"/>
  <c r="MLA6" i="263"/>
  <c r="MLA118" i="263" s="1"/>
  <c r="MLB6" i="263"/>
  <c r="MLB118" i="263" s="1"/>
  <c r="MLC6" i="263"/>
  <c r="MLC118" i="263" s="1"/>
  <c r="MLD6" i="263"/>
  <c r="MLD118" i="263" s="1"/>
  <c r="MLE6" i="263"/>
  <c r="MLE118" i="263" s="1"/>
  <c r="MLF6" i="263"/>
  <c r="MLF118" i="263" s="1"/>
  <c r="MLG6" i="263"/>
  <c r="MLG118" i="263" s="1"/>
  <c r="MLH6" i="263"/>
  <c r="MLH118" i="263" s="1"/>
  <c r="MLI6" i="263"/>
  <c r="MLI118" i="263" s="1"/>
  <c r="MLJ6" i="263"/>
  <c r="MLJ118" i="263" s="1"/>
  <c r="MLK6" i="263"/>
  <c r="MLK118" i="263" s="1"/>
  <c r="MLL6" i="263"/>
  <c r="MLL118" i="263" s="1"/>
  <c r="MLM6" i="263"/>
  <c r="MLM118" i="263" s="1"/>
  <c r="MLN6" i="263"/>
  <c r="MLN118" i="263" s="1"/>
  <c r="MLO6" i="263"/>
  <c r="MLO118" i="263" s="1"/>
  <c r="MLP6" i="263"/>
  <c r="MLP118" i="263" s="1"/>
  <c r="MLQ6" i="263"/>
  <c r="MLQ118" i="263" s="1"/>
  <c r="MLR6" i="263"/>
  <c r="MLR118" i="263" s="1"/>
  <c r="MLS6" i="263"/>
  <c r="MLS118" i="263" s="1"/>
  <c r="MLT6" i="263"/>
  <c r="MLT118" i="263" s="1"/>
  <c r="MLU6" i="263"/>
  <c r="MLU118" i="263" s="1"/>
  <c r="MLV6" i="263"/>
  <c r="MLV118" i="263" s="1"/>
  <c r="MLW6" i="263"/>
  <c r="MLW118" i="263" s="1"/>
  <c r="MLX6" i="263"/>
  <c r="MLX118" i="263" s="1"/>
  <c r="MLY6" i="263"/>
  <c r="MLY118" i="263" s="1"/>
  <c r="MLZ6" i="263"/>
  <c r="MLZ118" i="263" s="1"/>
  <c r="MMA6" i="263"/>
  <c r="MMA118" i="263" s="1"/>
  <c r="MMB6" i="263"/>
  <c r="MMB118" i="263" s="1"/>
  <c r="MMC6" i="263"/>
  <c r="MMC118" i="263" s="1"/>
  <c r="MMD6" i="263"/>
  <c r="MMD118" i="263" s="1"/>
  <c r="MME6" i="263"/>
  <c r="MME118" i="263" s="1"/>
  <c r="MMF6" i="263"/>
  <c r="MMF118" i="263" s="1"/>
  <c r="MMG6" i="263"/>
  <c r="MMG118" i="263" s="1"/>
  <c r="MMH6" i="263"/>
  <c r="MMH118" i="263" s="1"/>
  <c r="MMI6" i="263"/>
  <c r="MMI118" i="263" s="1"/>
  <c r="MMJ6" i="263"/>
  <c r="MMJ118" i="263" s="1"/>
  <c r="MMK6" i="263"/>
  <c r="MMK118" i="263" s="1"/>
  <c r="MML6" i="263"/>
  <c r="MML118" i="263" s="1"/>
  <c r="MMM6" i="263"/>
  <c r="MMM118" i="263" s="1"/>
  <c r="MMN6" i="263"/>
  <c r="MMN118" i="263" s="1"/>
  <c r="MMO6" i="263"/>
  <c r="MMO118" i="263" s="1"/>
  <c r="MMP6" i="263"/>
  <c r="MMP118" i="263" s="1"/>
  <c r="MMQ6" i="263"/>
  <c r="MMQ118" i="263" s="1"/>
  <c r="MMR6" i="263"/>
  <c r="MMR118" i="263" s="1"/>
  <c r="MMS6" i="263"/>
  <c r="MMS118" i="263" s="1"/>
  <c r="MMT6" i="263"/>
  <c r="MMT118" i="263" s="1"/>
  <c r="MMU6" i="263"/>
  <c r="MMU118" i="263" s="1"/>
  <c r="MMV6" i="263"/>
  <c r="MMV118" i="263" s="1"/>
  <c r="MMW6" i="263"/>
  <c r="MMW118" i="263" s="1"/>
  <c r="MMX6" i="263"/>
  <c r="MMX118" i="263" s="1"/>
  <c r="MMY6" i="263"/>
  <c r="MMY118" i="263" s="1"/>
  <c r="MMZ6" i="263"/>
  <c r="MMZ118" i="263" s="1"/>
  <c r="MNA6" i="263"/>
  <c r="MNA118" i="263" s="1"/>
  <c r="MNB6" i="263"/>
  <c r="MNB118" i="263" s="1"/>
  <c r="MNC6" i="263"/>
  <c r="MNC118" i="263" s="1"/>
  <c r="MND6" i="263"/>
  <c r="MND118" i="263" s="1"/>
  <c r="MNE6" i="263"/>
  <c r="MNE118" i="263" s="1"/>
  <c r="MNF6" i="263"/>
  <c r="MNF118" i="263" s="1"/>
  <c r="MNG6" i="263"/>
  <c r="MNG118" i="263" s="1"/>
  <c r="MNH6" i="263"/>
  <c r="MNH118" i="263" s="1"/>
  <c r="MNI6" i="263"/>
  <c r="MNI118" i="263" s="1"/>
  <c r="MNJ6" i="263"/>
  <c r="MNJ118" i="263" s="1"/>
  <c r="MNK6" i="263"/>
  <c r="MNK118" i="263" s="1"/>
  <c r="MNL6" i="263"/>
  <c r="MNL118" i="263" s="1"/>
  <c r="MNM6" i="263"/>
  <c r="MNM118" i="263" s="1"/>
  <c r="MNN6" i="263"/>
  <c r="MNN118" i="263" s="1"/>
  <c r="MNO6" i="263"/>
  <c r="MNO118" i="263" s="1"/>
  <c r="MNP6" i="263"/>
  <c r="MNP118" i="263" s="1"/>
  <c r="MNQ6" i="263"/>
  <c r="MNQ118" i="263" s="1"/>
  <c r="MNR6" i="263"/>
  <c r="MNR118" i="263" s="1"/>
  <c r="MNS6" i="263"/>
  <c r="MNS118" i="263" s="1"/>
  <c r="MNT6" i="263"/>
  <c r="MNT118" i="263" s="1"/>
  <c r="MNU6" i="263"/>
  <c r="MNU118" i="263" s="1"/>
  <c r="MNV6" i="263"/>
  <c r="MNV118" i="263" s="1"/>
  <c r="MNW6" i="263"/>
  <c r="MNW118" i="263" s="1"/>
  <c r="MNX6" i="263"/>
  <c r="MNX118" i="263" s="1"/>
  <c r="MNY6" i="263"/>
  <c r="MNY118" i="263" s="1"/>
  <c r="MNZ6" i="263"/>
  <c r="MNZ118" i="263" s="1"/>
  <c r="MOA6" i="263"/>
  <c r="MOA118" i="263" s="1"/>
  <c r="MOB6" i="263"/>
  <c r="MOB118" i="263" s="1"/>
  <c r="MOC6" i="263"/>
  <c r="MOC118" i="263" s="1"/>
  <c r="MOD6" i="263"/>
  <c r="MOD118" i="263" s="1"/>
  <c r="MOE6" i="263"/>
  <c r="MOE118" i="263" s="1"/>
  <c r="MOF6" i="263"/>
  <c r="MOF118" i="263" s="1"/>
  <c r="MOG6" i="263"/>
  <c r="MOG118" i="263" s="1"/>
  <c r="MOH6" i="263"/>
  <c r="MOH118" i="263" s="1"/>
  <c r="MOI6" i="263"/>
  <c r="MOI118" i="263" s="1"/>
  <c r="MOJ6" i="263"/>
  <c r="MOJ118" i="263" s="1"/>
  <c r="MOK6" i="263"/>
  <c r="MOK118" i="263" s="1"/>
  <c r="MOL6" i="263"/>
  <c r="MOL118" i="263" s="1"/>
  <c r="MOM6" i="263"/>
  <c r="MOM118" i="263" s="1"/>
  <c r="MON6" i="263"/>
  <c r="MON118" i="263" s="1"/>
  <c r="MOO6" i="263"/>
  <c r="MOO118" i="263" s="1"/>
  <c r="MOP6" i="263"/>
  <c r="MOP118" i="263" s="1"/>
  <c r="MOQ6" i="263"/>
  <c r="MOQ118" i="263" s="1"/>
  <c r="MOR6" i="263"/>
  <c r="MOR118" i="263" s="1"/>
  <c r="MOS6" i="263"/>
  <c r="MOS118" i="263" s="1"/>
  <c r="MOT6" i="263"/>
  <c r="MOT118" i="263" s="1"/>
  <c r="MOU6" i="263"/>
  <c r="MOU118" i="263" s="1"/>
  <c r="MOV6" i="263"/>
  <c r="MOV118" i="263" s="1"/>
  <c r="MOW6" i="263"/>
  <c r="MOW118" i="263" s="1"/>
  <c r="MOX6" i="263"/>
  <c r="MOX118" i="263" s="1"/>
  <c r="MOY6" i="263"/>
  <c r="MOY118" i="263" s="1"/>
  <c r="MOZ6" i="263"/>
  <c r="MOZ118" i="263" s="1"/>
  <c r="MPA6" i="263"/>
  <c r="MPA118" i="263" s="1"/>
  <c r="MPB6" i="263"/>
  <c r="MPB118" i="263" s="1"/>
  <c r="MPC6" i="263"/>
  <c r="MPC118" i="263" s="1"/>
  <c r="MPD6" i="263"/>
  <c r="MPD118" i="263" s="1"/>
  <c r="MPE6" i="263"/>
  <c r="MPE118" i="263" s="1"/>
  <c r="MPF6" i="263"/>
  <c r="MPF118" i="263" s="1"/>
  <c r="MPG6" i="263"/>
  <c r="MPG118" i="263" s="1"/>
  <c r="MPH6" i="263"/>
  <c r="MPH118" i="263" s="1"/>
  <c r="MPI6" i="263"/>
  <c r="MPI118" i="263" s="1"/>
  <c r="MPJ6" i="263"/>
  <c r="MPJ118" i="263" s="1"/>
  <c r="MPK6" i="263"/>
  <c r="MPK118" i="263" s="1"/>
  <c r="MPL6" i="263"/>
  <c r="MPL118" i="263" s="1"/>
  <c r="MPM6" i="263"/>
  <c r="MPM118" i="263" s="1"/>
  <c r="MPN6" i="263"/>
  <c r="MPN118" i="263" s="1"/>
  <c r="MPO6" i="263"/>
  <c r="MPO118" i="263" s="1"/>
  <c r="MPP6" i="263"/>
  <c r="MPP118" i="263" s="1"/>
  <c r="MPQ6" i="263"/>
  <c r="MPQ118" i="263" s="1"/>
  <c r="MPR6" i="263"/>
  <c r="MPR118" i="263" s="1"/>
  <c r="MPS6" i="263"/>
  <c r="MPS118" i="263" s="1"/>
  <c r="MPT6" i="263"/>
  <c r="MPT118" i="263" s="1"/>
  <c r="MPU6" i="263"/>
  <c r="MPU118" i="263" s="1"/>
  <c r="MPV6" i="263"/>
  <c r="MPV118" i="263" s="1"/>
  <c r="MPW6" i="263"/>
  <c r="MPW118" i="263" s="1"/>
  <c r="MPX6" i="263"/>
  <c r="MPX118" i="263" s="1"/>
  <c r="MPY6" i="263"/>
  <c r="MPY118" i="263" s="1"/>
  <c r="MPZ6" i="263"/>
  <c r="MPZ118" i="263" s="1"/>
  <c r="MQA6" i="263"/>
  <c r="MQA118" i="263" s="1"/>
  <c r="MQB6" i="263"/>
  <c r="MQB118" i="263" s="1"/>
  <c r="MQC6" i="263"/>
  <c r="MQC118" i="263" s="1"/>
  <c r="MQD6" i="263"/>
  <c r="MQD118" i="263" s="1"/>
  <c r="MQE6" i="263"/>
  <c r="MQE118" i="263" s="1"/>
  <c r="MQF6" i="263"/>
  <c r="MQF118" i="263" s="1"/>
  <c r="MQG6" i="263"/>
  <c r="MQG118" i="263" s="1"/>
  <c r="MQH6" i="263"/>
  <c r="MQH118" i="263" s="1"/>
  <c r="MQI6" i="263"/>
  <c r="MQI118" i="263" s="1"/>
  <c r="MQJ6" i="263"/>
  <c r="MQJ118" i="263" s="1"/>
  <c r="MQK6" i="263"/>
  <c r="MQK118" i="263" s="1"/>
  <c r="MQL6" i="263"/>
  <c r="MQL118" i="263" s="1"/>
  <c r="MQM6" i="263"/>
  <c r="MQM118" i="263" s="1"/>
  <c r="MQN6" i="263"/>
  <c r="MQN118" i="263" s="1"/>
  <c r="MQO6" i="263"/>
  <c r="MQO118" i="263" s="1"/>
  <c r="MQP6" i="263"/>
  <c r="MQP118" i="263" s="1"/>
  <c r="MQQ6" i="263"/>
  <c r="MQQ118" i="263" s="1"/>
  <c r="MQR6" i="263"/>
  <c r="MQR118" i="263" s="1"/>
  <c r="MQS6" i="263"/>
  <c r="MQS118" i="263" s="1"/>
  <c r="MQT6" i="263"/>
  <c r="MQT118" i="263" s="1"/>
  <c r="MQU6" i="263"/>
  <c r="MQU118" i="263" s="1"/>
  <c r="MQV6" i="263"/>
  <c r="MQV118" i="263" s="1"/>
  <c r="MQW6" i="263"/>
  <c r="MQW118" i="263" s="1"/>
  <c r="MQX6" i="263"/>
  <c r="MQX118" i="263" s="1"/>
  <c r="MQY6" i="263"/>
  <c r="MQY118" i="263" s="1"/>
  <c r="MQZ6" i="263"/>
  <c r="MQZ118" i="263" s="1"/>
  <c r="MRA6" i="263"/>
  <c r="MRA118" i="263" s="1"/>
  <c r="MRB6" i="263"/>
  <c r="MRB118" i="263" s="1"/>
  <c r="MRC6" i="263"/>
  <c r="MRC118" i="263" s="1"/>
  <c r="MRD6" i="263"/>
  <c r="MRD118" i="263" s="1"/>
  <c r="MRE6" i="263"/>
  <c r="MRE118" i="263" s="1"/>
  <c r="MRF6" i="263"/>
  <c r="MRF118" i="263" s="1"/>
  <c r="MRG6" i="263"/>
  <c r="MRG118" i="263" s="1"/>
  <c r="MRH6" i="263"/>
  <c r="MRH118" i="263" s="1"/>
  <c r="MRI6" i="263"/>
  <c r="MRI118" i="263" s="1"/>
  <c r="MRJ6" i="263"/>
  <c r="MRJ118" i="263" s="1"/>
  <c r="MRK6" i="263"/>
  <c r="MRK118" i="263" s="1"/>
  <c r="MRL6" i="263"/>
  <c r="MRL118" i="263" s="1"/>
  <c r="MRM6" i="263"/>
  <c r="MRM118" i="263" s="1"/>
  <c r="MRN6" i="263"/>
  <c r="MRN118" i="263" s="1"/>
  <c r="MRO6" i="263"/>
  <c r="MRO118" i="263" s="1"/>
  <c r="MRP6" i="263"/>
  <c r="MRP118" i="263" s="1"/>
  <c r="MRQ6" i="263"/>
  <c r="MRQ118" i="263" s="1"/>
  <c r="MRR6" i="263"/>
  <c r="MRR118" i="263" s="1"/>
  <c r="MRS6" i="263"/>
  <c r="MRS118" i="263" s="1"/>
  <c r="MRT6" i="263"/>
  <c r="MRT118" i="263" s="1"/>
  <c r="MRU6" i="263"/>
  <c r="MRU118" i="263" s="1"/>
  <c r="MRV6" i="263"/>
  <c r="MRV118" i="263" s="1"/>
  <c r="MRW6" i="263"/>
  <c r="MRW118" i="263" s="1"/>
  <c r="MRX6" i="263"/>
  <c r="MRX118" i="263" s="1"/>
  <c r="MRY6" i="263"/>
  <c r="MRY118" i="263" s="1"/>
  <c r="MRZ6" i="263"/>
  <c r="MRZ118" i="263" s="1"/>
  <c r="MSA6" i="263"/>
  <c r="MSA118" i="263" s="1"/>
  <c r="MSB6" i="263"/>
  <c r="MSB118" i="263" s="1"/>
  <c r="MSC6" i="263"/>
  <c r="MSC118" i="263" s="1"/>
  <c r="MSD6" i="263"/>
  <c r="MSD118" i="263" s="1"/>
  <c r="MSE6" i="263"/>
  <c r="MSE118" i="263" s="1"/>
  <c r="MSF6" i="263"/>
  <c r="MSF118" i="263" s="1"/>
  <c r="MSG6" i="263"/>
  <c r="MSG118" i="263" s="1"/>
  <c r="MSH6" i="263"/>
  <c r="MSH118" i="263" s="1"/>
  <c r="MSI6" i="263"/>
  <c r="MSI118" i="263" s="1"/>
  <c r="MSJ6" i="263"/>
  <c r="MSJ118" i="263" s="1"/>
  <c r="MSK6" i="263"/>
  <c r="MSK118" i="263" s="1"/>
  <c r="MSL6" i="263"/>
  <c r="MSL118" i="263" s="1"/>
  <c r="MSM6" i="263"/>
  <c r="MSM118" i="263" s="1"/>
  <c r="MSN6" i="263"/>
  <c r="MSN118" i="263" s="1"/>
  <c r="MSO6" i="263"/>
  <c r="MSO118" i="263" s="1"/>
  <c r="MSP6" i="263"/>
  <c r="MSP118" i="263" s="1"/>
  <c r="MSQ6" i="263"/>
  <c r="MSQ118" i="263" s="1"/>
  <c r="MSR6" i="263"/>
  <c r="MSR118" i="263" s="1"/>
  <c r="MSS6" i="263"/>
  <c r="MSS118" i="263" s="1"/>
  <c r="MST6" i="263"/>
  <c r="MST118" i="263" s="1"/>
  <c r="MSU6" i="263"/>
  <c r="MSU118" i="263" s="1"/>
  <c r="MSV6" i="263"/>
  <c r="MSV118" i="263" s="1"/>
  <c r="MSW6" i="263"/>
  <c r="MSW118" i="263" s="1"/>
  <c r="MSX6" i="263"/>
  <c r="MSX118" i="263" s="1"/>
  <c r="MSY6" i="263"/>
  <c r="MSY118" i="263" s="1"/>
  <c r="MSZ6" i="263"/>
  <c r="MSZ118" i="263" s="1"/>
  <c r="MTA6" i="263"/>
  <c r="MTA118" i="263" s="1"/>
  <c r="MTB6" i="263"/>
  <c r="MTB118" i="263" s="1"/>
  <c r="MTC6" i="263"/>
  <c r="MTC118" i="263" s="1"/>
  <c r="MTD6" i="263"/>
  <c r="MTD118" i="263" s="1"/>
  <c r="MTE6" i="263"/>
  <c r="MTE118" i="263" s="1"/>
  <c r="MTF6" i="263"/>
  <c r="MTF118" i="263" s="1"/>
  <c r="MTG6" i="263"/>
  <c r="MTG118" i="263" s="1"/>
  <c r="MTH6" i="263"/>
  <c r="MTH118" i="263" s="1"/>
  <c r="MTI6" i="263"/>
  <c r="MTI118" i="263" s="1"/>
  <c r="MTJ6" i="263"/>
  <c r="MTJ118" i="263" s="1"/>
  <c r="MTK6" i="263"/>
  <c r="MTK118" i="263" s="1"/>
  <c r="MTL6" i="263"/>
  <c r="MTL118" i="263" s="1"/>
  <c r="MTM6" i="263"/>
  <c r="MTM118" i="263" s="1"/>
  <c r="MTN6" i="263"/>
  <c r="MTN118" i="263" s="1"/>
  <c r="MTO6" i="263"/>
  <c r="MTO118" i="263" s="1"/>
  <c r="MTP6" i="263"/>
  <c r="MTP118" i="263" s="1"/>
  <c r="MTQ6" i="263"/>
  <c r="MTQ118" i="263" s="1"/>
  <c r="MTR6" i="263"/>
  <c r="MTR118" i="263" s="1"/>
  <c r="MTS6" i="263"/>
  <c r="MTS118" i="263" s="1"/>
  <c r="MTT6" i="263"/>
  <c r="MTT118" i="263" s="1"/>
  <c r="MTU6" i="263"/>
  <c r="MTU118" i="263" s="1"/>
  <c r="MTV6" i="263"/>
  <c r="MTV118" i="263" s="1"/>
  <c r="MTW6" i="263"/>
  <c r="MTW118" i="263" s="1"/>
  <c r="MTX6" i="263"/>
  <c r="MTX118" i="263" s="1"/>
  <c r="MTY6" i="263"/>
  <c r="MTY118" i="263" s="1"/>
  <c r="MTZ6" i="263"/>
  <c r="MTZ118" i="263" s="1"/>
  <c r="MUA6" i="263"/>
  <c r="MUA118" i="263" s="1"/>
  <c r="MUB6" i="263"/>
  <c r="MUB118" i="263" s="1"/>
  <c r="MUC6" i="263"/>
  <c r="MUC118" i="263" s="1"/>
  <c r="MUD6" i="263"/>
  <c r="MUD118" i="263" s="1"/>
  <c r="MUE6" i="263"/>
  <c r="MUE118" i="263" s="1"/>
  <c r="MUF6" i="263"/>
  <c r="MUF118" i="263" s="1"/>
  <c r="MUG6" i="263"/>
  <c r="MUG118" i="263" s="1"/>
  <c r="MUH6" i="263"/>
  <c r="MUH118" i="263" s="1"/>
  <c r="MUI6" i="263"/>
  <c r="MUI118" i="263" s="1"/>
  <c r="MUJ6" i="263"/>
  <c r="MUJ118" i="263" s="1"/>
  <c r="MUK6" i="263"/>
  <c r="MUK118" i="263" s="1"/>
  <c r="MUL6" i="263"/>
  <c r="MUL118" i="263" s="1"/>
  <c r="MUM6" i="263"/>
  <c r="MUM118" i="263" s="1"/>
  <c r="MUN6" i="263"/>
  <c r="MUN118" i="263" s="1"/>
  <c r="MUO6" i="263"/>
  <c r="MUO118" i="263" s="1"/>
  <c r="MUP6" i="263"/>
  <c r="MUP118" i="263" s="1"/>
  <c r="MUQ6" i="263"/>
  <c r="MUQ118" i="263" s="1"/>
  <c r="MUR6" i="263"/>
  <c r="MUR118" i="263" s="1"/>
  <c r="MUS6" i="263"/>
  <c r="MUS118" i="263" s="1"/>
  <c r="MUT6" i="263"/>
  <c r="MUT118" i="263" s="1"/>
  <c r="MUU6" i="263"/>
  <c r="MUU118" i="263" s="1"/>
  <c r="MUV6" i="263"/>
  <c r="MUV118" i="263" s="1"/>
  <c r="MUW6" i="263"/>
  <c r="MUW118" i="263" s="1"/>
  <c r="MUX6" i="263"/>
  <c r="MUX118" i="263" s="1"/>
  <c r="MUY6" i="263"/>
  <c r="MUY118" i="263" s="1"/>
  <c r="MUZ6" i="263"/>
  <c r="MUZ118" i="263" s="1"/>
  <c r="MVA6" i="263"/>
  <c r="MVA118" i="263" s="1"/>
  <c r="MVB6" i="263"/>
  <c r="MVB118" i="263" s="1"/>
  <c r="MVC6" i="263"/>
  <c r="MVC118" i="263" s="1"/>
  <c r="MVD6" i="263"/>
  <c r="MVD118" i="263" s="1"/>
  <c r="MVE6" i="263"/>
  <c r="MVE118" i="263" s="1"/>
  <c r="MVF6" i="263"/>
  <c r="MVF118" i="263" s="1"/>
  <c r="MVG6" i="263"/>
  <c r="MVG118" i="263" s="1"/>
  <c r="MVH6" i="263"/>
  <c r="MVH118" i="263" s="1"/>
  <c r="MVI6" i="263"/>
  <c r="MVI118" i="263" s="1"/>
  <c r="MVJ6" i="263"/>
  <c r="MVJ118" i="263" s="1"/>
  <c r="MVK6" i="263"/>
  <c r="MVK118" i="263" s="1"/>
  <c r="MVL6" i="263"/>
  <c r="MVL118" i="263" s="1"/>
  <c r="MVM6" i="263"/>
  <c r="MVM118" i="263" s="1"/>
  <c r="MVN6" i="263"/>
  <c r="MVN118" i="263" s="1"/>
  <c r="MVO6" i="263"/>
  <c r="MVO118" i="263" s="1"/>
  <c r="MVP6" i="263"/>
  <c r="MVP118" i="263" s="1"/>
  <c r="MVQ6" i="263"/>
  <c r="MVQ118" i="263" s="1"/>
  <c r="MVR6" i="263"/>
  <c r="MVR118" i="263" s="1"/>
  <c r="MVS6" i="263"/>
  <c r="MVS118" i="263" s="1"/>
  <c r="MVT6" i="263"/>
  <c r="MVT118" i="263" s="1"/>
  <c r="MVU6" i="263"/>
  <c r="MVU118" i="263" s="1"/>
  <c r="MVV6" i="263"/>
  <c r="MVV118" i="263" s="1"/>
  <c r="MVW6" i="263"/>
  <c r="MVW118" i="263" s="1"/>
  <c r="MVX6" i="263"/>
  <c r="MVX118" i="263" s="1"/>
  <c r="MVY6" i="263"/>
  <c r="MVY118" i="263" s="1"/>
  <c r="MVZ6" i="263"/>
  <c r="MVZ118" i="263" s="1"/>
  <c r="MWA6" i="263"/>
  <c r="MWA118" i="263" s="1"/>
  <c r="MWB6" i="263"/>
  <c r="MWB118" i="263" s="1"/>
  <c r="MWC6" i="263"/>
  <c r="MWC118" i="263" s="1"/>
  <c r="MWD6" i="263"/>
  <c r="MWD118" i="263" s="1"/>
  <c r="MWE6" i="263"/>
  <c r="MWE118" i="263" s="1"/>
  <c r="MWF6" i="263"/>
  <c r="MWF118" i="263" s="1"/>
  <c r="MWG6" i="263"/>
  <c r="MWG118" i="263" s="1"/>
  <c r="MWH6" i="263"/>
  <c r="MWH118" i="263" s="1"/>
  <c r="MWI6" i="263"/>
  <c r="MWI118" i="263" s="1"/>
  <c r="MWJ6" i="263"/>
  <c r="MWJ118" i="263" s="1"/>
  <c r="MWK6" i="263"/>
  <c r="MWK118" i="263" s="1"/>
  <c r="MWL6" i="263"/>
  <c r="MWL118" i="263" s="1"/>
  <c r="MWM6" i="263"/>
  <c r="MWM118" i="263" s="1"/>
  <c r="MWN6" i="263"/>
  <c r="MWN118" i="263" s="1"/>
  <c r="MWO6" i="263"/>
  <c r="MWO118" i="263" s="1"/>
  <c r="MWP6" i="263"/>
  <c r="MWP118" i="263" s="1"/>
  <c r="MWQ6" i="263"/>
  <c r="MWQ118" i="263" s="1"/>
  <c r="MWR6" i="263"/>
  <c r="MWR118" i="263" s="1"/>
  <c r="MWS6" i="263"/>
  <c r="MWS118" i="263" s="1"/>
  <c r="MWT6" i="263"/>
  <c r="MWT118" i="263" s="1"/>
  <c r="MWU6" i="263"/>
  <c r="MWU118" i="263" s="1"/>
  <c r="MWV6" i="263"/>
  <c r="MWV118" i="263" s="1"/>
  <c r="MWW6" i="263"/>
  <c r="MWW118" i="263" s="1"/>
  <c r="MWX6" i="263"/>
  <c r="MWX118" i="263" s="1"/>
  <c r="MWY6" i="263"/>
  <c r="MWY118" i="263" s="1"/>
  <c r="MWZ6" i="263"/>
  <c r="MWZ118" i="263" s="1"/>
  <c r="MXA6" i="263"/>
  <c r="MXA118" i="263" s="1"/>
  <c r="MXB6" i="263"/>
  <c r="MXB118" i="263" s="1"/>
  <c r="MXC6" i="263"/>
  <c r="MXC118" i="263" s="1"/>
  <c r="MXD6" i="263"/>
  <c r="MXD118" i="263" s="1"/>
  <c r="MXE6" i="263"/>
  <c r="MXE118" i="263" s="1"/>
  <c r="MXF6" i="263"/>
  <c r="MXF118" i="263" s="1"/>
  <c r="MXG6" i="263"/>
  <c r="MXG118" i="263" s="1"/>
  <c r="MXH6" i="263"/>
  <c r="MXH118" i="263" s="1"/>
  <c r="MXI6" i="263"/>
  <c r="MXI118" i="263" s="1"/>
  <c r="MXJ6" i="263"/>
  <c r="MXJ118" i="263" s="1"/>
  <c r="MXK6" i="263"/>
  <c r="MXK118" i="263" s="1"/>
  <c r="MXL6" i="263"/>
  <c r="MXL118" i="263" s="1"/>
  <c r="MXM6" i="263"/>
  <c r="MXM118" i="263" s="1"/>
  <c r="MXN6" i="263"/>
  <c r="MXN118" i="263" s="1"/>
  <c r="MXO6" i="263"/>
  <c r="MXO118" i="263" s="1"/>
  <c r="MXP6" i="263"/>
  <c r="MXP118" i="263" s="1"/>
  <c r="MXQ6" i="263"/>
  <c r="MXQ118" i="263" s="1"/>
  <c r="MXR6" i="263"/>
  <c r="MXR118" i="263" s="1"/>
  <c r="MXS6" i="263"/>
  <c r="MXS118" i="263" s="1"/>
  <c r="MXT6" i="263"/>
  <c r="MXT118" i="263" s="1"/>
  <c r="MXU6" i="263"/>
  <c r="MXU118" i="263" s="1"/>
  <c r="MXV6" i="263"/>
  <c r="MXV118" i="263" s="1"/>
  <c r="MXW6" i="263"/>
  <c r="MXW118" i="263" s="1"/>
  <c r="MXX6" i="263"/>
  <c r="MXX118" i="263" s="1"/>
  <c r="MXY6" i="263"/>
  <c r="MXY118" i="263" s="1"/>
  <c r="MXZ6" i="263"/>
  <c r="MXZ118" i="263" s="1"/>
  <c r="MYA6" i="263"/>
  <c r="MYA118" i="263" s="1"/>
  <c r="MYB6" i="263"/>
  <c r="MYB118" i="263" s="1"/>
  <c r="MYC6" i="263"/>
  <c r="MYC118" i="263" s="1"/>
  <c r="MYD6" i="263"/>
  <c r="MYD118" i="263" s="1"/>
  <c r="MYE6" i="263"/>
  <c r="MYE118" i="263" s="1"/>
  <c r="MYF6" i="263"/>
  <c r="MYF118" i="263" s="1"/>
  <c r="MYG6" i="263"/>
  <c r="MYG118" i="263" s="1"/>
  <c r="MYH6" i="263"/>
  <c r="MYH118" i="263" s="1"/>
  <c r="MYI6" i="263"/>
  <c r="MYI118" i="263" s="1"/>
  <c r="MYJ6" i="263"/>
  <c r="MYJ118" i="263" s="1"/>
  <c r="MYK6" i="263"/>
  <c r="MYK118" i="263" s="1"/>
  <c r="MYL6" i="263"/>
  <c r="MYL118" i="263" s="1"/>
  <c r="MYM6" i="263"/>
  <c r="MYM118" i="263" s="1"/>
  <c r="MYN6" i="263"/>
  <c r="MYN118" i="263" s="1"/>
  <c r="MYO6" i="263"/>
  <c r="MYO118" i="263" s="1"/>
  <c r="MYP6" i="263"/>
  <c r="MYP118" i="263" s="1"/>
  <c r="MYQ6" i="263"/>
  <c r="MYQ118" i="263" s="1"/>
  <c r="MYR6" i="263"/>
  <c r="MYR118" i="263" s="1"/>
  <c r="MYS6" i="263"/>
  <c r="MYS118" i="263" s="1"/>
  <c r="MYT6" i="263"/>
  <c r="MYT118" i="263" s="1"/>
  <c r="MYU6" i="263"/>
  <c r="MYU118" i="263" s="1"/>
  <c r="MYV6" i="263"/>
  <c r="MYV118" i="263" s="1"/>
  <c r="MYW6" i="263"/>
  <c r="MYW118" i="263" s="1"/>
  <c r="MYX6" i="263"/>
  <c r="MYX118" i="263" s="1"/>
  <c r="MYY6" i="263"/>
  <c r="MYY118" i="263" s="1"/>
  <c r="MYZ6" i="263"/>
  <c r="MYZ118" i="263" s="1"/>
  <c r="MZA6" i="263"/>
  <c r="MZA118" i="263" s="1"/>
  <c r="MZB6" i="263"/>
  <c r="MZB118" i="263" s="1"/>
  <c r="MZC6" i="263"/>
  <c r="MZC118" i="263" s="1"/>
  <c r="MZD6" i="263"/>
  <c r="MZD118" i="263" s="1"/>
  <c r="MZE6" i="263"/>
  <c r="MZE118" i="263" s="1"/>
  <c r="MZF6" i="263"/>
  <c r="MZF118" i="263" s="1"/>
  <c r="MZG6" i="263"/>
  <c r="MZG118" i="263" s="1"/>
  <c r="MZH6" i="263"/>
  <c r="MZH118" i="263" s="1"/>
  <c r="MZI6" i="263"/>
  <c r="MZI118" i="263" s="1"/>
  <c r="MZJ6" i="263"/>
  <c r="MZJ118" i="263" s="1"/>
  <c r="MZK6" i="263"/>
  <c r="MZK118" i="263" s="1"/>
  <c r="MZL6" i="263"/>
  <c r="MZL118" i="263" s="1"/>
  <c r="MZM6" i="263"/>
  <c r="MZM118" i="263" s="1"/>
  <c r="MZN6" i="263"/>
  <c r="MZN118" i="263" s="1"/>
  <c r="MZO6" i="263"/>
  <c r="MZO118" i="263" s="1"/>
  <c r="MZP6" i="263"/>
  <c r="MZP118" i="263" s="1"/>
  <c r="MZQ6" i="263"/>
  <c r="MZQ118" i="263" s="1"/>
  <c r="MZR6" i="263"/>
  <c r="MZR118" i="263" s="1"/>
  <c r="MZS6" i="263"/>
  <c r="MZS118" i="263" s="1"/>
  <c r="MZT6" i="263"/>
  <c r="MZT118" i="263" s="1"/>
  <c r="MZU6" i="263"/>
  <c r="MZU118" i="263" s="1"/>
  <c r="MZV6" i="263"/>
  <c r="MZV118" i="263" s="1"/>
  <c r="MZW6" i="263"/>
  <c r="MZW118" i="263" s="1"/>
  <c r="MZX6" i="263"/>
  <c r="MZX118" i="263" s="1"/>
  <c r="MZY6" i="263"/>
  <c r="MZY118" i="263" s="1"/>
  <c r="MZZ6" i="263"/>
  <c r="MZZ118" i="263" s="1"/>
  <c r="NAA6" i="263"/>
  <c r="NAA118" i="263" s="1"/>
  <c r="NAB6" i="263"/>
  <c r="NAB118" i="263" s="1"/>
  <c r="NAC6" i="263"/>
  <c r="NAC118" i="263" s="1"/>
  <c r="NAD6" i="263"/>
  <c r="NAD118" i="263" s="1"/>
  <c r="NAE6" i="263"/>
  <c r="NAE118" i="263" s="1"/>
  <c r="NAF6" i="263"/>
  <c r="NAF118" i="263" s="1"/>
  <c r="NAG6" i="263"/>
  <c r="NAG118" i="263" s="1"/>
  <c r="NAH6" i="263"/>
  <c r="NAH118" i="263" s="1"/>
  <c r="NAI6" i="263"/>
  <c r="NAI118" i="263" s="1"/>
  <c r="NAJ6" i="263"/>
  <c r="NAJ118" i="263" s="1"/>
  <c r="NAK6" i="263"/>
  <c r="NAK118" i="263" s="1"/>
  <c r="NAL6" i="263"/>
  <c r="NAL118" i="263" s="1"/>
  <c r="NAM6" i="263"/>
  <c r="NAM118" i="263" s="1"/>
  <c r="NAN6" i="263"/>
  <c r="NAN118" i="263" s="1"/>
  <c r="NAO6" i="263"/>
  <c r="NAO118" i="263" s="1"/>
  <c r="NAP6" i="263"/>
  <c r="NAP118" i="263" s="1"/>
  <c r="NAQ6" i="263"/>
  <c r="NAQ118" i="263" s="1"/>
  <c r="NAR6" i="263"/>
  <c r="NAR118" i="263" s="1"/>
  <c r="NAS6" i="263"/>
  <c r="NAS118" i="263" s="1"/>
  <c r="NAT6" i="263"/>
  <c r="NAT118" i="263" s="1"/>
  <c r="NAU6" i="263"/>
  <c r="NAU118" i="263" s="1"/>
  <c r="NAV6" i="263"/>
  <c r="NAV118" i="263" s="1"/>
  <c r="NAW6" i="263"/>
  <c r="NAW118" i="263" s="1"/>
  <c r="NAX6" i="263"/>
  <c r="NAX118" i="263" s="1"/>
  <c r="NAY6" i="263"/>
  <c r="NAY118" i="263" s="1"/>
  <c r="NAZ6" i="263"/>
  <c r="NAZ118" i="263" s="1"/>
  <c r="NBA6" i="263"/>
  <c r="NBA118" i="263" s="1"/>
  <c r="NBB6" i="263"/>
  <c r="NBB118" i="263" s="1"/>
  <c r="NBC6" i="263"/>
  <c r="NBC118" i="263" s="1"/>
  <c r="NBD6" i="263"/>
  <c r="NBD118" i="263" s="1"/>
  <c r="NBE6" i="263"/>
  <c r="NBE118" i="263" s="1"/>
  <c r="NBF6" i="263"/>
  <c r="NBF118" i="263" s="1"/>
  <c r="NBG6" i="263"/>
  <c r="NBG118" i="263" s="1"/>
  <c r="NBH6" i="263"/>
  <c r="NBH118" i="263" s="1"/>
  <c r="NBI6" i="263"/>
  <c r="NBI118" i="263" s="1"/>
  <c r="NBJ6" i="263"/>
  <c r="NBJ118" i="263" s="1"/>
  <c r="NBK6" i="263"/>
  <c r="NBK118" i="263" s="1"/>
  <c r="NBL6" i="263"/>
  <c r="NBL118" i="263" s="1"/>
  <c r="NBM6" i="263"/>
  <c r="NBM118" i="263" s="1"/>
  <c r="NBN6" i="263"/>
  <c r="NBN118" i="263" s="1"/>
  <c r="NBO6" i="263"/>
  <c r="NBO118" i="263" s="1"/>
  <c r="NBP6" i="263"/>
  <c r="NBP118" i="263" s="1"/>
  <c r="NBQ6" i="263"/>
  <c r="NBQ118" i="263" s="1"/>
  <c r="NBR6" i="263"/>
  <c r="NBR118" i="263" s="1"/>
  <c r="NBS6" i="263"/>
  <c r="NBS118" i="263" s="1"/>
  <c r="NBT6" i="263"/>
  <c r="NBT118" i="263" s="1"/>
  <c r="NBU6" i="263"/>
  <c r="NBU118" i="263" s="1"/>
  <c r="NBV6" i="263"/>
  <c r="NBV118" i="263" s="1"/>
  <c r="NBW6" i="263"/>
  <c r="NBW118" i="263" s="1"/>
  <c r="NBX6" i="263"/>
  <c r="NBX118" i="263" s="1"/>
  <c r="NBY6" i="263"/>
  <c r="NBY118" i="263" s="1"/>
  <c r="NBZ6" i="263"/>
  <c r="NBZ118" i="263" s="1"/>
  <c r="NCA6" i="263"/>
  <c r="NCA118" i="263" s="1"/>
  <c r="NCB6" i="263"/>
  <c r="NCB118" i="263" s="1"/>
  <c r="NCC6" i="263"/>
  <c r="NCC118" i="263" s="1"/>
  <c r="NCD6" i="263"/>
  <c r="NCD118" i="263" s="1"/>
  <c r="NCE6" i="263"/>
  <c r="NCE118" i="263" s="1"/>
  <c r="NCF6" i="263"/>
  <c r="NCF118" i="263" s="1"/>
  <c r="NCG6" i="263"/>
  <c r="NCG118" i="263" s="1"/>
  <c r="NCH6" i="263"/>
  <c r="NCH118" i="263" s="1"/>
  <c r="NCI6" i="263"/>
  <c r="NCI118" i="263" s="1"/>
  <c r="NCJ6" i="263"/>
  <c r="NCJ118" i="263" s="1"/>
  <c r="NCK6" i="263"/>
  <c r="NCK118" i="263" s="1"/>
  <c r="NCL6" i="263"/>
  <c r="NCL118" i="263" s="1"/>
  <c r="NCM6" i="263"/>
  <c r="NCM118" i="263" s="1"/>
  <c r="NCN6" i="263"/>
  <c r="NCN118" i="263" s="1"/>
  <c r="NCO6" i="263"/>
  <c r="NCO118" i="263" s="1"/>
  <c r="NCP6" i="263"/>
  <c r="NCP118" i="263" s="1"/>
  <c r="NCQ6" i="263"/>
  <c r="NCQ118" i="263" s="1"/>
  <c r="NCR6" i="263"/>
  <c r="NCR118" i="263" s="1"/>
  <c r="NCS6" i="263"/>
  <c r="NCS118" i="263" s="1"/>
  <c r="NCT6" i="263"/>
  <c r="NCT118" i="263" s="1"/>
  <c r="NCU6" i="263"/>
  <c r="NCU118" i="263" s="1"/>
  <c r="NCV6" i="263"/>
  <c r="NCV118" i="263" s="1"/>
  <c r="NCW6" i="263"/>
  <c r="NCW118" i="263" s="1"/>
  <c r="NCX6" i="263"/>
  <c r="NCX118" i="263" s="1"/>
  <c r="NCY6" i="263"/>
  <c r="NCY118" i="263" s="1"/>
  <c r="NCZ6" i="263"/>
  <c r="NCZ118" i="263" s="1"/>
  <c r="NDA6" i="263"/>
  <c r="NDA118" i="263" s="1"/>
  <c r="NDB6" i="263"/>
  <c r="NDB118" i="263" s="1"/>
  <c r="NDC6" i="263"/>
  <c r="NDC118" i="263" s="1"/>
  <c r="NDD6" i="263"/>
  <c r="NDD118" i="263" s="1"/>
  <c r="NDE6" i="263"/>
  <c r="NDE118" i="263" s="1"/>
  <c r="NDF6" i="263"/>
  <c r="NDF118" i="263" s="1"/>
  <c r="NDG6" i="263"/>
  <c r="NDG118" i="263" s="1"/>
  <c r="NDH6" i="263"/>
  <c r="NDH118" i="263" s="1"/>
  <c r="NDI6" i="263"/>
  <c r="NDI118" i="263" s="1"/>
  <c r="NDJ6" i="263"/>
  <c r="NDJ118" i="263" s="1"/>
  <c r="NDK6" i="263"/>
  <c r="NDK118" i="263" s="1"/>
  <c r="NDL6" i="263"/>
  <c r="NDL118" i="263" s="1"/>
  <c r="NDM6" i="263"/>
  <c r="NDM118" i="263" s="1"/>
  <c r="NDN6" i="263"/>
  <c r="NDN118" i="263" s="1"/>
  <c r="NDO6" i="263"/>
  <c r="NDO118" i="263" s="1"/>
  <c r="NDP6" i="263"/>
  <c r="NDP118" i="263" s="1"/>
  <c r="NDQ6" i="263"/>
  <c r="NDQ118" i="263" s="1"/>
  <c r="NDR6" i="263"/>
  <c r="NDR118" i="263" s="1"/>
  <c r="NDS6" i="263"/>
  <c r="NDS118" i="263" s="1"/>
  <c r="NDT6" i="263"/>
  <c r="NDT118" i="263" s="1"/>
  <c r="NDU6" i="263"/>
  <c r="NDU118" i="263" s="1"/>
  <c r="NDV6" i="263"/>
  <c r="NDV118" i="263" s="1"/>
  <c r="NDW6" i="263"/>
  <c r="NDW118" i="263" s="1"/>
  <c r="NDX6" i="263"/>
  <c r="NDX118" i="263" s="1"/>
  <c r="NDY6" i="263"/>
  <c r="NDY118" i="263" s="1"/>
  <c r="NDZ6" i="263"/>
  <c r="NDZ118" i="263" s="1"/>
  <c r="NEA6" i="263"/>
  <c r="NEA118" i="263" s="1"/>
  <c r="NEB6" i="263"/>
  <c r="NEB118" i="263" s="1"/>
  <c r="NEC6" i="263"/>
  <c r="NEC118" i="263" s="1"/>
  <c r="NED6" i="263"/>
  <c r="NED118" i="263" s="1"/>
  <c r="NEE6" i="263"/>
  <c r="NEE118" i="263" s="1"/>
  <c r="NEF6" i="263"/>
  <c r="NEF118" i="263" s="1"/>
  <c r="NEG6" i="263"/>
  <c r="NEG118" i="263" s="1"/>
  <c r="NEH6" i="263"/>
  <c r="NEH118" i="263" s="1"/>
  <c r="NEI6" i="263"/>
  <c r="NEI118" i="263" s="1"/>
  <c r="NEJ6" i="263"/>
  <c r="NEJ118" i="263" s="1"/>
  <c r="NEK6" i="263"/>
  <c r="NEK118" i="263" s="1"/>
  <c r="NEL6" i="263"/>
  <c r="NEL118" i="263" s="1"/>
  <c r="NEM6" i="263"/>
  <c r="NEM118" i="263" s="1"/>
  <c r="NEN6" i="263"/>
  <c r="NEN118" i="263" s="1"/>
  <c r="NEO6" i="263"/>
  <c r="NEO118" i="263" s="1"/>
  <c r="NEP6" i="263"/>
  <c r="NEP118" i="263" s="1"/>
  <c r="NEQ6" i="263"/>
  <c r="NEQ118" i="263" s="1"/>
  <c r="NER6" i="263"/>
  <c r="NER118" i="263" s="1"/>
  <c r="NES6" i="263"/>
  <c r="NES118" i="263" s="1"/>
  <c r="NET6" i="263"/>
  <c r="NET118" i="263" s="1"/>
  <c r="NEU6" i="263"/>
  <c r="NEU118" i="263" s="1"/>
  <c r="NEV6" i="263"/>
  <c r="NEV118" i="263" s="1"/>
  <c r="NEW6" i="263"/>
  <c r="NEW118" i="263" s="1"/>
  <c r="NEX6" i="263"/>
  <c r="NEX118" i="263" s="1"/>
  <c r="NEY6" i="263"/>
  <c r="NEY118" i="263" s="1"/>
  <c r="NEZ6" i="263"/>
  <c r="NEZ118" i="263" s="1"/>
  <c r="NFA6" i="263"/>
  <c r="NFA118" i="263" s="1"/>
  <c r="NFB6" i="263"/>
  <c r="NFB118" i="263" s="1"/>
  <c r="NFC6" i="263"/>
  <c r="NFC118" i="263" s="1"/>
  <c r="NFD6" i="263"/>
  <c r="NFD118" i="263" s="1"/>
  <c r="NFE6" i="263"/>
  <c r="NFE118" i="263" s="1"/>
  <c r="NFF6" i="263"/>
  <c r="NFF118" i="263" s="1"/>
  <c r="NFG6" i="263"/>
  <c r="NFG118" i="263" s="1"/>
  <c r="NFH6" i="263"/>
  <c r="NFH118" i="263" s="1"/>
  <c r="NFI6" i="263"/>
  <c r="NFI118" i="263" s="1"/>
  <c r="NFJ6" i="263"/>
  <c r="NFJ118" i="263" s="1"/>
  <c r="NFK6" i="263"/>
  <c r="NFK118" i="263" s="1"/>
  <c r="NFL6" i="263"/>
  <c r="NFL118" i="263" s="1"/>
  <c r="NFM6" i="263"/>
  <c r="NFM118" i="263" s="1"/>
  <c r="NFN6" i="263"/>
  <c r="NFN118" i="263" s="1"/>
  <c r="NFO6" i="263"/>
  <c r="NFO118" i="263" s="1"/>
  <c r="NFP6" i="263"/>
  <c r="NFP118" i="263" s="1"/>
  <c r="NFQ6" i="263"/>
  <c r="NFQ118" i="263" s="1"/>
  <c r="NFR6" i="263"/>
  <c r="NFR118" i="263" s="1"/>
  <c r="NFS6" i="263"/>
  <c r="NFS118" i="263" s="1"/>
  <c r="NFT6" i="263"/>
  <c r="NFT118" i="263" s="1"/>
  <c r="NFU6" i="263"/>
  <c r="NFU118" i="263" s="1"/>
  <c r="NFV6" i="263"/>
  <c r="NFV118" i="263" s="1"/>
  <c r="NFW6" i="263"/>
  <c r="NFW118" i="263" s="1"/>
  <c r="NFX6" i="263"/>
  <c r="NFX118" i="263" s="1"/>
  <c r="NFY6" i="263"/>
  <c r="NFY118" i="263" s="1"/>
  <c r="NFZ6" i="263"/>
  <c r="NFZ118" i="263" s="1"/>
  <c r="NGA6" i="263"/>
  <c r="NGA118" i="263" s="1"/>
  <c r="NGB6" i="263"/>
  <c r="NGB118" i="263" s="1"/>
  <c r="NGC6" i="263"/>
  <c r="NGC118" i="263" s="1"/>
  <c r="NGD6" i="263"/>
  <c r="NGD118" i="263" s="1"/>
  <c r="NGE6" i="263"/>
  <c r="NGE118" i="263" s="1"/>
  <c r="NGF6" i="263"/>
  <c r="NGF118" i="263" s="1"/>
  <c r="NGG6" i="263"/>
  <c r="NGG118" i="263" s="1"/>
  <c r="NGH6" i="263"/>
  <c r="NGH118" i="263" s="1"/>
  <c r="NGI6" i="263"/>
  <c r="NGI118" i="263" s="1"/>
  <c r="NGJ6" i="263"/>
  <c r="NGJ118" i="263" s="1"/>
  <c r="NGK6" i="263"/>
  <c r="NGK118" i="263" s="1"/>
  <c r="NGL6" i="263"/>
  <c r="NGL118" i="263" s="1"/>
  <c r="NGM6" i="263"/>
  <c r="NGM118" i="263" s="1"/>
  <c r="NGN6" i="263"/>
  <c r="NGN118" i="263" s="1"/>
  <c r="NGO6" i="263"/>
  <c r="NGO118" i="263" s="1"/>
  <c r="NGP6" i="263"/>
  <c r="NGP118" i="263" s="1"/>
  <c r="NGQ6" i="263"/>
  <c r="NGQ118" i="263" s="1"/>
  <c r="NGR6" i="263"/>
  <c r="NGR118" i="263" s="1"/>
  <c r="NGS6" i="263"/>
  <c r="NGS118" i="263" s="1"/>
  <c r="NGT6" i="263"/>
  <c r="NGT118" i="263" s="1"/>
  <c r="NGU6" i="263"/>
  <c r="NGU118" i="263" s="1"/>
  <c r="NGV6" i="263"/>
  <c r="NGV118" i="263" s="1"/>
  <c r="NGW6" i="263"/>
  <c r="NGW118" i="263" s="1"/>
  <c r="NGX6" i="263"/>
  <c r="NGX118" i="263" s="1"/>
  <c r="NGY6" i="263"/>
  <c r="NGY118" i="263" s="1"/>
  <c r="NGZ6" i="263"/>
  <c r="NGZ118" i="263" s="1"/>
  <c r="NHA6" i="263"/>
  <c r="NHA118" i="263" s="1"/>
  <c r="NHB6" i="263"/>
  <c r="NHB118" i="263" s="1"/>
  <c r="NHC6" i="263"/>
  <c r="NHC118" i="263" s="1"/>
  <c r="NHD6" i="263"/>
  <c r="NHD118" i="263" s="1"/>
  <c r="NHE6" i="263"/>
  <c r="NHE118" i="263" s="1"/>
  <c r="NHF6" i="263"/>
  <c r="NHF118" i="263" s="1"/>
  <c r="NHG6" i="263"/>
  <c r="NHG118" i="263" s="1"/>
  <c r="NHH6" i="263"/>
  <c r="NHH118" i="263" s="1"/>
  <c r="NHI6" i="263"/>
  <c r="NHI118" i="263" s="1"/>
  <c r="NHJ6" i="263"/>
  <c r="NHJ118" i="263" s="1"/>
  <c r="NHK6" i="263"/>
  <c r="NHK118" i="263" s="1"/>
  <c r="NHL6" i="263"/>
  <c r="NHL118" i="263" s="1"/>
  <c r="NHM6" i="263"/>
  <c r="NHM118" i="263" s="1"/>
  <c r="NHN6" i="263"/>
  <c r="NHN118" i="263" s="1"/>
  <c r="NHO6" i="263"/>
  <c r="NHO118" i="263" s="1"/>
  <c r="NHP6" i="263"/>
  <c r="NHP118" i="263" s="1"/>
  <c r="NHQ6" i="263"/>
  <c r="NHQ118" i="263" s="1"/>
  <c r="NHR6" i="263"/>
  <c r="NHR118" i="263" s="1"/>
  <c r="NHS6" i="263"/>
  <c r="NHS118" i="263" s="1"/>
  <c r="NHT6" i="263"/>
  <c r="NHT118" i="263" s="1"/>
  <c r="NHU6" i="263"/>
  <c r="NHU118" i="263" s="1"/>
  <c r="NHV6" i="263"/>
  <c r="NHV118" i="263" s="1"/>
  <c r="NHW6" i="263"/>
  <c r="NHW118" i="263" s="1"/>
  <c r="NHX6" i="263"/>
  <c r="NHX118" i="263" s="1"/>
  <c r="NHY6" i="263"/>
  <c r="NHY118" i="263" s="1"/>
  <c r="NHZ6" i="263"/>
  <c r="NHZ118" i="263" s="1"/>
  <c r="NIA6" i="263"/>
  <c r="NIA118" i="263" s="1"/>
  <c r="NIB6" i="263"/>
  <c r="NIB118" i="263" s="1"/>
  <c r="NIC6" i="263"/>
  <c r="NIC118" i="263" s="1"/>
  <c r="NID6" i="263"/>
  <c r="NID118" i="263" s="1"/>
  <c r="NIE6" i="263"/>
  <c r="NIE118" i="263" s="1"/>
  <c r="NIF6" i="263"/>
  <c r="NIF118" i="263" s="1"/>
  <c r="NIG6" i="263"/>
  <c r="NIG118" i="263" s="1"/>
  <c r="NIH6" i="263"/>
  <c r="NIH118" i="263" s="1"/>
  <c r="NII6" i="263"/>
  <c r="NII118" i="263" s="1"/>
  <c r="NIJ6" i="263"/>
  <c r="NIJ118" i="263" s="1"/>
  <c r="NIK6" i="263"/>
  <c r="NIK118" i="263" s="1"/>
  <c r="NIL6" i="263"/>
  <c r="NIL118" i="263" s="1"/>
  <c r="NIM6" i="263"/>
  <c r="NIM118" i="263" s="1"/>
  <c r="NIN6" i="263"/>
  <c r="NIN118" i="263" s="1"/>
  <c r="NIO6" i="263"/>
  <c r="NIO118" i="263" s="1"/>
  <c r="NIP6" i="263"/>
  <c r="NIP118" i="263" s="1"/>
  <c r="NIQ6" i="263"/>
  <c r="NIQ118" i="263" s="1"/>
  <c r="NIR6" i="263"/>
  <c r="NIR118" i="263" s="1"/>
  <c r="NIS6" i="263"/>
  <c r="NIS118" i="263" s="1"/>
  <c r="NIT6" i="263"/>
  <c r="NIT118" i="263" s="1"/>
  <c r="NIU6" i="263"/>
  <c r="NIU118" i="263" s="1"/>
  <c r="NIV6" i="263"/>
  <c r="NIV118" i="263" s="1"/>
  <c r="NIW6" i="263"/>
  <c r="NIW118" i="263" s="1"/>
  <c r="NIX6" i="263"/>
  <c r="NIX118" i="263" s="1"/>
  <c r="NIY6" i="263"/>
  <c r="NIY118" i="263" s="1"/>
  <c r="NIZ6" i="263"/>
  <c r="NIZ118" i="263" s="1"/>
  <c r="NJA6" i="263"/>
  <c r="NJA118" i="263" s="1"/>
  <c r="NJB6" i="263"/>
  <c r="NJB118" i="263" s="1"/>
  <c r="NJC6" i="263"/>
  <c r="NJC118" i="263" s="1"/>
  <c r="NJD6" i="263"/>
  <c r="NJD118" i="263" s="1"/>
  <c r="NJE6" i="263"/>
  <c r="NJE118" i="263" s="1"/>
  <c r="NJF6" i="263"/>
  <c r="NJF118" i="263" s="1"/>
  <c r="NJG6" i="263"/>
  <c r="NJG118" i="263" s="1"/>
  <c r="NJH6" i="263"/>
  <c r="NJH118" i="263" s="1"/>
  <c r="NJI6" i="263"/>
  <c r="NJI118" i="263" s="1"/>
  <c r="NJJ6" i="263"/>
  <c r="NJJ118" i="263" s="1"/>
  <c r="NJK6" i="263"/>
  <c r="NJK118" i="263" s="1"/>
  <c r="NJL6" i="263"/>
  <c r="NJL118" i="263" s="1"/>
  <c r="NJM6" i="263"/>
  <c r="NJM118" i="263" s="1"/>
  <c r="NJN6" i="263"/>
  <c r="NJN118" i="263" s="1"/>
  <c r="NJO6" i="263"/>
  <c r="NJO118" i="263" s="1"/>
  <c r="NJP6" i="263"/>
  <c r="NJP118" i="263" s="1"/>
  <c r="NJQ6" i="263"/>
  <c r="NJQ118" i="263" s="1"/>
  <c r="NJR6" i="263"/>
  <c r="NJR118" i="263" s="1"/>
  <c r="NJS6" i="263"/>
  <c r="NJS118" i="263" s="1"/>
  <c r="NJT6" i="263"/>
  <c r="NJT118" i="263" s="1"/>
  <c r="NJU6" i="263"/>
  <c r="NJU118" i="263" s="1"/>
  <c r="NJV6" i="263"/>
  <c r="NJV118" i="263" s="1"/>
  <c r="NJW6" i="263"/>
  <c r="NJW118" i="263" s="1"/>
  <c r="NJX6" i="263"/>
  <c r="NJX118" i="263" s="1"/>
  <c r="NJY6" i="263"/>
  <c r="NJY118" i="263" s="1"/>
  <c r="NJZ6" i="263"/>
  <c r="NJZ118" i="263" s="1"/>
  <c r="NKA6" i="263"/>
  <c r="NKA118" i="263" s="1"/>
  <c r="NKB6" i="263"/>
  <c r="NKB118" i="263" s="1"/>
  <c r="NKC6" i="263"/>
  <c r="NKC118" i="263" s="1"/>
  <c r="NKD6" i="263"/>
  <c r="NKD118" i="263" s="1"/>
  <c r="NKE6" i="263"/>
  <c r="NKE118" i="263" s="1"/>
  <c r="NKF6" i="263"/>
  <c r="NKF118" i="263" s="1"/>
  <c r="NKG6" i="263"/>
  <c r="NKG118" i="263" s="1"/>
  <c r="NKH6" i="263"/>
  <c r="NKH118" i="263" s="1"/>
  <c r="NKI6" i="263"/>
  <c r="NKI118" i="263" s="1"/>
  <c r="NKJ6" i="263"/>
  <c r="NKJ118" i="263" s="1"/>
  <c r="NKK6" i="263"/>
  <c r="NKK118" i="263" s="1"/>
  <c r="NKL6" i="263"/>
  <c r="NKL118" i="263" s="1"/>
  <c r="NKM6" i="263"/>
  <c r="NKM118" i="263" s="1"/>
  <c r="NKN6" i="263"/>
  <c r="NKN118" i="263" s="1"/>
  <c r="NKO6" i="263"/>
  <c r="NKO118" i="263" s="1"/>
  <c r="NKP6" i="263"/>
  <c r="NKP118" i="263" s="1"/>
  <c r="NKQ6" i="263"/>
  <c r="NKQ118" i="263" s="1"/>
  <c r="NKR6" i="263"/>
  <c r="NKR118" i="263" s="1"/>
  <c r="NKS6" i="263"/>
  <c r="NKS118" i="263" s="1"/>
  <c r="NKT6" i="263"/>
  <c r="NKT118" i="263" s="1"/>
  <c r="NKU6" i="263"/>
  <c r="NKU118" i="263" s="1"/>
  <c r="NKV6" i="263"/>
  <c r="NKV118" i="263" s="1"/>
  <c r="NKW6" i="263"/>
  <c r="NKW118" i="263" s="1"/>
  <c r="NKX6" i="263"/>
  <c r="NKX118" i="263" s="1"/>
  <c r="NKY6" i="263"/>
  <c r="NKY118" i="263" s="1"/>
  <c r="NKZ6" i="263"/>
  <c r="NKZ118" i="263" s="1"/>
  <c r="NLA6" i="263"/>
  <c r="NLA118" i="263" s="1"/>
  <c r="NLB6" i="263"/>
  <c r="NLB118" i="263" s="1"/>
  <c r="NLC6" i="263"/>
  <c r="NLC118" i="263" s="1"/>
  <c r="NLD6" i="263"/>
  <c r="NLD118" i="263" s="1"/>
  <c r="NLE6" i="263"/>
  <c r="NLE118" i="263" s="1"/>
  <c r="NLF6" i="263"/>
  <c r="NLF118" i="263" s="1"/>
  <c r="NLG6" i="263"/>
  <c r="NLG118" i="263" s="1"/>
  <c r="NLH6" i="263"/>
  <c r="NLH118" i="263" s="1"/>
  <c r="NLI6" i="263"/>
  <c r="NLI118" i="263" s="1"/>
  <c r="NLJ6" i="263"/>
  <c r="NLJ118" i="263" s="1"/>
  <c r="NLK6" i="263"/>
  <c r="NLK118" i="263" s="1"/>
  <c r="NLL6" i="263"/>
  <c r="NLL118" i="263" s="1"/>
  <c r="NLM6" i="263"/>
  <c r="NLM118" i="263" s="1"/>
  <c r="NLN6" i="263"/>
  <c r="NLN118" i="263" s="1"/>
  <c r="NLO6" i="263"/>
  <c r="NLO118" i="263" s="1"/>
  <c r="NLP6" i="263"/>
  <c r="NLP118" i="263" s="1"/>
  <c r="NLQ6" i="263"/>
  <c r="NLQ118" i="263" s="1"/>
  <c r="NLR6" i="263"/>
  <c r="NLR118" i="263" s="1"/>
  <c r="NLS6" i="263"/>
  <c r="NLS118" i="263" s="1"/>
  <c r="NLT6" i="263"/>
  <c r="NLT118" i="263" s="1"/>
  <c r="NLU6" i="263"/>
  <c r="NLU118" i="263" s="1"/>
  <c r="NLV6" i="263"/>
  <c r="NLV118" i="263" s="1"/>
  <c r="NLW6" i="263"/>
  <c r="NLW118" i="263" s="1"/>
  <c r="NLX6" i="263"/>
  <c r="NLX118" i="263" s="1"/>
  <c r="NLY6" i="263"/>
  <c r="NLY118" i="263" s="1"/>
  <c r="NLZ6" i="263"/>
  <c r="NLZ118" i="263" s="1"/>
  <c r="NMA6" i="263"/>
  <c r="NMA118" i="263" s="1"/>
  <c r="NMB6" i="263"/>
  <c r="NMB118" i="263" s="1"/>
  <c r="NMC6" i="263"/>
  <c r="NMC118" i="263" s="1"/>
  <c r="NMD6" i="263"/>
  <c r="NMD118" i="263" s="1"/>
  <c r="NME6" i="263"/>
  <c r="NME118" i="263" s="1"/>
  <c r="NMF6" i="263"/>
  <c r="NMF118" i="263" s="1"/>
  <c r="NMG6" i="263"/>
  <c r="NMG118" i="263" s="1"/>
  <c r="NMH6" i="263"/>
  <c r="NMH118" i="263" s="1"/>
  <c r="NMI6" i="263"/>
  <c r="NMI118" i="263" s="1"/>
  <c r="NMJ6" i="263"/>
  <c r="NMJ118" i="263" s="1"/>
  <c r="NMK6" i="263"/>
  <c r="NMK118" i="263" s="1"/>
  <c r="NML6" i="263"/>
  <c r="NML118" i="263" s="1"/>
  <c r="NMM6" i="263"/>
  <c r="NMM118" i="263" s="1"/>
  <c r="NMN6" i="263"/>
  <c r="NMN118" i="263" s="1"/>
  <c r="NMO6" i="263"/>
  <c r="NMO118" i="263" s="1"/>
  <c r="NMP6" i="263"/>
  <c r="NMP118" i="263" s="1"/>
  <c r="NMQ6" i="263"/>
  <c r="NMQ118" i="263" s="1"/>
  <c r="NMR6" i="263"/>
  <c r="NMR118" i="263" s="1"/>
  <c r="NMS6" i="263"/>
  <c r="NMS118" i="263" s="1"/>
  <c r="NMT6" i="263"/>
  <c r="NMT118" i="263" s="1"/>
  <c r="NMU6" i="263"/>
  <c r="NMU118" i="263" s="1"/>
  <c r="NMV6" i="263"/>
  <c r="NMV118" i="263" s="1"/>
  <c r="NMW6" i="263"/>
  <c r="NMW118" i="263" s="1"/>
  <c r="NMX6" i="263"/>
  <c r="NMX118" i="263" s="1"/>
  <c r="NMY6" i="263"/>
  <c r="NMY118" i="263" s="1"/>
  <c r="NMZ6" i="263"/>
  <c r="NMZ118" i="263" s="1"/>
  <c r="NNA6" i="263"/>
  <c r="NNA118" i="263" s="1"/>
  <c r="NNB6" i="263"/>
  <c r="NNB118" i="263" s="1"/>
  <c r="NNC6" i="263"/>
  <c r="NNC118" i="263" s="1"/>
  <c r="NND6" i="263"/>
  <c r="NND118" i="263" s="1"/>
  <c r="NNE6" i="263"/>
  <c r="NNE118" i="263" s="1"/>
  <c r="NNF6" i="263"/>
  <c r="NNF118" i="263" s="1"/>
  <c r="NNG6" i="263"/>
  <c r="NNG118" i="263" s="1"/>
  <c r="NNH6" i="263"/>
  <c r="NNH118" i="263" s="1"/>
  <c r="NNI6" i="263"/>
  <c r="NNI118" i="263" s="1"/>
  <c r="NNJ6" i="263"/>
  <c r="NNJ118" i="263" s="1"/>
  <c r="NNK6" i="263"/>
  <c r="NNK118" i="263" s="1"/>
  <c r="NNL6" i="263"/>
  <c r="NNL118" i="263" s="1"/>
  <c r="NNM6" i="263"/>
  <c r="NNM118" i="263" s="1"/>
  <c r="NNN6" i="263"/>
  <c r="NNN118" i="263" s="1"/>
  <c r="NNO6" i="263"/>
  <c r="NNO118" i="263" s="1"/>
  <c r="NNP6" i="263"/>
  <c r="NNP118" i="263" s="1"/>
  <c r="NNQ6" i="263"/>
  <c r="NNQ118" i="263" s="1"/>
  <c r="NNR6" i="263"/>
  <c r="NNR118" i="263" s="1"/>
  <c r="NNS6" i="263"/>
  <c r="NNS118" i="263" s="1"/>
  <c r="NNT6" i="263"/>
  <c r="NNT118" i="263" s="1"/>
  <c r="NNU6" i="263"/>
  <c r="NNU118" i="263" s="1"/>
  <c r="NNV6" i="263"/>
  <c r="NNV118" i="263" s="1"/>
  <c r="NNW6" i="263"/>
  <c r="NNW118" i="263" s="1"/>
  <c r="NNX6" i="263"/>
  <c r="NNX118" i="263" s="1"/>
  <c r="NNY6" i="263"/>
  <c r="NNY118" i="263" s="1"/>
  <c r="NNZ6" i="263"/>
  <c r="NNZ118" i="263" s="1"/>
  <c r="NOA6" i="263"/>
  <c r="NOA118" i="263" s="1"/>
  <c r="NOB6" i="263"/>
  <c r="NOB118" i="263" s="1"/>
  <c r="NOC6" i="263"/>
  <c r="NOC118" i="263" s="1"/>
  <c r="NOD6" i="263"/>
  <c r="NOD118" i="263" s="1"/>
  <c r="NOE6" i="263"/>
  <c r="NOE118" i="263" s="1"/>
  <c r="NOF6" i="263"/>
  <c r="NOF118" i="263" s="1"/>
  <c r="NOG6" i="263"/>
  <c r="NOG118" i="263" s="1"/>
  <c r="NOH6" i="263"/>
  <c r="NOH118" i="263" s="1"/>
  <c r="NOI6" i="263"/>
  <c r="NOI118" i="263" s="1"/>
  <c r="NOJ6" i="263"/>
  <c r="NOJ118" i="263" s="1"/>
  <c r="NOK6" i="263"/>
  <c r="NOK118" i="263" s="1"/>
  <c r="NOL6" i="263"/>
  <c r="NOL118" i="263" s="1"/>
  <c r="NOM6" i="263"/>
  <c r="NOM118" i="263" s="1"/>
  <c r="NON6" i="263"/>
  <c r="NON118" i="263" s="1"/>
  <c r="NOO6" i="263"/>
  <c r="NOO118" i="263" s="1"/>
  <c r="NOP6" i="263"/>
  <c r="NOP118" i="263" s="1"/>
  <c r="NOQ6" i="263"/>
  <c r="NOQ118" i="263" s="1"/>
  <c r="NOR6" i="263"/>
  <c r="NOR118" i="263" s="1"/>
  <c r="NOS6" i="263"/>
  <c r="NOS118" i="263" s="1"/>
  <c r="NOT6" i="263"/>
  <c r="NOT118" i="263" s="1"/>
  <c r="NOU6" i="263"/>
  <c r="NOU118" i="263" s="1"/>
  <c r="NOV6" i="263"/>
  <c r="NOV118" i="263" s="1"/>
  <c r="NOW6" i="263"/>
  <c r="NOW118" i="263" s="1"/>
  <c r="NOX6" i="263"/>
  <c r="NOX118" i="263" s="1"/>
  <c r="NOY6" i="263"/>
  <c r="NOY118" i="263" s="1"/>
  <c r="NOZ6" i="263"/>
  <c r="NOZ118" i="263" s="1"/>
  <c r="NPA6" i="263"/>
  <c r="NPA118" i="263" s="1"/>
  <c r="NPB6" i="263"/>
  <c r="NPB118" i="263" s="1"/>
  <c r="NPC6" i="263"/>
  <c r="NPC118" i="263" s="1"/>
  <c r="NPD6" i="263"/>
  <c r="NPD118" i="263" s="1"/>
  <c r="NPE6" i="263"/>
  <c r="NPE118" i="263" s="1"/>
  <c r="NPF6" i="263"/>
  <c r="NPF118" i="263" s="1"/>
  <c r="NPG6" i="263"/>
  <c r="NPG118" i="263" s="1"/>
  <c r="NPH6" i="263"/>
  <c r="NPH118" i="263" s="1"/>
  <c r="NPI6" i="263"/>
  <c r="NPI118" i="263" s="1"/>
  <c r="NPJ6" i="263"/>
  <c r="NPJ118" i="263" s="1"/>
  <c r="NPK6" i="263"/>
  <c r="NPK118" i="263" s="1"/>
  <c r="NPL6" i="263"/>
  <c r="NPL118" i="263" s="1"/>
  <c r="NPM6" i="263"/>
  <c r="NPM118" i="263" s="1"/>
  <c r="NPN6" i="263"/>
  <c r="NPN118" i="263" s="1"/>
  <c r="NPO6" i="263"/>
  <c r="NPO118" i="263" s="1"/>
  <c r="NPP6" i="263"/>
  <c r="NPP118" i="263" s="1"/>
  <c r="NPQ6" i="263"/>
  <c r="NPQ118" i="263" s="1"/>
  <c r="NPR6" i="263"/>
  <c r="NPR118" i="263" s="1"/>
  <c r="NPS6" i="263"/>
  <c r="NPS118" i="263" s="1"/>
  <c r="NPT6" i="263"/>
  <c r="NPT118" i="263" s="1"/>
  <c r="NPU6" i="263"/>
  <c r="NPU118" i="263" s="1"/>
  <c r="NPV6" i="263"/>
  <c r="NPV118" i="263" s="1"/>
  <c r="NPW6" i="263"/>
  <c r="NPW118" i="263" s="1"/>
  <c r="NPX6" i="263"/>
  <c r="NPX118" i="263" s="1"/>
  <c r="NPY6" i="263"/>
  <c r="NPY118" i="263" s="1"/>
  <c r="NPZ6" i="263"/>
  <c r="NPZ118" i="263" s="1"/>
  <c r="NQA6" i="263"/>
  <c r="NQA118" i="263" s="1"/>
  <c r="NQB6" i="263"/>
  <c r="NQB118" i="263" s="1"/>
  <c r="NQC6" i="263"/>
  <c r="NQC118" i="263" s="1"/>
  <c r="NQD6" i="263"/>
  <c r="NQD118" i="263" s="1"/>
  <c r="NQE6" i="263"/>
  <c r="NQE118" i="263" s="1"/>
  <c r="NQF6" i="263"/>
  <c r="NQF118" i="263" s="1"/>
  <c r="NQG6" i="263"/>
  <c r="NQG118" i="263" s="1"/>
  <c r="NQH6" i="263"/>
  <c r="NQH118" i="263" s="1"/>
  <c r="NQI6" i="263"/>
  <c r="NQI118" i="263" s="1"/>
  <c r="NQJ6" i="263"/>
  <c r="NQJ118" i="263" s="1"/>
  <c r="NQK6" i="263"/>
  <c r="NQK118" i="263" s="1"/>
  <c r="NQL6" i="263"/>
  <c r="NQL118" i="263" s="1"/>
  <c r="NQM6" i="263"/>
  <c r="NQM118" i="263" s="1"/>
  <c r="NQN6" i="263"/>
  <c r="NQN118" i="263" s="1"/>
  <c r="NQO6" i="263"/>
  <c r="NQO118" i="263" s="1"/>
  <c r="NQP6" i="263"/>
  <c r="NQP118" i="263" s="1"/>
  <c r="NQQ6" i="263"/>
  <c r="NQQ118" i="263" s="1"/>
  <c r="NQR6" i="263"/>
  <c r="NQR118" i="263" s="1"/>
  <c r="NQS6" i="263"/>
  <c r="NQS118" i="263" s="1"/>
  <c r="NQT6" i="263"/>
  <c r="NQT118" i="263" s="1"/>
  <c r="NQU6" i="263"/>
  <c r="NQU118" i="263" s="1"/>
  <c r="NQV6" i="263"/>
  <c r="NQV118" i="263" s="1"/>
  <c r="NQW6" i="263"/>
  <c r="NQW118" i="263" s="1"/>
  <c r="NQX6" i="263"/>
  <c r="NQX118" i="263" s="1"/>
  <c r="NQY6" i="263"/>
  <c r="NQY118" i="263" s="1"/>
  <c r="NQZ6" i="263"/>
  <c r="NQZ118" i="263" s="1"/>
  <c r="NRA6" i="263"/>
  <c r="NRA118" i="263" s="1"/>
  <c r="NRB6" i="263"/>
  <c r="NRB118" i="263" s="1"/>
  <c r="NRC6" i="263"/>
  <c r="NRC118" i="263" s="1"/>
  <c r="NRD6" i="263"/>
  <c r="NRD118" i="263" s="1"/>
  <c r="NRE6" i="263"/>
  <c r="NRE118" i="263" s="1"/>
  <c r="NRF6" i="263"/>
  <c r="NRF118" i="263" s="1"/>
  <c r="NRG6" i="263"/>
  <c r="NRG118" i="263" s="1"/>
  <c r="NRH6" i="263"/>
  <c r="NRH118" i="263" s="1"/>
  <c r="NRI6" i="263"/>
  <c r="NRI118" i="263" s="1"/>
  <c r="NRJ6" i="263"/>
  <c r="NRJ118" i="263" s="1"/>
  <c r="NRK6" i="263"/>
  <c r="NRK118" i="263" s="1"/>
  <c r="NRL6" i="263"/>
  <c r="NRL118" i="263" s="1"/>
  <c r="NRM6" i="263"/>
  <c r="NRM118" i="263" s="1"/>
  <c r="NRN6" i="263"/>
  <c r="NRN118" i="263" s="1"/>
  <c r="NRO6" i="263"/>
  <c r="NRO118" i="263" s="1"/>
  <c r="NRP6" i="263"/>
  <c r="NRP118" i="263" s="1"/>
  <c r="NRQ6" i="263"/>
  <c r="NRQ118" i="263" s="1"/>
  <c r="NRR6" i="263"/>
  <c r="NRR118" i="263" s="1"/>
  <c r="NRS6" i="263"/>
  <c r="NRS118" i="263" s="1"/>
  <c r="NRT6" i="263"/>
  <c r="NRT118" i="263" s="1"/>
  <c r="NRU6" i="263"/>
  <c r="NRU118" i="263" s="1"/>
  <c r="NRV6" i="263"/>
  <c r="NRV118" i="263" s="1"/>
  <c r="NRW6" i="263"/>
  <c r="NRW118" i="263" s="1"/>
  <c r="NRX6" i="263"/>
  <c r="NRX118" i="263" s="1"/>
  <c r="NRY6" i="263"/>
  <c r="NRY118" i="263" s="1"/>
  <c r="NRZ6" i="263"/>
  <c r="NRZ118" i="263" s="1"/>
  <c r="NSA6" i="263"/>
  <c r="NSA118" i="263" s="1"/>
  <c r="NSB6" i="263"/>
  <c r="NSB118" i="263" s="1"/>
  <c r="NSC6" i="263"/>
  <c r="NSC118" i="263" s="1"/>
  <c r="NSD6" i="263"/>
  <c r="NSD118" i="263" s="1"/>
  <c r="NSE6" i="263"/>
  <c r="NSE118" i="263" s="1"/>
  <c r="NSF6" i="263"/>
  <c r="NSF118" i="263" s="1"/>
  <c r="NSG6" i="263"/>
  <c r="NSG118" i="263" s="1"/>
  <c r="NSH6" i="263"/>
  <c r="NSH118" i="263" s="1"/>
  <c r="NSI6" i="263"/>
  <c r="NSI118" i="263" s="1"/>
  <c r="NSJ6" i="263"/>
  <c r="NSJ118" i="263" s="1"/>
  <c r="NSK6" i="263"/>
  <c r="NSK118" i="263" s="1"/>
  <c r="NSL6" i="263"/>
  <c r="NSL118" i="263" s="1"/>
  <c r="NSM6" i="263"/>
  <c r="NSM118" i="263" s="1"/>
  <c r="NSN6" i="263"/>
  <c r="NSN118" i="263" s="1"/>
  <c r="NSO6" i="263"/>
  <c r="NSO118" i="263" s="1"/>
  <c r="NSP6" i="263"/>
  <c r="NSP118" i="263" s="1"/>
  <c r="NSQ6" i="263"/>
  <c r="NSQ118" i="263" s="1"/>
  <c r="NSR6" i="263"/>
  <c r="NSR118" i="263" s="1"/>
  <c r="NSS6" i="263"/>
  <c r="NSS118" i="263" s="1"/>
  <c r="NST6" i="263"/>
  <c r="NST118" i="263" s="1"/>
  <c r="NSU6" i="263"/>
  <c r="NSU118" i="263" s="1"/>
  <c r="NSV6" i="263"/>
  <c r="NSV118" i="263" s="1"/>
  <c r="NSW6" i="263"/>
  <c r="NSW118" i="263" s="1"/>
  <c r="NSX6" i="263"/>
  <c r="NSX118" i="263" s="1"/>
  <c r="NSY6" i="263"/>
  <c r="NSY118" i="263" s="1"/>
  <c r="NSZ6" i="263"/>
  <c r="NSZ118" i="263" s="1"/>
  <c r="NTA6" i="263"/>
  <c r="NTA118" i="263" s="1"/>
  <c r="NTB6" i="263"/>
  <c r="NTB118" i="263" s="1"/>
  <c r="NTC6" i="263"/>
  <c r="NTC118" i="263" s="1"/>
  <c r="NTD6" i="263"/>
  <c r="NTD118" i="263" s="1"/>
  <c r="NTE6" i="263"/>
  <c r="NTE118" i="263" s="1"/>
  <c r="NTF6" i="263"/>
  <c r="NTF118" i="263" s="1"/>
  <c r="NTG6" i="263"/>
  <c r="NTG118" i="263" s="1"/>
  <c r="NTH6" i="263"/>
  <c r="NTH118" i="263" s="1"/>
  <c r="NTI6" i="263"/>
  <c r="NTI118" i="263" s="1"/>
  <c r="NTJ6" i="263"/>
  <c r="NTJ118" i="263" s="1"/>
  <c r="NTK6" i="263"/>
  <c r="NTK118" i="263" s="1"/>
  <c r="NTL6" i="263"/>
  <c r="NTL118" i="263" s="1"/>
  <c r="NTM6" i="263"/>
  <c r="NTM118" i="263" s="1"/>
  <c r="NTN6" i="263"/>
  <c r="NTN118" i="263" s="1"/>
  <c r="NTO6" i="263"/>
  <c r="NTO118" i="263" s="1"/>
  <c r="NTP6" i="263"/>
  <c r="NTP118" i="263" s="1"/>
  <c r="NTQ6" i="263"/>
  <c r="NTQ118" i="263" s="1"/>
  <c r="NTR6" i="263"/>
  <c r="NTR118" i="263" s="1"/>
  <c r="NTS6" i="263"/>
  <c r="NTS118" i="263" s="1"/>
  <c r="NTT6" i="263"/>
  <c r="NTT118" i="263" s="1"/>
  <c r="NTU6" i="263"/>
  <c r="NTU118" i="263" s="1"/>
  <c r="NTV6" i="263"/>
  <c r="NTV118" i="263" s="1"/>
  <c r="NTW6" i="263"/>
  <c r="NTW118" i="263" s="1"/>
  <c r="NTX6" i="263"/>
  <c r="NTX118" i="263" s="1"/>
  <c r="NTY6" i="263"/>
  <c r="NTY118" i="263" s="1"/>
  <c r="NTZ6" i="263"/>
  <c r="NTZ118" i="263" s="1"/>
  <c r="NUA6" i="263"/>
  <c r="NUA118" i="263" s="1"/>
  <c r="NUB6" i="263"/>
  <c r="NUB118" i="263" s="1"/>
  <c r="NUC6" i="263"/>
  <c r="NUC118" i="263" s="1"/>
  <c r="NUD6" i="263"/>
  <c r="NUD118" i="263" s="1"/>
  <c r="NUE6" i="263"/>
  <c r="NUE118" i="263" s="1"/>
  <c r="NUF6" i="263"/>
  <c r="NUF118" i="263" s="1"/>
  <c r="NUG6" i="263"/>
  <c r="NUG118" i="263" s="1"/>
  <c r="NUH6" i="263"/>
  <c r="NUH118" i="263" s="1"/>
  <c r="NUI6" i="263"/>
  <c r="NUI118" i="263" s="1"/>
  <c r="NUJ6" i="263"/>
  <c r="NUJ118" i="263" s="1"/>
  <c r="NUK6" i="263"/>
  <c r="NUK118" i="263" s="1"/>
  <c r="NUL6" i="263"/>
  <c r="NUL118" i="263" s="1"/>
  <c r="NUM6" i="263"/>
  <c r="NUM118" i="263" s="1"/>
  <c r="NUN6" i="263"/>
  <c r="NUN118" i="263" s="1"/>
  <c r="NUO6" i="263"/>
  <c r="NUO118" i="263" s="1"/>
  <c r="NUP6" i="263"/>
  <c r="NUP118" i="263" s="1"/>
  <c r="NUQ6" i="263"/>
  <c r="NUQ118" i="263" s="1"/>
  <c r="NUR6" i="263"/>
  <c r="NUR118" i="263" s="1"/>
  <c r="NUS6" i="263"/>
  <c r="NUS118" i="263" s="1"/>
  <c r="NUT6" i="263"/>
  <c r="NUT118" i="263" s="1"/>
  <c r="NUU6" i="263"/>
  <c r="NUU118" i="263" s="1"/>
  <c r="NUV6" i="263"/>
  <c r="NUV118" i="263" s="1"/>
  <c r="NUW6" i="263"/>
  <c r="NUW118" i="263" s="1"/>
  <c r="NUX6" i="263"/>
  <c r="NUX118" i="263" s="1"/>
  <c r="NUY6" i="263"/>
  <c r="NUY118" i="263" s="1"/>
  <c r="NUZ6" i="263"/>
  <c r="NUZ118" i="263" s="1"/>
  <c r="NVA6" i="263"/>
  <c r="NVA118" i="263" s="1"/>
  <c r="NVB6" i="263"/>
  <c r="NVB118" i="263" s="1"/>
  <c r="NVC6" i="263"/>
  <c r="NVC118" i="263" s="1"/>
  <c r="NVD6" i="263"/>
  <c r="NVD118" i="263" s="1"/>
  <c r="NVE6" i="263"/>
  <c r="NVE118" i="263" s="1"/>
  <c r="NVF6" i="263"/>
  <c r="NVF118" i="263" s="1"/>
  <c r="NVG6" i="263"/>
  <c r="NVG118" i="263" s="1"/>
  <c r="NVH6" i="263"/>
  <c r="NVH118" i="263" s="1"/>
  <c r="NVI6" i="263"/>
  <c r="NVI118" i="263" s="1"/>
  <c r="NVJ6" i="263"/>
  <c r="NVJ118" i="263" s="1"/>
  <c r="NVK6" i="263"/>
  <c r="NVK118" i="263" s="1"/>
  <c r="NVL6" i="263"/>
  <c r="NVL118" i="263" s="1"/>
  <c r="NVM6" i="263"/>
  <c r="NVM118" i="263" s="1"/>
  <c r="NVN6" i="263"/>
  <c r="NVN118" i="263" s="1"/>
  <c r="NVO6" i="263"/>
  <c r="NVO118" i="263" s="1"/>
  <c r="NVP6" i="263"/>
  <c r="NVP118" i="263" s="1"/>
  <c r="NVQ6" i="263"/>
  <c r="NVQ118" i="263" s="1"/>
  <c r="NVR6" i="263"/>
  <c r="NVR118" i="263" s="1"/>
  <c r="NVS6" i="263"/>
  <c r="NVS118" i="263" s="1"/>
  <c r="NVT6" i="263"/>
  <c r="NVT118" i="263" s="1"/>
  <c r="NVU6" i="263"/>
  <c r="NVU118" i="263" s="1"/>
  <c r="NVV6" i="263"/>
  <c r="NVV118" i="263" s="1"/>
  <c r="NVW6" i="263"/>
  <c r="NVW118" i="263" s="1"/>
  <c r="NVX6" i="263"/>
  <c r="NVX118" i="263" s="1"/>
  <c r="NVY6" i="263"/>
  <c r="NVY118" i="263" s="1"/>
  <c r="NVZ6" i="263"/>
  <c r="NVZ118" i="263" s="1"/>
  <c r="NWA6" i="263"/>
  <c r="NWA118" i="263" s="1"/>
  <c r="NWB6" i="263"/>
  <c r="NWB118" i="263" s="1"/>
  <c r="NWC6" i="263"/>
  <c r="NWC118" i="263" s="1"/>
  <c r="NWD6" i="263"/>
  <c r="NWD118" i="263" s="1"/>
  <c r="NWE6" i="263"/>
  <c r="NWE118" i="263" s="1"/>
  <c r="NWF6" i="263"/>
  <c r="NWF118" i="263" s="1"/>
  <c r="NWG6" i="263"/>
  <c r="NWG118" i="263" s="1"/>
  <c r="NWH6" i="263"/>
  <c r="NWH118" i="263" s="1"/>
  <c r="NWI6" i="263"/>
  <c r="NWI118" i="263" s="1"/>
  <c r="NWJ6" i="263"/>
  <c r="NWJ118" i="263" s="1"/>
  <c r="NWK6" i="263"/>
  <c r="NWK118" i="263" s="1"/>
  <c r="NWL6" i="263"/>
  <c r="NWL118" i="263" s="1"/>
  <c r="NWM6" i="263"/>
  <c r="NWM118" i="263" s="1"/>
  <c r="NWN6" i="263"/>
  <c r="NWN118" i="263" s="1"/>
  <c r="NWO6" i="263"/>
  <c r="NWO118" i="263" s="1"/>
  <c r="NWP6" i="263"/>
  <c r="NWP118" i="263" s="1"/>
  <c r="NWQ6" i="263"/>
  <c r="NWQ118" i="263" s="1"/>
  <c r="NWR6" i="263"/>
  <c r="NWR118" i="263" s="1"/>
  <c r="NWS6" i="263"/>
  <c r="NWS118" i="263" s="1"/>
  <c r="NWT6" i="263"/>
  <c r="NWT118" i="263" s="1"/>
  <c r="NWU6" i="263"/>
  <c r="NWU118" i="263" s="1"/>
  <c r="NWV6" i="263"/>
  <c r="NWV118" i="263" s="1"/>
  <c r="NWW6" i="263"/>
  <c r="NWW118" i="263" s="1"/>
  <c r="NWX6" i="263"/>
  <c r="NWX118" i="263" s="1"/>
  <c r="NWY6" i="263"/>
  <c r="NWY118" i="263" s="1"/>
  <c r="NWZ6" i="263"/>
  <c r="NWZ118" i="263" s="1"/>
  <c r="NXA6" i="263"/>
  <c r="NXA118" i="263" s="1"/>
  <c r="NXB6" i="263"/>
  <c r="NXB118" i="263" s="1"/>
  <c r="NXC6" i="263"/>
  <c r="NXC118" i="263" s="1"/>
  <c r="NXD6" i="263"/>
  <c r="NXD118" i="263" s="1"/>
  <c r="NXE6" i="263"/>
  <c r="NXE118" i="263" s="1"/>
  <c r="NXF6" i="263"/>
  <c r="NXF118" i="263" s="1"/>
  <c r="NXG6" i="263"/>
  <c r="NXG118" i="263" s="1"/>
  <c r="NXH6" i="263"/>
  <c r="NXH118" i="263" s="1"/>
  <c r="NXI6" i="263"/>
  <c r="NXI118" i="263" s="1"/>
  <c r="NXJ6" i="263"/>
  <c r="NXJ118" i="263" s="1"/>
  <c r="NXK6" i="263"/>
  <c r="NXK118" i="263" s="1"/>
  <c r="NXL6" i="263"/>
  <c r="NXL118" i="263" s="1"/>
  <c r="NXM6" i="263"/>
  <c r="NXM118" i="263" s="1"/>
  <c r="NXN6" i="263"/>
  <c r="NXN118" i="263" s="1"/>
  <c r="NXO6" i="263"/>
  <c r="NXO118" i="263" s="1"/>
  <c r="NXP6" i="263"/>
  <c r="NXP118" i="263" s="1"/>
  <c r="NXQ6" i="263"/>
  <c r="NXQ118" i="263" s="1"/>
  <c r="NXR6" i="263"/>
  <c r="NXR118" i="263" s="1"/>
  <c r="NXS6" i="263"/>
  <c r="NXS118" i="263" s="1"/>
  <c r="NXT6" i="263"/>
  <c r="NXT118" i="263" s="1"/>
  <c r="NXU6" i="263"/>
  <c r="NXU118" i="263" s="1"/>
  <c r="NXV6" i="263"/>
  <c r="NXV118" i="263" s="1"/>
  <c r="NXW6" i="263"/>
  <c r="NXW118" i="263" s="1"/>
  <c r="NXX6" i="263"/>
  <c r="NXX118" i="263" s="1"/>
  <c r="NXY6" i="263"/>
  <c r="NXY118" i="263" s="1"/>
  <c r="NXZ6" i="263"/>
  <c r="NXZ118" i="263" s="1"/>
  <c r="NYA6" i="263"/>
  <c r="NYA118" i="263" s="1"/>
  <c r="NYB6" i="263"/>
  <c r="NYB118" i="263" s="1"/>
  <c r="NYC6" i="263"/>
  <c r="NYC118" i="263" s="1"/>
  <c r="NYD6" i="263"/>
  <c r="NYD118" i="263" s="1"/>
  <c r="NYE6" i="263"/>
  <c r="NYE118" i="263" s="1"/>
  <c r="NYF6" i="263"/>
  <c r="NYF118" i="263" s="1"/>
  <c r="NYG6" i="263"/>
  <c r="NYG118" i="263" s="1"/>
  <c r="NYH6" i="263"/>
  <c r="NYH118" i="263" s="1"/>
  <c r="NYI6" i="263"/>
  <c r="NYI118" i="263" s="1"/>
  <c r="NYJ6" i="263"/>
  <c r="NYJ118" i="263" s="1"/>
  <c r="NYK6" i="263"/>
  <c r="NYK118" i="263" s="1"/>
  <c r="NYL6" i="263"/>
  <c r="NYL118" i="263" s="1"/>
  <c r="NYM6" i="263"/>
  <c r="NYM118" i="263" s="1"/>
  <c r="NYN6" i="263"/>
  <c r="NYN118" i="263" s="1"/>
  <c r="NYO6" i="263"/>
  <c r="NYO118" i="263" s="1"/>
  <c r="NYP6" i="263"/>
  <c r="NYP118" i="263" s="1"/>
  <c r="NYQ6" i="263"/>
  <c r="NYQ118" i="263" s="1"/>
  <c r="NYR6" i="263"/>
  <c r="NYR118" i="263" s="1"/>
  <c r="NYS6" i="263"/>
  <c r="NYS118" i="263" s="1"/>
  <c r="NYT6" i="263"/>
  <c r="NYT118" i="263" s="1"/>
  <c r="NYU6" i="263"/>
  <c r="NYU118" i="263" s="1"/>
  <c r="NYV6" i="263"/>
  <c r="NYV118" i="263" s="1"/>
  <c r="NYW6" i="263"/>
  <c r="NYW118" i="263" s="1"/>
  <c r="NYX6" i="263"/>
  <c r="NYX118" i="263" s="1"/>
  <c r="NYY6" i="263"/>
  <c r="NYY118" i="263" s="1"/>
  <c r="NYZ6" i="263"/>
  <c r="NYZ118" i="263" s="1"/>
  <c r="NZA6" i="263"/>
  <c r="NZA118" i="263" s="1"/>
  <c r="NZB6" i="263"/>
  <c r="NZB118" i="263" s="1"/>
  <c r="NZC6" i="263"/>
  <c r="NZC118" i="263" s="1"/>
  <c r="NZD6" i="263"/>
  <c r="NZD118" i="263" s="1"/>
  <c r="NZE6" i="263"/>
  <c r="NZE118" i="263" s="1"/>
  <c r="NZF6" i="263"/>
  <c r="NZF118" i="263" s="1"/>
  <c r="NZG6" i="263"/>
  <c r="NZG118" i="263" s="1"/>
  <c r="NZH6" i="263"/>
  <c r="NZH118" i="263" s="1"/>
  <c r="NZI6" i="263"/>
  <c r="NZI118" i="263" s="1"/>
  <c r="NZJ6" i="263"/>
  <c r="NZJ118" i="263" s="1"/>
  <c r="NZK6" i="263"/>
  <c r="NZK118" i="263" s="1"/>
  <c r="NZL6" i="263"/>
  <c r="NZL118" i="263" s="1"/>
  <c r="NZM6" i="263"/>
  <c r="NZM118" i="263" s="1"/>
  <c r="NZN6" i="263"/>
  <c r="NZN118" i="263" s="1"/>
  <c r="NZO6" i="263"/>
  <c r="NZO118" i="263" s="1"/>
  <c r="NZP6" i="263"/>
  <c r="NZP118" i="263" s="1"/>
  <c r="NZQ6" i="263"/>
  <c r="NZQ118" i="263" s="1"/>
  <c r="NZR6" i="263"/>
  <c r="NZR118" i="263" s="1"/>
  <c r="NZS6" i="263"/>
  <c r="NZS118" i="263" s="1"/>
  <c r="NZT6" i="263"/>
  <c r="NZT118" i="263" s="1"/>
  <c r="NZU6" i="263"/>
  <c r="NZU118" i="263" s="1"/>
  <c r="NZV6" i="263"/>
  <c r="NZV118" i="263" s="1"/>
  <c r="NZW6" i="263"/>
  <c r="NZW118" i="263" s="1"/>
  <c r="NZX6" i="263"/>
  <c r="NZX118" i="263" s="1"/>
  <c r="NZY6" i="263"/>
  <c r="NZY118" i="263" s="1"/>
  <c r="NZZ6" i="263"/>
  <c r="NZZ118" i="263" s="1"/>
  <c r="OAA6" i="263"/>
  <c r="OAA118" i="263" s="1"/>
  <c r="OAB6" i="263"/>
  <c r="OAB118" i="263" s="1"/>
  <c r="OAC6" i="263"/>
  <c r="OAC118" i="263" s="1"/>
  <c r="OAD6" i="263"/>
  <c r="OAD118" i="263" s="1"/>
  <c r="OAE6" i="263"/>
  <c r="OAE118" i="263" s="1"/>
  <c r="OAF6" i="263"/>
  <c r="OAF118" i="263" s="1"/>
  <c r="OAG6" i="263"/>
  <c r="OAG118" i="263" s="1"/>
  <c r="OAH6" i="263"/>
  <c r="OAH118" i="263" s="1"/>
  <c r="OAI6" i="263"/>
  <c r="OAI118" i="263" s="1"/>
  <c r="OAJ6" i="263"/>
  <c r="OAJ118" i="263" s="1"/>
  <c r="OAK6" i="263"/>
  <c r="OAK118" i="263" s="1"/>
  <c r="OAL6" i="263"/>
  <c r="OAL118" i="263" s="1"/>
  <c r="OAM6" i="263"/>
  <c r="OAM118" i="263" s="1"/>
  <c r="OAN6" i="263"/>
  <c r="OAN118" i="263" s="1"/>
  <c r="OAO6" i="263"/>
  <c r="OAO118" i="263" s="1"/>
  <c r="OAP6" i="263"/>
  <c r="OAP118" i="263" s="1"/>
  <c r="OAQ6" i="263"/>
  <c r="OAQ118" i="263" s="1"/>
  <c r="OAR6" i="263"/>
  <c r="OAR118" i="263" s="1"/>
  <c r="OAS6" i="263"/>
  <c r="OAS118" i="263" s="1"/>
  <c r="OAT6" i="263"/>
  <c r="OAT118" i="263" s="1"/>
  <c r="OAU6" i="263"/>
  <c r="OAU118" i="263" s="1"/>
  <c r="OAV6" i="263"/>
  <c r="OAV118" i="263" s="1"/>
  <c r="OAW6" i="263"/>
  <c r="OAW118" i="263" s="1"/>
  <c r="OAX6" i="263"/>
  <c r="OAX118" i="263" s="1"/>
  <c r="OAY6" i="263"/>
  <c r="OAY118" i="263" s="1"/>
  <c r="OAZ6" i="263"/>
  <c r="OAZ118" i="263" s="1"/>
  <c r="OBA6" i="263"/>
  <c r="OBA118" i="263" s="1"/>
  <c r="OBB6" i="263"/>
  <c r="OBB118" i="263" s="1"/>
  <c r="OBC6" i="263"/>
  <c r="OBC118" i="263" s="1"/>
  <c r="OBD6" i="263"/>
  <c r="OBD118" i="263" s="1"/>
  <c r="OBE6" i="263"/>
  <c r="OBE118" i="263" s="1"/>
  <c r="OBF6" i="263"/>
  <c r="OBF118" i="263" s="1"/>
  <c r="OBG6" i="263"/>
  <c r="OBG118" i="263" s="1"/>
  <c r="OBH6" i="263"/>
  <c r="OBH118" i="263" s="1"/>
  <c r="OBI6" i="263"/>
  <c r="OBI118" i="263" s="1"/>
  <c r="OBJ6" i="263"/>
  <c r="OBJ118" i="263" s="1"/>
  <c r="OBK6" i="263"/>
  <c r="OBK118" i="263" s="1"/>
  <c r="OBL6" i="263"/>
  <c r="OBL118" i="263" s="1"/>
  <c r="OBM6" i="263"/>
  <c r="OBM118" i="263" s="1"/>
  <c r="OBN6" i="263"/>
  <c r="OBN118" i="263" s="1"/>
  <c r="OBO6" i="263"/>
  <c r="OBO118" i="263" s="1"/>
  <c r="OBP6" i="263"/>
  <c r="OBP118" i="263" s="1"/>
  <c r="OBQ6" i="263"/>
  <c r="OBQ118" i="263" s="1"/>
  <c r="OBR6" i="263"/>
  <c r="OBR118" i="263" s="1"/>
  <c r="OBS6" i="263"/>
  <c r="OBS118" i="263" s="1"/>
  <c r="OBT6" i="263"/>
  <c r="OBT118" i="263" s="1"/>
  <c r="OBU6" i="263"/>
  <c r="OBU118" i="263" s="1"/>
  <c r="OBV6" i="263"/>
  <c r="OBV118" i="263" s="1"/>
  <c r="OBW6" i="263"/>
  <c r="OBW118" i="263" s="1"/>
  <c r="OBX6" i="263"/>
  <c r="OBX118" i="263" s="1"/>
  <c r="OBY6" i="263"/>
  <c r="OBY118" i="263" s="1"/>
  <c r="OBZ6" i="263"/>
  <c r="OBZ118" i="263" s="1"/>
  <c r="OCA6" i="263"/>
  <c r="OCA118" i="263" s="1"/>
  <c r="OCB6" i="263"/>
  <c r="OCB118" i="263" s="1"/>
  <c r="OCC6" i="263"/>
  <c r="OCC118" i="263" s="1"/>
  <c r="OCD6" i="263"/>
  <c r="OCD118" i="263" s="1"/>
  <c r="OCE6" i="263"/>
  <c r="OCE118" i="263" s="1"/>
  <c r="OCF6" i="263"/>
  <c r="OCF118" i="263" s="1"/>
  <c r="OCG6" i="263"/>
  <c r="OCG118" i="263" s="1"/>
  <c r="OCH6" i="263"/>
  <c r="OCH118" i="263" s="1"/>
  <c r="OCI6" i="263"/>
  <c r="OCI118" i="263" s="1"/>
  <c r="OCJ6" i="263"/>
  <c r="OCJ118" i="263" s="1"/>
  <c r="OCK6" i="263"/>
  <c r="OCK118" i="263" s="1"/>
  <c r="OCL6" i="263"/>
  <c r="OCL118" i="263" s="1"/>
  <c r="OCM6" i="263"/>
  <c r="OCM118" i="263" s="1"/>
  <c r="OCN6" i="263"/>
  <c r="OCN118" i="263" s="1"/>
  <c r="OCO6" i="263"/>
  <c r="OCO118" i="263" s="1"/>
  <c r="OCP6" i="263"/>
  <c r="OCP118" i="263" s="1"/>
  <c r="OCQ6" i="263"/>
  <c r="OCQ118" i="263" s="1"/>
  <c r="OCR6" i="263"/>
  <c r="OCR118" i="263" s="1"/>
  <c r="OCS6" i="263"/>
  <c r="OCS118" i="263" s="1"/>
  <c r="OCT6" i="263"/>
  <c r="OCT118" i="263" s="1"/>
  <c r="OCU6" i="263"/>
  <c r="OCU118" i="263" s="1"/>
  <c r="OCV6" i="263"/>
  <c r="OCV118" i="263" s="1"/>
  <c r="OCW6" i="263"/>
  <c r="OCW118" i="263" s="1"/>
  <c r="OCX6" i="263"/>
  <c r="OCX118" i="263" s="1"/>
  <c r="OCY6" i="263"/>
  <c r="OCY118" i="263" s="1"/>
  <c r="OCZ6" i="263"/>
  <c r="OCZ118" i="263" s="1"/>
  <c r="ODA6" i="263"/>
  <c r="ODA118" i="263" s="1"/>
  <c r="ODB6" i="263"/>
  <c r="ODB118" i="263" s="1"/>
  <c r="ODC6" i="263"/>
  <c r="ODC118" i="263" s="1"/>
  <c r="ODD6" i="263"/>
  <c r="ODD118" i="263" s="1"/>
  <c r="ODE6" i="263"/>
  <c r="ODE118" i="263" s="1"/>
  <c r="ODF6" i="263"/>
  <c r="ODF118" i="263" s="1"/>
  <c r="ODG6" i="263"/>
  <c r="ODG118" i="263" s="1"/>
  <c r="ODH6" i="263"/>
  <c r="ODH118" i="263" s="1"/>
  <c r="ODI6" i="263"/>
  <c r="ODI118" i="263" s="1"/>
  <c r="ODJ6" i="263"/>
  <c r="ODJ118" i="263" s="1"/>
  <c r="ODK6" i="263"/>
  <c r="ODK118" i="263" s="1"/>
  <c r="ODL6" i="263"/>
  <c r="ODL118" i="263" s="1"/>
  <c r="ODM6" i="263"/>
  <c r="ODM118" i="263" s="1"/>
  <c r="ODN6" i="263"/>
  <c r="ODN118" i="263" s="1"/>
  <c r="ODO6" i="263"/>
  <c r="ODO118" i="263" s="1"/>
  <c r="ODP6" i="263"/>
  <c r="ODP118" i="263" s="1"/>
  <c r="ODQ6" i="263"/>
  <c r="ODQ118" i="263" s="1"/>
  <c r="ODR6" i="263"/>
  <c r="ODR118" i="263" s="1"/>
  <c r="ODS6" i="263"/>
  <c r="ODS118" i="263" s="1"/>
  <c r="ODT6" i="263"/>
  <c r="ODT118" i="263" s="1"/>
  <c r="ODU6" i="263"/>
  <c r="ODU118" i="263" s="1"/>
  <c r="ODV6" i="263"/>
  <c r="ODV118" i="263" s="1"/>
  <c r="ODW6" i="263"/>
  <c r="ODW118" i="263" s="1"/>
  <c r="ODX6" i="263"/>
  <c r="ODX118" i="263" s="1"/>
  <c r="ODY6" i="263"/>
  <c r="ODY118" i="263" s="1"/>
  <c r="ODZ6" i="263"/>
  <c r="ODZ118" i="263" s="1"/>
  <c r="OEA6" i="263"/>
  <c r="OEA118" i="263" s="1"/>
  <c r="OEB6" i="263"/>
  <c r="OEB118" i="263" s="1"/>
  <c r="OEC6" i="263"/>
  <c r="OEC118" i="263" s="1"/>
  <c r="OED6" i="263"/>
  <c r="OED118" i="263" s="1"/>
  <c r="OEE6" i="263"/>
  <c r="OEE118" i="263" s="1"/>
  <c r="OEF6" i="263"/>
  <c r="OEF118" i="263" s="1"/>
  <c r="OEG6" i="263"/>
  <c r="OEG118" i="263" s="1"/>
  <c r="OEH6" i="263"/>
  <c r="OEH118" i="263" s="1"/>
  <c r="OEI6" i="263"/>
  <c r="OEI118" i="263" s="1"/>
  <c r="OEJ6" i="263"/>
  <c r="OEJ118" i="263" s="1"/>
  <c r="OEK6" i="263"/>
  <c r="OEK118" i="263" s="1"/>
  <c r="OEL6" i="263"/>
  <c r="OEL118" i="263" s="1"/>
  <c r="OEM6" i="263"/>
  <c r="OEM118" i="263" s="1"/>
  <c r="OEN6" i="263"/>
  <c r="OEN118" i="263" s="1"/>
  <c r="OEO6" i="263"/>
  <c r="OEO118" i="263" s="1"/>
  <c r="OEP6" i="263"/>
  <c r="OEP118" i="263" s="1"/>
  <c r="OEQ6" i="263"/>
  <c r="OEQ118" i="263" s="1"/>
  <c r="OER6" i="263"/>
  <c r="OER118" i="263" s="1"/>
  <c r="OES6" i="263"/>
  <c r="OES118" i="263" s="1"/>
  <c r="OET6" i="263"/>
  <c r="OET118" i="263" s="1"/>
  <c r="OEU6" i="263"/>
  <c r="OEU118" i="263" s="1"/>
  <c r="OEV6" i="263"/>
  <c r="OEV118" i="263" s="1"/>
  <c r="OEW6" i="263"/>
  <c r="OEW118" i="263" s="1"/>
  <c r="OEX6" i="263"/>
  <c r="OEX118" i="263" s="1"/>
  <c r="OEY6" i="263"/>
  <c r="OEY118" i="263" s="1"/>
  <c r="OEZ6" i="263"/>
  <c r="OEZ118" i="263" s="1"/>
  <c r="OFA6" i="263"/>
  <c r="OFA118" i="263" s="1"/>
  <c r="OFB6" i="263"/>
  <c r="OFB118" i="263" s="1"/>
  <c r="OFC6" i="263"/>
  <c r="OFC118" i="263" s="1"/>
  <c r="OFD6" i="263"/>
  <c r="OFD118" i="263" s="1"/>
  <c r="OFE6" i="263"/>
  <c r="OFE118" i="263" s="1"/>
  <c r="OFF6" i="263"/>
  <c r="OFF118" i="263" s="1"/>
  <c r="OFG6" i="263"/>
  <c r="OFG118" i="263" s="1"/>
  <c r="OFH6" i="263"/>
  <c r="OFH118" i="263" s="1"/>
  <c r="OFI6" i="263"/>
  <c r="OFI118" i="263" s="1"/>
  <c r="OFJ6" i="263"/>
  <c r="OFJ118" i="263" s="1"/>
  <c r="OFK6" i="263"/>
  <c r="OFK118" i="263" s="1"/>
  <c r="OFL6" i="263"/>
  <c r="OFL118" i="263" s="1"/>
  <c r="OFM6" i="263"/>
  <c r="OFM118" i="263" s="1"/>
  <c r="OFN6" i="263"/>
  <c r="OFN118" i="263" s="1"/>
  <c r="OFO6" i="263"/>
  <c r="OFO118" i="263" s="1"/>
  <c r="OFP6" i="263"/>
  <c r="OFP118" i="263" s="1"/>
  <c r="OFQ6" i="263"/>
  <c r="OFQ118" i="263" s="1"/>
  <c r="OFR6" i="263"/>
  <c r="OFR118" i="263" s="1"/>
  <c r="OFS6" i="263"/>
  <c r="OFS118" i="263" s="1"/>
  <c r="OFT6" i="263"/>
  <c r="OFT118" i="263" s="1"/>
  <c r="OFU6" i="263"/>
  <c r="OFU118" i="263" s="1"/>
  <c r="OFV6" i="263"/>
  <c r="OFV118" i="263" s="1"/>
  <c r="OFW6" i="263"/>
  <c r="OFW118" i="263" s="1"/>
  <c r="OFX6" i="263"/>
  <c r="OFX118" i="263" s="1"/>
  <c r="OFY6" i="263"/>
  <c r="OFY118" i="263" s="1"/>
  <c r="OFZ6" i="263"/>
  <c r="OFZ118" i="263" s="1"/>
  <c r="OGA6" i="263"/>
  <c r="OGA118" i="263" s="1"/>
  <c r="OGB6" i="263"/>
  <c r="OGB118" i="263" s="1"/>
  <c r="OGC6" i="263"/>
  <c r="OGC118" i="263" s="1"/>
  <c r="OGD6" i="263"/>
  <c r="OGD118" i="263" s="1"/>
  <c r="OGE6" i="263"/>
  <c r="OGE118" i="263" s="1"/>
  <c r="OGF6" i="263"/>
  <c r="OGF118" i="263" s="1"/>
  <c r="OGG6" i="263"/>
  <c r="OGG118" i="263" s="1"/>
  <c r="OGH6" i="263"/>
  <c r="OGH118" i="263" s="1"/>
  <c r="OGI6" i="263"/>
  <c r="OGI118" i="263" s="1"/>
  <c r="OGJ6" i="263"/>
  <c r="OGJ118" i="263" s="1"/>
  <c r="OGK6" i="263"/>
  <c r="OGK118" i="263" s="1"/>
  <c r="OGL6" i="263"/>
  <c r="OGL118" i="263" s="1"/>
  <c r="OGM6" i="263"/>
  <c r="OGM118" i="263" s="1"/>
  <c r="OGN6" i="263"/>
  <c r="OGN118" i="263" s="1"/>
  <c r="OGO6" i="263"/>
  <c r="OGO118" i="263" s="1"/>
  <c r="OGP6" i="263"/>
  <c r="OGP118" i="263" s="1"/>
  <c r="OGQ6" i="263"/>
  <c r="OGQ118" i="263" s="1"/>
  <c r="OGR6" i="263"/>
  <c r="OGR118" i="263" s="1"/>
  <c r="OGS6" i="263"/>
  <c r="OGS118" i="263" s="1"/>
  <c r="OGT6" i="263"/>
  <c r="OGT118" i="263" s="1"/>
  <c r="OGU6" i="263"/>
  <c r="OGU118" i="263" s="1"/>
  <c r="OGV6" i="263"/>
  <c r="OGV118" i="263" s="1"/>
  <c r="OGW6" i="263"/>
  <c r="OGW118" i="263" s="1"/>
  <c r="OGX6" i="263"/>
  <c r="OGX118" i="263" s="1"/>
  <c r="OGY6" i="263"/>
  <c r="OGY118" i="263" s="1"/>
  <c r="OGZ6" i="263"/>
  <c r="OGZ118" i="263" s="1"/>
  <c r="OHA6" i="263"/>
  <c r="OHA118" i="263" s="1"/>
  <c r="OHB6" i="263"/>
  <c r="OHB118" i="263" s="1"/>
  <c r="OHC6" i="263"/>
  <c r="OHC118" i="263" s="1"/>
  <c r="OHD6" i="263"/>
  <c r="OHD118" i="263" s="1"/>
  <c r="OHE6" i="263"/>
  <c r="OHE118" i="263" s="1"/>
  <c r="OHF6" i="263"/>
  <c r="OHF118" i="263" s="1"/>
  <c r="OHG6" i="263"/>
  <c r="OHG118" i="263" s="1"/>
  <c r="OHH6" i="263"/>
  <c r="OHH118" i="263" s="1"/>
  <c r="OHI6" i="263"/>
  <c r="OHI118" i="263" s="1"/>
  <c r="OHJ6" i="263"/>
  <c r="OHJ118" i="263" s="1"/>
  <c r="OHK6" i="263"/>
  <c r="OHK118" i="263" s="1"/>
  <c r="OHL6" i="263"/>
  <c r="OHL118" i="263" s="1"/>
  <c r="OHM6" i="263"/>
  <c r="OHM118" i="263" s="1"/>
  <c r="OHN6" i="263"/>
  <c r="OHN118" i="263" s="1"/>
  <c r="OHO6" i="263"/>
  <c r="OHO118" i="263" s="1"/>
  <c r="OHP6" i="263"/>
  <c r="OHP118" i="263" s="1"/>
  <c r="OHQ6" i="263"/>
  <c r="OHQ118" i="263" s="1"/>
  <c r="OHR6" i="263"/>
  <c r="OHR118" i="263" s="1"/>
  <c r="OHS6" i="263"/>
  <c r="OHS118" i="263" s="1"/>
  <c r="OHT6" i="263"/>
  <c r="OHT118" i="263" s="1"/>
  <c r="OHU6" i="263"/>
  <c r="OHU118" i="263" s="1"/>
  <c r="OHV6" i="263"/>
  <c r="OHV118" i="263" s="1"/>
  <c r="OHW6" i="263"/>
  <c r="OHW118" i="263" s="1"/>
  <c r="OHX6" i="263"/>
  <c r="OHX118" i="263" s="1"/>
  <c r="OHY6" i="263"/>
  <c r="OHY118" i="263" s="1"/>
  <c r="OHZ6" i="263"/>
  <c r="OHZ118" i="263" s="1"/>
  <c r="OIA6" i="263"/>
  <c r="OIA118" i="263" s="1"/>
  <c r="OIB6" i="263"/>
  <c r="OIB118" i="263" s="1"/>
  <c r="OIC6" i="263"/>
  <c r="OIC118" i="263" s="1"/>
  <c r="OID6" i="263"/>
  <c r="OID118" i="263" s="1"/>
  <c r="OIE6" i="263"/>
  <c r="OIE118" i="263" s="1"/>
  <c r="OIF6" i="263"/>
  <c r="OIF118" i="263" s="1"/>
  <c r="OIG6" i="263"/>
  <c r="OIG118" i="263" s="1"/>
  <c r="OIH6" i="263"/>
  <c r="OIH118" i="263" s="1"/>
  <c r="OII6" i="263"/>
  <c r="OII118" i="263" s="1"/>
  <c r="OIJ6" i="263"/>
  <c r="OIJ118" i="263" s="1"/>
  <c r="OIK6" i="263"/>
  <c r="OIK118" i="263" s="1"/>
  <c r="OIL6" i="263"/>
  <c r="OIL118" i="263" s="1"/>
  <c r="OIM6" i="263"/>
  <c r="OIM118" i="263" s="1"/>
  <c r="OIN6" i="263"/>
  <c r="OIN118" i="263" s="1"/>
  <c r="OIO6" i="263"/>
  <c r="OIO118" i="263" s="1"/>
  <c r="OIP6" i="263"/>
  <c r="OIP118" i="263" s="1"/>
  <c r="OIQ6" i="263"/>
  <c r="OIQ118" i="263" s="1"/>
  <c r="OIR6" i="263"/>
  <c r="OIR118" i="263" s="1"/>
  <c r="OIS6" i="263"/>
  <c r="OIS118" i="263" s="1"/>
  <c r="OIT6" i="263"/>
  <c r="OIT118" i="263" s="1"/>
  <c r="OIU6" i="263"/>
  <c r="OIU118" i="263" s="1"/>
  <c r="OIV6" i="263"/>
  <c r="OIV118" i="263" s="1"/>
  <c r="OIW6" i="263"/>
  <c r="OIW118" i="263" s="1"/>
  <c r="OIX6" i="263"/>
  <c r="OIX118" i="263" s="1"/>
  <c r="OIY6" i="263"/>
  <c r="OIY118" i="263" s="1"/>
  <c r="OIZ6" i="263"/>
  <c r="OIZ118" i="263" s="1"/>
  <c r="OJA6" i="263"/>
  <c r="OJA118" i="263" s="1"/>
  <c r="OJB6" i="263"/>
  <c r="OJB118" i="263" s="1"/>
  <c r="OJC6" i="263"/>
  <c r="OJC118" i="263" s="1"/>
  <c r="OJD6" i="263"/>
  <c r="OJD118" i="263" s="1"/>
  <c r="OJE6" i="263"/>
  <c r="OJE118" i="263" s="1"/>
  <c r="OJF6" i="263"/>
  <c r="OJF118" i="263" s="1"/>
  <c r="OJG6" i="263"/>
  <c r="OJG118" i="263" s="1"/>
  <c r="OJH6" i="263"/>
  <c r="OJH118" i="263" s="1"/>
  <c r="OJI6" i="263"/>
  <c r="OJI118" i="263" s="1"/>
  <c r="OJJ6" i="263"/>
  <c r="OJJ118" i="263" s="1"/>
  <c r="OJK6" i="263"/>
  <c r="OJK118" i="263" s="1"/>
  <c r="OJL6" i="263"/>
  <c r="OJL118" i="263" s="1"/>
  <c r="OJM6" i="263"/>
  <c r="OJM118" i="263" s="1"/>
  <c r="OJN6" i="263"/>
  <c r="OJN118" i="263" s="1"/>
  <c r="OJO6" i="263"/>
  <c r="OJO118" i="263" s="1"/>
  <c r="OJP6" i="263"/>
  <c r="OJP118" i="263" s="1"/>
  <c r="OJQ6" i="263"/>
  <c r="OJQ118" i="263" s="1"/>
  <c r="OJR6" i="263"/>
  <c r="OJR118" i="263" s="1"/>
  <c r="OJS6" i="263"/>
  <c r="OJS118" i="263" s="1"/>
  <c r="OJT6" i="263"/>
  <c r="OJT118" i="263" s="1"/>
  <c r="OJU6" i="263"/>
  <c r="OJU118" i="263" s="1"/>
  <c r="OJV6" i="263"/>
  <c r="OJV118" i="263" s="1"/>
  <c r="OJW6" i="263"/>
  <c r="OJW118" i="263" s="1"/>
  <c r="OJX6" i="263"/>
  <c r="OJX118" i="263" s="1"/>
  <c r="OJY6" i="263"/>
  <c r="OJY118" i="263" s="1"/>
  <c r="OJZ6" i="263"/>
  <c r="OJZ118" i="263" s="1"/>
  <c r="OKA6" i="263"/>
  <c r="OKA118" i="263" s="1"/>
  <c r="OKB6" i="263"/>
  <c r="OKB118" i="263" s="1"/>
  <c r="OKC6" i="263"/>
  <c r="OKC118" i="263" s="1"/>
  <c r="OKD6" i="263"/>
  <c r="OKD118" i="263" s="1"/>
  <c r="OKE6" i="263"/>
  <c r="OKE118" i="263" s="1"/>
  <c r="OKF6" i="263"/>
  <c r="OKF118" i="263" s="1"/>
  <c r="OKG6" i="263"/>
  <c r="OKG118" i="263" s="1"/>
  <c r="OKH6" i="263"/>
  <c r="OKH118" i="263" s="1"/>
  <c r="OKI6" i="263"/>
  <c r="OKI118" i="263" s="1"/>
  <c r="OKJ6" i="263"/>
  <c r="OKJ118" i="263" s="1"/>
  <c r="OKK6" i="263"/>
  <c r="OKK118" i="263" s="1"/>
  <c r="OKL6" i="263"/>
  <c r="OKL118" i="263" s="1"/>
  <c r="OKM6" i="263"/>
  <c r="OKM118" i="263" s="1"/>
  <c r="OKN6" i="263"/>
  <c r="OKN118" i="263" s="1"/>
  <c r="OKO6" i="263"/>
  <c r="OKO118" i="263" s="1"/>
  <c r="OKP6" i="263"/>
  <c r="OKP118" i="263" s="1"/>
  <c r="OKQ6" i="263"/>
  <c r="OKQ118" i="263" s="1"/>
  <c r="OKR6" i="263"/>
  <c r="OKR118" i="263" s="1"/>
  <c r="OKS6" i="263"/>
  <c r="OKS118" i="263" s="1"/>
  <c r="OKT6" i="263"/>
  <c r="OKT118" i="263" s="1"/>
  <c r="OKU6" i="263"/>
  <c r="OKU118" i="263" s="1"/>
  <c r="OKV6" i="263"/>
  <c r="OKV118" i="263" s="1"/>
  <c r="OKW6" i="263"/>
  <c r="OKW118" i="263" s="1"/>
  <c r="OKX6" i="263"/>
  <c r="OKX118" i="263" s="1"/>
  <c r="OKY6" i="263"/>
  <c r="OKY118" i="263" s="1"/>
  <c r="OKZ6" i="263"/>
  <c r="OKZ118" i="263" s="1"/>
  <c r="OLA6" i="263"/>
  <c r="OLA118" i="263" s="1"/>
  <c r="OLB6" i="263"/>
  <c r="OLB118" i="263" s="1"/>
  <c r="OLC6" i="263"/>
  <c r="OLC118" i="263" s="1"/>
  <c r="OLD6" i="263"/>
  <c r="OLD118" i="263" s="1"/>
  <c r="OLE6" i="263"/>
  <c r="OLE118" i="263" s="1"/>
  <c r="OLF6" i="263"/>
  <c r="OLF118" i="263" s="1"/>
  <c r="OLG6" i="263"/>
  <c r="OLG118" i="263" s="1"/>
  <c r="OLH6" i="263"/>
  <c r="OLH118" i="263" s="1"/>
  <c r="OLI6" i="263"/>
  <c r="OLI118" i="263" s="1"/>
  <c r="OLJ6" i="263"/>
  <c r="OLJ118" i="263" s="1"/>
  <c r="OLK6" i="263"/>
  <c r="OLK118" i="263" s="1"/>
  <c r="OLL6" i="263"/>
  <c r="OLL118" i="263" s="1"/>
  <c r="OLM6" i="263"/>
  <c r="OLM118" i="263" s="1"/>
  <c r="OLN6" i="263"/>
  <c r="OLN118" i="263" s="1"/>
  <c r="OLO6" i="263"/>
  <c r="OLO118" i="263" s="1"/>
  <c r="OLP6" i="263"/>
  <c r="OLP118" i="263" s="1"/>
  <c r="OLQ6" i="263"/>
  <c r="OLQ118" i="263" s="1"/>
  <c r="OLR6" i="263"/>
  <c r="OLR118" i="263" s="1"/>
  <c r="OLS6" i="263"/>
  <c r="OLS118" i="263" s="1"/>
  <c r="OLT6" i="263"/>
  <c r="OLT118" i="263" s="1"/>
  <c r="OLU6" i="263"/>
  <c r="OLU118" i="263" s="1"/>
  <c r="OLV6" i="263"/>
  <c r="OLV118" i="263" s="1"/>
  <c r="OLW6" i="263"/>
  <c r="OLW118" i="263" s="1"/>
  <c r="OLX6" i="263"/>
  <c r="OLX118" i="263" s="1"/>
  <c r="OLY6" i="263"/>
  <c r="OLY118" i="263" s="1"/>
  <c r="OLZ6" i="263"/>
  <c r="OLZ118" i="263" s="1"/>
  <c r="OMA6" i="263"/>
  <c r="OMA118" i="263" s="1"/>
  <c r="OMB6" i="263"/>
  <c r="OMB118" i="263" s="1"/>
  <c r="OMC6" i="263"/>
  <c r="OMC118" i="263" s="1"/>
  <c r="OMD6" i="263"/>
  <c r="OMD118" i="263" s="1"/>
  <c r="OME6" i="263"/>
  <c r="OME118" i="263" s="1"/>
  <c r="OMF6" i="263"/>
  <c r="OMF118" i="263" s="1"/>
  <c r="OMG6" i="263"/>
  <c r="OMG118" i="263" s="1"/>
  <c r="OMH6" i="263"/>
  <c r="OMH118" i="263" s="1"/>
  <c r="OMI6" i="263"/>
  <c r="OMI118" i="263" s="1"/>
  <c r="OMJ6" i="263"/>
  <c r="OMJ118" i="263" s="1"/>
  <c r="OMK6" i="263"/>
  <c r="OMK118" i="263" s="1"/>
  <c r="OML6" i="263"/>
  <c r="OML118" i="263" s="1"/>
  <c r="OMM6" i="263"/>
  <c r="OMM118" i="263" s="1"/>
  <c r="OMN6" i="263"/>
  <c r="OMN118" i="263" s="1"/>
  <c r="OMO6" i="263"/>
  <c r="OMO118" i="263" s="1"/>
  <c r="OMP6" i="263"/>
  <c r="OMP118" i="263" s="1"/>
  <c r="OMQ6" i="263"/>
  <c r="OMQ118" i="263" s="1"/>
  <c r="OMR6" i="263"/>
  <c r="OMR118" i="263" s="1"/>
  <c r="OMS6" i="263"/>
  <c r="OMS118" i="263" s="1"/>
  <c r="OMT6" i="263"/>
  <c r="OMT118" i="263" s="1"/>
  <c r="OMU6" i="263"/>
  <c r="OMU118" i="263" s="1"/>
  <c r="OMV6" i="263"/>
  <c r="OMV118" i="263" s="1"/>
  <c r="OMW6" i="263"/>
  <c r="OMW118" i="263" s="1"/>
  <c r="OMX6" i="263"/>
  <c r="OMX118" i="263" s="1"/>
  <c r="OMY6" i="263"/>
  <c r="OMY118" i="263" s="1"/>
  <c r="OMZ6" i="263"/>
  <c r="OMZ118" i="263" s="1"/>
  <c r="ONA6" i="263"/>
  <c r="ONA118" i="263" s="1"/>
  <c r="ONB6" i="263"/>
  <c r="ONB118" i="263" s="1"/>
  <c r="ONC6" i="263"/>
  <c r="ONC118" i="263" s="1"/>
  <c r="OND6" i="263"/>
  <c r="OND118" i="263" s="1"/>
  <c r="ONE6" i="263"/>
  <c r="ONE118" i="263" s="1"/>
  <c r="ONF6" i="263"/>
  <c r="ONF118" i="263" s="1"/>
  <c r="ONG6" i="263"/>
  <c r="ONG118" i="263" s="1"/>
  <c r="ONH6" i="263"/>
  <c r="ONH118" i="263" s="1"/>
  <c r="ONI6" i="263"/>
  <c r="ONI118" i="263" s="1"/>
  <c r="ONJ6" i="263"/>
  <c r="ONJ118" i="263" s="1"/>
  <c r="ONK6" i="263"/>
  <c r="ONK118" i="263" s="1"/>
  <c r="ONL6" i="263"/>
  <c r="ONL118" i="263" s="1"/>
  <c r="ONM6" i="263"/>
  <c r="ONM118" i="263" s="1"/>
  <c r="ONN6" i="263"/>
  <c r="ONN118" i="263" s="1"/>
  <c r="ONO6" i="263"/>
  <c r="ONO118" i="263" s="1"/>
  <c r="ONP6" i="263"/>
  <c r="ONP118" i="263" s="1"/>
  <c r="ONQ6" i="263"/>
  <c r="ONQ118" i="263" s="1"/>
  <c r="ONR6" i="263"/>
  <c r="ONR118" i="263" s="1"/>
  <c r="ONS6" i="263"/>
  <c r="ONS118" i="263" s="1"/>
  <c r="ONT6" i="263"/>
  <c r="ONT118" i="263" s="1"/>
  <c r="ONU6" i="263"/>
  <c r="ONU118" i="263" s="1"/>
  <c r="ONV6" i="263"/>
  <c r="ONV118" i="263" s="1"/>
  <c r="ONW6" i="263"/>
  <c r="ONW118" i="263" s="1"/>
  <c r="ONX6" i="263"/>
  <c r="ONX118" i="263" s="1"/>
  <c r="ONY6" i="263"/>
  <c r="ONY118" i="263" s="1"/>
  <c r="ONZ6" i="263"/>
  <c r="ONZ118" i="263" s="1"/>
  <c r="OOA6" i="263"/>
  <c r="OOA118" i="263" s="1"/>
  <c r="OOB6" i="263"/>
  <c r="OOB118" i="263" s="1"/>
  <c r="OOC6" i="263"/>
  <c r="OOC118" i="263" s="1"/>
  <c r="OOD6" i="263"/>
  <c r="OOD118" i="263" s="1"/>
  <c r="OOE6" i="263"/>
  <c r="OOE118" i="263" s="1"/>
  <c r="OOF6" i="263"/>
  <c r="OOF118" i="263" s="1"/>
  <c r="OOG6" i="263"/>
  <c r="OOG118" i="263" s="1"/>
  <c r="OOH6" i="263"/>
  <c r="OOH118" i="263" s="1"/>
  <c r="OOI6" i="263"/>
  <c r="OOI118" i="263" s="1"/>
  <c r="OOJ6" i="263"/>
  <c r="OOJ118" i="263" s="1"/>
  <c r="OOK6" i="263"/>
  <c r="OOK118" i="263" s="1"/>
  <c r="OOL6" i="263"/>
  <c r="OOL118" i="263" s="1"/>
  <c r="OOM6" i="263"/>
  <c r="OOM118" i="263" s="1"/>
  <c r="OON6" i="263"/>
  <c r="OON118" i="263" s="1"/>
  <c r="OOO6" i="263"/>
  <c r="OOO118" i="263" s="1"/>
  <c r="OOP6" i="263"/>
  <c r="OOP118" i="263" s="1"/>
  <c r="OOQ6" i="263"/>
  <c r="OOQ118" i="263" s="1"/>
  <c r="OOR6" i="263"/>
  <c r="OOR118" i="263" s="1"/>
  <c r="OOS6" i="263"/>
  <c r="OOS118" i="263" s="1"/>
  <c r="OOT6" i="263"/>
  <c r="OOT118" i="263" s="1"/>
  <c r="OOU6" i="263"/>
  <c r="OOU118" i="263" s="1"/>
  <c r="OOV6" i="263"/>
  <c r="OOV118" i="263" s="1"/>
  <c r="OOW6" i="263"/>
  <c r="OOW118" i="263" s="1"/>
  <c r="OOX6" i="263"/>
  <c r="OOX118" i="263" s="1"/>
  <c r="OOY6" i="263"/>
  <c r="OOY118" i="263" s="1"/>
  <c r="OOZ6" i="263"/>
  <c r="OOZ118" i="263" s="1"/>
  <c r="OPA6" i="263"/>
  <c r="OPA118" i="263" s="1"/>
  <c r="OPB6" i="263"/>
  <c r="OPB118" i="263" s="1"/>
  <c r="OPC6" i="263"/>
  <c r="OPC118" i="263" s="1"/>
  <c r="OPD6" i="263"/>
  <c r="OPD118" i="263" s="1"/>
  <c r="OPE6" i="263"/>
  <c r="OPE118" i="263" s="1"/>
  <c r="OPF6" i="263"/>
  <c r="OPF118" i="263" s="1"/>
  <c r="OPG6" i="263"/>
  <c r="OPG118" i="263" s="1"/>
  <c r="OPH6" i="263"/>
  <c r="OPH118" i="263" s="1"/>
  <c r="OPI6" i="263"/>
  <c r="OPI118" i="263" s="1"/>
  <c r="OPJ6" i="263"/>
  <c r="OPJ118" i="263" s="1"/>
  <c r="OPK6" i="263"/>
  <c r="OPK118" i="263" s="1"/>
  <c r="OPL6" i="263"/>
  <c r="OPL118" i="263" s="1"/>
  <c r="OPM6" i="263"/>
  <c r="OPM118" i="263" s="1"/>
  <c r="OPN6" i="263"/>
  <c r="OPN118" i="263" s="1"/>
  <c r="OPO6" i="263"/>
  <c r="OPO118" i="263" s="1"/>
  <c r="OPP6" i="263"/>
  <c r="OPP118" i="263" s="1"/>
  <c r="OPQ6" i="263"/>
  <c r="OPQ118" i="263" s="1"/>
  <c r="OPR6" i="263"/>
  <c r="OPR118" i="263" s="1"/>
  <c r="OPS6" i="263"/>
  <c r="OPS118" i="263" s="1"/>
  <c r="OPT6" i="263"/>
  <c r="OPT118" i="263" s="1"/>
  <c r="OPU6" i="263"/>
  <c r="OPU118" i="263" s="1"/>
  <c r="OPV6" i="263"/>
  <c r="OPV118" i="263" s="1"/>
  <c r="OPW6" i="263"/>
  <c r="OPW118" i="263" s="1"/>
  <c r="OPX6" i="263"/>
  <c r="OPX118" i="263" s="1"/>
  <c r="OPY6" i="263"/>
  <c r="OPY118" i="263" s="1"/>
  <c r="OPZ6" i="263"/>
  <c r="OPZ118" i="263" s="1"/>
  <c r="OQA6" i="263"/>
  <c r="OQA118" i="263" s="1"/>
  <c r="OQB6" i="263"/>
  <c r="OQB118" i="263" s="1"/>
  <c r="OQC6" i="263"/>
  <c r="OQC118" i="263" s="1"/>
  <c r="OQD6" i="263"/>
  <c r="OQD118" i="263" s="1"/>
  <c r="OQE6" i="263"/>
  <c r="OQE118" i="263" s="1"/>
  <c r="OQF6" i="263"/>
  <c r="OQF118" i="263" s="1"/>
  <c r="OQG6" i="263"/>
  <c r="OQG118" i="263" s="1"/>
  <c r="OQH6" i="263"/>
  <c r="OQH118" i="263" s="1"/>
  <c r="OQI6" i="263"/>
  <c r="OQI118" i="263" s="1"/>
  <c r="OQJ6" i="263"/>
  <c r="OQJ118" i="263" s="1"/>
  <c r="OQK6" i="263"/>
  <c r="OQK118" i="263" s="1"/>
  <c r="OQL6" i="263"/>
  <c r="OQL118" i="263" s="1"/>
  <c r="OQM6" i="263"/>
  <c r="OQM118" i="263" s="1"/>
  <c r="OQN6" i="263"/>
  <c r="OQN118" i="263" s="1"/>
  <c r="OQO6" i="263"/>
  <c r="OQO118" i="263" s="1"/>
  <c r="OQP6" i="263"/>
  <c r="OQP118" i="263" s="1"/>
  <c r="OQQ6" i="263"/>
  <c r="OQQ118" i="263" s="1"/>
  <c r="OQR6" i="263"/>
  <c r="OQR118" i="263" s="1"/>
  <c r="OQS6" i="263"/>
  <c r="OQS118" i="263" s="1"/>
  <c r="OQT6" i="263"/>
  <c r="OQT118" i="263" s="1"/>
  <c r="OQU6" i="263"/>
  <c r="OQU118" i="263" s="1"/>
  <c r="OQV6" i="263"/>
  <c r="OQV118" i="263" s="1"/>
  <c r="OQW6" i="263"/>
  <c r="OQW118" i="263" s="1"/>
  <c r="OQX6" i="263"/>
  <c r="OQX118" i="263" s="1"/>
  <c r="OQY6" i="263"/>
  <c r="OQY118" i="263" s="1"/>
  <c r="OQZ6" i="263"/>
  <c r="OQZ118" i="263" s="1"/>
  <c r="ORA6" i="263"/>
  <c r="ORA118" i="263" s="1"/>
  <c r="ORB6" i="263"/>
  <c r="ORB118" i="263" s="1"/>
  <c r="ORC6" i="263"/>
  <c r="ORC118" i="263" s="1"/>
  <c r="ORD6" i="263"/>
  <c r="ORD118" i="263" s="1"/>
  <c r="ORE6" i="263"/>
  <c r="ORE118" i="263" s="1"/>
  <c r="ORF6" i="263"/>
  <c r="ORF118" i="263" s="1"/>
  <c r="ORG6" i="263"/>
  <c r="ORG118" i="263" s="1"/>
  <c r="ORH6" i="263"/>
  <c r="ORH118" i="263" s="1"/>
  <c r="ORI6" i="263"/>
  <c r="ORI118" i="263" s="1"/>
  <c r="ORJ6" i="263"/>
  <c r="ORJ118" i="263" s="1"/>
  <c r="ORK6" i="263"/>
  <c r="ORK118" i="263" s="1"/>
  <c r="ORL6" i="263"/>
  <c r="ORL118" i="263" s="1"/>
  <c r="ORM6" i="263"/>
  <c r="ORM118" i="263" s="1"/>
  <c r="ORN6" i="263"/>
  <c r="ORN118" i="263" s="1"/>
  <c r="ORO6" i="263"/>
  <c r="ORO118" i="263" s="1"/>
  <c r="ORP6" i="263"/>
  <c r="ORP118" i="263" s="1"/>
  <c r="ORQ6" i="263"/>
  <c r="ORQ118" i="263" s="1"/>
  <c r="ORR6" i="263"/>
  <c r="ORR118" i="263" s="1"/>
  <c r="ORS6" i="263"/>
  <c r="ORS118" i="263" s="1"/>
  <c r="ORT6" i="263"/>
  <c r="ORT118" i="263" s="1"/>
  <c r="ORU6" i="263"/>
  <c r="ORU118" i="263" s="1"/>
  <c r="ORV6" i="263"/>
  <c r="ORV118" i="263" s="1"/>
  <c r="ORW6" i="263"/>
  <c r="ORW118" i="263" s="1"/>
  <c r="ORX6" i="263"/>
  <c r="ORX118" i="263" s="1"/>
  <c r="ORY6" i="263"/>
  <c r="ORY118" i="263" s="1"/>
  <c r="ORZ6" i="263"/>
  <c r="ORZ118" i="263" s="1"/>
  <c r="OSA6" i="263"/>
  <c r="OSA118" i="263" s="1"/>
  <c r="OSB6" i="263"/>
  <c r="OSB118" i="263" s="1"/>
  <c r="OSC6" i="263"/>
  <c r="OSC118" i="263" s="1"/>
  <c r="OSD6" i="263"/>
  <c r="OSD118" i="263" s="1"/>
  <c r="OSE6" i="263"/>
  <c r="OSE118" i="263" s="1"/>
  <c r="OSF6" i="263"/>
  <c r="OSF118" i="263" s="1"/>
  <c r="OSG6" i="263"/>
  <c r="OSG118" i="263" s="1"/>
  <c r="OSH6" i="263"/>
  <c r="OSH118" i="263" s="1"/>
  <c r="OSI6" i="263"/>
  <c r="OSI118" i="263" s="1"/>
  <c r="OSJ6" i="263"/>
  <c r="OSJ118" i="263" s="1"/>
  <c r="OSK6" i="263"/>
  <c r="OSK118" i="263" s="1"/>
  <c r="OSL6" i="263"/>
  <c r="OSL118" i="263" s="1"/>
  <c r="OSM6" i="263"/>
  <c r="OSM118" i="263" s="1"/>
  <c r="OSN6" i="263"/>
  <c r="OSN118" i="263" s="1"/>
  <c r="OSO6" i="263"/>
  <c r="OSO118" i="263" s="1"/>
  <c r="OSP6" i="263"/>
  <c r="OSP118" i="263" s="1"/>
  <c r="OSQ6" i="263"/>
  <c r="OSQ118" i="263" s="1"/>
  <c r="OSR6" i="263"/>
  <c r="OSR118" i="263" s="1"/>
  <c r="OSS6" i="263"/>
  <c r="OSS118" i="263" s="1"/>
  <c r="OST6" i="263"/>
  <c r="OST118" i="263" s="1"/>
  <c r="OSU6" i="263"/>
  <c r="OSU118" i="263" s="1"/>
  <c r="OSV6" i="263"/>
  <c r="OSV118" i="263" s="1"/>
  <c r="OSW6" i="263"/>
  <c r="OSW118" i="263" s="1"/>
  <c r="OSX6" i="263"/>
  <c r="OSX118" i="263" s="1"/>
  <c r="OSY6" i="263"/>
  <c r="OSY118" i="263" s="1"/>
  <c r="OSZ6" i="263"/>
  <c r="OSZ118" i="263" s="1"/>
  <c r="OTA6" i="263"/>
  <c r="OTA118" i="263" s="1"/>
  <c r="OTB6" i="263"/>
  <c r="OTB118" i="263" s="1"/>
  <c r="OTC6" i="263"/>
  <c r="OTC118" i="263" s="1"/>
  <c r="OTD6" i="263"/>
  <c r="OTD118" i="263" s="1"/>
  <c r="OTE6" i="263"/>
  <c r="OTE118" i="263" s="1"/>
  <c r="OTF6" i="263"/>
  <c r="OTF118" i="263" s="1"/>
  <c r="OTG6" i="263"/>
  <c r="OTG118" i="263" s="1"/>
  <c r="OTH6" i="263"/>
  <c r="OTH118" i="263" s="1"/>
  <c r="OTI6" i="263"/>
  <c r="OTI118" i="263" s="1"/>
  <c r="OTJ6" i="263"/>
  <c r="OTJ118" i="263" s="1"/>
  <c r="OTK6" i="263"/>
  <c r="OTK118" i="263" s="1"/>
  <c r="OTL6" i="263"/>
  <c r="OTL118" i="263" s="1"/>
  <c r="OTM6" i="263"/>
  <c r="OTM118" i="263" s="1"/>
  <c r="OTN6" i="263"/>
  <c r="OTN118" i="263" s="1"/>
  <c r="OTO6" i="263"/>
  <c r="OTO118" i="263" s="1"/>
  <c r="OTP6" i="263"/>
  <c r="OTP118" i="263" s="1"/>
  <c r="OTQ6" i="263"/>
  <c r="OTQ118" i="263" s="1"/>
  <c r="OTR6" i="263"/>
  <c r="OTR118" i="263" s="1"/>
  <c r="OTS6" i="263"/>
  <c r="OTS118" i="263" s="1"/>
  <c r="OTT6" i="263"/>
  <c r="OTT118" i="263" s="1"/>
  <c r="OTU6" i="263"/>
  <c r="OTU118" i="263" s="1"/>
  <c r="OTV6" i="263"/>
  <c r="OTV118" i="263" s="1"/>
  <c r="OTW6" i="263"/>
  <c r="OTW118" i="263" s="1"/>
  <c r="OTX6" i="263"/>
  <c r="OTX118" i="263" s="1"/>
  <c r="OTY6" i="263"/>
  <c r="OTY118" i="263" s="1"/>
  <c r="OTZ6" i="263"/>
  <c r="OTZ118" i="263" s="1"/>
  <c r="OUA6" i="263"/>
  <c r="OUA118" i="263" s="1"/>
  <c r="OUB6" i="263"/>
  <c r="OUB118" i="263" s="1"/>
  <c r="OUC6" i="263"/>
  <c r="OUC118" i="263" s="1"/>
  <c r="OUD6" i="263"/>
  <c r="OUD118" i="263" s="1"/>
  <c r="OUE6" i="263"/>
  <c r="OUE118" i="263" s="1"/>
  <c r="OUF6" i="263"/>
  <c r="OUF118" i="263" s="1"/>
  <c r="OUG6" i="263"/>
  <c r="OUG118" i="263" s="1"/>
  <c r="OUH6" i="263"/>
  <c r="OUH118" i="263" s="1"/>
  <c r="OUI6" i="263"/>
  <c r="OUI118" i="263" s="1"/>
  <c r="OUJ6" i="263"/>
  <c r="OUJ118" i="263" s="1"/>
  <c r="OUK6" i="263"/>
  <c r="OUK118" i="263" s="1"/>
  <c r="OUL6" i="263"/>
  <c r="OUL118" i="263" s="1"/>
  <c r="OUM6" i="263"/>
  <c r="OUM118" i="263" s="1"/>
  <c r="OUN6" i="263"/>
  <c r="OUN118" i="263" s="1"/>
  <c r="OUO6" i="263"/>
  <c r="OUO118" i="263" s="1"/>
  <c r="OUP6" i="263"/>
  <c r="OUP118" i="263" s="1"/>
  <c r="OUQ6" i="263"/>
  <c r="OUQ118" i="263" s="1"/>
  <c r="OUR6" i="263"/>
  <c r="OUR118" i="263" s="1"/>
  <c r="OUS6" i="263"/>
  <c r="OUS118" i="263" s="1"/>
  <c r="OUT6" i="263"/>
  <c r="OUT118" i="263" s="1"/>
  <c r="OUU6" i="263"/>
  <c r="OUU118" i="263" s="1"/>
  <c r="OUV6" i="263"/>
  <c r="OUV118" i="263" s="1"/>
  <c r="OUW6" i="263"/>
  <c r="OUW118" i="263" s="1"/>
  <c r="OUX6" i="263"/>
  <c r="OUX118" i="263" s="1"/>
  <c r="OUY6" i="263"/>
  <c r="OUY118" i="263" s="1"/>
  <c r="OUZ6" i="263"/>
  <c r="OUZ118" i="263" s="1"/>
  <c r="OVA6" i="263"/>
  <c r="OVA118" i="263" s="1"/>
  <c r="OVB6" i="263"/>
  <c r="OVB118" i="263" s="1"/>
  <c r="OVC6" i="263"/>
  <c r="OVC118" i="263" s="1"/>
  <c r="OVD6" i="263"/>
  <c r="OVD118" i="263" s="1"/>
  <c r="OVE6" i="263"/>
  <c r="OVE118" i="263" s="1"/>
  <c r="OVF6" i="263"/>
  <c r="OVF118" i="263" s="1"/>
  <c r="OVG6" i="263"/>
  <c r="OVG118" i="263" s="1"/>
  <c r="OVH6" i="263"/>
  <c r="OVH118" i="263" s="1"/>
  <c r="OVI6" i="263"/>
  <c r="OVI118" i="263" s="1"/>
  <c r="OVJ6" i="263"/>
  <c r="OVJ118" i="263" s="1"/>
  <c r="OVK6" i="263"/>
  <c r="OVK118" i="263" s="1"/>
  <c r="OVL6" i="263"/>
  <c r="OVL118" i="263" s="1"/>
  <c r="OVM6" i="263"/>
  <c r="OVM118" i="263" s="1"/>
  <c r="OVN6" i="263"/>
  <c r="OVN118" i="263" s="1"/>
  <c r="OVO6" i="263"/>
  <c r="OVO118" i="263" s="1"/>
  <c r="OVP6" i="263"/>
  <c r="OVP118" i="263" s="1"/>
  <c r="OVQ6" i="263"/>
  <c r="OVQ118" i="263" s="1"/>
  <c r="OVR6" i="263"/>
  <c r="OVR118" i="263" s="1"/>
  <c r="OVS6" i="263"/>
  <c r="OVS118" i="263" s="1"/>
  <c r="OVT6" i="263"/>
  <c r="OVT118" i="263" s="1"/>
  <c r="OVU6" i="263"/>
  <c r="OVU118" i="263" s="1"/>
  <c r="OVV6" i="263"/>
  <c r="OVV118" i="263" s="1"/>
  <c r="OVW6" i="263"/>
  <c r="OVW118" i="263" s="1"/>
  <c r="OVX6" i="263"/>
  <c r="OVX118" i="263" s="1"/>
  <c r="OVY6" i="263"/>
  <c r="OVY118" i="263" s="1"/>
  <c r="OVZ6" i="263"/>
  <c r="OVZ118" i="263" s="1"/>
  <c r="OWA6" i="263"/>
  <c r="OWA118" i="263" s="1"/>
  <c r="OWB6" i="263"/>
  <c r="OWB118" i="263" s="1"/>
  <c r="OWC6" i="263"/>
  <c r="OWC118" i="263" s="1"/>
  <c r="OWD6" i="263"/>
  <c r="OWD118" i="263" s="1"/>
  <c r="OWE6" i="263"/>
  <c r="OWE118" i="263" s="1"/>
  <c r="OWF6" i="263"/>
  <c r="OWF118" i="263" s="1"/>
  <c r="OWG6" i="263"/>
  <c r="OWG118" i="263" s="1"/>
  <c r="OWH6" i="263"/>
  <c r="OWH118" i="263" s="1"/>
  <c r="OWI6" i="263"/>
  <c r="OWI118" i="263" s="1"/>
  <c r="OWJ6" i="263"/>
  <c r="OWJ118" i="263" s="1"/>
  <c r="OWK6" i="263"/>
  <c r="OWK118" i="263" s="1"/>
  <c r="OWL6" i="263"/>
  <c r="OWL118" i="263" s="1"/>
  <c r="OWM6" i="263"/>
  <c r="OWM118" i="263" s="1"/>
  <c r="OWN6" i="263"/>
  <c r="OWN118" i="263" s="1"/>
  <c r="OWO6" i="263"/>
  <c r="OWO118" i="263" s="1"/>
  <c r="OWP6" i="263"/>
  <c r="OWP118" i="263" s="1"/>
  <c r="OWQ6" i="263"/>
  <c r="OWQ118" i="263" s="1"/>
  <c r="OWR6" i="263"/>
  <c r="OWR118" i="263" s="1"/>
  <c r="OWS6" i="263"/>
  <c r="OWS118" i="263" s="1"/>
  <c r="OWT6" i="263"/>
  <c r="OWT118" i="263" s="1"/>
  <c r="OWU6" i="263"/>
  <c r="OWU118" i="263" s="1"/>
  <c r="OWV6" i="263"/>
  <c r="OWV118" i="263" s="1"/>
  <c r="OWW6" i="263"/>
  <c r="OWW118" i="263" s="1"/>
  <c r="OWX6" i="263"/>
  <c r="OWX118" i="263" s="1"/>
  <c r="OWY6" i="263"/>
  <c r="OWY118" i="263" s="1"/>
  <c r="OWZ6" i="263"/>
  <c r="OWZ118" i="263" s="1"/>
  <c r="OXA6" i="263"/>
  <c r="OXA118" i="263" s="1"/>
  <c r="OXB6" i="263"/>
  <c r="OXB118" i="263" s="1"/>
  <c r="OXC6" i="263"/>
  <c r="OXC118" i="263" s="1"/>
  <c r="OXD6" i="263"/>
  <c r="OXD118" i="263" s="1"/>
  <c r="OXE6" i="263"/>
  <c r="OXE118" i="263" s="1"/>
  <c r="OXF6" i="263"/>
  <c r="OXF118" i="263" s="1"/>
  <c r="OXG6" i="263"/>
  <c r="OXG118" i="263" s="1"/>
  <c r="OXH6" i="263"/>
  <c r="OXH118" i="263" s="1"/>
  <c r="OXI6" i="263"/>
  <c r="OXI118" i="263" s="1"/>
  <c r="OXJ6" i="263"/>
  <c r="OXJ118" i="263" s="1"/>
  <c r="OXK6" i="263"/>
  <c r="OXK118" i="263" s="1"/>
  <c r="OXL6" i="263"/>
  <c r="OXL118" i="263" s="1"/>
  <c r="OXM6" i="263"/>
  <c r="OXM118" i="263" s="1"/>
  <c r="OXN6" i="263"/>
  <c r="OXN118" i="263" s="1"/>
  <c r="OXO6" i="263"/>
  <c r="OXO118" i="263" s="1"/>
  <c r="OXP6" i="263"/>
  <c r="OXP118" i="263" s="1"/>
  <c r="OXQ6" i="263"/>
  <c r="OXQ118" i="263" s="1"/>
  <c r="OXR6" i="263"/>
  <c r="OXR118" i="263" s="1"/>
  <c r="OXS6" i="263"/>
  <c r="OXS118" i="263" s="1"/>
  <c r="OXT6" i="263"/>
  <c r="OXT118" i="263" s="1"/>
  <c r="OXU6" i="263"/>
  <c r="OXU118" i="263" s="1"/>
  <c r="OXV6" i="263"/>
  <c r="OXV118" i="263" s="1"/>
  <c r="OXW6" i="263"/>
  <c r="OXW118" i="263" s="1"/>
  <c r="OXX6" i="263"/>
  <c r="OXX118" i="263" s="1"/>
  <c r="OXY6" i="263"/>
  <c r="OXY118" i="263" s="1"/>
  <c r="OXZ6" i="263"/>
  <c r="OXZ118" i="263" s="1"/>
  <c r="OYA6" i="263"/>
  <c r="OYA118" i="263" s="1"/>
  <c r="OYB6" i="263"/>
  <c r="OYB118" i="263" s="1"/>
  <c r="OYC6" i="263"/>
  <c r="OYC118" i="263" s="1"/>
  <c r="OYD6" i="263"/>
  <c r="OYD118" i="263" s="1"/>
  <c r="OYE6" i="263"/>
  <c r="OYE118" i="263" s="1"/>
  <c r="OYF6" i="263"/>
  <c r="OYF118" i="263" s="1"/>
  <c r="OYG6" i="263"/>
  <c r="OYG118" i="263" s="1"/>
  <c r="OYH6" i="263"/>
  <c r="OYH118" i="263" s="1"/>
  <c r="OYI6" i="263"/>
  <c r="OYI118" i="263" s="1"/>
  <c r="OYJ6" i="263"/>
  <c r="OYJ118" i="263" s="1"/>
  <c r="OYK6" i="263"/>
  <c r="OYK118" i="263" s="1"/>
  <c r="OYL6" i="263"/>
  <c r="OYL118" i="263" s="1"/>
  <c r="OYM6" i="263"/>
  <c r="OYM118" i="263" s="1"/>
  <c r="OYN6" i="263"/>
  <c r="OYN118" i="263" s="1"/>
  <c r="OYO6" i="263"/>
  <c r="OYO118" i="263" s="1"/>
  <c r="OYP6" i="263"/>
  <c r="OYP118" i="263" s="1"/>
  <c r="OYQ6" i="263"/>
  <c r="OYQ118" i="263" s="1"/>
  <c r="OYR6" i="263"/>
  <c r="OYR118" i="263" s="1"/>
  <c r="OYS6" i="263"/>
  <c r="OYS118" i="263" s="1"/>
  <c r="OYT6" i="263"/>
  <c r="OYT118" i="263" s="1"/>
  <c r="OYU6" i="263"/>
  <c r="OYU118" i="263" s="1"/>
  <c r="OYV6" i="263"/>
  <c r="OYV118" i="263" s="1"/>
  <c r="OYW6" i="263"/>
  <c r="OYW118" i="263" s="1"/>
  <c r="OYX6" i="263"/>
  <c r="OYX118" i="263" s="1"/>
  <c r="OYY6" i="263"/>
  <c r="OYY118" i="263" s="1"/>
  <c r="OYZ6" i="263"/>
  <c r="OYZ118" i="263" s="1"/>
  <c r="OZA6" i="263"/>
  <c r="OZA118" i="263" s="1"/>
  <c r="OZB6" i="263"/>
  <c r="OZB118" i="263" s="1"/>
  <c r="OZC6" i="263"/>
  <c r="OZC118" i="263" s="1"/>
  <c r="OZD6" i="263"/>
  <c r="OZD118" i="263" s="1"/>
  <c r="OZE6" i="263"/>
  <c r="OZE118" i="263" s="1"/>
  <c r="OZF6" i="263"/>
  <c r="OZF118" i="263" s="1"/>
  <c r="OZG6" i="263"/>
  <c r="OZG118" i="263" s="1"/>
  <c r="OZH6" i="263"/>
  <c r="OZH118" i="263" s="1"/>
  <c r="OZI6" i="263"/>
  <c r="OZI118" i="263" s="1"/>
  <c r="OZJ6" i="263"/>
  <c r="OZJ118" i="263" s="1"/>
  <c r="OZK6" i="263"/>
  <c r="OZK118" i="263" s="1"/>
  <c r="OZL6" i="263"/>
  <c r="OZL118" i="263" s="1"/>
  <c r="OZM6" i="263"/>
  <c r="OZM118" i="263" s="1"/>
  <c r="OZN6" i="263"/>
  <c r="OZN118" i="263" s="1"/>
  <c r="OZO6" i="263"/>
  <c r="OZO118" i="263" s="1"/>
  <c r="OZP6" i="263"/>
  <c r="OZP118" i="263" s="1"/>
  <c r="OZQ6" i="263"/>
  <c r="OZQ118" i="263" s="1"/>
  <c r="OZR6" i="263"/>
  <c r="OZR118" i="263" s="1"/>
  <c r="OZS6" i="263"/>
  <c r="OZS118" i="263" s="1"/>
  <c r="OZT6" i="263"/>
  <c r="OZT118" i="263" s="1"/>
  <c r="OZU6" i="263"/>
  <c r="OZU118" i="263" s="1"/>
  <c r="OZV6" i="263"/>
  <c r="OZV118" i="263" s="1"/>
  <c r="OZW6" i="263"/>
  <c r="OZW118" i="263" s="1"/>
  <c r="OZX6" i="263"/>
  <c r="OZX118" i="263" s="1"/>
  <c r="OZY6" i="263"/>
  <c r="OZY118" i="263" s="1"/>
  <c r="OZZ6" i="263"/>
  <c r="OZZ118" i="263" s="1"/>
  <c r="PAA6" i="263"/>
  <c r="PAA118" i="263" s="1"/>
  <c r="PAB6" i="263"/>
  <c r="PAB118" i="263" s="1"/>
  <c r="PAC6" i="263"/>
  <c r="PAC118" i="263" s="1"/>
  <c r="PAD6" i="263"/>
  <c r="PAD118" i="263" s="1"/>
  <c r="PAE6" i="263"/>
  <c r="PAE118" i="263" s="1"/>
  <c r="PAF6" i="263"/>
  <c r="PAF118" i="263" s="1"/>
  <c r="PAG6" i="263"/>
  <c r="PAG118" i="263" s="1"/>
  <c r="PAH6" i="263"/>
  <c r="PAH118" i="263" s="1"/>
  <c r="PAI6" i="263"/>
  <c r="PAI118" i="263" s="1"/>
  <c r="PAJ6" i="263"/>
  <c r="PAJ118" i="263" s="1"/>
  <c r="PAK6" i="263"/>
  <c r="PAK118" i="263" s="1"/>
  <c r="PAL6" i="263"/>
  <c r="PAL118" i="263" s="1"/>
  <c r="PAM6" i="263"/>
  <c r="PAM118" i="263" s="1"/>
  <c r="PAN6" i="263"/>
  <c r="PAN118" i="263" s="1"/>
  <c r="PAO6" i="263"/>
  <c r="PAO118" i="263" s="1"/>
  <c r="PAP6" i="263"/>
  <c r="PAP118" i="263" s="1"/>
  <c r="PAQ6" i="263"/>
  <c r="PAQ118" i="263" s="1"/>
  <c r="PAR6" i="263"/>
  <c r="PAR118" i="263" s="1"/>
  <c r="PAS6" i="263"/>
  <c r="PAS118" i="263" s="1"/>
  <c r="PAT6" i="263"/>
  <c r="PAT118" i="263" s="1"/>
  <c r="PAU6" i="263"/>
  <c r="PAU118" i="263" s="1"/>
  <c r="PAV6" i="263"/>
  <c r="PAV118" i="263" s="1"/>
  <c r="PAW6" i="263"/>
  <c r="PAW118" i="263" s="1"/>
  <c r="PAX6" i="263"/>
  <c r="PAX118" i="263" s="1"/>
  <c r="PAY6" i="263"/>
  <c r="PAY118" i="263" s="1"/>
  <c r="PAZ6" i="263"/>
  <c r="PAZ118" i="263" s="1"/>
  <c r="PBA6" i="263"/>
  <c r="PBA118" i="263" s="1"/>
  <c r="PBB6" i="263"/>
  <c r="PBB118" i="263" s="1"/>
  <c r="PBC6" i="263"/>
  <c r="PBC118" i="263" s="1"/>
  <c r="PBD6" i="263"/>
  <c r="PBD118" i="263" s="1"/>
  <c r="PBE6" i="263"/>
  <c r="PBE118" i="263" s="1"/>
  <c r="PBF6" i="263"/>
  <c r="PBF118" i="263" s="1"/>
  <c r="PBG6" i="263"/>
  <c r="PBG118" i="263" s="1"/>
  <c r="PBH6" i="263"/>
  <c r="PBH118" i="263" s="1"/>
  <c r="PBI6" i="263"/>
  <c r="PBI118" i="263" s="1"/>
  <c r="PBJ6" i="263"/>
  <c r="PBJ118" i="263" s="1"/>
  <c r="PBK6" i="263"/>
  <c r="PBK118" i="263" s="1"/>
  <c r="PBL6" i="263"/>
  <c r="PBL118" i="263" s="1"/>
  <c r="PBM6" i="263"/>
  <c r="PBM118" i="263" s="1"/>
  <c r="PBN6" i="263"/>
  <c r="PBN118" i="263" s="1"/>
  <c r="PBO6" i="263"/>
  <c r="PBO118" i="263" s="1"/>
  <c r="PBP6" i="263"/>
  <c r="PBP118" i="263" s="1"/>
  <c r="PBQ6" i="263"/>
  <c r="PBQ118" i="263" s="1"/>
  <c r="PBR6" i="263"/>
  <c r="PBR118" i="263" s="1"/>
  <c r="PBS6" i="263"/>
  <c r="PBS118" i="263" s="1"/>
  <c r="PBT6" i="263"/>
  <c r="PBT118" i="263" s="1"/>
  <c r="PBU6" i="263"/>
  <c r="PBU118" i="263" s="1"/>
  <c r="PBV6" i="263"/>
  <c r="PBV118" i="263" s="1"/>
  <c r="PBW6" i="263"/>
  <c r="PBW118" i="263" s="1"/>
  <c r="PBX6" i="263"/>
  <c r="PBX118" i="263" s="1"/>
  <c r="PBY6" i="263"/>
  <c r="PBY118" i="263" s="1"/>
  <c r="PBZ6" i="263"/>
  <c r="PBZ118" i="263" s="1"/>
  <c r="PCA6" i="263"/>
  <c r="PCA118" i="263" s="1"/>
  <c r="PCB6" i="263"/>
  <c r="PCB118" i="263" s="1"/>
  <c r="PCC6" i="263"/>
  <c r="PCC118" i="263" s="1"/>
  <c r="PCD6" i="263"/>
  <c r="PCD118" i="263" s="1"/>
  <c r="PCE6" i="263"/>
  <c r="PCE118" i="263" s="1"/>
  <c r="PCF6" i="263"/>
  <c r="PCF118" i="263" s="1"/>
  <c r="PCG6" i="263"/>
  <c r="PCG118" i="263" s="1"/>
  <c r="PCH6" i="263"/>
  <c r="PCH118" i="263" s="1"/>
  <c r="PCI6" i="263"/>
  <c r="PCI118" i="263" s="1"/>
  <c r="PCJ6" i="263"/>
  <c r="PCJ118" i="263" s="1"/>
  <c r="PCK6" i="263"/>
  <c r="PCK118" i="263" s="1"/>
  <c r="PCL6" i="263"/>
  <c r="PCL118" i="263" s="1"/>
  <c r="PCM6" i="263"/>
  <c r="PCM118" i="263" s="1"/>
  <c r="PCN6" i="263"/>
  <c r="PCN118" i="263" s="1"/>
  <c r="PCO6" i="263"/>
  <c r="PCO118" i="263" s="1"/>
  <c r="PCP6" i="263"/>
  <c r="PCP118" i="263" s="1"/>
  <c r="PCQ6" i="263"/>
  <c r="PCQ118" i="263" s="1"/>
  <c r="PCR6" i="263"/>
  <c r="PCR118" i="263" s="1"/>
  <c r="PCS6" i="263"/>
  <c r="PCS118" i="263" s="1"/>
  <c r="PCT6" i="263"/>
  <c r="PCT118" i="263" s="1"/>
  <c r="PCU6" i="263"/>
  <c r="PCU118" i="263" s="1"/>
  <c r="PCV6" i="263"/>
  <c r="PCV118" i="263" s="1"/>
  <c r="PCW6" i="263"/>
  <c r="PCW118" i="263" s="1"/>
  <c r="PCX6" i="263"/>
  <c r="PCX118" i="263" s="1"/>
  <c r="PCY6" i="263"/>
  <c r="PCY118" i="263" s="1"/>
  <c r="PCZ6" i="263"/>
  <c r="PCZ118" i="263" s="1"/>
  <c r="PDA6" i="263"/>
  <c r="PDA118" i="263" s="1"/>
  <c r="PDB6" i="263"/>
  <c r="PDB118" i="263" s="1"/>
  <c r="PDC6" i="263"/>
  <c r="PDC118" i="263" s="1"/>
  <c r="PDD6" i="263"/>
  <c r="PDD118" i="263" s="1"/>
  <c r="PDE6" i="263"/>
  <c r="PDE118" i="263" s="1"/>
  <c r="PDF6" i="263"/>
  <c r="PDF118" i="263" s="1"/>
  <c r="PDG6" i="263"/>
  <c r="PDG118" i="263" s="1"/>
  <c r="PDH6" i="263"/>
  <c r="PDH118" i="263" s="1"/>
  <c r="PDI6" i="263"/>
  <c r="PDI118" i="263" s="1"/>
  <c r="PDJ6" i="263"/>
  <c r="PDJ118" i="263" s="1"/>
  <c r="PDK6" i="263"/>
  <c r="PDK118" i="263" s="1"/>
  <c r="PDL6" i="263"/>
  <c r="PDL118" i="263" s="1"/>
  <c r="PDM6" i="263"/>
  <c r="PDM118" i="263" s="1"/>
  <c r="PDN6" i="263"/>
  <c r="PDN118" i="263" s="1"/>
  <c r="PDO6" i="263"/>
  <c r="PDO118" i="263" s="1"/>
  <c r="PDP6" i="263"/>
  <c r="PDP118" i="263" s="1"/>
  <c r="PDQ6" i="263"/>
  <c r="PDQ118" i="263" s="1"/>
  <c r="PDR6" i="263"/>
  <c r="PDR118" i="263" s="1"/>
  <c r="PDS6" i="263"/>
  <c r="PDS118" i="263" s="1"/>
  <c r="PDT6" i="263"/>
  <c r="PDT118" i="263" s="1"/>
  <c r="PDU6" i="263"/>
  <c r="PDU118" i="263" s="1"/>
  <c r="PDV6" i="263"/>
  <c r="PDV118" i="263" s="1"/>
  <c r="PDW6" i="263"/>
  <c r="PDW118" i="263" s="1"/>
  <c r="PDX6" i="263"/>
  <c r="PDX118" i="263" s="1"/>
  <c r="PDY6" i="263"/>
  <c r="PDY118" i="263" s="1"/>
  <c r="PDZ6" i="263"/>
  <c r="PDZ118" i="263" s="1"/>
  <c r="PEA6" i="263"/>
  <c r="PEA118" i="263" s="1"/>
  <c r="PEB6" i="263"/>
  <c r="PEB118" i="263" s="1"/>
  <c r="PEC6" i="263"/>
  <c r="PEC118" i="263" s="1"/>
  <c r="PED6" i="263"/>
  <c r="PED118" i="263" s="1"/>
  <c r="PEE6" i="263"/>
  <c r="PEE118" i="263" s="1"/>
  <c r="PEF6" i="263"/>
  <c r="PEF118" i="263" s="1"/>
  <c r="PEG6" i="263"/>
  <c r="PEG118" i="263" s="1"/>
  <c r="PEH6" i="263"/>
  <c r="PEH118" i="263" s="1"/>
  <c r="PEI6" i="263"/>
  <c r="PEI118" i="263" s="1"/>
  <c r="PEJ6" i="263"/>
  <c r="PEJ118" i="263" s="1"/>
  <c r="PEK6" i="263"/>
  <c r="PEK118" i="263" s="1"/>
  <c r="PEL6" i="263"/>
  <c r="PEL118" i="263" s="1"/>
  <c r="PEM6" i="263"/>
  <c r="PEM118" i="263" s="1"/>
  <c r="PEN6" i="263"/>
  <c r="PEN118" i="263" s="1"/>
  <c r="PEO6" i="263"/>
  <c r="PEO118" i="263" s="1"/>
  <c r="PEP6" i="263"/>
  <c r="PEP118" i="263" s="1"/>
  <c r="PEQ6" i="263"/>
  <c r="PEQ118" i="263" s="1"/>
  <c r="PER6" i="263"/>
  <c r="PER118" i="263" s="1"/>
  <c r="PES6" i="263"/>
  <c r="PES118" i="263" s="1"/>
  <c r="PET6" i="263"/>
  <c r="PET118" i="263" s="1"/>
  <c r="PEU6" i="263"/>
  <c r="PEU118" i="263" s="1"/>
  <c r="PEV6" i="263"/>
  <c r="PEV118" i="263" s="1"/>
  <c r="PEW6" i="263"/>
  <c r="PEW118" i="263" s="1"/>
  <c r="PEX6" i="263"/>
  <c r="PEX118" i="263" s="1"/>
  <c r="PEY6" i="263"/>
  <c r="PEY118" i="263" s="1"/>
  <c r="PEZ6" i="263"/>
  <c r="PEZ118" i="263" s="1"/>
  <c r="PFA6" i="263"/>
  <c r="PFA118" i="263" s="1"/>
  <c r="PFB6" i="263"/>
  <c r="PFB118" i="263" s="1"/>
  <c r="PFC6" i="263"/>
  <c r="PFC118" i="263" s="1"/>
  <c r="PFD6" i="263"/>
  <c r="PFD118" i="263" s="1"/>
  <c r="PFE6" i="263"/>
  <c r="PFE118" i="263" s="1"/>
  <c r="PFF6" i="263"/>
  <c r="PFF118" i="263" s="1"/>
  <c r="PFG6" i="263"/>
  <c r="PFG118" i="263" s="1"/>
  <c r="PFH6" i="263"/>
  <c r="PFH118" i="263" s="1"/>
  <c r="PFI6" i="263"/>
  <c r="PFI118" i="263" s="1"/>
  <c r="PFJ6" i="263"/>
  <c r="PFJ118" i="263" s="1"/>
  <c r="PFK6" i="263"/>
  <c r="PFK118" i="263" s="1"/>
  <c r="PFL6" i="263"/>
  <c r="PFL118" i="263" s="1"/>
  <c r="PFM6" i="263"/>
  <c r="PFM118" i="263" s="1"/>
  <c r="PFN6" i="263"/>
  <c r="PFN118" i="263" s="1"/>
  <c r="PFO6" i="263"/>
  <c r="PFO118" i="263" s="1"/>
  <c r="PFP6" i="263"/>
  <c r="PFP118" i="263" s="1"/>
  <c r="PFQ6" i="263"/>
  <c r="PFQ118" i="263" s="1"/>
  <c r="PFR6" i="263"/>
  <c r="PFR118" i="263" s="1"/>
  <c r="PFS6" i="263"/>
  <c r="PFS118" i="263" s="1"/>
  <c r="PFT6" i="263"/>
  <c r="PFT118" i="263" s="1"/>
  <c r="PFU6" i="263"/>
  <c r="PFU118" i="263" s="1"/>
  <c r="PFV6" i="263"/>
  <c r="PFV118" i="263" s="1"/>
  <c r="PFW6" i="263"/>
  <c r="PFW118" i="263" s="1"/>
  <c r="PFX6" i="263"/>
  <c r="PFX118" i="263" s="1"/>
  <c r="PFY6" i="263"/>
  <c r="PFY118" i="263" s="1"/>
  <c r="PFZ6" i="263"/>
  <c r="PFZ118" i="263" s="1"/>
  <c r="PGA6" i="263"/>
  <c r="PGA118" i="263" s="1"/>
  <c r="PGB6" i="263"/>
  <c r="PGB118" i="263" s="1"/>
  <c r="PGC6" i="263"/>
  <c r="PGC118" i="263" s="1"/>
  <c r="PGD6" i="263"/>
  <c r="PGD118" i="263" s="1"/>
  <c r="PGE6" i="263"/>
  <c r="PGE118" i="263" s="1"/>
  <c r="PGF6" i="263"/>
  <c r="PGF118" i="263" s="1"/>
  <c r="PGG6" i="263"/>
  <c r="PGG118" i="263" s="1"/>
  <c r="PGH6" i="263"/>
  <c r="PGH118" i="263" s="1"/>
  <c r="PGI6" i="263"/>
  <c r="PGI118" i="263" s="1"/>
  <c r="PGJ6" i="263"/>
  <c r="PGJ118" i="263" s="1"/>
  <c r="PGK6" i="263"/>
  <c r="PGK118" i="263" s="1"/>
  <c r="PGL6" i="263"/>
  <c r="PGL118" i="263" s="1"/>
  <c r="PGM6" i="263"/>
  <c r="PGM118" i="263" s="1"/>
  <c r="PGN6" i="263"/>
  <c r="PGN118" i="263" s="1"/>
  <c r="PGO6" i="263"/>
  <c r="PGO118" i="263" s="1"/>
  <c r="PGP6" i="263"/>
  <c r="PGP118" i="263" s="1"/>
  <c r="PGQ6" i="263"/>
  <c r="PGQ118" i="263" s="1"/>
  <c r="PGR6" i="263"/>
  <c r="PGR118" i="263" s="1"/>
  <c r="PGS6" i="263"/>
  <c r="PGS118" i="263" s="1"/>
  <c r="PGT6" i="263"/>
  <c r="PGT118" i="263" s="1"/>
  <c r="PGU6" i="263"/>
  <c r="PGU118" i="263" s="1"/>
  <c r="PGV6" i="263"/>
  <c r="PGV118" i="263" s="1"/>
  <c r="PGW6" i="263"/>
  <c r="PGW118" i="263" s="1"/>
  <c r="PGX6" i="263"/>
  <c r="PGX118" i="263" s="1"/>
  <c r="PGY6" i="263"/>
  <c r="PGY118" i="263" s="1"/>
  <c r="PGZ6" i="263"/>
  <c r="PGZ118" i="263" s="1"/>
  <c r="PHA6" i="263"/>
  <c r="PHA118" i="263" s="1"/>
  <c r="PHB6" i="263"/>
  <c r="PHB118" i="263" s="1"/>
  <c r="PHC6" i="263"/>
  <c r="PHC118" i="263" s="1"/>
  <c r="PHD6" i="263"/>
  <c r="PHD118" i="263" s="1"/>
  <c r="PHE6" i="263"/>
  <c r="PHE118" i="263" s="1"/>
  <c r="PHF6" i="263"/>
  <c r="PHF118" i="263" s="1"/>
  <c r="PHG6" i="263"/>
  <c r="PHG118" i="263" s="1"/>
  <c r="PHH6" i="263"/>
  <c r="PHH118" i="263" s="1"/>
  <c r="PHI6" i="263"/>
  <c r="PHI118" i="263" s="1"/>
  <c r="PHJ6" i="263"/>
  <c r="PHJ118" i="263" s="1"/>
  <c r="PHK6" i="263"/>
  <c r="PHK118" i="263" s="1"/>
  <c r="PHL6" i="263"/>
  <c r="PHL118" i="263" s="1"/>
  <c r="PHM6" i="263"/>
  <c r="PHM118" i="263" s="1"/>
  <c r="PHN6" i="263"/>
  <c r="PHN118" i="263" s="1"/>
  <c r="PHO6" i="263"/>
  <c r="PHO118" i="263" s="1"/>
  <c r="PHP6" i="263"/>
  <c r="PHP118" i="263" s="1"/>
  <c r="PHQ6" i="263"/>
  <c r="PHQ118" i="263" s="1"/>
  <c r="PHR6" i="263"/>
  <c r="PHR118" i="263" s="1"/>
  <c r="PHS6" i="263"/>
  <c r="PHS118" i="263" s="1"/>
  <c r="PHT6" i="263"/>
  <c r="PHT118" i="263" s="1"/>
  <c r="PHU6" i="263"/>
  <c r="PHU118" i="263" s="1"/>
  <c r="PHV6" i="263"/>
  <c r="PHV118" i="263" s="1"/>
  <c r="PHW6" i="263"/>
  <c r="PHW118" i="263" s="1"/>
  <c r="PHX6" i="263"/>
  <c r="PHX118" i="263" s="1"/>
  <c r="PHY6" i="263"/>
  <c r="PHY118" i="263" s="1"/>
  <c r="PHZ6" i="263"/>
  <c r="PHZ118" i="263" s="1"/>
  <c r="PIA6" i="263"/>
  <c r="PIA118" i="263" s="1"/>
  <c r="PIB6" i="263"/>
  <c r="PIB118" i="263" s="1"/>
  <c r="PIC6" i="263"/>
  <c r="PIC118" i="263" s="1"/>
  <c r="PID6" i="263"/>
  <c r="PID118" i="263" s="1"/>
  <c r="PIE6" i="263"/>
  <c r="PIE118" i="263" s="1"/>
  <c r="PIF6" i="263"/>
  <c r="PIF118" i="263" s="1"/>
  <c r="PIG6" i="263"/>
  <c r="PIG118" i="263" s="1"/>
  <c r="PIH6" i="263"/>
  <c r="PIH118" i="263" s="1"/>
  <c r="PII6" i="263"/>
  <c r="PII118" i="263" s="1"/>
  <c r="PIJ6" i="263"/>
  <c r="PIJ118" i="263" s="1"/>
  <c r="PIK6" i="263"/>
  <c r="PIK118" i="263" s="1"/>
  <c r="PIL6" i="263"/>
  <c r="PIL118" i="263" s="1"/>
  <c r="PIM6" i="263"/>
  <c r="PIM118" i="263" s="1"/>
  <c r="PIN6" i="263"/>
  <c r="PIN118" i="263" s="1"/>
  <c r="PIO6" i="263"/>
  <c r="PIO118" i="263" s="1"/>
  <c r="PIP6" i="263"/>
  <c r="PIP118" i="263" s="1"/>
  <c r="PIQ6" i="263"/>
  <c r="PIQ118" i="263" s="1"/>
  <c r="PIR6" i="263"/>
  <c r="PIR118" i="263" s="1"/>
  <c r="PIS6" i="263"/>
  <c r="PIS118" i="263" s="1"/>
  <c r="PIT6" i="263"/>
  <c r="PIT118" i="263" s="1"/>
  <c r="PIU6" i="263"/>
  <c r="PIU118" i="263" s="1"/>
  <c r="PIV6" i="263"/>
  <c r="PIV118" i="263" s="1"/>
  <c r="PIW6" i="263"/>
  <c r="PIW118" i="263" s="1"/>
  <c r="PIX6" i="263"/>
  <c r="PIX118" i="263" s="1"/>
  <c r="PIY6" i="263"/>
  <c r="PIY118" i="263" s="1"/>
  <c r="PIZ6" i="263"/>
  <c r="PIZ118" i="263" s="1"/>
  <c r="PJA6" i="263"/>
  <c r="PJA118" i="263" s="1"/>
  <c r="PJB6" i="263"/>
  <c r="PJB118" i="263" s="1"/>
  <c r="PJC6" i="263"/>
  <c r="PJC118" i="263" s="1"/>
  <c r="PJD6" i="263"/>
  <c r="PJD118" i="263" s="1"/>
  <c r="PJE6" i="263"/>
  <c r="PJE118" i="263" s="1"/>
  <c r="PJF6" i="263"/>
  <c r="PJF118" i="263" s="1"/>
  <c r="PJG6" i="263"/>
  <c r="PJG118" i="263" s="1"/>
  <c r="PJH6" i="263"/>
  <c r="PJH118" i="263" s="1"/>
  <c r="PJI6" i="263"/>
  <c r="PJI118" i="263" s="1"/>
  <c r="PJJ6" i="263"/>
  <c r="PJJ118" i="263" s="1"/>
  <c r="PJK6" i="263"/>
  <c r="PJK118" i="263" s="1"/>
  <c r="PJL6" i="263"/>
  <c r="PJL118" i="263" s="1"/>
  <c r="PJM6" i="263"/>
  <c r="PJM118" i="263" s="1"/>
  <c r="PJN6" i="263"/>
  <c r="PJN118" i="263" s="1"/>
  <c r="PJO6" i="263"/>
  <c r="PJO118" i="263" s="1"/>
  <c r="PJP6" i="263"/>
  <c r="PJP118" i="263" s="1"/>
  <c r="PJQ6" i="263"/>
  <c r="PJQ118" i="263" s="1"/>
  <c r="PJR6" i="263"/>
  <c r="PJR118" i="263" s="1"/>
  <c r="PJS6" i="263"/>
  <c r="PJS118" i="263" s="1"/>
  <c r="PJT6" i="263"/>
  <c r="PJT118" i="263" s="1"/>
  <c r="PJU6" i="263"/>
  <c r="PJU118" i="263" s="1"/>
  <c r="PJV6" i="263"/>
  <c r="PJV118" i="263" s="1"/>
  <c r="PJW6" i="263"/>
  <c r="PJW118" i="263" s="1"/>
  <c r="PJX6" i="263"/>
  <c r="PJX118" i="263" s="1"/>
  <c r="PJY6" i="263"/>
  <c r="PJY118" i="263" s="1"/>
  <c r="PJZ6" i="263"/>
  <c r="PJZ118" i="263" s="1"/>
  <c r="PKA6" i="263"/>
  <c r="PKA118" i="263" s="1"/>
  <c r="PKB6" i="263"/>
  <c r="PKB118" i="263" s="1"/>
  <c r="PKC6" i="263"/>
  <c r="PKC118" i="263" s="1"/>
  <c r="PKD6" i="263"/>
  <c r="PKD118" i="263" s="1"/>
  <c r="PKE6" i="263"/>
  <c r="PKE118" i="263" s="1"/>
  <c r="PKF6" i="263"/>
  <c r="PKF118" i="263" s="1"/>
  <c r="PKG6" i="263"/>
  <c r="PKG118" i="263" s="1"/>
  <c r="PKH6" i="263"/>
  <c r="PKH118" i="263" s="1"/>
  <c r="PKI6" i="263"/>
  <c r="PKI118" i="263" s="1"/>
  <c r="PKJ6" i="263"/>
  <c r="PKJ118" i="263" s="1"/>
  <c r="PKK6" i="263"/>
  <c r="PKK118" i="263" s="1"/>
  <c r="PKL6" i="263"/>
  <c r="PKL118" i="263" s="1"/>
  <c r="PKM6" i="263"/>
  <c r="PKM118" i="263" s="1"/>
  <c r="PKN6" i="263"/>
  <c r="PKN118" i="263" s="1"/>
  <c r="PKO6" i="263"/>
  <c r="PKO118" i="263" s="1"/>
  <c r="PKP6" i="263"/>
  <c r="PKP118" i="263" s="1"/>
  <c r="PKQ6" i="263"/>
  <c r="PKQ118" i="263" s="1"/>
  <c r="PKR6" i="263"/>
  <c r="PKR118" i="263" s="1"/>
  <c r="PKS6" i="263"/>
  <c r="PKS118" i="263" s="1"/>
  <c r="PKT6" i="263"/>
  <c r="PKT118" i="263" s="1"/>
  <c r="PKU6" i="263"/>
  <c r="PKU118" i="263" s="1"/>
  <c r="PKV6" i="263"/>
  <c r="PKV118" i="263" s="1"/>
  <c r="PKW6" i="263"/>
  <c r="PKW118" i="263" s="1"/>
  <c r="PKX6" i="263"/>
  <c r="PKX118" i="263" s="1"/>
  <c r="PKY6" i="263"/>
  <c r="PKY118" i="263" s="1"/>
  <c r="PKZ6" i="263"/>
  <c r="PKZ118" i="263" s="1"/>
  <c r="PLA6" i="263"/>
  <c r="PLA118" i="263" s="1"/>
  <c r="PLB6" i="263"/>
  <c r="PLB118" i="263" s="1"/>
  <c r="PLC6" i="263"/>
  <c r="PLC118" i="263" s="1"/>
  <c r="PLD6" i="263"/>
  <c r="PLD118" i="263" s="1"/>
  <c r="PLE6" i="263"/>
  <c r="PLE118" i="263" s="1"/>
  <c r="PLF6" i="263"/>
  <c r="PLF118" i="263" s="1"/>
  <c r="PLG6" i="263"/>
  <c r="PLG118" i="263" s="1"/>
  <c r="PLH6" i="263"/>
  <c r="PLH118" i="263" s="1"/>
  <c r="PLI6" i="263"/>
  <c r="PLI118" i="263" s="1"/>
  <c r="PLJ6" i="263"/>
  <c r="PLJ118" i="263" s="1"/>
  <c r="PLK6" i="263"/>
  <c r="PLK118" i="263" s="1"/>
  <c r="PLL6" i="263"/>
  <c r="PLL118" i="263" s="1"/>
  <c r="PLM6" i="263"/>
  <c r="PLM118" i="263" s="1"/>
  <c r="PLN6" i="263"/>
  <c r="PLN118" i="263" s="1"/>
  <c r="PLO6" i="263"/>
  <c r="PLO118" i="263" s="1"/>
  <c r="PLP6" i="263"/>
  <c r="PLP118" i="263" s="1"/>
  <c r="PLQ6" i="263"/>
  <c r="PLQ118" i="263" s="1"/>
  <c r="PLR6" i="263"/>
  <c r="PLR118" i="263" s="1"/>
  <c r="PLS6" i="263"/>
  <c r="PLS118" i="263" s="1"/>
  <c r="PLT6" i="263"/>
  <c r="PLT118" i="263" s="1"/>
  <c r="PLU6" i="263"/>
  <c r="PLU118" i="263" s="1"/>
  <c r="PLV6" i="263"/>
  <c r="PLV118" i="263" s="1"/>
  <c r="PLW6" i="263"/>
  <c r="PLW118" i="263" s="1"/>
  <c r="PLX6" i="263"/>
  <c r="PLX118" i="263" s="1"/>
  <c r="PLY6" i="263"/>
  <c r="PLY118" i="263" s="1"/>
  <c r="PLZ6" i="263"/>
  <c r="PLZ118" i="263" s="1"/>
  <c r="PMA6" i="263"/>
  <c r="PMA118" i="263" s="1"/>
  <c r="PMB6" i="263"/>
  <c r="PMB118" i="263" s="1"/>
  <c r="PMC6" i="263"/>
  <c r="PMC118" i="263" s="1"/>
  <c r="PMD6" i="263"/>
  <c r="PMD118" i="263" s="1"/>
  <c r="PME6" i="263"/>
  <c r="PME118" i="263" s="1"/>
  <c r="PMF6" i="263"/>
  <c r="PMF118" i="263" s="1"/>
  <c r="PMG6" i="263"/>
  <c r="PMG118" i="263" s="1"/>
  <c r="PMH6" i="263"/>
  <c r="PMH118" i="263" s="1"/>
  <c r="PMI6" i="263"/>
  <c r="PMI118" i="263" s="1"/>
  <c r="PMJ6" i="263"/>
  <c r="PMJ118" i="263" s="1"/>
  <c r="PMK6" i="263"/>
  <c r="PMK118" i="263" s="1"/>
  <c r="PML6" i="263"/>
  <c r="PML118" i="263" s="1"/>
  <c r="PMM6" i="263"/>
  <c r="PMM118" i="263" s="1"/>
  <c r="PMN6" i="263"/>
  <c r="PMN118" i="263" s="1"/>
  <c r="PMO6" i="263"/>
  <c r="PMO118" i="263" s="1"/>
  <c r="PMP6" i="263"/>
  <c r="PMP118" i="263" s="1"/>
  <c r="PMQ6" i="263"/>
  <c r="PMQ118" i="263" s="1"/>
  <c r="PMR6" i="263"/>
  <c r="PMR118" i="263" s="1"/>
  <c r="PMS6" i="263"/>
  <c r="PMS118" i="263" s="1"/>
  <c r="PMT6" i="263"/>
  <c r="PMT118" i="263" s="1"/>
  <c r="PMU6" i="263"/>
  <c r="PMU118" i="263" s="1"/>
  <c r="PMV6" i="263"/>
  <c r="PMV118" i="263" s="1"/>
  <c r="PMW6" i="263"/>
  <c r="PMW118" i="263" s="1"/>
  <c r="PMX6" i="263"/>
  <c r="PMX118" i="263" s="1"/>
  <c r="PMY6" i="263"/>
  <c r="PMY118" i="263" s="1"/>
  <c r="PMZ6" i="263"/>
  <c r="PMZ118" i="263" s="1"/>
  <c r="PNA6" i="263"/>
  <c r="PNA118" i="263" s="1"/>
  <c r="PNB6" i="263"/>
  <c r="PNB118" i="263" s="1"/>
  <c r="PNC6" i="263"/>
  <c r="PNC118" i="263" s="1"/>
  <c r="PND6" i="263"/>
  <c r="PND118" i="263" s="1"/>
  <c r="PNE6" i="263"/>
  <c r="PNE118" i="263" s="1"/>
  <c r="PNF6" i="263"/>
  <c r="PNF118" i="263" s="1"/>
  <c r="PNG6" i="263"/>
  <c r="PNG118" i="263" s="1"/>
  <c r="PNH6" i="263"/>
  <c r="PNH118" i="263" s="1"/>
  <c r="PNI6" i="263"/>
  <c r="PNI118" i="263" s="1"/>
  <c r="PNJ6" i="263"/>
  <c r="PNJ118" i="263" s="1"/>
  <c r="PNK6" i="263"/>
  <c r="PNK118" i="263" s="1"/>
  <c r="PNL6" i="263"/>
  <c r="PNL118" i="263" s="1"/>
  <c r="PNM6" i="263"/>
  <c r="PNM118" i="263" s="1"/>
  <c r="PNN6" i="263"/>
  <c r="PNN118" i="263" s="1"/>
  <c r="PNO6" i="263"/>
  <c r="PNO118" i="263" s="1"/>
  <c r="PNP6" i="263"/>
  <c r="PNP118" i="263" s="1"/>
  <c r="PNQ6" i="263"/>
  <c r="PNQ118" i="263" s="1"/>
  <c r="PNR6" i="263"/>
  <c r="PNR118" i="263" s="1"/>
  <c r="PNS6" i="263"/>
  <c r="PNS118" i="263" s="1"/>
  <c r="PNT6" i="263"/>
  <c r="PNT118" i="263" s="1"/>
  <c r="PNU6" i="263"/>
  <c r="PNU118" i="263" s="1"/>
  <c r="PNV6" i="263"/>
  <c r="PNV118" i="263" s="1"/>
  <c r="PNW6" i="263"/>
  <c r="PNW118" i="263" s="1"/>
  <c r="PNX6" i="263"/>
  <c r="PNX118" i="263" s="1"/>
  <c r="PNY6" i="263"/>
  <c r="PNY118" i="263" s="1"/>
  <c r="PNZ6" i="263"/>
  <c r="PNZ118" i="263" s="1"/>
  <c r="POA6" i="263"/>
  <c r="POA118" i="263" s="1"/>
  <c r="POB6" i="263"/>
  <c r="POB118" i="263" s="1"/>
  <c r="POC6" i="263"/>
  <c r="POC118" i="263" s="1"/>
  <c r="POD6" i="263"/>
  <c r="POD118" i="263" s="1"/>
  <c r="POE6" i="263"/>
  <c r="POE118" i="263" s="1"/>
  <c r="POF6" i="263"/>
  <c r="POF118" i="263" s="1"/>
  <c r="POG6" i="263"/>
  <c r="POG118" i="263" s="1"/>
  <c r="POH6" i="263"/>
  <c r="POH118" i="263" s="1"/>
  <c r="POI6" i="263"/>
  <c r="POI118" i="263" s="1"/>
  <c r="POJ6" i="263"/>
  <c r="POJ118" i="263" s="1"/>
  <c r="POK6" i="263"/>
  <c r="POK118" i="263" s="1"/>
  <c r="POL6" i="263"/>
  <c r="POL118" i="263" s="1"/>
  <c r="POM6" i="263"/>
  <c r="POM118" i="263" s="1"/>
  <c r="PON6" i="263"/>
  <c r="PON118" i="263" s="1"/>
  <c r="POO6" i="263"/>
  <c r="POO118" i="263" s="1"/>
  <c r="POP6" i="263"/>
  <c r="POP118" i="263" s="1"/>
  <c r="POQ6" i="263"/>
  <c r="POQ118" i="263" s="1"/>
  <c r="POR6" i="263"/>
  <c r="POR118" i="263" s="1"/>
  <c r="POS6" i="263"/>
  <c r="POS118" i="263" s="1"/>
  <c r="POT6" i="263"/>
  <c r="POT118" i="263" s="1"/>
  <c r="POU6" i="263"/>
  <c r="POU118" i="263" s="1"/>
  <c r="POV6" i="263"/>
  <c r="POV118" i="263" s="1"/>
  <c r="POW6" i="263"/>
  <c r="POW118" i="263" s="1"/>
  <c r="POX6" i="263"/>
  <c r="POX118" i="263" s="1"/>
  <c r="POY6" i="263"/>
  <c r="POY118" i="263" s="1"/>
  <c r="POZ6" i="263"/>
  <c r="POZ118" i="263" s="1"/>
  <c r="PPA6" i="263"/>
  <c r="PPA118" i="263" s="1"/>
  <c r="PPB6" i="263"/>
  <c r="PPB118" i="263" s="1"/>
  <c r="PPC6" i="263"/>
  <c r="PPC118" i="263" s="1"/>
  <c r="PPD6" i="263"/>
  <c r="PPD118" i="263" s="1"/>
  <c r="PPE6" i="263"/>
  <c r="PPE118" i="263" s="1"/>
  <c r="PPF6" i="263"/>
  <c r="PPF118" i="263" s="1"/>
  <c r="PPG6" i="263"/>
  <c r="PPG118" i="263" s="1"/>
  <c r="PPH6" i="263"/>
  <c r="PPH118" i="263" s="1"/>
  <c r="PPI6" i="263"/>
  <c r="PPI118" i="263" s="1"/>
  <c r="PPJ6" i="263"/>
  <c r="PPJ118" i="263" s="1"/>
  <c r="PPK6" i="263"/>
  <c r="PPK118" i="263" s="1"/>
  <c r="PPL6" i="263"/>
  <c r="PPL118" i="263" s="1"/>
  <c r="PPM6" i="263"/>
  <c r="PPM118" i="263" s="1"/>
  <c r="PPN6" i="263"/>
  <c r="PPN118" i="263" s="1"/>
  <c r="PPO6" i="263"/>
  <c r="PPO118" i="263" s="1"/>
  <c r="PPP6" i="263"/>
  <c r="PPP118" i="263" s="1"/>
  <c r="PPQ6" i="263"/>
  <c r="PPQ118" i="263" s="1"/>
  <c r="PPR6" i="263"/>
  <c r="PPR118" i="263" s="1"/>
  <c r="PPS6" i="263"/>
  <c r="PPS118" i="263" s="1"/>
  <c r="PPT6" i="263"/>
  <c r="PPT118" i="263" s="1"/>
  <c r="PPU6" i="263"/>
  <c r="PPU118" i="263" s="1"/>
  <c r="PPV6" i="263"/>
  <c r="PPV118" i="263" s="1"/>
  <c r="PPW6" i="263"/>
  <c r="PPW118" i="263" s="1"/>
  <c r="PPX6" i="263"/>
  <c r="PPX118" i="263" s="1"/>
  <c r="PPY6" i="263"/>
  <c r="PPY118" i="263" s="1"/>
  <c r="PPZ6" i="263"/>
  <c r="PPZ118" i="263" s="1"/>
  <c r="PQA6" i="263"/>
  <c r="PQA118" i="263" s="1"/>
  <c r="PQB6" i="263"/>
  <c r="PQB118" i="263" s="1"/>
  <c r="PQC6" i="263"/>
  <c r="PQC118" i="263" s="1"/>
  <c r="PQD6" i="263"/>
  <c r="PQD118" i="263" s="1"/>
  <c r="PQE6" i="263"/>
  <c r="PQE118" i="263" s="1"/>
  <c r="PQF6" i="263"/>
  <c r="PQF118" i="263" s="1"/>
  <c r="PQG6" i="263"/>
  <c r="PQG118" i="263" s="1"/>
  <c r="PQH6" i="263"/>
  <c r="PQH118" i="263" s="1"/>
  <c r="PQI6" i="263"/>
  <c r="PQI118" i="263" s="1"/>
  <c r="PQJ6" i="263"/>
  <c r="PQJ118" i="263" s="1"/>
  <c r="PQK6" i="263"/>
  <c r="PQK118" i="263" s="1"/>
  <c r="PQL6" i="263"/>
  <c r="PQL118" i="263" s="1"/>
  <c r="PQM6" i="263"/>
  <c r="PQM118" i="263" s="1"/>
  <c r="PQN6" i="263"/>
  <c r="PQN118" i="263" s="1"/>
  <c r="PQO6" i="263"/>
  <c r="PQO118" i="263" s="1"/>
  <c r="PQP6" i="263"/>
  <c r="PQP118" i="263" s="1"/>
  <c r="PQQ6" i="263"/>
  <c r="PQQ118" i="263" s="1"/>
  <c r="PQR6" i="263"/>
  <c r="PQR118" i="263" s="1"/>
  <c r="PQS6" i="263"/>
  <c r="PQS118" i="263" s="1"/>
  <c r="PQT6" i="263"/>
  <c r="PQT118" i="263" s="1"/>
  <c r="PQU6" i="263"/>
  <c r="PQU118" i="263" s="1"/>
  <c r="PQV6" i="263"/>
  <c r="PQV118" i="263" s="1"/>
  <c r="PQW6" i="263"/>
  <c r="PQW118" i="263" s="1"/>
  <c r="PQX6" i="263"/>
  <c r="PQX118" i="263" s="1"/>
  <c r="PQY6" i="263"/>
  <c r="PQY118" i="263" s="1"/>
  <c r="PQZ6" i="263"/>
  <c r="PQZ118" i="263" s="1"/>
  <c r="PRA6" i="263"/>
  <c r="PRA118" i="263" s="1"/>
  <c r="PRB6" i="263"/>
  <c r="PRB118" i="263" s="1"/>
  <c r="PRC6" i="263"/>
  <c r="PRC118" i="263" s="1"/>
  <c r="PRD6" i="263"/>
  <c r="PRD118" i="263" s="1"/>
  <c r="PRE6" i="263"/>
  <c r="PRE118" i="263" s="1"/>
  <c r="PRF6" i="263"/>
  <c r="PRF118" i="263" s="1"/>
  <c r="PRG6" i="263"/>
  <c r="PRG118" i="263" s="1"/>
  <c r="PRH6" i="263"/>
  <c r="PRH118" i="263" s="1"/>
  <c r="PRI6" i="263"/>
  <c r="PRI118" i="263" s="1"/>
  <c r="PRJ6" i="263"/>
  <c r="PRJ118" i="263" s="1"/>
  <c r="PRK6" i="263"/>
  <c r="PRK118" i="263" s="1"/>
  <c r="PRL6" i="263"/>
  <c r="PRL118" i="263" s="1"/>
  <c r="PRM6" i="263"/>
  <c r="PRM118" i="263" s="1"/>
  <c r="PRN6" i="263"/>
  <c r="PRN118" i="263" s="1"/>
  <c r="PRO6" i="263"/>
  <c r="PRO118" i="263" s="1"/>
  <c r="PRP6" i="263"/>
  <c r="PRP118" i="263" s="1"/>
  <c r="PRQ6" i="263"/>
  <c r="PRQ118" i="263" s="1"/>
  <c r="PRR6" i="263"/>
  <c r="PRR118" i="263" s="1"/>
  <c r="PRS6" i="263"/>
  <c r="PRS118" i="263" s="1"/>
  <c r="PRT6" i="263"/>
  <c r="PRT118" i="263" s="1"/>
  <c r="PRU6" i="263"/>
  <c r="PRU118" i="263" s="1"/>
  <c r="PRV6" i="263"/>
  <c r="PRV118" i="263" s="1"/>
  <c r="PRW6" i="263"/>
  <c r="PRW118" i="263" s="1"/>
  <c r="PRX6" i="263"/>
  <c r="PRX118" i="263" s="1"/>
  <c r="PRY6" i="263"/>
  <c r="PRY118" i="263" s="1"/>
  <c r="PRZ6" i="263"/>
  <c r="PRZ118" i="263" s="1"/>
  <c r="PSA6" i="263"/>
  <c r="PSA118" i="263" s="1"/>
  <c r="PSB6" i="263"/>
  <c r="PSB118" i="263" s="1"/>
  <c r="PSC6" i="263"/>
  <c r="PSC118" i="263" s="1"/>
  <c r="PSD6" i="263"/>
  <c r="PSD118" i="263" s="1"/>
  <c r="PSE6" i="263"/>
  <c r="PSE118" i="263" s="1"/>
  <c r="PSF6" i="263"/>
  <c r="PSF118" i="263" s="1"/>
  <c r="PSG6" i="263"/>
  <c r="PSG118" i="263" s="1"/>
  <c r="PSH6" i="263"/>
  <c r="PSH118" i="263" s="1"/>
  <c r="PSI6" i="263"/>
  <c r="PSI118" i="263" s="1"/>
  <c r="PSJ6" i="263"/>
  <c r="PSJ118" i="263" s="1"/>
  <c r="PSK6" i="263"/>
  <c r="PSK118" i="263" s="1"/>
  <c r="PSL6" i="263"/>
  <c r="PSL118" i="263" s="1"/>
  <c r="PSM6" i="263"/>
  <c r="PSM118" i="263" s="1"/>
  <c r="PSN6" i="263"/>
  <c r="PSN118" i="263" s="1"/>
  <c r="PSO6" i="263"/>
  <c r="PSO118" i="263" s="1"/>
  <c r="PSP6" i="263"/>
  <c r="PSP118" i="263" s="1"/>
  <c r="PSQ6" i="263"/>
  <c r="PSQ118" i="263" s="1"/>
  <c r="PSR6" i="263"/>
  <c r="PSR118" i="263" s="1"/>
  <c r="PSS6" i="263"/>
  <c r="PSS118" i="263" s="1"/>
  <c r="PST6" i="263"/>
  <c r="PST118" i="263" s="1"/>
  <c r="PSU6" i="263"/>
  <c r="PSU118" i="263" s="1"/>
  <c r="PSV6" i="263"/>
  <c r="PSV118" i="263" s="1"/>
  <c r="PSW6" i="263"/>
  <c r="PSW118" i="263" s="1"/>
  <c r="PSX6" i="263"/>
  <c r="PSX118" i="263" s="1"/>
  <c r="PSY6" i="263"/>
  <c r="PSY118" i="263" s="1"/>
  <c r="PSZ6" i="263"/>
  <c r="PSZ118" i="263" s="1"/>
  <c r="PTA6" i="263"/>
  <c r="PTA118" i="263" s="1"/>
  <c r="PTB6" i="263"/>
  <c r="PTB118" i="263" s="1"/>
  <c r="PTC6" i="263"/>
  <c r="PTC118" i="263" s="1"/>
  <c r="PTD6" i="263"/>
  <c r="PTD118" i="263" s="1"/>
  <c r="PTE6" i="263"/>
  <c r="PTE118" i="263" s="1"/>
  <c r="PTF6" i="263"/>
  <c r="PTF118" i="263" s="1"/>
  <c r="PTG6" i="263"/>
  <c r="PTG118" i="263" s="1"/>
  <c r="PTH6" i="263"/>
  <c r="PTH118" i="263" s="1"/>
  <c r="PTI6" i="263"/>
  <c r="PTI118" i="263" s="1"/>
  <c r="PTJ6" i="263"/>
  <c r="PTJ118" i="263" s="1"/>
  <c r="PTK6" i="263"/>
  <c r="PTK118" i="263" s="1"/>
  <c r="PTL6" i="263"/>
  <c r="PTL118" i="263" s="1"/>
  <c r="PTM6" i="263"/>
  <c r="PTM118" i="263" s="1"/>
  <c r="PTN6" i="263"/>
  <c r="PTN118" i="263" s="1"/>
  <c r="PTO6" i="263"/>
  <c r="PTO118" i="263" s="1"/>
  <c r="PTP6" i="263"/>
  <c r="PTP118" i="263" s="1"/>
  <c r="PTQ6" i="263"/>
  <c r="PTQ118" i="263" s="1"/>
  <c r="PTR6" i="263"/>
  <c r="PTR118" i="263" s="1"/>
  <c r="PTS6" i="263"/>
  <c r="PTS118" i="263" s="1"/>
  <c r="PTT6" i="263"/>
  <c r="PTT118" i="263" s="1"/>
  <c r="PTU6" i="263"/>
  <c r="PTU118" i="263" s="1"/>
  <c r="PTV6" i="263"/>
  <c r="PTV118" i="263" s="1"/>
  <c r="PTW6" i="263"/>
  <c r="PTW118" i="263" s="1"/>
  <c r="PTX6" i="263"/>
  <c r="PTX118" i="263" s="1"/>
  <c r="PTY6" i="263"/>
  <c r="PTY118" i="263" s="1"/>
  <c r="PTZ6" i="263"/>
  <c r="PTZ118" i="263" s="1"/>
  <c r="PUA6" i="263"/>
  <c r="PUA118" i="263" s="1"/>
  <c r="PUB6" i="263"/>
  <c r="PUB118" i="263" s="1"/>
  <c r="PUC6" i="263"/>
  <c r="PUC118" i="263" s="1"/>
  <c r="PUD6" i="263"/>
  <c r="PUD118" i="263" s="1"/>
  <c r="PUE6" i="263"/>
  <c r="PUE118" i="263" s="1"/>
  <c r="PUF6" i="263"/>
  <c r="PUF118" i="263" s="1"/>
  <c r="PUG6" i="263"/>
  <c r="PUG118" i="263" s="1"/>
  <c r="PUH6" i="263"/>
  <c r="PUH118" i="263" s="1"/>
  <c r="PUI6" i="263"/>
  <c r="PUI118" i="263" s="1"/>
  <c r="PUJ6" i="263"/>
  <c r="PUJ118" i="263" s="1"/>
  <c r="PUK6" i="263"/>
  <c r="PUK118" i="263" s="1"/>
  <c r="PUL6" i="263"/>
  <c r="PUL118" i="263" s="1"/>
  <c r="PUM6" i="263"/>
  <c r="PUM118" i="263" s="1"/>
  <c r="PUN6" i="263"/>
  <c r="PUN118" i="263" s="1"/>
  <c r="PUO6" i="263"/>
  <c r="PUO118" i="263" s="1"/>
  <c r="PUP6" i="263"/>
  <c r="PUP118" i="263" s="1"/>
  <c r="PUQ6" i="263"/>
  <c r="PUQ118" i="263" s="1"/>
  <c r="PUR6" i="263"/>
  <c r="PUR118" i="263" s="1"/>
  <c r="PUS6" i="263"/>
  <c r="PUS118" i="263" s="1"/>
  <c r="PUT6" i="263"/>
  <c r="PUT118" i="263" s="1"/>
  <c r="PUU6" i="263"/>
  <c r="PUU118" i="263" s="1"/>
  <c r="PUV6" i="263"/>
  <c r="PUV118" i="263" s="1"/>
  <c r="PUW6" i="263"/>
  <c r="PUW118" i="263" s="1"/>
  <c r="PUX6" i="263"/>
  <c r="PUX118" i="263" s="1"/>
  <c r="PUY6" i="263"/>
  <c r="PUY118" i="263" s="1"/>
  <c r="PUZ6" i="263"/>
  <c r="PUZ118" i="263" s="1"/>
  <c r="PVA6" i="263"/>
  <c r="PVA118" i="263" s="1"/>
  <c r="PVB6" i="263"/>
  <c r="PVB118" i="263" s="1"/>
  <c r="PVC6" i="263"/>
  <c r="PVC118" i="263" s="1"/>
  <c r="PVD6" i="263"/>
  <c r="PVD118" i="263" s="1"/>
  <c r="PVE6" i="263"/>
  <c r="PVE118" i="263" s="1"/>
  <c r="PVF6" i="263"/>
  <c r="PVF118" i="263" s="1"/>
  <c r="PVG6" i="263"/>
  <c r="PVG118" i="263" s="1"/>
  <c r="PVH6" i="263"/>
  <c r="PVH118" i="263" s="1"/>
  <c r="PVI6" i="263"/>
  <c r="PVI118" i="263" s="1"/>
  <c r="PVJ6" i="263"/>
  <c r="PVJ118" i="263" s="1"/>
  <c r="PVK6" i="263"/>
  <c r="PVK118" i="263" s="1"/>
  <c r="PVL6" i="263"/>
  <c r="PVL118" i="263" s="1"/>
  <c r="PVM6" i="263"/>
  <c r="PVM118" i="263" s="1"/>
  <c r="PVN6" i="263"/>
  <c r="PVN118" i="263" s="1"/>
  <c r="PVO6" i="263"/>
  <c r="PVO118" i="263" s="1"/>
  <c r="PVP6" i="263"/>
  <c r="PVP118" i="263" s="1"/>
  <c r="PVQ6" i="263"/>
  <c r="PVQ118" i="263" s="1"/>
  <c r="PVR6" i="263"/>
  <c r="PVR118" i="263" s="1"/>
  <c r="PVS6" i="263"/>
  <c r="PVS118" i="263" s="1"/>
  <c r="PVT6" i="263"/>
  <c r="PVT118" i="263" s="1"/>
  <c r="PVU6" i="263"/>
  <c r="PVU118" i="263" s="1"/>
  <c r="PVV6" i="263"/>
  <c r="PVV118" i="263" s="1"/>
  <c r="PVW6" i="263"/>
  <c r="PVW118" i="263" s="1"/>
  <c r="PVX6" i="263"/>
  <c r="PVX118" i="263" s="1"/>
  <c r="PVY6" i="263"/>
  <c r="PVY118" i="263" s="1"/>
  <c r="PVZ6" i="263"/>
  <c r="PVZ118" i="263" s="1"/>
  <c r="PWA6" i="263"/>
  <c r="PWA118" i="263" s="1"/>
  <c r="PWB6" i="263"/>
  <c r="PWB118" i="263" s="1"/>
  <c r="PWC6" i="263"/>
  <c r="PWC118" i="263" s="1"/>
  <c r="PWD6" i="263"/>
  <c r="PWD118" i="263" s="1"/>
  <c r="PWE6" i="263"/>
  <c r="PWE118" i="263" s="1"/>
  <c r="PWF6" i="263"/>
  <c r="PWF118" i="263" s="1"/>
  <c r="PWG6" i="263"/>
  <c r="PWG118" i="263" s="1"/>
  <c r="PWH6" i="263"/>
  <c r="PWH118" i="263" s="1"/>
  <c r="PWI6" i="263"/>
  <c r="PWI118" i="263" s="1"/>
  <c r="PWJ6" i="263"/>
  <c r="PWJ118" i="263" s="1"/>
  <c r="PWK6" i="263"/>
  <c r="PWK118" i="263" s="1"/>
  <c r="PWL6" i="263"/>
  <c r="PWL118" i="263" s="1"/>
  <c r="PWM6" i="263"/>
  <c r="PWM118" i="263" s="1"/>
  <c r="PWN6" i="263"/>
  <c r="PWN118" i="263" s="1"/>
  <c r="PWO6" i="263"/>
  <c r="PWO118" i="263" s="1"/>
  <c r="PWP6" i="263"/>
  <c r="PWP118" i="263" s="1"/>
  <c r="PWQ6" i="263"/>
  <c r="PWQ118" i="263" s="1"/>
  <c r="PWR6" i="263"/>
  <c r="PWR118" i="263" s="1"/>
  <c r="PWS6" i="263"/>
  <c r="PWS118" i="263" s="1"/>
  <c r="PWT6" i="263"/>
  <c r="PWT118" i="263" s="1"/>
  <c r="PWU6" i="263"/>
  <c r="PWU118" i="263" s="1"/>
  <c r="PWV6" i="263"/>
  <c r="PWV118" i="263" s="1"/>
  <c r="PWW6" i="263"/>
  <c r="PWW118" i="263" s="1"/>
  <c r="PWX6" i="263"/>
  <c r="PWX118" i="263" s="1"/>
  <c r="PWY6" i="263"/>
  <c r="PWY118" i="263" s="1"/>
  <c r="PWZ6" i="263"/>
  <c r="PWZ118" i="263" s="1"/>
  <c r="PXA6" i="263"/>
  <c r="PXA118" i="263" s="1"/>
  <c r="PXB6" i="263"/>
  <c r="PXB118" i="263" s="1"/>
  <c r="PXC6" i="263"/>
  <c r="PXC118" i="263" s="1"/>
  <c r="PXD6" i="263"/>
  <c r="PXD118" i="263" s="1"/>
  <c r="PXE6" i="263"/>
  <c r="PXE118" i="263" s="1"/>
  <c r="PXF6" i="263"/>
  <c r="PXF118" i="263" s="1"/>
  <c r="PXG6" i="263"/>
  <c r="PXG118" i="263" s="1"/>
  <c r="PXH6" i="263"/>
  <c r="PXH118" i="263" s="1"/>
  <c r="PXI6" i="263"/>
  <c r="PXI118" i="263" s="1"/>
  <c r="PXJ6" i="263"/>
  <c r="PXJ118" i="263" s="1"/>
  <c r="PXK6" i="263"/>
  <c r="PXK118" i="263" s="1"/>
  <c r="PXL6" i="263"/>
  <c r="PXL118" i="263" s="1"/>
  <c r="PXM6" i="263"/>
  <c r="PXM118" i="263" s="1"/>
  <c r="PXN6" i="263"/>
  <c r="PXN118" i="263" s="1"/>
  <c r="PXO6" i="263"/>
  <c r="PXO118" i="263" s="1"/>
  <c r="PXP6" i="263"/>
  <c r="PXP118" i="263" s="1"/>
  <c r="PXQ6" i="263"/>
  <c r="PXQ118" i="263" s="1"/>
  <c r="PXR6" i="263"/>
  <c r="PXR118" i="263" s="1"/>
  <c r="PXS6" i="263"/>
  <c r="PXS118" i="263" s="1"/>
  <c r="PXT6" i="263"/>
  <c r="PXT118" i="263" s="1"/>
  <c r="PXU6" i="263"/>
  <c r="PXU118" i="263" s="1"/>
  <c r="PXV6" i="263"/>
  <c r="PXV118" i="263" s="1"/>
  <c r="PXW6" i="263"/>
  <c r="PXW118" i="263" s="1"/>
  <c r="PXX6" i="263"/>
  <c r="PXX118" i="263" s="1"/>
  <c r="PXY6" i="263"/>
  <c r="PXY118" i="263" s="1"/>
  <c r="PXZ6" i="263"/>
  <c r="PXZ118" i="263" s="1"/>
  <c r="PYA6" i="263"/>
  <c r="PYA118" i="263" s="1"/>
  <c r="PYB6" i="263"/>
  <c r="PYB118" i="263" s="1"/>
  <c r="PYC6" i="263"/>
  <c r="PYC118" i="263" s="1"/>
  <c r="PYD6" i="263"/>
  <c r="PYD118" i="263" s="1"/>
  <c r="PYE6" i="263"/>
  <c r="PYE118" i="263" s="1"/>
  <c r="PYF6" i="263"/>
  <c r="PYF118" i="263" s="1"/>
  <c r="PYG6" i="263"/>
  <c r="PYG118" i="263" s="1"/>
  <c r="PYH6" i="263"/>
  <c r="PYH118" i="263" s="1"/>
  <c r="PYI6" i="263"/>
  <c r="PYI118" i="263" s="1"/>
  <c r="PYJ6" i="263"/>
  <c r="PYJ118" i="263" s="1"/>
  <c r="PYK6" i="263"/>
  <c r="PYK118" i="263" s="1"/>
  <c r="PYL6" i="263"/>
  <c r="PYL118" i="263" s="1"/>
  <c r="PYM6" i="263"/>
  <c r="PYM118" i="263" s="1"/>
  <c r="PYN6" i="263"/>
  <c r="PYN118" i="263" s="1"/>
  <c r="PYO6" i="263"/>
  <c r="PYO118" i="263" s="1"/>
  <c r="PYP6" i="263"/>
  <c r="PYP118" i="263" s="1"/>
  <c r="PYQ6" i="263"/>
  <c r="PYQ118" i="263" s="1"/>
  <c r="PYR6" i="263"/>
  <c r="PYR118" i="263" s="1"/>
  <c r="PYS6" i="263"/>
  <c r="PYS118" i="263" s="1"/>
  <c r="PYT6" i="263"/>
  <c r="PYT118" i="263" s="1"/>
  <c r="PYU6" i="263"/>
  <c r="PYU118" i="263" s="1"/>
  <c r="PYV6" i="263"/>
  <c r="PYV118" i="263" s="1"/>
  <c r="PYW6" i="263"/>
  <c r="PYW118" i="263" s="1"/>
  <c r="PYX6" i="263"/>
  <c r="PYX118" i="263" s="1"/>
  <c r="PYY6" i="263"/>
  <c r="PYY118" i="263" s="1"/>
  <c r="PYZ6" i="263"/>
  <c r="PYZ118" i="263" s="1"/>
  <c r="PZA6" i="263"/>
  <c r="PZA118" i="263" s="1"/>
  <c r="PZB6" i="263"/>
  <c r="PZB118" i="263" s="1"/>
  <c r="PZC6" i="263"/>
  <c r="PZC118" i="263" s="1"/>
  <c r="PZD6" i="263"/>
  <c r="PZD118" i="263" s="1"/>
  <c r="PZE6" i="263"/>
  <c r="PZE118" i="263" s="1"/>
  <c r="PZF6" i="263"/>
  <c r="PZF118" i="263" s="1"/>
  <c r="PZG6" i="263"/>
  <c r="PZG118" i="263" s="1"/>
  <c r="PZH6" i="263"/>
  <c r="PZH118" i="263" s="1"/>
  <c r="PZI6" i="263"/>
  <c r="PZI118" i="263" s="1"/>
  <c r="PZJ6" i="263"/>
  <c r="PZJ118" i="263" s="1"/>
  <c r="PZK6" i="263"/>
  <c r="PZK118" i="263" s="1"/>
  <c r="PZL6" i="263"/>
  <c r="PZL118" i="263" s="1"/>
  <c r="PZM6" i="263"/>
  <c r="PZM118" i="263" s="1"/>
  <c r="PZN6" i="263"/>
  <c r="PZN118" i="263" s="1"/>
  <c r="PZO6" i="263"/>
  <c r="PZO118" i="263" s="1"/>
  <c r="PZP6" i="263"/>
  <c r="PZP118" i="263" s="1"/>
  <c r="PZQ6" i="263"/>
  <c r="PZQ118" i="263" s="1"/>
  <c r="PZR6" i="263"/>
  <c r="PZR118" i="263" s="1"/>
  <c r="PZS6" i="263"/>
  <c r="PZS118" i="263" s="1"/>
  <c r="PZT6" i="263"/>
  <c r="PZT118" i="263" s="1"/>
  <c r="PZU6" i="263"/>
  <c r="PZU118" i="263" s="1"/>
  <c r="PZV6" i="263"/>
  <c r="PZV118" i="263" s="1"/>
  <c r="PZW6" i="263"/>
  <c r="PZW118" i="263" s="1"/>
  <c r="PZX6" i="263"/>
  <c r="PZX118" i="263" s="1"/>
  <c r="PZY6" i="263"/>
  <c r="PZY118" i="263" s="1"/>
  <c r="PZZ6" i="263"/>
  <c r="PZZ118" i="263" s="1"/>
  <c r="QAA6" i="263"/>
  <c r="QAA118" i="263" s="1"/>
  <c r="QAB6" i="263"/>
  <c r="QAB118" i="263" s="1"/>
  <c r="QAC6" i="263"/>
  <c r="QAC118" i="263" s="1"/>
  <c r="QAD6" i="263"/>
  <c r="QAD118" i="263" s="1"/>
  <c r="QAE6" i="263"/>
  <c r="QAE118" i="263" s="1"/>
  <c r="QAF6" i="263"/>
  <c r="QAF118" i="263" s="1"/>
  <c r="QAG6" i="263"/>
  <c r="QAG118" i="263" s="1"/>
  <c r="QAH6" i="263"/>
  <c r="QAH118" i="263" s="1"/>
  <c r="QAI6" i="263"/>
  <c r="QAI118" i="263" s="1"/>
  <c r="QAJ6" i="263"/>
  <c r="QAJ118" i="263" s="1"/>
  <c r="QAK6" i="263"/>
  <c r="QAK118" i="263" s="1"/>
  <c r="QAL6" i="263"/>
  <c r="QAL118" i="263" s="1"/>
  <c r="QAM6" i="263"/>
  <c r="QAM118" i="263" s="1"/>
  <c r="QAN6" i="263"/>
  <c r="QAN118" i="263" s="1"/>
  <c r="QAO6" i="263"/>
  <c r="QAO118" i="263" s="1"/>
  <c r="QAP6" i="263"/>
  <c r="QAP118" i="263" s="1"/>
  <c r="QAQ6" i="263"/>
  <c r="QAQ118" i="263" s="1"/>
  <c r="QAR6" i="263"/>
  <c r="QAR118" i="263" s="1"/>
  <c r="QAS6" i="263"/>
  <c r="QAS118" i="263" s="1"/>
  <c r="QAT6" i="263"/>
  <c r="QAT118" i="263" s="1"/>
  <c r="QAU6" i="263"/>
  <c r="QAU118" i="263" s="1"/>
  <c r="QAV6" i="263"/>
  <c r="QAV118" i="263" s="1"/>
  <c r="QAW6" i="263"/>
  <c r="QAW118" i="263" s="1"/>
  <c r="QAX6" i="263"/>
  <c r="QAX118" i="263" s="1"/>
  <c r="QAY6" i="263"/>
  <c r="QAY118" i="263" s="1"/>
  <c r="QAZ6" i="263"/>
  <c r="QAZ118" i="263" s="1"/>
  <c r="QBA6" i="263"/>
  <c r="QBA118" i="263" s="1"/>
  <c r="QBB6" i="263"/>
  <c r="QBB118" i="263" s="1"/>
  <c r="QBC6" i="263"/>
  <c r="QBC118" i="263" s="1"/>
  <c r="QBD6" i="263"/>
  <c r="QBD118" i="263" s="1"/>
  <c r="QBE6" i="263"/>
  <c r="QBE118" i="263" s="1"/>
  <c r="QBF6" i="263"/>
  <c r="QBF118" i="263" s="1"/>
  <c r="QBG6" i="263"/>
  <c r="QBG118" i="263" s="1"/>
  <c r="QBH6" i="263"/>
  <c r="QBH118" i="263" s="1"/>
  <c r="QBI6" i="263"/>
  <c r="QBI118" i="263" s="1"/>
  <c r="QBJ6" i="263"/>
  <c r="QBJ118" i="263" s="1"/>
  <c r="QBK6" i="263"/>
  <c r="QBK118" i="263" s="1"/>
  <c r="QBL6" i="263"/>
  <c r="QBL118" i="263" s="1"/>
  <c r="QBM6" i="263"/>
  <c r="QBM118" i="263" s="1"/>
  <c r="QBN6" i="263"/>
  <c r="QBN118" i="263" s="1"/>
  <c r="QBO6" i="263"/>
  <c r="QBO118" i="263" s="1"/>
  <c r="QBP6" i="263"/>
  <c r="QBP118" i="263" s="1"/>
  <c r="QBQ6" i="263"/>
  <c r="QBQ118" i="263" s="1"/>
  <c r="QBR6" i="263"/>
  <c r="QBR118" i="263" s="1"/>
  <c r="QBS6" i="263"/>
  <c r="QBS118" i="263" s="1"/>
  <c r="QBT6" i="263"/>
  <c r="QBT118" i="263" s="1"/>
  <c r="QBU6" i="263"/>
  <c r="QBU118" i="263" s="1"/>
  <c r="QBV6" i="263"/>
  <c r="QBV118" i="263" s="1"/>
  <c r="QBW6" i="263"/>
  <c r="QBW118" i="263" s="1"/>
  <c r="QBX6" i="263"/>
  <c r="QBX118" i="263" s="1"/>
  <c r="QBY6" i="263"/>
  <c r="QBY118" i="263" s="1"/>
  <c r="QBZ6" i="263"/>
  <c r="QBZ118" i="263" s="1"/>
  <c r="QCA6" i="263"/>
  <c r="QCA118" i="263" s="1"/>
  <c r="QCB6" i="263"/>
  <c r="QCB118" i="263" s="1"/>
  <c r="QCC6" i="263"/>
  <c r="QCC118" i="263" s="1"/>
  <c r="QCD6" i="263"/>
  <c r="QCD118" i="263" s="1"/>
  <c r="QCE6" i="263"/>
  <c r="QCE118" i="263" s="1"/>
  <c r="QCF6" i="263"/>
  <c r="QCF118" i="263" s="1"/>
  <c r="QCG6" i="263"/>
  <c r="QCG118" i="263" s="1"/>
  <c r="QCH6" i="263"/>
  <c r="QCH118" i="263" s="1"/>
  <c r="QCI6" i="263"/>
  <c r="QCI118" i="263" s="1"/>
  <c r="QCJ6" i="263"/>
  <c r="QCJ118" i="263" s="1"/>
  <c r="QCK6" i="263"/>
  <c r="QCK118" i="263" s="1"/>
  <c r="QCL6" i="263"/>
  <c r="QCL118" i="263" s="1"/>
  <c r="QCM6" i="263"/>
  <c r="QCM118" i="263" s="1"/>
  <c r="QCN6" i="263"/>
  <c r="QCN118" i="263" s="1"/>
  <c r="QCO6" i="263"/>
  <c r="QCO118" i="263" s="1"/>
  <c r="QCP6" i="263"/>
  <c r="QCP118" i="263" s="1"/>
  <c r="QCQ6" i="263"/>
  <c r="QCQ118" i="263" s="1"/>
  <c r="QCR6" i="263"/>
  <c r="QCR118" i="263" s="1"/>
  <c r="QCS6" i="263"/>
  <c r="QCS118" i="263" s="1"/>
  <c r="QCT6" i="263"/>
  <c r="QCT118" i="263" s="1"/>
  <c r="QCU6" i="263"/>
  <c r="QCU118" i="263" s="1"/>
  <c r="QCV6" i="263"/>
  <c r="QCV118" i="263" s="1"/>
  <c r="QCW6" i="263"/>
  <c r="QCW118" i="263" s="1"/>
  <c r="QCX6" i="263"/>
  <c r="QCX118" i="263" s="1"/>
  <c r="QCY6" i="263"/>
  <c r="QCY118" i="263" s="1"/>
  <c r="QCZ6" i="263"/>
  <c r="QCZ118" i="263" s="1"/>
  <c r="QDA6" i="263"/>
  <c r="QDA118" i="263" s="1"/>
  <c r="QDB6" i="263"/>
  <c r="QDB118" i="263" s="1"/>
  <c r="QDC6" i="263"/>
  <c r="QDC118" i="263" s="1"/>
  <c r="QDD6" i="263"/>
  <c r="QDD118" i="263" s="1"/>
  <c r="QDE6" i="263"/>
  <c r="QDE118" i="263" s="1"/>
  <c r="QDF6" i="263"/>
  <c r="QDF118" i="263" s="1"/>
  <c r="QDG6" i="263"/>
  <c r="QDG118" i="263" s="1"/>
  <c r="QDH6" i="263"/>
  <c r="QDH118" i="263" s="1"/>
  <c r="QDI6" i="263"/>
  <c r="QDI118" i="263" s="1"/>
  <c r="QDJ6" i="263"/>
  <c r="QDJ118" i="263" s="1"/>
  <c r="QDK6" i="263"/>
  <c r="QDK118" i="263" s="1"/>
  <c r="QDL6" i="263"/>
  <c r="QDL118" i="263" s="1"/>
  <c r="QDM6" i="263"/>
  <c r="QDM118" i="263" s="1"/>
  <c r="QDN6" i="263"/>
  <c r="QDN118" i="263" s="1"/>
  <c r="QDO6" i="263"/>
  <c r="QDO118" i="263" s="1"/>
  <c r="QDP6" i="263"/>
  <c r="QDP118" i="263" s="1"/>
  <c r="QDQ6" i="263"/>
  <c r="QDQ118" i="263" s="1"/>
  <c r="QDR6" i="263"/>
  <c r="QDR118" i="263" s="1"/>
  <c r="QDS6" i="263"/>
  <c r="QDS118" i="263" s="1"/>
  <c r="QDT6" i="263"/>
  <c r="QDT118" i="263" s="1"/>
  <c r="QDU6" i="263"/>
  <c r="QDU118" i="263" s="1"/>
  <c r="QDV6" i="263"/>
  <c r="QDV118" i="263" s="1"/>
  <c r="QDW6" i="263"/>
  <c r="QDW118" i="263" s="1"/>
  <c r="QDX6" i="263"/>
  <c r="QDX118" i="263" s="1"/>
  <c r="QDY6" i="263"/>
  <c r="QDY118" i="263" s="1"/>
  <c r="QDZ6" i="263"/>
  <c r="QDZ118" i="263" s="1"/>
  <c r="QEA6" i="263"/>
  <c r="QEA118" i="263" s="1"/>
  <c r="QEB6" i="263"/>
  <c r="QEB118" i="263" s="1"/>
  <c r="QEC6" i="263"/>
  <c r="QEC118" i="263" s="1"/>
  <c r="QED6" i="263"/>
  <c r="QED118" i="263" s="1"/>
  <c r="QEE6" i="263"/>
  <c r="QEE118" i="263" s="1"/>
  <c r="QEF6" i="263"/>
  <c r="QEF118" i="263" s="1"/>
  <c r="QEG6" i="263"/>
  <c r="QEG118" i="263" s="1"/>
  <c r="QEH6" i="263"/>
  <c r="QEH118" i="263" s="1"/>
  <c r="QEI6" i="263"/>
  <c r="QEI118" i="263" s="1"/>
  <c r="QEJ6" i="263"/>
  <c r="QEJ118" i="263" s="1"/>
  <c r="QEK6" i="263"/>
  <c r="QEK118" i="263" s="1"/>
  <c r="QEL6" i="263"/>
  <c r="QEL118" i="263" s="1"/>
  <c r="QEM6" i="263"/>
  <c r="QEM118" i="263" s="1"/>
  <c r="QEN6" i="263"/>
  <c r="QEN118" i="263" s="1"/>
  <c r="QEO6" i="263"/>
  <c r="QEO118" i="263" s="1"/>
  <c r="QEP6" i="263"/>
  <c r="QEP118" i="263" s="1"/>
  <c r="QEQ6" i="263"/>
  <c r="QEQ118" i="263" s="1"/>
  <c r="QER6" i="263"/>
  <c r="QER118" i="263" s="1"/>
  <c r="QES6" i="263"/>
  <c r="QES118" i="263" s="1"/>
  <c r="QET6" i="263"/>
  <c r="QET118" i="263" s="1"/>
  <c r="QEU6" i="263"/>
  <c r="QEU118" i="263" s="1"/>
  <c r="QEV6" i="263"/>
  <c r="QEV118" i="263" s="1"/>
  <c r="QEW6" i="263"/>
  <c r="QEW118" i="263" s="1"/>
  <c r="QEX6" i="263"/>
  <c r="QEX118" i="263" s="1"/>
  <c r="QEY6" i="263"/>
  <c r="QEY118" i="263" s="1"/>
  <c r="QEZ6" i="263"/>
  <c r="QEZ118" i="263" s="1"/>
  <c r="QFA6" i="263"/>
  <c r="QFA118" i="263" s="1"/>
  <c r="QFB6" i="263"/>
  <c r="QFB118" i="263" s="1"/>
  <c r="QFC6" i="263"/>
  <c r="QFC118" i="263" s="1"/>
  <c r="QFD6" i="263"/>
  <c r="QFD118" i="263" s="1"/>
  <c r="QFE6" i="263"/>
  <c r="QFE118" i="263" s="1"/>
  <c r="QFF6" i="263"/>
  <c r="QFF118" i="263" s="1"/>
  <c r="QFG6" i="263"/>
  <c r="QFG118" i="263" s="1"/>
  <c r="QFH6" i="263"/>
  <c r="QFH118" i="263" s="1"/>
  <c r="QFI6" i="263"/>
  <c r="QFI118" i="263" s="1"/>
  <c r="QFJ6" i="263"/>
  <c r="QFJ118" i="263" s="1"/>
  <c r="QFK6" i="263"/>
  <c r="QFK118" i="263" s="1"/>
  <c r="QFL6" i="263"/>
  <c r="QFL118" i="263" s="1"/>
  <c r="QFM6" i="263"/>
  <c r="QFM118" i="263" s="1"/>
  <c r="QFN6" i="263"/>
  <c r="QFN118" i="263" s="1"/>
  <c r="QFO6" i="263"/>
  <c r="QFO118" i="263" s="1"/>
  <c r="QFP6" i="263"/>
  <c r="QFP118" i="263" s="1"/>
  <c r="QFQ6" i="263"/>
  <c r="QFQ118" i="263" s="1"/>
  <c r="QFR6" i="263"/>
  <c r="QFR118" i="263" s="1"/>
  <c r="QFS6" i="263"/>
  <c r="QFS118" i="263" s="1"/>
  <c r="QFT6" i="263"/>
  <c r="QFT118" i="263" s="1"/>
  <c r="QFU6" i="263"/>
  <c r="QFU118" i="263" s="1"/>
  <c r="QFV6" i="263"/>
  <c r="QFV118" i="263" s="1"/>
  <c r="QFW6" i="263"/>
  <c r="QFW118" i="263" s="1"/>
  <c r="QFX6" i="263"/>
  <c r="QFX118" i="263" s="1"/>
  <c r="QFY6" i="263"/>
  <c r="QFY118" i="263" s="1"/>
  <c r="QFZ6" i="263"/>
  <c r="QFZ118" i="263" s="1"/>
  <c r="QGA6" i="263"/>
  <c r="QGA118" i="263" s="1"/>
  <c r="QGB6" i="263"/>
  <c r="QGB118" i="263" s="1"/>
  <c r="QGC6" i="263"/>
  <c r="QGC118" i="263" s="1"/>
  <c r="QGD6" i="263"/>
  <c r="QGD118" i="263" s="1"/>
  <c r="QGE6" i="263"/>
  <c r="QGE118" i="263" s="1"/>
  <c r="QGF6" i="263"/>
  <c r="QGF118" i="263" s="1"/>
  <c r="QGG6" i="263"/>
  <c r="QGG118" i="263" s="1"/>
  <c r="QGH6" i="263"/>
  <c r="QGH118" i="263" s="1"/>
  <c r="QGI6" i="263"/>
  <c r="QGI118" i="263" s="1"/>
  <c r="QGJ6" i="263"/>
  <c r="QGJ118" i="263" s="1"/>
  <c r="QGK6" i="263"/>
  <c r="QGK118" i="263" s="1"/>
  <c r="QGL6" i="263"/>
  <c r="QGL118" i="263" s="1"/>
  <c r="QGM6" i="263"/>
  <c r="QGM118" i="263" s="1"/>
  <c r="QGN6" i="263"/>
  <c r="QGN118" i="263" s="1"/>
  <c r="QGO6" i="263"/>
  <c r="QGO118" i="263" s="1"/>
  <c r="QGP6" i="263"/>
  <c r="QGP118" i="263" s="1"/>
  <c r="QGQ6" i="263"/>
  <c r="QGQ118" i="263" s="1"/>
  <c r="QGR6" i="263"/>
  <c r="QGR118" i="263" s="1"/>
  <c r="QGS6" i="263"/>
  <c r="QGS118" i="263" s="1"/>
  <c r="QGT6" i="263"/>
  <c r="QGT118" i="263" s="1"/>
  <c r="QGU6" i="263"/>
  <c r="QGU118" i="263" s="1"/>
  <c r="QGV6" i="263"/>
  <c r="QGV118" i="263" s="1"/>
  <c r="QGW6" i="263"/>
  <c r="QGW118" i="263" s="1"/>
  <c r="QGX6" i="263"/>
  <c r="QGX118" i="263" s="1"/>
  <c r="QGY6" i="263"/>
  <c r="QGY118" i="263" s="1"/>
  <c r="QGZ6" i="263"/>
  <c r="QGZ118" i="263" s="1"/>
  <c r="QHA6" i="263"/>
  <c r="QHA118" i="263" s="1"/>
  <c r="QHB6" i="263"/>
  <c r="QHB118" i="263" s="1"/>
  <c r="QHC6" i="263"/>
  <c r="QHC118" i="263" s="1"/>
  <c r="QHD6" i="263"/>
  <c r="QHD118" i="263" s="1"/>
  <c r="QHE6" i="263"/>
  <c r="QHE118" i="263" s="1"/>
  <c r="QHF6" i="263"/>
  <c r="QHF118" i="263" s="1"/>
  <c r="QHG6" i="263"/>
  <c r="QHG118" i="263" s="1"/>
  <c r="QHH6" i="263"/>
  <c r="QHH118" i="263" s="1"/>
  <c r="QHI6" i="263"/>
  <c r="QHI118" i="263" s="1"/>
  <c r="QHJ6" i="263"/>
  <c r="QHJ118" i="263" s="1"/>
  <c r="QHK6" i="263"/>
  <c r="QHK118" i="263" s="1"/>
  <c r="QHL6" i="263"/>
  <c r="QHL118" i="263" s="1"/>
  <c r="QHM6" i="263"/>
  <c r="QHM118" i="263" s="1"/>
  <c r="QHN6" i="263"/>
  <c r="QHN118" i="263" s="1"/>
  <c r="QHO6" i="263"/>
  <c r="QHO118" i="263" s="1"/>
  <c r="QHP6" i="263"/>
  <c r="QHP118" i="263" s="1"/>
  <c r="QHQ6" i="263"/>
  <c r="QHQ118" i="263" s="1"/>
  <c r="QHR6" i="263"/>
  <c r="QHR118" i="263" s="1"/>
  <c r="QHS6" i="263"/>
  <c r="QHS118" i="263" s="1"/>
  <c r="QHT6" i="263"/>
  <c r="QHT118" i="263" s="1"/>
  <c r="QHU6" i="263"/>
  <c r="QHU118" i="263" s="1"/>
  <c r="QHV6" i="263"/>
  <c r="QHV118" i="263" s="1"/>
  <c r="QHW6" i="263"/>
  <c r="QHW118" i="263" s="1"/>
  <c r="QHX6" i="263"/>
  <c r="QHX118" i="263" s="1"/>
  <c r="QHY6" i="263"/>
  <c r="QHY118" i="263" s="1"/>
  <c r="QHZ6" i="263"/>
  <c r="QHZ118" i="263" s="1"/>
  <c r="QIA6" i="263"/>
  <c r="QIA118" i="263" s="1"/>
  <c r="QIB6" i="263"/>
  <c r="QIB118" i="263" s="1"/>
  <c r="QIC6" i="263"/>
  <c r="QIC118" i="263" s="1"/>
  <c r="QID6" i="263"/>
  <c r="QID118" i="263" s="1"/>
  <c r="QIE6" i="263"/>
  <c r="QIE118" i="263" s="1"/>
  <c r="QIF6" i="263"/>
  <c r="QIF118" i="263" s="1"/>
  <c r="QIG6" i="263"/>
  <c r="QIG118" i="263" s="1"/>
  <c r="QIH6" i="263"/>
  <c r="QIH118" i="263" s="1"/>
  <c r="QII6" i="263"/>
  <c r="QII118" i="263" s="1"/>
  <c r="QIJ6" i="263"/>
  <c r="QIJ118" i="263" s="1"/>
  <c r="QIK6" i="263"/>
  <c r="QIK118" i="263" s="1"/>
  <c r="QIL6" i="263"/>
  <c r="QIL118" i="263" s="1"/>
  <c r="QIM6" i="263"/>
  <c r="QIM118" i="263" s="1"/>
  <c r="QIN6" i="263"/>
  <c r="QIN118" i="263" s="1"/>
  <c r="QIO6" i="263"/>
  <c r="QIO118" i="263" s="1"/>
  <c r="QIP6" i="263"/>
  <c r="QIP118" i="263" s="1"/>
  <c r="QIQ6" i="263"/>
  <c r="QIQ118" i="263" s="1"/>
  <c r="QIR6" i="263"/>
  <c r="QIR118" i="263" s="1"/>
  <c r="QIS6" i="263"/>
  <c r="QIS118" i="263" s="1"/>
  <c r="QIT6" i="263"/>
  <c r="QIT118" i="263" s="1"/>
  <c r="QIU6" i="263"/>
  <c r="QIU118" i="263" s="1"/>
  <c r="QIV6" i="263"/>
  <c r="QIV118" i="263" s="1"/>
  <c r="QIW6" i="263"/>
  <c r="QIW118" i="263" s="1"/>
  <c r="QIX6" i="263"/>
  <c r="QIX118" i="263" s="1"/>
  <c r="QIY6" i="263"/>
  <c r="QIY118" i="263" s="1"/>
  <c r="QIZ6" i="263"/>
  <c r="QIZ118" i="263" s="1"/>
  <c r="QJA6" i="263"/>
  <c r="QJA118" i="263" s="1"/>
  <c r="QJB6" i="263"/>
  <c r="QJB118" i="263" s="1"/>
  <c r="QJC6" i="263"/>
  <c r="QJC118" i="263" s="1"/>
  <c r="QJD6" i="263"/>
  <c r="QJD118" i="263" s="1"/>
  <c r="QJE6" i="263"/>
  <c r="QJE118" i="263" s="1"/>
  <c r="QJF6" i="263"/>
  <c r="QJF118" i="263" s="1"/>
  <c r="QJG6" i="263"/>
  <c r="QJG118" i="263" s="1"/>
  <c r="QJH6" i="263"/>
  <c r="QJH118" i="263" s="1"/>
  <c r="QJI6" i="263"/>
  <c r="QJI118" i="263" s="1"/>
  <c r="QJJ6" i="263"/>
  <c r="QJJ118" i="263" s="1"/>
  <c r="QJK6" i="263"/>
  <c r="QJK118" i="263" s="1"/>
  <c r="QJL6" i="263"/>
  <c r="QJL118" i="263" s="1"/>
  <c r="QJM6" i="263"/>
  <c r="QJM118" i="263" s="1"/>
  <c r="QJN6" i="263"/>
  <c r="QJN118" i="263" s="1"/>
  <c r="QJO6" i="263"/>
  <c r="QJO118" i="263" s="1"/>
  <c r="QJP6" i="263"/>
  <c r="QJP118" i="263" s="1"/>
  <c r="QJQ6" i="263"/>
  <c r="QJQ118" i="263" s="1"/>
  <c r="QJR6" i="263"/>
  <c r="QJR118" i="263" s="1"/>
  <c r="QJS6" i="263"/>
  <c r="QJS118" i="263" s="1"/>
  <c r="QJT6" i="263"/>
  <c r="QJT118" i="263" s="1"/>
  <c r="QJU6" i="263"/>
  <c r="QJU118" i="263" s="1"/>
  <c r="QJV6" i="263"/>
  <c r="QJV118" i="263" s="1"/>
  <c r="QJW6" i="263"/>
  <c r="QJW118" i="263" s="1"/>
  <c r="QJX6" i="263"/>
  <c r="QJX118" i="263" s="1"/>
  <c r="QJY6" i="263"/>
  <c r="QJY118" i="263" s="1"/>
  <c r="QJZ6" i="263"/>
  <c r="QJZ118" i="263" s="1"/>
  <c r="QKA6" i="263"/>
  <c r="QKA118" i="263" s="1"/>
  <c r="QKB6" i="263"/>
  <c r="QKB118" i="263" s="1"/>
  <c r="QKC6" i="263"/>
  <c r="QKC118" i="263" s="1"/>
  <c r="QKD6" i="263"/>
  <c r="QKD118" i="263" s="1"/>
  <c r="QKE6" i="263"/>
  <c r="QKE118" i="263" s="1"/>
  <c r="QKF6" i="263"/>
  <c r="QKF118" i="263" s="1"/>
  <c r="QKG6" i="263"/>
  <c r="QKG118" i="263" s="1"/>
  <c r="QKH6" i="263"/>
  <c r="QKH118" i="263" s="1"/>
  <c r="QKI6" i="263"/>
  <c r="QKI118" i="263" s="1"/>
  <c r="QKJ6" i="263"/>
  <c r="QKJ118" i="263" s="1"/>
  <c r="QKK6" i="263"/>
  <c r="QKK118" i="263" s="1"/>
  <c r="QKL6" i="263"/>
  <c r="QKL118" i="263" s="1"/>
  <c r="QKM6" i="263"/>
  <c r="QKM118" i="263" s="1"/>
  <c r="QKN6" i="263"/>
  <c r="QKN118" i="263" s="1"/>
  <c r="QKO6" i="263"/>
  <c r="QKO118" i="263" s="1"/>
  <c r="QKP6" i="263"/>
  <c r="QKP118" i="263" s="1"/>
  <c r="QKQ6" i="263"/>
  <c r="QKQ118" i="263" s="1"/>
  <c r="QKR6" i="263"/>
  <c r="QKR118" i="263" s="1"/>
  <c r="QKS6" i="263"/>
  <c r="QKS118" i="263" s="1"/>
  <c r="QKT6" i="263"/>
  <c r="QKT118" i="263" s="1"/>
  <c r="QKU6" i="263"/>
  <c r="QKU118" i="263" s="1"/>
  <c r="QKV6" i="263"/>
  <c r="QKV118" i="263" s="1"/>
  <c r="QKW6" i="263"/>
  <c r="QKW118" i="263" s="1"/>
  <c r="QKX6" i="263"/>
  <c r="QKX118" i="263" s="1"/>
  <c r="QKY6" i="263"/>
  <c r="QKY118" i="263" s="1"/>
  <c r="QKZ6" i="263"/>
  <c r="QKZ118" i="263" s="1"/>
  <c r="QLA6" i="263"/>
  <c r="QLA118" i="263" s="1"/>
  <c r="QLB6" i="263"/>
  <c r="QLB118" i="263" s="1"/>
  <c r="QLC6" i="263"/>
  <c r="QLC118" i="263" s="1"/>
  <c r="QLD6" i="263"/>
  <c r="QLD118" i="263" s="1"/>
  <c r="QLE6" i="263"/>
  <c r="QLE118" i="263" s="1"/>
  <c r="QLF6" i="263"/>
  <c r="QLF118" i="263" s="1"/>
  <c r="QLG6" i="263"/>
  <c r="QLG118" i="263" s="1"/>
  <c r="QLH6" i="263"/>
  <c r="QLH118" i="263" s="1"/>
  <c r="QLI6" i="263"/>
  <c r="QLI118" i="263" s="1"/>
  <c r="QLJ6" i="263"/>
  <c r="QLJ118" i="263" s="1"/>
  <c r="QLK6" i="263"/>
  <c r="QLK118" i="263" s="1"/>
  <c r="QLL6" i="263"/>
  <c r="QLL118" i="263" s="1"/>
  <c r="QLM6" i="263"/>
  <c r="QLM118" i="263" s="1"/>
  <c r="QLN6" i="263"/>
  <c r="QLN118" i="263" s="1"/>
  <c r="QLO6" i="263"/>
  <c r="QLO118" i="263" s="1"/>
  <c r="QLP6" i="263"/>
  <c r="QLP118" i="263" s="1"/>
  <c r="QLQ6" i="263"/>
  <c r="QLQ118" i="263" s="1"/>
  <c r="QLR6" i="263"/>
  <c r="QLR118" i="263" s="1"/>
  <c r="QLS6" i="263"/>
  <c r="QLS118" i="263" s="1"/>
  <c r="QLT6" i="263"/>
  <c r="QLT118" i="263" s="1"/>
  <c r="QLU6" i="263"/>
  <c r="QLU118" i="263" s="1"/>
  <c r="QLV6" i="263"/>
  <c r="QLV118" i="263" s="1"/>
  <c r="QLW6" i="263"/>
  <c r="QLW118" i="263" s="1"/>
  <c r="QLX6" i="263"/>
  <c r="QLX118" i="263" s="1"/>
  <c r="QLY6" i="263"/>
  <c r="QLY118" i="263" s="1"/>
  <c r="QLZ6" i="263"/>
  <c r="QLZ118" i="263" s="1"/>
  <c r="QMA6" i="263"/>
  <c r="QMA118" i="263" s="1"/>
  <c r="QMB6" i="263"/>
  <c r="QMB118" i="263" s="1"/>
  <c r="QMC6" i="263"/>
  <c r="QMC118" i="263" s="1"/>
  <c r="QMD6" i="263"/>
  <c r="QMD118" i="263" s="1"/>
  <c r="QME6" i="263"/>
  <c r="QME118" i="263" s="1"/>
  <c r="QMF6" i="263"/>
  <c r="QMF118" i="263" s="1"/>
  <c r="QMG6" i="263"/>
  <c r="QMG118" i="263" s="1"/>
  <c r="QMH6" i="263"/>
  <c r="QMH118" i="263" s="1"/>
  <c r="QMI6" i="263"/>
  <c r="QMI118" i="263" s="1"/>
  <c r="QMJ6" i="263"/>
  <c r="QMJ118" i="263" s="1"/>
  <c r="QMK6" i="263"/>
  <c r="QMK118" i="263" s="1"/>
  <c r="QML6" i="263"/>
  <c r="QML118" i="263" s="1"/>
  <c r="QMM6" i="263"/>
  <c r="QMM118" i="263" s="1"/>
  <c r="QMN6" i="263"/>
  <c r="QMN118" i="263" s="1"/>
  <c r="QMO6" i="263"/>
  <c r="QMO118" i="263" s="1"/>
  <c r="QMP6" i="263"/>
  <c r="QMP118" i="263" s="1"/>
  <c r="QMQ6" i="263"/>
  <c r="QMQ118" i="263" s="1"/>
  <c r="QMR6" i="263"/>
  <c r="QMR118" i="263" s="1"/>
  <c r="QMS6" i="263"/>
  <c r="QMS118" i="263" s="1"/>
  <c r="QMT6" i="263"/>
  <c r="QMT118" i="263" s="1"/>
  <c r="QMU6" i="263"/>
  <c r="QMU118" i="263" s="1"/>
  <c r="QMV6" i="263"/>
  <c r="QMV118" i="263" s="1"/>
  <c r="QMW6" i="263"/>
  <c r="QMW118" i="263" s="1"/>
  <c r="QMX6" i="263"/>
  <c r="QMX118" i="263" s="1"/>
  <c r="QMY6" i="263"/>
  <c r="QMY118" i="263" s="1"/>
  <c r="QMZ6" i="263"/>
  <c r="QMZ118" i="263" s="1"/>
  <c r="QNA6" i="263"/>
  <c r="QNA118" i="263" s="1"/>
  <c r="QNB6" i="263"/>
  <c r="QNB118" i="263" s="1"/>
  <c r="QNC6" i="263"/>
  <c r="QNC118" i="263" s="1"/>
  <c r="QND6" i="263"/>
  <c r="QND118" i="263" s="1"/>
  <c r="QNE6" i="263"/>
  <c r="QNE118" i="263" s="1"/>
  <c r="QNF6" i="263"/>
  <c r="QNF118" i="263" s="1"/>
  <c r="QNG6" i="263"/>
  <c r="QNG118" i="263" s="1"/>
  <c r="QNH6" i="263"/>
  <c r="QNH118" i="263" s="1"/>
  <c r="QNI6" i="263"/>
  <c r="QNI118" i="263" s="1"/>
  <c r="QNJ6" i="263"/>
  <c r="QNJ118" i="263" s="1"/>
  <c r="QNK6" i="263"/>
  <c r="QNK118" i="263" s="1"/>
  <c r="QNL6" i="263"/>
  <c r="QNL118" i="263" s="1"/>
  <c r="QNM6" i="263"/>
  <c r="QNM118" i="263" s="1"/>
  <c r="QNN6" i="263"/>
  <c r="QNN118" i="263" s="1"/>
  <c r="QNO6" i="263"/>
  <c r="QNO118" i="263" s="1"/>
  <c r="QNP6" i="263"/>
  <c r="QNP118" i="263" s="1"/>
  <c r="QNQ6" i="263"/>
  <c r="QNQ118" i="263" s="1"/>
  <c r="QNR6" i="263"/>
  <c r="QNR118" i="263" s="1"/>
  <c r="QNS6" i="263"/>
  <c r="QNS118" i="263" s="1"/>
  <c r="QNT6" i="263"/>
  <c r="QNT118" i="263" s="1"/>
  <c r="QNU6" i="263"/>
  <c r="QNU118" i="263" s="1"/>
  <c r="QNV6" i="263"/>
  <c r="QNV118" i="263" s="1"/>
  <c r="QNW6" i="263"/>
  <c r="QNW118" i="263" s="1"/>
  <c r="QNX6" i="263"/>
  <c r="QNX118" i="263" s="1"/>
  <c r="QNY6" i="263"/>
  <c r="QNY118" i="263" s="1"/>
  <c r="QNZ6" i="263"/>
  <c r="QNZ118" i="263" s="1"/>
  <c r="QOA6" i="263"/>
  <c r="QOA118" i="263" s="1"/>
  <c r="QOB6" i="263"/>
  <c r="QOB118" i="263" s="1"/>
  <c r="QOC6" i="263"/>
  <c r="QOC118" i="263" s="1"/>
  <c r="QOD6" i="263"/>
  <c r="QOD118" i="263" s="1"/>
  <c r="QOE6" i="263"/>
  <c r="QOE118" i="263" s="1"/>
  <c r="QOF6" i="263"/>
  <c r="QOF118" i="263" s="1"/>
  <c r="QOG6" i="263"/>
  <c r="QOG118" i="263" s="1"/>
  <c r="QOH6" i="263"/>
  <c r="QOH118" i="263" s="1"/>
  <c r="QOI6" i="263"/>
  <c r="QOI118" i="263" s="1"/>
  <c r="QOJ6" i="263"/>
  <c r="QOJ118" i="263" s="1"/>
  <c r="QOK6" i="263"/>
  <c r="QOK118" i="263" s="1"/>
  <c r="QOL6" i="263"/>
  <c r="QOL118" i="263" s="1"/>
  <c r="QOM6" i="263"/>
  <c r="QOM118" i="263" s="1"/>
  <c r="QON6" i="263"/>
  <c r="QON118" i="263" s="1"/>
  <c r="QOO6" i="263"/>
  <c r="QOO118" i="263" s="1"/>
  <c r="QOP6" i="263"/>
  <c r="QOP118" i="263" s="1"/>
  <c r="QOQ6" i="263"/>
  <c r="QOQ118" i="263" s="1"/>
  <c r="QOR6" i="263"/>
  <c r="QOR118" i="263" s="1"/>
  <c r="QOS6" i="263"/>
  <c r="QOS118" i="263" s="1"/>
  <c r="QOT6" i="263"/>
  <c r="QOT118" i="263" s="1"/>
  <c r="QOU6" i="263"/>
  <c r="QOU118" i="263" s="1"/>
  <c r="QOV6" i="263"/>
  <c r="QOV118" i="263" s="1"/>
  <c r="QOW6" i="263"/>
  <c r="QOW118" i="263" s="1"/>
  <c r="QOX6" i="263"/>
  <c r="QOX118" i="263" s="1"/>
  <c r="QOY6" i="263"/>
  <c r="QOY118" i="263" s="1"/>
  <c r="QOZ6" i="263"/>
  <c r="QOZ118" i="263" s="1"/>
  <c r="QPA6" i="263"/>
  <c r="QPA118" i="263" s="1"/>
  <c r="QPB6" i="263"/>
  <c r="QPB118" i="263" s="1"/>
  <c r="QPC6" i="263"/>
  <c r="QPC118" i="263" s="1"/>
  <c r="QPD6" i="263"/>
  <c r="QPD118" i="263" s="1"/>
  <c r="QPE6" i="263"/>
  <c r="QPE118" i="263" s="1"/>
  <c r="QPF6" i="263"/>
  <c r="QPF118" i="263" s="1"/>
  <c r="QPG6" i="263"/>
  <c r="QPG118" i="263" s="1"/>
  <c r="QPH6" i="263"/>
  <c r="QPH118" i="263" s="1"/>
  <c r="QPI6" i="263"/>
  <c r="QPI118" i="263" s="1"/>
  <c r="QPJ6" i="263"/>
  <c r="QPJ118" i="263" s="1"/>
  <c r="QPK6" i="263"/>
  <c r="QPK118" i="263" s="1"/>
  <c r="QPL6" i="263"/>
  <c r="QPL118" i="263" s="1"/>
  <c r="QPM6" i="263"/>
  <c r="QPM118" i="263" s="1"/>
  <c r="QPN6" i="263"/>
  <c r="QPN118" i="263" s="1"/>
  <c r="QPO6" i="263"/>
  <c r="QPO118" i="263" s="1"/>
  <c r="QPP6" i="263"/>
  <c r="QPP118" i="263" s="1"/>
  <c r="QPQ6" i="263"/>
  <c r="QPQ118" i="263" s="1"/>
  <c r="QPR6" i="263"/>
  <c r="QPR118" i="263" s="1"/>
  <c r="QPS6" i="263"/>
  <c r="QPS118" i="263" s="1"/>
  <c r="QPT6" i="263"/>
  <c r="QPT118" i="263" s="1"/>
  <c r="QPU6" i="263"/>
  <c r="QPU118" i="263" s="1"/>
  <c r="QPV6" i="263"/>
  <c r="QPV118" i="263" s="1"/>
  <c r="QPW6" i="263"/>
  <c r="QPW118" i="263" s="1"/>
  <c r="QPX6" i="263"/>
  <c r="QPX118" i="263" s="1"/>
  <c r="QPY6" i="263"/>
  <c r="QPY118" i="263" s="1"/>
  <c r="QPZ6" i="263"/>
  <c r="QPZ118" i="263" s="1"/>
  <c r="QQA6" i="263"/>
  <c r="QQA118" i="263" s="1"/>
  <c r="QQB6" i="263"/>
  <c r="QQB118" i="263" s="1"/>
  <c r="QQC6" i="263"/>
  <c r="QQC118" i="263" s="1"/>
  <c r="QQD6" i="263"/>
  <c r="QQD118" i="263" s="1"/>
  <c r="QQE6" i="263"/>
  <c r="QQE118" i="263" s="1"/>
  <c r="QQF6" i="263"/>
  <c r="QQF118" i="263" s="1"/>
  <c r="QQG6" i="263"/>
  <c r="QQG118" i="263" s="1"/>
  <c r="QQH6" i="263"/>
  <c r="QQH118" i="263" s="1"/>
  <c r="QQI6" i="263"/>
  <c r="QQI118" i="263" s="1"/>
  <c r="QQJ6" i="263"/>
  <c r="QQJ118" i="263" s="1"/>
  <c r="QQK6" i="263"/>
  <c r="QQK118" i="263" s="1"/>
  <c r="QQL6" i="263"/>
  <c r="QQL118" i="263" s="1"/>
  <c r="QQM6" i="263"/>
  <c r="QQM118" i="263" s="1"/>
  <c r="QQN6" i="263"/>
  <c r="QQN118" i="263" s="1"/>
  <c r="QQO6" i="263"/>
  <c r="QQO118" i="263" s="1"/>
  <c r="QQP6" i="263"/>
  <c r="QQP118" i="263" s="1"/>
  <c r="QQQ6" i="263"/>
  <c r="QQQ118" i="263" s="1"/>
  <c r="QQR6" i="263"/>
  <c r="QQR118" i="263" s="1"/>
  <c r="QQS6" i="263"/>
  <c r="QQS118" i="263" s="1"/>
  <c r="QQT6" i="263"/>
  <c r="QQT118" i="263" s="1"/>
  <c r="QQU6" i="263"/>
  <c r="QQU118" i="263" s="1"/>
  <c r="QQV6" i="263"/>
  <c r="QQV118" i="263" s="1"/>
  <c r="QQW6" i="263"/>
  <c r="QQW118" i="263" s="1"/>
  <c r="QQX6" i="263"/>
  <c r="QQX118" i="263" s="1"/>
  <c r="QQY6" i="263"/>
  <c r="QQY118" i="263" s="1"/>
  <c r="QQZ6" i="263"/>
  <c r="QQZ118" i="263" s="1"/>
  <c r="QRA6" i="263"/>
  <c r="QRA118" i="263" s="1"/>
  <c r="QRB6" i="263"/>
  <c r="QRB118" i="263" s="1"/>
  <c r="QRC6" i="263"/>
  <c r="QRC118" i="263" s="1"/>
  <c r="QRD6" i="263"/>
  <c r="QRD118" i="263" s="1"/>
  <c r="QRE6" i="263"/>
  <c r="QRE118" i="263" s="1"/>
  <c r="QRF6" i="263"/>
  <c r="QRF118" i="263" s="1"/>
  <c r="QRG6" i="263"/>
  <c r="QRG118" i="263" s="1"/>
  <c r="QRH6" i="263"/>
  <c r="QRH118" i="263" s="1"/>
  <c r="QRI6" i="263"/>
  <c r="QRI118" i="263" s="1"/>
  <c r="QRJ6" i="263"/>
  <c r="QRJ118" i="263" s="1"/>
  <c r="QRK6" i="263"/>
  <c r="QRK118" i="263" s="1"/>
  <c r="QRL6" i="263"/>
  <c r="QRL118" i="263" s="1"/>
  <c r="QRM6" i="263"/>
  <c r="QRM118" i="263" s="1"/>
  <c r="QRN6" i="263"/>
  <c r="QRN118" i="263" s="1"/>
  <c r="QRO6" i="263"/>
  <c r="QRO118" i="263" s="1"/>
  <c r="QRP6" i="263"/>
  <c r="QRP118" i="263" s="1"/>
  <c r="QRQ6" i="263"/>
  <c r="QRQ118" i="263" s="1"/>
  <c r="QRR6" i="263"/>
  <c r="QRR118" i="263" s="1"/>
  <c r="QRS6" i="263"/>
  <c r="QRS118" i="263" s="1"/>
  <c r="QRT6" i="263"/>
  <c r="QRT118" i="263" s="1"/>
  <c r="QRU6" i="263"/>
  <c r="QRU118" i="263" s="1"/>
  <c r="QRV6" i="263"/>
  <c r="QRV118" i="263" s="1"/>
  <c r="QRW6" i="263"/>
  <c r="QRW118" i="263" s="1"/>
  <c r="QRX6" i="263"/>
  <c r="QRX118" i="263" s="1"/>
  <c r="QRY6" i="263"/>
  <c r="QRY118" i="263" s="1"/>
  <c r="QRZ6" i="263"/>
  <c r="QRZ118" i="263" s="1"/>
  <c r="QSA6" i="263"/>
  <c r="QSA118" i="263" s="1"/>
  <c r="QSB6" i="263"/>
  <c r="QSB118" i="263" s="1"/>
  <c r="QSC6" i="263"/>
  <c r="QSC118" i="263" s="1"/>
  <c r="QSD6" i="263"/>
  <c r="QSD118" i="263" s="1"/>
  <c r="QSE6" i="263"/>
  <c r="QSE118" i="263" s="1"/>
  <c r="QSF6" i="263"/>
  <c r="QSF118" i="263" s="1"/>
  <c r="QSG6" i="263"/>
  <c r="QSG118" i="263" s="1"/>
  <c r="QSH6" i="263"/>
  <c r="QSH118" i="263" s="1"/>
  <c r="QSI6" i="263"/>
  <c r="QSI118" i="263" s="1"/>
  <c r="QSJ6" i="263"/>
  <c r="QSJ118" i="263" s="1"/>
  <c r="QSK6" i="263"/>
  <c r="QSK118" i="263" s="1"/>
  <c r="QSL6" i="263"/>
  <c r="QSL118" i="263" s="1"/>
  <c r="QSM6" i="263"/>
  <c r="QSM118" i="263" s="1"/>
  <c r="QSN6" i="263"/>
  <c r="QSN118" i="263" s="1"/>
  <c r="QSO6" i="263"/>
  <c r="QSO118" i="263" s="1"/>
  <c r="QSP6" i="263"/>
  <c r="QSP118" i="263" s="1"/>
  <c r="QSQ6" i="263"/>
  <c r="QSQ118" i="263" s="1"/>
  <c r="QSR6" i="263"/>
  <c r="QSR118" i="263" s="1"/>
  <c r="QSS6" i="263"/>
  <c r="QSS118" i="263" s="1"/>
  <c r="QST6" i="263"/>
  <c r="QST118" i="263" s="1"/>
  <c r="QSU6" i="263"/>
  <c r="QSU118" i="263" s="1"/>
  <c r="QSV6" i="263"/>
  <c r="QSV118" i="263" s="1"/>
  <c r="QSW6" i="263"/>
  <c r="QSW118" i="263" s="1"/>
  <c r="QSX6" i="263"/>
  <c r="QSX118" i="263" s="1"/>
  <c r="QSY6" i="263"/>
  <c r="QSY118" i="263" s="1"/>
  <c r="QSZ6" i="263"/>
  <c r="QSZ118" i="263" s="1"/>
  <c r="QTA6" i="263"/>
  <c r="QTA118" i="263" s="1"/>
  <c r="QTB6" i="263"/>
  <c r="QTB118" i="263" s="1"/>
  <c r="QTC6" i="263"/>
  <c r="QTC118" i="263" s="1"/>
  <c r="QTD6" i="263"/>
  <c r="QTD118" i="263" s="1"/>
  <c r="QTE6" i="263"/>
  <c r="QTE118" i="263" s="1"/>
  <c r="QTF6" i="263"/>
  <c r="QTF118" i="263" s="1"/>
  <c r="QTG6" i="263"/>
  <c r="QTG118" i="263" s="1"/>
  <c r="QTH6" i="263"/>
  <c r="QTH118" i="263" s="1"/>
  <c r="QTI6" i="263"/>
  <c r="QTI118" i="263" s="1"/>
  <c r="QTJ6" i="263"/>
  <c r="QTJ118" i="263" s="1"/>
  <c r="QTK6" i="263"/>
  <c r="QTK118" i="263" s="1"/>
  <c r="QTL6" i="263"/>
  <c r="QTL118" i="263" s="1"/>
  <c r="QTM6" i="263"/>
  <c r="QTM118" i="263" s="1"/>
  <c r="QTN6" i="263"/>
  <c r="QTN118" i="263" s="1"/>
  <c r="QTO6" i="263"/>
  <c r="QTO118" i="263" s="1"/>
  <c r="QTP6" i="263"/>
  <c r="QTP118" i="263" s="1"/>
  <c r="QTQ6" i="263"/>
  <c r="QTQ118" i="263" s="1"/>
  <c r="QTR6" i="263"/>
  <c r="QTR118" i="263" s="1"/>
  <c r="QTS6" i="263"/>
  <c r="QTS118" i="263" s="1"/>
  <c r="QTT6" i="263"/>
  <c r="QTT118" i="263" s="1"/>
  <c r="QTU6" i="263"/>
  <c r="QTU118" i="263" s="1"/>
  <c r="QTV6" i="263"/>
  <c r="QTV118" i="263" s="1"/>
  <c r="QTW6" i="263"/>
  <c r="QTW118" i="263" s="1"/>
  <c r="QTX6" i="263"/>
  <c r="QTX118" i="263" s="1"/>
  <c r="QTY6" i="263"/>
  <c r="QTY118" i="263" s="1"/>
  <c r="QTZ6" i="263"/>
  <c r="QTZ118" i="263" s="1"/>
  <c r="QUA6" i="263"/>
  <c r="QUA118" i="263" s="1"/>
  <c r="QUB6" i="263"/>
  <c r="QUB118" i="263" s="1"/>
  <c r="QUC6" i="263"/>
  <c r="QUC118" i="263" s="1"/>
  <c r="QUD6" i="263"/>
  <c r="QUD118" i="263" s="1"/>
  <c r="QUE6" i="263"/>
  <c r="QUE118" i="263" s="1"/>
  <c r="QUF6" i="263"/>
  <c r="QUF118" i="263" s="1"/>
  <c r="QUG6" i="263"/>
  <c r="QUG118" i="263" s="1"/>
  <c r="QUH6" i="263"/>
  <c r="QUH118" i="263" s="1"/>
  <c r="QUI6" i="263"/>
  <c r="QUI118" i="263" s="1"/>
  <c r="QUJ6" i="263"/>
  <c r="QUJ118" i="263" s="1"/>
  <c r="QUK6" i="263"/>
  <c r="QUK118" i="263" s="1"/>
  <c r="QUL6" i="263"/>
  <c r="QUL118" i="263" s="1"/>
  <c r="QUM6" i="263"/>
  <c r="QUM118" i="263" s="1"/>
  <c r="QUN6" i="263"/>
  <c r="QUN118" i="263" s="1"/>
  <c r="QUO6" i="263"/>
  <c r="QUO118" i="263" s="1"/>
  <c r="QUP6" i="263"/>
  <c r="QUP118" i="263" s="1"/>
  <c r="QUQ6" i="263"/>
  <c r="QUQ118" i="263" s="1"/>
  <c r="QUR6" i="263"/>
  <c r="QUR118" i="263" s="1"/>
  <c r="QUS6" i="263"/>
  <c r="QUS118" i="263" s="1"/>
  <c r="QUT6" i="263"/>
  <c r="QUT118" i="263" s="1"/>
  <c r="QUU6" i="263"/>
  <c r="QUU118" i="263" s="1"/>
  <c r="QUV6" i="263"/>
  <c r="QUV118" i="263" s="1"/>
  <c r="QUW6" i="263"/>
  <c r="QUW118" i="263" s="1"/>
  <c r="QUX6" i="263"/>
  <c r="QUX118" i="263" s="1"/>
  <c r="QUY6" i="263"/>
  <c r="QUY118" i="263" s="1"/>
  <c r="QUZ6" i="263"/>
  <c r="QUZ118" i="263" s="1"/>
  <c r="QVA6" i="263"/>
  <c r="QVA118" i="263" s="1"/>
  <c r="QVB6" i="263"/>
  <c r="QVB118" i="263" s="1"/>
  <c r="QVC6" i="263"/>
  <c r="QVC118" i="263" s="1"/>
  <c r="QVD6" i="263"/>
  <c r="QVD118" i="263" s="1"/>
  <c r="QVE6" i="263"/>
  <c r="QVE118" i="263" s="1"/>
  <c r="QVF6" i="263"/>
  <c r="QVF118" i="263" s="1"/>
  <c r="QVG6" i="263"/>
  <c r="QVG118" i="263" s="1"/>
  <c r="QVH6" i="263"/>
  <c r="QVH118" i="263" s="1"/>
  <c r="QVI6" i="263"/>
  <c r="QVI118" i="263" s="1"/>
  <c r="QVJ6" i="263"/>
  <c r="QVJ118" i="263" s="1"/>
  <c r="QVK6" i="263"/>
  <c r="QVK118" i="263" s="1"/>
  <c r="QVL6" i="263"/>
  <c r="QVL118" i="263" s="1"/>
  <c r="QVM6" i="263"/>
  <c r="QVM118" i="263" s="1"/>
  <c r="QVN6" i="263"/>
  <c r="QVN118" i="263" s="1"/>
  <c r="QVO6" i="263"/>
  <c r="QVO118" i="263" s="1"/>
  <c r="QVP6" i="263"/>
  <c r="QVP118" i="263" s="1"/>
  <c r="QVQ6" i="263"/>
  <c r="QVQ118" i="263" s="1"/>
  <c r="QVR6" i="263"/>
  <c r="QVR118" i="263" s="1"/>
  <c r="QVS6" i="263"/>
  <c r="QVS118" i="263" s="1"/>
  <c r="QVT6" i="263"/>
  <c r="QVT118" i="263" s="1"/>
  <c r="QVU6" i="263"/>
  <c r="QVU118" i="263" s="1"/>
  <c r="QVV6" i="263"/>
  <c r="QVV118" i="263" s="1"/>
  <c r="QVW6" i="263"/>
  <c r="QVW118" i="263" s="1"/>
  <c r="QVX6" i="263"/>
  <c r="QVX118" i="263" s="1"/>
  <c r="QVY6" i="263"/>
  <c r="QVY118" i="263" s="1"/>
  <c r="QVZ6" i="263"/>
  <c r="QVZ118" i="263" s="1"/>
  <c r="QWA6" i="263"/>
  <c r="QWA118" i="263" s="1"/>
  <c r="QWB6" i="263"/>
  <c r="QWB118" i="263" s="1"/>
  <c r="QWC6" i="263"/>
  <c r="QWC118" i="263" s="1"/>
  <c r="QWD6" i="263"/>
  <c r="QWD118" i="263" s="1"/>
  <c r="QWE6" i="263"/>
  <c r="QWE118" i="263" s="1"/>
  <c r="QWF6" i="263"/>
  <c r="QWF118" i="263" s="1"/>
  <c r="QWG6" i="263"/>
  <c r="QWG118" i="263" s="1"/>
  <c r="QWH6" i="263"/>
  <c r="QWH118" i="263" s="1"/>
  <c r="QWI6" i="263"/>
  <c r="QWI118" i="263" s="1"/>
  <c r="QWJ6" i="263"/>
  <c r="QWJ118" i="263" s="1"/>
  <c r="QWK6" i="263"/>
  <c r="QWK118" i="263" s="1"/>
  <c r="QWL6" i="263"/>
  <c r="QWL118" i="263" s="1"/>
  <c r="QWM6" i="263"/>
  <c r="QWM118" i="263" s="1"/>
  <c r="QWN6" i="263"/>
  <c r="QWN118" i="263" s="1"/>
  <c r="QWO6" i="263"/>
  <c r="QWO118" i="263" s="1"/>
  <c r="QWP6" i="263"/>
  <c r="QWP118" i="263" s="1"/>
  <c r="QWQ6" i="263"/>
  <c r="QWQ118" i="263" s="1"/>
  <c r="QWR6" i="263"/>
  <c r="QWR118" i="263" s="1"/>
  <c r="QWS6" i="263"/>
  <c r="QWS118" i="263" s="1"/>
  <c r="QWT6" i="263"/>
  <c r="QWT118" i="263" s="1"/>
  <c r="QWU6" i="263"/>
  <c r="QWU118" i="263" s="1"/>
  <c r="QWV6" i="263"/>
  <c r="QWV118" i="263" s="1"/>
  <c r="QWW6" i="263"/>
  <c r="QWW118" i="263" s="1"/>
  <c r="QWX6" i="263"/>
  <c r="QWX118" i="263" s="1"/>
  <c r="QWY6" i="263"/>
  <c r="QWY118" i="263" s="1"/>
  <c r="QWZ6" i="263"/>
  <c r="QWZ118" i="263" s="1"/>
  <c r="QXA6" i="263"/>
  <c r="QXA118" i="263" s="1"/>
  <c r="QXB6" i="263"/>
  <c r="QXB118" i="263" s="1"/>
  <c r="QXC6" i="263"/>
  <c r="QXC118" i="263" s="1"/>
  <c r="QXD6" i="263"/>
  <c r="QXD118" i="263" s="1"/>
  <c r="QXE6" i="263"/>
  <c r="QXE118" i="263" s="1"/>
  <c r="QXF6" i="263"/>
  <c r="QXF118" i="263" s="1"/>
  <c r="QXG6" i="263"/>
  <c r="QXG118" i="263" s="1"/>
  <c r="QXH6" i="263"/>
  <c r="QXH118" i="263" s="1"/>
  <c r="QXI6" i="263"/>
  <c r="QXI118" i="263" s="1"/>
  <c r="QXJ6" i="263"/>
  <c r="QXJ118" i="263" s="1"/>
  <c r="QXK6" i="263"/>
  <c r="QXK118" i="263" s="1"/>
  <c r="QXL6" i="263"/>
  <c r="QXL118" i="263" s="1"/>
  <c r="QXM6" i="263"/>
  <c r="QXM118" i="263" s="1"/>
  <c r="QXN6" i="263"/>
  <c r="QXN118" i="263" s="1"/>
  <c r="QXO6" i="263"/>
  <c r="QXO118" i="263" s="1"/>
  <c r="QXP6" i="263"/>
  <c r="QXP118" i="263" s="1"/>
  <c r="QXQ6" i="263"/>
  <c r="QXQ118" i="263" s="1"/>
  <c r="QXR6" i="263"/>
  <c r="QXR118" i="263" s="1"/>
  <c r="QXS6" i="263"/>
  <c r="QXS118" i="263" s="1"/>
  <c r="QXT6" i="263"/>
  <c r="QXT118" i="263" s="1"/>
  <c r="QXU6" i="263"/>
  <c r="QXU118" i="263" s="1"/>
  <c r="QXV6" i="263"/>
  <c r="QXV118" i="263" s="1"/>
  <c r="QXW6" i="263"/>
  <c r="QXW118" i="263" s="1"/>
  <c r="QXX6" i="263"/>
  <c r="QXX118" i="263" s="1"/>
  <c r="QXY6" i="263"/>
  <c r="QXY118" i="263" s="1"/>
  <c r="QXZ6" i="263"/>
  <c r="QXZ118" i="263" s="1"/>
  <c r="QYA6" i="263"/>
  <c r="QYA118" i="263" s="1"/>
  <c r="QYB6" i="263"/>
  <c r="QYB118" i="263" s="1"/>
  <c r="QYC6" i="263"/>
  <c r="QYC118" i="263" s="1"/>
  <c r="QYD6" i="263"/>
  <c r="QYD118" i="263" s="1"/>
  <c r="QYE6" i="263"/>
  <c r="QYE118" i="263" s="1"/>
  <c r="QYF6" i="263"/>
  <c r="QYF118" i="263" s="1"/>
  <c r="QYG6" i="263"/>
  <c r="QYG118" i="263" s="1"/>
  <c r="QYH6" i="263"/>
  <c r="QYH118" i="263" s="1"/>
  <c r="QYI6" i="263"/>
  <c r="QYI118" i="263" s="1"/>
  <c r="QYJ6" i="263"/>
  <c r="QYJ118" i="263" s="1"/>
  <c r="QYK6" i="263"/>
  <c r="QYK118" i="263" s="1"/>
  <c r="QYL6" i="263"/>
  <c r="QYL118" i="263" s="1"/>
  <c r="QYM6" i="263"/>
  <c r="QYM118" i="263" s="1"/>
  <c r="QYN6" i="263"/>
  <c r="QYN118" i="263" s="1"/>
  <c r="QYO6" i="263"/>
  <c r="QYO118" i="263" s="1"/>
  <c r="QYP6" i="263"/>
  <c r="QYP118" i="263" s="1"/>
  <c r="QYQ6" i="263"/>
  <c r="QYQ118" i="263" s="1"/>
  <c r="QYR6" i="263"/>
  <c r="QYR118" i="263" s="1"/>
  <c r="QYS6" i="263"/>
  <c r="QYS118" i="263" s="1"/>
  <c r="QYT6" i="263"/>
  <c r="QYT118" i="263" s="1"/>
  <c r="QYU6" i="263"/>
  <c r="QYU118" i="263" s="1"/>
  <c r="QYV6" i="263"/>
  <c r="QYV118" i="263" s="1"/>
  <c r="QYW6" i="263"/>
  <c r="QYW118" i="263" s="1"/>
  <c r="QYX6" i="263"/>
  <c r="QYX118" i="263" s="1"/>
  <c r="QYY6" i="263"/>
  <c r="QYY118" i="263" s="1"/>
  <c r="QYZ6" i="263"/>
  <c r="QYZ118" i="263" s="1"/>
  <c r="QZA6" i="263"/>
  <c r="QZA118" i="263" s="1"/>
  <c r="QZB6" i="263"/>
  <c r="QZB118" i="263" s="1"/>
  <c r="QZC6" i="263"/>
  <c r="QZC118" i="263" s="1"/>
  <c r="QZD6" i="263"/>
  <c r="QZD118" i="263" s="1"/>
  <c r="QZE6" i="263"/>
  <c r="QZE118" i="263" s="1"/>
  <c r="QZF6" i="263"/>
  <c r="QZF118" i="263" s="1"/>
  <c r="QZG6" i="263"/>
  <c r="QZG118" i="263" s="1"/>
  <c r="QZH6" i="263"/>
  <c r="QZH118" i="263" s="1"/>
  <c r="QZI6" i="263"/>
  <c r="QZI118" i="263" s="1"/>
  <c r="QZJ6" i="263"/>
  <c r="QZJ118" i="263" s="1"/>
  <c r="QZK6" i="263"/>
  <c r="QZK118" i="263" s="1"/>
  <c r="QZL6" i="263"/>
  <c r="QZL118" i="263" s="1"/>
  <c r="QZM6" i="263"/>
  <c r="QZM118" i="263" s="1"/>
  <c r="QZN6" i="263"/>
  <c r="QZN118" i="263" s="1"/>
  <c r="QZO6" i="263"/>
  <c r="QZO118" i="263" s="1"/>
  <c r="QZP6" i="263"/>
  <c r="QZP118" i="263" s="1"/>
  <c r="QZQ6" i="263"/>
  <c r="QZQ118" i="263" s="1"/>
  <c r="QZR6" i="263"/>
  <c r="QZR118" i="263" s="1"/>
  <c r="QZS6" i="263"/>
  <c r="QZS118" i="263" s="1"/>
  <c r="QZT6" i="263"/>
  <c r="QZT118" i="263" s="1"/>
  <c r="QZU6" i="263"/>
  <c r="QZU118" i="263" s="1"/>
  <c r="QZV6" i="263"/>
  <c r="QZV118" i="263" s="1"/>
  <c r="QZW6" i="263"/>
  <c r="QZW118" i="263" s="1"/>
  <c r="QZX6" i="263"/>
  <c r="QZX118" i="263" s="1"/>
  <c r="QZY6" i="263"/>
  <c r="QZY118" i="263" s="1"/>
  <c r="QZZ6" i="263"/>
  <c r="QZZ118" i="263" s="1"/>
  <c r="RAA6" i="263"/>
  <c r="RAA118" i="263" s="1"/>
  <c r="RAB6" i="263"/>
  <c r="RAB118" i="263" s="1"/>
  <c r="RAC6" i="263"/>
  <c r="RAC118" i="263" s="1"/>
  <c r="RAD6" i="263"/>
  <c r="RAD118" i="263" s="1"/>
  <c r="RAE6" i="263"/>
  <c r="RAE118" i="263" s="1"/>
  <c r="RAF6" i="263"/>
  <c r="RAF118" i="263" s="1"/>
  <c r="RAG6" i="263"/>
  <c r="RAG118" i="263" s="1"/>
  <c r="RAH6" i="263"/>
  <c r="RAH118" i="263" s="1"/>
  <c r="RAI6" i="263"/>
  <c r="RAI118" i="263" s="1"/>
  <c r="RAJ6" i="263"/>
  <c r="RAJ118" i="263" s="1"/>
  <c r="RAK6" i="263"/>
  <c r="RAK118" i="263" s="1"/>
  <c r="RAL6" i="263"/>
  <c r="RAL118" i="263" s="1"/>
  <c r="RAM6" i="263"/>
  <c r="RAM118" i="263" s="1"/>
  <c r="RAN6" i="263"/>
  <c r="RAN118" i="263" s="1"/>
  <c r="RAO6" i="263"/>
  <c r="RAO118" i="263" s="1"/>
  <c r="RAP6" i="263"/>
  <c r="RAP118" i="263" s="1"/>
  <c r="RAQ6" i="263"/>
  <c r="RAQ118" i="263" s="1"/>
  <c r="RAR6" i="263"/>
  <c r="RAR118" i="263" s="1"/>
  <c r="RAS6" i="263"/>
  <c r="RAS118" i="263" s="1"/>
  <c r="RAT6" i="263"/>
  <c r="RAT118" i="263" s="1"/>
  <c r="RAU6" i="263"/>
  <c r="RAU118" i="263" s="1"/>
  <c r="RAV6" i="263"/>
  <c r="RAV118" i="263" s="1"/>
  <c r="RAW6" i="263"/>
  <c r="RAW118" i="263" s="1"/>
  <c r="RAX6" i="263"/>
  <c r="RAX118" i="263" s="1"/>
  <c r="RAY6" i="263"/>
  <c r="RAY118" i="263" s="1"/>
  <c r="RAZ6" i="263"/>
  <c r="RAZ118" i="263" s="1"/>
  <c r="RBA6" i="263"/>
  <c r="RBA118" i="263" s="1"/>
  <c r="RBB6" i="263"/>
  <c r="RBB118" i="263" s="1"/>
  <c r="RBC6" i="263"/>
  <c r="RBC118" i="263" s="1"/>
  <c r="RBD6" i="263"/>
  <c r="RBD118" i="263" s="1"/>
  <c r="RBE6" i="263"/>
  <c r="RBE118" i="263" s="1"/>
  <c r="RBF6" i="263"/>
  <c r="RBF118" i="263" s="1"/>
  <c r="RBG6" i="263"/>
  <c r="RBG118" i="263" s="1"/>
  <c r="RBH6" i="263"/>
  <c r="RBH118" i="263" s="1"/>
  <c r="RBI6" i="263"/>
  <c r="RBI118" i="263" s="1"/>
  <c r="RBJ6" i="263"/>
  <c r="RBJ118" i="263" s="1"/>
  <c r="RBK6" i="263"/>
  <c r="RBK118" i="263" s="1"/>
  <c r="RBL6" i="263"/>
  <c r="RBL118" i="263" s="1"/>
  <c r="RBM6" i="263"/>
  <c r="RBM118" i="263" s="1"/>
  <c r="RBN6" i="263"/>
  <c r="RBN118" i="263" s="1"/>
  <c r="RBO6" i="263"/>
  <c r="RBO118" i="263" s="1"/>
  <c r="RBP6" i="263"/>
  <c r="RBP118" i="263" s="1"/>
  <c r="RBQ6" i="263"/>
  <c r="RBQ118" i="263" s="1"/>
  <c r="RBR6" i="263"/>
  <c r="RBR118" i="263" s="1"/>
  <c r="RBS6" i="263"/>
  <c r="RBS118" i="263" s="1"/>
  <c r="RBT6" i="263"/>
  <c r="RBT118" i="263" s="1"/>
  <c r="RBU6" i="263"/>
  <c r="RBU118" i="263" s="1"/>
  <c r="RBV6" i="263"/>
  <c r="RBV118" i="263" s="1"/>
  <c r="RBW6" i="263"/>
  <c r="RBW118" i="263" s="1"/>
  <c r="RBX6" i="263"/>
  <c r="RBX118" i="263" s="1"/>
  <c r="RBY6" i="263"/>
  <c r="RBY118" i="263" s="1"/>
  <c r="RBZ6" i="263"/>
  <c r="RBZ118" i="263" s="1"/>
  <c r="RCA6" i="263"/>
  <c r="RCA118" i="263" s="1"/>
  <c r="RCB6" i="263"/>
  <c r="RCB118" i="263" s="1"/>
  <c r="RCC6" i="263"/>
  <c r="RCC118" i="263" s="1"/>
  <c r="RCD6" i="263"/>
  <c r="RCD118" i="263" s="1"/>
  <c r="RCE6" i="263"/>
  <c r="RCE118" i="263" s="1"/>
  <c r="RCF6" i="263"/>
  <c r="RCF118" i="263" s="1"/>
  <c r="RCG6" i="263"/>
  <c r="RCG118" i="263" s="1"/>
  <c r="RCH6" i="263"/>
  <c r="RCH118" i="263" s="1"/>
  <c r="RCI6" i="263"/>
  <c r="RCI118" i="263" s="1"/>
  <c r="RCJ6" i="263"/>
  <c r="RCJ118" i="263" s="1"/>
  <c r="RCK6" i="263"/>
  <c r="RCK118" i="263" s="1"/>
  <c r="RCL6" i="263"/>
  <c r="RCL118" i="263" s="1"/>
  <c r="RCM6" i="263"/>
  <c r="RCM118" i="263" s="1"/>
  <c r="RCN6" i="263"/>
  <c r="RCN118" i="263" s="1"/>
  <c r="RCO6" i="263"/>
  <c r="RCO118" i="263" s="1"/>
  <c r="RCP6" i="263"/>
  <c r="RCP118" i="263" s="1"/>
  <c r="RCQ6" i="263"/>
  <c r="RCQ118" i="263" s="1"/>
  <c r="RCR6" i="263"/>
  <c r="RCR118" i="263" s="1"/>
  <c r="RCS6" i="263"/>
  <c r="RCS118" i="263" s="1"/>
  <c r="RCT6" i="263"/>
  <c r="RCT118" i="263" s="1"/>
  <c r="RCU6" i="263"/>
  <c r="RCU118" i="263" s="1"/>
  <c r="RCV6" i="263"/>
  <c r="RCV118" i="263" s="1"/>
  <c r="RCW6" i="263"/>
  <c r="RCW118" i="263" s="1"/>
  <c r="RCX6" i="263"/>
  <c r="RCX118" i="263" s="1"/>
  <c r="RCY6" i="263"/>
  <c r="RCY118" i="263" s="1"/>
  <c r="RCZ6" i="263"/>
  <c r="RCZ118" i="263" s="1"/>
  <c r="RDA6" i="263"/>
  <c r="RDA118" i="263" s="1"/>
  <c r="RDB6" i="263"/>
  <c r="RDB118" i="263" s="1"/>
  <c r="RDC6" i="263"/>
  <c r="RDC118" i="263" s="1"/>
  <c r="RDD6" i="263"/>
  <c r="RDD118" i="263" s="1"/>
  <c r="RDE6" i="263"/>
  <c r="RDE118" i="263" s="1"/>
  <c r="RDF6" i="263"/>
  <c r="RDF118" i="263" s="1"/>
  <c r="RDG6" i="263"/>
  <c r="RDG118" i="263" s="1"/>
  <c r="RDH6" i="263"/>
  <c r="RDH118" i="263" s="1"/>
  <c r="RDI6" i="263"/>
  <c r="RDI118" i="263" s="1"/>
  <c r="RDJ6" i="263"/>
  <c r="RDJ118" i="263" s="1"/>
  <c r="RDK6" i="263"/>
  <c r="RDK118" i="263" s="1"/>
  <c r="RDL6" i="263"/>
  <c r="RDL118" i="263" s="1"/>
  <c r="RDM6" i="263"/>
  <c r="RDM118" i="263" s="1"/>
  <c r="RDN6" i="263"/>
  <c r="RDN118" i="263" s="1"/>
  <c r="RDO6" i="263"/>
  <c r="RDO118" i="263" s="1"/>
  <c r="RDP6" i="263"/>
  <c r="RDP118" i="263" s="1"/>
  <c r="RDQ6" i="263"/>
  <c r="RDQ118" i="263" s="1"/>
  <c r="RDR6" i="263"/>
  <c r="RDR118" i="263" s="1"/>
  <c r="RDS6" i="263"/>
  <c r="RDS118" i="263" s="1"/>
  <c r="RDT6" i="263"/>
  <c r="RDT118" i="263" s="1"/>
  <c r="RDU6" i="263"/>
  <c r="RDU118" i="263" s="1"/>
  <c r="RDV6" i="263"/>
  <c r="RDV118" i="263" s="1"/>
  <c r="RDW6" i="263"/>
  <c r="RDW118" i="263" s="1"/>
  <c r="RDX6" i="263"/>
  <c r="RDX118" i="263" s="1"/>
  <c r="RDY6" i="263"/>
  <c r="RDY118" i="263" s="1"/>
  <c r="RDZ6" i="263"/>
  <c r="RDZ118" i="263" s="1"/>
  <c r="REA6" i="263"/>
  <c r="REA118" i="263" s="1"/>
  <c r="REB6" i="263"/>
  <c r="REB118" i="263" s="1"/>
  <c r="REC6" i="263"/>
  <c r="REC118" i="263" s="1"/>
  <c r="RED6" i="263"/>
  <c r="RED118" i="263" s="1"/>
  <c r="REE6" i="263"/>
  <c r="REE118" i="263" s="1"/>
  <c r="REF6" i="263"/>
  <c r="REF118" i="263" s="1"/>
  <c r="REG6" i="263"/>
  <c r="REG118" i="263" s="1"/>
  <c r="REH6" i="263"/>
  <c r="REH118" i="263" s="1"/>
  <c r="REI6" i="263"/>
  <c r="REI118" i="263" s="1"/>
  <c r="REJ6" i="263"/>
  <c r="REJ118" i="263" s="1"/>
  <c r="REK6" i="263"/>
  <c r="REK118" i="263" s="1"/>
  <c r="REL6" i="263"/>
  <c r="REL118" i="263" s="1"/>
  <c r="REM6" i="263"/>
  <c r="REM118" i="263" s="1"/>
  <c r="REN6" i="263"/>
  <c r="REN118" i="263" s="1"/>
  <c r="REO6" i="263"/>
  <c r="REO118" i="263" s="1"/>
  <c r="REP6" i="263"/>
  <c r="REP118" i="263" s="1"/>
  <c r="REQ6" i="263"/>
  <c r="REQ118" i="263" s="1"/>
  <c r="RER6" i="263"/>
  <c r="RER118" i="263" s="1"/>
  <c r="RES6" i="263"/>
  <c r="RES118" i="263" s="1"/>
  <c r="RET6" i="263"/>
  <c r="RET118" i="263" s="1"/>
  <c r="REU6" i="263"/>
  <c r="REU118" i="263" s="1"/>
  <c r="REV6" i="263"/>
  <c r="REV118" i="263" s="1"/>
  <c r="REW6" i="263"/>
  <c r="REW118" i="263" s="1"/>
  <c r="REX6" i="263"/>
  <c r="REX118" i="263" s="1"/>
  <c r="REY6" i="263"/>
  <c r="REY118" i="263" s="1"/>
  <c r="REZ6" i="263"/>
  <c r="REZ118" i="263" s="1"/>
  <c r="RFA6" i="263"/>
  <c r="RFA118" i="263" s="1"/>
  <c r="RFB6" i="263"/>
  <c r="RFB118" i="263" s="1"/>
  <c r="RFC6" i="263"/>
  <c r="RFC118" i="263" s="1"/>
  <c r="RFD6" i="263"/>
  <c r="RFD118" i="263" s="1"/>
  <c r="RFE6" i="263"/>
  <c r="RFE118" i="263" s="1"/>
  <c r="RFF6" i="263"/>
  <c r="RFF118" i="263" s="1"/>
  <c r="RFG6" i="263"/>
  <c r="RFG118" i="263" s="1"/>
  <c r="RFH6" i="263"/>
  <c r="RFH118" i="263" s="1"/>
  <c r="RFI6" i="263"/>
  <c r="RFI118" i="263" s="1"/>
  <c r="RFJ6" i="263"/>
  <c r="RFJ118" i="263" s="1"/>
  <c r="RFK6" i="263"/>
  <c r="RFK118" i="263" s="1"/>
  <c r="RFL6" i="263"/>
  <c r="RFL118" i="263" s="1"/>
  <c r="RFM6" i="263"/>
  <c r="RFM118" i="263" s="1"/>
  <c r="RFN6" i="263"/>
  <c r="RFN118" i="263" s="1"/>
  <c r="RFO6" i="263"/>
  <c r="RFO118" i="263" s="1"/>
  <c r="RFP6" i="263"/>
  <c r="RFP118" i="263" s="1"/>
  <c r="RFQ6" i="263"/>
  <c r="RFQ118" i="263" s="1"/>
  <c r="RFR6" i="263"/>
  <c r="RFR118" i="263" s="1"/>
  <c r="RFS6" i="263"/>
  <c r="RFS118" i="263" s="1"/>
  <c r="RFT6" i="263"/>
  <c r="RFT118" i="263" s="1"/>
  <c r="RFU6" i="263"/>
  <c r="RFU118" i="263" s="1"/>
  <c r="RFV6" i="263"/>
  <c r="RFV118" i="263" s="1"/>
  <c r="RFW6" i="263"/>
  <c r="RFW118" i="263" s="1"/>
  <c r="RFX6" i="263"/>
  <c r="RFX118" i="263" s="1"/>
  <c r="RFY6" i="263"/>
  <c r="RFY118" i="263" s="1"/>
  <c r="RFZ6" i="263"/>
  <c r="RFZ118" i="263" s="1"/>
  <c r="RGA6" i="263"/>
  <c r="RGA118" i="263" s="1"/>
  <c r="RGB6" i="263"/>
  <c r="RGB118" i="263" s="1"/>
  <c r="RGC6" i="263"/>
  <c r="RGC118" i="263" s="1"/>
  <c r="RGD6" i="263"/>
  <c r="RGD118" i="263" s="1"/>
  <c r="RGE6" i="263"/>
  <c r="RGE118" i="263" s="1"/>
  <c r="RGF6" i="263"/>
  <c r="RGF118" i="263" s="1"/>
  <c r="RGG6" i="263"/>
  <c r="RGG118" i="263" s="1"/>
  <c r="RGH6" i="263"/>
  <c r="RGH118" i="263" s="1"/>
  <c r="RGI6" i="263"/>
  <c r="RGI118" i="263" s="1"/>
  <c r="RGJ6" i="263"/>
  <c r="RGJ118" i="263" s="1"/>
  <c r="RGK6" i="263"/>
  <c r="RGK118" i="263" s="1"/>
  <c r="RGL6" i="263"/>
  <c r="RGL118" i="263" s="1"/>
  <c r="RGM6" i="263"/>
  <c r="RGM118" i="263" s="1"/>
  <c r="RGN6" i="263"/>
  <c r="RGN118" i="263" s="1"/>
  <c r="RGO6" i="263"/>
  <c r="RGO118" i="263" s="1"/>
  <c r="RGP6" i="263"/>
  <c r="RGP118" i="263" s="1"/>
  <c r="RGQ6" i="263"/>
  <c r="RGQ118" i="263" s="1"/>
  <c r="RGR6" i="263"/>
  <c r="RGR118" i="263" s="1"/>
  <c r="RGS6" i="263"/>
  <c r="RGS118" i="263" s="1"/>
  <c r="RGT6" i="263"/>
  <c r="RGT118" i="263" s="1"/>
  <c r="RGU6" i="263"/>
  <c r="RGU118" i="263" s="1"/>
  <c r="RGV6" i="263"/>
  <c r="RGV118" i="263" s="1"/>
  <c r="RGW6" i="263"/>
  <c r="RGW118" i="263" s="1"/>
  <c r="RGX6" i="263"/>
  <c r="RGX118" i="263" s="1"/>
  <c r="RGY6" i="263"/>
  <c r="RGY118" i="263" s="1"/>
  <c r="RGZ6" i="263"/>
  <c r="RGZ118" i="263" s="1"/>
  <c r="RHA6" i="263"/>
  <c r="RHA118" i="263" s="1"/>
  <c r="RHB6" i="263"/>
  <c r="RHB118" i="263" s="1"/>
  <c r="RHC6" i="263"/>
  <c r="RHC118" i="263" s="1"/>
  <c r="RHD6" i="263"/>
  <c r="RHD118" i="263" s="1"/>
  <c r="RHE6" i="263"/>
  <c r="RHE118" i="263" s="1"/>
  <c r="RHF6" i="263"/>
  <c r="RHF118" i="263" s="1"/>
  <c r="RHG6" i="263"/>
  <c r="RHG118" i="263" s="1"/>
  <c r="RHH6" i="263"/>
  <c r="RHH118" i="263" s="1"/>
  <c r="RHI6" i="263"/>
  <c r="RHI118" i="263" s="1"/>
  <c r="RHJ6" i="263"/>
  <c r="RHJ118" i="263" s="1"/>
  <c r="RHK6" i="263"/>
  <c r="RHK118" i="263" s="1"/>
  <c r="RHL6" i="263"/>
  <c r="RHL118" i="263" s="1"/>
  <c r="RHM6" i="263"/>
  <c r="RHM118" i="263" s="1"/>
  <c r="RHN6" i="263"/>
  <c r="RHN118" i="263" s="1"/>
  <c r="RHO6" i="263"/>
  <c r="RHO118" i="263" s="1"/>
  <c r="RHP6" i="263"/>
  <c r="RHP118" i="263" s="1"/>
  <c r="RHQ6" i="263"/>
  <c r="RHQ118" i="263" s="1"/>
  <c r="RHR6" i="263"/>
  <c r="RHR118" i="263" s="1"/>
  <c r="RHS6" i="263"/>
  <c r="RHS118" i="263" s="1"/>
  <c r="RHT6" i="263"/>
  <c r="RHT118" i="263" s="1"/>
  <c r="RHU6" i="263"/>
  <c r="RHU118" i="263" s="1"/>
  <c r="RHV6" i="263"/>
  <c r="RHV118" i="263" s="1"/>
  <c r="RHW6" i="263"/>
  <c r="RHW118" i="263" s="1"/>
  <c r="RHX6" i="263"/>
  <c r="RHX118" i="263" s="1"/>
  <c r="RHY6" i="263"/>
  <c r="RHY118" i="263" s="1"/>
  <c r="RHZ6" i="263"/>
  <c r="RHZ118" i="263" s="1"/>
  <c r="RIA6" i="263"/>
  <c r="RIA118" i="263" s="1"/>
  <c r="RIB6" i="263"/>
  <c r="RIB118" i="263" s="1"/>
  <c r="RIC6" i="263"/>
  <c r="RIC118" i="263" s="1"/>
  <c r="RID6" i="263"/>
  <c r="RID118" i="263" s="1"/>
  <c r="RIE6" i="263"/>
  <c r="RIE118" i="263" s="1"/>
  <c r="RIF6" i="263"/>
  <c r="RIF118" i="263" s="1"/>
  <c r="RIG6" i="263"/>
  <c r="RIG118" i="263" s="1"/>
  <c r="RIH6" i="263"/>
  <c r="RIH118" i="263" s="1"/>
  <c r="RII6" i="263"/>
  <c r="RII118" i="263" s="1"/>
  <c r="RIJ6" i="263"/>
  <c r="RIJ118" i="263" s="1"/>
  <c r="RIK6" i="263"/>
  <c r="RIK118" i="263" s="1"/>
  <c r="RIL6" i="263"/>
  <c r="RIL118" i="263" s="1"/>
  <c r="RIM6" i="263"/>
  <c r="RIM118" i="263" s="1"/>
  <c r="RIN6" i="263"/>
  <c r="RIN118" i="263" s="1"/>
  <c r="RIO6" i="263"/>
  <c r="RIO118" i="263" s="1"/>
  <c r="RIP6" i="263"/>
  <c r="RIP118" i="263" s="1"/>
  <c r="RIQ6" i="263"/>
  <c r="RIQ118" i="263" s="1"/>
  <c r="RIR6" i="263"/>
  <c r="RIR118" i="263" s="1"/>
  <c r="RIS6" i="263"/>
  <c r="RIS118" i="263" s="1"/>
  <c r="RIT6" i="263"/>
  <c r="RIT118" i="263" s="1"/>
  <c r="RIU6" i="263"/>
  <c r="RIU118" i="263" s="1"/>
  <c r="RIV6" i="263"/>
  <c r="RIV118" i="263" s="1"/>
  <c r="RIW6" i="263"/>
  <c r="RIW118" i="263" s="1"/>
  <c r="RIX6" i="263"/>
  <c r="RIX118" i="263" s="1"/>
  <c r="RIY6" i="263"/>
  <c r="RIY118" i="263" s="1"/>
  <c r="RIZ6" i="263"/>
  <c r="RIZ118" i="263" s="1"/>
  <c r="RJA6" i="263"/>
  <c r="RJA118" i="263" s="1"/>
  <c r="RJB6" i="263"/>
  <c r="RJB118" i="263" s="1"/>
  <c r="RJC6" i="263"/>
  <c r="RJC118" i="263" s="1"/>
  <c r="RJD6" i="263"/>
  <c r="RJD118" i="263" s="1"/>
  <c r="RJE6" i="263"/>
  <c r="RJE118" i="263" s="1"/>
  <c r="RJF6" i="263"/>
  <c r="RJF118" i="263" s="1"/>
  <c r="RJG6" i="263"/>
  <c r="RJG118" i="263" s="1"/>
  <c r="RJH6" i="263"/>
  <c r="RJH118" i="263" s="1"/>
  <c r="RJI6" i="263"/>
  <c r="RJI118" i="263" s="1"/>
  <c r="RJJ6" i="263"/>
  <c r="RJJ118" i="263" s="1"/>
  <c r="RJK6" i="263"/>
  <c r="RJK118" i="263" s="1"/>
  <c r="RJL6" i="263"/>
  <c r="RJL118" i="263" s="1"/>
  <c r="RJM6" i="263"/>
  <c r="RJM118" i="263" s="1"/>
  <c r="RJN6" i="263"/>
  <c r="RJN118" i="263" s="1"/>
  <c r="RJO6" i="263"/>
  <c r="RJO118" i="263" s="1"/>
  <c r="RJP6" i="263"/>
  <c r="RJP118" i="263" s="1"/>
  <c r="RJQ6" i="263"/>
  <c r="RJQ118" i="263" s="1"/>
  <c r="RJR6" i="263"/>
  <c r="RJR118" i="263" s="1"/>
  <c r="RJS6" i="263"/>
  <c r="RJS118" i="263" s="1"/>
  <c r="RJT6" i="263"/>
  <c r="RJT118" i="263" s="1"/>
  <c r="RJU6" i="263"/>
  <c r="RJU118" i="263" s="1"/>
  <c r="RJV6" i="263"/>
  <c r="RJV118" i="263" s="1"/>
  <c r="RJW6" i="263"/>
  <c r="RJW118" i="263" s="1"/>
  <c r="RJX6" i="263"/>
  <c r="RJX118" i="263" s="1"/>
  <c r="RJY6" i="263"/>
  <c r="RJY118" i="263" s="1"/>
  <c r="RJZ6" i="263"/>
  <c r="RJZ118" i="263" s="1"/>
  <c r="RKA6" i="263"/>
  <c r="RKA118" i="263" s="1"/>
  <c r="RKB6" i="263"/>
  <c r="RKB118" i="263" s="1"/>
  <c r="RKC6" i="263"/>
  <c r="RKC118" i="263" s="1"/>
  <c r="RKD6" i="263"/>
  <c r="RKD118" i="263" s="1"/>
  <c r="RKE6" i="263"/>
  <c r="RKE118" i="263" s="1"/>
  <c r="RKF6" i="263"/>
  <c r="RKF118" i="263" s="1"/>
  <c r="RKG6" i="263"/>
  <c r="RKG118" i="263" s="1"/>
  <c r="RKH6" i="263"/>
  <c r="RKH118" i="263" s="1"/>
  <c r="RKI6" i="263"/>
  <c r="RKI118" i="263" s="1"/>
  <c r="RKJ6" i="263"/>
  <c r="RKJ118" i="263" s="1"/>
  <c r="RKK6" i="263"/>
  <c r="RKK118" i="263" s="1"/>
  <c r="RKL6" i="263"/>
  <c r="RKL118" i="263" s="1"/>
  <c r="RKM6" i="263"/>
  <c r="RKM118" i="263" s="1"/>
  <c r="RKN6" i="263"/>
  <c r="RKN118" i="263" s="1"/>
  <c r="RKO6" i="263"/>
  <c r="RKO118" i="263" s="1"/>
  <c r="RKP6" i="263"/>
  <c r="RKP118" i="263" s="1"/>
  <c r="RKQ6" i="263"/>
  <c r="RKQ118" i="263" s="1"/>
  <c r="RKR6" i="263"/>
  <c r="RKR118" i="263" s="1"/>
  <c r="RKS6" i="263"/>
  <c r="RKS118" i="263" s="1"/>
  <c r="RKT6" i="263"/>
  <c r="RKT118" i="263" s="1"/>
  <c r="RKU6" i="263"/>
  <c r="RKU118" i="263" s="1"/>
  <c r="RKV6" i="263"/>
  <c r="RKV118" i="263" s="1"/>
  <c r="RKW6" i="263"/>
  <c r="RKW118" i="263" s="1"/>
  <c r="RKX6" i="263"/>
  <c r="RKX118" i="263" s="1"/>
  <c r="RKY6" i="263"/>
  <c r="RKY118" i="263" s="1"/>
  <c r="RKZ6" i="263"/>
  <c r="RKZ118" i="263" s="1"/>
  <c r="RLA6" i="263"/>
  <c r="RLA118" i="263" s="1"/>
  <c r="RLB6" i="263"/>
  <c r="RLB118" i="263" s="1"/>
  <c r="RLC6" i="263"/>
  <c r="RLC118" i="263" s="1"/>
  <c r="RLD6" i="263"/>
  <c r="RLD118" i="263" s="1"/>
  <c r="RLE6" i="263"/>
  <c r="RLE118" i="263" s="1"/>
  <c r="RLF6" i="263"/>
  <c r="RLF118" i="263" s="1"/>
  <c r="RLG6" i="263"/>
  <c r="RLG118" i="263" s="1"/>
  <c r="RLH6" i="263"/>
  <c r="RLH118" i="263" s="1"/>
  <c r="RLI6" i="263"/>
  <c r="RLI118" i="263" s="1"/>
  <c r="RLJ6" i="263"/>
  <c r="RLJ118" i="263" s="1"/>
  <c r="RLK6" i="263"/>
  <c r="RLK118" i="263" s="1"/>
  <c r="RLL6" i="263"/>
  <c r="RLL118" i="263" s="1"/>
  <c r="RLM6" i="263"/>
  <c r="RLM118" i="263" s="1"/>
  <c r="RLN6" i="263"/>
  <c r="RLN118" i="263" s="1"/>
  <c r="RLO6" i="263"/>
  <c r="RLO118" i="263" s="1"/>
  <c r="RLP6" i="263"/>
  <c r="RLP118" i="263" s="1"/>
  <c r="RLQ6" i="263"/>
  <c r="RLQ118" i="263" s="1"/>
  <c r="RLR6" i="263"/>
  <c r="RLR118" i="263" s="1"/>
  <c r="RLS6" i="263"/>
  <c r="RLS118" i="263" s="1"/>
  <c r="RLT6" i="263"/>
  <c r="RLT118" i="263" s="1"/>
  <c r="RLU6" i="263"/>
  <c r="RLU118" i="263" s="1"/>
  <c r="RLV6" i="263"/>
  <c r="RLV118" i="263" s="1"/>
  <c r="RLW6" i="263"/>
  <c r="RLW118" i="263" s="1"/>
  <c r="RLX6" i="263"/>
  <c r="RLX118" i="263" s="1"/>
  <c r="RLY6" i="263"/>
  <c r="RLY118" i="263" s="1"/>
  <c r="RLZ6" i="263"/>
  <c r="RLZ118" i="263" s="1"/>
  <c r="RMA6" i="263"/>
  <c r="RMA118" i="263" s="1"/>
  <c r="RMB6" i="263"/>
  <c r="RMB118" i="263" s="1"/>
  <c r="RMC6" i="263"/>
  <c r="RMC118" i="263" s="1"/>
  <c r="RMD6" i="263"/>
  <c r="RMD118" i="263" s="1"/>
  <c r="RME6" i="263"/>
  <c r="RME118" i="263" s="1"/>
  <c r="RMF6" i="263"/>
  <c r="RMF118" i="263" s="1"/>
  <c r="RMG6" i="263"/>
  <c r="RMG118" i="263" s="1"/>
  <c r="RMH6" i="263"/>
  <c r="RMH118" i="263" s="1"/>
  <c r="RMI6" i="263"/>
  <c r="RMI118" i="263" s="1"/>
  <c r="RMJ6" i="263"/>
  <c r="RMJ118" i="263" s="1"/>
  <c r="RMK6" i="263"/>
  <c r="RMK118" i="263" s="1"/>
  <c r="RML6" i="263"/>
  <c r="RML118" i="263" s="1"/>
  <c r="RMM6" i="263"/>
  <c r="RMM118" i="263" s="1"/>
  <c r="RMN6" i="263"/>
  <c r="RMN118" i="263" s="1"/>
  <c r="RMO6" i="263"/>
  <c r="RMO118" i="263" s="1"/>
  <c r="RMP6" i="263"/>
  <c r="RMP118" i="263" s="1"/>
  <c r="RMQ6" i="263"/>
  <c r="RMQ118" i="263" s="1"/>
  <c r="RMR6" i="263"/>
  <c r="RMR118" i="263" s="1"/>
  <c r="RMS6" i="263"/>
  <c r="RMS118" i="263" s="1"/>
  <c r="RMT6" i="263"/>
  <c r="RMT118" i="263" s="1"/>
  <c r="RMU6" i="263"/>
  <c r="RMU118" i="263" s="1"/>
  <c r="RMV6" i="263"/>
  <c r="RMV118" i="263" s="1"/>
  <c r="RMW6" i="263"/>
  <c r="RMW118" i="263" s="1"/>
  <c r="RMX6" i="263"/>
  <c r="RMX118" i="263" s="1"/>
  <c r="RMY6" i="263"/>
  <c r="RMY118" i="263" s="1"/>
  <c r="RMZ6" i="263"/>
  <c r="RMZ118" i="263" s="1"/>
  <c r="RNA6" i="263"/>
  <c r="RNA118" i="263" s="1"/>
  <c r="RNB6" i="263"/>
  <c r="RNB118" i="263" s="1"/>
  <c r="RNC6" i="263"/>
  <c r="RNC118" i="263" s="1"/>
  <c r="RND6" i="263"/>
  <c r="RND118" i="263" s="1"/>
  <c r="RNE6" i="263"/>
  <c r="RNE118" i="263" s="1"/>
  <c r="RNF6" i="263"/>
  <c r="RNF118" i="263" s="1"/>
  <c r="RNG6" i="263"/>
  <c r="RNG118" i="263" s="1"/>
  <c r="RNH6" i="263"/>
  <c r="RNH118" i="263" s="1"/>
  <c r="RNI6" i="263"/>
  <c r="RNI118" i="263" s="1"/>
  <c r="RNJ6" i="263"/>
  <c r="RNJ118" i="263" s="1"/>
  <c r="RNK6" i="263"/>
  <c r="RNK118" i="263" s="1"/>
  <c r="RNL6" i="263"/>
  <c r="RNL118" i="263" s="1"/>
  <c r="RNM6" i="263"/>
  <c r="RNM118" i="263" s="1"/>
  <c r="RNN6" i="263"/>
  <c r="RNN118" i="263" s="1"/>
  <c r="RNO6" i="263"/>
  <c r="RNO118" i="263" s="1"/>
  <c r="RNP6" i="263"/>
  <c r="RNP118" i="263" s="1"/>
  <c r="RNQ6" i="263"/>
  <c r="RNQ118" i="263" s="1"/>
  <c r="RNR6" i="263"/>
  <c r="RNR118" i="263" s="1"/>
  <c r="RNS6" i="263"/>
  <c r="RNS118" i="263" s="1"/>
  <c r="RNT6" i="263"/>
  <c r="RNT118" i="263" s="1"/>
  <c r="RNU6" i="263"/>
  <c r="RNU118" i="263" s="1"/>
  <c r="RNV6" i="263"/>
  <c r="RNV118" i="263" s="1"/>
  <c r="RNW6" i="263"/>
  <c r="RNW118" i="263" s="1"/>
  <c r="RNX6" i="263"/>
  <c r="RNX118" i="263" s="1"/>
  <c r="RNY6" i="263"/>
  <c r="RNY118" i="263" s="1"/>
  <c r="RNZ6" i="263"/>
  <c r="RNZ118" i="263" s="1"/>
  <c r="ROA6" i="263"/>
  <c r="ROA118" i="263" s="1"/>
  <c r="ROB6" i="263"/>
  <c r="ROB118" i="263" s="1"/>
  <c r="ROC6" i="263"/>
  <c r="ROC118" i="263" s="1"/>
  <c r="ROD6" i="263"/>
  <c r="ROD118" i="263" s="1"/>
  <c r="ROE6" i="263"/>
  <c r="ROE118" i="263" s="1"/>
  <c r="ROF6" i="263"/>
  <c r="ROF118" i="263" s="1"/>
  <c r="ROG6" i="263"/>
  <c r="ROG118" i="263" s="1"/>
  <c r="ROH6" i="263"/>
  <c r="ROH118" i="263" s="1"/>
  <c r="ROI6" i="263"/>
  <c r="ROI118" i="263" s="1"/>
  <c r="ROJ6" i="263"/>
  <c r="ROJ118" i="263" s="1"/>
  <c r="ROK6" i="263"/>
  <c r="ROK118" i="263" s="1"/>
  <c r="ROL6" i="263"/>
  <c r="ROL118" i="263" s="1"/>
  <c r="ROM6" i="263"/>
  <c r="ROM118" i="263" s="1"/>
  <c r="RON6" i="263"/>
  <c r="RON118" i="263" s="1"/>
  <c r="ROO6" i="263"/>
  <c r="ROO118" i="263" s="1"/>
  <c r="ROP6" i="263"/>
  <c r="ROP118" i="263" s="1"/>
  <c r="ROQ6" i="263"/>
  <c r="ROQ118" i="263" s="1"/>
  <c r="ROR6" i="263"/>
  <c r="ROR118" i="263" s="1"/>
  <c r="ROS6" i="263"/>
  <c r="ROS118" i="263" s="1"/>
  <c r="ROT6" i="263"/>
  <c r="ROT118" i="263" s="1"/>
  <c r="ROU6" i="263"/>
  <c r="ROU118" i="263" s="1"/>
  <c r="ROV6" i="263"/>
  <c r="ROV118" i="263" s="1"/>
  <c r="ROW6" i="263"/>
  <c r="ROW118" i="263" s="1"/>
  <c r="ROX6" i="263"/>
  <c r="ROX118" i="263" s="1"/>
  <c r="ROY6" i="263"/>
  <c r="ROY118" i="263" s="1"/>
  <c r="ROZ6" i="263"/>
  <c r="ROZ118" i="263" s="1"/>
  <c r="RPA6" i="263"/>
  <c r="RPA118" i="263" s="1"/>
  <c r="RPB6" i="263"/>
  <c r="RPB118" i="263" s="1"/>
  <c r="RPC6" i="263"/>
  <c r="RPC118" i="263" s="1"/>
  <c r="RPD6" i="263"/>
  <c r="RPD118" i="263" s="1"/>
  <c r="RPE6" i="263"/>
  <c r="RPE118" i="263" s="1"/>
  <c r="RPF6" i="263"/>
  <c r="RPF118" i="263" s="1"/>
  <c r="RPG6" i="263"/>
  <c r="RPG118" i="263" s="1"/>
  <c r="RPH6" i="263"/>
  <c r="RPH118" i="263" s="1"/>
  <c r="RPI6" i="263"/>
  <c r="RPI118" i="263" s="1"/>
  <c r="RPJ6" i="263"/>
  <c r="RPJ118" i="263" s="1"/>
  <c r="RPK6" i="263"/>
  <c r="RPK118" i="263" s="1"/>
  <c r="RPL6" i="263"/>
  <c r="RPL118" i="263" s="1"/>
  <c r="RPM6" i="263"/>
  <c r="RPM118" i="263" s="1"/>
  <c r="RPN6" i="263"/>
  <c r="RPN118" i="263" s="1"/>
  <c r="RPO6" i="263"/>
  <c r="RPO118" i="263" s="1"/>
  <c r="RPP6" i="263"/>
  <c r="RPP118" i="263" s="1"/>
  <c r="RPQ6" i="263"/>
  <c r="RPQ118" i="263" s="1"/>
  <c r="RPR6" i="263"/>
  <c r="RPR118" i="263" s="1"/>
  <c r="RPS6" i="263"/>
  <c r="RPS118" i="263" s="1"/>
  <c r="RPT6" i="263"/>
  <c r="RPT118" i="263" s="1"/>
  <c r="RPU6" i="263"/>
  <c r="RPU118" i="263" s="1"/>
  <c r="RPV6" i="263"/>
  <c r="RPV118" i="263" s="1"/>
  <c r="RPW6" i="263"/>
  <c r="RPW118" i="263" s="1"/>
  <c r="RPX6" i="263"/>
  <c r="RPX118" i="263" s="1"/>
  <c r="RPY6" i="263"/>
  <c r="RPY118" i="263" s="1"/>
  <c r="RPZ6" i="263"/>
  <c r="RPZ118" i="263" s="1"/>
  <c r="RQA6" i="263"/>
  <c r="RQA118" i="263" s="1"/>
  <c r="RQB6" i="263"/>
  <c r="RQB118" i="263" s="1"/>
  <c r="RQC6" i="263"/>
  <c r="RQC118" i="263" s="1"/>
  <c r="RQD6" i="263"/>
  <c r="RQD118" i="263" s="1"/>
  <c r="RQE6" i="263"/>
  <c r="RQE118" i="263" s="1"/>
  <c r="RQF6" i="263"/>
  <c r="RQF118" i="263" s="1"/>
  <c r="RQG6" i="263"/>
  <c r="RQG118" i="263" s="1"/>
  <c r="RQH6" i="263"/>
  <c r="RQH118" i="263" s="1"/>
  <c r="RQI6" i="263"/>
  <c r="RQI118" i="263" s="1"/>
  <c r="RQJ6" i="263"/>
  <c r="RQJ118" i="263" s="1"/>
  <c r="RQK6" i="263"/>
  <c r="RQK118" i="263" s="1"/>
  <c r="RQL6" i="263"/>
  <c r="RQL118" i="263" s="1"/>
  <c r="RQM6" i="263"/>
  <c r="RQM118" i="263" s="1"/>
  <c r="RQN6" i="263"/>
  <c r="RQN118" i="263" s="1"/>
  <c r="RQO6" i="263"/>
  <c r="RQO118" i="263" s="1"/>
  <c r="RQP6" i="263"/>
  <c r="RQP118" i="263" s="1"/>
  <c r="RQQ6" i="263"/>
  <c r="RQQ118" i="263" s="1"/>
  <c r="RQR6" i="263"/>
  <c r="RQR118" i="263" s="1"/>
  <c r="RQS6" i="263"/>
  <c r="RQS118" i="263" s="1"/>
  <c r="RQT6" i="263"/>
  <c r="RQT118" i="263" s="1"/>
  <c r="RQU6" i="263"/>
  <c r="RQU118" i="263" s="1"/>
  <c r="RQV6" i="263"/>
  <c r="RQV118" i="263" s="1"/>
  <c r="RQW6" i="263"/>
  <c r="RQW118" i="263" s="1"/>
  <c r="RQX6" i="263"/>
  <c r="RQX118" i="263" s="1"/>
  <c r="RQY6" i="263"/>
  <c r="RQY118" i="263" s="1"/>
  <c r="RQZ6" i="263"/>
  <c r="RQZ118" i="263" s="1"/>
  <c r="RRA6" i="263"/>
  <c r="RRA118" i="263" s="1"/>
  <c r="RRB6" i="263"/>
  <c r="RRB118" i="263" s="1"/>
  <c r="RRC6" i="263"/>
  <c r="RRC118" i="263" s="1"/>
  <c r="RRD6" i="263"/>
  <c r="RRD118" i="263" s="1"/>
  <c r="RRE6" i="263"/>
  <c r="RRE118" i="263" s="1"/>
  <c r="RRF6" i="263"/>
  <c r="RRF118" i="263" s="1"/>
  <c r="RRG6" i="263"/>
  <c r="RRG118" i="263" s="1"/>
  <c r="RRH6" i="263"/>
  <c r="RRH118" i="263" s="1"/>
  <c r="RRI6" i="263"/>
  <c r="RRI118" i="263" s="1"/>
  <c r="RRJ6" i="263"/>
  <c r="RRJ118" i="263" s="1"/>
  <c r="RRK6" i="263"/>
  <c r="RRK118" i="263" s="1"/>
  <c r="RRL6" i="263"/>
  <c r="RRL118" i="263" s="1"/>
  <c r="RRM6" i="263"/>
  <c r="RRM118" i="263" s="1"/>
  <c r="RRN6" i="263"/>
  <c r="RRN118" i="263" s="1"/>
  <c r="RRO6" i="263"/>
  <c r="RRO118" i="263" s="1"/>
  <c r="RRP6" i="263"/>
  <c r="RRP118" i="263" s="1"/>
  <c r="RRQ6" i="263"/>
  <c r="RRQ118" i="263" s="1"/>
  <c r="RRR6" i="263"/>
  <c r="RRR118" i="263" s="1"/>
  <c r="RRS6" i="263"/>
  <c r="RRS118" i="263" s="1"/>
  <c r="RRT6" i="263"/>
  <c r="RRT118" i="263" s="1"/>
  <c r="RRU6" i="263"/>
  <c r="RRU118" i="263" s="1"/>
  <c r="RRV6" i="263"/>
  <c r="RRV118" i="263" s="1"/>
  <c r="RRW6" i="263"/>
  <c r="RRW118" i="263" s="1"/>
  <c r="RRX6" i="263"/>
  <c r="RRX118" i="263" s="1"/>
  <c r="RRY6" i="263"/>
  <c r="RRY118" i="263" s="1"/>
  <c r="RRZ6" i="263"/>
  <c r="RRZ118" i="263" s="1"/>
  <c r="RSA6" i="263"/>
  <c r="RSA118" i="263" s="1"/>
  <c r="RSB6" i="263"/>
  <c r="RSB118" i="263" s="1"/>
  <c r="RSC6" i="263"/>
  <c r="RSC118" i="263" s="1"/>
  <c r="RSD6" i="263"/>
  <c r="RSD118" i="263" s="1"/>
  <c r="RSE6" i="263"/>
  <c r="RSE118" i="263" s="1"/>
  <c r="RSF6" i="263"/>
  <c r="RSF118" i="263" s="1"/>
  <c r="RSG6" i="263"/>
  <c r="RSG118" i="263" s="1"/>
  <c r="RSH6" i="263"/>
  <c r="RSH118" i="263" s="1"/>
  <c r="RSI6" i="263"/>
  <c r="RSI118" i="263" s="1"/>
  <c r="RSJ6" i="263"/>
  <c r="RSJ118" i="263" s="1"/>
  <c r="RSK6" i="263"/>
  <c r="RSK118" i="263" s="1"/>
  <c r="RSL6" i="263"/>
  <c r="RSL118" i="263" s="1"/>
  <c r="RSM6" i="263"/>
  <c r="RSM118" i="263" s="1"/>
  <c r="RSN6" i="263"/>
  <c r="RSN118" i="263" s="1"/>
  <c r="RSO6" i="263"/>
  <c r="RSO118" i="263" s="1"/>
  <c r="RSP6" i="263"/>
  <c r="RSP118" i="263" s="1"/>
  <c r="RSQ6" i="263"/>
  <c r="RSQ118" i="263" s="1"/>
  <c r="RSR6" i="263"/>
  <c r="RSR118" i="263" s="1"/>
  <c r="RSS6" i="263"/>
  <c r="RSS118" i="263" s="1"/>
  <c r="RST6" i="263"/>
  <c r="RST118" i="263" s="1"/>
  <c r="RSU6" i="263"/>
  <c r="RSU118" i="263" s="1"/>
  <c r="RSV6" i="263"/>
  <c r="RSV118" i="263" s="1"/>
  <c r="RSW6" i="263"/>
  <c r="RSW118" i="263" s="1"/>
  <c r="RSX6" i="263"/>
  <c r="RSX118" i="263" s="1"/>
  <c r="RSY6" i="263"/>
  <c r="RSY118" i="263" s="1"/>
  <c r="RSZ6" i="263"/>
  <c r="RSZ118" i="263" s="1"/>
  <c r="RTA6" i="263"/>
  <c r="RTA118" i="263" s="1"/>
  <c r="RTB6" i="263"/>
  <c r="RTB118" i="263" s="1"/>
  <c r="RTC6" i="263"/>
  <c r="RTC118" i="263" s="1"/>
  <c r="RTD6" i="263"/>
  <c r="RTD118" i="263" s="1"/>
  <c r="RTE6" i="263"/>
  <c r="RTE118" i="263" s="1"/>
  <c r="RTF6" i="263"/>
  <c r="RTF118" i="263" s="1"/>
  <c r="RTG6" i="263"/>
  <c r="RTG118" i="263" s="1"/>
  <c r="RTH6" i="263"/>
  <c r="RTH118" i="263" s="1"/>
  <c r="RTI6" i="263"/>
  <c r="RTI118" i="263" s="1"/>
  <c r="RTJ6" i="263"/>
  <c r="RTJ118" i="263" s="1"/>
  <c r="RTK6" i="263"/>
  <c r="RTK118" i="263" s="1"/>
  <c r="RTL6" i="263"/>
  <c r="RTL118" i="263" s="1"/>
  <c r="RTM6" i="263"/>
  <c r="RTM118" i="263" s="1"/>
  <c r="RTN6" i="263"/>
  <c r="RTN118" i="263" s="1"/>
  <c r="RTO6" i="263"/>
  <c r="RTO118" i="263" s="1"/>
  <c r="RTP6" i="263"/>
  <c r="RTP118" i="263" s="1"/>
  <c r="RTQ6" i="263"/>
  <c r="RTQ118" i="263" s="1"/>
  <c r="RTR6" i="263"/>
  <c r="RTR118" i="263" s="1"/>
  <c r="RTS6" i="263"/>
  <c r="RTS118" i="263" s="1"/>
  <c r="RTT6" i="263"/>
  <c r="RTT118" i="263" s="1"/>
  <c r="RTU6" i="263"/>
  <c r="RTU118" i="263" s="1"/>
  <c r="RTV6" i="263"/>
  <c r="RTV118" i="263" s="1"/>
  <c r="RTW6" i="263"/>
  <c r="RTW118" i="263" s="1"/>
  <c r="RTX6" i="263"/>
  <c r="RTX118" i="263" s="1"/>
  <c r="RTY6" i="263"/>
  <c r="RTY118" i="263" s="1"/>
  <c r="RTZ6" i="263"/>
  <c r="RTZ118" i="263" s="1"/>
  <c r="RUA6" i="263"/>
  <c r="RUA118" i="263" s="1"/>
  <c r="RUB6" i="263"/>
  <c r="RUB118" i="263" s="1"/>
  <c r="RUC6" i="263"/>
  <c r="RUC118" i="263" s="1"/>
  <c r="RUD6" i="263"/>
  <c r="RUD118" i="263" s="1"/>
  <c r="RUE6" i="263"/>
  <c r="RUE118" i="263" s="1"/>
  <c r="RUF6" i="263"/>
  <c r="RUF118" i="263" s="1"/>
  <c r="RUG6" i="263"/>
  <c r="RUG118" i="263" s="1"/>
  <c r="RUH6" i="263"/>
  <c r="RUH118" i="263" s="1"/>
  <c r="RUI6" i="263"/>
  <c r="RUI118" i="263" s="1"/>
  <c r="RUJ6" i="263"/>
  <c r="RUJ118" i="263" s="1"/>
  <c r="RUK6" i="263"/>
  <c r="RUK118" i="263" s="1"/>
  <c r="RUL6" i="263"/>
  <c r="RUL118" i="263" s="1"/>
  <c r="RUM6" i="263"/>
  <c r="RUM118" i="263" s="1"/>
  <c r="RUN6" i="263"/>
  <c r="RUN118" i="263" s="1"/>
  <c r="RUO6" i="263"/>
  <c r="RUO118" i="263" s="1"/>
  <c r="RUP6" i="263"/>
  <c r="RUP118" i="263" s="1"/>
  <c r="RUQ6" i="263"/>
  <c r="RUQ118" i="263" s="1"/>
  <c r="RUR6" i="263"/>
  <c r="RUR118" i="263" s="1"/>
  <c r="RUS6" i="263"/>
  <c r="RUS118" i="263" s="1"/>
  <c r="RUT6" i="263"/>
  <c r="RUT118" i="263" s="1"/>
  <c r="RUU6" i="263"/>
  <c r="RUU118" i="263" s="1"/>
  <c r="RUV6" i="263"/>
  <c r="RUV118" i="263" s="1"/>
  <c r="RUW6" i="263"/>
  <c r="RUW118" i="263" s="1"/>
  <c r="RUX6" i="263"/>
  <c r="RUX118" i="263" s="1"/>
  <c r="RUY6" i="263"/>
  <c r="RUY118" i="263" s="1"/>
  <c r="RUZ6" i="263"/>
  <c r="RUZ118" i="263" s="1"/>
  <c r="RVA6" i="263"/>
  <c r="RVA118" i="263" s="1"/>
  <c r="RVB6" i="263"/>
  <c r="RVB118" i="263" s="1"/>
  <c r="RVC6" i="263"/>
  <c r="RVC118" i="263" s="1"/>
  <c r="RVD6" i="263"/>
  <c r="RVD118" i="263" s="1"/>
  <c r="RVE6" i="263"/>
  <c r="RVE118" i="263" s="1"/>
  <c r="RVF6" i="263"/>
  <c r="RVF118" i="263" s="1"/>
  <c r="RVG6" i="263"/>
  <c r="RVG118" i="263" s="1"/>
  <c r="RVH6" i="263"/>
  <c r="RVH118" i="263" s="1"/>
  <c r="RVI6" i="263"/>
  <c r="RVI118" i="263" s="1"/>
  <c r="RVJ6" i="263"/>
  <c r="RVJ118" i="263" s="1"/>
  <c r="RVK6" i="263"/>
  <c r="RVK118" i="263" s="1"/>
  <c r="RVL6" i="263"/>
  <c r="RVL118" i="263" s="1"/>
  <c r="RVM6" i="263"/>
  <c r="RVM118" i="263" s="1"/>
  <c r="RVN6" i="263"/>
  <c r="RVN118" i="263" s="1"/>
  <c r="RVO6" i="263"/>
  <c r="RVO118" i="263" s="1"/>
  <c r="RVP6" i="263"/>
  <c r="RVP118" i="263" s="1"/>
  <c r="RVQ6" i="263"/>
  <c r="RVQ118" i="263" s="1"/>
  <c r="RVR6" i="263"/>
  <c r="RVR118" i="263" s="1"/>
  <c r="RVS6" i="263"/>
  <c r="RVS118" i="263" s="1"/>
  <c r="RVT6" i="263"/>
  <c r="RVT118" i="263" s="1"/>
  <c r="RVU6" i="263"/>
  <c r="RVU118" i="263" s="1"/>
  <c r="RVV6" i="263"/>
  <c r="RVV118" i="263" s="1"/>
  <c r="RVW6" i="263"/>
  <c r="RVW118" i="263" s="1"/>
  <c r="RVX6" i="263"/>
  <c r="RVX118" i="263" s="1"/>
  <c r="RVY6" i="263"/>
  <c r="RVY118" i="263" s="1"/>
  <c r="RVZ6" i="263"/>
  <c r="RVZ118" i="263" s="1"/>
  <c r="RWA6" i="263"/>
  <c r="RWA118" i="263" s="1"/>
  <c r="RWB6" i="263"/>
  <c r="RWB118" i="263" s="1"/>
  <c r="RWC6" i="263"/>
  <c r="RWC118" i="263" s="1"/>
  <c r="RWD6" i="263"/>
  <c r="RWD118" i="263" s="1"/>
  <c r="RWE6" i="263"/>
  <c r="RWE118" i="263" s="1"/>
  <c r="RWF6" i="263"/>
  <c r="RWF118" i="263" s="1"/>
  <c r="RWG6" i="263"/>
  <c r="RWG118" i="263" s="1"/>
  <c r="RWH6" i="263"/>
  <c r="RWH118" i="263" s="1"/>
  <c r="RWI6" i="263"/>
  <c r="RWI118" i="263" s="1"/>
  <c r="RWJ6" i="263"/>
  <c r="RWJ118" i="263" s="1"/>
  <c r="RWK6" i="263"/>
  <c r="RWK118" i="263" s="1"/>
  <c r="RWL6" i="263"/>
  <c r="RWL118" i="263" s="1"/>
  <c r="RWM6" i="263"/>
  <c r="RWM118" i="263" s="1"/>
  <c r="RWN6" i="263"/>
  <c r="RWN118" i="263" s="1"/>
  <c r="RWO6" i="263"/>
  <c r="RWO118" i="263" s="1"/>
  <c r="RWP6" i="263"/>
  <c r="RWP118" i="263" s="1"/>
  <c r="RWQ6" i="263"/>
  <c r="RWQ118" i="263" s="1"/>
  <c r="RWR6" i="263"/>
  <c r="RWR118" i="263" s="1"/>
  <c r="RWS6" i="263"/>
  <c r="RWS118" i="263" s="1"/>
  <c r="RWT6" i="263"/>
  <c r="RWT118" i="263" s="1"/>
  <c r="RWU6" i="263"/>
  <c r="RWU118" i="263" s="1"/>
  <c r="RWV6" i="263"/>
  <c r="RWV118" i="263" s="1"/>
  <c r="RWW6" i="263"/>
  <c r="RWW118" i="263" s="1"/>
  <c r="RWX6" i="263"/>
  <c r="RWX118" i="263" s="1"/>
  <c r="RWY6" i="263"/>
  <c r="RWY118" i="263" s="1"/>
  <c r="RWZ6" i="263"/>
  <c r="RWZ118" i="263" s="1"/>
  <c r="RXA6" i="263"/>
  <c r="RXA118" i="263" s="1"/>
  <c r="RXB6" i="263"/>
  <c r="RXB118" i="263" s="1"/>
  <c r="RXC6" i="263"/>
  <c r="RXC118" i="263" s="1"/>
  <c r="RXD6" i="263"/>
  <c r="RXD118" i="263" s="1"/>
  <c r="RXE6" i="263"/>
  <c r="RXE118" i="263" s="1"/>
  <c r="RXF6" i="263"/>
  <c r="RXF118" i="263" s="1"/>
  <c r="RXG6" i="263"/>
  <c r="RXG118" i="263" s="1"/>
  <c r="RXH6" i="263"/>
  <c r="RXH118" i="263" s="1"/>
  <c r="RXI6" i="263"/>
  <c r="RXI118" i="263" s="1"/>
  <c r="RXJ6" i="263"/>
  <c r="RXJ118" i="263" s="1"/>
  <c r="RXK6" i="263"/>
  <c r="RXK118" i="263" s="1"/>
  <c r="RXL6" i="263"/>
  <c r="RXL118" i="263" s="1"/>
  <c r="RXM6" i="263"/>
  <c r="RXM118" i="263" s="1"/>
  <c r="RXN6" i="263"/>
  <c r="RXN118" i="263" s="1"/>
  <c r="RXO6" i="263"/>
  <c r="RXO118" i="263" s="1"/>
  <c r="RXP6" i="263"/>
  <c r="RXP118" i="263" s="1"/>
  <c r="RXQ6" i="263"/>
  <c r="RXQ118" i="263" s="1"/>
  <c r="RXR6" i="263"/>
  <c r="RXR118" i="263" s="1"/>
  <c r="RXS6" i="263"/>
  <c r="RXS118" i="263" s="1"/>
  <c r="RXT6" i="263"/>
  <c r="RXT118" i="263" s="1"/>
  <c r="RXU6" i="263"/>
  <c r="RXU118" i="263" s="1"/>
  <c r="RXV6" i="263"/>
  <c r="RXV118" i="263" s="1"/>
  <c r="RXW6" i="263"/>
  <c r="RXW118" i="263" s="1"/>
  <c r="RXX6" i="263"/>
  <c r="RXX118" i="263" s="1"/>
  <c r="RXY6" i="263"/>
  <c r="RXY118" i="263" s="1"/>
  <c r="RXZ6" i="263"/>
  <c r="RXZ118" i="263" s="1"/>
  <c r="RYA6" i="263"/>
  <c r="RYA118" i="263" s="1"/>
  <c r="RYB6" i="263"/>
  <c r="RYB118" i="263" s="1"/>
  <c r="RYC6" i="263"/>
  <c r="RYC118" i="263" s="1"/>
  <c r="RYD6" i="263"/>
  <c r="RYD118" i="263" s="1"/>
  <c r="RYE6" i="263"/>
  <c r="RYE118" i="263" s="1"/>
  <c r="RYF6" i="263"/>
  <c r="RYF118" i="263" s="1"/>
  <c r="RYG6" i="263"/>
  <c r="RYG118" i="263" s="1"/>
  <c r="RYH6" i="263"/>
  <c r="RYH118" i="263" s="1"/>
  <c r="RYI6" i="263"/>
  <c r="RYI118" i="263" s="1"/>
  <c r="RYJ6" i="263"/>
  <c r="RYJ118" i="263" s="1"/>
  <c r="RYK6" i="263"/>
  <c r="RYK118" i="263" s="1"/>
  <c r="RYL6" i="263"/>
  <c r="RYL118" i="263" s="1"/>
  <c r="RYM6" i="263"/>
  <c r="RYM118" i="263" s="1"/>
  <c r="RYN6" i="263"/>
  <c r="RYN118" i="263" s="1"/>
  <c r="RYO6" i="263"/>
  <c r="RYO118" i="263" s="1"/>
  <c r="RYP6" i="263"/>
  <c r="RYP118" i="263" s="1"/>
  <c r="RYQ6" i="263"/>
  <c r="RYQ118" i="263" s="1"/>
  <c r="RYR6" i="263"/>
  <c r="RYR118" i="263" s="1"/>
  <c r="RYS6" i="263"/>
  <c r="RYS118" i="263" s="1"/>
  <c r="RYT6" i="263"/>
  <c r="RYT118" i="263" s="1"/>
  <c r="RYU6" i="263"/>
  <c r="RYU118" i="263" s="1"/>
  <c r="RYV6" i="263"/>
  <c r="RYV118" i="263" s="1"/>
  <c r="RYW6" i="263"/>
  <c r="RYW118" i="263" s="1"/>
  <c r="RYX6" i="263"/>
  <c r="RYX118" i="263" s="1"/>
  <c r="RYY6" i="263"/>
  <c r="RYY118" i="263" s="1"/>
  <c r="RYZ6" i="263"/>
  <c r="RYZ118" i="263" s="1"/>
  <c r="RZA6" i="263"/>
  <c r="RZA118" i="263" s="1"/>
  <c r="RZB6" i="263"/>
  <c r="RZB118" i="263" s="1"/>
  <c r="RZC6" i="263"/>
  <c r="RZC118" i="263" s="1"/>
  <c r="RZD6" i="263"/>
  <c r="RZD118" i="263" s="1"/>
  <c r="RZE6" i="263"/>
  <c r="RZE118" i="263" s="1"/>
  <c r="RZF6" i="263"/>
  <c r="RZF118" i="263" s="1"/>
  <c r="RZG6" i="263"/>
  <c r="RZG118" i="263" s="1"/>
  <c r="RZH6" i="263"/>
  <c r="RZH118" i="263" s="1"/>
  <c r="RZI6" i="263"/>
  <c r="RZI118" i="263" s="1"/>
  <c r="RZJ6" i="263"/>
  <c r="RZJ118" i="263" s="1"/>
  <c r="RZK6" i="263"/>
  <c r="RZK118" i="263" s="1"/>
  <c r="RZL6" i="263"/>
  <c r="RZL118" i="263" s="1"/>
  <c r="RZM6" i="263"/>
  <c r="RZM118" i="263" s="1"/>
  <c r="RZN6" i="263"/>
  <c r="RZN118" i="263" s="1"/>
  <c r="RZO6" i="263"/>
  <c r="RZO118" i="263" s="1"/>
  <c r="RZP6" i="263"/>
  <c r="RZP118" i="263" s="1"/>
  <c r="RZQ6" i="263"/>
  <c r="RZQ118" i="263" s="1"/>
  <c r="RZR6" i="263"/>
  <c r="RZR118" i="263" s="1"/>
  <c r="RZS6" i="263"/>
  <c r="RZS118" i="263" s="1"/>
  <c r="RZT6" i="263"/>
  <c r="RZT118" i="263" s="1"/>
  <c r="RZU6" i="263"/>
  <c r="RZU118" i="263" s="1"/>
  <c r="RZV6" i="263"/>
  <c r="RZV118" i="263" s="1"/>
  <c r="RZW6" i="263"/>
  <c r="RZW118" i="263" s="1"/>
  <c r="RZX6" i="263"/>
  <c r="RZX118" i="263" s="1"/>
  <c r="RZY6" i="263"/>
  <c r="RZY118" i="263" s="1"/>
  <c r="RZZ6" i="263"/>
  <c r="RZZ118" i="263" s="1"/>
  <c r="SAA6" i="263"/>
  <c r="SAA118" i="263" s="1"/>
  <c r="SAB6" i="263"/>
  <c r="SAB118" i="263" s="1"/>
  <c r="SAC6" i="263"/>
  <c r="SAC118" i="263" s="1"/>
  <c r="SAD6" i="263"/>
  <c r="SAD118" i="263" s="1"/>
  <c r="SAE6" i="263"/>
  <c r="SAE118" i="263" s="1"/>
  <c r="SAF6" i="263"/>
  <c r="SAF118" i="263" s="1"/>
  <c r="SAG6" i="263"/>
  <c r="SAG118" i="263" s="1"/>
  <c r="SAH6" i="263"/>
  <c r="SAH118" i="263" s="1"/>
  <c r="SAI6" i="263"/>
  <c r="SAI118" i="263" s="1"/>
  <c r="SAJ6" i="263"/>
  <c r="SAJ118" i="263" s="1"/>
  <c r="SAK6" i="263"/>
  <c r="SAK118" i="263" s="1"/>
  <c r="SAL6" i="263"/>
  <c r="SAL118" i="263" s="1"/>
  <c r="SAM6" i="263"/>
  <c r="SAM118" i="263" s="1"/>
  <c r="SAN6" i="263"/>
  <c r="SAN118" i="263" s="1"/>
  <c r="SAO6" i="263"/>
  <c r="SAO118" i="263" s="1"/>
  <c r="SAP6" i="263"/>
  <c r="SAP118" i="263" s="1"/>
  <c r="SAQ6" i="263"/>
  <c r="SAQ118" i="263" s="1"/>
  <c r="SAR6" i="263"/>
  <c r="SAR118" i="263" s="1"/>
  <c r="SAS6" i="263"/>
  <c r="SAS118" i="263" s="1"/>
  <c r="SAT6" i="263"/>
  <c r="SAT118" i="263" s="1"/>
  <c r="SAU6" i="263"/>
  <c r="SAU118" i="263" s="1"/>
  <c r="SAV6" i="263"/>
  <c r="SAV118" i="263" s="1"/>
  <c r="SAW6" i="263"/>
  <c r="SAW118" i="263" s="1"/>
  <c r="SAX6" i="263"/>
  <c r="SAX118" i="263" s="1"/>
  <c r="SAY6" i="263"/>
  <c r="SAY118" i="263" s="1"/>
  <c r="SAZ6" i="263"/>
  <c r="SAZ118" i="263" s="1"/>
  <c r="SBA6" i="263"/>
  <c r="SBA118" i="263" s="1"/>
  <c r="SBB6" i="263"/>
  <c r="SBB118" i="263" s="1"/>
  <c r="SBC6" i="263"/>
  <c r="SBC118" i="263" s="1"/>
  <c r="SBD6" i="263"/>
  <c r="SBD118" i="263" s="1"/>
  <c r="SBE6" i="263"/>
  <c r="SBE118" i="263" s="1"/>
  <c r="SBF6" i="263"/>
  <c r="SBF118" i="263" s="1"/>
  <c r="SBG6" i="263"/>
  <c r="SBG118" i="263" s="1"/>
  <c r="SBH6" i="263"/>
  <c r="SBH118" i="263" s="1"/>
  <c r="SBI6" i="263"/>
  <c r="SBI118" i="263" s="1"/>
  <c r="SBJ6" i="263"/>
  <c r="SBJ118" i="263" s="1"/>
  <c r="SBK6" i="263"/>
  <c r="SBK118" i="263" s="1"/>
  <c r="SBL6" i="263"/>
  <c r="SBL118" i="263" s="1"/>
  <c r="SBM6" i="263"/>
  <c r="SBM118" i="263" s="1"/>
  <c r="SBN6" i="263"/>
  <c r="SBN118" i="263" s="1"/>
  <c r="SBO6" i="263"/>
  <c r="SBO118" i="263" s="1"/>
  <c r="SBP6" i="263"/>
  <c r="SBP118" i="263" s="1"/>
  <c r="SBQ6" i="263"/>
  <c r="SBQ118" i="263" s="1"/>
  <c r="SBR6" i="263"/>
  <c r="SBR118" i="263" s="1"/>
  <c r="SBS6" i="263"/>
  <c r="SBS118" i="263" s="1"/>
  <c r="SBT6" i="263"/>
  <c r="SBT118" i="263" s="1"/>
  <c r="SBU6" i="263"/>
  <c r="SBU118" i="263" s="1"/>
  <c r="SBV6" i="263"/>
  <c r="SBV118" i="263" s="1"/>
  <c r="SBW6" i="263"/>
  <c r="SBW118" i="263" s="1"/>
  <c r="SBX6" i="263"/>
  <c r="SBX118" i="263" s="1"/>
  <c r="SBY6" i="263"/>
  <c r="SBY118" i="263" s="1"/>
  <c r="SBZ6" i="263"/>
  <c r="SBZ118" i="263" s="1"/>
  <c r="SCA6" i="263"/>
  <c r="SCA118" i="263" s="1"/>
  <c r="SCB6" i="263"/>
  <c r="SCB118" i="263" s="1"/>
  <c r="SCC6" i="263"/>
  <c r="SCC118" i="263" s="1"/>
  <c r="SCD6" i="263"/>
  <c r="SCD118" i="263" s="1"/>
  <c r="SCE6" i="263"/>
  <c r="SCE118" i="263" s="1"/>
  <c r="SCF6" i="263"/>
  <c r="SCF118" i="263" s="1"/>
  <c r="SCG6" i="263"/>
  <c r="SCG118" i="263" s="1"/>
  <c r="SCH6" i="263"/>
  <c r="SCH118" i="263" s="1"/>
  <c r="SCI6" i="263"/>
  <c r="SCI118" i="263" s="1"/>
  <c r="SCJ6" i="263"/>
  <c r="SCJ118" i="263" s="1"/>
  <c r="SCK6" i="263"/>
  <c r="SCK118" i="263" s="1"/>
  <c r="SCL6" i="263"/>
  <c r="SCL118" i="263" s="1"/>
  <c r="SCM6" i="263"/>
  <c r="SCM118" i="263" s="1"/>
  <c r="SCN6" i="263"/>
  <c r="SCN118" i="263" s="1"/>
  <c r="SCO6" i="263"/>
  <c r="SCO118" i="263" s="1"/>
  <c r="SCP6" i="263"/>
  <c r="SCP118" i="263" s="1"/>
  <c r="SCQ6" i="263"/>
  <c r="SCQ118" i="263" s="1"/>
  <c r="SCR6" i="263"/>
  <c r="SCR118" i="263" s="1"/>
  <c r="SCS6" i="263"/>
  <c r="SCS118" i="263" s="1"/>
  <c r="SCT6" i="263"/>
  <c r="SCT118" i="263" s="1"/>
  <c r="SCU6" i="263"/>
  <c r="SCU118" i="263" s="1"/>
  <c r="SCV6" i="263"/>
  <c r="SCV118" i="263" s="1"/>
  <c r="SCW6" i="263"/>
  <c r="SCW118" i="263" s="1"/>
  <c r="SCX6" i="263"/>
  <c r="SCX118" i="263" s="1"/>
  <c r="SCY6" i="263"/>
  <c r="SCY118" i="263" s="1"/>
  <c r="SCZ6" i="263"/>
  <c r="SCZ118" i="263" s="1"/>
  <c r="SDA6" i="263"/>
  <c r="SDA118" i="263" s="1"/>
  <c r="SDB6" i="263"/>
  <c r="SDB118" i="263" s="1"/>
  <c r="SDC6" i="263"/>
  <c r="SDC118" i="263" s="1"/>
  <c r="SDD6" i="263"/>
  <c r="SDD118" i="263" s="1"/>
  <c r="SDE6" i="263"/>
  <c r="SDE118" i="263" s="1"/>
  <c r="SDF6" i="263"/>
  <c r="SDF118" i="263" s="1"/>
  <c r="SDG6" i="263"/>
  <c r="SDG118" i="263" s="1"/>
  <c r="SDH6" i="263"/>
  <c r="SDH118" i="263" s="1"/>
  <c r="SDI6" i="263"/>
  <c r="SDI118" i="263" s="1"/>
  <c r="SDJ6" i="263"/>
  <c r="SDJ118" i="263" s="1"/>
  <c r="SDK6" i="263"/>
  <c r="SDK118" i="263" s="1"/>
  <c r="SDL6" i="263"/>
  <c r="SDL118" i="263" s="1"/>
  <c r="SDM6" i="263"/>
  <c r="SDM118" i="263" s="1"/>
  <c r="SDN6" i="263"/>
  <c r="SDN118" i="263" s="1"/>
  <c r="SDO6" i="263"/>
  <c r="SDO118" i="263" s="1"/>
  <c r="SDP6" i="263"/>
  <c r="SDP118" i="263" s="1"/>
  <c r="SDQ6" i="263"/>
  <c r="SDQ118" i="263" s="1"/>
  <c r="SDR6" i="263"/>
  <c r="SDR118" i="263" s="1"/>
  <c r="SDS6" i="263"/>
  <c r="SDS118" i="263" s="1"/>
  <c r="SDT6" i="263"/>
  <c r="SDT118" i="263" s="1"/>
  <c r="SDU6" i="263"/>
  <c r="SDU118" i="263" s="1"/>
  <c r="SDV6" i="263"/>
  <c r="SDV118" i="263" s="1"/>
  <c r="SDW6" i="263"/>
  <c r="SDW118" i="263" s="1"/>
  <c r="SDX6" i="263"/>
  <c r="SDX118" i="263" s="1"/>
  <c r="SDY6" i="263"/>
  <c r="SDY118" i="263" s="1"/>
  <c r="SDZ6" i="263"/>
  <c r="SDZ118" i="263" s="1"/>
  <c r="SEA6" i="263"/>
  <c r="SEA118" i="263" s="1"/>
  <c r="SEB6" i="263"/>
  <c r="SEB118" i="263" s="1"/>
  <c r="SEC6" i="263"/>
  <c r="SEC118" i="263" s="1"/>
  <c r="SED6" i="263"/>
  <c r="SED118" i="263" s="1"/>
  <c r="SEE6" i="263"/>
  <c r="SEE118" i="263" s="1"/>
  <c r="SEF6" i="263"/>
  <c r="SEF118" i="263" s="1"/>
  <c r="SEG6" i="263"/>
  <c r="SEG118" i="263" s="1"/>
  <c r="SEH6" i="263"/>
  <c r="SEH118" i="263" s="1"/>
  <c r="SEI6" i="263"/>
  <c r="SEI118" i="263" s="1"/>
  <c r="SEJ6" i="263"/>
  <c r="SEJ118" i="263" s="1"/>
  <c r="SEK6" i="263"/>
  <c r="SEK118" i="263" s="1"/>
  <c r="SEL6" i="263"/>
  <c r="SEL118" i="263" s="1"/>
  <c r="SEM6" i="263"/>
  <c r="SEM118" i="263" s="1"/>
  <c r="SEN6" i="263"/>
  <c r="SEN118" i="263" s="1"/>
  <c r="SEO6" i="263"/>
  <c r="SEO118" i="263" s="1"/>
  <c r="SEP6" i="263"/>
  <c r="SEP118" i="263" s="1"/>
  <c r="SEQ6" i="263"/>
  <c r="SEQ118" i="263" s="1"/>
  <c r="SER6" i="263"/>
  <c r="SER118" i="263" s="1"/>
  <c r="SES6" i="263"/>
  <c r="SES118" i="263" s="1"/>
  <c r="SET6" i="263"/>
  <c r="SET118" i="263" s="1"/>
  <c r="SEU6" i="263"/>
  <c r="SEU118" i="263" s="1"/>
  <c r="SEV6" i="263"/>
  <c r="SEV118" i="263" s="1"/>
  <c r="SEW6" i="263"/>
  <c r="SEW118" i="263" s="1"/>
  <c r="SEX6" i="263"/>
  <c r="SEX118" i="263" s="1"/>
  <c r="SEY6" i="263"/>
  <c r="SEY118" i="263" s="1"/>
  <c r="SEZ6" i="263"/>
  <c r="SEZ118" i="263" s="1"/>
  <c r="SFA6" i="263"/>
  <c r="SFA118" i="263" s="1"/>
  <c r="SFB6" i="263"/>
  <c r="SFB118" i="263" s="1"/>
  <c r="SFC6" i="263"/>
  <c r="SFC118" i="263" s="1"/>
  <c r="SFD6" i="263"/>
  <c r="SFD118" i="263" s="1"/>
  <c r="SFE6" i="263"/>
  <c r="SFE118" i="263" s="1"/>
  <c r="SFF6" i="263"/>
  <c r="SFF118" i="263" s="1"/>
  <c r="SFG6" i="263"/>
  <c r="SFG118" i="263" s="1"/>
  <c r="SFH6" i="263"/>
  <c r="SFH118" i="263" s="1"/>
  <c r="SFI6" i="263"/>
  <c r="SFI118" i="263" s="1"/>
  <c r="SFJ6" i="263"/>
  <c r="SFJ118" i="263" s="1"/>
  <c r="SFK6" i="263"/>
  <c r="SFK118" i="263" s="1"/>
  <c r="SFL6" i="263"/>
  <c r="SFL118" i="263" s="1"/>
  <c r="SFM6" i="263"/>
  <c r="SFM118" i="263" s="1"/>
  <c r="SFN6" i="263"/>
  <c r="SFN118" i="263" s="1"/>
  <c r="SFO6" i="263"/>
  <c r="SFO118" i="263" s="1"/>
  <c r="SFP6" i="263"/>
  <c r="SFP118" i="263" s="1"/>
  <c r="SFQ6" i="263"/>
  <c r="SFQ118" i="263" s="1"/>
  <c r="SFR6" i="263"/>
  <c r="SFR118" i="263" s="1"/>
  <c r="SFS6" i="263"/>
  <c r="SFS118" i="263" s="1"/>
  <c r="SFT6" i="263"/>
  <c r="SFT118" i="263" s="1"/>
  <c r="SFU6" i="263"/>
  <c r="SFU118" i="263" s="1"/>
  <c r="SFV6" i="263"/>
  <c r="SFV118" i="263" s="1"/>
  <c r="SFW6" i="263"/>
  <c r="SFW118" i="263" s="1"/>
  <c r="SFX6" i="263"/>
  <c r="SFX118" i="263" s="1"/>
  <c r="SFY6" i="263"/>
  <c r="SFY118" i="263" s="1"/>
  <c r="SFZ6" i="263"/>
  <c r="SFZ118" i="263" s="1"/>
  <c r="SGA6" i="263"/>
  <c r="SGA118" i="263" s="1"/>
  <c r="SGB6" i="263"/>
  <c r="SGB118" i="263" s="1"/>
  <c r="SGC6" i="263"/>
  <c r="SGC118" i="263" s="1"/>
  <c r="SGD6" i="263"/>
  <c r="SGD118" i="263" s="1"/>
  <c r="SGE6" i="263"/>
  <c r="SGE118" i="263" s="1"/>
  <c r="SGF6" i="263"/>
  <c r="SGF118" i="263" s="1"/>
  <c r="SGG6" i="263"/>
  <c r="SGG118" i="263" s="1"/>
  <c r="SGH6" i="263"/>
  <c r="SGH118" i="263" s="1"/>
  <c r="SGI6" i="263"/>
  <c r="SGI118" i="263" s="1"/>
  <c r="SGJ6" i="263"/>
  <c r="SGJ118" i="263" s="1"/>
  <c r="SGK6" i="263"/>
  <c r="SGK118" i="263" s="1"/>
  <c r="SGL6" i="263"/>
  <c r="SGL118" i="263" s="1"/>
  <c r="SGM6" i="263"/>
  <c r="SGM118" i="263" s="1"/>
  <c r="SGN6" i="263"/>
  <c r="SGN118" i="263" s="1"/>
  <c r="SGO6" i="263"/>
  <c r="SGO118" i="263" s="1"/>
  <c r="SGP6" i="263"/>
  <c r="SGP118" i="263" s="1"/>
  <c r="SGQ6" i="263"/>
  <c r="SGQ118" i="263" s="1"/>
  <c r="SGR6" i="263"/>
  <c r="SGR118" i="263" s="1"/>
  <c r="SGS6" i="263"/>
  <c r="SGS118" i="263" s="1"/>
  <c r="SGT6" i="263"/>
  <c r="SGT118" i="263" s="1"/>
  <c r="SGU6" i="263"/>
  <c r="SGU118" i="263" s="1"/>
  <c r="SGV6" i="263"/>
  <c r="SGV118" i="263" s="1"/>
  <c r="SGW6" i="263"/>
  <c r="SGW118" i="263" s="1"/>
  <c r="SGX6" i="263"/>
  <c r="SGX118" i="263" s="1"/>
  <c r="SGY6" i="263"/>
  <c r="SGY118" i="263" s="1"/>
  <c r="SGZ6" i="263"/>
  <c r="SGZ118" i="263" s="1"/>
  <c r="SHA6" i="263"/>
  <c r="SHA118" i="263" s="1"/>
  <c r="SHB6" i="263"/>
  <c r="SHB118" i="263" s="1"/>
  <c r="SHC6" i="263"/>
  <c r="SHC118" i="263" s="1"/>
  <c r="SHD6" i="263"/>
  <c r="SHD118" i="263" s="1"/>
  <c r="SHE6" i="263"/>
  <c r="SHE118" i="263" s="1"/>
  <c r="SHF6" i="263"/>
  <c r="SHF118" i="263" s="1"/>
  <c r="SHG6" i="263"/>
  <c r="SHG118" i="263" s="1"/>
  <c r="SHH6" i="263"/>
  <c r="SHH118" i="263" s="1"/>
  <c r="SHI6" i="263"/>
  <c r="SHI118" i="263" s="1"/>
  <c r="SHJ6" i="263"/>
  <c r="SHJ118" i="263" s="1"/>
  <c r="SHK6" i="263"/>
  <c r="SHK118" i="263" s="1"/>
  <c r="SHL6" i="263"/>
  <c r="SHL118" i="263" s="1"/>
  <c r="SHM6" i="263"/>
  <c r="SHM118" i="263" s="1"/>
  <c r="SHN6" i="263"/>
  <c r="SHN118" i="263" s="1"/>
  <c r="SHO6" i="263"/>
  <c r="SHO118" i="263" s="1"/>
  <c r="SHP6" i="263"/>
  <c r="SHP118" i="263" s="1"/>
  <c r="SHQ6" i="263"/>
  <c r="SHQ118" i="263" s="1"/>
  <c r="SHR6" i="263"/>
  <c r="SHR118" i="263" s="1"/>
  <c r="SHS6" i="263"/>
  <c r="SHS118" i="263" s="1"/>
  <c r="SHT6" i="263"/>
  <c r="SHT118" i="263" s="1"/>
  <c r="SHU6" i="263"/>
  <c r="SHU118" i="263" s="1"/>
  <c r="SHV6" i="263"/>
  <c r="SHV118" i="263" s="1"/>
  <c r="SHW6" i="263"/>
  <c r="SHW118" i="263" s="1"/>
  <c r="SHX6" i="263"/>
  <c r="SHX118" i="263" s="1"/>
  <c r="SHY6" i="263"/>
  <c r="SHY118" i="263" s="1"/>
  <c r="SHZ6" i="263"/>
  <c r="SHZ118" i="263" s="1"/>
  <c r="SIA6" i="263"/>
  <c r="SIA118" i="263" s="1"/>
  <c r="SIB6" i="263"/>
  <c r="SIB118" i="263" s="1"/>
  <c r="SIC6" i="263"/>
  <c r="SIC118" i="263" s="1"/>
  <c r="SID6" i="263"/>
  <c r="SID118" i="263" s="1"/>
  <c r="SIE6" i="263"/>
  <c r="SIE118" i="263" s="1"/>
  <c r="SIF6" i="263"/>
  <c r="SIF118" i="263" s="1"/>
  <c r="SIG6" i="263"/>
  <c r="SIG118" i="263" s="1"/>
  <c r="SIH6" i="263"/>
  <c r="SIH118" i="263" s="1"/>
  <c r="SII6" i="263"/>
  <c r="SII118" i="263" s="1"/>
  <c r="SIJ6" i="263"/>
  <c r="SIJ118" i="263" s="1"/>
  <c r="SIK6" i="263"/>
  <c r="SIK118" i="263" s="1"/>
  <c r="SIL6" i="263"/>
  <c r="SIL118" i="263" s="1"/>
  <c r="SIM6" i="263"/>
  <c r="SIM118" i="263" s="1"/>
  <c r="SIN6" i="263"/>
  <c r="SIN118" i="263" s="1"/>
  <c r="SIO6" i="263"/>
  <c r="SIO118" i="263" s="1"/>
  <c r="SIP6" i="263"/>
  <c r="SIP118" i="263" s="1"/>
  <c r="SIQ6" i="263"/>
  <c r="SIQ118" i="263" s="1"/>
  <c r="SIR6" i="263"/>
  <c r="SIR118" i="263" s="1"/>
  <c r="SIS6" i="263"/>
  <c r="SIS118" i="263" s="1"/>
  <c r="SIT6" i="263"/>
  <c r="SIT118" i="263" s="1"/>
  <c r="SIU6" i="263"/>
  <c r="SIU118" i="263" s="1"/>
  <c r="SIV6" i="263"/>
  <c r="SIV118" i="263" s="1"/>
  <c r="SIW6" i="263"/>
  <c r="SIW118" i="263" s="1"/>
  <c r="SIX6" i="263"/>
  <c r="SIX118" i="263" s="1"/>
  <c r="SIY6" i="263"/>
  <c r="SIY118" i="263" s="1"/>
  <c r="SIZ6" i="263"/>
  <c r="SIZ118" i="263" s="1"/>
  <c r="SJA6" i="263"/>
  <c r="SJA118" i="263" s="1"/>
  <c r="SJB6" i="263"/>
  <c r="SJB118" i="263" s="1"/>
  <c r="SJC6" i="263"/>
  <c r="SJC118" i="263" s="1"/>
  <c r="SJD6" i="263"/>
  <c r="SJD118" i="263" s="1"/>
  <c r="SJE6" i="263"/>
  <c r="SJE118" i="263" s="1"/>
  <c r="SJF6" i="263"/>
  <c r="SJF118" i="263" s="1"/>
  <c r="SJG6" i="263"/>
  <c r="SJG118" i="263" s="1"/>
  <c r="SJH6" i="263"/>
  <c r="SJH118" i="263" s="1"/>
  <c r="SJI6" i="263"/>
  <c r="SJI118" i="263" s="1"/>
  <c r="SJJ6" i="263"/>
  <c r="SJJ118" i="263" s="1"/>
  <c r="SJK6" i="263"/>
  <c r="SJK118" i="263" s="1"/>
  <c r="SJL6" i="263"/>
  <c r="SJL118" i="263" s="1"/>
  <c r="SJM6" i="263"/>
  <c r="SJM118" i="263" s="1"/>
  <c r="SJN6" i="263"/>
  <c r="SJN118" i="263" s="1"/>
  <c r="SJO6" i="263"/>
  <c r="SJO118" i="263" s="1"/>
  <c r="SJP6" i="263"/>
  <c r="SJP118" i="263" s="1"/>
  <c r="SJQ6" i="263"/>
  <c r="SJQ118" i="263" s="1"/>
  <c r="SJR6" i="263"/>
  <c r="SJR118" i="263" s="1"/>
  <c r="SJS6" i="263"/>
  <c r="SJS118" i="263" s="1"/>
  <c r="SJT6" i="263"/>
  <c r="SJT118" i="263" s="1"/>
  <c r="SJU6" i="263"/>
  <c r="SJU118" i="263" s="1"/>
  <c r="SJV6" i="263"/>
  <c r="SJV118" i="263" s="1"/>
  <c r="SJW6" i="263"/>
  <c r="SJW118" i="263" s="1"/>
  <c r="SJX6" i="263"/>
  <c r="SJX118" i="263" s="1"/>
  <c r="SJY6" i="263"/>
  <c r="SJY118" i="263" s="1"/>
  <c r="SJZ6" i="263"/>
  <c r="SJZ118" i="263" s="1"/>
  <c r="SKA6" i="263"/>
  <c r="SKA118" i="263" s="1"/>
  <c r="SKB6" i="263"/>
  <c r="SKB118" i="263" s="1"/>
  <c r="SKC6" i="263"/>
  <c r="SKC118" i="263" s="1"/>
  <c r="SKD6" i="263"/>
  <c r="SKD118" i="263" s="1"/>
  <c r="SKE6" i="263"/>
  <c r="SKE118" i="263" s="1"/>
  <c r="SKF6" i="263"/>
  <c r="SKF118" i="263" s="1"/>
  <c r="SKG6" i="263"/>
  <c r="SKG118" i="263" s="1"/>
  <c r="SKH6" i="263"/>
  <c r="SKH118" i="263" s="1"/>
  <c r="SKI6" i="263"/>
  <c r="SKI118" i="263" s="1"/>
  <c r="SKJ6" i="263"/>
  <c r="SKJ118" i="263" s="1"/>
  <c r="SKK6" i="263"/>
  <c r="SKK118" i="263" s="1"/>
  <c r="SKL6" i="263"/>
  <c r="SKL118" i="263" s="1"/>
  <c r="SKM6" i="263"/>
  <c r="SKM118" i="263" s="1"/>
  <c r="SKN6" i="263"/>
  <c r="SKN118" i="263" s="1"/>
  <c r="SKO6" i="263"/>
  <c r="SKO118" i="263" s="1"/>
  <c r="SKP6" i="263"/>
  <c r="SKP118" i="263" s="1"/>
  <c r="SKQ6" i="263"/>
  <c r="SKQ118" i="263" s="1"/>
  <c r="SKR6" i="263"/>
  <c r="SKR118" i="263" s="1"/>
  <c r="SKS6" i="263"/>
  <c r="SKS118" i="263" s="1"/>
  <c r="SKT6" i="263"/>
  <c r="SKT118" i="263" s="1"/>
  <c r="SKU6" i="263"/>
  <c r="SKU118" i="263" s="1"/>
  <c r="SKV6" i="263"/>
  <c r="SKV118" i="263" s="1"/>
  <c r="SKW6" i="263"/>
  <c r="SKW118" i="263" s="1"/>
  <c r="SKX6" i="263"/>
  <c r="SKX118" i="263" s="1"/>
  <c r="SKY6" i="263"/>
  <c r="SKY118" i="263" s="1"/>
  <c r="SKZ6" i="263"/>
  <c r="SKZ118" i="263" s="1"/>
  <c r="SLA6" i="263"/>
  <c r="SLA118" i="263" s="1"/>
  <c r="SLB6" i="263"/>
  <c r="SLB118" i="263" s="1"/>
  <c r="SLC6" i="263"/>
  <c r="SLC118" i="263" s="1"/>
  <c r="SLD6" i="263"/>
  <c r="SLD118" i="263" s="1"/>
  <c r="SLE6" i="263"/>
  <c r="SLE118" i="263" s="1"/>
  <c r="SLF6" i="263"/>
  <c r="SLF118" i="263" s="1"/>
  <c r="SLG6" i="263"/>
  <c r="SLG118" i="263" s="1"/>
  <c r="SLH6" i="263"/>
  <c r="SLH118" i="263" s="1"/>
  <c r="SLI6" i="263"/>
  <c r="SLI118" i="263" s="1"/>
  <c r="SLJ6" i="263"/>
  <c r="SLJ118" i="263" s="1"/>
  <c r="SLK6" i="263"/>
  <c r="SLK118" i="263" s="1"/>
  <c r="SLL6" i="263"/>
  <c r="SLL118" i="263" s="1"/>
  <c r="SLM6" i="263"/>
  <c r="SLM118" i="263" s="1"/>
  <c r="SLN6" i="263"/>
  <c r="SLN118" i="263" s="1"/>
  <c r="SLO6" i="263"/>
  <c r="SLO118" i="263" s="1"/>
  <c r="SLP6" i="263"/>
  <c r="SLP118" i="263" s="1"/>
  <c r="SLQ6" i="263"/>
  <c r="SLQ118" i="263" s="1"/>
  <c r="SLR6" i="263"/>
  <c r="SLR118" i="263" s="1"/>
  <c r="SLS6" i="263"/>
  <c r="SLS118" i="263" s="1"/>
  <c r="SLT6" i="263"/>
  <c r="SLT118" i="263" s="1"/>
  <c r="SLU6" i="263"/>
  <c r="SLU118" i="263" s="1"/>
  <c r="SLV6" i="263"/>
  <c r="SLV118" i="263" s="1"/>
  <c r="SLW6" i="263"/>
  <c r="SLW118" i="263" s="1"/>
  <c r="SLX6" i="263"/>
  <c r="SLX118" i="263" s="1"/>
  <c r="SLY6" i="263"/>
  <c r="SLY118" i="263" s="1"/>
  <c r="SLZ6" i="263"/>
  <c r="SLZ118" i="263" s="1"/>
  <c r="SMA6" i="263"/>
  <c r="SMA118" i="263" s="1"/>
  <c r="SMB6" i="263"/>
  <c r="SMB118" i="263" s="1"/>
  <c r="SMC6" i="263"/>
  <c r="SMC118" i="263" s="1"/>
  <c r="SMD6" i="263"/>
  <c r="SMD118" i="263" s="1"/>
  <c r="SME6" i="263"/>
  <c r="SME118" i="263" s="1"/>
  <c r="SMF6" i="263"/>
  <c r="SMF118" i="263" s="1"/>
  <c r="SMG6" i="263"/>
  <c r="SMG118" i="263" s="1"/>
  <c r="SMH6" i="263"/>
  <c r="SMH118" i="263" s="1"/>
  <c r="SMI6" i="263"/>
  <c r="SMI118" i="263" s="1"/>
  <c r="SMJ6" i="263"/>
  <c r="SMJ118" i="263" s="1"/>
  <c r="SMK6" i="263"/>
  <c r="SMK118" i="263" s="1"/>
  <c r="SML6" i="263"/>
  <c r="SML118" i="263" s="1"/>
  <c r="SMM6" i="263"/>
  <c r="SMM118" i="263" s="1"/>
  <c r="SMN6" i="263"/>
  <c r="SMN118" i="263" s="1"/>
  <c r="SMO6" i="263"/>
  <c r="SMO118" i="263" s="1"/>
  <c r="SMP6" i="263"/>
  <c r="SMP118" i="263" s="1"/>
  <c r="SMQ6" i="263"/>
  <c r="SMQ118" i="263" s="1"/>
  <c r="SMR6" i="263"/>
  <c r="SMR118" i="263" s="1"/>
  <c r="SMS6" i="263"/>
  <c r="SMS118" i="263" s="1"/>
  <c r="SMT6" i="263"/>
  <c r="SMT118" i="263" s="1"/>
  <c r="SMU6" i="263"/>
  <c r="SMU118" i="263" s="1"/>
  <c r="SMV6" i="263"/>
  <c r="SMV118" i="263" s="1"/>
  <c r="SMW6" i="263"/>
  <c r="SMW118" i="263" s="1"/>
  <c r="SMX6" i="263"/>
  <c r="SMX118" i="263" s="1"/>
  <c r="SMY6" i="263"/>
  <c r="SMY118" i="263" s="1"/>
  <c r="SMZ6" i="263"/>
  <c r="SMZ118" i="263" s="1"/>
  <c r="SNA6" i="263"/>
  <c r="SNA118" i="263" s="1"/>
  <c r="SNB6" i="263"/>
  <c r="SNB118" i="263" s="1"/>
  <c r="SNC6" i="263"/>
  <c r="SNC118" i="263" s="1"/>
  <c r="SND6" i="263"/>
  <c r="SND118" i="263" s="1"/>
  <c r="SNE6" i="263"/>
  <c r="SNE118" i="263" s="1"/>
  <c r="SNF6" i="263"/>
  <c r="SNF118" i="263" s="1"/>
  <c r="SNG6" i="263"/>
  <c r="SNG118" i="263" s="1"/>
  <c r="SNH6" i="263"/>
  <c r="SNH118" i="263" s="1"/>
  <c r="SNI6" i="263"/>
  <c r="SNI118" i="263" s="1"/>
  <c r="SNJ6" i="263"/>
  <c r="SNJ118" i="263" s="1"/>
  <c r="SNK6" i="263"/>
  <c r="SNK118" i="263" s="1"/>
  <c r="SNL6" i="263"/>
  <c r="SNL118" i="263" s="1"/>
  <c r="SNM6" i="263"/>
  <c r="SNM118" i="263" s="1"/>
  <c r="SNN6" i="263"/>
  <c r="SNN118" i="263" s="1"/>
  <c r="SNO6" i="263"/>
  <c r="SNO118" i="263" s="1"/>
  <c r="SNP6" i="263"/>
  <c r="SNP118" i="263" s="1"/>
  <c r="SNQ6" i="263"/>
  <c r="SNQ118" i="263" s="1"/>
  <c r="SNR6" i="263"/>
  <c r="SNR118" i="263" s="1"/>
  <c r="SNS6" i="263"/>
  <c r="SNS118" i="263" s="1"/>
  <c r="SNT6" i="263"/>
  <c r="SNT118" i="263" s="1"/>
  <c r="SNU6" i="263"/>
  <c r="SNU118" i="263" s="1"/>
  <c r="SNV6" i="263"/>
  <c r="SNV118" i="263" s="1"/>
  <c r="SNW6" i="263"/>
  <c r="SNW118" i="263" s="1"/>
  <c r="SNX6" i="263"/>
  <c r="SNX118" i="263" s="1"/>
  <c r="SNY6" i="263"/>
  <c r="SNY118" i="263" s="1"/>
  <c r="SNZ6" i="263"/>
  <c r="SNZ118" i="263" s="1"/>
  <c r="SOA6" i="263"/>
  <c r="SOA118" i="263" s="1"/>
  <c r="SOB6" i="263"/>
  <c r="SOB118" i="263" s="1"/>
  <c r="SOC6" i="263"/>
  <c r="SOC118" i="263" s="1"/>
  <c r="SOD6" i="263"/>
  <c r="SOD118" i="263" s="1"/>
  <c r="SOE6" i="263"/>
  <c r="SOE118" i="263" s="1"/>
  <c r="SOF6" i="263"/>
  <c r="SOF118" i="263" s="1"/>
  <c r="SOG6" i="263"/>
  <c r="SOG118" i="263" s="1"/>
  <c r="SOH6" i="263"/>
  <c r="SOH118" i="263" s="1"/>
  <c r="SOI6" i="263"/>
  <c r="SOI118" i="263" s="1"/>
  <c r="SOJ6" i="263"/>
  <c r="SOJ118" i="263" s="1"/>
  <c r="SOK6" i="263"/>
  <c r="SOK118" i="263" s="1"/>
  <c r="SOL6" i="263"/>
  <c r="SOL118" i="263" s="1"/>
  <c r="SOM6" i="263"/>
  <c r="SOM118" i="263" s="1"/>
  <c r="SON6" i="263"/>
  <c r="SON118" i="263" s="1"/>
  <c r="SOO6" i="263"/>
  <c r="SOO118" i="263" s="1"/>
  <c r="SOP6" i="263"/>
  <c r="SOP118" i="263" s="1"/>
  <c r="SOQ6" i="263"/>
  <c r="SOQ118" i="263" s="1"/>
  <c r="SOR6" i="263"/>
  <c r="SOR118" i="263" s="1"/>
  <c r="SOS6" i="263"/>
  <c r="SOS118" i="263" s="1"/>
  <c r="SOT6" i="263"/>
  <c r="SOT118" i="263" s="1"/>
  <c r="SOU6" i="263"/>
  <c r="SOU118" i="263" s="1"/>
  <c r="SOV6" i="263"/>
  <c r="SOV118" i="263" s="1"/>
  <c r="SOW6" i="263"/>
  <c r="SOW118" i="263" s="1"/>
  <c r="SOX6" i="263"/>
  <c r="SOX118" i="263" s="1"/>
  <c r="SOY6" i="263"/>
  <c r="SOY118" i="263" s="1"/>
  <c r="SOZ6" i="263"/>
  <c r="SOZ118" i="263" s="1"/>
  <c r="SPA6" i="263"/>
  <c r="SPA118" i="263" s="1"/>
  <c r="SPB6" i="263"/>
  <c r="SPB118" i="263" s="1"/>
  <c r="SPC6" i="263"/>
  <c r="SPC118" i="263" s="1"/>
  <c r="SPD6" i="263"/>
  <c r="SPD118" i="263" s="1"/>
  <c r="SPE6" i="263"/>
  <c r="SPE118" i="263" s="1"/>
  <c r="SPF6" i="263"/>
  <c r="SPF118" i="263" s="1"/>
  <c r="SPG6" i="263"/>
  <c r="SPG118" i="263" s="1"/>
  <c r="SPH6" i="263"/>
  <c r="SPH118" i="263" s="1"/>
  <c r="SPI6" i="263"/>
  <c r="SPI118" i="263" s="1"/>
  <c r="SPJ6" i="263"/>
  <c r="SPJ118" i="263" s="1"/>
  <c r="SPK6" i="263"/>
  <c r="SPK118" i="263" s="1"/>
  <c r="SPL6" i="263"/>
  <c r="SPL118" i="263" s="1"/>
  <c r="SPM6" i="263"/>
  <c r="SPM118" i="263" s="1"/>
  <c r="SPN6" i="263"/>
  <c r="SPN118" i="263" s="1"/>
  <c r="SPO6" i="263"/>
  <c r="SPO118" i="263" s="1"/>
  <c r="SPP6" i="263"/>
  <c r="SPP118" i="263" s="1"/>
  <c r="SPQ6" i="263"/>
  <c r="SPQ118" i="263" s="1"/>
  <c r="SPR6" i="263"/>
  <c r="SPR118" i="263" s="1"/>
  <c r="SPS6" i="263"/>
  <c r="SPS118" i="263" s="1"/>
  <c r="SPT6" i="263"/>
  <c r="SPT118" i="263" s="1"/>
  <c r="SPU6" i="263"/>
  <c r="SPU118" i="263" s="1"/>
  <c r="SPV6" i="263"/>
  <c r="SPV118" i="263" s="1"/>
  <c r="SPW6" i="263"/>
  <c r="SPW118" i="263" s="1"/>
  <c r="SPX6" i="263"/>
  <c r="SPX118" i="263" s="1"/>
  <c r="SPY6" i="263"/>
  <c r="SPY118" i="263" s="1"/>
  <c r="SPZ6" i="263"/>
  <c r="SPZ118" i="263" s="1"/>
  <c r="SQA6" i="263"/>
  <c r="SQA118" i="263" s="1"/>
  <c r="SQB6" i="263"/>
  <c r="SQB118" i="263" s="1"/>
  <c r="SQC6" i="263"/>
  <c r="SQC118" i="263" s="1"/>
  <c r="SQD6" i="263"/>
  <c r="SQD118" i="263" s="1"/>
  <c r="SQE6" i="263"/>
  <c r="SQE118" i="263" s="1"/>
  <c r="SQF6" i="263"/>
  <c r="SQF118" i="263" s="1"/>
  <c r="SQG6" i="263"/>
  <c r="SQG118" i="263" s="1"/>
  <c r="SQH6" i="263"/>
  <c r="SQH118" i="263" s="1"/>
  <c r="SQI6" i="263"/>
  <c r="SQI118" i="263" s="1"/>
  <c r="SQJ6" i="263"/>
  <c r="SQJ118" i="263" s="1"/>
  <c r="SQK6" i="263"/>
  <c r="SQK118" i="263" s="1"/>
  <c r="SQL6" i="263"/>
  <c r="SQL118" i="263" s="1"/>
  <c r="SQM6" i="263"/>
  <c r="SQM118" i="263" s="1"/>
  <c r="SQN6" i="263"/>
  <c r="SQN118" i="263" s="1"/>
  <c r="SQO6" i="263"/>
  <c r="SQO118" i="263" s="1"/>
  <c r="SQP6" i="263"/>
  <c r="SQP118" i="263" s="1"/>
  <c r="SQQ6" i="263"/>
  <c r="SQQ118" i="263" s="1"/>
  <c r="SQR6" i="263"/>
  <c r="SQR118" i="263" s="1"/>
  <c r="SQS6" i="263"/>
  <c r="SQS118" i="263" s="1"/>
  <c r="SQT6" i="263"/>
  <c r="SQT118" i="263" s="1"/>
  <c r="SQU6" i="263"/>
  <c r="SQU118" i="263" s="1"/>
  <c r="SQV6" i="263"/>
  <c r="SQV118" i="263" s="1"/>
  <c r="SQW6" i="263"/>
  <c r="SQW118" i="263" s="1"/>
  <c r="SQX6" i="263"/>
  <c r="SQX118" i="263" s="1"/>
  <c r="SQY6" i="263"/>
  <c r="SQY118" i="263" s="1"/>
  <c r="SQZ6" i="263"/>
  <c r="SQZ118" i="263" s="1"/>
  <c r="SRA6" i="263"/>
  <c r="SRA118" i="263" s="1"/>
  <c r="SRB6" i="263"/>
  <c r="SRB118" i="263" s="1"/>
  <c r="SRC6" i="263"/>
  <c r="SRC118" i="263" s="1"/>
  <c r="SRD6" i="263"/>
  <c r="SRD118" i="263" s="1"/>
  <c r="SRE6" i="263"/>
  <c r="SRE118" i="263" s="1"/>
  <c r="SRF6" i="263"/>
  <c r="SRF118" i="263" s="1"/>
  <c r="SRG6" i="263"/>
  <c r="SRG118" i="263" s="1"/>
  <c r="SRH6" i="263"/>
  <c r="SRH118" i="263" s="1"/>
  <c r="SRI6" i="263"/>
  <c r="SRI118" i="263" s="1"/>
  <c r="SRJ6" i="263"/>
  <c r="SRJ118" i="263" s="1"/>
  <c r="SRK6" i="263"/>
  <c r="SRK118" i="263" s="1"/>
  <c r="SRL6" i="263"/>
  <c r="SRL118" i="263" s="1"/>
  <c r="SRM6" i="263"/>
  <c r="SRM118" i="263" s="1"/>
  <c r="SRN6" i="263"/>
  <c r="SRN118" i="263" s="1"/>
  <c r="SRO6" i="263"/>
  <c r="SRO118" i="263" s="1"/>
  <c r="SRP6" i="263"/>
  <c r="SRP118" i="263" s="1"/>
  <c r="SRQ6" i="263"/>
  <c r="SRQ118" i="263" s="1"/>
  <c r="SRR6" i="263"/>
  <c r="SRR118" i="263" s="1"/>
  <c r="SRS6" i="263"/>
  <c r="SRS118" i="263" s="1"/>
  <c r="SRT6" i="263"/>
  <c r="SRT118" i="263" s="1"/>
  <c r="SRU6" i="263"/>
  <c r="SRU118" i="263" s="1"/>
  <c r="SRV6" i="263"/>
  <c r="SRV118" i="263" s="1"/>
  <c r="SRW6" i="263"/>
  <c r="SRW118" i="263" s="1"/>
  <c r="SRX6" i="263"/>
  <c r="SRX118" i="263" s="1"/>
  <c r="SRY6" i="263"/>
  <c r="SRY118" i="263" s="1"/>
  <c r="SRZ6" i="263"/>
  <c r="SRZ118" i="263" s="1"/>
  <c r="SSA6" i="263"/>
  <c r="SSA118" i="263" s="1"/>
  <c r="SSB6" i="263"/>
  <c r="SSB118" i="263" s="1"/>
  <c r="SSC6" i="263"/>
  <c r="SSC118" i="263" s="1"/>
  <c r="SSD6" i="263"/>
  <c r="SSD118" i="263" s="1"/>
  <c r="SSE6" i="263"/>
  <c r="SSE118" i="263" s="1"/>
  <c r="SSF6" i="263"/>
  <c r="SSF118" i="263" s="1"/>
  <c r="SSG6" i="263"/>
  <c r="SSG118" i="263" s="1"/>
  <c r="SSH6" i="263"/>
  <c r="SSH118" i="263" s="1"/>
  <c r="SSI6" i="263"/>
  <c r="SSI118" i="263" s="1"/>
  <c r="SSJ6" i="263"/>
  <c r="SSJ118" i="263" s="1"/>
  <c r="SSK6" i="263"/>
  <c r="SSK118" i="263" s="1"/>
  <c r="SSL6" i="263"/>
  <c r="SSL118" i="263" s="1"/>
  <c r="SSM6" i="263"/>
  <c r="SSM118" i="263" s="1"/>
  <c r="SSN6" i="263"/>
  <c r="SSN118" i="263" s="1"/>
  <c r="SSO6" i="263"/>
  <c r="SSO118" i="263" s="1"/>
  <c r="SSP6" i="263"/>
  <c r="SSP118" i="263" s="1"/>
  <c r="SSQ6" i="263"/>
  <c r="SSQ118" i="263" s="1"/>
  <c r="SSR6" i="263"/>
  <c r="SSR118" i="263" s="1"/>
  <c r="SSS6" i="263"/>
  <c r="SSS118" i="263" s="1"/>
  <c r="SST6" i="263"/>
  <c r="SST118" i="263" s="1"/>
  <c r="SSU6" i="263"/>
  <c r="SSU118" i="263" s="1"/>
  <c r="SSV6" i="263"/>
  <c r="SSV118" i="263" s="1"/>
  <c r="SSW6" i="263"/>
  <c r="SSW118" i="263" s="1"/>
  <c r="SSX6" i="263"/>
  <c r="SSX118" i="263" s="1"/>
  <c r="SSY6" i="263"/>
  <c r="SSY118" i="263" s="1"/>
  <c r="SSZ6" i="263"/>
  <c r="SSZ118" i="263" s="1"/>
  <c r="STA6" i="263"/>
  <c r="STA118" i="263" s="1"/>
  <c r="STB6" i="263"/>
  <c r="STB118" i="263" s="1"/>
  <c r="STC6" i="263"/>
  <c r="STC118" i="263" s="1"/>
  <c r="STD6" i="263"/>
  <c r="STD118" i="263" s="1"/>
  <c r="STE6" i="263"/>
  <c r="STE118" i="263" s="1"/>
  <c r="STF6" i="263"/>
  <c r="STF118" i="263" s="1"/>
  <c r="STG6" i="263"/>
  <c r="STG118" i="263" s="1"/>
  <c r="STH6" i="263"/>
  <c r="STH118" i="263" s="1"/>
  <c r="STI6" i="263"/>
  <c r="STI118" i="263" s="1"/>
  <c r="STJ6" i="263"/>
  <c r="STJ118" i="263" s="1"/>
  <c r="STK6" i="263"/>
  <c r="STK118" i="263" s="1"/>
  <c r="STL6" i="263"/>
  <c r="STL118" i="263" s="1"/>
  <c r="STM6" i="263"/>
  <c r="STM118" i="263" s="1"/>
  <c r="STN6" i="263"/>
  <c r="STN118" i="263" s="1"/>
  <c r="STO6" i="263"/>
  <c r="STO118" i="263" s="1"/>
  <c r="STP6" i="263"/>
  <c r="STP118" i="263" s="1"/>
  <c r="STQ6" i="263"/>
  <c r="STQ118" i="263" s="1"/>
  <c r="STR6" i="263"/>
  <c r="STR118" i="263" s="1"/>
  <c r="STS6" i="263"/>
  <c r="STS118" i="263" s="1"/>
  <c r="STT6" i="263"/>
  <c r="STT118" i="263" s="1"/>
  <c r="STU6" i="263"/>
  <c r="STU118" i="263" s="1"/>
  <c r="STV6" i="263"/>
  <c r="STV118" i="263" s="1"/>
  <c r="STW6" i="263"/>
  <c r="STW118" i="263" s="1"/>
  <c r="STX6" i="263"/>
  <c r="STX118" i="263" s="1"/>
  <c r="STY6" i="263"/>
  <c r="STY118" i="263" s="1"/>
  <c r="STZ6" i="263"/>
  <c r="STZ118" i="263" s="1"/>
  <c r="SUA6" i="263"/>
  <c r="SUA118" i="263" s="1"/>
  <c r="SUB6" i="263"/>
  <c r="SUB118" i="263" s="1"/>
  <c r="SUC6" i="263"/>
  <c r="SUC118" i="263" s="1"/>
  <c r="SUD6" i="263"/>
  <c r="SUD118" i="263" s="1"/>
  <c r="SUE6" i="263"/>
  <c r="SUE118" i="263" s="1"/>
  <c r="SUF6" i="263"/>
  <c r="SUF118" i="263" s="1"/>
  <c r="SUG6" i="263"/>
  <c r="SUG118" i="263" s="1"/>
  <c r="SUH6" i="263"/>
  <c r="SUH118" i="263" s="1"/>
  <c r="SUI6" i="263"/>
  <c r="SUI118" i="263" s="1"/>
  <c r="SUJ6" i="263"/>
  <c r="SUJ118" i="263" s="1"/>
  <c r="SUK6" i="263"/>
  <c r="SUK118" i="263" s="1"/>
  <c r="SUL6" i="263"/>
  <c r="SUL118" i="263" s="1"/>
  <c r="SUM6" i="263"/>
  <c r="SUM118" i="263" s="1"/>
  <c r="SUN6" i="263"/>
  <c r="SUN118" i="263" s="1"/>
  <c r="SUO6" i="263"/>
  <c r="SUO118" i="263" s="1"/>
  <c r="SUP6" i="263"/>
  <c r="SUP118" i="263" s="1"/>
  <c r="SUQ6" i="263"/>
  <c r="SUQ118" i="263" s="1"/>
  <c r="SUR6" i="263"/>
  <c r="SUR118" i="263" s="1"/>
  <c r="SUS6" i="263"/>
  <c r="SUS118" i="263" s="1"/>
  <c r="SUT6" i="263"/>
  <c r="SUT118" i="263" s="1"/>
  <c r="SUU6" i="263"/>
  <c r="SUU118" i="263" s="1"/>
  <c r="SUV6" i="263"/>
  <c r="SUV118" i="263" s="1"/>
  <c r="SUW6" i="263"/>
  <c r="SUW118" i="263" s="1"/>
  <c r="SUX6" i="263"/>
  <c r="SUX118" i="263" s="1"/>
  <c r="SUY6" i="263"/>
  <c r="SUY118" i="263" s="1"/>
  <c r="SUZ6" i="263"/>
  <c r="SUZ118" i="263" s="1"/>
  <c r="SVA6" i="263"/>
  <c r="SVA118" i="263" s="1"/>
  <c r="SVB6" i="263"/>
  <c r="SVB118" i="263" s="1"/>
  <c r="SVC6" i="263"/>
  <c r="SVC118" i="263" s="1"/>
  <c r="SVD6" i="263"/>
  <c r="SVD118" i="263" s="1"/>
  <c r="SVE6" i="263"/>
  <c r="SVE118" i="263" s="1"/>
  <c r="SVF6" i="263"/>
  <c r="SVF118" i="263" s="1"/>
  <c r="SVG6" i="263"/>
  <c r="SVG118" i="263" s="1"/>
  <c r="SVH6" i="263"/>
  <c r="SVH118" i="263" s="1"/>
  <c r="SVI6" i="263"/>
  <c r="SVI118" i="263" s="1"/>
  <c r="SVJ6" i="263"/>
  <c r="SVJ118" i="263" s="1"/>
  <c r="SVK6" i="263"/>
  <c r="SVK118" i="263" s="1"/>
  <c r="SVL6" i="263"/>
  <c r="SVL118" i="263" s="1"/>
  <c r="SVM6" i="263"/>
  <c r="SVM118" i="263" s="1"/>
  <c r="SVN6" i="263"/>
  <c r="SVN118" i="263" s="1"/>
  <c r="SVO6" i="263"/>
  <c r="SVO118" i="263" s="1"/>
  <c r="SVP6" i="263"/>
  <c r="SVP118" i="263" s="1"/>
  <c r="SVQ6" i="263"/>
  <c r="SVQ118" i="263" s="1"/>
  <c r="SVR6" i="263"/>
  <c r="SVR118" i="263" s="1"/>
  <c r="SVS6" i="263"/>
  <c r="SVS118" i="263" s="1"/>
  <c r="SVT6" i="263"/>
  <c r="SVT118" i="263" s="1"/>
  <c r="SVU6" i="263"/>
  <c r="SVU118" i="263" s="1"/>
  <c r="SVV6" i="263"/>
  <c r="SVV118" i="263" s="1"/>
  <c r="SVW6" i="263"/>
  <c r="SVW118" i="263" s="1"/>
  <c r="SVX6" i="263"/>
  <c r="SVX118" i="263" s="1"/>
  <c r="SVY6" i="263"/>
  <c r="SVY118" i="263" s="1"/>
  <c r="SVZ6" i="263"/>
  <c r="SVZ118" i="263" s="1"/>
  <c r="SWA6" i="263"/>
  <c r="SWA118" i="263" s="1"/>
  <c r="SWB6" i="263"/>
  <c r="SWB118" i="263" s="1"/>
  <c r="SWC6" i="263"/>
  <c r="SWC118" i="263" s="1"/>
  <c r="SWD6" i="263"/>
  <c r="SWD118" i="263" s="1"/>
  <c r="SWE6" i="263"/>
  <c r="SWE118" i="263" s="1"/>
  <c r="SWF6" i="263"/>
  <c r="SWF118" i="263" s="1"/>
  <c r="SWG6" i="263"/>
  <c r="SWG118" i="263" s="1"/>
  <c r="SWH6" i="263"/>
  <c r="SWH118" i="263" s="1"/>
  <c r="SWI6" i="263"/>
  <c r="SWI118" i="263" s="1"/>
  <c r="SWJ6" i="263"/>
  <c r="SWJ118" i="263" s="1"/>
  <c r="SWK6" i="263"/>
  <c r="SWK118" i="263" s="1"/>
  <c r="SWL6" i="263"/>
  <c r="SWL118" i="263" s="1"/>
  <c r="SWM6" i="263"/>
  <c r="SWM118" i="263" s="1"/>
  <c r="SWN6" i="263"/>
  <c r="SWN118" i="263" s="1"/>
  <c r="SWO6" i="263"/>
  <c r="SWO118" i="263" s="1"/>
  <c r="SWP6" i="263"/>
  <c r="SWP118" i="263" s="1"/>
  <c r="SWQ6" i="263"/>
  <c r="SWQ118" i="263" s="1"/>
  <c r="SWR6" i="263"/>
  <c r="SWR118" i="263" s="1"/>
  <c r="SWS6" i="263"/>
  <c r="SWS118" i="263" s="1"/>
  <c r="SWT6" i="263"/>
  <c r="SWT118" i="263" s="1"/>
  <c r="SWU6" i="263"/>
  <c r="SWU118" i="263" s="1"/>
  <c r="SWV6" i="263"/>
  <c r="SWV118" i="263" s="1"/>
  <c r="SWW6" i="263"/>
  <c r="SWW118" i="263" s="1"/>
  <c r="SWX6" i="263"/>
  <c r="SWX118" i="263" s="1"/>
  <c r="SWY6" i="263"/>
  <c r="SWY118" i="263" s="1"/>
  <c r="SWZ6" i="263"/>
  <c r="SWZ118" i="263" s="1"/>
  <c r="SXA6" i="263"/>
  <c r="SXA118" i="263" s="1"/>
  <c r="SXB6" i="263"/>
  <c r="SXB118" i="263" s="1"/>
  <c r="SXC6" i="263"/>
  <c r="SXC118" i="263" s="1"/>
  <c r="SXD6" i="263"/>
  <c r="SXD118" i="263" s="1"/>
  <c r="SXE6" i="263"/>
  <c r="SXE118" i="263" s="1"/>
  <c r="SXF6" i="263"/>
  <c r="SXF118" i="263" s="1"/>
  <c r="SXG6" i="263"/>
  <c r="SXG118" i="263" s="1"/>
  <c r="SXH6" i="263"/>
  <c r="SXH118" i="263" s="1"/>
  <c r="SXI6" i="263"/>
  <c r="SXI118" i="263" s="1"/>
  <c r="SXJ6" i="263"/>
  <c r="SXJ118" i="263" s="1"/>
  <c r="SXK6" i="263"/>
  <c r="SXK118" i="263" s="1"/>
  <c r="SXL6" i="263"/>
  <c r="SXL118" i="263" s="1"/>
  <c r="SXM6" i="263"/>
  <c r="SXM118" i="263" s="1"/>
  <c r="SXN6" i="263"/>
  <c r="SXN118" i="263" s="1"/>
  <c r="SXO6" i="263"/>
  <c r="SXO118" i="263" s="1"/>
  <c r="SXP6" i="263"/>
  <c r="SXP118" i="263" s="1"/>
  <c r="SXQ6" i="263"/>
  <c r="SXQ118" i="263" s="1"/>
  <c r="SXR6" i="263"/>
  <c r="SXR118" i="263" s="1"/>
  <c r="SXS6" i="263"/>
  <c r="SXS118" i="263" s="1"/>
  <c r="SXT6" i="263"/>
  <c r="SXT118" i="263" s="1"/>
  <c r="SXU6" i="263"/>
  <c r="SXU118" i="263" s="1"/>
  <c r="SXV6" i="263"/>
  <c r="SXV118" i="263" s="1"/>
  <c r="SXW6" i="263"/>
  <c r="SXW118" i="263" s="1"/>
  <c r="SXX6" i="263"/>
  <c r="SXX118" i="263" s="1"/>
  <c r="SXY6" i="263"/>
  <c r="SXY118" i="263" s="1"/>
  <c r="SXZ6" i="263"/>
  <c r="SXZ118" i="263" s="1"/>
  <c r="SYA6" i="263"/>
  <c r="SYA118" i="263" s="1"/>
  <c r="SYB6" i="263"/>
  <c r="SYB118" i="263" s="1"/>
  <c r="SYC6" i="263"/>
  <c r="SYC118" i="263" s="1"/>
  <c r="SYD6" i="263"/>
  <c r="SYD118" i="263" s="1"/>
  <c r="SYE6" i="263"/>
  <c r="SYE118" i="263" s="1"/>
  <c r="SYF6" i="263"/>
  <c r="SYF118" i="263" s="1"/>
  <c r="SYG6" i="263"/>
  <c r="SYG118" i="263" s="1"/>
  <c r="SYH6" i="263"/>
  <c r="SYH118" i="263" s="1"/>
  <c r="SYI6" i="263"/>
  <c r="SYI118" i="263" s="1"/>
  <c r="SYJ6" i="263"/>
  <c r="SYJ118" i="263" s="1"/>
  <c r="SYK6" i="263"/>
  <c r="SYK118" i="263" s="1"/>
  <c r="SYL6" i="263"/>
  <c r="SYL118" i="263" s="1"/>
  <c r="SYM6" i="263"/>
  <c r="SYM118" i="263" s="1"/>
  <c r="SYN6" i="263"/>
  <c r="SYN118" i="263" s="1"/>
  <c r="SYO6" i="263"/>
  <c r="SYO118" i="263" s="1"/>
  <c r="SYP6" i="263"/>
  <c r="SYP118" i="263" s="1"/>
  <c r="SYQ6" i="263"/>
  <c r="SYQ118" i="263" s="1"/>
  <c r="SYR6" i="263"/>
  <c r="SYR118" i="263" s="1"/>
  <c r="SYS6" i="263"/>
  <c r="SYS118" i="263" s="1"/>
  <c r="SYT6" i="263"/>
  <c r="SYT118" i="263" s="1"/>
  <c r="SYU6" i="263"/>
  <c r="SYU118" i="263" s="1"/>
  <c r="SYV6" i="263"/>
  <c r="SYV118" i="263" s="1"/>
  <c r="SYW6" i="263"/>
  <c r="SYW118" i="263" s="1"/>
  <c r="SYX6" i="263"/>
  <c r="SYX118" i="263" s="1"/>
  <c r="SYY6" i="263"/>
  <c r="SYY118" i="263" s="1"/>
  <c r="SYZ6" i="263"/>
  <c r="SYZ118" i="263" s="1"/>
  <c r="SZA6" i="263"/>
  <c r="SZA118" i="263" s="1"/>
  <c r="SZB6" i="263"/>
  <c r="SZB118" i="263" s="1"/>
  <c r="SZC6" i="263"/>
  <c r="SZC118" i="263" s="1"/>
  <c r="SZD6" i="263"/>
  <c r="SZD118" i="263" s="1"/>
  <c r="SZE6" i="263"/>
  <c r="SZE118" i="263" s="1"/>
  <c r="SZF6" i="263"/>
  <c r="SZF118" i="263" s="1"/>
  <c r="SZG6" i="263"/>
  <c r="SZG118" i="263" s="1"/>
  <c r="SZH6" i="263"/>
  <c r="SZH118" i="263" s="1"/>
  <c r="SZI6" i="263"/>
  <c r="SZI118" i="263" s="1"/>
  <c r="SZJ6" i="263"/>
  <c r="SZJ118" i="263" s="1"/>
  <c r="SZK6" i="263"/>
  <c r="SZK118" i="263" s="1"/>
  <c r="SZL6" i="263"/>
  <c r="SZL118" i="263" s="1"/>
  <c r="SZM6" i="263"/>
  <c r="SZM118" i="263" s="1"/>
  <c r="SZN6" i="263"/>
  <c r="SZN118" i="263" s="1"/>
  <c r="SZO6" i="263"/>
  <c r="SZO118" i="263" s="1"/>
  <c r="SZP6" i="263"/>
  <c r="SZP118" i="263" s="1"/>
  <c r="SZQ6" i="263"/>
  <c r="SZQ118" i="263" s="1"/>
  <c r="SZR6" i="263"/>
  <c r="SZR118" i="263" s="1"/>
  <c r="SZS6" i="263"/>
  <c r="SZS118" i="263" s="1"/>
  <c r="SZT6" i="263"/>
  <c r="SZT118" i="263" s="1"/>
  <c r="SZU6" i="263"/>
  <c r="SZU118" i="263" s="1"/>
  <c r="SZV6" i="263"/>
  <c r="SZV118" i="263" s="1"/>
  <c r="SZW6" i="263"/>
  <c r="SZW118" i="263" s="1"/>
  <c r="SZX6" i="263"/>
  <c r="SZX118" i="263" s="1"/>
  <c r="SZY6" i="263"/>
  <c r="SZY118" i="263" s="1"/>
  <c r="SZZ6" i="263"/>
  <c r="SZZ118" i="263" s="1"/>
  <c r="TAA6" i="263"/>
  <c r="TAA118" i="263" s="1"/>
  <c r="TAB6" i="263"/>
  <c r="TAB118" i="263" s="1"/>
  <c r="TAC6" i="263"/>
  <c r="TAC118" i="263" s="1"/>
  <c r="TAD6" i="263"/>
  <c r="TAD118" i="263" s="1"/>
  <c r="TAE6" i="263"/>
  <c r="TAE118" i="263" s="1"/>
  <c r="TAF6" i="263"/>
  <c r="TAF118" i="263" s="1"/>
  <c r="TAG6" i="263"/>
  <c r="TAG118" i="263" s="1"/>
  <c r="TAH6" i="263"/>
  <c r="TAH118" i="263" s="1"/>
  <c r="TAI6" i="263"/>
  <c r="TAI118" i="263" s="1"/>
  <c r="TAJ6" i="263"/>
  <c r="TAJ118" i="263" s="1"/>
  <c r="TAK6" i="263"/>
  <c r="TAK118" i="263" s="1"/>
  <c r="TAL6" i="263"/>
  <c r="TAL118" i="263" s="1"/>
  <c r="TAM6" i="263"/>
  <c r="TAM118" i="263" s="1"/>
  <c r="TAN6" i="263"/>
  <c r="TAN118" i="263" s="1"/>
  <c r="TAO6" i="263"/>
  <c r="TAO118" i="263" s="1"/>
  <c r="TAP6" i="263"/>
  <c r="TAP118" i="263" s="1"/>
  <c r="TAQ6" i="263"/>
  <c r="TAQ118" i="263" s="1"/>
  <c r="TAR6" i="263"/>
  <c r="TAR118" i="263" s="1"/>
  <c r="TAS6" i="263"/>
  <c r="TAS118" i="263" s="1"/>
  <c r="TAT6" i="263"/>
  <c r="TAT118" i="263" s="1"/>
  <c r="TAU6" i="263"/>
  <c r="TAU118" i="263" s="1"/>
  <c r="TAV6" i="263"/>
  <c r="TAV118" i="263" s="1"/>
  <c r="TAW6" i="263"/>
  <c r="TAW118" i="263" s="1"/>
  <c r="TAX6" i="263"/>
  <c r="TAX118" i="263" s="1"/>
  <c r="TAY6" i="263"/>
  <c r="TAY118" i="263" s="1"/>
  <c r="TAZ6" i="263"/>
  <c r="TAZ118" i="263" s="1"/>
  <c r="TBA6" i="263"/>
  <c r="TBA118" i="263" s="1"/>
  <c r="TBB6" i="263"/>
  <c r="TBB118" i="263" s="1"/>
  <c r="TBC6" i="263"/>
  <c r="TBC118" i="263" s="1"/>
  <c r="TBD6" i="263"/>
  <c r="TBD118" i="263" s="1"/>
  <c r="TBE6" i="263"/>
  <c r="TBE118" i="263" s="1"/>
  <c r="TBF6" i="263"/>
  <c r="TBF118" i="263" s="1"/>
  <c r="TBG6" i="263"/>
  <c r="TBG118" i="263" s="1"/>
  <c r="TBH6" i="263"/>
  <c r="TBH118" i="263" s="1"/>
  <c r="TBI6" i="263"/>
  <c r="TBI118" i="263" s="1"/>
  <c r="TBJ6" i="263"/>
  <c r="TBJ118" i="263" s="1"/>
  <c r="TBK6" i="263"/>
  <c r="TBK118" i="263" s="1"/>
  <c r="TBL6" i="263"/>
  <c r="TBL118" i="263" s="1"/>
  <c r="TBM6" i="263"/>
  <c r="TBM118" i="263" s="1"/>
  <c r="TBN6" i="263"/>
  <c r="TBN118" i="263" s="1"/>
  <c r="TBO6" i="263"/>
  <c r="TBO118" i="263" s="1"/>
  <c r="TBP6" i="263"/>
  <c r="TBP118" i="263" s="1"/>
  <c r="TBQ6" i="263"/>
  <c r="TBQ118" i="263" s="1"/>
  <c r="TBR6" i="263"/>
  <c r="TBR118" i="263" s="1"/>
  <c r="TBS6" i="263"/>
  <c r="TBS118" i="263" s="1"/>
  <c r="TBT6" i="263"/>
  <c r="TBT118" i="263" s="1"/>
  <c r="TBU6" i="263"/>
  <c r="TBU118" i="263" s="1"/>
  <c r="TBV6" i="263"/>
  <c r="TBV118" i="263" s="1"/>
  <c r="TBW6" i="263"/>
  <c r="TBW118" i="263" s="1"/>
  <c r="TBX6" i="263"/>
  <c r="TBX118" i="263" s="1"/>
  <c r="TBY6" i="263"/>
  <c r="TBY118" i="263" s="1"/>
  <c r="TBZ6" i="263"/>
  <c r="TBZ118" i="263" s="1"/>
  <c r="TCA6" i="263"/>
  <c r="TCA118" i="263" s="1"/>
  <c r="TCB6" i="263"/>
  <c r="TCB118" i="263" s="1"/>
  <c r="TCC6" i="263"/>
  <c r="TCC118" i="263" s="1"/>
  <c r="TCD6" i="263"/>
  <c r="TCD118" i="263" s="1"/>
  <c r="TCE6" i="263"/>
  <c r="TCE118" i="263" s="1"/>
  <c r="TCF6" i="263"/>
  <c r="TCF118" i="263" s="1"/>
  <c r="TCG6" i="263"/>
  <c r="TCG118" i="263" s="1"/>
  <c r="TCH6" i="263"/>
  <c r="TCH118" i="263" s="1"/>
  <c r="TCI6" i="263"/>
  <c r="TCI118" i="263" s="1"/>
  <c r="TCJ6" i="263"/>
  <c r="TCJ118" i="263" s="1"/>
  <c r="TCK6" i="263"/>
  <c r="TCK118" i="263" s="1"/>
  <c r="TCL6" i="263"/>
  <c r="TCL118" i="263" s="1"/>
  <c r="TCM6" i="263"/>
  <c r="TCM118" i="263" s="1"/>
  <c r="TCN6" i="263"/>
  <c r="TCN118" i="263" s="1"/>
  <c r="TCO6" i="263"/>
  <c r="TCO118" i="263" s="1"/>
  <c r="TCP6" i="263"/>
  <c r="TCP118" i="263" s="1"/>
  <c r="TCQ6" i="263"/>
  <c r="TCQ118" i="263" s="1"/>
  <c r="TCR6" i="263"/>
  <c r="TCR118" i="263" s="1"/>
  <c r="TCS6" i="263"/>
  <c r="TCS118" i="263" s="1"/>
  <c r="TCT6" i="263"/>
  <c r="TCT118" i="263" s="1"/>
  <c r="TCU6" i="263"/>
  <c r="TCU118" i="263" s="1"/>
  <c r="TCV6" i="263"/>
  <c r="TCV118" i="263" s="1"/>
  <c r="TCW6" i="263"/>
  <c r="TCW118" i="263" s="1"/>
  <c r="TCX6" i="263"/>
  <c r="TCX118" i="263" s="1"/>
  <c r="TCY6" i="263"/>
  <c r="TCY118" i="263" s="1"/>
  <c r="TCZ6" i="263"/>
  <c r="TCZ118" i="263" s="1"/>
  <c r="TDA6" i="263"/>
  <c r="TDA118" i="263" s="1"/>
  <c r="TDB6" i="263"/>
  <c r="TDB118" i="263" s="1"/>
  <c r="TDC6" i="263"/>
  <c r="TDC118" i="263" s="1"/>
  <c r="TDD6" i="263"/>
  <c r="TDD118" i="263" s="1"/>
  <c r="TDE6" i="263"/>
  <c r="TDE118" i="263" s="1"/>
  <c r="TDF6" i="263"/>
  <c r="TDF118" i="263" s="1"/>
  <c r="TDG6" i="263"/>
  <c r="TDG118" i="263" s="1"/>
  <c r="TDH6" i="263"/>
  <c r="TDH118" i="263" s="1"/>
  <c r="TDI6" i="263"/>
  <c r="TDI118" i="263" s="1"/>
  <c r="TDJ6" i="263"/>
  <c r="TDJ118" i="263" s="1"/>
  <c r="TDK6" i="263"/>
  <c r="TDK118" i="263" s="1"/>
  <c r="TDL6" i="263"/>
  <c r="TDL118" i="263" s="1"/>
  <c r="TDM6" i="263"/>
  <c r="TDM118" i="263" s="1"/>
  <c r="TDN6" i="263"/>
  <c r="TDN118" i="263" s="1"/>
  <c r="TDO6" i="263"/>
  <c r="TDO118" i="263" s="1"/>
  <c r="TDP6" i="263"/>
  <c r="TDP118" i="263" s="1"/>
  <c r="TDQ6" i="263"/>
  <c r="TDQ118" i="263" s="1"/>
  <c r="TDR6" i="263"/>
  <c r="TDR118" i="263" s="1"/>
  <c r="TDS6" i="263"/>
  <c r="TDS118" i="263" s="1"/>
  <c r="TDT6" i="263"/>
  <c r="TDT118" i="263" s="1"/>
  <c r="TDU6" i="263"/>
  <c r="TDU118" i="263" s="1"/>
  <c r="TDV6" i="263"/>
  <c r="TDV118" i="263" s="1"/>
  <c r="TDW6" i="263"/>
  <c r="TDW118" i="263" s="1"/>
  <c r="TDX6" i="263"/>
  <c r="TDX118" i="263" s="1"/>
  <c r="TDY6" i="263"/>
  <c r="TDY118" i="263" s="1"/>
  <c r="TDZ6" i="263"/>
  <c r="TDZ118" i="263" s="1"/>
  <c r="TEA6" i="263"/>
  <c r="TEA118" i="263" s="1"/>
  <c r="TEB6" i="263"/>
  <c r="TEB118" i="263" s="1"/>
  <c r="TEC6" i="263"/>
  <c r="TEC118" i="263" s="1"/>
  <c r="TED6" i="263"/>
  <c r="TED118" i="263" s="1"/>
  <c r="TEE6" i="263"/>
  <c r="TEE118" i="263" s="1"/>
  <c r="TEF6" i="263"/>
  <c r="TEF118" i="263" s="1"/>
  <c r="TEG6" i="263"/>
  <c r="TEG118" i="263" s="1"/>
  <c r="TEH6" i="263"/>
  <c r="TEH118" i="263" s="1"/>
  <c r="TEI6" i="263"/>
  <c r="TEI118" i="263" s="1"/>
  <c r="TEJ6" i="263"/>
  <c r="TEJ118" i="263" s="1"/>
  <c r="TEK6" i="263"/>
  <c r="TEK118" i="263" s="1"/>
  <c r="TEL6" i="263"/>
  <c r="TEL118" i="263" s="1"/>
  <c r="TEM6" i="263"/>
  <c r="TEM118" i="263" s="1"/>
  <c r="TEN6" i="263"/>
  <c r="TEN118" i="263" s="1"/>
  <c r="TEO6" i="263"/>
  <c r="TEO118" i="263" s="1"/>
  <c r="TEP6" i="263"/>
  <c r="TEP118" i="263" s="1"/>
  <c r="TEQ6" i="263"/>
  <c r="TEQ118" i="263" s="1"/>
  <c r="TER6" i="263"/>
  <c r="TER118" i="263" s="1"/>
  <c r="TES6" i="263"/>
  <c r="TES118" i="263" s="1"/>
  <c r="TET6" i="263"/>
  <c r="TET118" i="263" s="1"/>
  <c r="TEU6" i="263"/>
  <c r="TEU118" i="263" s="1"/>
  <c r="TEV6" i="263"/>
  <c r="TEV118" i="263" s="1"/>
  <c r="TEW6" i="263"/>
  <c r="TEW118" i="263" s="1"/>
  <c r="TEX6" i="263"/>
  <c r="TEX118" i="263" s="1"/>
  <c r="TEY6" i="263"/>
  <c r="TEY118" i="263" s="1"/>
  <c r="TEZ6" i="263"/>
  <c r="TEZ118" i="263" s="1"/>
  <c r="TFA6" i="263"/>
  <c r="TFA118" i="263" s="1"/>
  <c r="TFB6" i="263"/>
  <c r="TFB118" i="263" s="1"/>
  <c r="TFC6" i="263"/>
  <c r="TFC118" i="263" s="1"/>
  <c r="TFD6" i="263"/>
  <c r="TFD118" i="263" s="1"/>
  <c r="TFE6" i="263"/>
  <c r="TFE118" i="263" s="1"/>
  <c r="TFF6" i="263"/>
  <c r="TFF118" i="263" s="1"/>
  <c r="TFG6" i="263"/>
  <c r="TFG118" i="263" s="1"/>
  <c r="TFH6" i="263"/>
  <c r="TFH118" i="263" s="1"/>
  <c r="TFI6" i="263"/>
  <c r="TFI118" i="263" s="1"/>
  <c r="TFJ6" i="263"/>
  <c r="TFJ118" i="263" s="1"/>
  <c r="TFK6" i="263"/>
  <c r="TFK118" i="263" s="1"/>
  <c r="TFL6" i="263"/>
  <c r="TFL118" i="263" s="1"/>
  <c r="TFM6" i="263"/>
  <c r="TFM118" i="263" s="1"/>
  <c r="TFN6" i="263"/>
  <c r="TFN118" i="263" s="1"/>
  <c r="TFO6" i="263"/>
  <c r="TFO118" i="263" s="1"/>
  <c r="TFP6" i="263"/>
  <c r="TFP118" i="263" s="1"/>
  <c r="TFQ6" i="263"/>
  <c r="TFQ118" i="263" s="1"/>
  <c r="TFR6" i="263"/>
  <c r="TFR118" i="263" s="1"/>
  <c r="TFS6" i="263"/>
  <c r="TFS118" i="263" s="1"/>
  <c r="TFT6" i="263"/>
  <c r="TFT118" i="263" s="1"/>
  <c r="TFU6" i="263"/>
  <c r="TFU118" i="263" s="1"/>
  <c r="TFV6" i="263"/>
  <c r="TFV118" i="263" s="1"/>
  <c r="TFW6" i="263"/>
  <c r="TFW118" i="263" s="1"/>
  <c r="TFX6" i="263"/>
  <c r="TFX118" i="263" s="1"/>
  <c r="TFY6" i="263"/>
  <c r="TFY118" i="263" s="1"/>
  <c r="TFZ6" i="263"/>
  <c r="TFZ118" i="263" s="1"/>
  <c r="TGA6" i="263"/>
  <c r="TGA118" i="263" s="1"/>
  <c r="TGB6" i="263"/>
  <c r="TGB118" i="263" s="1"/>
  <c r="TGC6" i="263"/>
  <c r="TGC118" i="263" s="1"/>
  <c r="TGD6" i="263"/>
  <c r="TGD118" i="263" s="1"/>
  <c r="TGE6" i="263"/>
  <c r="TGE118" i="263" s="1"/>
  <c r="TGF6" i="263"/>
  <c r="TGF118" i="263" s="1"/>
  <c r="TGG6" i="263"/>
  <c r="TGG118" i="263" s="1"/>
  <c r="TGH6" i="263"/>
  <c r="TGH118" i="263" s="1"/>
  <c r="TGI6" i="263"/>
  <c r="TGI118" i="263" s="1"/>
  <c r="TGJ6" i="263"/>
  <c r="TGJ118" i="263" s="1"/>
  <c r="TGK6" i="263"/>
  <c r="TGK118" i="263" s="1"/>
  <c r="TGL6" i="263"/>
  <c r="TGL118" i="263" s="1"/>
  <c r="TGM6" i="263"/>
  <c r="TGM118" i="263" s="1"/>
  <c r="TGN6" i="263"/>
  <c r="TGN118" i="263" s="1"/>
  <c r="TGO6" i="263"/>
  <c r="TGO118" i="263" s="1"/>
  <c r="TGP6" i="263"/>
  <c r="TGP118" i="263" s="1"/>
  <c r="TGQ6" i="263"/>
  <c r="TGQ118" i="263" s="1"/>
  <c r="TGR6" i="263"/>
  <c r="TGR118" i="263" s="1"/>
  <c r="TGS6" i="263"/>
  <c r="TGS118" i="263" s="1"/>
  <c r="TGT6" i="263"/>
  <c r="TGT118" i="263" s="1"/>
  <c r="TGU6" i="263"/>
  <c r="TGU118" i="263" s="1"/>
  <c r="TGV6" i="263"/>
  <c r="TGV118" i="263" s="1"/>
  <c r="TGW6" i="263"/>
  <c r="TGW118" i="263" s="1"/>
  <c r="TGX6" i="263"/>
  <c r="TGX118" i="263" s="1"/>
  <c r="TGY6" i="263"/>
  <c r="TGY118" i="263" s="1"/>
  <c r="TGZ6" i="263"/>
  <c r="TGZ118" i="263" s="1"/>
  <c r="THA6" i="263"/>
  <c r="THA118" i="263" s="1"/>
  <c r="THB6" i="263"/>
  <c r="THB118" i="263" s="1"/>
  <c r="THC6" i="263"/>
  <c r="THC118" i="263" s="1"/>
  <c r="THD6" i="263"/>
  <c r="THD118" i="263" s="1"/>
  <c r="THE6" i="263"/>
  <c r="THE118" i="263" s="1"/>
  <c r="THF6" i="263"/>
  <c r="THF118" i="263" s="1"/>
  <c r="THG6" i="263"/>
  <c r="THG118" i="263" s="1"/>
  <c r="THH6" i="263"/>
  <c r="THH118" i="263" s="1"/>
  <c r="THI6" i="263"/>
  <c r="THI118" i="263" s="1"/>
  <c r="THJ6" i="263"/>
  <c r="THJ118" i="263" s="1"/>
  <c r="THK6" i="263"/>
  <c r="THK118" i="263" s="1"/>
  <c r="THL6" i="263"/>
  <c r="THL118" i="263" s="1"/>
  <c r="THM6" i="263"/>
  <c r="THM118" i="263" s="1"/>
  <c r="THN6" i="263"/>
  <c r="THN118" i="263" s="1"/>
  <c r="THO6" i="263"/>
  <c r="THO118" i="263" s="1"/>
  <c r="THP6" i="263"/>
  <c r="THP118" i="263" s="1"/>
  <c r="THQ6" i="263"/>
  <c r="THQ118" i="263" s="1"/>
  <c r="THR6" i="263"/>
  <c r="THR118" i="263" s="1"/>
  <c r="THS6" i="263"/>
  <c r="THS118" i="263" s="1"/>
  <c r="THT6" i="263"/>
  <c r="THT118" i="263" s="1"/>
  <c r="THU6" i="263"/>
  <c r="THU118" i="263" s="1"/>
  <c r="THV6" i="263"/>
  <c r="THV118" i="263" s="1"/>
  <c r="THW6" i="263"/>
  <c r="THW118" i="263" s="1"/>
  <c r="THX6" i="263"/>
  <c r="THX118" i="263" s="1"/>
  <c r="THY6" i="263"/>
  <c r="THY118" i="263" s="1"/>
  <c r="THZ6" i="263"/>
  <c r="THZ118" i="263" s="1"/>
  <c r="TIA6" i="263"/>
  <c r="TIA118" i="263" s="1"/>
  <c r="TIB6" i="263"/>
  <c r="TIB118" i="263" s="1"/>
  <c r="TIC6" i="263"/>
  <c r="TIC118" i="263" s="1"/>
  <c r="TID6" i="263"/>
  <c r="TID118" i="263" s="1"/>
  <c r="TIE6" i="263"/>
  <c r="TIE118" i="263" s="1"/>
  <c r="TIF6" i="263"/>
  <c r="TIF118" i="263" s="1"/>
  <c r="TIG6" i="263"/>
  <c r="TIG118" i="263" s="1"/>
  <c r="TIH6" i="263"/>
  <c r="TIH118" i="263" s="1"/>
  <c r="TII6" i="263"/>
  <c r="TII118" i="263" s="1"/>
  <c r="TIJ6" i="263"/>
  <c r="TIJ118" i="263" s="1"/>
  <c r="TIK6" i="263"/>
  <c r="TIK118" i="263" s="1"/>
  <c r="TIL6" i="263"/>
  <c r="TIL118" i="263" s="1"/>
  <c r="TIM6" i="263"/>
  <c r="TIM118" i="263" s="1"/>
  <c r="TIN6" i="263"/>
  <c r="TIN118" i="263" s="1"/>
  <c r="TIO6" i="263"/>
  <c r="TIO118" i="263" s="1"/>
  <c r="TIP6" i="263"/>
  <c r="TIP118" i="263" s="1"/>
  <c r="TIQ6" i="263"/>
  <c r="TIQ118" i="263" s="1"/>
  <c r="TIR6" i="263"/>
  <c r="TIR118" i="263" s="1"/>
  <c r="TIS6" i="263"/>
  <c r="TIS118" i="263" s="1"/>
  <c r="TIT6" i="263"/>
  <c r="TIT118" i="263" s="1"/>
  <c r="TIU6" i="263"/>
  <c r="TIU118" i="263" s="1"/>
  <c r="TIV6" i="263"/>
  <c r="TIV118" i="263" s="1"/>
  <c r="TIW6" i="263"/>
  <c r="TIW118" i="263" s="1"/>
  <c r="TIX6" i="263"/>
  <c r="TIX118" i="263" s="1"/>
  <c r="TIY6" i="263"/>
  <c r="TIY118" i="263" s="1"/>
  <c r="TIZ6" i="263"/>
  <c r="TIZ118" i="263" s="1"/>
  <c r="TJA6" i="263"/>
  <c r="TJA118" i="263" s="1"/>
  <c r="TJB6" i="263"/>
  <c r="TJB118" i="263" s="1"/>
  <c r="TJC6" i="263"/>
  <c r="TJC118" i="263" s="1"/>
  <c r="TJD6" i="263"/>
  <c r="TJD118" i="263" s="1"/>
  <c r="TJE6" i="263"/>
  <c r="TJE118" i="263" s="1"/>
  <c r="TJF6" i="263"/>
  <c r="TJF118" i="263" s="1"/>
  <c r="TJG6" i="263"/>
  <c r="TJG118" i="263" s="1"/>
  <c r="TJH6" i="263"/>
  <c r="TJH118" i="263" s="1"/>
  <c r="TJI6" i="263"/>
  <c r="TJI118" i="263" s="1"/>
  <c r="TJJ6" i="263"/>
  <c r="TJJ118" i="263" s="1"/>
  <c r="TJK6" i="263"/>
  <c r="TJK118" i="263" s="1"/>
  <c r="TJL6" i="263"/>
  <c r="TJL118" i="263" s="1"/>
  <c r="TJM6" i="263"/>
  <c r="TJM118" i="263" s="1"/>
  <c r="TJN6" i="263"/>
  <c r="TJN118" i="263" s="1"/>
  <c r="TJO6" i="263"/>
  <c r="TJO118" i="263" s="1"/>
  <c r="TJP6" i="263"/>
  <c r="TJP118" i="263" s="1"/>
  <c r="TJQ6" i="263"/>
  <c r="TJQ118" i="263" s="1"/>
  <c r="TJR6" i="263"/>
  <c r="TJR118" i="263" s="1"/>
  <c r="TJS6" i="263"/>
  <c r="TJS118" i="263" s="1"/>
  <c r="TJT6" i="263"/>
  <c r="TJT118" i="263" s="1"/>
  <c r="TJU6" i="263"/>
  <c r="TJU118" i="263" s="1"/>
  <c r="TJV6" i="263"/>
  <c r="TJV118" i="263" s="1"/>
  <c r="TJW6" i="263"/>
  <c r="TJW118" i="263" s="1"/>
  <c r="TJX6" i="263"/>
  <c r="TJX118" i="263" s="1"/>
  <c r="TJY6" i="263"/>
  <c r="TJY118" i="263" s="1"/>
  <c r="TJZ6" i="263"/>
  <c r="TJZ118" i="263" s="1"/>
  <c r="TKA6" i="263"/>
  <c r="TKA118" i="263" s="1"/>
  <c r="TKB6" i="263"/>
  <c r="TKB118" i="263" s="1"/>
  <c r="TKC6" i="263"/>
  <c r="TKC118" i="263" s="1"/>
  <c r="TKD6" i="263"/>
  <c r="TKD118" i="263" s="1"/>
  <c r="TKE6" i="263"/>
  <c r="TKE118" i="263" s="1"/>
  <c r="TKF6" i="263"/>
  <c r="TKF118" i="263" s="1"/>
  <c r="TKG6" i="263"/>
  <c r="TKG118" i="263" s="1"/>
  <c r="TKH6" i="263"/>
  <c r="TKH118" i="263" s="1"/>
  <c r="TKI6" i="263"/>
  <c r="TKI118" i="263" s="1"/>
  <c r="TKJ6" i="263"/>
  <c r="TKJ118" i="263" s="1"/>
  <c r="TKK6" i="263"/>
  <c r="TKK118" i="263" s="1"/>
  <c r="TKL6" i="263"/>
  <c r="TKL118" i="263" s="1"/>
  <c r="TKM6" i="263"/>
  <c r="TKM118" i="263" s="1"/>
  <c r="TKN6" i="263"/>
  <c r="TKN118" i="263" s="1"/>
  <c r="TKO6" i="263"/>
  <c r="TKO118" i="263" s="1"/>
  <c r="TKP6" i="263"/>
  <c r="TKP118" i="263" s="1"/>
  <c r="TKQ6" i="263"/>
  <c r="TKQ118" i="263" s="1"/>
  <c r="TKR6" i="263"/>
  <c r="TKR118" i="263" s="1"/>
  <c r="TKS6" i="263"/>
  <c r="TKS118" i="263" s="1"/>
  <c r="TKT6" i="263"/>
  <c r="TKT118" i="263" s="1"/>
  <c r="TKU6" i="263"/>
  <c r="TKU118" i="263" s="1"/>
  <c r="TKV6" i="263"/>
  <c r="TKV118" i="263" s="1"/>
  <c r="TKW6" i="263"/>
  <c r="TKW118" i="263" s="1"/>
  <c r="TKX6" i="263"/>
  <c r="TKX118" i="263" s="1"/>
  <c r="TKY6" i="263"/>
  <c r="TKY118" i="263" s="1"/>
  <c r="TKZ6" i="263"/>
  <c r="TKZ118" i="263" s="1"/>
  <c r="TLA6" i="263"/>
  <c r="TLA118" i="263" s="1"/>
  <c r="TLB6" i="263"/>
  <c r="TLB118" i="263" s="1"/>
  <c r="TLC6" i="263"/>
  <c r="TLC118" i="263" s="1"/>
  <c r="TLD6" i="263"/>
  <c r="TLD118" i="263" s="1"/>
  <c r="TLE6" i="263"/>
  <c r="TLE118" i="263" s="1"/>
  <c r="TLF6" i="263"/>
  <c r="TLF118" i="263" s="1"/>
  <c r="TLG6" i="263"/>
  <c r="TLG118" i="263" s="1"/>
  <c r="TLH6" i="263"/>
  <c r="TLH118" i="263" s="1"/>
  <c r="TLI6" i="263"/>
  <c r="TLI118" i="263" s="1"/>
  <c r="TLJ6" i="263"/>
  <c r="TLJ118" i="263" s="1"/>
  <c r="TLK6" i="263"/>
  <c r="TLK118" i="263" s="1"/>
  <c r="TLL6" i="263"/>
  <c r="TLL118" i="263" s="1"/>
  <c r="TLM6" i="263"/>
  <c r="TLM118" i="263" s="1"/>
  <c r="TLN6" i="263"/>
  <c r="TLN118" i="263" s="1"/>
  <c r="TLO6" i="263"/>
  <c r="TLO118" i="263" s="1"/>
  <c r="TLP6" i="263"/>
  <c r="TLP118" i="263" s="1"/>
  <c r="TLQ6" i="263"/>
  <c r="TLQ118" i="263" s="1"/>
  <c r="TLR6" i="263"/>
  <c r="TLR118" i="263" s="1"/>
  <c r="TLS6" i="263"/>
  <c r="TLS118" i="263" s="1"/>
  <c r="TLT6" i="263"/>
  <c r="TLT118" i="263" s="1"/>
  <c r="TLU6" i="263"/>
  <c r="TLU118" i="263" s="1"/>
  <c r="TLV6" i="263"/>
  <c r="TLV118" i="263" s="1"/>
  <c r="TLW6" i="263"/>
  <c r="TLW118" i="263" s="1"/>
  <c r="TLX6" i="263"/>
  <c r="TLX118" i="263" s="1"/>
  <c r="TLY6" i="263"/>
  <c r="TLY118" i="263" s="1"/>
  <c r="TLZ6" i="263"/>
  <c r="TLZ118" i="263" s="1"/>
  <c r="TMA6" i="263"/>
  <c r="TMA118" i="263" s="1"/>
  <c r="TMB6" i="263"/>
  <c r="TMB118" i="263" s="1"/>
  <c r="TMC6" i="263"/>
  <c r="TMC118" i="263" s="1"/>
  <c r="TMD6" i="263"/>
  <c r="TMD118" i="263" s="1"/>
  <c r="TME6" i="263"/>
  <c r="TME118" i="263" s="1"/>
  <c r="TMF6" i="263"/>
  <c r="TMF118" i="263" s="1"/>
  <c r="TMG6" i="263"/>
  <c r="TMG118" i="263" s="1"/>
  <c r="TMH6" i="263"/>
  <c r="TMH118" i="263" s="1"/>
  <c r="TMI6" i="263"/>
  <c r="TMI118" i="263" s="1"/>
  <c r="TMJ6" i="263"/>
  <c r="TMJ118" i="263" s="1"/>
  <c r="TMK6" i="263"/>
  <c r="TMK118" i="263" s="1"/>
  <c r="TML6" i="263"/>
  <c r="TML118" i="263" s="1"/>
  <c r="TMM6" i="263"/>
  <c r="TMM118" i="263" s="1"/>
  <c r="TMN6" i="263"/>
  <c r="TMN118" i="263" s="1"/>
  <c r="TMO6" i="263"/>
  <c r="TMO118" i="263" s="1"/>
  <c r="TMP6" i="263"/>
  <c r="TMP118" i="263" s="1"/>
  <c r="TMQ6" i="263"/>
  <c r="TMQ118" i="263" s="1"/>
  <c r="TMR6" i="263"/>
  <c r="TMR118" i="263" s="1"/>
  <c r="TMS6" i="263"/>
  <c r="TMS118" i="263" s="1"/>
  <c r="TMT6" i="263"/>
  <c r="TMT118" i="263" s="1"/>
  <c r="TMU6" i="263"/>
  <c r="TMU118" i="263" s="1"/>
  <c r="TMV6" i="263"/>
  <c r="TMV118" i="263" s="1"/>
  <c r="TMW6" i="263"/>
  <c r="TMW118" i="263" s="1"/>
  <c r="TMX6" i="263"/>
  <c r="TMX118" i="263" s="1"/>
  <c r="TMY6" i="263"/>
  <c r="TMY118" i="263" s="1"/>
  <c r="TMZ6" i="263"/>
  <c r="TMZ118" i="263" s="1"/>
  <c r="TNA6" i="263"/>
  <c r="TNA118" i="263" s="1"/>
  <c r="TNB6" i="263"/>
  <c r="TNB118" i="263" s="1"/>
  <c r="TNC6" i="263"/>
  <c r="TNC118" i="263" s="1"/>
  <c r="TND6" i="263"/>
  <c r="TND118" i="263" s="1"/>
  <c r="TNE6" i="263"/>
  <c r="TNE118" i="263" s="1"/>
  <c r="TNF6" i="263"/>
  <c r="TNF118" i="263" s="1"/>
  <c r="TNG6" i="263"/>
  <c r="TNG118" i="263" s="1"/>
  <c r="TNH6" i="263"/>
  <c r="TNH118" i="263" s="1"/>
  <c r="TNI6" i="263"/>
  <c r="TNI118" i="263" s="1"/>
  <c r="TNJ6" i="263"/>
  <c r="TNJ118" i="263" s="1"/>
  <c r="TNK6" i="263"/>
  <c r="TNK118" i="263" s="1"/>
  <c r="TNL6" i="263"/>
  <c r="TNL118" i="263" s="1"/>
  <c r="TNM6" i="263"/>
  <c r="TNM118" i="263" s="1"/>
  <c r="TNN6" i="263"/>
  <c r="TNN118" i="263" s="1"/>
  <c r="TNO6" i="263"/>
  <c r="TNO118" i="263" s="1"/>
  <c r="TNP6" i="263"/>
  <c r="TNP118" i="263" s="1"/>
  <c r="TNQ6" i="263"/>
  <c r="TNQ118" i="263" s="1"/>
  <c r="TNR6" i="263"/>
  <c r="TNR118" i="263" s="1"/>
  <c r="TNS6" i="263"/>
  <c r="TNS118" i="263" s="1"/>
  <c r="TNT6" i="263"/>
  <c r="TNT118" i="263" s="1"/>
  <c r="TNU6" i="263"/>
  <c r="TNU118" i="263" s="1"/>
  <c r="TNV6" i="263"/>
  <c r="TNV118" i="263" s="1"/>
  <c r="TNW6" i="263"/>
  <c r="TNW118" i="263" s="1"/>
  <c r="TNX6" i="263"/>
  <c r="TNX118" i="263" s="1"/>
  <c r="TNY6" i="263"/>
  <c r="TNY118" i="263" s="1"/>
  <c r="TNZ6" i="263"/>
  <c r="TNZ118" i="263" s="1"/>
  <c r="TOA6" i="263"/>
  <c r="TOA118" i="263" s="1"/>
  <c r="TOB6" i="263"/>
  <c r="TOB118" i="263" s="1"/>
  <c r="TOC6" i="263"/>
  <c r="TOC118" i="263" s="1"/>
  <c r="TOD6" i="263"/>
  <c r="TOD118" i="263" s="1"/>
  <c r="TOE6" i="263"/>
  <c r="TOE118" i="263" s="1"/>
  <c r="TOF6" i="263"/>
  <c r="TOF118" i="263" s="1"/>
  <c r="TOG6" i="263"/>
  <c r="TOG118" i="263" s="1"/>
  <c r="TOH6" i="263"/>
  <c r="TOH118" i="263" s="1"/>
  <c r="TOI6" i="263"/>
  <c r="TOI118" i="263" s="1"/>
  <c r="TOJ6" i="263"/>
  <c r="TOJ118" i="263" s="1"/>
  <c r="TOK6" i="263"/>
  <c r="TOK118" i="263" s="1"/>
  <c r="TOL6" i="263"/>
  <c r="TOL118" i="263" s="1"/>
  <c r="TOM6" i="263"/>
  <c r="TOM118" i="263" s="1"/>
  <c r="TON6" i="263"/>
  <c r="TON118" i="263" s="1"/>
  <c r="TOO6" i="263"/>
  <c r="TOO118" i="263" s="1"/>
  <c r="TOP6" i="263"/>
  <c r="TOP118" i="263" s="1"/>
  <c r="TOQ6" i="263"/>
  <c r="TOQ118" i="263" s="1"/>
  <c r="TOR6" i="263"/>
  <c r="TOR118" i="263" s="1"/>
  <c r="TOS6" i="263"/>
  <c r="TOS118" i="263" s="1"/>
  <c r="TOT6" i="263"/>
  <c r="TOT118" i="263" s="1"/>
  <c r="TOU6" i="263"/>
  <c r="TOU118" i="263" s="1"/>
  <c r="TOV6" i="263"/>
  <c r="TOV118" i="263" s="1"/>
  <c r="TOW6" i="263"/>
  <c r="TOW118" i="263" s="1"/>
  <c r="TOX6" i="263"/>
  <c r="TOX118" i="263" s="1"/>
  <c r="TOY6" i="263"/>
  <c r="TOY118" i="263" s="1"/>
  <c r="TOZ6" i="263"/>
  <c r="TOZ118" i="263" s="1"/>
  <c r="TPA6" i="263"/>
  <c r="TPA118" i="263" s="1"/>
  <c r="TPB6" i="263"/>
  <c r="TPB118" i="263" s="1"/>
  <c r="TPC6" i="263"/>
  <c r="TPC118" i="263" s="1"/>
  <c r="TPD6" i="263"/>
  <c r="TPD118" i="263" s="1"/>
  <c r="TPE6" i="263"/>
  <c r="TPE118" i="263" s="1"/>
  <c r="TPF6" i="263"/>
  <c r="TPF118" i="263" s="1"/>
  <c r="TPG6" i="263"/>
  <c r="TPG118" i="263" s="1"/>
  <c r="TPH6" i="263"/>
  <c r="TPH118" i="263" s="1"/>
  <c r="TPI6" i="263"/>
  <c r="TPI118" i="263" s="1"/>
  <c r="TPJ6" i="263"/>
  <c r="TPJ118" i="263" s="1"/>
  <c r="TPK6" i="263"/>
  <c r="TPK118" i="263" s="1"/>
  <c r="TPL6" i="263"/>
  <c r="TPL118" i="263" s="1"/>
  <c r="TPM6" i="263"/>
  <c r="TPM118" i="263" s="1"/>
  <c r="TPN6" i="263"/>
  <c r="TPN118" i="263" s="1"/>
  <c r="TPO6" i="263"/>
  <c r="TPO118" i="263" s="1"/>
  <c r="TPP6" i="263"/>
  <c r="TPP118" i="263" s="1"/>
  <c r="TPQ6" i="263"/>
  <c r="TPQ118" i="263" s="1"/>
  <c r="TPR6" i="263"/>
  <c r="TPR118" i="263" s="1"/>
  <c r="TPS6" i="263"/>
  <c r="TPS118" i="263" s="1"/>
  <c r="TPT6" i="263"/>
  <c r="TPT118" i="263" s="1"/>
  <c r="TPU6" i="263"/>
  <c r="TPU118" i="263" s="1"/>
  <c r="TPV6" i="263"/>
  <c r="TPV118" i="263" s="1"/>
  <c r="TPW6" i="263"/>
  <c r="TPW118" i="263" s="1"/>
  <c r="TPX6" i="263"/>
  <c r="TPX118" i="263" s="1"/>
  <c r="TPY6" i="263"/>
  <c r="TPY118" i="263" s="1"/>
  <c r="TPZ6" i="263"/>
  <c r="TPZ118" i="263" s="1"/>
  <c r="TQA6" i="263"/>
  <c r="TQA118" i="263" s="1"/>
  <c r="TQB6" i="263"/>
  <c r="TQB118" i="263" s="1"/>
  <c r="TQC6" i="263"/>
  <c r="TQC118" i="263" s="1"/>
  <c r="TQD6" i="263"/>
  <c r="TQD118" i="263" s="1"/>
  <c r="TQE6" i="263"/>
  <c r="TQE118" i="263" s="1"/>
  <c r="TQF6" i="263"/>
  <c r="TQF118" i="263" s="1"/>
  <c r="TQG6" i="263"/>
  <c r="TQG118" i="263" s="1"/>
  <c r="TQH6" i="263"/>
  <c r="TQH118" i="263" s="1"/>
  <c r="TQI6" i="263"/>
  <c r="TQI118" i="263" s="1"/>
  <c r="TQJ6" i="263"/>
  <c r="TQJ118" i="263" s="1"/>
  <c r="TQK6" i="263"/>
  <c r="TQK118" i="263" s="1"/>
  <c r="TQL6" i="263"/>
  <c r="TQL118" i="263" s="1"/>
  <c r="TQM6" i="263"/>
  <c r="TQM118" i="263" s="1"/>
  <c r="TQN6" i="263"/>
  <c r="TQN118" i="263" s="1"/>
  <c r="TQO6" i="263"/>
  <c r="TQO118" i="263" s="1"/>
  <c r="TQP6" i="263"/>
  <c r="TQP118" i="263" s="1"/>
  <c r="TQQ6" i="263"/>
  <c r="TQQ118" i="263" s="1"/>
  <c r="TQR6" i="263"/>
  <c r="TQR118" i="263" s="1"/>
  <c r="TQS6" i="263"/>
  <c r="TQS118" i="263" s="1"/>
  <c r="TQT6" i="263"/>
  <c r="TQT118" i="263" s="1"/>
  <c r="TQU6" i="263"/>
  <c r="TQU118" i="263" s="1"/>
  <c r="TQV6" i="263"/>
  <c r="TQV118" i="263" s="1"/>
  <c r="TQW6" i="263"/>
  <c r="TQW118" i="263" s="1"/>
  <c r="TQX6" i="263"/>
  <c r="TQX118" i="263" s="1"/>
  <c r="TQY6" i="263"/>
  <c r="TQY118" i="263" s="1"/>
  <c r="TQZ6" i="263"/>
  <c r="TQZ118" i="263" s="1"/>
  <c r="TRA6" i="263"/>
  <c r="TRA118" i="263" s="1"/>
  <c r="TRB6" i="263"/>
  <c r="TRB118" i="263" s="1"/>
  <c r="TRC6" i="263"/>
  <c r="TRC118" i="263" s="1"/>
  <c r="TRD6" i="263"/>
  <c r="TRD118" i="263" s="1"/>
  <c r="TRE6" i="263"/>
  <c r="TRE118" i="263" s="1"/>
  <c r="TRF6" i="263"/>
  <c r="TRF118" i="263" s="1"/>
  <c r="TRG6" i="263"/>
  <c r="TRG118" i="263" s="1"/>
  <c r="TRH6" i="263"/>
  <c r="TRH118" i="263" s="1"/>
  <c r="TRI6" i="263"/>
  <c r="TRI118" i="263" s="1"/>
  <c r="TRJ6" i="263"/>
  <c r="TRJ118" i="263" s="1"/>
  <c r="TRK6" i="263"/>
  <c r="TRK118" i="263" s="1"/>
  <c r="TRL6" i="263"/>
  <c r="TRL118" i="263" s="1"/>
  <c r="TRM6" i="263"/>
  <c r="TRM118" i="263" s="1"/>
  <c r="TRN6" i="263"/>
  <c r="TRN118" i="263" s="1"/>
  <c r="TRO6" i="263"/>
  <c r="TRO118" i="263" s="1"/>
  <c r="TRP6" i="263"/>
  <c r="TRP118" i="263" s="1"/>
  <c r="TRQ6" i="263"/>
  <c r="TRQ118" i="263" s="1"/>
  <c r="TRR6" i="263"/>
  <c r="TRR118" i="263" s="1"/>
  <c r="TRS6" i="263"/>
  <c r="TRS118" i="263" s="1"/>
  <c r="TRT6" i="263"/>
  <c r="TRT118" i="263" s="1"/>
  <c r="TRU6" i="263"/>
  <c r="TRU118" i="263" s="1"/>
  <c r="TRV6" i="263"/>
  <c r="TRV118" i="263" s="1"/>
  <c r="TRW6" i="263"/>
  <c r="TRW118" i="263" s="1"/>
  <c r="TRX6" i="263"/>
  <c r="TRX118" i="263" s="1"/>
  <c r="TRY6" i="263"/>
  <c r="TRY118" i="263" s="1"/>
  <c r="TRZ6" i="263"/>
  <c r="TRZ118" i="263" s="1"/>
  <c r="TSA6" i="263"/>
  <c r="TSA118" i="263" s="1"/>
  <c r="TSB6" i="263"/>
  <c r="TSB118" i="263" s="1"/>
  <c r="TSC6" i="263"/>
  <c r="TSC118" i="263" s="1"/>
  <c r="TSD6" i="263"/>
  <c r="TSD118" i="263" s="1"/>
  <c r="TSE6" i="263"/>
  <c r="TSE118" i="263" s="1"/>
  <c r="TSF6" i="263"/>
  <c r="TSF118" i="263" s="1"/>
  <c r="TSG6" i="263"/>
  <c r="TSG118" i="263" s="1"/>
  <c r="TSH6" i="263"/>
  <c r="TSH118" i="263" s="1"/>
  <c r="TSI6" i="263"/>
  <c r="TSI118" i="263" s="1"/>
  <c r="TSJ6" i="263"/>
  <c r="TSJ118" i="263" s="1"/>
  <c r="TSK6" i="263"/>
  <c r="TSK118" i="263" s="1"/>
  <c r="TSL6" i="263"/>
  <c r="TSL118" i="263" s="1"/>
  <c r="TSM6" i="263"/>
  <c r="TSM118" i="263" s="1"/>
  <c r="TSN6" i="263"/>
  <c r="TSN118" i="263" s="1"/>
  <c r="TSO6" i="263"/>
  <c r="TSO118" i="263" s="1"/>
  <c r="TSP6" i="263"/>
  <c r="TSP118" i="263" s="1"/>
  <c r="TSQ6" i="263"/>
  <c r="TSQ118" i="263" s="1"/>
  <c r="TSR6" i="263"/>
  <c r="TSR118" i="263" s="1"/>
  <c r="TSS6" i="263"/>
  <c r="TSS118" i="263" s="1"/>
  <c r="TST6" i="263"/>
  <c r="TST118" i="263" s="1"/>
  <c r="TSU6" i="263"/>
  <c r="TSU118" i="263" s="1"/>
  <c r="TSV6" i="263"/>
  <c r="TSV118" i="263" s="1"/>
  <c r="TSW6" i="263"/>
  <c r="TSW118" i="263" s="1"/>
  <c r="TSX6" i="263"/>
  <c r="TSX118" i="263" s="1"/>
  <c r="TSY6" i="263"/>
  <c r="TSY118" i="263" s="1"/>
  <c r="TSZ6" i="263"/>
  <c r="TSZ118" i="263" s="1"/>
  <c r="TTA6" i="263"/>
  <c r="TTA118" i="263" s="1"/>
  <c r="TTB6" i="263"/>
  <c r="TTB118" i="263" s="1"/>
  <c r="TTC6" i="263"/>
  <c r="TTC118" i="263" s="1"/>
  <c r="TTD6" i="263"/>
  <c r="TTD118" i="263" s="1"/>
  <c r="TTE6" i="263"/>
  <c r="TTE118" i="263" s="1"/>
  <c r="TTF6" i="263"/>
  <c r="TTF118" i="263" s="1"/>
  <c r="TTG6" i="263"/>
  <c r="TTG118" i="263" s="1"/>
  <c r="TTH6" i="263"/>
  <c r="TTH118" i="263" s="1"/>
  <c r="TTI6" i="263"/>
  <c r="TTI118" i="263" s="1"/>
  <c r="TTJ6" i="263"/>
  <c r="TTJ118" i="263" s="1"/>
  <c r="TTK6" i="263"/>
  <c r="TTK118" i="263" s="1"/>
  <c r="TTL6" i="263"/>
  <c r="TTL118" i="263" s="1"/>
  <c r="TTM6" i="263"/>
  <c r="TTM118" i="263" s="1"/>
  <c r="TTN6" i="263"/>
  <c r="TTN118" i="263" s="1"/>
  <c r="TTO6" i="263"/>
  <c r="TTO118" i="263" s="1"/>
  <c r="TTP6" i="263"/>
  <c r="TTP118" i="263" s="1"/>
  <c r="TTQ6" i="263"/>
  <c r="TTQ118" i="263" s="1"/>
  <c r="TTR6" i="263"/>
  <c r="TTR118" i="263" s="1"/>
  <c r="TTS6" i="263"/>
  <c r="TTS118" i="263" s="1"/>
  <c r="TTT6" i="263"/>
  <c r="TTT118" i="263" s="1"/>
  <c r="TTU6" i="263"/>
  <c r="TTU118" i="263" s="1"/>
  <c r="TTV6" i="263"/>
  <c r="TTV118" i="263" s="1"/>
  <c r="TTW6" i="263"/>
  <c r="TTW118" i="263" s="1"/>
  <c r="TTX6" i="263"/>
  <c r="TTX118" i="263" s="1"/>
  <c r="TTY6" i="263"/>
  <c r="TTY118" i="263" s="1"/>
  <c r="TTZ6" i="263"/>
  <c r="TTZ118" i="263" s="1"/>
  <c r="TUA6" i="263"/>
  <c r="TUA118" i="263" s="1"/>
  <c r="TUB6" i="263"/>
  <c r="TUB118" i="263" s="1"/>
  <c r="TUC6" i="263"/>
  <c r="TUC118" i="263" s="1"/>
  <c r="TUD6" i="263"/>
  <c r="TUD118" i="263" s="1"/>
  <c r="TUE6" i="263"/>
  <c r="TUE118" i="263" s="1"/>
  <c r="TUF6" i="263"/>
  <c r="TUF118" i="263" s="1"/>
  <c r="TUG6" i="263"/>
  <c r="TUG118" i="263" s="1"/>
  <c r="TUH6" i="263"/>
  <c r="TUH118" i="263" s="1"/>
  <c r="TUI6" i="263"/>
  <c r="TUI118" i="263" s="1"/>
  <c r="TUJ6" i="263"/>
  <c r="TUJ118" i="263" s="1"/>
  <c r="TUK6" i="263"/>
  <c r="TUK118" i="263" s="1"/>
  <c r="TUL6" i="263"/>
  <c r="TUL118" i="263" s="1"/>
  <c r="TUM6" i="263"/>
  <c r="TUM118" i="263" s="1"/>
  <c r="TUN6" i="263"/>
  <c r="TUN118" i="263" s="1"/>
  <c r="TUO6" i="263"/>
  <c r="TUO118" i="263" s="1"/>
  <c r="TUP6" i="263"/>
  <c r="TUP118" i="263" s="1"/>
  <c r="TUQ6" i="263"/>
  <c r="TUQ118" i="263" s="1"/>
  <c r="TUR6" i="263"/>
  <c r="TUR118" i="263" s="1"/>
  <c r="TUS6" i="263"/>
  <c r="TUS118" i="263" s="1"/>
  <c r="TUT6" i="263"/>
  <c r="TUT118" i="263" s="1"/>
  <c r="TUU6" i="263"/>
  <c r="TUU118" i="263" s="1"/>
  <c r="TUV6" i="263"/>
  <c r="TUV118" i="263" s="1"/>
  <c r="TUW6" i="263"/>
  <c r="TUW118" i="263" s="1"/>
  <c r="TUX6" i="263"/>
  <c r="TUX118" i="263" s="1"/>
  <c r="TUY6" i="263"/>
  <c r="TUY118" i="263" s="1"/>
  <c r="TUZ6" i="263"/>
  <c r="TUZ118" i="263" s="1"/>
  <c r="TVA6" i="263"/>
  <c r="TVA118" i="263" s="1"/>
  <c r="TVB6" i="263"/>
  <c r="TVB118" i="263" s="1"/>
  <c r="TVC6" i="263"/>
  <c r="TVC118" i="263" s="1"/>
  <c r="TVD6" i="263"/>
  <c r="TVD118" i="263" s="1"/>
  <c r="TVE6" i="263"/>
  <c r="TVE118" i="263" s="1"/>
  <c r="TVF6" i="263"/>
  <c r="TVF118" i="263" s="1"/>
  <c r="TVG6" i="263"/>
  <c r="TVG118" i="263" s="1"/>
  <c r="TVH6" i="263"/>
  <c r="TVH118" i="263" s="1"/>
  <c r="TVI6" i="263"/>
  <c r="TVI118" i="263" s="1"/>
  <c r="TVJ6" i="263"/>
  <c r="TVJ118" i="263" s="1"/>
  <c r="TVK6" i="263"/>
  <c r="TVK118" i="263" s="1"/>
  <c r="TVL6" i="263"/>
  <c r="TVL118" i="263" s="1"/>
  <c r="TVM6" i="263"/>
  <c r="TVM118" i="263" s="1"/>
  <c r="TVN6" i="263"/>
  <c r="TVN118" i="263" s="1"/>
  <c r="TVO6" i="263"/>
  <c r="TVO118" i="263" s="1"/>
  <c r="TVP6" i="263"/>
  <c r="TVP118" i="263" s="1"/>
  <c r="TVQ6" i="263"/>
  <c r="TVQ118" i="263" s="1"/>
  <c r="TVR6" i="263"/>
  <c r="TVR118" i="263" s="1"/>
  <c r="TVS6" i="263"/>
  <c r="TVS118" i="263" s="1"/>
  <c r="TVT6" i="263"/>
  <c r="TVT118" i="263" s="1"/>
  <c r="TVU6" i="263"/>
  <c r="TVU118" i="263" s="1"/>
  <c r="TVV6" i="263"/>
  <c r="TVV118" i="263" s="1"/>
  <c r="TVW6" i="263"/>
  <c r="TVW118" i="263" s="1"/>
  <c r="TVX6" i="263"/>
  <c r="TVX118" i="263" s="1"/>
  <c r="TVY6" i="263"/>
  <c r="TVY118" i="263" s="1"/>
  <c r="TVZ6" i="263"/>
  <c r="TVZ118" i="263" s="1"/>
  <c r="TWA6" i="263"/>
  <c r="TWA118" i="263" s="1"/>
  <c r="TWB6" i="263"/>
  <c r="TWB118" i="263" s="1"/>
  <c r="TWC6" i="263"/>
  <c r="TWC118" i="263" s="1"/>
  <c r="TWD6" i="263"/>
  <c r="TWD118" i="263" s="1"/>
  <c r="TWE6" i="263"/>
  <c r="TWE118" i="263" s="1"/>
  <c r="TWF6" i="263"/>
  <c r="TWF118" i="263" s="1"/>
  <c r="TWG6" i="263"/>
  <c r="TWG118" i="263" s="1"/>
  <c r="TWH6" i="263"/>
  <c r="TWH118" i="263" s="1"/>
  <c r="TWI6" i="263"/>
  <c r="TWI118" i="263" s="1"/>
  <c r="TWJ6" i="263"/>
  <c r="TWJ118" i="263" s="1"/>
  <c r="TWK6" i="263"/>
  <c r="TWK118" i="263" s="1"/>
  <c r="TWL6" i="263"/>
  <c r="TWL118" i="263" s="1"/>
  <c r="TWM6" i="263"/>
  <c r="TWM118" i="263" s="1"/>
  <c r="TWN6" i="263"/>
  <c r="TWN118" i="263" s="1"/>
  <c r="TWO6" i="263"/>
  <c r="TWO118" i="263" s="1"/>
  <c r="TWP6" i="263"/>
  <c r="TWP118" i="263" s="1"/>
  <c r="TWQ6" i="263"/>
  <c r="TWQ118" i="263" s="1"/>
  <c r="TWR6" i="263"/>
  <c r="TWR118" i="263" s="1"/>
  <c r="TWS6" i="263"/>
  <c r="TWS118" i="263" s="1"/>
  <c r="TWT6" i="263"/>
  <c r="TWT118" i="263" s="1"/>
  <c r="TWU6" i="263"/>
  <c r="TWU118" i="263" s="1"/>
  <c r="TWV6" i="263"/>
  <c r="TWV118" i="263" s="1"/>
  <c r="TWW6" i="263"/>
  <c r="TWW118" i="263" s="1"/>
  <c r="TWX6" i="263"/>
  <c r="TWX118" i="263" s="1"/>
  <c r="TWY6" i="263"/>
  <c r="TWY118" i="263" s="1"/>
  <c r="TWZ6" i="263"/>
  <c r="TWZ118" i="263" s="1"/>
  <c r="TXA6" i="263"/>
  <c r="TXA118" i="263" s="1"/>
  <c r="TXB6" i="263"/>
  <c r="TXB118" i="263" s="1"/>
  <c r="TXC6" i="263"/>
  <c r="TXC118" i="263" s="1"/>
  <c r="TXD6" i="263"/>
  <c r="TXD118" i="263" s="1"/>
  <c r="TXE6" i="263"/>
  <c r="TXE118" i="263" s="1"/>
  <c r="TXF6" i="263"/>
  <c r="TXF118" i="263" s="1"/>
  <c r="TXG6" i="263"/>
  <c r="TXG118" i="263" s="1"/>
  <c r="TXH6" i="263"/>
  <c r="TXH118" i="263" s="1"/>
  <c r="TXI6" i="263"/>
  <c r="TXI118" i="263" s="1"/>
  <c r="TXJ6" i="263"/>
  <c r="TXJ118" i="263" s="1"/>
  <c r="TXK6" i="263"/>
  <c r="TXK118" i="263" s="1"/>
  <c r="TXL6" i="263"/>
  <c r="TXL118" i="263" s="1"/>
  <c r="TXM6" i="263"/>
  <c r="TXM118" i="263" s="1"/>
  <c r="TXN6" i="263"/>
  <c r="TXN118" i="263" s="1"/>
  <c r="TXO6" i="263"/>
  <c r="TXO118" i="263" s="1"/>
  <c r="TXP6" i="263"/>
  <c r="TXP118" i="263" s="1"/>
  <c r="TXQ6" i="263"/>
  <c r="TXQ118" i="263" s="1"/>
  <c r="TXR6" i="263"/>
  <c r="TXR118" i="263" s="1"/>
  <c r="TXS6" i="263"/>
  <c r="TXS118" i="263" s="1"/>
  <c r="TXT6" i="263"/>
  <c r="TXT118" i="263" s="1"/>
  <c r="TXU6" i="263"/>
  <c r="TXU118" i="263" s="1"/>
  <c r="TXV6" i="263"/>
  <c r="TXV118" i="263" s="1"/>
  <c r="TXW6" i="263"/>
  <c r="TXW118" i="263" s="1"/>
  <c r="TXX6" i="263"/>
  <c r="TXX118" i="263" s="1"/>
  <c r="TXY6" i="263"/>
  <c r="TXY118" i="263" s="1"/>
  <c r="TXZ6" i="263"/>
  <c r="TXZ118" i="263" s="1"/>
  <c r="TYA6" i="263"/>
  <c r="TYA118" i="263" s="1"/>
  <c r="TYB6" i="263"/>
  <c r="TYB118" i="263" s="1"/>
  <c r="TYC6" i="263"/>
  <c r="TYC118" i="263" s="1"/>
  <c r="TYD6" i="263"/>
  <c r="TYD118" i="263" s="1"/>
  <c r="TYE6" i="263"/>
  <c r="TYE118" i="263" s="1"/>
  <c r="TYF6" i="263"/>
  <c r="TYF118" i="263" s="1"/>
  <c r="TYG6" i="263"/>
  <c r="TYG118" i="263" s="1"/>
  <c r="TYH6" i="263"/>
  <c r="TYH118" i="263" s="1"/>
  <c r="TYI6" i="263"/>
  <c r="TYI118" i="263" s="1"/>
  <c r="TYJ6" i="263"/>
  <c r="TYJ118" i="263" s="1"/>
  <c r="TYK6" i="263"/>
  <c r="TYK118" i="263" s="1"/>
  <c r="TYL6" i="263"/>
  <c r="TYL118" i="263" s="1"/>
  <c r="TYM6" i="263"/>
  <c r="TYM118" i="263" s="1"/>
  <c r="TYN6" i="263"/>
  <c r="TYN118" i="263" s="1"/>
  <c r="TYO6" i="263"/>
  <c r="TYO118" i="263" s="1"/>
  <c r="TYP6" i="263"/>
  <c r="TYP118" i="263" s="1"/>
  <c r="TYQ6" i="263"/>
  <c r="TYQ118" i="263" s="1"/>
  <c r="TYR6" i="263"/>
  <c r="TYR118" i="263" s="1"/>
  <c r="TYS6" i="263"/>
  <c r="TYS118" i="263" s="1"/>
  <c r="TYT6" i="263"/>
  <c r="TYT118" i="263" s="1"/>
  <c r="TYU6" i="263"/>
  <c r="TYU118" i="263" s="1"/>
  <c r="TYV6" i="263"/>
  <c r="TYV118" i="263" s="1"/>
  <c r="TYW6" i="263"/>
  <c r="TYW118" i="263" s="1"/>
  <c r="TYX6" i="263"/>
  <c r="TYX118" i="263" s="1"/>
  <c r="TYY6" i="263"/>
  <c r="TYY118" i="263" s="1"/>
  <c r="TYZ6" i="263"/>
  <c r="TYZ118" i="263" s="1"/>
  <c r="TZA6" i="263"/>
  <c r="TZA118" i="263" s="1"/>
  <c r="TZB6" i="263"/>
  <c r="TZB118" i="263" s="1"/>
  <c r="TZC6" i="263"/>
  <c r="TZC118" i="263" s="1"/>
  <c r="TZD6" i="263"/>
  <c r="TZD118" i="263" s="1"/>
  <c r="TZE6" i="263"/>
  <c r="TZE118" i="263" s="1"/>
  <c r="TZF6" i="263"/>
  <c r="TZF118" i="263" s="1"/>
  <c r="TZG6" i="263"/>
  <c r="TZG118" i="263" s="1"/>
  <c r="TZH6" i="263"/>
  <c r="TZH118" i="263" s="1"/>
  <c r="TZI6" i="263"/>
  <c r="TZI118" i="263" s="1"/>
  <c r="TZJ6" i="263"/>
  <c r="TZJ118" i="263" s="1"/>
  <c r="TZK6" i="263"/>
  <c r="TZK118" i="263" s="1"/>
  <c r="TZL6" i="263"/>
  <c r="TZL118" i="263" s="1"/>
  <c r="TZM6" i="263"/>
  <c r="TZM118" i="263" s="1"/>
  <c r="TZN6" i="263"/>
  <c r="TZN118" i="263" s="1"/>
  <c r="TZO6" i="263"/>
  <c r="TZO118" i="263" s="1"/>
  <c r="TZP6" i="263"/>
  <c r="TZP118" i="263" s="1"/>
  <c r="TZQ6" i="263"/>
  <c r="TZQ118" i="263" s="1"/>
  <c r="TZR6" i="263"/>
  <c r="TZR118" i="263" s="1"/>
  <c r="TZS6" i="263"/>
  <c r="TZS118" i="263" s="1"/>
  <c r="TZT6" i="263"/>
  <c r="TZT118" i="263" s="1"/>
  <c r="TZU6" i="263"/>
  <c r="TZU118" i="263" s="1"/>
  <c r="TZV6" i="263"/>
  <c r="TZV118" i="263" s="1"/>
  <c r="TZW6" i="263"/>
  <c r="TZW118" i="263" s="1"/>
  <c r="TZX6" i="263"/>
  <c r="TZX118" i="263" s="1"/>
  <c r="TZY6" i="263"/>
  <c r="TZY118" i="263" s="1"/>
  <c r="TZZ6" i="263"/>
  <c r="TZZ118" i="263" s="1"/>
  <c r="UAA6" i="263"/>
  <c r="UAA118" i="263" s="1"/>
  <c r="UAB6" i="263"/>
  <c r="UAB118" i="263" s="1"/>
  <c r="UAC6" i="263"/>
  <c r="UAC118" i="263" s="1"/>
  <c r="UAD6" i="263"/>
  <c r="UAD118" i="263" s="1"/>
  <c r="UAE6" i="263"/>
  <c r="UAE118" i="263" s="1"/>
  <c r="UAF6" i="263"/>
  <c r="UAF118" i="263" s="1"/>
  <c r="UAG6" i="263"/>
  <c r="UAG118" i="263" s="1"/>
  <c r="UAH6" i="263"/>
  <c r="UAH118" i="263" s="1"/>
  <c r="UAI6" i="263"/>
  <c r="UAI118" i="263" s="1"/>
  <c r="UAJ6" i="263"/>
  <c r="UAJ118" i="263" s="1"/>
  <c r="UAK6" i="263"/>
  <c r="UAK118" i="263" s="1"/>
  <c r="UAL6" i="263"/>
  <c r="UAL118" i="263" s="1"/>
  <c r="UAM6" i="263"/>
  <c r="UAM118" i="263" s="1"/>
  <c r="UAN6" i="263"/>
  <c r="UAN118" i="263" s="1"/>
  <c r="UAO6" i="263"/>
  <c r="UAO118" i="263" s="1"/>
  <c r="UAP6" i="263"/>
  <c r="UAP118" i="263" s="1"/>
  <c r="UAQ6" i="263"/>
  <c r="UAQ118" i="263" s="1"/>
  <c r="UAR6" i="263"/>
  <c r="UAR118" i="263" s="1"/>
  <c r="UAS6" i="263"/>
  <c r="UAS118" i="263" s="1"/>
  <c r="UAT6" i="263"/>
  <c r="UAT118" i="263" s="1"/>
  <c r="UAU6" i="263"/>
  <c r="UAU118" i="263" s="1"/>
  <c r="UAV6" i="263"/>
  <c r="UAV118" i="263" s="1"/>
  <c r="UAW6" i="263"/>
  <c r="UAW118" i="263" s="1"/>
  <c r="UAX6" i="263"/>
  <c r="UAX118" i="263" s="1"/>
  <c r="UAY6" i="263"/>
  <c r="UAY118" i="263" s="1"/>
  <c r="UAZ6" i="263"/>
  <c r="UAZ118" i="263" s="1"/>
  <c r="UBA6" i="263"/>
  <c r="UBA118" i="263" s="1"/>
  <c r="UBB6" i="263"/>
  <c r="UBB118" i="263" s="1"/>
  <c r="UBC6" i="263"/>
  <c r="UBC118" i="263" s="1"/>
  <c r="UBD6" i="263"/>
  <c r="UBD118" i="263" s="1"/>
  <c r="UBE6" i="263"/>
  <c r="UBE118" i="263" s="1"/>
  <c r="UBF6" i="263"/>
  <c r="UBF118" i="263" s="1"/>
  <c r="UBG6" i="263"/>
  <c r="UBG118" i="263" s="1"/>
  <c r="UBH6" i="263"/>
  <c r="UBH118" i="263" s="1"/>
  <c r="UBI6" i="263"/>
  <c r="UBI118" i="263" s="1"/>
  <c r="UBJ6" i="263"/>
  <c r="UBJ118" i="263" s="1"/>
  <c r="UBK6" i="263"/>
  <c r="UBK118" i="263" s="1"/>
  <c r="UBL6" i="263"/>
  <c r="UBL118" i="263" s="1"/>
  <c r="UBM6" i="263"/>
  <c r="UBM118" i="263" s="1"/>
  <c r="UBN6" i="263"/>
  <c r="UBN118" i="263" s="1"/>
  <c r="UBO6" i="263"/>
  <c r="UBO118" i="263" s="1"/>
  <c r="UBP6" i="263"/>
  <c r="UBP118" i="263" s="1"/>
  <c r="UBQ6" i="263"/>
  <c r="UBQ118" i="263" s="1"/>
  <c r="UBR6" i="263"/>
  <c r="UBR118" i="263" s="1"/>
  <c r="UBS6" i="263"/>
  <c r="UBS118" i="263" s="1"/>
  <c r="UBT6" i="263"/>
  <c r="UBT118" i="263" s="1"/>
  <c r="UBU6" i="263"/>
  <c r="UBU118" i="263" s="1"/>
  <c r="UBV6" i="263"/>
  <c r="UBV118" i="263" s="1"/>
  <c r="UBW6" i="263"/>
  <c r="UBW118" i="263" s="1"/>
  <c r="UBX6" i="263"/>
  <c r="UBX118" i="263" s="1"/>
  <c r="UBY6" i="263"/>
  <c r="UBY118" i="263" s="1"/>
  <c r="UBZ6" i="263"/>
  <c r="UBZ118" i="263" s="1"/>
  <c r="UCA6" i="263"/>
  <c r="UCA118" i="263" s="1"/>
  <c r="UCB6" i="263"/>
  <c r="UCB118" i="263" s="1"/>
  <c r="UCC6" i="263"/>
  <c r="UCC118" i="263" s="1"/>
  <c r="UCD6" i="263"/>
  <c r="UCD118" i="263" s="1"/>
  <c r="UCE6" i="263"/>
  <c r="UCE118" i="263" s="1"/>
  <c r="UCF6" i="263"/>
  <c r="UCF118" i="263" s="1"/>
  <c r="UCG6" i="263"/>
  <c r="UCG118" i="263" s="1"/>
  <c r="UCH6" i="263"/>
  <c r="UCH118" i="263" s="1"/>
  <c r="UCI6" i="263"/>
  <c r="UCI118" i="263" s="1"/>
  <c r="UCJ6" i="263"/>
  <c r="UCJ118" i="263" s="1"/>
  <c r="UCK6" i="263"/>
  <c r="UCK118" i="263" s="1"/>
  <c r="UCL6" i="263"/>
  <c r="UCL118" i="263" s="1"/>
  <c r="UCM6" i="263"/>
  <c r="UCM118" i="263" s="1"/>
  <c r="UCN6" i="263"/>
  <c r="UCN118" i="263" s="1"/>
  <c r="UCO6" i="263"/>
  <c r="UCO118" i="263" s="1"/>
  <c r="UCP6" i="263"/>
  <c r="UCP118" i="263" s="1"/>
  <c r="UCQ6" i="263"/>
  <c r="UCQ118" i="263" s="1"/>
  <c r="UCR6" i="263"/>
  <c r="UCR118" i="263" s="1"/>
  <c r="UCS6" i="263"/>
  <c r="UCS118" i="263" s="1"/>
  <c r="UCT6" i="263"/>
  <c r="UCT118" i="263" s="1"/>
  <c r="UCU6" i="263"/>
  <c r="UCU118" i="263" s="1"/>
  <c r="UCV6" i="263"/>
  <c r="UCV118" i="263" s="1"/>
  <c r="UCW6" i="263"/>
  <c r="UCW118" i="263" s="1"/>
  <c r="UCX6" i="263"/>
  <c r="UCX118" i="263" s="1"/>
  <c r="UCY6" i="263"/>
  <c r="UCY118" i="263" s="1"/>
  <c r="UCZ6" i="263"/>
  <c r="UCZ118" i="263" s="1"/>
  <c r="UDA6" i="263"/>
  <c r="UDA118" i="263" s="1"/>
  <c r="UDB6" i="263"/>
  <c r="UDB118" i="263" s="1"/>
  <c r="UDC6" i="263"/>
  <c r="UDC118" i="263" s="1"/>
  <c r="UDD6" i="263"/>
  <c r="UDD118" i="263" s="1"/>
  <c r="UDE6" i="263"/>
  <c r="UDE118" i="263" s="1"/>
  <c r="UDF6" i="263"/>
  <c r="UDF118" i="263" s="1"/>
  <c r="UDG6" i="263"/>
  <c r="UDG118" i="263" s="1"/>
  <c r="UDH6" i="263"/>
  <c r="UDH118" i="263" s="1"/>
  <c r="UDI6" i="263"/>
  <c r="UDI118" i="263" s="1"/>
  <c r="UDJ6" i="263"/>
  <c r="UDJ118" i="263" s="1"/>
  <c r="UDK6" i="263"/>
  <c r="UDK118" i="263" s="1"/>
  <c r="UDL6" i="263"/>
  <c r="UDL118" i="263" s="1"/>
  <c r="UDM6" i="263"/>
  <c r="UDM118" i="263" s="1"/>
  <c r="UDN6" i="263"/>
  <c r="UDN118" i="263" s="1"/>
  <c r="UDO6" i="263"/>
  <c r="UDO118" i="263" s="1"/>
  <c r="UDP6" i="263"/>
  <c r="UDP118" i="263" s="1"/>
  <c r="UDQ6" i="263"/>
  <c r="UDQ118" i="263" s="1"/>
  <c r="UDR6" i="263"/>
  <c r="UDR118" i="263" s="1"/>
  <c r="UDS6" i="263"/>
  <c r="UDS118" i="263" s="1"/>
  <c r="UDT6" i="263"/>
  <c r="UDT118" i="263" s="1"/>
  <c r="UDU6" i="263"/>
  <c r="UDU118" i="263" s="1"/>
  <c r="UDV6" i="263"/>
  <c r="UDV118" i="263" s="1"/>
  <c r="UDW6" i="263"/>
  <c r="UDW118" i="263" s="1"/>
  <c r="UDX6" i="263"/>
  <c r="UDX118" i="263" s="1"/>
  <c r="UDY6" i="263"/>
  <c r="UDY118" i="263" s="1"/>
  <c r="UDZ6" i="263"/>
  <c r="UDZ118" i="263" s="1"/>
  <c r="UEA6" i="263"/>
  <c r="UEA118" i="263" s="1"/>
  <c r="UEB6" i="263"/>
  <c r="UEB118" i="263" s="1"/>
  <c r="UEC6" i="263"/>
  <c r="UEC118" i="263" s="1"/>
  <c r="UED6" i="263"/>
  <c r="UED118" i="263" s="1"/>
  <c r="UEE6" i="263"/>
  <c r="UEE118" i="263" s="1"/>
  <c r="UEF6" i="263"/>
  <c r="UEF118" i="263" s="1"/>
  <c r="UEG6" i="263"/>
  <c r="UEG118" i="263" s="1"/>
  <c r="UEH6" i="263"/>
  <c r="UEH118" i="263" s="1"/>
  <c r="UEI6" i="263"/>
  <c r="UEI118" i="263" s="1"/>
  <c r="UEJ6" i="263"/>
  <c r="UEJ118" i="263" s="1"/>
  <c r="UEK6" i="263"/>
  <c r="UEK118" i="263" s="1"/>
  <c r="UEL6" i="263"/>
  <c r="UEL118" i="263" s="1"/>
  <c r="UEM6" i="263"/>
  <c r="UEM118" i="263" s="1"/>
  <c r="UEN6" i="263"/>
  <c r="UEN118" i="263" s="1"/>
  <c r="UEO6" i="263"/>
  <c r="UEO118" i="263" s="1"/>
  <c r="UEP6" i="263"/>
  <c r="UEP118" i="263" s="1"/>
  <c r="UEQ6" i="263"/>
  <c r="UEQ118" i="263" s="1"/>
  <c r="UER6" i="263"/>
  <c r="UER118" i="263" s="1"/>
  <c r="UES6" i="263"/>
  <c r="UES118" i="263" s="1"/>
  <c r="UET6" i="263"/>
  <c r="UET118" i="263" s="1"/>
  <c r="UEU6" i="263"/>
  <c r="UEU118" i="263" s="1"/>
  <c r="UEV6" i="263"/>
  <c r="UEV118" i="263" s="1"/>
  <c r="UEW6" i="263"/>
  <c r="UEW118" i="263" s="1"/>
  <c r="UEX6" i="263"/>
  <c r="UEX118" i="263" s="1"/>
  <c r="UEY6" i="263"/>
  <c r="UEY118" i="263" s="1"/>
  <c r="UEZ6" i="263"/>
  <c r="UEZ118" i="263" s="1"/>
  <c r="UFA6" i="263"/>
  <c r="UFA118" i="263" s="1"/>
  <c r="UFB6" i="263"/>
  <c r="UFB118" i="263" s="1"/>
  <c r="UFC6" i="263"/>
  <c r="UFC118" i="263" s="1"/>
  <c r="UFD6" i="263"/>
  <c r="UFD118" i="263" s="1"/>
  <c r="UFE6" i="263"/>
  <c r="UFE118" i="263" s="1"/>
  <c r="UFF6" i="263"/>
  <c r="UFF118" i="263" s="1"/>
  <c r="UFG6" i="263"/>
  <c r="UFG118" i="263" s="1"/>
  <c r="UFH6" i="263"/>
  <c r="UFH118" i="263" s="1"/>
  <c r="UFI6" i="263"/>
  <c r="UFI118" i="263" s="1"/>
  <c r="UFJ6" i="263"/>
  <c r="UFJ118" i="263" s="1"/>
  <c r="UFK6" i="263"/>
  <c r="UFK118" i="263" s="1"/>
  <c r="UFL6" i="263"/>
  <c r="UFL118" i="263" s="1"/>
  <c r="UFM6" i="263"/>
  <c r="UFM118" i="263" s="1"/>
  <c r="UFN6" i="263"/>
  <c r="UFN118" i="263" s="1"/>
  <c r="UFO6" i="263"/>
  <c r="UFO118" i="263" s="1"/>
  <c r="UFP6" i="263"/>
  <c r="UFP118" i="263" s="1"/>
  <c r="UFQ6" i="263"/>
  <c r="UFQ118" i="263" s="1"/>
  <c r="UFR6" i="263"/>
  <c r="UFR118" i="263" s="1"/>
  <c r="UFS6" i="263"/>
  <c r="UFS118" i="263" s="1"/>
  <c r="UFT6" i="263"/>
  <c r="UFT118" i="263" s="1"/>
  <c r="UFU6" i="263"/>
  <c r="UFU118" i="263" s="1"/>
  <c r="UFV6" i="263"/>
  <c r="UFV118" i="263" s="1"/>
  <c r="UFW6" i="263"/>
  <c r="UFW118" i="263" s="1"/>
  <c r="UFX6" i="263"/>
  <c r="UFX118" i="263" s="1"/>
  <c r="UFY6" i="263"/>
  <c r="UFY118" i="263" s="1"/>
  <c r="UFZ6" i="263"/>
  <c r="UFZ118" i="263" s="1"/>
  <c r="UGA6" i="263"/>
  <c r="UGA118" i="263" s="1"/>
  <c r="UGB6" i="263"/>
  <c r="UGB118" i="263" s="1"/>
  <c r="UGC6" i="263"/>
  <c r="UGC118" i="263" s="1"/>
  <c r="UGD6" i="263"/>
  <c r="UGD118" i="263" s="1"/>
  <c r="UGE6" i="263"/>
  <c r="UGE118" i="263" s="1"/>
  <c r="UGF6" i="263"/>
  <c r="UGF118" i="263" s="1"/>
  <c r="UGG6" i="263"/>
  <c r="UGG118" i="263" s="1"/>
  <c r="UGH6" i="263"/>
  <c r="UGH118" i="263" s="1"/>
  <c r="UGI6" i="263"/>
  <c r="UGI118" i="263" s="1"/>
  <c r="UGJ6" i="263"/>
  <c r="UGJ118" i="263" s="1"/>
  <c r="UGK6" i="263"/>
  <c r="UGK118" i="263" s="1"/>
  <c r="UGL6" i="263"/>
  <c r="UGL118" i="263" s="1"/>
  <c r="UGM6" i="263"/>
  <c r="UGM118" i="263" s="1"/>
  <c r="UGN6" i="263"/>
  <c r="UGN118" i="263" s="1"/>
  <c r="UGO6" i="263"/>
  <c r="UGO118" i="263" s="1"/>
  <c r="UGP6" i="263"/>
  <c r="UGP118" i="263" s="1"/>
  <c r="UGQ6" i="263"/>
  <c r="UGQ118" i="263" s="1"/>
  <c r="UGR6" i="263"/>
  <c r="UGR118" i="263" s="1"/>
  <c r="UGS6" i="263"/>
  <c r="UGS118" i="263" s="1"/>
  <c r="UGT6" i="263"/>
  <c r="UGT118" i="263" s="1"/>
  <c r="UGU6" i="263"/>
  <c r="UGU118" i="263" s="1"/>
  <c r="UGV6" i="263"/>
  <c r="UGV118" i="263" s="1"/>
  <c r="UGW6" i="263"/>
  <c r="UGW118" i="263" s="1"/>
  <c r="UGX6" i="263"/>
  <c r="UGX118" i="263" s="1"/>
  <c r="UGY6" i="263"/>
  <c r="UGY118" i="263" s="1"/>
  <c r="UGZ6" i="263"/>
  <c r="UGZ118" i="263" s="1"/>
  <c r="UHA6" i="263"/>
  <c r="UHA118" i="263" s="1"/>
  <c r="UHB6" i="263"/>
  <c r="UHB118" i="263" s="1"/>
  <c r="UHC6" i="263"/>
  <c r="UHC118" i="263" s="1"/>
  <c r="UHD6" i="263"/>
  <c r="UHD118" i="263" s="1"/>
  <c r="UHE6" i="263"/>
  <c r="UHE118" i="263" s="1"/>
  <c r="UHF6" i="263"/>
  <c r="UHF118" i="263" s="1"/>
  <c r="UHG6" i="263"/>
  <c r="UHG118" i="263" s="1"/>
  <c r="UHH6" i="263"/>
  <c r="UHH118" i="263" s="1"/>
  <c r="UHI6" i="263"/>
  <c r="UHI118" i="263" s="1"/>
  <c r="UHJ6" i="263"/>
  <c r="UHJ118" i="263" s="1"/>
  <c r="UHK6" i="263"/>
  <c r="UHK118" i="263" s="1"/>
  <c r="UHL6" i="263"/>
  <c r="UHL118" i="263" s="1"/>
  <c r="UHM6" i="263"/>
  <c r="UHM118" i="263" s="1"/>
  <c r="UHN6" i="263"/>
  <c r="UHN118" i="263" s="1"/>
  <c r="UHO6" i="263"/>
  <c r="UHO118" i="263" s="1"/>
  <c r="UHP6" i="263"/>
  <c r="UHP118" i="263" s="1"/>
  <c r="UHQ6" i="263"/>
  <c r="UHQ118" i="263" s="1"/>
  <c r="UHR6" i="263"/>
  <c r="UHR118" i="263" s="1"/>
  <c r="UHS6" i="263"/>
  <c r="UHS118" i="263" s="1"/>
  <c r="UHT6" i="263"/>
  <c r="UHT118" i="263" s="1"/>
  <c r="UHU6" i="263"/>
  <c r="UHU118" i="263" s="1"/>
  <c r="UHV6" i="263"/>
  <c r="UHV118" i="263" s="1"/>
  <c r="UHW6" i="263"/>
  <c r="UHW118" i="263" s="1"/>
  <c r="UHX6" i="263"/>
  <c r="UHX118" i="263" s="1"/>
  <c r="UHY6" i="263"/>
  <c r="UHY118" i="263" s="1"/>
  <c r="UHZ6" i="263"/>
  <c r="UHZ118" i="263" s="1"/>
  <c r="UIA6" i="263"/>
  <c r="UIA118" i="263" s="1"/>
  <c r="UIB6" i="263"/>
  <c r="UIB118" i="263" s="1"/>
  <c r="UIC6" i="263"/>
  <c r="UIC118" i="263" s="1"/>
  <c r="UID6" i="263"/>
  <c r="UID118" i="263" s="1"/>
  <c r="UIE6" i="263"/>
  <c r="UIE118" i="263" s="1"/>
  <c r="UIF6" i="263"/>
  <c r="UIF118" i="263" s="1"/>
  <c r="UIG6" i="263"/>
  <c r="UIG118" i="263" s="1"/>
  <c r="UIH6" i="263"/>
  <c r="UIH118" i="263" s="1"/>
  <c r="UII6" i="263"/>
  <c r="UII118" i="263" s="1"/>
  <c r="UIJ6" i="263"/>
  <c r="UIJ118" i="263" s="1"/>
  <c r="UIK6" i="263"/>
  <c r="UIK118" i="263" s="1"/>
  <c r="UIL6" i="263"/>
  <c r="UIL118" i="263" s="1"/>
  <c r="UIM6" i="263"/>
  <c r="UIM118" i="263" s="1"/>
  <c r="UIN6" i="263"/>
  <c r="UIN118" i="263" s="1"/>
  <c r="UIO6" i="263"/>
  <c r="UIO118" i="263" s="1"/>
  <c r="UIP6" i="263"/>
  <c r="UIP118" i="263" s="1"/>
  <c r="UIQ6" i="263"/>
  <c r="UIQ118" i="263" s="1"/>
  <c r="UIR6" i="263"/>
  <c r="UIR118" i="263" s="1"/>
  <c r="UIS6" i="263"/>
  <c r="UIS118" i="263" s="1"/>
  <c r="UIT6" i="263"/>
  <c r="UIT118" i="263" s="1"/>
  <c r="UIU6" i="263"/>
  <c r="UIU118" i="263" s="1"/>
  <c r="UIV6" i="263"/>
  <c r="UIV118" i="263" s="1"/>
  <c r="UIW6" i="263"/>
  <c r="UIW118" i="263" s="1"/>
  <c r="UIX6" i="263"/>
  <c r="UIX118" i="263" s="1"/>
  <c r="UIY6" i="263"/>
  <c r="UIY118" i="263" s="1"/>
  <c r="UIZ6" i="263"/>
  <c r="UIZ118" i="263" s="1"/>
  <c r="UJA6" i="263"/>
  <c r="UJA118" i="263" s="1"/>
  <c r="UJB6" i="263"/>
  <c r="UJB118" i="263" s="1"/>
  <c r="UJC6" i="263"/>
  <c r="UJC118" i="263" s="1"/>
  <c r="UJD6" i="263"/>
  <c r="UJD118" i="263" s="1"/>
  <c r="UJE6" i="263"/>
  <c r="UJE118" i="263" s="1"/>
  <c r="UJF6" i="263"/>
  <c r="UJF118" i="263" s="1"/>
  <c r="UJG6" i="263"/>
  <c r="UJG118" i="263" s="1"/>
  <c r="UJH6" i="263"/>
  <c r="UJH118" i="263" s="1"/>
  <c r="UJI6" i="263"/>
  <c r="UJI118" i="263" s="1"/>
  <c r="UJJ6" i="263"/>
  <c r="UJJ118" i="263" s="1"/>
  <c r="UJK6" i="263"/>
  <c r="UJK118" i="263" s="1"/>
  <c r="UJL6" i="263"/>
  <c r="UJL118" i="263" s="1"/>
  <c r="UJM6" i="263"/>
  <c r="UJM118" i="263" s="1"/>
  <c r="UJN6" i="263"/>
  <c r="UJN118" i="263" s="1"/>
  <c r="UJO6" i="263"/>
  <c r="UJO118" i="263" s="1"/>
  <c r="UJP6" i="263"/>
  <c r="UJP118" i="263" s="1"/>
  <c r="UJQ6" i="263"/>
  <c r="UJQ118" i="263" s="1"/>
  <c r="UJR6" i="263"/>
  <c r="UJR118" i="263" s="1"/>
  <c r="UJS6" i="263"/>
  <c r="UJS118" i="263" s="1"/>
  <c r="UJT6" i="263"/>
  <c r="UJT118" i="263" s="1"/>
  <c r="UJU6" i="263"/>
  <c r="UJU118" i="263" s="1"/>
  <c r="UJV6" i="263"/>
  <c r="UJV118" i="263" s="1"/>
  <c r="UJW6" i="263"/>
  <c r="UJW118" i="263" s="1"/>
  <c r="UJX6" i="263"/>
  <c r="UJX118" i="263" s="1"/>
  <c r="UJY6" i="263"/>
  <c r="UJY118" i="263" s="1"/>
  <c r="UJZ6" i="263"/>
  <c r="UJZ118" i="263" s="1"/>
  <c r="UKA6" i="263"/>
  <c r="UKA118" i="263" s="1"/>
  <c r="UKB6" i="263"/>
  <c r="UKB118" i="263" s="1"/>
  <c r="UKC6" i="263"/>
  <c r="UKC118" i="263" s="1"/>
  <c r="UKD6" i="263"/>
  <c r="UKD118" i="263" s="1"/>
  <c r="UKE6" i="263"/>
  <c r="UKE118" i="263" s="1"/>
  <c r="UKF6" i="263"/>
  <c r="UKF118" i="263" s="1"/>
  <c r="UKG6" i="263"/>
  <c r="UKG118" i="263" s="1"/>
  <c r="UKH6" i="263"/>
  <c r="UKH118" i="263" s="1"/>
  <c r="UKI6" i="263"/>
  <c r="UKI118" i="263" s="1"/>
  <c r="UKJ6" i="263"/>
  <c r="UKJ118" i="263" s="1"/>
  <c r="UKK6" i="263"/>
  <c r="UKK118" i="263" s="1"/>
  <c r="UKL6" i="263"/>
  <c r="UKL118" i="263" s="1"/>
  <c r="UKM6" i="263"/>
  <c r="UKM118" i="263" s="1"/>
  <c r="UKN6" i="263"/>
  <c r="UKN118" i="263" s="1"/>
  <c r="UKO6" i="263"/>
  <c r="UKO118" i="263" s="1"/>
  <c r="UKP6" i="263"/>
  <c r="UKP118" i="263" s="1"/>
  <c r="UKQ6" i="263"/>
  <c r="UKQ118" i="263" s="1"/>
  <c r="UKR6" i="263"/>
  <c r="UKR118" i="263" s="1"/>
  <c r="UKS6" i="263"/>
  <c r="UKS118" i="263" s="1"/>
  <c r="UKT6" i="263"/>
  <c r="UKT118" i="263" s="1"/>
  <c r="UKU6" i="263"/>
  <c r="UKU118" i="263" s="1"/>
  <c r="UKV6" i="263"/>
  <c r="UKV118" i="263" s="1"/>
  <c r="UKW6" i="263"/>
  <c r="UKW118" i="263" s="1"/>
  <c r="UKX6" i="263"/>
  <c r="UKX118" i="263" s="1"/>
  <c r="UKY6" i="263"/>
  <c r="UKY118" i="263" s="1"/>
  <c r="UKZ6" i="263"/>
  <c r="UKZ118" i="263" s="1"/>
  <c r="ULA6" i="263"/>
  <c r="ULA118" i="263" s="1"/>
  <c r="ULB6" i="263"/>
  <c r="ULB118" i="263" s="1"/>
  <c r="ULC6" i="263"/>
  <c r="ULC118" i="263" s="1"/>
  <c r="ULD6" i="263"/>
  <c r="ULD118" i="263" s="1"/>
  <c r="ULE6" i="263"/>
  <c r="ULE118" i="263" s="1"/>
  <c r="ULF6" i="263"/>
  <c r="ULF118" i="263" s="1"/>
  <c r="ULG6" i="263"/>
  <c r="ULG118" i="263" s="1"/>
  <c r="ULH6" i="263"/>
  <c r="ULH118" i="263" s="1"/>
  <c r="ULI6" i="263"/>
  <c r="ULI118" i="263" s="1"/>
  <c r="ULJ6" i="263"/>
  <c r="ULJ118" i="263" s="1"/>
  <c r="ULK6" i="263"/>
  <c r="ULK118" i="263" s="1"/>
  <c r="ULL6" i="263"/>
  <c r="ULL118" i="263" s="1"/>
  <c r="ULM6" i="263"/>
  <c r="ULM118" i="263" s="1"/>
  <c r="ULN6" i="263"/>
  <c r="ULN118" i="263" s="1"/>
  <c r="ULO6" i="263"/>
  <c r="ULO118" i="263" s="1"/>
  <c r="ULP6" i="263"/>
  <c r="ULP118" i="263" s="1"/>
  <c r="ULQ6" i="263"/>
  <c r="ULQ118" i="263" s="1"/>
  <c r="ULR6" i="263"/>
  <c r="ULR118" i="263" s="1"/>
  <c r="ULS6" i="263"/>
  <c r="ULS118" i="263" s="1"/>
  <c r="ULT6" i="263"/>
  <c r="ULT118" i="263" s="1"/>
  <c r="ULU6" i="263"/>
  <c r="ULU118" i="263" s="1"/>
  <c r="ULV6" i="263"/>
  <c r="ULV118" i="263" s="1"/>
  <c r="ULW6" i="263"/>
  <c r="ULW118" i="263" s="1"/>
  <c r="ULX6" i="263"/>
  <c r="ULX118" i="263" s="1"/>
  <c r="ULY6" i="263"/>
  <c r="ULY118" i="263" s="1"/>
  <c r="ULZ6" i="263"/>
  <c r="ULZ118" i="263" s="1"/>
  <c r="UMA6" i="263"/>
  <c r="UMA118" i="263" s="1"/>
  <c r="UMB6" i="263"/>
  <c r="UMB118" i="263" s="1"/>
  <c r="UMC6" i="263"/>
  <c r="UMC118" i="263" s="1"/>
  <c r="UMD6" i="263"/>
  <c r="UMD118" i="263" s="1"/>
  <c r="UME6" i="263"/>
  <c r="UME118" i="263" s="1"/>
  <c r="UMF6" i="263"/>
  <c r="UMF118" i="263" s="1"/>
  <c r="UMG6" i="263"/>
  <c r="UMG118" i="263" s="1"/>
  <c r="UMH6" i="263"/>
  <c r="UMH118" i="263" s="1"/>
  <c r="UMI6" i="263"/>
  <c r="UMI118" i="263" s="1"/>
  <c r="UMJ6" i="263"/>
  <c r="UMJ118" i="263" s="1"/>
  <c r="UMK6" i="263"/>
  <c r="UMK118" i="263" s="1"/>
  <c r="UML6" i="263"/>
  <c r="UML118" i="263" s="1"/>
  <c r="UMM6" i="263"/>
  <c r="UMM118" i="263" s="1"/>
  <c r="UMN6" i="263"/>
  <c r="UMN118" i="263" s="1"/>
  <c r="UMO6" i="263"/>
  <c r="UMO118" i="263" s="1"/>
  <c r="UMP6" i="263"/>
  <c r="UMP118" i="263" s="1"/>
  <c r="UMQ6" i="263"/>
  <c r="UMQ118" i="263" s="1"/>
  <c r="UMR6" i="263"/>
  <c r="UMR118" i="263" s="1"/>
  <c r="UMS6" i="263"/>
  <c r="UMS118" i="263" s="1"/>
  <c r="UMT6" i="263"/>
  <c r="UMT118" i="263" s="1"/>
  <c r="UMU6" i="263"/>
  <c r="UMU118" i="263" s="1"/>
  <c r="UMV6" i="263"/>
  <c r="UMV118" i="263" s="1"/>
  <c r="UMW6" i="263"/>
  <c r="UMW118" i="263" s="1"/>
  <c r="UMX6" i="263"/>
  <c r="UMX118" i="263" s="1"/>
  <c r="UMY6" i="263"/>
  <c r="UMY118" i="263" s="1"/>
  <c r="UMZ6" i="263"/>
  <c r="UMZ118" i="263" s="1"/>
  <c r="UNA6" i="263"/>
  <c r="UNA118" i="263" s="1"/>
  <c r="UNB6" i="263"/>
  <c r="UNB118" i="263" s="1"/>
  <c r="UNC6" i="263"/>
  <c r="UNC118" i="263" s="1"/>
  <c r="UND6" i="263"/>
  <c r="UND118" i="263" s="1"/>
  <c r="UNE6" i="263"/>
  <c r="UNE118" i="263" s="1"/>
  <c r="UNF6" i="263"/>
  <c r="UNF118" i="263" s="1"/>
  <c r="UNG6" i="263"/>
  <c r="UNG118" i="263" s="1"/>
  <c r="UNH6" i="263"/>
  <c r="UNH118" i="263" s="1"/>
  <c r="UNI6" i="263"/>
  <c r="UNI118" i="263" s="1"/>
  <c r="UNJ6" i="263"/>
  <c r="UNJ118" i="263" s="1"/>
  <c r="UNK6" i="263"/>
  <c r="UNK118" i="263" s="1"/>
  <c r="UNL6" i="263"/>
  <c r="UNL118" i="263" s="1"/>
  <c r="UNM6" i="263"/>
  <c r="UNM118" i="263" s="1"/>
  <c r="UNN6" i="263"/>
  <c r="UNN118" i="263" s="1"/>
  <c r="UNO6" i="263"/>
  <c r="UNO118" i="263" s="1"/>
  <c r="UNP6" i="263"/>
  <c r="UNP118" i="263" s="1"/>
  <c r="UNQ6" i="263"/>
  <c r="UNQ118" i="263" s="1"/>
  <c r="UNR6" i="263"/>
  <c r="UNR118" i="263" s="1"/>
  <c r="UNS6" i="263"/>
  <c r="UNS118" i="263" s="1"/>
  <c r="UNT6" i="263"/>
  <c r="UNT118" i="263" s="1"/>
  <c r="UNU6" i="263"/>
  <c r="UNU118" i="263" s="1"/>
  <c r="UNV6" i="263"/>
  <c r="UNV118" i="263" s="1"/>
  <c r="UNW6" i="263"/>
  <c r="UNW118" i="263" s="1"/>
  <c r="UNX6" i="263"/>
  <c r="UNX118" i="263" s="1"/>
  <c r="UNY6" i="263"/>
  <c r="UNY118" i="263" s="1"/>
  <c r="UNZ6" i="263"/>
  <c r="UNZ118" i="263" s="1"/>
  <c r="UOA6" i="263"/>
  <c r="UOA118" i="263" s="1"/>
  <c r="UOB6" i="263"/>
  <c r="UOB118" i="263" s="1"/>
  <c r="UOC6" i="263"/>
  <c r="UOC118" i="263" s="1"/>
  <c r="UOD6" i="263"/>
  <c r="UOD118" i="263" s="1"/>
  <c r="UOE6" i="263"/>
  <c r="UOE118" i="263" s="1"/>
  <c r="UOF6" i="263"/>
  <c r="UOF118" i="263" s="1"/>
  <c r="UOG6" i="263"/>
  <c r="UOG118" i="263" s="1"/>
  <c r="UOH6" i="263"/>
  <c r="UOH118" i="263" s="1"/>
  <c r="UOI6" i="263"/>
  <c r="UOI118" i="263" s="1"/>
  <c r="UOJ6" i="263"/>
  <c r="UOJ118" i="263" s="1"/>
  <c r="UOK6" i="263"/>
  <c r="UOK118" i="263" s="1"/>
  <c r="UOL6" i="263"/>
  <c r="UOL118" i="263" s="1"/>
  <c r="UOM6" i="263"/>
  <c r="UOM118" i="263" s="1"/>
  <c r="UON6" i="263"/>
  <c r="UON118" i="263" s="1"/>
  <c r="UOO6" i="263"/>
  <c r="UOO118" i="263" s="1"/>
  <c r="UOP6" i="263"/>
  <c r="UOP118" i="263" s="1"/>
  <c r="UOQ6" i="263"/>
  <c r="UOQ118" i="263" s="1"/>
  <c r="UOR6" i="263"/>
  <c r="UOR118" i="263" s="1"/>
  <c r="UOS6" i="263"/>
  <c r="UOS118" i="263" s="1"/>
  <c r="UOT6" i="263"/>
  <c r="UOT118" i="263" s="1"/>
  <c r="UOU6" i="263"/>
  <c r="UOU118" i="263" s="1"/>
  <c r="UOV6" i="263"/>
  <c r="UOV118" i="263" s="1"/>
  <c r="UOW6" i="263"/>
  <c r="UOW118" i="263" s="1"/>
  <c r="UOX6" i="263"/>
  <c r="UOX118" i="263" s="1"/>
  <c r="UOY6" i="263"/>
  <c r="UOY118" i="263" s="1"/>
  <c r="UOZ6" i="263"/>
  <c r="UOZ118" i="263" s="1"/>
  <c r="UPA6" i="263"/>
  <c r="UPA118" i="263" s="1"/>
  <c r="UPB6" i="263"/>
  <c r="UPB118" i="263" s="1"/>
  <c r="UPC6" i="263"/>
  <c r="UPC118" i="263" s="1"/>
  <c r="UPD6" i="263"/>
  <c r="UPD118" i="263" s="1"/>
  <c r="UPE6" i="263"/>
  <c r="UPE118" i="263" s="1"/>
  <c r="UPF6" i="263"/>
  <c r="UPF118" i="263" s="1"/>
  <c r="UPG6" i="263"/>
  <c r="UPG118" i="263" s="1"/>
  <c r="UPH6" i="263"/>
  <c r="UPH118" i="263" s="1"/>
  <c r="UPI6" i="263"/>
  <c r="UPI118" i="263" s="1"/>
  <c r="UPJ6" i="263"/>
  <c r="UPJ118" i="263" s="1"/>
  <c r="UPK6" i="263"/>
  <c r="UPK118" i="263" s="1"/>
  <c r="UPL6" i="263"/>
  <c r="UPL118" i="263" s="1"/>
  <c r="UPM6" i="263"/>
  <c r="UPM118" i="263" s="1"/>
  <c r="UPN6" i="263"/>
  <c r="UPN118" i="263" s="1"/>
  <c r="UPO6" i="263"/>
  <c r="UPO118" i="263" s="1"/>
  <c r="UPP6" i="263"/>
  <c r="UPP118" i="263" s="1"/>
  <c r="UPQ6" i="263"/>
  <c r="UPQ118" i="263" s="1"/>
  <c r="UPR6" i="263"/>
  <c r="UPR118" i="263" s="1"/>
  <c r="UPS6" i="263"/>
  <c r="UPS118" i="263" s="1"/>
  <c r="UPT6" i="263"/>
  <c r="UPT118" i="263" s="1"/>
  <c r="UPU6" i="263"/>
  <c r="UPU118" i="263" s="1"/>
  <c r="UPV6" i="263"/>
  <c r="UPV118" i="263" s="1"/>
  <c r="UPW6" i="263"/>
  <c r="UPW118" i="263" s="1"/>
  <c r="UPX6" i="263"/>
  <c r="UPX118" i="263" s="1"/>
  <c r="UPY6" i="263"/>
  <c r="UPY118" i="263" s="1"/>
  <c r="UPZ6" i="263"/>
  <c r="UPZ118" i="263" s="1"/>
  <c r="UQA6" i="263"/>
  <c r="UQA118" i="263" s="1"/>
  <c r="UQB6" i="263"/>
  <c r="UQB118" i="263" s="1"/>
  <c r="UQC6" i="263"/>
  <c r="UQC118" i="263" s="1"/>
  <c r="UQD6" i="263"/>
  <c r="UQD118" i="263" s="1"/>
  <c r="UQE6" i="263"/>
  <c r="UQE118" i="263" s="1"/>
  <c r="UQF6" i="263"/>
  <c r="UQF118" i="263" s="1"/>
  <c r="UQG6" i="263"/>
  <c r="UQG118" i="263" s="1"/>
  <c r="UQH6" i="263"/>
  <c r="UQH118" i="263" s="1"/>
  <c r="UQI6" i="263"/>
  <c r="UQI118" i="263" s="1"/>
  <c r="UQJ6" i="263"/>
  <c r="UQJ118" i="263" s="1"/>
  <c r="UQK6" i="263"/>
  <c r="UQK118" i="263" s="1"/>
  <c r="UQL6" i="263"/>
  <c r="UQL118" i="263" s="1"/>
  <c r="UQM6" i="263"/>
  <c r="UQM118" i="263" s="1"/>
  <c r="UQN6" i="263"/>
  <c r="UQN118" i="263" s="1"/>
  <c r="UQO6" i="263"/>
  <c r="UQO118" i="263" s="1"/>
  <c r="UQP6" i="263"/>
  <c r="UQP118" i="263" s="1"/>
  <c r="UQQ6" i="263"/>
  <c r="UQQ118" i="263" s="1"/>
  <c r="UQR6" i="263"/>
  <c r="UQR118" i="263" s="1"/>
  <c r="UQS6" i="263"/>
  <c r="UQS118" i="263" s="1"/>
  <c r="UQT6" i="263"/>
  <c r="UQT118" i="263" s="1"/>
  <c r="UQU6" i="263"/>
  <c r="UQU118" i="263" s="1"/>
  <c r="UQV6" i="263"/>
  <c r="UQV118" i="263" s="1"/>
  <c r="UQW6" i="263"/>
  <c r="UQW118" i="263" s="1"/>
  <c r="UQX6" i="263"/>
  <c r="UQX118" i="263" s="1"/>
  <c r="UQY6" i="263"/>
  <c r="UQY118" i="263" s="1"/>
  <c r="UQZ6" i="263"/>
  <c r="UQZ118" i="263" s="1"/>
  <c r="URA6" i="263"/>
  <c r="URA118" i="263" s="1"/>
  <c r="URB6" i="263"/>
  <c r="URB118" i="263" s="1"/>
  <c r="URC6" i="263"/>
  <c r="URC118" i="263" s="1"/>
  <c r="URD6" i="263"/>
  <c r="URD118" i="263" s="1"/>
  <c r="URE6" i="263"/>
  <c r="URE118" i="263" s="1"/>
  <c r="URF6" i="263"/>
  <c r="URF118" i="263" s="1"/>
  <c r="URG6" i="263"/>
  <c r="URG118" i="263" s="1"/>
  <c r="URH6" i="263"/>
  <c r="URH118" i="263" s="1"/>
  <c r="URI6" i="263"/>
  <c r="URI118" i="263" s="1"/>
  <c r="URJ6" i="263"/>
  <c r="URJ118" i="263" s="1"/>
  <c r="URK6" i="263"/>
  <c r="URK118" i="263" s="1"/>
  <c r="URL6" i="263"/>
  <c r="URL118" i="263" s="1"/>
  <c r="URM6" i="263"/>
  <c r="URM118" i="263" s="1"/>
  <c r="URN6" i="263"/>
  <c r="URN118" i="263" s="1"/>
  <c r="URO6" i="263"/>
  <c r="URO118" i="263" s="1"/>
  <c r="URP6" i="263"/>
  <c r="URP118" i="263" s="1"/>
  <c r="URQ6" i="263"/>
  <c r="URQ118" i="263" s="1"/>
  <c r="URR6" i="263"/>
  <c r="URR118" i="263" s="1"/>
  <c r="URS6" i="263"/>
  <c r="URS118" i="263" s="1"/>
  <c r="URT6" i="263"/>
  <c r="URT118" i="263" s="1"/>
  <c r="URU6" i="263"/>
  <c r="URU118" i="263" s="1"/>
  <c r="URV6" i="263"/>
  <c r="URV118" i="263" s="1"/>
  <c r="URW6" i="263"/>
  <c r="URW118" i="263" s="1"/>
  <c r="URX6" i="263"/>
  <c r="URX118" i="263" s="1"/>
  <c r="URY6" i="263"/>
  <c r="URY118" i="263" s="1"/>
  <c r="URZ6" i="263"/>
  <c r="URZ118" i="263" s="1"/>
  <c r="USA6" i="263"/>
  <c r="USA118" i="263" s="1"/>
  <c r="USB6" i="263"/>
  <c r="USB118" i="263" s="1"/>
  <c r="USC6" i="263"/>
  <c r="USC118" i="263" s="1"/>
  <c r="USD6" i="263"/>
  <c r="USD118" i="263" s="1"/>
  <c r="USE6" i="263"/>
  <c r="USE118" i="263" s="1"/>
  <c r="USF6" i="263"/>
  <c r="USF118" i="263" s="1"/>
  <c r="USG6" i="263"/>
  <c r="USG118" i="263" s="1"/>
  <c r="USH6" i="263"/>
  <c r="USH118" i="263" s="1"/>
  <c r="USI6" i="263"/>
  <c r="USI118" i="263" s="1"/>
  <c r="USJ6" i="263"/>
  <c r="USJ118" i="263" s="1"/>
  <c r="USK6" i="263"/>
  <c r="USK118" i="263" s="1"/>
  <c r="USL6" i="263"/>
  <c r="USL118" i="263" s="1"/>
  <c r="USM6" i="263"/>
  <c r="USM118" i="263" s="1"/>
  <c r="USN6" i="263"/>
  <c r="USN118" i="263" s="1"/>
  <c r="USO6" i="263"/>
  <c r="USO118" i="263" s="1"/>
  <c r="USP6" i="263"/>
  <c r="USP118" i="263" s="1"/>
  <c r="USQ6" i="263"/>
  <c r="USQ118" i="263" s="1"/>
  <c r="USR6" i="263"/>
  <c r="USR118" i="263" s="1"/>
  <c r="USS6" i="263"/>
  <c r="USS118" i="263" s="1"/>
  <c r="UST6" i="263"/>
  <c r="UST118" i="263" s="1"/>
  <c r="USU6" i="263"/>
  <c r="USU118" i="263" s="1"/>
  <c r="USV6" i="263"/>
  <c r="USV118" i="263" s="1"/>
  <c r="USW6" i="263"/>
  <c r="USW118" i="263" s="1"/>
  <c r="USX6" i="263"/>
  <c r="USX118" i="263" s="1"/>
  <c r="USY6" i="263"/>
  <c r="USY118" i="263" s="1"/>
  <c r="USZ6" i="263"/>
  <c r="USZ118" i="263" s="1"/>
  <c r="UTA6" i="263"/>
  <c r="UTA118" i="263" s="1"/>
  <c r="UTB6" i="263"/>
  <c r="UTB118" i="263" s="1"/>
  <c r="UTC6" i="263"/>
  <c r="UTC118" i="263" s="1"/>
  <c r="UTD6" i="263"/>
  <c r="UTD118" i="263" s="1"/>
  <c r="UTE6" i="263"/>
  <c r="UTE118" i="263" s="1"/>
  <c r="UTF6" i="263"/>
  <c r="UTF118" i="263" s="1"/>
  <c r="UTG6" i="263"/>
  <c r="UTG118" i="263" s="1"/>
  <c r="UTH6" i="263"/>
  <c r="UTH118" i="263" s="1"/>
  <c r="UTI6" i="263"/>
  <c r="UTI118" i="263" s="1"/>
  <c r="UTJ6" i="263"/>
  <c r="UTJ118" i="263" s="1"/>
  <c r="UTK6" i="263"/>
  <c r="UTK118" i="263" s="1"/>
  <c r="UTL6" i="263"/>
  <c r="UTL118" i="263" s="1"/>
  <c r="UTM6" i="263"/>
  <c r="UTM118" i="263" s="1"/>
  <c r="UTN6" i="263"/>
  <c r="UTN118" i="263" s="1"/>
  <c r="UTO6" i="263"/>
  <c r="UTO118" i="263" s="1"/>
  <c r="UTP6" i="263"/>
  <c r="UTP118" i="263" s="1"/>
  <c r="UTQ6" i="263"/>
  <c r="UTQ118" i="263" s="1"/>
  <c r="UTR6" i="263"/>
  <c r="UTR118" i="263" s="1"/>
  <c r="UTS6" i="263"/>
  <c r="UTS118" i="263" s="1"/>
  <c r="UTT6" i="263"/>
  <c r="UTT118" i="263" s="1"/>
  <c r="UTU6" i="263"/>
  <c r="UTU118" i="263" s="1"/>
  <c r="UTV6" i="263"/>
  <c r="UTV118" i="263" s="1"/>
  <c r="UTW6" i="263"/>
  <c r="UTW118" i="263" s="1"/>
  <c r="UTX6" i="263"/>
  <c r="UTX118" i="263" s="1"/>
  <c r="UTY6" i="263"/>
  <c r="UTY118" i="263" s="1"/>
  <c r="UTZ6" i="263"/>
  <c r="UTZ118" i="263" s="1"/>
  <c r="UUA6" i="263"/>
  <c r="UUA118" i="263" s="1"/>
  <c r="UUB6" i="263"/>
  <c r="UUB118" i="263" s="1"/>
  <c r="UUC6" i="263"/>
  <c r="UUC118" i="263" s="1"/>
  <c r="UUD6" i="263"/>
  <c r="UUD118" i="263" s="1"/>
  <c r="UUE6" i="263"/>
  <c r="UUE118" i="263" s="1"/>
  <c r="UUF6" i="263"/>
  <c r="UUF118" i="263" s="1"/>
  <c r="UUG6" i="263"/>
  <c r="UUG118" i="263" s="1"/>
  <c r="UUH6" i="263"/>
  <c r="UUH118" i="263" s="1"/>
  <c r="UUI6" i="263"/>
  <c r="UUI118" i="263" s="1"/>
  <c r="UUJ6" i="263"/>
  <c r="UUJ118" i="263" s="1"/>
  <c r="UUK6" i="263"/>
  <c r="UUK118" i="263" s="1"/>
  <c r="UUL6" i="263"/>
  <c r="UUL118" i="263" s="1"/>
  <c r="UUM6" i="263"/>
  <c r="UUM118" i="263" s="1"/>
  <c r="UUN6" i="263"/>
  <c r="UUN118" i="263" s="1"/>
  <c r="UUO6" i="263"/>
  <c r="UUO118" i="263" s="1"/>
  <c r="UUP6" i="263"/>
  <c r="UUP118" i="263" s="1"/>
  <c r="UUQ6" i="263"/>
  <c r="UUQ118" i="263" s="1"/>
  <c r="UUR6" i="263"/>
  <c r="UUR118" i="263" s="1"/>
  <c r="UUS6" i="263"/>
  <c r="UUS118" i="263" s="1"/>
  <c r="UUT6" i="263"/>
  <c r="UUT118" i="263" s="1"/>
  <c r="UUU6" i="263"/>
  <c r="UUU118" i="263" s="1"/>
  <c r="UUV6" i="263"/>
  <c r="UUV118" i="263" s="1"/>
  <c r="UUW6" i="263"/>
  <c r="UUW118" i="263" s="1"/>
  <c r="UUX6" i="263"/>
  <c r="UUX118" i="263" s="1"/>
  <c r="UUY6" i="263"/>
  <c r="UUY118" i="263" s="1"/>
  <c r="UUZ6" i="263"/>
  <c r="UUZ118" i="263" s="1"/>
  <c r="UVA6" i="263"/>
  <c r="UVA118" i="263" s="1"/>
  <c r="UVB6" i="263"/>
  <c r="UVB118" i="263" s="1"/>
  <c r="UVC6" i="263"/>
  <c r="UVC118" i="263" s="1"/>
  <c r="UVD6" i="263"/>
  <c r="UVD118" i="263" s="1"/>
  <c r="UVE6" i="263"/>
  <c r="UVE118" i="263" s="1"/>
  <c r="UVF6" i="263"/>
  <c r="UVF118" i="263" s="1"/>
  <c r="UVG6" i="263"/>
  <c r="UVG118" i="263" s="1"/>
  <c r="UVH6" i="263"/>
  <c r="UVH118" i="263" s="1"/>
  <c r="UVI6" i="263"/>
  <c r="UVI118" i="263" s="1"/>
  <c r="UVJ6" i="263"/>
  <c r="UVJ118" i="263" s="1"/>
  <c r="UVK6" i="263"/>
  <c r="UVK118" i="263" s="1"/>
  <c r="UVL6" i="263"/>
  <c r="UVL118" i="263" s="1"/>
  <c r="UVM6" i="263"/>
  <c r="UVM118" i="263" s="1"/>
  <c r="UVN6" i="263"/>
  <c r="UVN118" i="263" s="1"/>
  <c r="UVO6" i="263"/>
  <c r="UVO118" i="263" s="1"/>
  <c r="UVP6" i="263"/>
  <c r="UVP118" i="263" s="1"/>
  <c r="UVQ6" i="263"/>
  <c r="UVQ118" i="263" s="1"/>
  <c r="UVR6" i="263"/>
  <c r="UVR118" i="263" s="1"/>
  <c r="UVS6" i="263"/>
  <c r="UVS118" i="263" s="1"/>
  <c r="UVT6" i="263"/>
  <c r="UVT118" i="263" s="1"/>
  <c r="UVU6" i="263"/>
  <c r="UVU118" i="263" s="1"/>
  <c r="UVV6" i="263"/>
  <c r="UVV118" i="263" s="1"/>
  <c r="UVW6" i="263"/>
  <c r="UVW118" i="263" s="1"/>
  <c r="UVX6" i="263"/>
  <c r="UVX118" i="263" s="1"/>
  <c r="UVY6" i="263"/>
  <c r="UVY118" i="263" s="1"/>
  <c r="UVZ6" i="263"/>
  <c r="UVZ118" i="263" s="1"/>
  <c r="UWA6" i="263"/>
  <c r="UWA118" i="263" s="1"/>
  <c r="UWB6" i="263"/>
  <c r="UWB118" i="263" s="1"/>
  <c r="UWC6" i="263"/>
  <c r="UWC118" i="263" s="1"/>
  <c r="UWD6" i="263"/>
  <c r="UWD118" i="263" s="1"/>
  <c r="UWE6" i="263"/>
  <c r="UWE118" i="263" s="1"/>
  <c r="UWF6" i="263"/>
  <c r="UWF118" i="263" s="1"/>
  <c r="UWG6" i="263"/>
  <c r="UWG118" i="263" s="1"/>
  <c r="UWH6" i="263"/>
  <c r="UWH118" i="263" s="1"/>
  <c r="UWI6" i="263"/>
  <c r="UWI118" i="263" s="1"/>
  <c r="UWJ6" i="263"/>
  <c r="UWJ118" i="263" s="1"/>
  <c r="UWK6" i="263"/>
  <c r="UWK118" i="263" s="1"/>
  <c r="UWL6" i="263"/>
  <c r="UWL118" i="263" s="1"/>
  <c r="UWM6" i="263"/>
  <c r="UWM118" i="263" s="1"/>
  <c r="UWN6" i="263"/>
  <c r="UWN118" i="263" s="1"/>
  <c r="UWO6" i="263"/>
  <c r="UWO118" i="263" s="1"/>
  <c r="UWP6" i="263"/>
  <c r="UWP118" i="263" s="1"/>
  <c r="UWQ6" i="263"/>
  <c r="UWQ118" i="263" s="1"/>
  <c r="UWR6" i="263"/>
  <c r="UWR118" i="263" s="1"/>
  <c r="UWS6" i="263"/>
  <c r="UWS118" i="263" s="1"/>
  <c r="UWT6" i="263"/>
  <c r="UWT118" i="263" s="1"/>
  <c r="UWU6" i="263"/>
  <c r="UWU118" i="263" s="1"/>
  <c r="UWV6" i="263"/>
  <c r="UWV118" i="263" s="1"/>
  <c r="UWW6" i="263"/>
  <c r="UWW118" i="263" s="1"/>
  <c r="UWX6" i="263"/>
  <c r="UWX118" i="263" s="1"/>
  <c r="UWY6" i="263"/>
  <c r="UWY118" i="263" s="1"/>
  <c r="UWZ6" i="263"/>
  <c r="UWZ118" i="263" s="1"/>
  <c r="UXA6" i="263"/>
  <c r="UXA118" i="263" s="1"/>
  <c r="UXB6" i="263"/>
  <c r="UXB118" i="263" s="1"/>
  <c r="UXC6" i="263"/>
  <c r="UXC118" i="263" s="1"/>
  <c r="UXD6" i="263"/>
  <c r="UXD118" i="263" s="1"/>
  <c r="UXE6" i="263"/>
  <c r="UXE118" i="263" s="1"/>
  <c r="UXF6" i="263"/>
  <c r="UXF118" i="263" s="1"/>
  <c r="UXG6" i="263"/>
  <c r="UXG118" i="263" s="1"/>
  <c r="UXH6" i="263"/>
  <c r="UXH118" i="263" s="1"/>
  <c r="UXI6" i="263"/>
  <c r="UXI118" i="263" s="1"/>
  <c r="UXJ6" i="263"/>
  <c r="UXJ118" i="263" s="1"/>
  <c r="UXK6" i="263"/>
  <c r="UXK118" i="263" s="1"/>
  <c r="UXL6" i="263"/>
  <c r="UXL118" i="263" s="1"/>
  <c r="UXM6" i="263"/>
  <c r="UXM118" i="263" s="1"/>
  <c r="UXN6" i="263"/>
  <c r="UXN118" i="263" s="1"/>
  <c r="UXO6" i="263"/>
  <c r="UXO118" i="263" s="1"/>
  <c r="UXP6" i="263"/>
  <c r="UXP118" i="263" s="1"/>
  <c r="UXQ6" i="263"/>
  <c r="UXQ118" i="263" s="1"/>
  <c r="UXR6" i="263"/>
  <c r="UXR118" i="263" s="1"/>
  <c r="UXS6" i="263"/>
  <c r="UXS118" i="263" s="1"/>
  <c r="UXT6" i="263"/>
  <c r="UXT118" i="263" s="1"/>
  <c r="UXU6" i="263"/>
  <c r="UXU118" i="263" s="1"/>
  <c r="UXV6" i="263"/>
  <c r="UXV118" i="263" s="1"/>
  <c r="UXW6" i="263"/>
  <c r="UXW118" i="263" s="1"/>
  <c r="UXX6" i="263"/>
  <c r="UXX118" i="263" s="1"/>
  <c r="UXY6" i="263"/>
  <c r="UXY118" i="263" s="1"/>
  <c r="UXZ6" i="263"/>
  <c r="UXZ118" i="263" s="1"/>
  <c r="UYA6" i="263"/>
  <c r="UYA118" i="263" s="1"/>
  <c r="UYB6" i="263"/>
  <c r="UYB118" i="263" s="1"/>
  <c r="UYC6" i="263"/>
  <c r="UYC118" i="263" s="1"/>
  <c r="UYD6" i="263"/>
  <c r="UYD118" i="263" s="1"/>
  <c r="UYE6" i="263"/>
  <c r="UYE118" i="263" s="1"/>
  <c r="UYF6" i="263"/>
  <c r="UYF118" i="263" s="1"/>
  <c r="UYG6" i="263"/>
  <c r="UYG118" i="263" s="1"/>
  <c r="UYH6" i="263"/>
  <c r="UYH118" i="263" s="1"/>
  <c r="UYI6" i="263"/>
  <c r="UYI118" i="263" s="1"/>
  <c r="UYJ6" i="263"/>
  <c r="UYJ118" i="263" s="1"/>
  <c r="UYK6" i="263"/>
  <c r="UYK118" i="263" s="1"/>
  <c r="UYL6" i="263"/>
  <c r="UYL118" i="263" s="1"/>
  <c r="UYM6" i="263"/>
  <c r="UYM118" i="263" s="1"/>
  <c r="UYN6" i="263"/>
  <c r="UYN118" i="263" s="1"/>
  <c r="UYO6" i="263"/>
  <c r="UYO118" i="263" s="1"/>
  <c r="UYP6" i="263"/>
  <c r="UYP118" i="263" s="1"/>
  <c r="UYQ6" i="263"/>
  <c r="UYQ118" i="263" s="1"/>
  <c r="UYR6" i="263"/>
  <c r="UYR118" i="263" s="1"/>
  <c r="UYS6" i="263"/>
  <c r="UYS118" i="263" s="1"/>
  <c r="UYT6" i="263"/>
  <c r="UYT118" i="263" s="1"/>
  <c r="UYU6" i="263"/>
  <c r="UYU118" i="263" s="1"/>
  <c r="UYV6" i="263"/>
  <c r="UYV118" i="263" s="1"/>
  <c r="UYW6" i="263"/>
  <c r="UYW118" i="263" s="1"/>
  <c r="UYX6" i="263"/>
  <c r="UYX118" i="263" s="1"/>
  <c r="UYY6" i="263"/>
  <c r="UYY118" i="263" s="1"/>
  <c r="UYZ6" i="263"/>
  <c r="UYZ118" i="263" s="1"/>
  <c r="UZA6" i="263"/>
  <c r="UZA118" i="263" s="1"/>
  <c r="UZB6" i="263"/>
  <c r="UZB118" i="263" s="1"/>
  <c r="UZC6" i="263"/>
  <c r="UZC118" i="263" s="1"/>
  <c r="UZD6" i="263"/>
  <c r="UZD118" i="263" s="1"/>
  <c r="UZE6" i="263"/>
  <c r="UZE118" i="263" s="1"/>
  <c r="UZF6" i="263"/>
  <c r="UZF118" i="263" s="1"/>
  <c r="UZG6" i="263"/>
  <c r="UZG118" i="263" s="1"/>
  <c r="UZH6" i="263"/>
  <c r="UZH118" i="263" s="1"/>
  <c r="UZI6" i="263"/>
  <c r="UZI118" i="263" s="1"/>
  <c r="UZJ6" i="263"/>
  <c r="UZJ118" i="263" s="1"/>
  <c r="UZK6" i="263"/>
  <c r="UZK118" i="263" s="1"/>
  <c r="UZL6" i="263"/>
  <c r="UZL118" i="263" s="1"/>
  <c r="UZM6" i="263"/>
  <c r="UZM118" i="263" s="1"/>
  <c r="UZN6" i="263"/>
  <c r="UZN118" i="263" s="1"/>
  <c r="UZO6" i="263"/>
  <c r="UZO118" i="263" s="1"/>
  <c r="UZP6" i="263"/>
  <c r="UZP118" i="263" s="1"/>
  <c r="UZQ6" i="263"/>
  <c r="UZQ118" i="263" s="1"/>
  <c r="UZR6" i="263"/>
  <c r="UZR118" i="263" s="1"/>
  <c r="UZS6" i="263"/>
  <c r="UZS118" i="263" s="1"/>
  <c r="UZT6" i="263"/>
  <c r="UZT118" i="263" s="1"/>
  <c r="UZU6" i="263"/>
  <c r="UZU118" i="263" s="1"/>
  <c r="UZV6" i="263"/>
  <c r="UZV118" i="263" s="1"/>
  <c r="UZW6" i="263"/>
  <c r="UZW118" i="263" s="1"/>
  <c r="UZX6" i="263"/>
  <c r="UZX118" i="263" s="1"/>
  <c r="UZY6" i="263"/>
  <c r="UZY118" i="263" s="1"/>
  <c r="UZZ6" i="263"/>
  <c r="UZZ118" i="263" s="1"/>
  <c r="VAA6" i="263"/>
  <c r="VAA118" i="263" s="1"/>
  <c r="VAB6" i="263"/>
  <c r="VAB118" i="263" s="1"/>
  <c r="VAC6" i="263"/>
  <c r="VAC118" i="263" s="1"/>
  <c r="VAD6" i="263"/>
  <c r="VAD118" i="263" s="1"/>
  <c r="VAE6" i="263"/>
  <c r="VAE118" i="263" s="1"/>
  <c r="VAF6" i="263"/>
  <c r="VAF118" i="263" s="1"/>
  <c r="VAG6" i="263"/>
  <c r="VAG118" i="263" s="1"/>
  <c r="VAH6" i="263"/>
  <c r="VAH118" i="263" s="1"/>
  <c r="VAI6" i="263"/>
  <c r="VAI118" i="263" s="1"/>
  <c r="VAJ6" i="263"/>
  <c r="VAJ118" i="263" s="1"/>
  <c r="VAK6" i="263"/>
  <c r="VAK118" i="263" s="1"/>
  <c r="VAL6" i="263"/>
  <c r="VAL118" i="263" s="1"/>
  <c r="VAM6" i="263"/>
  <c r="VAM118" i="263" s="1"/>
  <c r="VAN6" i="263"/>
  <c r="VAN118" i="263" s="1"/>
  <c r="VAO6" i="263"/>
  <c r="VAO118" i="263" s="1"/>
  <c r="VAP6" i="263"/>
  <c r="VAP118" i="263" s="1"/>
  <c r="VAQ6" i="263"/>
  <c r="VAQ118" i="263" s="1"/>
  <c r="VAR6" i="263"/>
  <c r="VAR118" i="263" s="1"/>
  <c r="VAS6" i="263"/>
  <c r="VAS118" i="263" s="1"/>
  <c r="VAT6" i="263"/>
  <c r="VAT118" i="263" s="1"/>
  <c r="VAU6" i="263"/>
  <c r="VAU118" i="263" s="1"/>
  <c r="VAV6" i="263"/>
  <c r="VAV118" i="263" s="1"/>
  <c r="VAW6" i="263"/>
  <c r="VAW118" i="263" s="1"/>
  <c r="VAX6" i="263"/>
  <c r="VAX118" i="263" s="1"/>
  <c r="VAY6" i="263"/>
  <c r="VAY118" i="263" s="1"/>
  <c r="VAZ6" i="263"/>
  <c r="VAZ118" i="263" s="1"/>
  <c r="VBA6" i="263"/>
  <c r="VBA118" i="263" s="1"/>
  <c r="VBB6" i="263"/>
  <c r="VBB118" i="263" s="1"/>
  <c r="VBC6" i="263"/>
  <c r="VBC118" i="263" s="1"/>
  <c r="VBD6" i="263"/>
  <c r="VBD118" i="263" s="1"/>
  <c r="VBE6" i="263"/>
  <c r="VBE118" i="263" s="1"/>
  <c r="VBF6" i="263"/>
  <c r="VBF118" i="263" s="1"/>
  <c r="VBG6" i="263"/>
  <c r="VBG118" i="263" s="1"/>
  <c r="VBH6" i="263"/>
  <c r="VBH118" i="263" s="1"/>
  <c r="VBI6" i="263"/>
  <c r="VBI118" i="263" s="1"/>
  <c r="VBJ6" i="263"/>
  <c r="VBJ118" i="263" s="1"/>
  <c r="VBK6" i="263"/>
  <c r="VBK118" i="263" s="1"/>
  <c r="VBL6" i="263"/>
  <c r="VBL118" i="263" s="1"/>
  <c r="VBM6" i="263"/>
  <c r="VBM118" i="263" s="1"/>
  <c r="VBN6" i="263"/>
  <c r="VBN118" i="263" s="1"/>
  <c r="VBO6" i="263"/>
  <c r="VBO118" i="263" s="1"/>
  <c r="VBP6" i="263"/>
  <c r="VBP118" i="263" s="1"/>
  <c r="VBQ6" i="263"/>
  <c r="VBQ118" i="263" s="1"/>
  <c r="VBR6" i="263"/>
  <c r="VBR118" i="263" s="1"/>
  <c r="VBS6" i="263"/>
  <c r="VBS118" i="263" s="1"/>
  <c r="VBT6" i="263"/>
  <c r="VBT118" i="263" s="1"/>
  <c r="VBU6" i="263"/>
  <c r="VBU118" i="263" s="1"/>
  <c r="VBV6" i="263"/>
  <c r="VBV118" i="263" s="1"/>
  <c r="VBW6" i="263"/>
  <c r="VBW118" i="263" s="1"/>
  <c r="VBX6" i="263"/>
  <c r="VBX118" i="263" s="1"/>
  <c r="VBY6" i="263"/>
  <c r="VBY118" i="263" s="1"/>
  <c r="VBZ6" i="263"/>
  <c r="VBZ118" i="263" s="1"/>
  <c r="VCA6" i="263"/>
  <c r="VCA118" i="263" s="1"/>
  <c r="VCB6" i="263"/>
  <c r="VCB118" i="263" s="1"/>
  <c r="VCC6" i="263"/>
  <c r="VCC118" i="263" s="1"/>
  <c r="VCD6" i="263"/>
  <c r="VCD118" i="263" s="1"/>
  <c r="VCE6" i="263"/>
  <c r="VCE118" i="263" s="1"/>
  <c r="VCF6" i="263"/>
  <c r="VCF118" i="263" s="1"/>
  <c r="VCG6" i="263"/>
  <c r="VCG118" i="263" s="1"/>
  <c r="VCH6" i="263"/>
  <c r="VCH118" i="263" s="1"/>
  <c r="VCI6" i="263"/>
  <c r="VCI118" i="263" s="1"/>
  <c r="VCJ6" i="263"/>
  <c r="VCJ118" i="263" s="1"/>
  <c r="VCK6" i="263"/>
  <c r="VCK118" i="263" s="1"/>
  <c r="VCL6" i="263"/>
  <c r="VCL118" i="263" s="1"/>
  <c r="VCM6" i="263"/>
  <c r="VCM118" i="263" s="1"/>
  <c r="VCN6" i="263"/>
  <c r="VCN118" i="263" s="1"/>
  <c r="VCO6" i="263"/>
  <c r="VCO118" i="263" s="1"/>
  <c r="VCP6" i="263"/>
  <c r="VCP118" i="263" s="1"/>
  <c r="VCQ6" i="263"/>
  <c r="VCQ118" i="263" s="1"/>
  <c r="VCR6" i="263"/>
  <c r="VCR118" i="263" s="1"/>
  <c r="VCS6" i="263"/>
  <c r="VCS118" i="263" s="1"/>
  <c r="VCT6" i="263"/>
  <c r="VCT118" i="263" s="1"/>
  <c r="VCU6" i="263"/>
  <c r="VCU118" i="263" s="1"/>
  <c r="VCV6" i="263"/>
  <c r="VCV118" i="263" s="1"/>
  <c r="VCW6" i="263"/>
  <c r="VCW118" i="263" s="1"/>
  <c r="VCX6" i="263"/>
  <c r="VCX118" i="263" s="1"/>
  <c r="VCY6" i="263"/>
  <c r="VCY118" i="263" s="1"/>
  <c r="VCZ6" i="263"/>
  <c r="VCZ118" i="263" s="1"/>
  <c r="VDA6" i="263"/>
  <c r="VDA118" i="263" s="1"/>
  <c r="VDB6" i="263"/>
  <c r="VDB118" i="263" s="1"/>
  <c r="VDC6" i="263"/>
  <c r="VDC118" i="263" s="1"/>
  <c r="VDD6" i="263"/>
  <c r="VDD118" i="263" s="1"/>
  <c r="VDE6" i="263"/>
  <c r="VDE118" i="263" s="1"/>
  <c r="VDF6" i="263"/>
  <c r="VDF118" i="263" s="1"/>
  <c r="VDG6" i="263"/>
  <c r="VDG118" i="263" s="1"/>
  <c r="VDH6" i="263"/>
  <c r="VDH118" i="263" s="1"/>
  <c r="VDI6" i="263"/>
  <c r="VDI118" i="263" s="1"/>
  <c r="VDJ6" i="263"/>
  <c r="VDJ118" i="263" s="1"/>
  <c r="VDK6" i="263"/>
  <c r="VDK118" i="263" s="1"/>
  <c r="VDL6" i="263"/>
  <c r="VDL118" i="263" s="1"/>
  <c r="VDM6" i="263"/>
  <c r="VDM118" i="263" s="1"/>
  <c r="VDN6" i="263"/>
  <c r="VDN118" i="263" s="1"/>
  <c r="VDO6" i="263"/>
  <c r="VDO118" i="263" s="1"/>
  <c r="VDP6" i="263"/>
  <c r="VDP118" i="263" s="1"/>
  <c r="VDQ6" i="263"/>
  <c r="VDQ118" i="263" s="1"/>
  <c r="VDR6" i="263"/>
  <c r="VDR118" i="263" s="1"/>
  <c r="VDS6" i="263"/>
  <c r="VDS118" i="263" s="1"/>
  <c r="VDT6" i="263"/>
  <c r="VDT118" i="263" s="1"/>
  <c r="VDU6" i="263"/>
  <c r="VDU118" i="263" s="1"/>
  <c r="VDV6" i="263"/>
  <c r="VDV118" i="263" s="1"/>
  <c r="VDW6" i="263"/>
  <c r="VDW118" i="263" s="1"/>
  <c r="VDX6" i="263"/>
  <c r="VDX118" i="263" s="1"/>
  <c r="VDY6" i="263"/>
  <c r="VDY118" i="263" s="1"/>
  <c r="VDZ6" i="263"/>
  <c r="VDZ118" i="263" s="1"/>
  <c r="VEA6" i="263"/>
  <c r="VEA118" i="263" s="1"/>
  <c r="VEB6" i="263"/>
  <c r="VEB118" i="263" s="1"/>
  <c r="VEC6" i="263"/>
  <c r="VEC118" i="263" s="1"/>
  <c r="VED6" i="263"/>
  <c r="VED118" i="263" s="1"/>
  <c r="VEE6" i="263"/>
  <c r="VEE118" i="263" s="1"/>
  <c r="VEF6" i="263"/>
  <c r="VEF118" i="263" s="1"/>
  <c r="VEG6" i="263"/>
  <c r="VEG118" i="263" s="1"/>
  <c r="VEH6" i="263"/>
  <c r="VEH118" i="263" s="1"/>
  <c r="VEI6" i="263"/>
  <c r="VEI118" i="263" s="1"/>
  <c r="VEJ6" i="263"/>
  <c r="VEJ118" i="263" s="1"/>
  <c r="VEK6" i="263"/>
  <c r="VEK118" i="263" s="1"/>
  <c r="VEL6" i="263"/>
  <c r="VEL118" i="263" s="1"/>
  <c r="VEM6" i="263"/>
  <c r="VEM118" i="263" s="1"/>
  <c r="VEN6" i="263"/>
  <c r="VEN118" i="263" s="1"/>
  <c r="VEO6" i="263"/>
  <c r="VEO118" i="263" s="1"/>
  <c r="VEP6" i="263"/>
  <c r="VEP118" i="263" s="1"/>
  <c r="VEQ6" i="263"/>
  <c r="VEQ118" i="263" s="1"/>
  <c r="VER6" i="263"/>
  <c r="VER118" i="263" s="1"/>
  <c r="VES6" i="263"/>
  <c r="VES118" i="263" s="1"/>
  <c r="VET6" i="263"/>
  <c r="VET118" i="263" s="1"/>
  <c r="VEU6" i="263"/>
  <c r="VEU118" i="263" s="1"/>
  <c r="VEV6" i="263"/>
  <c r="VEV118" i="263" s="1"/>
  <c r="VEW6" i="263"/>
  <c r="VEW118" i="263" s="1"/>
  <c r="VEX6" i="263"/>
  <c r="VEX118" i="263" s="1"/>
  <c r="VEY6" i="263"/>
  <c r="VEY118" i="263" s="1"/>
  <c r="VEZ6" i="263"/>
  <c r="VEZ118" i="263" s="1"/>
  <c r="VFA6" i="263"/>
  <c r="VFA118" i="263" s="1"/>
  <c r="VFB6" i="263"/>
  <c r="VFB118" i="263" s="1"/>
  <c r="VFC6" i="263"/>
  <c r="VFC118" i="263" s="1"/>
  <c r="VFD6" i="263"/>
  <c r="VFD118" i="263" s="1"/>
  <c r="VFE6" i="263"/>
  <c r="VFE118" i="263" s="1"/>
  <c r="VFF6" i="263"/>
  <c r="VFF118" i="263" s="1"/>
  <c r="VFG6" i="263"/>
  <c r="VFG118" i="263" s="1"/>
  <c r="VFH6" i="263"/>
  <c r="VFH118" i="263" s="1"/>
  <c r="VFI6" i="263"/>
  <c r="VFI118" i="263" s="1"/>
  <c r="VFJ6" i="263"/>
  <c r="VFJ118" i="263" s="1"/>
  <c r="VFK6" i="263"/>
  <c r="VFK118" i="263" s="1"/>
  <c r="VFL6" i="263"/>
  <c r="VFL118" i="263" s="1"/>
  <c r="VFM6" i="263"/>
  <c r="VFM118" i="263" s="1"/>
  <c r="VFN6" i="263"/>
  <c r="VFN118" i="263" s="1"/>
  <c r="VFO6" i="263"/>
  <c r="VFO118" i="263" s="1"/>
  <c r="VFP6" i="263"/>
  <c r="VFP118" i="263" s="1"/>
  <c r="VFQ6" i="263"/>
  <c r="VFQ118" i="263" s="1"/>
  <c r="VFR6" i="263"/>
  <c r="VFR118" i="263" s="1"/>
  <c r="VFS6" i="263"/>
  <c r="VFS118" i="263" s="1"/>
  <c r="VFT6" i="263"/>
  <c r="VFT118" i="263" s="1"/>
  <c r="VFU6" i="263"/>
  <c r="VFU118" i="263" s="1"/>
  <c r="VFV6" i="263"/>
  <c r="VFV118" i="263" s="1"/>
  <c r="VFW6" i="263"/>
  <c r="VFW118" i="263" s="1"/>
  <c r="VFX6" i="263"/>
  <c r="VFX118" i="263" s="1"/>
  <c r="VFY6" i="263"/>
  <c r="VFY118" i="263" s="1"/>
  <c r="VFZ6" i="263"/>
  <c r="VFZ118" i="263" s="1"/>
  <c r="VGA6" i="263"/>
  <c r="VGA118" i="263" s="1"/>
  <c r="VGB6" i="263"/>
  <c r="VGB118" i="263" s="1"/>
  <c r="VGC6" i="263"/>
  <c r="VGC118" i="263" s="1"/>
  <c r="VGD6" i="263"/>
  <c r="VGD118" i="263" s="1"/>
  <c r="VGE6" i="263"/>
  <c r="VGE118" i="263" s="1"/>
  <c r="VGF6" i="263"/>
  <c r="VGF118" i="263" s="1"/>
  <c r="VGG6" i="263"/>
  <c r="VGG118" i="263" s="1"/>
  <c r="VGH6" i="263"/>
  <c r="VGH118" i="263" s="1"/>
  <c r="VGI6" i="263"/>
  <c r="VGI118" i="263" s="1"/>
  <c r="VGJ6" i="263"/>
  <c r="VGJ118" i="263" s="1"/>
  <c r="VGK6" i="263"/>
  <c r="VGK118" i="263" s="1"/>
  <c r="VGL6" i="263"/>
  <c r="VGL118" i="263" s="1"/>
  <c r="VGM6" i="263"/>
  <c r="VGM118" i="263" s="1"/>
  <c r="VGN6" i="263"/>
  <c r="VGN118" i="263" s="1"/>
  <c r="VGO6" i="263"/>
  <c r="VGO118" i="263" s="1"/>
  <c r="VGP6" i="263"/>
  <c r="VGP118" i="263" s="1"/>
  <c r="VGQ6" i="263"/>
  <c r="VGQ118" i="263" s="1"/>
  <c r="VGR6" i="263"/>
  <c r="VGR118" i="263" s="1"/>
  <c r="VGS6" i="263"/>
  <c r="VGS118" i="263" s="1"/>
  <c r="VGT6" i="263"/>
  <c r="VGT118" i="263" s="1"/>
  <c r="VGU6" i="263"/>
  <c r="VGU118" i="263" s="1"/>
  <c r="VGV6" i="263"/>
  <c r="VGV118" i="263" s="1"/>
  <c r="VGW6" i="263"/>
  <c r="VGW118" i="263" s="1"/>
  <c r="VGX6" i="263"/>
  <c r="VGX118" i="263" s="1"/>
  <c r="VGY6" i="263"/>
  <c r="VGY118" i="263" s="1"/>
  <c r="VGZ6" i="263"/>
  <c r="VGZ118" i="263" s="1"/>
  <c r="VHA6" i="263"/>
  <c r="VHA118" i="263" s="1"/>
  <c r="VHB6" i="263"/>
  <c r="VHB118" i="263" s="1"/>
  <c r="VHC6" i="263"/>
  <c r="VHC118" i="263" s="1"/>
  <c r="VHD6" i="263"/>
  <c r="VHD118" i="263" s="1"/>
  <c r="VHE6" i="263"/>
  <c r="VHE118" i="263" s="1"/>
  <c r="VHF6" i="263"/>
  <c r="VHF118" i="263" s="1"/>
  <c r="VHG6" i="263"/>
  <c r="VHG118" i="263" s="1"/>
  <c r="VHH6" i="263"/>
  <c r="VHH118" i="263" s="1"/>
  <c r="VHI6" i="263"/>
  <c r="VHI118" i="263" s="1"/>
  <c r="VHJ6" i="263"/>
  <c r="VHJ118" i="263" s="1"/>
  <c r="VHK6" i="263"/>
  <c r="VHK118" i="263" s="1"/>
  <c r="VHL6" i="263"/>
  <c r="VHL118" i="263" s="1"/>
  <c r="VHM6" i="263"/>
  <c r="VHM118" i="263" s="1"/>
  <c r="VHN6" i="263"/>
  <c r="VHN118" i="263" s="1"/>
  <c r="VHO6" i="263"/>
  <c r="VHO118" i="263" s="1"/>
  <c r="VHP6" i="263"/>
  <c r="VHP118" i="263" s="1"/>
  <c r="VHQ6" i="263"/>
  <c r="VHQ118" i="263" s="1"/>
  <c r="VHR6" i="263"/>
  <c r="VHR118" i="263" s="1"/>
  <c r="VHS6" i="263"/>
  <c r="VHS118" i="263" s="1"/>
  <c r="VHT6" i="263"/>
  <c r="VHT118" i="263" s="1"/>
  <c r="VHU6" i="263"/>
  <c r="VHU118" i="263" s="1"/>
  <c r="VHV6" i="263"/>
  <c r="VHV118" i="263" s="1"/>
  <c r="VHW6" i="263"/>
  <c r="VHW118" i="263" s="1"/>
  <c r="VHX6" i="263"/>
  <c r="VHX118" i="263" s="1"/>
  <c r="VHY6" i="263"/>
  <c r="VHY118" i="263" s="1"/>
  <c r="VHZ6" i="263"/>
  <c r="VHZ118" i="263" s="1"/>
  <c r="VIA6" i="263"/>
  <c r="VIA118" i="263" s="1"/>
  <c r="VIB6" i="263"/>
  <c r="VIB118" i="263" s="1"/>
  <c r="VIC6" i="263"/>
  <c r="VIC118" i="263" s="1"/>
  <c r="VID6" i="263"/>
  <c r="VID118" i="263" s="1"/>
  <c r="VIE6" i="263"/>
  <c r="VIE118" i="263" s="1"/>
  <c r="VIF6" i="263"/>
  <c r="VIF118" i="263" s="1"/>
  <c r="VIG6" i="263"/>
  <c r="VIG118" i="263" s="1"/>
  <c r="VIH6" i="263"/>
  <c r="VIH118" i="263" s="1"/>
  <c r="VII6" i="263"/>
  <c r="VII118" i="263" s="1"/>
  <c r="VIJ6" i="263"/>
  <c r="VIJ118" i="263" s="1"/>
  <c r="VIK6" i="263"/>
  <c r="VIK118" i="263" s="1"/>
  <c r="VIL6" i="263"/>
  <c r="VIL118" i="263" s="1"/>
  <c r="VIM6" i="263"/>
  <c r="VIM118" i="263" s="1"/>
  <c r="VIN6" i="263"/>
  <c r="VIN118" i="263" s="1"/>
  <c r="VIO6" i="263"/>
  <c r="VIO118" i="263" s="1"/>
  <c r="VIP6" i="263"/>
  <c r="VIP118" i="263" s="1"/>
  <c r="VIQ6" i="263"/>
  <c r="VIQ118" i="263" s="1"/>
  <c r="VIR6" i="263"/>
  <c r="VIR118" i="263" s="1"/>
  <c r="VIS6" i="263"/>
  <c r="VIS118" i="263" s="1"/>
  <c r="VIT6" i="263"/>
  <c r="VIT118" i="263" s="1"/>
  <c r="VIU6" i="263"/>
  <c r="VIU118" i="263" s="1"/>
  <c r="VIV6" i="263"/>
  <c r="VIV118" i="263" s="1"/>
  <c r="VIW6" i="263"/>
  <c r="VIW118" i="263" s="1"/>
  <c r="VIX6" i="263"/>
  <c r="VIX118" i="263" s="1"/>
  <c r="VIY6" i="263"/>
  <c r="VIY118" i="263" s="1"/>
  <c r="VIZ6" i="263"/>
  <c r="VIZ118" i="263" s="1"/>
  <c r="VJA6" i="263"/>
  <c r="VJA118" i="263" s="1"/>
  <c r="VJB6" i="263"/>
  <c r="VJB118" i="263" s="1"/>
  <c r="VJC6" i="263"/>
  <c r="VJC118" i="263" s="1"/>
  <c r="VJD6" i="263"/>
  <c r="VJD118" i="263" s="1"/>
  <c r="VJE6" i="263"/>
  <c r="VJE118" i="263" s="1"/>
  <c r="VJF6" i="263"/>
  <c r="VJF118" i="263" s="1"/>
  <c r="VJG6" i="263"/>
  <c r="VJG118" i="263" s="1"/>
  <c r="VJH6" i="263"/>
  <c r="VJH118" i="263" s="1"/>
  <c r="VJI6" i="263"/>
  <c r="VJI118" i="263" s="1"/>
  <c r="VJJ6" i="263"/>
  <c r="VJJ118" i="263" s="1"/>
  <c r="VJK6" i="263"/>
  <c r="VJK118" i="263" s="1"/>
  <c r="VJL6" i="263"/>
  <c r="VJL118" i="263" s="1"/>
  <c r="VJM6" i="263"/>
  <c r="VJM118" i="263" s="1"/>
  <c r="VJN6" i="263"/>
  <c r="VJN118" i="263" s="1"/>
  <c r="VJO6" i="263"/>
  <c r="VJO118" i="263" s="1"/>
  <c r="VJP6" i="263"/>
  <c r="VJP118" i="263" s="1"/>
  <c r="VJQ6" i="263"/>
  <c r="VJQ118" i="263" s="1"/>
  <c r="VJR6" i="263"/>
  <c r="VJR118" i="263" s="1"/>
  <c r="VJS6" i="263"/>
  <c r="VJS118" i="263" s="1"/>
  <c r="VJT6" i="263"/>
  <c r="VJT118" i="263" s="1"/>
  <c r="VJU6" i="263"/>
  <c r="VJU118" i="263" s="1"/>
  <c r="VJV6" i="263"/>
  <c r="VJV118" i="263" s="1"/>
  <c r="VJW6" i="263"/>
  <c r="VJW118" i="263" s="1"/>
  <c r="VJX6" i="263"/>
  <c r="VJX118" i="263" s="1"/>
  <c r="VJY6" i="263"/>
  <c r="VJY118" i="263" s="1"/>
  <c r="VJZ6" i="263"/>
  <c r="VJZ118" i="263" s="1"/>
  <c r="VKA6" i="263"/>
  <c r="VKA118" i="263" s="1"/>
  <c r="VKB6" i="263"/>
  <c r="VKB118" i="263" s="1"/>
  <c r="VKC6" i="263"/>
  <c r="VKC118" i="263" s="1"/>
  <c r="VKD6" i="263"/>
  <c r="VKD118" i="263" s="1"/>
  <c r="VKE6" i="263"/>
  <c r="VKE118" i="263" s="1"/>
  <c r="VKF6" i="263"/>
  <c r="VKF118" i="263" s="1"/>
  <c r="VKG6" i="263"/>
  <c r="VKG118" i="263" s="1"/>
  <c r="VKH6" i="263"/>
  <c r="VKH118" i="263" s="1"/>
  <c r="VKI6" i="263"/>
  <c r="VKI118" i="263" s="1"/>
  <c r="VKJ6" i="263"/>
  <c r="VKJ118" i="263" s="1"/>
  <c r="VKK6" i="263"/>
  <c r="VKK118" i="263" s="1"/>
  <c r="VKL6" i="263"/>
  <c r="VKL118" i="263" s="1"/>
  <c r="VKM6" i="263"/>
  <c r="VKM118" i="263" s="1"/>
  <c r="VKN6" i="263"/>
  <c r="VKN118" i="263" s="1"/>
  <c r="VKO6" i="263"/>
  <c r="VKO118" i="263" s="1"/>
  <c r="VKP6" i="263"/>
  <c r="VKP118" i="263" s="1"/>
  <c r="VKQ6" i="263"/>
  <c r="VKQ118" i="263" s="1"/>
  <c r="VKR6" i="263"/>
  <c r="VKR118" i="263" s="1"/>
  <c r="VKS6" i="263"/>
  <c r="VKS118" i="263" s="1"/>
  <c r="VKT6" i="263"/>
  <c r="VKT118" i="263" s="1"/>
  <c r="VKU6" i="263"/>
  <c r="VKU118" i="263" s="1"/>
  <c r="VKV6" i="263"/>
  <c r="VKV118" i="263" s="1"/>
  <c r="VKW6" i="263"/>
  <c r="VKW118" i="263" s="1"/>
  <c r="VKX6" i="263"/>
  <c r="VKX118" i="263" s="1"/>
  <c r="VKY6" i="263"/>
  <c r="VKY118" i="263" s="1"/>
  <c r="VKZ6" i="263"/>
  <c r="VKZ118" i="263" s="1"/>
  <c r="VLA6" i="263"/>
  <c r="VLA118" i="263" s="1"/>
  <c r="VLB6" i="263"/>
  <c r="VLB118" i="263" s="1"/>
  <c r="VLC6" i="263"/>
  <c r="VLC118" i="263" s="1"/>
  <c r="VLD6" i="263"/>
  <c r="VLD118" i="263" s="1"/>
  <c r="VLE6" i="263"/>
  <c r="VLE118" i="263" s="1"/>
  <c r="VLF6" i="263"/>
  <c r="VLF118" i="263" s="1"/>
  <c r="VLG6" i="263"/>
  <c r="VLG118" i="263" s="1"/>
  <c r="VLH6" i="263"/>
  <c r="VLH118" i="263" s="1"/>
  <c r="VLI6" i="263"/>
  <c r="VLI118" i="263" s="1"/>
  <c r="VLJ6" i="263"/>
  <c r="VLJ118" i="263" s="1"/>
  <c r="VLK6" i="263"/>
  <c r="VLK118" i="263" s="1"/>
  <c r="VLL6" i="263"/>
  <c r="VLL118" i="263" s="1"/>
  <c r="VLM6" i="263"/>
  <c r="VLM118" i="263" s="1"/>
  <c r="VLN6" i="263"/>
  <c r="VLN118" i="263" s="1"/>
  <c r="VLO6" i="263"/>
  <c r="VLO118" i="263" s="1"/>
  <c r="VLP6" i="263"/>
  <c r="VLP118" i="263" s="1"/>
  <c r="VLQ6" i="263"/>
  <c r="VLQ118" i="263" s="1"/>
  <c r="VLR6" i="263"/>
  <c r="VLR118" i="263" s="1"/>
  <c r="VLS6" i="263"/>
  <c r="VLS118" i="263" s="1"/>
  <c r="VLT6" i="263"/>
  <c r="VLT118" i="263" s="1"/>
  <c r="VLU6" i="263"/>
  <c r="VLU118" i="263" s="1"/>
  <c r="VLV6" i="263"/>
  <c r="VLV118" i="263" s="1"/>
  <c r="VLW6" i="263"/>
  <c r="VLW118" i="263" s="1"/>
  <c r="VLX6" i="263"/>
  <c r="VLX118" i="263" s="1"/>
  <c r="VLY6" i="263"/>
  <c r="VLY118" i="263" s="1"/>
  <c r="VLZ6" i="263"/>
  <c r="VLZ118" i="263" s="1"/>
  <c r="VMA6" i="263"/>
  <c r="VMA118" i="263" s="1"/>
  <c r="VMB6" i="263"/>
  <c r="VMB118" i="263" s="1"/>
  <c r="VMC6" i="263"/>
  <c r="VMC118" i="263" s="1"/>
  <c r="VMD6" i="263"/>
  <c r="VMD118" i="263" s="1"/>
  <c r="VME6" i="263"/>
  <c r="VME118" i="263" s="1"/>
  <c r="VMF6" i="263"/>
  <c r="VMF118" i="263" s="1"/>
  <c r="VMG6" i="263"/>
  <c r="VMG118" i="263" s="1"/>
  <c r="VMH6" i="263"/>
  <c r="VMH118" i="263" s="1"/>
  <c r="VMI6" i="263"/>
  <c r="VMI118" i="263" s="1"/>
  <c r="VMJ6" i="263"/>
  <c r="VMJ118" i="263" s="1"/>
  <c r="VMK6" i="263"/>
  <c r="VMK118" i="263" s="1"/>
  <c r="VML6" i="263"/>
  <c r="VML118" i="263" s="1"/>
  <c r="VMM6" i="263"/>
  <c r="VMM118" i="263" s="1"/>
  <c r="VMN6" i="263"/>
  <c r="VMN118" i="263" s="1"/>
  <c r="VMO6" i="263"/>
  <c r="VMO118" i="263" s="1"/>
  <c r="VMP6" i="263"/>
  <c r="VMP118" i="263" s="1"/>
  <c r="VMQ6" i="263"/>
  <c r="VMQ118" i="263" s="1"/>
  <c r="VMR6" i="263"/>
  <c r="VMR118" i="263" s="1"/>
  <c r="VMS6" i="263"/>
  <c r="VMS118" i="263" s="1"/>
  <c r="VMT6" i="263"/>
  <c r="VMT118" i="263" s="1"/>
  <c r="VMU6" i="263"/>
  <c r="VMU118" i="263" s="1"/>
  <c r="VMV6" i="263"/>
  <c r="VMV118" i="263" s="1"/>
  <c r="VMW6" i="263"/>
  <c r="VMW118" i="263" s="1"/>
  <c r="VMX6" i="263"/>
  <c r="VMX118" i="263" s="1"/>
  <c r="VMY6" i="263"/>
  <c r="VMY118" i="263" s="1"/>
  <c r="VMZ6" i="263"/>
  <c r="VMZ118" i="263" s="1"/>
  <c r="VNA6" i="263"/>
  <c r="VNA118" i="263" s="1"/>
  <c r="VNB6" i="263"/>
  <c r="VNB118" i="263" s="1"/>
  <c r="VNC6" i="263"/>
  <c r="VNC118" i="263" s="1"/>
  <c r="VND6" i="263"/>
  <c r="VND118" i="263" s="1"/>
  <c r="VNE6" i="263"/>
  <c r="VNE118" i="263" s="1"/>
  <c r="VNF6" i="263"/>
  <c r="VNF118" i="263" s="1"/>
  <c r="VNG6" i="263"/>
  <c r="VNG118" i="263" s="1"/>
  <c r="VNH6" i="263"/>
  <c r="VNH118" i="263" s="1"/>
  <c r="VNI6" i="263"/>
  <c r="VNI118" i="263" s="1"/>
  <c r="VNJ6" i="263"/>
  <c r="VNJ118" i="263" s="1"/>
  <c r="VNK6" i="263"/>
  <c r="VNK118" i="263" s="1"/>
  <c r="VNL6" i="263"/>
  <c r="VNL118" i="263" s="1"/>
  <c r="VNM6" i="263"/>
  <c r="VNM118" i="263" s="1"/>
  <c r="VNN6" i="263"/>
  <c r="VNN118" i="263" s="1"/>
  <c r="VNO6" i="263"/>
  <c r="VNO118" i="263" s="1"/>
  <c r="VNP6" i="263"/>
  <c r="VNP118" i="263" s="1"/>
  <c r="VNQ6" i="263"/>
  <c r="VNQ118" i="263" s="1"/>
  <c r="VNR6" i="263"/>
  <c r="VNR118" i="263" s="1"/>
  <c r="VNS6" i="263"/>
  <c r="VNS118" i="263" s="1"/>
  <c r="VNT6" i="263"/>
  <c r="VNT118" i="263" s="1"/>
  <c r="VNU6" i="263"/>
  <c r="VNU118" i="263" s="1"/>
  <c r="VNV6" i="263"/>
  <c r="VNV118" i="263" s="1"/>
  <c r="VNW6" i="263"/>
  <c r="VNW118" i="263" s="1"/>
  <c r="VNX6" i="263"/>
  <c r="VNX118" i="263" s="1"/>
  <c r="VNY6" i="263"/>
  <c r="VNY118" i="263" s="1"/>
  <c r="VNZ6" i="263"/>
  <c r="VNZ118" i="263" s="1"/>
  <c r="VOA6" i="263"/>
  <c r="VOA118" i="263" s="1"/>
  <c r="VOB6" i="263"/>
  <c r="VOB118" i="263" s="1"/>
  <c r="VOC6" i="263"/>
  <c r="VOC118" i="263" s="1"/>
  <c r="VOD6" i="263"/>
  <c r="VOD118" i="263" s="1"/>
  <c r="VOE6" i="263"/>
  <c r="VOE118" i="263" s="1"/>
  <c r="VOF6" i="263"/>
  <c r="VOF118" i="263" s="1"/>
  <c r="VOG6" i="263"/>
  <c r="VOG118" i="263" s="1"/>
  <c r="VOH6" i="263"/>
  <c r="VOH118" i="263" s="1"/>
  <c r="VOI6" i="263"/>
  <c r="VOI118" i="263" s="1"/>
  <c r="VOJ6" i="263"/>
  <c r="VOJ118" i="263" s="1"/>
  <c r="VOK6" i="263"/>
  <c r="VOK118" i="263" s="1"/>
  <c r="VOL6" i="263"/>
  <c r="VOL118" i="263" s="1"/>
  <c r="VOM6" i="263"/>
  <c r="VOM118" i="263" s="1"/>
  <c r="VON6" i="263"/>
  <c r="VON118" i="263" s="1"/>
  <c r="VOO6" i="263"/>
  <c r="VOO118" i="263" s="1"/>
  <c r="VOP6" i="263"/>
  <c r="VOP118" i="263" s="1"/>
  <c r="VOQ6" i="263"/>
  <c r="VOQ118" i="263" s="1"/>
  <c r="VOR6" i="263"/>
  <c r="VOR118" i="263" s="1"/>
  <c r="VOS6" i="263"/>
  <c r="VOS118" i="263" s="1"/>
  <c r="VOT6" i="263"/>
  <c r="VOT118" i="263" s="1"/>
  <c r="VOU6" i="263"/>
  <c r="VOU118" i="263" s="1"/>
  <c r="VOV6" i="263"/>
  <c r="VOV118" i="263" s="1"/>
  <c r="VOW6" i="263"/>
  <c r="VOW118" i="263" s="1"/>
  <c r="VOX6" i="263"/>
  <c r="VOX118" i="263" s="1"/>
  <c r="VOY6" i="263"/>
  <c r="VOY118" i="263" s="1"/>
  <c r="VOZ6" i="263"/>
  <c r="VOZ118" i="263" s="1"/>
  <c r="VPA6" i="263"/>
  <c r="VPA118" i="263" s="1"/>
  <c r="VPB6" i="263"/>
  <c r="VPB118" i="263" s="1"/>
  <c r="VPC6" i="263"/>
  <c r="VPC118" i="263" s="1"/>
  <c r="VPD6" i="263"/>
  <c r="VPD118" i="263" s="1"/>
  <c r="VPE6" i="263"/>
  <c r="VPE118" i="263" s="1"/>
  <c r="VPF6" i="263"/>
  <c r="VPF118" i="263" s="1"/>
  <c r="VPG6" i="263"/>
  <c r="VPG118" i="263" s="1"/>
  <c r="VPH6" i="263"/>
  <c r="VPH118" i="263" s="1"/>
  <c r="VPI6" i="263"/>
  <c r="VPI118" i="263" s="1"/>
  <c r="VPJ6" i="263"/>
  <c r="VPJ118" i="263" s="1"/>
  <c r="VPK6" i="263"/>
  <c r="VPK118" i="263" s="1"/>
  <c r="VPL6" i="263"/>
  <c r="VPL118" i="263" s="1"/>
  <c r="VPM6" i="263"/>
  <c r="VPM118" i="263" s="1"/>
  <c r="VPN6" i="263"/>
  <c r="VPN118" i="263" s="1"/>
  <c r="VPO6" i="263"/>
  <c r="VPO118" i="263" s="1"/>
  <c r="VPP6" i="263"/>
  <c r="VPP118" i="263" s="1"/>
  <c r="VPQ6" i="263"/>
  <c r="VPQ118" i="263" s="1"/>
  <c r="VPR6" i="263"/>
  <c r="VPR118" i="263" s="1"/>
  <c r="VPS6" i="263"/>
  <c r="VPS118" i="263" s="1"/>
  <c r="VPT6" i="263"/>
  <c r="VPT118" i="263" s="1"/>
  <c r="VPU6" i="263"/>
  <c r="VPU118" i="263" s="1"/>
  <c r="VPV6" i="263"/>
  <c r="VPV118" i="263" s="1"/>
  <c r="VPW6" i="263"/>
  <c r="VPW118" i="263" s="1"/>
  <c r="VPX6" i="263"/>
  <c r="VPX118" i="263" s="1"/>
  <c r="VPY6" i="263"/>
  <c r="VPY118" i="263" s="1"/>
  <c r="VPZ6" i="263"/>
  <c r="VPZ118" i="263" s="1"/>
  <c r="VQA6" i="263"/>
  <c r="VQA118" i="263" s="1"/>
  <c r="VQB6" i="263"/>
  <c r="VQB118" i="263" s="1"/>
  <c r="VQC6" i="263"/>
  <c r="VQC118" i="263" s="1"/>
  <c r="VQD6" i="263"/>
  <c r="VQD118" i="263" s="1"/>
  <c r="VQE6" i="263"/>
  <c r="VQE118" i="263" s="1"/>
  <c r="VQF6" i="263"/>
  <c r="VQF118" i="263" s="1"/>
  <c r="VQG6" i="263"/>
  <c r="VQG118" i="263" s="1"/>
  <c r="VQH6" i="263"/>
  <c r="VQH118" i="263" s="1"/>
  <c r="VQI6" i="263"/>
  <c r="VQI118" i="263" s="1"/>
  <c r="VQJ6" i="263"/>
  <c r="VQJ118" i="263" s="1"/>
  <c r="VQK6" i="263"/>
  <c r="VQK118" i="263" s="1"/>
  <c r="VQL6" i="263"/>
  <c r="VQL118" i="263" s="1"/>
  <c r="VQM6" i="263"/>
  <c r="VQM118" i="263" s="1"/>
  <c r="VQN6" i="263"/>
  <c r="VQN118" i="263" s="1"/>
  <c r="VQO6" i="263"/>
  <c r="VQO118" i="263" s="1"/>
  <c r="VQP6" i="263"/>
  <c r="VQP118" i="263" s="1"/>
  <c r="VQQ6" i="263"/>
  <c r="VQQ118" i="263" s="1"/>
  <c r="VQR6" i="263"/>
  <c r="VQR118" i="263" s="1"/>
  <c r="VQS6" i="263"/>
  <c r="VQS118" i="263" s="1"/>
  <c r="VQT6" i="263"/>
  <c r="VQT118" i="263" s="1"/>
  <c r="VQU6" i="263"/>
  <c r="VQU118" i="263" s="1"/>
  <c r="VQV6" i="263"/>
  <c r="VQV118" i="263" s="1"/>
  <c r="VQW6" i="263"/>
  <c r="VQW118" i="263" s="1"/>
  <c r="VQX6" i="263"/>
  <c r="VQX118" i="263" s="1"/>
  <c r="VQY6" i="263"/>
  <c r="VQY118" i="263" s="1"/>
  <c r="VQZ6" i="263"/>
  <c r="VQZ118" i="263" s="1"/>
  <c r="VRA6" i="263"/>
  <c r="VRA118" i="263" s="1"/>
  <c r="VRB6" i="263"/>
  <c r="VRB118" i="263" s="1"/>
  <c r="VRC6" i="263"/>
  <c r="VRC118" i="263" s="1"/>
  <c r="VRD6" i="263"/>
  <c r="VRD118" i="263" s="1"/>
  <c r="VRE6" i="263"/>
  <c r="VRE118" i="263" s="1"/>
  <c r="VRF6" i="263"/>
  <c r="VRF118" i="263" s="1"/>
  <c r="VRG6" i="263"/>
  <c r="VRG118" i="263" s="1"/>
  <c r="VRH6" i="263"/>
  <c r="VRH118" i="263" s="1"/>
  <c r="VRI6" i="263"/>
  <c r="VRI118" i="263" s="1"/>
  <c r="VRJ6" i="263"/>
  <c r="VRJ118" i="263" s="1"/>
  <c r="VRK6" i="263"/>
  <c r="VRK118" i="263" s="1"/>
  <c r="VRL6" i="263"/>
  <c r="VRL118" i="263" s="1"/>
  <c r="VRM6" i="263"/>
  <c r="VRM118" i="263" s="1"/>
  <c r="VRN6" i="263"/>
  <c r="VRN118" i="263" s="1"/>
  <c r="VRO6" i="263"/>
  <c r="VRO118" i="263" s="1"/>
  <c r="VRP6" i="263"/>
  <c r="VRP118" i="263" s="1"/>
  <c r="VRQ6" i="263"/>
  <c r="VRQ118" i="263" s="1"/>
  <c r="VRR6" i="263"/>
  <c r="VRR118" i="263" s="1"/>
  <c r="VRS6" i="263"/>
  <c r="VRS118" i="263" s="1"/>
  <c r="VRT6" i="263"/>
  <c r="VRT118" i="263" s="1"/>
  <c r="VRU6" i="263"/>
  <c r="VRU118" i="263" s="1"/>
  <c r="VRV6" i="263"/>
  <c r="VRV118" i="263" s="1"/>
  <c r="VRW6" i="263"/>
  <c r="VRW118" i="263" s="1"/>
  <c r="VRX6" i="263"/>
  <c r="VRX118" i="263" s="1"/>
  <c r="VRY6" i="263"/>
  <c r="VRY118" i="263" s="1"/>
  <c r="VRZ6" i="263"/>
  <c r="VRZ118" i="263" s="1"/>
  <c r="VSA6" i="263"/>
  <c r="VSA118" i="263" s="1"/>
  <c r="VSB6" i="263"/>
  <c r="VSB118" i="263" s="1"/>
  <c r="VSC6" i="263"/>
  <c r="VSC118" i="263" s="1"/>
  <c r="VSD6" i="263"/>
  <c r="VSD118" i="263" s="1"/>
  <c r="VSE6" i="263"/>
  <c r="VSE118" i="263" s="1"/>
  <c r="VSF6" i="263"/>
  <c r="VSF118" i="263" s="1"/>
  <c r="VSG6" i="263"/>
  <c r="VSG118" i="263" s="1"/>
  <c r="VSH6" i="263"/>
  <c r="VSH118" i="263" s="1"/>
  <c r="VSI6" i="263"/>
  <c r="VSI118" i="263" s="1"/>
  <c r="VSJ6" i="263"/>
  <c r="VSJ118" i="263" s="1"/>
  <c r="VSK6" i="263"/>
  <c r="VSK118" i="263" s="1"/>
  <c r="VSL6" i="263"/>
  <c r="VSL118" i="263" s="1"/>
  <c r="VSM6" i="263"/>
  <c r="VSM118" i="263" s="1"/>
  <c r="VSN6" i="263"/>
  <c r="VSN118" i="263" s="1"/>
  <c r="VSO6" i="263"/>
  <c r="VSO118" i="263" s="1"/>
  <c r="VSP6" i="263"/>
  <c r="VSP118" i="263" s="1"/>
  <c r="VSQ6" i="263"/>
  <c r="VSQ118" i="263" s="1"/>
  <c r="VSR6" i="263"/>
  <c r="VSR118" i="263" s="1"/>
  <c r="VSS6" i="263"/>
  <c r="VSS118" i="263" s="1"/>
  <c r="VST6" i="263"/>
  <c r="VST118" i="263" s="1"/>
  <c r="VSU6" i="263"/>
  <c r="VSU118" i="263" s="1"/>
  <c r="VSV6" i="263"/>
  <c r="VSV118" i="263" s="1"/>
  <c r="VSW6" i="263"/>
  <c r="VSW118" i="263" s="1"/>
  <c r="VSX6" i="263"/>
  <c r="VSX118" i="263" s="1"/>
  <c r="VSY6" i="263"/>
  <c r="VSY118" i="263" s="1"/>
  <c r="VSZ6" i="263"/>
  <c r="VSZ118" i="263" s="1"/>
  <c r="VTA6" i="263"/>
  <c r="VTA118" i="263" s="1"/>
  <c r="VTB6" i="263"/>
  <c r="VTB118" i="263" s="1"/>
  <c r="VTC6" i="263"/>
  <c r="VTC118" i="263" s="1"/>
  <c r="VTD6" i="263"/>
  <c r="VTD118" i="263" s="1"/>
  <c r="VTE6" i="263"/>
  <c r="VTE118" i="263" s="1"/>
  <c r="VTF6" i="263"/>
  <c r="VTF118" i="263" s="1"/>
  <c r="VTG6" i="263"/>
  <c r="VTG118" i="263" s="1"/>
  <c r="VTH6" i="263"/>
  <c r="VTH118" i="263" s="1"/>
  <c r="VTI6" i="263"/>
  <c r="VTI118" i="263" s="1"/>
  <c r="VTJ6" i="263"/>
  <c r="VTJ118" i="263" s="1"/>
  <c r="VTK6" i="263"/>
  <c r="VTK118" i="263" s="1"/>
  <c r="VTL6" i="263"/>
  <c r="VTL118" i="263" s="1"/>
  <c r="VTM6" i="263"/>
  <c r="VTM118" i="263" s="1"/>
  <c r="VTN6" i="263"/>
  <c r="VTN118" i="263" s="1"/>
  <c r="VTO6" i="263"/>
  <c r="VTO118" i="263" s="1"/>
  <c r="VTP6" i="263"/>
  <c r="VTP118" i="263" s="1"/>
  <c r="VTQ6" i="263"/>
  <c r="VTQ118" i="263" s="1"/>
  <c r="VTR6" i="263"/>
  <c r="VTR118" i="263" s="1"/>
  <c r="VTS6" i="263"/>
  <c r="VTS118" i="263" s="1"/>
  <c r="VTT6" i="263"/>
  <c r="VTT118" i="263" s="1"/>
  <c r="VTU6" i="263"/>
  <c r="VTU118" i="263" s="1"/>
  <c r="VTV6" i="263"/>
  <c r="VTV118" i="263" s="1"/>
  <c r="VTW6" i="263"/>
  <c r="VTW118" i="263" s="1"/>
  <c r="VTX6" i="263"/>
  <c r="VTX118" i="263" s="1"/>
  <c r="VTY6" i="263"/>
  <c r="VTY118" i="263" s="1"/>
  <c r="VTZ6" i="263"/>
  <c r="VTZ118" i="263" s="1"/>
  <c r="VUA6" i="263"/>
  <c r="VUA118" i="263" s="1"/>
  <c r="VUB6" i="263"/>
  <c r="VUB118" i="263" s="1"/>
  <c r="VUC6" i="263"/>
  <c r="VUC118" i="263" s="1"/>
  <c r="VUD6" i="263"/>
  <c r="VUD118" i="263" s="1"/>
  <c r="VUE6" i="263"/>
  <c r="VUE118" i="263" s="1"/>
  <c r="VUF6" i="263"/>
  <c r="VUF118" i="263" s="1"/>
  <c r="VUG6" i="263"/>
  <c r="VUG118" i="263" s="1"/>
  <c r="VUH6" i="263"/>
  <c r="VUH118" i="263" s="1"/>
  <c r="VUI6" i="263"/>
  <c r="VUI118" i="263" s="1"/>
  <c r="VUJ6" i="263"/>
  <c r="VUJ118" i="263" s="1"/>
  <c r="VUK6" i="263"/>
  <c r="VUK118" i="263" s="1"/>
  <c r="VUL6" i="263"/>
  <c r="VUL118" i="263" s="1"/>
  <c r="VUM6" i="263"/>
  <c r="VUM118" i="263" s="1"/>
  <c r="VUN6" i="263"/>
  <c r="VUN118" i="263" s="1"/>
  <c r="VUO6" i="263"/>
  <c r="VUO118" i="263" s="1"/>
  <c r="VUP6" i="263"/>
  <c r="VUP118" i="263" s="1"/>
  <c r="VUQ6" i="263"/>
  <c r="VUQ118" i="263" s="1"/>
  <c r="VUR6" i="263"/>
  <c r="VUR118" i="263" s="1"/>
  <c r="VUS6" i="263"/>
  <c r="VUS118" i="263" s="1"/>
  <c r="VUT6" i="263"/>
  <c r="VUT118" i="263" s="1"/>
  <c r="VUU6" i="263"/>
  <c r="VUU118" i="263" s="1"/>
  <c r="VUV6" i="263"/>
  <c r="VUV118" i="263" s="1"/>
  <c r="VUW6" i="263"/>
  <c r="VUW118" i="263" s="1"/>
  <c r="VUX6" i="263"/>
  <c r="VUX118" i="263" s="1"/>
  <c r="VUY6" i="263"/>
  <c r="VUY118" i="263" s="1"/>
  <c r="VUZ6" i="263"/>
  <c r="VUZ118" i="263" s="1"/>
  <c r="VVA6" i="263"/>
  <c r="VVA118" i="263" s="1"/>
  <c r="VVB6" i="263"/>
  <c r="VVB118" i="263" s="1"/>
  <c r="VVC6" i="263"/>
  <c r="VVC118" i="263" s="1"/>
  <c r="VVD6" i="263"/>
  <c r="VVD118" i="263" s="1"/>
  <c r="VVE6" i="263"/>
  <c r="VVE118" i="263" s="1"/>
  <c r="VVF6" i="263"/>
  <c r="VVF118" i="263" s="1"/>
  <c r="VVG6" i="263"/>
  <c r="VVG118" i="263" s="1"/>
  <c r="VVH6" i="263"/>
  <c r="VVH118" i="263" s="1"/>
  <c r="VVI6" i="263"/>
  <c r="VVI118" i="263" s="1"/>
  <c r="VVJ6" i="263"/>
  <c r="VVJ118" i="263" s="1"/>
  <c r="VVK6" i="263"/>
  <c r="VVK118" i="263" s="1"/>
  <c r="VVL6" i="263"/>
  <c r="VVL118" i="263" s="1"/>
  <c r="VVM6" i="263"/>
  <c r="VVM118" i="263" s="1"/>
  <c r="VVN6" i="263"/>
  <c r="VVN118" i="263" s="1"/>
  <c r="VVO6" i="263"/>
  <c r="VVO118" i="263" s="1"/>
  <c r="VVP6" i="263"/>
  <c r="VVP118" i="263" s="1"/>
  <c r="VVQ6" i="263"/>
  <c r="VVQ118" i="263" s="1"/>
  <c r="VVR6" i="263"/>
  <c r="VVR118" i="263" s="1"/>
  <c r="VVS6" i="263"/>
  <c r="VVS118" i="263" s="1"/>
  <c r="VVT6" i="263"/>
  <c r="VVT118" i="263" s="1"/>
  <c r="VVU6" i="263"/>
  <c r="VVU118" i="263" s="1"/>
  <c r="VVV6" i="263"/>
  <c r="VVV118" i="263" s="1"/>
  <c r="VVW6" i="263"/>
  <c r="VVW118" i="263" s="1"/>
  <c r="VVX6" i="263"/>
  <c r="VVX118" i="263" s="1"/>
  <c r="VVY6" i="263"/>
  <c r="VVY118" i="263" s="1"/>
  <c r="VVZ6" i="263"/>
  <c r="VVZ118" i="263" s="1"/>
  <c r="VWA6" i="263"/>
  <c r="VWA118" i="263" s="1"/>
  <c r="VWB6" i="263"/>
  <c r="VWB118" i="263" s="1"/>
  <c r="VWC6" i="263"/>
  <c r="VWC118" i="263" s="1"/>
  <c r="VWD6" i="263"/>
  <c r="VWD118" i="263" s="1"/>
  <c r="VWE6" i="263"/>
  <c r="VWE118" i="263" s="1"/>
  <c r="VWF6" i="263"/>
  <c r="VWF118" i="263" s="1"/>
  <c r="VWG6" i="263"/>
  <c r="VWG118" i="263" s="1"/>
  <c r="VWH6" i="263"/>
  <c r="VWH118" i="263" s="1"/>
  <c r="VWI6" i="263"/>
  <c r="VWI118" i="263" s="1"/>
  <c r="VWJ6" i="263"/>
  <c r="VWJ118" i="263" s="1"/>
  <c r="VWK6" i="263"/>
  <c r="VWK118" i="263" s="1"/>
  <c r="VWL6" i="263"/>
  <c r="VWL118" i="263" s="1"/>
  <c r="VWM6" i="263"/>
  <c r="VWM118" i="263" s="1"/>
  <c r="VWN6" i="263"/>
  <c r="VWN118" i="263" s="1"/>
  <c r="VWO6" i="263"/>
  <c r="VWO118" i="263" s="1"/>
  <c r="VWP6" i="263"/>
  <c r="VWP118" i="263" s="1"/>
  <c r="VWQ6" i="263"/>
  <c r="VWQ118" i="263" s="1"/>
  <c r="VWR6" i="263"/>
  <c r="VWR118" i="263" s="1"/>
  <c r="VWS6" i="263"/>
  <c r="VWS118" i="263" s="1"/>
  <c r="VWT6" i="263"/>
  <c r="VWT118" i="263" s="1"/>
  <c r="VWU6" i="263"/>
  <c r="VWU118" i="263" s="1"/>
  <c r="VWV6" i="263"/>
  <c r="VWV118" i="263" s="1"/>
  <c r="VWW6" i="263"/>
  <c r="VWW118" i="263" s="1"/>
  <c r="VWX6" i="263"/>
  <c r="VWX118" i="263" s="1"/>
  <c r="VWY6" i="263"/>
  <c r="VWY118" i="263" s="1"/>
  <c r="VWZ6" i="263"/>
  <c r="VWZ118" i="263" s="1"/>
  <c r="VXA6" i="263"/>
  <c r="VXA118" i="263" s="1"/>
  <c r="VXB6" i="263"/>
  <c r="VXB118" i="263" s="1"/>
  <c r="VXC6" i="263"/>
  <c r="VXC118" i="263" s="1"/>
  <c r="VXD6" i="263"/>
  <c r="VXD118" i="263" s="1"/>
  <c r="VXE6" i="263"/>
  <c r="VXE118" i="263" s="1"/>
  <c r="VXF6" i="263"/>
  <c r="VXF118" i="263" s="1"/>
  <c r="VXG6" i="263"/>
  <c r="VXG118" i="263" s="1"/>
  <c r="VXH6" i="263"/>
  <c r="VXH118" i="263" s="1"/>
  <c r="VXI6" i="263"/>
  <c r="VXI118" i="263" s="1"/>
  <c r="VXJ6" i="263"/>
  <c r="VXJ118" i="263" s="1"/>
  <c r="VXK6" i="263"/>
  <c r="VXK118" i="263" s="1"/>
  <c r="VXL6" i="263"/>
  <c r="VXL118" i="263" s="1"/>
  <c r="VXM6" i="263"/>
  <c r="VXM118" i="263" s="1"/>
  <c r="VXN6" i="263"/>
  <c r="VXN118" i="263" s="1"/>
  <c r="VXO6" i="263"/>
  <c r="VXO118" i="263" s="1"/>
  <c r="VXP6" i="263"/>
  <c r="VXP118" i="263" s="1"/>
  <c r="VXQ6" i="263"/>
  <c r="VXQ118" i="263" s="1"/>
  <c r="VXR6" i="263"/>
  <c r="VXR118" i="263" s="1"/>
  <c r="VXS6" i="263"/>
  <c r="VXS118" i="263" s="1"/>
  <c r="VXT6" i="263"/>
  <c r="VXT118" i="263" s="1"/>
  <c r="VXU6" i="263"/>
  <c r="VXU118" i="263" s="1"/>
  <c r="VXV6" i="263"/>
  <c r="VXV118" i="263" s="1"/>
  <c r="VXW6" i="263"/>
  <c r="VXW118" i="263" s="1"/>
  <c r="VXX6" i="263"/>
  <c r="VXX118" i="263" s="1"/>
  <c r="VXY6" i="263"/>
  <c r="VXY118" i="263" s="1"/>
  <c r="VXZ6" i="263"/>
  <c r="VXZ118" i="263" s="1"/>
  <c r="VYA6" i="263"/>
  <c r="VYA118" i="263" s="1"/>
  <c r="VYB6" i="263"/>
  <c r="VYB118" i="263" s="1"/>
  <c r="VYC6" i="263"/>
  <c r="VYC118" i="263" s="1"/>
  <c r="VYD6" i="263"/>
  <c r="VYD118" i="263" s="1"/>
  <c r="VYE6" i="263"/>
  <c r="VYE118" i="263" s="1"/>
  <c r="VYF6" i="263"/>
  <c r="VYF118" i="263" s="1"/>
  <c r="VYG6" i="263"/>
  <c r="VYG118" i="263" s="1"/>
  <c r="VYH6" i="263"/>
  <c r="VYH118" i="263" s="1"/>
  <c r="VYI6" i="263"/>
  <c r="VYI118" i="263" s="1"/>
  <c r="VYJ6" i="263"/>
  <c r="VYJ118" i="263" s="1"/>
  <c r="VYK6" i="263"/>
  <c r="VYK118" i="263" s="1"/>
  <c r="VYL6" i="263"/>
  <c r="VYL118" i="263" s="1"/>
  <c r="VYM6" i="263"/>
  <c r="VYM118" i="263" s="1"/>
  <c r="VYN6" i="263"/>
  <c r="VYN118" i="263" s="1"/>
  <c r="VYO6" i="263"/>
  <c r="VYO118" i="263" s="1"/>
  <c r="VYP6" i="263"/>
  <c r="VYP118" i="263" s="1"/>
  <c r="VYQ6" i="263"/>
  <c r="VYQ118" i="263" s="1"/>
  <c r="VYR6" i="263"/>
  <c r="VYR118" i="263" s="1"/>
  <c r="VYS6" i="263"/>
  <c r="VYS118" i="263" s="1"/>
  <c r="VYT6" i="263"/>
  <c r="VYT118" i="263" s="1"/>
  <c r="VYU6" i="263"/>
  <c r="VYU118" i="263" s="1"/>
  <c r="VYV6" i="263"/>
  <c r="VYV118" i="263" s="1"/>
  <c r="VYW6" i="263"/>
  <c r="VYW118" i="263" s="1"/>
  <c r="VYX6" i="263"/>
  <c r="VYX118" i="263" s="1"/>
  <c r="VYY6" i="263"/>
  <c r="VYY118" i="263" s="1"/>
  <c r="VYZ6" i="263"/>
  <c r="VYZ118" i="263" s="1"/>
  <c r="VZA6" i="263"/>
  <c r="VZA118" i="263" s="1"/>
  <c r="VZB6" i="263"/>
  <c r="VZB118" i="263" s="1"/>
  <c r="VZC6" i="263"/>
  <c r="VZC118" i="263" s="1"/>
  <c r="VZD6" i="263"/>
  <c r="VZD118" i="263" s="1"/>
  <c r="VZE6" i="263"/>
  <c r="VZE118" i="263" s="1"/>
  <c r="VZF6" i="263"/>
  <c r="VZF118" i="263" s="1"/>
  <c r="VZG6" i="263"/>
  <c r="VZG118" i="263" s="1"/>
  <c r="VZH6" i="263"/>
  <c r="VZH118" i="263" s="1"/>
  <c r="VZI6" i="263"/>
  <c r="VZI118" i="263" s="1"/>
  <c r="VZJ6" i="263"/>
  <c r="VZJ118" i="263" s="1"/>
  <c r="VZK6" i="263"/>
  <c r="VZK118" i="263" s="1"/>
  <c r="VZL6" i="263"/>
  <c r="VZL118" i="263" s="1"/>
  <c r="VZM6" i="263"/>
  <c r="VZM118" i="263" s="1"/>
  <c r="VZN6" i="263"/>
  <c r="VZN118" i="263" s="1"/>
  <c r="VZO6" i="263"/>
  <c r="VZO118" i="263" s="1"/>
  <c r="VZP6" i="263"/>
  <c r="VZP118" i="263" s="1"/>
  <c r="VZQ6" i="263"/>
  <c r="VZQ118" i="263" s="1"/>
  <c r="VZR6" i="263"/>
  <c r="VZR118" i="263" s="1"/>
  <c r="VZS6" i="263"/>
  <c r="VZS118" i="263" s="1"/>
  <c r="VZT6" i="263"/>
  <c r="VZT118" i="263" s="1"/>
  <c r="VZU6" i="263"/>
  <c r="VZU118" i="263" s="1"/>
  <c r="VZV6" i="263"/>
  <c r="VZV118" i="263" s="1"/>
  <c r="VZW6" i="263"/>
  <c r="VZW118" i="263" s="1"/>
  <c r="VZX6" i="263"/>
  <c r="VZX118" i="263" s="1"/>
  <c r="VZY6" i="263"/>
  <c r="VZY118" i="263" s="1"/>
  <c r="VZZ6" i="263"/>
  <c r="VZZ118" i="263" s="1"/>
  <c r="WAA6" i="263"/>
  <c r="WAA118" i="263" s="1"/>
  <c r="WAB6" i="263"/>
  <c r="WAB118" i="263" s="1"/>
  <c r="WAC6" i="263"/>
  <c r="WAC118" i="263" s="1"/>
  <c r="WAD6" i="263"/>
  <c r="WAD118" i="263" s="1"/>
  <c r="WAE6" i="263"/>
  <c r="WAE118" i="263" s="1"/>
  <c r="WAF6" i="263"/>
  <c r="WAF118" i="263" s="1"/>
  <c r="WAG6" i="263"/>
  <c r="WAG118" i="263" s="1"/>
  <c r="WAH6" i="263"/>
  <c r="WAH118" i="263" s="1"/>
  <c r="WAI6" i="263"/>
  <c r="WAI118" i="263" s="1"/>
  <c r="WAJ6" i="263"/>
  <c r="WAJ118" i="263" s="1"/>
  <c r="WAK6" i="263"/>
  <c r="WAK118" i="263" s="1"/>
  <c r="WAL6" i="263"/>
  <c r="WAL118" i="263" s="1"/>
  <c r="WAM6" i="263"/>
  <c r="WAM118" i="263" s="1"/>
  <c r="WAN6" i="263"/>
  <c r="WAN118" i="263" s="1"/>
  <c r="WAO6" i="263"/>
  <c r="WAO118" i="263" s="1"/>
  <c r="WAP6" i="263"/>
  <c r="WAP118" i="263" s="1"/>
  <c r="WAQ6" i="263"/>
  <c r="WAQ118" i="263" s="1"/>
  <c r="WAR6" i="263"/>
  <c r="WAR118" i="263" s="1"/>
  <c r="WAS6" i="263"/>
  <c r="WAS118" i="263" s="1"/>
  <c r="WAT6" i="263"/>
  <c r="WAT118" i="263" s="1"/>
  <c r="WAU6" i="263"/>
  <c r="WAU118" i="263" s="1"/>
  <c r="WAV6" i="263"/>
  <c r="WAV118" i="263" s="1"/>
  <c r="WAW6" i="263"/>
  <c r="WAW118" i="263" s="1"/>
  <c r="WAX6" i="263"/>
  <c r="WAX118" i="263" s="1"/>
  <c r="WAY6" i="263"/>
  <c r="WAY118" i="263" s="1"/>
  <c r="WAZ6" i="263"/>
  <c r="WAZ118" i="263" s="1"/>
  <c r="WBA6" i="263"/>
  <c r="WBA118" i="263" s="1"/>
  <c r="WBB6" i="263"/>
  <c r="WBB118" i="263" s="1"/>
  <c r="WBC6" i="263"/>
  <c r="WBC118" i="263" s="1"/>
  <c r="WBD6" i="263"/>
  <c r="WBD118" i="263" s="1"/>
  <c r="WBE6" i="263"/>
  <c r="WBE118" i="263" s="1"/>
  <c r="WBF6" i="263"/>
  <c r="WBF118" i="263" s="1"/>
  <c r="WBG6" i="263"/>
  <c r="WBG118" i="263" s="1"/>
  <c r="WBH6" i="263"/>
  <c r="WBH118" i="263" s="1"/>
  <c r="WBI6" i="263"/>
  <c r="WBI118" i="263" s="1"/>
  <c r="WBJ6" i="263"/>
  <c r="WBJ118" i="263" s="1"/>
  <c r="WBK6" i="263"/>
  <c r="WBK118" i="263" s="1"/>
  <c r="WBL6" i="263"/>
  <c r="WBL118" i="263" s="1"/>
  <c r="WBM6" i="263"/>
  <c r="WBM118" i="263" s="1"/>
  <c r="WBN6" i="263"/>
  <c r="WBN118" i="263" s="1"/>
  <c r="WBO6" i="263"/>
  <c r="WBO118" i="263" s="1"/>
  <c r="WBP6" i="263"/>
  <c r="WBP118" i="263" s="1"/>
  <c r="WBQ6" i="263"/>
  <c r="WBQ118" i="263" s="1"/>
  <c r="WBR6" i="263"/>
  <c r="WBR118" i="263" s="1"/>
  <c r="WBS6" i="263"/>
  <c r="WBS118" i="263" s="1"/>
  <c r="WBT6" i="263"/>
  <c r="WBT118" i="263" s="1"/>
  <c r="WBU6" i="263"/>
  <c r="WBU118" i="263" s="1"/>
  <c r="WBV6" i="263"/>
  <c r="WBV118" i="263" s="1"/>
  <c r="WBW6" i="263"/>
  <c r="WBW118" i="263" s="1"/>
  <c r="WBX6" i="263"/>
  <c r="WBX118" i="263" s="1"/>
  <c r="WBY6" i="263"/>
  <c r="WBY118" i="263" s="1"/>
  <c r="WBZ6" i="263"/>
  <c r="WBZ118" i="263" s="1"/>
  <c r="WCA6" i="263"/>
  <c r="WCA118" i="263" s="1"/>
  <c r="WCB6" i="263"/>
  <c r="WCB118" i="263" s="1"/>
  <c r="WCC6" i="263"/>
  <c r="WCC118" i="263" s="1"/>
  <c r="WCD6" i="263"/>
  <c r="WCD118" i="263" s="1"/>
  <c r="WCE6" i="263"/>
  <c r="WCE118" i="263" s="1"/>
  <c r="WCF6" i="263"/>
  <c r="WCF118" i="263" s="1"/>
  <c r="WCG6" i="263"/>
  <c r="WCG118" i="263" s="1"/>
  <c r="WCH6" i="263"/>
  <c r="WCH118" i="263" s="1"/>
  <c r="WCI6" i="263"/>
  <c r="WCI118" i="263" s="1"/>
  <c r="WCJ6" i="263"/>
  <c r="WCJ118" i="263" s="1"/>
  <c r="WCK6" i="263"/>
  <c r="WCK118" i="263" s="1"/>
  <c r="WCL6" i="263"/>
  <c r="WCL118" i="263" s="1"/>
  <c r="WCM6" i="263"/>
  <c r="WCM118" i="263" s="1"/>
  <c r="WCN6" i="263"/>
  <c r="WCN118" i="263" s="1"/>
  <c r="WCO6" i="263"/>
  <c r="WCO118" i="263" s="1"/>
  <c r="WCP6" i="263"/>
  <c r="WCP118" i="263" s="1"/>
  <c r="WCQ6" i="263"/>
  <c r="WCQ118" i="263" s="1"/>
  <c r="WCR6" i="263"/>
  <c r="WCR118" i="263" s="1"/>
  <c r="WCS6" i="263"/>
  <c r="WCS118" i="263" s="1"/>
  <c r="WCT6" i="263"/>
  <c r="WCT118" i="263" s="1"/>
  <c r="WCU6" i="263"/>
  <c r="WCU118" i="263" s="1"/>
  <c r="WCV6" i="263"/>
  <c r="WCV118" i="263" s="1"/>
  <c r="WCW6" i="263"/>
  <c r="WCW118" i="263" s="1"/>
  <c r="WCX6" i="263"/>
  <c r="WCX118" i="263" s="1"/>
  <c r="WCY6" i="263"/>
  <c r="WCY118" i="263" s="1"/>
  <c r="WCZ6" i="263"/>
  <c r="WCZ118" i="263" s="1"/>
  <c r="WDA6" i="263"/>
  <c r="WDA118" i="263" s="1"/>
  <c r="WDB6" i="263"/>
  <c r="WDB118" i="263" s="1"/>
  <c r="WDC6" i="263"/>
  <c r="WDC118" i="263" s="1"/>
  <c r="WDD6" i="263"/>
  <c r="WDD118" i="263" s="1"/>
  <c r="WDE6" i="263"/>
  <c r="WDE118" i="263" s="1"/>
  <c r="WDF6" i="263"/>
  <c r="WDF118" i="263" s="1"/>
  <c r="WDG6" i="263"/>
  <c r="WDG118" i="263" s="1"/>
  <c r="WDH6" i="263"/>
  <c r="WDH118" i="263" s="1"/>
  <c r="WDI6" i="263"/>
  <c r="WDI118" i="263" s="1"/>
  <c r="WDJ6" i="263"/>
  <c r="WDJ118" i="263" s="1"/>
  <c r="WDK6" i="263"/>
  <c r="WDK118" i="263" s="1"/>
  <c r="WDL6" i="263"/>
  <c r="WDL118" i="263" s="1"/>
  <c r="WDM6" i="263"/>
  <c r="WDM118" i="263" s="1"/>
  <c r="WDN6" i="263"/>
  <c r="WDN118" i="263" s="1"/>
  <c r="WDO6" i="263"/>
  <c r="WDO118" i="263" s="1"/>
  <c r="WDP6" i="263"/>
  <c r="WDP118" i="263" s="1"/>
  <c r="WDQ6" i="263"/>
  <c r="WDQ118" i="263" s="1"/>
  <c r="WDR6" i="263"/>
  <c r="WDR118" i="263" s="1"/>
  <c r="WDS6" i="263"/>
  <c r="WDS118" i="263" s="1"/>
  <c r="WDT6" i="263"/>
  <c r="WDT118" i="263" s="1"/>
  <c r="WDU6" i="263"/>
  <c r="WDU118" i="263" s="1"/>
  <c r="WDV6" i="263"/>
  <c r="WDV118" i="263" s="1"/>
  <c r="WDW6" i="263"/>
  <c r="WDW118" i="263" s="1"/>
  <c r="WDX6" i="263"/>
  <c r="WDX118" i="263" s="1"/>
  <c r="WDY6" i="263"/>
  <c r="WDY118" i="263" s="1"/>
  <c r="WDZ6" i="263"/>
  <c r="WDZ118" i="263" s="1"/>
  <c r="WEA6" i="263"/>
  <c r="WEA118" i="263" s="1"/>
  <c r="WEB6" i="263"/>
  <c r="WEB118" i="263" s="1"/>
  <c r="WEC6" i="263"/>
  <c r="WEC118" i="263" s="1"/>
  <c r="WED6" i="263"/>
  <c r="WED118" i="263" s="1"/>
  <c r="WEE6" i="263"/>
  <c r="WEE118" i="263" s="1"/>
  <c r="WEF6" i="263"/>
  <c r="WEF118" i="263" s="1"/>
  <c r="WEG6" i="263"/>
  <c r="WEG118" i="263" s="1"/>
  <c r="WEH6" i="263"/>
  <c r="WEH118" i="263" s="1"/>
  <c r="WEI6" i="263"/>
  <c r="WEI118" i="263" s="1"/>
  <c r="WEJ6" i="263"/>
  <c r="WEJ118" i="263" s="1"/>
  <c r="WEK6" i="263"/>
  <c r="WEK118" i="263" s="1"/>
  <c r="WEL6" i="263"/>
  <c r="WEL118" i="263" s="1"/>
  <c r="WEM6" i="263"/>
  <c r="WEM118" i="263" s="1"/>
  <c r="WEN6" i="263"/>
  <c r="WEN118" i="263" s="1"/>
  <c r="WEO6" i="263"/>
  <c r="WEO118" i="263" s="1"/>
  <c r="WEP6" i="263"/>
  <c r="WEP118" i="263" s="1"/>
  <c r="WEQ6" i="263"/>
  <c r="WEQ118" i="263" s="1"/>
  <c r="WER6" i="263"/>
  <c r="WER118" i="263" s="1"/>
  <c r="WES6" i="263"/>
  <c r="WES118" i="263" s="1"/>
  <c r="WET6" i="263"/>
  <c r="WET118" i="263" s="1"/>
  <c r="WEU6" i="263"/>
  <c r="WEU118" i="263" s="1"/>
  <c r="WEV6" i="263"/>
  <c r="WEV118" i="263" s="1"/>
  <c r="WEW6" i="263"/>
  <c r="WEW118" i="263" s="1"/>
  <c r="WEX6" i="263"/>
  <c r="WEX118" i="263" s="1"/>
  <c r="WEY6" i="263"/>
  <c r="WEY118" i="263" s="1"/>
  <c r="WEZ6" i="263"/>
  <c r="WEZ118" i="263" s="1"/>
  <c r="WFA6" i="263"/>
  <c r="WFA118" i="263" s="1"/>
  <c r="WFB6" i="263"/>
  <c r="WFB118" i="263" s="1"/>
  <c r="WFC6" i="263"/>
  <c r="WFC118" i="263" s="1"/>
  <c r="WFD6" i="263"/>
  <c r="WFD118" i="263" s="1"/>
  <c r="WFE6" i="263"/>
  <c r="WFE118" i="263" s="1"/>
  <c r="WFF6" i="263"/>
  <c r="WFF118" i="263" s="1"/>
  <c r="WFG6" i="263"/>
  <c r="WFG118" i="263" s="1"/>
  <c r="WFH6" i="263"/>
  <c r="WFH118" i="263" s="1"/>
  <c r="WFI6" i="263"/>
  <c r="WFI118" i="263" s="1"/>
  <c r="WFJ6" i="263"/>
  <c r="WFJ118" i="263" s="1"/>
  <c r="WFK6" i="263"/>
  <c r="WFK118" i="263" s="1"/>
  <c r="WFL6" i="263"/>
  <c r="WFL118" i="263" s="1"/>
  <c r="WFM6" i="263"/>
  <c r="WFM118" i="263" s="1"/>
  <c r="WFN6" i="263"/>
  <c r="WFN118" i="263" s="1"/>
  <c r="WFO6" i="263"/>
  <c r="WFO118" i="263" s="1"/>
  <c r="WFP6" i="263"/>
  <c r="WFP118" i="263" s="1"/>
  <c r="WFQ6" i="263"/>
  <c r="WFQ118" i="263" s="1"/>
  <c r="WFR6" i="263"/>
  <c r="WFR118" i="263" s="1"/>
  <c r="WFS6" i="263"/>
  <c r="WFS118" i="263" s="1"/>
  <c r="WFT6" i="263"/>
  <c r="WFT118" i="263" s="1"/>
  <c r="WFU6" i="263"/>
  <c r="WFU118" i="263" s="1"/>
  <c r="WFV6" i="263"/>
  <c r="WFV118" i="263" s="1"/>
  <c r="WFW6" i="263"/>
  <c r="WFW118" i="263" s="1"/>
  <c r="WFX6" i="263"/>
  <c r="WFX118" i="263" s="1"/>
  <c r="WFY6" i="263"/>
  <c r="WFY118" i="263" s="1"/>
  <c r="WFZ6" i="263"/>
  <c r="WFZ118" i="263" s="1"/>
  <c r="WGA6" i="263"/>
  <c r="WGA118" i="263" s="1"/>
  <c r="WGB6" i="263"/>
  <c r="WGB118" i="263" s="1"/>
  <c r="WGC6" i="263"/>
  <c r="WGC118" i="263" s="1"/>
  <c r="WGD6" i="263"/>
  <c r="WGD118" i="263" s="1"/>
  <c r="WGE6" i="263"/>
  <c r="WGE118" i="263" s="1"/>
  <c r="WGF6" i="263"/>
  <c r="WGF118" i="263" s="1"/>
  <c r="WGG6" i="263"/>
  <c r="WGG118" i="263" s="1"/>
  <c r="WGH6" i="263"/>
  <c r="WGH118" i="263" s="1"/>
  <c r="WGI6" i="263"/>
  <c r="WGI118" i="263" s="1"/>
  <c r="WGJ6" i="263"/>
  <c r="WGJ118" i="263" s="1"/>
  <c r="WGK6" i="263"/>
  <c r="WGK118" i="263" s="1"/>
  <c r="WGL6" i="263"/>
  <c r="WGL118" i="263" s="1"/>
  <c r="WGM6" i="263"/>
  <c r="WGM118" i="263" s="1"/>
  <c r="WGN6" i="263"/>
  <c r="WGN118" i="263" s="1"/>
  <c r="WGO6" i="263"/>
  <c r="WGO118" i="263" s="1"/>
  <c r="WGP6" i="263"/>
  <c r="WGP118" i="263" s="1"/>
  <c r="WGQ6" i="263"/>
  <c r="WGQ118" i="263" s="1"/>
  <c r="WGR6" i="263"/>
  <c r="WGR118" i="263" s="1"/>
  <c r="WGS6" i="263"/>
  <c r="WGS118" i="263" s="1"/>
  <c r="WGT6" i="263"/>
  <c r="WGT118" i="263" s="1"/>
  <c r="WGU6" i="263"/>
  <c r="WGU118" i="263" s="1"/>
  <c r="WGV6" i="263"/>
  <c r="WGV118" i="263" s="1"/>
  <c r="WGW6" i="263"/>
  <c r="WGW118" i="263" s="1"/>
  <c r="WGX6" i="263"/>
  <c r="WGX118" i="263" s="1"/>
  <c r="WGY6" i="263"/>
  <c r="WGY118" i="263" s="1"/>
  <c r="WGZ6" i="263"/>
  <c r="WGZ118" i="263" s="1"/>
  <c r="WHA6" i="263"/>
  <c r="WHA118" i="263" s="1"/>
  <c r="WHB6" i="263"/>
  <c r="WHB118" i="263" s="1"/>
  <c r="WHC6" i="263"/>
  <c r="WHC118" i="263" s="1"/>
  <c r="WHD6" i="263"/>
  <c r="WHD118" i="263" s="1"/>
  <c r="WHE6" i="263"/>
  <c r="WHE118" i="263" s="1"/>
  <c r="WHF6" i="263"/>
  <c r="WHF118" i="263" s="1"/>
  <c r="WHG6" i="263"/>
  <c r="WHG118" i="263" s="1"/>
  <c r="WHH6" i="263"/>
  <c r="WHH118" i="263" s="1"/>
  <c r="WHI6" i="263"/>
  <c r="WHI118" i="263" s="1"/>
  <c r="WHJ6" i="263"/>
  <c r="WHJ118" i="263" s="1"/>
  <c r="WHK6" i="263"/>
  <c r="WHK118" i="263" s="1"/>
  <c r="WHL6" i="263"/>
  <c r="WHL118" i="263" s="1"/>
  <c r="WHM6" i="263"/>
  <c r="WHM118" i="263" s="1"/>
  <c r="WHN6" i="263"/>
  <c r="WHN118" i="263" s="1"/>
  <c r="WHO6" i="263"/>
  <c r="WHO118" i="263" s="1"/>
  <c r="WHP6" i="263"/>
  <c r="WHP118" i="263" s="1"/>
  <c r="WHQ6" i="263"/>
  <c r="WHQ118" i="263" s="1"/>
  <c r="WHR6" i="263"/>
  <c r="WHR118" i="263" s="1"/>
  <c r="WHS6" i="263"/>
  <c r="WHS118" i="263" s="1"/>
  <c r="WHT6" i="263"/>
  <c r="WHT118" i="263" s="1"/>
  <c r="WHU6" i="263"/>
  <c r="WHU118" i="263" s="1"/>
  <c r="WHV6" i="263"/>
  <c r="WHV118" i="263" s="1"/>
  <c r="WHW6" i="263"/>
  <c r="WHW118" i="263" s="1"/>
  <c r="WHX6" i="263"/>
  <c r="WHX118" i="263" s="1"/>
  <c r="WHY6" i="263"/>
  <c r="WHY118" i="263" s="1"/>
  <c r="WHZ6" i="263"/>
  <c r="WHZ118" i="263" s="1"/>
  <c r="WIA6" i="263"/>
  <c r="WIA118" i="263" s="1"/>
  <c r="WIB6" i="263"/>
  <c r="WIB118" i="263" s="1"/>
  <c r="WIC6" i="263"/>
  <c r="WIC118" i="263" s="1"/>
  <c r="WID6" i="263"/>
  <c r="WID118" i="263" s="1"/>
  <c r="WIE6" i="263"/>
  <c r="WIE118" i="263" s="1"/>
  <c r="WIF6" i="263"/>
  <c r="WIF118" i="263" s="1"/>
  <c r="WIG6" i="263"/>
  <c r="WIG118" i="263" s="1"/>
  <c r="WIH6" i="263"/>
  <c r="WIH118" i="263" s="1"/>
  <c r="WII6" i="263"/>
  <c r="WII118" i="263" s="1"/>
  <c r="WIJ6" i="263"/>
  <c r="WIJ118" i="263" s="1"/>
  <c r="WIK6" i="263"/>
  <c r="WIK118" i="263" s="1"/>
  <c r="WIL6" i="263"/>
  <c r="WIL118" i="263" s="1"/>
  <c r="WIM6" i="263"/>
  <c r="WIM118" i="263" s="1"/>
  <c r="WIN6" i="263"/>
  <c r="WIN118" i="263" s="1"/>
  <c r="WIO6" i="263"/>
  <c r="WIO118" i="263" s="1"/>
  <c r="WIP6" i="263"/>
  <c r="WIP118" i="263" s="1"/>
  <c r="WIQ6" i="263"/>
  <c r="WIQ118" i="263" s="1"/>
  <c r="WIR6" i="263"/>
  <c r="WIR118" i="263" s="1"/>
  <c r="WIS6" i="263"/>
  <c r="WIS118" i="263" s="1"/>
  <c r="WIT6" i="263"/>
  <c r="WIT118" i="263" s="1"/>
  <c r="WIU6" i="263"/>
  <c r="WIU118" i="263" s="1"/>
  <c r="WIV6" i="263"/>
  <c r="WIV118" i="263" s="1"/>
  <c r="WIW6" i="263"/>
  <c r="WIW118" i="263" s="1"/>
  <c r="WIX6" i="263"/>
  <c r="WIX118" i="263" s="1"/>
  <c r="WIY6" i="263"/>
  <c r="WIY118" i="263" s="1"/>
  <c r="WIZ6" i="263"/>
  <c r="WIZ118" i="263" s="1"/>
  <c r="WJA6" i="263"/>
  <c r="WJA118" i="263" s="1"/>
  <c r="WJB6" i="263"/>
  <c r="WJB118" i="263" s="1"/>
  <c r="WJC6" i="263"/>
  <c r="WJC118" i="263" s="1"/>
  <c r="WJD6" i="263"/>
  <c r="WJD118" i="263" s="1"/>
  <c r="WJE6" i="263"/>
  <c r="WJE118" i="263" s="1"/>
  <c r="WJF6" i="263"/>
  <c r="WJF118" i="263" s="1"/>
  <c r="WJG6" i="263"/>
  <c r="WJG118" i="263" s="1"/>
  <c r="WJH6" i="263"/>
  <c r="WJH118" i="263" s="1"/>
  <c r="WJI6" i="263"/>
  <c r="WJI118" i="263" s="1"/>
  <c r="WJJ6" i="263"/>
  <c r="WJJ118" i="263" s="1"/>
  <c r="WJK6" i="263"/>
  <c r="WJK118" i="263" s="1"/>
  <c r="WJL6" i="263"/>
  <c r="WJL118" i="263" s="1"/>
  <c r="WJM6" i="263"/>
  <c r="WJM118" i="263" s="1"/>
  <c r="WJN6" i="263"/>
  <c r="WJN118" i="263" s="1"/>
  <c r="WJO6" i="263"/>
  <c r="WJO118" i="263" s="1"/>
  <c r="WJP6" i="263"/>
  <c r="WJP118" i="263" s="1"/>
  <c r="WJQ6" i="263"/>
  <c r="WJQ118" i="263" s="1"/>
  <c r="WJR6" i="263"/>
  <c r="WJR118" i="263" s="1"/>
  <c r="WJS6" i="263"/>
  <c r="WJS118" i="263" s="1"/>
  <c r="WJT6" i="263"/>
  <c r="WJT118" i="263" s="1"/>
  <c r="WJU6" i="263"/>
  <c r="WJU118" i="263" s="1"/>
  <c r="WJV6" i="263"/>
  <c r="WJV118" i="263" s="1"/>
  <c r="WJW6" i="263"/>
  <c r="WJW118" i="263" s="1"/>
  <c r="WJX6" i="263"/>
  <c r="WJX118" i="263" s="1"/>
  <c r="WJY6" i="263"/>
  <c r="WJY118" i="263" s="1"/>
  <c r="WJZ6" i="263"/>
  <c r="WJZ118" i="263" s="1"/>
  <c r="WKA6" i="263"/>
  <c r="WKA118" i="263" s="1"/>
  <c r="WKB6" i="263"/>
  <c r="WKB118" i="263" s="1"/>
  <c r="WKC6" i="263"/>
  <c r="WKC118" i="263" s="1"/>
  <c r="WKD6" i="263"/>
  <c r="WKD118" i="263" s="1"/>
  <c r="WKE6" i="263"/>
  <c r="WKE118" i="263" s="1"/>
  <c r="WKF6" i="263"/>
  <c r="WKF118" i="263" s="1"/>
  <c r="WKG6" i="263"/>
  <c r="WKG118" i="263" s="1"/>
  <c r="WKH6" i="263"/>
  <c r="WKH118" i="263" s="1"/>
  <c r="WKI6" i="263"/>
  <c r="WKI118" i="263" s="1"/>
  <c r="WKJ6" i="263"/>
  <c r="WKJ118" i="263" s="1"/>
  <c r="WKK6" i="263"/>
  <c r="WKK118" i="263" s="1"/>
  <c r="WKL6" i="263"/>
  <c r="WKL118" i="263" s="1"/>
  <c r="WKM6" i="263"/>
  <c r="WKM118" i="263" s="1"/>
  <c r="WKN6" i="263"/>
  <c r="WKN118" i="263" s="1"/>
  <c r="WKO6" i="263"/>
  <c r="WKO118" i="263" s="1"/>
  <c r="WKP6" i="263"/>
  <c r="WKP118" i="263" s="1"/>
  <c r="WKQ6" i="263"/>
  <c r="WKQ118" i="263" s="1"/>
  <c r="WKR6" i="263"/>
  <c r="WKR118" i="263" s="1"/>
  <c r="WKS6" i="263"/>
  <c r="WKS118" i="263" s="1"/>
  <c r="WKT6" i="263"/>
  <c r="WKT118" i="263" s="1"/>
  <c r="WKU6" i="263"/>
  <c r="WKU118" i="263" s="1"/>
  <c r="WKV6" i="263"/>
  <c r="WKV118" i="263" s="1"/>
  <c r="WKW6" i="263"/>
  <c r="WKW118" i="263" s="1"/>
  <c r="WKX6" i="263"/>
  <c r="WKX118" i="263" s="1"/>
  <c r="WKY6" i="263"/>
  <c r="WKY118" i="263" s="1"/>
  <c r="WKZ6" i="263"/>
  <c r="WKZ118" i="263" s="1"/>
  <c r="WLA6" i="263"/>
  <c r="WLA118" i="263" s="1"/>
  <c r="WLB6" i="263"/>
  <c r="WLB118" i="263" s="1"/>
  <c r="WLC6" i="263"/>
  <c r="WLC118" i="263" s="1"/>
  <c r="WLD6" i="263"/>
  <c r="WLD118" i="263" s="1"/>
  <c r="WLE6" i="263"/>
  <c r="WLE118" i="263" s="1"/>
  <c r="WLF6" i="263"/>
  <c r="WLF118" i="263" s="1"/>
  <c r="WLG6" i="263"/>
  <c r="WLG118" i="263" s="1"/>
  <c r="WLH6" i="263"/>
  <c r="WLH118" i="263" s="1"/>
  <c r="WLI6" i="263"/>
  <c r="WLI118" i="263" s="1"/>
  <c r="WLJ6" i="263"/>
  <c r="WLJ118" i="263" s="1"/>
  <c r="WLK6" i="263"/>
  <c r="WLK118" i="263" s="1"/>
  <c r="WLL6" i="263"/>
  <c r="WLL118" i="263" s="1"/>
  <c r="WLM6" i="263"/>
  <c r="WLM118" i="263" s="1"/>
  <c r="WLN6" i="263"/>
  <c r="WLN118" i="263" s="1"/>
  <c r="WLO6" i="263"/>
  <c r="WLO118" i="263" s="1"/>
  <c r="WLP6" i="263"/>
  <c r="WLP118" i="263" s="1"/>
  <c r="WLQ6" i="263"/>
  <c r="WLQ118" i="263" s="1"/>
  <c r="WLR6" i="263"/>
  <c r="WLR118" i="263" s="1"/>
  <c r="WLS6" i="263"/>
  <c r="WLS118" i="263" s="1"/>
  <c r="WLT6" i="263"/>
  <c r="WLT118" i="263" s="1"/>
  <c r="WLU6" i="263"/>
  <c r="WLU118" i="263" s="1"/>
  <c r="WLV6" i="263"/>
  <c r="WLV118" i="263" s="1"/>
  <c r="WLW6" i="263"/>
  <c r="WLW118" i="263" s="1"/>
  <c r="WLX6" i="263"/>
  <c r="WLX118" i="263" s="1"/>
  <c r="WLY6" i="263"/>
  <c r="WLY118" i="263" s="1"/>
  <c r="WLZ6" i="263"/>
  <c r="WLZ118" i="263" s="1"/>
  <c r="WMA6" i="263"/>
  <c r="WMA118" i="263" s="1"/>
  <c r="WMB6" i="263"/>
  <c r="WMB118" i="263" s="1"/>
  <c r="WMC6" i="263"/>
  <c r="WMC118" i="263" s="1"/>
  <c r="WMD6" i="263"/>
  <c r="WMD118" i="263" s="1"/>
  <c r="WME6" i="263"/>
  <c r="WME118" i="263" s="1"/>
  <c r="WMF6" i="263"/>
  <c r="WMF118" i="263" s="1"/>
  <c r="WMG6" i="263"/>
  <c r="WMG118" i="263" s="1"/>
  <c r="WMH6" i="263"/>
  <c r="WMH118" i="263" s="1"/>
  <c r="WMI6" i="263"/>
  <c r="WMI118" i="263" s="1"/>
  <c r="WMJ6" i="263"/>
  <c r="WMJ118" i="263" s="1"/>
  <c r="WMK6" i="263"/>
  <c r="WMK118" i="263" s="1"/>
  <c r="WML6" i="263"/>
  <c r="WML118" i="263" s="1"/>
  <c r="WMM6" i="263"/>
  <c r="WMM118" i="263" s="1"/>
  <c r="WMN6" i="263"/>
  <c r="WMN118" i="263" s="1"/>
  <c r="WMO6" i="263"/>
  <c r="WMO118" i="263" s="1"/>
  <c r="WMP6" i="263"/>
  <c r="WMP118" i="263" s="1"/>
  <c r="WMQ6" i="263"/>
  <c r="WMQ118" i="263" s="1"/>
  <c r="WMR6" i="263"/>
  <c r="WMR118" i="263" s="1"/>
  <c r="WMS6" i="263"/>
  <c r="WMS118" i="263" s="1"/>
  <c r="WMT6" i="263"/>
  <c r="WMT118" i="263" s="1"/>
  <c r="WMU6" i="263"/>
  <c r="WMU118" i="263" s="1"/>
  <c r="WMV6" i="263"/>
  <c r="WMV118" i="263" s="1"/>
  <c r="WMW6" i="263"/>
  <c r="WMW118" i="263" s="1"/>
  <c r="WMX6" i="263"/>
  <c r="WMX118" i="263" s="1"/>
  <c r="WMY6" i="263"/>
  <c r="WMY118" i="263" s="1"/>
  <c r="WMZ6" i="263"/>
  <c r="WMZ118" i="263" s="1"/>
  <c r="WNA6" i="263"/>
  <c r="WNA118" i="263" s="1"/>
  <c r="WNB6" i="263"/>
  <c r="WNB118" i="263" s="1"/>
  <c r="WNC6" i="263"/>
  <c r="WNC118" i="263" s="1"/>
  <c r="WND6" i="263"/>
  <c r="WND118" i="263" s="1"/>
  <c r="WNE6" i="263"/>
  <c r="WNE118" i="263" s="1"/>
  <c r="WNF6" i="263"/>
  <c r="WNF118" i="263" s="1"/>
  <c r="WNG6" i="263"/>
  <c r="WNG118" i="263" s="1"/>
  <c r="WNH6" i="263"/>
  <c r="WNH118" i="263" s="1"/>
  <c r="WNI6" i="263"/>
  <c r="WNI118" i="263" s="1"/>
  <c r="WNJ6" i="263"/>
  <c r="WNJ118" i="263" s="1"/>
  <c r="WNK6" i="263"/>
  <c r="WNK118" i="263" s="1"/>
  <c r="WNL6" i="263"/>
  <c r="WNL118" i="263" s="1"/>
  <c r="WNM6" i="263"/>
  <c r="WNM118" i="263" s="1"/>
  <c r="WNN6" i="263"/>
  <c r="WNN118" i="263" s="1"/>
  <c r="WNO6" i="263"/>
  <c r="WNO118" i="263" s="1"/>
  <c r="WNP6" i="263"/>
  <c r="WNP118" i="263" s="1"/>
  <c r="WNQ6" i="263"/>
  <c r="WNQ118" i="263" s="1"/>
  <c r="WNR6" i="263"/>
  <c r="WNR118" i="263" s="1"/>
  <c r="WNS6" i="263"/>
  <c r="WNS118" i="263" s="1"/>
  <c r="WNT6" i="263"/>
  <c r="WNT118" i="263" s="1"/>
  <c r="WNU6" i="263"/>
  <c r="WNU118" i="263" s="1"/>
  <c r="WNV6" i="263"/>
  <c r="WNV118" i="263" s="1"/>
  <c r="WNW6" i="263"/>
  <c r="WNW118" i="263" s="1"/>
  <c r="WNX6" i="263"/>
  <c r="WNX118" i="263" s="1"/>
  <c r="WNY6" i="263"/>
  <c r="WNY118" i="263" s="1"/>
  <c r="WNZ6" i="263"/>
  <c r="WNZ118" i="263" s="1"/>
  <c r="WOA6" i="263"/>
  <c r="WOA118" i="263" s="1"/>
  <c r="WOB6" i="263"/>
  <c r="WOB118" i="263" s="1"/>
  <c r="WOC6" i="263"/>
  <c r="WOC118" i="263" s="1"/>
  <c r="WOD6" i="263"/>
  <c r="WOD118" i="263" s="1"/>
  <c r="WOE6" i="263"/>
  <c r="WOE118" i="263" s="1"/>
  <c r="WOF6" i="263"/>
  <c r="WOF118" i="263" s="1"/>
  <c r="WOG6" i="263"/>
  <c r="WOG118" i="263" s="1"/>
  <c r="WOH6" i="263"/>
  <c r="WOH118" i="263" s="1"/>
  <c r="WOI6" i="263"/>
  <c r="WOI118" i="263" s="1"/>
  <c r="WOJ6" i="263"/>
  <c r="WOJ118" i="263" s="1"/>
  <c r="WOK6" i="263"/>
  <c r="WOK118" i="263" s="1"/>
  <c r="WOL6" i="263"/>
  <c r="WOL118" i="263" s="1"/>
  <c r="WOM6" i="263"/>
  <c r="WOM118" i="263" s="1"/>
  <c r="WON6" i="263"/>
  <c r="WON118" i="263" s="1"/>
  <c r="WOO6" i="263"/>
  <c r="WOO118" i="263" s="1"/>
  <c r="WOP6" i="263"/>
  <c r="WOP118" i="263" s="1"/>
  <c r="WOQ6" i="263"/>
  <c r="WOQ118" i="263" s="1"/>
  <c r="WOR6" i="263"/>
  <c r="WOR118" i="263" s="1"/>
  <c r="WOS6" i="263"/>
  <c r="WOS118" i="263" s="1"/>
  <c r="WOT6" i="263"/>
  <c r="WOT118" i="263" s="1"/>
  <c r="WOU6" i="263"/>
  <c r="WOU118" i="263" s="1"/>
  <c r="WOV6" i="263"/>
  <c r="WOV118" i="263" s="1"/>
  <c r="WOW6" i="263"/>
  <c r="WOW118" i="263" s="1"/>
  <c r="WOX6" i="263"/>
  <c r="WOX118" i="263" s="1"/>
  <c r="WOY6" i="263"/>
  <c r="WOY118" i="263" s="1"/>
  <c r="WOZ6" i="263"/>
  <c r="WOZ118" i="263" s="1"/>
  <c r="WPA6" i="263"/>
  <c r="WPA118" i="263" s="1"/>
  <c r="WPB6" i="263"/>
  <c r="WPB118" i="263" s="1"/>
  <c r="WPC6" i="263"/>
  <c r="WPC118" i="263" s="1"/>
  <c r="WPD6" i="263"/>
  <c r="WPD118" i="263" s="1"/>
  <c r="WPE6" i="263"/>
  <c r="WPE118" i="263" s="1"/>
  <c r="WPF6" i="263"/>
  <c r="WPF118" i="263" s="1"/>
  <c r="WPG6" i="263"/>
  <c r="WPG118" i="263" s="1"/>
  <c r="WPH6" i="263"/>
  <c r="WPH118" i="263" s="1"/>
  <c r="WPI6" i="263"/>
  <c r="WPI118" i="263" s="1"/>
  <c r="WPJ6" i="263"/>
  <c r="WPJ118" i="263" s="1"/>
  <c r="WPK6" i="263"/>
  <c r="WPK118" i="263" s="1"/>
  <c r="WPL6" i="263"/>
  <c r="WPL118" i="263" s="1"/>
  <c r="WPM6" i="263"/>
  <c r="WPM118" i="263" s="1"/>
  <c r="WPN6" i="263"/>
  <c r="WPN118" i="263" s="1"/>
  <c r="WPO6" i="263"/>
  <c r="WPO118" i="263" s="1"/>
  <c r="WPP6" i="263"/>
  <c r="WPP118" i="263" s="1"/>
  <c r="WPQ6" i="263"/>
  <c r="WPQ118" i="263" s="1"/>
  <c r="WPR6" i="263"/>
  <c r="WPR118" i="263" s="1"/>
  <c r="WPS6" i="263"/>
  <c r="WPS118" i="263" s="1"/>
  <c r="WPT6" i="263"/>
  <c r="WPT118" i="263" s="1"/>
  <c r="WPU6" i="263"/>
  <c r="WPU118" i="263" s="1"/>
  <c r="WPV6" i="263"/>
  <c r="WPV118" i="263" s="1"/>
  <c r="WPW6" i="263"/>
  <c r="WPW118" i="263" s="1"/>
  <c r="WPX6" i="263"/>
  <c r="WPX118" i="263" s="1"/>
  <c r="WPY6" i="263"/>
  <c r="WPY118" i="263" s="1"/>
  <c r="WPZ6" i="263"/>
  <c r="WPZ118" i="263" s="1"/>
  <c r="WQA6" i="263"/>
  <c r="WQA118" i="263" s="1"/>
  <c r="WQB6" i="263"/>
  <c r="WQB118" i="263" s="1"/>
  <c r="WQC6" i="263"/>
  <c r="WQC118" i="263" s="1"/>
  <c r="WQD6" i="263"/>
  <c r="WQD118" i="263" s="1"/>
  <c r="WQE6" i="263"/>
  <c r="WQE118" i="263" s="1"/>
  <c r="WQF6" i="263"/>
  <c r="WQF118" i="263" s="1"/>
  <c r="WQG6" i="263"/>
  <c r="WQG118" i="263" s="1"/>
  <c r="WQH6" i="263"/>
  <c r="WQH118" i="263" s="1"/>
  <c r="WQI6" i="263"/>
  <c r="WQI118" i="263" s="1"/>
  <c r="WQJ6" i="263"/>
  <c r="WQJ118" i="263" s="1"/>
  <c r="WQK6" i="263"/>
  <c r="WQK118" i="263" s="1"/>
  <c r="WQL6" i="263"/>
  <c r="WQL118" i="263" s="1"/>
  <c r="WQM6" i="263"/>
  <c r="WQM118" i="263" s="1"/>
  <c r="WQN6" i="263"/>
  <c r="WQN118" i="263" s="1"/>
  <c r="WQO6" i="263"/>
  <c r="WQO118" i="263" s="1"/>
  <c r="WQP6" i="263"/>
  <c r="WQP118" i="263" s="1"/>
  <c r="WQQ6" i="263"/>
  <c r="WQQ118" i="263" s="1"/>
  <c r="WQR6" i="263"/>
  <c r="WQR118" i="263" s="1"/>
  <c r="WQS6" i="263"/>
  <c r="WQS118" i="263" s="1"/>
  <c r="WQT6" i="263"/>
  <c r="WQT118" i="263" s="1"/>
  <c r="WQU6" i="263"/>
  <c r="WQU118" i="263" s="1"/>
  <c r="WQV6" i="263"/>
  <c r="WQV118" i="263" s="1"/>
  <c r="WQW6" i="263"/>
  <c r="WQW118" i="263" s="1"/>
  <c r="WQX6" i="263"/>
  <c r="WQX118" i="263" s="1"/>
  <c r="WQY6" i="263"/>
  <c r="WQY118" i="263" s="1"/>
  <c r="WQZ6" i="263"/>
  <c r="WQZ118" i="263" s="1"/>
  <c r="WRA6" i="263"/>
  <c r="WRA118" i="263" s="1"/>
  <c r="WRB6" i="263"/>
  <c r="WRB118" i="263" s="1"/>
  <c r="WRC6" i="263"/>
  <c r="WRC118" i="263" s="1"/>
  <c r="WRD6" i="263"/>
  <c r="WRD118" i="263" s="1"/>
  <c r="WRE6" i="263"/>
  <c r="WRE118" i="263" s="1"/>
  <c r="WRF6" i="263"/>
  <c r="WRF118" i="263" s="1"/>
  <c r="WRG6" i="263"/>
  <c r="WRG118" i="263" s="1"/>
  <c r="WRH6" i="263"/>
  <c r="WRH118" i="263" s="1"/>
  <c r="WRI6" i="263"/>
  <c r="WRI118" i="263" s="1"/>
  <c r="WRJ6" i="263"/>
  <c r="WRJ118" i="263" s="1"/>
  <c r="WRK6" i="263"/>
  <c r="WRK118" i="263" s="1"/>
  <c r="WRL6" i="263"/>
  <c r="WRL118" i="263" s="1"/>
  <c r="WRM6" i="263"/>
  <c r="WRM118" i="263" s="1"/>
  <c r="WRN6" i="263"/>
  <c r="WRN118" i="263" s="1"/>
  <c r="WRO6" i="263"/>
  <c r="WRO118" i="263" s="1"/>
  <c r="WRP6" i="263"/>
  <c r="WRP118" i="263" s="1"/>
  <c r="WRQ6" i="263"/>
  <c r="WRQ118" i="263" s="1"/>
  <c r="WRR6" i="263"/>
  <c r="WRR118" i="263" s="1"/>
  <c r="WRS6" i="263"/>
  <c r="WRS118" i="263" s="1"/>
  <c r="WRT6" i="263"/>
  <c r="WRT118" i="263" s="1"/>
  <c r="WRU6" i="263"/>
  <c r="WRU118" i="263" s="1"/>
  <c r="WRV6" i="263"/>
  <c r="WRV118" i="263" s="1"/>
  <c r="WRW6" i="263"/>
  <c r="WRW118" i="263" s="1"/>
  <c r="WRX6" i="263"/>
  <c r="WRX118" i="263" s="1"/>
  <c r="WRY6" i="263"/>
  <c r="WRY118" i="263" s="1"/>
  <c r="WRZ6" i="263"/>
  <c r="WRZ118" i="263" s="1"/>
  <c r="WSA6" i="263"/>
  <c r="WSA118" i="263" s="1"/>
  <c r="WSB6" i="263"/>
  <c r="WSB118" i="263" s="1"/>
  <c r="WSC6" i="263"/>
  <c r="WSC118" i="263" s="1"/>
  <c r="WSD6" i="263"/>
  <c r="WSD118" i="263" s="1"/>
  <c r="WSE6" i="263"/>
  <c r="WSE118" i="263" s="1"/>
  <c r="WSF6" i="263"/>
  <c r="WSF118" i="263" s="1"/>
  <c r="WSG6" i="263"/>
  <c r="WSG118" i="263" s="1"/>
  <c r="WSH6" i="263"/>
  <c r="WSH118" i="263" s="1"/>
  <c r="WSI6" i="263"/>
  <c r="WSI118" i="263" s="1"/>
  <c r="WSJ6" i="263"/>
  <c r="WSJ118" i="263" s="1"/>
  <c r="WSK6" i="263"/>
  <c r="WSK118" i="263" s="1"/>
  <c r="WSL6" i="263"/>
  <c r="WSL118" i="263" s="1"/>
  <c r="WSM6" i="263"/>
  <c r="WSM118" i="263" s="1"/>
  <c r="WSN6" i="263"/>
  <c r="WSN118" i="263" s="1"/>
  <c r="WSO6" i="263"/>
  <c r="WSO118" i="263" s="1"/>
  <c r="WSP6" i="263"/>
  <c r="WSP118" i="263" s="1"/>
  <c r="WSQ6" i="263"/>
  <c r="WSQ118" i="263" s="1"/>
  <c r="WSR6" i="263"/>
  <c r="WSR118" i="263" s="1"/>
  <c r="WSS6" i="263"/>
  <c r="WSS118" i="263" s="1"/>
  <c r="WST6" i="263"/>
  <c r="WST118" i="263" s="1"/>
  <c r="WSU6" i="263"/>
  <c r="WSU118" i="263" s="1"/>
  <c r="WSV6" i="263"/>
  <c r="WSV118" i="263" s="1"/>
  <c r="WSW6" i="263"/>
  <c r="WSW118" i="263" s="1"/>
  <c r="WSX6" i="263"/>
  <c r="WSX118" i="263" s="1"/>
  <c r="WSY6" i="263"/>
  <c r="WSY118" i="263" s="1"/>
  <c r="WSZ6" i="263"/>
  <c r="WSZ118" i="263" s="1"/>
  <c r="WTA6" i="263"/>
  <c r="WTA118" i="263" s="1"/>
  <c r="WTB6" i="263"/>
  <c r="WTB118" i="263" s="1"/>
  <c r="WTC6" i="263"/>
  <c r="WTC118" i="263" s="1"/>
  <c r="WTD6" i="263"/>
  <c r="WTD118" i="263" s="1"/>
  <c r="WTE6" i="263"/>
  <c r="WTE118" i="263" s="1"/>
  <c r="WTF6" i="263"/>
  <c r="WTF118" i="263" s="1"/>
  <c r="WTG6" i="263"/>
  <c r="WTG118" i="263" s="1"/>
  <c r="WTH6" i="263"/>
  <c r="WTH118" i="263" s="1"/>
  <c r="WTI6" i="263"/>
  <c r="WTI118" i="263" s="1"/>
  <c r="WTJ6" i="263"/>
  <c r="WTJ118" i="263" s="1"/>
  <c r="WTK6" i="263"/>
  <c r="WTK118" i="263" s="1"/>
  <c r="WTL6" i="263"/>
  <c r="WTL118" i="263" s="1"/>
  <c r="WTM6" i="263"/>
  <c r="WTM118" i="263" s="1"/>
  <c r="WTN6" i="263"/>
  <c r="WTN118" i="263" s="1"/>
  <c r="WTO6" i="263"/>
  <c r="WTO118" i="263" s="1"/>
  <c r="WTP6" i="263"/>
  <c r="WTP118" i="263" s="1"/>
  <c r="WTQ6" i="263"/>
  <c r="WTQ118" i="263" s="1"/>
  <c r="WTR6" i="263"/>
  <c r="WTR118" i="263" s="1"/>
  <c r="WTS6" i="263"/>
  <c r="WTS118" i="263" s="1"/>
  <c r="WTT6" i="263"/>
  <c r="WTT118" i="263" s="1"/>
  <c r="WTU6" i="263"/>
  <c r="WTU118" i="263" s="1"/>
  <c r="WTV6" i="263"/>
  <c r="WTV118" i="263" s="1"/>
  <c r="WTW6" i="263"/>
  <c r="WTW118" i="263" s="1"/>
  <c r="WTX6" i="263"/>
  <c r="WTX118" i="263" s="1"/>
  <c r="WTY6" i="263"/>
  <c r="WTY118" i="263" s="1"/>
  <c r="WTZ6" i="263"/>
  <c r="WTZ118" i="263" s="1"/>
  <c r="WUA6" i="263"/>
  <c r="WUA118" i="263" s="1"/>
  <c r="WUB6" i="263"/>
  <c r="WUB118" i="263" s="1"/>
  <c r="WUC6" i="263"/>
  <c r="WUC118" i="263" s="1"/>
  <c r="WUD6" i="263"/>
  <c r="WUD118" i="263" s="1"/>
  <c r="WUE6" i="263"/>
  <c r="WUE118" i="263" s="1"/>
  <c r="WUF6" i="263"/>
  <c r="WUF118" i="263" s="1"/>
  <c r="WUG6" i="263"/>
  <c r="WUG118" i="263" s="1"/>
  <c r="WUH6" i="263"/>
  <c r="WUH118" i="263" s="1"/>
  <c r="WUI6" i="263"/>
  <c r="WUI118" i="263" s="1"/>
  <c r="WUJ6" i="263"/>
  <c r="WUJ118" i="263" s="1"/>
  <c r="WUK6" i="263"/>
  <c r="WUK118" i="263" s="1"/>
  <c r="WUL6" i="263"/>
  <c r="WUL118" i="263" s="1"/>
  <c r="WUM6" i="263"/>
  <c r="WUM118" i="263" s="1"/>
  <c r="WUN6" i="263"/>
  <c r="WUN118" i="263" s="1"/>
  <c r="WUO6" i="263"/>
  <c r="WUO118" i="263" s="1"/>
  <c r="WUP6" i="263"/>
  <c r="WUP118" i="263" s="1"/>
  <c r="WUQ6" i="263"/>
  <c r="WUQ118" i="263" s="1"/>
  <c r="WUR6" i="263"/>
  <c r="WUR118" i="263" s="1"/>
  <c r="WUS6" i="263"/>
  <c r="WUS118" i="263" s="1"/>
  <c r="WUT6" i="263"/>
  <c r="WUT118" i="263" s="1"/>
  <c r="WUU6" i="263"/>
  <c r="WUU118" i="263" s="1"/>
  <c r="WUV6" i="263"/>
  <c r="WUV118" i="263" s="1"/>
  <c r="WUW6" i="263"/>
  <c r="WUW118" i="263" s="1"/>
  <c r="WUX6" i="263"/>
  <c r="WUX118" i="263" s="1"/>
  <c r="WUY6" i="263"/>
  <c r="WUY118" i="263" s="1"/>
  <c r="WUZ6" i="263"/>
  <c r="WUZ118" i="263" s="1"/>
  <c r="WVA6" i="263"/>
  <c r="WVA118" i="263" s="1"/>
  <c r="WVB6" i="263"/>
  <c r="WVB118" i="263" s="1"/>
  <c r="WVC6" i="263"/>
  <c r="WVC118" i="263" s="1"/>
  <c r="WVD6" i="263"/>
  <c r="WVD118" i="263" s="1"/>
  <c r="WVE6" i="263"/>
  <c r="WVE118" i="263" s="1"/>
  <c r="WVF6" i="263"/>
  <c r="WVF118" i="263" s="1"/>
  <c r="WVG6" i="263"/>
  <c r="WVG118" i="263" s="1"/>
  <c r="WVH6" i="263"/>
  <c r="WVH118" i="263" s="1"/>
  <c r="WVI6" i="263"/>
  <c r="WVI118" i="263" s="1"/>
  <c r="WVJ6" i="263"/>
  <c r="WVJ118" i="263" s="1"/>
  <c r="WVK6" i="263"/>
  <c r="WVK118" i="263" s="1"/>
  <c r="WVL6" i="263"/>
  <c r="WVL118" i="263" s="1"/>
  <c r="WVM6" i="263"/>
  <c r="WVM118" i="263" s="1"/>
  <c r="WVN6" i="263"/>
  <c r="WVN118" i="263" s="1"/>
  <c r="WVO6" i="263"/>
  <c r="WVO118" i="263" s="1"/>
  <c r="WVP6" i="263"/>
  <c r="WVP118" i="263" s="1"/>
  <c r="WVQ6" i="263"/>
  <c r="WVQ118" i="263" s="1"/>
  <c r="WVR6" i="263"/>
  <c r="WVR118" i="263" s="1"/>
  <c r="WVS6" i="263"/>
  <c r="WVS118" i="263" s="1"/>
  <c r="WVT6" i="263"/>
  <c r="WVT118" i="263" s="1"/>
  <c r="WVU6" i="263"/>
  <c r="WVU118" i="263" s="1"/>
  <c r="WVV6" i="263"/>
  <c r="WVV118" i="263" s="1"/>
  <c r="WVW6" i="263"/>
  <c r="WVW118" i="263" s="1"/>
  <c r="WVX6" i="263"/>
  <c r="WVX118" i="263" s="1"/>
  <c r="WVY6" i="263"/>
  <c r="WVY118" i="263" s="1"/>
  <c r="WVZ6" i="263"/>
  <c r="WVZ118" i="263" s="1"/>
  <c r="WWA6" i="263"/>
  <c r="WWA118" i="263" s="1"/>
  <c r="WWB6" i="263"/>
  <c r="WWB118" i="263" s="1"/>
  <c r="WWC6" i="263"/>
  <c r="WWC118" i="263" s="1"/>
  <c r="WWD6" i="263"/>
  <c r="WWD118" i="263" s="1"/>
  <c r="WWE6" i="263"/>
  <c r="WWE118" i="263" s="1"/>
  <c r="WWF6" i="263"/>
  <c r="WWF118" i="263" s="1"/>
  <c r="WWG6" i="263"/>
  <c r="WWG118" i="263" s="1"/>
  <c r="WWH6" i="263"/>
  <c r="WWH118" i="263" s="1"/>
  <c r="WWI6" i="263"/>
  <c r="WWI118" i="263" s="1"/>
  <c r="WWJ6" i="263"/>
  <c r="WWJ118" i="263" s="1"/>
  <c r="WWK6" i="263"/>
  <c r="WWK118" i="263" s="1"/>
  <c r="WWL6" i="263"/>
  <c r="WWL118" i="263" s="1"/>
  <c r="WWM6" i="263"/>
  <c r="WWM118" i="263" s="1"/>
  <c r="WWN6" i="263"/>
  <c r="WWN118" i="263" s="1"/>
  <c r="WWO6" i="263"/>
  <c r="WWO118" i="263" s="1"/>
  <c r="WWP6" i="263"/>
  <c r="WWP118" i="263" s="1"/>
  <c r="WWQ6" i="263"/>
  <c r="WWQ118" i="263" s="1"/>
  <c r="WWR6" i="263"/>
  <c r="WWR118" i="263" s="1"/>
  <c r="WWS6" i="263"/>
  <c r="WWS118" i="263" s="1"/>
  <c r="WWT6" i="263"/>
  <c r="WWT118" i="263" s="1"/>
  <c r="WWU6" i="263"/>
  <c r="WWU118" i="263" s="1"/>
  <c r="WWV6" i="263"/>
  <c r="WWV118" i="263" s="1"/>
  <c r="WWW6" i="263"/>
  <c r="WWW118" i="263" s="1"/>
  <c r="WWX6" i="263"/>
  <c r="WWX118" i="263" s="1"/>
  <c r="WWY6" i="263"/>
  <c r="WWY118" i="263" s="1"/>
  <c r="WWZ6" i="263"/>
  <c r="WWZ118" i="263" s="1"/>
  <c r="WXA6" i="263"/>
  <c r="WXA118" i="263" s="1"/>
  <c r="WXB6" i="263"/>
  <c r="WXB118" i="263" s="1"/>
  <c r="WXC6" i="263"/>
  <c r="WXC118" i="263" s="1"/>
  <c r="WXD6" i="263"/>
  <c r="WXD118" i="263" s="1"/>
  <c r="WXE6" i="263"/>
  <c r="WXE118" i="263" s="1"/>
  <c r="WXF6" i="263"/>
  <c r="WXF118" i="263" s="1"/>
  <c r="WXG6" i="263"/>
  <c r="WXG118" i="263" s="1"/>
  <c r="WXH6" i="263"/>
  <c r="WXH118" i="263" s="1"/>
  <c r="WXI6" i="263"/>
  <c r="WXI118" i="263" s="1"/>
  <c r="WXJ6" i="263"/>
  <c r="WXJ118" i="263" s="1"/>
  <c r="WXK6" i="263"/>
  <c r="WXK118" i="263" s="1"/>
  <c r="WXL6" i="263"/>
  <c r="WXL118" i="263" s="1"/>
  <c r="WXM6" i="263"/>
  <c r="WXM118" i="263" s="1"/>
  <c r="WXN6" i="263"/>
  <c r="WXN118" i="263" s="1"/>
  <c r="WXO6" i="263"/>
  <c r="WXO118" i="263" s="1"/>
  <c r="WXP6" i="263"/>
  <c r="WXP118" i="263" s="1"/>
  <c r="WXQ6" i="263"/>
  <c r="WXQ118" i="263" s="1"/>
  <c r="WXR6" i="263"/>
  <c r="WXR118" i="263" s="1"/>
  <c r="WXS6" i="263"/>
  <c r="WXS118" i="263" s="1"/>
  <c r="WXT6" i="263"/>
  <c r="WXT118" i="263" s="1"/>
  <c r="WXU6" i="263"/>
  <c r="WXU118" i="263" s="1"/>
  <c r="WXV6" i="263"/>
  <c r="WXV118" i="263" s="1"/>
  <c r="WXW6" i="263"/>
  <c r="WXW118" i="263" s="1"/>
  <c r="WXX6" i="263"/>
  <c r="WXX118" i="263" s="1"/>
  <c r="WXY6" i="263"/>
  <c r="WXY118" i="263" s="1"/>
  <c r="WXZ6" i="263"/>
  <c r="WXZ118" i="263" s="1"/>
  <c r="WYA6" i="263"/>
  <c r="WYA118" i="263" s="1"/>
  <c r="WYB6" i="263"/>
  <c r="WYB118" i="263" s="1"/>
  <c r="WYC6" i="263"/>
  <c r="WYC118" i="263" s="1"/>
  <c r="WYD6" i="263"/>
  <c r="WYD118" i="263" s="1"/>
  <c r="WYE6" i="263"/>
  <c r="WYE118" i="263" s="1"/>
  <c r="WYF6" i="263"/>
  <c r="WYF118" i="263" s="1"/>
  <c r="WYG6" i="263"/>
  <c r="WYG118" i="263" s="1"/>
  <c r="WYH6" i="263"/>
  <c r="WYH118" i="263" s="1"/>
  <c r="WYI6" i="263"/>
  <c r="WYI118" i="263" s="1"/>
  <c r="WYJ6" i="263"/>
  <c r="WYJ118" i="263" s="1"/>
  <c r="WYK6" i="263"/>
  <c r="WYK118" i="263" s="1"/>
  <c r="WYL6" i="263"/>
  <c r="WYL118" i="263" s="1"/>
  <c r="WYM6" i="263"/>
  <c r="WYM118" i="263" s="1"/>
  <c r="WYN6" i="263"/>
  <c r="WYN118" i="263" s="1"/>
  <c r="WYO6" i="263"/>
  <c r="WYO118" i="263" s="1"/>
  <c r="WYP6" i="263"/>
  <c r="WYP118" i="263" s="1"/>
  <c r="WYQ6" i="263"/>
  <c r="WYQ118" i="263" s="1"/>
  <c r="WYR6" i="263"/>
  <c r="WYR118" i="263" s="1"/>
  <c r="WYS6" i="263"/>
  <c r="WYS118" i="263" s="1"/>
  <c r="WYT6" i="263"/>
  <c r="WYT118" i="263" s="1"/>
  <c r="WYU6" i="263"/>
  <c r="WYU118" i="263" s="1"/>
  <c r="WYV6" i="263"/>
  <c r="WYV118" i="263" s="1"/>
  <c r="WYW6" i="263"/>
  <c r="WYW118" i="263" s="1"/>
  <c r="WYX6" i="263"/>
  <c r="WYX118" i="263" s="1"/>
  <c r="WYY6" i="263"/>
  <c r="WYY118" i="263" s="1"/>
  <c r="WYZ6" i="263"/>
  <c r="WYZ118" i="263" s="1"/>
  <c r="WZA6" i="263"/>
  <c r="WZA118" i="263" s="1"/>
  <c r="WZB6" i="263"/>
  <c r="WZB118" i="263" s="1"/>
  <c r="WZC6" i="263"/>
  <c r="WZC118" i="263" s="1"/>
  <c r="WZD6" i="263"/>
  <c r="WZD118" i="263" s="1"/>
  <c r="WZE6" i="263"/>
  <c r="WZE118" i="263" s="1"/>
  <c r="WZF6" i="263"/>
  <c r="WZF118" i="263" s="1"/>
  <c r="WZG6" i="263"/>
  <c r="WZG118" i="263" s="1"/>
  <c r="WZH6" i="263"/>
  <c r="WZH118" i="263" s="1"/>
  <c r="WZI6" i="263"/>
  <c r="WZI118" i="263" s="1"/>
  <c r="WZJ6" i="263"/>
  <c r="WZJ118" i="263" s="1"/>
  <c r="WZK6" i="263"/>
  <c r="WZK118" i="263" s="1"/>
  <c r="WZL6" i="263"/>
  <c r="WZL118" i="263" s="1"/>
  <c r="WZM6" i="263"/>
  <c r="WZM118" i="263" s="1"/>
  <c r="WZN6" i="263"/>
  <c r="WZN118" i="263" s="1"/>
  <c r="WZO6" i="263"/>
  <c r="WZO118" i="263" s="1"/>
  <c r="WZP6" i="263"/>
  <c r="WZP118" i="263" s="1"/>
  <c r="WZQ6" i="263"/>
  <c r="WZQ118" i="263" s="1"/>
  <c r="WZR6" i="263"/>
  <c r="WZR118" i="263" s="1"/>
  <c r="WZS6" i="263"/>
  <c r="WZS118" i="263" s="1"/>
  <c r="WZT6" i="263"/>
  <c r="WZT118" i="263" s="1"/>
  <c r="WZU6" i="263"/>
  <c r="WZU118" i="263" s="1"/>
  <c r="WZV6" i="263"/>
  <c r="WZV118" i="263" s="1"/>
  <c r="WZW6" i="263"/>
  <c r="WZW118" i="263" s="1"/>
  <c r="WZX6" i="263"/>
  <c r="WZX118" i="263" s="1"/>
  <c r="WZY6" i="263"/>
  <c r="WZY118" i="263" s="1"/>
  <c r="WZZ6" i="263"/>
  <c r="WZZ118" i="263" s="1"/>
  <c r="XAA6" i="263"/>
  <c r="XAA118" i="263" s="1"/>
  <c r="XAB6" i="263"/>
  <c r="XAB118" i="263" s="1"/>
  <c r="XAC6" i="263"/>
  <c r="XAC118" i="263" s="1"/>
  <c r="XAD6" i="263"/>
  <c r="XAD118" i="263" s="1"/>
  <c r="XAE6" i="263"/>
  <c r="XAE118" i="263" s="1"/>
  <c r="XAF6" i="263"/>
  <c r="XAF118" i="263" s="1"/>
  <c r="XAG6" i="263"/>
  <c r="XAG118" i="263" s="1"/>
  <c r="XAH6" i="263"/>
  <c r="XAH118" i="263" s="1"/>
  <c r="XAI6" i="263"/>
  <c r="XAI118" i="263" s="1"/>
  <c r="XAJ6" i="263"/>
  <c r="XAJ118" i="263" s="1"/>
  <c r="XAK6" i="263"/>
  <c r="XAK118" i="263" s="1"/>
  <c r="XAL6" i="263"/>
  <c r="XAL118" i="263" s="1"/>
  <c r="XAM6" i="263"/>
  <c r="XAM118" i="263" s="1"/>
  <c r="XAN6" i="263"/>
  <c r="XAN118" i="263" s="1"/>
  <c r="XAO6" i="263"/>
  <c r="XAO118" i="263" s="1"/>
  <c r="XAP6" i="263"/>
  <c r="XAP118" i="263" s="1"/>
  <c r="XAQ6" i="263"/>
  <c r="XAQ118" i="263" s="1"/>
  <c r="XAR6" i="263"/>
  <c r="XAR118" i="263" s="1"/>
  <c r="XAS6" i="263"/>
  <c r="XAS118" i="263" s="1"/>
  <c r="XAT6" i="263"/>
  <c r="XAT118" i="263" s="1"/>
  <c r="XAU6" i="263"/>
  <c r="XAU118" i="263" s="1"/>
  <c r="XAV6" i="263"/>
  <c r="XAV118" i="263" s="1"/>
  <c r="XAW6" i="263"/>
  <c r="XAW118" i="263" s="1"/>
  <c r="XAX6" i="263"/>
  <c r="XAX118" i="263" s="1"/>
  <c r="XAY6" i="263"/>
  <c r="XAY118" i="263" s="1"/>
  <c r="XAZ6" i="263"/>
  <c r="XAZ118" i="263" s="1"/>
  <c r="XBA6" i="263"/>
  <c r="XBA118" i="263" s="1"/>
  <c r="XBB6" i="263"/>
  <c r="XBB118" i="263" s="1"/>
  <c r="XBC6" i="263"/>
  <c r="XBC118" i="263" s="1"/>
  <c r="XBD6" i="263"/>
  <c r="XBD118" i="263" s="1"/>
  <c r="XBE6" i="263"/>
  <c r="XBE118" i="263" s="1"/>
  <c r="XBF6" i="263"/>
  <c r="XBF118" i="263" s="1"/>
  <c r="XBG6" i="263"/>
  <c r="XBG118" i="263" s="1"/>
  <c r="XBH6" i="263"/>
  <c r="XBH118" i="263" s="1"/>
  <c r="XBI6" i="263"/>
  <c r="XBI118" i="263" s="1"/>
  <c r="XBJ6" i="263"/>
  <c r="XBJ118" i="263" s="1"/>
  <c r="XBK6" i="263"/>
  <c r="XBK118" i="263" s="1"/>
  <c r="XBL6" i="263"/>
  <c r="XBL118" i="263" s="1"/>
  <c r="XBM6" i="263"/>
  <c r="XBM118" i="263" s="1"/>
  <c r="XBN6" i="263"/>
  <c r="XBN118" i="263" s="1"/>
  <c r="XBO6" i="263"/>
  <c r="XBO118" i="263" s="1"/>
  <c r="XBP6" i="263"/>
  <c r="XBP118" i="263" s="1"/>
  <c r="XBQ6" i="263"/>
  <c r="XBQ118" i="263" s="1"/>
  <c r="XBR6" i="263"/>
  <c r="XBR118" i="263" s="1"/>
  <c r="XBS6" i="263"/>
  <c r="XBS118" i="263" s="1"/>
  <c r="XBT6" i="263"/>
  <c r="XBT118" i="263" s="1"/>
  <c r="XBU6" i="263"/>
  <c r="XBU118" i="263" s="1"/>
  <c r="XBV6" i="263"/>
  <c r="XBV118" i="263" s="1"/>
  <c r="XBW6" i="263"/>
  <c r="XBW118" i="263" s="1"/>
  <c r="XBX6" i="263"/>
  <c r="XBX118" i="263" s="1"/>
  <c r="XBY6" i="263"/>
  <c r="XBY118" i="263" s="1"/>
  <c r="XBZ6" i="263"/>
  <c r="XBZ118" i="263" s="1"/>
  <c r="XCA6" i="263"/>
  <c r="XCA118" i="263" s="1"/>
  <c r="XCB6" i="263"/>
  <c r="XCB118" i="263" s="1"/>
  <c r="XCC6" i="263"/>
  <c r="XCC118" i="263" s="1"/>
  <c r="XCD6" i="263"/>
  <c r="XCD118" i="263" s="1"/>
  <c r="XCE6" i="263"/>
  <c r="XCE118" i="263" s="1"/>
  <c r="XCF6" i="263"/>
  <c r="XCF118" i="263" s="1"/>
  <c r="XCG6" i="263"/>
  <c r="XCG118" i="263" s="1"/>
  <c r="XCH6" i="263"/>
  <c r="XCH118" i="263" s="1"/>
  <c r="XCI6" i="263"/>
  <c r="XCI118" i="263" s="1"/>
  <c r="XCJ6" i="263"/>
  <c r="XCJ118" i="263" s="1"/>
  <c r="XCK6" i="263"/>
  <c r="XCK118" i="263" s="1"/>
  <c r="XCL6" i="263"/>
  <c r="XCL118" i="263" s="1"/>
  <c r="XCM6" i="263"/>
  <c r="XCM118" i="263" s="1"/>
  <c r="XCN6" i="263"/>
  <c r="XCN118" i="263" s="1"/>
  <c r="XCO6" i="263"/>
  <c r="XCO118" i="263" s="1"/>
  <c r="XCP6" i="263"/>
  <c r="XCP118" i="263" s="1"/>
  <c r="XCQ6" i="263"/>
  <c r="XCQ118" i="263" s="1"/>
  <c r="XCR6" i="263"/>
  <c r="XCR118" i="263" s="1"/>
  <c r="XCS6" i="263"/>
  <c r="XCS118" i="263" s="1"/>
  <c r="XCT6" i="263"/>
  <c r="XCT118" i="263" s="1"/>
  <c r="XCU6" i="263"/>
  <c r="XCU118" i="263" s="1"/>
  <c r="XCV6" i="263"/>
  <c r="XCV118" i="263" s="1"/>
  <c r="XCW6" i="263"/>
  <c r="XCW118" i="263" s="1"/>
  <c r="XCX6" i="263"/>
  <c r="XCX118" i="263" s="1"/>
  <c r="XCY6" i="263"/>
  <c r="XCY118" i="263" s="1"/>
  <c r="XCZ6" i="263"/>
  <c r="XCZ118" i="263" s="1"/>
  <c r="XDA6" i="263"/>
  <c r="XDA118" i="263" s="1"/>
  <c r="XDB6" i="263"/>
  <c r="XDB118" i="263" s="1"/>
  <c r="XDC6" i="263"/>
  <c r="XDC118" i="263" s="1"/>
  <c r="XDD6" i="263"/>
  <c r="XDD118" i="263" s="1"/>
  <c r="XDE6" i="263"/>
  <c r="XDE118" i="263" s="1"/>
  <c r="XDF6" i="263"/>
  <c r="XDF118" i="263" s="1"/>
  <c r="XDG6" i="263"/>
  <c r="XDG118" i="263" s="1"/>
  <c r="XDH6" i="263"/>
  <c r="XDH118" i="263" s="1"/>
  <c r="XDI6" i="263"/>
  <c r="XDI118" i="263" s="1"/>
  <c r="XDJ6" i="263"/>
  <c r="XDJ118" i="263" s="1"/>
  <c r="XDK6" i="263"/>
  <c r="XDK118" i="263" s="1"/>
  <c r="XDL6" i="263"/>
  <c r="XDL118" i="263" s="1"/>
  <c r="XDM6" i="263"/>
  <c r="XDM118" i="263" s="1"/>
  <c r="XDN6" i="263"/>
  <c r="XDN118" i="263" s="1"/>
  <c r="XDO6" i="263"/>
  <c r="XDO118" i="263" s="1"/>
  <c r="XDP6" i="263"/>
  <c r="XDP118" i="263" s="1"/>
  <c r="XDQ6" i="263"/>
  <c r="XDQ118" i="263" s="1"/>
  <c r="XDR6" i="263"/>
  <c r="XDR118" i="263" s="1"/>
  <c r="XDS6" i="263"/>
  <c r="XDS118" i="263" s="1"/>
  <c r="XDT6" i="263"/>
  <c r="XDT118" i="263" s="1"/>
  <c r="XDU6" i="263"/>
  <c r="XDU118" i="263" s="1"/>
  <c r="XDV6" i="263"/>
  <c r="XDV118" i="263" s="1"/>
  <c r="XDW6" i="263"/>
  <c r="XDW118" i="263" s="1"/>
  <c r="XDX6" i="263"/>
  <c r="XDX118" i="263" s="1"/>
  <c r="XDY6" i="263"/>
  <c r="XDY118" i="263" s="1"/>
  <c r="XDZ6" i="263"/>
  <c r="XDZ118" i="263" s="1"/>
  <c r="XEA6" i="263"/>
  <c r="XEA118" i="263" s="1"/>
  <c r="XEB6" i="263"/>
  <c r="XEB118" i="263" s="1"/>
  <c r="XEC6" i="263"/>
  <c r="XEC118" i="263" s="1"/>
  <c r="XED6" i="263"/>
  <c r="XED118" i="263" s="1"/>
  <c r="XEE6" i="263"/>
  <c r="XEE118" i="263" s="1"/>
  <c r="XEF6" i="263"/>
  <c r="XEF118" i="263" s="1"/>
  <c r="XEG6" i="263"/>
  <c r="XEG118" i="263" s="1"/>
  <c r="XEH6" i="263"/>
  <c r="XEH118" i="263" s="1"/>
  <c r="XEI6" i="263"/>
  <c r="XEI118" i="263" s="1"/>
  <c r="XEJ6" i="263"/>
  <c r="XEJ118" i="263" s="1"/>
  <c r="XEK6" i="263"/>
  <c r="XEK118" i="263" s="1"/>
  <c r="XEL6" i="263"/>
  <c r="XEL118" i="263" s="1"/>
  <c r="XEM6" i="263"/>
  <c r="XEM118" i="263" s="1"/>
  <c r="XEN6" i="263"/>
  <c r="XEN118" i="263" s="1"/>
  <c r="XEO6" i="263"/>
  <c r="XEO118" i="263" s="1"/>
  <c r="XEP6" i="263"/>
  <c r="XEP118" i="263" s="1"/>
  <c r="XEQ6" i="263"/>
  <c r="XEQ118" i="263" s="1"/>
  <c r="XER6" i="263"/>
  <c r="XER118" i="263" s="1"/>
  <c r="XES6" i="263"/>
  <c r="XES118" i="263" s="1"/>
  <c r="XET6" i="263"/>
  <c r="XET118" i="263" s="1"/>
  <c r="XEU6" i="263"/>
  <c r="XEU118" i="263" s="1"/>
  <c r="XEV6" i="263"/>
  <c r="XEV118" i="263" s="1"/>
  <c r="XEW6" i="263"/>
  <c r="XEW118" i="263" s="1"/>
  <c r="XEX6" i="263"/>
  <c r="XEX118" i="263" s="1"/>
  <c r="XEY6" i="263"/>
  <c r="XEY118" i="263" s="1"/>
  <c r="XEZ6" i="263"/>
  <c r="XEZ118" i="263" s="1"/>
  <c r="XFA6" i="263"/>
  <c r="XFA118" i="263" s="1"/>
  <c r="XFB6" i="263"/>
  <c r="XFB118" i="263" s="1"/>
  <c r="XFC6" i="263"/>
  <c r="XFC118" i="263" s="1"/>
  <c r="XFD6" i="263"/>
  <c r="XFD118" i="263" s="1"/>
  <c r="AH110" i="243" l="1"/>
  <c r="C31" i="290"/>
  <c r="C32" i="290"/>
  <c r="C33" i="290"/>
  <c r="C29" i="290"/>
  <c r="C30" i="290"/>
  <c r="G110" i="243"/>
  <c r="K110" i="243"/>
  <c r="O110" i="243"/>
  <c r="S110" i="243"/>
  <c r="W110" i="243"/>
  <c r="AA110" i="243"/>
  <c r="AC110" i="243"/>
  <c r="AE110" i="243"/>
  <c r="F110" i="243"/>
  <c r="J110" i="243"/>
  <c r="N110" i="243"/>
  <c r="R110" i="243"/>
  <c r="V110" i="243"/>
  <c r="Z110" i="243"/>
  <c r="AD110" i="243"/>
  <c r="D34" i="290"/>
  <c r="D35" i="290"/>
  <c r="HK34" i="290"/>
  <c r="HK35" i="290"/>
  <c r="C35" i="290"/>
  <c r="C34" i="290"/>
  <c r="E35" i="290"/>
  <c r="E34" i="290"/>
  <c r="F34" i="290"/>
  <c r="F35" i="290"/>
  <c r="G35" i="290"/>
  <c r="G34" i="290"/>
  <c r="H34" i="290"/>
  <c r="H35" i="290"/>
  <c r="I35" i="290"/>
  <c r="I34" i="290"/>
  <c r="J34" i="290"/>
  <c r="J35" i="290"/>
  <c r="K34" i="290"/>
  <c r="K35" i="290"/>
  <c r="L34" i="290"/>
  <c r="L35" i="290"/>
  <c r="M34" i="290"/>
  <c r="M35" i="290"/>
  <c r="N34" i="290"/>
  <c r="N35" i="290"/>
  <c r="O34" i="290"/>
  <c r="O35" i="290"/>
  <c r="T35" i="290"/>
  <c r="T34" i="290"/>
  <c r="U34" i="290"/>
  <c r="U35" i="290"/>
  <c r="V35" i="290"/>
  <c r="V34" i="290"/>
  <c r="W34" i="290"/>
  <c r="W35" i="290"/>
  <c r="X35" i="290"/>
  <c r="X34" i="290"/>
  <c r="Y34" i="290"/>
  <c r="Y35" i="290"/>
  <c r="Z35" i="290"/>
  <c r="Z34" i="290"/>
  <c r="AA34" i="290"/>
  <c r="AA35" i="290"/>
  <c r="AB35" i="290"/>
  <c r="AB34" i="290"/>
  <c r="AC34" i="290"/>
  <c r="AC35" i="290"/>
  <c r="AD35" i="290"/>
  <c r="AD34" i="290"/>
  <c r="AE34" i="290"/>
  <c r="AE35" i="290"/>
  <c r="AF35" i="290"/>
  <c r="AF34" i="290"/>
  <c r="AK35" i="290"/>
  <c r="AK34" i="290"/>
  <c r="AL34" i="290"/>
  <c r="AL35" i="290"/>
  <c r="AM35" i="290"/>
  <c r="AM34" i="290"/>
  <c r="AN34" i="290"/>
  <c r="AN35" i="290"/>
  <c r="AO35" i="290"/>
  <c r="AO34" i="290"/>
  <c r="AP34" i="290"/>
  <c r="AP35" i="290"/>
  <c r="AQ35" i="290"/>
  <c r="AQ34" i="290"/>
  <c r="AR34" i="290"/>
  <c r="AR35" i="290"/>
  <c r="AS35" i="290"/>
  <c r="AS34" i="290"/>
  <c r="AT34" i="290"/>
  <c r="AT35" i="290"/>
  <c r="AU35" i="290"/>
  <c r="AU34" i="290"/>
  <c r="AV34" i="290"/>
  <c r="AV35" i="290"/>
  <c r="AW35" i="290"/>
  <c r="AW34" i="290"/>
  <c r="BB35" i="290"/>
  <c r="BB34" i="290"/>
  <c r="BC34" i="290"/>
  <c r="BC35" i="290"/>
  <c r="BD35" i="290"/>
  <c r="BD34" i="290"/>
  <c r="BE34" i="290"/>
  <c r="BE35" i="290"/>
  <c r="BF35" i="290"/>
  <c r="BF34" i="290"/>
  <c r="BG34" i="290"/>
  <c r="BG35" i="290"/>
  <c r="BH35" i="290"/>
  <c r="BH34" i="290"/>
  <c r="BI34" i="290"/>
  <c r="BI35" i="290"/>
  <c r="BJ35" i="290"/>
  <c r="BJ34" i="290"/>
  <c r="BK34" i="290"/>
  <c r="BK35" i="290"/>
  <c r="BL35" i="290"/>
  <c r="BL34" i="290"/>
  <c r="BM34" i="290"/>
  <c r="BM35" i="290"/>
  <c r="BN35" i="290"/>
  <c r="BN34" i="290"/>
  <c r="BS34" i="290"/>
  <c r="BS35" i="290"/>
  <c r="BT35" i="290"/>
  <c r="BT34" i="290"/>
  <c r="BU34" i="290"/>
  <c r="BU35" i="290"/>
  <c r="BV35" i="290"/>
  <c r="BV34" i="290"/>
  <c r="BW34" i="290"/>
  <c r="BW35" i="290"/>
  <c r="BX35" i="290"/>
  <c r="BX34" i="290"/>
  <c r="BY34" i="290"/>
  <c r="BY35" i="290"/>
  <c r="BZ35" i="290"/>
  <c r="BZ34" i="290"/>
  <c r="CA34" i="290"/>
  <c r="CA35" i="290"/>
  <c r="CB35" i="290"/>
  <c r="CB34" i="290"/>
  <c r="CC34" i="290"/>
  <c r="CC35" i="290"/>
  <c r="CD35" i="290"/>
  <c r="CD34" i="290"/>
  <c r="CE34" i="290"/>
  <c r="CE35" i="290"/>
  <c r="DA34" i="290"/>
  <c r="DA35" i="290"/>
  <c r="DB35" i="290"/>
  <c r="DB34" i="290"/>
  <c r="DC34" i="290"/>
  <c r="DC35" i="290"/>
  <c r="DD35" i="290"/>
  <c r="DD34" i="290"/>
  <c r="DE34" i="290"/>
  <c r="DE35" i="290"/>
  <c r="DF35" i="290"/>
  <c r="DF34" i="290"/>
  <c r="DG34" i="290"/>
  <c r="DG35" i="290"/>
  <c r="DH35" i="290"/>
  <c r="DH34" i="290"/>
  <c r="DI34" i="290"/>
  <c r="DI35" i="290"/>
  <c r="DJ35" i="290"/>
  <c r="DJ34" i="290"/>
  <c r="DK34" i="290"/>
  <c r="DK35" i="290"/>
  <c r="DL35" i="290"/>
  <c r="DL34" i="290"/>
  <c r="DM34" i="290"/>
  <c r="DM35" i="290"/>
  <c r="DR34" i="290"/>
  <c r="DR35" i="290"/>
  <c r="DS35" i="290"/>
  <c r="DS34" i="290"/>
  <c r="DT34" i="290"/>
  <c r="DT35" i="290"/>
  <c r="DU35" i="290"/>
  <c r="DU34" i="290"/>
  <c r="DV34" i="290"/>
  <c r="DV35" i="290"/>
  <c r="DW35" i="290"/>
  <c r="DW34" i="290"/>
  <c r="DX34" i="290"/>
  <c r="DX35" i="290"/>
  <c r="DY35" i="290"/>
  <c r="DY34" i="290"/>
  <c r="DZ34" i="290"/>
  <c r="DZ35" i="290"/>
  <c r="EA35" i="290"/>
  <c r="EA34" i="290"/>
  <c r="EB34" i="290"/>
  <c r="EB35" i="290"/>
  <c r="EC35" i="290"/>
  <c r="EC34" i="290"/>
  <c r="ED34" i="290"/>
  <c r="ED35" i="290"/>
  <c r="EI34" i="290"/>
  <c r="EI35" i="290"/>
  <c r="EJ35" i="290"/>
  <c r="EJ34" i="290"/>
  <c r="EK34" i="290"/>
  <c r="EK35" i="290"/>
  <c r="EL35" i="290"/>
  <c r="EL34" i="290"/>
  <c r="EM34" i="290"/>
  <c r="EM35" i="290"/>
  <c r="EN35" i="290"/>
  <c r="EN34" i="290"/>
  <c r="EO34" i="290"/>
  <c r="EO35" i="290"/>
  <c r="EP35" i="290"/>
  <c r="EP34" i="290"/>
  <c r="EQ34" i="290"/>
  <c r="EQ35" i="290"/>
  <c r="ER35" i="290"/>
  <c r="ER34" i="290"/>
  <c r="ES34" i="290"/>
  <c r="ES35" i="290"/>
  <c r="ET35" i="290"/>
  <c r="ET34" i="290"/>
  <c r="EU34" i="290"/>
  <c r="EU35" i="290"/>
  <c r="EZ34" i="290"/>
  <c r="EZ35" i="290"/>
  <c r="FA35" i="290"/>
  <c r="FA34" i="290"/>
  <c r="FB34" i="290"/>
  <c r="FB35" i="290"/>
  <c r="FC35" i="290"/>
  <c r="FC34" i="290"/>
  <c r="FD35" i="290"/>
  <c r="FD34" i="290"/>
  <c r="FE35" i="290"/>
  <c r="FE34" i="290"/>
  <c r="FF34" i="290"/>
  <c r="FF35" i="290"/>
  <c r="FG35" i="290"/>
  <c r="FG34" i="290"/>
  <c r="FH35" i="290"/>
  <c r="FH34" i="290"/>
  <c r="FI35" i="290"/>
  <c r="FI34" i="290"/>
  <c r="FJ34" i="290"/>
  <c r="FJ35" i="290"/>
  <c r="FK35" i="290"/>
  <c r="FK34" i="290"/>
  <c r="FL35" i="290"/>
  <c r="FL34" i="290"/>
  <c r="FQ34" i="290"/>
  <c r="FQ35" i="290"/>
  <c r="FR35" i="290"/>
  <c r="FR34" i="290"/>
  <c r="FS34" i="290"/>
  <c r="FS35" i="290"/>
  <c r="FT35" i="290"/>
  <c r="FT34" i="290"/>
  <c r="FU34" i="290"/>
  <c r="FU35" i="290"/>
  <c r="FV35" i="290"/>
  <c r="FV34" i="290"/>
  <c r="FW34" i="290"/>
  <c r="FW35" i="290"/>
  <c r="FX35" i="290"/>
  <c r="FX34" i="290"/>
  <c r="FY34" i="290"/>
  <c r="FY35" i="290"/>
  <c r="FZ35" i="290"/>
  <c r="FZ34" i="290"/>
  <c r="GA34" i="290"/>
  <c r="GA35" i="290"/>
  <c r="GB35" i="290"/>
  <c r="GB34" i="290"/>
  <c r="GC34" i="290"/>
  <c r="GC35" i="290"/>
  <c r="GY34" i="290"/>
  <c r="GY35" i="290"/>
  <c r="GZ35" i="290"/>
  <c r="GZ34" i="290"/>
  <c r="HA34" i="290"/>
  <c r="HA35" i="290"/>
  <c r="HB35" i="290"/>
  <c r="HB34" i="290"/>
  <c r="HC34" i="290"/>
  <c r="HC35" i="290"/>
  <c r="HD35" i="290"/>
  <c r="HD34" i="290"/>
  <c r="HE34" i="290"/>
  <c r="HE35" i="290"/>
  <c r="HF35" i="290"/>
  <c r="HF34" i="290"/>
  <c r="HG34" i="290"/>
  <c r="HG35" i="290"/>
  <c r="HH35" i="290"/>
  <c r="HH34" i="290"/>
  <c r="HI34" i="290"/>
  <c r="HI35" i="290"/>
  <c r="HJ35" i="290"/>
  <c r="HJ34" i="290"/>
  <c r="HP35" i="290"/>
  <c r="HP34" i="290"/>
  <c r="HQ34" i="290"/>
  <c r="HQ35" i="290"/>
  <c r="HR35" i="290"/>
  <c r="HR34" i="290"/>
  <c r="HS34" i="290"/>
  <c r="HS35" i="290"/>
  <c r="HT35" i="290"/>
  <c r="HT34" i="290"/>
  <c r="HU34" i="290"/>
  <c r="HU35" i="290"/>
  <c r="HV35" i="290"/>
  <c r="HV34" i="290"/>
  <c r="HW34" i="290"/>
  <c r="HW35" i="290"/>
  <c r="HX35" i="290"/>
  <c r="HX34" i="290"/>
  <c r="HY34" i="290"/>
  <c r="HY35" i="290"/>
  <c r="HZ35" i="290"/>
  <c r="HZ34" i="290"/>
  <c r="IA34" i="290"/>
  <c r="IA35" i="290"/>
  <c r="IB35" i="290"/>
  <c r="IB34" i="290"/>
  <c r="IG35" i="290"/>
  <c r="IG34" i="290"/>
  <c r="IH34" i="290"/>
  <c r="IH35" i="290"/>
  <c r="II35" i="290"/>
  <c r="II34" i="290"/>
  <c r="IJ34" i="290"/>
  <c r="IJ35" i="290"/>
  <c r="IK35" i="290"/>
  <c r="IK34" i="290"/>
  <c r="IL34" i="290"/>
  <c r="IL35" i="290"/>
  <c r="IM35" i="290"/>
  <c r="IM34" i="290"/>
  <c r="IN34" i="290"/>
  <c r="IN35" i="290"/>
  <c r="IO35" i="290"/>
  <c r="IO34" i="290"/>
  <c r="IP34" i="290"/>
  <c r="IP35" i="290"/>
  <c r="IQ35" i="290"/>
  <c r="IQ34" i="290"/>
  <c r="IR34" i="290"/>
  <c r="IR35" i="290"/>
  <c r="IS35" i="290"/>
  <c r="IS34" i="290"/>
  <c r="IX34" i="290"/>
  <c r="IX35" i="290"/>
  <c r="IY35" i="290"/>
  <c r="IY34" i="290"/>
  <c r="IZ34" i="290"/>
  <c r="IZ35" i="290"/>
  <c r="JA35" i="290"/>
  <c r="JA34" i="290"/>
  <c r="JB34" i="290"/>
  <c r="JB35" i="290"/>
  <c r="JC35" i="290"/>
  <c r="JC34" i="290"/>
  <c r="JD34" i="290"/>
  <c r="JD35" i="290"/>
  <c r="JE35" i="290"/>
  <c r="JE34" i="290"/>
  <c r="JF34" i="290"/>
  <c r="JF35" i="290"/>
  <c r="JG35" i="290"/>
  <c r="JG34" i="290"/>
  <c r="JH34" i="290"/>
  <c r="JH35" i="290"/>
  <c r="JI35" i="290"/>
  <c r="JI34" i="290"/>
  <c r="JJ34" i="290"/>
  <c r="JJ35" i="290"/>
  <c r="E32" i="285"/>
  <c r="C32" i="285"/>
  <c r="D32" i="285"/>
  <c r="B32" i="285"/>
  <c r="E30" i="285"/>
  <c r="C30" i="285"/>
  <c r="D30" i="285"/>
  <c r="B30" i="285"/>
  <c r="E28" i="285"/>
  <c r="C28" i="285"/>
  <c r="D28" i="285"/>
  <c r="B28" i="285"/>
  <c r="E26" i="285"/>
  <c r="C26" i="285"/>
  <c r="D26" i="285"/>
  <c r="B26" i="285"/>
  <c r="E24" i="285"/>
  <c r="C24" i="285"/>
  <c r="D24" i="285"/>
  <c r="B24" i="285"/>
  <c r="E22" i="285"/>
  <c r="C22" i="285"/>
  <c r="D22" i="285"/>
  <c r="B22" i="285"/>
  <c r="E20" i="285"/>
  <c r="C20" i="285"/>
  <c r="D20" i="285"/>
  <c r="B20" i="285"/>
  <c r="E18" i="285"/>
  <c r="C18" i="285"/>
  <c r="D18" i="285"/>
  <c r="B18" i="285"/>
  <c r="E16" i="285"/>
  <c r="C16" i="285"/>
  <c r="D16" i="285"/>
  <c r="B16" i="285"/>
  <c r="E14" i="285"/>
  <c r="C14" i="285"/>
  <c r="D14" i="285"/>
  <c r="B14" i="285"/>
  <c r="D12" i="285"/>
  <c r="B12" i="285"/>
  <c r="C12" i="285"/>
  <c r="E12" i="285"/>
  <c r="D10" i="285"/>
  <c r="B10" i="285"/>
  <c r="E10" i="285"/>
  <c r="C10" i="285"/>
  <c r="D8" i="285"/>
  <c r="B8" i="285"/>
  <c r="E8" i="285"/>
  <c r="C8" i="285"/>
  <c r="D6" i="285"/>
  <c r="B6" i="285"/>
  <c r="C6" i="285"/>
  <c r="E6" i="285"/>
  <c r="D4" i="285"/>
  <c r="B4" i="285"/>
  <c r="C4" i="285"/>
  <c r="E4" i="285"/>
  <c r="I5" i="285"/>
  <c r="G5" i="285"/>
  <c r="H5" i="285"/>
  <c r="F5" i="285"/>
  <c r="I7" i="285"/>
  <c r="G7" i="285"/>
  <c r="H7" i="285"/>
  <c r="F7" i="285"/>
  <c r="I9" i="285"/>
  <c r="G9" i="285"/>
  <c r="H9" i="285"/>
  <c r="F9" i="285"/>
  <c r="I11" i="285"/>
  <c r="G11" i="285"/>
  <c r="H11" i="285"/>
  <c r="F11" i="285"/>
  <c r="H13" i="285"/>
  <c r="F13" i="285"/>
  <c r="I13" i="285"/>
  <c r="G13" i="285"/>
  <c r="H15" i="285"/>
  <c r="F15" i="285"/>
  <c r="I15" i="285"/>
  <c r="G15" i="285"/>
  <c r="H17" i="285"/>
  <c r="F17" i="285"/>
  <c r="I17" i="285"/>
  <c r="G17" i="285"/>
  <c r="H19" i="285"/>
  <c r="F19" i="285"/>
  <c r="I19" i="285"/>
  <c r="G19" i="285"/>
  <c r="H21" i="285"/>
  <c r="F21" i="285"/>
  <c r="I21" i="285"/>
  <c r="G21" i="285"/>
  <c r="H23" i="285"/>
  <c r="F23" i="285"/>
  <c r="I23" i="285"/>
  <c r="G23" i="285"/>
  <c r="H25" i="285"/>
  <c r="F25" i="285"/>
  <c r="I25" i="285"/>
  <c r="G25" i="285"/>
  <c r="H27" i="285"/>
  <c r="F27" i="285"/>
  <c r="I27" i="285"/>
  <c r="G27" i="285"/>
  <c r="H29" i="285"/>
  <c r="F29" i="285"/>
  <c r="I29" i="285"/>
  <c r="G29" i="285"/>
  <c r="H31" i="285"/>
  <c r="F31" i="285"/>
  <c r="I31" i="285"/>
  <c r="G31" i="285"/>
  <c r="L4" i="285"/>
  <c r="J4" i="285"/>
  <c r="K4" i="285"/>
  <c r="M4" i="285"/>
  <c r="L6" i="285"/>
  <c r="J6" i="285"/>
  <c r="K6" i="285"/>
  <c r="M6" i="285"/>
  <c r="L8" i="285"/>
  <c r="J8" i="285"/>
  <c r="M8" i="285"/>
  <c r="K8" i="285"/>
  <c r="L10" i="285"/>
  <c r="J10" i="285"/>
  <c r="M10" i="285"/>
  <c r="K10" i="285"/>
  <c r="L12" i="285"/>
  <c r="J12" i="285"/>
  <c r="K12" i="285"/>
  <c r="M12" i="285"/>
  <c r="M14" i="285"/>
  <c r="K14" i="285"/>
  <c r="L14" i="285"/>
  <c r="J14" i="285"/>
  <c r="M16" i="285"/>
  <c r="K16" i="285"/>
  <c r="L16" i="285"/>
  <c r="J16" i="285"/>
  <c r="M18" i="285"/>
  <c r="K18" i="285"/>
  <c r="L18" i="285"/>
  <c r="J18" i="285"/>
  <c r="M20" i="285"/>
  <c r="K20" i="285"/>
  <c r="L20" i="285"/>
  <c r="J20" i="285"/>
  <c r="M22" i="285"/>
  <c r="K22" i="285"/>
  <c r="L22" i="285"/>
  <c r="J22" i="285"/>
  <c r="M24" i="285"/>
  <c r="K24" i="285"/>
  <c r="L24" i="285"/>
  <c r="J24" i="285"/>
  <c r="M26" i="285"/>
  <c r="K26" i="285"/>
  <c r="L26" i="285"/>
  <c r="J26" i="285"/>
  <c r="M28" i="285"/>
  <c r="K28" i="285"/>
  <c r="L28" i="285"/>
  <c r="J28" i="285"/>
  <c r="M30" i="285"/>
  <c r="K30" i="285"/>
  <c r="L30" i="285"/>
  <c r="J30" i="285"/>
  <c r="M32" i="285"/>
  <c r="K32" i="285"/>
  <c r="L32" i="285"/>
  <c r="J32" i="285"/>
  <c r="I3" i="285"/>
  <c r="G3" i="285"/>
  <c r="H3" i="285"/>
  <c r="F3" i="285"/>
  <c r="P4" i="285"/>
  <c r="N4" i="285"/>
  <c r="O4" i="285"/>
  <c r="Q4" i="285"/>
  <c r="P6" i="285"/>
  <c r="N6" i="285"/>
  <c r="O6" i="285"/>
  <c r="Q6" i="285"/>
  <c r="P8" i="285"/>
  <c r="N8" i="285"/>
  <c r="Q8" i="285"/>
  <c r="O8" i="285"/>
  <c r="P10" i="285"/>
  <c r="N10" i="285"/>
  <c r="Q10" i="285"/>
  <c r="O10" i="285"/>
  <c r="P12" i="285"/>
  <c r="N12" i="285"/>
  <c r="O12" i="285"/>
  <c r="Q12" i="285"/>
  <c r="Q14" i="285"/>
  <c r="O14" i="285"/>
  <c r="P14" i="285"/>
  <c r="N14" i="285"/>
  <c r="Q16" i="285"/>
  <c r="O16" i="285"/>
  <c r="P16" i="285"/>
  <c r="N16" i="285"/>
  <c r="Q18" i="285"/>
  <c r="O18" i="285"/>
  <c r="P18" i="285"/>
  <c r="N18" i="285"/>
  <c r="Q20" i="285"/>
  <c r="O20" i="285"/>
  <c r="P20" i="285"/>
  <c r="N20" i="285"/>
  <c r="Q22" i="285"/>
  <c r="O22" i="285"/>
  <c r="P22" i="285"/>
  <c r="N22" i="285"/>
  <c r="Q24" i="285"/>
  <c r="O24" i="285"/>
  <c r="P24" i="285"/>
  <c r="N24" i="285"/>
  <c r="Q26" i="285"/>
  <c r="O26" i="285"/>
  <c r="P26" i="285"/>
  <c r="N26" i="285"/>
  <c r="Q28" i="285"/>
  <c r="O28" i="285"/>
  <c r="P28" i="285"/>
  <c r="N28" i="285"/>
  <c r="Q30" i="285"/>
  <c r="O30" i="285"/>
  <c r="P30" i="285"/>
  <c r="N30" i="285"/>
  <c r="Q32" i="285"/>
  <c r="O32" i="285"/>
  <c r="P32" i="285"/>
  <c r="N32" i="285"/>
  <c r="T4" i="285"/>
  <c r="R4" i="285"/>
  <c r="S4" i="285"/>
  <c r="U4" i="285"/>
  <c r="T6" i="285"/>
  <c r="R6" i="285"/>
  <c r="S6" i="285"/>
  <c r="U6" i="285"/>
  <c r="T8" i="285"/>
  <c r="R8" i="285"/>
  <c r="U8" i="285"/>
  <c r="S8" i="285"/>
  <c r="T10" i="285"/>
  <c r="R10" i="285"/>
  <c r="U10" i="285"/>
  <c r="S10" i="285"/>
  <c r="T12" i="285"/>
  <c r="R12" i="285"/>
  <c r="S12" i="285"/>
  <c r="U12" i="285"/>
  <c r="U14" i="285"/>
  <c r="S14" i="285"/>
  <c r="T14" i="285"/>
  <c r="R14" i="285"/>
  <c r="U16" i="285"/>
  <c r="S16" i="285"/>
  <c r="T16" i="285"/>
  <c r="R16" i="285"/>
  <c r="U18" i="285"/>
  <c r="S18" i="285"/>
  <c r="T18" i="285"/>
  <c r="R18" i="285"/>
  <c r="U20" i="285"/>
  <c r="S20" i="285"/>
  <c r="T20" i="285"/>
  <c r="R20" i="285"/>
  <c r="U22" i="285"/>
  <c r="S22" i="285"/>
  <c r="T22" i="285"/>
  <c r="R22" i="285"/>
  <c r="U24" i="285"/>
  <c r="S24" i="285"/>
  <c r="T24" i="285"/>
  <c r="R24" i="285"/>
  <c r="U26" i="285"/>
  <c r="S26" i="285"/>
  <c r="T26" i="285"/>
  <c r="R26" i="285"/>
  <c r="U28" i="285"/>
  <c r="S28" i="285"/>
  <c r="T28" i="285"/>
  <c r="R28" i="285"/>
  <c r="U30" i="285"/>
  <c r="S30" i="285"/>
  <c r="T30" i="285"/>
  <c r="R30" i="285"/>
  <c r="U32" i="285"/>
  <c r="S32" i="285"/>
  <c r="T32" i="285"/>
  <c r="R32" i="285"/>
  <c r="X4" i="285"/>
  <c r="V4" i="285"/>
  <c r="W4" i="285"/>
  <c r="Y4" i="285"/>
  <c r="X6" i="285"/>
  <c r="V6" i="285"/>
  <c r="W6" i="285"/>
  <c r="Y6" i="285"/>
  <c r="X8" i="285"/>
  <c r="V8" i="285"/>
  <c r="Y8" i="285"/>
  <c r="W8" i="285"/>
  <c r="X10" i="285"/>
  <c r="V10" i="285"/>
  <c r="Y10" i="285"/>
  <c r="W10" i="285"/>
  <c r="X12" i="285"/>
  <c r="V12" i="285"/>
  <c r="W12" i="285"/>
  <c r="Y12" i="285"/>
  <c r="Y14" i="285"/>
  <c r="W14" i="285"/>
  <c r="X14" i="285"/>
  <c r="V14" i="285"/>
  <c r="Y16" i="285"/>
  <c r="W16" i="285"/>
  <c r="X16" i="285"/>
  <c r="V16" i="285"/>
  <c r="Y18" i="285"/>
  <c r="W18" i="285"/>
  <c r="X18" i="285"/>
  <c r="V18" i="285"/>
  <c r="Y20" i="285"/>
  <c r="W20" i="285"/>
  <c r="X20" i="285"/>
  <c r="V20" i="285"/>
  <c r="Y22" i="285"/>
  <c r="W22" i="285"/>
  <c r="X22" i="285"/>
  <c r="V22" i="285"/>
  <c r="Y24" i="285"/>
  <c r="W24" i="285"/>
  <c r="X24" i="285"/>
  <c r="V24" i="285"/>
  <c r="Y26" i="285"/>
  <c r="W26" i="285"/>
  <c r="X26" i="285"/>
  <c r="V26" i="285"/>
  <c r="Y28" i="285"/>
  <c r="W28" i="285"/>
  <c r="X28" i="285"/>
  <c r="V28" i="285"/>
  <c r="Y30" i="285"/>
  <c r="W30" i="285"/>
  <c r="X30" i="285"/>
  <c r="V30" i="285"/>
  <c r="Y32" i="285"/>
  <c r="W32" i="285"/>
  <c r="X32" i="285"/>
  <c r="V32" i="285"/>
  <c r="AB4" i="285"/>
  <c r="Z4" i="285"/>
  <c r="AA4" i="285"/>
  <c r="AC4" i="285"/>
  <c r="AB6" i="285"/>
  <c r="Z6" i="285"/>
  <c r="AA6" i="285"/>
  <c r="AC6" i="285"/>
  <c r="AB8" i="285"/>
  <c r="Z8" i="285"/>
  <c r="AC8" i="285"/>
  <c r="AA8" i="285"/>
  <c r="AB10" i="285"/>
  <c r="Z10" i="285"/>
  <c r="AC10" i="285"/>
  <c r="AA10" i="285"/>
  <c r="AB12" i="285"/>
  <c r="Z12" i="285"/>
  <c r="AA12" i="285"/>
  <c r="AC12" i="285"/>
  <c r="AC14" i="285"/>
  <c r="AA14" i="285"/>
  <c r="AB14" i="285"/>
  <c r="Z14" i="285"/>
  <c r="AC16" i="285"/>
  <c r="AA16" i="285"/>
  <c r="AB16" i="285"/>
  <c r="Z16" i="285"/>
  <c r="AC18" i="285"/>
  <c r="AA18" i="285"/>
  <c r="AB18" i="285"/>
  <c r="Z18" i="285"/>
  <c r="AC20" i="285"/>
  <c r="AA20" i="285"/>
  <c r="AB20" i="285"/>
  <c r="Z20" i="285"/>
  <c r="AC22" i="285"/>
  <c r="AA22" i="285"/>
  <c r="AB22" i="285"/>
  <c r="Z22" i="285"/>
  <c r="AC24" i="285"/>
  <c r="AA24" i="285"/>
  <c r="AB24" i="285"/>
  <c r="Z24" i="285"/>
  <c r="AC26" i="285"/>
  <c r="AA26" i="285"/>
  <c r="AB26" i="285"/>
  <c r="Z26" i="285"/>
  <c r="AC28" i="285"/>
  <c r="AA28" i="285"/>
  <c r="AB28" i="285"/>
  <c r="Z28" i="285"/>
  <c r="AC30" i="285"/>
  <c r="AA30" i="285"/>
  <c r="AB30" i="285"/>
  <c r="Z30" i="285"/>
  <c r="AC32" i="285"/>
  <c r="AA32" i="285"/>
  <c r="AB32" i="285"/>
  <c r="Z32" i="285"/>
  <c r="AF4" i="285"/>
  <c r="AD4" i="285"/>
  <c r="AE4" i="285"/>
  <c r="AG4" i="285"/>
  <c r="AF6" i="285"/>
  <c r="AD6" i="285"/>
  <c r="AE6" i="285"/>
  <c r="AG6" i="285"/>
  <c r="AF8" i="285"/>
  <c r="AD8" i="285"/>
  <c r="AG8" i="285"/>
  <c r="AE8" i="285"/>
  <c r="AF10" i="285"/>
  <c r="AD10" i="285"/>
  <c r="AG10" i="285"/>
  <c r="AE10" i="285"/>
  <c r="AF12" i="285"/>
  <c r="AD12" i="285"/>
  <c r="AE12" i="285"/>
  <c r="AG12" i="285"/>
  <c r="AG14" i="285"/>
  <c r="AE14" i="285"/>
  <c r="AF14" i="285"/>
  <c r="AD14" i="285"/>
  <c r="AG16" i="285"/>
  <c r="AE16" i="285"/>
  <c r="AF16" i="285"/>
  <c r="AD16" i="285"/>
  <c r="AG18" i="285"/>
  <c r="AE18" i="285"/>
  <c r="AF18" i="285"/>
  <c r="AD18" i="285"/>
  <c r="AG20" i="285"/>
  <c r="AE20" i="285"/>
  <c r="AF20" i="285"/>
  <c r="AD20" i="285"/>
  <c r="AG22" i="285"/>
  <c r="AE22" i="285"/>
  <c r="AF22" i="285"/>
  <c r="AD22" i="285"/>
  <c r="AG24" i="285"/>
  <c r="AE24" i="285"/>
  <c r="AF24" i="285"/>
  <c r="AD24" i="285"/>
  <c r="AG26" i="285"/>
  <c r="AE26" i="285"/>
  <c r="AF26" i="285"/>
  <c r="AD26" i="285"/>
  <c r="AG28" i="285"/>
  <c r="AE28" i="285"/>
  <c r="AF28" i="285"/>
  <c r="AD28" i="285"/>
  <c r="AG30" i="285"/>
  <c r="AE30" i="285"/>
  <c r="AF30" i="285"/>
  <c r="AD30" i="285"/>
  <c r="AG32" i="285"/>
  <c r="AE32" i="285"/>
  <c r="AF32" i="285"/>
  <c r="AD32" i="285"/>
  <c r="AJ4" i="285"/>
  <c r="AH4" i="285"/>
  <c r="AI4" i="285"/>
  <c r="AK4" i="285"/>
  <c r="AJ6" i="285"/>
  <c r="AH6" i="285"/>
  <c r="AI6" i="285"/>
  <c r="AK6" i="285"/>
  <c r="AJ8" i="285"/>
  <c r="AH8" i="285"/>
  <c r="AK8" i="285"/>
  <c r="AI8" i="285"/>
  <c r="AJ10" i="285"/>
  <c r="AH10" i="285"/>
  <c r="AK10" i="285"/>
  <c r="AI10" i="285"/>
  <c r="AJ12" i="285"/>
  <c r="AH12" i="285"/>
  <c r="AI12" i="285"/>
  <c r="AK12" i="285"/>
  <c r="AK14" i="285"/>
  <c r="AI14" i="285"/>
  <c r="AJ14" i="285"/>
  <c r="AH14" i="285"/>
  <c r="AK16" i="285"/>
  <c r="AI16" i="285"/>
  <c r="AJ16" i="285"/>
  <c r="AH16" i="285"/>
  <c r="AK18" i="285"/>
  <c r="AI18" i="285"/>
  <c r="AJ18" i="285"/>
  <c r="AH18" i="285"/>
  <c r="AK20" i="285"/>
  <c r="AI20" i="285"/>
  <c r="AJ20" i="285"/>
  <c r="AH20" i="285"/>
  <c r="AK22" i="285"/>
  <c r="AI22" i="285"/>
  <c r="AJ22" i="285"/>
  <c r="AH22" i="285"/>
  <c r="AK24" i="285"/>
  <c r="AI24" i="285"/>
  <c r="AJ24" i="285"/>
  <c r="AH24" i="285"/>
  <c r="AK26" i="285"/>
  <c r="AI26" i="285"/>
  <c r="AJ26" i="285"/>
  <c r="AH26" i="285"/>
  <c r="AK28" i="285"/>
  <c r="AI28" i="285"/>
  <c r="AJ28" i="285"/>
  <c r="AH28" i="285"/>
  <c r="AK30" i="285"/>
  <c r="AI30" i="285"/>
  <c r="AJ30" i="285"/>
  <c r="AH30" i="285"/>
  <c r="AK32" i="285"/>
  <c r="AI32" i="285"/>
  <c r="AJ32" i="285"/>
  <c r="AH32" i="285"/>
  <c r="AN4" i="285"/>
  <c r="AL4" i="285"/>
  <c r="AM4" i="285"/>
  <c r="AO4" i="285"/>
  <c r="AN6" i="285"/>
  <c r="AL6" i="285"/>
  <c r="AM6" i="285"/>
  <c r="AO6" i="285"/>
  <c r="AN8" i="285"/>
  <c r="AL8" i="285"/>
  <c r="AO8" i="285"/>
  <c r="AM8" i="285"/>
  <c r="AN10" i="285"/>
  <c r="AL10" i="285"/>
  <c r="AO10" i="285"/>
  <c r="AM10" i="285"/>
  <c r="AN12" i="285"/>
  <c r="AL12" i="285"/>
  <c r="AM12" i="285"/>
  <c r="AO12" i="285"/>
  <c r="AO14" i="285"/>
  <c r="AM14" i="285"/>
  <c r="AN14" i="285"/>
  <c r="AL14" i="285"/>
  <c r="AO16" i="285"/>
  <c r="AM16" i="285"/>
  <c r="AN16" i="285"/>
  <c r="AL16" i="285"/>
  <c r="AO18" i="285"/>
  <c r="AM18" i="285"/>
  <c r="AN18" i="285"/>
  <c r="AL18" i="285"/>
  <c r="AO20" i="285"/>
  <c r="AM20" i="285"/>
  <c r="AN20" i="285"/>
  <c r="AL20" i="285"/>
  <c r="AO22" i="285"/>
  <c r="AM22" i="285"/>
  <c r="AN22" i="285"/>
  <c r="AL22" i="285"/>
  <c r="AO24" i="285"/>
  <c r="AM24" i="285"/>
  <c r="AN24" i="285"/>
  <c r="AL24" i="285"/>
  <c r="AO26" i="285"/>
  <c r="AM26" i="285"/>
  <c r="AN26" i="285"/>
  <c r="AL26" i="285"/>
  <c r="AO28" i="285"/>
  <c r="AM28" i="285"/>
  <c r="AN28" i="285"/>
  <c r="AL28" i="285"/>
  <c r="AO30" i="285"/>
  <c r="AM30" i="285"/>
  <c r="AN30" i="285"/>
  <c r="AL30" i="285"/>
  <c r="AO32" i="285"/>
  <c r="AM32" i="285"/>
  <c r="AN32" i="285"/>
  <c r="AL32" i="285"/>
  <c r="AR4" i="285"/>
  <c r="AP4" i="285"/>
  <c r="AQ4" i="285"/>
  <c r="AS4" i="285"/>
  <c r="AR6" i="285"/>
  <c r="AP6" i="285"/>
  <c r="AQ6" i="285"/>
  <c r="AS6" i="285"/>
  <c r="AR8" i="285"/>
  <c r="AP8" i="285"/>
  <c r="AS8" i="285"/>
  <c r="AQ8" i="285"/>
  <c r="AR10" i="285"/>
  <c r="AP10" i="285"/>
  <c r="AS10" i="285"/>
  <c r="AQ10" i="285"/>
  <c r="AR12" i="285"/>
  <c r="AP12" i="285"/>
  <c r="AQ12" i="285"/>
  <c r="AS12" i="285"/>
  <c r="AS14" i="285"/>
  <c r="AQ14" i="285"/>
  <c r="AR14" i="285"/>
  <c r="AP14" i="285"/>
  <c r="AS16" i="285"/>
  <c r="AQ16" i="285"/>
  <c r="AR16" i="285"/>
  <c r="AP16" i="285"/>
  <c r="AS18" i="285"/>
  <c r="AQ18" i="285"/>
  <c r="AR18" i="285"/>
  <c r="AP18" i="285"/>
  <c r="AS20" i="285"/>
  <c r="AQ20" i="285"/>
  <c r="AR20" i="285"/>
  <c r="AP20" i="285"/>
  <c r="AS22" i="285"/>
  <c r="AQ22" i="285"/>
  <c r="AR22" i="285"/>
  <c r="AP22" i="285"/>
  <c r="AS24" i="285"/>
  <c r="AQ24" i="285"/>
  <c r="AR24" i="285"/>
  <c r="AP24" i="285"/>
  <c r="AS26" i="285"/>
  <c r="AQ26" i="285"/>
  <c r="AR26" i="285"/>
  <c r="AP26" i="285"/>
  <c r="AS28" i="285"/>
  <c r="AQ28" i="285"/>
  <c r="AR28" i="285"/>
  <c r="AP28" i="285"/>
  <c r="AS30" i="285"/>
  <c r="AQ30" i="285"/>
  <c r="AR30" i="285"/>
  <c r="AP30" i="285"/>
  <c r="AS32" i="285"/>
  <c r="AQ32" i="285"/>
  <c r="AR32" i="285"/>
  <c r="AP32" i="285"/>
  <c r="AV4" i="285"/>
  <c r="AT4" i="285"/>
  <c r="AU4" i="285"/>
  <c r="AW4" i="285"/>
  <c r="AV6" i="285"/>
  <c r="AT6" i="285"/>
  <c r="AU6" i="285"/>
  <c r="AW6" i="285"/>
  <c r="AV8" i="285"/>
  <c r="AT8" i="285"/>
  <c r="AW8" i="285"/>
  <c r="AU8" i="285"/>
  <c r="AV10" i="285"/>
  <c r="AT10" i="285"/>
  <c r="AW10" i="285"/>
  <c r="AU10" i="285"/>
  <c r="AV12" i="285"/>
  <c r="AT12" i="285"/>
  <c r="AU12" i="285"/>
  <c r="AW12" i="285"/>
  <c r="AW14" i="285"/>
  <c r="AU14" i="285"/>
  <c r="AV14" i="285"/>
  <c r="AT14" i="285"/>
  <c r="AW16" i="285"/>
  <c r="AU16" i="285"/>
  <c r="AV16" i="285"/>
  <c r="AT16" i="285"/>
  <c r="AW18" i="285"/>
  <c r="AU18" i="285"/>
  <c r="AV18" i="285"/>
  <c r="AT18" i="285"/>
  <c r="AW20" i="285"/>
  <c r="AU20" i="285"/>
  <c r="AV20" i="285"/>
  <c r="AT20" i="285"/>
  <c r="AW22" i="285"/>
  <c r="AU22" i="285"/>
  <c r="AV22" i="285"/>
  <c r="AT22" i="285"/>
  <c r="AW24" i="285"/>
  <c r="AU24" i="285"/>
  <c r="AV24" i="285"/>
  <c r="AT24" i="285"/>
  <c r="AW26" i="285"/>
  <c r="AU26" i="285"/>
  <c r="AV26" i="285"/>
  <c r="AT26" i="285"/>
  <c r="AW28" i="285"/>
  <c r="AU28" i="285"/>
  <c r="AV28" i="285"/>
  <c r="AT28" i="285"/>
  <c r="AW30" i="285"/>
  <c r="AU30" i="285"/>
  <c r="AV30" i="285"/>
  <c r="AT30" i="285"/>
  <c r="AW32" i="285"/>
  <c r="AU32" i="285"/>
  <c r="AV32" i="285"/>
  <c r="AT32" i="285"/>
  <c r="AZ4" i="285"/>
  <c r="AX4" i="285"/>
  <c r="AY4" i="285"/>
  <c r="BA4" i="285"/>
  <c r="AZ6" i="285"/>
  <c r="AX6" i="285"/>
  <c r="AY6" i="285"/>
  <c r="BA6" i="285"/>
  <c r="AZ8" i="285"/>
  <c r="AX8" i="285"/>
  <c r="BA8" i="285"/>
  <c r="AY8" i="285"/>
  <c r="AZ10" i="285"/>
  <c r="AX10" i="285"/>
  <c r="BA10" i="285"/>
  <c r="AY10" i="285"/>
  <c r="AZ12" i="285"/>
  <c r="AX12" i="285"/>
  <c r="AY12" i="285"/>
  <c r="BA12" i="285"/>
  <c r="BA14" i="285"/>
  <c r="AY14" i="285"/>
  <c r="AZ14" i="285"/>
  <c r="AX14" i="285"/>
  <c r="BA16" i="285"/>
  <c r="AY16" i="285"/>
  <c r="AZ16" i="285"/>
  <c r="AX16" i="285"/>
  <c r="BA18" i="285"/>
  <c r="AY18" i="285"/>
  <c r="AZ18" i="285"/>
  <c r="AX18" i="285"/>
  <c r="BA20" i="285"/>
  <c r="AY20" i="285"/>
  <c r="AZ20" i="285"/>
  <c r="AX20" i="285"/>
  <c r="BA22" i="285"/>
  <c r="AY22" i="285"/>
  <c r="AZ22" i="285"/>
  <c r="AX22" i="285"/>
  <c r="BA24" i="285"/>
  <c r="AY24" i="285"/>
  <c r="AZ24" i="285"/>
  <c r="AX24" i="285"/>
  <c r="BA26" i="285"/>
  <c r="AY26" i="285"/>
  <c r="AZ26" i="285"/>
  <c r="AX26" i="285"/>
  <c r="BA28" i="285"/>
  <c r="AY28" i="285"/>
  <c r="AZ28" i="285"/>
  <c r="AX28" i="285"/>
  <c r="BA30" i="285"/>
  <c r="AY30" i="285"/>
  <c r="AZ30" i="285"/>
  <c r="AX30" i="285"/>
  <c r="BA32" i="285"/>
  <c r="AY32" i="285"/>
  <c r="AZ32" i="285"/>
  <c r="AX32" i="285"/>
  <c r="BE3" i="285"/>
  <c r="BC3" i="285"/>
  <c r="BD3" i="285"/>
  <c r="BB3" i="285"/>
  <c r="BE5" i="285"/>
  <c r="BC5" i="285"/>
  <c r="BD5" i="285"/>
  <c r="BB5" i="285"/>
  <c r="BE7" i="285"/>
  <c r="BC7" i="285"/>
  <c r="BD7" i="285"/>
  <c r="BB7" i="285"/>
  <c r="BE9" i="285"/>
  <c r="BC9" i="285"/>
  <c r="BD9" i="285"/>
  <c r="BB9" i="285"/>
  <c r="BE11" i="285"/>
  <c r="BC11" i="285"/>
  <c r="BD11" i="285"/>
  <c r="BB11" i="285"/>
  <c r="BD13" i="285"/>
  <c r="BB13" i="285"/>
  <c r="BE13" i="285"/>
  <c r="BC13" i="285"/>
  <c r="BD15" i="285"/>
  <c r="BB15" i="285"/>
  <c r="BE15" i="285"/>
  <c r="BC15" i="285"/>
  <c r="BD17" i="285"/>
  <c r="BB17" i="285"/>
  <c r="BE17" i="285"/>
  <c r="BC17" i="285"/>
  <c r="BD19" i="285"/>
  <c r="BB19" i="285"/>
  <c r="BE19" i="285"/>
  <c r="BC19" i="285"/>
  <c r="BD21" i="285"/>
  <c r="BB21" i="285"/>
  <c r="BE21" i="285"/>
  <c r="BC21" i="285"/>
  <c r="BD23" i="285"/>
  <c r="BB23" i="285"/>
  <c r="BE23" i="285"/>
  <c r="BC23" i="285"/>
  <c r="BD25" i="285"/>
  <c r="BB25" i="285"/>
  <c r="BE25" i="285"/>
  <c r="BC25" i="285"/>
  <c r="BD27" i="285"/>
  <c r="BB27" i="285"/>
  <c r="BE27" i="285"/>
  <c r="BC27" i="285"/>
  <c r="BD29" i="285"/>
  <c r="BB29" i="285"/>
  <c r="BE29" i="285"/>
  <c r="BC29" i="285"/>
  <c r="BD31" i="285"/>
  <c r="BB31" i="285"/>
  <c r="BE31" i="285"/>
  <c r="BC31" i="285"/>
  <c r="BI3" i="285"/>
  <c r="BG3" i="285"/>
  <c r="BH3" i="285"/>
  <c r="BF3" i="285"/>
  <c r="BI5" i="285"/>
  <c r="BG5" i="285"/>
  <c r="BH5" i="285"/>
  <c r="BF5" i="285"/>
  <c r="BI7" i="285"/>
  <c r="BG7" i="285"/>
  <c r="BH7" i="285"/>
  <c r="BF7" i="285"/>
  <c r="BI9" i="285"/>
  <c r="BG9" i="285"/>
  <c r="BH9" i="285"/>
  <c r="BF9" i="285"/>
  <c r="BI11" i="285"/>
  <c r="BG11" i="285"/>
  <c r="BH11" i="285"/>
  <c r="BF11" i="285"/>
  <c r="BH13" i="285"/>
  <c r="BF13" i="285"/>
  <c r="BI13" i="285"/>
  <c r="BG13" i="285"/>
  <c r="BH15" i="285"/>
  <c r="BF15" i="285"/>
  <c r="BI15" i="285"/>
  <c r="BG15" i="285"/>
  <c r="BH17" i="285"/>
  <c r="BF17" i="285"/>
  <c r="BI17" i="285"/>
  <c r="BG17" i="285"/>
  <c r="BH19" i="285"/>
  <c r="BF19" i="285"/>
  <c r="BI19" i="285"/>
  <c r="BG19" i="285"/>
  <c r="BH21" i="285"/>
  <c r="BF21" i="285"/>
  <c r="BI21" i="285"/>
  <c r="BG21" i="285"/>
  <c r="BH23" i="285"/>
  <c r="BF23" i="285"/>
  <c r="BI23" i="285"/>
  <c r="BG23" i="285"/>
  <c r="BH25" i="285"/>
  <c r="BF25" i="285"/>
  <c r="BI25" i="285"/>
  <c r="BG25" i="285"/>
  <c r="BH27" i="285"/>
  <c r="BF27" i="285"/>
  <c r="BI27" i="285"/>
  <c r="BG27" i="285"/>
  <c r="BH29" i="285"/>
  <c r="BF29" i="285"/>
  <c r="BI29" i="285"/>
  <c r="BG29" i="285"/>
  <c r="BH31" i="285"/>
  <c r="BF31" i="285"/>
  <c r="BI31" i="285"/>
  <c r="BG31" i="285"/>
  <c r="BM3" i="285"/>
  <c r="BK3" i="285"/>
  <c r="BL3" i="285"/>
  <c r="BJ3" i="285"/>
  <c r="BM5" i="285"/>
  <c r="BK5" i="285"/>
  <c r="BL5" i="285"/>
  <c r="BJ5" i="285"/>
  <c r="BM7" i="285"/>
  <c r="BK7" i="285"/>
  <c r="BL7" i="285"/>
  <c r="BJ7" i="285"/>
  <c r="BM9" i="285"/>
  <c r="BK9" i="285"/>
  <c r="BL9" i="285"/>
  <c r="BJ9" i="285"/>
  <c r="BM11" i="285"/>
  <c r="BK11" i="285"/>
  <c r="BL11" i="285"/>
  <c r="BJ11" i="285"/>
  <c r="BL13" i="285"/>
  <c r="BJ13" i="285"/>
  <c r="BM13" i="285"/>
  <c r="BK13" i="285"/>
  <c r="BL15" i="285"/>
  <c r="BJ15" i="285"/>
  <c r="BM15" i="285"/>
  <c r="BK15" i="285"/>
  <c r="BL17" i="285"/>
  <c r="BJ17" i="285"/>
  <c r="BM17" i="285"/>
  <c r="BK17" i="285"/>
  <c r="BL19" i="285"/>
  <c r="BJ19" i="285"/>
  <c r="BM19" i="285"/>
  <c r="BK19" i="285"/>
  <c r="BL21" i="285"/>
  <c r="BJ21" i="285"/>
  <c r="BM21" i="285"/>
  <c r="BK21" i="285"/>
  <c r="BL23" i="285"/>
  <c r="BJ23" i="285"/>
  <c r="BM23" i="285"/>
  <c r="BK23" i="285"/>
  <c r="BL25" i="285"/>
  <c r="BJ25" i="285"/>
  <c r="BM25" i="285"/>
  <c r="BK25" i="285"/>
  <c r="BL27" i="285"/>
  <c r="BJ27" i="285"/>
  <c r="BM27" i="285"/>
  <c r="BK27" i="285"/>
  <c r="BL29" i="285"/>
  <c r="BJ29" i="285"/>
  <c r="BM29" i="285"/>
  <c r="BK29" i="285"/>
  <c r="BL31" i="285"/>
  <c r="BJ31" i="285"/>
  <c r="BM31" i="285"/>
  <c r="BK31" i="285"/>
  <c r="BQ3" i="285"/>
  <c r="BO3" i="285"/>
  <c r="BP3" i="285"/>
  <c r="BN3" i="285"/>
  <c r="BQ5" i="285"/>
  <c r="BO5" i="285"/>
  <c r="BP5" i="285"/>
  <c r="BN5" i="285"/>
  <c r="BQ7" i="285"/>
  <c r="BO7" i="285"/>
  <c r="BP7" i="285"/>
  <c r="BN7" i="285"/>
  <c r="BQ9" i="285"/>
  <c r="BO9" i="285"/>
  <c r="BP9" i="285"/>
  <c r="BN9" i="285"/>
  <c r="BQ11" i="285"/>
  <c r="BO11" i="285"/>
  <c r="BP11" i="285"/>
  <c r="BN11" i="285"/>
  <c r="BP13" i="285"/>
  <c r="BN13" i="285"/>
  <c r="BQ13" i="285"/>
  <c r="BO13" i="285"/>
  <c r="BP15" i="285"/>
  <c r="BN15" i="285"/>
  <c r="BQ15" i="285"/>
  <c r="BO15" i="285"/>
  <c r="BP17" i="285"/>
  <c r="BN17" i="285"/>
  <c r="BQ17" i="285"/>
  <c r="BO17" i="285"/>
  <c r="BP19" i="285"/>
  <c r="BN19" i="285"/>
  <c r="BQ19" i="285"/>
  <c r="BO19" i="285"/>
  <c r="BP21" i="285"/>
  <c r="BN21" i="285"/>
  <c r="BQ21" i="285"/>
  <c r="BO21" i="285"/>
  <c r="BP23" i="285"/>
  <c r="BN23" i="285"/>
  <c r="BQ23" i="285"/>
  <c r="BO23" i="285"/>
  <c r="BP25" i="285"/>
  <c r="BN25" i="285"/>
  <c r="BQ25" i="285"/>
  <c r="BO25" i="285"/>
  <c r="BP27" i="285"/>
  <c r="BN27" i="285"/>
  <c r="BQ27" i="285"/>
  <c r="BO27" i="285"/>
  <c r="BP29" i="285"/>
  <c r="BN29" i="285"/>
  <c r="BQ29" i="285"/>
  <c r="BO29" i="285"/>
  <c r="BP31" i="285"/>
  <c r="BN31" i="285"/>
  <c r="BQ31" i="285"/>
  <c r="BO31" i="285"/>
  <c r="BU3" i="285"/>
  <c r="BS3" i="285"/>
  <c r="BT3" i="285"/>
  <c r="BR3" i="285"/>
  <c r="BU5" i="285"/>
  <c r="BS5" i="285"/>
  <c r="BT5" i="285"/>
  <c r="BR5" i="285"/>
  <c r="BU7" i="285"/>
  <c r="BS7" i="285"/>
  <c r="BT7" i="285"/>
  <c r="BR7" i="285"/>
  <c r="BU9" i="285"/>
  <c r="BS9" i="285"/>
  <c r="BT9" i="285"/>
  <c r="BR9" i="285"/>
  <c r="BU11" i="285"/>
  <c r="BS11" i="285"/>
  <c r="BT11" i="285"/>
  <c r="BR11" i="285"/>
  <c r="BT13" i="285"/>
  <c r="BR13" i="285"/>
  <c r="BU13" i="285"/>
  <c r="BS13" i="285"/>
  <c r="BT15" i="285"/>
  <c r="BR15" i="285"/>
  <c r="BU15" i="285"/>
  <c r="BS15" i="285"/>
  <c r="BT17" i="285"/>
  <c r="BR17" i="285"/>
  <c r="BU17" i="285"/>
  <c r="BS17" i="285"/>
  <c r="BT19" i="285"/>
  <c r="BR19" i="285"/>
  <c r="BU19" i="285"/>
  <c r="BS19" i="285"/>
  <c r="BT21" i="285"/>
  <c r="BR21" i="285"/>
  <c r="BU21" i="285"/>
  <c r="BS21" i="285"/>
  <c r="BT23" i="285"/>
  <c r="BR23" i="285"/>
  <c r="BU23" i="285"/>
  <c r="BS23" i="285"/>
  <c r="BT25" i="285"/>
  <c r="BR25" i="285"/>
  <c r="BU25" i="285"/>
  <c r="BS25" i="285"/>
  <c r="BT27" i="285"/>
  <c r="BR27" i="285"/>
  <c r="BU27" i="285"/>
  <c r="BS27" i="285"/>
  <c r="BT29" i="285"/>
  <c r="BR29" i="285"/>
  <c r="BU29" i="285"/>
  <c r="BS29" i="285"/>
  <c r="BT31" i="285"/>
  <c r="BR31" i="285"/>
  <c r="BU31" i="285"/>
  <c r="BS31" i="285"/>
  <c r="BY3" i="285"/>
  <c r="BW3" i="285"/>
  <c r="BX3" i="285"/>
  <c r="BV3" i="285"/>
  <c r="BY5" i="285"/>
  <c r="BW5" i="285"/>
  <c r="BX5" i="285"/>
  <c r="BV5" i="285"/>
  <c r="BY7" i="285"/>
  <c r="BW7" i="285"/>
  <c r="BX7" i="285"/>
  <c r="BV7" i="285"/>
  <c r="BY9" i="285"/>
  <c r="BW9" i="285"/>
  <c r="BX9" i="285"/>
  <c r="BV9" i="285"/>
  <c r="BY11" i="285"/>
  <c r="BW11" i="285"/>
  <c r="BX11" i="285"/>
  <c r="BV11" i="285"/>
  <c r="BX13" i="285"/>
  <c r="BV13" i="285"/>
  <c r="BY13" i="285"/>
  <c r="BW13" i="285"/>
  <c r="BX15" i="285"/>
  <c r="BV15" i="285"/>
  <c r="BY15" i="285"/>
  <c r="BW15" i="285"/>
  <c r="BX17" i="285"/>
  <c r="BV17" i="285"/>
  <c r="BY17" i="285"/>
  <c r="BW17" i="285"/>
  <c r="BX19" i="285"/>
  <c r="BV19" i="285"/>
  <c r="BY19" i="285"/>
  <c r="BW19" i="285"/>
  <c r="BX21" i="285"/>
  <c r="BV21" i="285"/>
  <c r="BY21" i="285"/>
  <c r="BW21" i="285"/>
  <c r="BX23" i="285"/>
  <c r="BV23" i="285"/>
  <c r="BY23" i="285"/>
  <c r="BW23" i="285"/>
  <c r="BX25" i="285"/>
  <c r="BV25" i="285"/>
  <c r="BY25" i="285"/>
  <c r="BW25" i="285"/>
  <c r="BX27" i="285"/>
  <c r="BV27" i="285"/>
  <c r="BY27" i="285"/>
  <c r="BW27" i="285"/>
  <c r="BX29" i="285"/>
  <c r="BV29" i="285"/>
  <c r="BY29" i="285"/>
  <c r="BW29" i="285"/>
  <c r="BX31" i="285"/>
  <c r="BV31" i="285"/>
  <c r="BY31" i="285"/>
  <c r="BW31" i="285"/>
  <c r="CC3" i="285"/>
  <c r="CA3" i="285"/>
  <c r="CB3" i="285"/>
  <c r="BZ3" i="285"/>
  <c r="CC5" i="285"/>
  <c r="CA5" i="285"/>
  <c r="CB5" i="285"/>
  <c r="BZ5" i="285"/>
  <c r="CC7" i="285"/>
  <c r="CA7" i="285"/>
  <c r="CB7" i="285"/>
  <c r="BZ7" i="285"/>
  <c r="CC9" i="285"/>
  <c r="CA9" i="285"/>
  <c r="CB9" i="285"/>
  <c r="BZ9" i="285"/>
  <c r="CC11" i="285"/>
  <c r="CA11" i="285"/>
  <c r="CB11" i="285"/>
  <c r="BZ11" i="285"/>
  <c r="CB13" i="285"/>
  <c r="BZ13" i="285"/>
  <c r="CC13" i="285"/>
  <c r="CA13" i="285"/>
  <c r="CB15" i="285"/>
  <c r="BZ15" i="285"/>
  <c r="CC15" i="285"/>
  <c r="CA15" i="285"/>
  <c r="CB17" i="285"/>
  <c r="BZ17" i="285"/>
  <c r="CC17" i="285"/>
  <c r="CA17" i="285"/>
  <c r="CB19" i="285"/>
  <c r="BZ19" i="285"/>
  <c r="CC19" i="285"/>
  <c r="CA19" i="285"/>
  <c r="CB21" i="285"/>
  <c r="BZ21" i="285"/>
  <c r="CC21" i="285"/>
  <c r="CA21" i="285"/>
  <c r="CB23" i="285"/>
  <c r="BZ23" i="285"/>
  <c r="CC23" i="285"/>
  <c r="CA23" i="285"/>
  <c r="CB25" i="285"/>
  <c r="BZ25" i="285"/>
  <c r="CC25" i="285"/>
  <c r="CA25" i="285"/>
  <c r="CB27" i="285"/>
  <c r="BZ27" i="285"/>
  <c r="CC27" i="285"/>
  <c r="CA27" i="285"/>
  <c r="CB29" i="285"/>
  <c r="BZ29" i="285"/>
  <c r="CC29" i="285"/>
  <c r="CA29" i="285"/>
  <c r="CB31" i="285"/>
  <c r="BZ31" i="285"/>
  <c r="CC31" i="285"/>
  <c r="CA31" i="285"/>
  <c r="CG3" i="285"/>
  <c r="CE3" i="285"/>
  <c r="CF3" i="285"/>
  <c r="CD3" i="285"/>
  <c r="CG5" i="285"/>
  <c r="CE5" i="285"/>
  <c r="CF5" i="285"/>
  <c r="CD5" i="285"/>
  <c r="CG7" i="285"/>
  <c r="CE7" i="285"/>
  <c r="CF7" i="285"/>
  <c r="CD7" i="285"/>
  <c r="CG9" i="285"/>
  <c r="CE9" i="285"/>
  <c r="CF9" i="285"/>
  <c r="CD9" i="285"/>
  <c r="CG11" i="285"/>
  <c r="CE11" i="285"/>
  <c r="CF11" i="285"/>
  <c r="CD11" i="285"/>
  <c r="CF13" i="285"/>
  <c r="CD13" i="285"/>
  <c r="CG13" i="285"/>
  <c r="CE13" i="285"/>
  <c r="CF15" i="285"/>
  <c r="CD15" i="285"/>
  <c r="CG15" i="285"/>
  <c r="CE15" i="285"/>
  <c r="CF17" i="285"/>
  <c r="CD17" i="285"/>
  <c r="CG17" i="285"/>
  <c r="CE17" i="285"/>
  <c r="CF19" i="285"/>
  <c r="CD19" i="285"/>
  <c r="CG19" i="285"/>
  <c r="CE19" i="285"/>
  <c r="CF21" i="285"/>
  <c r="CD21" i="285"/>
  <c r="CG21" i="285"/>
  <c r="CE21" i="285"/>
  <c r="CF23" i="285"/>
  <c r="CD23" i="285"/>
  <c r="CG23" i="285"/>
  <c r="CE23" i="285"/>
  <c r="CF25" i="285"/>
  <c r="CD25" i="285"/>
  <c r="CG25" i="285"/>
  <c r="CE25" i="285"/>
  <c r="CF27" i="285"/>
  <c r="CD27" i="285"/>
  <c r="CG27" i="285"/>
  <c r="CE27" i="285"/>
  <c r="CF29" i="285"/>
  <c r="CD29" i="285"/>
  <c r="CG29" i="285"/>
  <c r="CE29" i="285"/>
  <c r="CF31" i="285"/>
  <c r="CD31" i="285"/>
  <c r="CG31" i="285"/>
  <c r="CE31" i="285"/>
  <c r="CK3" i="285"/>
  <c r="CI3" i="285"/>
  <c r="CJ3" i="285"/>
  <c r="CH3" i="285"/>
  <c r="CK5" i="285"/>
  <c r="CI5" i="285"/>
  <c r="CJ5" i="285"/>
  <c r="CH5" i="285"/>
  <c r="CK7" i="285"/>
  <c r="CI7" i="285"/>
  <c r="CJ7" i="285"/>
  <c r="CH7" i="285"/>
  <c r="CK9" i="285"/>
  <c r="CI9" i="285"/>
  <c r="CJ9" i="285"/>
  <c r="CH9" i="285"/>
  <c r="CK11" i="285"/>
  <c r="CI11" i="285"/>
  <c r="CJ11" i="285"/>
  <c r="CH11" i="285"/>
  <c r="CJ13" i="285"/>
  <c r="CH13" i="285"/>
  <c r="CK13" i="285"/>
  <c r="CI13" i="285"/>
  <c r="CJ15" i="285"/>
  <c r="CH15" i="285"/>
  <c r="CK15" i="285"/>
  <c r="CI15" i="285"/>
  <c r="CJ17" i="285"/>
  <c r="CH17" i="285"/>
  <c r="CK17" i="285"/>
  <c r="CI17" i="285"/>
  <c r="CJ19" i="285"/>
  <c r="CH19" i="285"/>
  <c r="CK19" i="285"/>
  <c r="CI19" i="285"/>
  <c r="CJ21" i="285"/>
  <c r="CH21" i="285"/>
  <c r="CK21" i="285"/>
  <c r="CI21" i="285"/>
  <c r="CJ23" i="285"/>
  <c r="CH23" i="285"/>
  <c r="CK23" i="285"/>
  <c r="CI23" i="285"/>
  <c r="CJ25" i="285"/>
  <c r="CH25" i="285"/>
  <c r="CK25" i="285"/>
  <c r="CI25" i="285"/>
  <c r="CJ27" i="285"/>
  <c r="CH27" i="285"/>
  <c r="CK27" i="285"/>
  <c r="CI27" i="285"/>
  <c r="CJ29" i="285"/>
  <c r="CH29" i="285"/>
  <c r="CK29" i="285"/>
  <c r="CI29" i="285"/>
  <c r="CJ31" i="285"/>
  <c r="CH31" i="285"/>
  <c r="CK31" i="285"/>
  <c r="CI31" i="285"/>
  <c r="CO3" i="285"/>
  <c r="CM3" i="285"/>
  <c r="CN3" i="285"/>
  <c r="CL3" i="285"/>
  <c r="CO5" i="285"/>
  <c r="CM5" i="285"/>
  <c r="CN5" i="285"/>
  <c r="CL5" i="285"/>
  <c r="CO7" i="285"/>
  <c r="CM7" i="285"/>
  <c r="CN7" i="285"/>
  <c r="CL7" i="285"/>
  <c r="CO9" i="285"/>
  <c r="CM9" i="285"/>
  <c r="CN9" i="285"/>
  <c r="CL9" i="285"/>
  <c r="CO11" i="285"/>
  <c r="CM11" i="285"/>
  <c r="CN11" i="285"/>
  <c r="CL11" i="285"/>
  <c r="CN13" i="285"/>
  <c r="CL13" i="285"/>
  <c r="CO13" i="285"/>
  <c r="CM13" i="285"/>
  <c r="CN15" i="285"/>
  <c r="CL15" i="285"/>
  <c r="CO15" i="285"/>
  <c r="CM15" i="285"/>
  <c r="CN17" i="285"/>
  <c r="CL17" i="285"/>
  <c r="CO17" i="285"/>
  <c r="CM17" i="285"/>
  <c r="CN19" i="285"/>
  <c r="CL19" i="285"/>
  <c r="CO19" i="285"/>
  <c r="CM19" i="285"/>
  <c r="CN21" i="285"/>
  <c r="CL21" i="285"/>
  <c r="CO21" i="285"/>
  <c r="CM21" i="285"/>
  <c r="CN23" i="285"/>
  <c r="CL23" i="285"/>
  <c r="CO23" i="285"/>
  <c r="CM23" i="285"/>
  <c r="CN25" i="285"/>
  <c r="CL25" i="285"/>
  <c r="CO25" i="285"/>
  <c r="CM25" i="285"/>
  <c r="CN27" i="285"/>
  <c r="CL27" i="285"/>
  <c r="CO27" i="285"/>
  <c r="CM27" i="285"/>
  <c r="CN29" i="285"/>
  <c r="CL29" i="285"/>
  <c r="CO29" i="285"/>
  <c r="CM29" i="285"/>
  <c r="CN31" i="285"/>
  <c r="CL31" i="285"/>
  <c r="CO31" i="285"/>
  <c r="CM31" i="285"/>
  <c r="CS3" i="285"/>
  <c r="CQ3" i="285"/>
  <c r="CR3" i="285"/>
  <c r="CP3" i="285"/>
  <c r="CS5" i="285"/>
  <c r="CQ5" i="285"/>
  <c r="CR5" i="285"/>
  <c r="CP5" i="285"/>
  <c r="CS7" i="285"/>
  <c r="CQ7" i="285"/>
  <c r="CR7" i="285"/>
  <c r="CP7" i="285"/>
  <c r="CS9" i="285"/>
  <c r="CQ9" i="285"/>
  <c r="CR9" i="285"/>
  <c r="CP9" i="285"/>
  <c r="CS11" i="285"/>
  <c r="CQ11" i="285"/>
  <c r="CR11" i="285"/>
  <c r="CP11" i="285"/>
  <c r="CR13" i="285"/>
  <c r="CP13" i="285"/>
  <c r="CS13" i="285"/>
  <c r="CQ13" i="285"/>
  <c r="CR15" i="285"/>
  <c r="CP15" i="285"/>
  <c r="CS15" i="285"/>
  <c r="CQ15" i="285"/>
  <c r="CR17" i="285"/>
  <c r="CP17" i="285"/>
  <c r="CS17" i="285"/>
  <c r="CQ17" i="285"/>
  <c r="CR19" i="285"/>
  <c r="CP19" i="285"/>
  <c r="CS19" i="285"/>
  <c r="CQ19" i="285"/>
  <c r="CR21" i="285"/>
  <c r="CP21" i="285"/>
  <c r="CS21" i="285"/>
  <c r="CQ21" i="285"/>
  <c r="CR23" i="285"/>
  <c r="CP23" i="285"/>
  <c r="CS23" i="285"/>
  <c r="CQ23" i="285"/>
  <c r="CR25" i="285"/>
  <c r="CP25" i="285"/>
  <c r="CS25" i="285"/>
  <c r="CQ25" i="285"/>
  <c r="CR27" i="285"/>
  <c r="CP27" i="285"/>
  <c r="CS27" i="285"/>
  <c r="CQ27" i="285"/>
  <c r="CR29" i="285"/>
  <c r="CP29" i="285"/>
  <c r="CS29" i="285"/>
  <c r="CQ29" i="285"/>
  <c r="CR31" i="285"/>
  <c r="CP31" i="285"/>
  <c r="CS31" i="285"/>
  <c r="CQ31" i="285"/>
  <c r="CW3" i="285"/>
  <c r="CU3" i="285"/>
  <c r="CV3" i="285"/>
  <c r="CT3" i="285"/>
  <c r="CW5" i="285"/>
  <c r="CU5" i="285"/>
  <c r="CV5" i="285"/>
  <c r="CT5" i="285"/>
  <c r="CW7" i="285"/>
  <c r="CU7" i="285"/>
  <c r="CV7" i="285"/>
  <c r="CT7" i="285"/>
  <c r="CW9" i="285"/>
  <c r="CU9" i="285"/>
  <c r="CV9" i="285"/>
  <c r="CT9" i="285"/>
  <c r="CW11" i="285"/>
  <c r="CU11" i="285"/>
  <c r="CV11" i="285"/>
  <c r="CT11" i="285"/>
  <c r="CV13" i="285"/>
  <c r="CT13" i="285"/>
  <c r="CW13" i="285"/>
  <c r="CU13" i="285"/>
  <c r="CV15" i="285"/>
  <c r="CT15" i="285"/>
  <c r="CW15" i="285"/>
  <c r="CU15" i="285"/>
  <c r="CV17" i="285"/>
  <c r="CT17" i="285"/>
  <c r="CW17" i="285"/>
  <c r="CU17" i="285"/>
  <c r="CV19" i="285"/>
  <c r="CT19" i="285"/>
  <c r="CW19" i="285"/>
  <c r="CU19" i="285"/>
  <c r="CV21" i="285"/>
  <c r="CT21" i="285"/>
  <c r="CW21" i="285"/>
  <c r="CU21" i="285"/>
  <c r="CV23" i="285"/>
  <c r="CT23" i="285"/>
  <c r="CW23" i="285"/>
  <c r="CU23" i="285"/>
  <c r="CV25" i="285"/>
  <c r="CT25" i="285"/>
  <c r="CW25" i="285"/>
  <c r="CU25" i="285"/>
  <c r="CV27" i="285"/>
  <c r="CT27" i="285"/>
  <c r="CW27" i="285"/>
  <c r="CU27" i="285"/>
  <c r="CV29" i="285"/>
  <c r="CT29" i="285"/>
  <c r="CW29" i="285"/>
  <c r="CU29" i="285"/>
  <c r="CV31" i="285"/>
  <c r="CT31" i="285"/>
  <c r="CW31" i="285"/>
  <c r="CU31" i="285"/>
  <c r="DA3" i="285"/>
  <c r="CY3" i="285"/>
  <c r="CZ3" i="285"/>
  <c r="CX3" i="285"/>
  <c r="DA5" i="285"/>
  <c r="CY5" i="285"/>
  <c r="CZ5" i="285"/>
  <c r="CX5" i="285"/>
  <c r="DA7" i="285"/>
  <c r="CY7" i="285"/>
  <c r="CZ7" i="285"/>
  <c r="CX7" i="285"/>
  <c r="DA9" i="285"/>
  <c r="CY9" i="285"/>
  <c r="CZ9" i="285"/>
  <c r="CX9" i="285"/>
  <c r="DA11" i="285"/>
  <c r="CY11" i="285"/>
  <c r="CZ11" i="285"/>
  <c r="CX11" i="285"/>
  <c r="CZ13" i="285"/>
  <c r="CX13" i="285"/>
  <c r="DA13" i="285"/>
  <c r="CY13" i="285"/>
  <c r="CZ15" i="285"/>
  <c r="CX15" i="285"/>
  <c r="DA15" i="285"/>
  <c r="CY15" i="285"/>
  <c r="CZ17" i="285"/>
  <c r="CX17" i="285"/>
  <c r="DA17" i="285"/>
  <c r="CY17" i="285"/>
  <c r="CZ19" i="285"/>
  <c r="CX19" i="285"/>
  <c r="DA19" i="285"/>
  <c r="CY19" i="285"/>
  <c r="CZ21" i="285"/>
  <c r="CX21" i="285"/>
  <c r="DA21" i="285"/>
  <c r="CY21" i="285"/>
  <c r="CZ23" i="285"/>
  <c r="CX23" i="285"/>
  <c r="DA23" i="285"/>
  <c r="CY23" i="285"/>
  <c r="CZ25" i="285"/>
  <c r="CX25" i="285"/>
  <c r="DA25" i="285"/>
  <c r="CY25" i="285"/>
  <c r="CZ27" i="285"/>
  <c r="CX27" i="285"/>
  <c r="DA27" i="285"/>
  <c r="CY27" i="285"/>
  <c r="CZ29" i="285"/>
  <c r="CX29" i="285"/>
  <c r="DA29" i="285"/>
  <c r="CY29" i="285"/>
  <c r="CZ31" i="285"/>
  <c r="CX31" i="285"/>
  <c r="DA31" i="285"/>
  <c r="CY31" i="285"/>
  <c r="DE3" i="285"/>
  <c r="DC3" i="285"/>
  <c r="DD3" i="285"/>
  <c r="DB3" i="285"/>
  <c r="G112" i="279"/>
  <c r="S11" i="262" s="1"/>
  <c r="W11" i="262" s="1"/>
  <c r="DE5" i="285"/>
  <c r="DC5" i="285"/>
  <c r="DD5" i="285"/>
  <c r="DB5" i="285"/>
  <c r="DE7" i="285"/>
  <c r="DC7" i="285"/>
  <c r="DD7" i="285"/>
  <c r="DB7" i="285"/>
  <c r="K112" i="279"/>
  <c r="S15" i="262" s="1"/>
  <c r="W15" i="262" s="1"/>
  <c r="DE9" i="285"/>
  <c r="DC9" i="285"/>
  <c r="DD9" i="285"/>
  <c r="DB9" i="285"/>
  <c r="DE11" i="285"/>
  <c r="DC11" i="285"/>
  <c r="DD11" i="285"/>
  <c r="DB11" i="285"/>
  <c r="O112" i="279"/>
  <c r="S19" i="262" s="1"/>
  <c r="W19" i="262" s="1"/>
  <c r="DD13" i="285"/>
  <c r="DB13" i="285"/>
  <c r="DE13" i="285"/>
  <c r="DC13" i="285"/>
  <c r="DD15" i="285"/>
  <c r="DB15" i="285"/>
  <c r="DE15" i="285"/>
  <c r="DC15" i="285"/>
  <c r="S112" i="279"/>
  <c r="S23" i="262" s="1"/>
  <c r="W23" i="262" s="1"/>
  <c r="DD17" i="285"/>
  <c r="DB17" i="285"/>
  <c r="DE17" i="285"/>
  <c r="DC17" i="285"/>
  <c r="DD19" i="285"/>
  <c r="DB19" i="285"/>
  <c r="DE19" i="285"/>
  <c r="DC19" i="285"/>
  <c r="W112" i="279"/>
  <c r="S27" i="262" s="1"/>
  <c r="W27" i="262" s="1"/>
  <c r="DD21" i="285"/>
  <c r="DB21" i="285"/>
  <c r="DE21" i="285"/>
  <c r="DC21" i="285"/>
  <c r="DD23" i="285"/>
  <c r="DB23" i="285"/>
  <c r="DE23" i="285"/>
  <c r="DC23" i="285"/>
  <c r="AA112" i="279"/>
  <c r="S31" i="262" s="1"/>
  <c r="W31" i="262" s="1"/>
  <c r="DD25" i="285"/>
  <c r="DB25" i="285"/>
  <c r="DE25" i="285"/>
  <c r="DC25" i="285"/>
  <c r="DD27" i="285"/>
  <c r="DB27" i="285"/>
  <c r="DE27" i="285"/>
  <c r="DC27" i="285"/>
  <c r="AE112" i="279"/>
  <c r="S35" i="262" s="1"/>
  <c r="W35" i="262" s="1"/>
  <c r="DD29" i="285"/>
  <c r="DB29" i="285"/>
  <c r="DE29" i="285"/>
  <c r="DC29" i="285"/>
  <c r="DD31" i="285"/>
  <c r="DB31" i="285"/>
  <c r="DE31" i="285"/>
  <c r="DC31" i="285"/>
  <c r="E112" i="279"/>
  <c r="S9" i="262" s="1"/>
  <c r="W9" i="262" s="1"/>
  <c r="H13" i="281" s="1"/>
  <c r="DI3" i="285"/>
  <c r="DG3" i="285"/>
  <c r="DH3" i="285"/>
  <c r="DF3" i="285"/>
  <c r="DI5" i="285"/>
  <c r="DG5" i="285"/>
  <c r="DH5" i="285"/>
  <c r="DF5" i="285"/>
  <c r="I112" i="279"/>
  <c r="S13" i="262" s="1"/>
  <c r="W13" i="262" s="1"/>
  <c r="DI7" i="285"/>
  <c r="DG7" i="285"/>
  <c r="DH7" i="285"/>
  <c r="DF7" i="285"/>
  <c r="DI9" i="285"/>
  <c r="DG9" i="285"/>
  <c r="DH9" i="285"/>
  <c r="DF9" i="285"/>
  <c r="M112" i="279"/>
  <c r="S17" i="262" s="1"/>
  <c r="W17" i="262" s="1"/>
  <c r="DI11" i="285"/>
  <c r="DG11" i="285"/>
  <c r="DH11" i="285"/>
  <c r="DF11" i="285"/>
  <c r="DH13" i="285"/>
  <c r="DF13" i="285"/>
  <c r="DI13" i="285"/>
  <c r="DG13" i="285"/>
  <c r="Q112" i="279"/>
  <c r="S21" i="262" s="1"/>
  <c r="W21" i="262" s="1"/>
  <c r="DH15" i="285"/>
  <c r="DF15" i="285"/>
  <c r="DI15" i="285"/>
  <c r="DG15" i="285"/>
  <c r="DH17" i="285"/>
  <c r="DF17" i="285"/>
  <c r="DI17" i="285"/>
  <c r="DG17" i="285"/>
  <c r="U112" i="279"/>
  <c r="S25" i="262" s="1"/>
  <c r="W25" i="262" s="1"/>
  <c r="DH19" i="285"/>
  <c r="DF19" i="285"/>
  <c r="DI19" i="285"/>
  <c r="DG19" i="285"/>
  <c r="DH21" i="285"/>
  <c r="DF21" i="285"/>
  <c r="DI21" i="285"/>
  <c r="DG21" i="285"/>
  <c r="Y112" i="279"/>
  <c r="S29" i="262" s="1"/>
  <c r="W29" i="262" s="1"/>
  <c r="DH23" i="285"/>
  <c r="DF23" i="285"/>
  <c r="DI23" i="285"/>
  <c r="DG23" i="285"/>
  <c r="DH25" i="285"/>
  <c r="DF25" i="285"/>
  <c r="DI25" i="285"/>
  <c r="DG25" i="285"/>
  <c r="AC112" i="279"/>
  <c r="S33" i="262" s="1"/>
  <c r="W33" i="262" s="1"/>
  <c r="DH27" i="285"/>
  <c r="DF27" i="285"/>
  <c r="DI27" i="285"/>
  <c r="DG27" i="285"/>
  <c r="DH29" i="285"/>
  <c r="DF29" i="285"/>
  <c r="DI29" i="285"/>
  <c r="DG29" i="285"/>
  <c r="AG112" i="279"/>
  <c r="S37" i="262" s="1"/>
  <c r="W37" i="262" s="1"/>
  <c r="DH31" i="285"/>
  <c r="DF31" i="285"/>
  <c r="DI31" i="285"/>
  <c r="DG31" i="285"/>
  <c r="DM3" i="285"/>
  <c r="DK3" i="285"/>
  <c r="DL3" i="285"/>
  <c r="DJ3" i="285"/>
  <c r="DM5" i="285"/>
  <c r="DK5" i="285"/>
  <c r="DL5" i="285"/>
  <c r="DJ5" i="285"/>
  <c r="DM7" i="285"/>
  <c r="DK7" i="285"/>
  <c r="DL7" i="285"/>
  <c r="DJ7" i="285"/>
  <c r="DM9" i="285"/>
  <c r="DK9" i="285"/>
  <c r="DL9" i="285"/>
  <c r="DJ9" i="285"/>
  <c r="DM11" i="285"/>
  <c r="DK11" i="285"/>
  <c r="DL11" i="285"/>
  <c r="DJ11" i="285"/>
  <c r="DL13" i="285"/>
  <c r="DJ13" i="285"/>
  <c r="DM13" i="285"/>
  <c r="DK13" i="285"/>
  <c r="DL15" i="285"/>
  <c r="DJ15" i="285"/>
  <c r="DM15" i="285"/>
  <c r="DK15" i="285"/>
  <c r="DL17" i="285"/>
  <c r="DJ17" i="285"/>
  <c r="DM17" i="285"/>
  <c r="DK17" i="285"/>
  <c r="DL19" i="285"/>
  <c r="DJ19" i="285"/>
  <c r="DM19" i="285"/>
  <c r="DK19" i="285"/>
  <c r="DL21" i="285"/>
  <c r="DJ21" i="285"/>
  <c r="DM21" i="285"/>
  <c r="DK21" i="285"/>
  <c r="DL23" i="285"/>
  <c r="DJ23" i="285"/>
  <c r="DM23" i="285"/>
  <c r="DK23" i="285"/>
  <c r="DL25" i="285"/>
  <c r="DJ25" i="285"/>
  <c r="DM25" i="285"/>
  <c r="DK25" i="285"/>
  <c r="DL27" i="285"/>
  <c r="DJ27" i="285"/>
  <c r="DM27" i="285"/>
  <c r="DK27" i="285"/>
  <c r="DL29" i="285"/>
  <c r="DJ29" i="285"/>
  <c r="DM29" i="285"/>
  <c r="DK29" i="285"/>
  <c r="DL31" i="285"/>
  <c r="DJ31" i="285"/>
  <c r="DM31" i="285"/>
  <c r="DK31" i="285"/>
  <c r="DQ3" i="285"/>
  <c r="DO3" i="285"/>
  <c r="DP3" i="285"/>
  <c r="DN3" i="285"/>
  <c r="DQ5" i="285"/>
  <c r="DO5" i="285"/>
  <c r="DP5" i="285"/>
  <c r="DN5" i="285"/>
  <c r="DQ7" i="285"/>
  <c r="DO7" i="285"/>
  <c r="DP7" i="285"/>
  <c r="DN7" i="285"/>
  <c r="DQ9" i="285"/>
  <c r="DO9" i="285"/>
  <c r="DP9" i="285"/>
  <c r="DN9" i="285"/>
  <c r="DQ11" i="285"/>
  <c r="DO11" i="285"/>
  <c r="DP11" i="285"/>
  <c r="DN11" i="285"/>
  <c r="DP13" i="285"/>
  <c r="DN13" i="285"/>
  <c r="DQ13" i="285"/>
  <c r="DO13" i="285"/>
  <c r="DP15" i="285"/>
  <c r="DN15" i="285"/>
  <c r="DQ15" i="285"/>
  <c r="DO15" i="285"/>
  <c r="DP17" i="285"/>
  <c r="DN17" i="285"/>
  <c r="DQ17" i="285"/>
  <c r="DO17" i="285"/>
  <c r="DP19" i="285"/>
  <c r="DN19" i="285"/>
  <c r="DQ19" i="285"/>
  <c r="DO19" i="285"/>
  <c r="DP21" i="285"/>
  <c r="DN21" i="285"/>
  <c r="DQ21" i="285"/>
  <c r="DO21" i="285"/>
  <c r="DP23" i="285"/>
  <c r="DN23" i="285"/>
  <c r="DQ23" i="285"/>
  <c r="DO23" i="285"/>
  <c r="DP25" i="285"/>
  <c r="DN25" i="285"/>
  <c r="DQ25" i="285"/>
  <c r="DO25" i="285"/>
  <c r="DP27" i="285"/>
  <c r="DN27" i="285"/>
  <c r="DQ27" i="285"/>
  <c r="DO27" i="285"/>
  <c r="DP29" i="285"/>
  <c r="DN29" i="285"/>
  <c r="DQ29" i="285"/>
  <c r="DO29" i="285"/>
  <c r="DP31" i="285"/>
  <c r="DN31" i="285"/>
  <c r="DQ31" i="285"/>
  <c r="DO31" i="285"/>
  <c r="DU3" i="285"/>
  <c r="DS3" i="285"/>
  <c r="DT3" i="285"/>
  <c r="DR3" i="285"/>
  <c r="DU5" i="285"/>
  <c r="DS5" i="285"/>
  <c r="DT5" i="285"/>
  <c r="DR5" i="285"/>
  <c r="DU7" i="285"/>
  <c r="DS7" i="285"/>
  <c r="DT7" i="285"/>
  <c r="DR7" i="285"/>
  <c r="DU9" i="285"/>
  <c r="DS9" i="285"/>
  <c r="DT9" i="285"/>
  <c r="DR9" i="285"/>
  <c r="DU11" i="285"/>
  <c r="DS11" i="285"/>
  <c r="DT11" i="285"/>
  <c r="DR11" i="285"/>
  <c r="DT13" i="285"/>
  <c r="DR13" i="285"/>
  <c r="DU13" i="285"/>
  <c r="DS13" i="285"/>
  <c r="DT15" i="285"/>
  <c r="DR15" i="285"/>
  <c r="DU15" i="285"/>
  <c r="DS15" i="285"/>
  <c r="DT17" i="285"/>
  <c r="DR17" i="285"/>
  <c r="DU17" i="285"/>
  <c r="DS17" i="285"/>
  <c r="DT19" i="285"/>
  <c r="DR19" i="285"/>
  <c r="DU19" i="285"/>
  <c r="DS19" i="285"/>
  <c r="DT21" i="285"/>
  <c r="DR21" i="285"/>
  <c r="DU21" i="285"/>
  <c r="DS21" i="285"/>
  <c r="DT23" i="285"/>
  <c r="DR23" i="285"/>
  <c r="DU23" i="285"/>
  <c r="DS23" i="285"/>
  <c r="DT25" i="285"/>
  <c r="DR25" i="285"/>
  <c r="DU25" i="285"/>
  <c r="DS25" i="285"/>
  <c r="DT27" i="285"/>
  <c r="DR27" i="285"/>
  <c r="DU27" i="285"/>
  <c r="DS27" i="285"/>
  <c r="DT29" i="285"/>
  <c r="DR29" i="285"/>
  <c r="DU29" i="285"/>
  <c r="DS29" i="285"/>
  <c r="DT31" i="285"/>
  <c r="DR31" i="285"/>
  <c r="DU31" i="285"/>
  <c r="DS31" i="285"/>
  <c r="DY3" i="285"/>
  <c r="DW3" i="285"/>
  <c r="DX3" i="285"/>
  <c r="DV3" i="285"/>
  <c r="DY5" i="285"/>
  <c r="DW5" i="285"/>
  <c r="DX5" i="285"/>
  <c r="DV5" i="285"/>
  <c r="DY7" i="285"/>
  <c r="DW7" i="285"/>
  <c r="DX7" i="285"/>
  <c r="DV7" i="285"/>
  <c r="DY9" i="285"/>
  <c r="DW9" i="285"/>
  <c r="DX9" i="285"/>
  <c r="DV9" i="285"/>
  <c r="DY11" i="285"/>
  <c r="DW11" i="285"/>
  <c r="DX11" i="285"/>
  <c r="DV11" i="285"/>
  <c r="DX13" i="285"/>
  <c r="DV13" i="285"/>
  <c r="DY13" i="285"/>
  <c r="DW13" i="285"/>
  <c r="DX15" i="285"/>
  <c r="DV15" i="285"/>
  <c r="DY15" i="285"/>
  <c r="DW15" i="285"/>
  <c r="DX17" i="285"/>
  <c r="DV17" i="285"/>
  <c r="DY17" i="285"/>
  <c r="DW17" i="285"/>
  <c r="DX19" i="285"/>
  <c r="DV19" i="285"/>
  <c r="DY19" i="285"/>
  <c r="DW19" i="285"/>
  <c r="DX21" i="285"/>
  <c r="DV21" i="285"/>
  <c r="DY21" i="285"/>
  <c r="DW21" i="285"/>
  <c r="DX23" i="285"/>
  <c r="DV23" i="285"/>
  <c r="DY23" i="285"/>
  <c r="DW23" i="285"/>
  <c r="DX25" i="285"/>
  <c r="DV25" i="285"/>
  <c r="DY25" i="285"/>
  <c r="DW25" i="285"/>
  <c r="DX27" i="285"/>
  <c r="DV27" i="285"/>
  <c r="DY27" i="285"/>
  <c r="DW27" i="285"/>
  <c r="DX29" i="285"/>
  <c r="DV29" i="285"/>
  <c r="DY29" i="285"/>
  <c r="DW29" i="285"/>
  <c r="DX31" i="285"/>
  <c r="DV31" i="285"/>
  <c r="DY31" i="285"/>
  <c r="DW31" i="285"/>
  <c r="EC3" i="285"/>
  <c r="EA3" i="285"/>
  <c r="EB3" i="285"/>
  <c r="DZ3" i="285"/>
  <c r="EC5" i="285"/>
  <c r="EA5" i="285"/>
  <c r="EB5" i="285"/>
  <c r="DZ5" i="285"/>
  <c r="EC7" i="285"/>
  <c r="EA7" i="285"/>
  <c r="EB7" i="285"/>
  <c r="DZ7" i="285"/>
  <c r="EC9" i="285"/>
  <c r="EA9" i="285"/>
  <c r="EB9" i="285"/>
  <c r="DZ9" i="285"/>
  <c r="EC11" i="285"/>
  <c r="EA11" i="285"/>
  <c r="EB11" i="285"/>
  <c r="DZ11" i="285"/>
  <c r="EB13" i="285"/>
  <c r="DZ13" i="285"/>
  <c r="EC13" i="285"/>
  <c r="EA13" i="285"/>
  <c r="EB15" i="285"/>
  <c r="DZ15" i="285"/>
  <c r="EC15" i="285"/>
  <c r="EA15" i="285"/>
  <c r="EB17" i="285"/>
  <c r="DZ17" i="285"/>
  <c r="EC17" i="285"/>
  <c r="EA17" i="285"/>
  <c r="EB19" i="285"/>
  <c r="DZ19" i="285"/>
  <c r="EC19" i="285"/>
  <c r="EA19" i="285"/>
  <c r="EB21" i="285"/>
  <c r="DZ21" i="285"/>
  <c r="EC21" i="285"/>
  <c r="EA21" i="285"/>
  <c r="EB23" i="285"/>
  <c r="DZ23" i="285"/>
  <c r="EC23" i="285"/>
  <c r="EA23" i="285"/>
  <c r="EB25" i="285"/>
  <c r="DZ25" i="285"/>
  <c r="EC25" i="285"/>
  <c r="EA25" i="285"/>
  <c r="EB27" i="285"/>
  <c r="DZ27" i="285"/>
  <c r="EC27" i="285"/>
  <c r="EA27" i="285"/>
  <c r="EB29" i="285"/>
  <c r="DZ29" i="285"/>
  <c r="EC29" i="285"/>
  <c r="EA29" i="285"/>
  <c r="EB31" i="285"/>
  <c r="DZ31" i="285"/>
  <c r="EC31" i="285"/>
  <c r="EA31" i="285"/>
  <c r="EG3" i="285"/>
  <c r="EE3" i="285"/>
  <c r="EF3" i="285"/>
  <c r="ED3" i="285"/>
  <c r="EG5" i="285"/>
  <c r="EE5" i="285"/>
  <c r="EF5" i="285"/>
  <c r="ED5" i="285"/>
  <c r="EG7" i="285"/>
  <c r="EE7" i="285"/>
  <c r="EF7" i="285"/>
  <c r="ED7" i="285"/>
  <c r="EG9" i="285"/>
  <c r="EE9" i="285"/>
  <c r="EF9" i="285"/>
  <c r="ED9" i="285"/>
  <c r="EG11" i="285"/>
  <c r="EE11" i="285"/>
  <c r="EF11" i="285"/>
  <c r="ED11" i="285"/>
  <c r="EF13" i="285"/>
  <c r="ED13" i="285"/>
  <c r="EG13" i="285"/>
  <c r="EE13" i="285"/>
  <c r="EF15" i="285"/>
  <c r="ED15" i="285"/>
  <c r="EG15" i="285"/>
  <c r="EE15" i="285"/>
  <c r="EF17" i="285"/>
  <c r="ED17" i="285"/>
  <c r="EG17" i="285"/>
  <c r="EE17" i="285"/>
  <c r="EF19" i="285"/>
  <c r="ED19" i="285"/>
  <c r="EG19" i="285"/>
  <c r="EE19" i="285"/>
  <c r="EF21" i="285"/>
  <c r="ED21" i="285"/>
  <c r="EG21" i="285"/>
  <c r="EE21" i="285"/>
  <c r="EF23" i="285"/>
  <c r="ED23" i="285"/>
  <c r="EG23" i="285"/>
  <c r="EE23" i="285"/>
  <c r="EF25" i="285"/>
  <c r="ED25" i="285"/>
  <c r="EG25" i="285"/>
  <c r="EE25" i="285"/>
  <c r="EF27" i="285"/>
  <c r="ED27" i="285"/>
  <c r="EG27" i="285"/>
  <c r="EE27" i="285"/>
  <c r="EF29" i="285"/>
  <c r="ED29" i="285"/>
  <c r="EG29" i="285"/>
  <c r="EE29" i="285"/>
  <c r="EF31" i="285"/>
  <c r="ED31" i="285"/>
  <c r="EG31" i="285"/>
  <c r="EE31" i="285"/>
  <c r="EK3" i="285"/>
  <c r="EI3" i="285"/>
  <c r="EJ3" i="285"/>
  <c r="EH3" i="285"/>
  <c r="EK5" i="285"/>
  <c r="EI5" i="285"/>
  <c r="EJ5" i="285"/>
  <c r="EH5" i="285"/>
  <c r="EK7" i="285"/>
  <c r="EI7" i="285"/>
  <c r="EJ7" i="285"/>
  <c r="EH7" i="285"/>
  <c r="EK9" i="285"/>
  <c r="EI9" i="285"/>
  <c r="EJ9" i="285"/>
  <c r="EH9" i="285"/>
  <c r="EK11" i="285"/>
  <c r="EI11" i="285"/>
  <c r="EJ11" i="285"/>
  <c r="EH11" i="285"/>
  <c r="EJ13" i="285"/>
  <c r="EH13" i="285"/>
  <c r="EK13" i="285"/>
  <c r="EI13" i="285"/>
  <c r="EJ15" i="285"/>
  <c r="EH15" i="285"/>
  <c r="EK15" i="285"/>
  <c r="EI15" i="285"/>
  <c r="EJ17" i="285"/>
  <c r="EH17" i="285"/>
  <c r="EK17" i="285"/>
  <c r="EI17" i="285"/>
  <c r="EJ19" i="285"/>
  <c r="EH19" i="285"/>
  <c r="EK19" i="285"/>
  <c r="EI19" i="285"/>
  <c r="EJ21" i="285"/>
  <c r="EH21" i="285"/>
  <c r="EK21" i="285"/>
  <c r="EI21" i="285"/>
  <c r="EJ23" i="285"/>
  <c r="EH23" i="285"/>
  <c r="EK23" i="285"/>
  <c r="EI23" i="285"/>
  <c r="EJ25" i="285"/>
  <c r="EH25" i="285"/>
  <c r="EK25" i="285"/>
  <c r="EI25" i="285"/>
  <c r="EJ27" i="285"/>
  <c r="EH27" i="285"/>
  <c r="EK27" i="285"/>
  <c r="EI27" i="285"/>
  <c r="EJ29" i="285"/>
  <c r="EH29" i="285"/>
  <c r="EK29" i="285"/>
  <c r="EI29" i="285"/>
  <c r="EJ31" i="285"/>
  <c r="EH31" i="285"/>
  <c r="EK31" i="285"/>
  <c r="EI31" i="285"/>
  <c r="EO3" i="285"/>
  <c r="EM3" i="285"/>
  <c r="EN3" i="285"/>
  <c r="EL3" i="285"/>
  <c r="EO5" i="285"/>
  <c r="EM5" i="285"/>
  <c r="EN5" i="285"/>
  <c r="EL5" i="285"/>
  <c r="EO7" i="285"/>
  <c r="EM7" i="285"/>
  <c r="EN7" i="285"/>
  <c r="EL7" i="285"/>
  <c r="EO9" i="285"/>
  <c r="EM9" i="285"/>
  <c r="EN9" i="285"/>
  <c r="EL9" i="285"/>
  <c r="EO11" i="285"/>
  <c r="EM11" i="285"/>
  <c r="EN11" i="285"/>
  <c r="EL11" i="285"/>
  <c r="EN13" i="285"/>
  <c r="EL13" i="285"/>
  <c r="EO13" i="285"/>
  <c r="EM13" i="285"/>
  <c r="EN15" i="285"/>
  <c r="EL15" i="285"/>
  <c r="EO15" i="285"/>
  <c r="EM15" i="285"/>
  <c r="EN17" i="285"/>
  <c r="EL17" i="285"/>
  <c r="EO17" i="285"/>
  <c r="EM17" i="285"/>
  <c r="EN19" i="285"/>
  <c r="EL19" i="285"/>
  <c r="EO19" i="285"/>
  <c r="EM19" i="285"/>
  <c r="EN21" i="285"/>
  <c r="EL21" i="285"/>
  <c r="EO21" i="285"/>
  <c r="EM21" i="285"/>
  <c r="EN23" i="285"/>
  <c r="EL23" i="285"/>
  <c r="EO23" i="285"/>
  <c r="EM23" i="285"/>
  <c r="EN25" i="285"/>
  <c r="EL25" i="285"/>
  <c r="EO25" i="285"/>
  <c r="EM25" i="285"/>
  <c r="EN27" i="285"/>
  <c r="EL27" i="285"/>
  <c r="EO27" i="285"/>
  <c r="EM27" i="285"/>
  <c r="EN29" i="285"/>
  <c r="EL29" i="285"/>
  <c r="EO29" i="285"/>
  <c r="EM29" i="285"/>
  <c r="EN31" i="285"/>
  <c r="EL31" i="285"/>
  <c r="EO31" i="285"/>
  <c r="EM31" i="285"/>
  <c r="ES3" i="285"/>
  <c r="EQ3" i="285"/>
  <c r="ER3" i="285"/>
  <c r="EP3" i="285"/>
  <c r="ES5" i="285"/>
  <c r="EQ5" i="285"/>
  <c r="ER5" i="285"/>
  <c r="EP5" i="285"/>
  <c r="ES7" i="285"/>
  <c r="EQ7" i="285"/>
  <c r="ER7" i="285"/>
  <c r="EP7" i="285"/>
  <c r="ES9" i="285"/>
  <c r="EQ9" i="285"/>
  <c r="ER9" i="285"/>
  <c r="EP9" i="285"/>
  <c r="ES11" i="285"/>
  <c r="EQ11" i="285"/>
  <c r="ER11" i="285"/>
  <c r="EP11" i="285"/>
  <c r="ER13" i="285"/>
  <c r="EP13" i="285"/>
  <c r="ES13" i="285"/>
  <c r="EQ13" i="285"/>
  <c r="ER15" i="285"/>
  <c r="EP15" i="285"/>
  <c r="ES15" i="285"/>
  <c r="EQ15" i="285"/>
  <c r="ER17" i="285"/>
  <c r="EP17" i="285"/>
  <c r="ES17" i="285"/>
  <c r="EQ17" i="285"/>
  <c r="ER19" i="285"/>
  <c r="EP19" i="285"/>
  <c r="ES19" i="285"/>
  <c r="EQ19" i="285"/>
  <c r="ER21" i="285"/>
  <c r="EP21" i="285"/>
  <c r="ES21" i="285"/>
  <c r="EQ21" i="285"/>
  <c r="ER23" i="285"/>
  <c r="EP23" i="285"/>
  <c r="ES23" i="285"/>
  <c r="EQ23" i="285"/>
  <c r="ER25" i="285"/>
  <c r="EP25" i="285"/>
  <c r="ES25" i="285"/>
  <c r="EQ25" i="285"/>
  <c r="ER27" i="285"/>
  <c r="EP27" i="285"/>
  <c r="ES27" i="285"/>
  <c r="EQ27" i="285"/>
  <c r="ER29" i="285"/>
  <c r="EP29" i="285"/>
  <c r="ES29" i="285"/>
  <c r="EQ29" i="285"/>
  <c r="ER31" i="285"/>
  <c r="EP31" i="285"/>
  <c r="ES31" i="285"/>
  <c r="EQ31" i="285"/>
  <c r="EW3" i="285"/>
  <c r="EU3" i="285"/>
  <c r="EV3" i="285"/>
  <c r="ET3" i="285"/>
  <c r="EW5" i="285"/>
  <c r="EU5" i="285"/>
  <c r="EV5" i="285"/>
  <c r="ET5" i="285"/>
  <c r="EW7" i="285"/>
  <c r="EU7" i="285"/>
  <c r="EV7" i="285"/>
  <c r="ET7" i="285"/>
  <c r="EW9" i="285"/>
  <c r="EU9" i="285"/>
  <c r="EV9" i="285"/>
  <c r="ET9" i="285"/>
  <c r="EW11" i="285"/>
  <c r="EU11" i="285"/>
  <c r="EV11" i="285"/>
  <c r="ET11" i="285"/>
  <c r="EV13" i="285"/>
  <c r="ET13" i="285"/>
  <c r="EW13" i="285"/>
  <c r="EU13" i="285"/>
  <c r="EV15" i="285"/>
  <c r="ET15" i="285"/>
  <c r="EW15" i="285"/>
  <c r="EU15" i="285"/>
  <c r="EV17" i="285"/>
  <c r="ET17" i="285"/>
  <c r="EW17" i="285"/>
  <c r="EU17" i="285"/>
  <c r="EV19" i="285"/>
  <c r="ET19" i="285"/>
  <c r="EW19" i="285"/>
  <c r="EU19" i="285"/>
  <c r="EV21" i="285"/>
  <c r="ET21" i="285"/>
  <c r="EW21" i="285"/>
  <c r="EU21" i="285"/>
  <c r="EV23" i="285"/>
  <c r="ET23" i="285"/>
  <c r="EW23" i="285"/>
  <c r="EU23" i="285"/>
  <c r="EV25" i="285"/>
  <c r="ET25" i="285"/>
  <c r="EW25" i="285"/>
  <c r="EU25" i="285"/>
  <c r="EV27" i="285"/>
  <c r="ET27" i="285"/>
  <c r="EW27" i="285"/>
  <c r="EU27" i="285"/>
  <c r="EV29" i="285"/>
  <c r="ET29" i="285"/>
  <c r="EW29" i="285"/>
  <c r="EU29" i="285"/>
  <c r="EV31" i="285"/>
  <c r="ET31" i="285"/>
  <c r="EW31" i="285"/>
  <c r="EU31" i="285"/>
  <c r="FA3" i="285"/>
  <c r="EY3" i="285"/>
  <c r="EZ3" i="285"/>
  <c r="EX3" i="285"/>
  <c r="FA5" i="285"/>
  <c r="EY5" i="285"/>
  <c r="EZ5" i="285"/>
  <c r="EX5" i="285"/>
  <c r="FA7" i="285"/>
  <c r="EY7" i="285"/>
  <c r="EZ7" i="285"/>
  <c r="EX7" i="285"/>
  <c r="FA9" i="285"/>
  <c r="EY9" i="285"/>
  <c r="EZ9" i="285"/>
  <c r="EX9" i="285"/>
  <c r="FA11" i="285"/>
  <c r="EY11" i="285"/>
  <c r="EZ11" i="285"/>
  <c r="EX11" i="285"/>
  <c r="EZ13" i="285"/>
  <c r="EX13" i="285"/>
  <c r="FA13" i="285"/>
  <c r="EY13" i="285"/>
  <c r="EZ15" i="285"/>
  <c r="EX15" i="285"/>
  <c r="FA15" i="285"/>
  <c r="EY15" i="285"/>
  <c r="EZ17" i="285"/>
  <c r="EX17" i="285"/>
  <c r="FA17" i="285"/>
  <c r="EY17" i="285"/>
  <c r="EZ19" i="285"/>
  <c r="EX19" i="285"/>
  <c r="FA19" i="285"/>
  <c r="EY19" i="285"/>
  <c r="EZ21" i="285"/>
  <c r="EX21" i="285"/>
  <c r="FA21" i="285"/>
  <c r="EY21" i="285"/>
  <c r="EZ23" i="285"/>
  <c r="EX23" i="285"/>
  <c r="FA23" i="285"/>
  <c r="EY23" i="285"/>
  <c r="EZ25" i="285"/>
  <c r="EX25" i="285"/>
  <c r="FA25" i="285"/>
  <c r="EY25" i="285"/>
  <c r="EZ27" i="285"/>
  <c r="EX27" i="285"/>
  <c r="FA27" i="285"/>
  <c r="EY27" i="285"/>
  <c r="EZ29" i="285"/>
  <c r="EX29" i="285"/>
  <c r="FA29" i="285"/>
  <c r="EY29" i="285"/>
  <c r="EZ31" i="285"/>
  <c r="EX31" i="285"/>
  <c r="FA31" i="285"/>
  <c r="EY31" i="285"/>
  <c r="FE3" i="285"/>
  <c r="FC3" i="285"/>
  <c r="FD3" i="285"/>
  <c r="FB3" i="285"/>
  <c r="N11" i="262"/>
  <c r="R11" i="262" s="1"/>
  <c r="FE5" i="285"/>
  <c r="FC5" i="285"/>
  <c r="FD5" i="285"/>
  <c r="FB5" i="285"/>
  <c r="FE7" i="285"/>
  <c r="FC7" i="285"/>
  <c r="FD7" i="285"/>
  <c r="FB7" i="285"/>
  <c r="N15" i="262"/>
  <c r="R15" i="262" s="1"/>
  <c r="FE9" i="285"/>
  <c r="FC9" i="285"/>
  <c r="FD9" i="285"/>
  <c r="FB9" i="285"/>
  <c r="FE11" i="285"/>
  <c r="FC11" i="285"/>
  <c r="FD11" i="285"/>
  <c r="FB11" i="285"/>
  <c r="N19" i="262"/>
  <c r="R19" i="262" s="1"/>
  <c r="FD13" i="285"/>
  <c r="FB13" i="285"/>
  <c r="FE13" i="285"/>
  <c r="FC13" i="285"/>
  <c r="FD15" i="285"/>
  <c r="FB15" i="285"/>
  <c r="FE15" i="285"/>
  <c r="FC15" i="285"/>
  <c r="N23" i="262"/>
  <c r="R23" i="262" s="1"/>
  <c r="FD17" i="285"/>
  <c r="FB17" i="285"/>
  <c r="FE17" i="285"/>
  <c r="FC17" i="285"/>
  <c r="FD19" i="285"/>
  <c r="FB19" i="285"/>
  <c r="FE19" i="285"/>
  <c r="FC19" i="285"/>
  <c r="N27" i="262"/>
  <c r="R27" i="262" s="1"/>
  <c r="FD21" i="285"/>
  <c r="FB21" i="285"/>
  <c r="FE21" i="285"/>
  <c r="FC21" i="285"/>
  <c r="FD23" i="285"/>
  <c r="FB23" i="285"/>
  <c r="FE23" i="285"/>
  <c r="FC23" i="285"/>
  <c r="N31" i="262"/>
  <c r="R31" i="262" s="1"/>
  <c r="FD25" i="285"/>
  <c r="FB25" i="285"/>
  <c r="FE25" i="285"/>
  <c r="FC25" i="285"/>
  <c r="FD27" i="285"/>
  <c r="FB27" i="285"/>
  <c r="FE27" i="285"/>
  <c r="FC27" i="285"/>
  <c r="AE128" i="265"/>
  <c r="N35" i="262" s="1"/>
  <c r="R35" i="262" s="1"/>
  <c r="FD29" i="285"/>
  <c r="FB29" i="285"/>
  <c r="FE29" i="285"/>
  <c r="FC29" i="285"/>
  <c r="FD31" i="285"/>
  <c r="FB31" i="285"/>
  <c r="FE31" i="285"/>
  <c r="FC31" i="285"/>
  <c r="FI3" i="285"/>
  <c r="FG3" i="285"/>
  <c r="FH3" i="285"/>
  <c r="FF3" i="285"/>
  <c r="FI5" i="285"/>
  <c r="FG5" i="285"/>
  <c r="FH5" i="285"/>
  <c r="FF5" i="285"/>
  <c r="FI7" i="285"/>
  <c r="FG7" i="285"/>
  <c r="FH7" i="285"/>
  <c r="FF7" i="285"/>
  <c r="FI9" i="285"/>
  <c r="FG9" i="285"/>
  <c r="FH9" i="285"/>
  <c r="FF9" i="285"/>
  <c r="FI11" i="285"/>
  <c r="FG11" i="285"/>
  <c r="FH11" i="285"/>
  <c r="FF11" i="285"/>
  <c r="FH13" i="285"/>
  <c r="FF13" i="285"/>
  <c r="FI13" i="285"/>
  <c r="FG13" i="285"/>
  <c r="FH15" i="285"/>
  <c r="FF15" i="285"/>
  <c r="FI15" i="285"/>
  <c r="FG15" i="285"/>
  <c r="FH17" i="285"/>
  <c r="FF17" i="285"/>
  <c r="FI17" i="285"/>
  <c r="FG17" i="285"/>
  <c r="FH19" i="285"/>
  <c r="FF19" i="285"/>
  <c r="FI19" i="285"/>
  <c r="FG19" i="285"/>
  <c r="FH21" i="285"/>
  <c r="FF21" i="285"/>
  <c r="FI21" i="285"/>
  <c r="FG21" i="285"/>
  <c r="FH23" i="285"/>
  <c r="FF23" i="285"/>
  <c r="FI23" i="285"/>
  <c r="FG23" i="285"/>
  <c r="FH25" i="285"/>
  <c r="FF25" i="285"/>
  <c r="FI25" i="285"/>
  <c r="FG25" i="285"/>
  <c r="FH27" i="285"/>
  <c r="FF27" i="285"/>
  <c r="FI27" i="285"/>
  <c r="FG27" i="285"/>
  <c r="FH29" i="285"/>
  <c r="FF29" i="285"/>
  <c r="FI29" i="285"/>
  <c r="FG29" i="285"/>
  <c r="FH31" i="285"/>
  <c r="FF31" i="285"/>
  <c r="FI31" i="285"/>
  <c r="FG31" i="285"/>
  <c r="FM3" i="285"/>
  <c r="FK3" i="285"/>
  <c r="FL3" i="285"/>
  <c r="FJ3" i="285"/>
  <c r="FM5" i="285"/>
  <c r="FK5" i="285"/>
  <c r="FL5" i="285"/>
  <c r="FJ5" i="285"/>
  <c r="FM7" i="285"/>
  <c r="FK7" i="285"/>
  <c r="FL7" i="285"/>
  <c r="FJ7" i="285"/>
  <c r="FM9" i="285"/>
  <c r="FK9" i="285"/>
  <c r="FL9" i="285"/>
  <c r="FJ9" i="285"/>
  <c r="FM11" i="285"/>
  <c r="FK11" i="285"/>
  <c r="FL11" i="285"/>
  <c r="FJ11" i="285"/>
  <c r="FL13" i="285"/>
  <c r="FJ13" i="285"/>
  <c r="FM13" i="285"/>
  <c r="FK13" i="285"/>
  <c r="FL15" i="285"/>
  <c r="FJ15" i="285"/>
  <c r="FM15" i="285"/>
  <c r="FK15" i="285"/>
  <c r="FL17" i="285"/>
  <c r="FJ17" i="285"/>
  <c r="FM17" i="285"/>
  <c r="FK17" i="285"/>
  <c r="FL19" i="285"/>
  <c r="FJ19" i="285"/>
  <c r="FM19" i="285"/>
  <c r="FK19" i="285"/>
  <c r="FL21" i="285"/>
  <c r="FJ21" i="285"/>
  <c r="FM21" i="285"/>
  <c r="FK21" i="285"/>
  <c r="FL23" i="285"/>
  <c r="FJ23" i="285"/>
  <c r="FM23" i="285"/>
  <c r="FK23" i="285"/>
  <c r="FL25" i="285"/>
  <c r="FJ25" i="285"/>
  <c r="FM25" i="285"/>
  <c r="FK25" i="285"/>
  <c r="FL27" i="285"/>
  <c r="FJ27" i="285"/>
  <c r="FM27" i="285"/>
  <c r="FK27" i="285"/>
  <c r="FL29" i="285"/>
  <c r="FJ29" i="285"/>
  <c r="FM29" i="285"/>
  <c r="FK29" i="285"/>
  <c r="FL31" i="285"/>
  <c r="FJ31" i="285"/>
  <c r="FM31" i="285"/>
  <c r="FK31" i="285"/>
  <c r="FQ3" i="285"/>
  <c r="FO3" i="285"/>
  <c r="FP3" i="285"/>
  <c r="FN3" i="285"/>
  <c r="FQ5" i="285"/>
  <c r="FO5" i="285"/>
  <c r="FP5" i="285"/>
  <c r="FN5" i="285"/>
  <c r="FQ7" i="285"/>
  <c r="FO7" i="285"/>
  <c r="FP7" i="285"/>
  <c r="FN7" i="285"/>
  <c r="FQ9" i="285"/>
  <c r="FO9" i="285"/>
  <c r="FP9" i="285"/>
  <c r="FN9" i="285"/>
  <c r="FQ11" i="285"/>
  <c r="FO11" i="285"/>
  <c r="FP11" i="285"/>
  <c r="FN11" i="285"/>
  <c r="FP13" i="285"/>
  <c r="FN13" i="285"/>
  <c r="FQ13" i="285"/>
  <c r="FO13" i="285"/>
  <c r="FP15" i="285"/>
  <c r="FN15" i="285"/>
  <c r="FQ15" i="285"/>
  <c r="FO15" i="285"/>
  <c r="FP17" i="285"/>
  <c r="FN17" i="285"/>
  <c r="FQ17" i="285"/>
  <c r="FO17" i="285"/>
  <c r="FP19" i="285"/>
  <c r="FN19" i="285"/>
  <c r="FQ19" i="285"/>
  <c r="FO19" i="285"/>
  <c r="FP21" i="285"/>
  <c r="FN21" i="285"/>
  <c r="FQ21" i="285"/>
  <c r="FO21" i="285"/>
  <c r="FP23" i="285"/>
  <c r="FN23" i="285"/>
  <c r="FQ23" i="285"/>
  <c r="FO23" i="285"/>
  <c r="FP25" i="285"/>
  <c r="FN25" i="285"/>
  <c r="FQ25" i="285"/>
  <c r="FO25" i="285"/>
  <c r="FP27" i="285"/>
  <c r="FN27" i="285"/>
  <c r="FQ27" i="285"/>
  <c r="FO27" i="285"/>
  <c r="FP29" i="285"/>
  <c r="FN29" i="285"/>
  <c r="FQ29" i="285"/>
  <c r="FO29" i="285"/>
  <c r="FP31" i="285"/>
  <c r="FN31" i="285"/>
  <c r="FQ31" i="285"/>
  <c r="FO31" i="285"/>
  <c r="FU3" i="285"/>
  <c r="FS3" i="285"/>
  <c r="FT3" i="285"/>
  <c r="FR3" i="285"/>
  <c r="FU5" i="285"/>
  <c r="FS5" i="285"/>
  <c r="FT5" i="285"/>
  <c r="FR5" i="285"/>
  <c r="FU7" i="285"/>
  <c r="FS7" i="285"/>
  <c r="FT7" i="285"/>
  <c r="FR7" i="285"/>
  <c r="FU9" i="285"/>
  <c r="FS9" i="285"/>
  <c r="FT9" i="285"/>
  <c r="FR9" i="285"/>
  <c r="FU11" i="285"/>
  <c r="FS11" i="285"/>
  <c r="FT11" i="285"/>
  <c r="FR11" i="285"/>
  <c r="FT13" i="285"/>
  <c r="FR13" i="285"/>
  <c r="FU13" i="285"/>
  <c r="FS13" i="285"/>
  <c r="FT15" i="285"/>
  <c r="FR15" i="285"/>
  <c r="FU15" i="285"/>
  <c r="FS15" i="285"/>
  <c r="FT17" i="285"/>
  <c r="FR17" i="285"/>
  <c r="FU17" i="285"/>
  <c r="FS17" i="285"/>
  <c r="FT19" i="285"/>
  <c r="FR19" i="285"/>
  <c r="FU19" i="285"/>
  <c r="FS19" i="285"/>
  <c r="FT21" i="285"/>
  <c r="FR21" i="285"/>
  <c r="FU21" i="285"/>
  <c r="FS21" i="285"/>
  <c r="FT23" i="285"/>
  <c r="FR23" i="285"/>
  <c r="FU23" i="285"/>
  <c r="FS23" i="285"/>
  <c r="FT25" i="285"/>
  <c r="FR25" i="285"/>
  <c r="FU25" i="285"/>
  <c r="FS25" i="285"/>
  <c r="FT27" i="285"/>
  <c r="FR27" i="285"/>
  <c r="FU27" i="285"/>
  <c r="FS27" i="285"/>
  <c r="FT29" i="285"/>
  <c r="FR29" i="285"/>
  <c r="FU29" i="285"/>
  <c r="FS29" i="285"/>
  <c r="FT31" i="285"/>
  <c r="FR31" i="285"/>
  <c r="FU31" i="285"/>
  <c r="FS31" i="285"/>
  <c r="FY3" i="285"/>
  <c r="FW3" i="285"/>
  <c r="FX3" i="285"/>
  <c r="FV3" i="285"/>
  <c r="FY5" i="285"/>
  <c r="FW5" i="285"/>
  <c r="FX5" i="285"/>
  <c r="FV5" i="285"/>
  <c r="FY7" i="285"/>
  <c r="FW7" i="285"/>
  <c r="FX7" i="285"/>
  <c r="FV7" i="285"/>
  <c r="FY9" i="285"/>
  <c r="FW9" i="285"/>
  <c r="FX9" i="285"/>
  <c r="FV9" i="285"/>
  <c r="FY11" i="285"/>
  <c r="FW11" i="285"/>
  <c r="FX11" i="285"/>
  <c r="FV11" i="285"/>
  <c r="FX13" i="285"/>
  <c r="FV13" i="285"/>
  <c r="FY13" i="285"/>
  <c r="FW13" i="285"/>
  <c r="FX15" i="285"/>
  <c r="FV15" i="285"/>
  <c r="FY15" i="285"/>
  <c r="FW15" i="285"/>
  <c r="FX17" i="285"/>
  <c r="FV17" i="285"/>
  <c r="FY17" i="285"/>
  <c r="FW17" i="285"/>
  <c r="FX19" i="285"/>
  <c r="FV19" i="285"/>
  <c r="FY19" i="285"/>
  <c r="FW19" i="285"/>
  <c r="FX21" i="285"/>
  <c r="FV21" i="285"/>
  <c r="FY21" i="285"/>
  <c r="FW21" i="285"/>
  <c r="FX23" i="285"/>
  <c r="FV23" i="285"/>
  <c r="FY23" i="285"/>
  <c r="FW23" i="285"/>
  <c r="FX25" i="285"/>
  <c r="FV25" i="285"/>
  <c r="FY25" i="285"/>
  <c r="FW25" i="285"/>
  <c r="FX27" i="285"/>
  <c r="FV27" i="285"/>
  <c r="FY27" i="285"/>
  <c r="FW27" i="285"/>
  <c r="FX29" i="285"/>
  <c r="FV29" i="285"/>
  <c r="FY29" i="285"/>
  <c r="FW29" i="285"/>
  <c r="FX31" i="285"/>
  <c r="FV31" i="285"/>
  <c r="FY31" i="285"/>
  <c r="FW31" i="285"/>
  <c r="GC3" i="285"/>
  <c r="GA3" i="285"/>
  <c r="GB3" i="285"/>
  <c r="FZ3" i="285"/>
  <c r="GC5" i="285"/>
  <c r="GA5" i="285"/>
  <c r="GB5" i="285"/>
  <c r="FZ5" i="285"/>
  <c r="GC7" i="285"/>
  <c r="GA7" i="285"/>
  <c r="GB7" i="285"/>
  <c r="FZ7" i="285"/>
  <c r="GC9" i="285"/>
  <c r="GA9" i="285"/>
  <c r="GB9" i="285"/>
  <c r="FZ9" i="285"/>
  <c r="GC11" i="285"/>
  <c r="GA11" i="285"/>
  <c r="GB11" i="285"/>
  <c r="FZ11" i="285"/>
  <c r="GB13" i="285"/>
  <c r="FZ13" i="285"/>
  <c r="GC13" i="285"/>
  <c r="GA13" i="285"/>
  <c r="GB15" i="285"/>
  <c r="FZ15" i="285"/>
  <c r="GC15" i="285"/>
  <c r="GA15" i="285"/>
  <c r="GB17" i="285"/>
  <c r="FZ17" i="285"/>
  <c r="GC17" i="285"/>
  <c r="GA17" i="285"/>
  <c r="GB19" i="285"/>
  <c r="FZ19" i="285"/>
  <c r="GC19" i="285"/>
  <c r="GA19" i="285"/>
  <c r="GB21" i="285"/>
  <c r="FZ21" i="285"/>
  <c r="GC21" i="285"/>
  <c r="GA21" i="285"/>
  <c r="GB23" i="285"/>
  <c r="FZ23" i="285"/>
  <c r="GC23" i="285"/>
  <c r="GA23" i="285"/>
  <c r="GB25" i="285"/>
  <c r="FZ25" i="285"/>
  <c r="GC25" i="285"/>
  <c r="GA25" i="285"/>
  <c r="GB27" i="285"/>
  <c r="FZ27" i="285"/>
  <c r="GC27" i="285"/>
  <c r="GA27" i="285"/>
  <c r="GB29" i="285"/>
  <c r="FZ29" i="285"/>
  <c r="GC29" i="285"/>
  <c r="GA29" i="285"/>
  <c r="GB31" i="285"/>
  <c r="FZ31" i="285"/>
  <c r="GC31" i="285"/>
  <c r="GA31" i="285"/>
  <c r="GG3" i="285"/>
  <c r="GE3" i="285"/>
  <c r="GF3" i="285"/>
  <c r="GD3" i="285"/>
  <c r="GG5" i="285"/>
  <c r="GE5" i="285"/>
  <c r="GF5" i="285"/>
  <c r="GD5" i="285"/>
  <c r="GG7" i="285"/>
  <c r="GE7" i="285"/>
  <c r="GF7" i="285"/>
  <c r="GD7" i="285"/>
  <c r="GG9" i="285"/>
  <c r="GE9" i="285"/>
  <c r="GF9" i="285"/>
  <c r="GD9" i="285"/>
  <c r="GG11" i="285"/>
  <c r="GE11" i="285"/>
  <c r="GF11" i="285"/>
  <c r="GD11" i="285"/>
  <c r="GF13" i="285"/>
  <c r="GD13" i="285"/>
  <c r="GG13" i="285"/>
  <c r="GE13" i="285"/>
  <c r="GF15" i="285"/>
  <c r="GD15" i="285"/>
  <c r="GG15" i="285"/>
  <c r="GE15" i="285"/>
  <c r="GF17" i="285"/>
  <c r="GD17" i="285"/>
  <c r="GG17" i="285"/>
  <c r="GE17" i="285"/>
  <c r="GF19" i="285"/>
  <c r="GD19" i="285"/>
  <c r="GG19" i="285"/>
  <c r="GE19" i="285"/>
  <c r="GF21" i="285"/>
  <c r="GD21" i="285"/>
  <c r="GG21" i="285"/>
  <c r="GE21" i="285"/>
  <c r="GF23" i="285"/>
  <c r="GD23" i="285"/>
  <c r="GG23" i="285"/>
  <c r="GE23" i="285"/>
  <c r="GF25" i="285"/>
  <c r="GD25" i="285"/>
  <c r="GG25" i="285"/>
  <c r="GE25" i="285"/>
  <c r="GF27" i="285"/>
  <c r="GD27" i="285"/>
  <c r="GG27" i="285"/>
  <c r="GE27" i="285"/>
  <c r="GF29" i="285"/>
  <c r="GD29" i="285"/>
  <c r="GG29" i="285"/>
  <c r="GE29" i="285"/>
  <c r="GF31" i="285"/>
  <c r="GD31" i="285"/>
  <c r="GG31" i="285"/>
  <c r="GE31" i="285"/>
  <c r="GK3" i="285"/>
  <c r="GI3" i="285"/>
  <c r="GJ3" i="285"/>
  <c r="GH3" i="285"/>
  <c r="GK5" i="285"/>
  <c r="GI5" i="285"/>
  <c r="GJ5" i="285"/>
  <c r="GH5" i="285"/>
  <c r="GK7" i="285"/>
  <c r="GI7" i="285"/>
  <c r="GJ7" i="285"/>
  <c r="GH7" i="285"/>
  <c r="GK9" i="285"/>
  <c r="GI9" i="285"/>
  <c r="GJ9" i="285"/>
  <c r="GH9" i="285"/>
  <c r="GK11" i="285"/>
  <c r="GI11" i="285"/>
  <c r="GJ11" i="285"/>
  <c r="GH11" i="285"/>
  <c r="GJ13" i="285"/>
  <c r="GH13" i="285"/>
  <c r="GK13" i="285"/>
  <c r="GI13" i="285"/>
  <c r="GJ15" i="285"/>
  <c r="GH15" i="285"/>
  <c r="GK15" i="285"/>
  <c r="GI15" i="285"/>
  <c r="GJ17" i="285"/>
  <c r="GH17" i="285"/>
  <c r="GK17" i="285"/>
  <c r="GI17" i="285"/>
  <c r="GJ19" i="285"/>
  <c r="GH19" i="285"/>
  <c r="GK19" i="285"/>
  <c r="GI19" i="285"/>
  <c r="GJ21" i="285"/>
  <c r="GH21" i="285"/>
  <c r="GK21" i="285"/>
  <c r="GI21" i="285"/>
  <c r="GJ23" i="285"/>
  <c r="GH23" i="285"/>
  <c r="GK23" i="285"/>
  <c r="GI23" i="285"/>
  <c r="GJ25" i="285"/>
  <c r="GH25" i="285"/>
  <c r="GK25" i="285"/>
  <c r="GI25" i="285"/>
  <c r="GJ27" i="285"/>
  <c r="GH27" i="285"/>
  <c r="GK27" i="285"/>
  <c r="GI27" i="285"/>
  <c r="GJ29" i="285"/>
  <c r="GH29" i="285"/>
  <c r="GK29" i="285"/>
  <c r="GI29" i="285"/>
  <c r="GJ31" i="285"/>
  <c r="GH31" i="285"/>
  <c r="GK31" i="285"/>
  <c r="GI31" i="285"/>
  <c r="GO3" i="285"/>
  <c r="GM3" i="285"/>
  <c r="GN3" i="285"/>
  <c r="GL3" i="285"/>
  <c r="GO5" i="285"/>
  <c r="GM5" i="285"/>
  <c r="GN5" i="285"/>
  <c r="GL5" i="285"/>
  <c r="GO7" i="285"/>
  <c r="GM7" i="285"/>
  <c r="GN7" i="285"/>
  <c r="GL7" i="285"/>
  <c r="GO9" i="285"/>
  <c r="GM9" i="285"/>
  <c r="GN9" i="285"/>
  <c r="GL9" i="285"/>
  <c r="GO11" i="285"/>
  <c r="GM11" i="285"/>
  <c r="GN11" i="285"/>
  <c r="GL11" i="285"/>
  <c r="GN13" i="285"/>
  <c r="GL13" i="285"/>
  <c r="GO13" i="285"/>
  <c r="GM13" i="285"/>
  <c r="GN15" i="285"/>
  <c r="GL15" i="285"/>
  <c r="GO15" i="285"/>
  <c r="GM15" i="285"/>
  <c r="GN17" i="285"/>
  <c r="GL17" i="285"/>
  <c r="GO17" i="285"/>
  <c r="GM17" i="285"/>
  <c r="GN19" i="285"/>
  <c r="GL19" i="285"/>
  <c r="GO19" i="285"/>
  <c r="GM19" i="285"/>
  <c r="GN21" i="285"/>
  <c r="GL21" i="285"/>
  <c r="GO21" i="285"/>
  <c r="GM21" i="285"/>
  <c r="GN23" i="285"/>
  <c r="GL23" i="285"/>
  <c r="GO23" i="285"/>
  <c r="GM23" i="285"/>
  <c r="GN25" i="285"/>
  <c r="GL25" i="285"/>
  <c r="GO25" i="285"/>
  <c r="GM25" i="285"/>
  <c r="GN27" i="285"/>
  <c r="GL27" i="285"/>
  <c r="GO27" i="285"/>
  <c r="GM27" i="285"/>
  <c r="GN29" i="285"/>
  <c r="GL29" i="285"/>
  <c r="GO29" i="285"/>
  <c r="GM29" i="285"/>
  <c r="GN31" i="285"/>
  <c r="GL31" i="285"/>
  <c r="GO31" i="285"/>
  <c r="GM31" i="285"/>
  <c r="GS3" i="285"/>
  <c r="GQ3" i="285"/>
  <c r="GR3" i="285"/>
  <c r="GP3" i="285"/>
  <c r="GS5" i="285"/>
  <c r="GQ5" i="285"/>
  <c r="GR5" i="285"/>
  <c r="GP5" i="285"/>
  <c r="GS7" i="285"/>
  <c r="GQ7" i="285"/>
  <c r="GR7" i="285"/>
  <c r="GP7" i="285"/>
  <c r="GS9" i="285"/>
  <c r="GQ9" i="285"/>
  <c r="GR9" i="285"/>
  <c r="GP9" i="285"/>
  <c r="GS11" i="285"/>
  <c r="GQ11" i="285"/>
  <c r="GR11" i="285"/>
  <c r="GP11" i="285"/>
  <c r="GR13" i="285"/>
  <c r="GP13" i="285"/>
  <c r="GS13" i="285"/>
  <c r="GQ13" i="285"/>
  <c r="GR15" i="285"/>
  <c r="GP15" i="285"/>
  <c r="GS15" i="285"/>
  <c r="GQ15" i="285"/>
  <c r="GR17" i="285"/>
  <c r="GP17" i="285"/>
  <c r="GS17" i="285"/>
  <c r="GQ17" i="285"/>
  <c r="GR19" i="285"/>
  <c r="GP19" i="285"/>
  <c r="GS19" i="285"/>
  <c r="GQ19" i="285"/>
  <c r="GR21" i="285"/>
  <c r="GP21" i="285"/>
  <c r="GS21" i="285"/>
  <c r="GQ21" i="285"/>
  <c r="GR23" i="285"/>
  <c r="GP23" i="285"/>
  <c r="GS23" i="285"/>
  <c r="GQ23" i="285"/>
  <c r="GR25" i="285"/>
  <c r="GP25" i="285"/>
  <c r="GS25" i="285"/>
  <c r="GQ25" i="285"/>
  <c r="GR27" i="285"/>
  <c r="GP27" i="285"/>
  <c r="GS27" i="285"/>
  <c r="GQ27" i="285"/>
  <c r="GR29" i="285"/>
  <c r="GP29" i="285"/>
  <c r="GS29" i="285"/>
  <c r="GQ29" i="285"/>
  <c r="GR31" i="285"/>
  <c r="GP31" i="285"/>
  <c r="GS31" i="285"/>
  <c r="GQ31" i="285"/>
  <c r="GW3" i="285"/>
  <c r="GU3" i="285"/>
  <c r="GV3" i="285"/>
  <c r="GT3" i="285"/>
  <c r="GW5" i="285"/>
  <c r="GU5" i="285"/>
  <c r="GV5" i="285"/>
  <c r="GT5" i="285"/>
  <c r="GW7" i="285"/>
  <c r="GU7" i="285"/>
  <c r="GV7" i="285"/>
  <c r="GT7" i="285"/>
  <c r="GW9" i="285"/>
  <c r="GU9" i="285"/>
  <c r="GV9" i="285"/>
  <c r="GT9" i="285"/>
  <c r="GW11" i="285"/>
  <c r="GU11" i="285"/>
  <c r="GV11" i="285"/>
  <c r="GT11" i="285"/>
  <c r="GV13" i="285"/>
  <c r="GT13" i="285"/>
  <c r="GW13" i="285"/>
  <c r="GU13" i="285"/>
  <c r="GV15" i="285"/>
  <c r="GT15" i="285"/>
  <c r="GW15" i="285"/>
  <c r="GU15" i="285"/>
  <c r="GV17" i="285"/>
  <c r="GT17" i="285"/>
  <c r="GW17" i="285"/>
  <c r="GU17" i="285"/>
  <c r="GV19" i="285"/>
  <c r="GT19" i="285"/>
  <c r="GW19" i="285"/>
  <c r="GU19" i="285"/>
  <c r="GV21" i="285"/>
  <c r="GT21" i="285"/>
  <c r="GW21" i="285"/>
  <c r="GU21" i="285"/>
  <c r="GV23" i="285"/>
  <c r="GT23" i="285"/>
  <c r="GW23" i="285"/>
  <c r="GU23" i="285"/>
  <c r="GV25" i="285"/>
  <c r="GT25" i="285"/>
  <c r="GW25" i="285"/>
  <c r="GU25" i="285"/>
  <c r="GV27" i="285"/>
  <c r="GT27" i="285"/>
  <c r="GW27" i="285"/>
  <c r="GU27" i="285"/>
  <c r="GV29" i="285"/>
  <c r="GT29" i="285"/>
  <c r="GW29" i="285"/>
  <c r="GU29" i="285"/>
  <c r="GV31" i="285"/>
  <c r="GT31" i="285"/>
  <c r="GW31" i="285"/>
  <c r="GU31" i="285"/>
  <c r="HA3" i="285"/>
  <c r="GY3" i="285"/>
  <c r="GZ3" i="285"/>
  <c r="GX3" i="285"/>
  <c r="HA5" i="285"/>
  <c r="GY5" i="285"/>
  <c r="GZ5" i="285"/>
  <c r="GX5" i="285"/>
  <c r="HA7" i="285"/>
  <c r="GY7" i="285"/>
  <c r="GZ7" i="285"/>
  <c r="GX7" i="285"/>
  <c r="HA9" i="285"/>
  <c r="GY9" i="285"/>
  <c r="GZ9" i="285"/>
  <c r="GX9" i="285"/>
  <c r="HA11" i="285"/>
  <c r="GY11" i="285"/>
  <c r="GZ11" i="285"/>
  <c r="GX11" i="285"/>
  <c r="GZ13" i="285"/>
  <c r="GX13" i="285"/>
  <c r="HA13" i="285"/>
  <c r="GY13" i="285"/>
  <c r="GZ15" i="285"/>
  <c r="GX15" i="285"/>
  <c r="HA15" i="285"/>
  <c r="GY15" i="285"/>
  <c r="GZ17" i="285"/>
  <c r="GX17" i="285"/>
  <c r="HA17" i="285"/>
  <c r="GY17" i="285"/>
  <c r="GZ19" i="285"/>
  <c r="GX19" i="285"/>
  <c r="HA19" i="285"/>
  <c r="GY19" i="285"/>
  <c r="GZ21" i="285"/>
  <c r="GX21" i="285"/>
  <c r="HA21" i="285"/>
  <c r="GY21" i="285"/>
  <c r="GZ23" i="285"/>
  <c r="GX23" i="285"/>
  <c r="HA23" i="285"/>
  <c r="GY23" i="285"/>
  <c r="GZ25" i="285"/>
  <c r="GX25" i="285"/>
  <c r="HA25" i="285"/>
  <c r="GY25" i="285"/>
  <c r="GZ27" i="285"/>
  <c r="GX27" i="285"/>
  <c r="HA27" i="285"/>
  <c r="GY27" i="285"/>
  <c r="GZ29" i="285"/>
  <c r="GX29" i="285"/>
  <c r="HA29" i="285"/>
  <c r="GY29" i="285"/>
  <c r="GZ31" i="285"/>
  <c r="GX31" i="285"/>
  <c r="HA31" i="285"/>
  <c r="GY31" i="285"/>
  <c r="HE3" i="285"/>
  <c r="HC3" i="285"/>
  <c r="HD3" i="285"/>
  <c r="HB3" i="285"/>
  <c r="HE5" i="285"/>
  <c r="HC5" i="285"/>
  <c r="HD5" i="285"/>
  <c r="HB5" i="285"/>
  <c r="HE7" i="285"/>
  <c r="HC7" i="285"/>
  <c r="HD7" i="285"/>
  <c r="HB7" i="285"/>
  <c r="HE9" i="285"/>
  <c r="HC9" i="285"/>
  <c r="HD9" i="285"/>
  <c r="HB9" i="285"/>
  <c r="HE11" i="285"/>
  <c r="HC11" i="285"/>
  <c r="HD11" i="285"/>
  <c r="HB11" i="285"/>
  <c r="HD13" i="285"/>
  <c r="HB13" i="285"/>
  <c r="HE13" i="285"/>
  <c r="HC13" i="285"/>
  <c r="HD15" i="285"/>
  <c r="HB15" i="285"/>
  <c r="HE15" i="285"/>
  <c r="HC15" i="285"/>
  <c r="HD17" i="285"/>
  <c r="HB17" i="285"/>
  <c r="HE17" i="285"/>
  <c r="HC17" i="285"/>
  <c r="HD19" i="285"/>
  <c r="HB19" i="285"/>
  <c r="HE19" i="285"/>
  <c r="HC19" i="285"/>
  <c r="HD21" i="285"/>
  <c r="HB21" i="285"/>
  <c r="HE21" i="285"/>
  <c r="HC21" i="285"/>
  <c r="HD23" i="285"/>
  <c r="HB23" i="285"/>
  <c r="HE23" i="285"/>
  <c r="HC23" i="285"/>
  <c r="HD25" i="285"/>
  <c r="HB25" i="285"/>
  <c r="HE25" i="285"/>
  <c r="HC25" i="285"/>
  <c r="HD27" i="285"/>
  <c r="HB27" i="285"/>
  <c r="HE27" i="285"/>
  <c r="HC27" i="285"/>
  <c r="HD29" i="285"/>
  <c r="HB29" i="285"/>
  <c r="HE29" i="285"/>
  <c r="HC29" i="285"/>
  <c r="HD31" i="285"/>
  <c r="HB31" i="285"/>
  <c r="HE31" i="285"/>
  <c r="HC31" i="285"/>
  <c r="HI3" i="285"/>
  <c r="HG3" i="285"/>
  <c r="HH3" i="285"/>
  <c r="HF3" i="285"/>
  <c r="HI5" i="285"/>
  <c r="HG5" i="285"/>
  <c r="HH5" i="285"/>
  <c r="HF5" i="285"/>
  <c r="HI7" i="285"/>
  <c r="HG7" i="285"/>
  <c r="HH7" i="285"/>
  <c r="HF7" i="285"/>
  <c r="HI9" i="285"/>
  <c r="HG9" i="285"/>
  <c r="HH9" i="285"/>
  <c r="HF9" i="285"/>
  <c r="HI11" i="285"/>
  <c r="HG11" i="285"/>
  <c r="HH11" i="285"/>
  <c r="HF11" i="285"/>
  <c r="HH13" i="285"/>
  <c r="HF13" i="285"/>
  <c r="HI13" i="285"/>
  <c r="HG13" i="285"/>
  <c r="HH15" i="285"/>
  <c r="HF15" i="285"/>
  <c r="HI15" i="285"/>
  <c r="HG15" i="285"/>
  <c r="HH17" i="285"/>
  <c r="HF17" i="285"/>
  <c r="HI17" i="285"/>
  <c r="HG17" i="285"/>
  <c r="HH19" i="285"/>
  <c r="HF19" i="285"/>
  <c r="HI19" i="285"/>
  <c r="HG19" i="285"/>
  <c r="HH21" i="285"/>
  <c r="HF21" i="285"/>
  <c r="HI21" i="285"/>
  <c r="HG21" i="285"/>
  <c r="HH23" i="285"/>
  <c r="HF23" i="285"/>
  <c r="HI23" i="285"/>
  <c r="HG23" i="285"/>
  <c r="HH25" i="285"/>
  <c r="HF25" i="285"/>
  <c r="HI25" i="285"/>
  <c r="HG25" i="285"/>
  <c r="HH27" i="285"/>
  <c r="HF27" i="285"/>
  <c r="HI27" i="285"/>
  <c r="HG27" i="285"/>
  <c r="HH29" i="285"/>
  <c r="HF29" i="285"/>
  <c r="HI29" i="285"/>
  <c r="HG29" i="285"/>
  <c r="HH31" i="285"/>
  <c r="HF31" i="285"/>
  <c r="HI31" i="285"/>
  <c r="HG31" i="285"/>
  <c r="HM3" i="285"/>
  <c r="HK3" i="285"/>
  <c r="HL3" i="285"/>
  <c r="HJ3" i="285"/>
  <c r="HM5" i="285"/>
  <c r="HK5" i="285"/>
  <c r="HL5" i="285"/>
  <c r="HJ5" i="285"/>
  <c r="HM7" i="285"/>
  <c r="HK7" i="285"/>
  <c r="HL7" i="285"/>
  <c r="HJ7" i="285"/>
  <c r="HM9" i="285"/>
  <c r="HK9" i="285"/>
  <c r="HL9" i="285"/>
  <c r="HJ9" i="285"/>
  <c r="HM11" i="285"/>
  <c r="HK11" i="285"/>
  <c r="HL11" i="285"/>
  <c r="HJ11" i="285"/>
  <c r="HL13" i="285"/>
  <c r="HJ13" i="285"/>
  <c r="HM13" i="285"/>
  <c r="HK13" i="285"/>
  <c r="HL15" i="285"/>
  <c r="HJ15" i="285"/>
  <c r="HM15" i="285"/>
  <c r="HK15" i="285"/>
  <c r="HL17" i="285"/>
  <c r="HJ17" i="285"/>
  <c r="HM17" i="285"/>
  <c r="HK17" i="285"/>
  <c r="HL19" i="285"/>
  <c r="HJ19" i="285"/>
  <c r="HM19" i="285"/>
  <c r="HK19" i="285"/>
  <c r="HL21" i="285"/>
  <c r="HJ21" i="285"/>
  <c r="HM21" i="285"/>
  <c r="HK21" i="285"/>
  <c r="HL23" i="285"/>
  <c r="HJ23" i="285"/>
  <c r="HM23" i="285"/>
  <c r="HK23" i="285"/>
  <c r="HL25" i="285"/>
  <c r="HJ25" i="285"/>
  <c r="HM25" i="285"/>
  <c r="HK25" i="285"/>
  <c r="HL27" i="285"/>
  <c r="HJ27" i="285"/>
  <c r="HM27" i="285"/>
  <c r="HK27" i="285"/>
  <c r="HL29" i="285"/>
  <c r="HJ29" i="285"/>
  <c r="HM29" i="285"/>
  <c r="HK29" i="285"/>
  <c r="HL31" i="285"/>
  <c r="HJ31" i="285"/>
  <c r="HM31" i="285"/>
  <c r="HK31" i="285"/>
  <c r="HQ3" i="285"/>
  <c r="HO3" i="285"/>
  <c r="HP3" i="285"/>
  <c r="HN3" i="285"/>
  <c r="HQ5" i="285"/>
  <c r="HO5" i="285"/>
  <c r="HP5" i="285"/>
  <c r="HN5" i="285"/>
  <c r="HQ7" i="285"/>
  <c r="HO7" i="285"/>
  <c r="HP7" i="285"/>
  <c r="HN7" i="285"/>
  <c r="HQ9" i="285"/>
  <c r="HO9" i="285"/>
  <c r="HP9" i="285"/>
  <c r="HN9" i="285"/>
  <c r="HQ11" i="285"/>
  <c r="HO11" i="285"/>
  <c r="HP11" i="285"/>
  <c r="HN11" i="285"/>
  <c r="HP13" i="285"/>
  <c r="HN13" i="285"/>
  <c r="HQ13" i="285"/>
  <c r="HO13" i="285"/>
  <c r="HP15" i="285"/>
  <c r="HN15" i="285"/>
  <c r="HQ15" i="285"/>
  <c r="HO15" i="285"/>
  <c r="HP17" i="285"/>
  <c r="HN17" i="285"/>
  <c r="HQ17" i="285"/>
  <c r="HO17" i="285"/>
  <c r="HP19" i="285"/>
  <c r="HN19" i="285"/>
  <c r="HQ19" i="285"/>
  <c r="HO19" i="285"/>
  <c r="HP21" i="285"/>
  <c r="HN21" i="285"/>
  <c r="HQ21" i="285"/>
  <c r="HO21" i="285"/>
  <c r="HP23" i="285"/>
  <c r="HN23" i="285"/>
  <c r="HQ23" i="285"/>
  <c r="HO23" i="285"/>
  <c r="HP25" i="285"/>
  <c r="HN25" i="285"/>
  <c r="HQ25" i="285"/>
  <c r="HO25" i="285"/>
  <c r="HP27" i="285"/>
  <c r="HN27" i="285"/>
  <c r="HQ27" i="285"/>
  <c r="HO27" i="285"/>
  <c r="HP29" i="285"/>
  <c r="HN29" i="285"/>
  <c r="HQ29" i="285"/>
  <c r="HO29" i="285"/>
  <c r="HP31" i="285"/>
  <c r="HN31" i="285"/>
  <c r="HQ31" i="285"/>
  <c r="HO31" i="285"/>
  <c r="HU3" i="285"/>
  <c r="HS3" i="285"/>
  <c r="HT3" i="285"/>
  <c r="HR3" i="285"/>
  <c r="HU5" i="285"/>
  <c r="HS5" i="285"/>
  <c r="HT5" i="285"/>
  <c r="HR5" i="285"/>
  <c r="HU7" i="285"/>
  <c r="HS7" i="285"/>
  <c r="HT7" i="285"/>
  <c r="HR7" i="285"/>
  <c r="HU9" i="285"/>
  <c r="HS9" i="285"/>
  <c r="HT9" i="285"/>
  <c r="HR9" i="285"/>
  <c r="HU11" i="285"/>
  <c r="HS11" i="285"/>
  <c r="HT11" i="285"/>
  <c r="HR11" i="285"/>
  <c r="HT13" i="285"/>
  <c r="HR13" i="285"/>
  <c r="HU13" i="285"/>
  <c r="HS13" i="285"/>
  <c r="HT15" i="285"/>
  <c r="HR15" i="285"/>
  <c r="HU15" i="285"/>
  <c r="HS15" i="285"/>
  <c r="HT17" i="285"/>
  <c r="HR17" i="285"/>
  <c r="HU17" i="285"/>
  <c r="HS17" i="285"/>
  <c r="HT19" i="285"/>
  <c r="HR19" i="285"/>
  <c r="HU19" i="285"/>
  <c r="HS19" i="285"/>
  <c r="HT21" i="285"/>
  <c r="HR21" i="285"/>
  <c r="HU21" i="285"/>
  <c r="HS21" i="285"/>
  <c r="HT23" i="285"/>
  <c r="HR23" i="285"/>
  <c r="HU23" i="285"/>
  <c r="HS23" i="285"/>
  <c r="HT25" i="285"/>
  <c r="HR25" i="285"/>
  <c r="HU25" i="285"/>
  <c r="HS25" i="285"/>
  <c r="HT27" i="285"/>
  <c r="HR27" i="285"/>
  <c r="HU27" i="285"/>
  <c r="HS27" i="285"/>
  <c r="HT29" i="285"/>
  <c r="HR29" i="285"/>
  <c r="HU29" i="285"/>
  <c r="HS29" i="285"/>
  <c r="HT31" i="285"/>
  <c r="HR31" i="285"/>
  <c r="HU31" i="285"/>
  <c r="HS31" i="285"/>
  <c r="HY3" i="285"/>
  <c r="HW3" i="285"/>
  <c r="HX3" i="285"/>
  <c r="HV3" i="285"/>
  <c r="HY5" i="285"/>
  <c r="HW5" i="285"/>
  <c r="HX5" i="285"/>
  <c r="HV5" i="285"/>
  <c r="HY7" i="285"/>
  <c r="HW7" i="285"/>
  <c r="HX7" i="285"/>
  <c r="HV7" i="285"/>
  <c r="HY9" i="285"/>
  <c r="HW9" i="285"/>
  <c r="HX9" i="285"/>
  <c r="HV9" i="285"/>
  <c r="HY11" i="285"/>
  <c r="HW11" i="285"/>
  <c r="HX11" i="285"/>
  <c r="HV11" i="285"/>
  <c r="HX13" i="285"/>
  <c r="HV13" i="285"/>
  <c r="HY13" i="285"/>
  <c r="HW13" i="285"/>
  <c r="HX15" i="285"/>
  <c r="HV15" i="285"/>
  <c r="HY15" i="285"/>
  <c r="HW15" i="285"/>
  <c r="HX17" i="285"/>
  <c r="HV17" i="285"/>
  <c r="HY17" i="285"/>
  <c r="HW17" i="285"/>
  <c r="HX19" i="285"/>
  <c r="HV19" i="285"/>
  <c r="HY19" i="285"/>
  <c r="HW19" i="285"/>
  <c r="HX21" i="285"/>
  <c r="HV21" i="285"/>
  <c r="HY21" i="285"/>
  <c r="HW21" i="285"/>
  <c r="HX23" i="285"/>
  <c r="HV23" i="285"/>
  <c r="HY23" i="285"/>
  <c r="HW23" i="285"/>
  <c r="HX25" i="285"/>
  <c r="HV25" i="285"/>
  <c r="HY25" i="285"/>
  <c r="HW25" i="285"/>
  <c r="HX27" i="285"/>
  <c r="HV27" i="285"/>
  <c r="HY27" i="285"/>
  <c r="HW27" i="285"/>
  <c r="HX29" i="285"/>
  <c r="HV29" i="285"/>
  <c r="HY29" i="285"/>
  <c r="HW29" i="285"/>
  <c r="HX31" i="285"/>
  <c r="HV31" i="285"/>
  <c r="HY31" i="285"/>
  <c r="HW31" i="285"/>
  <c r="IC3" i="285"/>
  <c r="IA3" i="285"/>
  <c r="IB3" i="285"/>
  <c r="HZ3" i="285"/>
  <c r="IC5" i="285"/>
  <c r="IA5" i="285"/>
  <c r="IB5" i="285"/>
  <c r="HZ5" i="285"/>
  <c r="IC7" i="285"/>
  <c r="IA7" i="285"/>
  <c r="IB7" i="285"/>
  <c r="HZ7" i="285"/>
  <c r="IC9" i="285"/>
  <c r="IA9" i="285"/>
  <c r="IB9" i="285"/>
  <c r="HZ9" i="285"/>
  <c r="IC11" i="285"/>
  <c r="IA11" i="285"/>
  <c r="IB11" i="285"/>
  <c r="HZ11" i="285"/>
  <c r="IB13" i="285"/>
  <c r="HZ13" i="285"/>
  <c r="IC13" i="285"/>
  <c r="IA13" i="285"/>
  <c r="IB15" i="285"/>
  <c r="HZ15" i="285"/>
  <c r="IC15" i="285"/>
  <c r="IA15" i="285"/>
  <c r="IB17" i="285"/>
  <c r="HZ17" i="285"/>
  <c r="IC17" i="285"/>
  <c r="IA17" i="285"/>
  <c r="IB19" i="285"/>
  <c r="HZ19" i="285"/>
  <c r="IC19" i="285"/>
  <c r="IA19" i="285"/>
  <c r="IB21" i="285"/>
  <c r="HZ21" i="285"/>
  <c r="IC21" i="285"/>
  <c r="IA21" i="285"/>
  <c r="IB23" i="285"/>
  <c r="HZ23" i="285"/>
  <c r="IC23" i="285"/>
  <c r="IA23" i="285"/>
  <c r="IB25" i="285"/>
  <c r="HZ25" i="285"/>
  <c r="IC25" i="285"/>
  <c r="IA25" i="285"/>
  <c r="IB27" i="285"/>
  <c r="HZ27" i="285"/>
  <c r="IC27" i="285"/>
  <c r="IA27" i="285"/>
  <c r="IB29" i="285"/>
  <c r="HZ29" i="285"/>
  <c r="IC29" i="285"/>
  <c r="IA29" i="285"/>
  <c r="IB31" i="285"/>
  <c r="HZ31" i="285"/>
  <c r="IC31" i="285"/>
  <c r="IA31" i="285"/>
  <c r="IG3" i="285"/>
  <c r="IE3" i="285"/>
  <c r="IF3" i="285"/>
  <c r="ID3" i="285"/>
  <c r="IG5" i="285"/>
  <c r="IE5" i="285"/>
  <c r="IF5" i="285"/>
  <c r="ID5" i="285"/>
  <c r="IG7" i="285"/>
  <c r="IE7" i="285"/>
  <c r="IF7" i="285"/>
  <c r="ID7" i="285"/>
  <c r="IG9" i="285"/>
  <c r="IE9" i="285"/>
  <c r="IF9" i="285"/>
  <c r="ID9" i="285"/>
  <c r="IG11" i="285"/>
  <c r="IE11" i="285"/>
  <c r="IF11" i="285"/>
  <c r="ID11" i="285"/>
  <c r="IF13" i="285"/>
  <c r="ID13" i="285"/>
  <c r="IG13" i="285"/>
  <c r="IE13" i="285"/>
  <c r="IF15" i="285"/>
  <c r="ID15" i="285"/>
  <c r="IG15" i="285"/>
  <c r="IE15" i="285"/>
  <c r="IF17" i="285"/>
  <c r="ID17" i="285"/>
  <c r="IG17" i="285"/>
  <c r="IE17" i="285"/>
  <c r="IF19" i="285"/>
  <c r="ID19" i="285"/>
  <c r="IG19" i="285"/>
  <c r="IE19" i="285"/>
  <c r="IF21" i="285"/>
  <c r="ID21" i="285"/>
  <c r="IG21" i="285"/>
  <c r="IE21" i="285"/>
  <c r="IF23" i="285"/>
  <c r="ID23" i="285"/>
  <c r="IG23" i="285"/>
  <c r="IE23" i="285"/>
  <c r="IF25" i="285"/>
  <c r="ID25" i="285"/>
  <c r="IG25" i="285"/>
  <c r="IE25" i="285"/>
  <c r="IF27" i="285"/>
  <c r="ID27" i="285"/>
  <c r="IG27" i="285"/>
  <c r="IE27" i="285"/>
  <c r="IF29" i="285"/>
  <c r="ID29" i="285"/>
  <c r="IG29" i="285"/>
  <c r="IE29" i="285"/>
  <c r="IF31" i="285"/>
  <c r="ID31" i="285"/>
  <c r="IG31" i="285"/>
  <c r="IE31" i="285"/>
  <c r="IK3" i="285"/>
  <c r="II3" i="285"/>
  <c r="IJ3" i="285"/>
  <c r="IH3" i="285"/>
  <c r="IK5" i="285"/>
  <c r="II5" i="285"/>
  <c r="IJ5" i="285"/>
  <c r="IH5" i="285"/>
  <c r="IK7" i="285"/>
  <c r="II7" i="285"/>
  <c r="IJ7" i="285"/>
  <c r="IH7" i="285"/>
  <c r="IK9" i="285"/>
  <c r="II9" i="285"/>
  <c r="IJ9" i="285"/>
  <c r="IH9" i="285"/>
  <c r="IK11" i="285"/>
  <c r="II11" i="285"/>
  <c r="IJ11" i="285"/>
  <c r="IH11" i="285"/>
  <c r="IJ13" i="285"/>
  <c r="IH13" i="285"/>
  <c r="IK13" i="285"/>
  <c r="II13" i="285"/>
  <c r="IJ15" i="285"/>
  <c r="IH15" i="285"/>
  <c r="IK15" i="285"/>
  <c r="II15" i="285"/>
  <c r="IJ17" i="285"/>
  <c r="IH17" i="285"/>
  <c r="IK17" i="285"/>
  <c r="II17" i="285"/>
  <c r="IJ19" i="285"/>
  <c r="IH19" i="285"/>
  <c r="IK19" i="285"/>
  <c r="II19" i="285"/>
  <c r="IJ21" i="285"/>
  <c r="IH21" i="285"/>
  <c r="IK21" i="285"/>
  <c r="II21" i="285"/>
  <c r="IJ23" i="285"/>
  <c r="IH23" i="285"/>
  <c r="IK23" i="285"/>
  <c r="II23" i="285"/>
  <c r="IJ25" i="285"/>
  <c r="IH25" i="285"/>
  <c r="IK25" i="285"/>
  <c r="II25" i="285"/>
  <c r="IJ27" i="285"/>
  <c r="IH27" i="285"/>
  <c r="IK27" i="285"/>
  <c r="II27" i="285"/>
  <c r="IJ29" i="285"/>
  <c r="IH29" i="285"/>
  <c r="IK29" i="285"/>
  <c r="II29" i="285"/>
  <c r="IJ31" i="285"/>
  <c r="IH31" i="285"/>
  <c r="IK31" i="285"/>
  <c r="II31" i="285"/>
  <c r="IO3" i="285"/>
  <c r="IM3" i="285"/>
  <c r="IN3" i="285"/>
  <c r="IL3" i="285"/>
  <c r="IO5" i="285"/>
  <c r="IM5" i="285"/>
  <c r="IN5" i="285"/>
  <c r="IL5" i="285"/>
  <c r="IO7" i="285"/>
  <c r="IM7" i="285"/>
  <c r="IN7" i="285"/>
  <c r="IL7" i="285"/>
  <c r="IO9" i="285"/>
  <c r="IM9" i="285"/>
  <c r="IN9" i="285"/>
  <c r="IL9" i="285"/>
  <c r="IO11" i="285"/>
  <c r="IM11" i="285"/>
  <c r="IN11" i="285"/>
  <c r="IL11" i="285"/>
  <c r="IN13" i="285"/>
  <c r="IL13" i="285"/>
  <c r="IO13" i="285"/>
  <c r="IM13" i="285"/>
  <c r="IN15" i="285"/>
  <c r="IL15" i="285"/>
  <c r="IO15" i="285"/>
  <c r="IM15" i="285"/>
  <c r="IN17" i="285"/>
  <c r="IL17" i="285"/>
  <c r="IO17" i="285"/>
  <c r="IM17" i="285"/>
  <c r="IN19" i="285"/>
  <c r="IL19" i="285"/>
  <c r="IO19" i="285"/>
  <c r="IM19" i="285"/>
  <c r="IN21" i="285"/>
  <c r="IL21" i="285"/>
  <c r="IO21" i="285"/>
  <c r="IM21" i="285"/>
  <c r="IN23" i="285"/>
  <c r="IL23" i="285"/>
  <c r="IO23" i="285"/>
  <c r="IM23" i="285"/>
  <c r="IN25" i="285"/>
  <c r="IL25" i="285"/>
  <c r="IO25" i="285"/>
  <c r="IM25" i="285"/>
  <c r="IN27" i="285"/>
  <c r="IL27" i="285"/>
  <c r="IO27" i="285"/>
  <c r="IM27" i="285"/>
  <c r="IN29" i="285"/>
  <c r="IL29" i="285"/>
  <c r="IO29" i="285"/>
  <c r="IM29" i="285"/>
  <c r="IN31" i="285"/>
  <c r="IL31" i="285"/>
  <c r="IO31" i="285"/>
  <c r="IM31" i="285"/>
  <c r="IS3" i="285"/>
  <c r="IQ3" i="285"/>
  <c r="IR3" i="285"/>
  <c r="IP3" i="285"/>
  <c r="IS5" i="285"/>
  <c r="IQ5" i="285"/>
  <c r="IR5" i="285"/>
  <c r="IP5" i="285"/>
  <c r="IS7" i="285"/>
  <c r="IQ7" i="285"/>
  <c r="IR7" i="285"/>
  <c r="IP7" i="285"/>
  <c r="IS9" i="285"/>
  <c r="IQ9" i="285"/>
  <c r="IR9" i="285"/>
  <c r="IP9" i="285"/>
  <c r="IS11" i="285"/>
  <c r="IQ11" i="285"/>
  <c r="IR11" i="285"/>
  <c r="IP11" i="285"/>
  <c r="IR13" i="285"/>
  <c r="IP13" i="285"/>
  <c r="IS13" i="285"/>
  <c r="IQ13" i="285"/>
  <c r="IR15" i="285"/>
  <c r="IP15" i="285"/>
  <c r="IS15" i="285"/>
  <c r="IQ15" i="285"/>
  <c r="IR17" i="285"/>
  <c r="IP17" i="285"/>
  <c r="IS17" i="285"/>
  <c r="IQ17" i="285"/>
  <c r="IR19" i="285"/>
  <c r="IP19" i="285"/>
  <c r="IS19" i="285"/>
  <c r="IQ19" i="285"/>
  <c r="IR21" i="285"/>
  <c r="IP21" i="285"/>
  <c r="IS21" i="285"/>
  <c r="IQ21" i="285"/>
  <c r="IR23" i="285"/>
  <c r="IP23" i="285"/>
  <c r="IS23" i="285"/>
  <c r="IQ23" i="285"/>
  <c r="IR25" i="285"/>
  <c r="IP25" i="285"/>
  <c r="IS25" i="285"/>
  <c r="IQ25" i="285"/>
  <c r="IR27" i="285"/>
  <c r="IP27" i="285"/>
  <c r="IS27" i="285"/>
  <c r="IQ27" i="285"/>
  <c r="IR29" i="285"/>
  <c r="IP29" i="285"/>
  <c r="IS29" i="285"/>
  <c r="IQ29" i="285"/>
  <c r="IR31" i="285"/>
  <c r="IP31" i="285"/>
  <c r="IS31" i="285"/>
  <c r="IQ31" i="285"/>
  <c r="IW3" i="285"/>
  <c r="IU3" i="285"/>
  <c r="IV3" i="285"/>
  <c r="IT3" i="285"/>
  <c r="IW5" i="285"/>
  <c r="IU5" i="285"/>
  <c r="IV5" i="285"/>
  <c r="IT5" i="285"/>
  <c r="IW7" i="285"/>
  <c r="IU7" i="285"/>
  <c r="IV7" i="285"/>
  <c r="IT7" i="285"/>
  <c r="IW9" i="285"/>
  <c r="IU9" i="285"/>
  <c r="IV9" i="285"/>
  <c r="IT9" i="285"/>
  <c r="IW11" i="285"/>
  <c r="IU11" i="285"/>
  <c r="IV11" i="285"/>
  <c r="IT11" i="285"/>
  <c r="IV13" i="285"/>
  <c r="IT13" i="285"/>
  <c r="IW13" i="285"/>
  <c r="IU13" i="285"/>
  <c r="IV15" i="285"/>
  <c r="IT15" i="285"/>
  <c r="IW15" i="285"/>
  <c r="IU15" i="285"/>
  <c r="IV17" i="285"/>
  <c r="IT17" i="285"/>
  <c r="IW17" i="285"/>
  <c r="IU17" i="285"/>
  <c r="IV19" i="285"/>
  <c r="IT19" i="285"/>
  <c r="IW19" i="285"/>
  <c r="IU19" i="285"/>
  <c r="IV21" i="285"/>
  <c r="IT21" i="285"/>
  <c r="IW21" i="285"/>
  <c r="IU21" i="285"/>
  <c r="IV23" i="285"/>
  <c r="IT23" i="285"/>
  <c r="IW23" i="285"/>
  <c r="IU23" i="285"/>
  <c r="IV25" i="285"/>
  <c r="IT25" i="285"/>
  <c r="IW25" i="285"/>
  <c r="IU25" i="285"/>
  <c r="IV27" i="285"/>
  <c r="IT27" i="285"/>
  <c r="IW27" i="285"/>
  <c r="IU27" i="285"/>
  <c r="IV29" i="285"/>
  <c r="IT29" i="285"/>
  <c r="IW29" i="285"/>
  <c r="IU29" i="285"/>
  <c r="IV31" i="285"/>
  <c r="IT31" i="285"/>
  <c r="IW31" i="285"/>
  <c r="IU31" i="285"/>
  <c r="JA3" i="285"/>
  <c r="IY3" i="285"/>
  <c r="IZ3" i="285"/>
  <c r="IX3" i="285"/>
  <c r="JA5" i="285"/>
  <c r="IY5" i="285"/>
  <c r="IZ5" i="285"/>
  <c r="IX5" i="285"/>
  <c r="JA7" i="285"/>
  <c r="IY7" i="285"/>
  <c r="IZ7" i="285"/>
  <c r="IX7" i="285"/>
  <c r="JA9" i="285"/>
  <c r="IY9" i="285"/>
  <c r="IZ9" i="285"/>
  <c r="IX9" i="285"/>
  <c r="JA11" i="285"/>
  <c r="IY11" i="285"/>
  <c r="IZ11" i="285"/>
  <c r="IX11" i="285"/>
  <c r="IZ13" i="285"/>
  <c r="IX13" i="285"/>
  <c r="JA13" i="285"/>
  <c r="IY13" i="285"/>
  <c r="IZ15" i="285"/>
  <c r="IX15" i="285"/>
  <c r="JA15" i="285"/>
  <c r="IY15" i="285"/>
  <c r="IZ17" i="285"/>
  <c r="IX17" i="285"/>
  <c r="JA17" i="285"/>
  <c r="IY17" i="285"/>
  <c r="IZ19" i="285"/>
  <c r="IX19" i="285"/>
  <c r="JA19" i="285"/>
  <c r="IY19" i="285"/>
  <c r="IZ21" i="285"/>
  <c r="IX21" i="285"/>
  <c r="JA21" i="285"/>
  <c r="IY21" i="285"/>
  <c r="IZ23" i="285"/>
  <c r="IX23" i="285"/>
  <c r="JA23" i="285"/>
  <c r="IY23" i="285"/>
  <c r="IZ25" i="285"/>
  <c r="IX25" i="285"/>
  <c r="JA25" i="285"/>
  <c r="IY25" i="285"/>
  <c r="IZ27" i="285"/>
  <c r="IX27" i="285"/>
  <c r="JA27" i="285"/>
  <c r="IY27" i="285"/>
  <c r="IZ29" i="285"/>
  <c r="IX29" i="285"/>
  <c r="JA29" i="285"/>
  <c r="IY29" i="285"/>
  <c r="IZ31" i="285"/>
  <c r="IX31" i="285"/>
  <c r="JA31" i="285"/>
  <c r="IY31" i="285"/>
  <c r="LE3" i="285"/>
  <c r="LC3" i="285"/>
  <c r="LD3" i="285"/>
  <c r="LB3" i="285"/>
  <c r="G121" i="268"/>
  <c r="AH11" i="262" s="1"/>
  <c r="AL11" i="262" s="1"/>
  <c r="LE5" i="285"/>
  <c r="LC5" i="285"/>
  <c r="LD5" i="285"/>
  <c r="LB5" i="285"/>
  <c r="LE7" i="285"/>
  <c r="LC7" i="285"/>
  <c r="LD7" i="285"/>
  <c r="LB7" i="285"/>
  <c r="K121" i="268"/>
  <c r="AH15" i="262" s="1"/>
  <c r="AL15" i="262" s="1"/>
  <c r="LE9" i="285"/>
  <c r="LC9" i="285"/>
  <c r="LD9" i="285"/>
  <c r="LB9" i="285"/>
  <c r="LE11" i="285"/>
  <c r="LC11" i="285"/>
  <c r="LD11" i="285"/>
  <c r="LB11" i="285"/>
  <c r="O121" i="268"/>
  <c r="AH19" i="262" s="1"/>
  <c r="AL19" i="262" s="1"/>
  <c r="LD13" i="285"/>
  <c r="LB13" i="285"/>
  <c r="LE13" i="285"/>
  <c r="LC13" i="285"/>
  <c r="LD15" i="285"/>
  <c r="LB15" i="285"/>
  <c r="LE15" i="285"/>
  <c r="LC15" i="285"/>
  <c r="S121" i="268"/>
  <c r="AH23" i="262" s="1"/>
  <c r="AL23" i="262" s="1"/>
  <c r="LD17" i="285"/>
  <c r="LB17" i="285"/>
  <c r="LE17" i="285"/>
  <c r="LC17" i="285"/>
  <c r="LD19" i="285"/>
  <c r="LB19" i="285"/>
  <c r="LE19" i="285"/>
  <c r="LC19" i="285"/>
  <c r="W121" i="268"/>
  <c r="AH27" i="262" s="1"/>
  <c r="AL27" i="262" s="1"/>
  <c r="LD21" i="285"/>
  <c r="LB21" i="285"/>
  <c r="LE21" i="285"/>
  <c r="LC21" i="285"/>
  <c r="LD23" i="285"/>
  <c r="LB23" i="285"/>
  <c r="LE23" i="285"/>
  <c r="LC23" i="285"/>
  <c r="AA121" i="268"/>
  <c r="AH31" i="262" s="1"/>
  <c r="AL31" i="262" s="1"/>
  <c r="LD25" i="285"/>
  <c r="LB25" i="285"/>
  <c r="LE25" i="285"/>
  <c r="LC25" i="285"/>
  <c r="LD27" i="285"/>
  <c r="LB27" i="285"/>
  <c r="LE27" i="285"/>
  <c r="LC27" i="285"/>
  <c r="AE121" i="268"/>
  <c r="AH35" i="262" s="1"/>
  <c r="AL35" i="262" s="1"/>
  <c r="LD29" i="285"/>
  <c r="LB29" i="285"/>
  <c r="LE29" i="285"/>
  <c r="LC29" i="285"/>
  <c r="LD31" i="285"/>
  <c r="LB31" i="285"/>
  <c r="LE31" i="285"/>
  <c r="LC31" i="285"/>
  <c r="E121" i="268"/>
  <c r="AH9" i="262" s="1"/>
  <c r="AL9" i="262" s="1"/>
  <c r="LI3" i="285"/>
  <c r="LG3" i="285"/>
  <c r="LH3" i="285"/>
  <c r="LF3" i="285"/>
  <c r="LI5" i="285"/>
  <c r="LG5" i="285"/>
  <c r="LH5" i="285"/>
  <c r="LF5" i="285"/>
  <c r="I121" i="268"/>
  <c r="AH13" i="262" s="1"/>
  <c r="AL13" i="262" s="1"/>
  <c r="LI7" i="285"/>
  <c r="LG7" i="285"/>
  <c r="LH7" i="285"/>
  <c r="LF7" i="285"/>
  <c r="LI9" i="285"/>
  <c r="LG9" i="285"/>
  <c r="LH9" i="285"/>
  <c r="LF9" i="285"/>
  <c r="M121" i="268"/>
  <c r="AH17" i="262" s="1"/>
  <c r="AL17" i="262" s="1"/>
  <c r="LI11" i="285"/>
  <c r="LG11" i="285"/>
  <c r="LH11" i="285"/>
  <c r="LF11" i="285"/>
  <c r="LH13" i="285"/>
  <c r="LF13" i="285"/>
  <c r="LI13" i="285"/>
  <c r="LG13" i="285"/>
  <c r="Q121" i="268"/>
  <c r="AH21" i="262" s="1"/>
  <c r="AL21" i="262" s="1"/>
  <c r="LH15" i="285"/>
  <c r="LF15" i="285"/>
  <c r="LI15" i="285"/>
  <c r="LG15" i="285"/>
  <c r="LH17" i="285"/>
  <c r="LF17" i="285"/>
  <c r="LI17" i="285"/>
  <c r="LG17" i="285"/>
  <c r="U121" i="268"/>
  <c r="AH25" i="262" s="1"/>
  <c r="AL25" i="262" s="1"/>
  <c r="LH19" i="285"/>
  <c r="LF19" i="285"/>
  <c r="LI19" i="285"/>
  <c r="LG19" i="285"/>
  <c r="LH21" i="285"/>
  <c r="LF21" i="285"/>
  <c r="LI21" i="285"/>
  <c r="LG21" i="285"/>
  <c r="Y121" i="268"/>
  <c r="AH29" i="262" s="1"/>
  <c r="AL29" i="262" s="1"/>
  <c r="LH23" i="285"/>
  <c r="LF23" i="285"/>
  <c r="LI23" i="285"/>
  <c r="LG23" i="285"/>
  <c r="LH25" i="285"/>
  <c r="LF25" i="285"/>
  <c r="LI25" i="285"/>
  <c r="LG25" i="285"/>
  <c r="AC121" i="268"/>
  <c r="AH33" i="262" s="1"/>
  <c r="AL33" i="262" s="1"/>
  <c r="LH27" i="285"/>
  <c r="LF27" i="285"/>
  <c r="LI27" i="285"/>
  <c r="LG27" i="285"/>
  <c r="LH29" i="285"/>
  <c r="LF29" i="285"/>
  <c r="LI29" i="285"/>
  <c r="LG29" i="285"/>
  <c r="AG121" i="268"/>
  <c r="AH37" i="262" s="1"/>
  <c r="AL37" i="262" s="1"/>
  <c r="LH31" i="285"/>
  <c r="LF31" i="285"/>
  <c r="LI31" i="285"/>
  <c r="LG31" i="285"/>
  <c r="LM3" i="285"/>
  <c r="LK3" i="285"/>
  <c r="LL3" i="285"/>
  <c r="LJ3" i="285"/>
  <c r="LM5" i="285"/>
  <c r="LK5" i="285"/>
  <c r="LL5" i="285"/>
  <c r="LJ5" i="285"/>
  <c r="LM7" i="285"/>
  <c r="LK7" i="285"/>
  <c r="LL7" i="285"/>
  <c r="LJ7" i="285"/>
  <c r="LM9" i="285"/>
  <c r="LK9" i="285"/>
  <c r="LL9" i="285"/>
  <c r="LJ9" i="285"/>
  <c r="LM11" i="285"/>
  <c r="LK11" i="285"/>
  <c r="LL11" i="285"/>
  <c r="LJ11" i="285"/>
  <c r="LL13" i="285"/>
  <c r="LJ13" i="285"/>
  <c r="LM13" i="285"/>
  <c r="LK13" i="285"/>
  <c r="LL15" i="285"/>
  <c r="LJ15" i="285"/>
  <c r="LM15" i="285"/>
  <c r="LK15" i="285"/>
  <c r="LL17" i="285"/>
  <c r="LJ17" i="285"/>
  <c r="LM17" i="285"/>
  <c r="LK17" i="285"/>
  <c r="LL19" i="285"/>
  <c r="LJ19" i="285"/>
  <c r="LM19" i="285"/>
  <c r="LK19" i="285"/>
  <c r="LL21" i="285"/>
  <c r="LJ21" i="285"/>
  <c r="LM21" i="285"/>
  <c r="LK21" i="285"/>
  <c r="LL23" i="285"/>
  <c r="LJ23" i="285"/>
  <c r="LM23" i="285"/>
  <c r="LK23" i="285"/>
  <c r="LL25" i="285"/>
  <c r="LJ25" i="285"/>
  <c r="LM25" i="285"/>
  <c r="LK25" i="285"/>
  <c r="LL27" i="285"/>
  <c r="LJ27" i="285"/>
  <c r="LM27" i="285"/>
  <c r="LK27" i="285"/>
  <c r="LL29" i="285"/>
  <c r="LJ29" i="285"/>
  <c r="LM29" i="285"/>
  <c r="LK29" i="285"/>
  <c r="LL31" i="285"/>
  <c r="LJ31" i="285"/>
  <c r="LM31" i="285"/>
  <c r="LK31" i="285"/>
  <c r="LQ3" i="285"/>
  <c r="LO3" i="285"/>
  <c r="LP3" i="285"/>
  <c r="LN3" i="285"/>
  <c r="LQ5" i="285"/>
  <c r="LO5" i="285"/>
  <c r="LP5" i="285"/>
  <c r="LN5" i="285"/>
  <c r="LQ7" i="285"/>
  <c r="LO7" i="285"/>
  <c r="LP7" i="285"/>
  <c r="LN7" i="285"/>
  <c r="LQ9" i="285"/>
  <c r="LO9" i="285"/>
  <c r="LP9" i="285"/>
  <c r="LN9" i="285"/>
  <c r="LQ11" i="285"/>
  <c r="LO11" i="285"/>
  <c r="LP11" i="285"/>
  <c r="LN11" i="285"/>
  <c r="LP13" i="285"/>
  <c r="LN13" i="285"/>
  <c r="LQ13" i="285"/>
  <c r="LO13" i="285"/>
  <c r="LP15" i="285"/>
  <c r="LN15" i="285"/>
  <c r="LQ15" i="285"/>
  <c r="LO15" i="285"/>
  <c r="LP17" i="285"/>
  <c r="LN17" i="285"/>
  <c r="LQ17" i="285"/>
  <c r="LO17" i="285"/>
  <c r="LP19" i="285"/>
  <c r="LN19" i="285"/>
  <c r="LQ19" i="285"/>
  <c r="LO19" i="285"/>
  <c r="LP21" i="285"/>
  <c r="LN21" i="285"/>
  <c r="LQ21" i="285"/>
  <c r="LO21" i="285"/>
  <c r="LP23" i="285"/>
  <c r="LN23" i="285"/>
  <c r="LQ23" i="285"/>
  <c r="LO23" i="285"/>
  <c r="LP25" i="285"/>
  <c r="LN25" i="285"/>
  <c r="LQ25" i="285"/>
  <c r="LO25" i="285"/>
  <c r="LP27" i="285"/>
  <c r="LN27" i="285"/>
  <c r="LQ27" i="285"/>
  <c r="LO27" i="285"/>
  <c r="LP29" i="285"/>
  <c r="LN29" i="285"/>
  <c r="LQ29" i="285"/>
  <c r="LO29" i="285"/>
  <c r="LP31" i="285"/>
  <c r="LN31" i="285"/>
  <c r="LQ31" i="285"/>
  <c r="LO31" i="285"/>
  <c r="LU3" i="285"/>
  <c r="LS3" i="285"/>
  <c r="LT3" i="285"/>
  <c r="LR3" i="285"/>
  <c r="LU5" i="285"/>
  <c r="LS5" i="285"/>
  <c r="LT5" i="285"/>
  <c r="LR5" i="285"/>
  <c r="LU7" i="285"/>
  <c r="LS7" i="285"/>
  <c r="LT7" i="285"/>
  <c r="LR7" i="285"/>
  <c r="LU9" i="285"/>
  <c r="LS9" i="285"/>
  <c r="LT9" i="285"/>
  <c r="LR9" i="285"/>
  <c r="LU11" i="285"/>
  <c r="LS11" i="285"/>
  <c r="LT11" i="285"/>
  <c r="LR11" i="285"/>
  <c r="LT13" i="285"/>
  <c r="LR13" i="285"/>
  <c r="LU13" i="285"/>
  <c r="LS13" i="285"/>
  <c r="LT15" i="285"/>
  <c r="LR15" i="285"/>
  <c r="LU15" i="285"/>
  <c r="LS15" i="285"/>
  <c r="LT17" i="285"/>
  <c r="LR17" i="285"/>
  <c r="LU17" i="285"/>
  <c r="LS17" i="285"/>
  <c r="LT19" i="285"/>
  <c r="LR19" i="285"/>
  <c r="LU19" i="285"/>
  <c r="LS19" i="285"/>
  <c r="LT21" i="285"/>
  <c r="LR21" i="285"/>
  <c r="LU21" i="285"/>
  <c r="LS21" i="285"/>
  <c r="LT23" i="285"/>
  <c r="LR23" i="285"/>
  <c r="LU23" i="285"/>
  <c r="LS23" i="285"/>
  <c r="LT25" i="285"/>
  <c r="LR25" i="285"/>
  <c r="LU25" i="285"/>
  <c r="LS25" i="285"/>
  <c r="LT27" i="285"/>
  <c r="LR27" i="285"/>
  <c r="LU27" i="285"/>
  <c r="LS27" i="285"/>
  <c r="LT29" i="285"/>
  <c r="LR29" i="285"/>
  <c r="LU29" i="285"/>
  <c r="LS29" i="285"/>
  <c r="LT31" i="285"/>
  <c r="LR31" i="285"/>
  <c r="LU31" i="285"/>
  <c r="LS31" i="285"/>
  <c r="LY3" i="285"/>
  <c r="LW3" i="285"/>
  <c r="LX3" i="285"/>
  <c r="LV3" i="285"/>
  <c r="LY5" i="285"/>
  <c r="LW5" i="285"/>
  <c r="LX5" i="285"/>
  <c r="LV5" i="285"/>
  <c r="LY7" i="285"/>
  <c r="LW7" i="285"/>
  <c r="LX7" i="285"/>
  <c r="LV7" i="285"/>
  <c r="LY9" i="285"/>
  <c r="LW9" i="285"/>
  <c r="LX9" i="285"/>
  <c r="LV9" i="285"/>
  <c r="LY11" i="285"/>
  <c r="LW11" i="285"/>
  <c r="LX11" i="285"/>
  <c r="LV11" i="285"/>
  <c r="LX13" i="285"/>
  <c r="LV13" i="285"/>
  <c r="LY13" i="285"/>
  <c r="LW13" i="285"/>
  <c r="LX15" i="285"/>
  <c r="LV15" i="285"/>
  <c r="LY15" i="285"/>
  <c r="LW15" i="285"/>
  <c r="LX17" i="285"/>
  <c r="LV17" i="285"/>
  <c r="LY17" i="285"/>
  <c r="LW17" i="285"/>
  <c r="LX19" i="285"/>
  <c r="LV19" i="285"/>
  <c r="LY19" i="285"/>
  <c r="LW19" i="285"/>
  <c r="LX21" i="285"/>
  <c r="LV21" i="285"/>
  <c r="LY21" i="285"/>
  <c r="LW21" i="285"/>
  <c r="LX23" i="285"/>
  <c r="LV23" i="285"/>
  <c r="LY23" i="285"/>
  <c r="LW23" i="285"/>
  <c r="LX25" i="285"/>
  <c r="LV25" i="285"/>
  <c r="LY25" i="285"/>
  <c r="LW25" i="285"/>
  <c r="LX27" i="285"/>
  <c r="LV27" i="285"/>
  <c r="LY27" i="285"/>
  <c r="LW27" i="285"/>
  <c r="LX29" i="285"/>
  <c r="LV29" i="285"/>
  <c r="LY29" i="285"/>
  <c r="LW29" i="285"/>
  <c r="LX31" i="285"/>
  <c r="LV31" i="285"/>
  <c r="LY31" i="285"/>
  <c r="LW31" i="285"/>
  <c r="MC3" i="285"/>
  <c r="MA3" i="285"/>
  <c r="MB3" i="285"/>
  <c r="LZ3" i="285"/>
  <c r="MC5" i="285"/>
  <c r="MA5" i="285"/>
  <c r="MB5" i="285"/>
  <c r="LZ5" i="285"/>
  <c r="MC7" i="285"/>
  <c r="MA7" i="285"/>
  <c r="MB7" i="285"/>
  <c r="LZ7" i="285"/>
  <c r="MC9" i="285"/>
  <c r="MA9" i="285"/>
  <c r="MB9" i="285"/>
  <c r="LZ9" i="285"/>
  <c r="MC11" i="285"/>
  <c r="MA11" i="285"/>
  <c r="MB11" i="285"/>
  <c r="LZ11" i="285"/>
  <c r="MB13" i="285"/>
  <c r="LZ13" i="285"/>
  <c r="MC13" i="285"/>
  <c r="MA13" i="285"/>
  <c r="MB15" i="285"/>
  <c r="LZ15" i="285"/>
  <c r="MC15" i="285"/>
  <c r="MA15" i="285"/>
  <c r="MB17" i="285"/>
  <c r="LZ17" i="285"/>
  <c r="MC17" i="285"/>
  <c r="MA17" i="285"/>
  <c r="MB19" i="285"/>
  <c r="LZ19" i="285"/>
  <c r="MC19" i="285"/>
  <c r="MA19" i="285"/>
  <c r="MB21" i="285"/>
  <c r="LZ21" i="285"/>
  <c r="MC21" i="285"/>
  <c r="MA21" i="285"/>
  <c r="MB23" i="285"/>
  <c r="LZ23" i="285"/>
  <c r="MC23" i="285"/>
  <c r="MA23" i="285"/>
  <c r="MB25" i="285"/>
  <c r="LZ25" i="285"/>
  <c r="MC25" i="285"/>
  <c r="MA25" i="285"/>
  <c r="MB27" i="285"/>
  <c r="LZ27" i="285"/>
  <c r="MC27" i="285"/>
  <c r="MA27" i="285"/>
  <c r="MB29" i="285"/>
  <c r="LZ29" i="285"/>
  <c r="MC29" i="285"/>
  <c r="MA29" i="285"/>
  <c r="MB31" i="285"/>
  <c r="LZ31" i="285"/>
  <c r="MC31" i="285"/>
  <c r="MA31" i="285"/>
  <c r="MG3" i="285"/>
  <c r="ME3" i="285"/>
  <c r="MF3" i="285"/>
  <c r="MD3" i="285"/>
  <c r="MG5" i="285"/>
  <c r="ME5" i="285"/>
  <c r="MF5" i="285"/>
  <c r="MD5" i="285"/>
  <c r="MG7" i="285"/>
  <c r="ME7" i="285"/>
  <c r="MF7" i="285"/>
  <c r="MD7" i="285"/>
  <c r="MG9" i="285"/>
  <c r="ME9" i="285"/>
  <c r="MF9" i="285"/>
  <c r="MD9" i="285"/>
  <c r="MG11" i="285"/>
  <c r="ME11" i="285"/>
  <c r="MF11" i="285"/>
  <c r="MD11" i="285"/>
  <c r="MF13" i="285"/>
  <c r="MD13" i="285"/>
  <c r="MG13" i="285"/>
  <c r="ME13" i="285"/>
  <c r="MF15" i="285"/>
  <c r="MD15" i="285"/>
  <c r="MG15" i="285"/>
  <c r="ME15" i="285"/>
  <c r="MF17" i="285"/>
  <c r="MD17" i="285"/>
  <c r="MG17" i="285"/>
  <c r="ME17" i="285"/>
  <c r="MF19" i="285"/>
  <c r="MD19" i="285"/>
  <c r="MG19" i="285"/>
  <c r="ME19" i="285"/>
  <c r="MF21" i="285"/>
  <c r="MD21" i="285"/>
  <c r="MG21" i="285"/>
  <c r="ME21" i="285"/>
  <c r="MF23" i="285"/>
  <c r="MD23" i="285"/>
  <c r="MG23" i="285"/>
  <c r="ME23" i="285"/>
  <c r="MF25" i="285"/>
  <c r="MD25" i="285"/>
  <c r="MG25" i="285"/>
  <c r="ME25" i="285"/>
  <c r="MF27" i="285"/>
  <c r="MD27" i="285"/>
  <c r="MG27" i="285"/>
  <c r="ME27" i="285"/>
  <c r="MF29" i="285"/>
  <c r="MD29" i="285"/>
  <c r="MG29" i="285"/>
  <c r="ME29" i="285"/>
  <c r="MF31" i="285"/>
  <c r="MD31" i="285"/>
  <c r="MG31" i="285"/>
  <c r="ME31" i="285"/>
  <c r="MK3" i="285"/>
  <c r="MI3" i="285"/>
  <c r="MJ3" i="285"/>
  <c r="MH3" i="285"/>
  <c r="MK5" i="285"/>
  <c r="MI5" i="285"/>
  <c r="MJ5" i="285"/>
  <c r="MH5" i="285"/>
  <c r="MK7" i="285"/>
  <c r="MI7" i="285"/>
  <c r="MJ7" i="285"/>
  <c r="MH7" i="285"/>
  <c r="MK9" i="285"/>
  <c r="MI9" i="285"/>
  <c r="MJ9" i="285"/>
  <c r="MH9" i="285"/>
  <c r="MK11" i="285"/>
  <c r="MI11" i="285"/>
  <c r="MJ11" i="285"/>
  <c r="MH11" i="285"/>
  <c r="MJ13" i="285"/>
  <c r="MH13" i="285"/>
  <c r="MK13" i="285"/>
  <c r="MI13" i="285"/>
  <c r="MJ15" i="285"/>
  <c r="MH15" i="285"/>
  <c r="MK15" i="285"/>
  <c r="MI15" i="285"/>
  <c r="MJ17" i="285"/>
  <c r="MH17" i="285"/>
  <c r="MK17" i="285"/>
  <c r="MI17" i="285"/>
  <c r="MJ19" i="285"/>
  <c r="MH19" i="285"/>
  <c r="MK19" i="285"/>
  <c r="MI19" i="285"/>
  <c r="MJ21" i="285"/>
  <c r="MH21" i="285"/>
  <c r="MK21" i="285"/>
  <c r="MI21" i="285"/>
  <c r="MJ23" i="285"/>
  <c r="MH23" i="285"/>
  <c r="MK23" i="285"/>
  <c r="MI23" i="285"/>
  <c r="MJ25" i="285"/>
  <c r="MH25" i="285"/>
  <c r="MK25" i="285"/>
  <c r="MI25" i="285"/>
  <c r="MJ27" i="285"/>
  <c r="MH27" i="285"/>
  <c r="MK27" i="285"/>
  <c r="MI27" i="285"/>
  <c r="MJ29" i="285"/>
  <c r="MH29" i="285"/>
  <c r="MK29" i="285"/>
  <c r="MI29" i="285"/>
  <c r="MJ31" i="285"/>
  <c r="MH31" i="285"/>
  <c r="MK31" i="285"/>
  <c r="MI31" i="285"/>
  <c r="MO3" i="285"/>
  <c r="MM3" i="285"/>
  <c r="MN3" i="285"/>
  <c r="ML3" i="285"/>
  <c r="MO5" i="285"/>
  <c r="MM5" i="285"/>
  <c r="MN5" i="285"/>
  <c r="ML5" i="285"/>
  <c r="MO7" i="285"/>
  <c r="MM7" i="285"/>
  <c r="MN7" i="285"/>
  <c r="ML7" i="285"/>
  <c r="MO9" i="285"/>
  <c r="MM9" i="285"/>
  <c r="MN9" i="285"/>
  <c r="ML9" i="285"/>
  <c r="MO11" i="285"/>
  <c r="MM11" i="285"/>
  <c r="MN11" i="285"/>
  <c r="ML11" i="285"/>
  <c r="MN13" i="285"/>
  <c r="ML13" i="285"/>
  <c r="MO13" i="285"/>
  <c r="MM13" i="285"/>
  <c r="MN15" i="285"/>
  <c r="ML15" i="285"/>
  <c r="MO15" i="285"/>
  <c r="MM15" i="285"/>
  <c r="MN17" i="285"/>
  <c r="ML17" i="285"/>
  <c r="MO17" i="285"/>
  <c r="MM17" i="285"/>
  <c r="MN19" i="285"/>
  <c r="ML19" i="285"/>
  <c r="MO19" i="285"/>
  <c r="MM19" i="285"/>
  <c r="MN21" i="285"/>
  <c r="ML21" i="285"/>
  <c r="MO21" i="285"/>
  <c r="MM21" i="285"/>
  <c r="MN23" i="285"/>
  <c r="ML23" i="285"/>
  <c r="MO23" i="285"/>
  <c r="MM23" i="285"/>
  <c r="MN25" i="285"/>
  <c r="ML25" i="285"/>
  <c r="MO25" i="285"/>
  <c r="MM25" i="285"/>
  <c r="MN27" i="285"/>
  <c r="ML27" i="285"/>
  <c r="MO27" i="285"/>
  <c r="MM27" i="285"/>
  <c r="MN29" i="285"/>
  <c r="ML29" i="285"/>
  <c r="MO29" i="285"/>
  <c r="MM29" i="285"/>
  <c r="MN31" i="285"/>
  <c r="ML31" i="285"/>
  <c r="MO31" i="285"/>
  <c r="MM31" i="285"/>
  <c r="MS3" i="285"/>
  <c r="MQ3" i="285"/>
  <c r="MR3" i="285"/>
  <c r="MP3" i="285"/>
  <c r="MS5" i="285"/>
  <c r="MQ5" i="285"/>
  <c r="MR5" i="285"/>
  <c r="MP5" i="285"/>
  <c r="MS7" i="285"/>
  <c r="MQ7" i="285"/>
  <c r="MR7" i="285"/>
  <c r="MP7" i="285"/>
  <c r="MS9" i="285"/>
  <c r="MQ9" i="285"/>
  <c r="MR9" i="285"/>
  <c r="MP9" i="285"/>
  <c r="MS11" i="285"/>
  <c r="MQ11" i="285"/>
  <c r="MR11" i="285"/>
  <c r="MP11" i="285"/>
  <c r="MR13" i="285"/>
  <c r="MP13" i="285"/>
  <c r="MS13" i="285"/>
  <c r="MQ13" i="285"/>
  <c r="MR15" i="285"/>
  <c r="MP15" i="285"/>
  <c r="MS15" i="285"/>
  <c r="MQ15" i="285"/>
  <c r="MR17" i="285"/>
  <c r="MP17" i="285"/>
  <c r="MS17" i="285"/>
  <c r="MQ17" i="285"/>
  <c r="MR19" i="285"/>
  <c r="MP19" i="285"/>
  <c r="MS19" i="285"/>
  <c r="MQ19" i="285"/>
  <c r="MR21" i="285"/>
  <c r="MP21" i="285"/>
  <c r="MS21" i="285"/>
  <c r="MQ21" i="285"/>
  <c r="MR23" i="285"/>
  <c r="MP23" i="285"/>
  <c r="MS23" i="285"/>
  <c r="MQ23" i="285"/>
  <c r="MR25" i="285"/>
  <c r="MP25" i="285"/>
  <c r="MS25" i="285"/>
  <c r="MQ25" i="285"/>
  <c r="MR27" i="285"/>
  <c r="MP27" i="285"/>
  <c r="MS27" i="285"/>
  <c r="MQ27" i="285"/>
  <c r="MR29" i="285"/>
  <c r="MP29" i="285"/>
  <c r="MS29" i="285"/>
  <c r="MQ29" i="285"/>
  <c r="MR31" i="285"/>
  <c r="MP31" i="285"/>
  <c r="MS31" i="285"/>
  <c r="MQ31" i="285"/>
  <c r="MW3" i="285"/>
  <c r="MU3" i="285"/>
  <c r="MV3" i="285"/>
  <c r="MT3" i="285"/>
  <c r="MW5" i="285"/>
  <c r="MU5" i="285"/>
  <c r="MV5" i="285"/>
  <c r="MT5" i="285"/>
  <c r="MW7" i="285"/>
  <c r="MU7" i="285"/>
  <c r="MV7" i="285"/>
  <c r="MT7" i="285"/>
  <c r="MW9" i="285"/>
  <c r="MU9" i="285"/>
  <c r="MV9" i="285"/>
  <c r="MT9" i="285"/>
  <c r="MW11" i="285"/>
  <c r="MU11" i="285"/>
  <c r="MV11" i="285"/>
  <c r="MT11" i="285"/>
  <c r="MV13" i="285"/>
  <c r="MT13" i="285"/>
  <c r="MW13" i="285"/>
  <c r="MU13" i="285"/>
  <c r="MV15" i="285"/>
  <c r="MT15" i="285"/>
  <c r="MW15" i="285"/>
  <c r="MU15" i="285"/>
  <c r="MV17" i="285"/>
  <c r="MT17" i="285"/>
  <c r="MW17" i="285"/>
  <c r="MU17" i="285"/>
  <c r="MV19" i="285"/>
  <c r="MT19" i="285"/>
  <c r="MW19" i="285"/>
  <c r="MU19" i="285"/>
  <c r="MV21" i="285"/>
  <c r="MT21" i="285"/>
  <c r="MW21" i="285"/>
  <c r="MU21" i="285"/>
  <c r="MV23" i="285"/>
  <c r="MT23" i="285"/>
  <c r="MW23" i="285"/>
  <c r="MU23" i="285"/>
  <c r="MV25" i="285"/>
  <c r="MT25" i="285"/>
  <c r="MW25" i="285"/>
  <c r="MU25" i="285"/>
  <c r="MV27" i="285"/>
  <c r="MT27" i="285"/>
  <c r="MW27" i="285"/>
  <c r="MU27" i="285"/>
  <c r="MV29" i="285"/>
  <c r="MT29" i="285"/>
  <c r="MW29" i="285"/>
  <c r="MU29" i="285"/>
  <c r="MV31" i="285"/>
  <c r="MT31" i="285"/>
  <c r="MW31" i="285"/>
  <c r="MU31" i="285"/>
  <c r="NA3" i="285"/>
  <c r="MY3" i="285"/>
  <c r="MZ3" i="285"/>
  <c r="MX3" i="285"/>
  <c r="NA5" i="285"/>
  <c r="MY5" i="285"/>
  <c r="MZ5" i="285"/>
  <c r="MX5" i="285"/>
  <c r="NA7" i="285"/>
  <c r="MY7" i="285"/>
  <c r="MZ7" i="285"/>
  <c r="MX7" i="285"/>
  <c r="NA9" i="285"/>
  <c r="MY9" i="285"/>
  <c r="MZ9" i="285"/>
  <c r="MX9" i="285"/>
  <c r="NA11" i="285"/>
  <c r="MY11" i="285"/>
  <c r="MZ11" i="285"/>
  <c r="MX11" i="285"/>
  <c r="MZ13" i="285"/>
  <c r="MX13" i="285"/>
  <c r="NA13" i="285"/>
  <c r="MY13" i="285"/>
  <c r="MZ15" i="285"/>
  <c r="MX15" i="285"/>
  <c r="NA15" i="285"/>
  <c r="MY15" i="285"/>
  <c r="MZ17" i="285"/>
  <c r="MX17" i="285"/>
  <c r="NA17" i="285"/>
  <c r="MY17" i="285"/>
  <c r="MZ19" i="285"/>
  <c r="MX19" i="285"/>
  <c r="NA19" i="285"/>
  <c r="MY19" i="285"/>
  <c r="MZ21" i="285"/>
  <c r="MX21" i="285"/>
  <c r="NA21" i="285"/>
  <c r="MY21" i="285"/>
  <c r="MZ23" i="285"/>
  <c r="MX23" i="285"/>
  <c r="NA23" i="285"/>
  <c r="MY23" i="285"/>
  <c r="MZ25" i="285"/>
  <c r="MX25" i="285"/>
  <c r="NA25" i="285"/>
  <c r="MY25" i="285"/>
  <c r="MZ27" i="285"/>
  <c r="MX27" i="285"/>
  <c r="NA27" i="285"/>
  <c r="MY27" i="285"/>
  <c r="MZ29" i="285"/>
  <c r="MX29" i="285"/>
  <c r="NA29" i="285"/>
  <c r="MY29" i="285"/>
  <c r="MZ31" i="285"/>
  <c r="MX31" i="285"/>
  <c r="NA31" i="285"/>
  <c r="MY31" i="285"/>
  <c r="NE3" i="285"/>
  <c r="NC3" i="285"/>
  <c r="ND3" i="285"/>
  <c r="NB3" i="285"/>
  <c r="NE5" i="285"/>
  <c r="NC5" i="285"/>
  <c r="ND5" i="285"/>
  <c r="NB5" i="285"/>
  <c r="NE7" i="285"/>
  <c r="NC7" i="285"/>
  <c r="ND7" i="285"/>
  <c r="NB7" i="285"/>
  <c r="NE9" i="285"/>
  <c r="NC9" i="285"/>
  <c r="ND9" i="285"/>
  <c r="NB9" i="285"/>
  <c r="NE11" i="285"/>
  <c r="NC11" i="285"/>
  <c r="ND11" i="285"/>
  <c r="NB11" i="285"/>
  <c r="ND13" i="285"/>
  <c r="NB13" i="285"/>
  <c r="NE13" i="285"/>
  <c r="NC13" i="285"/>
  <c r="ND15" i="285"/>
  <c r="NB15" i="285"/>
  <c r="NE15" i="285"/>
  <c r="NC15" i="285"/>
  <c r="ND17" i="285"/>
  <c r="NB17" i="285"/>
  <c r="NE17" i="285"/>
  <c r="NC17" i="285"/>
  <c r="ND19" i="285"/>
  <c r="NB19" i="285"/>
  <c r="NE19" i="285"/>
  <c r="NC19" i="285"/>
  <c r="ND21" i="285"/>
  <c r="NB21" i="285"/>
  <c r="NE21" i="285"/>
  <c r="NC21" i="285"/>
  <c r="ND23" i="285"/>
  <c r="NB23" i="285"/>
  <c r="NE23" i="285"/>
  <c r="NC23" i="285"/>
  <c r="ND25" i="285"/>
  <c r="NB25" i="285"/>
  <c r="NE25" i="285"/>
  <c r="NC25" i="285"/>
  <c r="ND27" i="285"/>
  <c r="NB27" i="285"/>
  <c r="NE27" i="285"/>
  <c r="NC27" i="285"/>
  <c r="ND29" i="285"/>
  <c r="NB29" i="285"/>
  <c r="NE29" i="285"/>
  <c r="NC29" i="285"/>
  <c r="ND31" i="285"/>
  <c r="NB31" i="285"/>
  <c r="NE31" i="285"/>
  <c r="NC31" i="285"/>
  <c r="AM9" i="262"/>
  <c r="AQ9" i="262" s="1"/>
  <c r="NI3" i="285"/>
  <c r="NG3" i="285"/>
  <c r="NH3" i="285"/>
  <c r="NF3" i="285"/>
  <c r="NI5" i="285"/>
  <c r="NG5" i="285"/>
  <c r="NH5" i="285"/>
  <c r="NF5" i="285"/>
  <c r="AM13" i="262"/>
  <c r="AQ13" i="262" s="1"/>
  <c r="NI7" i="285"/>
  <c r="NG7" i="285"/>
  <c r="NH7" i="285"/>
  <c r="NF7" i="285"/>
  <c r="NI9" i="285"/>
  <c r="NG9" i="285"/>
  <c r="NH9" i="285"/>
  <c r="NF9" i="285"/>
  <c r="AM17" i="262"/>
  <c r="AQ17" i="262" s="1"/>
  <c r="NI11" i="285"/>
  <c r="NG11" i="285"/>
  <c r="NH11" i="285"/>
  <c r="NF11" i="285"/>
  <c r="NH13" i="285"/>
  <c r="NF13" i="285"/>
  <c r="NI13" i="285"/>
  <c r="NG13" i="285"/>
  <c r="AM21" i="262"/>
  <c r="AQ21" i="262" s="1"/>
  <c r="NH15" i="285"/>
  <c r="NF15" i="285"/>
  <c r="NI15" i="285"/>
  <c r="NG15" i="285"/>
  <c r="NH17" i="285"/>
  <c r="NF17" i="285"/>
  <c r="NI17" i="285"/>
  <c r="NG17" i="285"/>
  <c r="AM25" i="262"/>
  <c r="AQ25" i="262" s="1"/>
  <c r="NH19" i="285"/>
  <c r="NF19" i="285"/>
  <c r="NI19" i="285"/>
  <c r="NG19" i="285"/>
  <c r="NH21" i="285"/>
  <c r="NF21" i="285"/>
  <c r="NI21" i="285"/>
  <c r="NG21" i="285"/>
  <c r="AM29" i="262"/>
  <c r="AQ29" i="262" s="1"/>
  <c r="NH23" i="285"/>
  <c r="NF23" i="285"/>
  <c r="NI23" i="285"/>
  <c r="NG23" i="285"/>
  <c r="NH25" i="285"/>
  <c r="NF25" i="285"/>
  <c r="NI25" i="285"/>
  <c r="NG25" i="285"/>
  <c r="AC208" i="269"/>
  <c r="AM33" i="262" s="1"/>
  <c r="AQ33" i="262" s="1"/>
  <c r="NH27" i="285"/>
  <c r="NF27" i="285"/>
  <c r="NI27" i="285"/>
  <c r="NG27" i="285"/>
  <c r="NH29" i="285"/>
  <c r="NF29" i="285"/>
  <c r="NI29" i="285"/>
  <c r="NG29" i="285"/>
  <c r="AG208" i="269"/>
  <c r="AM37" i="262" s="1"/>
  <c r="AQ37" i="262" s="1"/>
  <c r="NH31" i="285"/>
  <c r="NF31" i="285"/>
  <c r="NI31" i="285"/>
  <c r="NG31" i="285"/>
  <c r="NM3" i="285"/>
  <c r="NK3" i="285"/>
  <c r="NL3" i="285"/>
  <c r="NJ3" i="285"/>
  <c r="NM5" i="285"/>
  <c r="NK5" i="285"/>
  <c r="NL5" i="285"/>
  <c r="NJ5" i="285"/>
  <c r="NM7" i="285"/>
  <c r="NK7" i="285"/>
  <c r="NL7" i="285"/>
  <c r="NJ7" i="285"/>
  <c r="NM9" i="285"/>
  <c r="NK9" i="285"/>
  <c r="NL9" i="285"/>
  <c r="NJ9" i="285"/>
  <c r="NM11" i="285"/>
  <c r="NK11" i="285"/>
  <c r="NL11" i="285"/>
  <c r="NJ11" i="285"/>
  <c r="NL13" i="285"/>
  <c r="NJ13" i="285"/>
  <c r="NM13" i="285"/>
  <c r="NK13" i="285"/>
  <c r="NL15" i="285"/>
  <c r="NJ15" i="285"/>
  <c r="NM15" i="285"/>
  <c r="NK15" i="285"/>
  <c r="NL17" i="285"/>
  <c r="NJ17" i="285"/>
  <c r="NM17" i="285"/>
  <c r="NK17" i="285"/>
  <c r="NL19" i="285"/>
  <c r="NJ19" i="285"/>
  <c r="NM19" i="285"/>
  <c r="NK19" i="285"/>
  <c r="NL21" i="285"/>
  <c r="NJ21" i="285"/>
  <c r="NM21" i="285"/>
  <c r="NK21" i="285"/>
  <c r="NL23" i="285"/>
  <c r="NJ23" i="285"/>
  <c r="NM23" i="285"/>
  <c r="NK23" i="285"/>
  <c r="NL25" i="285"/>
  <c r="NJ25" i="285"/>
  <c r="NM25" i="285"/>
  <c r="NK25" i="285"/>
  <c r="NL27" i="285"/>
  <c r="NJ27" i="285"/>
  <c r="NM27" i="285"/>
  <c r="NK27" i="285"/>
  <c r="NL29" i="285"/>
  <c r="NJ29" i="285"/>
  <c r="NM29" i="285"/>
  <c r="NK29" i="285"/>
  <c r="NL31" i="285"/>
  <c r="NJ31" i="285"/>
  <c r="NM31" i="285"/>
  <c r="NK31" i="285"/>
  <c r="NQ3" i="285"/>
  <c r="NO3" i="285"/>
  <c r="NP3" i="285"/>
  <c r="NN3" i="285"/>
  <c r="NQ5" i="285"/>
  <c r="NO5" i="285"/>
  <c r="NP5" i="285"/>
  <c r="NN5" i="285"/>
  <c r="NQ7" i="285"/>
  <c r="NO7" i="285"/>
  <c r="NP7" i="285"/>
  <c r="NN7" i="285"/>
  <c r="NQ9" i="285"/>
  <c r="NO9" i="285"/>
  <c r="NP9" i="285"/>
  <c r="NN9" i="285"/>
  <c r="NQ11" i="285"/>
  <c r="NO11" i="285"/>
  <c r="NP11" i="285"/>
  <c r="NN11" i="285"/>
  <c r="NP13" i="285"/>
  <c r="NN13" i="285"/>
  <c r="NQ13" i="285"/>
  <c r="NO13" i="285"/>
  <c r="NP15" i="285"/>
  <c r="NN15" i="285"/>
  <c r="NQ15" i="285"/>
  <c r="NO15" i="285"/>
  <c r="NP17" i="285"/>
  <c r="NN17" i="285"/>
  <c r="NQ17" i="285"/>
  <c r="NO17" i="285"/>
  <c r="NP19" i="285"/>
  <c r="NN19" i="285"/>
  <c r="NQ19" i="285"/>
  <c r="NO19" i="285"/>
  <c r="NP21" i="285"/>
  <c r="NN21" i="285"/>
  <c r="NQ21" i="285"/>
  <c r="NO21" i="285"/>
  <c r="NP23" i="285"/>
  <c r="NN23" i="285"/>
  <c r="NQ23" i="285"/>
  <c r="NO23" i="285"/>
  <c r="NP25" i="285"/>
  <c r="NN25" i="285"/>
  <c r="NQ25" i="285"/>
  <c r="NO25" i="285"/>
  <c r="NP27" i="285"/>
  <c r="NN27" i="285"/>
  <c r="NQ27" i="285"/>
  <c r="NO27" i="285"/>
  <c r="NP29" i="285"/>
  <c r="NN29" i="285"/>
  <c r="NQ29" i="285"/>
  <c r="NO29" i="285"/>
  <c r="NP31" i="285"/>
  <c r="NN31" i="285"/>
  <c r="NQ31" i="285"/>
  <c r="NO31" i="285"/>
  <c r="NU3" i="285"/>
  <c r="NS3" i="285"/>
  <c r="NT3" i="285"/>
  <c r="NR3" i="285"/>
  <c r="NU5" i="285"/>
  <c r="NS5" i="285"/>
  <c r="NT5" i="285"/>
  <c r="NR5" i="285"/>
  <c r="NU7" i="285"/>
  <c r="NS7" i="285"/>
  <c r="NT7" i="285"/>
  <c r="NR7" i="285"/>
  <c r="NU9" i="285"/>
  <c r="NS9" i="285"/>
  <c r="NT9" i="285"/>
  <c r="NR9" i="285"/>
  <c r="NU11" i="285"/>
  <c r="NS11" i="285"/>
  <c r="NT11" i="285"/>
  <c r="NR11" i="285"/>
  <c r="NT13" i="285"/>
  <c r="NR13" i="285"/>
  <c r="NU13" i="285"/>
  <c r="NS13" i="285"/>
  <c r="NT15" i="285"/>
  <c r="NR15" i="285"/>
  <c r="NU15" i="285"/>
  <c r="NS15" i="285"/>
  <c r="NT17" i="285"/>
  <c r="NR17" i="285"/>
  <c r="NU17" i="285"/>
  <c r="NS17" i="285"/>
  <c r="NT19" i="285"/>
  <c r="NR19" i="285"/>
  <c r="NU19" i="285"/>
  <c r="NS19" i="285"/>
  <c r="NT21" i="285"/>
  <c r="NR21" i="285"/>
  <c r="NU21" i="285"/>
  <c r="NS21" i="285"/>
  <c r="NT23" i="285"/>
  <c r="NR23" i="285"/>
  <c r="NU23" i="285"/>
  <c r="NS23" i="285"/>
  <c r="NT25" i="285"/>
  <c r="NR25" i="285"/>
  <c r="NU25" i="285"/>
  <c r="NS25" i="285"/>
  <c r="NT27" i="285"/>
  <c r="NR27" i="285"/>
  <c r="NU27" i="285"/>
  <c r="NS27" i="285"/>
  <c r="NT29" i="285"/>
  <c r="NR29" i="285"/>
  <c r="NU29" i="285"/>
  <c r="NS29" i="285"/>
  <c r="NT31" i="285"/>
  <c r="NR31" i="285"/>
  <c r="NU31" i="285"/>
  <c r="NS31" i="285"/>
  <c r="NY3" i="285"/>
  <c r="NW3" i="285"/>
  <c r="NX3" i="285"/>
  <c r="NV3" i="285"/>
  <c r="NY5" i="285"/>
  <c r="NW5" i="285"/>
  <c r="NX5" i="285"/>
  <c r="NV5" i="285"/>
  <c r="NY7" i="285"/>
  <c r="NW7" i="285"/>
  <c r="NX7" i="285"/>
  <c r="NV7" i="285"/>
  <c r="NY9" i="285"/>
  <c r="NW9" i="285"/>
  <c r="NX9" i="285"/>
  <c r="NV9" i="285"/>
  <c r="NY11" i="285"/>
  <c r="NW11" i="285"/>
  <c r="NX11" i="285"/>
  <c r="NV11" i="285"/>
  <c r="NX13" i="285"/>
  <c r="NV13" i="285"/>
  <c r="NY13" i="285"/>
  <c r="NW13" i="285"/>
  <c r="NX15" i="285"/>
  <c r="NV15" i="285"/>
  <c r="NY15" i="285"/>
  <c r="NW15" i="285"/>
  <c r="NX17" i="285"/>
  <c r="NV17" i="285"/>
  <c r="NY17" i="285"/>
  <c r="NW17" i="285"/>
  <c r="NX19" i="285"/>
  <c r="NV19" i="285"/>
  <c r="NY19" i="285"/>
  <c r="NW19" i="285"/>
  <c r="NX21" i="285"/>
  <c r="NV21" i="285"/>
  <c r="NY21" i="285"/>
  <c r="NW21" i="285"/>
  <c r="NX23" i="285"/>
  <c r="NV23" i="285"/>
  <c r="NY23" i="285"/>
  <c r="NW23" i="285"/>
  <c r="NX25" i="285"/>
  <c r="NV25" i="285"/>
  <c r="NY25" i="285"/>
  <c r="NW25" i="285"/>
  <c r="NX27" i="285"/>
  <c r="NV27" i="285"/>
  <c r="NY27" i="285"/>
  <c r="NW27" i="285"/>
  <c r="NX29" i="285"/>
  <c r="NV29" i="285"/>
  <c r="NY29" i="285"/>
  <c r="NW29" i="285"/>
  <c r="NX31" i="285"/>
  <c r="NV31" i="285"/>
  <c r="NY31" i="285"/>
  <c r="NW31" i="285"/>
  <c r="OC3" i="285"/>
  <c r="OA3" i="285"/>
  <c r="OB3" i="285"/>
  <c r="NZ3" i="285"/>
  <c r="OC5" i="285"/>
  <c r="OA5" i="285"/>
  <c r="OB5" i="285"/>
  <c r="NZ5" i="285"/>
  <c r="OC7" i="285"/>
  <c r="OA7" i="285"/>
  <c r="OB7" i="285"/>
  <c r="NZ7" i="285"/>
  <c r="OC9" i="285"/>
  <c r="OA9" i="285"/>
  <c r="OB9" i="285"/>
  <c r="NZ9" i="285"/>
  <c r="OC11" i="285"/>
  <c r="OA11" i="285"/>
  <c r="OB11" i="285"/>
  <c r="NZ11" i="285"/>
  <c r="OB13" i="285"/>
  <c r="NZ13" i="285"/>
  <c r="OC13" i="285"/>
  <c r="OA13" i="285"/>
  <c r="OB15" i="285"/>
  <c r="NZ15" i="285"/>
  <c r="OC15" i="285"/>
  <c r="OA15" i="285"/>
  <c r="OB17" i="285"/>
  <c r="NZ17" i="285"/>
  <c r="OC17" i="285"/>
  <c r="OA17" i="285"/>
  <c r="OB19" i="285"/>
  <c r="NZ19" i="285"/>
  <c r="OC19" i="285"/>
  <c r="OA19" i="285"/>
  <c r="OB21" i="285"/>
  <c r="NZ21" i="285"/>
  <c r="OC21" i="285"/>
  <c r="OA21" i="285"/>
  <c r="OB23" i="285"/>
  <c r="NZ23" i="285"/>
  <c r="OC23" i="285"/>
  <c r="OA23" i="285"/>
  <c r="OB25" i="285"/>
  <c r="NZ25" i="285"/>
  <c r="OC25" i="285"/>
  <c r="OA25" i="285"/>
  <c r="OB27" i="285"/>
  <c r="NZ27" i="285"/>
  <c r="OC27" i="285"/>
  <c r="OA27" i="285"/>
  <c r="OB29" i="285"/>
  <c r="NZ29" i="285"/>
  <c r="OC29" i="285"/>
  <c r="OA29" i="285"/>
  <c r="OB31" i="285"/>
  <c r="NZ31" i="285"/>
  <c r="OC31" i="285"/>
  <c r="OA31" i="285"/>
  <c r="OG3" i="285"/>
  <c r="OE3" i="285"/>
  <c r="OF3" i="285"/>
  <c r="OD3" i="285"/>
  <c r="OG5" i="285"/>
  <c r="OE5" i="285"/>
  <c r="OF5" i="285"/>
  <c r="OD5" i="285"/>
  <c r="OG7" i="285"/>
  <c r="OE7" i="285"/>
  <c r="OF7" i="285"/>
  <c r="OD7" i="285"/>
  <c r="OG9" i="285"/>
  <c r="OE9" i="285"/>
  <c r="OF9" i="285"/>
  <c r="OD9" i="285"/>
  <c r="OG11" i="285"/>
  <c r="OE11" i="285"/>
  <c r="OF11" i="285"/>
  <c r="OD11" i="285"/>
  <c r="OF13" i="285"/>
  <c r="OD13" i="285"/>
  <c r="OG13" i="285"/>
  <c r="OE13" i="285"/>
  <c r="OF15" i="285"/>
  <c r="OD15" i="285"/>
  <c r="OG15" i="285"/>
  <c r="OE15" i="285"/>
  <c r="OF17" i="285"/>
  <c r="OD17" i="285"/>
  <c r="OG17" i="285"/>
  <c r="OE17" i="285"/>
  <c r="OF19" i="285"/>
  <c r="OD19" i="285"/>
  <c r="OG19" i="285"/>
  <c r="OE19" i="285"/>
  <c r="OF21" i="285"/>
  <c r="OD21" i="285"/>
  <c r="OG21" i="285"/>
  <c r="OE21" i="285"/>
  <c r="OF23" i="285"/>
  <c r="OD23" i="285"/>
  <c r="OG23" i="285"/>
  <c r="OE23" i="285"/>
  <c r="OF25" i="285"/>
  <c r="OD25" i="285"/>
  <c r="OG25" i="285"/>
  <c r="OE25" i="285"/>
  <c r="OF27" i="285"/>
  <c r="OD27" i="285"/>
  <c r="OG27" i="285"/>
  <c r="OE27" i="285"/>
  <c r="OF29" i="285"/>
  <c r="OD29" i="285"/>
  <c r="OG29" i="285"/>
  <c r="OE29" i="285"/>
  <c r="OF31" i="285"/>
  <c r="OD31" i="285"/>
  <c r="OG31" i="285"/>
  <c r="OE31" i="285"/>
  <c r="OK3" i="285"/>
  <c r="OI3" i="285"/>
  <c r="OJ3" i="285"/>
  <c r="OH3" i="285"/>
  <c r="OK5" i="285"/>
  <c r="OI5" i="285"/>
  <c r="OJ5" i="285"/>
  <c r="OH5" i="285"/>
  <c r="OK7" i="285"/>
  <c r="OI7" i="285"/>
  <c r="OJ7" i="285"/>
  <c r="OH7" i="285"/>
  <c r="OK9" i="285"/>
  <c r="OI9" i="285"/>
  <c r="OJ9" i="285"/>
  <c r="OH9" i="285"/>
  <c r="OK11" i="285"/>
  <c r="OI11" i="285"/>
  <c r="OJ11" i="285"/>
  <c r="OH11" i="285"/>
  <c r="OJ13" i="285"/>
  <c r="OH13" i="285"/>
  <c r="OK13" i="285"/>
  <c r="OI13" i="285"/>
  <c r="OJ15" i="285"/>
  <c r="OH15" i="285"/>
  <c r="OK15" i="285"/>
  <c r="OI15" i="285"/>
  <c r="OJ17" i="285"/>
  <c r="OH17" i="285"/>
  <c r="OK17" i="285"/>
  <c r="OI17" i="285"/>
  <c r="OJ19" i="285"/>
  <c r="OH19" i="285"/>
  <c r="OK19" i="285"/>
  <c r="OI19" i="285"/>
  <c r="OJ21" i="285"/>
  <c r="OH21" i="285"/>
  <c r="OK21" i="285"/>
  <c r="OI21" i="285"/>
  <c r="OJ23" i="285"/>
  <c r="OH23" i="285"/>
  <c r="OK23" i="285"/>
  <c r="OI23" i="285"/>
  <c r="OJ25" i="285"/>
  <c r="OH25" i="285"/>
  <c r="OK25" i="285"/>
  <c r="OI25" i="285"/>
  <c r="OJ27" i="285"/>
  <c r="OH27" i="285"/>
  <c r="OK27" i="285"/>
  <c r="OI27" i="285"/>
  <c r="OJ29" i="285"/>
  <c r="OH29" i="285"/>
  <c r="OK29" i="285"/>
  <c r="OI29" i="285"/>
  <c r="OJ31" i="285"/>
  <c r="OH31" i="285"/>
  <c r="OK31" i="285"/>
  <c r="OI31" i="285"/>
  <c r="OO3" i="285"/>
  <c r="OM3" i="285"/>
  <c r="ON3" i="285"/>
  <c r="OL3" i="285"/>
  <c r="OO5" i="285"/>
  <c r="OM5" i="285"/>
  <c r="ON5" i="285"/>
  <c r="OL5" i="285"/>
  <c r="OO7" i="285"/>
  <c r="OM7" i="285"/>
  <c r="ON7" i="285"/>
  <c r="OL7" i="285"/>
  <c r="OO9" i="285"/>
  <c r="OM9" i="285"/>
  <c r="ON9" i="285"/>
  <c r="OL9" i="285"/>
  <c r="OO11" i="285"/>
  <c r="OM11" i="285"/>
  <c r="ON11" i="285"/>
  <c r="OL11" i="285"/>
  <c r="ON13" i="285"/>
  <c r="OL13" i="285"/>
  <c r="OO13" i="285"/>
  <c r="OM13" i="285"/>
  <c r="ON15" i="285"/>
  <c r="OL15" i="285"/>
  <c r="OO15" i="285"/>
  <c r="OM15" i="285"/>
  <c r="ON17" i="285"/>
  <c r="OL17" i="285"/>
  <c r="OO17" i="285"/>
  <c r="OM17" i="285"/>
  <c r="ON19" i="285"/>
  <c r="OL19" i="285"/>
  <c r="OO19" i="285"/>
  <c r="OM19" i="285"/>
  <c r="ON21" i="285"/>
  <c r="OL21" i="285"/>
  <c r="OO21" i="285"/>
  <c r="OM21" i="285"/>
  <c r="ON23" i="285"/>
  <c r="OL23" i="285"/>
  <c r="OO23" i="285"/>
  <c r="OM23" i="285"/>
  <c r="ON25" i="285"/>
  <c r="OL25" i="285"/>
  <c r="OO25" i="285"/>
  <c r="OM25" i="285"/>
  <c r="ON27" i="285"/>
  <c r="OL27" i="285"/>
  <c r="OO27" i="285"/>
  <c r="OM27" i="285"/>
  <c r="ON29" i="285"/>
  <c r="OL29" i="285"/>
  <c r="OO29" i="285"/>
  <c r="OM29" i="285"/>
  <c r="ON31" i="285"/>
  <c r="OL31" i="285"/>
  <c r="OO31" i="285"/>
  <c r="OM31" i="285"/>
  <c r="OS3" i="285"/>
  <c r="OQ3" i="285"/>
  <c r="OR3" i="285"/>
  <c r="OP3" i="285"/>
  <c r="OS5" i="285"/>
  <c r="OQ5" i="285"/>
  <c r="OR5" i="285"/>
  <c r="OP5" i="285"/>
  <c r="OS7" i="285"/>
  <c r="OQ7" i="285"/>
  <c r="OR7" i="285"/>
  <c r="OP7" i="285"/>
  <c r="OS9" i="285"/>
  <c r="OQ9" i="285"/>
  <c r="OR9" i="285"/>
  <c r="OP9" i="285"/>
  <c r="OS11" i="285"/>
  <c r="OQ11" i="285"/>
  <c r="OR11" i="285"/>
  <c r="OP11" i="285"/>
  <c r="OR13" i="285"/>
  <c r="OP13" i="285"/>
  <c r="OS13" i="285"/>
  <c r="OQ13" i="285"/>
  <c r="OR15" i="285"/>
  <c r="OP15" i="285"/>
  <c r="OS15" i="285"/>
  <c r="OQ15" i="285"/>
  <c r="OR17" i="285"/>
  <c r="OP17" i="285"/>
  <c r="OS17" i="285"/>
  <c r="OQ17" i="285"/>
  <c r="OR19" i="285"/>
  <c r="OP19" i="285"/>
  <c r="OS19" i="285"/>
  <c r="OQ19" i="285"/>
  <c r="OR21" i="285"/>
  <c r="OP21" i="285"/>
  <c r="OS21" i="285"/>
  <c r="OQ21" i="285"/>
  <c r="OR23" i="285"/>
  <c r="OP23" i="285"/>
  <c r="OS23" i="285"/>
  <c r="OQ23" i="285"/>
  <c r="OR25" i="285"/>
  <c r="OP25" i="285"/>
  <c r="OS25" i="285"/>
  <c r="OQ25" i="285"/>
  <c r="OR27" i="285"/>
  <c r="OP27" i="285"/>
  <c r="OS27" i="285"/>
  <c r="OQ27" i="285"/>
  <c r="OR29" i="285"/>
  <c r="OP29" i="285"/>
  <c r="OS29" i="285"/>
  <c r="OQ29" i="285"/>
  <c r="OR31" i="285"/>
  <c r="OP31" i="285"/>
  <c r="OS31" i="285"/>
  <c r="OQ31" i="285"/>
  <c r="OW3" i="285"/>
  <c r="OU3" i="285"/>
  <c r="OV3" i="285"/>
  <c r="OT3" i="285"/>
  <c r="OW5" i="285"/>
  <c r="OU5" i="285"/>
  <c r="OV5" i="285"/>
  <c r="OT5" i="285"/>
  <c r="OW7" i="285"/>
  <c r="OU7" i="285"/>
  <c r="OV7" i="285"/>
  <c r="OT7" i="285"/>
  <c r="OW9" i="285"/>
  <c r="OU9" i="285"/>
  <c r="OV9" i="285"/>
  <c r="OT9" i="285"/>
  <c r="OW11" i="285"/>
  <c r="OU11" i="285"/>
  <c r="OV11" i="285"/>
  <c r="OT11" i="285"/>
  <c r="OV13" i="285"/>
  <c r="OT13" i="285"/>
  <c r="OW13" i="285"/>
  <c r="OU13" i="285"/>
  <c r="OV15" i="285"/>
  <c r="OT15" i="285"/>
  <c r="OW15" i="285"/>
  <c r="OU15" i="285"/>
  <c r="OV17" i="285"/>
  <c r="OT17" i="285"/>
  <c r="OW17" i="285"/>
  <c r="OU17" i="285"/>
  <c r="OV19" i="285"/>
  <c r="OT19" i="285"/>
  <c r="OW19" i="285"/>
  <c r="OU19" i="285"/>
  <c r="OV21" i="285"/>
  <c r="OT21" i="285"/>
  <c r="OW21" i="285"/>
  <c r="OU21" i="285"/>
  <c r="OV23" i="285"/>
  <c r="OT23" i="285"/>
  <c r="OW23" i="285"/>
  <c r="OU23" i="285"/>
  <c r="OV25" i="285"/>
  <c r="OT25" i="285"/>
  <c r="OW25" i="285"/>
  <c r="OU25" i="285"/>
  <c r="OV27" i="285"/>
  <c r="OT27" i="285"/>
  <c r="OW27" i="285"/>
  <c r="OU27" i="285"/>
  <c r="OV29" i="285"/>
  <c r="OT29" i="285"/>
  <c r="OW29" i="285"/>
  <c r="OU29" i="285"/>
  <c r="OV31" i="285"/>
  <c r="OT31" i="285"/>
  <c r="OW31" i="285"/>
  <c r="OU31" i="285"/>
  <c r="PA3" i="285"/>
  <c r="OY3" i="285"/>
  <c r="OZ3" i="285"/>
  <c r="OX3" i="285"/>
  <c r="PA5" i="285"/>
  <c r="OY5" i="285"/>
  <c r="OZ5" i="285"/>
  <c r="OX5" i="285"/>
  <c r="PA7" i="285"/>
  <c r="OY7" i="285"/>
  <c r="OZ7" i="285"/>
  <c r="OX7" i="285"/>
  <c r="PA9" i="285"/>
  <c r="OY9" i="285"/>
  <c r="OZ9" i="285"/>
  <c r="OX9" i="285"/>
  <c r="PA11" i="285"/>
  <c r="OY11" i="285"/>
  <c r="OZ11" i="285"/>
  <c r="OX11" i="285"/>
  <c r="OZ13" i="285"/>
  <c r="OX13" i="285"/>
  <c r="PA13" i="285"/>
  <c r="OY13" i="285"/>
  <c r="OZ15" i="285"/>
  <c r="OX15" i="285"/>
  <c r="PA15" i="285"/>
  <c r="OY15" i="285"/>
  <c r="OZ17" i="285"/>
  <c r="OX17" i="285"/>
  <c r="PA17" i="285"/>
  <c r="OY17" i="285"/>
  <c r="OZ19" i="285"/>
  <c r="OX19" i="285"/>
  <c r="PA19" i="285"/>
  <c r="OY19" i="285"/>
  <c r="OZ21" i="285"/>
  <c r="OX21" i="285"/>
  <c r="PA21" i="285"/>
  <c r="OY21" i="285"/>
  <c r="OZ23" i="285"/>
  <c r="OX23" i="285"/>
  <c r="PA23" i="285"/>
  <c r="OY23" i="285"/>
  <c r="OZ25" i="285"/>
  <c r="OX25" i="285"/>
  <c r="PA25" i="285"/>
  <c r="OY25" i="285"/>
  <c r="OZ27" i="285"/>
  <c r="OX27" i="285"/>
  <c r="PA27" i="285"/>
  <c r="OY27" i="285"/>
  <c r="OZ29" i="285"/>
  <c r="OX29" i="285"/>
  <c r="PA29" i="285"/>
  <c r="OY29" i="285"/>
  <c r="OZ31" i="285"/>
  <c r="OX31" i="285"/>
  <c r="PA31" i="285"/>
  <c r="OY31" i="285"/>
  <c r="PE3" i="285"/>
  <c r="PC3" i="285"/>
  <c r="PD3" i="285"/>
  <c r="PB3" i="285"/>
  <c r="PE5" i="285"/>
  <c r="PC5" i="285"/>
  <c r="PD5" i="285"/>
  <c r="PB5" i="285"/>
  <c r="PE7" i="285"/>
  <c r="PC7" i="285"/>
  <c r="PD7" i="285"/>
  <c r="PB7" i="285"/>
  <c r="PE9" i="285"/>
  <c r="PC9" i="285"/>
  <c r="PD9" i="285"/>
  <c r="PB9" i="285"/>
  <c r="PE11" i="285"/>
  <c r="PC11" i="285"/>
  <c r="PD11" i="285"/>
  <c r="PB11" i="285"/>
  <c r="PD13" i="285"/>
  <c r="PB13" i="285"/>
  <c r="PE13" i="285"/>
  <c r="PC13" i="285"/>
  <c r="PD15" i="285"/>
  <c r="PB15" i="285"/>
  <c r="PE15" i="285"/>
  <c r="PC15" i="285"/>
  <c r="PD17" i="285"/>
  <c r="PB17" i="285"/>
  <c r="PE17" i="285"/>
  <c r="PC17" i="285"/>
  <c r="PD19" i="285"/>
  <c r="PB19" i="285"/>
  <c r="PE19" i="285"/>
  <c r="PC19" i="285"/>
  <c r="PD21" i="285"/>
  <c r="PB21" i="285"/>
  <c r="PE21" i="285"/>
  <c r="PC21" i="285"/>
  <c r="PD23" i="285"/>
  <c r="PB23" i="285"/>
  <c r="PE23" i="285"/>
  <c r="PC23" i="285"/>
  <c r="PD25" i="285"/>
  <c r="PB25" i="285"/>
  <c r="PE25" i="285"/>
  <c r="PC25" i="285"/>
  <c r="PD27" i="285"/>
  <c r="PB27" i="285"/>
  <c r="PE27" i="285"/>
  <c r="PC27" i="285"/>
  <c r="PD29" i="285"/>
  <c r="PB29" i="285"/>
  <c r="PE29" i="285"/>
  <c r="PC29" i="285"/>
  <c r="PD31" i="285"/>
  <c r="PB31" i="285"/>
  <c r="PE31" i="285"/>
  <c r="PC31" i="285"/>
  <c r="PI3" i="285"/>
  <c r="PG3" i="285"/>
  <c r="PH3" i="285"/>
  <c r="PF3" i="285"/>
  <c r="PI5" i="285"/>
  <c r="PG5" i="285"/>
  <c r="PH5" i="285"/>
  <c r="PF5" i="285"/>
  <c r="PI7" i="285"/>
  <c r="PG7" i="285"/>
  <c r="PH7" i="285"/>
  <c r="PF7" i="285"/>
  <c r="PI9" i="285"/>
  <c r="PG9" i="285"/>
  <c r="PH9" i="285"/>
  <c r="PF9" i="285"/>
  <c r="PI11" i="285"/>
  <c r="PG11" i="285"/>
  <c r="PH11" i="285"/>
  <c r="PF11" i="285"/>
  <c r="PH13" i="285"/>
  <c r="PF13" i="285"/>
  <c r="PI13" i="285"/>
  <c r="PG13" i="285"/>
  <c r="PH15" i="285"/>
  <c r="PF15" i="285"/>
  <c r="PI15" i="285"/>
  <c r="PG15" i="285"/>
  <c r="PH17" i="285"/>
  <c r="PF17" i="285"/>
  <c r="PI17" i="285"/>
  <c r="PG17" i="285"/>
  <c r="PH19" i="285"/>
  <c r="PF19" i="285"/>
  <c r="PI19" i="285"/>
  <c r="PG19" i="285"/>
  <c r="PH21" i="285"/>
  <c r="PF21" i="285"/>
  <c r="PI21" i="285"/>
  <c r="PG21" i="285"/>
  <c r="PH23" i="285"/>
  <c r="PF23" i="285"/>
  <c r="PI23" i="285"/>
  <c r="PG23" i="285"/>
  <c r="PH25" i="285"/>
  <c r="PF25" i="285"/>
  <c r="PI25" i="285"/>
  <c r="PG25" i="285"/>
  <c r="PH27" i="285"/>
  <c r="PF27" i="285"/>
  <c r="PI27" i="285"/>
  <c r="PG27" i="285"/>
  <c r="PH29" i="285"/>
  <c r="PF29" i="285"/>
  <c r="PI29" i="285"/>
  <c r="PG29" i="285"/>
  <c r="PH31" i="285"/>
  <c r="PF31" i="285"/>
  <c r="PI31" i="285"/>
  <c r="PG31" i="285"/>
  <c r="PM3" i="285"/>
  <c r="PK3" i="285"/>
  <c r="PL3" i="285"/>
  <c r="PJ3" i="285"/>
  <c r="PM5" i="285"/>
  <c r="PK5" i="285"/>
  <c r="PL5" i="285"/>
  <c r="PJ5" i="285"/>
  <c r="PM7" i="285"/>
  <c r="PK7" i="285"/>
  <c r="PL7" i="285"/>
  <c r="PJ7" i="285"/>
  <c r="PM9" i="285"/>
  <c r="PK9" i="285"/>
  <c r="PL9" i="285"/>
  <c r="PJ9" i="285"/>
  <c r="PM11" i="285"/>
  <c r="PK11" i="285"/>
  <c r="PL11" i="285"/>
  <c r="PJ11" i="285"/>
  <c r="PL13" i="285"/>
  <c r="PJ13" i="285"/>
  <c r="PM13" i="285"/>
  <c r="PK13" i="285"/>
  <c r="PL15" i="285"/>
  <c r="PJ15" i="285"/>
  <c r="PM15" i="285"/>
  <c r="PK15" i="285"/>
  <c r="PL17" i="285"/>
  <c r="PJ17" i="285"/>
  <c r="PM17" i="285"/>
  <c r="PK17" i="285"/>
  <c r="PL19" i="285"/>
  <c r="PJ19" i="285"/>
  <c r="PM19" i="285"/>
  <c r="PK19" i="285"/>
  <c r="PL21" i="285"/>
  <c r="PJ21" i="285"/>
  <c r="PM21" i="285"/>
  <c r="PK21" i="285"/>
  <c r="PL23" i="285"/>
  <c r="PJ23" i="285"/>
  <c r="PM23" i="285"/>
  <c r="PK23" i="285"/>
  <c r="PL25" i="285"/>
  <c r="PJ25" i="285"/>
  <c r="PM25" i="285"/>
  <c r="PK25" i="285"/>
  <c r="PL27" i="285"/>
  <c r="PJ27" i="285"/>
  <c r="PM27" i="285"/>
  <c r="PK27" i="285"/>
  <c r="PL29" i="285"/>
  <c r="PJ29" i="285"/>
  <c r="PM29" i="285"/>
  <c r="PK29" i="285"/>
  <c r="PL31" i="285"/>
  <c r="PJ31" i="285"/>
  <c r="PM31" i="285"/>
  <c r="PK31" i="285"/>
  <c r="PQ3" i="285"/>
  <c r="PO3" i="285"/>
  <c r="PP3" i="285"/>
  <c r="PN3" i="285"/>
  <c r="PQ5" i="285"/>
  <c r="PO5" i="285"/>
  <c r="PP5" i="285"/>
  <c r="PN5" i="285"/>
  <c r="PQ7" i="285"/>
  <c r="PO7" i="285"/>
  <c r="PP7" i="285"/>
  <c r="PN7" i="285"/>
  <c r="PQ9" i="285"/>
  <c r="PO9" i="285"/>
  <c r="PP9" i="285"/>
  <c r="PN9" i="285"/>
  <c r="PQ11" i="285"/>
  <c r="PO11" i="285"/>
  <c r="PP11" i="285"/>
  <c r="PN11" i="285"/>
  <c r="PP13" i="285"/>
  <c r="PN13" i="285"/>
  <c r="PQ13" i="285"/>
  <c r="PO13" i="285"/>
  <c r="PP15" i="285"/>
  <c r="PN15" i="285"/>
  <c r="PQ15" i="285"/>
  <c r="PO15" i="285"/>
  <c r="PP17" i="285"/>
  <c r="PN17" i="285"/>
  <c r="PQ17" i="285"/>
  <c r="PO17" i="285"/>
  <c r="PP19" i="285"/>
  <c r="PN19" i="285"/>
  <c r="PQ19" i="285"/>
  <c r="PO19" i="285"/>
  <c r="PP21" i="285"/>
  <c r="PN21" i="285"/>
  <c r="PQ21" i="285"/>
  <c r="PO21" i="285"/>
  <c r="PP23" i="285"/>
  <c r="PN23" i="285"/>
  <c r="PQ23" i="285"/>
  <c r="PO23" i="285"/>
  <c r="PP25" i="285"/>
  <c r="PN25" i="285"/>
  <c r="PQ25" i="285"/>
  <c r="PO25" i="285"/>
  <c r="PP27" i="285"/>
  <c r="PN27" i="285"/>
  <c r="PQ27" i="285"/>
  <c r="PO27" i="285"/>
  <c r="PP29" i="285"/>
  <c r="PN29" i="285"/>
  <c r="PQ29" i="285"/>
  <c r="PO29" i="285"/>
  <c r="PP31" i="285"/>
  <c r="PN31" i="285"/>
  <c r="PQ31" i="285"/>
  <c r="PO31" i="285"/>
  <c r="PU3" i="285"/>
  <c r="PS3" i="285"/>
  <c r="PT3" i="285"/>
  <c r="PR3" i="285"/>
  <c r="PU5" i="285"/>
  <c r="PS5" i="285"/>
  <c r="PT5" i="285"/>
  <c r="PR5" i="285"/>
  <c r="PU7" i="285"/>
  <c r="PS7" i="285"/>
  <c r="PT7" i="285"/>
  <c r="PR7" i="285"/>
  <c r="PU9" i="285"/>
  <c r="PS9" i="285"/>
  <c r="PT9" i="285"/>
  <c r="PR9" i="285"/>
  <c r="PU11" i="285"/>
  <c r="PS11" i="285"/>
  <c r="PT11" i="285"/>
  <c r="PR11" i="285"/>
  <c r="PT13" i="285"/>
  <c r="PR13" i="285"/>
  <c r="PU13" i="285"/>
  <c r="PS13" i="285"/>
  <c r="PT15" i="285"/>
  <c r="PR15" i="285"/>
  <c r="PU15" i="285"/>
  <c r="PS15" i="285"/>
  <c r="PT17" i="285"/>
  <c r="PR17" i="285"/>
  <c r="PU17" i="285"/>
  <c r="PS17" i="285"/>
  <c r="PT19" i="285"/>
  <c r="PR19" i="285"/>
  <c r="PU19" i="285"/>
  <c r="PS19" i="285"/>
  <c r="PT21" i="285"/>
  <c r="PR21" i="285"/>
  <c r="PU21" i="285"/>
  <c r="PS21" i="285"/>
  <c r="PT23" i="285"/>
  <c r="PR23" i="285"/>
  <c r="PU23" i="285"/>
  <c r="PS23" i="285"/>
  <c r="PT25" i="285"/>
  <c r="PR25" i="285"/>
  <c r="PU25" i="285"/>
  <c r="PS25" i="285"/>
  <c r="PT27" i="285"/>
  <c r="PR27" i="285"/>
  <c r="PU27" i="285"/>
  <c r="PS27" i="285"/>
  <c r="PT29" i="285"/>
  <c r="PR29" i="285"/>
  <c r="PU29" i="285"/>
  <c r="PS29" i="285"/>
  <c r="PT31" i="285"/>
  <c r="PR31" i="285"/>
  <c r="PU31" i="285"/>
  <c r="PS31" i="285"/>
  <c r="PY3" i="285"/>
  <c r="PW3" i="285"/>
  <c r="PX3" i="285"/>
  <c r="PV3" i="285"/>
  <c r="PY5" i="285"/>
  <c r="PW5" i="285"/>
  <c r="PX5" i="285"/>
  <c r="PV5" i="285"/>
  <c r="PY7" i="285"/>
  <c r="PW7" i="285"/>
  <c r="PX7" i="285"/>
  <c r="PV7" i="285"/>
  <c r="PY9" i="285"/>
  <c r="PW9" i="285"/>
  <c r="PX9" i="285"/>
  <c r="PV9" i="285"/>
  <c r="PY11" i="285"/>
  <c r="PW11" i="285"/>
  <c r="PX11" i="285"/>
  <c r="PV11" i="285"/>
  <c r="PX13" i="285"/>
  <c r="PV13" i="285"/>
  <c r="PY13" i="285"/>
  <c r="PW13" i="285"/>
  <c r="PX15" i="285"/>
  <c r="PV15" i="285"/>
  <c r="PY15" i="285"/>
  <c r="PW15" i="285"/>
  <c r="PX17" i="285"/>
  <c r="PV17" i="285"/>
  <c r="PY17" i="285"/>
  <c r="PW17" i="285"/>
  <c r="PX19" i="285"/>
  <c r="PV19" i="285"/>
  <c r="PY19" i="285"/>
  <c r="PW19" i="285"/>
  <c r="PX21" i="285"/>
  <c r="PV21" i="285"/>
  <c r="PY21" i="285"/>
  <c r="PW21" i="285"/>
  <c r="PX23" i="285"/>
  <c r="PV23" i="285"/>
  <c r="PY23" i="285"/>
  <c r="PW23" i="285"/>
  <c r="PX25" i="285"/>
  <c r="PV25" i="285"/>
  <c r="PY25" i="285"/>
  <c r="PW25" i="285"/>
  <c r="PX27" i="285"/>
  <c r="PV27" i="285"/>
  <c r="PY27" i="285"/>
  <c r="PW27" i="285"/>
  <c r="PX29" i="285"/>
  <c r="PV29" i="285"/>
  <c r="PY29" i="285"/>
  <c r="PW29" i="285"/>
  <c r="PX31" i="285"/>
  <c r="PV31" i="285"/>
  <c r="PY31" i="285"/>
  <c r="PW31" i="285"/>
  <c r="QC3" i="285"/>
  <c r="QA3" i="285"/>
  <c r="QB3" i="285"/>
  <c r="PZ3" i="285"/>
  <c r="QC5" i="285"/>
  <c r="QA5" i="285"/>
  <c r="QB5" i="285"/>
  <c r="PZ5" i="285"/>
  <c r="QC7" i="285"/>
  <c r="QA7" i="285"/>
  <c r="QB7" i="285"/>
  <c r="PZ7" i="285"/>
  <c r="QC9" i="285"/>
  <c r="QA9" i="285"/>
  <c r="QB9" i="285"/>
  <c r="PZ9" i="285"/>
  <c r="QC11" i="285"/>
  <c r="QA11" i="285"/>
  <c r="QB11" i="285"/>
  <c r="PZ11" i="285"/>
  <c r="QB13" i="285"/>
  <c r="PZ13" i="285"/>
  <c r="QC13" i="285"/>
  <c r="QA13" i="285"/>
  <c r="QB15" i="285"/>
  <c r="PZ15" i="285"/>
  <c r="QC15" i="285"/>
  <c r="QA15" i="285"/>
  <c r="QB17" i="285"/>
  <c r="PZ17" i="285"/>
  <c r="QC17" i="285"/>
  <c r="QA17" i="285"/>
  <c r="QB19" i="285"/>
  <c r="PZ19" i="285"/>
  <c r="QC19" i="285"/>
  <c r="QA19" i="285"/>
  <c r="QB21" i="285"/>
  <c r="PZ21" i="285"/>
  <c r="QC21" i="285"/>
  <c r="QA21" i="285"/>
  <c r="QB23" i="285"/>
  <c r="PZ23" i="285"/>
  <c r="QC23" i="285"/>
  <c r="QA23" i="285"/>
  <c r="QB25" i="285"/>
  <c r="PZ25" i="285"/>
  <c r="QC25" i="285"/>
  <c r="QA25" i="285"/>
  <c r="QB27" i="285"/>
  <c r="PZ27" i="285"/>
  <c r="QC27" i="285"/>
  <c r="QA27" i="285"/>
  <c r="QB29" i="285"/>
  <c r="PZ29" i="285"/>
  <c r="QC29" i="285"/>
  <c r="QA29" i="285"/>
  <c r="QB31" i="285"/>
  <c r="PZ31" i="285"/>
  <c r="QC31" i="285"/>
  <c r="QA31" i="285"/>
  <c r="QG3" i="285"/>
  <c r="QE3" i="285"/>
  <c r="QF3" i="285"/>
  <c r="QD3" i="285"/>
  <c r="QG5" i="285"/>
  <c r="QE5" i="285"/>
  <c r="QF5" i="285"/>
  <c r="QD5" i="285"/>
  <c r="QG7" i="285"/>
  <c r="QE7" i="285"/>
  <c r="QF7" i="285"/>
  <c r="QD7" i="285"/>
  <c r="QG9" i="285"/>
  <c r="QE9" i="285"/>
  <c r="QF9" i="285"/>
  <c r="QD9" i="285"/>
  <c r="QG11" i="285"/>
  <c r="QE11" i="285"/>
  <c r="QF11" i="285"/>
  <c r="QD11" i="285"/>
  <c r="QF13" i="285"/>
  <c r="QD13" i="285"/>
  <c r="QG13" i="285"/>
  <c r="QE13" i="285"/>
  <c r="QF15" i="285"/>
  <c r="QD15" i="285"/>
  <c r="QG15" i="285"/>
  <c r="QE15" i="285"/>
  <c r="QF17" i="285"/>
  <c r="QD17" i="285"/>
  <c r="QG17" i="285"/>
  <c r="QE17" i="285"/>
  <c r="QF19" i="285"/>
  <c r="QD19" i="285"/>
  <c r="QG19" i="285"/>
  <c r="QE19" i="285"/>
  <c r="QF21" i="285"/>
  <c r="QD21" i="285"/>
  <c r="QG21" i="285"/>
  <c r="QE21" i="285"/>
  <c r="QF23" i="285"/>
  <c r="QD23" i="285"/>
  <c r="QG23" i="285"/>
  <c r="QE23" i="285"/>
  <c r="QF25" i="285"/>
  <c r="QD25" i="285"/>
  <c r="QG25" i="285"/>
  <c r="QE25" i="285"/>
  <c r="QF27" i="285"/>
  <c r="QD27" i="285"/>
  <c r="QG27" i="285"/>
  <c r="QE27" i="285"/>
  <c r="QF29" i="285"/>
  <c r="QD29" i="285"/>
  <c r="QG29" i="285"/>
  <c r="QE29" i="285"/>
  <c r="QF31" i="285"/>
  <c r="QD31" i="285"/>
  <c r="QG31" i="285"/>
  <c r="QE31" i="285"/>
  <c r="QK3" i="285"/>
  <c r="QI3" i="285"/>
  <c r="QJ3" i="285"/>
  <c r="QH3" i="285"/>
  <c r="QK5" i="285"/>
  <c r="QI5" i="285"/>
  <c r="QJ5" i="285"/>
  <c r="QH5" i="285"/>
  <c r="QK7" i="285"/>
  <c r="QI7" i="285"/>
  <c r="QJ7" i="285"/>
  <c r="QH7" i="285"/>
  <c r="QK9" i="285"/>
  <c r="QI9" i="285"/>
  <c r="QJ9" i="285"/>
  <c r="QH9" i="285"/>
  <c r="QK11" i="285"/>
  <c r="QI11" i="285"/>
  <c r="QJ11" i="285"/>
  <c r="QH11" i="285"/>
  <c r="QJ13" i="285"/>
  <c r="QH13" i="285"/>
  <c r="QK13" i="285"/>
  <c r="QI13" i="285"/>
  <c r="QJ15" i="285"/>
  <c r="QH15" i="285"/>
  <c r="QK15" i="285"/>
  <c r="QI15" i="285"/>
  <c r="QJ17" i="285"/>
  <c r="QH17" i="285"/>
  <c r="QK17" i="285"/>
  <c r="QI17" i="285"/>
  <c r="QJ19" i="285"/>
  <c r="QH19" i="285"/>
  <c r="QK19" i="285"/>
  <c r="QI19" i="285"/>
  <c r="QJ21" i="285"/>
  <c r="QH21" i="285"/>
  <c r="QK21" i="285"/>
  <c r="QI21" i="285"/>
  <c r="QJ23" i="285"/>
  <c r="QH23" i="285"/>
  <c r="QK23" i="285"/>
  <c r="QI23" i="285"/>
  <c r="QJ25" i="285"/>
  <c r="QH25" i="285"/>
  <c r="QK25" i="285"/>
  <c r="QI25" i="285"/>
  <c r="QJ27" i="285"/>
  <c r="QH27" i="285"/>
  <c r="QK27" i="285"/>
  <c r="QI27" i="285"/>
  <c r="QJ29" i="285"/>
  <c r="QH29" i="285"/>
  <c r="QK29" i="285"/>
  <c r="QI29" i="285"/>
  <c r="QJ31" i="285"/>
  <c r="QH31" i="285"/>
  <c r="QK31" i="285"/>
  <c r="QI31" i="285"/>
  <c r="QO3" i="285"/>
  <c r="QM3" i="285"/>
  <c r="QN3" i="285"/>
  <c r="QL3" i="285"/>
  <c r="QO5" i="285"/>
  <c r="QM5" i="285"/>
  <c r="QN5" i="285"/>
  <c r="QL5" i="285"/>
  <c r="QO7" i="285"/>
  <c r="QM7" i="285"/>
  <c r="QN7" i="285"/>
  <c r="QL7" i="285"/>
  <c r="QO9" i="285"/>
  <c r="QM9" i="285"/>
  <c r="QN9" i="285"/>
  <c r="QL9" i="285"/>
  <c r="QO11" i="285"/>
  <c r="QM11" i="285"/>
  <c r="QN11" i="285"/>
  <c r="QL11" i="285"/>
  <c r="QN13" i="285"/>
  <c r="QL13" i="285"/>
  <c r="QO13" i="285"/>
  <c r="QM13" i="285"/>
  <c r="QN15" i="285"/>
  <c r="QL15" i="285"/>
  <c r="QO15" i="285"/>
  <c r="QM15" i="285"/>
  <c r="QN17" i="285"/>
  <c r="QL17" i="285"/>
  <c r="QO17" i="285"/>
  <c r="QM17" i="285"/>
  <c r="QN19" i="285"/>
  <c r="QL19" i="285"/>
  <c r="QO19" i="285"/>
  <c r="QM19" i="285"/>
  <c r="QN21" i="285"/>
  <c r="QL21" i="285"/>
  <c r="QO21" i="285"/>
  <c r="QM21" i="285"/>
  <c r="QN23" i="285"/>
  <c r="QL23" i="285"/>
  <c r="QO23" i="285"/>
  <c r="QM23" i="285"/>
  <c r="QN25" i="285"/>
  <c r="QL25" i="285"/>
  <c r="QO25" i="285"/>
  <c r="QM25" i="285"/>
  <c r="QN27" i="285"/>
  <c r="QL27" i="285"/>
  <c r="QO27" i="285"/>
  <c r="QM27" i="285"/>
  <c r="QN29" i="285"/>
  <c r="QL29" i="285"/>
  <c r="QO29" i="285"/>
  <c r="QM29" i="285"/>
  <c r="QN31" i="285"/>
  <c r="QL31" i="285"/>
  <c r="QO31" i="285"/>
  <c r="QM31" i="285"/>
  <c r="QS3" i="285"/>
  <c r="QQ3" i="285"/>
  <c r="QR3" i="285"/>
  <c r="QP3" i="285"/>
  <c r="QS5" i="285"/>
  <c r="QQ5" i="285"/>
  <c r="QR5" i="285"/>
  <c r="QP5" i="285"/>
  <c r="QS7" i="285"/>
  <c r="QQ7" i="285"/>
  <c r="QR7" i="285"/>
  <c r="QP7" i="285"/>
  <c r="QS9" i="285"/>
  <c r="QQ9" i="285"/>
  <c r="QR9" i="285"/>
  <c r="QP9" i="285"/>
  <c r="QS11" i="285"/>
  <c r="QQ11" i="285"/>
  <c r="QR11" i="285"/>
  <c r="QP11" i="285"/>
  <c r="QR13" i="285"/>
  <c r="QP13" i="285"/>
  <c r="QS13" i="285"/>
  <c r="QQ13" i="285"/>
  <c r="QR15" i="285"/>
  <c r="QP15" i="285"/>
  <c r="QS15" i="285"/>
  <c r="QQ15" i="285"/>
  <c r="QR17" i="285"/>
  <c r="QP17" i="285"/>
  <c r="QS17" i="285"/>
  <c r="QQ17" i="285"/>
  <c r="QR19" i="285"/>
  <c r="QP19" i="285"/>
  <c r="QS19" i="285"/>
  <c r="QQ19" i="285"/>
  <c r="QR21" i="285"/>
  <c r="QP21" i="285"/>
  <c r="QS21" i="285"/>
  <c r="QQ21" i="285"/>
  <c r="QR23" i="285"/>
  <c r="QP23" i="285"/>
  <c r="QS23" i="285"/>
  <c r="QQ23" i="285"/>
  <c r="QR25" i="285"/>
  <c r="QP25" i="285"/>
  <c r="QS25" i="285"/>
  <c r="QQ25" i="285"/>
  <c r="QR27" i="285"/>
  <c r="QP27" i="285"/>
  <c r="QS27" i="285"/>
  <c r="QQ27" i="285"/>
  <c r="QR29" i="285"/>
  <c r="QP29" i="285"/>
  <c r="QS29" i="285"/>
  <c r="QQ29" i="285"/>
  <c r="QR31" i="285"/>
  <c r="QP31" i="285"/>
  <c r="QS31" i="285"/>
  <c r="QQ31" i="285"/>
  <c r="QW3" i="285"/>
  <c r="QU3" i="285"/>
  <c r="QV3" i="285"/>
  <c r="QT3" i="285"/>
  <c r="QW5" i="285"/>
  <c r="QU5" i="285"/>
  <c r="QV5" i="285"/>
  <c r="QT5" i="285"/>
  <c r="QW7" i="285"/>
  <c r="QU7" i="285"/>
  <c r="QV7" i="285"/>
  <c r="QT7" i="285"/>
  <c r="QW9" i="285"/>
  <c r="QU9" i="285"/>
  <c r="QV9" i="285"/>
  <c r="QT9" i="285"/>
  <c r="QW11" i="285"/>
  <c r="QU11" i="285"/>
  <c r="QV11" i="285"/>
  <c r="QT11" i="285"/>
  <c r="QV13" i="285"/>
  <c r="QT13" i="285"/>
  <c r="QW13" i="285"/>
  <c r="QU13" i="285"/>
  <c r="QV15" i="285"/>
  <c r="QT15" i="285"/>
  <c r="QW15" i="285"/>
  <c r="QU15" i="285"/>
  <c r="QV17" i="285"/>
  <c r="QT17" i="285"/>
  <c r="QW17" i="285"/>
  <c r="QU17" i="285"/>
  <c r="QV19" i="285"/>
  <c r="QT19" i="285"/>
  <c r="QW19" i="285"/>
  <c r="QU19" i="285"/>
  <c r="QV21" i="285"/>
  <c r="QT21" i="285"/>
  <c r="QW21" i="285"/>
  <c r="QU21" i="285"/>
  <c r="QV23" i="285"/>
  <c r="QT23" i="285"/>
  <c r="QW23" i="285"/>
  <c r="QU23" i="285"/>
  <c r="QV25" i="285"/>
  <c r="QT25" i="285"/>
  <c r="QW25" i="285"/>
  <c r="QU25" i="285"/>
  <c r="QV27" i="285"/>
  <c r="QT27" i="285"/>
  <c r="QW27" i="285"/>
  <c r="QU27" i="285"/>
  <c r="QV29" i="285"/>
  <c r="QT29" i="285"/>
  <c r="QW29" i="285"/>
  <c r="QU29" i="285"/>
  <c r="QV31" i="285"/>
  <c r="QT31" i="285"/>
  <c r="QW31" i="285"/>
  <c r="QU31" i="285"/>
  <c r="RA3" i="285"/>
  <c r="QY3" i="285"/>
  <c r="QZ3" i="285"/>
  <c r="QX3" i="285"/>
  <c r="RA5" i="285"/>
  <c r="QY5" i="285"/>
  <c r="QZ5" i="285"/>
  <c r="QX5" i="285"/>
  <c r="RA7" i="285"/>
  <c r="QY7" i="285"/>
  <c r="QZ7" i="285"/>
  <c r="QX7" i="285"/>
  <c r="RA9" i="285"/>
  <c r="QY9" i="285"/>
  <c r="QZ9" i="285"/>
  <c r="QX9" i="285"/>
  <c r="RA11" i="285"/>
  <c r="QY11" i="285"/>
  <c r="QZ11" i="285"/>
  <c r="QX11" i="285"/>
  <c r="QZ13" i="285"/>
  <c r="QX13" i="285"/>
  <c r="RA13" i="285"/>
  <c r="QY13" i="285"/>
  <c r="QZ15" i="285"/>
  <c r="QX15" i="285"/>
  <c r="RA15" i="285"/>
  <c r="QY15" i="285"/>
  <c r="QZ17" i="285"/>
  <c r="QX17" i="285"/>
  <c r="RA17" i="285"/>
  <c r="QY17" i="285"/>
  <c r="QZ19" i="285"/>
  <c r="QX19" i="285"/>
  <c r="RA19" i="285"/>
  <c r="QY19" i="285"/>
  <c r="QZ21" i="285"/>
  <c r="QX21" i="285"/>
  <c r="RA21" i="285"/>
  <c r="QY21" i="285"/>
  <c r="QZ23" i="285"/>
  <c r="QX23" i="285"/>
  <c r="RA23" i="285"/>
  <c r="QY23" i="285"/>
  <c r="QZ25" i="285"/>
  <c r="QX25" i="285"/>
  <c r="RA25" i="285"/>
  <c r="QY25" i="285"/>
  <c r="QZ27" i="285"/>
  <c r="QX27" i="285"/>
  <c r="RA27" i="285"/>
  <c r="QY27" i="285"/>
  <c r="QZ29" i="285"/>
  <c r="QX29" i="285"/>
  <c r="RA29" i="285"/>
  <c r="QY29" i="285"/>
  <c r="QZ31" i="285"/>
  <c r="QX31" i="285"/>
  <c r="RA31" i="285"/>
  <c r="QY31" i="285"/>
  <c r="RE3" i="285"/>
  <c r="RC3" i="285"/>
  <c r="RD3" i="285"/>
  <c r="RB3" i="285"/>
  <c r="RE5" i="285"/>
  <c r="RC5" i="285"/>
  <c r="RD5" i="285"/>
  <c r="RB5" i="285"/>
  <c r="RE7" i="285"/>
  <c r="RC7" i="285"/>
  <c r="RD7" i="285"/>
  <c r="RB7" i="285"/>
  <c r="RE9" i="285"/>
  <c r="RC9" i="285"/>
  <c r="RD9" i="285"/>
  <c r="RB9" i="285"/>
  <c r="RE11" i="285"/>
  <c r="RC11" i="285"/>
  <c r="RD11" i="285"/>
  <c r="RB11" i="285"/>
  <c r="RD13" i="285"/>
  <c r="RB13" i="285"/>
  <c r="RE13" i="285"/>
  <c r="RC13" i="285"/>
  <c r="RD15" i="285"/>
  <c r="RB15" i="285"/>
  <c r="RE15" i="285"/>
  <c r="RC15" i="285"/>
  <c r="RD17" i="285"/>
  <c r="RB17" i="285"/>
  <c r="RE17" i="285"/>
  <c r="RC17" i="285"/>
  <c r="RD19" i="285"/>
  <c r="RB19" i="285"/>
  <c r="RE19" i="285"/>
  <c r="RC19" i="285"/>
  <c r="RD21" i="285"/>
  <c r="RB21" i="285"/>
  <c r="RE21" i="285"/>
  <c r="RC21" i="285"/>
  <c r="RD23" i="285"/>
  <c r="RB23" i="285"/>
  <c r="RE23" i="285"/>
  <c r="RC23" i="285"/>
  <c r="RD25" i="285"/>
  <c r="RB25" i="285"/>
  <c r="RE25" i="285"/>
  <c r="RC25" i="285"/>
  <c r="AC110" i="271"/>
  <c r="AW33" i="262" s="1"/>
  <c r="BA33" i="262" s="1"/>
  <c r="RD27" i="285"/>
  <c r="RB27" i="285"/>
  <c r="RE27" i="285"/>
  <c r="RC27" i="285"/>
  <c r="RD29" i="285"/>
  <c r="RB29" i="285"/>
  <c r="RE29" i="285"/>
  <c r="RC29" i="285"/>
  <c r="RD31" i="285"/>
  <c r="RB31" i="285"/>
  <c r="RE31" i="285"/>
  <c r="RC31" i="285"/>
  <c r="RI3" i="285"/>
  <c r="RG3" i="285"/>
  <c r="RH3" i="285"/>
  <c r="RF3" i="285"/>
  <c r="RI5" i="285"/>
  <c r="RG5" i="285"/>
  <c r="RH5" i="285"/>
  <c r="RF5" i="285"/>
  <c r="RI7" i="285"/>
  <c r="RG7" i="285"/>
  <c r="RH7" i="285"/>
  <c r="RF7" i="285"/>
  <c r="RI9" i="285"/>
  <c r="RG9" i="285"/>
  <c r="RH9" i="285"/>
  <c r="RF9" i="285"/>
  <c r="RI11" i="285"/>
  <c r="RG11" i="285"/>
  <c r="RH11" i="285"/>
  <c r="RF11" i="285"/>
  <c r="RH13" i="285"/>
  <c r="RF13" i="285"/>
  <c r="RI13" i="285"/>
  <c r="RG13" i="285"/>
  <c r="RH15" i="285"/>
  <c r="RF15" i="285"/>
  <c r="RI15" i="285"/>
  <c r="RG15" i="285"/>
  <c r="RH17" i="285"/>
  <c r="RF17" i="285"/>
  <c r="RI17" i="285"/>
  <c r="RG17" i="285"/>
  <c r="RH19" i="285"/>
  <c r="RF19" i="285"/>
  <c r="RI19" i="285"/>
  <c r="RG19" i="285"/>
  <c r="RH21" i="285"/>
  <c r="RF21" i="285"/>
  <c r="RI21" i="285"/>
  <c r="RG21" i="285"/>
  <c r="RH23" i="285"/>
  <c r="RF23" i="285"/>
  <c r="RI23" i="285"/>
  <c r="RG23" i="285"/>
  <c r="RH25" i="285"/>
  <c r="RF25" i="285"/>
  <c r="RI25" i="285"/>
  <c r="RG25" i="285"/>
  <c r="RH27" i="285"/>
  <c r="RF27" i="285"/>
  <c r="RI27" i="285"/>
  <c r="RG27" i="285"/>
  <c r="RH29" i="285"/>
  <c r="RF29" i="285"/>
  <c r="RI29" i="285"/>
  <c r="RG29" i="285"/>
  <c r="RH31" i="285"/>
  <c r="RF31" i="285"/>
  <c r="RI31" i="285"/>
  <c r="RG31" i="285"/>
  <c r="RM3" i="285"/>
  <c r="RK3" i="285"/>
  <c r="RL3" i="285"/>
  <c r="RJ3" i="285"/>
  <c r="RM5" i="285"/>
  <c r="RK5" i="285"/>
  <c r="RL5" i="285"/>
  <c r="RJ5" i="285"/>
  <c r="RM7" i="285"/>
  <c r="RK7" i="285"/>
  <c r="RL7" i="285"/>
  <c r="RJ7" i="285"/>
  <c r="RM9" i="285"/>
  <c r="RK9" i="285"/>
  <c r="RL9" i="285"/>
  <c r="RJ9" i="285"/>
  <c r="RM11" i="285"/>
  <c r="RK11" i="285"/>
  <c r="RL11" i="285"/>
  <c r="RJ11" i="285"/>
  <c r="RL13" i="285"/>
  <c r="RJ13" i="285"/>
  <c r="RM13" i="285"/>
  <c r="RK13" i="285"/>
  <c r="RL15" i="285"/>
  <c r="RJ15" i="285"/>
  <c r="RM15" i="285"/>
  <c r="RK15" i="285"/>
  <c r="RL17" i="285"/>
  <c r="RJ17" i="285"/>
  <c r="RM17" i="285"/>
  <c r="RK17" i="285"/>
  <c r="RL19" i="285"/>
  <c r="RJ19" i="285"/>
  <c r="RM19" i="285"/>
  <c r="RK19" i="285"/>
  <c r="RL21" i="285"/>
  <c r="RJ21" i="285"/>
  <c r="RM21" i="285"/>
  <c r="RK21" i="285"/>
  <c r="RL23" i="285"/>
  <c r="RJ23" i="285"/>
  <c r="RM23" i="285"/>
  <c r="RK23" i="285"/>
  <c r="RL25" i="285"/>
  <c r="RJ25" i="285"/>
  <c r="RM25" i="285"/>
  <c r="RK25" i="285"/>
  <c r="RL27" i="285"/>
  <c r="RJ27" i="285"/>
  <c r="RM27" i="285"/>
  <c r="RK27" i="285"/>
  <c r="RL29" i="285"/>
  <c r="RJ29" i="285"/>
  <c r="RM29" i="285"/>
  <c r="RK29" i="285"/>
  <c r="RL31" i="285"/>
  <c r="RJ31" i="285"/>
  <c r="RM31" i="285"/>
  <c r="RK31" i="285"/>
  <c r="RQ3" i="285"/>
  <c r="RO3" i="285"/>
  <c r="RP3" i="285"/>
  <c r="RN3" i="285"/>
  <c r="RQ5" i="285"/>
  <c r="RO5" i="285"/>
  <c r="RP5" i="285"/>
  <c r="RN5" i="285"/>
  <c r="RQ7" i="285"/>
  <c r="RO7" i="285"/>
  <c r="RP7" i="285"/>
  <c r="RN7" i="285"/>
  <c r="RQ9" i="285"/>
  <c r="RO9" i="285"/>
  <c r="RP9" i="285"/>
  <c r="RN9" i="285"/>
  <c r="RQ11" i="285"/>
  <c r="RO11" i="285"/>
  <c r="RP11" i="285"/>
  <c r="RN11" i="285"/>
  <c r="RP13" i="285"/>
  <c r="RN13" i="285"/>
  <c r="RQ13" i="285"/>
  <c r="RO13" i="285"/>
  <c r="RP15" i="285"/>
  <c r="RN15" i="285"/>
  <c r="RQ15" i="285"/>
  <c r="RO15" i="285"/>
  <c r="RP17" i="285"/>
  <c r="RN17" i="285"/>
  <c r="RQ17" i="285"/>
  <c r="RO17" i="285"/>
  <c r="RP19" i="285"/>
  <c r="RN19" i="285"/>
  <c r="RQ19" i="285"/>
  <c r="RO19" i="285"/>
  <c r="RP21" i="285"/>
  <c r="RN21" i="285"/>
  <c r="RQ21" i="285"/>
  <c r="RO21" i="285"/>
  <c r="RP23" i="285"/>
  <c r="RN23" i="285"/>
  <c r="RQ23" i="285"/>
  <c r="RO23" i="285"/>
  <c r="RP25" i="285"/>
  <c r="RN25" i="285"/>
  <c r="RQ25" i="285"/>
  <c r="RO25" i="285"/>
  <c r="RP27" i="285"/>
  <c r="RN27" i="285"/>
  <c r="RQ27" i="285"/>
  <c r="RO27" i="285"/>
  <c r="RP29" i="285"/>
  <c r="RN29" i="285"/>
  <c r="RQ29" i="285"/>
  <c r="RO29" i="285"/>
  <c r="RP31" i="285"/>
  <c r="RN31" i="285"/>
  <c r="RQ31" i="285"/>
  <c r="RO31" i="285"/>
  <c r="RU3" i="285"/>
  <c r="RS3" i="285"/>
  <c r="RT3" i="285"/>
  <c r="RR3" i="285"/>
  <c r="RU5" i="285"/>
  <c r="RS5" i="285"/>
  <c r="RT5" i="285"/>
  <c r="RR5" i="285"/>
  <c r="RU7" i="285"/>
  <c r="RS7" i="285"/>
  <c r="RT7" i="285"/>
  <c r="RR7" i="285"/>
  <c r="RU9" i="285"/>
  <c r="RS9" i="285"/>
  <c r="RT9" i="285"/>
  <c r="RR9" i="285"/>
  <c r="RU11" i="285"/>
  <c r="RS11" i="285"/>
  <c r="RT11" i="285"/>
  <c r="RR11" i="285"/>
  <c r="RT13" i="285"/>
  <c r="RR13" i="285"/>
  <c r="RU13" i="285"/>
  <c r="RS13" i="285"/>
  <c r="RT15" i="285"/>
  <c r="RR15" i="285"/>
  <c r="RU15" i="285"/>
  <c r="RS15" i="285"/>
  <c r="RT17" i="285"/>
  <c r="RR17" i="285"/>
  <c r="RU17" i="285"/>
  <c r="RS17" i="285"/>
  <c r="RT19" i="285"/>
  <c r="RR19" i="285"/>
  <c r="RU19" i="285"/>
  <c r="RS19" i="285"/>
  <c r="RT21" i="285"/>
  <c r="RR21" i="285"/>
  <c r="RU21" i="285"/>
  <c r="RS21" i="285"/>
  <c r="RT23" i="285"/>
  <c r="RR23" i="285"/>
  <c r="RU23" i="285"/>
  <c r="RS23" i="285"/>
  <c r="RT25" i="285"/>
  <c r="RR25" i="285"/>
  <c r="RU25" i="285"/>
  <c r="RS25" i="285"/>
  <c r="RT27" i="285"/>
  <c r="RR27" i="285"/>
  <c r="RU27" i="285"/>
  <c r="RS27" i="285"/>
  <c r="RT29" i="285"/>
  <c r="RR29" i="285"/>
  <c r="RU29" i="285"/>
  <c r="RS29" i="285"/>
  <c r="RT31" i="285"/>
  <c r="RR31" i="285"/>
  <c r="RU31" i="285"/>
  <c r="RS31" i="285"/>
  <c r="RY3" i="285"/>
  <c r="RW3" i="285"/>
  <c r="RX3" i="285"/>
  <c r="RV3" i="285"/>
  <c r="RY5" i="285"/>
  <c r="RW5" i="285"/>
  <c r="RX5" i="285"/>
  <c r="RV5" i="285"/>
  <c r="RY7" i="285"/>
  <c r="RW7" i="285"/>
  <c r="RX7" i="285"/>
  <c r="RV7" i="285"/>
  <c r="RY9" i="285"/>
  <c r="RW9" i="285"/>
  <c r="RX9" i="285"/>
  <c r="RV9" i="285"/>
  <c r="RY11" i="285"/>
  <c r="RW11" i="285"/>
  <c r="RX11" i="285"/>
  <c r="RV11" i="285"/>
  <c r="RX13" i="285"/>
  <c r="RV13" i="285"/>
  <c r="RY13" i="285"/>
  <c r="RW13" i="285"/>
  <c r="RX15" i="285"/>
  <c r="RV15" i="285"/>
  <c r="RY15" i="285"/>
  <c r="RW15" i="285"/>
  <c r="RX17" i="285"/>
  <c r="RV17" i="285"/>
  <c r="RY17" i="285"/>
  <c r="RW17" i="285"/>
  <c r="RX19" i="285"/>
  <c r="RV19" i="285"/>
  <c r="RY19" i="285"/>
  <c r="RW19" i="285"/>
  <c r="RX21" i="285"/>
  <c r="RV21" i="285"/>
  <c r="RY21" i="285"/>
  <c r="RW21" i="285"/>
  <c r="RX23" i="285"/>
  <c r="RV23" i="285"/>
  <c r="RY23" i="285"/>
  <c r="RW23" i="285"/>
  <c r="RX25" i="285"/>
  <c r="RV25" i="285"/>
  <c r="RY25" i="285"/>
  <c r="RW25" i="285"/>
  <c r="RX27" i="285"/>
  <c r="RV27" i="285"/>
  <c r="RY27" i="285"/>
  <c r="RW27" i="285"/>
  <c r="RX29" i="285"/>
  <c r="RV29" i="285"/>
  <c r="RY29" i="285"/>
  <c r="RW29" i="285"/>
  <c r="RX31" i="285"/>
  <c r="RV31" i="285"/>
  <c r="RY31" i="285"/>
  <c r="RW31" i="285"/>
  <c r="SC3" i="285"/>
  <c r="SA3" i="285"/>
  <c r="SB3" i="285"/>
  <c r="RZ3" i="285"/>
  <c r="SC5" i="285"/>
  <c r="SA5" i="285"/>
  <c r="SB5" i="285"/>
  <c r="RZ5" i="285"/>
  <c r="SC7" i="285"/>
  <c r="SA7" i="285"/>
  <c r="SB7" i="285"/>
  <c r="RZ7" i="285"/>
  <c r="SC9" i="285"/>
  <c r="SA9" i="285"/>
  <c r="SB9" i="285"/>
  <c r="RZ9" i="285"/>
  <c r="SC11" i="285"/>
  <c r="SA11" i="285"/>
  <c r="SB11" i="285"/>
  <c r="RZ11" i="285"/>
  <c r="SB13" i="285"/>
  <c r="RZ13" i="285"/>
  <c r="SC13" i="285"/>
  <c r="SA13" i="285"/>
  <c r="SB15" i="285"/>
  <c r="RZ15" i="285"/>
  <c r="SC15" i="285"/>
  <c r="SA15" i="285"/>
  <c r="SB17" i="285"/>
  <c r="RZ17" i="285"/>
  <c r="SC17" i="285"/>
  <c r="SA17" i="285"/>
  <c r="SB19" i="285"/>
  <c r="RZ19" i="285"/>
  <c r="SC19" i="285"/>
  <c r="SA19" i="285"/>
  <c r="SB21" i="285"/>
  <c r="RZ21" i="285"/>
  <c r="SC21" i="285"/>
  <c r="SA21" i="285"/>
  <c r="SB23" i="285"/>
  <c r="RZ23" i="285"/>
  <c r="SC23" i="285"/>
  <c r="SA23" i="285"/>
  <c r="SB25" i="285"/>
  <c r="RZ25" i="285"/>
  <c r="SC25" i="285"/>
  <c r="SA25" i="285"/>
  <c r="SB27" i="285"/>
  <c r="RZ27" i="285"/>
  <c r="SC27" i="285"/>
  <c r="SA27" i="285"/>
  <c r="SB29" i="285"/>
  <c r="RZ29" i="285"/>
  <c r="SC29" i="285"/>
  <c r="SA29" i="285"/>
  <c r="SB31" i="285"/>
  <c r="RZ31" i="285"/>
  <c r="SC31" i="285"/>
  <c r="SA31" i="285"/>
  <c r="SG3" i="285"/>
  <c r="SE3" i="285"/>
  <c r="SF3" i="285"/>
  <c r="SD3" i="285"/>
  <c r="SG5" i="285"/>
  <c r="SE5" i="285"/>
  <c r="SF5" i="285"/>
  <c r="SD5" i="285"/>
  <c r="SG7" i="285"/>
  <c r="SE7" i="285"/>
  <c r="SF7" i="285"/>
  <c r="SD7" i="285"/>
  <c r="SG9" i="285"/>
  <c r="SE9" i="285"/>
  <c r="SF9" i="285"/>
  <c r="SD9" i="285"/>
  <c r="SG11" i="285"/>
  <c r="SE11" i="285"/>
  <c r="SF11" i="285"/>
  <c r="SD11" i="285"/>
  <c r="SF13" i="285"/>
  <c r="SD13" i="285"/>
  <c r="SG13" i="285"/>
  <c r="SE13" i="285"/>
  <c r="SF15" i="285"/>
  <c r="SD15" i="285"/>
  <c r="SG15" i="285"/>
  <c r="SE15" i="285"/>
  <c r="SF17" i="285"/>
  <c r="SD17" i="285"/>
  <c r="SG17" i="285"/>
  <c r="SE17" i="285"/>
  <c r="SF19" i="285"/>
  <c r="SD19" i="285"/>
  <c r="SG19" i="285"/>
  <c r="SE19" i="285"/>
  <c r="SF21" i="285"/>
  <c r="SD21" i="285"/>
  <c r="SG21" i="285"/>
  <c r="SE21" i="285"/>
  <c r="SF23" i="285"/>
  <c r="SD23" i="285"/>
  <c r="SG23" i="285"/>
  <c r="SE23" i="285"/>
  <c r="SF25" i="285"/>
  <c r="SD25" i="285"/>
  <c r="SG25" i="285"/>
  <c r="SE25" i="285"/>
  <c r="SF27" i="285"/>
  <c r="SD27" i="285"/>
  <c r="SG27" i="285"/>
  <c r="SE27" i="285"/>
  <c r="SF29" i="285"/>
  <c r="SD29" i="285"/>
  <c r="SG29" i="285"/>
  <c r="SE29" i="285"/>
  <c r="SF31" i="285"/>
  <c r="SD31" i="285"/>
  <c r="SG31" i="285"/>
  <c r="SE31" i="285"/>
  <c r="SK3" i="285"/>
  <c r="SI3" i="285"/>
  <c r="SJ3" i="285"/>
  <c r="SH3" i="285"/>
  <c r="SK5" i="285"/>
  <c r="SI5" i="285"/>
  <c r="SJ5" i="285"/>
  <c r="SH5" i="285"/>
  <c r="SK7" i="285"/>
  <c r="SI7" i="285"/>
  <c r="SJ7" i="285"/>
  <c r="SH7" i="285"/>
  <c r="SK9" i="285"/>
  <c r="SI9" i="285"/>
  <c r="SJ9" i="285"/>
  <c r="SH9" i="285"/>
  <c r="SK11" i="285"/>
  <c r="SI11" i="285"/>
  <c r="SJ11" i="285"/>
  <c r="SH11" i="285"/>
  <c r="SJ13" i="285"/>
  <c r="SH13" i="285"/>
  <c r="SK13" i="285"/>
  <c r="SI13" i="285"/>
  <c r="SJ15" i="285"/>
  <c r="SH15" i="285"/>
  <c r="SK15" i="285"/>
  <c r="SI15" i="285"/>
  <c r="SJ17" i="285"/>
  <c r="SH17" i="285"/>
  <c r="SK17" i="285"/>
  <c r="SI17" i="285"/>
  <c r="SJ19" i="285"/>
  <c r="SH19" i="285"/>
  <c r="SK19" i="285"/>
  <c r="SI19" i="285"/>
  <c r="SJ21" i="285"/>
  <c r="SH21" i="285"/>
  <c r="SK21" i="285"/>
  <c r="SI21" i="285"/>
  <c r="SJ23" i="285"/>
  <c r="SH23" i="285"/>
  <c r="SK23" i="285"/>
  <c r="SI23" i="285"/>
  <c r="SJ25" i="285"/>
  <c r="SH25" i="285"/>
  <c r="SK25" i="285"/>
  <c r="SI25" i="285"/>
  <c r="SJ27" i="285"/>
  <c r="SH27" i="285"/>
  <c r="SK27" i="285"/>
  <c r="SI27" i="285"/>
  <c r="SJ29" i="285"/>
  <c r="SH29" i="285"/>
  <c r="SK29" i="285"/>
  <c r="SI29" i="285"/>
  <c r="SJ31" i="285"/>
  <c r="SH31" i="285"/>
  <c r="SK31" i="285"/>
  <c r="SI31" i="285"/>
  <c r="SO3" i="285"/>
  <c r="SM3" i="285"/>
  <c r="SN3" i="285"/>
  <c r="SL3" i="285"/>
  <c r="SO5" i="285"/>
  <c r="SM5" i="285"/>
  <c r="SN5" i="285"/>
  <c r="SL5" i="285"/>
  <c r="SO7" i="285"/>
  <c r="SM7" i="285"/>
  <c r="SN7" i="285"/>
  <c r="SL7" i="285"/>
  <c r="SO9" i="285"/>
  <c r="SM9" i="285"/>
  <c r="SN9" i="285"/>
  <c r="SL9" i="285"/>
  <c r="SO11" i="285"/>
  <c r="SM11" i="285"/>
  <c r="SN11" i="285"/>
  <c r="SL11" i="285"/>
  <c r="SN13" i="285"/>
  <c r="SL13" i="285"/>
  <c r="SO13" i="285"/>
  <c r="SM13" i="285"/>
  <c r="SN15" i="285"/>
  <c r="SL15" i="285"/>
  <c r="SO15" i="285"/>
  <c r="SM15" i="285"/>
  <c r="SN17" i="285"/>
  <c r="SL17" i="285"/>
  <c r="SO17" i="285"/>
  <c r="SM17" i="285"/>
  <c r="SN19" i="285"/>
  <c r="SL19" i="285"/>
  <c r="SO19" i="285"/>
  <c r="SM19" i="285"/>
  <c r="SN21" i="285"/>
  <c r="SL21" i="285"/>
  <c r="SO21" i="285"/>
  <c r="SM21" i="285"/>
  <c r="SN23" i="285"/>
  <c r="SL23" i="285"/>
  <c r="SO23" i="285"/>
  <c r="SM23" i="285"/>
  <c r="SN25" i="285"/>
  <c r="SL25" i="285"/>
  <c r="SO25" i="285"/>
  <c r="SM25" i="285"/>
  <c r="SN27" i="285"/>
  <c r="SL27" i="285"/>
  <c r="SO27" i="285"/>
  <c r="SM27" i="285"/>
  <c r="SN29" i="285"/>
  <c r="SL29" i="285"/>
  <c r="SO29" i="285"/>
  <c r="SM29" i="285"/>
  <c r="SN31" i="285"/>
  <c r="SL31" i="285"/>
  <c r="SO31" i="285"/>
  <c r="SM31" i="285"/>
  <c r="SS3" i="285"/>
  <c r="SQ3" i="285"/>
  <c r="SR3" i="285"/>
  <c r="SP3" i="285"/>
  <c r="SS5" i="285"/>
  <c r="SQ5" i="285"/>
  <c r="SR5" i="285"/>
  <c r="SP5" i="285"/>
  <c r="SS7" i="285"/>
  <c r="SQ7" i="285"/>
  <c r="SR7" i="285"/>
  <c r="SP7" i="285"/>
  <c r="SS9" i="285"/>
  <c r="SQ9" i="285"/>
  <c r="SR9" i="285"/>
  <c r="SP9" i="285"/>
  <c r="SS11" i="285"/>
  <c r="SQ11" i="285"/>
  <c r="SR11" i="285"/>
  <c r="SP11" i="285"/>
  <c r="SR13" i="285"/>
  <c r="SP13" i="285"/>
  <c r="SS13" i="285"/>
  <c r="SQ13" i="285"/>
  <c r="SR15" i="285"/>
  <c r="SP15" i="285"/>
  <c r="SS15" i="285"/>
  <c r="SQ15" i="285"/>
  <c r="SR17" i="285"/>
  <c r="SP17" i="285"/>
  <c r="SS17" i="285"/>
  <c r="SQ17" i="285"/>
  <c r="SR19" i="285"/>
  <c r="SP19" i="285"/>
  <c r="SS19" i="285"/>
  <c r="SQ19" i="285"/>
  <c r="SR21" i="285"/>
  <c r="SP21" i="285"/>
  <c r="SS21" i="285"/>
  <c r="SQ21" i="285"/>
  <c r="SR23" i="285"/>
  <c r="SP23" i="285"/>
  <c r="SS23" i="285"/>
  <c r="SQ23" i="285"/>
  <c r="SR25" i="285"/>
  <c r="SP25" i="285"/>
  <c r="SS25" i="285"/>
  <c r="SQ25" i="285"/>
  <c r="SR27" i="285"/>
  <c r="SP27" i="285"/>
  <c r="SS27" i="285"/>
  <c r="SQ27" i="285"/>
  <c r="SR29" i="285"/>
  <c r="SP29" i="285"/>
  <c r="SS29" i="285"/>
  <c r="SQ29" i="285"/>
  <c r="SR31" i="285"/>
  <c r="SP31" i="285"/>
  <c r="SS31" i="285"/>
  <c r="SQ31" i="285"/>
  <c r="SW3" i="285"/>
  <c r="SU3" i="285"/>
  <c r="SV3" i="285"/>
  <c r="ST3" i="285"/>
  <c r="SW5" i="285"/>
  <c r="SU5" i="285"/>
  <c r="SV5" i="285"/>
  <c r="ST5" i="285"/>
  <c r="SW7" i="285"/>
  <c r="SU7" i="285"/>
  <c r="SV7" i="285"/>
  <c r="ST7" i="285"/>
  <c r="SW9" i="285"/>
  <c r="SU9" i="285"/>
  <c r="SV9" i="285"/>
  <c r="ST9" i="285"/>
  <c r="SW11" i="285"/>
  <c r="SU11" i="285"/>
  <c r="SV11" i="285"/>
  <c r="ST11" i="285"/>
  <c r="SV13" i="285"/>
  <c r="ST13" i="285"/>
  <c r="SW13" i="285"/>
  <c r="SU13" i="285"/>
  <c r="SV15" i="285"/>
  <c r="ST15" i="285"/>
  <c r="SW15" i="285"/>
  <c r="SU15" i="285"/>
  <c r="SV17" i="285"/>
  <c r="ST17" i="285"/>
  <c r="SW17" i="285"/>
  <c r="SU17" i="285"/>
  <c r="SV19" i="285"/>
  <c r="ST19" i="285"/>
  <c r="SW19" i="285"/>
  <c r="SU19" i="285"/>
  <c r="SV21" i="285"/>
  <c r="ST21" i="285"/>
  <c r="SW21" i="285"/>
  <c r="SU21" i="285"/>
  <c r="SV23" i="285"/>
  <c r="ST23" i="285"/>
  <c r="SW23" i="285"/>
  <c r="SU23" i="285"/>
  <c r="SV25" i="285"/>
  <c r="ST25" i="285"/>
  <c r="SW25" i="285"/>
  <c r="SU25" i="285"/>
  <c r="SV27" i="285"/>
  <c r="ST27" i="285"/>
  <c r="SW27" i="285"/>
  <c r="SU27" i="285"/>
  <c r="SV29" i="285"/>
  <c r="ST29" i="285"/>
  <c r="SW29" i="285"/>
  <c r="SU29" i="285"/>
  <c r="SV31" i="285"/>
  <c r="ST31" i="285"/>
  <c r="SW31" i="285"/>
  <c r="SU31" i="285"/>
  <c r="TA3" i="285"/>
  <c r="SY3" i="285"/>
  <c r="SZ3" i="285"/>
  <c r="SX3" i="285"/>
  <c r="TA5" i="285"/>
  <c r="SY5" i="285"/>
  <c r="SZ5" i="285"/>
  <c r="SX5" i="285"/>
  <c r="TA7" i="285"/>
  <c r="SY7" i="285"/>
  <c r="SZ7" i="285"/>
  <c r="SX7" i="285"/>
  <c r="TA9" i="285"/>
  <c r="SY9" i="285"/>
  <c r="SZ9" i="285"/>
  <c r="SX9" i="285"/>
  <c r="TA11" i="285"/>
  <c r="SY11" i="285"/>
  <c r="SZ11" i="285"/>
  <c r="SX11" i="285"/>
  <c r="SZ13" i="285"/>
  <c r="SX13" i="285"/>
  <c r="TA13" i="285"/>
  <c r="SY13" i="285"/>
  <c r="SZ15" i="285"/>
  <c r="SX15" i="285"/>
  <c r="TA15" i="285"/>
  <c r="SY15" i="285"/>
  <c r="SZ17" i="285"/>
  <c r="SX17" i="285"/>
  <c r="TA17" i="285"/>
  <c r="SY17" i="285"/>
  <c r="SZ19" i="285"/>
  <c r="SX19" i="285"/>
  <c r="TA19" i="285"/>
  <c r="SY19" i="285"/>
  <c r="SZ21" i="285"/>
  <c r="SX21" i="285"/>
  <c r="TA21" i="285"/>
  <c r="SY21" i="285"/>
  <c r="SZ23" i="285"/>
  <c r="SX23" i="285"/>
  <c r="TA23" i="285"/>
  <c r="SY23" i="285"/>
  <c r="SZ25" i="285"/>
  <c r="SX25" i="285"/>
  <c r="TA25" i="285"/>
  <c r="SY25" i="285"/>
  <c r="SZ27" i="285"/>
  <c r="SX27" i="285"/>
  <c r="TA27" i="285"/>
  <c r="SY27" i="285"/>
  <c r="SZ29" i="285"/>
  <c r="SX29" i="285"/>
  <c r="TA29" i="285"/>
  <c r="SY29" i="285"/>
  <c r="SZ31" i="285"/>
  <c r="SX31" i="285"/>
  <c r="TA31" i="285"/>
  <c r="SY31" i="285"/>
  <c r="TE3" i="285"/>
  <c r="TC3" i="285"/>
  <c r="TD3" i="285"/>
  <c r="TB3" i="285"/>
  <c r="G127" i="276"/>
  <c r="BB11" i="262" s="1"/>
  <c r="BF11" i="262" s="1"/>
  <c r="TE5" i="285"/>
  <c r="TC5" i="285"/>
  <c r="TD5" i="285"/>
  <c r="TB5" i="285"/>
  <c r="TE7" i="285"/>
  <c r="TC7" i="285"/>
  <c r="TD7" i="285"/>
  <c r="TB7" i="285"/>
  <c r="K127" i="276"/>
  <c r="BB15" i="262" s="1"/>
  <c r="BF15" i="262" s="1"/>
  <c r="TE9" i="285"/>
  <c r="TC9" i="285"/>
  <c r="TD9" i="285"/>
  <c r="TB9" i="285"/>
  <c r="TE11" i="285"/>
  <c r="TC11" i="285"/>
  <c r="TD11" i="285"/>
  <c r="TB11" i="285"/>
  <c r="O127" i="276"/>
  <c r="BB19" i="262" s="1"/>
  <c r="BF19" i="262" s="1"/>
  <c r="TD13" i="285"/>
  <c r="TB13" i="285"/>
  <c r="TE13" i="285"/>
  <c r="TC13" i="285"/>
  <c r="TD15" i="285"/>
  <c r="TB15" i="285"/>
  <c r="TE15" i="285"/>
  <c r="TC15" i="285"/>
  <c r="S127" i="276"/>
  <c r="BB23" i="262" s="1"/>
  <c r="BF23" i="262" s="1"/>
  <c r="TD17" i="285"/>
  <c r="TB17" i="285"/>
  <c r="TE17" i="285"/>
  <c r="TC17" i="285"/>
  <c r="TD19" i="285"/>
  <c r="TB19" i="285"/>
  <c r="TE19" i="285"/>
  <c r="TC19" i="285"/>
  <c r="W127" i="276"/>
  <c r="BB27" i="262" s="1"/>
  <c r="BF27" i="262" s="1"/>
  <c r="TD21" i="285"/>
  <c r="TB21" i="285"/>
  <c r="TE21" i="285"/>
  <c r="TC21" i="285"/>
  <c r="TD23" i="285"/>
  <c r="TB23" i="285"/>
  <c r="TE23" i="285"/>
  <c r="TC23" i="285"/>
  <c r="AA127" i="276"/>
  <c r="BB31" i="262" s="1"/>
  <c r="BF31" i="262" s="1"/>
  <c r="TD25" i="285"/>
  <c r="TB25" i="285"/>
  <c r="TE25" i="285"/>
  <c r="TC25" i="285"/>
  <c r="TD27" i="285"/>
  <c r="TB27" i="285"/>
  <c r="TE27" i="285"/>
  <c r="TC27" i="285"/>
  <c r="AE127" i="276"/>
  <c r="BB35" i="262" s="1"/>
  <c r="BF35" i="262" s="1"/>
  <c r="TD29" i="285"/>
  <c r="TB29" i="285"/>
  <c r="TE29" i="285"/>
  <c r="TC29" i="285"/>
  <c r="TD31" i="285"/>
  <c r="TB31" i="285"/>
  <c r="TE31" i="285"/>
  <c r="TC31" i="285"/>
  <c r="E127" i="276"/>
  <c r="BB9" i="262" s="1"/>
  <c r="BF9" i="262" s="1"/>
  <c r="TI3" i="285"/>
  <c r="TG3" i="285"/>
  <c r="TH3" i="285"/>
  <c r="TF3" i="285"/>
  <c r="TI5" i="285"/>
  <c r="TG5" i="285"/>
  <c r="TH5" i="285"/>
  <c r="TF5" i="285"/>
  <c r="I127" i="276"/>
  <c r="BB13" i="262" s="1"/>
  <c r="BF13" i="262" s="1"/>
  <c r="TI7" i="285"/>
  <c r="TG7" i="285"/>
  <c r="TH7" i="285"/>
  <c r="TF7" i="285"/>
  <c r="TI9" i="285"/>
  <c r="TG9" i="285"/>
  <c r="TH9" i="285"/>
  <c r="TF9" i="285"/>
  <c r="M127" i="276"/>
  <c r="BB17" i="262" s="1"/>
  <c r="BF17" i="262" s="1"/>
  <c r="TI11" i="285"/>
  <c r="TG11" i="285"/>
  <c r="TH11" i="285"/>
  <c r="TF11" i="285"/>
  <c r="TH13" i="285"/>
  <c r="TF13" i="285"/>
  <c r="TI13" i="285"/>
  <c r="TG13" i="285"/>
  <c r="Q127" i="276"/>
  <c r="BB21" i="262" s="1"/>
  <c r="BF21" i="262" s="1"/>
  <c r="TH15" i="285"/>
  <c r="TF15" i="285"/>
  <c r="TI15" i="285"/>
  <c r="TG15" i="285"/>
  <c r="TH17" i="285"/>
  <c r="TF17" i="285"/>
  <c r="TI17" i="285"/>
  <c r="TG17" i="285"/>
  <c r="U127" i="276"/>
  <c r="BB25" i="262" s="1"/>
  <c r="BF25" i="262" s="1"/>
  <c r="TH19" i="285"/>
  <c r="TF19" i="285"/>
  <c r="TI19" i="285"/>
  <c r="TG19" i="285"/>
  <c r="TH21" i="285"/>
  <c r="TF21" i="285"/>
  <c r="TI21" i="285"/>
  <c r="TG21" i="285"/>
  <c r="Y127" i="276"/>
  <c r="BB29" i="262" s="1"/>
  <c r="BF29" i="262" s="1"/>
  <c r="TH23" i="285"/>
  <c r="TF23" i="285"/>
  <c r="TI23" i="285"/>
  <c r="TG23" i="285"/>
  <c r="TH25" i="285"/>
  <c r="TF25" i="285"/>
  <c r="TI25" i="285"/>
  <c r="TG25" i="285"/>
  <c r="AC127" i="276"/>
  <c r="BB33" i="262" s="1"/>
  <c r="BF33" i="262" s="1"/>
  <c r="TH27" i="285"/>
  <c r="TF27" i="285"/>
  <c r="TI27" i="285"/>
  <c r="TG27" i="285"/>
  <c r="TH29" i="285"/>
  <c r="TF29" i="285"/>
  <c r="TI29" i="285"/>
  <c r="TG29" i="285"/>
  <c r="TH31" i="285"/>
  <c r="TF31" i="285"/>
  <c r="TI31" i="285"/>
  <c r="TG31" i="285"/>
  <c r="TM3" i="285"/>
  <c r="TK3" i="285"/>
  <c r="TL3" i="285"/>
  <c r="TJ3" i="285"/>
  <c r="TM5" i="285"/>
  <c r="TK5" i="285"/>
  <c r="TL5" i="285"/>
  <c r="TJ5" i="285"/>
  <c r="TM7" i="285"/>
  <c r="TK7" i="285"/>
  <c r="TL7" i="285"/>
  <c r="TJ7" i="285"/>
  <c r="TM9" i="285"/>
  <c r="TK9" i="285"/>
  <c r="TL9" i="285"/>
  <c r="TJ9" i="285"/>
  <c r="TM11" i="285"/>
  <c r="TK11" i="285"/>
  <c r="TL11" i="285"/>
  <c r="TJ11" i="285"/>
  <c r="TL13" i="285"/>
  <c r="TJ13" i="285"/>
  <c r="TM13" i="285"/>
  <c r="TK13" i="285"/>
  <c r="TL15" i="285"/>
  <c r="TJ15" i="285"/>
  <c r="TM15" i="285"/>
  <c r="TK15" i="285"/>
  <c r="TL17" i="285"/>
  <c r="TJ17" i="285"/>
  <c r="TM17" i="285"/>
  <c r="TK17" i="285"/>
  <c r="TL19" i="285"/>
  <c r="TJ19" i="285"/>
  <c r="TM19" i="285"/>
  <c r="TK19" i="285"/>
  <c r="TL21" i="285"/>
  <c r="TJ21" i="285"/>
  <c r="TM21" i="285"/>
  <c r="TK21" i="285"/>
  <c r="TL23" i="285"/>
  <c r="TJ23" i="285"/>
  <c r="TM23" i="285"/>
  <c r="TK23" i="285"/>
  <c r="TL25" i="285"/>
  <c r="TJ25" i="285"/>
  <c r="TM25" i="285"/>
  <c r="TK25" i="285"/>
  <c r="TL27" i="285"/>
  <c r="TJ27" i="285"/>
  <c r="TM27" i="285"/>
  <c r="TK27" i="285"/>
  <c r="TL29" i="285"/>
  <c r="TJ29" i="285"/>
  <c r="TM29" i="285"/>
  <c r="TK29" i="285"/>
  <c r="TL31" i="285"/>
  <c r="TJ31" i="285"/>
  <c r="TM31" i="285"/>
  <c r="TK31" i="285"/>
  <c r="TQ3" i="285"/>
  <c r="TO3" i="285"/>
  <c r="TP3" i="285"/>
  <c r="TN3" i="285"/>
  <c r="TQ5" i="285"/>
  <c r="TO5" i="285"/>
  <c r="TP5" i="285"/>
  <c r="TN5" i="285"/>
  <c r="TQ7" i="285"/>
  <c r="TO7" i="285"/>
  <c r="TP7" i="285"/>
  <c r="TN7" i="285"/>
  <c r="TQ9" i="285"/>
  <c r="TO9" i="285"/>
  <c r="TP9" i="285"/>
  <c r="TN9" i="285"/>
  <c r="TQ11" i="285"/>
  <c r="TO11" i="285"/>
  <c r="TP11" i="285"/>
  <c r="TN11" i="285"/>
  <c r="TP13" i="285"/>
  <c r="TN13" i="285"/>
  <c r="TQ13" i="285"/>
  <c r="TO13" i="285"/>
  <c r="TP15" i="285"/>
  <c r="TN15" i="285"/>
  <c r="TQ15" i="285"/>
  <c r="TO15" i="285"/>
  <c r="TP17" i="285"/>
  <c r="TN17" i="285"/>
  <c r="TQ17" i="285"/>
  <c r="TO17" i="285"/>
  <c r="TP19" i="285"/>
  <c r="TN19" i="285"/>
  <c r="TQ19" i="285"/>
  <c r="TO19" i="285"/>
  <c r="TP21" i="285"/>
  <c r="TN21" i="285"/>
  <c r="TQ21" i="285"/>
  <c r="TO21" i="285"/>
  <c r="TP23" i="285"/>
  <c r="TN23" i="285"/>
  <c r="TQ23" i="285"/>
  <c r="TO23" i="285"/>
  <c r="TP25" i="285"/>
  <c r="TN25" i="285"/>
  <c r="TQ25" i="285"/>
  <c r="TO25" i="285"/>
  <c r="TP27" i="285"/>
  <c r="TN27" i="285"/>
  <c r="TQ27" i="285"/>
  <c r="TO27" i="285"/>
  <c r="TP29" i="285"/>
  <c r="TN29" i="285"/>
  <c r="TQ29" i="285"/>
  <c r="TO29" i="285"/>
  <c r="TP31" i="285"/>
  <c r="TN31" i="285"/>
  <c r="TQ31" i="285"/>
  <c r="TO31" i="285"/>
  <c r="TU3" i="285"/>
  <c r="TS3" i="285"/>
  <c r="TT3" i="285"/>
  <c r="TR3" i="285"/>
  <c r="TU5" i="285"/>
  <c r="TS5" i="285"/>
  <c r="TT5" i="285"/>
  <c r="TR5" i="285"/>
  <c r="TU7" i="285"/>
  <c r="TS7" i="285"/>
  <c r="TT7" i="285"/>
  <c r="TR7" i="285"/>
  <c r="TU9" i="285"/>
  <c r="TS9" i="285"/>
  <c r="TT9" i="285"/>
  <c r="TR9" i="285"/>
  <c r="TU11" i="285"/>
  <c r="TS11" i="285"/>
  <c r="TT11" i="285"/>
  <c r="TR11" i="285"/>
  <c r="TT13" i="285"/>
  <c r="TR13" i="285"/>
  <c r="TU13" i="285"/>
  <c r="TS13" i="285"/>
  <c r="TT15" i="285"/>
  <c r="TR15" i="285"/>
  <c r="TU15" i="285"/>
  <c r="TS15" i="285"/>
  <c r="TT17" i="285"/>
  <c r="TR17" i="285"/>
  <c r="TU17" i="285"/>
  <c r="TS17" i="285"/>
  <c r="TT19" i="285"/>
  <c r="TR19" i="285"/>
  <c r="TU19" i="285"/>
  <c r="TS19" i="285"/>
  <c r="TT21" i="285"/>
  <c r="TR21" i="285"/>
  <c r="TU21" i="285"/>
  <c r="TS21" i="285"/>
  <c r="TT23" i="285"/>
  <c r="TR23" i="285"/>
  <c r="TU23" i="285"/>
  <c r="TS23" i="285"/>
  <c r="TT25" i="285"/>
  <c r="TR25" i="285"/>
  <c r="TU25" i="285"/>
  <c r="TS25" i="285"/>
  <c r="TT27" i="285"/>
  <c r="TR27" i="285"/>
  <c r="TU27" i="285"/>
  <c r="TS27" i="285"/>
  <c r="TT29" i="285"/>
  <c r="TR29" i="285"/>
  <c r="TU29" i="285"/>
  <c r="TS29" i="285"/>
  <c r="TT31" i="285"/>
  <c r="TR31" i="285"/>
  <c r="TU31" i="285"/>
  <c r="TS31" i="285"/>
  <c r="TY3" i="285"/>
  <c r="TW3" i="285"/>
  <c r="TX3" i="285"/>
  <c r="TV3" i="285"/>
  <c r="TY5" i="285"/>
  <c r="TW5" i="285"/>
  <c r="TX5" i="285"/>
  <c r="TV5" i="285"/>
  <c r="TY7" i="285"/>
  <c r="TW7" i="285"/>
  <c r="TX7" i="285"/>
  <c r="TV7" i="285"/>
  <c r="TY9" i="285"/>
  <c r="TW9" i="285"/>
  <c r="TX9" i="285"/>
  <c r="TV9" i="285"/>
  <c r="TY11" i="285"/>
  <c r="TW11" i="285"/>
  <c r="TX11" i="285"/>
  <c r="TV11" i="285"/>
  <c r="TX13" i="285"/>
  <c r="TV13" i="285"/>
  <c r="TY13" i="285"/>
  <c r="TW13" i="285"/>
  <c r="TX15" i="285"/>
  <c r="TV15" i="285"/>
  <c r="TY15" i="285"/>
  <c r="TW15" i="285"/>
  <c r="TX17" i="285"/>
  <c r="TV17" i="285"/>
  <c r="TY17" i="285"/>
  <c r="TW17" i="285"/>
  <c r="TX19" i="285"/>
  <c r="TV19" i="285"/>
  <c r="TY19" i="285"/>
  <c r="TW19" i="285"/>
  <c r="TX21" i="285"/>
  <c r="TV21" i="285"/>
  <c r="TY21" i="285"/>
  <c r="TW21" i="285"/>
  <c r="TX23" i="285"/>
  <c r="TV23" i="285"/>
  <c r="TY23" i="285"/>
  <c r="TW23" i="285"/>
  <c r="TX25" i="285"/>
  <c r="TV25" i="285"/>
  <c r="TY25" i="285"/>
  <c r="TW25" i="285"/>
  <c r="TX27" i="285"/>
  <c r="TV27" i="285"/>
  <c r="TY27" i="285"/>
  <c r="TW27" i="285"/>
  <c r="TX29" i="285"/>
  <c r="TV29" i="285"/>
  <c r="TY29" i="285"/>
  <c r="TW29" i="285"/>
  <c r="TX31" i="285"/>
  <c r="TV31" i="285"/>
  <c r="TY31" i="285"/>
  <c r="TW31" i="285"/>
  <c r="UC3" i="285"/>
  <c r="UA3" i="285"/>
  <c r="UB3" i="285"/>
  <c r="TZ3" i="285"/>
  <c r="UC5" i="285"/>
  <c r="UA5" i="285"/>
  <c r="UB5" i="285"/>
  <c r="TZ5" i="285"/>
  <c r="UC7" i="285"/>
  <c r="UA7" i="285"/>
  <c r="UB7" i="285"/>
  <c r="TZ7" i="285"/>
  <c r="UC9" i="285"/>
  <c r="UA9" i="285"/>
  <c r="UB9" i="285"/>
  <c r="TZ9" i="285"/>
  <c r="UC11" i="285"/>
  <c r="UA11" i="285"/>
  <c r="UB11" i="285"/>
  <c r="TZ11" i="285"/>
  <c r="UB13" i="285"/>
  <c r="TZ13" i="285"/>
  <c r="UC13" i="285"/>
  <c r="UA13" i="285"/>
  <c r="UB15" i="285"/>
  <c r="TZ15" i="285"/>
  <c r="UC15" i="285"/>
  <c r="UA15" i="285"/>
  <c r="UB17" i="285"/>
  <c r="TZ17" i="285"/>
  <c r="UC17" i="285"/>
  <c r="UA17" i="285"/>
  <c r="UB19" i="285"/>
  <c r="TZ19" i="285"/>
  <c r="UC19" i="285"/>
  <c r="UA19" i="285"/>
  <c r="UB21" i="285"/>
  <c r="TZ21" i="285"/>
  <c r="UC21" i="285"/>
  <c r="UA21" i="285"/>
  <c r="UB23" i="285"/>
  <c r="TZ23" i="285"/>
  <c r="UC23" i="285"/>
  <c r="UA23" i="285"/>
  <c r="UB25" i="285"/>
  <c r="TZ25" i="285"/>
  <c r="UC25" i="285"/>
  <c r="UA25" i="285"/>
  <c r="UB27" i="285"/>
  <c r="TZ27" i="285"/>
  <c r="UC27" i="285"/>
  <c r="UA27" i="285"/>
  <c r="UB29" i="285"/>
  <c r="TZ29" i="285"/>
  <c r="UC29" i="285"/>
  <c r="UA29" i="285"/>
  <c r="UB31" i="285"/>
  <c r="TZ31" i="285"/>
  <c r="UC31" i="285"/>
  <c r="UA31" i="285"/>
  <c r="UG3" i="285"/>
  <c r="UE3" i="285"/>
  <c r="UF3" i="285"/>
  <c r="UD3" i="285"/>
  <c r="UG5" i="285"/>
  <c r="UE5" i="285"/>
  <c r="UF5" i="285"/>
  <c r="UD5" i="285"/>
  <c r="UG7" i="285"/>
  <c r="UE7" i="285"/>
  <c r="UF7" i="285"/>
  <c r="UD7" i="285"/>
  <c r="UG9" i="285"/>
  <c r="UE9" i="285"/>
  <c r="UF9" i="285"/>
  <c r="UD9" i="285"/>
  <c r="UG11" i="285"/>
  <c r="UE11" i="285"/>
  <c r="UF11" i="285"/>
  <c r="UD11" i="285"/>
  <c r="UF13" i="285"/>
  <c r="UD13" i="285"/>
  <c r="UG13" i="285"/>
  <c r="UE13" i="285"/>
  <c r="UF15" i="285"/>
  <c r="UD15" i="285"/>
  <c r="UG15" i="285"/>
  <c r="UE15" i="285"/>
  <c r="UF17" i="285"/>
  <c r="UD17" i="285"/>
  <c r="UG17" i="285"/>
  <c r="UE17" i="285"/>
  <c r="UF19" i="285"/>
  <c r="UD19" i="285"/>
  <c r="UG19" i="285"/>
  <c r="UE19" i="285"/>
  <c r="UF21" i="285"/>
  <c r="UD21" i="285"/>
  <c r="UG21" i="285"/>
  <c r="UE21" i="285"/>
  <c r="UF23" i="285"/>
  <c r="UD23" i="285"/>
  <c r="UG23" i="285"/>
  <c r="UE23" i="285"/>
  <c r="UF25" i="285"/>
  <c r="UD25" i="285"/>
  <c r="UG25" i="285"/>
  <c r="UE25" i="285"/>
  <c r="UF27" i="285"/>
  <c r="UD27" i="285"/>
  <c r="UG27" i="285"/>
  <c r="UE27" i="285"/>
  <c r="UF29" i="285"/>
  <c r="UD29" i="285"/>
  <c r="UG29" i="285"/>
  <c r="UE29" i="285"/>
  <c r="UF31" i="285"/>
  <c r="UD31" i="285"/>
  <c r="UG31" i="285"/>
  <c r="UE31" i="285"/>
  <c r="UK3" i="285"/>
  <c r="UI3" i="285"/>
  <c r="UJ3" i="285"/>
  <c r="UH3" i="285"/>
  <c r="UK5" i="285"/>
  <c r="UI5" i="285"/>
  <c r="UJ5" i="285"/>
  <c r="UH5" i="285"/>
  <c r="UK7" i="285"/>
  <c r="UI7" i="285"/>
  <c r="UJ7" i="285"/>
  <c r="UH7" i="285"/>
  <c r="UK9" i="285"/>
  <c r="UI9" i="285"/>
  <c r="UJ9" i="285"/>
  <c r="UH9" i="285"/>
  <c r="UK11" i="285"/>
  <c r="UI11" i="285"/>
  <c r="UJ11" i="285"/>
  <c r="UH11" i="285"/>
  <c r="UJ13" i="285"/>
  <c r="UH13" i="285"/>
  <c r="UK13" i="285"/>
  <c r="UI13" i="285"/>
  <c r="UJ15" i="285"/>
  <c r="UH15" i="285"/>
  <c r="UK15" i="285"/>
  <c r="UI15" i="285"/>
  <c r="UJ17" i="285"/>
  <c r="UH17" i="285"/>
  <c r="UK17" i="285"/>
  <c r="UI17" i="285"/>
  <c r="UJ19" i="285"/>
  <c r="UH19" i="285"/>
  <c r="UK19" i="285"/>
  <c r="UI19" i="285"/>
  <c r="UJ21" i="285"/>
  <c r="UH21" i="285"/>
  <c r="UK21" i="285"/>
  <c r="UI21" i="285"/>
  <c r="UJ23" i="285"/>
  <c r="UH23" i="285"/>
  <c r="UK23" i="285"/>
  <c r="UI23" i="285"/>
  <c r="UJ25" i="285"/>
  <c r="UH25" i="285"/>
  <c r="UK25" i="285"/>
  <c r="UI25" i="285"/>
  <c r="UJ27" i="285"/>
  <c r="UH27" i="285"/>
  <c r="UK27" i="285"/>
  <c r="UI27" i="285"/>
  <c r="UJ29" i="285"/>
  <c r="UH29" i="285"/>
  <c r="UK29" i="285"/>
  <c r="UI29" i="285"/>
  <c r="UJ31" i="285"/>
  <c r="UH31" i="285"/>
  <c r="UK31" i="285"/>
  <c r="UI31" i="285"/>
  <c r="UO3" i="285"/>
  <c r="UM3" i="285"/>
  <c r="UN3" i="285"/>
  <c r="UL3" i="285"/>
  <c r="UO5" i="285"/>
  <c r="UM5" i="285"/>
  <c r="UN5" i="285"/>
  <c r="UL5" i="285"/>
  <c r="UO7" i="285"/>
  <c r="UM7" i="285"/>
  <c r="UN7" i="285"/>
  <c r="UL7" i="285"/>
  <c r="UO9" i="285"/>
  <c r="UM9" i="285"/>
  <c r="UN9" i="285"/>
  <c r="UL9" i="285"/>
  <c r="UO11" i="285"/>
  <c r="UM11" i="285"/>
  <c r="UN11" i="285"/>
  <c r="UL11" i="285"/>
  <c r="UN13" i="285"/>
  <c r="UL13" i="285"/>
  <c r="UO13" i="285"/>
  <c r="UM13" i="285"/>
  <c r="UN15" i="285"/>
  <c r="UL15" i="285"/>
  <c r="UO15" i="285"/>
  <c r="UM15" i="285"/>
  <c r="UN17" i="285"/>
  <c r="UL17" i="285"/>
  <c r="UO17" i="285"/>
  <c r="UM17" i="285"/>
  <c r="UN19" i="285"/>
  <c r="UL19" i="285"/>
  <c r="UO19" i="285"/>
  <c r="UM19" i="285"/>
  <c r="UN21" i="285"/>
  <c r="UL21" i="285"/>
  <c r="UO21" i="285"/>
  <c r="UM21" i="285"/>
  <c r="UN23" i="285"/>
  <c r="UL23" i="285"/>
  <c r="UO23" i="285"/>
  <c r="UM23" i="285"/>
  <c r="UN25" i="285"/>
  <c r="UL25" i="285"/>
  <c r="UO25" i="285"/>
  <c r="UM25" i="285"/>
  <c r="UN27" i="285"/>
  <c r="UL27" i="285"/>
  <c r="UO27" i="285"/>
  <c r="UM27" i="285"/>
  <c r="UN29" i="285"/>
  <c r="UL29" i="285"/>
  <c r="UO29" i="285"/>
  <c r="UM29" i="285"/>
  <c r="UN31" i="285"/>
  <c r="UL31" i="285"/>
  <c r="UO31" i="285"/>
  <c r="UM31" i="285"/>
  <c r="US3" i="285"/>
  <c r="UQ3" i="285"/>
  <c r="UR3" i="285"/>
  <c r="UP3" i="285"/>
  <c r="US5" i="285"/>
  <c r="UQ5" i="285"/>
  <c r="UR5" i="285"/>
  <c r="UP5" i="285"/>
  <c r="US7" i="285"/>
  <c r="UQ7" i="285"/>
  <c r="UR7" i="285"/>
  <c r="UP7" i="285"/>
  <c r="US9" i="285"/>
  <c r="UQ9" i="285"/>
  <c r="UR9" i="285"/>
  <c r="UP9" i="285"/>
  <c r="US11" i="285"/>
  <c r="UQ11" i="285"/>
  <c r="UR11" i="285"/>
  <c r="UP11" i="285"/>
  <c r="UR13" i="285"/>
  <c r="UP13" i="285"/>
  <c r="US13" i="285"/>
  <c r="UQ13" i="285"/>
  <c r="UR15" i="285"/>
  <c r="UP15" i="285"/>
  <c r="US15" i="285"/>
  <c r="UQ15" i="285"/>
  <c r="UR17" i="285"/>
  <c r="UP17" i="285"/>
  <c r="US17" i="285"/>
  <c r="UQ17" i="285"/>
  <c r="UR19" i="285"/>
  <c r="UP19" i="285"/>
  <c r="US19" i="285"/>
  <c r="UQ19" i="285"/>
  <c r="UR21" i="285"/>
  <c r="UP21" i="285"/>
  <c r="US21" i="285"/>
  <c r="UQ21" i="285"/>
  <c r="UR23" i="285"/>
  <c r="UP23" i="285"/>
  <c r="US23" i="285"/>
  <c r="UQ23" i="285"/>
  <c r="UR25" i="285"/>
  <c r="UP25" i="285"/>
  <c r="US25" i="285"/>
  <c r="UQ25" i="285"/>
  <c r="UR27" i="285"/>
  <c r="UP27" i="285"/>
  <c r="US27" i="285"/>
  <c r="UQ27" i="285"/>
  <c r="UR29" i="285"/>
  <c r="UP29" i="285"/>
  <c r="US29" i="285"/>
  <c r="UQ29" i="285"/>
  <c r="UR31" i="285"/>
  <c r="UP31" i="285"/>
  <c r="US31" i="285"/>
  <c r="UQ31" i="285"/>
  <c r="UW3" i="285"/>
  <c r="UU3" i="285"/>
  <c r="UV3" i="285"/>
  <c r="UT3" i="285"/>
  <c r="UW5" i="285"/>
  <c r="UU5" i="285"/>
  <c r="UV5" i="285"/>
  <c r="UT5" i="285"/>
  <c r="UW7" i="285"/>
  <c r="UU7" i="285"/>
  <c r="UV7" i="285"/>
  <c r="UT7" i="285"/>
  <c r="UW9" i="285"/>
  <c r="UU9" i="285"/>
  <c r="UV9" i="285"/>
  <c r="UT9" i="285"/>
  <c r="UW11" i="285"/>
  <c r="UU11" i="285"/>
  <c r="UV11" i="285"/>
  <c r="UT11" i="285"/>
  <c r="UV13" i="285"/>
  <c r="UT13" i="285"/>
  <c r="UW13" i="285"/>
  <c r="UU13" i="285"/>
  <c r="UV15" i="285"/>
  <c r="UT15" i="285"/>
  <c r="UW15" i="285"/>
  <c r="UU15" i="285"/>
  <c r="UV17" i="285"/>
  <c r="UT17" i="285"/>
  <c r="UW17" i="285"/>
  <c r="UU17" i="285"/>
  <c r="UV19" i="285"/>
  <c r="UT19" i="285"/>
  <c r="UW19" i="285"/>
  <c r="UU19" i="285"/>
  <c r="UV21" i="285"/>
  <c r="UT21" i="285"/>
  <c r="UW21" i="285"/>
  <c r="UU21" i="285"/>
  <c r="UV23" i="285"/>
  <c r="UT23" i="285"/>
  <c r="UW23" i="285"/>
  <c r="UU23" i="285"/>
  <c r="UV25" i="285"/>
  <c r="UT25" i="285"/>
  <c r="UW25" i="285"/>
  <c r="UU25" i="285"/>
  <c r="UV27" i="285"/>
  <c r="UT27" i="285"/>
  <c r="UW27" i="285"/>
  <c r="UU27" i="285"/>
  <c r="UV29" i="285"/>
  <c r="UT29" i="285"/>
  <c r="UW29" i="285"/>
  <c r="UU29" i="285"/>
  <c r="UV31" i="285"/>
  <c r="UT31" i="285"/>
  <c r="UW31" i="285"/>
  <c r="UU31" i="285"/>
  <c r="VA3" i="285"/>
  <c r="UY3" i="285"/>
  <c r="UZ3" i="285"/>
  <c r="UX3" i="285"/>
  <c r="VA5" i="285"/>
  <c r="UY5" i="285"/>
  <c r="UZ5" i="285"/>
  <c r="UX5" i="285"/>
  <c r="VA7" i="285"/>
  <c r="UY7" i="285"/>
  <c r="UZ7" i="285"/>
  <c r="UX7" i="285"/>
  <c r="VA9" i="285"/>
  <c r="UY9" i="285"/>
  <c r="UZ9" i="285"/>
  <c r="UX9" i="285"/>
  <c r="VA11" i="285"/>
  <c r="UY11" i="285"/>
  <c r="UZ11" i="285"/>
  <c r="UX11" i="285"/>
  <c r="UZ13" i="285"/>
  <c r="UX13" i="285"/>
  <c r="VA13" i="285"/>
  <c r="UY13" i="285"/>
  <c r="UZ15" i="285"/>
  <c r="UX15" i="285"/>
  <c r="VA15" i="285"/>
  <c r="UY15" i="285"/>
  <c r="UZ17" i="285"/>
  <c r="UX17" i="285"/>
  <c r="VA17" i="285"/>
  <c r="UY17" i="285"/>
  <c r="UZ19" i="285"/>
  <c r="UX19" i="285"/>
  <c r="VA19" i="285"/>
  <c r="UY19" i="285"/>
  <c r="UZ21" i="285"/>
  <c r="UX21" i="285"/>
  <c r="VA21" i="285"/>
  <c r="UY21" i="285"/>
  <c r="UZ23" i="285"/>
  <c r="UX23" i="285"/>
  <c r="VA23" i="285"/>
  <c r="UY23" i="285"/>
  <c r="UZ25" i="285"/>
  <c r="UX25" i="285"/>
  <c r="VA25" i="285"/>
  <c r="UY25" i="285"/>
  <c r="UZ27" i="285"/>
  <c r="UX27" i="285"/>
  <c r="VA27" i="285"/>
  <c r="UY27" i="285"/>
  <c r="UZ29" i="285"/>
  <c r="UX29" i="285"/>
  <c r="VA29" i="285"/>
  <c r="UY29" i="285"/>
  <c r="UZ31" i="285"/>
  <c r="UX31" i="285"/>
  <c r="VA31" i="285"/>
  <c r="UY31" i="285"/>
  <c r="AG127" i="276"/>
  <c r="BB37" i="262" s="1"/>
  <c r="BF37" i="262" s="1"/>
  <c r="XP3" i="285"/>
  <c r="XN3" i="285"/>
  <c r="XO3" i="285"/>
  <c r="XQ3" i="285"/>
  <c r="G110" i="272"/>
  <c r="BL11" i="262" s="1"/>
  <c r="BP11" i="262" s="1"/>
  <c r="XP5" i="285"/>
  <c r="XN5" i="285"/>
  <c r="XO5" i="285"/>
  <c r="XQ5" i="285"/>
  <c r="XP7" i="285"/>
  <c r="XN7" i="285"/>
  <c r="XQ7" i="285"/>
  <c r="XO7" i="285"/>
  <c r="K110" i="272"/>
  <c r="BL15" i="262" s="1"/>
  <c r="BP15" i="262" s="1"/>
  <c r="XP9" i="285"/>
  <c r="XN9" i="285"/>
  <c r="XQ9" i="285"/>
  <c r="XO9" i="285"/>
  <c r="XP11" i="285"/>
  <c r="XN11" i="285"/>
  <c r="XO11" i="285"/>
  <c r="XQ11" i="285"/>
  <c r="O110" i="272"/>
  <c r="BL19" i="262" s="1"/>
  <c r="BP19" i="262" s="1"/>
  <c r="XQ13" i="285"/>
  <c r="XO13" i="285"/>
  <c r="XP13" i="285"/>
  <c r="XN13" i="285"/>
  <c r="XQ15" i="285"/>
  <c r="XO15" i="285"/>
  <c r="XP15" i="285"/>
  <c r="XN15" i="285"/>
  <c r="S110" i="272"/>
  <c r="BL23" i="262" s="1"/>
  <c r="BP23" i="262" s="1"/>
  <c r="XQ17" i="285"/>
  <c r="XO17" i="285"/>
  <c r="XP17" i="285"/>
  <c r="XN17" i="285"/>
  <c r="XQ19" i="285"/>
  <c r="XO19" i="285"/>
  <c r="XP19" i="285"/>
  <c r="XN19" i="285"/>
  <c r="W110" i="272"/>
  <c r="BL27" i="262" s="1"/>
  <c r="BP27" i="262" s="1"/>
  <c r="XQ21" i="285"/>
  <c r="XO21" i="285"/>
  <c r="XP21" i="285"/>
  <c r="XN21" i="285"/>
  <c r="XQ23" i="285"/>
  <c r="XO23" i="285"/>
  <c r="XP23" i="285"/>
  <c r="XN23" i="285"/>
  <c r="XQ25" i="285"/>
  <c r="XO25" i="285"/>
  <c r="XP25" i="285"/>
  <c r="XN25" i="285"/>
  <c r="XQ27" i="285"/>
  <c r="XO27" i="285"/>
  <c r="XP27" i="285"/>
  <c r="XN27" i="285"/>
  <c r="AE110" i="272"/>
  <c r="BL35" i="262" s="1"/>
  <c r="BP35" i="262" s="1"/>
  <c r="XQ29" i="285"/>
  <c r="XO29" i="285"/>
  <c r="XP29" i="285"/>
  <c r="XN29" i="285"/>
  <c r="XQ31" i="285"/>
  <c r="XO31" i="285"/>
  <c r="XP31" i="285"/>
  <c r="XN31" i="285"/>
  <c r="XT3" i="285"/>
  <c r="XR3" i="285"/>
  <c r="XS3" i="285"/>
  <c r="XU3" i="285"/>
  <c r="XT5" i="285"/>
  <c r="XR5" i="285"/>
  <c r="XS5" i="285"/>
  <c r="XU5" i="285"/>
  <c r="XT7" i="285"/>
  <c r="XR7" i="285"/>
  <c r="XU7" i="285"/>
  <c r="XS7" i="285"/>
  <c r="XT9" i="285"/>
  <c r="XR9" i="285"/>
  <c r="XU9" i="285"/>
  <c r="XS9" i="285"/>
  <c r="XT11" i="285"/>
  <c r="XR11" i="285"/>
  <c r="XS11" i="285"/>
  <c r="XU11" i="285"/>
  <c r="XU13" i="285"/>
  <c r="XS13" i="285"/>
  <c r="XT13" i="285"/>
  <c r="XR13" i="285"/>
  <c r="XU15" i="285"/>
  <c r="XS15" i="285"/>
  <c r="XT15" i="285"/>
  <c r="XR15" i="285"/>
  <c r="XU17" i="285"/>
  <c r="XS17" i="285"/>
  <c r="XT17" i="285"/>
  <c r="XR17" i="285"/>
  <c r="XU19" i="285"/>
  <c r="XS19" i="285"/>
  <c r="XT19" i="285"/>
  <c r="XR19" i="285"/>
  <c r="XU21" i="285"/>
  <c r="XS21" i="285"/>
  <c r="XT21" i="285"/>
  <c r="XR21" i="285"/>
  <c r="XU23" i="285"/>
  <c r="XS23" i="285"/>
  <c r="XT23" i="285"/>
  <c r="XR23" i="285"/>
  <c r="XU25" i="285"/>
  <c r="XS25" i="285"/>
  <c r="XT25" i="285"/>
  <c r="XR25" i="285"/>
  <c r="XU27" i="285"/>
  <c r="XS27" i="285"/>
  <c r="XT27" i="285"/>
  <c r="XR27" i="285"/>
  <c r="XU29" i="285"/>
  <c r="XS29" i="285"/>
  <c r="XT29" i="285"/>
  <c r="XR29" i="285"/>
  <c r="XU31" i="285"/>
  <c r="XS31" i="285"/>
  <c r="XT31" i="285"/>
  <c r="XR31" i="285"/>
  <c r="XX3" i="285"/>
  <c r="XV3" i="285"/>
  <c r="XW3" i="285"/>
  <c r="XY3" i="285"/>
  <c r="XX5" i="285"/>
  <c r="XV5" i="285"/>
  <c r="XW5" i="285"/>
  <c r="XY5" i="285"/>
  <c r="XX7" i="285"/>
  <c r="XV7" i="285"/>
  <c r="XY7" i="285"/>
  <c r="XW7" i="285"/>
  <c r="XX9" i="285"/>
  <c r="XV9" i="285"/>
  <c r="XY9" i="285"/>
  <c r="XW9" i="285"/>
  <c r="XX11" i="285"/>
  <c r="XV11" i="285"/>
  <c r="XW11" i="285"/>
  <c r="XY11" i="285"/>
  <c r="XY13" i="285"/>
  <c r="XW13" i="285"/>
  <c r="XX13" i="285"/>
  <c r="XV13" i="285"/>
  <c r="XY15" i="285"/>
  <c r="XW15" i="285"/>
  <c r="XX15" i="285"/>
  <c r="XV15" i="285"/>
  <c r="XY17" i="285"/>
  <c r="XW17" i="285"/>
  <c r="XX17" i="285"/>
  <c r="XV17" i="285"/>
  <c r="XY19" i="285"/>
  <c r="XW19" i="285"/>
  <c r="XX19" i="285"/>
  <c r="XV19" i="285"/>
  <c r="XY21" i="285"/>
  <c r="XW21" i="285"/>
  <c r="XX21" i="285"/>
  <c r="XV21" i="285"/>
  <c r="XY23" i="285"/>
  <c r="XW23" i="285"/>
  <c r="XX23" i="285"/>
  <c r="XV23" i="285"/>
  <c r="XY25" i="285"/>
  <c r="XW25" i="285"/>
  <c r="XX25" i="285"/>
  <c r="XV25" i="285"/>
  <c r="XY27" i="285"/>
  <c r="XW27" i="285"/>
  <c r="XX27" i="285"/>
  <c r="XV27" i="285"/>
  <c r="XY29" i="285"/>
  <c r="XW29" i="285"/>
  <c r="XX29" i="285"/>
  <c r="XV29" i="285"/>
  <c r="XY31" i="285"/>
  <c r="XW31" i="285"/>
  <c r="XX31" i="285"/>
  <c r="XV31" i="285"/>
  <c r="YB3" i="285"/>
  <c r="XZ3" i="285"/>
  <c r="YA3" i="285"/>
  <c r="YC3" i="285"/>
  <c r="YB5" i="285"/>
  <c r="XZ5" i="285"/>
  <c r="YA5" i="285"/>
  <c r="YC5" i="285"/>
  <c r="YB7" i="285"/>
  <c r="XZ7" i="285"/>
  <c r="YC7" i="285"/>
  <c r="YA7" i="285"/>
  <c r="YB9" i="285"/>
  <c r="XZ9" i="285"/>
  <c r="YC9" i="285"/>
  <c r="YA9" i="285"/>
  <c r="YB11" i="285"/>
  <c r="XZ11" i="285"/>
  <c r="YA11" i="285"/>
  <c r="YC11" i="285"/>
  <c r="YC13" i="285"/>
  <c r="YA13" i="285"/>
  <c r="YB13" i="285"/>
  <c r="XZ13" i="285"/>
  <c r="YC15" i="285"/>
  <c r="YA15" i="285"/>
  <c r="YB15" i="285"/>
  <c r="XZ15" i="285"/>
  <c r="YC17" i="285"/>
  <c r="YA17" i="285"/>
  <c r="YB17" i="285"/>
  <c r="XZ17" i="285"/>
  <c r="YC19" i="285"/>
  <c r="YA19" i="285"/>
  <c r="YB19" i="285"/>
  <c r="XZ19" i="285"/>
  <c r="YC21" i="285"/>
  <c r="YA21" i="285"/>
  <c r="YB21" i="285"/>
  <c r="XZ21" i="285"/>
  <c r="YC23" i="285"/>
  <c r="YA23" i="285"/>
  <c r="YB23" i="285"/>
  <c r="XZ23" i="285"/>
  <c r="YC25" i="285"/>
  <c r="YA25" i="285"/>
  <c r="YB25" i="285"/>
  <c r="XZ25" i="285"/>
  <c r="YC27" i="285"/>
  <c r="YA27" i="285"/>
  <c r="YB27" i="285"/>
  <c r="XZ27" i="285"/>
  <c r="YC29" i="285"/>
  <c r="YA29" i="285"/>
  <c r="YB29" i="285"/>
  <c r="XZ29" i="285"/>
  <c r="YC31" i="285"/>
  <c r="YA31" i="285"/>
  <c r="YB31" i="285"/>
  <c r="XZ31" i="285"/>
  <c r="YF3" i="285"/>
  <c r="YD3" i="285"/>
  <c r="YE3" i="285"/>
  <c r="YG3" i="285"/>
  <c r="YF5" i="285"/>
  <c r="YD5" i="285"/>
  <c r="YE5" i="285"/>
  <c r="YG5" i="285"/>
  <c r="YF7" i="285"/>
  <c r="YD7" i="285"/>
  <c r="YG7" i="285"/>
  <c r="YE7" i="285"/>
  <c r="YF9" i="285"/>
  <c r="YD9" i="285"/>
  <c r="YG9" i="285"/>
  <c r="YE9" i="285"/>
  <c r="YF11" i="285"/>
  <c r="YD11" i="285"/>
  <c r="YE11" i="285"/>
  <c r="YG11" i="285"/>
  <c r="YG13" i="285"/>
  <c r="YE13" i="285"/>
  <c r="YF13" i="285"/>
  <c r="YD13" i="285"/>
  <c r="YG15" i="285"/>
  <c r="YE15" i="285"/>
  <c r="YF15" i="285"/>
  <c r="YD15" i="285"/>
  <c r="YG17" i="285"/>
  <c r="YE17" i="285"/>
  <c r="YF17" i="285"/>
  <c r="YD17" i="285"/>
  <c r="YG19" i="285"/>
  <c r="YE19" i="285"/>
  <c r="YF19" i="285"/>
  <c r="YD19" i="285"/>
  <c r="YG21" i="285"/>
  <c r="YE21" i="285"/>
  <c r="YF21" i="285"/>
  <c r="YD21" i="285"/>
  <c r="YG23" i="285"/>
  <c r="YE23" i="285"/>
  <c r="YF23" i="285"/>
  <c r="YD23" i="285"/>
  <c r="YG25" i="285"/>
  <c r="YE25" i="285"/>
  <c r="YF25" i="285"/>
  <c r="YD25" i="285"/>
  <c r="YG27" i="285"/>
  <c r="YE27" i="285"/>
  <c r="YF27" i="285"/>
  <c r="YD27" i="285"/>
  <c r="YG29" i="285"/>
  <c r="YE29" i="285"/>
  <c r="YF29" i="285"/>
  <c r="YD29" i="285"/>
  <c r="YG31" i="285"/>
  <c r="YE31" i="285"/>
  <c r="YF31" i="285"/>
  <c r="YD31" i="285"/>
  <c r="YJ3" i="285"/>
  <c r="YH3" i="285"/>
  <c r="YI3" i="285"/>
  <c r="YK3" i="285"/>
  <c r="YJ5" i="285"/>
  <c r="YH5" i="285"/>
  <c r="YI5" i="285"/>
  <c r="YK5" i="285"/>
  <c r="YJ7" i="285"/>
  <c r="YH7" i="285"/>
  <c r="YK7" i="285"/>
  <c r="YI7" i="285"/>
  <c r="YJ9" i="285"/>
  <c r="YH9" i="285"/>
  <c r="YK9" i="285"/>
  <c r="YI9" i="285"/>
  <c r="YJ11" i="285"/>
  <c r="YH11" i="285"/>
  <c r="YI11" i="285"/>
  <c r="YK11" i="285"/>
  <c r="YK13" i="285"/>
  <c r="YI13" i="285"/>
  <c r="YJ13" i="285"/>
  <c r="YH13" i="285"/>
  <c r="YK15" i="285"/>
  <c r="YI15" i="285"/>
  <c r="YJ15" i="285"/>
  <c r="YH15" i="285"/>
  <c r="YK17" i="285"/>
  <c r="YI17" i="285"/>
  <c r="YJ17" i="285"/>
  <c r="YH17" i="285"/>
  <c r="YK19" i="285"/>
  <c r="YI19" i="285"/>
  <c r="YJ19" i="285"/>
  <c r="YH19" i="285"/>
  <c r="YK21" i="285"/>
  <c r="YI21" i="285"/>
  <c r="YJ21" i="285"/>
  <c r="YH21" i="285"/>
  <c r="YK23" i="285"/>
  <c r="YI23" i="285"/>
  <c r="YJ23" i="285"/>
  <c r="YH23" i="285"/>
  <c r="YK25" i="285"/>
  <c r="YI25" i="285"/>
  <c r="YJ25" i="285"/>
  <c r="YH25" i="285"/>
  <c r="YK27" i="285"/>
  <c r="YI27" i="285"/>
  <c r="YJ27" i="285"/>
  <c r="YH27" i="285"/>
  <c r="YK29" i="285"/>
  <c r="YI29" i="285"/>
  <c r="YJ29" i="285"/>
  <c r="YH29" i="285"/>
  <c r="YK31" i="285"/>
  <c r="YI31" i="285"/>
  <c r="YJ31" i="285"/>
  <c r="YH31" i="285"/>
  <c r="YN3" i="285"/>
  <c r="YL3" i="285"/>
  <c r="YM3" i="285"/>
  <c r="YO3" i="285"/>
  <c r="YN5" i="285"/>
  <c r="YL5" i="285"/>
  <c r="YM5" i="285"/>
  <c r="YO5" i="285"/>
  <c r="YN7" i="285"/>
  <c r="YL7" i="285"/>
  <c r="YO7" i="285"/>
  <c r="YM7" i="285"/>
  <c r="YN9" i="285"/>
  <c r="YL9" i="285"/>
  <c r="YO9" i="285"/>
  <c r="YM9" i="285"/>
  <c r="YN11" i="285"/>
  <c r="YL11" i="285"/>
  <c r="YM11" i="285"/>
  <c r="YO11" i="285"/>
  <c r="YO13" i="285"/>
  <c r="YM13" i="285"/>
  <c r="YN13" i="285"/>
  <c r="YL13" i="285"/>
  <c r="YO15" i="285"/>
  <c r="YM15" i="285"/>
  <c r="YN15" i="285"/>
  <c r="YL15" i="285"/>
  <c r="YO17" i="285"/>
  <c r="YM17" i="285"/>
  <c r="YN17" i="285"/>
  <c r="YL17" i="285"/>
  <c r="YO19" i="285"/>
  <c r="YM19" i="285"/>
  <c r="YN19" i="285"/>
  <c r="YL19" i="285"/>
  <c r="YO21" i="285"/>
  <c r="YM21" i="285"/>
  <c r="YN21" i="285"/>
  <c r="YL21" i="285"/>
  <c r="YO23" i="285"/>
  <c r="YM23" i="285"/>
  <c r="YN23" i="285"/>
  <c r="YL23" i="285"/>
  <c r="YO25" i="285"/>
  <c r="YM25" i="285"/>
  <c r="YN25" i="285"/>
  <c r="YL25" i="285"/>
  <c r="YO27" i="285"/>
  <c r="YM27" i="285"/>
  <c r="YN27" i="285"/>
  <c r="YL27" i="285"/>
  <c r="YO29" i="285"/>
  <c r="YM29" i="285"/>
  <c r="YN29" i="285"/>
  <c r="YL29" i="285"/>
  <c r="YO31" i="285"/>
  <c r="YM31" i="285"/>
  <c r="YN31" i="285"/>
  <c r="YL31" i="285"/>
  <c r="YR3" i="285"/>
  <c r="YP3" i="285"/>
  <c r="YQ3" i="285"/>
  <c r="YS3" i="285"/>
  <c r="YR5" i="285"/>
  <c r="YP5" i="285"/>
  <c r="YQ5" i="285"/>
  <c r="YS5" i="285"/>
  <c r="YR7" i="285"/>
  <c r="YP7" i="285"/>
  <c r="YS7" i="285"/>
  <c r="YQ7" i="285"/>
  <c r="YR9" i="285"/>
  <c r="YP9" i="285"/>
  <c r="YS9" i="285"/>
  <c r="YQ9" i="285"/>
  <c r="YR11" i="285"/>
  <c r="YP11" i="285"/>
  <c r="YQ11" i="285"/>
  <c r="YS11" i="285"/>
  <c r="YS13" i="285"/>
  <c r="YQ13" i="285"/>
  <c r="YR13" i="285"/>
  <c r="YP13" i="285"/>
  <c r="YS15" i="285"/>
  <c r="YQ15" i="285"/>
  <c r="YR15" i="285"/>
  <c r="YP15" i="285"/>
  <c r="YS17" i="285"/>
  <c r="YQ17" i="285"/>
  <c r="YR17" i="285"/>
  <c r="YP17" i="285"/>
  <c r="YS19" i="285"/>
  <c r="YQ19" i="285"/>
  <c r="YR19" i="285"/>
  <c r="YP19" i="285"/>
  <c r="YS21" i="285"/>
  <c r="YQ21" i="285"/>
  <c r="YR21" i="285"/>
  <c r="YP21" i="285"/>
  <c r="YS23" i="285"/>
  <c r="YQ23" i="285"/>
  <c r="YR23" i="285"/>
  <c r="YP23" i="285"/>
  <c r="YS25" i="285"/>
  <c r="YQ25" i="285"/>
  <c r="YR25" i="285"/>
  <c r="YP25" i="285"/>
  <c r="YS27" i="285"/>
  <c r="YQ27" i="285"/>
  <c r="YR27" i="285"/>
  <c r="YP27" i="285"/>
  <c r="YS29" i="285"/>
  <c r="YQ29" i="285"/>
  <c r="YR29" i="285"/>
  <c r="YP29" i="285"/>
  <c r="YS31" i="285"/>
  <c r="YQ31" i="285"/>
  <c r="YR31" i="285"/>
  <c r="YP31" i="285"/>
  <c r="YV3" i="285"/>
  <c r="YT3" i="285"/>
  <c r="YU3" i="285"/>
  <c r="YW3" i="285"/>
  <c r="YV5" i="285"/>
  <c r="YT5" i="285"/>
  <c r="YU5" i="285"/>
  <c r="YW5" i="285"/>
  <c r="YV7" i="285"/>
  <c r="YT7" i="285"/>
  <c r="YW7" i="285"/>
  <c r="YU7" i="285"/>
  <c r="YV9" i="285"/>
  <c r="YT9" i="285"/>
  <c r="YW9" i="285"/>
  <c r="YU9" i="285"/>
  <c r="YV11" i="285"/>
  <c r="YT11" i="285"/>
  <c r="YU11" i="285"/>
  <c r="YW11" i="285"/>
  <c r="YW13" i="285"/>
  <c r="YU13" i="285"/>
  <c r="YV13" i="285"/>
  <c r="YT13" i="285"/>
  <c r="YW15" i="285"/>
  <c r="YU15" i="285"/>
  <c r="YV15" i="285"/>
  <c r="YT15" i="285"/>
  <c r="YW17" i="285"/>
  <c r="YU17" i="285"/>
  <c r="YV17" i="285"/>
  <c r="YT17" i="285"/>
  <c r="YW19" i="285"/>
  <c r="YU19" i="285"/>
  <c r="YV19" i="285"/>
  <c r="YT19" i="285"/>
  <c r="YW21" i="285"/>
  <c r="YU21" i="285"/>
  <c r="YV21" i="285"/>
  <c r="YT21" i="285"/>
  <c r="YW23" i="285"/>
  <c r="YU23" i="285"/>
  <c r="YV23" i="285"/>
  <c r="YT23" i="285"/>
  <c r="YW25" i="285"/>
  <c r="YU25" i="285"/>
  <c r="YV25" i="285"/>
  <c r="YT25" i="285"/>
  <c r="YW27" i="285"/>
  <c r="YU27" i="285"/>
  <c r="YV27" i="285"/>
  <c r="YT27" i="285"/>
  <c r="YW29" i="285"/>
  <c r="YU29" i="285"/>
  <c r="YV29" i="285"/>
  <c r="YT29" i="285"/>
  <c r="YW31" i="285"/>
  <c r="YU31" i="285"/>
  <c r="YV31" i="285"/>
  <c r="YT31" i="285"/>
  <c r="YZ3" i="285"/>
  <c r="YX3" i="285"/>
  <c r="YY3" i="285"/>
  <c r="ZA3" i="285"/>
  <c r="YZ5" i="285"/>
  <c r="YX5" i="285"/>
  <c r="YY5" i="285"/>
  <c r="ZA5" i="285"/>
  <c r="YZ7" i="285"/>
  <c r="YX7" i="285"/>
  <c r="ZA7" i="285"/>
  <c r="YY7" i="285"/>
  <c r="YZ9" i="285"/>
  <c r="YX9" i="285"/>
  <c r="ZA9" i="285"/>
  <c r="YY9" i="285"/>
  <c r="YZ11" i="285"/>
  <c r="YX11" i="285"/>
  <c r="YY11" i="285"/>
  <c r="ZA11" i="285"/>
  <c r="ZA13" i="285"/>
  <c r="YY13" i="285"/>
  <c r="YZ13" i="285"/>
  <c r="YX13" i="285"/>
  <c r="ZA15" i="285"/>
  <c r="YY15" i="285"/>
  <c r="YZ15" i="285"/>
  <c r="YX15" i="285"/>
  <c r="ZA17" i="285"/>
  <c r="YY17" i="285"/>
  <c r="YZ17" i="285"/>
  <c r="YX17" i="285"/>
  <c r="ZA19" i="285"/>
  <c r="YY19" i="285"/>
  <c r="YZ19" i="285"/>
  <c r="YX19" i="285"/>
  <c r="ZA21" i="285"/>
  <c r="YY21" i="285"/>
  <c r="YZ21" i="285"/>
  <c r="YX21" i="285"/>
  <c r="ZA23" i="285"/>
  <c r="YY23" i="285"/>
  <c r="YZ23" i="285"/>
  <c r="YX23" i="285"/>
  <c r="ZA25" i="285"/>
  <c r="YY25" i="285"/>
  <c r="YZ25" i="285"/>
  <c r="YX25" i="285"/>
  <c r="ZA27" i="285"/>
  <c r="YY27" i="285"/>
  <c r="YZ27" i="285"/>
  <c r="YX27" i="285"/>
  <c r="ZA29" i="285"/>
  <c r="YY29" i="285"/>
  <c r="YZ29" i="285"/>
  <c r="YX29" i="285"/>
  <c r="ZA31" i="285"/>
  <c r="YY31" i="285"/>
  <c r="YZ31" i="285"/>
  <c r="YX31" i="285"/>
  <c r="ZD3" i="285"/>
  <c r="ZB3" i="285"/>
  <c r="ZC3" i="285"/>
  <c r="ZE3" i="285"/>
  <c r="ZD5" i="285"/>
  <c r="ZB5" i="285"/>
  <c r="ZC5" i="285"/>
  <c r="ZE5" i="285"/>
  <c r="ZD7" i="285"/>
  <c r="ZB7" i="285"/>
  <c r="ZE7" i="285"/>
  <c r="ZC7" i="285"/>
  <c r="ZD9" i="285"/>
  <c r="ZB9" i="285"/>
  <c r="ZE9" i="285"/>
  <c r="ZC9" i="285"/>
  <c r="ZD11" i="285"/>
  <c r="ZB11" i="285"/>
  <c r="ZC11" i="285"/>
  <c r="ZE11" i="285"/>
  <c r="ZE13" i="285"/>
  <c r="ZC13" i="285"/>
  <c r="ZD13" i="285"/>
  <c r="ZB13" i="285"/>
  <c r="ZE15" i="285"/>
  <c r="ZC15" i="285"/>
  <c r="ZD15" i="285"/>
  <c r="ZB15" i="285"/>
  <c r="ZE17" i="285"/>
  <c r="ZC17" i="285"/>
  <c r="ZD17" i="285"/>
  <c r="ZB17" i="285"/>
  <c r="ZE19" i="285"/>
  <c r="ZC19" i="285"/>
  <c r="ZD19" i="285"/>
  <c r="ZB19" i="285"/>
  <c r="ZE21" i="285"/>
  <c r="ZC21" i="285"/>
  <c r="ZD21" i="285"/>
  <c r="ZB21" i="285"/>
  <c r="ZE23" i="285"/>
  <c r="ZC23" i="285"/>
  <c r="ZD23" i="285"/>
  <c r="ZB23" i="285"/>
  <c r="ZE25" i="285"/>
  <c r="ZC25" i="285"/>
  <c r="ZD25" i="285"/>
  <c r="ZB25" i="285"/>
  <c r="ZE27" i="285"/>
  <c r="ZC27" i="285"/>
  <c r="ZD27" i="285"/>
  <c r="ZB27" i="285"/>
  <c r="ZE29" i="285"/>
  <c r="ZC29" i="285"/>
  <c r="ZD29" i="285"/>
  <c r="ZB29" i="285"/>
  <c r="ZE31" i="285"/>
  <c r="ZC31" i="285"/>
  <c r="ZD31" i="285"/>
  <c r="ZB31" i="285"/>
  <c r="ZH3" i="285"/>
  <c r="ZF3" i="285"/>
  <c r="ZG3" i="285"/>
  <c r="ZI3" i="285"/>
  <c r="ZH5" i="285"/>
  <c r="ZF5" i="285"/>
  <c r="ZG5" i="285"/>
  <c r="ZI5" i="285"/>
  <c r="ZH7" i="285"/>
  <c r="ZF7" i="285"/>
  <c r="ZI7" i="285"/>
  <c r="ZG7" i="285"/>
  <c r="ZH9" i="285"/>
  <c r="ZF9" i="285"/>
  <c r="ZI9" i="285"/>
  <c r="ZG9" i="285"/>
  <c r="ZH11" i="285"/>
  <c r="ZF11" i="285"/>
  <c r="ZG11" i="285"/>
  <c r="ZI11" i="285"/>
  <c r="ZI13" i="285"/>
  <c r="ZG13" i="285"/>
  <c r="ZH13" i="285"/>
  <c r="ZF13" i="285"/>
  <c r="ZI15" i="285"/>
  <c r="ZG15" i="285"/>
  <c r="ZH15" i="285"/>
  <c r="ZF15" i="285"/>
  <c r="ZI17" i="285"/>
  <c r="ZG17" i="285"/>
  <c r="ZH17" i="285"/>
  <c r="ZF17" i="285"/>
  <c r="ZI19" i="285"/>
  <c r="ZG19" i="285"/>
  <c r="ZH19" i="285"/>
  <c r="ZF19" i="285"/>
  <c r="ZI21" i="285"/>
  <c r="ZG21" i="285"/>
  <c r="ZH21" i="285"/>
  <c r="ZF21" i="285"/>
  <c r="ZI23" i="285"/>
  <c r="ZG23" i="285"/>
  <c r="ZH23" i="285"/>
  <c r="ZF23" i="285"/>
  <c r="ZI25" i="285"/>
  <c r="ZG25" i="285"/>
  <c r="ZH25" i="285"/>
  <c r="ZF25" i="285"/>
  <c r="ZI27" i="285"/>
  <c r="ZG27" i="285"/>
  <c r="ZH27" i="285"/>
  <c r="ZF27" i="285"/>
  <c r="ZI29" i="285"/>
  <c r="ZG29" i="285"/>
  <c r="ZH29" i="285"/>
  <c r="ZF29" i="285"/>
  <c r="ZI31" i="285"/>
  <c r="ZG31" i="285"/>
  <c r="ZH31" i="285"/>
  <c r="ZF31" i="285"/>
  <c r="ZM4" i="285"/>
  <c r="ZK4" i="285"/>
  <c r="ZL4" i="285"/>
  <c r="ZJ4" i="285"/>
  <c r="ZM6" i="285"/>
  <c r="ZK6" i="285"/>
  <c r="ZL6" i="285"/>
  <c r="ZJ6" i="285"/>
  <c r="ZM8" i="285"/>
  <c r="ZK8" i="285"/>
  <c r="ZL8" i="285"/>
  <c r="ZJ8" i="285"/>
  <c r="ZM10" i="285"/>
  <c r="ZK10" i="285"/>
  <c r="ZL10" i="285"/>
  <c r="ZJ10" i="285"/>
  <c r="ZL12" i="285"/>
  <c r="ZJ12" i="285"/>
  <c r="ZM12" i="285"/>
  <c r="ZK12" i="285"/>
  <c r="ZL14" i="285"/>
  <c r="ZJ14" i="285"/>
  <c r="ZM14" i="285"/>
  <c r="ZK14" i="285"/>
  <c r="ZL16" i="285"/>
  <c r="ZJ16" i="285"/>
  <c r="ZM16" i="285"/>
  <c r="ZK16" i="285"/>
  <c r="ZL18" i="285"/>
  <c r="ZJ18" i="285"/>
  <c r="ZM18" i="285"/>
  <c r="ZK18" i="285"/>
  <c r="ZL20" i="285"/>
  <c r="ZJ20" i="285"/>
  <c r="ZM20" i="285"/>
  <c r="ZK20" i="285"/>
  <c r="ZL22" i="285"/>
  <c r="ZJ22" i="285"/>
  <c r="ZM22" i="285"/>
  <c r="ZK22" i="285"/>
  <c r="ZL24" i="285"/>
  <c r="ZJ24" i="285"/>
  <c r="ZM24" i="285"/>
  <c r="ZK24" i="285"/>
  <c r="ZL26" i="285"/>
  <c r="ZJ26" i="285"/>
  <c r="ZM26" i="285"/>
  <c r="ZK26" i="285"/>
  <c r="ZL28" i="285"/>
  <c r="ZJ28" i="285"/>
  <c r="ZM28" i="285"/>
  <c r="ZK28" i="285"/>
  <c r="ZL30" i="285"/>
  <c r="ZJ30" i="285"/>
  <c r="ZM30" i="285"/>
  <c r="ZK30" i="285"/>
  <c r="ZM32" i="285"/>
  <c r="ZK32" i="285"/>
  <c r="ZL32" i="285"/>
  <c r="ZJ32" i="285"/>
  <c r="ZP3" i="285"/>
  <c r="ZN3" i="285"/>
  <c r="ZO3" i="285"/>
  <c r="ZQ3" i="285"/>
  <c r="ZP5" i="285"/>
  <c r="ZN5" i="285"/>
  <c r="ZO5" i="285"/>
  <c r="ZQ5" i="285"/>
  <c r="ZP7" i="285"/>
  <c r="ZN7" i="285"/>
  <c r="ZQ7" i="285"/>
  <c r="ZO7" i="285"/>
  <c r="ZP9" i="285"/>
  <c r="ZN9" i="285"/>
  <c r="ZQ9" i="285"/>
  <c r="ZO9" i="285"/>
  <c r="ZP11" i="285"/>
  <c r="ZN11" i="285"/>
  <c r="ZO11" i="285"/>
  <c r="ZQ11" i="285"/>
  <c r="ZQ13" i="285"/>
  <c r="ZO13" i="285"/>
  <c r="ZP13" i="285"/>
  <c r="ZN13" i="285"/>
  <c r="ZQ15" i="285"/>
  <c r="ZO15" i="285"/>
  <c r="ZP15" i="285"/>
  <c r="ZN15" i="285"/>
  <c r="ZQ17" i="285"/>
  <c r="ZO17" i="285"/>
  <c r="ZP17" i="285"/>
  <c r="ZN17" i="285"/>
  <c r="ZQ19" i="285"/>
  <c r="ZO19" i="285"/>
  <c r="ZP19" i="285"/>
  <c r="ZN19" i="285"/>
  <c r="ZQ21" i="285"/>
  <c r="ZO21" i="285"/>
  <c r="ZP21" i="285"/>
  <c r="ZN21" i="285"/>
  <c r="ZQ23" i="285"/>
  <c r="ZO23" i="285"/>
  <c r="ZP23" i="285"/>
  <c r="ZN23" i="285"/>
  <c r="ZQ25" i="285"/>
  <c r="ZO25" i="285"/>
  <c r="ZP25" i="285"/>
  <c r="ZN25" i="285"/>
  <c r="ZQ27" i="285"/>
  <c r="ZO27" i="285"/>
  <c r="ZP27" i="285"/>
  <c r="ZN27" i="285"/>
  <c r="ZQ29" i="285"/>
  <c r="ZO29" i="285"/>
  <c r="ZP29" i="285"/>
  <c r="ZN29" i="285"/>
  <c r="ZQ31" i="285"/>
  <c r="ZO31" i="285"/>
  <c r="ZP31" i="285"/>
  <c r="ZN31" i="285"/>
  <c r="ZT3" i="285"/>
  <c r="ZR3" i="285"/>
  <c r="ZS3" i="285"/>
  <c r="ZU3" i="285"/>
  <c r="ZT5" i="285"/>
  <c r="ZR5" i="285"/>
  <c r="ZS5" i="285"/>
  <c r="ZU5" i="285"/>
  <c r="ZT7" i="285"/>
  <c r="ZR7" i="285"/>
  <c r="ZU7" i="285"/>
  <c r="ZS7" i="285"/>
  <c r="ZT9" i="285"/>
  <c r="ZR9" i="285"/>
  <c r="ZU9" i="285"/>
  <c r="ZS9" i="285"/>
  <c r="ZT11" i="285"/>
  <c r="ZR11" i="285"/>
  <c r="ZS11" i="285"/>
  <c r="ZU11" i="285"/>
  <c r="ZU13" i="285"/>
  <c r="ZS13" i="285"/>
  <c r="ZT13" i="285"/>
  <c r="ZR13" i="285"/>
  <c r="ZU15" i="285"/>
  <c r="ZS15" i="285"/>
  <c r="ZT15" i="285"/>
  <c r="ZR15" i="285"/>
  <c r="ZU17" i="285"/>
  <c r="ZS17" i="285"/>
  <c r="ZT17" i="285"/>
  <c r="ZR17" i="285"/>
  <c r="ZU19" i="285"/>
  <c r="ZS19" i="285"/>
  <c r="ZT19" i="285"/>
  <c r="ZR19" i="285"/>
  <c r="ZU21" i="285"/>
  <c r="ZS21" i="285"/>
  <c r="ZT21" i="285"/>
  <c r="ZR21" i="285"/>
  <c r="ZU23" i="285"/>
  <c r="ZS23" i="285"/>
  <c r="ZT23" i="285"/>
  <c r="ZR23" i="285"/>
  <c r="ZU25" i="285"/>
  <c r="ZS25" i="285"/>
  <c r="ZT25" i="285"/>
  <c r="ZR25" i="285"/>
  <c r="ZU27" i="285"/>
  <c r="ZS27" i="285"/>
  <c r="ZT27" i="285"/>
  <c r="ZR27" i="285"/>
  <c r="ZU29" i="285"/>
  <c r="ZS29" i="285"/>
  <c r="ZT29" i="285"/>
  <c r="ZR29" i="285"/>
  <c r="ZU31" i="285"/>
  <c r="ZS31" i="285"/>
  <c r="ZT31" i="285"/>
  <c r="ZR31" i="285"/>
  <c r="ZX3" i="285"/>
  <c r="ZV3" i="285"/>
  <c r="ZW3" i="285"/>
  <c r="ZY3" i="285"/>
  <c r="ZX5" i="285"/>
  <c r="ZV5" i="285"/>
  <c r="ZW5" i="285"/>
  <c r="ZY5" i="285"/>
  <c r="ZX7" i="285"/>
  <c r="ZV7" i="285"/>
  <c r="ZY7" i="285"/>
  <c r="ZW7" i="285"/>
  <c r="ZX9" i="285"/>
  <c r="ZV9" i="285"/>
  <c r="ZY9" i="285"/>
  <c r="ZW9" i="285"/>
  <c r="ZX11" i="285"/>
  <c r="ZV11" i="285"/>
  <c r="ZW11" i="285"/>
  <c r="ZY11" i="285"/>
  <c r="ZY13" i="285"/>
  <c r="ZW13" i="285"/>
  <c r="ZX13" i="285"/>
  <c r="ZV13" i="285"/>
  <c r="ZY15" i="285"/>
  <c r="ZW15" i="285"/>
  <c r="ZX15" i="285"/>
  <c r="ZV15" i="285"/>
  <c r="ZY17" i="285"/>
  <c r="ZW17" i="285"/>
  <c r="ZX17" i="285"/>
  <c r="ZV17" i="285"/>
  <c r="ZY19" i="285"/>
  <c r="ZW19" i="285"/>
  <c r="ZX19" i="285"/>
  <c r="ZV19" i="285"/>
  <c r="ZY21" i="285"/>
  <c r="ZW21" i="285"/>
  <c r="ZX21" i="285"/>
  <c r="ZV21" i="285"/>
  <c r="ZY23" i="285"/>
  <c r="ZW23" i="285"/>
  <c r="ZX23" i="285"/>
  <c r="ZV23" i="285"/>
  <c r="ZY25" i="285"/>
  <c r="ZW25" i="285"/>
  <c r="ZX25" i="285"/>
  <c r="ZV25" i="285"/>
  <c r="ZY27" i="285"/>
  <c r="ZW27" i="285"/>
  <c r="ZX27" i="285"/>
  <c r="ZV27" i="285"/>
  <c r="ZY29" i="285"/>
  <c r="ZW29" i="285"/>
  <c r="ZX29" i="285"/>
  <c r="ZV29" i="285"/>
  <c r="ZY31" i="285"/>
  <c r="ZW31" i="285"/>
  <c r="ZX31" i="285"/>
  <c r="ZV31" i="285"/>
  <c r="AAB3" i="285"/>
  <c r="ZZ3" i="285"/>
  <c r="AAA3" i="285"/>
  <c r="AAC3" i="285"/>
  <c r="AAB5" i="285"/>
  <c r="ZZ5" i="285"/>
  <c r="AAA5" i="285"/>
  <c r="AAC5" i="285"/>
  <c r="AAB7" i="285"/>
  <c r="ZZ7" i="285"/>
  <c r="AAC7" i="285"/>
  <c r="AAA7" i="285"/>
  <c r="AAB9" i="285"/>
  <c r="ZZ9" i="285"/>
  <c r="AAC9" i="285"/>
  <c r="AAA9" i="285"/>
  <c r="AAB11" i="285"/>
  <c r="ZZ11" i="285"/>
  <c r="AAA11" i="285"/>
  <c r="AAC11" i="285"/>
  <c r="AAC13" i="285"/>
  <c r="AAA13" i="285"/>
  <c r="AAB13" i="285"/>
  <c r="ZZ13" i="285"/>
  <c r="AAC15" i="285"/>
  <c r="AAA15" i="285"/>
  <c r="AAB15" i="285"/>
  <c r="ZZ15" i="285"/>
  <c r="AAC17" i="285"/>
  <c r="AAA17" i="285"/>
  <c r="AAB17" i="285"/>
  <c r="ZZ17" i="285"/>
  <c r="AAC19" i="285"/>
  <c r="AAA19" i="285"/>
  <c r="AAB19" i="285"/>
  <c r="ZZ19" i="285"/>
  <c r="AAC21" i="285"/>
  <c r="AAA21" i="285"/>
  <c r="AAB21" i="285"/>
  <c r="ZZ21" i="285"/>
  <c r="AAC23" i="285"/>
  <c r="AAA23" i="285"/>
  <c r="AAB23" i="285"/>
  <c r="ZZ23" i="285"/>
  <c r="AAC25" i="285"/>
  <c r="AAA25" i="285"/>
  <c r="AAB25" i="285"/>
  <c r="ZZ25" i="285"/>
  <c r="AAC27" i="285"/>
  <c r="AAA27" i="285"/>
  <c r="AAB27" i="285"/>
  <c r="ZZ27" i="285"/>
  <c r="AAC29" i="285"/>
  <c r="AAA29" i="285"/>
  <c r="AAB29" i="285"/>
  <c r="ZZ29" i="285"/>
  <c r="AAC31" i="285"/>
  <c r="AAA31" i="285"/>
  <c r="AAB31" i="285"/>
  <c r="ZZ31" i="285"/>
  <c r="AAF3" i="285"/>
  <c r="AAD3" i="285"/>
  <c r="AAE3" i="285"/>
  <c r="AAG3" i="285"/>
  <c r="AAF5" i="285"/>
  <c r="AAD5" i="285"/>
  <c r="AAE5" i="285"/>
  <c r="AAG5" i="285"/>
  <c r="AAF7" i="285"/>
  <c r="AAD7" i="285"/>
  <c r="AAG7" i="285"/>
  <c r="AAE7" i="285"/>
  <c r="AAF9" i="285"/>
  <c r="AAD9" i="285"/>
  <c r="AAG9" i="285"/>
  <c r="AAE9" i="285"/>
  <c r="AAF11" i="285"/>
  <c r="AAD11" i="285"/>
  <c r="AAE11" i="285"/>
  <c r="AAG11" i="285"/>
  <c r="AAG13" i="285"/>
  <c r="AAE13" i="285"/>
  <c r="AAF13" i="285"/>
  <c r="AAD13" i="285"/>
  <c r="AAG15" i="285"/>
  <c r="AAE15" i="285"/>
  <c r="AAF15" i="285"/>
  <c r="AAD15" i="285"/>
  <c r="AAG17" i="285"/>
  <c r="AAE17" i="285"/>
  <c r="AAF17" i="285"/>
  <c r="AAD17" i="285"/>
  <c r="AAG19" i="285"/>
  <c r="AAE19" i="285"/>
  <c r="AAF19" i="285"/>
  <c r="AAD19" i="285"/>
  <c r="AAG21" i="285"/>
  <c r="AAE21" i="285"/>
  <c r="AAF21" i="285"/>
  <c r="AAD21" i="285"/>
  <c r="AAG23" i="285"/>
  <c r="AAE23" i="285"/>
  <c r="AAF23" i="285"/>
  <c r="AAD23" i="285"/>
  <c r="AAG25" i="285"/>
  <c r="AAE25" i="285"/>
  <c r="AAF25" i="285"/>
  <c r="AAD25" i="285"/>
  <c r="AC114" i="275"/>
  <c r="BQ33" i="262" s="1"/>
  <c r="BU33" i="262" s="1"/>
  <c r="AAG27" i="285"/>
  <c r="AAE27" i="285"/>
  <c r="AAF27" i="285"/>
  <c r="AAD27" i="285"/>
  <c r="AAG29" i="285"/>
  <c r="AAE29" i="285"/>
  <c r="AAF29" i="285"/>
  <c r="AAD29" i="285"/>
  <c r="AAG31" i="285"/>
  <c r="AAE31" i="285"/>
  <c r="AAF31" i="285"/>
  <c r="AAD31" i="285"/>
  <c r="AAJ3" i="285"/>
  <c r="AAH3" i="285"/>
  <c r="AAI3" i="285"/>
  <c r="AAK3" i="285"/>
  <c r="AAJ5" i="285"/>
  <c r="AAH5" i="285"/>
  <c r="AAI5" i="285"/>
  <c r="AAK5" i="285"/>
  <c r="AAJ7" i="285"/>
  <c r="AAH7" i="285"/>
  <c r="AAK7" i="285"/>
  <c r="AAI7" i="285"/>
  <c r="AAJ9" i="285"/>
  <c r="AAH9" i="285"/>
  <c r="AAK9" i="285"/>
  <c r="AAI9" i="285"/>
  <c r="AAJ11" i="285"/>
  <c r="AAH11" i="285"/>
  <c r="AAI11" i="285"/>
  <c r="AAK11" i="285"/>
  <c r="AAK13" i="285"/>
  <c r="AAI13" i="285"/>
  <c r="AAJ13" i="285"/>
  <c r="AAH13" i="285"/>
  <c r="AAK15" i="285"/>
  <c r="AAI15" i="285"/>
  <c r="AAJ15" i="285"/>
  <c r="AAH15" i="285"/>
  <c r="AAK17" i="285"/>
  <c r="AAI17" i="285"/>
  <c r="AAJ17" i="285"/>
  <c r="AAH17" i="285"/>
  <c r="AAK19" i="285"/>
  <c r="AAI19" i="285"/>
  <c r="AAJ19" i="285"/>
  <c r="AAH19" i="285"/>
  <c r="AAK21" i="285"/>
  <c r="AAI21" i="285"/>
  <c r="AAJ21" i="285"/>
  <c r="AAH21" i="285"/>
  <c r="AAK23" i="285"/>
  <c r="AAI23" i="285"/>
  <c r="AAJ23" i="285"/>
  <c r="AAH23" i="285"/>
  <c r="AAK25" i="285"/>
  <c r="AAI25" i="285"/>
  <c r="AAJ25" i="285"/>
  <c r="AAH25" i="285"/>
  <c r="AAK27" i="285"/>
  <c r="AAI27" i="285"/>
  <c r="AAJ27" i="285"/>
  <c r="AAH27" i="285"/>
  <c r="AAK29" i="285"/>
  <c r="AAI29" i="285"/>
  <c r="AAJ29" i="285"/>
  <c r="AAH29" i="285"/>
  <c r="AAK31" i="285"/>
  <c r="AAI31" i="285"/>
  <c r="AAJ31" i="285"/>
  <c r="AAH31" i="285"/>
  <c r="AAN3" i="285"/>
  <c r="AAL3" i="285"/>
  <c r="AAM3" i="285"/>
  <c r="AAO3" i="285"/>
  <c r="AAN5" i="285"/>
  <c r="AAL5" i="285"/>
  <c r="AAM5" i="285"/>
  <c r="AAO5" i="285"/>
  <c r="AAN7" i="285"/>
  <c r="AAL7" i="285"/>
  <c r="AAO7" i="285"/>
  <c r="AAM7" i="285"/>
  <c r="AAN9" i="285"/>
  <c r="AAL9" i="285"/>
  <c r="AAO9" i="285"/>
  <c r="AAM9" i="285"/>
  <c r="AAN11" i="285"/>
  <c r="AAL11" i="285"/>
  <c r="AAM11" i="285"/>
  <c r="AAO11" i="285"/>
  <c r="AAO13" i="285"/>
  <c r="AAM13" i="285"/>
  <c r="AAN13" i="285"/>
  <c r="AAL13" i="285"/>
  <c r="AAO15" i="285"/>
  <c r="AAM15" i="285"/>
  <c r="AAN15" i="285"/>
  <c r="AAL15" i="285"/>
  <c r="AAO17" i="285"/>
  <c r="AAM17" i="285"/>
  <c r="AAN17" i="285"/>
  <c r="AAL17" i="285"/>
  <c r="AAO19" i="285"/>
  <c r="AAM19" i="285"/>
  <c r="AAN19" i="285"/>
  <c r="AAL19" i="285"/>
  <c r="AAO21" i="285"/>
  <c r="AAM21" i="285"/>
  <c r="AAN21" i="285"/>
  <c r="AAL21" i="285"/>
  <c r="AAO23" i="285"/>
  <c r="AAM23" i="285"/>
  <c r="AAN23" i="285"/>
  <c r="AAL23" i="285"/>
  <c r="AAO25" i="285"/>
  <c r="AAM25" i="285"/>
  <c r="AAN25" i="285"/>
  <c r="AAL25" i="285"/>
  <c r="AAO27" i="285"/>
  <c r="AAM27" i="285"/>
  <c r="AAN27" i="285"/>
  <c r="AAL27" i="285"/>
  <c r="AAO29" i="285"/>
  <c r="AAM29" i="285"/>
  <c r="AAN29" i="285"/>
  <c r="AAL29" i="285"/>
  <c r="AAO31" i="285"/>
  <c r="AAM31" i="285"/>
  <c r="AAN31" i="285"/>
  <c r="AAL31" i="285"/>
  <c r="AAR3" i="285"/>
  <c r="AAP3" i="285"/>
  <c r="AAQ3" i="285"/>
  <c r="AAS3" i="285"/>
  <c r="AAR5" i="285"/>
  <c r="AAP5" i="285"/>
  <c r="AAQ5" i="285"/>
  <c r="AAS5" i="285"/>
  <c r="AAR7" i="285"/>
  <c r="AAP7" i="285"/>
  <c r="AAS7" i="285"/>
  <c r="AAQ7" i="285"/>
  <c r="AAR9" i="285"/>
  <c r="AAP9" i="285"/>
  <c r="AAS9" i="285"/>
  <c r="AAQ9" i="285"/>
  <c r="AAR11" i="285"/>
  <c r="AAP11" i="285"/>
  <c r="AAQ11" i="285"/>
  <c r="AAS11" i="285"/>
  <c r="AAS13" i="285"/>
  <c r="AAQ13" i="285"/>
  <c r="AAR13" i="285"/>
  <c r="AAP13" i="285"/>
  <c r="AAS15" i="285"/>
  <c r="AAQ15" i="285"/>
  <c r="AAR15" i="285"/>
  <c r="AAP15" i="285"/>
  <c r="AAS17" i="285"/>
  <c r="AAQ17" i="285"/>
  <c r="AAR17" i="285"/>
  <c r="AAP17" i="285"/>
  <c r="AAS19" i="285"/>
  <c r="AAQ19" i="285"/>
  <c r="AAR19" i="285"/>
  <c r="AAP19" i="285"/>
  <c r="AAS21" i="285"/>
  <c r="AAQ21" i="285"/>
  <c r="AAR21" i="285"/>
  <c r="AAP21" i="285"/>
  <c r="AAS23" i="285"/>
  <c r="AAQ23" i="285"/>
  <c r="AAR23" i="285"/>
  <c r="AAP23" i="285"/>
  <c r="AAS25" i="285"/>
  <c r="AAQ25" i="285"/>
  <c r="AAR25" i="285"/>
  <c r="AAP25" i="285"/>
  <c r="AAS27" i="285"/>
  <c r="AAQ27" i="285"/>
  <c r="AAR27" i="285"/>
  <c r="AAP27" i="285"/>
  <c r="AAS29" i="285"/>
  <c r="AAQ29" i="285"/>
  <c r="AAR29" i="285"/>
  <c r="AAP29" i="285"/>
  <c r="AAS31" i="285"/>
  <c r="AAQ31" i="285"/>
  <c r="AAR31" i="285"/>
  <c r="AAP31" i="285"/>
  <c r="AAV3" i="285"/>
  <c r="AAT3" i="285"/>
  <c r="AAU3" i="285"/>
  <c r="AAW3" i="285"/>
  <c r="AAV5" i="285"/>
  <c r="AAT5" i="285"/>
  <c r="AAU5" i="285"/>
  <c r="AAW5" i="285"/>
  <c r="AAV7" i="285"/>
  <c r="AAT7" i="285"/>
  <c r="AAW7" i="285"/>
  <c r="AAU7" i="285"/>
  <c r="AAV9" i="285"/>
  <c r="AAT9" i="285"/>
  <c r="AAW9" i="285"/>
  <c r="AAU9" i="285"/>
  <c r="AAV11" i="285"/>
  <c r="AAT11" i="285"/>
  <c r="AAU11" i="285"/>
  <c r="AAW11" i="285"/>
  <c r="AAW13" i="285"/>
  <c r="AAU13" i="285"/>
  <c r="AAV13" i="285"/>
  <c r="AAT13" i="285"/>
  <c r="AAW15" i="285"/>
  <c r="AAU15" i="285"/>
  <c r="AAV15" i="285"/>
  <c r="AAT15" i="285"/>
  <c r="AAW17" i="285"/>
  <c r="AAU17" i="285"/>
  <c r="AAV17" i="285"/>
  <c r="AAT17" i="285"/>
  <c r="AAW19" i="285"/>
  <c r="AAU19" i="285"/>
  <c r="AAV19" i="285"/>
  <c r="AAT19" i="285"/>
  <c r="AAW21" i="285"/>
  <c r="AAU21" i="285"/>
  <c r="AAV21" i="285"/>
  <c r="AAT21" i="285"/>
  <c r="AAW23" i="285"/>
  <c r="AAU23" i="285"/>
  <c r="AAV23" i="285"/>
  <c r="AAT23" i="285"/>
  <c r="AAW25" i="285"/>
  <c r="AAU25" i="285"/>
  <c r="AAV25" i="285"/>
  <c r="AAT25" i="285"/>
  <c r="AAW27" i="285"/>
  <c r="AAU27" i="285"/>
  <c r="AAV27" i="285"/>
  <c r="AAT27" i="285"/>
  <c r="AAW29" i="285"/>
  <c r="AAU29" i="285"/>
  <c r="AAV29" i="285"/>
  <c r="AAT29" i="285"/>
  <c r="AAW31" i="285"/>
  <c r="AAU31" i="285"/>
  <c r="AAV31" i="285"/>
  <c r="AAT31" i="285"/>
  <c r="AAZ3" i="285"/>
  <c r="AAX3" i="285"/>
  <c r="AAY3" i="285"/>
  <c r="ABA3" i="285"/>
  <c r="AAZ5" i="285"/>
  <c r="AAX5" i="285"/>
  <c r="AAY5" i="285"/>
  <c r="ABA5" i="285"/>
  <c r="AAZ7" i="285"/>
  <c r="AAX7" i="285"/>
  <c r="ABA7" i="285"/>
  <c r="AAY7" i="285"/>
  <c r="AAZ9" i="285"/>
  <c r="AAX9" i="285"/>
  <c r="ABA9" i="285"/>
  <c r="AAY9" i="285"/>
  <c r="AAZ11" i="285"/>
  <c r="AAX11" i="285"/>
  <c r="AAY11" i="285"/>
  <c r="ABA11" i="285"/>
  <c r="ABA13" i="285"/>
  <c r="AAY13" i="285"/>
  <c r="AAZ13" i="285"/>
  <c r="AAX13" i="285"/>
  <c r="ABA15" i="285"/>
  <c r="AAY15" i="285"/>
  <c r="AAZ15" i="285"/>
  <c r="AAX15" i="285"/>
  <c r="ABA17" i="285"/>
  <c r="AAY17" i="285"/>
  <c r="AAZ17" i="285"/>
  <c r="AAX17" i="285"/>
  <c r="ABA19" i="285"/>
  <c r="AAY19" i="285"/>
  <c r="AAZ19" i="285"/>
  <c r="AAX19" i="285"/>
  <c r="ABA21" i="285"/>
  <c r="AAY21" i="285"/>
  <c r="AAZ21" i="285"/>
  <c r="AAX21" i="285"/>
  <c r="ABA23" i="285"/>
  <c r="AAY23" i="285"/>
  <c r="AAZ23" i="285"/>
  <c r="AAX23" i="285"/>
  <c r="ABA25" i="285"/>
  <c r="AAY25" i="285"/>
  <c r="AAZ25" i="285"/>
  <c r="AAX25" i="285"/>
  <c r="ABA27" i="285"/>
  <c r="AAY27" i="285"/>
  <c r="AAZ27" i="285"/>
  <c r="AAX27" i="285"/>
  <c r="ABA29" i="285"/>
  <c r="AAY29" i="285"/>
  <c r="AAZ29" i="285"/>
  <c r="AAX29" i="285"/>
  <c r="ABA31" i="285"/>
  <c r="AAY31" i="285"/>
  <c r="AAZ31" i="285"/>
  <c r="AAX31" i="285"/>
  <c r="ABD3" i="285"/>
  <c r="ABB3" i="285"/>
  <c r="ABC3" i="285"/>
  <c r="ABE3" i="285"/>
  <c r="ABD5" i="285"/>
  <c r="ABB5" i="285"/>
  <c r="ABC5" i="285"/>
  <c r="ABE5" i="285"/>
  <c r="ABD7" i="285"/>
  <c r="ABB7" i="285"/>
  <c r="ABE7" i="285"/>
  <c r="ABC7" i="285"/>
  <c r="ABD9" i="285"/>
  <c r="ABB9" i="285"/>
  <c r="ABE9" i="285"/>
  <c r="ABC9" i="285"/>
  <c r="ABD11" i="285"/>
  <c r="ABB11" i="285"/>
  <c r="ABC11" i="285"/>
  <c r="ABE11" i="285"/>
  <c r="ABE13" i="285"/>
  <c r="ABC13" i="285"/>
  <c r="ABD13" i="285"/>
  <c r="ABB13" i="285"/>
  <c r="ABE15" i="285"/>
  <c r="ABC15" i="285"/>
  <c r="ABD15" i="285"/>
  <c r="ABB15" i="285"/>
  <c r="ABE17" i="285"/>
  <c r="ABC17" i="285"/>
  <c r="ABD17" i="285"/>
  <c r="ABB17" i="285"/>
  <c r="ABE19" i="285"/>
  <c r="ABC19" i="285"/>
  <c r="ABD19" i="285"/>
  <c r="ABB19" i="285"/>
  <c r="ABE21" i="285"/>
  <c r="ABC21" i="285"/>
  <c r="ABD21" i="285"/>
  <c r="ABB21" i="285"/>
  <c r="ABE23" i="285"/>
  <c r="ABC23" i="285"/>
  <c r="ABD23" i="285"/>
  <c r="ABB23" i="285"/>
  <c r="ABE25" i="285"/>
  <c r="ABC25" i="285"/>
  <c r="ABD25" i="285"/>
  <c r="ABB25" i="285"/>
  <c r="ABE27" i="285"/>
  <c r="ABC27" i="285"/>
  <c r="ABD27" i="285"/>
  <c r="ABB27" i="285"/>
  <c r="ABE29" i="285"/>
  <c r="ABC29" i="285"/>
  <c r="ABD29" i="285"/>
  <c r="ABB29" i="285"/>
  <c r="ABE31" i="285"/>
  <c r="ABC31" i="285"/>
  <c r="ABD31" i="285"/>
  <c r="ABB31" i="285"/>
  <c r="ABH3" i="285"/>
  <c r="ABF3" i="285"/>
  <c r="ABG3" i="285"/>
  <c r="ABI3" i="285"/>
  <c r="ABH5" i="285"/>
  <c r="ABF5" i="285"/>
  <c r="ABG5" i="285"/>
  <c r="ABI5" i="285"/>
  <c r="ABH7" i="285"/>
  <c r="ABF7" i="285"/>
  <c r="ABI7" i="285"/>
  <c r="ABG7" i="285"/>
  <c r="ABH9" i="285"/>
  <c r="ABF9" i="285"/>
  <c r="ABI9" i="285"/>
  <c r="ABG9" i="285"/>
  <c r="ABH11" i="285"/>
  <c r="ABF11" i="285"/>
  <c r="ABG11" i="285"/>
  <c r="ABI11" i="285"/>
  <c r="ABI13" i="285"/>
  <c r="ABG13" i="285"/>
  <c r="ABH13" i="285"/>
  <c r="ABF13" i="285"/>
  <c r="ABI15" i="285"/>
  <c r="ABG15" i="285"/>
  <c r="ABH15" i="285"/>
  <c r="ABF15" i="285"/>
  <c r="ABI17" i="285"/>
  <c r="ABG17" i="285"/>
  <c r="ABH17" i="285"/>
  <c r="ABF17" i="285"/>
  <c r="ABI19" i="285"/>
  <c r="ABG19" i="285"/>
  <c r="ABH19" i="285"/>
  <c r="ABF19" i="285"/>
  <c r="ABI21" i="285"/>
  <c r="ABG21" i="285"/>
  <c r="ABH21" i="285"/>
  <c r="ABF21" i="285"/>
  <c r="ABI23" i="285"/>
  <c r="ABG23" i="285"/>
  <c r="ABH23" i="285"/>
  <c r="ABF23" i="285"/>
  <c r="ABI25" i="285"/>
  <c r="ABG25" i="285"/>
  <c r="ABH25" i="285"/>
  <c r="ABF25" i="285"/>
  <c r="ABI27" i="285"/>
  <c r="ABG27" i="285"/>
  <c r="ABH27" i="285"/>
  <c r="ABF27" i="285"/>
  <c r="ABI29" i="285"/>
  <c r="ABG29" i="285"/>
  <c r="ABH29" i="285"/>
  <c r="ABF29" i="285"/>
  <c r="ABI31" i="285"/>
  <c r="ABG31" i="285"/>
  <c r="ABH31" i="285"/>
  <c r="ABF31" i="285"/>
  <c r="ABL3" i="285"/>
  <c r="ABJ3" i="285"/>
  <c r="ABK3" i="285"/>
  <c r="ABM3" i="285"/>
  <c r="ABL5" i="285"/>
  <c r="ABJ5" i="285"/>
  <c r="ABK5" i="285"/>
  <c r="ABM5" i="285"/>
  <c r="ABL7" i="285"/>
  <c r="ABJ7" i="285"/>
  <c r="ABM7" i="285"/>
  <c r="ABK7" i="285"/>
  <c r="ABL9" i="285"/>
  <c r="ABJ9" i="285"/>
  <c r="ABM9" i="285"/>
  <c r="ABK9" i="285"/>
  <c r="ABL11" i="285"/>
  <c r="ABJ11" i="285"/>
  <c r="ABK11" i="285"/>
  <c r="ABM11" i="285"/>
  <c r="ABM13" i="285"/>
  <c r="ABK13" i="285"/>
  <c r="ABL13" i="285"/>
  <c r="ABJ13" i="285"/>
  <c r="ABM15" i="285"/>
  <c r="ABK15" i="285"/>
  <c r="ABL15" i="285"/>
  <c r="ABJ15" i="285"/>
  <c r="ABM17" i="285"/>
  <c r="ABK17" i="285"/>
  <c r="ABL17" i="285"/>
  <c r="ABJ17" i="285"/>
  <c r="ABM19" i="285"/>
  <c r="ABK19" i="285"/>
  <c r="ABL19" i="285"/>
  <c r="ABJ19" i="285"/>
  <c r="ABM21" i="285"/>
  <c r="ABK21" i="285"/>
  <c r="ABL21" i="285"/>
  <c r="ABJ21" i="285"/>
  <c r="ABM23" i="285"/>
  <c r="ABK23" i="285"/>
  <c r="ABL23" i="285"/>
  <c r="ABJ23" i="285"/>
  <c r="ABM25" i="285"/>
  <c r="ABK25" i="285"/>
  <c r="ABL25" i="285"/>
  <c r="ABJ25" i="285"/>
  <c r="ABM27" i="285"/>
  <c r="ABK27" i="285"/>
  <c r="ABL27" i="285"/>
  <c r="ABJ27" i="285"/>
  <c r="ABM29" i="285"/>
  <c r="ABK29" i="285"/>
  <c r="ABL29" i="285"/>
  <c r="ABJ29" i="285"/>
  <c r="ABM31" i="285"/>
  <c r="ABK31" i="285"/>
  <c r="ABL31" i="285"/>
  <c r="ABJ31" i="285"/>
  <c r="ABP3" i="285"/>
  <c r="ABN3" i="285"/>
  <c r="ABO3" i="285"/>
  <c r="ABQ3" i="285"/>
  <c r="G110" i="277"/>
  <c r="BV11" i="262" s="1"/>
  <c r="BZ11" i="262" s="1"/>
  <c r="ABP5" i="285"/>
  <c r="ABN5" i="285"/>
  <c r="ABO5" i="285"/>
  <c r="ABQ5" i="285"/>
  <c r="ABP7" i="285"/>
  <c r="ABN7" i="285"/>
  <c r="ABQ7" i="285"/>
  <c r="ABO7" i="285"/>
  <c r="K110" i="277"/>
  <c r="BV15" i="262" s="1"/>
  <c r="BZ15" i="262" s="1"/>
  <c r="ABP9" i="285"/>
  <c r="ABN9" i="285"/>
  <c r="ABQ9" i="285"/>
  <c r="ABO9" i="285"/>
  <c r="ABP11" i="285"/>
  <c r="ABN11" i="285"/>
  <c r="ABO11" i="285"/>
  <c r="ABQ11" i="285"/>
  <c r="O110" i="277"/>
  <c r="BV19" i="262" s="1"/>
  <c r="BZ19" i="262" s="1"/>
  <c r="ABQ13" i="285"/>
  <c r="ABO13" i="285"/>
  <c r="ABP13" i="285"/>
  <c r="ABN13" i="285"/>
  <c r="ABQ15" i="285"/>
  <c r="ABO15" i="285"/>
  <c r="ABP15" i="285"/>
  <c r="ABN15" i="285"/>
  <c r="S110" i="277"/>
  <c r="BV23" i="262" s="1"/>
  <c r="BZ23" i="262" s="1"/>
  <c r="ABQ17" i="285"/>
  <c r="ABO17" i="285"/>
  <c r="ABP17" i="285"/>
  <c r="ABN17" i="285"/>
  <c r="ABQ19" i="285"/>
  <c r="ABO19" i="285"/>
  <c r="ABP19" i="285"/>
  <c r="ABN19" i="285"/>
  <c r="W110" i="277"/>
  <c r="BV27" i="262" s="1"/>
  <c r="BZ27" i="262" s="1"/>
  <c r="ABQ21" i="285"/>
  <c r="ABO21" i="285"/>
  <c r="ABP21" i="285"/>
  <c r="ABN21" i="285"/>
  <c r="ABQ23" i="285"/>
  <c r="ABO23" i="285"/>
  <c r="ABP23" i="285"/>
  <c r="ABN23" i="285"/>
  <c r="AA110" i="277"/>
  <c r="BV31" i="262" s="1"/>
  <c r="BZ31" i="262" s="1"/>
  <c r="ABQ25" i="285"/>
  <c r="ABO25" i="285"/>
  <c r="ABP25" i="285"/>
  <c r="ABN25" i="285"/>
  <c r="ABQ27" i="285"/>
  <c r="ABO27" i="285"/>
  <c r="ABP27" i="285"/>
  <c r="ABN27" i="285"/>
  <c r="AE110" i="277"/>
  <c r="BV35" i="262" s="1"/>
  <c r="BZ35" i="262" s="1"/>
  <c r="ABQ29" i="285"/>
  <c r="ABO29" i="285"/>
  <c r="ABP29" i="285"/>
  <c r="ABN29" i="285"/>
  <c r="ABQ31" i="285"/>
  <c r="ABO31" i="285"/>
  <c r="ABP31" i="285"/>
  <c r="ABN31" i="285"/>
  <c r="E110" i="277"/>
  <c r="BV9" i="262" s="1"/>
  <c r="BZ9" i="262" s="1"/>
  <c r="ABT3" i="285"/>
  <c r="ABR3" i="285"/>
  <c r="ABS3" i="285"/>
  <c r="ABU3" i="285"/>
  <c r="ABT5" i="285"/>
  <c r="ABR5" i="285"/>
  <c r="ABS5" i="285"/>
  <c r="ABU5" i="285"/>
  <c r="I110" i="277"/>
  <c r="BV13" i="262" s="1"/>
  <c r="BZ13" i="262" s="1"/>
  <c r="ABT7" i="285"/>
  <c r="ABR7" i="285"/>
  <c r="ABU7" i="285"/>
  <c r="ABS7" i="285"/>
  <c r="ABT9" i="285"/>
  <c r="ABR9" i="285"/>
  <c r="ABU9" i="285"/>
  <c r="ABS9" i="285"/>
  <c r="M110" i="277"/>
  <c r="BV17" i="262" s="1"/>
  <c r="BZ17" i="262" s="1"/>
  <c r="ABT11" i="285"/>
  <c r="ABR11" i="285"/>
  <c r="ABS11" i="285"/>
  <c r="ABU11" i="285"/>
  <c r="ABU13" i="285"/>
  <c r="ABS13" i="285"/>
  <c r="ABT13" i="285"/>
  <c r="ABR13" i="285"/>
  <c r="Q110" i="277"/>
  <c r="BV21" i="262" s="1"/>
  <c r="BZ21" i="262" s="1"/>
  <c r="ABU15" i="285"/>
  <c r="ABS15" i="285"/>
  <c r="ABT15" i="285"/>
  <c r="ABR15" i="285"/>
  <c r="ABU17" i="285"/>
  <c r="ABS17" i="285"/>
  <c r="ABT17" i="285"/>
  <c r="ABR17" i="285"/>
  <c r="U110" i="277"/>
  <c r="BV25" i="262" s="1"/>
  <c r="BZ25" i="262" s="1"/>
  <c r="ABU19" i="285"/>
  <c r="ABS19" i="285"/>
  <c r="ABT19" i="285"/>
  <c r="ABR19" i="285"/>
  <c r="ABU21" i="285"/>
  <c r="ABS21" i="285"/>
  <c r="ABT21" i="285"/>
  <c r="ABR21" i="285"/>
  <c r="Y110" i="277"/>
  <c r="BV29" i="262" s="1"/>
  <c r="BZ29" i="262" s="1"/>
  <c r="ABU23" i="285"/>
  <c r="ABS23" i="285"/>
  <c r="ABT23" i="285"/>
  <c r="ABR23" i="285"/>
  <c r="ABU25" i="285"/>
  <c r="ABS25" i="285"/>
  <c r="ABT25" i="285"/>
  <c r="ABR25" i="285"/>
  <c r="AC110" i="277"/>
  <c r="BV33" i="262" s="1"/>
  <c r="BZ33" i="262" s="1"/>
  <c r="ABU27" i="285"/>
  <c r="ABS27" i="285"/>
  <c r="ABT27" i="285"/>
  <c r="ABR27" i="285"/>
  <c r="ABU29" i="285"/>
  <c r="ABS29" i="285"/>
  <c r="ABT29" i="285"/>
  <c r="ABR29" i="285"/>
  <c r="ABU31" i="285"/>
  <c r="ABS31" i="285"/>
  <c r="ABT31" i="285"/>
  <c r="ABR31" i="285"/>
  <c r="ABX3" i="285"/>
  <c r="ABV3" i="285"/>
  <c r="ABW3" i="285"/>
  <c r="ABY3" i="285"/>
  <c r="ABX5" i="285"/>
  <c r="ABV5" i="285"/>
  <c r="ABW5" i="285"/>
  <c r="ABY5" i="285"/>
  <c r="ABX7" i="285"/>
  <c r="ABV7" i="285"/>
  <c r="ABY7" i="285"/>
  <c r="ABW7" i="285"/>
  <c r="ABX9" i="285"/>
  <c r="ABV9" i="285"/>
  <c r="ABY9" i="285"/>
  <c r="ABW9" i="285"/>
  <c r="ABX11" i="285"/>
  <c r="ABV11" i="285"/>
  <c r="ABW11" i="285"/>
  <c r="ABY11" i="285"/>
  <c r="ABY13" i="285"/>
  <c r="ABW13" i="285"/>
  <c r="ABX13" i="285"/>
  <c r="ABV13" i="285"/>
  <c r="ABY15" i="285"/>
  <c r="ABW15" i="285"/>
  <c r="ABX15" i="285"/>
  <c r="ABV15" i="285"/>
  <c r="ABY17" i="285"/>
  <c r="ABW17" i="285"/>
  <c r="ABX17" i="285"/>
  <c r="ABV17" i="285"/>
  <c r="ABY19" i="285"/>
  <c r="ABW19" i="285"/>
  <c r="ABX19" i="285"/>
  <c r="ABV19" i="285"/>
  <c r="ABY21" i="285"/>
  <c r="ABW21" i="285"/>
  <c r="ABX21" i="285"/>
  <c r="ABV21" i="285"/>
  <c r="ABY23" i="285"/>
  <c r="ABW23" i="285"/>
  <c r="ABX23" i="285"/>
  <c r="ABV23" i="285"/>
  <c r="ABY25" i="285"/>
  <c r="ABW25" i="285"/>
  <c r="ABX25" i="285"/>
  <c r="ABV25" i="285"/>
  <c r="ABY27" i="285"/>
  <c r="ABW27" i="285"/>
  <c r="ABX27" i="285"/>
  <c r="ABV27" i="285"/>
  <c r="ABY29" i="285"/>
  <c r="ABW29" i="285"/>
  <c r="ABX29" i="285"/>
  <c r="ABV29" i="285"/>
  <c r="ABY31" i="285"/>
  <c r="ABW31" i="285"/>
  <c r="ABX31" i="285"/>
  <c r="ABV31" i="285"/>
  <c r="ACB3" i="285"/>
  <c r="ABZ3" i="285"/>
  <c r="ACA3" i="285"/>
  <c r="ACC3" i="285"/>
  <c r="ACB5" i="285"/>
  <c r="ABZ5" i="285"/>
  <c r="ACA5" i="285"/>
  <c r="ACC5" i="285"/>
  <c r="ACB7" i="285"/>
  <c r="ABZ7" i="285"/>
  <c r="ACC7" i="285"/>
  <c r="ACA7" i="285"/>
  <c r="ACB9" i="285"/>
  <c r="ABZ9" i="285"/>
  <c r="ACC9" i="285"/>
  <c r="ACA9" i="285"/>
  <c r="ACB11" i="285"/>
  <c r="ABZ11" i="285"/>
  <c r="ACA11" i="285"/>
  <c r="ACC11" i="285"/>
  <c r="ACC13" i="285"/>
  <c r="ACA13" i="285"/>
  <c r="ACB13" i="285"/>
  <c r="ABZ13" i="285"/>
  <c r="ACC15" i="285"/>
  <c r="ACA15" i="285"/>
  <c r="ACB15" i="285"/>
  <c r="ABZ15" i="285"/>
  <c r="ACC17" i="285"/>
  <c r="ACA17" i="285"/>
  <c r="ACB17" i="285"/>
  <c r="ABZ17" i="285"/>
  <c r="ACC19" i="285"/>
  <c r="ACA19" i="285"/>
  <c r="ACB19" i="285"/>
  <c r="ABZ19" i="285"/>
  <c r="ACC21" i="285"/>
  <c r="ACA21" i="285"/>
  <c r="ACB21" i="285"/>
  <c r="ABZ21" i="285"/>
  <c r="ACC23" i="285"/>
  <c r="ACA23" i="285"/>
  <c r="ACB23" i="285"/>
  <c r="ABZ23" i="285"/>
  <c r="ACC25" i="285"/>
  <c r="ACA25" i="285"/>
  <c r="ACB25" i="285"/>
  <c r="ABZ25" i="285"/>
  <c r="ACC27" i="285"/>
  <c r="ACA27" i="285"/>
  <c r="ACB27" i="285"/>
  <c r="ABZ27" i="285"/>
  <c r="ACC29" i="285"/>
  <c r="ACA29" i="285"/>
  <c r="ACB29" i="285"/>
  <c r="ABZ29" i="285"/>
  <c r="ACC31" i="285"/>
  <c r="ACB31" i="285"/>
  <c r="ACA31" i="285"/>
  <c r="ABZ31" i="285"/>
  <c r="ACF3" i="285"/>
  <c r="ACD3" i="285"/>
  <c r="ACE3" i="285"/>
  <c r="ACG3" i="285"/>
  <c r="ACF5" i="285"/>
  <c r="ACD5" i="285"/>
  <c r="ACE5" i="285"/>
  <c r="ACG5" i="285"/>
  <c r="ACF7" i="285"/>
  <c r="ACD7" i="285"/>
  <c r="ACG7" i="285"/>
  <c r="ACE7" i="285"/>
  <c r="ACF9" i="285"/>
  <c r="ACD9" i="285"/>
  <c r="ACG9" i="285"/>
  <c r="ACE9" i="285"/>
  <c r="ACF11" i="285"/>
  <c r="ACD11" i="285"/>
  <c r="ACE11" i="285"/>
  <c r="ACG11" i="285"/>
  <c r="ACG13" i="285"/>
  <c r="ACE13" i="285"/>
  <c r="ACF13" i="285"/>
  <c r="ACD13" i="285"/>
  <c r="ACG15" i="285"/>
  <c r="ACE15" i="285"/>
  <c r="ACF15" i="285"/>
  <c r="ACD15" i="285"/>
  <c r="ACG17" i="285"/>
  <c r="ACE17" i="285"/>
  <c r="ACF17" i="285"/>
  <c r="ACD17" i="285"/>
  <c r="ACG19" i="285"/>
  <c r="ACE19" i="285"/>
  <c r="ACF19" i="285"/>
  <c r="ACD19" i="285"/>
  <c r="ACG21" i="285"/>
  <c r="ACE21" i="285"/>
  <c r="ACF21" i="285"/>
  <c r="ACD21" i="285"/>
  <c r="ACG23" i="285"/>
  <c r="ACE23" i="285"/>
  <c r="ACF23" i="285"/>
  <c r="ACD23" i="285"/>
  <c r="ACG25" i="285"/>
  <c r="ACE25" i="285"/>
  <c r="ACF25" i="285"/>
  <c r="ACD25" i="285"/>
  <c r="ACG27" i="285"/>
  <c r="ACE27" i="285"/>
  <c r="ACF27" i="285"/>
  <c r="ACD27" i="285"/>
  <c r="ACG29" i="285"/>
  <c r="ACE29" i="285"/>
  <c r="ACF29" i="285"/>
  <c r="ACD29" i="285"/>
  <c r="ACG31" i="285"/>
  <c r="ACE31" i="285"/>
  <c r="ACF31" i="285"/>
  <c r="ACD31" i="285"/>
  <c r="ACJ3" i="285"/>
  <c r="ACH3" i="285"/>
  <c r="ACI3" i="285"/>
  <c r="ACK3" i="285"/>
  <c r="ACJ5" i="285"/>
  <c r="ACH5" i="285"/>
  <c r="ACI5" i="285"/>
  <c r="ACK5" i="285"/>
  <c r="ACJ7" i="285"/>
  <c r="ACH7" i="285"/>
  <c r="ACK7" i="285"/>
  <c r="ACI7" i="285"/>
  <c r="ACJ9" i="285"/>
  <c r="ACH9" i="285"/>
  <c r="ACK9" i="285"/>
  <c r="ACI9" i="285"/>
  <c r="ACJ11" i="285"/>
  <c r="ACH11" i="285"/>
  <c r="ACI11" i="285"/>
  <c r="ACK11" i="285"/>
  <c r="ACK13" i="285"/>
  <c r="ACI13" i="285"/>
  <c r="ACJ13" i="285"/>
  <c r="ACH13" i="285"/>
  <c r="ACK15" i="285"/>
  <c r="ACI15" i="285"/>
  <c r="ACJ15" i="285"/>
  <c r="ACH15" i="285"/>
  <c r="ACK17" i="285"/>
  <c r="ACI17" i="285"/>
  <c r="ACJ17" i="285"/>
  <c r="ACH17" i="285"/>
  <c r="ACK19" i="285"/>
  <c r="ACI19" i="285"/>
  <c r="ACJ19" i="285"/>
  <c r="ACH19" i="285"/>
  <c r="ACK21" i="285"/>
  <c r="ACI21" i="285"/>
  <c r="ACJ21" i="285"/>
  <c r="ACH21" i="285"/>
  <c r="ACK23" i="285"/>
  <c r="ACI23" i="285"/>
  <c r="ACJ23" i="285"/>
  <c r="ACH23" i="285"/>
  <c r="ACK25" i="285"/>
  <c r="ACI25" i="285"/>
  <c r="ACJ25" i="285"/>
  <c r="ACH25" i="285"/>
  <c r="ACK27" i="285"/>
  <c r="ACI27" i="285"/>
  <c r="ACJ27" i="285"/>
  <c r="ACH27" i="285"/>
  <c r="ACK29" i="285"/>
  <c r="ACI29" i="285"/>
  <c r="ACJ29" i="285"/>
  <c r="ACH29" i="285"/>
  <c r="ACK31" i="285"/>
  <c r="ACI31" i="285"/>
  <c r="ACJ31" i="285"/>
  <c r="ACH31" i="285"/>
  <c r="ACN3" i="285"/>
  <c r="ACL3" i="285"/>
  <c r="ACM3" i="285"/>
  <c r="ACO3" i="285"/>
  <c r="ACN5" i="285"/>
  <c r="ACL5" i="285"/>
  <c r="ACM5" i="285"/>
  <c r="ACO5" i="285"/>
  <c r="ACN7" i="285"/>
  <c r="ACL7" i="285"/>
  <c r="ACO7" i="285"/>
  <c r="ACM7" i="285"/>
  <c r="ACN9" i="285"/>
  <c r="ACL9" i="285"/>
  <c r="ACO9" i="285"/>
  <c r="ACM9" i="285"/>
  <c r="ACN11" i="285"/>
  <c r="ACL11" i="285"/>
  <c r="ACM11" i="285"/>
  <c r="ACO11" i="285"/>
  <c r="ACO13" i="285"/>
  <c r="ACM13" i="285"/>
  <c r="ACN13" i="285"/>
  <c r="ACL13" i="285"/>
  <c r="ACO15" i="285"/>
  <c r="ACM15" i="285"/>
  <c r="ACN15" i="285"/>
  <c r="ACL15" i="285"/>
  <c r="ACO17" i="285"/>
  <c r="ACM17" i="285"/>
  <c r="ACN17" i="285"/>
  <c r="ACL17" i="285"/>
  <c r="ACO19" i="285"/>
  <c r="ACM19" i="285"/>
  <c r="ACN19" i="285"/>
  <c r="ACL19" i="285"/>
  <c r="ACO21" i="285"/>
  <c r="ACM21" i="285"/>
  <c r="ACN21" i="285"/>
  <c r="ACL21" i="285"/>
  <c r="ACO23" i="285"/>
  <c r="ACM23" i="285"/>
  <c r="ACN23" i="285"/>
  <c r="ACL23" i="285"/>
  <c r="ACO25" i="285"/>
  <c r="ACM25" i="285"/>
  <c r="ACN25" i="285"/>
  <c r="ACL25" i="285"/>
  <c r="ACO27" i="285"/>
  <c r="ACM27" i="285"/>
  <c r="ACN27" i="285"/>
  <c r="ACL27" i="285"/>
  <c r="ACO29" i="285"/>
  <c r="ACM29" i="285"/>
  <c r="ACN29" i="285"/>
  <c r="ACL29" i="285"/>
  <c r="ACO31" i="285"/>
  <c r="ACM31" i="285"/>
  <c r="ACN31" i="285"/>
  <c r="ACL31" i="285"/>
  <c r="ACR3" i="285"/>
  <c r="ACP3" i="285"/>
  <c r="ACQ3" i="285"/>
  <c r="ACS3" i="285"/>
  <c r="ACR5" i="285"/>
  <c r="ACP5" i="285"/>
  <c r="ACQ5" i="285"/>
  <c r="ACS5" i="285"/>
  <c r="ACR7" i="285"/>
  <c r="ACP7" i="285"/>
  <c r="ACS7" i="285"/>
  <c r="ACQ7" i="285"/>
  <c r="ACR9" i="285"/>
  <c r="ACP9" i="285"/>
  <c r="ACS9" i="285"/>
  <c r="ACQ9" i="285"/>
  <c r="ACR11" i="285"/>
  <c r="ACP11" i="285"/>
  <c r="ACQ11" i="285"/>
  <c r="ACS11" i="285"/>
  <c r="ACS13" i="285"/>
  <c r="ACQ13" i="285"/>
  <c r="ACR13" i="285"/>
  <c r="ACP13" i="285"/>
  <c r="ACS15" i="285"/>
  <c r="ACQ15" i="285"/>
  <c r="ACR15" i="285"/>
  <c r="ACP15" i="285"/>
  <c r="ACS17" i="285"/>
  <c r="ACQ17" i="285"/>
  <c r="ACR17" i="285"/>
  <c r="ACP17" i="285"/>
  <c r="ACS19" i="285"/>
  <c r="ACQ19" i="285"/>
  <c r="ACR19" i="285"/>
  <c r="ACP19" i="285"/>
  <c r="ACS21" i="285"/>
  <c r="ACQ21" i="285"/>
  <c r="ACR21" i="285"/>
  <c r="ACP21" i="285"/>
  <c r="ACS23" i="285"/>
  <c r="ACQ23" i="285"/>
  <c r="ACR23" i="285"/>
  <c r="ACP23" i="285"/>
  <c r="ACS25" i="285"/>
  <c r="ACQ25" i="285"/>
  <c r="ACR25" i="285"/>
  <c r="ACP25" i="285"/>
  <c r="ACS27" i="285"/>
  <c r="ACQ27" i="285"/>
  <c r="ACR27" i="285"/>
  <c r="ACP27" i="285"/>
  <c r="ACS29" i="285"/>
  <c r="ACQ29" i="285"/>
  <c r="ACR29" i="285"/>
  <c r="ACP29" i="285"/>
  <c r="ACS31" i="285"/>
  <c r="ACQ31" i="285"/>
  <c r="ACR31" i="285"/>
  <c r="ACP31" i="285"/>
  <c r="ACV3" i="285"/>
  <c r="ACT3" i="285"/>
  <c r="ACU3" i="285"/>
  <c r="ACW3" i="285"/>
  <c r="ACV5" i="285"/>
  <c r="ACT5" i="285"/>
  <c r="ACU5" i="285"/>
  <c r="ACW5" i="285"/>
  <c r="ACV7" i="285"/>
  <c r="ACT7" i="285"/>
  <c r="ACW7" i="285"/>
  <c r="ACU7" i="285"/>
  <c r="ACV9" i="285"/>
  <c r="ACT9" i="285"/>
  <c r="ACW9" i="285"/>
  <c r="ACU9" i="285"/>
  <c r="ACV11" i="285"/>
  <c r="ACT11" i="285"/>
  <c r="ACU11" i="285"/>
  <c r="ACW11" i="285"/>
  <c r="ACW13" i="285"/>
  <c r="ACU13" i="285"/>
  <c r="ACV13" i="285"/>
  <c r="ACT13" i="285"/>
  <c r="ACW15" i="285"/>
  <c r="ACU15" i="285"/>
  <c r="ACV15" i="285"/>
  <c r="ACT15" i="285"/>
  <c r="ACW17" i="285"/>
  <c r="ACU17" i="285"/>
  <c r="ACV17" i="285"/>
  <c r="ACT17" i="285"/>
  <c r="ACW19" i="285"/>
  <c r="ACU19" i="285"/>
  <c r="ACV19" i="285"/>
  <c r="ACT19" i="285"/>
  <c r="ACW21" i="285"/>
  <c r="ACU21" i="285"/>
  <c r="ACV21" i="285"/>
  <c r="ACT21" i="285"/>
  <c r="ACW23" i="285"/>
  <c r="ACU23" i="285"/>
  <c r="ACV23" i="285"/>
  <c r="ACT23" i="285"/>
  <c r="ACW25" i="285"/>
  <c r="ACU25" i="285"/>
  <c r="ACV25" i="285"/>
  <c r="ACT25" i="285"/>
  <c r="ACW27" i="285"/>
  <c r="ACU27" i="285"/>
  <c r="ACV27" i="285"/>
  <c r="ACT27" i="285"/>
  <c r="ACW29" i="285"/>
  <c r="ACU29" i="285"/>
  <c r="ACV29" i="285"/>
  <c r="ACT29" i="285"/>
  <c r="ACW31" i="285"/>
  <c r="ACU31" i="285"/>
  <c r="ACV31" i="285"/>
  <c r="ACT31" i="285"/>
  <c r="ACZ3" i="285"/>
  <c r="ACX3" i="285"/>
  <c r="ACY3" i="285"/>
  <c r="ADA3" i="285"/>
  <c r="ACZ5" i="285"/>
  <c r="ACX5" i="285"/>
  <c r="ACY5" i="285"/>
  <c r="ADA5" i="285"/>
  <c r="ACZ7" i="285"/>
  <c r="ACX7" i="285"/>
  <c r="ADA7" i="285"/>
  <c r="ACY7" i="285"/>
  <c r="ACZ9" i="285"/>
  <c r="ACX9" i="285"/>
  <c r="ADA9" i="285"/>
  <c r="ACY9" i="285"/>
  <c r="ACZ11" i="285"/>
  <c r="ACX11" i="285"/>
  <c r="ACY11" i="285"/>
  <c r="ADA11" i="285"/>
  <c r="ADA13" i="285"/>
  <c r="ACY13" i="285"/>
  <c r="ACZ13" i="285"/>
  <c r="ACX13" i="285"/>
  <c r="ADA15" i="285"/>
  <c r="ACY15" i="285"/>
  <c r="ACZ15" i="285"/>
  <c r="ACX15" i="285"/>
  <c r="ADA17" i="285"/>
  <c r="ACY17" i="285"/>
  <c r="ACZ17" i="285"/>
  <c r="ACX17" i="285"/>
  <c r="ADA19" i="285"/>
  <c r="ACY19" i="285"/>
  <c r="ACZ19" i="285"/>
  <c r="ACX19" i="285"/>
  <c r="ADA21" i="285"/>
  <c r="ACY21" i="285"/>
  <c r="ACZ21" i="285"/>
  <c r="ACX21" i="285"/>
  <c r="ADA23" i="285"/>
  <c r="ACY23" i="285"/>
  <c r="ACZ23" i="285"/>
  <c r="ACX23" i="285"/>
  <c r="ADA25" i="285"/>
  <c r="ACY25" i="285"/>
  <c r="ACZ25" i="285"/>
  <c r="ACX25" i="285"/>
  <c r="ADA27" i="285"/>
  <c r="ACY27" i="285"/>
  <c r="ACZ27" i="285"/>
  <c r="ACX27" i="285"/>
  <c r="ADA29" i="285"/>
  <c r="ACY29" i="285"/>
  <c r="ACZ29" i="285"/>
  <c r="ACX29" i="285"/>
  <c r="ADA31" i="285"/>
  <c r="ACY31" i="285"/>
  <c r="ACZ31" i="285"/>
  <c r="ACX31" i="285"/>
  <c r="ADD3" i="285"/>
  <c r="ADB3" i="285"/>
  <c r="ADC3" i="285"/>
  <c r="ADE3" i="285"/>
  <c r="ADD5" i="285"/>
  <c r="ADB5" i="285"/>
  <c r="ADC5" i="285"/>
  <c r="ADE5" i="285"/>
  <c r="ADD7" i="285"/>
  <c r="ADB7" i="285"/>
  <c r="ADE7" i="285"/>
  <c r="ADC7" i="285"/>
  <c r="ADD9" i="285"/>
  <c r="ADB9" i="285"/>
  <c r="ADE9" i="285"/>
  <c r="ADC9" i="285"/>
  <c r="ADD11" i="285"/>
  <c r="ADB11" i="285"/>
  <c r="ADC11" i="285"/>
  <c r="ADE11" i="285"/>
  <c r="ADE13" i="285"/>
  <c r="ADC13" i="285"/>
  <c r="ADD13" i="285"/>
  <c r="ADB13" i="285"/>
  <c r="ADE15" i="285"/>
  <c r="ADC15" i="285"/>
  <c r="ADD15" i="285"/>
  <c r="ADB15" i="285"/>
  <c r="ADE17" i="285"/>
  <c r="ADC17" i="285"/>
  <c r="ADD17" i="285"/>
  <c r="ADB17" i="285"/>
  <c r="ADE19" i="285"/>
  <c r="ADC19" i="285"/>
  <c r="ADD19" i="285"/>
  <c r="ADB19" i="285"/>
  <c r="ADE21" i="285"/>
  <c r="ADC21" i="285"/>
  <c r="ADD21" i="285"/>
  <c r="ADB21" i="285"/>
  <c r="ADE23" i="285"/>
  <c r="ADC23" i="285"/>
  <c r="ADD23" i="285"/>
  <c r="ADB23" i="285"/>
  <c r="ADE25" i="285"/>
  <c r="ADC25" i="285"/>
  <c r="ADD25" i="285"/>
  <c r="ADB25" i="285"/>
  <c r="ADE27" i="285"/>
  <c r="ADC27" i="285"/>
  <c r="ADD27" i="285"/>
  <c r="ADB27" i="285"/>
  <c r="ADE29" i="285"/>
  <c r="ADC29" i="285"/>
  <c r="ADD29" i="285"/>
  <c r="ADB29" i="285"/>
  <c r="ADE31" i="285"/>
  <c r="ADC31" i="285"/>
  <c r="ADD31" i="285"/>
  <c r="ADB31" i="285"/>
  <c r="ADH3" i="285"/>
  <c r="ADF3" i="285"/>
  <c r="ADG3" i="285"/>
  <c r="ADI3" i="285"/>
  <c r="ADH5" i="285"/>
  <c r="ADF5" i="285"/>
  <c r="ADG5" i="285"/>
  <c r="ADI5" i="285"/>
  <c r="ADH7" i="285"/>
  <c r="ADF7" i="285"/>
  <c r="ADI7" i="285"/>
  <c r="ADG7" i="285"/>
  <c r="ADH9" i="285"/>
  <c r="ADF9" i="285"/>
  <c r="ADI9" i="285"/>
  <c r="ADG9" i="285"/>
  <c r="ADH11" i="285"/>
  <c r="ADF11" i="285"/>
  <c r="ADG11" i="285"/>
  <c r="ADI11" i="285"/>
  <c r="ADI13" i="285"/>
  <c r="ADG13" i="285"/>
  <c r="ADH13" i="285"/>
  <c r="ADF13" i="285"/>
  <c r="ADI15" i="285"/>
  <c r="ADG15" i="285"/>
  <c r="ADH15" i="285"/>
  <c r="ADF15" i="285"/>
  <c r="ADI17" i="285"/>
  <c r="ADG17" i="285"/>
  <c r="ADH17" i="285"/>
  <c r="ADF17" i="285"/>
  <c r="ADI19" i="285"/>
  <c r="ADG19" i="285"/>
  <c r="ADH19" i="285"/>
  <c r="ADF19" i="285"/>
  <c r="ADI21" i="285"/>
  <c r="ADG21" i="285"/>
  <c r="ADH21" i="285"/>
  <c r="ADF21" i="285"/>
  <c r="ADI23" i="285"/>
  <c r="ADG23" i="285"/>
  <c r="ADH23" i="285"/>
  <c r="ADF23" i="285"/>
  <c r="ADI25" i="285"/>
  <c r="ADG25" i="285"/>
  <c r="ADH25" i="285"/>
  <c r="ADF25" i="285"/>
  <c r="ADI27" i="285"/>
  <c r="ADG27" i="285"/>
  <c r="ADH27" i="285"/>
  <c r="ADF27" i="285"/>
  <c r="ADI29" i="285"/>
  <c r="ADG29" i="285"/>
  <c r="ADH29" i="285"/>
  <c r="ADF29" i="285"/>
  <c r="ADI31" i="285"/>
  <c r="ADG31" i="285"/>
  <c r="ADH31" i="285"/>
  <c r="ADF31" i="285"/>
  <c r="ADL3" i="285"/>
  <c r="ADJ3" i="285"/>
  <c r="ADK3" i="285"/>
  <c r="ADM3" i="285"/>
  <c r="ADL5" i="285"/>
  <c r="ADJ5" i="285"/>
  <c r="ADK5" i="285"/>
  <c r="ADM5" i="285"/>
  <c r="ADL7" i="285"/>
  <c r="ADJ7" i="285"/>
  <c r="ADM7" i="285"/>
  <c r="ADK7" i="285"/>
  <c r="ADL9" i="285"/>
  <c r="ADJ9" i="285"/>
  <c r="ADM9" i="285"/>
  <c r="ADK9" i="285"/>
  <c r="ADL11" i="285"/>
  <c r="ADJ11" i="285"/>
  <c r="ADK11" i="285"/>
  <c r="ADM11" i="285"/>
  <c r="ADM13" i="285"/>
  <c r="ADK13" i="285"/>
  <c r="ADL13" i="285"/>
  <c r="ADJ13" i="285"/>
  <c r="ADM15" i="285"/>
  <c r="ADK15" i="285"/>
  <c r="ADL15" i="285"/>
  <c r="ADJ15" i="285"/>
  <c r="ADM17" i="285"/>
  <c r="ADK17" i="285"/>
  <c r="ADL17" i="285"/>
  <c r="ADJ17" i="285"/>
  <c r="ADM19" i="285"/>
  <c r="ADK19" i="285"/>
  <c r="ADL19" i="285"/>
  <c r="ADJ19" i="285"/>
  <c r="ADM21" i="285"/>
  <c r="ADK21" i="285"/>
  <c r="ADL21" i="285"/>
  <c r="ADJ21" i="285"/>
  <c r="ADM23" i="285"/>
  <c r="ADK23" i="285"/>
  <c r="ADL23" i="285"/>
  <c r="ADJ23" i="285"/>
  <c r="ADM25" i="285"/>
  <c r="ADK25" i="285"/>
  <c r="ADL25" i="285"/>
  <c r="ADJ25" i="285"/>
  <c r="ADM27" i="285"/>
  <c r="ADK27" i="285"/>
  <c r="ADL27" i="285"/>
  <c r="ADJ27" i="285"/>
  <c r="ADM29" i="285"/>
  <c r="ADK29" i="285"/>
  <c r="ADL29" i="285"/>
  <c r="ADJ29" i="285"/>
  <c r="ADM31" i="285"/>
  <c r="ADK31" i="285"/>
  <c r="ADL31" i="285"/>
  <c r="ADJ31" i="285"/>
  <c r="AG110" i="277"/>
  <c r="BV37" i="262" s="1"/>
  <c r="BZ37" i="262" s="1"/>
  <c r="F110" i="278"/>
  <c r="CA10" i="262" s="1"/>
  <c r="CE10" i="262" s="1"/>
  <c r="ADQ4" i="285"/>
  <c r="ADO4" i="285"/>
  <c r="ADP4" i="285"/>
  <c r="ADN4" i="285"/>
  <c r="H110" i="278"/>
  <c r="CA12" i="262" s="1"/>
  <c r="CE12" i="262" s="1"/>
  <c r="ADQ6" i="285"/>
  <c r="ADO6" i="285"/>
  <c r="ADP6" i="285"/>
  <c r="ADN6" i="285"/>
  <c r="J110" i="278"/>
  <c r="CA14" i="262" s="1"/>
  <c r="CE14" i="262" s="1"/>
  <c r="ADQ8" i="285"/>
  <c r="ADO8" i="285"/>
  <c r="ADP8" i="285"/>
  <c r="ADN8" i="285"/>
  <c r="L110" i="278"/>
  <c r="CA16" i="262" s="1"/>
  <c r="CE16" i="262" s="1"/>
  <c r="ADQ10" i="285"/>
  <c r="ADO10" i="285"/>
  <c r="ADP10" i="285"/>
  <c r="ADN10" i="285"/>
  <c r="N110" i="278"/>
  <c r="CA18" i="262" s="1"/>
  <c r="CE18" i="262" s="1"/>
  <c r="ADP12" i="285"/>
  <c r="ADN12" i="285"/>
  <c r="ADQ12" i="285"/>
  <c r="ADO12" i="285"/>
  <c r="P110" i="278"/>
  <c r="CA20" i="262" s="1"/>
  <c r="CE20" i="262" s="1"/>
  <c r="ADP14" i="285"/>
  <c r="ADN14" i="285"/>
  <c r="ADQ14" i="285"/>
  <c r="ADO14" i="285"/>
  <c r="R110" i="278"/>
  <c r="CA22" i="262" s="1"/>
  <c r="CE22" i="262" s="1"/>
  <c r="ADP16" i="285"/>
  <c r="ADN16" i="285"/>
  <c r="ADQ16" i="285"/>
  <c r="ADO16" i="285"/>
  <c r="T110" i="278"/>
  <c r="CA24" i="262" s="1"/>
  <c r="CE24" i="262" s="1"/>
  <c r="ADP18" i="285"/>
  <c r="ADN18" i="285"/>
  <c r="ADQ18" i="285"/>
  <c r="ADO18" i="285"/>
  <c r="V110" i="278"/>
  <c r="CA26" i="262" s="1"/>
  <c r="CE26" i="262" s="1"/>
  <c r="ADP20" i="285"/>
  <c r="ADN20" i="285"/>
  <c r="ADQ20" i="285"/>
  <c r="ADO20" i="285"/>
  <c r="X110" i="278"/>
  <c r="CA28" i="262" s="1"/>
  <c r="CE28" i="262" s="1"/>
  <c r="ADP22" i="285"/>
  <c r="ADN22" i="285"/>
  <c r="ADQ22" i="285"/>
  <c r="ADO22" i="285"/>
  <c r="Z110" i="278"/>
  <c r="CA30" i="262" s="1"/>
  <c r="CE30" i="262" s="1"/>
  <c r="ADP24" i="285"/>
  <c r="ADN24" i="285"/>
  <c r="ADQ24" i="285"/>
  <c r="ADO24" i="285"/>
  <c r="AB110" i="278"/>
  <c r="CA32" i="262" s="1"/>
  <c r="CE32" i="262" s="1"/>
  <c r="ADP26" i="285"/>
  <c r="ADN26" i="285"/>
  <c r="ADQ26" i="285"/>
  <c r="ADO26" i="285"/>
  <c r="AD110" i="278"/>
  <c r="CA34" i="262" s="1"/>
  <c r="CE34" i="262" s="1"/>
  <c r="ADP28" i="285"/>
  <c r="ADN28" i="285"/>
  <c r="ADQ28" i="285"/>
  <c r="ADO28" i="285"/>
  <c r="AF110" i="278"/>
  <c r="CA36" i="262" s="1"/>
  <c r="CE36" i="262" s="1"/>
  <c r="ADP30" i="285"/>
  <c r="ADN30" i="285"/>
  <c r="ADQ30" i="285"/>
  <c r="ADO30" i="285"/>
  <c r="AH110" i="278"/>
  <c r="CA38" i="262" s="1"/>
  <c r="CE38" i="262" s="1"/>
  <c r="ADQ32" i="285"/>
  <c r="ADO32" i="285"/>
  <c r="ADP32" i="285"/>
  <c r="ADN32" i="285"/>
  <c r="ADU4" i="285"/>
  <c r="ADS4" i="285"/>
  <c r="ADT4" i="285"/>
  <c r="ADR4" i="285"/>
  <c r="ADU6" i="285"/>
  <c r="ADS6" i="285"/>
  <c r="ADT6" i="285"/>
  <c r="ADR6" i="285"/>
  <c r="ADU8" i="285"/>
  <c r="ADS8" i="285"/>
  <c r="ADT8" i="285"/>
  <c r="ADR8" i="285"/>
  <c r="ADU10" i="285"/>
  <c r="ADS10" i="285"/>
  <c r="ADT10" i="285"/>
  <c r="ADR10" i="285"/>
  <c r="ADT12" i="285"/>
  <c r="ADR12" i="285"/>
  <c r="ADU12" i="285"/>
  <c r="ADS12" i="285"/>
  <c r="ADT14" i="285"/>
  <c r="ADR14" i="285"/>
  <c r="ADU14" i="285"/>
  <c r="ADS14" i="285"/>
  <c r="ADT16" i="285"/>
  <c r="ADR16" i="285"/>
  <c r="ADU16" i="285"/>
  <c r="ADS16" i="285"/>
  <c r="ADT18" i="285"/>
  <c r="ADR18" i="285"/>
  <c r="ADU18" i="285"/>
  <c r="ADS18" i="285"/>
  <c r="ADT20" i="285"/>
  <c r="ADR20" i="285"/>
  <c r="ADU20" i="285"/>
  <c r="ADS20" i="285"/>
  <c r="ADT22" i="285"/>
  <c r="ADR22" i="285"/>
  <c r="ADU22" i="285"/>
  <c r="ADS22" i="285"/>
  <c r="ADT24" i="285"/>
  <c r="ADR24" i="285"/>
  <c r="ADU24" i="285"/>
  <c r="ADS24" i="285"/>
  <c r="ADT26" i="285"/>
  <c r="ADR26" i="285"/>
  <c r="ADU26" i="285"/>
  <c r="ADS26" i="285"/>
  <c r="ADT28" i="285"/>
  <c r="ADR28" i="285"/>
  <c r="ADU28" i="285"/>
  <c r="ADS28" i="285"/>
  <c r="ADT30" i="285"/>
  <c r="ADR30" i="285"/>
  <c r="ADU30" i="285"/>
  <c r="ADS30" i="285"/>
  <c r="ADU32" i="285"/>
  <c r="ADS32" i="285"/>
  <c r="ADT32" i="285"/>
  <c r="ADR32" i="285"/>
  <c r="ADY4" i="285"/>
  <c r="ADW4" i="285"/>
  <c r="ADX4" i="285"/>
  <c r="ADV4" i="285"/>
  <c r="ADY6" i="285"/>
  <c r="ADW6" i="285"/>
  <c r="ADX6" i="285"/>
  <c r="ADV6" i="285"/>
  <c r="ADY8" i="285"/>
  <c r="ADW8" i="285"/>
  <c r="ADX8" i="285"/>
  <c r="ADV8" i="285"/>
  <c r="ADY10" i="285"/>
  <c r="ADW10" i="285"/>
  <c r="ADX10" i="285"/>
  <c r="ADV10" i="285"/>
  <c r="ADX12" i="285"/>
  <c r="ADV12" i="285"/>
  <c r="ADY12" i="285"/>
  <c r="ADW12" i="285"/>
  <c r="ADX14" i="285"/>
  <c r="ADV14" i="285"/>
  <c r="ADY14" i="285"/>
  <c r="ADW14" i="285"/>
  <c r="ADX16" i="285"/>
  <c r="ADV16" i="285"/>
  <c r="ADY16" i="285"/>
  <c r="ADW16" i="285"/>
  <c r="ADX18" i="285"/>
  <c r="ADV18" i="285"/>
  <c r="ADY18" i="285"/>
  <c r="ADW18" i="285"/>
  <c r="ADX20" i="285"/>
  <c r="ADV20" i="285"/>
  <c r="ADY20" i="285"/>
  <c r="ADW20" i="285"/>
  <c r="ADX22" i="285"/>
  <c r="ADV22" i="285"/>
  <c r="ADY22" i="285"/>
  <c r="ADW22" i="285"/>
  <c r="ADX24" i="285"/>
  <c r="ADV24" i="285"/>
  <c r="ADY24" i="285"/>
  <c r="ADW24" i="285"/>
  <c r="ADX26" i="285"/>
  <c r="ADV26" i="285"/>
  <c r="ADY26" i="285"/>
  <c r="ADW26" i="285"/>
  <c r="ADX28" i="285"/>
  <c r="ADV28" i="285"/>
  <c r="ADY28" i="285"/>
  <c r="ADW28" i="285"/>
  <c r="ADX30" i="285"/>
  <c r="ADV30" i="285"/>
  <c r="ADY30" i="285"/>
  <c r="ADW30" i="285"/>
  <c r="ADY32" i="285"/>
  <c r="ADW32" i="285"/>
  <c r="ADX32" i="285"/>
  <c r="ADV32" i="285"/>
  <c r="AEC4" i="285"/>
  <c r="AEA4" i="285"/>
  <c r="AEB4" i="285"/>
  <c r="ADZ4" i="285"/>
  <c r="AEC6" i="285"/>
  <c r="AEA6" i="285"/>
  <c r="AEB6" i="285"/>
  <c r="ADZ6" i="285"/>
  <c r="AEC8" i="285"/>
  <c r="AEA8" i="285"/>
  <c r="AEB8" i="285"/>
  <c r="ADZ8" i="285"/>
  <c r="AEC10" i="285"/>
  <c r="AEA10" i="285"/>
  <c r="AEB10" i="285"/>
  <c r="ADZ10" i="285"/>
  <c r="AEB12" i="285"/>
  <c r="ADZ12" i="285"/>
  <c r="AEC12" i="285"/>
  <c r="AEA12" i="285"/>
  <c r="AEB14" i="285"/>
  <c r="ADZ14" i="285"/>
  <c r="AEC14" i="285"/>
  <c r="AEA14" i="285"/>
  <c r="AEB16" i="285"/>
  <c r="ADZ16" i="285"/>
  <c r="AEC16" i="285"/>
  <c r="AEA16" i="285"/>
  <c r="AEB18" i="285"/>
  <c r="ADZ18" i="285"/>
  <c r="AEC18" i="285"/>
  <c r="AEA18" i="285"/>
  <c r="AEB20" i="285"/>
  <c r="ADZ20" i="285"/>
  <c r="AEC20" i="285"/>
  <c r="AEA20" i="285"/>
  <c r="AEB22" i="285"/>
  <c r="ADZ22" i="285"/>
  <c r="AEC22" i="285"/>
  <c r="AEA22" i="285"/>
  <c r="AEB24" i="285"/>
  <c r="ADZ24" i="285"/>
  <c r="AEC24" i="285"/>
  <c r="AEA24" i="285"/>
  <c r="AEB26" i="285"/>
  <c r="ADZ26" i="285"/>
  <c r="AEC26" i="285"/>
  <c r="AEA26" i="285"/>
  <c r="AEB28" i="285"/>
  <c r="ADZ28" i="285"/>
  <c r="AEC28" i="285"/>
  <c r="AEA28" i="285"/>
  <c r="AEB30" i="285"/>
  <c r="ADZ30" i="285"/>
  <c r="AEC30" i="285"/>
  <c r="AEA30" i="285"/>
  <c r="AEC32" i="285"/>
  <c r="AEA32" i="285"/>
  <c r="AEB32" i="285"/>
  <c r="ADZ32" i="285"/>
  <c r="AEG4" i="285"/>
  <c r="AEE4" i="285"/>
  <c r="AEF4" i="285"/>
  <c r="AED4" i="285"/>
  <c r="AEG6" i="285"/>
  <c r="AEE6" i="285"/>
  <c r="AEF6" i="285"/>
  <c r="AED6" i="285"/>
  <c r="AEG8" i="285"/>
  <c r="AEE8" i="285"/>
  <c r="AEF8" i="285"/>
  <c r="AED8" i="285"/>
  <c r="AEG10" i="285"/>
  <c r="AEE10" i="285"/>
  <c r="AEF10" i="285"/>
  <c r="AED10" i="285"/>
  <c r="AEF12" i="285"/>
  <c r="AED12" i="285"/>
  <c r="AEG12" i="285"/>
  <c r="AEE12" i="285"/>
  <c r="AEF14" i="285"/>
  <c r="AED14" i="285"/>
  <c r="AEG14" i="285"/>
  <c r="AEE14" i="285"/>
  <c r="AEF16" i="285"/>
  <c r="AED16" i="285"/>
  <c r="AEG16" i="285"/>
  <c r="AEE16" i="285"/>
  <c r="AEF18" i="285"/>
  <c r="AED18" i="285"/>
  <c r="AEG18" i="285"/>
  <c r="AEE18" i="285"/>
  <c r="AEF20" i="285"/>
  <c r="AED20" i="285"/>
  <c r="AEG20" i="285"/>
  <c r="AEE20" i="285"/>
  <c r="AEF22" i="285"/>
  <c r="AED22" i="285"/>
  <c r="AEG22" i="285"/>
  <c r="AEE22" i="285"/>
  <c r="AEF24" i="285"/>
  <c r="AED24" i="285"/>
  <c r="AEG24" i="285"/>
  <c r="AEE24" i="285"/>
  <c r="AEF26" i="285"/>
  <c r="AED26" i="285"/>
  <c r="AEG26" i="285"/>
  <c r="AEE26" i="285"/>
  <c r="AEF28" i="285"/>
  <c r="AED28" i="285"/>
  <c r="AEG28" i="285"/>
  <c r="AEE28" i="285"/>
  <c r="AEF30" i="285"/>
  <c r="AED30" i="285"/>
  <c r="AEG30" i="285"/>
  <c r="AEE30" i="285"/>
  <c r="AEG32" i="285"/>
  <c r="AEE32" i="285"/>
  <c r="AEF32" i="285"/>
  <c r="AED32" i="285"/>
  <c r="AEK4" i="285"/>
  <c r="AEI4" i="285"/>
  <c r="AEJ4" i="285"/>
  <c r="AEH4" i="285"/>
  <c r="AEK6" i="285"/>
  <c r="AEI6" i="285"/>
  <c r="AEJ6" i="285"/>
  <c r="AEH6" i="285"/>
  <c r="AEK8" i="285"/>
  <c r="AEI8" i="285"/>
  <c r="AEJ8" i="285"/>
  <c r="AEH8" i="285"/>
  <c r="AEK10" i="285"/>
  <c r="AEI10" i="285"/>
  <c r="AEJ10" i="285"/>
  <c r="AEH10" i="285"/>
  <c r="AEJ12" i="285"/>
  <c r="AEH12" i="285"/>
  <c r="AEK12" i="285"/>
  <c r="AEI12" i="285"/>
  <c r="AEJ14" i="285"/>
  <c r="AEH14" i="285"/>
  <c r="AEK14" i="285"/>
  <c r="AEI14" i="285"/>
  <c r="AEJ16" i="285"/>
  <c r="AEH16" i="285"/>
  <c r="AEK16" i="285"/>
  <c r="AEI16" i="285"/>
  <c r="AEJ18" i="285"/>
  <c r="AEH18" i="285"/>
  <c r="AEK18" i="285"/>
  <c r="AEI18" i="285"/>
  <c r="AEJ20" i="285"/>
  <c r="AEH20" i="285"/>
  <c r="AEK20" i="285"/>
  <c r="AEI20" i="285"/>
  <c r="AEJ22" i="285"/>
  <c r="AEH22" i="285"/>
  <c r="AEK22" i="285"/>
  <c r="AEI22" i="285"/>
  <c r="AEJ24" i="285"/>
  <c r="AEH24" i="285"/>
  <c r="AEK24" i="285"/>
  <c r="AEI24" i="285"/>
  <c r="AEJ26" i="285"/>
  <c r="AEH26" i="285"/>
  <c r="AEK26" i="285"/>
  <c r="AEI26" i="285"/>
  <c r="AEJ28" i="285"/>
  <c r="AEH28" i="285"/>
  <c r="AEK28" i="285"/>
  <c r="AEI28" i="285"/>
  <c r="AEJ30" i="285"/>
  <c r="AEH30" i="285"/>
  <c r="AEK30" i="285"/>
  <c r="AEI30" i="285"/>
  <c r="AEK32" i="285"/>
  <c r="AEI32" i="285"/>
  <c r="AEJ32" i="285"/>
  <c r="AEH32" i="285"/>
  <c r="AEO4" i="285"/>
  <c r="AEM4" i="285"/>
  <c r="AEN4" i="285"/>
  <c r="AEL4" i="285"/>
  <c r="AEO6" i="285"/>
  <c r="AEM6" i="285"/>
  <c r="AEN6" i="285"/>
  <c r="AEL6" i="285"/>
  <c r="AEO8" i="285"/>
  <c r="AEM8" i="285"/>
  <c r="AEN8" i="285"/>
  <c r="AEL8" i="285"/>
  <c r="AEO10" i="285"/>
  <c r="AEM10" i="285"/>
  <c r="AEN10" i="285"/>
  <c r="AEL10" i="285"/>
  <c r="AEN12" i="285"/>
  <c r="AEL12" i="285"/>
  <c r="AEO12" i="285"/>
  <c r="AEM12" i="285"/>
  <c r="AEN14" i="285"/>
  <c r="AEL14" i="285"/>
  <c r="AEO14" i="285"/>
  <c r="AEM14" i="285"/>
  <c r="AEN16" i="285"/>
  <c r="AEL16" i="285"/>
  <c r="AEO16" i="285"/>
  <c r="AEM16" i="285"/>
  <c r="AEN18" i="285"/>
  <c r="AEL18" i="285"/>
  <c r="AEO18" i="285"/>
  <c r="AEM18" i="285"/>
  <c r="AEN20" i="285"/>
  <c r="AEL20" i="285"/>
  <c r="AEO20" i="285"/>
  <c r="AEM20" i="285"/>
  <c r="AEN22" i="285"/>
  <c r="AEL22" i="285"/>
  <c r="AEO22" i="285"/>
  <c r="AEM22" i="285"/>
  <c r="AEN24" i="285"/>
  <c r="AEL24" i="285"/>
  <c r="AEO24" i="285"/>
  <c r="AEM24" i="285"/>
  <c r="AEN26" i="285"/>
  <c r="AEL26" i="285"/>
  <c r="AEO26" i="285"/>
  <c r="AEM26" i="285"/>
  <c r="AEN28" i="285"/>
  <c r="AEL28" i="285"/>
  <c r="AEO28" i="285"/>
  <c r="AEM28" i="285"/>
  <c r="AEN30" i="285"/>
  <c r="AEL30" i="285"/>
  <c r="AEO30" i="285"/>
  <c r="AEM30" i="285"/>
  <c r="AEO32" i="285"/>
  <c r="AEM32" i="285"/>
  <c r="AEN32" i="285"/>
  <c r="AEL32" i="285"/>
  <c r="AES4" i="285"/>
  <c r="AEQ4" i="285"/>
  <c r="AER4" i="285"/>
  <c r="AEP4" i="285"/>
  <c r="AES6" i="285"/>
  <c r="AEQ6" i="285"/>
  <c r="AER6" i="285"/>
  <c r="AEP6" i="285"/>
  <c r="AES8" i="285"/>
  <c r="AEQ8" i="285"/>
  <c r="AER8" i="285"/>
  <c r="AEP8" i="285"/>
  <c r="AES10" i="285"/>
  <c r="AEQ10" i="285"/>
  <c r="AER10" i="285"/>
  <c r="AEP10" i="285"/>
  <c r="AER12" i="285"/>
  <c r="AEP12" i="285"/>
  <c r="AES12" i="285"/>
  <c r="AEQ12" i="285"/>
  <c r="AER14" i="285"/>
  <c r="AEP14" i="285"/>
  <c r="AES14" i="285"/>
  <c r="AEQ14" i="285"/>
  <c r="AER16" i="285"/>
  <c r="AEP16" i="285"/>
  <c r="AES16" i="285"/>
  <c r="AEQ16" i="285"/>
  <c r="AER18" i="285"/>
  <c r="AEP18" i="285"/>
  <c r="AES18" i="285"/>
  <c r="AEQ18" i="285"/>
  <c r="AER20" i="285"/>
  <c r="AEP20" i="285"/>
  <c r="AES20" i="285"/>
  <c r="AEQ20" i="285"/>
  <c r="AER22" i="285"/>
  <c r="AEP22" i="285"/>
  <c r="AES22" i="285"/>
  <c r="AEQ22" i="285"/>
  <c r="AER24" i="285"/>
  <c r="AEP24" i="285"/>
  <c r="AES24" i="285"/>
  <c r="AEQ24" i="285"/>
  <c r="AER26" i="285"/>
  <c r="AEP26" i="285"/>
  <c r="AES26" i="285"/>
  <c r="AEQ26" i="285"/>
  <c r="AER28" i="285"/>
  <c r="AEP28" i="285"/>
  <c r="AES28" i="285"/>
  <c r="AEQ28" i="285"/>
  <c r="AER30" i="285"/>
  <c r="AEP30" i="285"/>
  <c r="AES30" i="285"/>
  <c r="AEQ30" i="285"/>
  <c r="AES32" i="285"/>
  <c r="AEQ32" i="285"/>
  <c r="AER32" i="285"/>
  <c r="AEP32" i="285"/>
  <c r="AEW4" i="285"/>
  <c r="AEU4" i="285"/>
  <c r="AEV4" i="285"/>
  <c r="AET4" i="285"/>
  <c r="AEW6" i="285"/>
  <c r="AEU6" i="285"/>
  <c r="AEV6" i="285"/>
  <c r="AET6" i="285"/>
  <c r="AEW8" i="285"/>
  <c r="AEU8" i="285"/>
  <c r="AEV8" i="285"/>
  <c r="AET8" i="285"/>
  <c r="AEW10" i="285"/>
  <c r="AEU10" i="285"/>
  <c r="AEV10" i="285"/>
  <c r="AET10" i="285"/>
  <c r="AEV12" i="285"/>
  <c r="AET12" i="285"/>
  <c r="AEW12" i="285"/>
  <c r="AEU12" i="285"/>
  <c r="AEV14" i="285"/>
  <c r="AET14" i="285"/>
  <c r="AEW14" i="285"/>
  <c r="AEU14" i="285"/>
  <c r="AEV16" i="285"/>
  <c r="AET16" i="285"/>
  <c r="AEW16" i="285"/>
  <c r="AEU16" i="285"/>
  <c r="AEV18" i="285"/>
  <c r="AET18" i="285"/>
  <c r="AEW18" i="285"/>
  <c r="AEU18" i="285"/>
  <c r="AEV20" i="285"/>
  <c r="AET20" i="285"/>
  <c r="AEW20" i="285"/>
  <c r="AEU20" i="285"/>
  <c r="AEV22" i="285"/>
  <c r="AET22" i="285"/>
  <c r="AEW22" i="285"/>
  <c r="AEU22" i="285"/>
  <c r="AEV24" i="285"/>
  <c r="AET24" i="285"/>
  <c r="AEW24" i="285"/>
  <c r="AEU24" i="285"/>
  <c r="AEV26" i="285"/>
  <c r="AET26" i="285"/>
  <c r="AEW26" i="285"/>
  <c r="AEU26" i="285"/>
  <c r="AEV28" i="285"/>
  <c r="AET28" i="285"/>
  <c r="AEW28" i="285"/>
  <c r="AEU28" i="285"/>
  <c r="AEV30" i="285"/>
  <c r="AET30" i="285"/>
  <c r="AEW30" i="285"/>
  <c r="AEU30" i="285"/>
  <c r="AEW32" i="285"/>
  <c r="AEU32" i="285"/>
  <c r="AEV32" i="285"/>
  <c r="AET32" i="285"/>
  <c r="AFA4" i="285"/>
  <c r="AEY4" i="285"/>
  <c r="AEZ4" i="285"/>
  <c r="AEX4" i="285"/>
  <c r="AFA6" i="285"/>
  <c r="AEY6" i="285"/>
  <c r="AEZ6" i="285"/>
  <c r="AEX6" i="285"/>
  <c r="AFA8" i="285"/>
  <c r="AEY8" i="285"/>
  <c r="AEZ8" i="285"/>
  <c r="AEX8" i="285"/>
  <c r="AFA10" i="285"/>
  <c r="AEY10" i="285"/>
  <c r="AEZ10" i="285"/>
  <c r="AEX10" i="285"/>
  <c r="AEZ12" i="285"/>
  <c r="AEX12" i="285"/>
  <c r="AFA12" i="285"/>
  <c r="AEY12" i="285"/>
  <c r="AEZ14" i="285"/>
  <c r="AEX14" i="285"/>
  <c r="AFA14" i="285"/>
  <c r="AEY14" i="285"/>
  <c r="AEZ16" i="285"/>
  <c r="AEX16" i="285"/>
  <c r="AFA16" i="285"/>
  <c r="AEY16" i="285"/>
  <c r="AEZ18" i="285"/>
  <c r="AEX18" i="285"/>
  <c r="AFA18" i="285"/>
  <c r="AEY18" i="285"/>
  <c r="AEZ20" i="285"/>
  <c r="AEX20" i="285"/>
  <c r="AFA20" i="285"/>
  <c r="AEY20" i="285"/>
  <c r="AEZ22" i="285"/>
  <c r="AEX22" i="285"/>
  <c r="AFA22" i="285"/>
  <c r="AEY22" i="285"/>
  <c r="AEZ24" i="285"/>
  <c r="AEX24" i="285"/>
  <c r="AFA24" i="285"/>
  <c r="AEY24" i="285"/>
  <c r="AEZ26" i="285"/>
  <c r="AEX26" i="285"/>
  <c r="AFA26" i="285"/>
  <c r="AEY26" i="285"/>
  <c r="AEZ28" i="285"/>
  <c r="AEX28" i="285"/>
  <c r="AFA28" i="285"/>
  <c r="AEY28" i="285"/>
  <c r="AEZ30" i="285"/>
  <c r="AEX30" i="285"/>
  <c r="AFA30" i="285"/>
  <c r="AEY30" i="285"/>
  <c r="AFA32" i="285"/>
  <c r="AEY32" i="285"/>
  <c r="AEZ32" i="285"/>
  <c r="AEX32" i="285"/>
  <c r="AFE4" i="285"/>
  <c r="AFC4" i="285"/>
  <c r="AFD4" i="285"/>
  <c r="AFB4" i="285"/>
  <c r="AFE6" i="285"/>
  <c r="AFC6" i="285"/>
  <c r="AFD6" i="285"/>
  <c r="AFB6" i="285"/>
  <c r="AFE8" i="285"/>
  <c r="AFC8" i="285"/>
  <c r="AFD8" i="285"/>
  <c r="AFB8" i="285"/>
  <c r="AFE10" i="285"/>
  <c r="AFC10" i="285"/>
  <c r="AFD10" i="285"/>
  <c r="AFB10" i="285"/>
  <c r="AFD12" i="285"/>
  <c r="AFB12" i="285"/>
  <c r="AFE12" i="285"/>
  <c r="AFC12" i="285"/>
  <c r="AFD14" i="285"/>
  <c r="AFB14" i="285"/>
  <c r="AFE14" i="285"/>
  <c r="AFC14" i="285"/>
  <c r="AFD16" i="285"/>
  <c r="AFB16" i="285"/>
  <c r="AFE16" i="285"/>
  <c r="AFC16" i="285"/>
  <c r="AFD18" i="285"/>
  <c r="AFB18" i="285"/>
  <c r="AFE18" i="285"/>
  <c r="AFC18" i="285"/>
  <c r="AFD20" i="285"/>
  <c r="AFB20" i="285"/>
  <c r="AFE20" i="285"/>
  <c r="AFC20" i="285"/>
  <c r="AFD22" i="285"/>
  <c r="AFB22" i="285"/>
  <c r="AFE22" i="285"/>
  <c r="AFC22" i="285"/>
  <c r="AFD24" i="285"/>
  <c r="AFB24" i="285"/>
  <c r="AFE24" i="285"/>
  <c r="AFC24" i="285"/>
  <c r="AFD26" i="285"/>
  <c r="AFB26" i="285"/>
  <c r="AFE26" i="285"/>
  <c r="AFC26" i="285"/>
  <c r="AFD28" i="285"/>
  <c r="AFB28" i="285"/>
  <c r="AFE28" i="285"/>
  <c r="AFC28" i="285"/>
  <c r="AFD30" i="285"/>
  <c r="AFB30" i="285"/>
  <c r="AFE30" i="285"/>
  <c r="AFC30" i="285"/>
  <c r="AFE32" i="285"/>
  <c r="AFC32" i="285"/>
  <c r="AFD32" i="285"/>
  <c r="AFB32" i="285"/>
  <c r="AFI4" i="285"/>
  <c r="AFG4" i="285"/>
  <c r="AFH4" i="285"/>
  <c r="AFF4" i="285"/>
  <c r="AFI6" i="285"/>
  <c r="AFG6" i="285"/>
  <c r="AFH6" i="285"/>
  <c r="AFF6" i="285"/>
  <c r="AFI8" i="285"/>
  <c r="AFG8" i="285"/>
  <c r="AFH8" i="285"/>
  <c r="AFF8" i="285"/>
  <c r="AFI10" i="285"/>
  <c r="AFG10" i="285"/>
  <c r="AFH10" i="285"/>
  <c r="AFF10" i="285"/>
  <c r="AFH12" i="285"/>
  <c r="AFF12" i="285"/>
  <c r="AFI12" i="285"/>
  <c r="AFG12" i="285"/>
  <c r="AFH14" i="285"/>
  <c r="AFF14" i="285"/>
  <c r="AFI14" i="285"/>
  <c r="AFG14" i="285"/>
  <c r="AFH16" i="285"/>
  <c r="AFF16" i="285"/>
  <c r="AFI16" i="285"/>
  <c r="AFG16" i="285"/>
  <c r="AFH18" i="285"/>
  <c r="AFF18" i="285"/>
  <c r="AFI18" i="285"/>
  <c r="AFG18" i="285"/>
  <c r="AFH20" i="285"/>
  <c r="AFF20" i="285"/>
  <c r="AFI20" i="285"/>
  <c r="AFG20" i="285"/>
  <c r="AFH22" i="285"/>
  <c r="AFF22" i="285"/>
  <c r="AFI22" i="285"/>
  <c r="AFG22" i="285"/>
  <c r="AFH24" i="285"/>
  <c r="AFF24" i="285"/>
  <c r="AFI24" i="285"/>
  <c r="AFG24" i="285"/>
  <c r="AFH26" i="285"/>
  <c r="AFF26" i="285"/>
  <c r="AFI26" i="285"/>
  <c r="AFG26" i="285"/>
  <c r="AFH28" i="285"/>
  <c r="AFF28" i="285"/>
  <c r="AFI28" i="285"/>
  <c r="AFG28" i="285"/>
  <c r="AFH30" i="285"/>
  <c r="AFF30" i="285"/>
  <c r="AFI30" i="285"/>
  <c r="AFG30" i="285"/>
  <c r="AFI32" i="285"/>
  <c r="AFG32" i="285"/>
  <c r="AFH32" i="285"/>
  <c r="AFF32" i="285"/>
  <c r="AFM4" i="285"/>
  <c r="AFK4" i="285"/>
  <c r="AFL4" i="285"/>
  <c r="AFJ4" i="285"/>
  <c r="AFM6" i="285"/>
  <c r="AFK6" i="285"/>
  <c r="AFL6" i="285"/>
  <c r="AFJ6" i="285"/>
  <c r="AFM8" i="285"/>
  <c r="AFK8" i="285"/>
  <c r="AFL8" i="285"/>
  <c r="AFJ8" i="285"/>
  <c r="AFM10" i="285"/>
  <c r="AFK10" i="285"/>
  <c r="AFL10" i="285"/>
  <c r="AFJ10" i="285"/>
  <c r="AFL12" i="285"/>
  <c r="AFJ12" i="285"/>
  <c r="AFM12" i="285"/>
  <c r="AFK12" i="285"/>
  <c r="AFL14" i="285"/>
  <c r="AFJ14" i="285"/>
  <c r="AFM14" i="285"/>
  <c r="AFK14" i="285"/>
  <c r="AFL16" i="285"/>
  <c r="AFJ16" i="285"/>
  <c r="AFM16" i="285"/>
  <c r="AFK16" i="285"/>
  <c r="AFL18" i="285"/>
  <c r="AFJ18" i="285"/>
  <c r="AFM18" i="285"/>
  <c r="AFK18" i="285"/>
  <c r="AFL20" i="285"/>
  <c r="AFJ20" i="285"/>
  <c r="AFM20" i="285"/>
  <c r="AFK20" i="285"/>
  <c r="AFL22" i="285"/>
  <c r="AFJ22" i="285"/>
  <c r="AFM22" i="285"/>
  <c r="AFK22" i="285"/>
  <c r="AFL24" i="285"/>
  <c r="AFJ24" i="285"/>
  <c r="AFM24" i="285"/>
  <c r="AFK24" i="285"/>
  <c r="AFL26" i="285"/>
  <c r="AFJ26" i="285"/>
  <c r="AFM26" i="285"/>
  <c r="AFK26" i="285"/>
  <c r="AFL28" i="285"/>
  <c r="AFJ28" i="285"/>
  <c r="AFM28" i="285"/>
  <c r="AFK28" i="285"/>
  <c r="AFL30" i="285"/>
  <c r="AFJ30" i="285"/>
  <c r="AFM30" i="285"/>
  <c r="AFK30" i="285"/>
  <c r="AFM32" i="285"/>
  <c r="AFK32" i="285"/>
  <c r="AFL32" i="285"/>
  <c r="AFJ32" i="285"/>
  <c r="H110" i="243"/>
  <c r="L110" i="243"/>
  <c r="P110" i="243"/>
  <c r="T110" i="243"/>
  <c r="X110" i="243"/>
  <c r="AB110" i="243"/>
  <c r="AF110" i="243"/>
  <c r="E110" i="243"/>
  <c r="I110" i="243"/>
  <c r="M110" i="243"/>
  <c r="Q110" i="243"/>
  <c r="U110" i="243"/>
  <c r="Y110" i="243"/>
  <c r="AG110" i="243"/>
  <c r="B3" i="285"/>
  <c r="E3" i="285"/>
  <c r="C3" i="285"/>
  <c r="D3" i="285"/>
  <c r="D31" i="285"/>
  <c r="B31" i="285"/>
  <c r="E31" i="285"/>
  <c r="C31" i="285"/>
  <c r="D29" i="285"/>
  <c r="B29" i="285"/>
  <c r="E29" i="285"/>
  <c r="C29" i="285"/>
  <c r="D27" i="285"/>
  <c r="B27" i="285"/>
  <c r="E27" i="285"/>
  <c r="C27" i="285"/>
  <c r="D25" i="285"/>
  <c r="B25" i="285"/>
  <c r="E25" i="285"/>
  <c r="C25" i="285"/>
  <c r="D23" i="285"/>
  <c r="B23" i="285"/>
  <c r="E23" i="285"/>
  <c r="C23" i="285"/>
  <c r="D21" i="285"/>
  <c r="B21" i="285"/>
  <c r="E21" i="285"/>
  <c r="C21" i="285"/>
  <c r="D19" i="285"/>
  <c r="B19" i="285"/>
  <c r="E19" i="285"/>
  <c r="C19" i="285"/>
  <c r="D17" i="285"/>
  <c r="B17" i="285"/>
  <c r="E17" i="285"/>
  <c r="C17" i="285"/>
  <c r="D15" i="285"/>
  <c r="B15" i="285"/>
  <c r="E15" i="285"/>
  <c r="C15" i="285"/>
  <c r="D13" i="285"/>
  <c r="B13" i="285"/>
  <c r="E13" i="285"/>
  <c r="C13" i="285"/>
  <c r="E11" i="285"/>
  <c r="C11" i="285"/>
  <c r="D11" i="285"/>
  <c r="B11" i="285"/>
  <c r="E9" i="285"/>
  <c r="C9" i="285"/>
  <c r="D9" i="285"/>
  <c r="B9" i="285"/>
  <c r="E7" i="285"/>
  <c r="C7" i="285"/>
  <c r="D7" i="285"/>
  <c r="B7" i="285"/>
  <c r="E5" i="285"/>
  <c r="C5" i="285"/>
  <c r="D5" i="285"/>
  <c r="B5" i="285"/>
  <c r="H4" i="285"/>
  <c r="F4" i="285"/>
  <c r="G4" i="285"/>
  <c r="I4" i="285"/>
  <c r="H6" i="285"/>
  <c r="F6" i="285"/>
  <c r="G6" i="285"/>
  <c r="I6" i="285"/>
  <c r="H8" i="285"/>
  <c r="F8" i="285"/>
  <c r="I8" i="285"/>
  <c r="G8" i="285"/>
  <c r="H10" i="285"/>
  <c r="F10" i="285"/>
  <c r="I10" i="285"/>
  <c r="G10" i="285"/>
  <c r="H12" i="285"/>
  <c r="F12" i="285"/>
  <c r="G12" i="285"/>
  <c r="I12" i="285"/>
  <c r="I14" i="285"/>
  <c r="G14" i="285"/>
  <c r="H14" i="285"/>
  <c r="F14" i="285"/>
  <c r="I16" i="285"/>
  <c r="G16" i="285"/>
  <c r="H16" i="285"/>
  <c r="F16" i="285"/>
  <c r="I18" i="285"/>
  <c r="G18" i="285"/>
  <c r="H18" i="285"/>
  <c r="F18" i="285"/>
  <c r="I20" i="285"/>
  <c r="G20" i="285"/>
  <c r="H20" i="285"/>
  <c r="F20" i="285"/>
  <c r="I22" i="285"/>
  <c r="G22" i="285"/>
  <c r="H22" i="285"/>
  <c r="F22" i="285"/>
  <c r="I24" i="285"/>
  <c r="G24" i="285"/>
  <c r="H24" i="285"/>
  <c r="F24" i="285"/>
  <c r="I26" i="285"/>
  <c r="G26" i="285"/>
  <c r="H26" i="285"/>
  <c r="F26" i="285"/>
  <c r="I28" i="285"/>
  <c r="G28" i="285"/>
  <c r="H28" i="285"/>
  <c r="F28" i="285"/>
  <c r="I30" i="285"/>
  <c r="G30" i="285"/>
  <c r="H30" i="285"/>
  <c r="F30" i="285"/>
  <c r="I32" i="285"/>
  <c r="G32" i="285"/>
  <c r="H32" i="285"/>
  <c r="F32" i="285"/>
  <c r="M5" i="285"/>
  <c r="K5" i="285"/>
  <c r="L5" i="285"/>
  <c r="J5" i="285"/>
  <c r="M7" i="285"/>
  <c r="K7" i="285"/>
  <c r="L7" i="285"/>
  <c r="J7" i="285"/>
  <c r="M9" i="285"/>
  <c r="K9" i="285"/>
  <c r="L9" i="285"/>
  <c r="J9" i="285"/>
  <c r="M11" i="285"/>
  <c r="K11" i="285"/>
  <c r="L11" i="285"/>
  <c r="J11" i="285"/>
  <c r="L13" i="285"/>
  <c r="J13" i="285"/>
  <c r="M13" i="285"/>
  <c r="K13" i="285"/>
  <c r="L15" i="285"/>
  <c r="J15" i="285"/>
  <c r="M15" i="285"/>
  <c r="K15" i="285"/>
  <c r="L17" i="285"/>
  <c r="J17" i="285"/>
  <c r="M17" i="285"/>
  <c r="K17" i="285"/>
  <c r="L19" i="285"/>
  <c r="J19" i="285"/>
  <c r="M19" i="285"/>
  <c r="K19" i="285"/>
  <c r="L21" i="285"/>
  <c r="J21" i="285"/>
  <c r="M21" i="285"/>
  <c r="K21" i="285"/>
  <c r="L23" i="285"/>
  <c r="J23" i="285"/>
  <c r="M23" i="285"/>
  <c r="K23" i="285"/>
  <c r="L25" i="285"/>
  <c r="J25" i="285"/>
  <c r="M25" i="285"/>
  <c r="K25" i="285"/>
  <c r="L27" i="285"/>
  <c r="J27" i="285"/>
  <c r="M27" i="285"/>
  <c r="K27" i="285"/>
  <c r="L29" i="285"/>
  <c r="J29" i="285"/>
  <c r="M29" i="285"/>
  <c r="K29" i="285"/>
  <c r="L31" i="285"/>
  <c r="J31" i="285"/>
  <c r="M31" i="285"/>
  <c r="K31" i="285"/>
  <c r="M3" i="285"/>
  <c r="G15" i="284" s="1"/>
  <c r="K3" i="285"/>
  <c r="E15" i="284" s="1"/>
  <c r="L3" i="285"/>
  <c r="F15" i="284" s="1"/>
  <c r="J3" i="285"/>
  <c r="D15" i="284" s="1"/>
  <c r="Q3" i="285"/>
  <c r="G16" i="284" s="1"/>
  <c r="O3" i="285"/>
  <c r="E16" i="284" s="1"/>
  <c r="P3" i="285"/>
  <c r="F16" i="284" s="1"/>
  <c r="N3" i="285"/>
  <c r="D16" i="284" s="1"/>
  <c r="Q5" i="285"/>
  <c r="O5" i="285"/>
  <c r="P5" i="285"/>
  <c r="N5" i="285"/>
  <c r="Q7" i="285"/>
  <c r="O7" i="285"/>
  <c r="P7" i="285"/>
  <c r="N7" i="285"/>
  <c r="Q9" i="285"/>
  <c r="O9" i="285"/>
  <c r="P9" i="285"/>
  <c r="N9" i="285"/>
  <c r="Q11" i="285"/>
  <c r="O11" i="285"/>
  <c r="P11" i="285"/>
  <c r="N11" i="285"/>
  <c r="P13" i="285"/>
  <c r="N13" i="285"/>
  <c r="Q13" i="285"/>
  <c r="O13" i="285"/>
  <c r="P15" i="285"/>
  <c r="N15" i="285"/>
  <c r="Q15" i="285"/>
  <c r="O15" i="285"/>
  <c r="P17" i="285"/>
  <c r="N17" i="285"/>
  <c r="Q17" i="285"/>
  <c r="O17" i="285"/>
  <c r="P19" i="285"/>
  <c r="N19" i="285"/>
  <c r="Q19" i="285"/>
  <c r="O19" i="285"/>
  <c r="P21" i="285"/>
  <c r="N21" i="285"/>
  <c r="Q21" i="285"/>
  <c r="O21" i="285"/>
  <c r="P23" i="285"/>
  <c r="N23" i="285"/>
  <c r="Q23" i="285"/>
  <c r="O23" i="285"/>
  <c r="P25" i="285"/>
  <c r="N25" i="285"/>
  <c r="Q25" i="285"/>
  <c r="O25" i="285"/>
  <c r="P27" i="285"/>
  <c r="N27" i="285"/>
  <c r="Q27" i="285"/>
  <c r="O27" i="285"/>
  <c r="P29" i="285"/>
  <c r="N29" i="285"/>
  <c r="Q29" i="285"/>
  <c r="O29" i="285"/>
  <c r="P31" i="285"/>
  <c r="N31" i="285"/>
  <c r="Q31" i="285"/>
  <c r="O31" i="285"/>
  <c r="U3" i="285"/>
  <c r="G17" i="284" s="1"/>
  <c r="S3" i="285"/>
  <c r="E17" i="284" s="1"/>
  <c r="T3" i="285"/>
  <c r="F17" i="284" s="1"/>
  <c r="R3" i="285"/>
  <c r="D17" i="284" s="1"/>
  <c r="U5" i="285"/>
  <c r="S5" i="285"/>
  <c r="T5" i="285"/>
  <c r="R5" i="285"/>
  <c r="U7" i="285"/>
  <c r="S7" i="285"/>
  <c r="T7" i="285"/>
  <c r="R7" i="285"/>
  <c r="U9" i="285"/>
  <c r="S9" i="285"/>
  <c r="T9" i="285"/>
  <c r="R9" i="285"/>
  <c r="U11" i="285"/>
  <c r="S11" i="285"/>
  <c r="T11" i="285"/>
  <c r="R11" i="285"/>
  <c r="T13" i="285"/>
  <c r="R13" i="285"/>
  <c r="U13" i="285"/>
  <c r="S13" i="285"/>
  <c r="T15" i="285"/>
  <c r="R15" i="285"/>
  <c r="U15" i="285"/>
  <c r="S15" i="285"/>
  <c r="T17" i="285"/>
  <c r="R17" i="285"/>
  <c r="U17" i="285"/>
  <c r="S17" i="285"/>
  <c r="T19" i="285"/>
  <c r="R19" i="285"/>
  <c r="U19" i="285"/>
  <c r="S19" i="285"/>
  <c r="T21" i="285"/>
  <c r="R21" i="285"/>
  <c r="U21" i="285"/>
  <c r="S21" i="285"/>
  <c r="T23" i="285"/>
  <c r="R23" i="285"/>
  <c r="U23" i="285"/>
  <c r="S23" i="285"/>
  <c r="T25" i="285"/>
  <c r="R25" i="285"/>
  <c r="U25" i="285"/>
  <c r="S25" i="285"/>
  <c r="T27" i="285"/>
  <c r="R27" i="285"/>
  <c r="U27" i="285"/>
  <c r="S27" i="285"/>
  <c r="T29" i="285"/>
  <c r="R29" i="285"/>
  <c r="U29" i="285"/>
  <c r="S29" i="285"/>
  <c r="T31" i="285"/>
  <c r="R31" i="285"/>
  <c r="U31" i="285"/>
  <c r="S31" i="285"/>
  <c r="Y3" i="285"/>
  <c r="G18" i="284" s="1"/>
  <c r="W3" i="285"/>
  <c r="E18" i="284" s="1"/>
  <c r="X3" i="285"/>
  <c r="F18" i="284" s="1"/>
  <c r="V3" i="285"/>
  <c r="D18" i="284" s="1"/>
  <c r="Y5" i="285"/>
  <c r="W5" i="285"/>
  <c r="X5" i="285"/>
  <c r="V5" i="285"/>
  <c r="Y7" i="285"/>
  <c r="W7" i="285"/>
  <c r="X7" i="285"/>
  <c r="V7" i="285"/>
  <c r="Y9" i="285"/>
  <c r="W9" i="285"/>
  <c r="X9" i="285"/>
  <c r="V9" i="285"/>
  <c r="Y11" i="285"/>
  <c r="W11" i="285"/>
  <c r="X11" i="285"/>
  <c r="V11" i="285"/>
  <c r="X13" i="285"/>
  <c r="V13" i="285"/>
  <c r="Y13" i="285"/>
  <c r="W13" i="285"/>
  <c r="X15" i="285"/>
  <c r="V15" i="285"/>
  <c r="Y15" i="285"/>
  <c r="W15" i="285"/>
  <c r="X17" i="285"/>
  <c r="V17" i="285"/>
  <c r="Y17" i="285"/>
  <c r="W17" i="285"/>
  <c r="X19" i="285"/>
  <c r="V19" i="285"/>
  <c r="Y19" i="285"/>
  <c r="W19" i="285"/>
  <c r="X21" i="285"/>
  <c r="V21" i="285"/>
  <c r="Y21" i="285"/>
  <c r="W21" i="285"/>
  <c r="X23" i="285"/>
  <c r="V23" i="285"/>
  <c r="Y23" i="285"/>
  <c r="W23" i="285"/>
  <c r="X25" i="285"/>
  <c r="V25" i="285"/>
  <c r="Y25" i="285"/>
  <c r="W25" i="285"/>
  <c r="X27" i="285"/>
  <c r="V27" i="285"/>
  <c r="Y27" i="285"/>
  <c r="W27" i="285"/>
  <c r="X29" i="285"/>
  <c r="V29" i="285"/>
  <c r="Y29" i="285"/>
  <c r="W29" i="285"/>
  <c r="X31" i="285"/>
  <c r="V31" i="285"/>
  <c r="Y31" i="285"/>
  <c r="W31" i="285"/>
  <c r="AC3" i="285"/>
  <c r="G19" i="284" s="1"/>
  <c r="AA3" i="285"/>
  <c r="E19" i="284" s="1"/>
  <c r="AB3" i="285"/>
  <c r="F19" i="284" s="1"/>
  <c r="Z3" i="285"/>
  <c r="D19" i="284" s="1"/>
  <c r="AC5" i="285"/>
  <c r="AA5" i="285"/>
  <c r="AB5" i="285"/>
  <c r="Z5" i="285"/>
  <c r="AC7" i="285"/>
  <c r="AA7" i="285"/>
  <c r="AB7" i="285"/>
  <c r="Z7" i="285"/>
  <c r="AC9" i="285"/>
  <c r="AA9" i="285"/>
  <c r="AB9" i="285"/>
  <c r="Z9" i="285"/>
  <c r="AC11" i="285"/>
  <c r="AA11" i="285"/>
  <c r="AB11" i="285"/>
  <c r="Z11" i="285"/>
  <c r="AB13" i="285"/>
  <c r="Z13" i="285"/>
  <c r="AC13" i="285"/>
  <c r="AA13" i="285"/>
  <c r="AB15" i="285"/>
  <c r="Z15" i="285"/>
  <c r="AC15" i="285"/>
  <c r="AA15" i="285"/>
  <c r="AB17" i="285"/>
  <c r="Z17" i="285"/>
  <c r="AC17" i="285"/>
  <c r="AA17" i="285"/>
  <c r="AB19" i="285"/>
  <c r="Z19" i="285"/>
  <c r="AC19" i="285"/>
  <c r="AA19" i="285"/>
  <c r="AB21" i="285"/>
  <c r="Z21" i="285"/>
  <c r="AC21" i="285"/>
  <c r="AA21" i="285"/>
  <c r="AB23" i="285"/>
  <c r="Z23" i="285"/>
  <c r="AC23" i="285"/>
  <c r="AA23" i="285"/>
  <c r="AB25" i="285"/>
  <c r="Z25" i="285"/>
  <c r="AC25" i="285"/>
  <c r="AA25" i="285"/>
  <c r="AB27" i="285"/>
  <c r="Z27" i="285"/>
  <c r="AC27" i="285"/>
  <c r="AA27" i="285"/>
  <c r="AB29" i="285"/>
  <c r="Z29" i="285"/>
  <c r="AC29" i="285"/>
  <c r="AA29" i="285"/>
  <c r="AB31" i="285"/>
  <c r="Z31" i="285"/>
  <c r="AC31" i="285"/>
  <c r="AA31" i="285"/>
  <c r="AG3" i="285"/>
  <c r="G20" i="284" s="1"/>
  <c r="AE3" i="285"/>
  <c r="E20" i="284" s="1"/>
  <c r="AF3" i="285"/>
  <c r="F20" i="284" s="1"/>
  <c r="AD3" i="285"/>
  <c r="D20" i="284" s="1"/>
  <c r="AG5" i="285"/>
  <c r="AE5" i="285"/>
  <c r="AF5" i="285"/>
  <c r="AD5" i="285"/>
  <c r="AG7" i="285"/>
  <c r="AE7" i="285"/>
  <c r="AF7" i="285"/>
  <c r="AD7" i="285"/>
  <c r="AG9" i="285"/>
  <c r="AE9" i="285"/>
  <c r="AF9" i="285"/>
  <c r="AD9" i="285"/>
  <c r="AG11" i="285"/>
  <c r="AE11" i="285"/>
  <c r="AF11" i="285"/>
  <c r="AD11" i="285"/>
  <c r="AF13" i="285"/>
  <c r="AD13" i="285"/>
  <c r="AG13" i="285"/>
  <c r="AE13" i="285"/>
  <c r="AF15" i="285"/>
  <c r="AD15" i="285"/>
  <c r="AG15" i="285"/>
  <c r="AE15" i="285"/>
  <c r="AF17" i="285"/>
  <c r="AD17" i="285"/>
  <c r="AG17" i="285"/>
  <c r="AE17" i="285"/>
  <c r="AF19" i="285"/>
  <c r="AD19" i="285"/>
  <c r="AG19" i="285"/>
  <c r="AE19" i="285"/>
  <c r="AF21" i="285"/>
  <c r="AD21" i="285"/>
  <c r="AG21" i="285"/>
  <c r="AE21" i="285"/>
  <c r="AF23" i="285"/>
  <c r="AD23" i="285"/>
  <c r="AG23" i="285"/>
  <c r="AE23" i="285"/>
  <c r="AF25" i="285"/>
  <c r="AD25" i="285"/>
  <c r="AG25" i="285"/>
  <c r="AE25" i="285"/>
  <c r="AF27" i="285"/>
  <c r="AD27" i="285"/>
  <c r="AG27" i="285"/>
  <c r="AE27" i="285"/>
  <c r="AF29" i="285"/>
  <c r="AD29" i="285"/>
  <c r="AG29" i="285"/>
  <c r="AE29" i="285"/>
  <c r="AF31" i="285"/>
  <c r="AD31" i="285"/>
  <c r="AG31" i="285"/>
  <c r="AE31" i="285"/>
  <c r="AK3" i="285"/>
  <c r="G21" i="284" s="1"/>
  <c r="AI3" i="285"/>
  <c r="E21" i="284" s="1"/>
  <c r="AJ3" i="285"/>
  <c r="F21" i="284" s="1"/>
  <c r="AH3" i="285"/>
  <c r="D21" i="284" s="1"/>
  <c r="AK5" i="285"/>
  <c r="AI5" i="285"/>
  <c r="AJ5" i="285"/>
  <c r="AH5" i="285"/>
  <c r="AK7" i="285"/>
  <c r="AI7" i="285"/>
  <c r="AJ7" i="285"/>
  <c r="AH7" i="285"/>
  <c r="AK9" i="285"/>
  <c r="AI9" i="285"/>
  <c r="AJ9" i="285"/>
  <c r="AH9" i="285"/>
  <c r="AK11" i="285"/>
  <c r="AI11" i="285"/>
  <c r="AJ11" i="285"/>
  <c r="AH11" i="285"/>
  <c r="AJ13" i="285"/>
  <c r="AH13" i="285"/>
  <c r="AK13" i="285"/>
  <c r="AI13" i="285"/>
  <c r="AJ15" i="285"/>
  <c r="AH15" i="285"/>
  <c r="AK15" i="285"/>
  <c r="AI15" i="285"/>
  <c r="AJ17" i="285"/>
  <c r="AH17" i="285"/>
  <c r="AK17" i="285"/>
  <c r="AI17" i="285"/>
  <c r="AJ19" i="285"/>
  <c r="AH19" i="285"/>
  <c r="AK19" i="285"/>
  <c r="AI19" i="285"/>
  <c r="AJ21" i="285"/>
  <c r="AH21" i="285"/>
  <c r="AK21" i="285"/>
  <c r="AI21" i="285"/>
  <c r="AJ23" i="285"/>
  <c r="AH23" i="285"/>
  <c r="AK23" i="285"/>
  <c r="AI23" i="285"/>
  <c r="AJ25" i="285"/>
  <c r="AH25" i="285"/>
  <c r="AK25" i="285"/>
  <c r="AI25" i="285"/>
  <c r="AJ27" i="285"/>
  <c r="AH27" i="285"/>
  <c r="AK27" i="285"/>
  <c r="AI27" i="285"/>
  <c r="AJ29" i="285"/>
  <c r="AH29" i="285"/>
  <c r="AK29" i="285"/>
  <c r="AI29" i="285"/>
  <c r="AJ31" i="285"/>
  <c r="AH31" i="285"/>
  <c r="AK31" i="285"/>
  <c r="AI31" i="285"/>
  <c r="AO3" i="285"/>
  <c r="G22" i="284" s="1"/>
  <c r="AM3" i="285"/>
  <c r="E22" i="284" s="1"/>
  <c r="AN3" i="285"/>
  <c r="F22" i="284" s="1"/>
  <c r="AL3" i="285"/>
  <c r="D22" i="284" s="1"/>
  <c r="AO5" i="285"/>
  <c r="AM5" i="285"/>
  <c r="AN5" i="285"/>
  <c r="AL5" i="285"/>
  <c r="AO7" i="285"/>
  <c r="AM7" i="285"/>
  <c r="AN7" i="285"/>
  <c r="AL7" i="285"/>
  <c r="AO9" i="285"/>
  <c r="AM9" i="285"/>
  <c r="AN9" i="285"/>
  <c r="AL9" i="285"/>
  <c r="AO11" i="285"/>
  <c r="AM11" i="285"/>
  <c r="AN11" i="285"/>
  <c r="AL11" i="285"/>
  <c r="AN13" i="285"/>
  <c r="AL13" i="285"/>
  <c r="AO13" i="285"/>
  <c r="AM13" i="285"/>
  <c r="AN15" i="285"/>
  <c r="AL15" i="285"/>
  <c r="AO15" i="285"/>
  <c r="AM15" i="285"/>
  <c r="AN17" i="285"/>
  <c r="AL17" i="285"/>
  <c r="AO17" i="285"/>
  <c r="AM17" i="285"/>
  <c r="AN19" i="285"/>
  <c r="AL19" i="285"/>
  <c r="AO19" i="285"/>
  <c r="AM19" i="285"/>
  <c r="AN21" i="285"/>
  <c r="AL21" i="285"/>
  <c r="AO21" i="285"/>
  <c r="AM21" i="285"/>
  <c r="AN23" i="285"/>
  <c r="AL23" i="285"/>
  <c r="AO23" i="285"/>
  <c r="AM23" i="285"/>
  <c r="AN25" i="285"/>
  <c r="AL25" i="285"/>
  <c r="AO25" i="285"/>
  <c r="AM25" i="285"/>
  <c r="AN27" i="285"/>
  <c r="AL27" i="285"/>
  <c r="AO27" i="285"/>
  <c r="AM27" i="285"/>
  <c r="AN29" i="285"/>
  <c r="AL29" i="285"/>
  <c r="AO29" i="285"/>
  <c r="AM29" i="285"/>
  <c r="AN31" i="285"/>
  <c r="AL31" i="285"/>
  <c r="AO31" i="285"/>
  <c r="AM31" i="285"/>
  <c r="AS3" i="285"/>
  <c r="G23" i="284" s="1"/>
  <c r="AQ3" i="285"/>
  <c r="E23" i="284" s="1"/>
  <c r="AR3" i="285"/>
  <c r="F23" i="284" s="1"/>
  <c r="AP3" i="285"/>
  <c r="D23" i="284" s="1"/>
  <c r="AS5" i="285"/>
  <c r="AQ5" i="285"/>
  <c r="AR5" i="285"/>
  <c r="AP5" i="285"/>
  <c r="AS7" i="285"/>
  <c r="AQ7" i="285"/>
  <c r="AR7" i="285"/>
  <c r="AP7" i="285"/>
  <c r="AS9" i="285"/>
  <c r="AQ9" i="285"/>
  <c r="AR9" i="285"/>
  <c r="AP9" i="285"/>
  <c r="AS11" i="285"/>
  <c r="AQ11" i="285"/>
  <c r="AR11" i="285"/>
  <c r="AP11" i="285"/>
  <c r="AR13" i="285"/>
  <c r="AP13" i="285"/>
  <c r="AS13" i="285"/>
  <c r="AQ13" i="285"/>
  <c r="AR15" i="285"/>
  <c r="AP15" i="285"/>
  <c r="AS15" i="285"/>
  <c r="AQ15" i="285"/>
  <c r="AR17" i="285"/>
  <c r="AP17" i="285"/>
  <c r="AS17" i="285"/>
  <c r="AQ17" i="285"/>
  <c r="AR19" i="285"/>
  <c r="AP19" i="285"/>
  <c r="AS19" i="285"/>
  <c r="AQ19" i="285"/>
  <c r="AR21" i="285"/>
  <c r="AP21" i="285"/>
  <c r="AS21" i="285"/>
  <c r="AQ21" i="285"/>
  <c r="AR23" i="285"/>
  <c r="AP23" i="285"/>
  <c r="AS23" i="285"/>
  <c r="AQ23" i="285"/>
  <c r="AR25" i="285"/>
  <c r="AP25" i="285"/>
  <c r="AS25" i="285"/>
  <c r="AQ25" i="285"/>
  <c r="AR27" i="285"/>
  <c r="AP27" i="285"/>
  <c r="AS27" i="285"/>
  <c r="AQ27" i="285"/>
  <c r="AR29" i="285"/>
  <c r="AP29" i="285"/>
  <c r="AS29" i="285"/>
  <c r="AQ29" i="285"/>
  <c r="AR31" i="285"/>
  <c r="AP31" i="285"/>
  <c r="AS31" i="285"/>
  <c r="AQ31" i="285"/>
  <c r="AW3" i="285"/>
  <c r="G24" i="284" s="1"/>
  <c r="AU3" i="285"/>
  <c r="E24" i="284" s="1"/>
  <c r="AV3" i="285"/>
  <c r="F24" i="284" s="1"/>
  <c r="AT3" i="285"/>
  <c r="D24" i="284" s="1"/>
  <c r="AW5" i="285"/>
  <c r="AU5" i="285"/>
  <c r="AV5" i="285"/>
  <c r="AT5" i="285"/>
  <c r="AW7" i="285"/>
  <c r="AU7" i="285"/>
  <c r="AV7" i="285"/>
  <c r="AT7" i="285"/>
  <c r="AW9" i="285"/>
  <c r="AU9" i="285"/>
  <c r="AV9" i="285"/>
  <c r="AT9" i="285"/>
  <c r="AW11" i="285"/>
  <c r="AU11" i="285"/>
  <c r="AV11" i="285"/>
  <c r="AT11" i="285"/>
  <c r="AV13" i="285"/>
  <c r="AT13" i="285"/>
  <c r="AW13" i="285"/>
  <c r="AU13" i="285"/>
  <c r="AV15" i="285"/>
  <c r="AT15" i="285"/>
  <c r="AW15" i="285"/>
  <c r="AU15" i="285"/>
  <c r="AV17" i="285"/>
  <c r="AT17" i="285"/>
  <c r="AW17" i="285"/>
  <c r="AU17" i="285"/>
  <c r="AV19" i="285"/>
  <c r="AT19" i="285"/>
  <c r="AW19" i="285"/>
  <c r="AU19" i="285"/>
  <c r="AV21" i="285"/>
  <c r="AT21" i="285"/>
  <c r="AW21" i="285"/>
  <c r="AU21" i="285"/>
  <c r="AV23" i="285"/>
  <c r="AT23" i="285"/>
  <c r="AW23" i="285"/>
  <c r="AU23" i="285"/>
  <c r="AV25" i="285"/>
  <c r="AT25" i="285"/>
  <c r="AW25" i="285"/>
  <c r="AU25" i="285"/>
  <c r="AV27" i="285"/>
  <c r="AT27" i="285"/>
  <c r="AW27" i="285"/>
  <c r="AU27" i="285"/>
  <c r="AV29" i="285"/>
  <c r="AT29" i="285"/>
  <c r="AW29" i="285"/>
  <c r="AU29" i="285"/>
  <c r="AV31" i="285"/>
  <c r="AT31" i="285"/>
  <c r="AW31" i="285"/>
  <c r="AU31" i="285"/>
  <c r="BA3" i="285"/>
  <c r="G25" i="284" s="1"/>
  <c r="AY3" i="285"/>
  <c r="E25" i="284" s="1"/>
  <c r="AZ3" i="285"/>
  <c r="F25" i="284" s="1"/>
  <c r="AX3" i="285"/>
  <c r="D25" i="284" s="1"/>
  <c r="BA5" i="285"/>
  <c r="AY5" i="285"/>
  <c r="AZ5" i="285"/>
  <c r="AX5" i="285"/>
  <c r="BA7" i="285"/>
  <c r="AY7" i="285"/>
  <c r="AZ7" i="285"/>
  <c r="AX7" i="285"/>
  <c r="BA9" i="285"/>
  <c r="AY9" i="285"/>
  <c r="AZ9" i="285"/>
  <c r="AX9" i="285"/>
  <c r="BA11" i="285"/>
  <c r="AY11" i="285"/>
  <c r="AZ11" i="285"/>
  <c r="AX11" i="285"/>
  <c r="AZ13" i="285"/>
  <c r="AX13" i="285"/>
  <c r="BA13" i="285"/>
  <c r="AY13" i="285"/>
  <c r="AZ15" i="285"/>
  <c r="AX15" i="285"/>
  <c r="BA15" i="285"/>
  <c r="AY15" i="285"/>
  <c r="AZ17" i="285"/>
  <c r="AX17" i="285"/>
  <c r="BA17" i="285"/>
  <c r="AY17" i="285"/>
  <c r="AZ19" i="285"/>
  <c r="AX19" i="285"/>
  <c r="BA19" i="285"/>
  <c r="AY19" i="285"/>
  <c r="AZ21" i="285"/>
  <c r="AX21" i="285"/>
  <c r="BA21" i="285"/>
  <c r="AY21" i="285"/>
  <c r="AZ23" i="285"/>
  <c r="AX23" i="285"/>
  <c r="BA23" i="285"/>
  <c r="AY23" i="285"/>
  <c r="AZ25" i="285"/>
  <c r="AX25" i="285"/>
  <c r="BA25" i="285"/>
  <c r="AY25" i="285"/>
  <c r="AZ27" i="285"/>
  <c r="AX27" i="285"/>
  <c r="BA27" i="285"/>
  <c r="AY27" i="285"/>
  <c r="AZ29" i="285"/>
  <c r="AX29" i="285"/>
  <c r="BA29" i="285"/>
  <c r="AY29" i="285"/>
  <c r="AZ31" i="285"/>
  <c r="AX31" i="285"/>
  <c r="BA31" i="285"/>
  <c r="AY31" i="285"/>
  <c r="BD4" i="285"/>
  <c r="BB4" i="285"/>
  <c r="BC4" i="285"/>
  <c r="BE4" i="285"/>
  <c r="BD6" i="285"/>
  <c r="BB6" i="285"/>
  <c r="BC6" i="285"/>
  <c r="BE6" i="285"/>
  <c r="BD8" i="285"/>
  <c r="BB8" i="285"/>
  <c r="BE8" i="285"/>
  <c r="BC8" i="285"/>
  <c r="BD10" i="285"/>
  <c r="BB10" i="285"/>
  <c r="BE10" i="285"/>
  <c r="BC10" i="285"/>
  <c r="BD12" i="285"/>
  <c r="BB12" i="285"/>
  <c r="BC12" i="285"/>
  <c r="BE12" i="285"/>
  <c r="BE14" i="285"/>
  <c r="BC14" i="285"/>
  <c r="BD14" i="285"/>
  <c r="BB14" i="285"/>
  <c r="BE16" i="285"/>
  <c r="BC16" i="285"/>
  <c r="BD16" i="285"/>
  <c r="BB16" i="285"/>
  <c r="BE18" i="285"/>
  <c r="BC18" i="285"/>
  <c r="BD18" i="285"/>
  <c r="BB18" i="285"/>
  <c r="BE20" i="285"/>
  <c r="BC20" i="285"/>
  <c r="BD20" i="285"/>
  <c r="BB20" i="285"/>
  <c r="BE22" i="285"/>
  <c r="BC22" i="285"/>
  <c r="BD22" i="285"/>
  <c r="BB22" i="285"/>
  <c r="BE24" i="285"/>
  <c r="BC24" i="285"/>
  <c r="BD24" i="285"/>
  <c r="BB24" i="285"/>
  <c r="BE26" i="285"/>
  <c r="BC26" i="285"/>
  <c r="BD26" i="285"/>
  <c r="BB26" i="285"/>
  <c r="BE28" i="285"/>
  <c r="BC28" i="285"/>
  <c r="BD28" i="285"/>
  <c r="BB28" i="285"/>
  <c r="BE30" i="285"/>
  <c r="BC30" i="285"/>
  <c r="BD30" i="285"/>
  <c r="BB30" i="285"/>
  <c r="BE32" i="285"/>
  <c r="BC32" i="285"/>
  <c r="BD32" i="285"/>
  <c r="BB32" i="285"/>
  <c r="BH4" i="285"/>
  <c r="BF4" i="285"/>
  <c r="BG4" i="285"/>
  <c r="BI4" i="285"/>
  <c r="BH6" i="285"/>
  <c r="BF6" i="285"/>
  <c r="BG6" i="285"/>
  <c r="BI6" i="285"/>
  <c r="BH8" i="285"/>
  <c r="BF8" i="285"/>
  <c r="BI8" i="285"/>
  <c r="BG8" i="285"/>
  <c r="BH10" i="285"/>
  <c r="BF10" i="285"/>
  <c r="BI10" i="285"/>
  <c r="BG10" i="285"/>
  <c r="BH12" i="285"/>
  <c r="BF12" i="285"/>
  <c r="BG12" i="285"/>
  <c r="BI12" i="285"/>
  <c r="BI14" i="285"/>
  <c r="BG14" i="285"/>
  <c r="BH14" i="285"/>
  <c r="BF14" i="285"/>
  <c r="BI16" i="285"/>
  <c r="BG16" i="285"/>
  <c r="BH16" i="285"/>
  <c r="BF16" i="285"/>
  <c r="BI18" i="285"/>
  <c r="BG18" i="285"/>
  <c r="BH18" i="285"/>
  <c r="BF18" i="285"/>
  <c r="BI20" i="285"/>
  <c r="BG20" i="285"/>
  <c r="BH20" i="285"/>
  <c r="BF20" i="285"/>
  <c r="BI22" i="285"/>
  <c r="BG22" i="285"/>
  <c r="BH22" i="285"/>
  <c r="BF22" i="285"/>
  <c r="BI24" i="285"/>
  <c r="BG24" i="285"/>
  <c r="BH24" i="285"/>
  <c r="BF24" i="285"/>
  <c r="BI26" i="285"/>
  <c r="BG26" i="285"/>
  <c r="BH26" i="285"/>
  <c r="BF26" i="285"/>
  <c r="BI28" i="285"/>
  <c r="BG28" i="285"/>
  <c r="BH28" i="285"/>
  <c r="BF28" i="285"/>
  <c r="BI30" i="285"/>
  <c r="BG30" i="285"/>
  <c r="BH30" i="285"/>
  <c r="BF30" i="285"/>
  <c r="BI32" i="285"/>
  <c r="BG32" i="285"/>
  <c r="BH32" i="285"/>
  <c r="BF32" i="285"/>
  <c r="BL4" i="285"/>
  <c r="BJ4" i="285"/>
  <c r="BK4" i="285"/>
  <c r="BM4" i="285"/>
  <c r="BL6" i="285"/>
  <c r="BJ6" i="285"/>
  <c r="BK6" i="285"/>
  <c r="BM6" i="285"/>
  <c r="BL8" i="285"/>
  <c r="BJ8" i="285"/>
  <c r="BM8" i="285"/>
  <c r="BK8" i="285"/>
  <c r="BL10" i="285"/>
  <c r="BJ10" i="285"/>
  <c r="BM10" i="285"/>
  <c r="BK10" i="285"/>
  <c r="BL12" i="285"/>
  <c r="BJ12" i="285"/>
  <c r="BK12" i="285"/>
  <c r="BM12" i="285"/>
  <c r="BM14" i="285"/>
  <c r="BK14" i="285"/>
  <c r="BL14" i="285"/>
  <c r="BJ14" i="285"/>
  <c r="BM16" i="285"/>
  <c r="BK16" i="285"/>
  <c r="BL16" i="285"/>
  <c r="BJ16" i="285"/>
  <c r="BM18" i="285"/>
  <c r="BK18" i="285"/>
  <c r="BL18" i="285"/>
  <c r="BJ18" i="285"/>
  <c r="BM20" i="285"/>
  <c r="BK20" i="285"/>
  <c r="BL20" i="285"/>
  <c r="BJ20" i="285"/>
  <c r="BM22" i="285"/>
  <c r="BK22" i="285"/>
  <c r="BL22" i="285"/>
  <c r="BJ22" i="285"/>
  <c r="BM24" i="285"/>
  <c r="BK24" i="285"/>
  <c r="BL24" i="285"/>
  <c r="BJ24" i="285"/>
  <c r="BM26" i="285"/>
  <c r="BK26" i="285"/>
  <c r="BL26" i="285"/>
  <c r="BJ26" i="285"/>
  <c r="BM28" i="285"/>
  <c r="BK28" i="285"/>
  <c r="BL28" i="285"/>
  <c r="BJ28" i="285"/>
  <c r="BM30" i="285"/>
  <c r="BK30" i="285"/>
  <c r="BL30" i="285"/>
  <c r="BJ30" i="285"/>
  <c r="BM32" i="285"/>
  <c r="BK32" i="285"/>
  <c r="BL32" i="285"/>
  <c r="BJ32" i="285"/>
  <c r="BP4" i="285"/>
  <c r="BN4" i="285"/>
  <c r="BO4" i="285"/>
  <c r="BQ4" i="285"/>
  <c r="BP6" i="285"/>
  <c r="BN6" i="285"/>
  <c r="BO6" i="285"/>
  <c r="BQ6" i="285"/>
  <c r="BP8" i="285"/>
  <c r="BN8" i="285"/>
  <c r="BQ8" i="285"/>
  <c r="BO8" i="285"/>
  <c r="BP10" i="285"/>
  <c r="BN10" i="285"/>
  <c r="BQ10" i="285"/>
  <c r="BO10" i="285"/>
  <c r="BP12" i="285"/>
  <c r="BN12" i="285"/>
  <c r="BO12" i="285"/>
  <c r="BQ12" i="285"/>
  <c r="BQ14" i="285"/>
  <c r="BO14" i="285"/>
  <c r="BP14" i="285"/>
  <c r="BN14" i="285"/>
  <c r="BQ16" i="285"/>
  <c r="BO16" i="285"/>
  <c r="BP16" i="285"/>
  <c r="BN16" i="285"/>
  <c r="BQ18" i="285"/>
  <c r="BO18" i="285"/>
  <c r="BP18" i="285"/>
  <c r="BN18" i="285"/>
  <c r="BQ20" i="285"/>
  <c r="BO20" i="285"/>
  <c r="BP20" i="285"/>
  <c r="BN20" i="285"/>
  <c r="BQ22" i="285"/>
  <c r="BO22" i="285"/>
  <c r="BP22" i="285"/>
  <c r="BN22" i="285"/>
  <c r="BQ24" i="285"/>
  <c r="BO24" i="285"/>
  <c r="BP24" i="285"/>
  <c r="BN24" i="285"/>
  <c r="BQ26" i="285"/>
  <c r="BO26" i="285"/>
  <c r="BP26" i="285"/>
  <c r="BN26" i="285"/>
  <c r="BQ28" i="285"/>
  <c r="BO28" i="285"/>
  <c r="BP28" i="285"/>
  <c r="BN28" i="285"/>
  <c r="BQ30" i="285"/>
  <c r="BO30" i="285"/>
  <c r="BP30" i="285"/>
  <c r="BN30" i="285"/>
  <c r="BQ32" i="285"/>
  <c r="BO32" i="285"/>
  <c r="BP32" i="285"/>
  <c r="BN32" i="285"/>
  <c r="BT4" i="285"/>
  <c r="BR4" i="285"/>
  <c r="BS4" i="285"/>
  <c r="BU4" i="285"/>
  <c r="BT6" i="285"/>
  <c r="BR6" i="285"/>
  <c r="BS6" i="285"/>
  <c r="BU6" i="285"/>
  <c r="BT8" i="285"/>
  <c r="BR8" i="285"/>
  <c r="BU8" i="285"/>
  <c r="BS8" i="285"/>
  <c r="BT10" i="285"/>
  <c r="BR10" i="285"/>
  <c r="BU10" i="285"/>
  <c r="BS10" i="285"/>
  <c r="BT12" i="285"/>
  <c r="BR12" i="285"/>
  <c r="BS12" i="285"/>
  <c r="BU12" i="285"/>
  <c r="BU14" i="285"/>
  <c r="BS14" i="285"/>
  <c r="BT14" i="285"/>
  <c r="BR14" i="285"/>
  <c r="BU16" i="285"/>
  <c r="BS16" i="285"/>
  <c r="BT16" i="285"/>
  <c r="BR16" i="285"/>
  <c r="BU18" i="285"/>
  <c r="BS18" i="285"/>
  <c r="BT18" i="285"/>
  <c r="BR18" i="285"/>
  <c r="BU20" i="285"/>
  <c r="BS20" i="285"/>
  <c r="BT20" i="285"/>
  <c r="BR20" i="285"/>
  <c r="BU22" i="285"/>
  <c r="BS22" i="285"/>
  <c r="BT22" i="285"/>
  <c r="BR22" i="285"/>
  <c r="BU24" i="285"/>
  <c r="BS24" i="285"/>
  <c r="BT24" i="285"/>
  <c r="BR24" i="285"/>
  <c r="BU26" i="285"/>
  <c r="BS26" i="285"/>
  <c r="BT26" i="285"/>
  <c r="BR26" i="285"/>
  <c r="BU28" i="285"/>
  <c r="BS28" i="285"/>
  <c r="BT28" i="285"/>
  <c r="BR28" i="285"/>
  <c r="BU30" i="285"/>
  <c r="BS30" i="285"/>
  <c r="BT30" i="285"/>
  <c r="BR30" i="285"/>
  <c r="BU32" i="285"/>
  <c r="BS32" i="285"/>
  <c r="BT32" i="285"/>
  <c r="BR32" i="285"/>
  <c r="BX4" i="285"/>
  <c r="BV4" i="285"/>
  <c r="BW4" i="285"/>
  <c r="BY4" i="285"/>
  <c r="BX6" i="285"/>
  <c r="BV6" i="285"/>
  <c r="BW6" i="285"/>
  <c r="BY6" i="285"/>
  <c r="BX8" i="285"/>
  <c r="BV8" i="285"/>
  <c r="BY8" i="285"/>
  <c r="BW8" i="285"/>
  <c r="BX10" i="285"/>
  <c r="BV10" i="285"/>
  <c r="BY10" i="285"/>
  <c r="BW10" i="285"/>
  <c r="BX12" i="285"/>
  <c r="BV12" i="285"/>
  <c r="BW12" i="285"/>
  <c r="BY12" i="285"/>
  <c r="BY14" i="285"/>
  <c r="BW14" i="285"/>
  <c r="BX14" i="285"/>
  <c r="BV14" i="285"/>
  <c r="BY16" i="285"/>
  <c r="BW16" i="285"/>
  <c r="BX16" i="285"/>
  <c r="BV16" i="285"/>
  <c r="BY18" i="285"/>
  <c r="BW18" i="285"/>
  <c r="BX18" i="285"/>
  <c r="BV18" i="285"/>
  <c r="BY20" i="285"/>
  <c r="BW20" i="285"/>
  <c r="BX20" i="285"/>
  <c r="BV20" i="285"/>
  <c r="BY22" i="285"/>
  <c r="BW22" i="285"/>
  <c r="BX22" i="285"/>
  <c r="BV22" i="285"/>
  <c r="BY24" i="285"/>
  <c r="BW24" i="285"/>
  <c r="BX24" i="285"/>
  <c r="BV24" i="285"/>
  <c r="BY26" i="285"/>
  <c r="BW26" i="285"/>
  <c r="BX26" i="285"/>
  <c r="BV26" i="285"/>
  <c r="BY28" i="285"/>
  <c r="BW28" i="285"/>
  <c r="BX28" i="285"/>
  <c r="BV28" i="285"/>
  <c r="BY30" i="285"/>
  <c r="BW30" i="285"/>
  <c r="BX30" i="285"/>
  <c r="BV30" i="285"/>
  <c r="BY32" i="285"/>
  <c r="BW32" i="285"/>
  <c r="BX32" i="285"/>
  <c r="BV32" i="285"/>
  <c r="CB4" i="285"/>
  <c r="BZ4" i="285"/>
  <c r="CA4" i="285"/>
  <c r="CC4" i="285"/>
  <c r="CB6" i="285"/>
  <c r="BZ6" i="285"/>
  <c r="CA6" i="285"/>
  <c r="CC6" i="285"/>
  <c r="CB8" i="285"/>
  <c r="BZ8" i="285"/>
  <c r="CC8" i="285"/>
  <c r="CA8" i="285"/>
  <c r="CB10" i="285"/>
  <c r="BZ10" i="285"/>
  <c r="CC10" i="285"/>
  <c r="CA10" i="285"/>
  <c r="CB12" i="285"/>
  <c r="BZ12" i="285"/>
  <c r="CA12" i="285"/>
  <c r="CC12" i="285"/>
  <c r="CC14" i="285"/>
  <c r="CA14" i="285"/>
  <c r="CB14" i="285"/>
  <c r="BZ14" i="285"/>
  <c r="CC16" i="285"/>
  <c r="CA16" i="285"/>
  <c r="CB16" i="285"/>
  <c r="BZ16" i="285"/>
  <c r="CC18" i="285"/>
  <c r="CA18" i="285"/>
  <c r="CB18" i="285"/>
  <c r="BZ18" i="285"/>
  <c r="CC20" i="285"/>
  <c r="CA20" i="285"/>
  <c r="CB20" i="285"/>
  <c r="BZ20" i="285"/>
  <c r="CC22" i="285"/>
  <c r="CA22" i="285"/>
  <c r="CB22" i="285"/>
  <c r="BZ22" i="285"/>
  <c r="CC24" i="285"/>
  <c r="CA24" i="285"/>
  <c r="CB24" i="285"/>
  <c r="BZ24" i="285"/>
  <c r="CC26" i="285"/>
  <c r="CA26" i="285"/>
  <c r="CB26" i="285"/>
  <c r="BZ26" i="285"/>
  <c r="CC28" i="285"/>
  <c r="CA28" i="285"/>
  <c r="CB28" i="285"/>
  <c r="BZ28" i="285"/>
  <c r="CC30" i="285"/>
  <c r="CA30" i="285"/>
  <c r="CB30" i="285"/>
  <c r="BZ30" i="285"/>
  <c r="CC32" i="285"/>
  <c r="CA32" i="285"/>
  <c r="CB32" i="285"/>
  <c r="BZ32" i="285"/>
  <c r="CF4" i="285"/>
  <c r="CD4" i="285"/>
  <c r="CE4" i="285"/>
  <c r="CG4" i="285"/>
  <c r="CF6" i="285"/>
  <c r="CD6" i="285"/>
  <c r="CE6" i="285"/>
  <c r="CG6" i="285"/>
  <c r="CF8" i="285"/>
  <c r="CD8" i="285"/>
  <c r="CG8" i="285"/>
  <c r="CE8" i="285"/>
  <c r="CF10" i="285"/>
  <c r="CD10" i="285"/>
  <c r="CG10" i="285"/>
  <c r="CE10" i="285"/>
  <c r="CF12" i="285"/>
  <c r="CD12" i="285"/>
  <c r="CE12" i="285"/>
  <c r="CG12" i="285"/>
  <c r="CG14" i="285"/>
  <c r="CE14" i="285"/>
  <c r="CF14" i="285"/>
  <c r="CD14" i="285"/>
  <c r="CG16" i="285"/>
  <c r="CE16" i="285"/>
  <c r="CF16" i="285"/>
  <c r="CD16" i="285"/>
  <c r="CG18" i="285"/>
  <c r="CE18" i="285"/>
  <c r="CF18" i="285"/>
  <c r="CD18" i="285"/>
  <c r="CG20" i="285"/>
  <c r="CE20" i="285"/>
  <c r="CF20" i="285"/>
  <c r="CD20" i="285"/>
  <c r="CG22" i="285"/>
  <c r="CE22" i="285"/>
  <c r="CF22" i="285"/>
  <c r="CD22" i="285"/>
  <c r="CG24" i="285"/>
  <c r="CE24" i="285"/>
  <c r="CF24" i="285"/>
  <c r="CD24" i="285"/>
  <c r="CG26" i="285"/>
  <c r="CE26" i="285"/>
  <c r="CF26" i="285"/>
  <c r="CD26" i="285"/>
  <c r="CG28" i="285"/>
  <c r="CE28" i="285"/>
  <c r="CF28" i="285"/>
  <c r="CD28" i="285"/>
  <c r="CG30" i="285"/>
  <c r="CE30" i="285"/>
  <c r="CF30" i="285"/>
  <c r="CD30" i="285"/>
  <c r="CG32" i="285"/>
  <c r="CE32" i="285"/>
  <c r="CF32" i="285"/>
  <c r="CD32" i="285"/>
  <c r="CJ4" i="285"/>
  <c r="CH4" i="285"/>
  <c r="CI4" i="285"/>
  <c r="CK4" i="285"/>
  <c r="CJ6" i="285"/>
  <c r="CH6" i="285"/>
  <c r="CI6" i="285"/>
  <c r="CK6" i="285"/>
  <c r="CJ8" i="285"/>
  <c r="CH8" i="285"/>
  <c r="CK8" i="285"/>
  <c r="CI8" i="285"/>
  <c r="CJ10" i="285"/>
  <c r="CH10" i="285"/>
  <c r="CK10" i="285"/>
  <c r="CI10" i="285"/>
  <c r="CJ12" i="285"/>
  <c r="CH12" i="285"/>
  <c r="CI12" i="285"/>
  <c r="CK12" i="285"/>
  <c r="CK14" i="285"/>
  <c r="CI14" i="285"/>
  <c r="CJ14" i="285"/>
  <c r="CH14" i="285"/>
  <c r="CK16" i="285"/>
  <c r="CI16" i="285"/>
  <c r="CJ16" i="285"/>
  <c r="CH16" i="285"/>
  <c r="CK18" i="285"/>
  <c r="CI18" i="285"/>
  <c r="CJ18" i="285"/>
  <c r="CH18" i="285"/>
  <c r="CK20" i="285"/>
  <c r="CI20" i="285"/>
  <c r="CJ20" i="285"/>
  <c r="CH20" i="285"/>
  <c r="CK22" i="285"/>
  <c r="CI22" i="285"/>
  <c r="CJ22" i="285"/>
  <c r="CH22" i="285"/>
  <c r="CK24" i="285"/>
  <c r="CI24" i="285"/>
  <c r="CJ24" i="285"/>
  <c r="CH24" i="285"/>
  <c r="CK26" i="285"/>
  <c r="CI26" i="285"/>
  <c r="CJ26" i="285"/>
  <c r="CH26" i="285"/>
  <c r="CK28" i="285"/>
  <c r="CI28" i="285"/>
  <c r="CJ28" i="285"/>
  <c r="CH28" i="285"/>
  <c r="CK30" i="285"/>
  <c r="CI30" i="285"/>
  <c r="CJ30" i="285"/>
  <c r="CH30" i="285"/>
  <c r="CK32" i="285"/>
  <c r="CI32" i="285"/>
  <c r="CJ32" i="285"/>
  <c r="CH32" i="285"/>
  <c r="CN4" i="285"/>
  <c r="CL4" i="285"/>
  <c r="CM4" i="285"/>
  <c r="CO4" i="285"/>
  <c r="CN6" i="285"/>
  <c r="CL6" i="285"/>
  <c r="CM6" i="285"/>
  <c r="CO6" i="285"/>
  <c r="CN8" i="285"/>
  <c r="CL8" i="285"/>
  <c r="CO8" i="285"/>
  <c r="CM8" i="285"/>
  <c r="CN10" i="285"/>
  <c r="CL10" i="285"/>
  <c r="CO10" i="285"/>
  <c r="CM10" i="285"/>
  <c r="CN12" i="285"/>
  <c r="CL12" i="285"/>
  <c r="CM12" i="285"/>
  <c r="CO12" i="285"/>
  <c r="CO14" i="285"/>
  <c r="CM14" i="285"/>
  <c r="CN14" i="285"/>
  <c r="CL14" i="285"/>
  <c r="CO16" i="285"/>
  <c r="CM16" i="285"/>
  <c r="CN16" i="285"/>
  <c r="CL16" i="285"/>
  <c r="CO18" i="285"/>
  <c r="CM18" i="285"/>
  <c r="CN18" i="285"/>
  <c r="CL18" i="285"/>
  <c r="CO20" i="285"/>
  <c r="CM20" i="285"/>
  <c r="CN20" i="285"/>
  <c r="CL20" i="285"/>
  <c r="CO22" i="285"/>
  <c r="CM22" i="285"/>
  <c r="CN22" i="285"/>
  <c r="CL22" i="285"/>
  <c r="CO24" i="285"/>
  <c r="CM24" i="285"/>
  <c r="CN24" i="285"/>
  <c r="CL24" i="285"/>
  <c r="CO26" i="285"/>
  <c r="CM26" i="285"/>
  <c r="CN26" i="285"/>
  <c r="CL26" i="285"/>
  <c r="CO28" i="285"/>
  <c r="CM28" i="285"/>
  <c r="CN28" i="285"/>
  <c r="CL28" i="285"/>
  <c r="CO30" i="285"/>
  <c r="CM30" i="285"/>
  <c r="CN30" i="285"/>
  <c r="CL30" i="285"/>
  <c r="CO32" i="285"/>
  <c r="CM32" i="285"/>
  <c r="CN32" i="285"/>
  <c r="CL32" i="285"/>
  <c r="CR4" i="285"/>
  <c r="CP4" i="285"/>
  <c r="CQ4" i="285"/>
  <c r="CS4" i="285"/>
  <c r="CR6" i="285"/>
  <c r="CP6" i="285"/>
  <c r="CQ6" i="285"/>
  <c r="CS6" i="285"/>
  <c r="CR8" i="285"/>
  <c r="CP8" i="285"/>
  <c r="CS8" i="285"/>
  <c r="CQ8" i="285"/>
  <c r="CR10" i="285"/>
  <c r="CP10" i="285"/>
  <c r="CS10" i="285"/>
  <c r="CQ10" i="285"/>
  <c r="CR12" i="285"/>
  <c r="CP12" i="285"/>
  <c r="CQ12" i="285"/>
  <c r="CS12" i="285"/>
  <c r="CS14" i="285"/>
  <c r="CQ14" i="285"/>
  <c r="CR14" i="285"/>
  <c r="CP14" i="285"/>
  <c r="CS16" i="285"/>
  <c r="CQ16" i="285"/>
  <c r="CR16" i="285"/>
  <c r="CP16" i="285"/>
  <c r="CS18" i="285"/>
  <c r="CQ18" i="285"/>
  <c r="CR18" i="285"/>
  <c r="CP18" i="285"/>
  <c r="CS20" i="285"/>
  <c r="CQ20" i="285"/>
  <c r="CR20" i="285"/>
  <c r="CP20" i="285"/>
  <c r="CS22" i="285"/>
  <c r="CQ22" i="285"/>
  <c r="CR22" i="285"/>
  <c r="CP22" i="285"/>
  <c r="CS24" i="285"/>
  <c r="CQ24" i="285"/>
  <c r="CR24" i="285"/>
  <c r="CP24" i="285"/>
  <c r="CS26" i="285"/>
  <c r="CQ26" i="285"/>
  <c r="CR26" i="285"/>
  <c r="CP26" i="285"/>
  <c r="CS28" i="285"/>
  <c r="CQ28" i="285"/>
  <c r="CR28" i="285"/>
  <c r="CP28" i="285"/>
  <c r="CS30" i="285"/>
  <c r="CQ30" i="285"/>
  <c r="CR30" i="285"/>
  <c r="CP30" i="285"/>
  <c r="CS32" i="285"/>
  <c r="CQ32" i="285"/>
  <c r="CR32" i="285"/>
  <c r="CP32" i="285"/>
  <c r="CV4" i="285"/>
  <c r="CT4" i="285"/>
  <c r="CU4" i="285"/>
  <c r="CW4" i="285"/>
  <c r="CV6" i="285"/>
  <c r="CT6" i="285"/>
  <c r="CU6" i="285"/>
  <c r="CW6" i="285"/>
  <c r="CV8" i="285"/>
  <c r="CT8" i="285"/>
  <c r="CW8" i="285"/>
  <c r="CU8" i="285"/>
  <c r="CV10" i="285"/>
  <c r="CT10" i="285"/>
  <c r="CW10" i="285"/>
  <c r="CU10" i="285"/>
  <c r="CV12" i="285"/>
  <c r="CT12" i="285"/>
  <c r="CU12" i="285"/>
  <c r="CW12" i="285"/>
  <c r="CW14" i="285"/>
  <c r="CU14" i="285"/>
  <c r="CV14" i="285"/>
  <c r="CT14" i="285"/>
  <c r="CW16" i="285"/>
  <c r="CU16" i="285"/>
  <c r="CV16" i="285"/>
  <c r="CT16" i="285"/>
  <c r="CW18" i="285"/>
  <c r="CU18" i="285"/>
  <c r="CV18" i="285"/>
  <c r="CT18" i="285"/>
  <c r="CW20" i="285"/>
  <c r="CU20" i="285"/>
  <c r="CV20" i="285"/>
  <c r="CT20" i="285"/>
  <c r="CW22" i="285"/>
  <c r="CU22" i="285"/>
  <c r="CV22" i="285"/>
  <c r="CT22" i="285"/>
  <c r="CW24" i="285"/>
  <c r="CU24" i="285"/>
  <c r="CV24" i="285"/>
  <c r="CT24" i="285"/>
  <c r="CW26" i="285"/>
  <c r="CU26" i="285"/>
  <c r="CV26" i="285"/>
  <c r="CT26" i="285"/>
  <c r="CW28" i="285"/>
  <c r="CU28" i="285"/>
  <c r="CV28" i="285"/>
  <c r="CT28" i="285"/>
  <c r="CW30" i="285"/>
  <c r="CV30" i="285"/>
  <c r="CU30" i="285"/>
  <c r="CT30" i="285"/>
  <c r="CW32" i="285"/>
  <c r="CU32" i="285"/>
  <c r="CV32" i="285"/>
  <c r="CT32" i="285"/>
  <c r="CZ4" i="285"/>
  <c r="CX4" i="285"/>
  <c r="CY4" i="285"/>
  <c r="DA4" i="285"/>
  <c r="CZ6" i="285"/>
  <c r="CX6" i="285"/>
  <c r="CY6" i="285"/>
  <c r="DA6" i="285"/>
  <c r="CZ8" i="285"/>
  <c r="CX8" i="285"/>
  <c r="DA8" i="285"/>
  <c r="CY8" i="285"/>
  <c r="CZ10" i="285"/>
  <c r="CX10" i="285"/>
  <c r="DA10" i="285"/>
  <c r="CY10" i="285"/>
  <c r="CZ12" i="285"/>
  <c r="CX12" i="285"/>
  <c r="CY12" i="285"/>
  <c r="DA12" i="285"/>
  <c r="DA14" i="285"/>
  <c r="CY14" i="285"/>
  <c r="CZ14" i="285"/>
  <c r="CX14" i="285"/>
  <c r="DA16" i="285"/>
  <c r="CY16" i="285"/>
  <c r="CZ16" i="285"/>
  <c r="CX16" i="285"/>
  <c r="DA18" i="285"/>
  <c r="CY18" i="285"/>
  <c r="CZ18" i="285"/>
  <c r="CX18" i="285"/>
  <c r="DA20" i="285"/>
  <c r="CY20" i="285"/>
  <c r="CZ20" i="285"/>
  <c r="CX20" i="285"/>
  <c r="DA22" i="285"/>
  <c r="CY22" i="285"/>
  <c r="CZ22" i="285"/>
  <c r="CX22" i="285"/>
  <c r="DA24" i="285"/>
  <c r="CY24" i="285"/>
  <c r="CZ24" i="285"/>
  <c r="CX24" i="285"/>
  <c r="DA26" i="285"/>
  <c r="CY26" i="285"/>
  <c r="CZ26" i="285"/>
  <c r="CX26" i="285"/>
  <c r="DA28" i="285"/>
  <c r="CY28" i="285"/>
  <c r="CZ28" i="285"/>
  <c r="CX28" i="285"/>
  <c r="DA30" i="285"/>
  <c r="CY30" i="285"/>
  <c r="CZ30" i="285"/>
  <c r="CX30" i="285"/>
  <c r="DA32" i="285"/>
  <c r="CY32" i="285"/>
  <c r="CZ32" i="285"/>
  <c r="CX32" i="285"/>
  <c r="DD4" i="285"/>
  <c r="DB4" i="285"/>
  <c r="DC4" i="285"/>
  <c r="DE4" i="285"/>
  <c r="H112" i="279"/>
  <c r="S12" i="262" s="1"/>
  <c r="W12" i="262" s="1"/>
  <c r="DD6" i="285"/>
  <c r="DB6" i="285"/>
  <c r="DC6" i="285"/>
  <c r="DE6" i="285"/>
  <c r="DD8" i="285"/>
  <c r="DB8" i="285"/>
  <c r="DE8" i="285"/>
  <c r="DC8" i="285"/>
  <c r="L112" i="279"/>
  <c r="S16" i="262" s="1"/>
  <c r="W16" i="262" s="1"/>
  <c r="DD10" i="285"/>
  <c r="DB10" i="285"/>
  <c r="DE10" i="285"/>
  <c r="DC10" i="285"/>
  <c r="DD12" i="285"/>
  <c r="DB12" i="285"/>
  <c r="DC12" i="285"/>
  <c r="DE12" i="285"/>
  <c r="P112" i="279"/>
  <c r="S20" i="262" s="1"/>
  <c r="W20" i="262" s="1"/>
  <c r="DE14" i="285"/>
  <c r="DC14" i="285"/>
  <c r="DD14" i="285"/>
  <c r="DB14" i="285"/>
  <c r="DE16" i="285"/>
  <c r="DC16" i="285"/>
  <c r="DD16" i="285"/>
  <c r="DB16" i="285"/>
  <c r="T112" i="279"/>
  <c r="S24" i="262" s="1"/>
  <c r="W24" i="262" s="1"/>
  <c r="DE18" i="285"/>
  <c r="DC18" i="285"/>
  <c r="DD18" i="285"/>
  <c r="DB18" i="285"/>
  <c r="DE20" i="285"/>
  <c r="DC20" i="285"/>
  <c r="DD20" i="285"/>
  <c r="DB20" i="285"/>
  <c r="X112" i="279"/>
  <c r="S28" i="262" s="1"/>
  <c r="W28" i="262" s="1"/>
  <c r="DE22" i="285"/>
  <c r="DC22" i="285"/>
  <c r="DD22" i="285"/>
  <c r="DB22" i="285"/>
  <c r="DE24" i="285"/>
  <c r="DC24" i="285"/>
  <c r="DD24" i="285"/>
  <c r="DB24" i="285"/>
  <c r="AB112" i="279"/>
  <c r="S32" i="262" s="1"/>
  <c r="W32" i="262" s="1"/>
  <c r="DE26" i="285"/>
  <c r="DC26" i="285"/>
  <c r="DD26" i="285"/>
  <c r="DB26" i="285"/>
  <c r="DE28" i="285"/>
  <c r="DC28" i="285"/>
  <c r="DD28" i="285"/>
  <c r="DB28" i="285"/>
  <c r="AF112" i="279"/>
  <c r="S36" i="262" s="1"/>
  <c r="W36" i="262" s="1"/>
  <c r="DE30" i="285"/>
  <c r="DC30" i="285"/>
  <c r="DD30" i="285"/>
  <c r="DB30" i="285"/>
  <c r="DE32" i="285"/>
  <c r="DC32" i="285"/>
  <c r="DD32" i="285"/>
  <c r="DB32" i="285"/>
  <c r="F112" i="279"/>
  <c r="S10" i="262" s="1"/>
  <c r="W10" i="262" s="1"/>
  <c r="DH4" i="285"/>
  <c r="DF4" i="285"/>
  <c r="DG4" i="285"/>
  <c r="DI4" i="285"/>
  <c r="DH6" i="285"/>
  <c r="DF6" i="285"/>
  <c r="DG6" i="285"/>
  <c r="DI6" i="285"/>
  <c r="J112" i="279"/>
  <c r="S14" i="262" s="1"/>
  <c r="W14" i="262" s="1"/>
  <c r="DH8" i="285"/>
  <c r="DF8" i="285"/>
  <c r="DI8" i="285"/>
  <c r="DG8" i="285"/>
  <c r="DH10" i="285"/>
  <c r="DF10" i="285"/>
  <c r="DI10" i="285"/>
  <c r="DG10" i="285"/>
  <c r="N112" i="279"/>
  <c r="S18" i="262" s="1"/>
  <c r="W18" i="262" s="1"/>
  <c r="DH12" i="285"/>
  <c r="DF12" i="285"/>
  <c r="DG12" i="285"/>
  <c r="DI12" i="285"/>
  <c r="DI14" i="285"/>
  <c r="DG14" i="285"/>
  <c r="DH14" i="285"/>
  <c r="DF14" i="285"/>
  <c r="R112" i="279"/>
  <c r="S22" i="262" s="1"/>
  <c r="W22" i="262" s="1"/>
  <c r="DI16" i="285"/>
  <c r="DG16" i="285"/>
  <c r="DH16" i="285"/>
  <c r="DF16" i="285"/>
  <c r="DI18" i="285"/>
  <c r="DG18" i="285"/>
  <c r="DH18" i="285"/>
  <c r="DF18" i="285"/>
  <c r="V112" i="279"/>
  <c r="S26" i="262" s="1"/>
  <c r="W26" i="262" s="1"/>
  <c r="DI20" i="285"/>
  <c r="DG20" i="285"/>
  <c r="DH20" i="285"/>
  <c r="DF20" i="285"/>
  <c r="DI22" i="285"/>
  <c r="DG22" i="285"/>
  <c r="DH22" i="285"/>
  <c r="DF22" i="285"/>
  <c r="Z112" i="279"/>
  <c r="S30" i="262" s="1"/>
  <c r="W30" i="262" s="1"/>
  <c r="DI24" i="285"/>
  <c r="DG24" i="285"/>
  <c r="DH24" i="285"/>
  <c r="DF24" i="285"/>
  <c r="DI26" i="285"/>
  <c r="DG26" i="285"/>
  <c r="DH26" i="285"/>
  <c r="DF26" i="285"/>
  <c r="AD112" i="279"/>
  <c r="S34" i="262" s="1"/>
  <c r="W34" i="262" s="1"/>
  <c r="DI28" i="285"/>
  <c r="DG28" i="285"/>
  <c r="DH28" i="285"/>
  <c r="DF28" i="285"/>
  <c r="DI30" i="285"/>
  <c r="DG30" i="285"/>
  <c r="DH30" i="285"/>
  <c r="DF30" i="285"/>
  <c r="AH112" i="279"/>
  <c r="S38" i="262" s="1"/>
  <c r="W38" i="262" s="1"/>
  <c r="DI32" i="285"/>
  <c r="DG32" i="285"/>
  <c r="DH32" i="285"/>
  <c r="DF32" i="285"/>
  <c r="DL4" i="285"/>
  <c r="DJ4" i="285"/>
  <c r="DK4" i="285"/>
  <c r="DM4" i="285"/>
  <c r="DL6" i="285"/>
  <c r="DJ6" i="285"/>
  <c r="DK6" i="285"/>
  <c r="DM6" i="285"/>
  <c r="DL8" i="285"/>
  <c r="DJ8" i="285"/>
  <c r="DM8" i="285"/>
  <c r="DK8" i="285"/>
  <c r="DL10" i="285"/>
  <c r="DJ10" i="285"/>
  <c r="DM10" i="285"/>
  <c r="DK10" i="285"/>
  <c r="DL12" i="285"/>
  <c r="DJ12" i="285"/>
  <c r="DK12" i="285"/>
  <c r="DM12" i="285"/>
  <c r="DM14" i="285"/>
  <c r="DK14" i="285"/>
  <c r="DL14" i="285"/>
  <c r="DJ14" i="285"/>
  <c r="DM16" i="285"/>
  <c r="DK16" i="285"/>
  <c r="DL16" i="285"/>
  <c r="DJ16" i="285"/>
  <c r="DM18" i="285"/>
  <c r="DK18" i="285"/>
  <c r="DL18" i="285"/>
  <c r="DJ18" i="285"/>
  <c r="DM20" i="285"/>
  <c r="DK20" i="285"/>
  <c r="DL20" i="285"/>
  <c r="DJ20" i="285"/>
  <c r="DM22" i="285"/>
  <c r="DK22" i="285"/>
  <c r="DL22" i="285"/>
  <c r="DJ22" i="285"/>
  <c r="DM24" i="285"/>
  <c r="DK24" i="285"/>
  <c r="DL24" i="285"/>
  <c r="DJ24" i="285"/>
  <c r="DM26" i="285"/>
  <c r="DK26" i="285"/>
  <c r="DL26" i="285"/>
  <c r="DJ26" i="285"/>
  <c r="DM28" i="285"/>
  <c r="DK28" i="285"/>
  <c r="DL28" i="285"/>
  <c r="DJ28" i="285"/>
  <c r="DM30" i="285"/>
  <c r="DK30" i="285"/>
  <c r="DL30" i="285"/>
  <c r="DJ30" i="285"/>
  <c r="DM32" i="285"/>
  <c r="DK32" i="285"/>
  <c r="DL32" i="285"/>
  <c r="DJ32" i="285"/>
  <c r="DP4" i="285"/>
  <c r="DN4" i="285"/>
  <c r="DO4" i="285"/>
  <c r="DQ4" i="285"/>
  <c r="DP6" i="285"/>
  <c r="DN6" i="285"/>
  <c r="DO6" i="285"/>
  <c r="DQ6" i="285"/>
  <c r="DP8" i="285"/>
  <c r="DN8" i="285"/>
  <c r="DQ8" i="285"/>
  <c r="DO8" i="285"/>
  <c r="DP10" i="285"/>
  <c r="DN10" i="285"/>
  <c r="DQ10" i="285"/>
  <c r="DO10" i="285"/>
  <c r="DP12" i="285"/>
  <c r="DN12" i="285"/>
  <c r="DO12" i="285"/>
  <c r="DQ12" i="285"/>
  <c r="DQ14" i="285"/>
  <c r="DO14" i="285"/>
  <c r="DP14" i="285"/>
  <c r="DN14" i="285"/>
  <c r="DQ16" i="285"/>
  <c r="DO16" i="285"/>
  <c r="DP16" i="285"/>
  <c r="DN16" i="285"/>
  <c r="DQ18" i="285"/>
  <c r="DO18" i="285"/>
  <c r="DP18" i="285"/>
  <c r="DN18" i="285"/>
  <c r="DQ20" i="285"/>
  <c r="DO20" i="285"/>
  <c r="DP20" i="285"/>
  <c r="DN20" i="285"/>
  <c r="DQ22" i="285"/>
  <c r="DO22" i="285"/>
  <c r="DP22" i="285"/>
  <c r="DN22" i="285"/>
  <c r="DQ24" i="285"/>
  <c r="DO24" i="285"/>
  <c r="DP24" i="285"/>
  <c r="DN24" i="285"/>
  <c r="DQ26" i="285"/>
  <c r="DO26" i="285"/>
  <c r="DP26" i="285"/>
  <c r="DN26" i="285"/>
  <c r="DQ28" i="285"/>
  <c r="DO28" i="285"/>
  <c r="DP28" i="285"/>
  <c r="DN28" i="285"/>
  <c r="DQ30" i="285"/>
  <c r="DO30" i="285"/>
  <c r="DP30" i="285"/>
  <c r="DN30" i="285"/>
  <c r="DQ32" i="285"/>
  <c r="DO32" i="285"/>
  <c r="DP32" i="285"/>
  <c r="DN32" i="285"/>
  <c r="DT4" i="285"/>
  <c r="DR4" i="285"/>
  <c r="DS4" i="285"/>
  <c r="DU4" i="285"/>
  <c r="DT6" i="285"/>
  <c r="DR6" i="285"/>
  <c r="DS6" i="285"/>
  <c r="DU6" i="285"/>
  <c r="DT8" i="285"/>
  <c r="DR8" i="285"/>
  <c r="DU8" i="285"/>
  <c r="DS8" i="285"/>
  <c r="DT10" i="285"/>
  <c r="DR10" i="285"/>
  <c r="DU10" i="285"/>
  <c r="DS10" i="285"/>
  <c r="DT12" i="285"/>
  <c r="DR12" i="285"/>
  <c r="DS12" i="285"/>
  <c r="DU12" i="285"/>
  <c r="DU14" i="285"/>
  <c r="DS14" i="285"/>
  <c r="DT14" i="285"/>
  <c r="DR14" i="285"/>
  <c r="DU16" i="285"/>
  <c r="DS16" i="285"/>
  <c r="DT16" i="285"/>
  <c r="DR16" i="285"/>
  <c r="DU18" i="285"/>
  <c r="DS18" i="285"/>
  <c r="DT18" i="285"/>
  <c r="DR18" i="285"/>
  <c r="DU20" i="285"/>
  <c r="DS20" i="285"/>
  <c r="DT20" i="285"/>
  <c r="DR20" i="285"/>
  <c r="DU22" i="285"/>
  <c r="DS22" i="285"/>
  <c r="DT22" i="285"/>
  <c r="DR22" i="285"/>
  <c r="DU24" i="285"/>
  <c r="DS24" i="285"/>
  <c r="DT24" i="285"/>
  <c r="DR24" i="285"/>
  <c r="DU26" i="285"/>
  <c r="DS26" i="285"/>
  <c r="DT26" i="285"/>
  <c r="DR26" i="285"/>
  <c r="DU28" i="285"/>
  <c r="DS28" i="285"/>
  <c r="DT28" i="285"/>
  <c r="DR28" i="285"/>
  <c r="DU30" i="285"/>
  <c r="DS30" i="285"/>
  <c r="DT30" i="285"/>
  <c r="DR30" i="285"/>
  <c r="DU32" i="285"/>
  <c r="DS32" i="285"/>
  <c r="DT32" i="285"/>
  <c r="DR32" i="285"/>
  <c r="DX4" i="285"/>
  <c r="DV4" i="285"/>
  <c r="DW4" i="285"/>
  <c r="DY4" i="285"/>
  <c r="DX6" i="285"/>
  <c r="DV6" i="285"/>
  <c r="DW6" i="285"/>
  <c r="DY6" i="285"/>
  <c r="DX8" i="285"/>
  <c r="DV8" i="285"/>
  <c r="DY8" i="285"/>
  <c r="DW8" i="285"/>
  <c r="DX10" i="285"/>
  <c r="DV10" i="285"/>
  <c r="DY10" i="285"/>
  <c r="DW10" i="285"/>
  <c r="DX12" i="285"/>
  <c r="DV12" i="285"/>
  <c r="DW12" i="285"/>
  <c r="DY12" i="285"/>
  <c r="DY14" i="285"/>
  <c r="DW14" i="285"/>
  <c r="DX14" i="285"/>
  <c r="DV14" i="285"/>
  <c r="DY16" i="285"/>
  <c r="DW16" i="285"/>
  <c r="DX16" i="285"/>
  <c r="DV16" i="285"/>
  <c r="DY18" i="285"/>
  <c r="DW18" i="285"/>
  <c r="DX18" i="285"/>
  <c r="DV18" i="285"/>
  <c r="DY20" i="285"/>
  <c r="DW20" i="285"/>
  <c r="DX20" i="285"/>
  <c r="DV20" i="285"/>
  <c r="DY22" i="285"/>
  <c r="DW22" i="285"/>
  <c r="DX22" i="285"/>
  <c r="DV22" i="285"/>
  <c r="DY24" i="285"/>
  <c r="DW24" i="285"/>
  <c r="DX24" i="285"/>
  <c r="DV24" i="285"/>
  <c r="DY26" i="285"/>
  <c r="DW26" i="285"/>
  <c r="DX26" i="285"/>
  <c r="DV26" i="285"/>
  <c r="DY28" i="285"/>
  <c r="DW28" i="285"/>
  <c r="DX28" i="285"/>
  <c r="DV28" i="285"/>
  <c r="DY30" i="285"/>
  <c r="DW30" i="285"/>
  <c r="DX30" i="285"/>
  <c r="DV30" i="285"/>
  <c r="DY32" i="285"/>
  <c r="DW32" i="285"/>
  <c r="DX32" i="285"/>
  <c r="DV32" i="285"/>
  <c r="EB4" i="285"/>
  <c r="DZ4" i="285"/>
  <c r="EA4" i="285"/>
  <c r="EC4" i="285"/>
  <c r="EB6" i="285"/>
  <c r="DZ6" i="285"/>
  <c r="EA6" i="285"/>
  <c r="EC6" i="285"/>
  <c r="EB8" i="285"/>
  <c r="DZ8" i="285"/>
  <c r="EC8" i="285"/>
  <c r="EA8" i="285"/>
  <c r="EB10" i="285"/>
  <c r="DZ10" i="285"/>
  <c r="EC10" i="285"/>
  <c r="EA10" i="285"/>
  <c r="EB12" i="285"/>
  <c r="DZ12" i="285"/>
  <c r="EA12" i="285"/>
  <c r="EC12" i="285"/>
  <c r="EC14" i="285"/>
  <c r="EA14" i="285"/>
  <c r="EB14" i="285"/>
  <c r="DZ14" i="285"/>
  <c r="EC16" i="285"/>
  <c r="EA16" i="285"/>
  <c r="EB16" i="285"/>
  <c r="DZ16" i="285"/>
  <c r="EC18" i="285"/>
  <c r="EA18" i="285"/>
  <c r="EB18" i="285"/>
  <c r="DZ18" i="285"/>
  <c r="EC20" i="285"/>
  <c r="EA20" i="285"/>
  <c r="EB20" i="285"/>
  <c r="DZ20" i="285"/>
  <c r="EC22" i="285"/>
  <c r="EA22" i="285"/>
  <c r="EB22" i="285"/>
  <c r="DZ22" i="285"/>
  <c r="EC24" i="285"/>
  <c r="EA24" i="285"/>
  <c r="EB24" i="285"/>
  <c r="DZ24" i="285"/>
  <c r="EC26" i="285"/>
  <c r="EA26" i="285"/>
  <c r="EB26" i="285"/>
  <c r="DZ26" i="285"/>
  <c r="EC28" i="285"/>
  <c r="EA28" i="285"/>
  <c r="EB28" i="285"/>
  <c r="DZ28" i="285"/>
  <c r="EC30" i="285"/>
  <c r="EA30" i="285"/>
  <c r="EB30" i="285"/>
  <c r="DZ30" i="285"/>
  <c r="EC32" i="285"/>
  <c r="EA32" i="285"/>
  <c r="EB32" i="285"/>
  <c r="DZ32" i="285"/>
  <c r="EF4" i="285"/>
  <c r="ED4" i="285"/>
  <c r="EE4" i="285"/>
  <c r="EG4" i="285"/>
  <c r="EF6" i="285"/>
  <c r="ED6" i="285"/>
  <c r="EE6" i="285"/>
  <c r="EG6" i="285"/>
  <c r="EF8" i="285"/>
  <c r="ED8" i="285"/>
  <c r="EG8" i="285"/>
  <c r="EE8" i="285"/>
  <c r="EF10" i="285"/>
  <c r="ED10" i="285"/>
  <c r="EG10" i="285"/>
  <c r="EE10" i="285"/>
  <c r="EF12" i="285"/>
  <c r="ED12" i="285"/>
  <c r="EE12" i="285"/>
  <c r="EG12" i="285"/>
  <c r="EG14" i="285"/>
  <c r="EE14" i="285"/>
  <c r="EF14" i="285"/>
  <c r="ED14" i="285"/>
  <c r="EG16" i="285"/>
  <c r="EE16" i="285"/>
  <c r="EF16" i="285"/>
  <c r="ED16" i="285"/>
  <c r="EG18" i="285"/>
  <c r="EE18" i="285"/>
  <c r="EF18" i="285"/>
  <c r="ED18" i="285"/>
  <c r="EG20" i="285"/>
  <c r="EE20" i="285"/>
  <c r="EF20" i="285"/>
  <c r="ED20" i="285"/>
  <c r="EG22" i="285"/>
  <c r="EE22" i="285"/>
  <c r="EF22" i="285"/>
  <c r="ED22" i="285"/>
  <c r="EG24" i="285"/>
  <c r="EE24" i="285"/>
  <c r="EF24" i="285"/>
  <c r="ED24" i="285"/>
  <c r="EG26" i="285"/>
  <c r="EE26" i="285"/>
  <c r="EF26" i="285"/>
  <c r="ED26" i="285"/>
  <c r="EG28" i="285"/>
  <c r="EE28" i="285"/>
  <c r="EF28" i="285"/>
  <c r="ED28" i="285"/>
  <c r="EG30" i="285"/>
  <c r="EE30" i="285"/>
  <c r="EF30" i="285"/>
  <c r="ED30" i="285"/>
  <c r="EG32" i="285"/>
  <c r="EE32" i="285"/>
  <c r="EF32" i="285"/>
  <c r="ED32" i="285"/>
  <c r="EJ4" i="285"/>
  <c r="EH4" i="285"/>
  <c r="EI4" i="285"/>
  <c r="EK4" i="285"/>
  <c r="EJ6" i="285"/>
  <c r="EH6" i="285"/>
  <c r="EI6" i="285"/>
  <c r="EK6" i="285"/>
  <c r="EJ8" i="285"/>
  <c r="EH8" i="285"/>
  <c r="EK8" i="285"/>
  <c r="EI8" i="285"/>
  <c r="EJ10" i="285"/>
  <c r="EH10" i="285"/>
  <c r="EK10" i="285"/>
  <c r="EI10" i="285"/>
  <c r="EJ12" i="285"/>
  <c r="EH12" i="285"/>
  <c r="EI12" i="285"/>
  <c r="EK12" i="285"/>
  <c r="EK14" i="285"/>
  <c r="EI14" i="285"/>
  <c r="EJ14" i="285"/>
  <c r="EH14" i="285"/>
  <c r="EK16" i="285"/>
  <c r="EI16" i="285"/>
  <c r="EJ16" i="285"/>
  <c r="EH16" i="285"/>
  <c r="EK18" i="285"/>
  <c r="EI18" i="285"/>
  <c r="EJ18" i="285"/>
  <c r="EH18" i="285"/>
  <c r="EK20" i="285"/>
  <c r="EI20" i="285"/>
  <c r="EJ20" i="285"/>
  <c r="EH20" i="285"/>
  <c r="EK22" i="285"/>
  <c r="EI22" i="285"/>
  <c r="EJ22" i="285"/>
  <c r="EH22" i="285"/>
  <c r="EK24" i="285"/>
  <c r="EI24" i="285"/>
  <c r="EJ24" i="285"/>
  <c r="EH24" i="285"/>
  <c r="EK26" i="285"/>
  <c r="EI26" i="285"/>
  <c r="EJ26" i="285"/>
  <c r="EH26" i="285"/>
  <c r="EK28" i="285"/>
  <c r="EI28" i="285"/>
  <c r="EJ28" i="285"/>
  <c r="EH28" i="285"/>
  <c r="EK30" i="285"/>
  <c r="EI30" i="285"/>
  <c r="EJ30" i="285"/>
  <c r="EH30" i="285"/>
  <c r="EK32" i="285"/>
  <c r="EI32" i="285"/>
  <c r="EJ32" i="285"/>
  <c r="EH32" i="285"/>
  <c r="EN4" i="285"/>
  <c r="EL4" i="285"/>
  <c r="EM4" i="285"/>
  <c r="EO4" i="285"/>
  <c r="EN6" i="285"/>
  <c r="EL6" i="285"/>
  <c r="EM6" i="285"/>
  <c r="EO6" i="285"/>
  <c r="EN8" i="285"/>
  <c r="EL8" i="285"/>
  <c r="EO8" i="285"/>
  <c r="EM8" i="285"/>
  <c r="EN10" i="285"/>
  <c r="EL10" i="285"/>
  <c r="EO10" i="285"/>
  <c r="EM10" i="285"/>
  <c r="EN12" i="285"/>
  <c r="EL12" i="285"/>
  <c r="EM12" i="285"/>
  <c r="EO12" i="285"/>
  <c r="EO14" i="285"/>
  <c r="EM14" i="285"/>
  <c r="EN14" i="285"/>
  <c r="EL14" i="285"/>
  <c r="EO16" i="285"/>
  <c r="EM16" i="285"/>
  <c r="EN16" i="285"/>
  <c r="EL16" i="285"/>
  <c r="EO18" i="285"/>
  <c r="EM18" i="285"/>
  <c r="EN18" i="285"/>
  <c r="EL18" i="285"/>
  <c r="EO20" i="285"/>
  <c r="EM20" i="285"/>
  <c r="EN20" i="285"/>
  <c r="EL20" i="285"/>
  <c r="EO22" i="285"/>
  <c r="EM22" i="285"/>
  <c r="EN22" i="285"/>
  <c r="EL22" i="285"/>
  <c r="EO24" i="285"/>
  <c r="EM24" i="285"/>
  <c r="EN24" i="285"/>
  <c r="EL24" i="285"/>
  <c r="EO26" i="285"/>
  <c r="EM26" i="285"/>
  <c r="EN26" i="285"/>
  <c r="EL26" i="285"/>
  <c r="EO28" i="285"/>
  <c r="EM28" i="285"/>
  <c r="EN28" i="285"/>
  <c r="EL28" i="285"/>
  <c r="EO30" i="285"/>
  <c r="EM30" i="285"/>
  <c r="EN30" i="285"/>
  <c r="EL30" i="285"/>
  <c r="EO32" i="285"/>
  <c r="EM32" i="285"/>
  <c r="EN32" i="285"/>
  <c r="EL32" i="285"/>
  <c r="ER4" i="285"/>
  <c r="EP4" i="285"/>
  <c r="EQ4" i="285"/>
  <c r="ES4" i="285"/>
  <c r="ER6" i="285"/>
  <c r="EP6" i="285"/>
  <c r="EQ6" i="285"/>
  <c r="ES6" i="285"/>
  <c r="ER8" i="285"/>
  <c r="EP8" i="285"/>
  <c r="ES8" i="285"/>
  <c r="EQ8" i="285"/>
  <c r="ER10" i="285"/>
  <c r="EP10" i="285"/>
  <c r="ES10" i="285"/>
  <c r="EQ10" i="285"/>
  <c r="ER12" i="285"/>
  <c r="EP12" i="285"/>
  <c r="EQ12" i="285"/>
  <c r="ES12" i="285"/>
  <c r="ES14" i="285"/>
  <c r="EQ14" i="285"/>
  <c r="ER14" i="285"/>
  <c r="EP14" i="285"/>
  <c r="ES16" i="285"/>
  <c r="EQ16" i="285"/>
  <c r="ER16" i="285"/>
  <c r="EP16" i="285"/>
  <c r="ES18" i="285"/>
  <c r="EQ18" i="285"/>
  <c r="ER18" i="285"/>
  <c r="EP18" i="285"/>
  <c r="ES20" i="285"/>
  <c r="EQ20" i="285"/>
  <c r="ER20" i="285"/>
  <c r="EP20" i="285"/>
  <c r="ES22" i="285"/>
  <c r="EQ22" i="285"/>
  <c r="ER22" i="285"/>
  <c r="EP22" i="285"/>
  <c r="ES24" i="285"/>
  <c r="EQ24" i="285"/>
  <c r="ER24" i="285"/>
  <c r="EP24" i="285"/>
  <c r="ES26" i="285"/>
  <c r="EQ26" i="285"/>
  <c r="ER26" i="285"/>
  <c r="EP26" i="285"/>
  <c r="ES28" i="285"/>
  <c r="EQ28" i="285"/>
  <c r="ER28" i="285"/>
  <c r="EP28" i="285"/>
  <c r="ES30" i="285"/>
  <c r="EQ30" i="285"/>
  <c r="ER30" i="285"/>
  <c r="EP30" i="285"/>
  <c r="ES32" i="285"/>
  <c r="EQ32" i="285"/>
  <c r="ER32" i="285"/>
  <c r="EP32" i="285"/>
  <c r="EV4" i="285"/>
  <c r="ET4" i="285"/>
  <c r="EU4" i="285"/>
  <c r="EW4" i="285"/>
  <c r="EV6" i="285"/>
  <c r="ET6" i="285"/>
  <c r="EU6" i="285"/>
  <c r="EW6" i="285"/>
  <c r="EV8" i="285"/>
  <c r="ET8" i="285"/>
  <c r="EW8" i="285"/>
  <c r="EU8" i="285"/>
  <c r="EV10" i="285"/>
  <c r="ET10" i="285"/>
  <c r="EW10" i="285"/>
  <c r="EU10" i="285"/>
  <c r="EV12" i="285"/>
  <c r="ET12" i="285"/>
  <c r="EU12" i="285"/>
  <c r="EW12" i="285"/>
  <c r="EW14" i="285"/>
  <c r="EU14" i="285"/>
  <c r="EV14" i="285"/>
  <c r="ET14" i="285"/>
  <c r="EW16" i="285"/>
  <c r="EU16" i="285"/>
  <c r="EV16" i="285"/>
  <c r="ET16" i="285"/>
  <c r="EW18" i="285"/>
  <c r="EU18" i="285"/>
  <c r="EV18" i="285"/>
  <c r="ET18" i="285"/>
  <c r="EW20" i="285"/>
  <c r="EU20" i="285"/>
  <c r="EV20" i="285"/>
  <c r="ET20" i="285"/>
  <c r="EW22" i="285"/>
  <c r="EU22" i="285"/>
  <c r="EV22" i="285"/>
  <c r="ET22" i="285"/>
  <c r="EW24" i="285"/>
  <c r="EU24" i="285"/>
  <c r="EV24" i="285"/>
  <c r="ET24" i="285"/>
  <c r="EW26" i="285"/>
  <c r="EU26" i="285"/>
  <c r="EV26" i="285"/>
  <c r="ET26" i="285"/>
  <c r="EW28" i="285"/>
  <c r="EU28" i="285"/>
  <c r="EV28" i="285"/>
  <c r="ET28" i="285"/>
  <c r="EW30" i="285"/>
  <c r="EU30" i="285"/>
  <c r="EV30" i="285"/>
  <c r="ET30" i="285"/>
  <c r="EW32" i="285"/>
  <c r="EU32" i="285"/>
  <c r="EV32" i="285"/>
  <c r="ET32" i="285"/>
  <c r="EZ4" i="285"/>
  <c r="EX4" i="285"/>
  <c r="EY4" i="285"/>
  <c r="FA4" i="285"/>
  <c r="EZ6" i="285"/>
  <c r="EX6" i="285"/>
  <c r="EY6" i="285"/>
  <c r="FA6" i="285"/>
  <c r="EZ8" i="285"/>
  <c r="EX8" i="285"/>
  <c r="FA8" i="285"/>
  <c r="EY8" i="285"/>
  <c r="EZ10" i="285"/>
  <c r="EX10" i="285"/>
  <c r="FA10" i="285"/>
  <c r="EY10" i="285"/>
  <c r="EZ12" i="285"/>
  <c r="EX12" i="285"/>
  <c r="EY12" i="285"/>
  <c r="FA12" i="285"/>
  <c r="FA14" i="285"/>
  <c r="EY14" i="285"/>
  <c r="EZ14" i="285"/>
  <c r="EX14" i="285"/>
  <c r="FA16" i="285"/>
  <c r="EY16" i="285"/>
  <c r="EZ16" i="285"/>
  <c r="EX16" i="285"/>
  <c r="FA18" i="285"/>
  <c r="EY18" i="285"/>
  <c r="EZ18" i="285"/>
  <c r="EX18" i="285"/>
  <c r="FA20" i="285"/>
  <c r="EY20" i="285"/>
  <c r="EZ20" i="285"/>
  <c r="EX20" i="285"/>
  <c r="FA22" i="285"/>
  <c r="EY22" i="285"/>
  <c r="EZ22" i="285"/>
  <c r="EX22" i="285"/>
  <c r="FA24" i="285"/>
  <c r="EY24" i="285"/>
  <c r="EZ24" i="285"/>
  <c r="EX24" i="285"/>
  <c r="FA26" i="285"/>
  <c r="EY26" i="285"/>
  <c r="EZ26" i="285"/>
  <c r="EX26" i="285"/>
  <c r="FA28" i="285"/>
  <c r="EY28" i="285"/>
  <c r="EZ28" i="285"/>
  <c r="EX28" i="285"/>
  <c r="FA30" i="285"/>
  <c r="EY30" i="285"/>
  <c r="EZ30" i="285"/>
  <c r="EX30" i="285"/>
  <c r="FA32" i="285"/>
  <c r="EY32" i="285"/>
  <c r="EZ32" i="285"/>
  <c r="EX32" i="285"/>
  <c r="FD4" i="285"/>
  <c r="FB4" i="285"/>
  <c r="FC4" i="285"/>
  <c r="FE4" i="285"/>
  <c r="N12" i="262"/>
  <c r="R12" i="262" s="1"/>
  <c r="FD6" i="285"/>
  <c r="FB6" i="285"/>
  <c r="FC6" i="285"/>
  <c r="FE6" i="285"/>
  <c r="FD8" i="285"/>
  <c r="FB8" i="285"/>
  <c r="FE8" i="285"/>
  <c r="FC8" i="285"/>
  <c r="N16" i="262"/>
  <c r="R16" i="262" s="1"/>
  <c r="FD10" i="285"/>
  <c r="FB10" i="285"/>
  <c r="FE10" i="285"/>
  <c r="FC10" i="285"/>
  <c r="FD12" i="285"/>
  <c r="FB12" i="285"/>
  <c r="FC12" i="285"/>
  <c r="FE12" i="285"/>
  <c r="N20" i="262"/>
  <c r="R20" i="262" s="1"/>
  <c r="FE14" i="285"/>
  <c r="FC14" i="285"/>
  <c r="FD14" i="285"/>
  <c r="FB14" i="285"/>
  <c r="FE16" i="285"/>
  <c r="FC16" i="285"/>
  <c r="FD16" i="285"/>
  <c r="FB16" i="285"/>
  <c r="N24" i="262"/>
  <c r="R24" i="262" s="1"/>
  <c r="FE18" i="285"/>
  <c r="FC18" i="285"/>
  <c r="FD18" i="285"/>
  <c r="FB18" i="285"/>
  <c r="FE20" i="285"/>
  <c r="FC20" i="285"/>
  <c r="FD20" i="285"/>
  <c r="FB20" i="285"/>
  <c r="N28" i="262"/>
  <c r="R28" i="262" s="1"/>
  <c r="FE22" i="285"/>
  <c r="FC22" i="285"/>
  <c r="FD22" i="285"/>
  <c r="FB22" i="285"/>
  <c r="FE24" i="285"/>
  <c r="FC24" i="285"/>
  <c r="FD24" i="285"/>
  <c r="FB24" i="285"/>
  <c r="N32" i="262"/>
  <c r="R32" i="262" s="1"/>
  <c r="FE26" i="285"/>
  <c r="FC26" i="285"/>
  <c r="FD26" i="285"/>
  <c r="FB26" i="285"/>
  <c r="FE28" i="285"/>
  <c r="FC28" i="285"/>
  <c r="FD28" i="285"/>
  <c r="FB28" i="285"/>
  <c r="AF128" i="265"/>
  <c r="N36" i="262" s="1"/>
  <c r="R36" i="262" s="1"/>
  <c r="FE30" i="285"/>
  <c r="FC30" i="285"/>
  <c r="FD30" i="285"/>
  <c r="FB30" i="285"/>
  <c r="FE32" i="285"/>
  <c r="FC32" i="285"/>
  <c r="FD32" i="285"/>
  <c r="FB32" i="285"/>
  <c r="FH4" i="285"/>
  <c r="FF4" i="285"/>
  <c r="FG4" i="285"/>
  <c r="FI4" i="285"/>
  <c r="FH6" i="285"/>
  <c r="FF6" i="285"/>
  <c r="FG6" i="285"/>
  <c r="FI6" i="285"/>
  <c r="FH8" i="285"/>
  <c r="FF8" i="285"/>
  <c r="FI8" i="285"/>
  <c r="FG8" i="285"/>
  <c r="FH10" i="285"/>
  <c r="FF10" i="285"/>
  <c r="FI10" i="285"/>
  <c r="FG10" i="285"/>
  <c r="FH12" i="285"/>
  <c r="FF12" i="285"/>
  <c r="FG12" i="285"/>
  <c r="FI12" i="285"/>
  <c r="FI14" i="285"/>
  <c r="FG14" i="285"/>
  <c r="FH14" i="285"/>
  <c r="FF14" i="285"/>
  <c r="FI16" i="285"/>
  <c r="FG16" i="285"/>
  <c r="FH16" i="285"/>
  <c r="FF16" i="285"/>
  <c r="FI18" i="285"/>
  <c r="FG18" i="285"/>
  <c r="FH18" i="285"/>
  <c r="FF18" i="285"/>
  <c r="FI20" i="285"/>
  <c r="FG20" i="285"/>
  <c r="FH20" i="285"/>
  <c r="FF20" i="285"/>
  <c r="FI22" i="285"/>
  <c r="FG22" i="285"/>
  <c r="FH22" i="285"/>
  <c r="FF22" i="285"/>
  <c r="FI24" i="285"/>
  <c r="FG24" i="285"/>
  <c r="FH24" i="285"/>
  <c r="FF24" i="285"/>
  <c r="FI26" i="285"/>
  <c r="FG26" i="285"/>
  <c r="FH26" i="285"/>
  <c r="FF26" i="285"/>
  <c r="FI28" i="285"/>
  <c r="FG28" i="285"/>
  <c r="FH28" i="285"/>
  <c r="FF28" i="285"/>
  <c r="FI30" i="285"/>
  <c r="FG30" i="285"/>
  <c r="FH30" i="285"/>
  <c r="FF30" i="285"/>
  <c r="FI32" i="285"/>
  <c r="FG32" i="285"/>
  <c r="FH32" i="285"/>
  <c r="FF32" i="285"/>
  <c r="FL4" i="285"/>
  <c r="FJ4" i="285"/>
  <c r="FK4" i="285"/>
  <c r="FM4" i="285"/>
  <c r="FL6" i="285"/>
  <c r="FJ6" i="285"/>
  <c r="FK6" i="285"/>
  <c r="FM6" i="285"/>
  <c r="FL8" i="285"/>
  <c r="FJ8" i="285"/>
  <c r="FM8" i="285"/>
  <c r="FK8" i="285"/>
  <c r="FL10" i="285"/>
  <c r="FJ10" i="285"/>
  <c r="FM10" i="285"/>
  <c r="FK10" i="285"/>
  <c r="FL12" i="285"/>
  <c r="FJ12" i="285"/>
  <c r="FK12" i="285"/>
  <c r="FM12" i="285"/>
  <c r="FM14" i="285"/>
  <c r="FK14" i="285"/>
  <c r="FL14" i="285"/>
  <c r="FJ14" i="285"/>
  <c r="FM16" i="285"/>
  <c r="FK16" i="285"/>
  <c r="FL16" i="285"/>
  <c r="FJ16" i="285"/>
  <c r="FM18" i="285"/>
  <c r="FK18" i="285"/>
  <c r="FL18" i="285"/>
  <c r="FJ18" i="285"/>
  <c r="FM20" i="285"/>
  <c r="FK20" i="285"/>
  <c r="FL20" i="285"/>
  <c r="FJ20" i="285"/>
  <c r="FM22" i="285"/>
  <c r="FK22" i="285"/>
  <c r="FL22" i="285"/>
  <c r="FJ22" i="285"/>
  <c r="FM24" i="285"/>
  <c r="FK24" i="285"/>
  <c r="FL24" i="285"/>
  <c r="FJ24" i="285"/>
  <c r="FM26" i="285"/>
  <c r="FK26" i="285"/>
  <c r="FL26" i="285"/>
  <c r="FJ26" i="285"/>
  <c r="FM28" i="285"/>
  <c r="FK28" i="285"/>
  <c r="FL28" i="285"/>
  <c r="FJ28" i="285"/>
  <c r="FM30" i="285"/>
  <c r="FK30" i="285"/>
  <c r="FL30" i="285"/>
  <c r="FJ30" i="285"/>
  <c r="FM32" i="285"/>
  <c r="FK32" i="285"/>
  <c r="FL32" i="285"/>
  <c r="FJ32" i="285"/>
  <c r="FP4" i="285"/>
  <c r="FN4" i="285"/>
  <c r="FO4" i="285"/>
  <c r="FQ4" i="285"/>
  <c r="FP6" i="285"/>
  <c r="FN6" i="285"/>
  <c r="FO6" i="285"/>
  <c r="FQ6" i="285"/>
  <c r="FP8" i="285"/>
  <c r="FN8" i="285"/>
  <c r="FQ8" i="285"/>
  <c r="FO8" i="285"/>
  <c r="FP10" i="285"/>
  <c r="FN10" i="285"/>
  <c r="FQ10" i="285"/>
  <c r="FO10" i="285"/>
  <c r="FP12" i="285"/>
  <c r="FN12" i="285"/>
  <c r="FO12" i="285"/>
  <c r="FQ12" i="285"/>
  <c r="FQ14" i="285"/>
  <c r="FO14" i="285"/>
  <c r="FP14" i="285"/>
  <c r="FN14" i="285"/>
  <c r="FQ16" i="285"/>
  <c r="FO16" i="285"/>
  <c r="FP16" i="285"/>
  <c r="FN16" i="285"/>
  <c r="FQ18" i="285"/>
  <c r="FO18" i="285"/>
  <c r="FP18" i="285"/>
  <c r="FN18" i="285"/>
  <c r="FQ20" i="285"/>
  <c r="FO20" i="285"/>
  <c r="FP20" i="285"/>
  <c r="FN20" i="285"/>
  <c r="FQ22" i="285"/>
  <c r="FO22" i="285"/>
  <c r="FP22" i="285"/>
  <c r="FN22" i="285"/>
  <c r="FQ24" i="285"/>
  <c r="FO24" i="285"/>
  <c r="FP24" i="285"/>
  <c r="FN24" i="285"/>
  <c r="FQ26" i="285"/>
  <c r="FO26" i="285"/>
  <c r="FP26" i="285"/>
  <c r="FN26" i="285"/>
  <c r="FQ28" i="285"/>
  <c r="FO28" i="285"/>
  <c r="FP28" i="285"/>
  <c r="FN28" i="285"/>
  <c r="FQ30" i="285"/>
  <c r="FO30" i="285"/>
  <c r="FP30" i="285"/>
  <c r="FN30" i="285"/>
  <c r="FQ32" i="285"/>
  <c r="FO32" i="285"/>
  <c r="FP32" i="285"/>
  <c r="FN32" i="285"/>
  <c r="FT4" i="285"/>
  <c r="FR4" i="285"/>
  <c r="FS4" i="285"/>
  <c r="FU4" i="285"/>
  <c r="FT6" i="285"/>
  <c r="FR6" i="285"/>
  <c r="FS6" i="285"/>
  <c r="FU6" i="285"/>
  <c r="FT8" i="285"/>
  <c r="FR8" i="285"/>
  <c r="FU8" i="285"/>
  <c r="FS8" i="285"/>
  <c r="FT10" i="285"/>
  <c r="FR10" i="285"/>
  <c r="FU10" i="285"/>
  <c r="FS10" i="285"/>
  <c r="FT12" i="285"/>
  <c r="FR12" i="285"/>
  <c r="FS12" i="285"/>
  <c r="FU12" i="285"/>
  <c r="FU14" i="285"/>
  <c r="FS14" i="285"/>
  <c r="FT14" i="285"/>
  <c r="FR14" i="285"/>
  <c r="FU16" i="285"/>
  <c r="FS16" i="285"/>
  <c r="FT16" i="285"/>
  <c r="FR16" i="285"/>
  <c r="FU18" i="285"/>
  <c r="FS18" i="285"/>
  <c r="FT18" i="285"/>
  <c r="FR18" i="285"/>
  <c r="FU20" i="285"/>
  <c r="FS20" i="285"/>
  <c r="FT20" i="285"/>
  <c r="FR20" i="285"/>
  <c r="FU22" i="285"/>
  <c r="FS22" i="285"/>
  <c r="FT22" i="285"/>
  <c r="FR22" i="285"/>
  <c r="FU24" i="285"/>
  <c r="FS24" i="285"/>
  <c r="FT24" i="285"/>
  <c r="FR24" i="285"/>
  <c r="FU26" i="285"/>
  <c r="FS26" i="285"/>
  <c r="FT26" i="285"/>
  <c r="FR26" i="285"/>
  <c r="FU28" i="285"/>
  <c r="FS28" i="285"/>
  <c r="FT28" i="285"/>
  <c r="FR28" i="285"/>
  <c r="FU30" i="285"/>
  <c r="FS30" i="285"/>
  <c r="FT30" i="285"/>
  <c r="FR30" i="285"/>
  <c r="FU32" i="285"/>
  <c r="FS32" i="285"/>
  <c r="FT32" i="285"/>
  <c r="FR32" i="285"/>
  <c r="FX4" i="285"/>
  <c r="FV4" i="285"/>
  <c r="FW4" i="285"/>
  <c r="FY4" i="285"/>
  <c r="FX6" i="285"/>
  <c r="FV6" i="285"/>
  <c r="FW6" i="285"/>
  <c r="FY6" i="285"/>
  <c r="FX8" i="285"/>
  <c r="FV8" i="285"/>
  <c r="FY8" i="285"/>
  <c r="FW8" i="285"/>
  <c r="FX10" i="285"/>
  <c r="FV10" i="285"/>
  <c r="FY10" i="285"/>
  <c r="FW10" i="285"/>
  <c r="FX12" i="285"/>
  <c r="FV12" i="285"/>
  <c r="FW12" i="285"/>
  <c r="FY12" i="285"/>
  <c r="FY14" i="285"/>
  <c r="FW14" i="285"/>
  <c r="FX14" i="285"/>
  <c r="FV14" i="285"/>
  <c r="FY16" i="285"/>
  <c r="FW16" i="285"/>
  <c r="FX16" i="285"/>
  <c r="FV16" i="285"/>
  <c r="FY18" i="285"/>
  <c r="FW18" i="285"/>
  <c r="FX18" i="285"/>
  <c r="FV18" i="285"/>
  <c r="FY20" i="285"/>
  <c r="FW20" i="285"/>
  <c r="FX20" i="285"/>
  <c r="FV20" i="285"/>
  <c r="FY22" i="285"/>
  <c r="FW22" i="285"/>
  <c r="FX22" i="285"/>
  <c r="FV22" i="285"/>
  <c r="FY24" i="285"/>
  <c r="FW24" i="285"/>
  <c r="FX24" i="285"/>
  <c r="FV24" i="285"/>
  <c r="FY26" i="285"/>
  <c r="FW26" i="285"/>
  <c r="FX26" i="285"/>
  <c r="FV26" i="285"/>
  <c r="FY28" i="285"/>
  <c r="FW28" i="285"/>
  <c r="FX28" i="285"/>
  <c r="FV28" i="285"/>
  <c r="FY30" i="285"/>
  <c r="FW30" i="285"/>
  <c r="FX30" i="285"/>
  <c r="FV30" i="285"/>
  <c r="FY32" i="285"/>
  <c r="FW32" i="285"/>
  <c r="FX32" i="285"/>
  <c r="FV32" i="285"/>
  <c r="GB4" i="285"/>
  <c r="FZ4" i="285"/>
  <c r="GA4" i="285"/>
  <c r="GC4" i="285"/>
  <c r="GB6" i="285"/>
  <c r="FZ6" i="285"/>
  <c r="GA6" i="285"/>
  <c r="GC6" i="285"/>
  <c r="GB8" i="285"/>
  <c r="FZ8" i="285"/>
  <c r="GC8" i="285"/>
  <c r="GA8" i="285"/>
  <c r="GB10" i="285"/>
  <c r="FZ10" i="285"/>
  <c r="GC10" i="285"/>
  <c r="GA10" i="285"/>
  <c r="GB12" i="285"/>
  <c r="FZ12" i="285"/>
  <c r="GA12" i="285"/>
  <c r="GC12" i="285"/>
  <c r="GC14" i="285"/>
  <c r="GA14" i="285"/>
  <c r="GB14" i="285"/>
  <c r="FZ14" i="285"/>
  <c r="GC16" i="285"/>
  <c r="GA16" i="285"/>
  <c r="GB16" i="285"/>
  <c r="FZ16" i="285"/>
  <c r="GC18" i="285"/>
  <c r="GA18" i="285"/>
  <c r="GB18" i="285"/>
  <c r="FZ18" i="285"/>
  <c r="GC20" i="285"/>
  <c r="GA20" i="285"/>
  <c r="GB20" i="285"/>
  <c r="FZ20" i="285"/>
  <c r="GC22" i="285"/>
  <c r="GA22" i="285"/>
  <c r="GB22" i="285"/>
  <c r="FZ22" i="285"/>
  <c r="GC24" i="285"/>
  <c r="GA24" i="285"/>
  <c r="GB24" i="285"/>
  <c r="FZ24" i="285"/>
  <c r="GC26" i="285"/>
  <c r="GA26" i="285"/>
  <c r="GB26" i="285"/>
  <c r="FZ26" i="285"/>
  <c r="GC28" i="285"/>
  <c r="GA28" i="285"/>
  <c r="GB28" i="285"/>
  <c r="FZ28" i="285"/>
  <c r="GC30" i="285"/>
  <c r="GA30" i="285"/>
  <c r="GB30" i="285"/>
  <c r="FZ30" i="285"/>
  <c r="GC32" i="285"/>
  <c r="GA32" i="285"/>
  <c r="GB32" i="285"/>
  <c r="FZ32" i="285"/>
  <c r="GF4" i="285"/>
  <c r="GD4" i="285"/>
  <c r="GE4" i="285"/>
  <c r="GG4" i="285"/>
  <c r="GF6" i="285"/>
  <c r="GD6" i="285"/>
  <c r="GE6" i="285"/>
  <c r="GG6" i="285"/>
  <c r="GF8" i="285"/>
  <c r="GD8" i="285"/>
  <c r="GG8" i="285"/>
  <c r="GE8" i="285"/>
  <c r="GF10" i="285"/>
  <c r="GD10" i="285"/>
  <c r="GG10" i="285"/>
  <c r="GE10" i="285"/>
  <c r="GF12" i="285"/>
  <c r="GD12" i="285"/>
  <c r="GE12" i="285"/>
  <c r="GG12" i="285"/>
  <c r="GG14" i="285"/>
  <c r="GE14" i="285"/>
  <c r="GF14" i="285"/>
  <c r="GD14" i="285"/>
  <c r="GG16" i="285"/>
  <c r="GE16" i="285"/>
  <c r="GF16" i="285"/>
  <c r="GD16" i="285"/>
  <c r="GG18" i="285"/>
  <c r="GE18" i="285"/>
  <c r="GF18" i="285"/>
  <c r="GD18" i="285"/>
  <c r="GG20" i="285"/>
  <c r="GE20" i="285"/>
  <c r="GF20" i="285"/>
  <c r="GD20" i="285"/>
  <c r="GG22" i="285"/>
  <c r="GE22" i="285"/>
  <c r="GF22" i="285"/>
  <c r="GD22" i="285"/>
  <c r="GG24" i="285"/>
  <c r="GE24" i="285"/>
  <c r="GF24" i="285"/>
  <c r="GD24" i="285"/>
  <c r="GG26" i="285"/>
  <c r="GE26" i="285"/>
  <c r="GF26" i="285"/>
  <c r="GD26" i="285"/>
  <c r="GG28" i="285"/>
  <c r="GE28" i="285"/>
  <c r="GF28" i="285"/>
  <c r="GD28" i="285"/>
  <c r="GG30" i="285"/>
  <c r="GE30" i="285"/>
  <c r="GF30" i="285"/>
  <c r="GD30" i="285"/>
  <c r="GG32" i="285"/>
  <c r="GE32" i="285"/>
  <c r="GF32" i="285"/>
  <c r="GD32" i="285"/>
  <c r="GJ4" i="285"/>
  <c r="GH4" i="285"/>
  <c r="GI4" i="285"/>
  <c r="GK4" i="285"/>
  <c r="GJ6" i="285"/>
  <c r="GH6" i="285"/>
  <c r="GI6" i="285"/>
  <c r="GK6" i="285"/>
  <c r="GJ8" i="285"/>
  <c r="GH8" i="285"/>
  <c r="GK8" i="285"/>
  <c r="GI8" i="285"/>
  <c r="GJ10" i="285"/>
  <c r="GH10" i="285"/>
  <c r="GK10" i="285"/>
  <c r="GI10" i="285"/>
  <c r="GJ12" i="285"/>
  <c r="GH12" i="285"/>
  <c r="GI12" i="285"/>
  <c r="GK12" i="285"/>
  <c r="GK14" i="285"/>
  <c r="GI14" i="285"/>
  <c r="GJ14" i="285"/>
  <c r="GH14" i="285"/>
  <c r="GK16" i="285"/>
  <c r="GI16" i="285"/>
  <c r="GJ16" i="285"/>
  <c r="GH16" i="285"/>
  <c r="GK18" i="285"/>
  <c r="GI18" i="285"/>
  <c r="GJ18" i="285"/>
  <c r="GH18" i="285"/>
  <c r="GK20" i="285"/>
  <c r="GI20" i="285"/>
  <c r="GJ20" i="285"/>
  <c r="GH20" i="285"/>
  <c r="GK22" i="285"/>
  <c r="GI22" i="285"/>
  <c r="GJ22" i="285"/>
  <c r="GH22" i="285"/>
  <c r="GK24" i="285"/>
  <c r="GI24" i="285"/>
  <c r="GJ24" i="285"/>
  <c r="GH24" i="285"/>
  <c r="GK26" i="285"/>
  <c r="GI26" i="285"/>
  <c r="GJ26" i="285"/>
  <c r="GH26" i="285"/>
  <c r="GK28" i="285"/>
  <c r="GI28" i="285"/>
  <c r="GJ28" i="285"/>
  <c r="GH28" i="285"/>
  <c r="GK30" i="285"/>
  <c r="GI30" i="285"/>
  <c r="GJ30" i="285"/>
  <c r="GH30" i="285"/>
  <c r="GK32" i="285"/>
  <c r="GI32" i="285"/>
  <c r="GJ32" i="285"/>
  <c r="GH32" i="285"/>
  <c r="GN4" i="285"/>
  <c r="GL4" i="285"/>
  <c r="GM4" i="285"/>
  <c r="GO4" i="285"/>
  <c r="GN6" i="285"/>
  <c r="GL6" i="285"/>
  <c r="GM6" i="285"/>
  <c r="GO6" i="285"/>
  <c r="GN8" i="285"/>
  <c r="GL8" i="285"/>
  <c r="GO8" i="285"/>
  <c r="GM8" i="285"/>
  <c r="GN10" i="285"/>
  <c r="GL10" i="285"/>
  <c r="GO10" i="285"/>
  <c r="GM10" i="285"/>
  <c r="GN12" i="285"/>
  <c r="GL12" i="285"/>
  <c r="GM12" i="285"/>
  <c r="GO12" i="285"/>
  <c r="GO14" i="285"/>
  <c r="GM14" i="285"/>
  <c r="GN14" i="285"/>
  <c r="GL14" i="285"/>
  <c r="GO16" i="285"/>
  <c r="GM16" i="285"/>
  <c r="GN16" i="285"/>
  <c r="GL16" i="285"/>
  <c r="GO18" i="285"/>
  <c r="GM18" i="285"/>
  <c r="GN18" i="285"/>
  <c r="GL18" i="285"/>
  <c r="GO20" i="285"/>
  <c r="GM20" i="285"/>
  <c r="GN20" i="285"/>
  <c r="GL20" i="285"/>
  <c r="GO22" i="285"/>
  <c r="GM22" i="285"/>
  <c r="GN22" i="285"/>
  <c r="GL22" i="285"/>
  <c r="GO24" i="285"/>
  <c r="GM24" i="285"/>
  <c r="GN24" i="285"/>
  <c r="GL24" i="285"/>
  <c r="GO26" i="285"/>
  <c r="GM26" i="285"/>
  <c r="GN26" i="285"/>
  <c r="GL26" i="285"/>
  <c r="GO28" i="285"/>
  <c r="GM28" i="285"/>
  <c r="GN28" i="285"/>
  <c r="GL28" i="285"/>
  <c r="GO30" i="285"/>
  <c r="GM30" i="285"/>
  <c r="GN30" i="285"/>
  <c r="GL30" i="285"/>
  <c r="GO32" i="285"/>
  <c r="GM32" i="285"/>
  <c r="GN32" i="285"/>
  <c r="GL32" i="285"/>
  <c r="GR4" i="285"/>
  <c r="GP4" i="285"/>
  <c r="GQ4" i="285"/>
  <c r="GS4" i="285"/>
  <c r="GR6" i="285"/>
  <c r="GP6" i="285"/>
  <c r="GQ6" i="285"/>
  <c r="GS6" i="285"/>
  <c r="GR8" i="285"/>
  <c r="GP8" i="285"/>
  <c r="GS8" i="285"/>
  <c r="GQ8" i="285"/>
  <c r="GR10" i="285"/>
  <c r="GP10" i="285"/>
  <c r="GS10" i="285"/>
  <c r="GQ10" i="285"/>
  <c r="GR12" i="285"/>
  <c r="GP12" i="285"/>
  <c r="GQ12" i="285"/>
  <c r="GS12" i="285"/>
  <c r="GS14" i="285"/>
  <c r="GQ14" i="285"/>
  <c r="GR14" i="285"/>
  <c r="GP14" i="285"/>
  <c r="GS16" i="285"/>
  <c r="GQ16" i="285"/>
  <c r="GR16" i="285"/>
  <c r="GP16" i="285"/>
  <c r="GS18" i="285"/>
  <c r="GQ18" i="285"/>
  <c r="GR18" i="285"/>
  <c r="GP18" i="285"/>
  <c r="GS20" i="285"/>
  <c r="GQ20" i="285"/>
  <c r="GR20" i="285"/>
  <c r="GP20" i="285"/>
  <c r="GS22" i="285"/>
  <c r="GQ22" i="285"/>
  <c r="GR22" i="285"/>
  <c r="GP22" i="285"/>
  <c r="GS24" i="285"/>
  <c r="GQ24" i="285"/>
  <c r="GR24" i="285"/>
  <c r="GP24" i="285"/>
  <c r="GS26" i="285"/>
  <c r="GQ26" i="285"/>
  <c r="GR26" i="285"/>
  <c r="GP26" i="285"/>
  <c r="GS28" i="285"/>
  <c r="GQ28" i="285"/>
  <c r="GR28" i="285"/>
  <c r="GP28" i="285"/>
  <c r="GS30" i="285"/>
  <c r="GQ30" i="285"/>
  <c r="GR30" i="285"/>
  <c r="GP30" i="285"/>
  <c r="GS32" i="285"/>
  <c r="GQ32" i="285"/>
  <c r="GR32" i="285"/>
  <c r="GP32" i="285"/>
  <c r="GV4" i="285"/>
  <c r="GT4" i="285"/>
  <c r="GU4" i="285"/>
  <c r="GW4" i="285"/>
  <c r="GV6" i="285"/>
  <c r="GT6" i="285"/>
  <c r="GU6" i="285"/>
  <c r="GW6" i="285"/>
  <c r="GV8" i="285"/>
  <c r="GT8" i="285"/>
  <c r="GW8" i="285"/>
  <c r="GU8" i="285"/>
  <c r="GV10" i="285"/>
  <c r="GT10" i="285"/>
  <c r="GW10" i="285"/>
  <c r="GU10" i="285"/>
  <c r="GV12" i="285"/>
  <c r="GT12" i="285"/>
  <c r="GU12" i="285"/>
  <c r="GW12" i="285"/>
  <c r="GW14" i="285"/>
  <c r="GU14" i="285"/>
  <c r="GV14" i="285"/>
  <c r="GT14" i="285"/>
  <c r="GW16" i="285"/>
  <c r="GU16" i="285"/>
  <c r="GV16" i="285"/>
  <c r="GT16" i="285"/>
  <c r="GW18" i="285"/>
  <c r="GU18" i="285"/>
  <c r="GV18" i="285"/>
  <c r="GT18" i="285"/>
  <c r="GW20" i="285"/>
  <c r="GU20" i="285"/>
  <c r="GV20" i="285"/>
  <c r="GT20" i="285"/>
  <c r="GW22" i="285"/>
  <c r="GU22" i="285"/>
  <c r="GV22" i="285"/>
  <c r="GT22" i="285"/>
  <c r="GW24" i="285"/>
  <c r="GU24" i="285"/>
  <c r="GV24" i="285"/>
  <c r="GT24" i="285"/>
  <c r="GW26" i="285"/>
  <c r="GU26" i="285"/>
  <c r="GV26" i="285"/>
  <c r="GT26" i="285"/>
  <c r="GW28" i="285"/>
  <c r="GU28" i="285"/>
  <c r="GV28" i="285"/>
  <c r="GT28" i="285"/>
  <c r="GW30" i="285"/>
  <c r="GU30" i="285"/>
  <c r="GV30" i="285"/>
  <c r="GT30" i="285"/>
  <c r="GW32" i="285"/>
  <c r="GU32" i="285"/>
  <c r="GV32" i="285"/>
  <c r="GT32" i="285"/>
  <c r="GZ4" i="285"/>
  <c r="GX4" i="285"/>
  <c r="GY4" i="285"/>
  <c r="HA4" i="285"/>
  <c r="GZ6" i="285"/>
  <c r="GX6" i="285"/>
  <c r="GY6" i="285"/>
  <c r="HA6" i="285"/>
  <c r="GZ8" i="285"/>
  <c r="GX8" i="285"/>
  <c r="HA8" i="285"/>
  <c r="GY8" i="285"/>
  <c r="GZ10" i="285"/>
  <c r="GX10" i="285"/>
  <c r="HA10" i="285"/>
  <c r="GY10" i="285"/>
  <c r="GZ12" i="285"/>
  <c r="GX12" i="285"/>
  <c r="GY12" i="285"/>
  <c r="HA12" i="285"/>
  <c r="HA14" i="285"/>
  <c r="GY14" i="285"/>
  <c r="GZ14" i="285"/>
  <c r="GX14" i="285"/>
  <c r="HA16" i="285"/>
  <c r="GY16" i="285"/>
  <c r="GZ16" i="285"/>
  <c r="GX16" i="285"/>
  <c r="HA18" i="285"/>
  <c r="GY18" i="285"/>
  <c r="GZ18" i="285"/>
  <c r="GX18" i="285"/>
  <c r="HA20" i="285"/>
  <c r="GY20" i="285"/>
  <c r="GZ20" i="285"/>
  <c r="GX20" i="285"/>
  <c r="HA22" i="285"/>
  <c r="GY22" i="285"/>
  <c r="GZ22" i="285"/>
  <c r="GX22" i="285"/>
  <c r="HA24" i="285"/>
  <c r="GY24" i="285"/>
  <c r="GZ24" i="285"/>
  <c r="GX24" i="285"/>
  <c r="HA26" i="285"/>
  <c r="GY26" i="285"/>
  <c r="GZ26" i="285"/>
  <c r="GX26" i="285"/>
  <c r="HA28" i="285"/>
  <c r="GY28" i="285"/>
  <c r="GZ28" i="285"/>
  <c r="GX28" i="285"/>
  <c r="HA30" i="285"/>
  <c r="GY30" i="285"/>
  <c r="GZ30" i="285"/>
  <c r="GX30" i="285"/>
  <c r="HA32" i="285"/>
  <c r="GY32" i="285"/>
  <c r="GZ32" i="285"/>
  <c r="GX32" i="285"/>
  <c r="HD4" i="285"/>
  <c r="HB4" i="285"/>
  <c r="HC4" i="285"/>
  <c r="HE4" i="285"/>
  <c r="HD6" i="285"/>
  <c r="HB6" i="285"/>
  <c r="HC6" i="285"/>
  <c r="HE6" i="285"/>
  <c r="HD8" i="285"/>
  <c r="HB8" i="285"/>
  <c r="HE8" i="285"/>
  <c r="HC8" i="285"/>
  <c r="HD10" i="285"/>
  <c r="HB10" i="285"/>
  <c r="HE10" i="285"/>
  <c r="HC10" i="285"/>
  <c r="HD12" i="285"/>
  <c r="HB12" i="285"/>
  <c r="HC12" i="285"/>
  <c r="HE12" i="285"/>
  <c r="HE14" i="285"/>
  <c r="HC14" i="285"/>
  <c r="HD14" i="285"/>
  <c r="HB14" i="285"/>
  <c r="HE16" i="285"/>
  <c r="HC16" i="285"/>
  <c r="HD16" i="285"/>
  <c r="HB16" i="285"/>
  <c r="HE18" i="285"/>
  <c r="HC18" i="285"/>
  <c r="HD18" i="285"/>
  <c r="HB18" i="285"/>
  <c r="HE20" i="285"/>
  <c r="HC20" i="285"/>
  <c r="HD20" i="285"/>
  <c r="HB20" i="285"/>
  <c r="HE22" i="285"/>
  <c r="HC22" i="285"/>
  <c r="HD22" i="285"/>
  <c r="HB22" i="285"/>
  <c r="HE24" i="285"/>
  <c r="HC24" i="285"/>
  <c r="HD24" i="285"/>
  <c r="HB24" i="285"/>
  <c r="HE26" i="285"/>
  <c r="HC26" i="285"/>
  <c r="HD26" i="285"/>
  <c r="HB26" i="285"/>
  <c r="HE28" i="285"/>
  <c r="HC28" i="285"/>
  <c r="HD28" i="285"/>
  <c r="HB28" i="285"/>
  <c r="HE30" i="285"/>
  <c r="HC30" i="285"/>
  <c r="HD30" i="285"/>
  <c r="HB30" i="285"/>
  <c r="HE32" i="285"/>
  <c r="HC32" i="285"/>
  <c r="HD32" i="285"/>
  <c r="HB32" i="285"/>
  <c r="HH4" i="285"/>
  <c r="HF4" i="285"/>
  <c r="HG4" i="285"/>
  <c r="HI4" i="285"/>
  <c r="HH6" i="285"/>
  <c r="HF6" i="285"/>
  <c r="HG6" i="285"/>
  <c r="HI6" i="285"/>
  <c r="HH8" i="285"/>
  <c r="HF8" i="285"/>
  <c r="HI8" i="285"/>
  <c r="HG8" i="285"/>
  <c r="HH10" i="285"/>
  <c r="HF10" i="285"/>
  <c r="HI10" i="285"/>
  <c r="HG10" i="285"/>
  <c r="HH12" i="285"/>
  <c r="HF12" i="285"/>
  <c r="HG12" i="285"/>
  <c r="HI12" i="285"/>
  <c r="HI14" i="285"/>
  <c r="HG14" i="285"/>
  <c r="HH14" i="285"/>
  <c r="HF14" i="285"/>
  <c r="HI16" i="285"/>
  <c r="HG16" i="285"/>
  <c r="HH16" i="285"/>
  <c r="HF16" i="285"/>
  <c r="HI18" i="285"/>
  <c r="HG18" i="285"/>
  <c r="HH18" i="285"/>
  <c r="HF18" i="285"/>
  <c r="HI20" i="285"/>
  <c r="HG20" i="285"/>
  <c r="HH20" i="285"/>
  <c r="HF20" i="285"/>
  <c r="HI22" i="285"/>
  <c r="HG22" i="285"/>
  <c r="HH22" i="285"/>
  <c r="HF22" i="285"/>
  <c r="HI24" i="285"/>
  <c r="HG24" i="285"/>
  <c r="HH24" i="285"/>
  <c r="HF24" i="285"/>
  <c r="HI26" i="285"/>
  <c r="HG26" i="285"/>
  <c r="HH26" i="285"/>
  <c r="HF26" i="285"/>
  <c r="HI28" i="285"/>
  <c r="HG28" i="285"/>
  <c r="HH28" i="285"/>
  <c r="HF28" i="285"/>
  <c r="HI30" i="285"/>
  <c r="HG30" i="285"/>
  <c r="HH30" i="285"/>
  <c r="HF30" i="285"/>
  <c r="HI32" i="285"/>
  <c r="HG32" i="285"/>
  <c r="HH32" i="285"/>
  <c r="HF32" i="285"/>
  <c r="HL4" i="285"/>
  <c r="HJ4" i="285"/>
  <c r="HK4" i="285"/>
  <c r="HM4" i="285"/>
  <c r="HL6" i="285"/>
  <c r="HJ6" i="285"/>
  <c r="HK6" i="285"/>
  <c r="HM6" i="285"/>
  <c r="HL8" i="285"/>
  <c r="HJ8" i="285"/>
  <c r="HM8" i="285"/>
  <c r="HK8" i="285"/>
  <c r="HL10" i="285"/>
  <c r="HJ10" i="285"/>
  <c r="HM10" i="285"/>
  <c r="HK10" i="285"/>
  <c r="HL12" i="285"/>
  <c r="HJ12" i="285"/>
  <c r="HK12" i="285"/>
  <c r="HM12" i="285"/>
  <c r="HM14" i="285"/>
  <c r="HK14" i="285"/>
  <c r="HL14" i="285"/>
  <c r="HJ14" i="285"/>
  <c r="HM16" i="285"/>
  <c r="HK16" i="285"/>
  <c r="HL16" i="285"/>
  <c r="HJ16" i="285"/>
  <c r="HM18" i="285"/>
  <c r="HK18" i="285"/>
  <c r="HL18" i="285"/>
  <c r="HJ18" i="285"/>
  <c r="HM20" i="285"/>
  <c r="HK20" i="285"/>
  <c r="HL20" i="285"/>
  <c r="HJ20" i="285"/>
  <c r="HM22" i="285"/>
  <c r="HK22" i="285"/>
  <c r="HL22" i="285"/>
  <c r="HJ22" i="285"/>
  <c r="HM24" i="285"/>
  <c r="HK24" i="285"/>
  <c r="HL24" i="285"/>
  <c r="HJ24" i="285"/>
  <c r="HM26" i="285"/>
  <c r="HK26" i="285"/>
  <c r="HL26" i="285"/>
  <c r="HJ26" i="285"/>
  <c r="HM28" i="285"/>
  <c r="HK28" i="285"/>
  <c r="HL28" i="285"/>
  <c r="HJ28" i="285"/>
  <c r="HM30" i="285"/>
  <c r="HK30" i="285"/>
  <c r="HL30" i="285"/>
  <c r="HJ30" i="285"/>
  <c r="HM32" i="285"/>
  <c r="HK32" i="285"/>
  <c r="HL32" i="285"/>
  <c r="HJ32" i="285"/>
  <c r="HP4" i="285"/>
  <c r="HN4" i="285"/>
  <c r="HO4" i="285"/>
  <c r="HQ4" i="285"/>
  <c r="HP6" i="285"/>
  <c r="HN6" i="285"/>
  <c r="HO6" i="285"/>
  <c r="HQ6" i="285"/>
  <c r="HP8" i="285"/>
  <c r="HN8" i="285"/>
  <c r="HQ8" i="285"/>
  <c r="HO8" i="285"/>
  <c r="HP10" i="285"/>
  <c r="HN10" i="285"/>
  <c r="HQ10" i="285"/>
  <c r="HO10" i="285"/>
  <c r="HP12" i="285"/>
  <c r="HN12" i="285"/>
  <c r="HO12" i="285"/>
  <c r="HQ12" i="285"/>
  <c r="HQ14" i="285"/>
  <c r="HO14" i="285"/>
  <c r="HP14" i="285"/>
  <c r="HN14" i="285"/>
  <c r="HQ16" i="285"/>
  <c r="HO16" i="285"/>
  <c r="HP16" i="285"/>
  <c r="HN16" i="285"/>
  <c r="HQ18" i="285"/>
  <c r="HO18" i="285"/>
  <c r="HP18" i="285"/>
  <c r="HN18" i="285"/>
  <c r="HQ20" i="285"/>
  <c r="HO20" i="285"/>
  <c r="HP20" i="285"/>
  <c r="HN20" i="285"/>
  <c r="HQ22" i="285"/>
  <c r="HO22" i="285"/>
  <c r="HP22" i="285"/>
  <c r="HN22" i="285"/>
  <c r="HQ24" i="285"/>
  <c r="HO24" i="285"/>
  <c r="HP24" i="285"/>
  <c r="HN24" i="285"/>
  <c r="HQ26" i="285"/>
  <c r="HO26" i="285"/>
  <c r="HP26" i="285"/>
  <c r="HN26" i="285"/>
  <c r="HQ28" i="285"/>
  <c r="HO28" i="285"/>
  <c r="HP28" i="285"/>
  <c r="HN28" i="285"/>
  <c r="HQ30" i="285"/>
  <c r="HO30" i="285"/>
  <c r="HP30" i="285"/>
  <c r="HN30" i="285"/>
  <c r="HQ32" i="285"/>
  <c r="HO32" i="285"/>
  <c r="HP32" i="285"/>
  <c r="HN32" i="285"/>
  <c r="HT4" i="285"/>
  <c r="HR4" i="285"/>
  <c r="HS4" i="285"/>
  <c r="HU4" i="285"/>
  <c r="HT6" i="285"/>
  <c r="HR6" i="285"/>
  <c r="HS6" i="285"/>
  <c r="HU6" i="285"/>
  <c r="HT8" i="285"/>
  <c r="HR8" i="285"/>
  <c r="HU8" i="285"/>
  <c r="HS8" i="285"/>
  <c r="HT10" i="285"/>
  <c r="HR10" i="285"/>
  <c r="HU10" i="285"/>
  <c r="HS10" i="285"/>
  <c r="HT12" i="285"/>
  <c r="HR12" i="285"/>
  <c r="HS12" i="285"/>
  <c r="HU12" i="285"/>
  <c r="HU14" i="285"/>
  <c r="HS14" i="285"/>
  <c r="HT14" i="285"/>
  <c r="HR14" i="285"/>
  <c r="HU16" i="285"/>
  <c r="HS16" i="285"/>
  <c r="HT16" i="285"/>
  <c r="HR16" i="285"/>
  <c r="HU18" i="285"/>
  <c r="HS18" i="285"/>
  <c r="HT18" i="285"/>
  <c r="HR18" i="285"/>
  <c r="HU20" i="285"/>
  <c r="HS20" i="285"/>
  <c r="HT20" i="285"/>
  <c r="HR20" i="285"/>
  <c r="HU22" i="285"/>
  <c r="HS22" i="285"/>
  <c r="HT22" i="285"/>
  <c r="HR22" i="285"/>
  <c r="HU24" i="285"/>
  <c r="HS24" i="285"/>
  <c r="HT24" i="285"/>
  <c r="HR24" i="285"/>
  <c r="HU26" i="285"/>
  <c r="HS26" i="285"/>
  <c r="HT26" i="285"/>
  <c r="HR26" i="285"/>
  <c r="HU28" i="285"/>
  <c r="HS28" i="285"/>
  <c r="HT28" i="285"/>
  <c r="HR28" i="285"/>
  <c r="HU30" i="285"/>
  <c r="HS30" i="285"/>
  <c r="HT30" i="285"/>
  <c r="HR30" i="285"/>
  <c r="HU32" i="285"/>
  <c r="HS32" i="285"/>
  <c r="HT32" i="285"/>
  <c r="HR32" i="285"/>
  <c r="HX4" i="285"/>
  <c r="HV4" i="285"/>
  <c r="HW4" i="285"/>
  <c r="HY4" i="285"/>
  <c r="HX6" i="285"/>
  <c r="HV6" i="285"/>
  <c r="HW6" i="285"/>
  <c r="HY6" i="285"/>
  <c r="HX8" i="285"/>
  <c r="HV8" i="285"/>
  <c r="HY8" i="285"/>
  <c r="HW8" i="285"/>
  <c r="HX10" i="285"/>
  <c r="HV10" i="285"/>
  <c r="HY10" i="285"/>
  <c r="HW10" i="285"/>
  <c r="HX12" i="285"/>
  <c r="HV12" i="285"/>
  <c r="HW12" i="285"/>
  <c r="HY12" i="285"/>
  <c r="HY14" i="285"/>
  <c r="HW14" i="285"/>
  <c r="HX14" i="285"/>
  <c r="HV14" i="285"/>
  <c r="HY16" i="285"/>
  <c r="HW16" i="285"/>
  <c r="HX16" i="285"/>
  <c r="HV16" i="285"/>
  <c r="HY18" i="285"/>
  <c r="HW18" i="285"/>
  <c r="HX18" i="285"/>
  <c r="HV18" i="285"/>
  <c r="HY20" i="285"/>
  <c r="HW20" i="285"/>
  <c r="HX20" i="285"/>
  <c r="HV20" i="285"/>
  <c r="HY22" i="285"/>
  <c r="HW22" i="285"/>
  <c r="HX22" i="285"/>
  <c r="HV22" i="285"/>
  <c r="HY24" i="285"/>
  <c r="HW24" i="285"/>
  <c r="HX24" i="285"/>
  <c r="HV24" i="285"/>
  <c r="HY26" i="285"/>
  <c r="HW26" i="285"/>
  <c r="HX26" i="285"/>
  <c r="HV26" i="285"/>
  <c r="HY28" i="285"/>
  <c r="HW28" i="285"/>
  <c r="HX28" i="285"/>
  <c r="HV28" i="285"/>
  <c r="HY30" i="285"/>
  <c r="HW30" i="285"/>
  <c r="HX30" i="285"/>
  <c r="HV30" i="285"/>
  <c r="HY32" i="285"/>
  <c r="HW32" i="285"/>
  <c r="HX32" i="285"/>
  <c r="HV32" i="285"/>
  <c r="IB4" i="285"/>
  <c r="HZ4" i="285"/>
  <c r="IA4" i="285"/>
  <c r="IC4" i="285"/>
  <c r="IB6" i="285"/>
  <c r="HZ6" i="285"/>
  <c r="IA6" i="285"/>
  <c r="IC6" i="285"/>
  <c r="IB8" i="285"/>
  <c r="HZ8" i="285"/>
  <c r="IC8" i="285"/>
  <c r="IA8" i="285"/>
  <c r="IB10" i="285"/>
  <c r="HZ10" i="285"/>
  <c r="IC10" i="285"/>
  <c r="IA10" i="285"/>
  <c r="IB12" i="285"/>
  <c r="HZ12" i="285"/>
  <c r="IA12" i="285"/>
  <c r="IC12" i="285"/>
  <c r="IC14" i="285"/>
  <c r="IA14" i="285"/>
  <c r="IB14" i="285"/>
  <c r="HZ14" i="285"/>
  <c r="IC16" i="285"/>
  <c r="IA16" i="285"/>
  <c r="IB16" i="285"/>
  <c r="HZ16" i="285"/>
  <c r="IC18" i="285"/>
  <c r="IA18" i="285"/>
  <c r="IB18" i="285"/>
  <c r="HZ18" i="285"/>
  <c r="IC20" i="285"/>
  <c r="IA20" i="285"/>
  <c r="IB20" i="285"/>
  <c r="HZ20" i="285"/>
  <c r="IC22" i="285"/>
  <c r="IA22" i="285"/>
  <c r="IB22" i="285"/>
  <c r="HZ22" i="285"/>
  <c r="IC24" i="285"/>
  <c r="IA24" i="285"/>
  <c r="IB24" i="285"/>
  <c r="HZ24" i="285"/>
  <c r="IC26" i="285"/>
  <c r="IA26" i="285"/>
  <c r="IB26" i="285"/>
  <c r="HZ26" i="285"/>
  <c r="IC28" i="285"/>
  <c r="IA28" i="285"/>
  <c r="IB28" i="285"/>
  <c r="HZ28" i="285"/>
  <c r="IC30" i="285"/>
  <c r="IA30" i="285"/>
  <c r="IB30" i="285"/>
  <c r="HZ30" i="285"/>
  <c r="IC32" i="285"/>
  <c r="IA32" i="285"/>
  <c r="IB32" i="285"/>
  <c r="HZ32" i="285"/>
  <c r="IF4" i="285"/>
  <c r="ID4" i="285"/>
  <c r="IE4" i="285"/>
  <c r="IG4" i="285"/>
  <c r="IF6" i="285"/>
  <c r="ID6" i="285"/>
  <c r="IE6" i="285"/>
  <c r="IG6" i="285"/>
  <c r="IF8" i="285"/>
  <c r="ID8" i="285"/>
  <c r="IG8" i="285"/>
  <c r="IE8" i="285"/>
  <c r="IF10" i="285"/>
  <c r="ID10" i="285"/>
  <c r="IG10" i="285"/>
  <c r="IE10" i="285"/>
  <c r="IF12" i="285"/>
  <c r="ID12" i="285"/>
  <c r="IE12" i="285"/>
  <c r="IG12" i="285"/>
  <c r="IG14" i="285"/>
  <c r="IE14" i="285"/>
  <c r="IF14" i="285"/>
  <c r="ID14" i="285"/>
  <c r="IG16" i="285"/>
  <c r="IE16" i="285"/>
  <c r="IF16" i="285"/>
  <c r="ID16" i="285"/>
  <c r="IG18" i="285"/>
  <c r="IE18" i="285"/>
  <c r="IF18" i="285"/>
  <c r="ID18" i="285"/>
  <c r="IG20" i="285"/>
  <c r="IE20" i="285"/>
  <c r="IF20" i="285"/>
  <c r="ID20" i="285"/>
  <c r="IG22" i="285"/>
  <c r="IE22" i="285"/>
  <c r="IF22" i="285"/>
  <c r="ID22" i="285"/>
  <c r="IG24" i="285"/>
  <c r="IE24" i="285"/>
  <c r="IF24" i="285"/>
  <c r="ID24" i="285"/>
  <c r="IG26" i="285"/>
  <c r="IE26" i="285"/>
  <c r="IF26" i="285"/>
  <c r="ID26" i="285"/>
  <c r="IG28" i="285"/>
  <c r="IE28" i="285"/>
  <c r="IF28" i="285"/>
  <c r="ID28" i="285"/>
  <c r="IG30" i="285"/>
  <c r="IE30" i="285"/>
  <c r="IF30" i="285"/>
  <c r="ID30" i="285"/>
  <c r="IG32" i="285"/>
  <c r="IE32" i="285"/>
  <c r="IF32" i="285"/>
  <c r="ID32" i="285"/>
  <c r="IJ4" i="285"/>
  <c r="IH4" i="285"/>
  <c r="II4" i="285"/>
  <c r="IK4" i="285"/>
  <c r="IJ6" i="285"/>
  <c r="IH6" i="285"/>
  <c r="II6" i="285"/>
  <c r="IK6" i="285"/>
  <c r="IJ8" i="285"/>
  <c r="IH8" i="285"/>
  <c r="IK8" i="285"/>
  <c r="II8" i="285"/>
  <c r="IJ10" i="285"/>
  <c r="IH10" i="285"/>
  <c r="IK10" i="285"/>
  <c r="II10" i="285"/>
  <c r="IJ12" i="285"/>
  <c r="IH12" i="285"/>
  <c r="II12" i="285"/>
  <c r="IK12" i="285"/>
  <c r="IK14" i="285"/>
  <c r="II14" i="285"/>
  <c r="IJ14" i="285"/>
  <c r="IH14" i="285"/>
  <c r="IK16" i="285"/>
  <c r="II16" i="285"/>
  <c r="IJ16" i="285"/>
  <c r="IH16" i="285"/>
  <c r="IK18" i="285"/>
  <c r="II18" i="285"/>
  <c r="IJ18" i="285"/>
  <c r="IH18" i="285"/>
  <c r="IK20" i="285"/>
  <c r="II20" i="285"/>
  <c r="IJ20" i="285"/>
  <c r="IH20" i="285"/>
  <c r="IK22" i="285"/>
  <c r="II22" i="285"/>
  <c r="IJ22" i="285"/>
  <c r="IH22" i="285"/>
  <c r="IK24" i="285"/>
  <c r="II24" i="285"/>
  <c r="IJ24" i="285"/>
  <c r="IH24" i="285"/>
  <c r="IK26" i="285"/>
  <c r="II26" i="285"/>
  <c r="IJ26" i="285"/>
  <c r="IH26" i="285"/>
  <c r="IK28" i="285"/>
  <c r="II28" i="285"/>
  <c r="IJ28" i="285"/>
  <c r="IH28" i="285"/>
  <c r="IK30" i="285"/>
  <c r="II30" i="285"/>
  <c r="IJ30" i="285"/>
  <c r="IH30" i="285"/>
  <c r="IK32" i="285"/>
  <c r="II32" i="285"/>
  <c r="IJ32" i="285"/>
  <c r="IH32" i="285"/>
  <c r="IN4" i="285"/>
  <c r="IL4" i="285"/>
  <c r="IM4" i="285"/>
  <c r="IO4" i="285"/>
  <c r="IN6" i="285"/>
  <c r="IL6" i="285"/>
  <c r="IM6" i="285"/>
  <c r="IO6" i="285"/>
  <c r="IN8" i="285"/>
  <c r="IL8" i="285"/>
  <c r="IO8" i="285"/>
  <c r="IM8" i="285"/>
  <c r="IN10" i="285"/>
  <c r="IL10" i="285"/>
  <c r="IO10" i="285"/>
  <c r="IM10" i="285"/>
  <c r="IN12" i="285"/>
  <c r="IL12" i="285"/>
  <c r="IM12" i="285"/>
  <c r="IO12" i="285"/>
  <c r="IO14" i="285"/>
  <c r="IM14" i="285"/>
  <c r="IN14" i="285"/>
  <c r="IL14" i="285"/>
  <c r="IO16" i="285"/>
  <c r="IM16" i="285"/>
  <c r="IN16" i="285"/>
  <c r="IL16" i="285"/>
  <c r="IO18" i="285"/>
  <c r="IM18" i="285"/>
  <c r="IN18" i="285"/>
  <c r="IL18" i="285"/>
  <c r="IO20" i="285"/>
  <c r="IM20" i="285"/>
  <c r="IN20" i="285"/>
  <c r="IL20" i="285"/>
  <c r="IO22" i="285"/>
  <c r="IM22" i="285"/>
  <c r="IN22" i="285"/>
  <c r="IL22" i="285"/>
  <c r="IO24" i="285"/>
  <c r="IM24" i="285"/>
  <c r="IN24" i="285"/>
  <c r="IL24" i="285"/>
  <c r="IO26" i="285"/>
  <c r="IM26" i="285"/>
  <c r="IN26" i="285"/>
  <c r="IL26" i="285"/>
  <c r="IO28" i="285"/>
  <c r="IM28" i="285"/>
  <c r="IN28" i="285"/>
  <c r="IL28" i="285"/>
  <c r="IO30" i="285"/>
  <c r="IM30" i="285"/>
  <c r="IN30" i="285"/>
  <c r="IL30" i="285"/>
  <c r="IO32" i="285"/>
  <c r="IM32" i="285"/>
  <c r="IN32" i="285"/>
  <c r="IL32" i="285"/>
  <c r="IR4" i="285"/>
  <c r="IP4" i="285"/>
  <c r="IQ4" i="285"/>
  <c r="IS4" i="285"/>
  <c r="IR6" i="285"/>
  <c r="IP6" i="285"/>
  <c r="IQ6" i="285"/>
  <c r="IS6" i="285"/>
  <c r="IR8" i="285"/>
  <c r="IP8" i="285"/>
  <c r="IS8" i="285"/>
  <c r="IQ8" i="285"/>
  <c r="IR10" i="285"/>
  <c r="IP10" i="285"/>
  <c r="IS10" i="285"/>
  <c r="IQ10" i="285"/>
  <c r="IR12" i="285"/>
  <c r="IP12" i="285"/>
  <c r="IQ12" i="285"/>
  <c r="IS12" i="285"/>
  <c r="IS14" i="285"/>
  <c r="IQ14" i="285"/>
  <c r="IR14" i="285"/>
  <c r="IP14" i="285"/>
  <c r="IS16" i="285"/>
  <c r="IQ16" i="285"/>
  <c r="IR16" i="285"/>
  <c r="IP16" i="285"/>
  <c r="IS18" i="285"/>
  <c r="IQ18" i="285"/>
  <c r="IR18" i="285"/>
  <c r="IP18" i="285"/>
  <c r="IS20" i="285"/>
  <c r="IQ20" i="285"/>
  <c r="IR20" i="285"/>
  <c r="IP20" i="285"/>
  <c r="IS22" i="285"/>
  <c r="IQ22" i="285"/>
  <c r="IR22" i="285"/>
  <c r="IP22" i="285"/>
  <c r="IS24" i="285"/>
  <c r="IQ24" i="285"/>
  <c r="IR24" i="285"/>
  <c r="IP24" i="285"/>
  <c r="IS26" i="285"/>
  <c r="IQ26" i="285"/>
  <c r="IR26" i="285"/>
  <c r="IP26" i="285"/>
  <c r="IS28" i="285"/>
  <c r="IQ28" i="285"/>
  <c r="IR28" i="285"/>
  <c r="IP28" i="285"/>
  <c r="IS30" i="285"/>
  <c r="IQ30" i="285"/>
  <c r="IR30" i="285"/>
  <c r="IP30" i="285"/>
  <c r="IS32" i="285"/>
  <c r="IQ32" i="285"/>
  <c r="IR32" i="285"/>
  <c r="IP32" i="285"/>
  <c r="IV4" i="285"/>
  <c r="IT4" i="285"/>
  <c r="IU4" i="285"/>
  <c r="IW4" i="285"/>
  <c r="IV6" i="285"/>
  <c r="IT6" i="285"/>
  <c r="IU6" i="285"/>
  <c r="IW6" i="285"/>
  <c r="IV8" i="285"/>
  <c r="IT8" i="285"/>
  <c r="IW8" i="285"/>
  <c r="IU8" i="285"/>
  <c r="IV10" i="285"/>
  <c r="IT10" i="285"/>
  <c r="IW10" i="285"/>
  <c r="IU10" i="285"/>
  <c r="IV12" i="285"/>
  <c r="IT12" i="285"/>
  <c r="IU12" i="285"/>
  <c r="IW12" i="285"/>
  <c r="IW14" i="285"/>
  <c r="IU14" i="285"/>
  <c r="IV14" i="285"/>
  <c r="IT14" i="285"/>
  <c r="IW16" i="285"/>
  <c r="IU16" i="285"/>
  <c r="IV16" i="285"/>
  <c r="IT16" i="285"/>
  <c r="IW18" i="285"/>
  <c r="IU18" i="285"/>
  <c r="IV18" i="285"/>
  <c r="IT18" i="285"/>
  <c r="IW20" i="285"/>
  <c r="IU20" i="285"/>
  <c r="IV20" i="285"/>
  <c r="IT20" i="285"/>
  <c r="IW22" i="285"/>
  <c r="IU22" i="285"/>
  <c r="IV22" i="285"/>
  <c r="IT22" i="285"/>
  <c r="IW24" i="285"/>
  <c r="IU24" i="285"/>
  <c r="IV24" i="285"/>
  <c r="IT24" i="285"/>
  <c r="IW26" i="285"/>
  <c r="IU26" i="285"/>
  <c r="IV26" i="285"/>
  <c r="IT26" i="285"/>
  <c r="IW28" i="285"/>
  <c r="IU28" i="285"/>
  <c r="IV28" i="285"/>
  <c r="IT28" i="285"/>
  <c r="IW30" i="285"/>
  <c r="IU30" i="285"/>
  <c r="IV30" i="285"/>
  <c r="IT30" i="285"/>
  <c r="IW32" i="285"/>
  <c r="IU32" i="285"/>
  <c r="IV32" i="285"/>
  <c r="IT32" i="285"/>
  <c r="IZ4" i="285"/>
  <c r="IX4" i="285"/>
  <c r="IY4" i="285"/>
  <c r="JA4" i="285"/>
  <c r="IZ6" i="285"/>
  <c r="IX6" i="285"/>
  <c r="IY6" i="285"/>
  <c r="JA6" i="285"/>
  <c r="IZ8" i="285"/>
  <c r="IX8" i="285"/>
  <c r="JA8" i="285"/>
  <c r="IY8" i="285"/>
  <c r="IZ10" i="285"/>
  <c r="IX10" i="285"/>
  <c r="JA10" i="285"/>
  <c r="IY10" i="285"/>
  <c r="IZ12" i="285"/>
  <c r="IX12" i="285"/>
  <c r="IY12" i="285"/>
  <c r="JA12" i="285"/>
  <c r="JA14" i="285"/>
  <c r="IY14" i="285"/>
  <c r="IZ14" i="285"/>
  <c r="IX14" i="285"/>
  <c r="JA16" i="285"/>
  <c r="IY16" i="285"/>
  <c r="IZ16" i="285"/>
  <c r="IX16" i="285"/>
  <c r="JA18" i="285"/>
  <c r="IY18" i="285"/>
  <c r="IZ18" i="285"/>
  <c r="IX18" i="285"/>
  <c r="JA20" i="285"/>
  <c r="IY20" i="285"/>
  <c r="IZ20" i="285"/>
  <c r="IX20" i="285"/>
  <c r="JA22" i="285"/>
  <c r="IY22" i="285"/>
  <c r="IZ22" i="285"/>
  <c r="IX22" i="285"/>
  <c r="JA24" i="285"/>
  <c r="IY24" i="285"/>
  <c r="IZ24" i="285"/>
  <c r="IX24" i="285"/>
  <c r="JA26" i="285"/>
  <c r="IY26" i="285"/>
  <c r="IZ26" i="285"/>
  <c r="IX26" i="285"/>
  <c r="JA28" i="285"/>
  <c r="IY28" i="285"/>
  <c r="IZ28" i="285"/>
  <c r="IX28" i="285"/>
  <c r="JA30" i="285"/>
  <c r="IY30" i="285"/>
  <c r="IZ30" i="285"/>
  <c r="IX30" i="285"/>
  <c r="JA32" i="285"/>
  <c r="IY32" i="285"/>
  <c r="IZ32" i="285"/>
  <c r="IX32" i="285"/>
  <c r="LD4" i="285"/>
  <c r="LB4" i="285"/>
  <c r="LC4" i="285"/>
  <c r="LE4" i="285"/>
  <c r="H121" i="268"/>
  <c r="AH12" i="262" s="1"/>
  <c r="AL12" i="262" s="1"/>
  <c r="LD6" i="285"/>
  <c r="LB6" i="285"/>
  <c r="LC6" i="285"/>
  <c r="LE6" i="285"/>
  <c r="LD8" i="285"/>
  <c r="LB8" i="285"/>
  <c r="LE8" i="285"/>
  <c r="LC8" i="285"/>
  <c r="L121" i="268"/>
  <c r="AH16" i="262" s="1"/>
  <c r="AL16" i="262" s="1"/>
  <c r="LD10" i="285"/>
  <c r="LB10" i="285"/>
  <c r="LE10" i="285"/>
  <c r="LC10" i="285"/>
  <c r="LD12" i="285"/>
  <c r="LB12" i="285"/>
  <c r="LC12" i="285"/>
  <c r="LE12" i="285"/>
  <c r="P121" i="268"/>
  <c r="AH20" i="262" s="1"/>
  <c r="AL20" i="262" s="1"/>
  <c r="LE14" i="285"/>
  <c r="LC14" i="285"/>
  <c r="LD14" i="285"/>
  <c r="LB14" i="285"/>
  <c r="LE16" i="285"/>
  <c r="LC16" i="285"/>
  <c r="LD16" i="285"/>
  <c r="LB16" i="285"/>
  <c r="T121" i="268"/>
  <c r="AH24" i="262" s="1"/>
  <c r="AL24" i="262" s="1"/>
  <c r="LE18" i="285"/>
  <c r="LC18" i="285"/>
  <c r="LD18" i="285"/>
  <c r="LB18" i="285"/>
  <c r="LE20" i="285"/>
  <c r="LC20" i="285"/>
  <c r="LD20" i="285"/>
  <c r="LB20" i="285"/>
  <c r="X121" i="268"/>
  <c r="AH28" i="262" s="1"/>
  <c r="AL28" i="262" s="1"/>
  <c r="LE22" i="285"/>
  <c r="LC22" i="285"/>
  <c r="LD22" i="285"/>
  <c r="LB22" i="285"/>
  <c r="LE24" i="285"/>
  <c r="LC24" i="285"/>
  <c r="LD24" i="285"/>
  <c r="LB24" i="285"/>
  <c r="AB121" i="268"/>
  <c r="AH32" i="262" s="1"/>
  <c r="AL32" i="262" s="1"/>
  <c r="LE26" i="285"/>
  <c r="LC26" i="285"/>
  <c r="LD26" i="285"/>
  <c r="LB26" i="285"/>
  <c r="LE28" i="285"/>
  <c r="LC28" i="285"/>
  <c r="LD28" i="285"/>
  <c r="LB28" i="285"/>
  <c r="AF121" i="268"/>
  <c r="AH36" i="262" s="1"/>
  <c r="AL36" i="262" s="1"/>
  <c r="LE30" i="285"/>
  <c r="LC30" i="285"/>
  <c r="LD30" i="285"/>
  <c r="LB30" i="285"/>
  <c r="LE32" i="285"/>
  <c r="LC32" i="285"/>
  <c r="LD32" i="285"/>
  <c r="LB32" i="285"/>
  <c r="F121" i="268"/>
  <c r="AH10" i="262" s="1"/>
  <c r="AL10" i="262" s="1"/>
  <c r="LH4" i="285"/>
  <c r="LF4" i="285"/>
  <c r="LG4" i="285"/>
  <c r="LI4" i="285"/>
  <c r="LH6" i="285"/>
  <c r="LF6" i="285"/>
  <c r="LG6" i="285"/>
  <c r="LI6" i="285"/>
  <c r="J121" i="268"/>
  <c r="AH14" i="262" s="1"/>
  <c r="AL14" i="262" s="1"/>
  <c r="LH8" i="285"/>
  <c r="LF8" i="285"/>
  <c r="LI8" i="285"/>
  <c r="LG8" i="285"/>
  <c r="LH10" i="285"/>
  <c r="LF10" i="285"/>
  <c r="LI10" i="285"/>
  <c r="LG10" i="285"/>
  <c r="N121" i="268"/>
  <c r="AH18" i="262" s="1"/>
  <c r="AL18" i="262" s="1"/>
  <c r="LH12" i="285"/>
  <c r="LF12" i="285"/>
  <c r="LG12" i="285"/>
  <c r="LI12" i="285"/>
  <c r="LI14" i="285"/>
  <c r="LG14" i="285"/>
  <c r="LH14" i="285"/>
  <c r="LF14" i="285"/>
  <c r="R121" i="268"/>
  <c r="AH22" i="262" s="1"/>
  <c r="AL22" i="262" s="1"/>
  <c r="LI16" i="285"/>
  <c r="LG16" i="285"/>
  <c r="LH16" i="285"/>
  <c r="LF16" i="285"/>
  <c r="LI18" i="285"/>
  <c r="LG18" i="285"/>
  <c r="LH18" i="285"/>
  <c r="LF18" i="285"/>
  <c r="V121" i="268"/>
  <c r="AH26" i="262" s="1"/>
  <c r="AL26" i="262" s="1"/>
  <c r="LI20" i="285"/>
  <c r="LG20" i="285"/>
  <c r="LH20" i="285"/>
  <c r="LF20" i="285"/>
  <c r="LI22" i="285"/>
  <c r="LG22" i="285"/>
  <c r="LH22" i="285"/>
  <c r="LF22" i="285"/>
  <c r="Z121" i="268"/>
  <c r="AH30" i="262" s="1"/>
  <c r="AL30" i="262" s="1"/>
  <c r="LI24" i="285"/>
  <c r="LG24" i="285"/>
  <c r="LH24" i="285"/>
  <c r="LF24" i="285"/>
  <c r="LI26" i="285"/>
  <c r="LG26" i="285"/>
  <c r="LH26" i="285"/>
  <c r="LF26" i="285"/>
  <c r="AD121" i="268"/>
  <c r="AH34" i="262" s="1"/>
  <c r="AL34" i="262" s="1"/>
  <c r="LI28" i="285"/>
  <c r="LG28" i="285"/>
  <c r="LH28" i="285"/>
  <c r="LF28" i="285"/>
  <c r="LI30" i="285"/>
  <c r="LG30" i="285"/>
  <c r="LH30" i="285"/>
  <c r="LF30" i="285"/>
  <c r="LI32" i="285"/>
  <c r="LG32" i="285"/>
  <c r="LH32" i="285"/>
  <c r="LF32" i="285"/>
  <c r="LL4" i="285"/>
  <c r="LJ4" i="285"/>
  <c r="LK4" i="285"/>
  <c r="LM4" i="285"/>
  <c r="LL6" i="285"/>
  <c r="LJ6" i="285"/>
  <c r="LK6" i="285"/>
  <c r="LM6" i="285"/>
  <c r="LL8" i="285"/>
  <c r="LJ8" i="285"/>
  <c r="LM8" i="285"/>
  <c r="LK8" i="285"/>
  <c r="LL10" i="285"/>
  <c r="LJ10" i="285"/>
  <c r="LM10" i="285"/>
  <c r="LK10" i="285"/>
  <c r="LL12" i="285"/>
  <c r="LJ12" i="285"/>
  <c r="LK12" i="285"/>
  <c r="LM12" i="285"/>
  <c r="LM14" i="285"/>
  <c r="LK14" i="285"/>
  <c r="LL14" i="285"/>
  <c r="LJ14" i="285"/>
  <c r="LM16" i="285"/>
  <c r="LK16" i="285"/>
  <c r="LL16" i="285"/>
  <c r="LJ16" i="285"/>
  <c r="LM18" i="285"/>
  <c r="LK18" i="285"/>
  <c r="LL18" i="285"/>
  <c r="LJ18" i="285"/>
  <c r="LM20" i="285"/>
  <c r="LK20" i="285"/>
  <c r="LL20" i="285"/>
  <c r="LJ20" i="285"/>
  <c r="LM22" i="285"/>
  <c r="LK22" i="285"/>
  <c r="LL22" i="285"/>
  <c r="LJ22" i="285"/>
  <c r="LM24" i="285"/>
  <c r="LK24" i="285"/>
  <c r="LL24" i="285"/>
  <c r="LJ24" i="285"/>
  <c r="LM26" i="285"/>
  <c r="LK26" i="285"/>
  <c r="LL26" i="285"/>
  <c r="LJ26" i="285"/>
  <c r="LM28" i="285"/>
  <c r="LK28" i="285"/>
  <c r="LL28" i="285"/>
  <c r="LJ28" i="285"/>
  <c r="LM30" i="285"/>
  <c r="LK30" i="285"/>
  <c r="LL30" i="285"/>
  <c r="LJ30" i="285"/>
  <c r="LM32" i="285"/>
  <c r="LK32" i="285"/>
  <c r="LL32" i="285"/>
  <c r="LJ32" i="285"/>
  <c r="LP4" i="285"/>
  <c r="LN4" i="285"/>
  <c r="LO4" i="285"/>
  <c r="LQ4" i="285"/>
  <c r="LP6" i="285"/>
  <c r="LN6" i="285"/>
  <c r="LO6" i="285"/>
  <c r="LQ6" i="285"/>
  <c r="LP8" i="285"/>
  <c r="LN8" i="285"/>
  <c r="LQ8" i="285"/>
  <c r="LO8" i="285"/>
  <c r="LP10" i="285"/>
  <c r="LN10" i="285"/>
  <c r="LQ10" i="285"/>
  <c r="LO10" i="285"/>
  <c r="LP12" i="285"/>
  <c r="LN12" i="285"/>
  <c r="LO12" i="285"/>
  <c r="LQ12" i="285"/>
  <c r="LQ14" i="285"/>
  <c r="LO14" i="285"/>
  <c r="LP14" i="285"/>
  <c r="LN14" i="285"/>
  <c r="LQ16" i="285"/>
  <c r="LO16" i="285"/>
  <c r="LP16" i="285"/>
  <c r="LN16" i="285"/>
  <c r="LQ18" i="285"/>
  <c r="LO18" i="285"/>
  <c r="LP18" i="285"/>
  <c r="LN18" i="285"/>
  <c r="LQ20" i="285"/>
  <c r="LO20" i="285"/>
  <c r="LP20" i="285"/>
  <c r="LN20" i="285"/>
  <c r="LQ22" i="285"/>
  <c r="LO22" i="285"/>
  <c r="LP22" i="285"/>
  <c r="LN22" i="285"/>
  <c r="LQ24" i="285"/>
  <c r="LO24" i="285"/>
  <c r="LP24" i="285"/>
  <c r="LN24" i="285"/>
  <c r="LQ26" i="285"/>
  <c r="LO26" i="285"/>
  <c r="LP26" i="285"/>
  <c r="LN26" i="285"/>
  <c r="LQ28" i="285"/>
  <c r="LO28" i="285"/>
  <c r="LP28" i="285"/>
  <c r="LN28" i="285"/>
  <c r="LQ30" i="285"/>
  <c r="LO30" i="285"/>
  <c r="LP30" i="285"/>
  <c r="LN30" i="285"/>
  <c r="LQ32" i="285"/>
  <c r="LO32" i="285"/>
  <c r="LP32" i="285"/>
  <c r="LN32" i="285"/>
  <c r="LT4" i="285"/>
  <c r="LR4" i="285"/>
  <c r="LS4" i="285"/>
  <c r="LU4" i="285"/>
  <c r="LT6" i="285"/>
  <c r="LR6" i="285"/>
  <c r="LS6" i="285"/>
  <c r="LU6" i="285"/>
  <c r="LT8" i="285"/>
  <c r="LR8" i="285"/>
  <c r="LU8" i="285"/>
  <c r="LS8" i="285"/>
  <c r="LT10" i="285"/>
  <c r="LR10" i="285"/>
  <c r="LU10" i="285"/>
  <c r="LS10" i="285"/>
  <c r="LT12" i="285"/>
  <c r="LR12" i="285"/>
  <c r="LS12" i="285"/>
  <c r="LU12" i="285"/>
  <c r="LU14" i="285"/>
  <c r="LS14" i="285"/>
  <c r="LT14" i="285"/>
  <c r="LR14" i="285"/>
  <c r="LU16" i="285"/>
  <c r="LS16" i="285"/>
  <c r="LT16" i="285"/>
  <c r="LR16" i="285"/>
  <c r="LU18" i="285"/>
  <c r="LS18" i="285"/>
  <c r="LT18" i="285"/>
  <c r="LR18" i="285"/>
  <c r="LU20" i="285"/>
  <c r="LS20" i="285"/>
  <c r="LT20" i="285"/>
  <c r="LR20" i="285"/>
  <c r="LU22" i="285"/>
  <c r="LS22" i="285"/>
  <c r="LT22" i="285"/>
  <c r="LR22" i="285"/>
  <c r="LU24" i="285"/>
  <c r="LS24" i="285"/>
  <c r="LT24" i="285"/>
  <c r="LR24" i="285"/>
  <c r="LU26" i="285"/>
  <c r="LS26" i="285"/>
  <c r="LT26" i="285"/>
  <c r="LR26" i="285"/>
  <c r="LU28" i="285"/>
  <c r="LS28" i="285"/>
  <c r="LT28" i="285"/>
  <c r="LR28" i="285"/>
  <c r="LU30" i="285"/>
  <c r="LS30" i="285"/>
  <c r="LT30" i="285"/>
  <c r="LR30" i="285"/>
  <c r="LU32" i="285"/>
  <c r="LS32" i="285"/>
  <c r="LT32" i="285"/>
  <c r="LR32" i="285"/>
  <c r="LX4" i="285"/>
  <c r="LV4" i="285"/>
  <c r="LW4" i="285"/>
  <c r="LY4" i="285"/>
  <c r="LX6" i="285"/>
  <c r="LV6" i="285"/>
  <c r="LW6" i="285"/>
  <c r="LY6" i="285"/>
  <c r="LX8" i="285"/>
  <c r="LV8" i="285"/>
  <c r="LY8" i="285"/>
  <c r="LW8" i="285"/>
  <c r="LX10" i="285"/>
  <c r="LV10" i="285"/>
  <c r="LY10" i="285"/>
  <c r="LW10" i="285"/>
  <c r="LX12" i="285"/>
  <c r="LV12" i="285"/>
  <c r="LW12" i="285"/>
  <c r="LY12" i="285"/>
  <c r="LY14" i="285"/>
  <c r="LW14" i="285"/>
  <c r="LX14" i="285"/>
  <c r="LV14" i="285"/>
  <c r="LY16" i="285"/>
  <c r="LW16" i="285"/>
  <c r="LX16" i="285"/>
  <c r="LV16" i="285"/>
  <c r="LY18" i="285"/>
  <c r="LW18" i="285"/>
  <c r="LX18" i="285"/>
  <c r="LV18" i="285"/>
  <c r="LY20" i="285"/>
  <c r="LW20" i="285"/>
  <c r="LX20" i="285"/>
  <c r="LV20" i="285"/>
  <c r="LY22" i="285"/>
  <c r="LW22" i="285"/>
  <c r="LX22" i="285"/>
  <c r="LV22" i="285"/>
  <c r="LY24" i="285"/>
  <c r="LW24" i="285"/>
  <c r="LX24" i="285"/>
  <c r="LV24" i="285"/>
  <c r="LY26" i="285"/>
  <c r="LW26" i="285"/>
  <c r="LX26" i="285"/>
  <c r="LV26" i="285"/>
  <c r="LY28" i="285"/>
  <c r="LW28" i="285"/>
  <c r="LX28" i="285"/>
  <c r="LV28" i="285"/>
  <c r="LY30" i="285"/>
  <c r="LW30" i="285"/>
  <c r="LX30" i="285"/>
  <c r="LV30" i="285"/>
  <c r="LY32" i="285"/>
  <c r="LW32" i="285"/>
  <c r="LX32" i="285"/>
  <c r="LV32" i="285"/>
  <c r="MB4" i="285"/>
  <c r="LZ4" i="285"/>
  <c r="MA4" i="285"/>
  <c r="MC4" i="285"/>
  <c r="MB6" i="285"/>
  <c r="LZ6" i="285"/>
  <c r="MA6" i="285"/>
  <c r="MC6" i="285"/>
  <c r="MB8" i="285"/>
  <c r="LZ8" i="285"/>
  <c r="MC8" i="285"/>
  <c r="MA8" i="285"/>
  <c r="MB10" i="285"/>
  <c r="LZ10" i="285"/>
  <c r="MC10" i="285"/>
  <c r="MA10" i="285"/>
  <c r="MB12" i="285"/>
  <c r="LZ12" i="285"/>
  <c r="MA12" i="285"/>
  <c r="MC12" i="285"/>
  <c r="MC14" i="285"/>
  <c r="MA14" i="285"/>
  <c r="MB14" i="285"/>
  <c r="LZ14" i="285"/>
  <c r="MC16" i="285"/>
  <c r="MA16" i="285"/>
  <c r="MB16" i="285"/>
  <c r="LZ16" i="285"/>
  <c r="MC18" i="285"/>
  <c r="MA18" i="285"/>
  <c r="MB18" i="285"/>
  <c r="LZ18" i="285"/>
  <c r="MC20" i="285"/>
  <c r="MA20" i="285"/>
  <c r="MB20" i="285"/>
  <c r="LZ20" i="285"/>
  <c r="MC22" i="285"/>
  <c r="MA22" i="285"/>
  <c r="MB22" i="285"/>
  <c r="LZ22" i="285"/>
  <c r="MC24" i="285"/>
  <c r="MA24" i="285"/>
  <c r="MB24" i="285"/>
  <c r="LZ24" i="285"/>
  <c r="MC26" i="285"/>
  <c r="MA26" i="285"/>
  <c r="MB26" i="285"/>
  <c r="LZ26" i="285"/>
  <c r="MC28" i="285"/>
  <c r="MA28" i="285"/>
  <c r="MB28" i="285"/>
  <c r="LZ28" i="285"/>
  <c r="MC30" i="285"/>
  <c r="MA30" i="285"/>
  <c r="MB30" i="285"/>
  <c r="LZ30" i="285"/>
  <c r="MC32" i="285"/>
  <c r="MA32" i="285"/>
  <c r="MB32" i="285"/>
  <c r="LZ32" i="285"/>
  <c r="MF4" i="285"/>
  <c r="MD4" i="285"/>
  <c r="ME4" i="285"/>
  <c r="MG4" i="285"/>
  <c r="MF6" i="285"/>
  <c r="MD6" i="285"/>
  <c r="ME6" i="285"/>
  <c r="MG6" i="285"/>
  <c r="MF8" i="285"/>
  <c r="MD8" i="285"/>
  <c r="MG8" i="285"/>
  <c r="ME8" i="285"/>
  <c r="MF10" i="285"/>
  <c r="MD10" i="285"/>
  <c r="MG10" i="285"/>
  <c r="ME10" i="285"/>
  <c r="MF12" i="285"/>
  <c r="MD12" i="285"/>
  <c r="ME12" i="285"/>
  <c r="MG12" i="285"/>
  <c r="MG14" i="285"/>
  <c r="ME14" i="285"/>
  <c r="MF14" i="285"/>
  <c r="MD14" i="285"/>
  <c r="MG16" i="285"/>
  <c r="ME16" i="285"/>
  <c r="MF16" i="285"/>
  <c r="MD16" i="285"/>
  <c r="MG18" i="285"/>
  <c r="ME18" i="285"/>
  <c r="MF18" i="285"/>
  <c r="MD18" i="285"/>
  <c r="MG20" i="285"/>
  <c r="ME20" i="285"/>
  <c r="MF20" i="285"/>
  <c r="MD20" i="285"/>
  <c r="MG22" i="285"/>
  <c r="ME22" i="285"/>
  <c r="MF22" i="285"/>
  <c r="MD22" i="285"/>
  <c r="MG24" i="285"/>
  <c r="ME24" i="285"/>
  <c r="MF24" i="285"/>
  <c r="MD24" i="285"/>
  <c r="MG26" i="285"/>
  <c r="ME26" i="285"/>
  <c r="MF26" i="285"/>
  <c r="MD26" i="285"/>
  <c r="MG28" i="285"/>
  <c r="ME28" i="285"/>
  <c r="MF28" i="285"/>
  <c r="MD28" i="285"/>
  <c r="MG30" i="285"/>
  <c r="ME30" i="285"/>
  <c r="MF30" i="285"/>
  <c r="MD30" i="285"/>
  <c r="MG32" i="285"/>
  <c r="ME32" i="285"/>
  <c r="MF32" i="285"/>
  <c r="MD32" i="285"/>
  <c r="MJ4" i="285"/>
  <c r="MH4" i="285"/>
  <c r="MI4" i="285"/>
  <c r="MK4" i="285"/>
  <c r="MJ6" i="285"/>
  <c r="MH6" i="285"/>
  <c r="MI6" i="285"/>
  <c r="MK6" i="285"/>
  <c r="MJ8" i="285"/>
  <c r="MH8" i="285"/>
  <c r="MK8" i="285"/>
  <c r="MI8" i="285"/>
  <c r="MJ10" i="285"/>
  <c r="MH10" i="285"/>
  <c r="MK10" i="285"/>
  <c r="MI10" i="285"/>
  <c r="MJ12" i="285"/>
  <c r="MH12" i="285"/>
  <c r="MI12" i="285"/>
  <c r="MK12" i="285"/>
  <c r="MK14" i="285"/>
  <c r="MI14" i="285"/>
  <c r="MJ14" i="285"/>
  <c r="MH14" i="285"/>
  <c r="MK16" i="285"/>
  <c r="MI16" i="285"/>
  <c r="MJ16" i="285"/>
  <c r="MH16" i="285"/>
  <c r="MK18" i="285"/>
  <c r="MI18" i="285"/>
  <c r="MJ18" i="285"/>
  <c r="MH18" i="285"/>
  <c r="MK20" i="285"/>
  <c r="MI20" i="285"/>
  <c r="MJ20" i="285"/>
  <c r="MH20" i="285"/>
  <c r="MK22" i="285"/>
  <c r="MI22" i="285"/>
  <c r="MJ22" i="285"/>
  <c r="MH22" i="285"/>
  <c r="MK24" i="285"/>
  <c r="MI24" i="285"/>
  <c r="MJ24" i="285"/>
  <c r="MH24" i="285"/>
  <c r="MK26" i="285"/>
  <c r="MI26" i="285"/>
  <c r="MJ26" i="285"/>
  <c r="MH26" i="285"/>
  <c r="MK28" i="285"/>
  <c r="MI28" i="285"/>
  <c r="MJ28" i="285"/>
  <c r="MH28" i="285"/>
  <c r="MK30" i="285"/>
  <c r="MI30" i="285"/>
  <c r="MJ30" i="285"/>
  <c r="MH30" i="285"/>
  <c r="MK32" i="285"/>
  <c r="MI32" i="285"/>
  <c r="MJ32" i="285"/>
  <c r="MH32" i="285"/>
  <c r="MN4" i="285"/>
  <c r="ML4" i="285"/>
  <c r="MM4" i="285"/>
  <c r="MO4" i="285"/>
  <c r="MN6" i="285"/>
  <c r="ML6" i="285"/>
  <c r="MM6" i="285"/>
  <c r="MO6" i="285"/>
  <c r="MN8" i="285"/>
  <c r="ML8" i="285"/>
  <c r="MO8" i="285"/>
  <c r="MM8" i="285"/>
  <c r="MN10" i="285"/>
  <c r="ML10" i="285"/>
  <c r="MO10" i="285"/>
  <c r="MM10" i="285"/>
  <c r="MN12" i="285"/>
  <c r="ML12" i="285"/>
  <c r="MM12" i="285"/>
  <c r="MO12" i="285"/>
  <c r="MO14" i="285"/>
  <c r="MM14" i="285"/>
  <c r="MN14" i="285"/>
  <c r="ML14" i="285"/>
  <c r="MO16" i="285"/>
  <c r="MM16" i="285"/>
  <c r="MN16" i="285"/>
  <c r="ML16" i="285"/>
  <c r="MO18" i="285"/>
  <c r="MM18" i="285"/>
  <c r="MN18" i="285"/>
  <c r="ML18" i="285"/>
  <c r="MO20" i="285"/>
  <c r="MM20" i="285"/>
  <c r="MN20" i="285"/>
  <c r="ML20" i="285"/>
  <c r="MO22" i="285"/>
  <c r="MM22" i="285"/>
  <c r="MN22" i="285"/>
  <c r="ML22" i="285"/>
  <c r="MO24" i="285"/>
  <c r="MM24" i="285"/>
  <c r="MN24" i="285"/>
  <c r="ML24" i="285"/>
  <c r="MO26" i="285"/>
  <c r="MM26" i="285"/>
  <c r="MN26" i="285"/>
  <c r="ML26" i="285"/>
  <c r="MO28" i="285"/>
  <c r="MM28" i="285"/>
  <c r="MN28" i="285"/>
  <c r="ML28" i="285"/>
  <c r="MO30" i="285"/>
  <c r="MM30" i="285"/>
  <c r="MN30" i="285"/>
  <c r="ML30" i="285"/>
  <c r="MO32" i="285"/>
  <c r="MM32" i="285"/>
  <c r="MN32" i="285"/>
  <c r="ML32" i="285"/>
  <c r="MR4" i="285"/>
  <c r="MP4" i="285"/>
  <c r="MQ4" i="285"/>
  <c r="MS4" i="285"/>
  <c r="MR6" i="285"/>
  <c r="MP6" i="285"/>
  <c r="MQ6" i="285"/>
  <c r="MS6" i="285"/>
  <c r="MR8" i="285"/>
  <c r="MP8" i="285"/>
  <c r="MS8" i="285"/>
  <c r="MQ8" i="285"/>
  <c r="MR10" i="285"/>
  <c r="MP10" i="285"/>
  <c r="MS10" i="285"/>
  <c r="MQ10" i="285"/>
  <c r="MR12" i="285"/>
  <c r="MP12" i="285"/>
  <c r="MQ12" i="285"/>
  <c r="MS12" i="285"/>
  <c r="MS14" i="285"/>
  <c r="MQ14" i="285"/>
  <c r="MR14" i="285"/>
  <c r="MP14" i="285"/>
  <c r="MS16" i="285"/>
  <c r="MQ16" i="285"/>
  <c r="MR16" i="285"/>
  <c r="MP16" i="285"/>
  <c r="MS18" i="285"/>
  <c r="MQ18" i="285"/>
  <c r="MR18" i="285"/>
  <c r="MP18" i="285"/>
  <c r="MS20" i="285"/>
  <c r="MQ20" i="285"/>
  <c r="MR20" i="285"/>
  <c r="MP20" i="285"/>
  <c r="MS22" i="285"/>
  <c r="MQ22" i="285"/>
  <c r="MR22" i="285"/>
  <c r="MP22" i="285"/>
  <c r="MS24" i="285"/>
  <c r="MQ24" i="285"/>
  <c r="MR24" i="285"/>
  <c r="MP24" i="285"/>
  <c r="MS26" i="285"/>
  <c r="MQ26" i="285"/>
  <c r="MR26" i="285"/>
  <c r="MP26" i="285"/>
  <c r="MS28" i="285"/>
  <c r="MQ28" i="285"/>
  <c r="MR28" i="285"/>
  <c r="MP28" i="285"/>
  <c r="MS30" i="285"/>
  <c r="MQ30" i="285"/>
  <c r="MR30" i="285"/>
  <c r="MP30" i="285"/>
  <c r="MS32" i="285"/>
  <c r="MQ32" i="285"/>
  <c r="MR32" i="285"/>
  <c r="MP32" i="285"/>
  <c r="MV4" i="285"/>
  <c r="MT4" i="285"/>
  <c r="MU4" i="285"/>
  <c r="MW4" i="285"/>
  <c r="MV6" i="285"/>
  <c r="MT6" i="285"/>
  <c r="MU6" i="285"/>
  <c r="MW6" i="285"/>
  <c r="MV8" i="285"/>
  <c r="MT8" i="285"/>
  <c r="MW8" i="285"/>
  <c r="MU8" i="285"/>
  <c r="MV10" i="285"/>
  <c r="MT10" i="285"/>
  <c r="MW10" i="285"/>
  <c r="MU10" i="285"/>
  <c r="MV12" i="285"/>
  <c r="MT12" i="285"/>
  <c r="MU12" i="285"/>
  <c r="MW12" i="285"/>
  <c r="MW14" i="285"/>
  <c r="MU14" i="285"/>
  <c r="MV14" i="285"/>
  <c r="MT14" i="285"/>
  <c r="MW16" i="285"/>
  <c r="MU16" i="285"/>
  <c r="MV16" i="285"/>
  <c r="MT16" i="285"/>
  <c r="MW18" i="285"/>
  <c r="MU18" i="285"/>
  <c r="MV18" i="285"/>
  <c r="MT18" i="285"/>
  <c r="MW20" i="285"/>
  <c r="MU20" i="285"/>
  <c r="MV20" i="285"/>
  <c r="MT20" i="285"/>
  <c r="MW22" i="285"/>
  <c r="MU22" i="285"/>
  <c r="MV22" i="285"/>
  <c r="MT22" i="285"/>
  <c r="MW24" i="285"/>
  <c r="MU24" i="285"/>
  <c r="MV24" i="285"/>
  <c r="MT24" i="285"/>
  <c r="MW26" i="285"/>
  <c r="MU26" i="285"/>
  <c r="MV26" i="285"/>
  <c r="MT26" i="285"/>
  <c r="MW28" i="285"/>
  <c r="MU28" i="285"/>
  <c r="MV28" i="285"/>
  <c r="MT28" i="285"/>
  <c r="MW30" i="285"/>
  <c r="MU30" i="285"/>
  <c r="MV30" i="285"/>
  <c r="MT30" i="285"/>
  <c r="MW32" i="285"/>
  <c r="MU32" i="285"/>
  <c r="MV32" i="285"/>
  <c r="MT32" i="285"/>
  <c r="MZ4" i="285"/>
  <c r="MX4" i="285"/>
  <c r="MY4" i="285"/>
  <c r="NA4" i="285"/>
  <c r="MZ6" i="285"/>
  <c r="MX6" i="285"/>
  <c r="MY6" i="285"/>
  <c r="NA6" i="285"/>
  <c r="MZ8" i="285"/>
  <c r="MX8" i="285"/>
  <c r="NA8" i="285"/>
  <c r="MY8" i="285"/>
  <c r="MZ10" i="285"/>
  <c r="MX10" i="285"/>
  <c r="NA10" i="285"/>
  <c r="MY10" i="285"/>
  <c r="MZ12" i="285"/>
  <c r="MX12" i="285"/>
  <c r="MY12" i="285"/>
  <c r="NA12" i="285"/>
  <c r="NA14" i="285"/>
  <c r="MY14" i="285"/>
  <c r="MZ14" i="285"/>
  <c r="MX14" i="285"/>
  <c r="NA16" i="285"/>
  <c r="MY16" i="285"/>
  <c r="MZ16" i="285"/>
  <c r="MX16" i="285"/>
  <c r="NA18" i="285"/>
  <c r="MY18" i="285"/>
  <c r="MZ18" i="285"/>
  <c r="MX18" i="285"/>
  <c r="NA20" i="285"/>
  <c r="MY20" i="285"/>
  <c r="MZ20" i="285"/>
  <c r="MX20" i="285"/>
  <c r="NA22" i="285"/>
  <c r="MY22" i="285"/>
  <c r="MZ22" i="285"/>
  <c r="MX22" i="285"/>
  <c r="NA24" i="285"/>
  <c r="MY24" i="285"/>
  <c r="MZ24" i="285"/>
  <c r="MX24" i="285"/>
  <c r="NA26" i="285"/>
  <c r="MY26" i="285"/>
  <c r="MZ26" i="285"/>
  <c r="MX26" i="285"/>
  <c r="NA28" i="285"/>
  <c r="MY28" i="285"/>
  <c r="MZ28" i="285"/>
  <c r="MX28" i="285"/>
  <c r="NA30" i="285"/>
  <c r="MY30" i="285"/>
  <c r="MZ30" i="285"/>
  <c r="MX30" i="285"/>
  <c r="NA32" i="285"/>
  <c r="MY32" i="285"/>
  <c r="MZ32" i="285"/>
  <c r="MX32" i="285"/>
  <c r="ND4" i="285"/>
  <c r="NB4" i="285"/>
  <c r="NC4" i="285"/>
  <c r="NE4" i="285"/>
  <c r="AM12" i="262"/>
  <c r="AQ12" i="262" s="1"/>
  <c r="ND6" i="285"/>
  <c r="NB6" i="285"/>
  <c r="NC6" i="285"/>
  <c r="NE6" i="285"/>
  <c r="ND8" i="285"/>
  <c r="NB8" i="285"/>
  <c r="NE8" i="285"/>
  <c r="NC8" i="285"/>
  <c r="AM16" i="262"/>
  <c r="AQ16" i="262" s="1"/>
  <c r="ND10" i="285"/>
  <c r="NB10" i="285"/>
  <c r="NE10" i="285"/>
  <c r="NC10" i="285"/>
  <c r="ND12" i="285"/>
  <c r="NB12" i="285"/>
  <c r="NC12" i="285"/>
  <c r="NE12" i="285"/>
  <c r="AM20" i="262"/>
  <c r="AQ20" i="262" s="1"/>
  <c r="NE14" i="285"/>
  <c r="NC14" i="285"/>
  <c r="ND14" i="285"/>
  <c r="NB14" i="285"/>
  <c r="NE16" i="285"/>
  <c r="NC16" i="285"/>
  <c r="ND16" i="285"/>
  <c r="NB16" i="285"/>
  <c r="AM24" i="262"/>
  <c r="AQ24" i="262" s="1"/>
  <c r="NE18" i="285"/>
  <c r="NC18" i="285"/>
  <c r="ND18" i="285"/>
  <c r="NB18" i="285"/>
  <c r="NE20" i="285"/>
  <c r="NC20" i="285"/>
  <c r="ND20" i="285"/>
  <c r="NB20" i="285"/>
  <c r="AM28" i="262"/>
  <c r="AQ28" i="262" s="1"/>
  <c r="NE22" i="285"/>
  <c r="NC22" i="285"/>
  <c r="ND22" i="285"/>
  <c r="NB22" i="285"/>
  <c r="NE24" i="285"/>
  <c r="NC24" i="285"/>
  <c r="ND24" i="285"/>
  <c r="NB24" i="285"/>
  <c r="AM32" i="262"/>
  <c r="AQ32" i="262" s="1"/>
  <c r="NE26" i="285"/>
  <c r="NC26" i="285"/>
  <c r="ND26" i="285"/>
  <c r="NB26" i="285"/>
  <c r="NE28" i="285"/>
  <c r="NC28" i="285"/>
  <c r="ND28" i="285"/>
  <c r="NB28" i="285"/>
  <c r="AF208" i="269"/>
  <c r="AM36" i="262" s="1"/>
  <c r="AQ36" i="262" s="1"/>
  <c r="NE30" i="285"/>
  <c r="NC30" i="285"/>
  <c r="ND30" i="285"/>
  <c r="NB30" i="285"/>
  <c r="NE32" i="285"/>
  <c r="NC32" i="285"/>
  <c r="ND32" i="285"/>
  <c r="NB32" i="285"/>
  <c r="NH4" i="285"/>
  <c r="NF4" i="285"/>
  <c r="NG4" i="285"/>
  <c r="NI4" i="285"/>
  <c r="NH6" i="285"/>
  <c r="NF6" i="285"/>
  <c r="NG6" i="285"/>
  <c r="NI6" i="285"/>
  <c r="NH8" i="285"/>
  <c r="NF8" i="285"/>
  <c r="NI8" i="285"/>
  <c r="NG8" i="285"/>
  <c r="NH10" i="285"/>
  <c r="NF10" i="285"/>
  <c r="NI10" i="285"/>
  <c r="NG10" i="285"/>
  <c r="NH12" i="285"/>
  <c r="NF12" i="285"/>
  <c r="NG12" i="285"/>
  <c r="NI12" i="285"/>
  <c r="NI14" i="285"/>
  <c r="NG14" i="285"/>
  <c r="NH14" i="285"/>
  <c r="NF14" i="285"/>
  <c r="NI16" i="285"/>
  <c r="NG16" i="285"/>
  <c r="NH16" i="285"/>
  <c r="NF16" i="285"/>
  <c r="NI18" i="285"/>
  <c r="NG18" i="285"/>
  <c r="NH18" i="285"/>
  <c r="NF18" i="285"/>
  <c r="NI20" i="285"/>
  <c r="NG20" i="285"/>
  <c r="NH20" i="285"/>
  <c r="NF20" i="285"/>
  <c r="NI22" i="285"/>
  <c r="NG22" i="285"/>
  <c r="NH22" i="285"/>
  <c r="NF22" i="285"/>
  <c r="NI24" i="285"/>
  <c r="NG24" i="285"/>
  <c r="NH24" i="285"/>
  <c r="NF24" i="285"/>
  <c r="NI26" i="285"/>
  <c r="NG26" i="285"/>
  <c r="NH26" i="285"/>
  <c r="NF26" i="285"/>
  <c r="NI28" i="285"/>
  <c r="NG28" i="285"/>
  <c r="NH28" i="285"/>
  <c r="NF28" i="285"/>
  <c r="NI30" i="285"/>
  <c r="NG30" i="285"/>
  <c r="NH30" i="285"/>
  <c r="NF30" i="285"/>
  <c r="NI32" i="285"/>
  <c r="NG32" i="285"/>
  <c r="NH32" i="285"/>
  <c r="NF32" i="285"/>
  <c r="NL4" i="285"/>
  <c r="NJ4" i="285"/>
  <c r="NK4" i="285"/>
  <c r="NM4" i="285"/>
  <c r="NL6" i="285"/>
  <c r="NJ6" i="285"/>
  <c r="NK6" i="285"/>
  <c r="NM6" i="285"/>
  <c r="NL8" i="285"/>
  <c r="NJ8" i="285"/>
  <c r="NM8" i="285"/>
  <c r="NK8" i="285"/>
  <c r="NL10" i="285"/>
  <c r="NJ10" i="285"/>
  <c r="NM10" i="285"/>
  <c r="NK10" i="285"/>
  <c r="NL12" i="285"/>
  <c r="NJ12" i="285"/>
  <c r="NK12" i="285"/>
  <c r="NM12" i="285"/>
  <c r="NM14" i="285"/>
  <c r="NK14" i="285"/>
  <c r="NL14" i="285"/>
  <c r="NJ14" i="285"/>
  <c r="NM16" i="285"/>
  <c r="NK16" i="285"/>
  <c r="NL16" i="285"/>
  <c r="NJ16" i="285"/>
  <c r="NM18" i="285"/>
  <c r="NK18" i="285"/>
  <c r="NL18" i="285"/>
  <c r="NJ18" i="285"/>
  <c r="NM20" i="285"/>
  <c r="NK20" i="285"/>
  <c r="NL20" i="285"/>
  <c r="NJ20" i="285"/>
  <c r="NM22" i="285"/>
  <c r="NK22" i="285"/>
  <c r="NL22" i="285"/>
  <c r="NJ22" i="285"/>
  <c r="NM24" i="285"/>
  <c r="NK24" i="285"/>
  <c r="NL24" i="285"/>
  <c r="NJ24" i="285"/>
  <c r="NM26" i="285"/>
  <c r="NK26" i="285"/>
  <c r="NL26" i="285"/>
  <c r="NJ26" i="285"/>
  <c r="NM28" i="285"/>
  <c r="NK28" i="285"/>
  <c r="NL28" i="285"/>
  <c r="NJ28" i="285"/>
  <c r="NM30" i="285"/>
  <c r="NK30" i="285"/>
  <c r="NL30" i="285"/>
  <c r="NJ30" i="285"/>
  <c r="NM32" i="285"/>
  <c r="NK32" i="285"/>
  <c r="NL32" i="285"/>
  <c r="NJ32" i="285"/>
  <c r="NP4" i="285"/>
  <c r="NN4" i="285"/>
  <c r="NO4" i="285"/>
  <c r="NQ4" i="285"/>
  <c r="NP6" i="285"/>
  <c r="NN6" i="285"/>
  <c r="NO6" i="285"/>
  <c r="NQ6" i="285"/>
  <c r="NP8" i="285"/>
  <c r="NN8" i="285"/>
  <c r="NQ8" i="285"/>
  <c r="NO8" i="285"/>
  <c r="NP10" i="285"/>
  <c r="NN10" i="285"/>
  <c r="NQ10" i="285"/>
  <c r="NO10" i="285"/>
  <c r="NP12" i="285"/>
  <c r="NN12" i="285"/>
  <c r="NO12" i="285"/>
  <c r="NQ12" i="285"/>
  <c r="NQ14" i="285"/>
  <c r="NO14" i="285"/>
  <c r="NP14" i="285"/>
  <c r="NN14" i="285"/>
  <c r="NQ16" i="285"/>
  <c r="NO16" i="285"/>
  <c r="NP16" i="285"/>
  <c r="NN16" i="285"/>
  <c r="NQ18" i="285"/>
  <c r="NO18" i="285"/>
  <c r="NP18" i="285"/>
  <c r="NN18" i="285"/>
  <c r="NQ20" i="285"/>
  <c r="NO20" i="285"/>
  <c r="NP20" i="285"/>
  <c r="NN20" i="285"/>
  <c r="NQ22" i="285"/>
  <c r="NO22" i="285"/>
  <c r="NP22" i="285"/>
  <c r="NN22" i="285"/>
  <c r="NQ24" i="285"/>
  <c r="NO24" i="285"/>
  <c r="NP24" i="285"/>
  <c r="NN24" i="285"/>
  <c r="NQ26" i="285"/>
  <c r="NO26" i="285"/>
  <c r="NP26" i="285"/>
  <c r="NN26" i="285"/>
  <c r="NQ28" i="285"/>
  <c r="NO28" i="285"/>
  <c r="NP28" i="285"/>
  <c r="NN28" i="285"/>
  <c r="NQ30" i="285"/>
  <c r="NO30" i="285"/>
  <c r="NP30" i="285"/>
  <c r="NN30" i="285"/>
  <c r="NQ32" i="285"/>
  <c r="NO32" i="285"/>
  <c r="NP32" i="285"/>
  <c r="NN32" i="285"/>
  <c r="NT4" i="285"/>
  <c r="NR4" i="285"/>
  <c r="NS4" i="285"/>
  <c r="NU4" i="285"/>
  <c r="NT6" i="285"/>
  <c r="NR6" i="285"/>
  <c r="NS6" i="285"/>
  <c r="NU6" i="285"/>
  <c r="NT8" i="285"/>
  <c r="NR8" i="285"/>
  <c r="NU8" i="285"/>
  <c r="NS8" i="285"/>
  <c r="NT10" i="285"/>
  <c r="NR10" i="285"/>
  <c r="NU10" i="285"/>
  <c r="NS10" i="285"/>
  <c r="NT12" i="285"/>
  <c r="NR12" i="285"/>
  <c r="NS12" i="285"/>
  <c r="NU12" i="285"/>
  <c r="NU14" i="285"/>
  <c r="NS14" i="285"/>
  <c r="NT14" i="285"/>
  <c r="NR14" i="285"/>
  <c r="NU16" i="285"/>
  <c r="NS16" i="285"/>
  <c r="NT16" i="285"/>
  <c r="NR16" i="285"/>
  <c r="NU18" i="285"/>
  <c r="NS18" i="285"/>
  <c r="NT18" i="285"/>
  <c r="NR18" i="285"/>
  <c r="NU20" i="285"/>
  <c r="NS20" i="285"/>
  <c r="NT20" i="285"/>
  <c r="NR20" i="285"/>
  <c r="NU22" i="285"/>
  <c r="NS22" i="285"/>
  <c r="NT22" i="285"/>
  <c r="NR22" i="285"/>
  <c r="NU24" i="285"/>
  <c r="NS24" i="285"/>
  <c r="NT24" i="285"/>
  <c r="NR24" i="285"/>
  <c r="NU26" i="285"/>
  <c r="NS26" i="285"/>
  <c r="NT26" i="285"/>
  <c r="NR26" i="285"/>
  <c r="NU28" i="285"/>
  <c r="NS28" i="285"/>
  <c r="NT28" i="285"/>
  <c r="NR28" i="285"/>
  <c r="NU30" i="285"/>
  <c r="NS30" i="285"/>
  <c r="NT30" i="285"/>
  <c r="NR30" i="285"/>
  <c r="NU32" i="285"/>
  <c r="NS32" i="285"/>
  <c r="NT32" i="285"/>
  <c r="NR32" i="285"/>
  <c r="NX4" i="285"/>
  <c r="NV4" i="285"/>
  <c r="NW4" i="285"/>
  <c r="NY4" i="285"/>
  <c r="NX6" i="285"/>
  <c r="NV6" i="285"/>
  <c r="NW6" i="285"/>
  <c r="NY6" i="285"/>
  <c r="NX8" i="285"/>
  <c r="NV8" i="285"/>
  <c r="NY8" i="285"/>
  <c r="NW8" i="285"/>
  <c r="NX10" i="285"/>
  <c r="NV10" i="285"/>
  <c r="NY10" i="285"/>
  <c r="NW10" i="285"/>
  <c r="NX12" i="285"/>
  <c r="NV12" i="285"/>
  <c r="NW12" i="285"/>
  <c r="NY12" i="285"/>
  <c r="NY14" i="285"/>
  <c r="NW14" i="285"/>
  <c r="NX14" i="285"/>
  <c r="NV14" i="285"/>
  <c r="NY16" i="285"/>
  <c r="NW16" i="285"/>
  <c r="NX16" i="285"/>
  <c r="NV16" i="285"/>
  <c r="NY18" i="285"/>
  <c r="NW18" i="285"/>
  <c r="NX18" i="285"/>
  <c r="NV18" i="285"/>
  <c r="NY20" i="285"/>
  <c r="NW20" i="285"/>
  <c r="NX20" i="285"/>
  <c r="NV20" i="285"/>
  <c r="NY22" i="285"/>
  <c r="NW22" i="285"/>
  <c r="NX22" i="285"/>
  <c r="NV22" i="285"/>
  <c r="NY24" i="285"/>
  <c r="NW24" i="285"/>
  <c r="NX24" i="285"/>
  <c r="NV24" i="285"/>
  <c r="NY26" i="285"/>
  <c r="NW26" i="285"/>
  <c r="NX26" i="285"/>
  <c r="NV26" i="285"/>
  <c r="NY28" i="285"/>
  <c r="NW28" i="285"/>
  <c r="NX28" i="285"/>
  <c r="NV28" i="285"/>
  <c r="NY30" i="285"/>
  <c r="NW30" i="285"/>
  <c r="NX30" i="285"/>
  <c r="NV30" i="285"/>
  <c r="NY32" i="285"/>
  <c r="NW32" i="285"/>
  <c r="NX32" i="285"/>
  <c r="NV32" i="285"/>
  <c r="OB4" i="285"/>
  <c r="NZ4" i="285"/>
  <c r="OA4" i="285"/>
  <c r="OC4" i="285"/>
  <c r="OB6" i="285"/>
  <c r="NZ6" i="285"/>
  <c r="OA6" i="285"/>
  <c r="OC6" i="285"/>
  <c r="OB8" i="285"/>
  <c r="NZ8" i="285"/>
  <c r="OC8" i="285"/>
  <c r="OA8" i="285"/>
  <c r="OB10" i="285"/>
  <c r="NZ10" i="285"/>
  <c r="OC10" i="285"/>
  <c r="OA10" i="285"/>
  <c r="OB12" i="285"/>
  <c r="NZ12" i="285"/>
  <c r="OA12" i="285"/>
  <c r="OC12" i="285"/>
  <c r="OC14" i="285"/>
  <c r="OA14" i="285"/>
  <c r="OB14" i="285"/>
  <c r="NZ14" i="285"/>
  <c r="OC16" i="285"/>
  <c r="OA16" i="285"/>
  <c r="OB16" i="285"/>
  <c r="NZ16" i="285"/>
  <c r="OC18" i="285"/>
  <c r="OA18" i="285"/>
  <c r="OB18" i="285"/>
  <c r="NZ18" i="285"/>
  <c r="OC20" i="285"/>
  <c r="OA20" i="285"/>
  <c r="OB20" i="285"/>
  <c r="NZ20" i="285"/>
  <c r="OC22" i="285"/>
  <c r="OA22" i="285"/>
  <c r="OB22" i="285"/>
  <c r="NZ22" i="285"/>
  <c r="OC24" i="285"/>
  <c r="OA24" i="285"/>
  <c r="OB24" i="285"/>
  <c r="NZ24" i="285"/>
  <c r="OC26" i="285"/>
  <c r="OA26" i="285"/>
  <c r="OB26" i="285"/>
  <c r="NZ26" i="285"/>
  <c r="OC28" i="285"/>
  <c r="OA28" i="285"/>
  <c r="OB28" i="285"/>
  <c r="NZ28" i="285"/>
  <c r="OC30" i="285"/>
  <c r="OA30" i="285"/>
  <c r="OB30" i="285"/>
  <c r="NZ30" i="285"/>
  <c r="OC32" i="285"/>
  <c r="OA32" i="285"/>
  <c r="OB32" i="285"/>
  <c r="NZ32" i="285"/>
  <c r="OF4" i="285"/>
  <c r="OD4" i="285"/>
  <c r="OE4" i="285"/>
  <c r="OG4" i="285"/>
  <c r="OF6" i="285"/>
  <c r="OD6" i="285"/>
  <c r="OE6" i="285"/>
  <c r="OG6" i="285"/>
  <c r="OF8" i="285"/>
  <c r="OD8" i="285"/>
  <c r="OG8" i="285"/>
  <c r="OE8" i="285"/>
  <c r="OF10" i="285"/>
  <c r="OD10" i="285"/>
  <c r="OG10" i="285"/>
  <c r="OE10" i="285"/>
  <c r="OF12" i="285"/>
  <c r="OD12" i="285"/>
  <c r="OE12" i="285"/>
  <c r="OG12" i="285"/>
  <c r="OG14" i="285"/>
  <c r="OE14" i="285"/>
  <c r="OF14" i="285"/>
  <c r="OD14" i="285"/>
  <c r="OG16" i="285"/>
  <c r="OE16" i="285"/>
  <c r="OF16" i="285"/>
  <c r="OD16" i="285"/>
  <c r="OG18" i="285"/>
  <c r="OE18" i="285"/>
  <c r="OF18" i="285"/>
  <c r="OD18" i="285"/>
  <c r="OG20" i="285"/>
  <c r="OE20" i="285"/>
  <c r="OF20" i="285"/>
  <c r="OD20" i="285"/>
  <c r="OG22" i="285"/>
  <c r="OE22" i="285"/>
  <c r="OF22" i="285"/>
  <c r="OD22" i="285"/>
  <c r="OG24" i="285"/>
  <c r="OE24" i="285"/>
  <c r="OF24" i="285"/>
  <c r="OD24" i="285"/>
  <c r="OG26" i="285"/>
  <c r="OE26" i="285"/>
  <c r="OF26" i="285"/>
  <c r="OD26" i="285"/>
  <c r="OG28" i="285"/>
  <c r="OE28" i="285"/>
  <c r="OF28" i="285"/>
  <c r="OD28" i="285"/>
  <c r="OG30" i="285"/>
  <c r="OE30" i="285"/>
  <c r="OF30" i="285"/>
  <c r="OD30" i="285"/>
  <c r="OG32" i="285"/>
  <c r="OE32" i="285"/>
  <c r="OF32" i="285"/>
  <c r="OD32" i="285"/>
  <c r="OJ4" i="285"/>
  <c r="OH4" i="285"/>
  <c r="OI4" i="285"/>
  <c r="OK4" i="285"/>
  <c r="OJ6" i="285"/>
  <c r="OH6" i="285"/>
  <c r="OI6" i="285"/>
  <c r="OK6" i="285"/>
  <c r="OJ8" i="285"/>
  <c r="OH8" i="285"/>
  <c r="OK8" i="285"/>
  <c r="OI8" i="285"/>
  <c r="OJ10" i="285"/>
  <c r="OH10" i="285"/>
  <c r="OK10" i="285"/>
  <c r="OI10" i="285"/>
  <c r="OJ12" i="285"/>
  <c r="OH12" i="285"/>
  <c r="OI12" i="285"/>
  <c r="OK12" i="285"/>
  <c r="OK14" i="285"/>
  <c r="OI14" i="285"/>
  <c r="OJ14" i="285"/>
  <c r="OH14" i="285"/>
  <c r="OK16" i="285"/>
  <c r="OI16" i="285"/>
  <c r="OJ16" i="285"/>
  <c r="OH16" i="285"/>
  <c r="OK18" i="285"/>
  <c r="OI18" i="285"/>
  <c r="OJ18" i="285"/>
  <c r="OH18" i="285"/>
  <c r="OK20" i="285"/>
  <c r="OI20" i="285"/>
  <c r="OJ20" i="285"/>
  <c r="OH20" i="285"/>
  <c r="OK22" i="285"/>
  <c r="OI22" i="285"/>
  <c r="OJ22" i="285"/>
  <c r="OH22" i="285"/>
  <c r="OK24" i="285"/>
  <c r="OI24" i="285"/>
  <c r="OJ24" i="285"/>
  <c r="OH24" i="285"/>
  <c r="OK26" i="285"/>
  <c r="OI26" i="285"/>
  <c r="OJ26" i="285"/>
  <c r="OH26" i="285"/>
  <c r="OK28" i="285"/>
  <c r="OI28" i="285"/>
  <c r="OJ28" i="285"/>
  <c r="OH28" i="285"/>
  <c r="OK30" i="285"/>
  <c r="OI30" i="285"/>
  <c r="OJ30" i="285"/>
  <c r="OH30" i="285"/>
  <c r="OK32" i="285"/>
  <c r="OI32" i="285"/>
  <c r="OJ32" i="285"/>
  <c r="OH32" i="285"/>
  <c r="ON4" i="285"/>
  <c r="OL4" i="285"/>
  <c r="OM4" i="285"/>
  <c r="OO4" i="285"/>
  <c r="ON6" i="285"/>
  <c r="OL6" i="285"/>
  <c r="OM6" i="285"/>
  <c r="OO6" i="285"/>
  <c r="ON8" i="285"/>
  <c r="OL8" i="285"/>
  <c r="OO8" i="285"/>
  <c r="OM8" i="285"/>
  <c r="ON10" i="285"/>
  <c r="OL10" i="285"/>
  <c r="OO10" i="285"/>
  <c r="OM10" i="285"/>
  <c r="ON12" i="285"/>
  <c r="OL12" i="285"/>
  <c r="OM12" i="285"/>
  <c r="OO12" i="285"/>
  <c r="OO14" i="285"/>
  <c r="OM14" i="285"/>
  <c r="ON14" i="285"/>
  <c r="OL14" i="285"/>
  <c r="OO16" i="285"/>
  <c r="OM16" i="285"/>
  <c r="ON16" i="285"/>
  <c r="OL16" i="285"/>
  <c r="OO18" i="285"/>
  <c r="OM18" i="285"/>
  <c r="ON18" i="285"/>
  <c r="OL18" i="285"/>
  <c r="OO20" i="285"/>
  <c r="OM20" i="285"/>
  <c r="ON20" i="285"/>
  <c r="OL20" i="285"/>
  <c r="OO22" i="285"/>
  <c r="OM22" i="285"/>
  <c r="ON22" i="285"/>
  <c r="OL22" i="285"/>
  <c r="OO24" i="285"/>
  <c r="OM24" i="285"/>
  <c r="ON24" i="285"/>
  <c r="OL24" i="285"/>
  <c r="OO26" i="285"/>
  <c r="OM26" i="285"/>
  <c r="ON26" i="285"/>
  <c r="OL26" i="285"/>
  <c r="OO28" i="285"/>
  <c r="OM28" i="285"/>
  <c r="ON28" i="285"/>
  <c r="OL28" i="285"/>
  <c r="OO30" i="285"/>
  <c r="OM30" i="285"/>
  <c r="ON30" i="285"/>
  <c r="OL30" i="285"/>
  <c r="OO32" i="285"/>
  <c r="OM32" i="285"/>
  <c r="ON32" i="285"/>
  <c r="OL32" i="285"/>
  <c r="OR4" i="285"/>
  <c r="OP4" i="285"/>
  <c r="OQ4" i="285"/>
  <c r="OS4" i="285"/>
  <c r="OR6" i="285"/>
  <c r="OP6" i="285"/>
  <c r="OQ6" i="285"/>
  <c r="OS6" i="285"/>
  <c r="OR8" i="285"/>
  <c r="OP8" i="285"/>
  <c r="OS8" i="285"/>
  <c r="OQ8" i="285"/>
  <c r="OR10" i="285"/>
  <c r="OP10" i="285"/>
  <c r="OS10" i="285"/>
  <c r="OQ10" i="285"/>
  <c r="OR12" i="285"/>
  <c r="OP12" i="285"/>
  <c r="OQ12" i="285"/>
  <c r="OS12" i="285"/>
  <c r="OS14" i="285"/>
  <c r="OQ14" i="285"/>
  <c r="OR14" i="285"/>
  <c r="OP14" i="285"/>
  <c r="OS16" i="285"/>
  <c r="OQ16" i="285"/>
  <c r="OR16" i="285"/>
  <c r="OP16" i="285"/>
  <c r="OS18" i="285"/>
  <c r="OQ18" i="285"/>
  <c r="OR18" i="285"/>
  <c r="OP18" i="285"/>
  <c r="OS20" i="285"/>
  <c r="OQ20" i="285"/>
  <c r="OR20" i="285"/>
  <c r="OP20" i="285"/>
  <c r="OS22" i="285"/>
  <c r="OQ22" i="285"/>
  <c r="OR22" i="285"/>
  <c r="OP22" i="285"/>
  <c r="OS24" i="285"/>
  <c r="OQ24" i="285"/>
  <c r="OR24" i="285"/>
  <c r="OP24" i="285"/>
  <c r="OS26" i="285"/>
  <c r="OQ26" i="285"/>
  <c r="OR26" i="285"/>
  <c r="OP26" i="285"/>
  <c r="OS28" i="285"/>
  <c r="OQ28" i="285"/>
  <c r="OR28" i="285"/>
  <c r="OP28" i="285"/>
  <c r="OS30" i="285"/>
  <c r="OQ30" i="285"/>
  <c r="OR30" i="285"/>
  <c r="OP30" i="285"/>
  <c r="OS32" i="285"/>
  <c r="OQ32" i="285"/>
  <c r="OR32" i="285"/>
  <c r="OP32" i="285"/>
  <c r="OV4" i="285"/>
  <c r="OT4" i="285"/>
  <c r="OU4" i="285"/>
  <c r="OW4" i="285"/>
  <c r="OV6" i="285"/>
  <c r="OT6" i="285"/>
  <c r="OU6" i="285"/>
  <c r="OW6" i="285"/>
  <c r="OV8" i="285"/>
  <c r="OT8" i="285"/>
  <c r="OW8" i="285"/>
  <c r="OU8" i="285"/>
  <c r="OV10" i="285"/>
  <c r="OT10" i="285"/>
  <c r="OW10" i="285"/>
  <c r="OU10" i="285"/>
  <c r="OV12" i="285"/>
  <c r="OT12" i="285"/>
  <c r="OU12" i="285"/>
  <c r="OW12" i="285"/>
  <c r="OW14" i="285"/>
  <c r="OU14" i="285"/>
  <c r="OV14" i="285"/>
  <c r="OT14" i="285"/>
  <c r="OW16" i="285"/>
  <c r="OU16" i="285"/>
  <c r="OV16" i="285"/>
  <c r="OT16" i="285"/>
  <c r="OW18" i="285"/>
  <c r="OU18" i="285"/>
  <c r="OV18" i="285"/>
  <c r="OT18" i="285"/>
  <c r="OW20" i="285"/>
  <c r="OU20" i="285"/>
  <c r="OV20" i="285"/>
  <c r="OT20" i="285"/>
  <c r="OW22" i="285"/>
  <c r="OU22" i="285"/>
  <c r="OV22" i="285"/>
  <c r="OT22" i="285"/>
  <c r="OW24" i="285"/>
  <c r="OU24" i="285"/>
  <c r="OV24" i="285"/>
  <c r="OT24" i="285"/>
  <c r="OW26" i="285"/>
  <c r="OU26" i="285"/>
  <c r="OV26" i="285"/>
  <c r="OT26" i="285"/>
  <c r="OW28" i="285"/>
  <c r="OU28" i="285"/>
  <c r="OV28" i="285"/>
  <c r="OT28" i="285"/>
  <c r="OW30" i="285"/>
  <c r="OU30" i="285"/>
  <c r="OV30" i="285"/>
  <c r="OT30" i="285"/>
  <c r="OW32" i="285"/>
  <c r="OU32" i="285"/>
  <c r="OV32" i="285"/>
  <c r="OT32" i="285"/>
  <c r="OZ4" i="285"/>
  <c r="OX4" i="285"/>
  <c r="OY4" i="285"/>
  <c r="PA4" i="285"/>
  <c r="OZ6" i="285"/>
  <c r="OX6" i="285"/>
  <c r="OY6" i="285"/>
  <c r="PA6" i="285"/>
  <c r="OZ8" i="285"/>
  <c r="OX8" i="285"/>
  <c r="PA8" i="285"/>
  <c r="OY8" i="285"/>
  <c r="OZ10" i="285"/>
  <c r="OX10" i="285"/>
  <c r="PA10" i="285"/>
  <c r="OY10" i="285"/>
  <c r="OZ12" i="285"/>
  <c r="OX12" i="285"/>
  <c r="OY12" i="285"/>
  <c r="PA12" i="285"/>
  <c r="PA14" i="285"/>
  <c r="OY14" i="285"/>
  <c r="OZ14" i="285"/>
  <c r="OX14" i="285"/>
  <c r="PA16" i="285"/>
  <c r="OY16" i="285"/>
  <c r="OZ16" i="285"/>
  <c r="OX16" i="285"/>
  <c r="PA18" i="285"/>
  <c r="OY18" i="285"/>
  <c r="OZ18" i="285"/>
  <c r="OX18" i="285"/>
  <c r="PA20" i="285"/>
  <c r="OY20" i="285"/>
  <c r="OZ20" i="285"/>
  <c r="OX20" i="285"/>
  <c r="PA22" i="285"/>
  <c r="OY22" i="285"/>
  <c r="OZ22" i="285"/>
  <c r="OX22" i="285"/>
  <c r="PA24" i="285"/>
  <c r="OY24" i="285"/>
  <c r="OZ24" i="285"/>
  <c r="OX24" i="285"/>
  <c r="PA26" i="285"/>
  <c r="OY26" i="285"/>
  <c r="OZ26" i="285"/>
  <c r="OX26" i="285"/>
  <c r="PA28" i="285"/>
  <c r="OY28" i="285"/>
  <c r="OZ28" i="285"/>
  <c r="OX28" i="285"/>
  <c r="PA30" i="285"/>
  <c r="OY30" i="285"/>
  <c r="OZ30" i="285"/>
  <c r="OX30" i="285"/>
  <c r="PA32" i="285"/>
  <c r="OY32" i="285"/>
  <c r="OZ32" i="285"/>
  <c r="OX32" i="285"/>
  <c r="PD4" i="285"/>
  <c r="PB4" i="285"/>
  <c r="PC4" i="285"/>
  <c r="PE4" i="285"/>
  <c r="PD6" i="285"/>
  <c r="PB6" i="285"/>
  <c r="PC6" i="285"/>
  <c r="PE6" i="285"/>
  <c r="PD8" i="285"/>
  <c r="PB8" i="285"/>
  <c r="PE8" i="285"/>
  <c r="PC8" i="285"/>
  <c r="PD10" i="285"/>
  <c r="PB10" i="285"/>
  <c r="PE10" i="285"/>
  <c r="PC10" i="285"/>
  <c r="PD12" i="285"/>
  <c r="PB12" i="285"/>
  <c r="PC12" i="285"/>
  <c r="PE12" i="285"/>
  <c r="PE14" i="285"/>
  <c r="PC14" i="285"/>
  <c r="PD14" i="285"/>
  <c r="PB14" i="285"/>
  <c r="PE16" i="285"/>
  <c r="PC16" i="285"/>
  <c r="PD16" i="285"/>
  <c r="PB16" i="285"/>
  <c r="PE18" i="285"/>
  <c r="PC18" i="285"/>
  <c r="PD18" i="285"/>
  <c r="PB18" i="285"/>
  <c r="PE20" i="285"/>
  <c r="PC20" i="285"/>
  <c r="PD20" i="285"/>
  <c r="PB20" i="285"/>
  <c r="PE22" i="285"/>
  <c r="PC22" i="285"/>
  <c r="PD22" i="285"/>
  <c r="PB22" i="285"/>
  <c r="PE24" i="285"/>
  <c r="PC24" i="285"/>
  <c r="PD24" i="285"/>
  <c r="PB24" i="285"/>
  <c r="PE26" i="285"/>
  <c r="PC26" i="285"/>
  <c r="PD26" i="285"/>
  <c r="PB26" i="285"/>
  <c r="PE28" i="285"/>
  <c r="PC28" i="285"/>
  <c r="PD28" i="285"/>
  <c r="PB28" i="285"/>
  <c r="PE30" i="285"/>
  <c r="PC30" i="285"/>
  <c r="PD30" i="285"/>
  <c r="PB30" i="285"/>
  <c r="PE32" i="285"/>
  <c r="PC32" i="285"/>
  <c r="PD32" i="285"/>
  <c r="PB32" i="285"/>
  <c r="PH4" i="285"/>
  <c r="PF4" i="285"/>
  <c r="PG4" i="285"/>
  <c r="PI4" i="285"/>
  <c r="PH6" i="285"/>
  <c r="PF6" i="285"/>
  <c r="PG6" i="285"/>
  <c r="PI6" i="285"/>
  <c r="PH8" i="285"/>
  <c r="PF8" i="285"/>
  <c r="PI8" i="285"/>
  <c r="PG8" i="285"/>
  <c r="PH10" i="285"/>
  <c r="PF10" i="285"/>
  <c r="PI10" i="285"/>
  <c r="PG10" i="285"/>
  <c r="PH12" i="285"/>
  <c r="PF12" i="285"/>
  <c r="PG12" i="285"/>
  <c r="PI12" i="285"/>
  <c r="PI14" i="285"/>
  <c r="PG14" i="285"/>
  <c r="PH14" i="285"/>
  <c r="PF14" i="285"/>
  <c r="PI16" i="285"/>
  <c r="PG16" i="285"/>
  <c r="PH16" i="285"/>
  <c r="PF16" i="285"/>
  <c r="PI18" i="285"/>
  <c r="PG18" i="285"/>
  <c r="PH18" i="285"/>
  <c r="PF18" i="285"/>
  <c r="PI20" i="285"/>
  <c r="PG20" i="285"/>
  <c r="PH20" i="285"/>
  <c r="PF20" i="285"/>
  <c r="PI22" i="285"/>
  <c r="PG22" i="285"/>
  <c r="PH22" i="285"/>
  <c r="PF22" i="285"/>
  <c r="PI24" i="285"/>
  <c r="PG24" i="285"/>
  <c r="PH24" i="285"/>
  <c r="PF24" i="285"/>
  <c r="PI26" i="285"/>
  <c r="PG26" i="285"/>
  <c r="PH26" i="285"/>
  <c r="PF26" i="285"/>
  <c r="PI28" i="285"/>
  <c r="PG28" i="285"/>
  <c r="PH28" i="285"/>
  <c r="PF28" i="285"/>
  <c r="PI30" i="285"/>
  <c r="PG30" i="285"/>
  <c r="PH30" i="285"/>
  <c r="PF30" i="285"/>
  <c r="PI32" i="285"/>
  <c r="PG32" i="285"/>
  <c r="PH32" i="285"/>
  <c r="PF32" i="285"/>
  <c r="PL4" i="285"/>
  <c r="PJ4" i="285"/>
  <c r="PK4" i="285"/>
  <c r="PM4" i="285"/>
  <c r="PL6" i="285"/>
  <c r="PJ6" i="285"/>
  <c r="PK6" i="285"/>
  <c r="PM6" i="285"/>
  <c r="PL8" i="285"/>
  <c r="PJ8" i="285"/>
  <c r="PM8" i="285"/>
  <c r="PK8" i="285"/>
  <c r="PL10" i="285"/>
  <c r="PJ10" i="285"/>
  <c r="PM10" i="285"/>
  <c r="PK10" i="285"/>
  <c r="PM12" i="285"/>
  <c r="PK12" i="285"/>
  <c r="PL12" i="285"/>
  <c r="PJ12" i="285"/>
  <c r="PM14" i="285"/>
  <c r="PK14" i="285"/>
  <c r="PL14" i="285"/>
  <c r="PJ14" i="285"/>
  <c r="PM16" i="285"/>
  <c r="PK16" i="285"/>
  <c r="PL16" i="285"/>
  <c r="PJ16" i="285"/>
  <c r="PM18" i="285"/>
  <c r="PK18" i="285"/>
  <c r="PL18" i="285"/>
  <c r="PJ18" i="285"/>
  <c r="PM20" i="285"/>
  <c r="PK20" i="285"/>
  <c r="PL20" i="285"/>
  <c r="PJ20" i="285"/>
  <c r="PM22" i="285"/>
  <c r="PK22" i="285"/>
  <c r="PL22" i="285"/>
  <c r="PJ22" i="285"/>
  <c r="PM24" i="285"/>
  <c r="PK24" i="285"/>
  <c r="PL24" i="285"/>
  <c r="PJ24" i="285"/>
  <c r="PM26" i="285"/>
  <c r="PK26" i="285"/>
  <c r="PL26" i="285"/>
  <c r="PJ26" i="285"/>
  <c r="PM28" i="285"/>
  <c r="PK28" i="285"/>
  <c r="PL28" i="285"/>
  <c r="PJ28" i="285"/>
  <c r="PM30" i="285"/>
  <c r="PK30" i="285"/>
  <c r="PL30" i="285"/>
  <c r="PJ30" i="285"/>
  <c r="PM32" i="285"/>
  <c r="PK32" i="285"/>
  <c r="PL32" i="285"/>
  <c r="PJ32" i="285"/>
  <c r="PP4" i="285"/>
  <c r="PN4" i="285"/>
  <c r="PO4" i="285"/>
  <c r="PQ4" i="285"/>
  <c r="PP6" i="285"/>
  <c r="PN6" i="285"/>
  <c r="PO6" i="285"/>
  <c r="PQ6" i="285"/>
  <c r="PP8" i="285"/>
  <c r="PN8" i="285"/>
  <c r="PQ8" i="285"/>
  <c r="PO8" i="285"/>
  <c r="PP10" i="285"/>
  <c r="PN10" i="285"/>
  <c r="PQ10" i="285"/>
  <c r="PO10" i="285"/>
  <c r="PQ12" i="285"/>
  <c r="PO12" i="285"/>
  <c r="PP12" i="285"/>
  <c r="PN12" i="285"/>
  <c r="PQ14" i="285"/>
  <c r="PO14" i="285"/>
  <c r="PP14" i="285"/>
  <c r="PN14" i="285"/>
  <c r="PQ16" i="285"/>
  <c r="PO16" i="285"/>
  <c r="PP16" i="285"/>
  <c r="PN16" i="285"/>
  <c r="PQ18" i="285"/>
  <c r="PO18" i="285"/>
  <c r="PP18" i="285"/>
  <c r="PN18" i="285"/>
  <c r="PQ20" i="285"/>
  <c r="PO20" i="285"/>
  <c r="PP20" i="285"/>
  <c r="PN20" i="285"/>
  <c r="PQ22" i="285"/>
  <c r="PO22" i="285"/>
  <c r="PP22" i="285"/>
  <c r="PN22" i="285"/>
  <c r="PQ24" i="285"/>
  <c r="PO24" i="285"/>
  <c r="PP24" i="285"/>
  <c r="PN24" i="285"/>
  <c r="PQ26" i="285"/>
  <c r="PO26" i="285"/>
  <c r="PP26" i="285"/>
  <c r="PN26" i="285"/>
  <c r="PQ28" i="285"/>
  <c r="PO28" i="285"/>
  <c r="PP28" i="285"/>
  <c r="PN28" i="285"/>
  <c r="PQ30" i="285"/>
  <c r="PO30" i="285"/>
  <c r="PP30" i="285"/>
  <c r="PN30" i="285"/>
  <c r="PQ32" i="285"/>
  <c r="PO32" i="285"/>
  <c r="PP32" i="285"/>
  <c r="PN32" i="285"/>
  <c r="PT4" i="285"/>
  <c r="PR4" i="285"/>
  <c r="PS4" i="285"/>
  <c r="PU4" i="285"/>
  <c r="PT6" i="285"/>
  <c r="PR6" i="285"/>
  <c r="PS6" i="285"/>
  <c r="PU6" i="285"/>
  <c r="PT8" i="285"/>
  <c r="PR8" i="285"/>
  <c r="PU8" i="285"/>
  <c r="PS8" i="285"/>
  <c r="PT10" i="285"/>
  <c r="PR10" i="285"/>
  <c r="PU10" i="285"/>
  <c r="PS10" i="285"/>
  <c r="PU12" i="285"/>
  <c r="PS12" i="285"/>
  <c r="PT12" i="285"/>
  <c r="PR12" i="285"/>
  <c r="PU14" i="285"/>
  <c r="PS14" i="285"/>
  <c r="PT14" i="285"/>
  <c r="PR14" i="285"/>
  <c r="PU16" i="285"/>
  <c r="PS16" i="285"/>
  <c r="PT16" i="285"/>
  <c r="PR16" i="285"/>
  <c r="PU18" i="285"/>
  <c r="PS18" i="285"/>
  <c r="PT18" i="285"/>
  <c r="PR18" i="285"/>
  <c r="PU20" i="285"/>
  <c r="PS20" i="285"/>
  <c r="PT20" i="285"/>
  <c r="PR20" i="285"/>
  <c r="PU22" i="285"/>
  <c r="PS22" i="285"/>
  <c r="PT22" i="285"/>
  <c r="PR22" i="285"/>
  <c r="PU24" i="285"/>
  <c r="PS24" i="285"/>
  <c r="PT24" i="285"/>
  <c r="PR24" i="285"/>
  <c r="PU26" i="285"/>
  <c r="PS26" i="285"/>
  <c r="PT26" i="285"/>
  <c r="PR26" i="285"/>
  <c r="PU28" i="285"/>
  <c r="PS28" i="285"/>
  <c r="PT28" i="285"/>
  <c r="PR28" i="285"/>
  <c r="PU30" i="285"/>
  <c r="PS30" i="285"/>
  <c r="PT30" i="285"/>
  <c r="PR30" i="285"/>
  <c r="PU32" i="285"/>
  <c r="PS32" i="285"/>
  <c r="PT32" i="285"/>
  <c r="PR32" i="285"/>
  <c r="PX4" i="285"/>
  <c r="PV4" i="285"/>
  <c r="PW4" i="285"/>
  <c r="PY4" i="285"/>
  <c r="PX6" i="285"/>
  <c r="PV6" i="285"/>
  <c r="PW6" i="285"/>
  <c r="PY6" i="285"/>
  <c r="PX8" i="285"/>
  <c r="PV8" i="285"/>
  <c r="PY8" i="285"/>
  <c r="PW8" i="285"/>
  <c r="PX10" i="285"/>
  <c r="PV10" i="285"/>
  <c r="PY10" i="285"/>
  <c r="PW10" i="285"/>
  <c r="PY12" i="285"/>
  <c r="PW12" i="285"/>
  <c r="PX12" i="285"/>
  <c r="PV12" i="285"/>
  <c r="PY14" i="285"/>
  <c r="PW14" i="285"/>
  <c r="PX14" i="285"/>
  <c r="PV14" i="285"/>
  <c r="PY16" i="285"/>
  <c r="PW16" i="285"/>
  <c r="PX16" i="285"/>
  <c r="PV16" i="285"/>
  <c r="PY18" i="285"/>
  <c r="PW18" i="285"/>
  <c r="PX18" i="285"/>
  <c r="PV18" i="285"/>
  <c r="PY20" i="285"/>
  <c r="PW20" i="285"/>
  <c r="PX20" i="285"/>
  <c r="PV20" i="285"/>
  <c r="PY22" i="285"/>
  <c r="PW22" i="285"/>
  <c r="PX22" i="285"/>
  <c r="PV22" i="285"/>
  <c r="PY24" i="285"/>
  <c r="PW24" i="285"/>
  <c r="PX24" i="285"/>
  <c r="PV24" i="285"/>
  <c r="PY26" i="285"/>
  <c r="PW26" i="285"/>
  <c r="PX26" i="285"/>
  <c r="PV26" i="285"/>
  <c r="PY28" i="285"/>
  <c r="PW28" i="285"/>
  <c r="PX28" i="285"/>
  <c r="PV28" i="285"/>
  <c r="PY30" i="285"/>
  <c r="PW30" i="285"/>
  <c r="PX30" i="285"/>
  <c r="PV30" i="285"/>
  <c r="PY32" i="285"/>
  <c r="PW32" i="285"/>
  <c r="PX32" i="285"/>
  <c r="PV32" i="285"/>
  <c r="QB4" i="285"/>
  <c r="PZ4" i="285"/>
  <c r="QA4" i="285"/>
  <c r="QC4" i="285"/>
  <c r="QB6" i="285"/>
  <c r="PZ6" i="285"/>
  <c r="QA6" i="285"/>
  <c r="QC6" i="285"/>
  <c r="QB8" i="285"/>
  <c r="PZ8" i="285"/>
  <c r="QC8" i="285"/>
  <c r="QA8" i="285"/>
  <c r="QB10" i="285"/>
  <c r="PZ10" i="285"/>
  <c r="QC10" i="285"/>
  <c r="QA10" i="285"/>
  <c r="QC12" i="285"/>
  <c r="QA12" i="285"/>
  <c r="QB12" i="285"/>
  <c r="PZ12" i="285"/>
  <c r="QC14" i="285"/>
  <c r="QA14" i="285"/>
  <c r="QB14" i="285"/>
  <c r="PZ14" i="285"/>
  <c r="QC16" i="285"/>
  <c r="QA16" i="285"/>
  <c r="QB16" i="285"/>
  <c r="PZ16" i="285"/>
  <c r="QC18" i="285"/>
  <c r="QA18" i="285"/>
  <c r="QB18" i="285"/>
  <c r="PZ18" i="285"/>
  <c r="QC20" i="285"/>
  <c r="QA20" i="285"/>
  <c r="QB20" i="285"/>
  <c r="PZ20" i="285"/>
  <c r="QC22" i="285"/>
  <c r="QA22" i="285"/>
  <c r="QB22" i="285"/>
  <c r="PZ22" i="285"/>
  <c r="QC24" i="285"/>
  <c r="QA24" i="285"/>
  <c r="QB24" i="285"/>
  <c r="PZ24" i="285"/>
  <c r="QC26" i="285"/>
  <c r="QA26" i="285"/>
  <c r="QB26" i="285"/>
  <c r="PZ26" i="285"/>
  <c r="QC28" i="285"/>
  <c r="QA28" i="285"/>
  <c r="QB28" i="285"/>
  <c r="PZ28" i="285"/>
  <c r="QC30" i="285"/>
  <c r="QA30" i="285"/>
  <c r="QB30" i="285"/>
  <c r="PZ30" i="285"/>
  <c r="QC32" i="285"/>
  <c r="QA32" i="285"/>
  <c r="QB32" i="285"/>
  <c r="PZ32" i="285"/>
  <c r="QF4" i="285"/>
  <c r="QD4" i="285"/>
  <c r="QE4" i="285"/>
  <c r="QG4" i="285"/>
  <c r="QF6" i="285"/>
  <c r="QD6" i="285"/>
  <c r="QE6" i="285"/>
  <c r="QG6" i="285"/>
  <c r="QF8" i="285"/>
  <c r="QD8" i="285"/>
  <c r="QG8" i="285"/>
  <c r="QE8" i="285"/>
  <c r="QF10" i="285"/>
  <c r="QD10" i="285"/>
  <c r="QG10" i="285"/>
  <c r="QE10" i="285"/>
  <c r="QG12" i="285"/>
  <c r="QE12" i="285"/>
  <c r="QF12" i="285"/>
  <c r="QD12" i="285"/>
  <c r="QG14" i="285"/>
  <c r="QE14" i="285"/>
  <c r="QF14" i="285"/>
  <c r="QD14" i="285"/>
  <c r="QG16" i="285"/>
  <c r="QE16" i="285"/>
  <c r="QF16" i="285"/>
  <c r="QD16" i="285"/>
  <c r="QG18" i="285"/>
  <c r="QE18" i="285"/>
  <c r="QF18" i="285"/>
  <c r="QD18" i="285"/>
  <c r="QG20" i="285"/>
  <c r="QE20" i="285"/>
  <c r="QF20" i="285"/>
  <c r="QD20" i="285"/>
  <c r="QG22" i="285"/>
  <c r="QE22" i="285"/>
  <c r="QF22" i="285"/>
  <c r="QD22" i="285"/>
  <c r="QG24" i="285"/>
  <c r="QE24" i="285"/>
  <c r="QF24" i="285"/>
  <c r="QD24" i="285"/>
  <c r="QG26" i="285"/>
  <c r="QE26" i="285"/>
  <c r="QF26" i="285"/>
  <c r="QD26" i="285"/>
  <c r="QG28" i="285"/>
  <c r="QE28" i="285"/>
  <c r="QF28" i="285"/>
  <c r="QD28" i="285"/>
  <c r="QG30" i="285"/>
  <c r="QE30" i="285"/>
  <c r="QF30" i="285"/>
  <c r="QD30" i="285"/>
  <c r="QG32" i="285"/>
  <c r="QE32" i="285"/>
  <c r="QF32" i="285"/>
  <c r="QD32" i="285"/>
  <c r="QJ4" i="285"/>
  <c r="QH4" i="285"/>
  <c r="QI4" i="285"/>
  <c r="QK4" i="285"/>
  <c r="QJ6" i="285"/>
  <c r="QH6" i="285"/>
  <c r="QI6" i="285"/>
  <c r="QK6" i="285"/>
  <c r="QJ8" i="285"/>
  <c r="QH8" i="285"/>
  <c r="QK8" i="285"/>
  <c r="QI8" i="285"/>
  <c r="QJ10" i="285"/>
  <c r="QH10" i="285"/>
  <c r="QK10" i="285"/>
  <c r="QI10" i="285"/>
  <c r="QK12" i="285"/>
  <c r="QI12" i="285"/>
  <c r="QJ12" i="285"/>
  <c r="QH12" i="285"/>
  <c r="QK14" i="285"/>
  <c r="QI14" i="285"/>
  <c r="QJ14" i="285"/>
  <c r="QH14" i="285"/>
  <c r="QK16" i="285"/>
  <c r="QI16" i="285"/>
  <c r="QJ16" i="285"/>
  <c r="QH16" i="285"/>
  <c r="QK18" i="285"/>
  <c r="QI18" i="285"/>
  <c r="QJ18" i="285"/>
  <c r="QH18" i="285"/>
  <c r="QK20" i="285"/>
  <c r="QI20" i="285"/>
  <c r="QJ20" i="285"/>
  <c r="QH20" i="285"/>
  <c r="QK22" i="285"/>
  <c r="QI22" i="285"/>
  <c r="QJ22" i="285"/>
  <c r="QH22" i="285"/>
  <c r="QK24" i="285"/>
  <c r="QI24" i="285"/>
  <c r="QJ24" i="285"/>
  <c r="QH24" i="285"/>
  <c r="QK26" i="285"/>
  <c r="QI26" i="285"/>
  <c r="QJ26" i="285"/>
  <c r="QH26" i="285"/>
  <c r="QK28" i="285"/>
  <c r="QI28" i="285"/>
  <c r="QJ28" i="285"/>
  <c r="QH28" i="285"/>
  <c r="QK30" i="285"/>
  <c r="QI30" i="285"/>
  <c r="QJ30" i="285"/>
  <c r="QH30" i="285"/>
  <c r="QK32" i="285"/>
  <c r="QI32" i="285"/>
  <c r="QJ32" i="285"/>
  <c r="QH32" i="285"/>
  <c r="QN4" i="285"/>
  <c r="QL4" i="285"/>
  <c r="QM4" i="285"/>
  <c r="QO4" i="285"/>
  <c r="QN6" i="285"/>
  <c r="QL6" i="285"/>
  <c r="QM6" i="285"/>
  <c r="QO6" i="285"/>
  <c r="QN8" i="285"/>
  <c r="QL8" i="285"/>
  <c r="QO8" i="285"/>
  <c r="QM8" i="285"/>
  <c r="QN10" i="285"/>
  <c r="QL10" i="285"/>
  <c r="QO10" i="285"/>
  <c r="QM10" i="285"/>
  <c r="QO12" i="285"/>
  <c r="QM12" i="285"/>
  <c r="QN12" i="285"/>
  <c r="QL12" i="285"/>
  <c r="QO14" i="285"/>
  <c r="QM14" i="285"/>
  <c r="QN14" i="285"/>
  <c r="QL14" i="285"/>
  <c r="QO16" i="285"/>
  <c r="QM16" i="285"/>
  <c r="QN16" i="285"/>
  <c r="QL16" i="285"/>
  <c r="QO18" i="285"/>
  <c r="QM18" i="285"/>
  <c r="QN18" i="285"/>
  <c r="QL18" i="285"/>
  <c r="QO20" i="285"/>
  <c r="QM20" i="285"/>
  <c r="QN20" i="285"/>
  <c r="QL20" i="285"/>
  <c r="QO22" i="285"/>
  <c r="QM22" i="285"/>
  <c r="QN22" i="285"/>
  <c r="QL22" i="285"/>
  <c r="QO24" i="285"/>
  <c r="QM24" i="285"/>
  <c r="QN24" i="285"/>
  <c r="QL24" i="285"/>
  <c r="QO26" i="285"/>
  <c r="QM26" i="285"/>
  <c r="QN26" i="285"/>
  <c r="QL26" i="285"/>
  <c r="QO28" i="285"/>
  <c r="QM28" i="285"/>
  <c r="QN28" i="285"/>
  <c r="QL28" i="285"/>
  <c r="QO30" i="285"/>
  <c r="QM30" i="285"/>
  <c r="QN30" i="285"/>
  <c r="QL30" i="285"/>
  <c r="QO32" i="285"/>
  <c r="QM32" i="285"/>
  <c r="QN32" i="285"/>
  <c r="QL32" i="285"/>
  <c r="QR4" i="285"/>
  <c r="QP4" i="285"/>
  <c r="QQ4" i="285"/>
  <c r="QS4" i="285"/>
  <c r="QR6" i="285"/>
  <c r="QP6" i="285"/>
  <c r="QQ6" i="285"/>
  <c r="QS6" i="285"/>
  <c r="QR8" i="285"/>
  <c r="QP8" i="285"/>
  <c r="QS8" i="285"/>
  <c r="QQ8" i="285"/>
  <c r="QR10" i="285"/>
  <c r="QP10" i="285"/>
  <c r="QS10" i="285"/>
  <c r="QQ10" i="285"/>
  <c r="QS12" i="285"/>
  <c r="QQ12" i="285"/>
  <c r="QR12" i="285"/>
  <c r="QP12" i="285"/>
  <c r="QS14" i="285"/>
  <c r="QQ14" i="285"/>
  <c r="QR14" i="285"/>
  <c r="QP14" i="285"/>
  <c r="QS16" i="285"/>
  <c r="QQ16" i="285"/>
  <c r="QR16" i="285"/>
  <c r="QP16" i="285"/>
  <c r="QS18" i="285"/>
  <c r="QQ18" i="285"/>
  <c r="QR18" i="285"/>
  <c r="QP18" i="285"/>
  <c r="QS20" i="285"/>
  <c r="QQ20" i="285"/>
  <c r="QR20" i="285"/>
  <c r="QP20" i="285"/>
  <c r="QS22" i="285"/>
  <c r="QQ22" i="285"/>
  <c r="QR22" i="285"/>
  <c r="QP22" i="285"/>
  <c r="QS24" i="285"/>
  <c r="QQ24" i="285"/>
  <c r="QR24" i="285"/>
  <c r="QP24" i="285"/>
  <c r="QS26" i="285"/>
  <c r="QQ26" i="285"/>
  <c r="QR26" i="285"/>
  <c r="QP26" i="285"/>
  <c r="QS28" i="285"/>
  <c r="QQ28" i="285"/>
  <c r="QR28" i="285"/>
  <c r="QP28" i="285"/>
  <c r="QS30" i="285"/>
  <c r="QQ30" i="285"/>
  <c r="QR30" i="285"/>
  <c r="QP30" i="285"/>
  <c r="QS32" i="285"/>
  <c r="QQ32" i="285"/>
  <c r="QR32" i="285"/>
  <c r="QP32" i="285"/>
  <c r="QV4" i="285"/>
  <c r="QT4" i="285"/>
  <c r="QU4" i="285"/>
  <c r="QW4" i="285"/>
  <c r="QV6" i="285"/>
  <c r="QT6" i="285"/>
  <c r="QU6" i="285"/>
  <c r="QW6" i="285"/>
  <c r="QV8" i="285"/>
  <c r="QT8" i="285"/>
  <c r="QW8" i="285"/>
  <c r="QU8" i="285"/>
  <c r="QV10" i="285"/>
  <c r="QT10" i="285"/>
  <c r="QW10" i="285"/>
  <c r="QU10" i="285"/>
  <c r="QW12" i="285"/>
  <c r="QU12" i="285"/>
  <c r="QV12" i="285"/>
  <c r="QT12" i="285"/>
  <c r="QW14" i="285"/>
  <c r="QU14" i="285"/>
  <c r="QV14" i="285"/>
  <c r="QT14" i="285"/>
  <c r="QW16" i="285"/>
  <c r="QU16" i="285"/>
  <c r="QV16" i="285"/>
  <c r="QT16" i="285"/>
  <c r="QW18" i="285"/>
  <c r="QU18" i="285"/>
  <c r="QV18" i="285"/>
  <c r="QT18" i="285"/>
  <c r="QW20" i="285"/>
  <c r="QU20" i="285"/>
  <c r="QV20" i="285"/>
  <c r="QT20" i="285"/>
  <c r="QW22" i="285"/>
  <c r="QU22" i="285"/>
  <c r="QV22" i="285"/>
  <c r="QT22" i="285"/>
  <c r="QW24" i="285"/>
  <c r="QU24" i="285"/>
  <c r="QV24" i="285"/>
  <c r="QT24" i="285"/>
  <c r="QW26" i="285"/>
  <c r="QU26" i="285"/>
  <c r="QV26" i="285"/>
  <c r="QT26" i="285"/>
  <c r="QW28" i="285"/>
  <c r="QU28" i="285"/>
  <c r="QV28" i="285"/>
  <c r="QT28" i="285"/>
  <c r="QW30" i="285"/>
  <c r="QU30" i="285"/>
  <c r="QV30" i="285"/>
  <c r="QT30" i="285"/>
  <c r="QW32" i="285"/>
  <c r="QU32" i="285"/>
  <c r="QV32" i="285"/>
  <c r="QT32" i="285"/>
  <c r="QZ4" i="285"/>
  <c r="QX4" i="285"/>
  <c r="QY4" i="285"/>
  <c r="RA4" i="285"/>
  <c r="QZ6" i="285"/>
  <c r="QX6" i="285"/>
  <c r="QY6" i="285"/>
  <c r="RA6" i="285"/>
  <c r="QZ8" i="285"/>
  <c r="QX8" i="285"/>
  <c r="RA8" i="285"/>
  <c r="QY8" i="285"/>
  <c r="QZ10" i="285"/>
  <c r="QX10" i="285"/>
  <c r="RA10" i="285"/>
  <c r="QY10" i="285"/>
  <c r="RA12" i="285"/>
  <c r="QY12" i="285"/>
  <c r="QZ12" i="285"/>
  <c r="QX12" i="285"/>
  <c r="RA14" i="285"/>
  <c r="QY14" i="285"/>
  <c r="QZ14" i="285"/>
  <c r="QX14" i="285"/>
  <c r="RA16" i="285"/>
  <c r="QY16" i="285"/>
  <c r="QZ16" i="285"/>
  <c r="QX16" i="285"/>
  <c r="RA18" i="285"/>
  <c r="QY18" i="285"/>
  <c r="QZ18" i="285"/>
  <c r="QX18" i="285"/>
  <c r="RA20" i="285"/>
  <c r="QY20" i="285"/>
  <c r="QZ20" i="285"/>
  <c r="QX20" i="285"/>
  <c r="RA22" i="285"/>
  <c r="QY22" i="285"/>
  <c r="QZ22" i="285"/>
  <c r="QX22" i="285"/>
  <c r="RA24" i="285"/>
  <c r="QY24" i="285"/>
  <c r="QZ24" i="285"/>
  <c r="QX24" i="285"/>
  <c r="RA26" i="285"/>
  <c r="QY26" i="285"/>
  <c r="QZ26" i="285"/>
  <c r="QX26" i="285"/>
  <c r="RA28" i="285"/>
  <c r="QY28" i="285"/>
  <c r="QZ28" i="285"/>
  <c r="QX28" i="285"/>
  <c r="RA30" i="285"/>
  <c r="QY30" i="285"/>
  <c r="QZ30" i="285"/>
  <c r="QX30" i="285"/>
  <c r="RA32" i="285"/>
  <c r="QY32" i="285"/>
  <c r="QZ32" i="285"/>
  <c r="QX32" i="285"/>
  <c r="RD4" i="285"/>
  <c r="RB4" i="285"/>
  <c r="RC4" i="285"/>
  <c r="RE4" i="285"/>
  <c r="RD6" i="285"/>
  <c r="RB6" i="285"/>
  <c r="RC6" i="285"/>
  <c r="RE6" i="285"/>
  <c r="RD8" i="285"/>
  <c r="RB8" i="285"/>
  <c r="RE8" i="285"/>
  <c r="RC8" i="285"/>
  <c r="RD10" i="285"/>
  <c r="RB10" i="285"/>
  <c r="RE10" i="285"/>
  <c r="RC10" i="285"/>
  <c r="RE12" i="285"/>
  <c r="RC12" i="285"/>
  <c r="RD12" i="285"/>
  <c r="RB12" i="285"/>
  <c r="RE14" i="285"/>
  <c r="RC14" i="285"/>
  <c r="RD14" i="285"/>
  <c r="RB14" i="285"/>
  <c r="RE16" i="285"/>
  <c r="RC16" i="285"/>
  <c r="RD16" i="285"/>
  <c r="RB16" i="285"/>
  <c r="RE18" i="285"/>
  <c r="RC18" i="285"/>
  <c r="RD18" i="285"/>
  <c r="RB18" i="285"/>
  <c r="RE20" i="285"/>
  <c r="RC20" i="285"/>
  <c r="RD20" i="285"/>
  <c r="RB20" i="285"/>
  <c r="RE22" i="285"/>
  <c r="RC22" i="285"/>
  <c r="RD22" i="285"/>
  <c r="RB22" i="285"/>
  <c r="RE24" i="285"/>
  <c r="RC24" i="285"/>
  <c r="RD24" i="285"/>
  <c r="RB24" i="285"/>
  <c r="RE26" i="285"/>
  <c r="RC26" i="285"/>
  <c r="RD26" i="285"/>
  <c r="RB26" i="285"/>
  <c r="AD110" i="271"/>
  <c r="AW34" i="262" s="1"/>
  <c r="BA34" i="262" s="1"/>
  <c r="RE28" i="285"/>
  <c r="RC28" i="285"/>
  <c r="RD28" i="285"/>
  <c r="RB28" i="285"/>
  <c r="RE30" i="285"/>
  <c r="RC30" i="285"/>
  <c r="RD30" i="285"/>
  <c r="RB30" i="285"/>
  <c r="RE32" i="285"/>
  <c r="RC32" i="285"/>
  <c r="RD32" i="285"/>
  <c r="RB32" i="285"/>
  <c r="RH4" i="285"/>
  <c r="RF4" i="285"/>
  <c r="RG4" i="285"/>
  <c r="RI4" i="285"/>
  <c r="RH6" i="285"/>
  <c r="RF6" i="285"/>
  <c r="RG6" i="285"/>
  <c r="RI6" i="285"/>
  <c r="RH8" i="285"/>
  <c r="RF8" i="285"/>
  <c r="RI8" i="285"/>
  <c r="RG8" i="285"/>
  <c r="RH10" i="285"/>
  <c r="RF10" i="285"/>
  <c r="RI10" i="285"/>
  <c r="RG10" i="285"/>
  <c r="RI12" i="285"/>
  <c r="RG12" i="285"/>
  <c r="RH12" i="285"/>
  <c r="RF12" i="285"/>
  <c r="RI14" i="285"/>
  <c r="RG14" i="285"/>
  <c r="RH14" i="285"/>
  <c r="RF14" i="285"/>
  <c r="RI16" i="285"/>
  <c r="RG16" i="285"/>
  <c r="RH16" i="285"/>
  <c r="RF16" i="285"/>
  <c r="RI18" i="285"/>
  <c r="RG18" i="285"/>
  <c r="RH18" i="285"/>
  <c r="RF18" i="285"/>
  <c r="RI20" i="285"/>
  <c r="RG20" i="285"/>
  <c r="RH20" i="285"/>
  <c r="RF20" i="285"/>
  <c r="RI22" i="285"/>
  <c r="RG22" i="285"/>
  <c r="RH22" i="285"/>
  <c r="RF22" i="285"/>
  <c r="RI24" i="285"/>
  <c r="RG24" i="285"/>
  <c r="RH24" i="285"/>
  <c r="RF24" i="285"/>
  <c r="RI26" i="285"/>
  <c r="RG26" i="285"/>
  <c r="RH26" i="285"/>
  <c r="RF26" i="285"/>
  <c r="RI28" i="285"/>
  <c r="RG28" i="285"/>
  <c r="RH28" i="285"/>
  <c r="RF28" i="285"/>
  <c r="RI30" i="285"/>
  <c r="RG30" i="285"/>
  <c r="RH30" i="285"/>
  <c r="RF30" i="285"/>
  <c r="RI32" i="285"/>
  <c r="RG32" i="285"/>
  <c r="RH32" i="285"/>
  <c r="RF32" i="285"/>
  <c r="RL4" i="285"/>
  <c r="RJ4" i="285"/>
  <c r="RK4" i="285"/>
  <c r="RM4" i="285"/>
  <c r="RL6" i="285"/>
  <c r="RJ6" i="285"/>
  <c r="RK6" i="285"/>
  <c r="RM6" i="285"/>
  <c r="RL8" i="285"/>
  <c r="RJ8" i="285"/>
  <c r="RM8" i="285"/>
  <c r="RK8" i="285"/>
  <c r="RL10" i="285"/>
  <c r="RJ10" i="285"/>
  <c r="RM10" i="285"/>
  <c r="RK10" i="285"/>
  <c r="RM12" i="285"/>
  <c r="RK12" i="285"/>
  <c r="RL12" i="285"/>
  <c r="RJ12" i="285"/>
  <c r="RM14" i="285"/>
  <c r="RK14" i="285"/>
  <c r="RL14" i="285"/>
  <c r="RJ14" i="285"/>
  <c r="RM16" i="285"/>
  <c r="RK16" i="285"/>
  <c r="RL16" i="285"/>
  <c r="RJ16" i="285"/>
  <c r="RM18" i="285"/>
  <c r="RK18" i="285"/>
  <c r="RL18" i="285"/>
  <c r="RJ18" i="285"/>
  <c r="RM20" i="285"/>
  <c r="RK20" i="285"/>
  <c r="RL20" i="285"/>
  <c r="RJ20" i="285"/>
  <c r="RM22" i="285"/>
  <c r="RK22" i="285"/>
  <c r="RL22" i="285"/>
  <c r="RJ22" i="285"/>
  <c r="RM24" i="285"/>
  <c r="RK24" i="285"/>
  <c r="RL24" i="285"/>
  <c r="RJ24" i="285"/>
  <c r="RM26" i="285"/>
  <c r="RK26" i="285"/>
  <c r="RL26" i="285"/>
  <c r="RJ26" i="285"/>
  <c r="RM28" i="285"/>
  <c r="RK28" i="285"/>
  <c r="RL28" i="285"/>
  <c r="RJ28" i="285"/>
  <c r="RM30" i="285"/>
  <c r="RK30" i="285"/>
  <c r="RL30" i="285"/>
  <c r="RJ30" i="285"/>
  <c r="RM32" i="285"/>
  <c r="RK32" i="285"/>
  <c r="RL32" i="285"/>
  <c r="RJ32" i="285"/>
  <c r="RP4" i="285"/>
  <c r="RN4" i="285"/>
  <c r="RO4" i="285"/>
  <c r="RQ4" i="285"/>
  <c r="RP6" i="285"/>
  <c r="RN6" i="285"/>
  <c r="RO6" i="285"/>
  <c r="RQ6" i="285"/>
  <c r="RP8" i="285"/>
  <c r="RN8" i="285"/>
  <c r="RQ8" i="285"/>
  <c r="RO8" i="285"/>
  <c r="RP10" i="285"/>
  <c r="RN10" i="285"/>
  <c r="RQ10" i="285"/>
  <c r="RO10" i="285"/>
  <c r="RQ12" i="285"/>
  <c r="RO12" i="285"/>
  <c r="RP12" i="285"/>
  <c r="RN12" i="285"/>
  <c r="RQ14" i="285"/>
  <c r="RO14" i="285"/>
  <c r="RP14" i="285"/>
  <c r="RN14" i="285"/>
  <c r="RQ16" i="285"/>
  <c r="RO16" i="285"/>
  <c r="RP16" i="285"/>
  <c r="RN16" i="285"/>
  <c r="RQ18" i="285"/>
  <c r="RO18" i="285"/>
  <c r="RP18" i="285"/>
  <c r="RN18" i="285"/>
  <c r="RQ20" i="285"/>
  <c r="RO20" i="285"/>
  <c r="RP20" i="285"/>
  <c r="RN20" i="285"/>
  <c r="RQ22" i="285"/>
  <c r="RO22" i="285"/>
  <c r="RP22" i="285"/>
  <c r="RN22" i="285"/>
  <c r="RQ24" i="285"/>
  <c r="RO24" i="285"/>
  <c r="RP24" i="285"/>
  <c r="RN24" i="285"/>
  <c r="RQ26" i="285"/>
  <c r="RO26" i="285"/>
  <c r="RP26" i="285"/>
  <c r="RN26" i="285"/>
  <c r="RQ28" i="285"/>
  <c r="RO28" i="285"/>
  <c r="RP28" i="285"/>
  <c r="RN28" i="285"/>
  <c r="RQ30" i="285"/>
  <c r="RO30" i="285"/>
  <c r="RP30" i="285"/>
  <c r="RN30" i="285"/>
  <c r="RQ32" i="285"/>
  <c r="RO32" i="285"/>
  <c r="RP32" i="285"/>
  <c r="RN32" i="285"/>
  <c r="RT4" i="285"/>
  <c r="RR4" i="285"/>
  <c r="RS4" i="285"/>
  <c r="RU4" i="285"/>
  <c r="RT6" i="285"/>
  <c r="RR6" i="285"/>
  <c r="RS6" i="285"/>
  <c r="RU6" i="285"/>
  <c r="RT8" i="285"/>
  <c r="RR8" i="285"/>
  <c r="RU8" i="285"/>
  <c r="RS8" i="285"/>
  <c r="RT10" i="285"/>
  <c r="RR10" i="285"/>
  <c r="RU10" i="285"/>
  <c r="RS10" i="285"/>
  <c r="RU12" i="285"/>
  <c r="RS12" i="285"/>
  <c r="RT12" i="285"/>
  <c r="RR12" i="285"/>
  <c r="RU14" i="285"/>
  <c r="RS14" i="285"/>
  <c r="RT14" i="285"/>
  <c r="RR14" i="285"/>
  <c r="RU16" i="285"/>
  <c r="RS16" i="285"/>
  <c r="RT16" i="285"/>
  <c r="RR16" i="285"/>
  <c r="RU18" i="285"/>
  <c r="RS18" i="285"/>
  <c r="RT18" i="285"/>
  <c r="RR18" i="285"/>
  <c r="RU20" i="285"/>
  <c r="RS20" i="285"/>
  <c r="RT20" i="285"/>
  <c r="RR20" i="285"/>
  <c r="RU22" i="285"/>
  <c r="RS22" i="285"/>
  <c r="RT22" i="285"/>
  <c r="RR22" i="285"/>
  <c r="RU24" i="285"/>
  <c r="RS24" i="285"/>
  <c r="RT24" i="285"/>
  <c r="RR24" i="285"/>
  <c r="RU26" i="285"/>
  <c r="RS26" i="285"/>
  <c r="RT26" i="285"/>
  <c r="RR26" i="285"/>
  <c r="RU28" i="285"/>
  <c r="RS28" i="285"/>
  <c r="RT28" i="285"/>
  <c r="RR28" i="285"/>
  <c r="RU30" i="285"/>
  <c r="RS30" i="285"/>
  <c r="RT30" i="285"/>
  <c r="RR30" i="285"/>
  <c r="RU32" i="285"/>
  <c r="RS32" i="285"/>
  <c r="RT32" i="285"/>
  <c r="RR32" i="285"/>
  <c r="RX4" i="285"/>
  <c r="RV4" i="285"/>
  <c r="RW4" i="285"/>
  <c r="RY4" i="285"/>
  <c r="RX6" i="285"/>
  <c r="RV6" i="285"/>
  <c r="RW6" i="285"/>
  <c r="RY6" i="285"/>
  <c r="RX8" i="285"/>
  <c r="RV8" i="285"/>
  <c r="RY8" i="285"/>
  <c r="RW8" i="285"/>
  <c r="RX10" i="285"/>
  <c r="RV10" i="285"/>
  <c r="RY10" i="285"/>
  <c r="RW10" i="285"/>
  <c r="RY12" i="285"/>
  <c r="RW12" i="285"/>
  <c r="RX12" i="285"/>
  <c r="RV12" i="285"/>
  <c r="RY14" i="285"/>
  <c r="RW14" i="285"/>
  <c r="RX14" i="285"/>
  <c r="RV14" i="285"/>
  <c r="RY16" i="285"/>
  <c r="RW16" i="285"/>
  <c r="RX16" i="285"/>
  <c r="RV16" i="285"/>
  <c r="RY18" i="285"/>
  <c r="RW18" i="285"/>
  <c r="RX18" i="285"/>
  <c r="RV18" i="285"/>
  <c r="RY20" i="285"/>
  <c r="RW20" i="285"/>
  <c r="RX20" i="285"/>
  <c r="RV20" i="285"/>
  <c r="RY22" i="285"/>
  <c r="RW22" i="285"/>
  <c r="RX22" i="285"/>
  <c r="RV22" i="285"/>
  <c r="RY24" i="285"/>
  <c r="RW24" i="285"/>
  <c r="RX24" i="285"/>
  <c r="RV24" i="285"/>
  <c r="RY26" i="285"/>
  <c r="RW26" i="285"/>
  <c r="RX26" i="285"/>
  <c r="RV26" i="285"/>
  <c r="RY28" i="285"/>
  <c r="RW28" i="285"/>
  <c r="RX28" i="285"/>
  <c r="RV28" i="285"/>
  <c r="RY30" i="285"/>
  <c r="RW30" i="285"/>
  <c r="RX30" i="285"/>
  <c r="RV30" i="285"/>
  <c r="RY32" i="285"/>
  <c r="RW32" i="285"/>
  <c r="RX32" i="285"/>
  <c r="RV32" i="285"/>
  <c r="SB4" i="285"/>
  <c r="RZ4" i="285"/>
  <c r="SA4" i="285"/>
  <c r="SC4" i="285"/>
  <c r="SB6" i="285"/>
  <c r="RZ6" i="285"/>
  <c r="SA6" i="285"/>
  <c r="SC6" i="285"/>
  <c r="SB8" i="285"/>
  <c r="RZ8" i="285"/>
  <c r="SC8" i="285"/>
  <c r="SA8" i="285"/>
  <c r="SB10" i="285"/>
  <c r="RZ10" i="285"/>
  <c r="SC10" i="285"/>
  <c r="SA10" i="285"/>
  <c r="SC12" i="285"/>
  <c r="SA12" i="285"/>
  <c r="SB12" i="285"/>
  <c r="RZ12" i="285"/>
  <c r="SC14" i="285"/>
  <c r="SA14" i="285"/>
  <c r="SB14" i="285"/>
  <c r="RZ14" i="285"/>
  <c r="SC16" i="285"/>
  <c r="SA16" i="285"/>
  <c r="SB16" i="285"/>
  <c r="RZ16" i="285"/>
  <c r="SC18" i="285"/>
  <c r="SA18" i="285"/>
  <c r="SB18" i="285"/>
  <c r="RZ18" i="285"/>
  <c r="SC20" i="285"/>
  <c r="SA20" i="285"/>
  <c r="SB20" i="285"/>
  <c r="RZ20" i="285"/>
  <c r="SC22" i="285"/>
  <c r="SA22" i="285"/>
  <c r="SB22" i="285"/>
  <c r="RZ22" i="285"/>
  <c r="SC24" i="285"/>
  <c r="SA24" i="285"/>
  <c r="SB24" i="285"/>
  <c r="RZ24" i="285"/>
  <c r="SC26" i="285"/>
  <c r="SA26" i="285"/>
  <c r="SB26" i="285"/>
  <c r="RZ26" i="285"/>
  <c r="SC28" i="285"/>
  <c r="SA28" i="285"/>
  <c r="SB28" i="285"/>
  <c r="RZ28" i="285"/>
  <c r="SC30" i="285"/>
  <c r="SA30" i="285"/>
  <c r="SB30" i="285"/>
  <c r="RZ30" i="285"/>
  <c r="SC32" i="285"/>
  <c r="SA32" i="285"/>
  <c r="SB32" i="285"/>
  <c r="RZ32" i="285"/>
  <c r="SF4" i="285"/>
  <c r="SD4" i="285"/>
  <c r="SE4" i="285"/>
  <c r="SG4" i="285"/>
  <c r="SF6" i="285"/>
  <c r="SD6" i="285"/>
  <c r="SE6" i="285"/>
  <c r="SG6" i="285"/>
  <c r="SF8" i="285"/>
  <c r="SD8" i="285"/>
  <c r="SG8" i="285"/>
  <c r="SE8" i="285"/>
  <c r="SF10" i="285"/>
  <c r="SD10" i="285"/>
  <c r="SG10" i="285"/>
  <c r="SE10" i="285"/>
  <c r="SG12" i="285"/>
  <c r="SE12" i="285"/>
  <c r="SF12" i="285"/>
  <c r="SD12" i="285"/>
  <c r="SG14" i="285"/>
  <c r="SE14" i="285"/>
  <c r="SF14" i="285"/>
  <c r="SD14" i="285"/>
  <c r="SG16" i="285"/>
  <c r="SE16" i="285"/>
  <c r="SF16" i="285"/>
  <c r="SD16" i="285"/>
  <c r="SG18" i="285"/>
  <c r="SE18" i="285"/>
  <c r="SF18" i="285"/>
  <c r="SD18" i="285"/>
  <c r="SG20" i="285"/>
  <c r="SE20" i="285"/>
  <c r="SF20" i="285"/>
  <c r="SD20" i="285"/>
  <c r="SG22" i="285"/>
  <c r="SE22" i="285"/>
  <c r="SF22" i="285"/>
  <c r="SD22" i="285"/>
  <c r="SG24" i="285"/>
  <c r="SE24" i="285"/>
  <c r="SF24" i="285"/>
  <c r="SD24" i="285"/>
  <c r="SG26" i="285"/>
  <c r="SE26" i="285"/>
  <c r="SF26" i="285"/>
  <c r="SD26" i="285"/>
  <c r="SG28" i="285"/>
  <c r="SE28" i="285"/>
  <c r="SF28" i="285"/>
  <c r="SD28" i="285"/>
  <c r="SG30" i="285"/>
  <c r="SE30" i="285"/>
  <c r="SF30" i="285"/>
  <c r="SD30" i="285"/>
  <c r="SG32" i="285"/>
  <c r="SE32" i="285"/>
  <c r="SF32" i="285"/>
  <c r="SD32" i="285"/>
  <c r="SJ4" i="285"/>
  <c r="SH4" i="285"/>
  <c r="SI4" i="285"/>
  <c r="SK4" i="285"/>
  <c r="SJ6" i="285"/>
  <c r="SH6" i="285"/>
  <c r="SI6" i="285"/>
  <c r="SK6" i="285"/>
  <c r="SJ8" i="285"/>
  <c r="SH8" i="285"/>
  <c r="SK8" i="285"/>
  <c r="SI8" i="285"/>
  <c r="SJ10" i="285"/>
  <c r="SH10" i="285"/>
  <c r="SK10" i="285"/>
  <c r="SI10" i="285"/>
  <c r="SK12" i="285"/>
  <c r="SI12" i="285"/>
  <c r="SJ12" i="285"/>
  <c r="SH12" i="285"/>
  <c r="SK14" i="285"/>
  <c r="SI14" i="285"/>
  <c r="SJ14" i="285"/>
  <c r="SH14" i="285"/>
  <c r="SK16" i="285"/>
  <c r="SI16" i="285"/>
  <c r="SJ16" i="285"/>
  <c r="SH16" i="285"/>
  <c r="SK18" i="285"/>
  <c r="SI18" i="285"/>
  <c r="SJ18" i="285"/>
  <c r="SH18" i="285"/>
  <c r="SK20" i="285"/>
  <c r="SI20" i="285"/>
  <c r="SJ20" i="285"/>
  <c r="SH20" i="285"/>
  <c r="SK22" i="285"/>
  <c r="SI22" i="285"/>
  <c r="SJ22" i="285"/>
  <c r="SH22" i="285"/>
  <c r="SK24" i="285"/>
  <c r="SI24" i="285"/>
  <c r="SJ24" i="285"/>
  <c r="SH24" i="285"/>
  <c r="SK26" i="285"/>
  <c r="SI26" i="285"/>
  <c r="SJ26" i="285"/>
  <c r="SH26" i="285"/>
  <c r="SK28" i="285"/>
  <c r="SI28" i="285"/>
  <c r="SJ28" i="285"/>
  <c r="SH28" i="285"/>
  <c r="SK30" i="285"/>
  <c r="SI30" i="285"/>
  <c r="SJ30" i="285"/>
  <c r="SH30" i="285"/>
  <c r="SK32" i="285"/>
  <c r="SI32" i="285"/>
  <c r="SJ32" i="285"/>
  <c r="SH32" i="285"/>
  <c r="SN4" i="285"/>
  <c r="SL4" i="285"/>
  <c r="SM4" i="285"/>
  <c r="SO4" i="285"/>
  <c r="SN6" i="285"/>
  <c r="SL6" i="285"/>
  <c r="SM6" i="285"/>
  <c r="SO6" i="285"/>
  <c r="SN8" i="285"/>
  <c r="SL8" i="285"/>
  <c r="SO8" i="285"/>
  <c r="SM8" i="285"/>
  <c r="SN10" i="285"/>
  <c r="SL10" i="285"/>
  <c r="SO10" i="285"/>
  <c r="SM10" i="285"/>
  <c r="SO12" i="285"/>
  <c r="SM12" i="285"/>
  <c r="SN12" i="285"/>
  <c r="SL12" i="285"/>
  <c r="SO14" i="285"/>
  <c r="SM14" i="285"/>
  <c r="SN14" i="285"/>
  <c r="SL14" i="285"/>
  <c r="SO16" i="285"/>
  <c r="SM16" i="285"/>
  <c r="SN16" i="285"/>
  <c r="SL16" i="285"/>
  <c r="SO18" i="285"/>
  <c r="SM18" i="285"/>
  <c r="SN18" i="285"/>
  <c r="SL18" i="285"/>
  <c r="SO20" i="285"/>
  <c r="SM20" i="285"/>
  <c r="SN20" i="285"/>
  <c r="SL20" i="285"/>
  <c r="SO22" i="285"/>
  <c r="SM22" i="285"/>
  <c r="SN22" i="285"/>
  <c r="SL22" i="285"/>
  <c r="SO24" i="285"/>
  <c r="SM24" i="285"/>
  <c r="SN24" i="285"/>
  <c r="SL24" i="285"/>
  <c r="SO26" i="285"/>
  <c r="SM26" i="285"/>
  <c r="SN26" i="285"/>
  <c r="SL26" i="285"/>
  <c r="SO28" i="285"/>
  <c r="SM28" i="285"/>
  <c r="SN28" i="285"/>
  <c r="SL28" i="285"/>
  <c r="SO30" i="285"/>
  <c r="SM30" i="285"/>
  <c r="SN30" i="285"/>
  <c r="SL30" i="285"/>
  <c r="SO32" i="285"/>
  <c r="SM32" i="285"/>
  <c r="SN32" i="285"/>
  <c r="SL32" i="285"/>
  <c r="SR4" i="285"/>
  <c r="SP4" i="285"/>
  <c r="SQ4" i="285"/>
  <c r="SS4" i="285"/>
  <c r="SR6" i="285"/>
  <c r="SP6" i="285"/>
  <c r="SQ6" i="285"/>
  <c r="SS6" i="285"/>
  <c r="SR8" i="285"/>
  <c r="SP8" i="285"/>
  <c r="SS8" i="285"/>
  <c r="SQ8" i="285"/>
  <c r="SR10" i="285"/>
  <c r="SP10" i="285"/>
  <c r="SS10" i="285"/>
  <c r="SQ10" i="285"/>
  <c r="SS12" i="285"/>
  <c r="SQ12" i="285"/>
  <c r="SR12" i="285"/>
  <c r="SP12" i="285"/>
  <c r="SS14" i="285"/>
  <c r="SQ14" i="285"/>
  <c r="SR14" i="285"/>
  <c r="SP14" i="285"/>
  <c r="SS16" i="285"/>
  <c r="SQ16" i="285"/>
  <c r="SR16" i="285"/>
  <c r="SP16" i="285"/>
  <c r="SS18" i="285"/>
  <c r="SQ18" i="285"/>
  <c r="SR18" i="285"/>
  <c r="SP18" i="285"/>
  <c r="SS20" i="285"/>
  <c r="SQ20" i="285"/>
  <c r="SR20" i="285"/>
  <c r="SP20" i="285"/>
  <c r="SS22" i="285"/>
  <c r="SQ22" i="285"/>
  <c r="SR22" i="285"/>
  <c r="SP22" i="285"/>
  <c r="SS24" i="285"/>
  <c r="SQ24" i="285"/>
  <c r="SR24" i="285"/>
  <c r="SP24" i="285"/>
  <c r="SS26" i="285"/>
  <c r="SQ26" i="285"/>
  <c r="SR26" i="285"/>
  <c r="SP26" i="285"/>
  <c r="SS28" i="285"/>
  <c r="SQ28" i="285"/>
  <c r="SR28" i="285"/>
  <c r="SP28" i="285"/>
  <c r="SS30" i="285"/>
  <c r="SQ30" i="285"/>
  <c r="SR30" i="285"/>
  <c r="SP30" i="285"/>
  <c r="SS32" i="285"/>
  <c r="SQ32" i="285"/>
  <c r="SR32" i="285"/>
  <c r="SP32" i="285"/>
  <c r="SV4" i="285"/>
  <c r="ST4" i="285"/>
  <c r="SU4" i="285"/>
  <c r="SW4" i="285"/>
  <c r="SV6" i="285"/>
  <c r="ST6" i="285"/>
  <c r="SU6" i="285"/>
  <c r="SW6" i="285"/>
  <c r="SV8" i="285"/>
  <c r="ST8" i="285"/>
  <c r="SW8" i="285"/>
  <c r="SU8" i="285"/>
  <c r="SV10" i="285"/>
  <c r="ST10" i="285"/>
  <c r="SW10" i="285"/>
  <c r="SU10" i="285"/>
  <c r="SW12" i="285"/>
  <c r="SU12" i="285"/>
  <c r="SV12" i="285"/>
  <c r="ST12" i="285"/>
  <c r="SW14" i="285"/>
  <c r="SU14" i="285"/>
  <c r="SV14" i="285"/>
  <c r="ST14" i="285"/>
  <c r="SW16" i="285"/>
  <c r="SU16" i="285"/>
  <c r="SV16" i="285"/>
  <c r="ST16" i="285"/>
  <c r="SW18" i="285"/>
  <c r="SU18" i="285"/>
  <c r="SV18" i="285"/>
  <c r="ST18" i="285"/>
  <c r="SW20" i="285"/>
  <c r="SU20" i="285"/>
  <c r="SV20" i="285"/>
  <c r="ST20" i="285"/>
  <c r="SW22" i="285"/>
  <c r="SU22" i="285"/>
  <c r="SV22" i="285"/>
  <c r="ST22" i="285"/>
  <c r="SW24" i="285"/>
  <c r="SU24" i="285"/>
  <c r="SV24" i="285"/>
  <c r="ST24" i="285"/>
  <c r="SW26" i="285"/>
  <c r="SU26" i="285"/>
  <c r="SV26" i="285"/>
  <c r="ST26" i="285"/>
  <c r="SW28" i="285"/>
  <c r="SU28" i="285"/>
  <c r="SV28" i="285"/>
  <c r="ST28" i="285"/>
  <c r="SW30" i="285"/>
  <c r="SU30" i="285"/>
  <c r="SV30" i="285"/>
  <c r="ST30" i="285"/>
  <c r="SW32" i="285"/>
  <c r="SU32" i="285"/>
  <c r="SV32" i="285"/>
  <c r="ST32" i="285"/>
  <c r="SZ4" i="285"/>
  <c r="SX4" i="285"/>
  <c r="SY4" i="285"/>
  <c r="TA4" i="285"/>
  <c r="SZ6" i="285"/>
  <c r="SX6" i="285"/>
  <c r="SY6" i="285"/>
  <c r="TA6" i="285"/>
  <c r="SZ8" i="285"/>
  <c r="SX8" i="285"/>
  <c r="TA8" i="285"/>
  <c r="SY8" i="285"/>
  <c r="SZ10" i="285"/>
  <c r="SX10" i="285"/>
  <c r="TA10" i="285"/>
  <c r="SY10" i="285"/>
  <c r="TA12" i="285"/>
  <c r="SY12" i="285"/>
  <c r="SZ12" i="285"/>
  <c r="SX12" i="285"/>
  <c r="TA14" i="285"/>
  <c r="SY14" i="285"/>
  <c r="SZ14" i="285"/>
  <c r="SX14" i="285"/>
  <c r="TA16" i="285"/>
  <c r="SY16" i="285"/>
  <c r="SZ16" i="285"/>
  <c r="SX16" i="285"/>
  <c r="TA18" i="285"/>
  <c r="SY18" i="285"/>
  <c r="SZ18" i="285"/>
  <c r="SX18" i="285"/>
  <c r="TA20" i="285"/>
  <c r="SY20" i="285"/>
  <c r="SZ20" i="285"/>
  <c r="SX20" i="285"/>
  <c r="TA22" i="285"/>
  <c r="SY22" i="285"/>
  <c r="SZ22" i="285"/>
  <c r="SX22" i="285"/>
  <c r="TA24" i="285"/>
  <c r="SY24" i="285"/>
  <c r="SZ24" i="285"/>
  <c r="SX24" i="285"/>
  <c r="TA26" i="285"/>
  <c r="SY26" i="285"/>
  <c r="SZ26" i="285"/>
  <c r="SX26" i="285"/>
  <c r="TA28" i="285"/>
  <c r="SY28" i="285"/>
  <c r="SZ28" i="285"/>
  <c r="SX28" i="285"/>
  <c r="TA30" i="285"/>
  <c r="SY30" i="285"/>
  <c r="SZ30" i="285"/>
  <c r="SX30" i="285"/>
  <c r="TA32" i="285"/>
  <c r="SY32" i="285"/>
  <c r="SZ32" i="285"/>
  <c r="SX32" i="285"/>
  <c r="TD4" i="285"/>
  <c r="TB4" i="285"/>
  <c r="TC4" i="285"/>
  <c r="TE4" i="285"/>
  <c r="H127" i="276"/>
  <c r="BB12" i="262" s="1"/>
  <c r="BF12" i="262" s="1"/>
  <c r="TD6" i="285"/>
  <c r="TB6" i="285"/>
  <c r="TC6" i="285"/>
  <c r="TE6" i="285"/>
  <c r="TD8" i="285"/>
  <c r="TB8" i="285"/>
  <c r="TE8" i="285"/>
  <c r="TC8" i="285"/>
  <c r="L127" i="276"/>
  <c r="BB16" i="262" s="1"/>
  <c r="BF16" i="262" s="1"/>
  <c r="TD10" i="285"/>
  <c r="TB10" i="285"/>
  <c r="TE10" i="285"/>
  <c r="TC10" i="285"/>
  <c r="TE12" i="285"/>
  <c r="TC12" i="285"/>
  <c r="TD12" i="285"/>
  <c r="TB12" i="285"/>
  <c r="P127" i="276"/>
  <c r="BB20" i="262" s="1"/>
  <c r="BF20" i="262" s="1"/>
  <c r="TE14" i="285"/>
  <c r="TC14" i="285"/>
  <c r="TD14" i="285"/>
  <c r="TB14" i="285"/>
  <c r="TE16" i="285"/>
  <c r="TC16" i="285"/>
  <c r="TD16" i="285"/>
  <c r="TB16" i="285"/>
  <c r="T127" i="276"/>
  <c r="BB24" i="262" s="1"/>
  <c r="BF24" i="262" s="1"/>
  <c r="TE18" i="285"/>
  <c r="TC18" i="285"/>
  <c r="TD18" i="285"/>
  <c r="TB18" i="285"/>
  <c r="TE20" i="285"/>
  <c r="TC20" i="285"/>
  <c r="TD20" i="285"/>
  <c r="TB20" i="285"/>
  <c r="X127" i="276"/>
  <c r="BB28" i="262" s="1"/>
  <c r="BF28" i="262" s="1"/>
  <c r="TE22" i="285"/>
  <c r="TC22" i="285"/>
  <c r="TD22" i="285"/>
  <c r="TB22" i="285"/>
  <c r="TE24" i="285"/>
  <c r="TC24" i="285"/>
  <c r="TD24" i="285"/>
  <c r="TB24" i="285"/>
  <c r="AB127" i="276"/>
  <c r="BB32" i="262" s="1"/>
  <c r="BF32" i="262" s="1"/>
  <c r="TE26" i="285"/>
  <c r="TC26" i="285"/>
  <c r="TD26" i="285"/>
  <c r="TB26" i="285"/>
  <c r="TE28" i="285"/>
  <c r="TC28" i="285"/>
  <c r="TD28" i="285"/>
  <c r="TB28" i="285"/>
  <c r="AF127" i="276"/>
  <c r="BB36" i="262" s="1"/>
  <c r="BF36" i="262" s="1"/>
  <c r="TE30" i="285"/>
  <c r="TC30" i="285"/>
  <c r="TD30" i="285"/>
  <c r="TB30" i="285"/>
  <c r="TE32" i="285"/>
  <c r="TC32" i="285"/>
  <c r="TD32" i="285"/>
  <c r="TB32" i="285"/>
  <c r="F127" i="276"/>
  <c r="BB10" i="262" s="1"/>
  <c r="BF10" i="262" s="1"/>
  <c r="TH4" i="285"/>
  <c r="TF4" i="285"/>
  <c r="TG4" i="285"/>
  <c r="TI4" i="285"/>
  <c r="TH6" i="285"/>
  <c r="TF6" i="285"/>
  <c r="TG6" i="285"/>
  <c r="TI6" i="285"/>
  <c r="J127" i="276"/>
  <c r="BB14" i="262" s="1"/>
  <c r="BF14" i="262" s="1"/>
  <c r="TH8" i="285"/>
  <c r="TF8" i="285"/>
  <c r="TI8" i="285"/>
  <c r="TG8" i="285"/>
  <c r="TH10" i="285"/>
  <c r="TF10" i="285"/>
  <c r="TI10" i="285"/>
  <c r="TG10" i="285"/>
  <c r="N127" i="276"/>
  <c r="BB18" i="262" s="1"/>
  <c r="BF18" i="262" s="1"/>
  <c r="TI12" i="285"/>
  <c r="TG12" i="285"/>
  <c r="TH12" i="285"/>
  <c r="TF12" i="285"/>
  <c r="TI14" i="285"/>
  <c r="TG14" i="285"/>
  <c r="TH14" i="285"/>
  <c r="TF14" i="285"/>
  <c r="R127" i="276"/>
  <c r="BB22" i="262" s="1"/>
  <c r="BF22" i="262" s="1"/>
  <c r="TI16" i="285"/>
  <c r="TG16" i="285"/>
  <c r="TH16" i="285"/>
  <c r="TF16" i="285"/>
  <c r="TI18" i="285"/>
  <c r="TG18" i="285"/>
  <c r="TH18" i="285"/>
  <c r="TF18" i="285"/>
  <c r="V127" i="276"/>
  <c r="BB26" i="262" s="1"/>
  <c r="BF26" i="262" s="1"/>
  <c r="TI20" i="285"/>
  <c r="TG20" i="285"/>
  <c r="TH20" i="285"/>
  <c r="TF20" i="285"/>
  <c r="TI22" i="285"/>
  <c r="TG22" i="285"/>
  <c r="TH22" i="285"/>
  <c r="TF22" i="285"/>
  <c r="Z127" i="276"/>
  <c r="BB30" i="262" s="1"/>
  <c r="BF30" i="262" s="1"/>
  <c r="TI24" i="285"/>
  <c r="TG24" i="285"/>
  <c r="TH24" i="285"/>
  <c r="TF24" i="285"/>
  <c r="TI26" i="285"/>
  <c r="TG26" i="285"/>
  <c r="TH26" i="285"/>
  <c r="TF26" i="285"/>
  <c r="AD127" i="276"/>
  <c r="BB34" i="262" s="1"/>
  <c r="BF34" i="262" s="1"/>
  <c r="TI28" i="285"/>
  <c r="TG28" i="285"/>
  <c r="TH28" i="285"/>
  <c r="TF28" i="285"/>
  <c r="TI30" i="285"/>
  <c r="TG30" i="285"/>
  <c r="TH30" i="285"/>
  <c r="TF30" i="285"/>
  <c r="TI32" i="285"/>
  <c r="TG32" i="285"/>
  <c r="TH32" i="285"/>
  <c r="TF32" i="285"/>
  <c r="TL4" i="285"/>
  <c r="TJ4" i="285"/>
  <c r="TK4" i="285"/>
  <c r="TM4" i="285"/>
  <c r="TL6" i="285"/>
  <c r="TJ6" i="285"/>
  <c r="TK6" i="285"/>
  <c r="TM6" i="285"/>
  <c r="TL8" i="285"/>
  <c r="TJ8" i="285"/>
  <c r="TM8" i="285"/>
  <c r="TK8" i="285"/>
  <c r="TL10" i="285"/>
  <c r="TJ10" i="285"/>
  <c r="TM10" i="285"/>
  <c r="TK10" i="285"/>
  <c r="TM12" i="285"/>
  <c r="TK12" i="285"/>
  <c r="TL12" i="285"/>
  <c r="TJ12" i="285"/>
  <c r="TM14" i="285"/>
  <c r="TK14" i="285"/>
  <c r="TL14" i="285"/>
  <c r="TJ14" i="285"/>
  <c r="TM16" i="285"/>
  <c r="TK16" i="285"/>
  <c r="TL16" i="285"/>
  <c r="TJ16" i="285"/>
  <c r="TM18" i="285"/>
  <c r="TK18" i="285"/>
  <c r="TL18" i="285"/>
  <c r="TJ18" i="285"/>
  <c r="TM20" i="285"/>
  <c r="TK20" i="285"/>
  <c r="TL20" i="285"/>
  <c r="TJ20" i="285"/>
  <c r="TM22" i="285"/>
  <c r="TK22" i="285"/>
  <c r="TL22" i="285"/>
  <c r="TJ22" i="285"/>
  <c r="TM24" i="285"/>
  <c r="TK24" i="285"/>
  <c r="TL24" i="285"/>
  <c r="TJ24" i="285"/>
  <c r="TM26" i="285"/>
  <c r="TK26" i="285"/>
  <c r="TL26" i="285"/>
  <c r="TJ26" i="285"/>
  <c r="TM28" i="285"/>
  <c r="TK28" i="285"/>
  <c r="TL28" i="285"/>
  <c r="TJ28" i="285"/>
  <c r="TM30" i="285"/>
  <c r="TK30" i="285"/>
  <c r="TL30" i="285"/>
  <c r="TJ30" i="285"/>
  <c r="TM32" i="285"/>
  <c r="TK32" i="285"/>
  <c r="TL32" i="285"/>
  <c r="TJ32" i="285"/>
  <c r="TP4" i="285"/>
  <c r="TN4" i="285"/>
  <c r="TO4" i="285"/>
  <c r="TQ4" i="285"/>
  <c r="TP6" i="285"/>
  <c r="TN6" i="285"/>
  <c r="TO6" i="285"/>
  <c r="TQ6" i="285"/>
  <c r="TP8" i="285"/>
  <c r="TN8" i="285"/>
  <c r="TQ8" i="285"/>
  <c r="TO8" i="285"/>
  <c r="TP10" i="285"/>
  <c r="TN10" i="285"/>
  <c r="TQ10" i="285"/>
  <c r="TO10" i="285"/>
  <c r="TQ12" i="285"/>
  <c r="TO12" i="285"/>
  <c r="TP12" i="285"/>
  <c r="TN12" i="285"/>
  <c r="TQ14" i="285"/>
  <c r="TO14" i="285"/>
  <c r="TP14" i="285"/>
  <c r="TN14" i="285"/>
  <c r="TQ16" i="285"/>
  <c r="TO16" i="285"/>
  <c r="TP16" i="285"/>
  <c r="TN16" i="285"/>
  <c r="TQ18" i="285"/>
  <c r="TO18" i="285"/>
  <c r="TP18" i="285"/>
  <c r="TN18" i="285"/>
  <c r="TQ20" i="285"/>
  <c r="TO20" i="285"/>
  <c r="TP20" i="285"/>
  <c r="TN20" i="285"/>
  <c r="TQ22" i="285"/>
  <c r="TO22" i="285"/>
  <c r="TP22" i="285"/>
  <c r="TN22" i="285"/>
  <c r="TQ24" i="285"/>
  <c r="TO24" i="285"/>
  <c r="TP24" i="285"/>
  <c r="TN24" i="285"/>
  <c r="TQ26" i="285"/>
  <c r="TO26" i="285"/>
  <c r="TP26" i="285"/>
  <c r="TN26" i="285"/>
  <c r="TQ28" i="285"/>
  <c r="TO28" i="285"/>
  <c r="TP28" i="285"/>
  <c r="TN28" i="285"/>
  <c r="TQ30" i="285"/>
  <c r="TO30" i="285"/>
  <c r="TP30" i="285"/>
  <c r="TN30" i="285"/>
  <c r="TQ32" i="285"/>
  <c r="TO32" i="285"/>
  <c r="TP32" i="285"/>
  <c r="TN32" i="285"/>
  <c r="TT4" i="285"/>
  <c r="TR4" i="285"/>
  <c r="TS4" i="285"/>
  <c r="TU4" i="285"/>
  <c r="TT6" i="285"/>
  <c r="TR6" i="285"/>
  <c r="TS6" i="285"/>
  <c r="TU6" i="285"/>
  <c r="TT8" i="285"/>
  <c r="TR8" i="285"/>
  <c r="TU8" i="285"/>
  <c r="TS8" i="285"/>
  <c r="TT10" i="285"/>
  <c r="TR10" i="285"/>
  <c r="TU10" i="285"/>
  <c r="TS10" i="285"/>
  <c r="TU12" i="285"/>
  <c r="TS12" i="285"/>
  <c r="TT12" i="285"/>
  <c r="TR12" i="285"/>
  <c r="TU14" i="285"/>
  <c r="TS14" i="285"/>
  <c r="TT14" i="285"/>
  <c r="TR14" i="285"/>
  <c r="TU16" i="285"/>
  <c r="TS16" i="285"/>
  <c r="TT16" i="285"/>
  <c r="TR16" i="285"/>
  <c r="TU18" i="285"/>
  <c r="TS18" i="285"/>
  <c r="TT18" i="285"/>
  <c r="TR18" i="285"/>
  <c r="TU20" i="285"/>
  <c r="TS20" i="285"/>
  <c r="TT20" i="285"/>
  <c r="TR20" i="285"/>
  <c r="TU22" i="285"/>
  <c r="TS22" i="285"/>
  <c r="TT22" i="285"/>
  <c r="TR22" i="285"/>
  <c r="TU24" i="285"/>
  <c r="TS24" i="285"/>
  <c r="TT24" i="285"/>
  <c r="TR24" i="285"/>
  <c r="TU26" i="285"/>
  <c r="TS26" i="285"/>
  <c r="TT26" i="285"/>
  <c r="TR26" i="285"/>
  <c r="TU28" i="285"/>
  <c r="TS28" i="285"/>
  <c r="TT28" i="285"/>
  <c r="TR28" i="285"/>
  <c r="TU30" i="285"/>
  <c r="TS30" i="285"/>
  <c r="TT30" i="285"/>
  <c r="TR30" i="285"/>
  <c r="TU32" i="285"/>
  <c r="TS32" i="285"/>
  <c r="TT32" i="285"/>
  <c r="TR32" i="285"/>
  <c r="TX4" i="285"/>
  <c r="TV4" i="285"/>
  <c r="TW4" i="285"/>
  <c r="TY4" i="285"/>
  <c r="TX6" i="285"/>
  <c r="TV6" i="285"/>
  <c r="TW6" i="285"/>
  <c r="TY6" i="285"/>
  <c r="TX8" i="285"/>
  <c r="TV8" i="285"/>
  <c r="TY8" i="285"/>
  <c r="TW8" i="285"/>
  <c r="TX10" i="285"/>
  <c r="TV10" i="285"/>
  <c r="TY10" i="285"/>
  <c r="TW10" i="285"/>
  <c r="TY12" i="285"/>
  <c r="TW12" i="285"/>
  <c r="TX12" i="285"/>
  <c r="TV12" i="285"/>
  <c r="TY14" i="285"/>
  <c r="TW14" i="285"/>
  <c r="TX14" i="285"/>
  <c r="TV14" i="285"/>
  <c r="TY16" i="285"/>
  <c r="TW16" i="285"/>
  <c r="TX16" i="285"/>
  <c r="TV16" i="285"/>
  <c r="TY18" i="285"/>
  <c r="TW18" i="285"/>
  <c r="TX18" i="285"/>
  <c r="TV18" i="285"/>
  <c r="TY20" i="285"/>
  <c r="TW20" i="285"/>
  <c r="TX20" i="285"/>
  <c r="TV20" i="285"/>
  <c r="TY22" i="285"/>
  <c r="TW22" i="285"/>
  <c r="TX22" i="285"/>
  <c r="TV22" i="285"/>
  <c r="TY24" i="285"/>
  <c r="TW24" i="285"/>
  <c r="TX24" i="285"/>
  <c r="TV24" i="285"/>
  <c r="TY26" i="285"/>
  <c r="TW26" i="285"/>
  <c r="TX26" i="285"/>
  <c r="TV26" i="285"/>
  <c r="TY28" i="285"/>
  <c r="TW28" i="285"/>
  <c r="TX28" i="285"/>
  <c r="TV28" i="285"/>
  <c r="TY30" i="285"/>
  <c r="TW30" i="285"/>
  <c r="TX30" i="285"/>
  <c r="TV30" i="285"/>
  <c r="TY32" i="285"/>
  <c r="TW32" i="285"/>
  <c r="TX32" i="285"/>
  <c r="TV32" i="285"/>
  <c r="UB4" i="285"/>
  <c r="TZ4" i="285"/>
  <c r="UA4" i="285"/>
  <c r="UC4" i="285"/>
  <c r="UB6" i="285"/>
  <c r="TZ6" i="285"/>
  <c r="UA6" i="285"/>
  <c r="UC6" i="285"/>
  <c r="UB8" i="285"/>
  <c r="TZ8" i="285"/>
  <c r="UC8" i="285"/>
  <c r="UA8" i="285"/>
  <c r="UB10" i="285"/>
  <c r="TZ10" i="285"/>
  <c r="UC10" i="285"/>
  <c r="UA10" i="285"/>
  <c r="UC12" i="285"/>
  <c r="UA12" i="285"/>
  <c r="UB12" i="285"/>
  <c r="TZ12" i="285"/>
  <c r="UC14" i="285"/>
  <c r="UA14" i="285"/>
  <c r="UB14" i="285"/>
  <c r="TZ14" i="285"/>
  <c r="UC16" i="285"/>
  <c r="UA16" i="285"/>
  <c r="UB16" i="285"/>
  <c r="TZ16" i="285"/>
  <c r="UC18" i="285"/>
  <c r="UA18" i="285"/>
  <c r="UB18" i="285"/>
  <c r="TZ18" i="285"/>
  <c r="UC20" i="285"/>
  <c r="UA20" i="285"/>
  <c r="UB20" i="285"/>
  <c r="TZ20" i="285"/>
  <c r="UC22" i="285"/>
  <c r="UA22" i="285"/>
  <c r="UB22" i="285"/>
  <c r="TZ22" i="285"/>
  <c r="UC24" i="285"/>
  <c r="UA24" i="285"/>
  <c r="UB24" i="285"/>
  <c r="TZ24" i="285"/>
  <c r="UC26" i="285"/>
  <c r="UA26" i="285"/>
  <c r="UB26" i="285"/>
  <c r="TZ26" i="285"/>
  <c r="UC28" i="285"/>
  <c r="UA28" i="285"/>
  <c r="UB28" i="285"/>
  <c r="TZ28" i="285"/>
  <c r="UC30" i="285"/>
  <c r="UA30" i="285"/>
  <c r="UB30" i="285"/>
  <c r="TZ30" i="285"/>
  <c r="UC32" i="285"/>
  <c r="UA32" i="285"/>
  <c r="UB32" i="285"/>
  <c r="TZ32" i="285"/>
  <c r="UF4" i="285"/>
  <c r="UD4" i="285"/>
  <c r="UE4" i="285"/>
  <c r="UG4" i="285"/>
  <c r="UF6" i="285"/>
  <c r="UD6" i="285"/>
  <c r="UE6" i="285"/>
  <c r="UG6" i="285"/>
  <c r="UF8" i="285"/>
  <c r="UD8" i="285"/>
  <c r="UG8" i="285"/>
  <c r="UE8" i="285"/>
  <c r="UF10" i="285"/>
  <c r="UD10" i="285"/>
  <c r="UG10" i="285"/>
  <c r="UE10" i="285"/>
  <c r="UG12" i="285"/>
  <c r="UE12" i="285"/>
  <c r="UF12" i="285"/>
  <c r="UD12" i="285"/>
  <c r="UG14" i="285"/>
  <c r="UE14" i="285"/>
  <c r="UF14" i="285"/>
  <c r="UD14" i="285"/>
  <c r="UG16" i="285"/>
  <c r="UE16" i="285"/>
  <c r="UF16" i="285"/>
  <c r="UD16" i="285"/>
  <c r="UG18" i="285"/>
  <c r="UE18" i="285"/>
  <c r="UF18" i="285"/>
  <c r="UD18" i="285"/>
  <c r="UG20" i="285"/>
  <c r="UE20" i="285"/>
  <c r="UF20" i="285"/>
  <c r="UD20" i="285"/>
  <c r="UG22" i="285"/>
  <c r="UE22" i="285"/>
  <c r="UF22" i="285"/>
  <c r="UD22" i="285"/>
  <c r="UG24" i="285"/>
  <c r="UE24" i="285"/>
  <c r="UF24" i="285"/>
  <c r="UD24" i="285"/>
  <c r="UG26" i="285"/>
  <c r="UE26" i="285"/>
  <c r="UF26" i="285"/>
  <c r="UD26" i="285"/>
  <c r="UG28" i="285"/>
  <c r="UE28" i="285"/>
  <c r="UF28" i="285"/>
  <c r="UD28" i="285"/>
  <c r="UG30" i="285"/>
  <c r="UE30" i="285"/>
  <c r="UF30" i="285"/>
  <c r="UD30" i="285"/>
  <c r="UG32" i="285"/>
  <c r="UE32" i="285"/>
  <c r="UF32" i="285"/>
  <c r="UD32" i="285"/>
  <c r="UJ4" i="285"/>
  <c r="UH4" i="285"/>
  <c r="UI4" i="285"/>
  <c r="UK4" i="285"/>
  <c r="UJ6" i="285"/>
  <c r="UH6" i="285"/>
  <c r="UI6" i="285"/>
  <c r="UK6" i="285"/>
  <c r="UJ8" i="285"/>
  <c r="UH8" i="285"/>
  <c r="UK8" i="285"/>
  <c r="UI8" i="285"/>
  <c r="UJ10" i="285"/>
  <c r="UH10" i="285"/>
  <c r="UK10" i="285"/>
  <c r="UI10" i="285"/>
  <c r="UK12" i="285"/>
  <c r="UI12" i="285"/>
  <c r="UJ12" i="285"/>
  <c r="UH12" i="285"/>
  <c r="UK14" i="285"/>
  <c r="UI14" i="285"/>
  <c r="UJ14" i="285"/>
  <c r="UH14" i="285"/>
  <c r="UK16" i="285"/>
  <c r="UI16" i="285"/>
  <c r="UJ16" i="285"/>
  <c r="UH16" i="285"/>
  <c r="UK18" i="285"/>
  <c r="UI18" i="285"/>
  <c r="UJ18" i="285"/>
  <c r="UH18" i="285"/>
  <c r="UK20" i="285"/>
  <c r="UI20" i="285"/>
  <c r="UJ20" i="285"/>
  <c r="UH20" i="285"/>
  <c r="UK22" i="285"/>
  <c r="UI22" i="285"/>
  <c r="UJ22" i="285"/>
  <c r="UH22" i="285"/>
  <c r="UK24" i="285"/>
  <c r="UI24" i="285"/>
  <c r="UJ24" i="285"/>
  <c r="UH24" i="285"/>
  <c r="UK26" i="285"/>
  <c r="UI26" i="285"/>
  <c r="UJ26" i="285"/>
  <c r="UH26" i="285"/>
  <c r="UK28" i="285"/>
  <c r="UI28" i="285"/>
  <c r="UJ28" i="285"/>
  <c r="UH28" i="285"/>
  <c r="UK30" i="285"/>
  <c r="UI30" i="285"/>
  <c r="UJ30" i="285"/>
  <c r="UH30" i="285"/>
  <c r="UK32" i="285"/>
  <c r="UI32" i="285"/>
  <c r="UJ32" i="285"/>
  <c r="UH32" i="285"/>
  <c r="UN4" i="285"/>
  <c r="UL4" i="285"/>
  <c r="UM4" i="285"/>
  <c r="UO4" i="285"/>
  <c r="UN6" i="285"/>
  <c r="UL6" i="285"/>
  <c r="UM6" i="285"/>
  <c r="UO6" i="285"/>
  <c r="UN8" i="285"/>
  <c r="UL8" i="285"/>
  <c r="UO8" i="285"/>
  <c r="UM8" i="285"/>
  <c r="UN10" i="285"/>
  <c r="UL10" i="285"/>
  <c r="UO10" i="285"/>
  <c r="UM10" i="285"/>
  <c r="UO12" i="285"/>
  <c r="UM12" i="285"/>
  <c r="UN12" i="285"/>
  <c r="UL12" i="285"/>
  <c r="UO14" i="285"/>
  <c r="UM14" i="285"/>
  <c r="UN14" i="285"/>
  <c r="UL14" i="285"/>
  <c r="UO16" i="285"/>
  <c r="UM16" i="285"/>
  <c r="UN16" i="285"/>
  <c r="UL16" i="285"/>
  <c r="UO18" i="285"/>
  <c r="UM18" i="285"/>
  <c r="UN18" i="285"/>
  <c r="UL18" i="285"/>
  <c r="UO20" i="285"/>
  <c r="UM20" i="285"/>
  <c r="UN20" i="285"/>
  <c r="UL20" i="285"/>
  <c r="UO22" i="285"/>
  <c r="UM22" i="285"/>
  <c r="UN22" i="285"/>
  <c r="UL22" i="285"/>
  <c r="UO24" i="285"/>
  <c r="UM24" i="285"/>
  <c r="UN24" i="285"/>
  <c r="UL24" i="285"/>
  <c r="UO26" i="285"/>
  <c r="UM26" i="285"/>
  <c r="UN26" i="285"/>
  <c r="UL26" i="285"/>
  <c r="UO28" i="285"/>
  <c r="UM28" i="285"/>
  <c r="UN28" i="285"/>
  <c r="UL28" i="285"/>
  <c r="UO30" i="285"/>
  <c r="UM30" i="285"/>
  <c r="UN30" i="285"/>
  <c r="UL30" i="285"/>
  <c r="UO32" i="285"/>
  <c r="UM32" i="285"/>
  <c r="UN32" i="285"/>
  <c r="UL32" i="285"/>
  <c r="UR4" i="285"/>
  <c r="UP4" i="285"/>
  <c r="UQ4" i="285"/>
  <c r="US4" i="285"/>
  <c r="UR6" i="285"/>
  <c r="UP6" i="285"/>
  <c r="UQ6" i="285"/>
  <c r="US6" i="285"/>
  <c r="UR8" i="285"/>
  <c r="UP8" i="285"/>
  <c r="US8" i="285"/>
  <c r="UQ8" i="285"/>
  <c r="UR10" i="285"/>
  <c r="UP10" i="285"/>
  <c r="US10" i="285"/>
  <c r="UQ10" i="285"/>
  <c r="US12" i="285"/>
  <c r="UQ12" i="285"/>
  <c r="UR12" i="285"/>
  <c r="UP12" i="285"/>
  <c r="US14" i="285"/>
  <c r="UQ14" i="285"/>
  <c r="UR14" i="285"/>
  <c r="UP14" i="285"/>
  <c r="US16" i="285"/>
  <c r="UQ16" i="285"/>
  <c r="UR16" i="285"/>
  <c r="UP16" i="285"/>
  <c r="US18" i="285"/>
  <c r="UQ18" i="285"/>
  <c r="UR18" i="285"/>
  <c r="UP18" i="285"/>
  <c r="US20" i="285"/>
  <c r="UQ20" i="285"/>
  <c r="UR20" i="285"/>
  <c r="UP20" i="285"/>
  <c r="US22" i="285"/>
  <c r="UQ22" i="285"/>
  <c r="UR22" i="285"/>
  <c r="UP22" i="285"/>
  <c r="US24" i="285"/>
  <c r="UQ24" i="285"/>
  <c r="UR24" i="285"/>
  <c r="UP24" i="285"/>
  <c r="US26" i="285"/>
  <c r="UQ26" i="285"/>
  <c r="UR26" i="285"/>
  <c r="UP26" i="285"/>
  <c r="US28" i="285"/>
  <c r="UQ28" i="285"/>
  <c r="UR28" i="285"/>
  <c r="UP28" i="285"/>
  <c r="US30" i="285"/>
  <c r="UQ30" i="285"/>
  <c r="UR30" i="285"/>
  <c r="UP30" i="285"/>
  <c r="US32" i="285"/>
  <c r="UQ32" i="285"/>
  <c r="UR32" i="285"/>
  <c r="UP32" i="285"/>
  <c r="UV4" i="285"/>
  <c r="UT4" i="285"/>
  <c r="UU4" i="285"/>
  <c r="UW4" i="285"/>
  <c r="UV6" i="285"/>
  <c r="UT6" i="285"/>
  <c r="UU6" i="285"/>
  <c r="UW6" i="285"/>
  <c r="UV8" i="285"/>
  <c r="UT8" i="285"/>
  <c r="UW8" i="285"/>
  <c r="UU8" i="285"/>
  <c r="UV10" i="285"/>
  <c r="UT10" i="285"/>
  <c r="UW10" i="285"/>
  <c r="UU10" i="285"/>
  <c r="UW12" i="285"/>
  <c r="UU12" i="285"/>
  <c r="UV12" i="285"/>
  <c r="UT12" i="285"/>
  <c r="UW14" i="285"/>
  <c r="UU14" i="285"/>
  <c r="UV14" i="285"/>
  <c r="UT14" i="285"/>
  <c r="UW16" i="285"/>
  <c r="UU16" i="285"/>
  <c r="UV16" i="285"/>
  <c r="UT16" i="285"/>
  <c r="UW18" i="285"/>
  <c r="UU18" i="285"/>
  <c r="UV18" i="285"/>
  <c r="UT18" i="285"/>
  <c r="UW20" i="285"/>
  <c r="UU20" i="285"/>
  <c r="UV20" i="285"/>
  <c r="UT20" i="285"/>
  <c r="UW22" i="285"/>
  <c r="UU22" i="285"/>
  <c r="UV22" i="285"/>
  <c r="UT22" i="285"/>
  <c r="UW24" i="285"/>
  <c r="UU24" i="285"/>
  <c r="UV24" i="285"/>
  <c r="UT24" i="285"/>
  <c r="UW26" i="285"/>
  <c r="UU26" i="285"/>
  <c r="UV26" i="285"/>
  <c r="UT26" i="285"/>
  <c r="UW28" i="285"/>
  <c r="UU28" i="285"/>
  <c r="UV28" i="285"/>
  <c r="UT28" i="285"/>
  <c r="UW30" i="285"/>
  <c r="UU30" i="285"/>
  <c r="UV30" i="285"/>
  <c r="UT30" i="285"/>
  <c r="UW32" i="285"/>
  <c r="UU32" i="285"/>
  <c r="UV32" i="285"/>
  <c r="UT32" i="285"/>
  <c r="UZ4" i="285"/>
  <c r="UX4" i="285"/>
  <c r="UY4" i="285"/>
  <c r="VA4" i="285"/>
  <c r="UZ6" i="285"/>
  <c r="UX6" i="285"/>
  <c r="UY6" i="285"/>
  <c r="VA6" i="285"/>
  <c r="UZ8" i="285"/>
  <c r="UX8" i="285"/>
  <c r="VA8" i="285"/>
  <c r="UY8" i="285"/>
  <c r="UZ10" i="285"/>
  <c r="UX10" i="285"/>
  <c r="VA10" i="285"/>
  <c r="UY10" i="285"/>
  <c r="VA12" i="285"/>
  <c r="UY12" i="285"/>
  <c r="UZ12" i="285"/>
  <c r="UX12" i="285"/>
  <c r="VA14" i="285"/>
  <c r="UY14" i="285"/>
  <c r="UZ14" i="285"/>
  <c r="UX14" i="285"/>
  <c r="VA16" i="285"/>
  <c r="UY16" i="285"/>
  <c r="UZ16" i="285"/>
  <c r="UX16" i="285"/>
  <c r="VA18" i="285"/>
  <c r="UY18" i="285"/>
  <c r="UZ18" i="285"/>
  <c r="UX18" i="285"/>
  <c r="VA20" i="285"/>
  <c r="UY20" i="285"/>
  <c r="UZ20" i="285"/>
  <c r="UX20" i="285"/>
  <c r="VA22" i="285"/>
  <c r="UY22" i="285"/>
  <c r="UZ22" i="285"/>
  <c r="UX22" i="285"/>
  <c r="VA24" i="285"/>
  <c r="UY24" i="285"/>
  <c r="UZ24" i="285"/>
  <c r="UX24" i="285"/>
  <c r="VA26" i="285"/>
  <c r="UY26" i="285"/>
  <c r="UZ26" i="285"/>
  <c r="UX26" i="285"/>
  <c r="VA28" i="285"/>
  <c r="UY28" i="285"/>
  <c r="UZ28" i="285"/>
  <c r="UX28" i="285"/>
  <c r="VA30" i="285"/>
  <c r="UY30" i="285"/>
  <c r="UZ30" i="285"/>
  <c r="UX30" i="285"/>
  <c r="VA32" i="285"/>
  <c r="UY32" i="285"/>
  <c r="UZ32" i="285"/>
  <c r="UX32" i="285"/>
  <c r="AH127" i="276"/>
  <c r="BB38" i="262" s="1"/>
  <c r="BF38" i="262" s="1"/>
  <c r="XQ4" i="285"/>
  <c r="XO4" i="285"/>
  <c r="XP4" i="285"/>
  <c r="XN4" i="285"/>
  <c r="XQ6" i="285"/>
  <c r="XO6" i="285"/>
  <c r="XP6" i="285"/>
  <c r="XN6" i="285"/>
  <c r="XQ8" i="285"/>
  <c r="XO8" i="285"/>
  <c r="XP8" i="285"/>
  <c r="XN8" i="285"/>
  <c r="XQ10" i="285"/>
  <c r="XO10" i="285"/>
  <c r="XP10" i="285"/>
  <c r="XN10" i="285"/>
  <c r="XP12" i="285"/>
  <c r="XN12" i="285"/>
  <c r="XQ12" i="285"/>
  <c r="XO12" i="285"/>
  <c r="XP14" i="285"/>
  <c r="XN14" i="285"/>
  <c r="XQ14" i="285"/>
  <c r="XO14" i="285"/>
  <c r="XP16" i="285"/>
  <c r="XN16" i="285"/>
  <c r="XQ16" i="285"/>
  <c r="XO16" i="285"/>
  <c r="XP18" i="285"/>
  <c r="XN18" i="285"/>
  <c r="XQ18" i="285"/>
  <c r="XO18" i="285"/>
  <c r="XP20" i="285"/>
  <c r="XN20" i="285"/>
  <c r="XQ20" i="285"/>
  <c r="XO20" i="285"/>
  <c r="XP22" i="285"/>
  <c r="XN22" i="285"/>
  <c r="XQ22" i="285"/>
  <c r="XO22" i="285"/>
  <c r="XP24" i="285"/>
  <c r="XN24" i="285"/>
  <c r="XQ24" i="285"/>
  <c r="XO24" i="285"/>
  <c r="XP26" i="285"/>
  <c r="XN26" i="285"/>
  <c r="XQ26" i="285"/>
  <c r="XO26" i="285"/>
  <c r="XP28" i="285"/>
  <c r="XN28" i="285"/>
  <c r="XQ28" i="285"/>
  <c r="XO28" i="285"/>
  <c r="XP30" i="285"/>
  <c r="XN30" i="285"/>
  <c r="XQ30" i="285"/>
  <c r="XO30" i="285"/>
  <c r="XP32" i="285"/>
  <c r="XN32" i="285"/>
  <c r="XO32" i="285"/>
  <c r="XQ32" i="285"/>
  <c r="XU4" i="285"/>
  <c r="XS4" i="285"/>
  <c r="XT4" i="285"/>
  <c r="XR4" i="285"/>
  <c r="XU6" i="285"/>
  <c r="XS6" i="285"/>
  <c r="XT6" i="285"/>
  <c r="XR6" i="285"/>
  <c r="XU8" i="285"/>
  <c r="XS8" i="285"/>
  <c r="XT8" i="285"/>
  <c r="XR8" i="285"/>
  <c r="XU10" i="285"/>
  <c r="XS10" i="285"/>
  <c r="XT10" i="285"/>
  <c r="XR10" i="285"/>
  <c r="XT12" i="285"/>
  <c r="XR12" i="285"/>
  <c r="XU12" i="285"/>
  <c r="XS12" i="285"/>
  <c r="XT14" i="285"/>
  <c r="XR14" i="285"/>
  <c r="XU14" i="285"/>
  <c r="XS14" i="285"/>
  <c r="XT16" i="285"/>
  <c r="XR16" i="285"/>
  <c r="XU16" i="285"/>
  <c r="XS16" i="285"/>
  <c r="XT18" i="285"/>
  <c r="XR18" i="285"/>
  <c r="XU18" i="285"/>
  <c r="XS18" i="285"/>
  <c r="XT20" i="285"/>
  <c r="XR20" i="285"/>
  <c r="XU20" i="285"/>
  <c r="XS20" i="285"/>
  <c r="XT22" i="285"/>
  <c r="XR22" i="285"/>
  <c r="XU22" i="285"/>
  <c r="XS22" i="285"/>
  <c r="XT24" i="285"/>
  <c r="XR24" i="285"/>
  <c r="XU24" i="285"/>
  <c r="XS24" i="285"/>
  <c r="XT26" i="285"/>
  <c r="XR26" i="285"/>
  <c r="XU26" i="285"/>
  <c r="XS26" i="285"/>
  <c r="XT28" i="285"/>
  <c r="XR28" i="285"/>
  <c r="XU28" i="285"/>
  <c r="XS28" i="285"/>
  <c r="XT30" i="285"/>
  <c r="XR30" i="285"/>
  <c r="XU30" i="285"/>
  <c r="XS30" i="285"/>
  <c r="XT32" i="285"/>
  <c r="XR32" i="285"/>
  <c r="XS32" i="285"/>
  <c r="XU32" i="285"/>
  <c r="XY4" i="285"/>
  <c r="XW4" i="285"/>
  <c r="XX4" i="285"/>
  <c r="XV4" i="285"/>
  <c r="XY6" i="285"/>
  <c r="XW6" i="285"/>
  <c r="XX6" i="285"/>
  <c r="XV6" i="285"/>
  <c r="XY8" i="285"/>
  <c r="XW8" i="285"/>
  <c r="XX8" i="285"/>
  <c r="XV8" i="285"/>
  <c r="XY10" i="285"/>
  <c r="XW10" i="285"/>
  <c r="XX10" i="285"/>
  <c r="XV10" i="285"/>
  <c r="XX12" i="285"/>
  <c r="XV12" i="285"/>
  <c r="XY12" i="285"/>
  <c r="XW12" i="285"/>
  <c r="XX14" i="285"/>
  <c r="XV14" i="285"/>
  <c r="XY14" i="285"/>
  <c r="XW14" i="285"/>
  <c r="XX16" i="285"/>
  <c r="XV16" i="285"/>
  <c r="XY16" i="285"/>
  <c r="XW16" i="285"/>
  <c r="XX18" i="285"/>
  <c r="XV18" i="285"/>
  <c r="XY18" i="285"/>
  <c r="XW18" i="285"/>
  <c r="XX20" i="285"/>
  <c r="XV20" i="285"/>
  <c r="XY20" i="285"/>
  <c r="XW20" i="285"/>
  <c r="XX22" i="285"/>
  <c r="XV22" i="285"/>
  <c r="XY22" i="285"/>
  <c r="XW22" i="285"/>
  <c r="XX24" i="285"/>
  <c r="XV24" i="285"/>
  <c r="XY24" i="285"/>
  <c r="XW24" i="285"/>
  <c r="XX26" i="285"/>
  <c r="XV26" i="285"/>
  <c r="XY26" i="285"/>
  <c r="XW26" i="285"/>
  <c r="XX28" i="285"/>
  <c r="XV28" i="285"/>
  <c r="XY28" i="285"/>
  <c r="XW28" i="285"/>
  <c r="XX30" i="285"/>
  <c r="XV30" i="285"/>
  <c r="XY30" i="285"/>
  <c r="XW30" i="285"/>
  <c r="XX32" i="285"/>
  <c r="XV32" i="285"/>
  <c r="XW32" i="285"/>
  <c r="XY32" i="285"/>
  <c r="YC4" i="285"/>
  <c r="YA4" i="285"/>
  <c r="YB4" i="285"/>
  <c r="XZ4" i="285"/>
  <c r="YC6" i="285"/>
  <c r="YA6" i="285"/>
  <c r="YB6" i="285"/>
  <c r="XZ6" i="285"/>
  <c r="YC8" i="285"/>
  <c r="YA8" i="285"/>
  <c r="YB8" i="285"/>
  <c r="XZ8" i="285"/>
  <c r="YC10" i="285"/>
  <c r="YA10" i="285"/>
  <c r="YB10" i="285"/>
  <c r="XZ10" i="285"/>
  <c r="YB12" i="285"/>
  <c r="XZ12" i="285"/>
  <c r="YC12" i="285"/>
  <c r="YA12" i="285"/>
  <c r="YB14" i="285"/>
  <c r="XZ14" i="285"/>
  <c r="YC14" i="285"/>
  <c r="YA14" i="285"/>
  <c r="YB16" i="285"/>
  <c r="XZ16" i="285"/>
  <c r="YC16" i="285"/>
  <c r="YA16" i="285"/>
  <c r="YB18" i="285"/>
  <c r="XZ18" i="285"/>
  <c r="YC18" i="285"/>
  <c r="YA18" i="285"/>
  <c r="YB20" i="285"/>
  <c r="XZ20" i="285"/>
  <c r="YC20" i="285"/>
  <c r="YA20" i="285"/>
  <c r="YB22" i="285"/>
  <c r="XZ22" i="285"/>
  <c r="YC22" i="285"/>
  <c r="YA22" i="285"/>
  <c r="YB24" i="285"/>
  <c r="XZ24" i="285"/>
  <c r="YC24" i="285"/>
  <c r="YA24" i="285"/>
  <c r="YB26" i="285"/>
  <c r="XZ26" i="285"/>
  <c r="YC26" i="285"/>
  <c r="YA26" i="285"/>
  <c r="YB28" i="285"/>
  <c r="XZ28" i="285"/>
  <c r="YC28" i="285"/>
  <c r="YA28" i="285"/>
  <c r="YB30" i="285"/>
  <c r="XZ30" i="285"/>
  <c r="YC30" i="285"/>
  <c r="YA30" i="285"/>
  <c r="YB32" i="285"/>
  <c r="XZ32" i="285"/>
  <c r="YA32" i="285"/>
  <c r="YC32" i="285"/>
  <c r="YG4" i="285"/>
  <c r="YE4" i="285"/>
  <c r="YF4" i="285"/>
  <c r="YD4" i="285"/>
  <c r="YG6" i="285"/>
  <c r="YE6" i="285"/>
  <c r="YF6" i="285"/>
  <c r="YD6" i="285"/>
  <c r="YG8" i="285"/>
  <c r="YE8" i="285"/>
  <c r="YF8" i="285"/>
  <c r="YD8" i="285"/>
  <c r="YG10" i="285"/>
  <c r="YE10" i="285"/>
  <c r="YF10" i="285"/>
  <c r="YD10" i="285"/>
  <c r="YF12" i="285"/>
  <c r="YD12" i="285"/>
  <c r="YG12" i="285"/>
  <c r="YE12" i="285"/>
  <c r="YF14" i="285"/>
  <c r="YD14" i="285"/>
  <c r="YG14" i="285"/>
  <c r="YE14" i="285"/>
  <c r="YF16" i="285"/>
  <c r="YD16" i="285"/>
  <c r="YG16" i="285"/>
  <c r="YE16" i="285"/>
  <c r="YF18" i="285"/>
  <c r="YD18" i="285"/>
  <c r="YG18" i="285"/>
  <c r="YE18" i="285"/>
  <c r="YF20" i="285"/>
  <c r="YD20" i="285"/>
  <c r="YG20" i="285"/>
  <c r="YE20" i="285"/>
  <c r="YF22" i="285"/>
  <c r="YD22" i="285"/>
  <c r="YG22" i="285"/>
  <c r="YE22" i="285"/>
  <c r="YF24" i="285"/>
  <c r="YD24" i="285"/>
  <c r="YG24" i="285"/>
  <c r="YE24" i="285"/>
  <c r="YF26" i="285"/>
  <c r="YD26" i="285"/>
  <c r="YG26" i="285"/>
  <c r="YE26" i="285"/>
  <c r="YF28" i="285"/>
  <c r="YD28" i="285"/>
  <c r="YG28" i="285"/>
  <c r="YE28" i="285"/>
  <c r="YF30" i="285"/>
  <c r="YD30" i="285"/>
  <c r="YG30" i="285"/>
  <c r="YE30" i="285"/>
  <c r="YF32" i="285"/>
  <c r="YD32" i="285"/>
  <c r="YE32" i="285"/>
  <c r="YG32" i="285"/>
  <c r="YK4" i="285"/>
  <c r="YI4" i="285"/>
  <c r="YJ4" i="285"/>
  <c r="YH4" i="285"/>
  <c r="YK6" i="285"/>
  <c r="YI6" i="285"/>
  <c r="YJ6" i="285"/>
  <c r="YH6" i="285"/>
  <c r="YK8" i="285"/>
  <c r="YI8" i="285"/>
  <c r="YJ8" i="285"/>
  <c r="YH8" i="285"/>
  <c r="YK10" i="285"/>
  <c r="YI10" i="285"/>
  <c r="YJ10" i="285"/>
  <c r="YH10" i="285"/>
  <c r="YJ12" i="285"/>
  <c r="YH12" i="285"/>
  <c r="YK12" i="285"/>
  <c r="YI12" i="285"/>
  <c r="YJ14" i="285"/>
  <c r="YH14" i="285"/>
  <c r="YK14" i="285"/>
  <c r="YI14" i="285"/>
  <c r="YJ16" i="285"/>
  <c r="YH16" i="285"/>
  <c r="YK16" i="285"/>
  <c r="YI16" i="285"/>
  <c r="YJ18" i="285"/>
  <c r="YH18" i="285"/>
  <c r="YK18" i="285"/>
  <c r="YI18" i="285"/>
  <c r="YJ20" i="285"/>
  <c r="YH20" i="285"/>
  <c r="YK20" i="285"/>
  <c r="YI20" i="285"/>
  <c r="YJ22" i="285"/>
  <c r="YH22" i="285"/>
  <c r="YK22" i="285"/>
  <c r="YI22" i="285"/>
  <c r="YJ24" i="285"/>
  <c r="YH24" i="285"/>
  <c r="YK24" i="285"/>
  <c r="YI24" i="285"/>
  <c r="YJ26" i="285"/>
  <c r="YH26" i="285"/>
  <c r="YK26" i="285"/>
  <c r="YI26" i="285"/>
  <c r="YJ28" i="285"/>
  <c r="YH28" i="285"/>
  <c r="YK28" i="285"/>
  <c r="YI28" i="285"/>
  <c r="YJ30" i="285"/>
  <c r="YH30" i="285"/>
  <c r="YK30" i="285"/>
  <c r="YI30" i="285"/>
  <c r="YJ32" i="285"/>
  <c r="YH32" i="285"/>
  <c r="YI32" i="285"/>
  <c r="YK32" i="285"/>
  <c r="YO4" i="285"/>
  <c r="YM4" i="285"/>
  <c r="YN4" i="285"/>
  <c r="YL4" i="285"/>
  <c r="YO6" i="285"/>
  <c r="YM6" i="285"/>
  <c r="YN6" i="285"/>
  <c r="YL6" i="285"/>
  <c r="YO8" i="285"/>
  <c r="YM8" i="285"/>
  <c r="YN8" i="285"/>
  <c r="YL8" i="285"/>
  <c r="YO10" i="285"/>
  <c r="YM10" i="285"/>
  <c r="YN10" i="285"/>
  <c r="YL10" i="285"/>
  <c r="YN12" i="285"/>
  <c r="YL12" i="285"/>
  <c r="YO12" i="285"/>
  <c r="YM12" i="285"/>
  <c r="YN14" i="285"/>
  <c r="YL14" i="285"/>
  <c r="YO14" i="285"/>
  <c r="YM14" i="285"/>
  <c r="YN16" i="285"/>
  <c r="YL16" i="285"/>
  <c r="YO16" i="285"/>
  <c r="YM16" i="285"/>
  <c r="YN18" i="285"/>
  <c r="YL18" i="285"/>
  <c r="YO18" i="285"/>
  <c r="YM18" i="285"/>
  <c r="YN20" i="285"/>
  <c r="YL20" i="285"/>
  <c r="YO20" i="285"/>
  <c r="YM20" i="285"/>
  <c r="YN22" i="285"/>
  <c r="YL22" i="285"/>
  <c r="YO22" i="285"/>
  <c r="YM22" i="285"/>
  <c r="YN24" i="285"/>
  <c r="YL24" i="285"/>
  <c r="YO24" i="285"/>
  <c r="YM24" i="285"/>
  <c r="YN26" i="285"/>
  <c r="YL26" i="285"/>
  <c r="YO26" i="285"/>
  <c r="YM26" i="285"/>
  <c r="YN28" i="285"/>
  <c r="YL28" i="285"/>
  <c r="YO28" i="285"/>
  <c r="YM28" i="285"/>
  <c r="YN30" i="285"/>
  <c r="YL30" i="285"/>
  <c r="YO30" i="285"/>
  <c r="YM30" i="285"/>
  <c r="YN32" i="285"/>
  <c r="YL32" i="285"/>
  <c r="YM32" i="285"/>
  <c r="YO32" i="285"/>
  <c r="YS4" i="285"/>
  <c r="YQ4" i="285"/>
  <c r="YR4" i="285"/>
  <c r="YP4" i="285"/>
  <c r="YS6" i="285"/>
  <c r="YQ6" i="285"/>
  <c r="YR6" i="285"/>
  <c r="YP6" i="285"/>
  <c r="YS8" i="285"/>
  <c r="YQ8" i="285"/>
  <c r="YR8" i="285"/>
  <c r="YP8" i="285"/>
  <c r="YS10" i="285"/>
  <c r="YQ10" i="285"/>
  <c r="YR10" i="285"/>
  <c r="YP10" i="285"/>
  <c r="YR12" i="285"/>
  <c r="YP12" i="285"/>
  <c r="YS12" i="285"/>
  <c r="YQ12" i="285"/>
  <c r="YR14" i="285"/>
  <c r="YP14" i="285"/>
  <c r="YS14" i="285"/>
  <c r="YQ14" i="285"/>
  <c r="YR16" i="285"/>
  <c r="YP16" i="285"/>
  <c r="YS16" i="285"/>
  <c r="YQ16" i="285"/>
  <c r="YR18" i="285"/>
  <c r="YP18" i="285"/>
  <c r="YS18" i="285"/>
  <c r="YQ18" i="285"/>
  <c r="YR20" i="285"/>
  <c r="YP20" i="285"/>
  <c r="YS20" i="285"/>
  <c r="YQ20" i="285"/>
  <c r="YR22" i="285"/>
  <c r="YP22" i="285"/>
  <c r="YS22" i="285"/>
  <c r="YQ22" i="285"/>
  <c r="YR24" i="285"/>
  <c r="YP24" i="285"/>
  <c r="YS24" i="285"/>
  <c r="YQ24" i="285"/>
  <c r="YR26" i="285"/>
  <c r="YP26" i="285"/>
  <c r="YS26" i="285"/>
  <c r="YQ26" i="285"/>
  <c r="YR28" i="285"/>
  <c r="YP28" i="285"/>
  <c r="YS28" i="285"/>
  <c r="YQ28" i="285"/>
  <c r="YR30" i="285"/>
  <c r="YP30" i="285"/>
  <c r="YS30" i="285"/>
  <c r="YQ30" i="285"/>
  <c r="YR32" i="285"/>
  <c r="YP32" i="285"/>
  <c r="YQ32" i="285"/>
  <c r="YS32" i="285"/>
  <c r="YW4" i="285"/>
  <c r="YU4" i="285"/>
  <c r="YV4" i="285"/>
  <c r="YT4" i="285"/>
  <c r="YW6" i="285"/>
  <c r="YU6" i="285"/>
  <c r="YV6" i="285"/>
  <c r="YT6" i="285"/>
  <c r="YW8" i="285"/>
  <c r="YU8" i="285"/>
  <c r="YV8" i="285"/>
  <c r="YT8" i="285"/>
  <c r="YW10" i="285"/>
  <c r="YU10" i="285"/>
  <c r="YV10" i="285"/>
  <c r="YT10" i="285"/>
  <c r="YV12" i="285"/>
  <c r="YT12" i="285"/>
  <c r="YW12" i="285"/>
  <c r="YU12" i="285"/>
  <c r="YV14" i="285"/>
  <c r="YT14" i="285"/>
  <c r="YW14" i="285"/>
  <c r="YU14" i="285"/>
  <c r="YV16" i="285"/>
  <c r="YT16" i="285"/>
  <c r="YW16" i="285"/>
  <c r="YU16" i="285"/>
  <c r="YV18" i="285"/>
  <c r="YT18" i="285"/>
  <c r="YW18" i="285"/>
  <c r="YU18" i="285"/>
  <c r="YV20" i="285"/>
  <c r="YT20" i="285"/>
  <c r="YW20" i="285"/>
  <c r="YU20" i="285"/>
  <c r="YV22" i="285"/>
  <c r="YT22" i="285"/>
  <c r="YW22" i="285"/>
  <c r="YU22" i="285"/>
  <c r="YV24" i="285"/>
  <c r="YT24" i="285"/>
  <c r="YW24" i="285"/>
  <c r="YU24" i="285"/>
  <c r="YV26" i="285"/>
  <c r="YT26" i="285"/>
  <c r="YW26" i="285"/>
  <c r="YU26" i="285"/>
  <c r="YV28" i="285"/>
  <c r="YT28" i="285"/>
  <c r="YW28" i="285"/>
  <c r="YU28" i="285"/>
  <c r="YV30" i="285"/>
  <c r="YT30" i="285"/>
  <c r="YW30" i="285"/>
  <c r="YU30" i="285"/>
  <c r="YV32" i="285"/>
  <c r="YT32" i="285"/>
  <c r="YU32" i="285"/>
  <c r="YW32" i="285"/>
  <c r="ZA4" i="285"/>
  <c r="YY4" i="285"/>
  <c r="YZ4" i="285"/>
  <c r="YX4" i="285"/>
  <c r="ZA6" i="285"/>
  <c r="YY6" i="285"/>
  <c r="YZ6" i="285"/>
  <c r="YX6" i="285"/>
  <c r="ZA8" i="285"/>
  <c r="YY8" i="285"/>
  <c r="YZ8" i="285"/>
  <c r="YX8" i="285"/>
  <c r="ZA10" i="285"/>
  <c r="YY10" i="285"/>
  <c r="YZ10" i="285"/>
  <c r="YX10" i="285"/>
  <c r="YZ12" i="285"/>
  <c r="YX12" i="285"/>
  <c r="ZA12" i="285"/>
  <c r="YY12" i="285"/>
  <c r="YZ14" i="285"/>
  <c r="YX14" i="285"/>
  <c r="ZA14" i="285"/>
  <c r="YY14" i="285"/>
  <c r="YZ16" i="285"/>
  <c r="YX16" i="285"/>
  <c r="ZA16" i="285"/>
  <c r="YY16" i="285"/>
  <c r="YZ18" i="285"/>
  <c r="YX18" i="285"/>
  <c r="ZA18" i="285"/>
  <c r="YY18" i="285"/>
  <c r="YZ20" i="285"/>
  <c r="YX20" i="285"/>
  <c r="ZA20" i="285"/>
  <c r="YY20" i="285"/>
  <c r="YZ22" i="285"/>
  <c r="YX22" i="285"/>
  <c r="ZA22" i="285"/>
  <c r="YY22" i="285"/>
  <c r="YZ24" i="285"/>
  <c r="YX24" i="285"/>
  <c r="ZA24" i="285"/>
  <c r="YY24" i="285"/>
  <c r="YZ26" i="285"/>
  <c r="YX26" i="285"/>
  <c r="ZA26" i="285"/>
  <c r="YY26" i="285"/>
  <c r="YZ28" i="285"/>
  <c r="YX28" i="285"/>
  <c r="ZA28" i="285"/>
  <c r="YY28" i="285"/>
  <c r="YZ30" i="285"/>
  <c r="YX30" i="285"/>
  <c r="ZA30" i="285"/>
  <c r="YY30" i="285"/>
  <c r="YZ32" i="285"/>
  <c r="YX32" i="285"/>
  <c r="YY32" i="285"/>
  <c r="ZA32" i="285"/>
  <c r="ZE4" i="285"/>
  <c r="ZC4" i="285"/>
  <c r="ZD4" i="285"/>
  <c r="ZB4" i="285"/>
  <c r="ZE6" i="285"/>
  <c r="ZC6" i="285"/>
  <c r="ZD6" i="285"/>
  <c r="ZB6" i="285"/>
  <c r="ZE8" i="285"/>
  <c r="ZC8" i="285"/>
  <c r="ZD8" i="285"/>
  <c r="ZB8" i="285"/>
  <c r="ZE10" i="285"/>
  <c r="ZC10" i="285"/>
  <c r="ZD10" i="285"/>
  <c r="ZB10" i="285"/>
  <c r="ZD12" i="285"/>
  <c r="ZB12" i="285"/>
  <c r="ZE12" i="285"/>
  <c r="ZC12" i="285"/>
  <c r="ZD14" i="285"/>
  <c r="ZB14" i="285"/>
  <c r="ZE14" i="285"/>
  <c r="ZC14" i="285"/>
  <c r="ZD16" i="285"/>
  <c r="ZB16" i="285"/>
  <c r="ZE16" i="285"/>
  <c r="ZC16" i="285"/>
  <c r="ZD18" i="285"/>
  <c r="ZB18" i="285"/>
  <c r="ZE18" i="285"/>
  <c r="ZC18" i="285"/>
  <c r="ZD20" i="285"/>
  <c r="ZB20" i="285"/>
  <c r="ZE20" i="285"/>
  <c r="ZC20" i="285"/>
  <c r="ZD22" i="285"/>
  <c r="ZB22" i="285"/>
  <c r="ZE22" i="285"/>
  <c r="ZC22" i="285"/>
  <c r="ZD24" i="285"/>
  <c r="ZB24" i="285"/>
  <c r="ZE24" i="285"/>
  <c r="ZC24" i="285"/>
  <c r="ZD26" i="285"/>
  <c r="ZB26" i="285"/>
  <c r="ZE26" i="285"/>
  <c r="ZC26" i="285"/>
  <c r="ZD28" i="285"/>
  <c r="ZB28" i="285"/>
  <c r="ZE28" i="285"/>
  <c r="ZC28" i="285"/>
  <c r="ZD30" i="285"/>
  <c r="ZB30" i="285"/>
  <c r="ZE30" i="285"/>
  <c r="ZC30" i="285"/>
  <c r="ZD32" i="285"/>
  <c r="ZB32" i="285"/>
  <c r="ZC32" i="285"/>
  <c r="ZE32" i="285"/>
  <c r="ZI4" i="285"/>
  <c r="ZG4" i="285"/>
  <c r="ZH4" i="285"/>
  <c r="ZF4" i="285"/>
  <c r="ZI6" i="285"/>
  <c r="ZG6" i="285"/>
  <c r="ZH6" i="285"/>
  <c r="ZF6" i="285"/>
  <c r="ZI8" i="285"/>
  <c r="ZG8" i="285"/>
  <c r="ZH8" i="285"/>
  <c r="ZF8" i="285"/>
  <c r="ZI10" i="285"/>
  <c r="ZG10" i="285"/>
  <c r="ZH10" i="285"/>
  <c r="ZF10" i="285"/>
  <c r="ZH12" i="285"/>
  <c r="ZF12" i="285"/>
  <c r="ZI12" i="285"/>
  <c r="ZG12" i="285"/>
  <c r="ZH14" i="285"/>
  <c r="ZF14" i="285"/>
  <c r="ZI14" i="285"/>
  <c r="ZG14" i="285"/>
  <c r="ZH16" i="285"/>
  <c r="ZF16" i="285"/>
  <c r="ZI16" i="285"/>
  <c r="ZG16" i="285"/>
  <c r="ZH18" i="285"/>
  <c r="ZF18" i="285"/>
  <c r="ZI18" i="285"/>
  <c r="ZG18" i="285"/>
  <c r="ZH20" i="285"/>
  <c r="ZF20" i="285"/>
  <c r="ZI20" i="285"/>
  <c r="ZG20" i="285"/>
  <c r="ZH22" i="285"/>
  <c r="ZF22" i="285"/>
  <c r="ZI22" i="285"/>
  <c r="ZG22" i="285"/>
  <c r="ZH24" i="285"/>
  <c r="ZF24" i="285"/>
  <c r="ZI24" i="285"/>
  <c r="ZG24" i="285"/>
  <c r="ZH26" i="285"/>
  <c r="ZF26" i="285"/>
  <c r="ZI26" i="285"/>
  <c r="ZG26" i="285"/>
  <c r="ZH28" i="285"/>
  <c r="ZF28" i="285"/>
  <c r="ZI28" i="285"/>
  <c r="ZG28" i="285"/>
  <c r="ZH30" i="285"/>
  <c r="ZF30" i="285"/>
  <c r="ZI30" i="285"/>
  <c r="ZG30" i="285"/>
  <c r="ZH32" i="285"/>
  <c r="ZF32" i="285"/>
  <c r="ZG32" i="285"/>
  <c r="ZI32" i="285"/>
  <c r="ZL5" i="285"/>
  <c r="ZJ5" i="285"/>
  <c r="ZK5" i="285"/>
  <c r="ZM5" i="285"/>
  <c r="ZL7" i="285"/>
  <c r="ZJ7" i="285"/>
  <c r="ZM7" i="285"/>
  <c r="ZK7" i="285"/>
  <c r="ZL9" i="285"/>
  <c r="ZJ9" i="285"/>
  <c r="ZM9" i="285"/>
  <c r="ZK9" i="285"/>
  <c r="ZL11" i="285"/>
  <c r="ZJ11" i="285"/>
  <c r="ZK11" i="285"/>
  <c r="ZM11" i="285"/>
  <c r="ZM13" i="285"/>
  <c r="ZK13" i="285"/>
  <c r="ZL13" i="285"/>
  <c r="ZJ13" i="285"/>
  <c r="ZM15" i="285"/>
  <c r="ZK15" i="285"/>
  <c r="ZL15" i="285"/>
  <c r="ZJ15" i="285"/>
  <c r="ZM17" i="285"/>
  <c r="ZK17" i="285"/>
  <c r="ZL17" i="285"/>
  <c r="ZJ17" i="285"/>
  <c r="ZM19" i="285"/>
  <c r="ZK19" i="285"/>
  <c r="ZL19" i="285"/>
  <c r="ZJ19" i="285"/>
  <c r="ZM21" i="285"/>
  <c r="ZK21" i="285"/>
  <c r="ZL21" i="285"/>
  <c r="ZJ21" i="285"/>
  <c r="ZM23" i="285"/>
  <c r="ZK23" i="285"/>
  <c r="ZL23" i="285"/>
  <c r="ZJ23" i="285"/>
  <c r="ZM25" i="285"/>
  <c r="ZK25" i="285"/>
  <c r="ZL25" i="285"/>
  <c r="ZJ25" i="285"/>
  <c r="ZM27" i="285"/>
  <c r="ZK27" i="285"/>
  <c r="ZL27" i="285"/>
  <c r="ZJ27" i="285"/>
  <c r="ZM29" i="285"/>
  <c r="ZK29" i="285"/>
  <c r="ZL29" i="285"/>
  <c r="ZJ29" i="285"/>
  <c r="ZM31" i="285"/>
  <c r="ZK31" i="285"/>
  <c r="ZL31" i="285"/>
  <c r="ZJ31" i="285"/>
  <c r="ZL3" i="285"/>
  <c r="F248" i="284" s="1"/>
  <c r="ZJ3" i="285"/>
  <c r="D248" i="284" s="1"/>
  <c r="ZK3" i="285"/>
  <c r="ZM3" i="285"/>
  <c r="ZQ4" i="285"/>
  <c r="ZO4" i="285"/>
  <c r="ZP4" i="285"/>
  <c r="ZN4" i="285"/>
  <c r="H114" i="275"/>
  <c r="BQ12" i="262" s="1"/>
  <c r="BU12" i="262" s="1"/>
  <c r="ZQ6" i="285"/>
  <c r="ZO6" i="285"/>
  <c r="ZP6" i="285"/>
  <c r="ZN6" i="285"/>
  <c r="ZQ8" i="285"/>
  <c r="ZO8" i="285"/>
  <c r="ZP8" i="285"/>
  <c r="ZN8" i="285"/>
  <c r="L114" i="275"/>
  <c r="BQ16" i="262" s="1"/>
  <c r="BU16" i="262" s="1"/>
  <c r="ZQ10" i="285"/>
  <c r="ZO10" i="285"/>
  <c r="ZP10" i="285"/>
  <c r="ZN10" i="285"/>
  <c r="ZP12" i="285"/>
  <c r="ZN12" i="285"/>
  <c r="ZQ12" i="285"/>
  <c r="ZO12" i="285"/>
  <c r="P114" i="275"/>
  <c r="BQ20" i="262" s="1"/>
  <c r="BU20" i="262" s="1"/>
  <c r="ZP14" i="285"/>
  <c r="ZN14" i="285"/>
  <c r="ZQ14" i="285"/>
  <c r="ZO14" i="285"/>
  <c r="ZP16" i="285"/>
  <c r="ZN16" i="285"/>
  <c r="ZQ16" i="285"/>
  <c r="ZO16" i="285"/>
  <c r="T114" i="275"/>
  <c r="BQ24" i="262" s="1"/>
  <c r="BU24" i="262" s="1"/>
  <c r="ZP18" i="285"/>
  <c r="ZN18" i="285"/>
  <c r="ZQ18" i="285"/>
  <c r="ZO18" i="285"/>
  <c r="ZP20" i="285"/>
  <c r="ZN20" i="285"/>
  <c r="ZQ20" i="285"/>
  <c r="ZO20" i="285"/>
  <c r="X114" i="275"/>
  <c r="BQ28" i="262" s="1"/>
  <c r="BU28" i="262" s="1"/>
  <c r="ZP22" i="285"/>
  <c r="ZN22" i="285"/>
  <c r="ZQ22" i="285"/>
  <c r="ZO22" i="285"/>
  <c r="ZP24" i="285"/>
  <c r="ZN24" i="285"/>
  <c r="ZQ24" i="285"/>
  <c r="ZO24" i="285"/>
  <c r="AB114" i="275"/>
  <c r="BQ32" i="262" s="1"/>
  <c r="BU32" i="262" s="1"/>
  <c r="ZP26" i="285"/>
  <c r="ZN26" i="285"/>
  <c r="ZQ26" i="285"/>
  <c r="ZO26" i="285"/>
  <c r="ZP28" i="285"/>
  <c r="ZN28" i="285"/>
  <c r="ZQ28" i="285"/>
  <c r="ZO28" i="285"/>
  <c r="AF114" i="275"/>
  <c r="BQ36" i="262" s="1"/>
  <c r="BU36" i="262" s="1"/>
  <c r="ZP30" i="285"/>
  <c r="ZN30" i="285"/>
  <c r="ZQ30" i="285"/>
  <c r="ZO30" i="285"/>
  <c r="ZQ32" i="285"/>
  <c r="ZO32" i="285"/>
  <c r="ZP32" i="285"/>
  <c r="ZN32" i="285"/>
  <c r="ZU4" i="285"/>
  <c r="ZS4" i="285"/>
  <c r="ZT4" i="285"/>
  <c r="ZR4" i="285"/>
  <c r="ZU6" i="285"/>
  <c r="ZS6" i="285"/>
  <c r="ZT6" i="285"/>
  <c r="ZR6" i="285"/>
  <c r="ZU8" i="285"/>
  <c r="ZS8" i="285"/>
  <c r="ZT8" i="285"/>
  <c r="ZR8" i="285"/>
  <c r="ZU10" i="285"/>
  <c r="ZS10" i="285"/>
  <c r="ZT10" i="285"/>
  <c r="ZR10" i="285"/>
  <c r="ZT12" i="285"/>
  <c r="ZR12" i="285"/>
  <c r="ZU12" i="285"/>
  <c r="ZS12" i="285"/>
  <c r="ZT14" i="285"/>
  <c r="ZR14" i="285"/>
  <c r="ZU14" i="285"/>
  <c r="ZS14" i="285"/>
  <c r="ZT16" i="285"/>
  <c r="ZR16" i="285"/>
  <c r="ZU16" i="285"/>
  <c r="ZS16" i="285"/>
  <c r="ZT18" i="285"/>
  <c r="ZR18" i="285"/>
  <c r="ZU18" i="285"/>
  <c r="ZS18" i="285"/>
  <c r="ZT20" i="285"/>
  <c r="ZR20" i="285"/>
  <c r="ZU20" i="285"/>
  <c r="ZS20" i="285"/>
  <c r="ZT22" i="285"/>
  <c r="ZR22" i="285"/>
  <c r="ZU22" i="285"/>
  <c r="ZS22" i="285"/>
  <c r="ZT24" i="285"/>
  <c r="ZR24" i="285"/>
  <c r="ZU24" i="285"/>
  <c r="ZS24" i="285"/>
  <c r="ZT26" i="285"/>
  <c r="ZR26" i="285"/>
  <c r="ZU26" i="285"/>
  <c r="ZS26" i="285"/>
  <c r="ZT28" i="285"/>
  <c r="ZR28" i="285"/>
  <c r="ZU28" i="285"/>
  <c r="ZS28" i="285"/>
  <c r="ZT30" i="285"/>
  <c r="ZR30" i="285"/>
  <c r="ZU30" i="285"/>
  <c r="ZS30" i="285"/>
  <c r="ZU32" i="285"/>
  <c r="ZS32" i="285"/>
  <c r="ZT32" i="285"/>
  <c r="ZR32" i="285"/>
  <c r="ZY4" i="285"/>
  <c r="ZW4" i="285"/>
  <c r="ZX4" i="285"/>
  <c r="ZV4" i="285"/>
  <c r="ZY6" i="285"/>
  <c r="ZW6" i="285"/>
  <c r="ZX6" i="285"/>
  <c r="ZV6" i="285"/>
  <c r="ZY8" i="285"/>
  <c r="ZW8" i="285"/>
  <c r="ZX8" i="285"/>
  <c r="ZV8" i="285"/>
  <c r="ZY10" i="285"/>
  <c r="ZW10" i="285"/>
  <c r="ZX10" i="285"/>
  <c r="ZV10" i="285"/>
  <c r="ZX12" i="285"/>
  <c r="ZV12" i="285"/>
  <c r="ZY12" i="285"/>
  <c r="ZW12" i="285"/>
  <c r="ZX14" i="285"/>
  <c r="ZV14" i="285"/>
  <c r="ZY14" i="285"/>
  <c r="ZW14" i="285"/>
  <c r="ZX16" i="285"/>
  <c r="ZV16" i="285"/>
  <c r="ZY16" i="285"/>
  <c r="ZW16" i="285"/>
  <c r="ZX18" i="285"/>
  <c r="ZV18" i="285"/>
  <c r="ZY18" i="285"/>
  <c r="ZW18" i="285"/>
  <c r="ZX20" i="285"/>
  <c r="ZV20" i="285"/>
  <c r="ZY20" i="285"/>
  <c r="ZW20" i="285"/>
  <c r="ZX22" i="285"/>
  <c r="ZV22" i="285"/>
  <c r="ZY22" i="285"/>
  <c r="ZW22" i="285"/>
  <c r="ZX24" i="285"/>
  <c r="ZV24" i="285"/>
  <c r="ZY24" i="285"/>
  <c r="ZW24" i="285"/>
  <c r="ZX26" i="285"/>
  <c r="ZV26" i="285"/>
  <c r="ZY26" i="285"/>
  <c r="ZW26" i="285"/>
  <c r="ZX28" i="285"/>
  <c r="ZV28" i="285"/>
  <c r="ZY28" i="285"/>
  <c r="ZW28" i="285"/>
  <c r="ZX30" i="285"/>
  <c r="ZV30" i="285"/>
  <c r="ZY30" i="285"/>
  <c r="ZW30" i="285"/>
  <c r="ZY32" i="285"/>
  <c r="ZW32" i="285"/>
  <c r="ZX32" i="285"/>
  <c r="ZV32" i="285"/>
  <c r="AAC4" i="285"/>
  <c r="AAA4" i="285"/>
  <c r="AAB4" i="285"/>
  <c r="ZZ4" i="285"/>
  <c r="AAC6" i="285"/>
  <c r="AAA6" i="285"/>
  <c r="AAB6" i="285"/>
  <c r="ZZ6" i="285"/>
  <c r="AAC8" i="285"/>
  <c r="AAA8" i="285"/>
  <c r="AAB8" i="285"/>
  <c r="ZZ8" i="285"/>
  <c r="AAC10" i="285"/>
  <c r="AAA10" i="285"/>
  <c r="AAB10" i="285"/>
  <c r="ZZ10" i="285"/>
  <c r="AAB12" i="285"/>
  <c r="ZZ12" i="285"/>
  <c r="AAC12" i="285"/>
  <c r="AAA12" i="285"/>
  <c r="AAB14" i="285"/>
  <c r="ZZ14" i="285"/>
  <c r="AAC14" i="285"/>
  <c r="AAA14" i="285"/>
  <c r="AAB16" i="285"/>
  <c r="ZZ16" i="285"/>
  <c r="AAC16" i="285"/>
  <c r="AAA16" i="285"/>
  <c r="AAB18" i="285"/>
  <c r="ZZ18" i="285"/>
  <c r="AAC18" i="285"/>
  <c r="AAA18" i="285"/>
  <c r="AAB20" i="285"/>
  <c r="ZZ20" i="285"/>
  <c r="AAC20" i="285"/>
  <c r="AAA20" i="285"/>
  <c r="AAB22" i="285"/>
  <c r="ZZ22" i="285"/>
  <c r="AAC22" i="285"/>
  <c r="AAA22" i="285"/>
  <c r="AAB24" i="285"/>
  <c r="ZZ24" i="285"/>
  <c r="AAC24" i="285"/>
  <c r="AAA24" i="285"/>
  <c r="AAB26" i="285"/>
  <c r="ZZ26" i="285"/>
  <c r="AAC26" i="285"/>
  <c r="AAA26" i="285"/>
  <c r="AAB28" i="285"/>
  <c r="ZZ28" i="285"/>
  <c r="AAC28" i="285"/>
  <c r="AAA28" i="285"/>
  <c r="AAB30" i="285"/>
  <c r="ZZ30" i="285"/>
  <c r="AAC30" i="285"/>
  <c r="AAA30" i="285"/>
  <c r="AAC32" i="285"/>
  <c r="AAA32" i="285"/>
  <c r="AAB32" i="285"/>
  <c r="ZZ32" i="285"/>
  <c r="AAG4" i="285"/>
  <c r="AAE4" i="285"/>
  <c r="AAF4" i="285"/>
  <c r="AAD4" i="285"/>
  <c r="AAG6" i="285"/>
  <c r="AAE6" i="285"/>
  <c r="AAF6" i="285"/>
  <c r="AAD6" i="285"/>
  <c r="AAG8" i="285"/>
  <c r="AAE8" i="285"/>
  <c r="AAF8" i="285"/>
  <c r="AAD8" i="285"/>
  <c r="AAG10" i="285"/>
  <c r="AAE10" i="285"/>
  <c r="AAF10" i="285"/>
  <c r="AAD10" i="285"/>
  <c r="AAF12" i="285"/>
  <c r="AAD12" i="285"/>
  <c r="AAG12" i="285"/>
  <c r="AAE12" i="285"/>
  <c r="AAF14" i="285"/>
  <c r="AAD14" i="285"/>
  <c r="AAG14" i="285"/>
  <c r="AAE14" i="285"/>
  <c r="AAF16" i="285"/>
  <c r="AAD16" i="285"/>
  <c r="AAG16" i="285"/>
  <c r="AAE16" i="285"/>
  <c r="AAF18" i="285"/>
  <c r="AAD18" i="285"/>
  <c r="AAG18" i="285"/>
  <c r="AAE18" i="285"/>
  <c r="AAF20" i="285"/>
  <c r="AAD20" i="285"/>
  <c r="AAG20" i="285"/>
  <c r="AAE20" i="285"/>
  <c r="AAF22" i="285"/>
  <c r="AAD22" i="285"/>
  <c r="AAG22" i="285"/>
  <c r="AAE22" i="285"/>
  <c r="AAF24" i="285"/>
  <c r="AAD24" i="285"/>
  <c r="AAG24" i="285"/>
  <c r="AAE24" i="285"/>
  <c r="AAF26" i="285"/>
  <c r="AAD26" i="285"/>
  <c r="AAG26" i="285"/>
  <c r="AAE26" i="285"/>
  <c r="AD114" i="275"/>
  <c r="BQ34" i="262" s="1"/>
  <c r="BU34" i="262" s="1"/>
  <c r="AAF28" i="285"/>
  <c r="AAD28" i="285"/>
  <c r="AAG28" i="285"/>
  <c r="AAE28" i="285"/>
  <c r="AAF30" i="285"/>
  <c r="AAD30" i="285"/>
  <c r="AAG30" i="285"/>
  <c r="AAE30" i="285"/>
  <c r="AAG32" i="285"/>
  <c r="AAE32" i="285"/>
  <c r="AAF32" i="285"/>
  <c r="AAD32" i="285"/>
  <c r="AAK4" i="285"/>
  <c r="AAI4" i="285"/>
  <c r="AAJ4" i="285"/>
  <c r="AAH4" i="285"/>
  <c r="AAK6" i="285"/>
  <c r="AAI6" i="285"/>
  <c r="AAJ6" i="285"/>
  <c r="AAH6" i="285"/>
  <c r="AAK8" i="285"/>
  <c r="AAI8" i="285"/>
  <c r="AAJ8" i="285"/>
  <c r="AAH8" i="285"/>
  <c r="AAK10" i="285"/>
  <c r="AAI10" i="285"/>
  <c r="AAJ10" i="285"/>
  <c r="AAH10" i="285"/>
  <c r="AAJ12" i="285"/>
  <c r="AAH12" i="285"/>
  <c r="AAK12" i="285"/>
  <c r="AAI12" i="285"/>
  <c r="AAJ14" i="285"/>
  <c r="AAH14" i="285"/>
  <c r="AAK14" i="285"/>
  <c r="AAI14" i="285"/>
  <c r="AAJ16" i="285"/>
  <c r="AAH16" i="285"/>
  <c r="AAK16" i="285"/>
  <c r="AAI16" i="285"/>
  <c r="AAJ18" i="285"/>
  <c r="AAH18" i="285"/>
  <c r="AAK18" i="285"/>
  <c r="AAI18" i="285"/>
  <c r="AAJ20" i="285"/>
  <c r="AAH20" i="285"/>
  <c r="AAK20" i="285"/>
  <c r="AAI20" i="285"/>
  <c r="AAJ22" i="285"/>
  <c r="AAH22" i="285"/>
  <c r="AAK22" i="285"/>
  <c r="AAI22" i="285"/>
  <c r="AAJ24" i="285"/>
  <c r="AAH24" i="285"/>
  <c r="AAK24" i="285"/>
  <c r="AAI24" i="285"/>
  <c r="AAJ26" i="285"/>
  <c r="AAH26" i="285"/>
  <c r="AAK26" i="285"/>
  <c r="AAI26" i="285"/>
  <c r="AAJ28" i="285"/>
  <c r="AAH28" i="285"/>
  <c r="AAK28" i="285"/>
  <c r="AAI28" i="285"/>
  <c r="AAJ30" i="285"/>
  <c r="AAH30" i="285"/>
  <c r="AAK30" i="285"/>
  <c r="AAI30" i="285"/>
  <c r="AAK32" i="285"/>
  <c r="AAI32" i="285"/>
  <c r="AAJ32" i="285"/>
  <c r="AAH32" i="285"/>
  <c r="AAO4" i="285"/>
  <c r="AAM4" i="285"/>
  <c r="AAN4" i="285"/>
  <c r="AAL4" i="285"/>
  <c r="AAO6" i="285"/>
  <c r="AAM6" i="285"/>
  <c r="AAN6" i="285"/>
  <c r="AAL6" i="285"/>
  <c r="AAO8" i="285"/>
  <c r="AAM8" i="285"/>
  <c r="AAN8" i="285"/>
  <c r="AAL8" i="285"/>
  <c r="AAO10" i="285"/>
  <c r="AAM10" i="285"/>
  <c r="AAN10" i="285"/>
  <c r="AAL10" i="285"/>
  <c r="AAN12" i="285"/>
  <c r="AAL12" i="285"/>
  <c r="AAO12" i="285"/>
  <c r="AAM12" i="285"/>
  <c r="AAN14" i="285"/>
  <c r="AAL14" i="285"/>
  <c r="AAO14" i="285"/>
  <c r="AAM14" i="285"/>
  <c r="AAN16" i="285"/>
  <c r="AAL16" i="285"/>
  <c r="AAO16" i="285"/>
  <c r="AAM16" i="285"/>
  <c r="AAN18" i="285"/>
  <c r="AAL18" i="285"/>
  <c r="AAO18" i="285"/>
  <c r="AAM18" i="285"/>
  <c r="AAN20" i="285"/>
  <c r="AAL20" i="285"/>
  <c r="AAO20" i="285"/>
  <c r="AAM20" i="285"/>
  <c r="AAN22" i="285"/>
  <c r="AAL22" i="285"/>
  <c r="AAO22" i="285"/>
  <c r="AAM22" i="285"/>
  <c r="AAN24" i="285"/>
  <c r="AAL24" i="285"/>
  <c r="AAO24" i="285"/>
  <c r="AAM24" i="285"/>
  <c r="AAN26" i="285"/>
  <c r="AAL26" i="285"/>
  <c r="AAO26" i="285"/>
  <c r="AAM26" i="285"/>
  <c r="AAN28" i="285"/>
  <c r="AAL28" i="285"/>
  <c r="AAO28" i="285"/>
  <c r="AAM28" i="285"/>
  <c r="AAN30" i="285"/>
  <c r="AAL30" i="285"/>
  <c r="AAO30" i="285"/>
  <c r="AAM30" i="285"/>
  <c r="AAO32" i="285"/>
  <c r="AAM32" i="285"/>
  <c r="AAN32" i="285"/>
  <c r="AAL32" i="285"/>
  <c r="AAS4" i="285"/>
  <c r="AAQ4" i="285"/>
  <c r="AAR4" i="285"/>
  <c r="AAP4" i="285"/>
  <c r="AAS6" i="285"/>
  <c r="AAQ6" i="285"/>
  <c r="AAR6" i="285"/>
  <c r="AAP6" i="285"/>
  <c r="AAS8" i="285"/>
  <c r="AAQ8" i="285"/>
  <c r="AAR8" i="285"/>
  <c r="AAP8" i="285"/>
  <c r="AAS10" i="285"/>
  <c r="AAQ10" i="285"/>
  <c r="AAR10" i="285"/>
  <c r="AAP10" i="285"/>
  <c r="AAR12" i="285"/>
  <c r="AAP12" i="285"/>
  <c r="AAS12" i="285"/>
  <c r="AAQ12" i="285"/>
  <c r="AAR14" i="285"/>
  <c r="AAP14" i="285"/>
  <c r="AAS14" i="285"/>
  <c r="AAQ14" i="285"/>
  <c r="AAR16" i="285"/>
  <c r="AAP16" i="285"/>
  <c r="AAS16" i="285"/>
  <c r="AAQ16" i="285"/>
  <c r="AAR18" i="285"/>
  <c r="AAP18" i="285"/>
  <c r="AAS18" i="285"/>
  <c r="AAQ18" i="285"/>
  <c r="AAR20" i="285"/>
  <c r="AAP20" i="285"/>
  <c r="AAS20" i="285"/>
  <c r="AAQ20" i="285"/>
  <c r="AAR22" i="285"/>
  <c r="AAP22" i="285"/>
  <c r="AAS22" i="285"/>
  <c r="AAQ22" i="285"/>
  <c r="AAR24" i="285"/>
  <c r="AAP24" i="285"/>
  <c r="AAS24" i="285"/>
  <c r="AAQ24" i="285"/>
  <c r="AAR26" i="285"/>
  <c r="AAP26" i="285"/>
  <c r="AAS26" i="285"/>
  <c r="AAQ26" i="285"/>
  <c r="AAR28" i="285"/>
  <c r="AAP28" i="285"/>
  <c r="AAS28" i="285"/>
  <c r="AAQ28" i="285"/>
  <c r="AAR30" i="285"/>
  <c r="AAP30" i="285"/>
  <c r="AAS30" i="285"/>
  <c r="AAQ30" i="285"/>
  <c r="AAS32" i="285"/>
  <c r="AAQ32" i="285"/>
  <c r="AAR32" i="285"/>
  <c r="AAP32" i="285"/>
  <c r="AAW4" i="285"/>
  <c r="AAU4" i="285"/>
  <c r="AAV4" i="285"/>
  <c r="AAT4" i="285"/>
  <c r="AAW6" i="285"/>
  <c r="AAU6" i="285"/>
  <c r="AAV6" i="285"/>
  <c r="AAT6" i="285"/>
  <c r="AAW8" i="285"/>
  <c r="AAU8" i="285"/>
  <c r="AAV8" i="285"/>
  <c r="AAT8" i="285"/>
  <c r="AAW10" i="285"/>
  <c r="AAU10" i="285"/>
  <c r="AAV10" i="285"/>
  <c r="AAT10" i="285"/>
  <c r="AAV12" i="285"/>
  <c r="AAT12" i="285"/>
  <c r="AAW12" i="285"/>
  <c r="AAU12" i="285"/>
  <c r="AAV14" i="285"/>
  <c r="AAT14" i="285"/>
  <c r="AAW14" i="285"/>
  <c r="AAU14" i="285"/>
  <c r="AAV16" i="285"/>
  <c r="AAT16" i="285"/>
  <c r="AAW16" i="285"/>
  <c r="AAU16" i="285"/>
  <c r="AAV18" i="285"/>
  <c r="AAT18" i="285"/>
  <c r="AAW18" i="285"/>
  <c r="AAU18" i="285"/>
  <c r="AAV20" i="285"/>
  <c r="AAT20" i="285"/>
  <c r="AAW20" i="285"/>
  <c r="AAU20" i="285"/>
  <c r="AAV22" i="285"/>
  <c r="AAT22" i="285"/>
  <c r="AAW22" i="285"/>
  <c r="AAU22" i="285"/>
  <c r="AAV24" i="285"/>
  <c r="AAT24" i="285"/>
  <c r="AAW24" i="285"/>
  <c r="AAU24" i="285"/>
  <c r="AAV26" i="285"/>
  <c r="AAT26" i="285"/>
  <c r="AAW26" i="285"/>
  <c r="AAU26" i="285"/>
  <c r="AAV28" i="285"/>
  <c r="AAT28" i="285"/>
  <c r="AAW28" i="285"/>
  <c r="AAU28" i="285"/>
  <c r="AAV30" i="285"/>
  <c r="AAT30" i="285"/>
  <c r="AAW30" i="285"/>
  <c r="AAU30" i="285"/>
  <c r="AAW32" i="285"/>
  <c r="AAU32" i="285"/>
  <c r="AAV32" i="285"/>
  <c r="AAT32" i="285"/>
  <c r="ABA4" i="285"/>
  <c r="AAY4" i="285"/>
  <c r="AAZ4" i="285"/>
  <c r="AAX4" i="285"/>
  <c r="ABA6" i="285"/>
  <c r="AAY6" i="285"/>
  <c r="AAZ6" i="285"/>
  <c r="AAX6" i="285"/>
  <c r="ABA8" i="285"/>
  <c r="AAY8" i="285"/>
  <c r="AAZ8" i="285"/>
  <c r="AAX8" i="285"/>
  <c r="ABA10" i="285"/>
  <c r="AAY10" i="285"/>
  <c r="AAZ10" i="285"/>
  <c r="AAX10" i="285"/>
  <c r="AAZ12" i="285"/>
  <c r="AAX12" i="285"/>
  <c r="ABA12" i="285"/>
  <c r="AAY12" i="285"/>
  <c r="AAZ14" i="285"/>
  <c r="AAX14" i="285"/>
  <c r="ABA14" i="285"/>
  <c r="AAY14" i="285"/>
  <c r="AAZ16" i="285"/>
  <c r="AAX16" i="285"/>
  <c r="ABA16" i="285"/>
  <c r="AAY16" i="285"/>
  <c r="AAZ18" i="285"/>
  <c r="AAX18" i="285"/>
  <c r="ABA18" i="285"/>
  <c r="AAY18" i="285"/>
  <c r="AAZ20" i="285"/>
  <c r="AAX20" i="285"/>
  <c r="ABA20" i="285"/>
  <c r="AAY20" i="285"/>
  <c r="AAZ22" i="285"/>
  <c r="AAX22" i="285"/>
  <c r="ABA22" i="285"/>
  <c r="AAY22" i="285"/>
  <c r="AAZ24" i="285"/>
  <c r="AAX24" i="285"/>
  <c r="ABA24" i="285"/>
  <c r="AAY24" i="285"/>
  <c r="AAZ26" i="285"/>
  <c r="AAX26" i="285"/>
  <c r="ABA26" i="285"/>
  <c r="AAY26" i="285"/>
  <c r="AAZ28" i="285"/>
  <c r="AAX28" i="285"/>
  <c r="ABA28" i="285"/>
  <c r="AAY28" i="285"/>
  <c r="AAZ30" i="285"/>
  <c r="AAX30" i="285"/>
  <c r="ABA30" i="285"/>
  <c r="AAY30" i="285"/>
  <c r="ABA32" i="285"/>
  <c r="AAY32" i="285"/>
  <c r="AAZ32" i="285"/>
  <c r="AAX32" i="285"/>
  <c r="ABE4" i="285"/>
  <c r="ABC4" i="285"/>
  <c r="ABD4" i="285"/>
  <c r="ABB4" i="285"/>
  <c r="ABE6" i="285"/>
  <c r="ABC6" i="285"/>
  <c r="ABD6" i="285"/>
  <c r="ABB6" i="285"/>
  <c r="ABE8" i="285"/>
  <c r="ABC8" i="285"/>
  <c r="ABD8" i="285"/>
  <c r="ABB8" i="285"/>
  <c r="ABE10" i="285"/>
  <c r="ABC10" i="285"/>
  <c r="ABD10" i="285"/>
  <c r="ABB10" i="285"/>
  <c r="ABD12" i="285"/>
  <c r="ABB12" i="285"/>
  <c r="ABE12" i="285"/>
  <c r="ABC12" i="285"/>
  <c r="ABD14" i="285"/>
  <c r="ABB14" i="285"/>
  <c r="ABE14" i="285"/>
  <c r="ABC14" i="285"/>
  <c r="ABD16" i="285"/>
  <c r="ABB16" i="285"/>
  <c r="ABE16" i="285"/>
  <c r="ABC16" i="285"/>
  <c r="ABD18" i="285"/>
  <c r="ABB18" i="285"/>
  <c r="ABE18" i="285"/>
  <c r="ABC18" i="285"/>
  <c r="ABD20" i="285"/>
  <c r="ABB20" i="285"/>
  <c r="ABE20" i="285"/>
  <c r="ABC20" i="285"/>
  <c r="ABD22" i="285"/>
  <c r="ABB22" i="285"/>
  <c r="ABE22" i="285"/>
  <c r="ABC22" i="285"/>
  <c r="ABD24" i="285"/>
  <c r="ABB24" i="285"/>
  <c r="ABE24" i="285"/>
  <c r="ABC24" i="285"/>
  <c r="ABD26" i="285"/>
  <c r="ABB26" i="285"/>
  <c r="ABE26" i="285"/>
  <c r="ABC26" i="285"/>
  <c r="ABD28" i="285"/>
  <c r="ABB28" i="285"/>
  <c r="ABE28" i="285"/>
  <c r="ABC28" i="285"/>
  <c r="ABD30" i="285"/>
  <c r="ABB30" i="285"/>
  <c r="ABE30" i="285"/>
  <c r="ABC30" i="285"/>
  <c r="ABE32" i="285"/>
  <c r="ABC32" i="285"/>
  <c r="ABD32" i="285"/>
  <c r="ABB32" i="285"/>
  <c r="ABI4" i="285"/>
  <c r="ABG4" i="285"/>
  <c r="ABH4" i="285"/>
  <c r="ABF4" i="285"/>
  <c r="ABI6" i="285"/>
  <c r="ABG6" i="285"/>
  <c r="ABH6" i="285"/>
  <c r="ABF6" i="285"/>
  <c r="ABI8" i="285"/>
  <c r="ABG8" i="285"/>
  <c r="ABH8" i="285"/>
  <c r="ABF8" i="285"/>
  <c r="ABI10" i="285"/>
  <c r="ABG10" i="285"/>
  <c r="ABH10" i="285"/>
  <c r="ABF10" i="285"/>
  <c r="ABH12" i="285"/>
  <c r="ABF12" i="285"/>
  <c r="ABI12" i="285"/>
  <c r="ABG12" i="285"/>
  <c r="ABH14" i="285"/>
  <c r="ABF14" i="285"/>
  <c r="ABI14" i="285"/>
  <c r="ABG14" i="285"/>
  <c r="ABH16" i="285"/>
  <c r="ABF16" i="285"/>
  <c r="ABI16" i="285"/>
  <c r="ABG16" i="285"/>
  <c r="ABH18" i="285"/>
  <c r="ABF18" i="285"/>
  <c r="ABI18" i="285"/>
  <c r="ABG18" i="285"/>
  <c r="ABH20" i="285"/>
  <c r="ABF20" i="285"/>
  <c r="ABI20" i="285"/>
  <c r="ABG20" i="285"/>
  <c r="ABH22" i="285"/>
  <c r="ABF22" i="285"/>
  <c r="ABI22" i="285"/>
  <c r="ABG22" i="285"/>
  <c r="ABH24" i="285"/>
  <c r="ABF24" i="285"/>
  <c r="ABI24" i="285"/>
  <c r="ABG24" i="285"/>
  <c r="ABH26" i="285"/>
  <c r="ABF26" i="285"/>
  <c r="ABI26" i="285"/>
  <c r="ABG26" i="285"/>
  <c r="ABH28" i="285"/>
  <c r="ABF28" i="285"/>
  <c r="ABI28" i="285"/>
  <c r="ABG28" i="285"/>
  <c r="ABH30" i="285"/>
  <c r="ABF30" i="285"/>
  <c r="ABI30" i="285"/>
  <c r="ABG30" i="285"/>
  <c r="ABI32" i="285"/>
  <c r="ABG32" i="285"/>
  <c r="ABH32" i="285"/>
  <c r="ABF32" i="285"/>
  <c r="ABM4" i="285"/>
  <c r="ABK4" i="285"/>
  <c r="ABL4" i="285"/>
  <c r="ABJ4" i="285"/>
  <c r="ABM6" i="285"/>
  <c r="ABK6" i="285"/>
  <c r="ABL6" i="285"/>
  <c r="ABJ6" i="285"/>
  <c r="ABM8" i="285"/>
  <c r="ABK8" i="285"/>
  <c r="ABL8" i="285"/>
  <c r="ABJ8" i="285"/>
  <c r="ABM10" i="285"/>
  <c r="ABK10" i="285"/>
  <c r="ABL10" i="285"/>
  <c r="ABJ10" i="285"/>
  <c r="ABL12" i="285"/>
  <c r="ABJ12" i="285"/>
  <c r="ABM12" i="285"/>
  <c r="ABK12" i="285"/>
  <c r="ABL14" i="285"/>
  <c r="ABJ14" i="285"/>
  <c r="ABM14" i="285"/>
  <c r="ABK14" i="285"/>
  <c r="ABL16" i="285"/>
  <c r="ABJ16" i="285"/>
  <c r="ABM16" i="285"/>
  <c r="ABK16" i="285"/>
  <c r="ABL18" i="285"/>
  <c r="ABJ18" i="285"/>
  <c r="ABM18" i="285"/>
  <c r="ABK18" i="285"/>
  <c r="ABL20" i="285"/>
  <c r="ABJ20" i="285"/>
  <c r="ABM20" i="285"/>
  <c r="ABK20" i="285"/>
  <c r="ABL22" i="285"/>
  <c r="ABJ22" i="285"/>
  <c r="ABM22" i="285"/>
  <c r="ABK22" i="285"/>
  <c r="ABL24" i="285"/>
  <c r="ABJ24" i="285"/>
  <c r="ABM24" i="285"/>
  <c r="ABK24" i="285"/>
  <c r="ABL26" i="285"/>
  <c r="ABJ26" i="285"/>
  <c r="ABM26" i="285"/>
  <c r="ABK26" i="285"/>
  <c r="ABL28" i="285"/>
  <c r="ABJ28" i="285"/>
  <c r="ABM28" i="285"/>
  <c r="ABK28" i="285"/>
  <c r="ABL30" i="285"/>
  <c r="ABJ30" i="285"/>
  <c r="ABM30" i="285"/>
  <c r="ABK30" i="285"/>
  <c r="ABM32" i="285"/>
  <c r="ABK32" i="285"/>
  <c r="ABL32" i="285"/>
  <c r="ABJ32" i="285"/>
  <c r="ABQ4" i="285"/>
  <c r="ABO4" i="285"/>
  <c r="ABP4" i="285"/>
  <c r="ABN4" i="285"/>
  <c r="H110" i="277"/>
  <c r="BV12" i="262" s="1"/>
  <c r="BZ12" i="262" s="1"/>
  <c r="ABQ6" i="285"/>
  <c r="ABO6" i="285"/>
  <c r="ABP6" i="285"/>
  <c r="ABN6" i="285"/>
  <c r="ABQ8" i="285"/>
  <c r="ABO8" i="285"/>
  <c r="ABP8" i="285"/>
  <c r="ABN8" i="285"/>
  <c r="L110" i="277"/>
  <c r="BV16" i="262" s="1"/>
  <c r="BZ16" i="262" s="1"/>
  <c r="ABQ10" i="285"/>
  <c r="ABO10" i="285"/>
  <c r="ABP10" i="285"/>
  <c r="ABN10" i="285"/>
  <c r="ABP12" i="285"/>
  <c r="ABN12" i="285"/>
  <c r="ABQ12" i="285"/>
  <c r="ABO12" i="285"/>
  <c r="P110" i="277"/>
  <c r="BV20" i="262" s="1"/>
  <c r="BZ20" i="262" s="1"/>
  <c r="ABP14" i="285"/>
  <c r="ABN14" i="285"/>
  <c r="ABQ14" i="285"/>
  <c r="ABO14" i="285"/>
  <c r="ABP16" i="285"/>
  <c r="ABN16" i="285"/>
  <c r="ABQ16" i="285"/>
  <c r="ABO16" i="285"/>
  <c r="T110" i="277"/>
  <c r="BV24" i="262" s="1"/>
  <c r="BZ24" i="262" s="1"/>
  <c r="ABP18" i="285"/>
  <c r="ABN18" i="285"/>
  <c r="ABQ18" i="285"/>
  <c r="ABO18" i="285"/>
  <c r="ABP20" i="285"/>
  <c r="ABN20" i="285"/>
  <c r="ABQ20" i="285"/>
  <c r="ABO20" i="285"/>
  <c r="X110" i="277"/>
  <c r="BV28" i="262" s="1"/>
  <c r="BZ28" i="262" s="1"/>
  <c r="ABP22" i="285"/>
  <c r="ABN22" i="285"/>
  <c r="ABQ22" i="285"/>
  <c r="ABO22" i="285"/>
  <c r="ABP24" i="285"/>
  <c r="ABN24" i="285"/>
  <c r="ABQ24" i="285"/>
  <c r="ABO24" i="285"/>
  <c r="AB110" i="277"/>
  <c r="BV32" i="262" s="1"/>
  <c r="BZ32" i="262" s="1"/>
  <c r="ABP26" i="285"/>
  <c r="ABN26" i="285"/>
  <c r="ABQ26" i="285"/>
  <c r="ABO26" i="285"/>
  <c r="ABP28" i="285"/>
  <c r="ABN28" i="285"/>
  <c r="ABQ28" i="285"/>
  <c r="ABO28" i="285"/>
  <c r="AF110" i="277"/>
  <c r="BV36" i="262" s="1"/>
  <c r="BZ36" i="262" s="1"/>
  <c r="ABP30" i="285"/>
  <c r="ABN30" i="285"/>
  <c r="ABQ30" i="285"/>
  <c r="ABO30" i="285"/>
  <c r="ABQ32" i="285"/>
  <c r="ABO32" i="285"/>
  <c r="ABP32" i="285"/>
  <c r="ABN32" i="285"/>
  <c r="F110" i="277"/>
  <c r="BV10" i="262" s="1"/>
  <c r="BZ10" i="262" s="1"/>
  <c r="ABU4" i="285"/>
  <c r="ABS4" i="285"/>
  <c r="ABT4" i="285"/>
  <c r="ABR4" i="285"/>
  <c r="ABU6" i="285"/>
  <c r="ABS6" i="285"/>
  <c r="ABT6" i="285"/>
  <c r="ABR6" i="285"/>
  <c r="J110" i="277"/>
  <c r="BV14" i="262" s="1"/>
  <c r="BZ14" i="262" s="1"/>
  <c r="ABU8" i="285"/>
  <c r="ABS8" i="285"/>
  <c r="ABT8" i="285"/>
  <c r="ABR8" i="285"/>
  <c r="ABU10" i="285"/>
  <c r="ABS10" i="285"/>
  <c r="ABT10" i="285"/>
  <c r="ABR10" i="285"/>
  <c r="N110" i="277"/>
  <c r="BV18" i="262" s="1"/>
  <c r="BZ18" i="262" s="1"/>
  <c r="ABT12" i="285"/>
  <c r="ABR12" i="285"/>
  <c r="ABU12" i="285"/>
  <c r="ABS12" i="285"/>
  <c r="ABT14" i="285"/>
  <c r="ABR14" i="285"/>
  <c r="ABU14" i="285"/>
  <c r="ABS14" i="285"/>
  <c r="R110" i="277"/>
  <c r="BV22" i="262" s="1"/>
  <c r="BZ22" i="262" s="1"/>
  <c r="ABT16" i="285"/>
  <c r="ABR16" i="285"/>
  <c r="ABU16" i="285"/>
  <c r="ABS16" i="285"/>
  <c r="ABT18" i="285"/>
  <c r="ABR18" i="285"/>
  <c r="ABU18" i="285"/>
  <c r="ABS18" i="285"/>
  <c r="V110" i="277"/>
  <c r="BV26" i="262" s="1"/>
  <c r="BZ26" i="262" s="1"/>
  <c r="ABT20" i="285"/>
  <c r="ABR20" i="285"/>
  <c r="ABU20" i="285"/>
  <c r="ABS20" i="285"/>
  <c r="ABT22" i="285"/>
  <c r="ABR22" i="285"/>
  <c r="ABU22" i="285"/>
  <c r="ABS22" i="285"/>
  <c r="Z110" i="277"/>
  <c r="BV30" i="262" s="1"/>
  <c r="BZ30" i="262" s="1"/>
  <c r="ABT24" i="285"/>
  <c r="ABR24" i="285"/>
  <c r="ABU24" i="285"/>
  <c r="ABS24" i="285"/>
  <c r="ABT26" i="285"/>
  <c r="ABR26" i="285"/>
  <c r="ABU26" i="285"/>
  <c r="ABS26" i="285"/>
  <c r="AD110" i="277"/>
  <c r="BV34" i="262" s="1"/>
  <c r="BZ34" i="262" s="1"/>
  <c r="ABT28" i="285"/>
  <c r="ABR28" i="285"/>
  <c r="ABU28" i="285"/>
  <c r="ABS28" i="285"/>
  <c r="ABT30" i="285"/>
  <c r="ABR30" i="285"/>
  <c r="ABU30" i="285"/>
  <c r="ABS30" i="285"/>
  <c r="AH110" i="277"/>
  <c r="BV38" i="262" s="1"/>
  <c r="BZ38" i="262" s="1"/>
  <c r="ABU32" i="285"/>
  <c r="ABS32" i="285"/>
  <c r="ABT32" i="285"/>
  <c r="ABR32" i="285"/>
  <c r="ABY4" i="285"/>
  <c r="ABW4" i="285"/>
  <c r="ABX4" i="285"/>
  <c r="ABV4" i="285"/>
  <c r="ABY6" i="285"/>
  <c r="ABW6" i="285"/>
  <c r="ABX6" i="285"/>
  <c r="ABV6" i="285"/>
  <c r="ABY8" i="285"/>
  <c r="ABW8" i="285"/>
  <c r="ABX8" i="285"/>
  <c r="ABV8" i="285"/>
  <c r="ABY10" i="285"/>
  <c r="ABW10" i="285"/>
  <c r="ABX10" i="285"/>
  <c r="ABV10" i="285"/>
  <c r="ABX12" i="285"/>
  <c r="ABV12" i="285"/>
  <c r="ABY12" i="285"/>
  <c r="ABW12" i="285"/>
  <c r="ABX14" i="285"/>
  <c r="ABV14" i="285"/>
  <c r="ABY14" i="285"/>
  <c r="ABW14" i="285"/>
  <c r="ABX16" i="285"/>
  <c r="ABV16" i="285"/>
  <c r="ABY16" i="285"/>
  <c r="ABW16" i="285"/>
  <c r="ABX18" i="285"/>
  <c r="ABV18" i="285"/>
  <c r="ABY18" i="285"/>
  <c r="ABW18" i="285"/>
  <c r="ABX20" i="285"/>
  <c r="ABV20" i="285"/>
  <c r="ABY20" i="285"/>
  <c r="ABW20" i="285"/>
  <c r="ABX22" i="285"/>
  <c r="ABV22" i="285"/>
  <c r="ABY22" i="285"/>
  <c r="ABW22" i="285"/>
  <c r="ABX24" i="285"/>
  <c r="ABV24" i="285"/>
  <c r="ABY24" i="285"/>
  <c r="ABW24" i="285"/>
  <c r="ABX26" i="285"/>
  <c r="ABV26" i="285"/>
  <c r="ABY26" i="285"/>
  <c r="ABW26" i="285"/>
  <c r="ABX28" i="285"/>
  <c r="ABV28" i="285"/>
  <c r="ABY28" i="285"/>
  <c r="ABW28" i="285"/>
  <c r="ABX30" i="285"/>
  <c r="ABV30" i="285"/>
  <c r="ABY30" i="285"/>
  <c r="ABW30" i="285"/>
  <c r="ABY32" i="285"/>
  <c r="ABW32" i="285"/>
  <c r="ABX32" i="285"/>
  <c r="ABV32" i="285"/>
  <c r="ACC4" i="285"/>
  <c r="ACA4" i="285"/>
  <c r="ACB4" i="285"/>
  <c r="ABZ4" i="285"/>
  <c r="ACC6" i="285"/>
  <c r="ACA6" i="285"/>
  <c r="ACB6" i="285"/>
  <c r="ABZ6" i="285"/>
  <c r="ACC8" i="285"/>
  <c r="ACA8" i="285"/>
  <c r="ACB8" i="285"/>
  <c r="ABZ8" i="285"/>
  <c r="ACC10" i="285"/>
  <c r="ACA10" i="285"/>
  <c r="ACB10" i="285"/>
  <c r="ABZ10" i="285"/>
  <c r="ACB12" i="285"/>
  <c r="ABZ12" i="285"/>
  <c r="ACC12" i="285"/>
  <c r="ACA12" i="285"/>
  <c r="ACB14" i="285"/>
  <c r="ABZ14" i="285"/>
  <c r="ACC14" i="285"/>
  <c r="ACA14" i="285"/>
  <c r="ACB16" i="285"/>
  <c r="ABZ16" i="285"/>
  <c r="ACC16" i="285"/>
  <c r="ACA16" i="285"/>
  <c r="ACB18" i="285"/>
  <c r="ABZ18" i="285"/>
  <c r="ACC18" i="285"/>
  <c r="ACA18" i="285"/>
  <c r="ACB20" i="285"/>
  <c r="ABZ20" i="285"/>
  <c r="ACC20" i="285"/>
  <c r="ACA20" i="285"/>
  <c r="ACB22" i="285"/>
  <c r="ABZ22" i="285"/>
  <c r="ACC22" i="285"/>
  <c r="ACA22" i="285"/>
  <c r="ACB24" i="285"/>
  <c r="ABZ24" i="285"/>
  <c r="ACC24" i="285"/>
  <c r="ACA24" i="285"/>
  <c r="ACB26" i="285"/>
  <c r="ABZ26" i="285"/>
  <c r="ACC26" i="285"/>
  <c r="ACA26" i="285"/>
  <c r="ACB28" i="285"/>
  <c r="ABZ28" i="285"/>
  <c r="ACC28" i="285"/>
  <c r="ACA28" i="285"/>
  <c r="ACB30" i="285"/>
  <c r="ABZ30" i="285"/>
  <c r="ACC30" i="285"/>
  <c r="ACA30" i="285"/>
  <c r="ACC32" i="285"/>
  <c r="ACA32" i="285"/>
  <c r="ACB32" i="285"/>
  <c r="ABZ32" i="285"/>
  <c r="ACG4" i="285"/>
  <c r="ACE4" i="285"/>
  <c r="ACF4" i="285"/>
  <c r="ACD4" i="285"/>
  <c r="ACG6" i="285"/>
  <c r="ACE6" i="285"/>
  <c r="ACF6" i="285"/>
  <c r="ACD6" i="285"/>
  <c r="ACG8" i="285"/>
  <c r="ACE8" i="285"/>
  <c r="ACF8" i="285"/>
  <c r="ACD8" i="285"/>
  <c r="ACG10" i="285"/>
  <c r="ACE10" i="285"/>
  <c r="ACF10" i="285"/>
  <c r="ACD10" i="285"/>
  <c r="ACF12" i="285"/>
  <c r="ACD12" i="285"/>
  <c r="ACG12" i="285"/>
  <c r="ACE12" i="285"/>
  <c r="ACF14" i="285"/>
  <c r="ACD14" i="285"/>
  <c r="ACG14" i="285"/>
  <c r="ACE14" i="285"/>
  <c r="ACF16" i="285"/>
  <c r="ACD16" i="285"/>
  <c r="ACG16" i="285"/>
  <c r="ACE16" i="285"/>
  <c r="ACF18" i="285"/>
  <c r="ACD18" i="285"/>
  <c r="ACG18" i="285"/>
  <c r="ACE18" i="285"/>
  <c r="ACF20" i="285"/>
  <c r="ACD20" i="285"/>
  <c r="ACG20" i="285"/>
  <c r="ACE20" i="285"/>
  <c r="ACF22" i="285"/>
  <c r="ACD22" i="285"/>
  <c r="ACG22" i="285"/>
  <c r="ACE22" i="285"/>
  <c r="ACF24" i="285"/>
  <c r="ACD24" i="285"/>
  <c r="ACG24" i="285"/>
  <c r="ACE24" i="285"/>
  <c r="ACF26" i="285"/>
  <c r="ACD26" i="285"/>
  <c r="ACG26" i="285"/>
  <c r="ACE26" i="285"/>
  <c r="ACF28" i="285"/>
  <c r="ACD28" i="285"/>
  <c r="ACG28" i="285"/>
  <c r="ACE28" i="285"/>
  <c r="ACF30" i="285"/>
  <c r="ACD30" i="285"/>
  <c r="ACG30" i="285"/>
  <c r="ACE30" i="285"/>
  <c r="ACG32" i="285"/>
  <c r="ACE32" i="285"/>
  <c r="ACF32" i="285"/>
  <c r="ACD32" i="285"/>
  <c r="ACK4" i="285"/>
  <c r="ACI4" i="285"/>
  <c r="ACJ4" i="285"/>
  <c r="ACH4" i="285"/>
  <c r="ACK6" i="285"/>
  <c r="ACI6" i="285"/>
  <c r="ACJ6" i="285"/>
  <c r="ACH6" i="285"/>
  <c r="ACK8" i="285"/>
  <c r="ACI8" i="285"/>
  <c r="ACJ8" i="285"/>
  <c r="ACH8" i="285"/>
  <c r="ACK10" i="285"/>
  <c r="ACI10" i="285"/>
  <c r="ACJ10" i="285"/>
  <c r="ACH10" i="285"/>
  <c r="ACJ12" i="285"/>
  <c r="ACH12" i="285"/>
  <c r="ACK12" i="285"/>
  <c r="ACI12" i="285"/>
  <c r="ACJ14" i="285"/>
  <c r="ACH14" i="285"/>
  <c r="ACK14" i="285"/>
  <c r="ACI14" i="285"/>
  <c r="ACJ16" i="285"/>
  <c r="ACH16" i="285"/>
  <c r="ACK16" i="285"/>
  <c r="ACI16" i="285"/>
  <c r="ACJ18" i="285"/>
  <c r="ACH18" i="285"/>
  <c r="ACK18" i="285"/>
  <c r="ACI18" i="285"/>
  <c r="ACJ20" i="285"/>
  <c r="ACH20" i="285"/>
  <c r="ACK20" i="285"/>
  <c r="ACI20" i="285"/>
  <c r="ACJ22" i="285"/>
  <c r="ACH22" i="285"/>
  <c r="ACK22" i="285"/>
  <c r="ACI22" i="285"/>
  <c r="ACJ24" i="285"/>
  <c r="ACH24" i="285"/>
  <c r="ACK24" i="285"/>
  <c r="ACI24" i="285"/>
  <c r="ACJ26" i="285"/>
  <c r="ACH26" i="285"/>
  <c r="ACK26" i="285"/>
  <c r="ACI26" i="285"/>
  <c r="ACJ28" i="285"/>
  <c r="ACH28" i="285"/>
  <c r="ACK28" i="285"/>
  <c r="ACI28" i="285"/>
  <c r="ACJ30" i="285"/>
  <c r="ACH30" i="285"/>
  <c r="ACK30" i="285"/>
  <c r="ACI30" i="285"/>
  <c r="ACK32" i="285"/>
  <c r="ACI32" i="285"/>
  <c r="ACJ32" i="285"/>
  <c r="ACH32" i="285"/>
  <c r="ACO4" i="285"/>
  <c r="ACM4" i="285"/>
  <c r="ACN4" i="285"/>
  <c r="ACL4" i="285"/>
  <c r="ACO6" i="285"/>
  <c r="ACM6" i="285"/>
  <c r="ACN6" i="285"/>
  <c r="ACL6" i="285"/>
  <c r="ACO8" i="285"/>
  <c r="ACM8" i="285"/>
  <c r="ACN8" i="285"/>
  <c r="ACL8" i="285"/>
  <c r="ACO10" i="285"/>
  <c r="ACM10" i="285"/>
  <c r="ACN10" i="285"/>
  <c r="ACL10" i="285"/>
  <c r="ACN12" i="285"/>
  <c r="ACL12" i="285"/>
  <c r="ACO12" i="285"/>
  <c r="ACM12" i="285"/>
  <c r="ACN14" i="285"/>
  <c r="ACL14" i="285"/>
  <c r="ACO14" i="285"/>
  <c r="ACM14" i="285"/>
  <c r="ACN16" i="285"/>
  <c r="ACL16" i="285"/>
  <c r="ACO16" i="285"/>
  <c r="ACM16" i="285"/>
  <c r="ACN18" i="285"/>
  <c r="ACL18" i="285"/>
  <c r="ACO18" i="285"/>
  <c r="ACM18" i="285"/>
  <c r="ACN20" i="285"/>
  <c r="ACL20" i="285"/>
  <c r="ACO20" i="285"/>
  <c r="ACM20" i="285"/>
  <c r="ACN22" i="285"/>
  <c r="ACL22" i="285"/>
  <c r="ACO22" i="285"/>
  <c r="ACM22" i="285"/>
  <c r="ACN24" i="285"/>
  <c r="ACL24" i="285"/>
  <c r="ACO24" i="285"/>
  <c r="ACM24" i="285"/>
  <c r="ACN26" i="285"/>
  <c r="ACL26" i="285"/>
  <c r="ACO26" i="285"/>
  <c r="ACM26" i="285"/>
  <c r="ACN28" i="285"/>
  <c r="ACL28" i="285"/>
  <c r="ACO28" i="285"/>
  <c r="ACM28" i="285"/>
  <c r="ACN30" i="285"/>
  <c r="ACL30" i="285"/>
  <c r="ACO30" i="285"/>
  <c r="ACM30" i="285"/>
  <c r="ACO32" i="285"/>
  <c r="ACM32" i="285"/>
  <c r="ACN32" i="285"/>
  <c r="ACL32" i="285"/>
  <c r="ACS4" i="285"/>
  <c r="ACQ4" i="285"/>
  <c r="ACR4" i="285"/>
  <c r="ACP4" i="285"/>
  <c r="ACS6" i="285"/>
  <c r="ACQ6" i="285"/>
  <c r="ACR6" i="285"/>
  <c r="ACP6" i="285"/>
  <c r="ACS8" i="285"/>
  <c r="ACQ8" i="285"/>
  <c r="ACR8" i="285"/>
  <c r="ACP8" i="285"/>
  <c r="ACS10" i="285"/>
  <c r="ACQ10" i="285"/>
  <c r="ACR10" i="285"/>
  <c r="ACP10" i="285"/>
  <c r="ACR12" i="285"/>
  <c r="ACP12" i="285"/>
  <c r="ACS12" i="285"/>
  <c r="ACQ12" i="285"/>
  <c r="ACR14" i="285"/>
  <c r="ACP14" i="285"/>
  <c r="ACS14" i="285"/>
  <c r="ACQ14" i="285"/>
  <c r="ACR16" i="285"/>
  <c r="ACP16" i="285"/>
  <c r="ACS16" i="285"/>
  <c r="ACQ16" i="285"/>
  <c r="ACR18" i="285"/>
  <c r="ACP18" i="285"/>
  <c r="ACS18" i="285"/>
  <c r="ACQ18" i="285"/>
  <c r="ACR20" i="285"/>
  <c r="ACP20" i="285"/>
  <c r="ACS20" i="285"/>
  <c r="ACQ20" i="285"/>
  <c r="ACR22" i="285"/>
  <c r="ACP22" i="285"/>
  <c r="ACS22" i="285"/>
  <c r="ACQ22" i="285"/>
  <c r="ACR24" i="285"/>
  <c r="ACP24" i="285"/>
  <c r="ACS24" i="285"/>
  <c r="ACQ24" i="285"/>
  <c r="ACR26" i="285"/>
  <c r="ACP26" i="285"/>
  <c r="ACS26" i="285"/>
  <c r="ACQ26" i="285"/>
  <c r="ACR28" i="285"/>
  <c r="ACP28" i="285"/>
  <c r="ACS28" i="285"/>
  <c r="ACQ28" i="285"/>
  <c r="ACR30" i="285"/>
  <c r="ACP30" i="285"/>
  <c r="ACS30" i="285"/>
  <c r="ACQ30" i="285"/>
  <c r="ACS32" i="285"/>
  <c r="ACQ32" i="285"/>
  <c r="ACR32" i="285"/>
  <c r="ACP32" i="285"/>
  <c r="ACW4" i="285"/>
  <c r="ACU4" i="285"/>
  <c r="ACV4" i="285"/>
  <c r="ACT4" i="285"/>
  <c r="ACW6" i="285"/>
  <c r="ACU6" i="285"/>
  <c r="ACV6" i="285"/>
  <c r="ACT6" i="285"/>
  <c r="ACW8" i="285"/>
  <c r="ACU8" i="285"/>
  <c r="ACV8" i="285"/>
  <c r="ACT8" i="285"/>
  <c r="ACW10" i="285"/>
  <c r="ACU10" i="285"/>
  <c r="ACV10" i="285"/>
  <c r="ACT10" i="285"/>
  <c r="ACV12" i="285"/>
  <c r="ACT12" i="285"/>
  <c r="ACW12" i="285"/>
  <c r="ACU12" i="285"/>
  <c r="ACV14" i="285"/>
  <c r="ACT14" i="285"/>
  <c r="ACW14" i="285"/>
  <c r="ACU14" i="285"/>
  <c r="ACV16" i="285"/>
  <c r="ACT16" i="285"/>
  <c r="ACW16" i="285"/>
  <c r="ACU16" i="285"/>
  <c r="ACV18" i="285"/>
  <c r="ACT18" i="285"/>
  <c r="ACW18" i="285"/>
  <c r="ACU18" i="285"/>
  <c r="ACV20" i="285"/>
  <c r="ACT20" i="285"/>
  <c r="ACW20" i="285"/>
  <c r="ACU20" i="285"/>
  <c r="ACV22" i="285"/>
  <c r="ACT22" i="285"/>
  <c r="ACW22" i="285"/>
  <c r="ACU22" i="285"/>
  <c r="ACV24" i="285"/>
  <c r="ACT24" i="285"/>
  <c r="ACW24" i="285"/>
  <c r="ACU24" i="285"/>
  <c r="ACV26" i="285"/>
  <c r="ACT26" i="285"/>
  <c r="ACW26" i="285"/>
  <c r="ACU26" i="285"/>
  <c r="ACV28" i="285"/>
  <c r="ACT28" i="285"/>
  <c r="ACW28" i="285"/>
  <c r="ACU28" i="285"/>
  <c r="ACV30" i="285"/>
  <c r="ACT30" i="285"/>
  <c r="ACW30" i="285"/>
  <c r="ACU30" i="285"/>
  <c r="ACW32" i="285"/>
  <c r="ACU32" i="285"/>
  <c r="ACV32" i="285"/>
  <c r="ACT32" i="285"/>
  <c r="ADA4" i="285"/>
  <c r="ACY4" i="285"/>
  <c r="ACZ4" i="285"/>
  <c r="ACX4" i="285"/>
  <c r="ADA6" i="285"/>
  <c r="ACY6" i="285"/>
  <c r="ACZ6" i="285"/>
  <c r="ACX6" i="285"/>
  <c r="ADA8" i="285"/>
  <c r="ACY8" i="285"/>
  <c r="ACZ8" i="285"/>
  <c r="ACX8" i="285"/>
  <c r="ADA10" i="285"/>
  <c r="ACY10" i="285"/>
  <c r="ACZ10" i="285"/>
  <c r="ACX10" i="285"/>
  <c r="ACZ12" i="285"/>
  <c r="ACX12" i="285"/>
  <c r="ADA12" i="285"/>
  <c r="ACY12" i="285"/>
  <c r="ACZ14" i="285"/>
  <c r="ACX14" i="285"/>
  <c r="ADA14" i="285"/>
  <c r="ACY14" i="285"/>
  <c r="ACZ16" i="285"/>
  <c r="ACX16" i="285"/>
  <c r="ADA16" i="285"/>
  <c r="ACY16" i="285"/>
  <c r="ACZ18" i="285"/>
  <c r="ACX18" i="285"/>
  <c r="ADA18" i="285"/>
  <c r="ACY18" i="285"/>
  <c r="ACZ20" i="285"/>
  <c r="ACX20" i="285"/>
  <c r="ADA20" i="285"/>
  <c r="ACY20" i="285"/>
  <c r="ACZ22" i="285"/>
  <c r="ACX22" i="285"/>
  <c r="ADA22" i="285"/>
  <c r="ACY22" i="285"/>
  <c r="ACZ24" i="285"/>
  <c r="ACX24" i="285"/>
  <c r="ADA24" i="285"/>
  <c r="ACY24" i="285"/>
  <c r="ACZ26" i="285"/>
  <c r="ACX26" i="285"/>
  <c r="ADA26" i="285"/>
  <c r="ACY26" i="285"/>
  <c r="ACZ28" i="285"/>
  <c r="ACX28" i="285"/>
  <c r="ADA28" i="285"/>
  <c r="ACY28" i="285"/>
  <c r="ACZ30" i="285"/>
  <c r="ACX30" i="285"/>
  <c r="ADA30" i="285"/>
  <c r="ACY30" i="285"/>
  <c r="ADA32" i="285"/>
  <c r="ACY32" i="285"/>
  <c r="ACZ32" i="285"/>
  <c r="ACX32" i="285"/>
  <c r="ADE4" i="285"/>
  <c r="ADC4" i="285"/>
  <c r="ADD4" i="285"/>
  <c r="ADB4" i="285"/>
  <c r="ADE6" i="285"/>
  <c r="ADC6" i="285"/>
  <c r="ADD6" i="285"/>
  <c r="ADB6" i="285"/>
  <c r="ADE8" i="285"/>
  <c r="ADC8" i="285"/>
  <c r="ADD8" i="285"/>
  <c r="ADB8" i="285"/>
  <c r="ADE10" i="285"/>
  <c r="ADC10" i="285"/>
  <c r="ADD10" i="285"/>
  <c r="ADB10" i="285"/>
  <c r="ADD12" i="285"/>
  <c r="ADB12" i="285"/>
  <c r="ADE12" i="285"/>
  <c r="ADC12" i="285"/>
  <c r="ADD14" i="285"/>
  <c r="ADB14" i="285"/>
  <c r="ADE14" i="285"/>
  <c r="ADC14" i="285"/>
  <c r="ADD16" i="285"/>
  <c r="ADB16" i="285"/>
  <c r="ADE16" i="285"/>
  <c r="ADC16" i="285"/>
  <c r="ADD18" i="285"/>
  <c r="ADB18" i="285"/>
  <c r="ADE18" i="285"/>
  <c r="ADC18" i="285"/>
  <c r="ADD20" i="285"/>
  <c r="ADB20" i="285"/>
  <c r="ADE20" i="285"/>
  <c r="ADC20" i="285"/>
  <c r="ADD22" i="285"/>
  <c r="ADB22" i="285"/>
  <c r="ADE22" i="285"/>
  <c r="ADC22" i="285"/>
  <c r="ADD24" i="285"/>
  <c r="ADB24" i="285"/>
  <c r="ADE24" i="285"/>
  <c r="ADC24" i="285"/>
  <c r="ADD26" i="285"/>
  <c r="ADB26" i="285"/>
  <c r="ADE26" i="285"/>
  <c r="ADC26" i="285"/>
  <c r="ADD28" i="285"/>
  <c r="ADB28" i="285"/>
  <c r="ADE28" i="285"/>
  <c r="ADC28" i="285"/>
  <c r="ADD30" i="285"/>
  <c r="ADB30" i="285"/>
  <c r="ADE30" i="285"/>
  <c r="ADC30" i="285"/>
  <c r="ADE32" i="285"/>
  <c r="ADC32" i="285"/>
  <c r="ADD32" i="285"/>
  <c r="ADB32" i="285"/>
  <c r="ADI4" i="285"/>
  <c r="ADG4" i="285"/>
  <c r="ADH4" i="285"/>
  <c r="ADF4" i="285"/>
  <c r="ADI6" i="285"/>
  <c r="ADG6" i="285"/>
  <c r="ADH6" i="285"/>
  <c r="ADF6" i="285"/>
  <c r="ADI8" i="285"/>
  <c r="ADG8" i="285"/>
  <c r="ADH8" i="285"/>
  <c r="ADF8" i="285"/>
  <c r="ADI10" i="285"/>
  <c r="ADG10" i="285"/>
  <c r="ADH10" i="285"/>
  <c r="ADF10" i="285"/>
  <c r="ADH12" i="285"/>
  <c r="ADF12" i="285"/>
  <c r="ADI12" i="285"/>
  <c r="ADG12" i="285"/>
  <c r="ADH14" i="285"/>
  <c r="ADF14" i="285"/>
  <c r="ADI14" i="285"/>
  <c r="ADG14" i="285"/>
  <c r="ADH16" i="285"/>
  <c r="ADF16" i="285"/>
  <c r="ADI16" i="285"/>
  <c r="ADG16" i="285"/>
  <c r="ADH18" i="285"/>
  <c r="ADF18" i="285"/>
  <c r="ADI18" i="285"/>
  <c r="ADG18" i="285"/>
  <c r="ADH20" i="285"/>
  <c r="ADF20" i="285"/>
  <c r="ADI20" i="285"/>
  <c r="ADG20" i="285"/>
  <c r="ADH22" i="285"/>
  <c r="ADF22" i="285"/>
  <c r="ADI22" i="285"/>
  <c r="ADG22" i="285"/>
  <c r="ADH24" i="285"/>
  <c r="ADF24" i="285"/>
  <c r="ADI24" i="285"/>
  <c r="ADG24" i="285"/>
  <c r="ADH26" i="285"/>
  <c r="ADF26" i="285"/>
  <c r="ADI26" i="285"/>
  <c r="ADG26" i="285"/>
  <c r="ADH28" i="285"/>
  <c r="ADF28" i="285"/>
  <c r="ADI28" i="285"/>
  <c r="ADG28" i="285"/>
  <c r="ADH30" i="285"/>
  <c r="ADF30" i="285"/>
  <c r="ADI30" i="285"/>
  <c r="ADG30" i="285"/>
  <c r="ADI32" i="285"/>
  <c r="ADG32" i="285"/>
  <c r="ADH32" i="285"/>
  <c r="ADF32" i="285"/>
  <c r="ADM4" i="285"/>
  <c r="ADK4" i="285"/>
  <c r="ADL4" i="285"/>
  <c r="ADJ4" i="285"/>
  <c r="ADM6" i="285"/>
  <c r="ADK6" i="285"/>
  <c r="ADL6" i="285"/>
  <c r="ADJ6" i="285"/>
  <c r="ADM8" i="285"/>
  <c r="ADK8" i="285"/>
  <c r="ADL8" i="285"/>
  <c r="ADJ8" i="285"/>
  <c r="ADM10" i="285"/>
  <c r="ADK10" i="285"/>
  <c r="ADL10" i="285"/>
  <c r="ADJ10" i="285"/>
  <c r="ADL12" i="285"/>
  <c r="ADJ12" i="285"/>
  <c r="ADM12" i="285"/>
  <c r="ADK12" i="285"/>
  <c r="ADL14" i="285"/>
  <c r="ADJ14" i="285"/>
  <c r="ADM14" i="285"/>
  <c r="ADK14" i="285"/>
  <c r="ADL16" i="285"/>
  <c r="ADJ16" i="285"/>
  <c r="ADM16" i="285"/>
  <c r="ADK16" i="285"/>
  <c r="ADL18" i="285"/>
  <c r="ADJ18" i="285"/>
  <c r="ADM18" i="285"/>
  <c r="ADK18" i="285"/>
  <c r="ADL20" i="285"/>
  <c r="ADJ20" i="285"/>
  <c r="ADM20" i="285"/>
  <c r="ADK20" i="285"/>
  <c r="ADL22" i="285"/>
  <c r="ADJ22" i="285"/>
  <c r="ADM22" i="285"/>
  <c r="ADK22" i="285"/>
  <c r="ADL24" i="285"/>
  <c r="ADJ24" i="285"/>
  <c r="ADM24" i="285"/>
  <c r="ADK24" i="285"/>
  <c r="ADL26" i="285"/>
  <c r="ADJ26" i="285"/>
  <c r="ADM26" i="285"/>
  <c r="ADK26" i="285"/>
  <c r="ADL28" i="285"/>
  <c r="ADJ28" i="285"/>
  <c r="ADM28" i="285"/>
  <c r="ADK28" i="285"/>
  <c r="ADL30" i="285"/>
  <c r="ADJ30" i="285"/>
  <c r="ADM30" i="285"/>
  <c r="ADK30" i="285"/>
  <c r="ADM32" i="285"/>
  <c r="ADK32" i="285"/>
  <c r="ADL32" i="285"/>
  <c r="ADJ32" i="285"/>
  <c r="ADP3" i="285"/>
  <c r="F290" i="284" s="1"/>
  <c r="ADN3" i="285"/>
  <c r="D290" i="284" s="1"/>
  <c r="ADO3" i="285"/>
  <c r="ADQ3" i="285"/>
  <c r="G110" i="278"/>
  <c r="CA11" i="262" s="1"/>
  <c r="CE11" i="262" s="1"/>
  <c r="ADP5" i="285"/>
  <c r="ADN5" i="285"/>
  <c r="ADO5" i="285"/>
  <c r="ADQ5" i="285"/>
  <c r="ADP7" i="285"/>
  <c r="ADN7" i="285"/>
  <c r="ADQ7" i="285"/>
  <c r="ADO7" i="285"/>
  <c r="K110" i="278"/>
  <c r="CA15" i="262" s="1"/>
  <c r="CE15" i="262" s="1"/>
  <c r="ADP9" i="285"/>
  <c r="ADN9" i="285"/>
  <c r="ADQ9" i="285"/>
  <c r="ADO9" i="285"/>
  <c r="ADP11" i="285"/>
  <c r="ADN11" i="285"/>
  <c r="ADO11" i="285"/>
  <c r="ADQ11" i="285"/>
  <c r="O110" i="278"/>
  <c r="CA19" i="262" s="1"/>
  <c r="CE19" i="262" s="1"/>
  <c r="ADQ13" i="285"/>
  <c r="ADO13" i="285"/>
  <c r="ADP13" i="285"/>
  <c r="ADN13" i="285"/>
  <c r="ADQ15" i="285"/>
  <c r="ADO15" i="285"/>
  <c r="ADP15" i="285"/>
  <c r="ADN15" i="285"/>
  <c r="S110" i="278"/>
  <c r="CA23" i="262" s="1"/>
  <c r="CE23" i="262" s="1"/>
  <c r="ADQ17" i="285"/>
  <c r="ADO17" i="285"/>
  <c r="ADP17" i="285"/>
  <c r="ADN17" i="285"/>
  <c r="ADQ19" i="285"/>
  <c r="ADO19" i="285"/>
  <c r="ADP19" i="285"/>
  <c r="ADN19" i="285"/>
  <c r="W110" i="278"/>
  <c r="CA27" i="262" s="1"/>
  <c r="CE27" i="262" s="1"/>
  <c r="ADQ21" i="285"/>
  <c r="ADO21" i="285"/>
  <c r="ADP21" i="285"/>
  <c r="ADN21" i="285"/>
  <c r="ADQ23" i="285"/>
  <c r="ADO23" i="285"/>
  <c r="ADP23" i="285"/>
  <c r="ADN23" i="285"/>
  <c r="AA110" i="278"/>
  <c r="CA31" i="262" s="1"/>
  <c r="CE31" i="262" s="1"/>
  <c r="ADQ25" i="285"/>
  <c r="ADO25" i="285"/>
  <c r="ADP25" i="285"/>
  <c r="ADN25" i="285"/>
  <c r="ADQ27" i="285"/>
  <c r="ADO27" i="285"/>
  <c r="ADP27" i="285"/>
  <c r="ADN27" i="285"/>
  <c r="AE110" i="278"/>
  <c r="CA35" i="262" s="1"/>
  <c r="CE35" i="262" s="1"/>
  <c r="ADQ29" i="285"/>
  <c r="ADO29" i="285"/>
  <c r="ADP29" i="285"/>
  <c r="ADN29" i="285"/>
  <c r="ADQ31" i="285"/>
  <c r="ADO31" i="285"/>
  <c r="ADP31" i="285"/>
  <c r="ADN31" i="285"/>
  <c r="E110" i="278"/>
  <c r="CA9" i="262" s="1"/>
  <c r="CE9" i="262" s="1"/>
  <c r="T13" i="281" s="1"/>
  <c r="ADT3" i="285"/>
  <c r="F291" i="284" s="1"/>
  <c r="ADR3" i="285"/>
  <c r="D291" i="284" s="1"/>
  <c r="ADS3" i="285"/>
  <c r="ADU3" i="285"/>
  <c r="ADT5" i="285"/>
  <c r="ADR5" i="285"/>
  <c r="ADS5" i="285"/>
  <c r="ADU5" i="285"/>
  <c r="I110" i="278"/>
  <c r="CA13" i="262" s="1"/>
  <c r="CE13" i="262" s="1"/>
  <c r="ADT7" i="285"/>
  <c r="ADR7" i="285"/>
  <c r="ADU7" i="285"/>
  <c r="ADS7" i="285"/>
  <c r="ADT9" i="285"/>
  <c r="ADR9" i="285"/>
  <c r="ADU9" i="285"/>
  <c r="ADS9" i="285"/>
  <c r="M110" i="278"/>
  <c r="CA17" i="262" s="1"/>
  <c r="CE17" i="262" s="1"/>
  <c r="ADT11" i="285"/>
  <c r="ADR11" i="285"/>
  <c r="ADS11" i="285"/>
  <c r="ADU11" i="285"/>
  <c r="ADU13" i="285"/>
  <c r="ADS13" i="285"/>
  <c r="ADT13" i="285"/>
  <c r="ADR13" i="285"/>
  <c r="Q110" i="278"/>
  <c r="CA21" i="262" s="1"/>
  <c r="CE21" i="262" s="1"/>
  <c r="ADU15" i="285"/>
  <c r="ADS15" i="285"/>
  <c r="ADT15" i="285"/>
  <c r="ADR15" i="285"/>
  <c r="ADU17" i="285"/>
  <c r="ADS17" i="285"/>
  <c r="ADT17" i="285"/>
  <c r="ADR17" i="285"/>
  <c r="U110" i="278"/>
  <c r="CA25" i="262" s="1"/>
  <c r="CE25" i="262" s="1"/>
  <c r="ADU19" i="285"/>
  <c r="ADS19" i="285"/>
  <c r="ADT19" i="285"/>
  <c r="ADR19" i="285"/>
  <c r="ADU21" i="285"/>
  <c r="ADS21" i="285"/>
  <c r="ADT21" i="285"/>
  <c r="ADR21" i="285"/>
  <c r="Y110" i="278"/>
  <c r="CA29" i="262" s="1"/>
  <c r="CE29" i="262" s="1"/>
  <c r="ADU23" i="285"/>
  <c r="ADS23" i="285"/>
  <c r="ADT23" i="285"/>
  <c r="ADR23" i="285"/>
  <c r="ADU25" i="285"/>
  <c r="ADS25" i="285"/>
  <c r="ADT25" i="285"/>
  <c r="ADR25" i="285"/>
  <c r="AC110" i="278"/>
  <c r="CA33" i="262" s="1"/>
  <c r="CE33" i="262" s="1"/>
  <c r="ADU27" i="285"/>
  <c r="ADS27" i="285"/>
  <c r="ADT27" i="285"/>
  <c r="ADR27" i="285"/>
  <c r="ADU29" i="285"/>
  <c r="ADS29" i="285"/>
  <c r="ADT29" i="285"/>
  <c r="ADR29" i="285"/>
  <c r="AG110" i="278"/>
  <c r="CA37" i="262" s="1"/>
  <c r="CE37" i="262" s="1"/>
  <c r="ADU31" i="285"/>
  <c r="ADS31" i="285"/>
  <c r="ADT31" i="285"/>
  <c r="ADR31" i="285"/>
  <c r="ADX3" i="285"/>
  <c r="ADV3" i="285"/>
  <c r="D292" i="284" s="1"/>
  <c r="ADW3" i="285"/>
  <c r="ADY3" i="285"/>
  <c r="G292" i="284" s="1"/>
  <c r="ADX5" i="285"/>
  <c r="ADV5" i="285"/>
  <c r="ADW5" i="285"/>
  <c r="ADY5" i="285"/>
  <c r="ADX7" i="285"/>
  <c r="ADV7" i="285"/>
  <c r="ADY7" i="285"/>
  <c r="ADW7" i="285"/>
  <c r="ADX9" i="285"/>
  <c r="ADV9" i="285"/>
  <c r="ADY9" i="285"/>
  <c r="ADW9" i="285"/>
  <c r="ADX11" i="285"/>
  <c r="ADV11" i="285"/>
  <c r="ADW11" i="285"/>
  <c r="ADY11" i="285"/>
  <c r="ADY13" i="285"/>
  <c r="ADW13" i="285"/>
  <c r="ADX13" i="285"/>
  <c r="ADV13" i="285"/>
  <c r="ADY15" i="285"/>
  <c r="ADW15" i="285"/>
  <c r="ADX15" i="285"/>
  <c r="ADV15" i="285"/>
  <c r="ADY17" i="285"/>
  <c r="ADW17" i="285"/>
  <c r="ADX17" i="285"/>
  <c r="ADV17" i="285"/>
  <c r="ADY19" i="285"/>
  <c r="ADW19" i="285"/>
  <c r="ADX19" i="285"/>
  <c r="ADV19" i="285"/>
  <c r="ADY21" i="285"/>
  <c r="ADW21" i="285"/>
  <c r="ADX21" i="285"/>
  <c r="ADV21" i="285"/>
  <c r="ADY23" i="285"/>
  <c r="ADW23" i="285"/>
  <c r="ADX23" i="285"/>
  <c r="ADV23" i="285"/>
  <c r="ADY25" i="285"/>
  <c r="ADW25" i="285"/>
  <c r="ADX25" i="285"/>
  <c r="ADV25" i="285"/>
  <c r="ADY27" i="285"/>
  <c r="ADW27" i="285"/>
  <c r="ADX27" i="285"/>
  <c r="ADV27" i="285"/>
  <c r="ADY29" i="285"/>
  <c r="ADW29" i="285"/>
  <c r="ADX29" i="285"/>
  <c r="ADV29" i="285"/>
  <c r="ADY31" i="285"/>
  <c r="ADW31" i="285"/>
  <c r="ADX31" i="285"/>
  <c r="ADV31" i="285"/>
  <c r="AEB3" i="285"/>
  <c r="ADZ3" i="285"/>
  <c r="D293" i="284" s="1"/>
  <c r="AEA3" i="285"/>
  <c r="AEC3" i="285"/>
  <c r="G293" i="284" s="1"/>
  <c r="AEB5" i="285"/>
  <c r="ADZ5" i="285"/>
  <c r="AEA5" i="285"/>
  <c r="AEC5" i="285"/>
  <c r="AEB7" i="285"/>
  <c r="ADZ7" i="285"/>
  <c r="AEC7" i="285"/>
  <c r="AEA7" i="285"/>
  <c r="AEB9" i="285"/>
  <c r="ADZ9" i="285"/>
  <c r="AEC9" i="285"/>
  <c r="AEA9" i="285"/>
  <c r="AEB11" i="285"/>
  <c r="ADZ11" i="285"/>
  <c r="AEA11" i="285"/>
  <c r="AEC11" i="285"/>
  <c r="AEC13" i="285"/>
  <c r="AEA13" i="285"/>
  <c r="AEB13" i="285"/>
  <c r="ADZ13" i="285"/>
  <c r="AEC15" i="285"/>
  <c r="AEA15" i="285"/>
  <c r="AEB15" i="285"/>
  <c r="ADZ15" i="285"/>
  <c r="AEC17" i="285"/>
  <c r="AEA17" i="285"/>
  <c r="AEB17" i="285"/>
  <c r="ADZ17" i="285"/>
  <c r="AEC19" i="285"/>
  <c r="AEA19" i="285"/>
  <c r="AEB19" i="285"/>
  <c r="ADZ19" i="285"/>
  <c r="AEC21" i="285"/>
  <c r="AEA21" i="285"/>
  <c r="AEB21" i="285"/>
  <c r="ADZ21" i="285"/>
  <c r="AEC23" i="285"/>
  <c r="AEA23" i="285"/>
  <c r="AEB23" i="285"/>
  <c r="ADZ23" i="285"/>
  <c r="AEC25" i="285"/>
  <c r="AEA25" i="285"/>
  <c r="AEB25" i="285"/>
  <c r="ADZ25" i="285"/>
  <c r="AEC27" i="285"/>
  <c r="AEA27" i="285"/>
  <c r="AEB27" i="285"/>
  <c r="ADZ27" i="285"/>
  <c r="AEC29" i="285"/>
  <c r="AEA29" i="285"/>
  <c r="AEB29" i="285"/>
  <c r="ADZ29" i="285"/>
  <c r="AEC31" i="285"/>
  <c r="AEA31" i="285"/>
  <c r="AEB31" i="285"/>
  <c r="ADZ31" i="285"/>
  <c r="AEF3" i="285"/>
  <c r="AED3" i="285"/>
  <c r="D294" i="284" s="1"/>
  <c r="AEE3" i="285"/>
  <c r="AEG3" i="285"/>
  <c r="G294" i="284" s="1"/>
  <c r="AEF5" i="285"/>
  <c r="AED5" i="285"/>
  <c r="AEE5" i="285"/>
  <c r="AEG5" i="285"/>
  <c r="AEF7" i="285"/>
  <c r="AED7" i="285"/>
  <c r="AEG7" i="285"/>
  <c r="AEE7" i="285"/>
  <c r="AEF9" i="285"/>
  <c r="AED9" i="285"/>
  <c r="AEG9" i="285"/>
  <c r="AEE9" i="285"/>
  <c r="AEF11" i="285"/>
  <c r="AED11" i="285"/>
  <c r="AEE11" i="285"/>
  <c r="AEG11" i="285"/>
  <c r="AEG13" i="285"/>
  <c r="AEE13" i="285"/>
  <c r="AEF13" i="285"/>
  <c r="AED13" i="285"/>
  <c r="AEG15" i="285"/>
  <c r="AEE15" i="285"/>
  <c r="AEF15" i="285"/>
  <c r="AED15" i="285"/>
  <c r="AEG17" i="285"/>
  <c r="AEE17" i="285"/>
  <c r="AEF17" i="285"/>
  <c r="AED17" i="285"/>
  <c r="AEG19" i="285"/>
  <c r="AEE19" i="285"/>
  <c r="AEF19" i="285"/>
  <c r="AED19" i="285"/>
  <c r="AEG21" i="285"/>
  <c r="AEE21" i="285"/>
  <c r="AEF21" i="285"/>
  <c r="AED21" i="285"/>
  <c r="AEG23" i="285"/>
  <c r="AEE23" i="285"/>
  <c r="AEF23" i="285"/>
  <c r="AED23" i="285"/>
  <c r="AEG25" i="285"/>
  <c r="AEE25" i="285"/>
  <c r="AEF25" i="285"/>
  <c r="AED25" i="285"/>
  <c r="AEG27" i="285"/>
  <c r="AEE27" i="285"/>
  <c r="AEF27" i="285"/>
  <c r="AED27" i="285"/>
  <c r="AEG29" i="285"/>
  <c r="AEE29" i="285"/>
  <c r="AEF29" i="285"/>
  <c r="AED29" i="285"/>
  <c r="AEG31" i="285"/>
  <c r="AEE31" i="285"/>
  <c r="AEF31" i="285"/>
  <c r="AED31" i="285"/>
  <c r="AEJ3" i="285"/>
  <c r="AEH3" i="285"/>
  <c r="D295" i="284" s="1"/>
  <c r="AEI3" i="285"/>
  <c r="AEK3" i="285"/>
  <c r="G295" i="284" s="1"/>
  <c r="AEJ5" i="285"/>
  <c r="AEH5" i="285"/>
  <c r="AEI5" i="285"/>
  <c r="AEK5" i="285"/>
  <c r="AEJ7" i="285"/>
  <c r="AEH7" i="285"/>
  <c r="AEK7" i="285"/>
  <c r="AEI7" i="285"/>
  <c r="AEJ9" i="285"/>
  <c r="AEH9" i="285"/>
  <c r="AEK9" i="285"/>
  <c r="AEI9" i="285"/>
  <c r="AEJ11" i="285"/>
  <c r="AEH11" i="285"/>
  <c r="AEI11" i="285"/>
  <c r="AEK11" i="285"/>
  <c r="AEK13" i="285"/>
  <c r="AEI13" i="285"/>
  <c r="AEJ13" i="285"/>
  <c r="AEH13" i="285"/>
  <c r="AEK15" i="285"/>
  <c r="AEI15" i="285"/>
  <c r="AEJ15" i="285"/>
  <c r="AEH15" i="285"/>
  <c r="AEK17" i="285"/>
  <c r="AEI17" i="285"/>
  <c r="AEJ17" i="285"/>
  <c r="AEH17" i="285"/>
  <c r="AEK19" i="285"/>
  <c r="AEI19" i="285"/>
  <c r="AEJ19" i="285"/>
  <c r="AEH19" i="285"/>
  <c r="AEK21" i="285"/>
  <c r="AEI21" i="285"/>
  <c r="AEJ21" i="285"/>
  <c r="AEH21" i="285"/>
  <c r="AEK23" i="285"/>
  <c r="AEI23" i="285"/>
  <c r="AEJ23" i="285"/>
  <c r="AEH23" i="285"/>
  <c r="AEK25" i="285"/>
  <c r="AEI25" i="285"/>
  <c r="AEJ25" i="285"/>
  <c r="AEH25" i="285"/>
  <c r="AEK27" i="285"/>
  <c r="AEI27" i="285"/>
  <c r="AEJ27" i="285"/>
  <c r="AEH27" i="285"/>
  <c r="AEK29" i="285"/>
  <c r="AEI29" i="285"/>
  <c r="AEJ29" i="285"/>
  <c r="AEH29" i="285"/>
  <c r="AEK31" i="285"/>
  <c r="AEI31" i="285"/>
  <c r="AEJ31" i="285"/>
  <c r="AEH31" i="285"/>
  <c r="AEN3" i="285"/>
  <c r="AEL3" i="285"/>
  <c r="D296" i="284" s="1"/>
  <c r="AEM3" i="285"/>
  <c r="AEO3" i="285"/>
  <c r="G296" i="284" s="1"/>
  <c r="AEN5" i="285"/>
  <c r="AEL5" i="285"/>
  <c r="AEM5" i="285"/>
  <c r="AEO5" i="285"/>
  <c r="AEN7" i="285"/>
  <c r="AEL7" i="285"/>
  <c r="AEO7" i="285"/>
  <c r="AEM7" i="285"/>
  <c r="AEN9" i="285"/>
  <c r="AEL9" i="285"/>
  <c r="AEO9" i="285"/>
  <c r="AEM9" i="285"/>
  <c r="AEN11" i="285"/>
  <c r="AEL11" i="285"/>
  <c r="AEM11" i="285"/>
  <c r="AEO11" i="285"/>
  <c r="AEO13" i="285"/>
  <c r="AEM13" i="285"/>
  <c r="AEN13" i="285"/>
  <c r="AEL13" i="285"/>
  <c r="AEO15" i="285"/>
  <c r="AEM15" i="285"/>
  <c r="AEN15" i="285"/>
  <c r="AEL15" i="285"/>
  <c r="AEO17" i="285"/>
  <c r="AEM17" i="285"/>
  <c r="AEN17" i="285"/>
  <c r="AEL17" i="285"/>
  <c r="AEO19" i="285"/>
  <c r="AEM19" i="285"/>
  <c r="AEN19" i="285"/>
  <c r="AEL19" i="285"/>
  <c r="AEO21" i="285"/>
  <c r="AEM21" i="285"/>
  <c r="AEN21" i="285"/>
  <c r="AEL21" i="285"/>
  <c r="AEO23" i="285"/>
  <c r="AEM23" i="285"/>
  <c r="AEN23" i="285"/>
  <c r="AEL23" i="285"/>
  <c r="AEO25" i="285"/>
  <c r="AEM25" i="285"/>
  <c r="AEN25" i="285"/>
  <c r="AEL25" i="285"/>
  <c r="AEO27" i="285"/>
  <c r="AEM27" i="285"/>
  <c r="AEN27" i="285"/>
  <c r="AEL27" i="285"/>
  <c r="AEO29" i="285"/>
  <c r="AEM29" i="285"/>
  <c r="AEN29" i="285"/>
  <c r="AEL29" i="285"/>
  <c r="AEO31" i="285"/>
  <c r="AEM31" i="285"/>
  <c r="AEN31" i="285"/>
  <c r="AEL31" i="285"/>
  <c r="AER3" i="285"/>
  <c r="AEP3" i="285"/>
  <c r="D297" i="284" s="1"/>
  <c r="AEQ3" i="285"/>
  <c r="AES3" i="285"/>
  <c r="G297" i="284" s="1"/>
  <c r="AER5" i="285"/>
  <c r="AEP5" i="285"/>
  <c r="AEQ5" i="285"/>
  <c r="AES5" i="285"/>
  <c r="AER7" i="285"/>
  <c r="AEP7" i="285"/>
  <c r="AES7" i="285"/>
  <c r="AEQ7" i="285"/>
  <c r="AER9" i="285"/>
  <c r="AEP9" i="285"/>
  <c r="AES9" i="285"/>
  <c r="AEQ9" i="285"/>
  <c r="AER11" i="285"/>
  <c r="AEP11" i="285"/>
  <c r="AEQ11" i="285"/>
  <c r="AES11" i="285"/>
  <c r="AES13" i="285"/>
  <c r="AEQ13" i="285"/>
  <c r="AER13" i="285"/>
  <c r="AEP13" i="285"/>
  <c r="AES15" i="285"/>
  <c r="AEQ15" i="285"/>
  <c r="AER15" i="285"/>
  <c r="AEP15" i="285"/>
  <c r="AES17" i="285"/>
  <c r="AEQ17" i="285"/>
  <c r="AER17" i="285"/>
  <c r="AEP17" i="285"/>
  <c r="AES19" i="285"/>
  <c r="AEQ19" i="285"/>
  <c r="AER19" i="285"/>
  <c r="AEP19" i="285"/>
  <c r="AES21" i="285"/>
  <c r="AEQ21" i="285"/>
  <c r="AER21" i="285"/>
  <c r="AEP21" i="285"/>
  <c r="AES23" i="285"/>
  <c r="AEQ23" i="285"/>
  <c r="AER23" i="285"/>
  <c r="AEP23" i="285"/>
  <c r="AES25" i="285"/>
  <c r="AEQ25" i="285"/>
  <c r="AER25" i="285"/>
  <c r="AEP25" i="285"/>
  <c r="AES27" i="285"/>
  <c r="AEQ27" i="285"/>
  <c r="AER27" i="285"/>
  <c r="AEP27" i="285"/>
  <c r="AES29" i="285"/>
  <c r="AEQ29" i="285"/>
  <c r="AER29" i="285"/>
  <c r="AEP29" i="285"/>
  <c r="AES31" i="285"/>
  <c r="AEQ31" i="285"/>
  <c r="AER31" i="285"/>
  <c r="AEP31" i="285"/>
  <c r="AEV3" i="285"/>
  <c r="AET3" i="285"/>
  <c r="D298" i="284" s="1"/>
  <c r="AEU3" i="285"/>
  <c r="AEW3" i="285"/>
  <c r="G298" i="284" s="1"/>
  <c r="AEV5" i="285"/>
  <c r="AET5" i="285"/>
  <c r="AEU5" i="285"/>
  <c r="AEW5" i="285"/>
  <c r="AEV7" i="285"/>
  <c r="AET7" i="285"/>
  <c r="AEW7" i="285"/>
  <c r="AEU7" i="285"/>
  <c r="AEV9" i="285"/>
  <c r="AET9" i="285"/>
  <c r="AEW9" i="285"/>
  <c r="AEU9" i="285"/>
  <c r="AEV11" i="285"/>
  <c r="AET11" i="285"/>
  <c r="AEU11" i="285"/>
  <c r="AEW11" i="285"/>
  <c r="AEW13" i="285"/>
  <c r="AEU13" i="285"/>
  <c r="AEV13" i="285"/>
  <c r="AET13" i="285"/>
  <c r="AEW15" i="285"/>
  <c r="AEU15" i="285"/>
  <c r="AEV15" i="285"/>
  <c r="AET15" i="285"/>
  <c r="AEW17" i="285"/>
  <c r="AEU17" i="285"/>
  <c r="AEV17" i="285"/>
  <c r="AET17" i="285"/>
  <c r="AEW19" i="285"/>
  <c r="AEU19" i="285"/>
  <c r="AEV19" i="285"/>
  <c r="AET19" i="285"/>
  <c r="AEW21" i="285"/>
  <c r="AEU21" i="285"/>
  <c r="AEV21" i="285"/>
  <c r="AET21" i="285"/>
  <c r="AEW23" i="285"/>
  <c r="AEU23" i="285"/>
  <c r="AEV23" i="285"/>
  <c r="AET23" i="285"/>
  <c r="AEW25" i="285"/>
  <c r="AEU25" i="285"/>
  <c r="AEV25" i="285"/>
  <c r="AET25" i="285"/>
  <c r="AEW27" i="285"/>
  <c r="AEU27" i="285"/>
  <c r="AEV27" i="285"/>
  <c r="AET27" i="285"/>
  <c r="AEW29" i="285"/>
  <c r="AEU29" i="285"/>
  <c r="AEV29" i="285"/>
  <c r="AET29" i="285"/>
  <c r="AEW31" i="285"/>
  <c r="AEU31" i="285"/>
  <c r="AEV31" i="285"/>
  <c r="AET31" i="285"/>
  <c r="AEZ3" i="285"/>
  <c r="AEX3" i="285"/>
  <c r="D299" i="284" s="1"/>
  <c r="AEY3" i="285"/>
  <c r="AFA3" i="285"/>
  <c r="G299" i="284" s="1"/>
  <c r="AEZ5" i="285"/>
  <c r="AEX5" i="285"/>
  <c r="AEY5" i="285"/>
  <c r="AFA5" i="285"/>
  <c r="AEZ7" i="285"/>
  <c r="AEX7" i="285"/>
  <c r="AFA7" i="285"/>
  <c r="AEY7" i="285"/>
  <c r="AEZ9" i="285"/>
  <c r="AEX9" i="285"/>
  <c r="AFA9" i="285"/>
  <c r="AEY9" i="285"/>
  <c r="AEZ11" i="285"/>
  <c r="AEX11" i="285"/>
  <c r="AEY11" i="285"/>
  <c r="AFA11" i="285"/>
  <c r="AFA13" i="285"/>
  <c r="AEY13" i="285"/>
  <c r="AEZ13" i="285"/>
  <c r="AEX13" i="285"/>
  <c r="AFA15" i="285"/>
  <c r="AEY15" i="285"/>
  <c r="AEZ15" i="285"/>
  <c r="AEX15" i="285"/>
  <c r="AFA17" i="285"/>
  <c r="AEY17" i="285"/>
  <c r="AEZ17" i="285"/>
  <c r="AEX17" i="285"/>
  <c r="AFA19" i="285"/>
  <c r="AEY19" i="285"/>
  <c r="AEZ19" i="285"/>
  <c r="AEX19" i="285"/>
  <c r="AFA21" i="285"/>
  <c r="AEY21" i="285"/>
  <c r="AEZ21" i="285"/>
  <c r="AEX21" i="285"/>
  <c r="AFA23" i="285"/>
  <c r="AEY23" i="285"/>
  <c r="AEZ23" i="285"/>
  <c r="AEX23" i="285"/>
  <c r="AFA25" i="285"/>
  <c r="AEY25" i="285"/>
  <c r="AEZ25" i="285"/>
  <c r="AEX25" i="285"/>
  <c r="AFA27" i="285"/>
  <c r="AEY27" i="285"/>
  <c r="AEZ27" i="285"/>
  <c r="AEX27" i="285"/>
  <c r="AFA29" i="285"/>
  <c r="AEY29" i="285"/>
  <c r="AEZ29" i="285"/>
  <c r="AEX29" i="285"/>
  <c r="AFA31" i="285"/>
  <c r="AEY31" i="285"/>
  <c r="AEZ31" i="285"/>
  <c r="AEX31" i="285"/>
  <c r="AFD3" i="285"/>
  <c r="AFB3" i="285"/>
  <c r="D300" i="284" s="1"/>
  <c r="AFC3" i="285"/>
  <c r="AFE3" i="285"/>
  <c r="G300" i="284" s="1"/>
  <c r="AFD5" i="285"/>
  <c r="AFB5" i="285"/>
  <c r="AFC5" i="285"/>
  <c r="AFE5" i="285"/>
  <c r="AFD7" i="285"/>
  <c r="AFB7" i="285"/>
  <c r="AFE7" i="285"/>
  <c r="AFC7" i="285"/>
  <c r="AFD9" i="285"/>
  <c r="AFB9" i="285"/>
  <c r="AFE9" i="285"/>
  <c r="AFC9" i="285"/>
  <c r="AFD11" i="285"/>
  <c r="AFB11" i="285"/>
  <c r="AFC11" i="285"/>
  <c r="AFE11" i="285"/>
  <c r="AFE13" i="285"/>
  <c r="AFC13" i="285"/>
  <c r="AFD13" i="285"/>
  <c r="AFB13" i="285"/>
  <c r="AFE15" i="285"/>
  <c r="AFC15" i="285"/>
  <c r="AFD15" i="285"/>
  <c r="AFB15" i="285"/>
  <c r="AFE17" i="285"/>
  <c r="AFC17" i="285"/>
  <c r="AFD17" i="285"/>
  <c r="AFB17" i="285"/>
  <c r="AFE19" i="285"/>
  <c r="AFC19" i="285"/>
  <c r="AFD19" i="285"/>
  <c r="AFB19" i="285"/>
  <c r="AFE21" i="285"/>
  <c r="AFC21" i="285"/>
  <c r="AFD21" i="285"/>
  <c r="AFB21" i="285"/>
  <c r="AFE23" i="285"/>
  <c r="AFC23" i="285"/>
  <c r="AFD23" i="285"/>
  <c r="AFB23" i="285"/>
  <c r="AFE25" i="285"/>
  <c r="AFC25" i="285"/>
  <c r="AFD25" i="285"/>
  <c r="AFB25" i="285"/>
  <c r="AFE27" i="285"/>
  <c r="AFC27" i="285"/>
  <c r="AFD27" i="285"/>
  <c r="AFB27" i="285"/>
  <c r="AFE29" i="285"/>
  <c r="AFC29" i="285"/>
  <c r="AFD29" i="285"/>
  <c r="AFB29" i="285"/>
  <c r="AFE31" i="285"/>
  <c r="AFC31" i="285"/>
  <c r="AFD31" i="285"/>
  <c r="AFB31" i="285"/>
  <c r="AFH3" i="285"/>
  <c r="AFF3" i="285"/>
  <c r="D301" i="284" s="1"/>
  <c r="AFG3" i="285"/>
  <c r="AFI3" i="285"/>
  <c r="G301" i="284" s="1"/>
  <c r="AFH5" i="285"/>
  <c r="AFF5" i="285"/>
  <c r="AFG5" i="285"/>
  <c r="AFI5" i="285"/>
  <c r="AFH7" i="285"/>
  <c r="AFF7" i="285"/>
  <c r="AFI7" i="285"/>
  <c r="AFG7" i="285"/>
  <c r="AFH9" i="285"/>
  <c r="AFF9" i="285"/>
  <c r="AFI9" i="285"/>
  <c r="AFG9" i="285"/>
  <c r="AFH11" i="285"/>
  <c r="AFF11" i="285"/>
  <c r="AFG11" i="285"/>
  <c r="AFI11" i="285"/>
  <c r="AFI13" i="285"/>
  <c r="AFG13" i="285"/>
  <c r="AFH13" i="285"/>
  <c r="AFF13" i="285"/>
  <c r="AFI15" i="285"/>
  <c r="AFG15" i="285"/>
  <c r="AFH15" i="285"/>
  <c r="AFF15" i="285"/>
  <c r="AFI17" i="285"/>
  <c r="AFG17" i="285"/>
  <c r="AFH17" i="285"/>
  <c r="AFF17" i="285"/>
  <c r="AFI19" i="285"/>
  <c r="AFG19" i="285"/>
  <c r="AFH19" i="285"/>
  <c r="AFF19" i="285"/>
  <c r="AFI21" i="285"/>
  <c r="AFG21" i="285"/>
  <c r="AFH21" i="285"/>
  <c r="AFF21" i="285"/>
  <c r="AFI23" i="285"/>
  <c r="AFG23" i="285"/>
  <c r="AFH23" i="285"/>
  <c r="AFF23" i="285"/>
  <c r="AFI25" i="285"/>
  <c r="AFG25" i="285"/>
  <c r="AFH25" i="285"/>
  <c r="AFF25" i="285"/>
  <c r="AFI27" i="285"/>
  <c r="AFG27" i="285"/>
  <c r="AFH27" i="285"/>
  <c r="AFF27" i="285"/>
  <c r="AFI29" i="285"/>
  <c r="AFG29" i="285"/>
  <c r="AFH29" i="285"/>
  <c r="AFF29" i="285"/>
  <c r="AFI31" i="285"/>
  <c r="AFG31" i="285"/>
  <c r="AFH31" i="285"/>
  <c r="AFF31" i="285"/>
  <c r="AFL3" i="285"/>
  <c r="AFJ3" i="285"/>
  <c r="D302" i="284" s="1"/>
  <c r="AFK3" i="285"/>
  <c r="AFM3" i="285"/>
  <c r="G302" i="284" s="1"/>
  <c r="AFL5" i="285"/>
  <c r="AFJ5" i="285"/>
  <c r="AFK5" i="285"/>
  <c r="AFM5" i="285"/>
  <c r="AFL7" i="285"/>
  <c r="AFJ7" i="285"/>
  <c r="AFM7" i="285"/>
  <c r="AFK7" i="285"/>
  <c r="AFL9" i="285"/>
  <c r="AFJ9" i="285"/>
  <c r="AFM9" i="285"/>
  <c r="AFK9" i="285"/>
  <c r="AFL11" i="285"/>
  <c r="AFJ11" i="285"/>
  <c r="AFK11" i="285"/>
  <c r="AFM11" i="285"/>
  <c r="AFM13" i="285"/>
  <c r="AFK13" i="285"/>
  <c r="AFL13" i="285"/>
  <c r="AFJ13" i="285"/>
  <c r="AFM15" i="285"/>
  <c r="AFK15" i="285"/>
  <c r="AFL15" i="285"/>
  <c r="AFJ15" i="285"/>
  <c r="AFM17" i="285"/>
  <c r="AFK17" i="285"/>
  <c r="AFL17" i="285"/>
  <c r="AFJ17" i="285"/>
  <c r="AFM19" i="285"/>
  <c r="AFK19" i="285"/>
  <c r="AFL19" i="285"/>
  <c r="AFJ19" i="285"/>
  <c r="AFM21" i="285"/>
  <c r="AFK21" i="285"/>
  <c r="AFL21" i="285"/>
  <c r="AFJ21" i="285"/>
  <c r="AFM23" i="285"/>
  <c r="AFK23" i="285"/>
  <c r="AFL23" i="285"/>
  <c r="AFJ23" i="285"/>
  <c r="AFM25" i="285"/>
  <c r="AFK25" i="285"/>
  <c r="AFL25" i="285"/>
  <c r="AFJ25" i="285"/>
  <c r="AFM27" i="285"/>
  <c r="AFK27" i="285"/>
  <c r="AFL27" i="285"/>
  <c r="AFJ27" i="285"/>
  <c r="AFM29" i="285"/>
  <c r="AFK29" i="285"/>
  <c r="AFL29" i="285"/>
  <c r="AFJ29" i="285"/>
  <c r="AFM31" i="285"/>
  <c r="AFK31" i="285"/>
  <c r="AFL31" i="285"/>
  <c r="AFJ31" i="285"/>
  <c r="AF110" i="263"/>
  <c r="D36" i="262" s="1"/>
  <c r="H36" i="262" s="1"/>
  <c r="AB110" i="263"/>
  <c r="D32" i="262" s="1"/>
  <c r="H32" i="262" s="1"/>
  <c r="X110" i="263"/>
  <c r="T110" i="263"/>
  <c r="P110" i="263"/>
  <c r="L110" i="263"/>
  <c r="H110" i="263"/>
  <c r="E110" i="263"/>
  <c r="F114" i="275"/>
  <c r="BQ10" i="262" s="1"/>
  <c r="BU10" i="262" s="1"/>
  <c r="J114" i="275"/>
  <c r="BQ14" i="262" s="1"/>
  <c r="BU14" i="262" s="1"/>
  <c r="R18" i="281" s="1"/>
  <c r="N114" i="275"/>
  <c r="BQ18" i="262" s="1"/>
  <c r="BU18" i="262" s="1"/>
  <c r="R114" i="275"/>
  <c r="BQ22" i="262" s="1"/>
  <c r="BU22" i="262" s="1"/>
  <c r="V114" i="275"/>
  <c r="BQ26" i="262" s="1"/>
  <c r="BU26" i="262" s="1"/>
  <c r="Z114" i="275"/>
  <c r="AH114" i="275"/>
  <c r="BQ38" i="262" s="1"/>
  <c r="BU38" i="262" s="1"/>
  <c r="G114" i="275"/>
  <c r="BQ11" i="262" s="1"/>
  <c r="BU11" i="262" s="1"/>
  <c r="K114" i="275"/>
  <c r="BQ15" i="262" s="1"/>
  <c r="BU15" i="262" s="1"/>
  <c r="O114" i="275"/>
  <c r="BQ19" i="262" s="1"/>
  <c r="BU19" i="262" s="1"/>
  <c r="S114" i="275"/>
  <c r="BQ23" i="262" s="1"/>
  <c r="BU23" i="262" s="1"/>
  <c r="W114" i="275"/>
  <c r="BQ27" i="262" s="1"/>
  <c r="BU27" i="262" s="1"/>
  <c r="AA114" i="275"/>
  <c r="BQ31" i="262" s="1"/>
  <c r="BU31" i="262" s="1"/>
  <c r="AE114" i="275"/>
  <c r="BQ35" i="262" s="1"/>
  <c r="BU35" i="262" s="1"/>
  <c r="E114" i="275"/>
  <c r="BQ9" i="262" s="1"/>
  <c r="BU9" i="262" s="1"/>
  <c r="I114" i="275"/>
  <c r="BQ13" i="262" s="1"/>
  <c r="BU13" i="262" s="1"/>
  <c r="M114" i="275"/>
  <c r="BQ17" i="262" s="1"/>
  <c r="BU17" i="262" s="1"/>
  <c r="Q114" i="275"/>
  <c r="BQ21" i="262" s="1"/>
  <c r="BU21" i="262" s="1"/>
  <c r="U114" i="275"/>
  <c r="BQ25" i="262" s="1"/>
  <c r="BU25" i="262" s="1"/>
  <c r="Y114" i="275"/>
  <c r="BQ29" i="262" s="1"/>
  <c r="BU29" i="262" s="1"/>
  <c r="AG114" i="275"/>
  <c r="BQ37" i="262" s="1"/>
  <c r="BU37" i="262" s="1"/>
  <c r="AD110" i="272"/>
  <c r="BL34" i="262" s="1"/>
  <c r="BP34" i="262" s="1"/>
  <c r="AA110" i="272"/>
  <c r="BL31" i="262" s="1"/>
  <c r="BP31" i="262" s="1"/>
  <c r="F110" i="272"/>
  <c r="BL10" i="262" s="1"/>
  <c r="BP10" i="262" s="1"/>
  <c r="J110" i="272"/>
  <c r="BL14" i="262" s="1"/>
  <c r="BP14" i="262" s="1"/>
  <c r="N110" i="272"/>
  <c r="BL18" i="262" s="1"/>
  <c r="BP18" i="262" s="1"/>
  <c r="R110" i="272"/>
  <c r="BL22" i="262" s="1"/>
  <c r="BP22" i="262" s="1"/>
  <c r="V110" i="272"/>
  <c r="BL26" i="262" s="1"/>
  <c r="BP26" i="262" s="1"/>
  <c r="Z110" i="272"/>
  <c r="BL30" i="262" s="1"/>
  <c r="BP30" i="262" s="1"/>
  <c r="AH110" i="272"/>
  <c r="BL38" i="262" s="1"/>
  <c r="BP38" i="262" s="1"/>
  <c r="E110" i="272"/>
  <c r="BL9" i="262" s="1"/>
  <c r="BP9" i="262" s="1"/>
  <c r="I110" i="272"/>
  <c r="BL13" i="262" s="1"/>
  <c r="BP13" i="262" s="1"/>
  <c r="M110" i="272"/>
  <c r="BL17" i="262" s="1"/>
  <c r="BP17" i="262" s="1"/>
  <c r="Q110" i="272"/>
  <c r="BL21" i="262" s="1"/>
  <c r="BP21" i="262" s="1"/>
  <c r="U110" i="272"/>
  <c r="BL25" i="262" s="1"/>
  <c r="BP25" i="262" s="1"/>
  <c r="Y110" i="272"/>
  <c r="BL29" i="262" s="1"/>
  <c r="BP29" i="262" s="1"/>
  <c r="AC110" i="272"/>
  <c r="BL33" i="262" s="1"/>
  <c r="BP33" i="262" s="1"/>
  <c r="AG110" i="272"/>
  <c r="BL37" i="262" s="1"/>
  <c r="BP37" i="262" s="1"/>
  <c r="H110" i="272"/>
  <c r="BL12" i="262" s="1"/>
  <c r="BP12" i="262" s="1"/>
  <c r="L110" i="272"/>
  <c r="BL16" i="262" s="1"/>
  <c r="BP16" i="262" s="1"/>
  <c r="P110" i="272"/>
  <c r="BL20" i="262" s="1"/>
  <c r="BP20" i="262" s="1"/>
  <c r="T110" i="272"/>
  <c r="BL24" i="262" s="1"/>
  <c r="BP24" i="262" s="1"/>
  <c r="X110" i="272"/>
  <c r="BL28" i="262" s="1"/>
  <c r="BP28" i="262" s="1"/>
  <c r="AB110" i="272"/>
  <c r="BL32" i="262" s="1"/>
  <c r="BP32" i="262" s="1"/>
  <c r="AF110" i="272"/>
  <c r="BL36" i="262" s="1"/>
  <c r="BP36" i="262" s="1"/>
  <c r="H110" i="271"/>
  <c r="AW12" i="262" s="1"/>
  <c r="BA12" i="262" s="1"/>
  <c r="L110" i="271"/>
  <c r="AW16" i="262" s="1"/>
  <c r="BA16" i="262" s="1"/>
  <c r="P110" i="271"/>
  <c r="AW20" i="262" s="1"/>
  <c r="BA20" i="262" s="1"/>
  <c r="T110" i="271"/>
  <c r="AW24" i="262" s="1"/>
  <c r="BA24" i="262" s="1"/>
  <c r="X110" i="271"/>
  <c r="AW28" i="262" s="1"/>
  <c r="BA28" i="262" s="1"/>
  <c r="AB110" i="271"/>
  <c r="AW32" i="262" s="1"/>
  <c r="BA32" i="262" s="1"/>
  <c r="AF110" i="271"/>
  <c r="AW36" i="262" s="1"/>
  <c r="BA36" i="262" s="1"/>
  <c r="G110" i="271"/>
  <c r="AW11" i="262" s="1"/>
  <c r="BA11" i="262" s="1"/>
  <c r="K110" i="271"/>
  <c r="AW15" i="262" s="1"/>
  <c r="BA15" i="262" s="1"/>
  <c r="O110" i="271"/>
  <c r="AW19" i="262" s="1"/>
  <c r="BA19" i="262" s="1"/>
  <c r="S110" i="271"/>
  <c r="AW23" i="262" s="1"/>
  <c r="BA23" i="262" s="1"/>
  <c r="W110" i="271"/>
  <c r="AW27" i="262" s="1"/>
  <c r="BA27" i="262" s="1"/>
  <c r="AA110" i="271"/>
  <c r="AW31" i="262" s="1"/>
  <c r="BA31" i="262" s="1"/>
  <c r="AE110" i="271"/>
  <c r="AW35" i="262" s="1"/>
  <c r="BA35" i="262" s="1"/>
  <c r="F110" i="271"/>
  <c r="AW10" i="262" s="1"/>
  <c r="BA10" i="262" s="1"/>
  <c r="J110" i="271"/>
  <c r="AW14" i="262" s="1"/>
  <c r="BA14" i="262" s="1"/>
  <c r="N110" i="271"/>
  <c r="AW18" i="262" s="1"/>
  <c r="BA18" i="262" s="1"/>
  <c r="R110" i="271"/>
  <c r="AW22" i="262" s="1"/>
  <c r="BA22" i="262" s="1"/>
  <c r="V110" i="271"/>
  <c r="AW26" i="262" s="1"/>
  <c r="BA26" i="262" s="1"/>
  <c r="Z110" i="271"/>
  <c r="AW30" i="262" s="1"/>
  <c r="BA30" i="262" s="1"/>
  <c r="AH110" i="271"/>
  <c r="AW38" i="262" s="1"/>
  <c r="BA38" i="262" s="1"/>
  <c r="E110" i="271"/>
  <c r="AW9" i="262" s="1"/>
  <c r="BA9" i="262" s="1"/>
  <c r="I110" i="271"/>
  <c r="AW13" i="262" s="1"/>
  <c r="BA13" i="262" s="1"/>
  <c r="M110" i="271"/>
  <c r="AW17" i="262" s="1"/>
  <c r="BA17" i="262" s="1"/>
  <c r="Q110" i="271"/>
  <c r="AW21" i="262" s="1"/>
  <c r="BA21" i="262" s="1"/>
  <c r="U110" i="271"/>
  <c r="AW25" i="262" s="1"/>
  <c r="BA25" i="262" s="1"/>
  <c r="Y110" i="271"/>
  <c r="AW29" i="262" s="1"/>
  <c r="BA29" i="262" s="1"/>
  <c r="AG110" i="271"/>
  <c r="AW37" i="262" s="1"/>
  <c r="BA37" i="262" s="1"/>
  <c r="G110" i="270"/>
  <c r="AR11" i="262" s="1"/>
  <c r="AV11" i="262" s="1"/>
  <c r="K110" i="270"/>
  <c r="AR15" i="262" s="1"/>
  <c r="AV15" i="262" s="1"/>
  <c r="M19" i="281" s="1"/>
  <c r="O110" i="270"/>
  <c r="AR19" i="262" s="1"/>
  <c r="AV19" i="262" s="1"/>
  <c r="S110" i="270"/>
  <c r="AR23" i="262" s="1"/>
  <c r="AV23" i="262" s="1"/>
  <c r="W110" i="270"/>
  <c r="AR27" i="262" s="1"/>
  <c r="AV27" i="262" s="1"/>
  <c r="AA110" i="270"/>
  <c r="AR31" i="262" s="1"/>
  <c r="AV31" i="262" s="1"/>
  <c r="AE110" i="270"/>
  <c r="AR35" i="262" s="1"/>
  <c r="AV35" i="262" s="1"/>
  <c r="F110" i="270"/>
  <c r="J110" i="270"/>
  <c r="AR14" i="262" s="1"/>
  <c r="AV14" i="262" s="1"/>
  <c r="N110" i="270"/>
  <c r="AR18" i="262" s="1"/>
  <c r="AV18" i="262" s="1"/>
  <c r="R110" i="270"/>
  <c r="V110" i="270"/>
  <c r="AR26" i="262" s="1"/>
  <c r="AV26" i="262" s="1"/>
  <c r="Z110" i="270"/>
  <c r="AR30" i="262" s="1"/>
  <c r="AV30" i="262" s="1"/>
  <c r="AD110" i="270"/>
  <c r="AR34" i="262" s="1"/>
  <c r="AV34" i="262" s="1"/>
  <c r="AH110" i="270"/>
  <c r="E110" i="270"/>
  <c r="AR9" i="262" s="1"/>
  <c r="AV9" i="262" s="1"/>
  <c r="I110" i="270"/>
  <c r="AR13" i="262" s="1"/>
  <c r="AV13" i="262" s="1"/>
  <c r="M110" i="270"/>
  <c r="AR17" i="262" s="1"/>
  <c r="AV17" i="262" s="1"/>
  <c r="Q110" i="270"/>
  <c r="AR21" i="262" s="1"/>
  <c r="AV21" i="262" s="1"/>
  <c r="U110" i="270"/>
  <c r="AR25" i="262" s="1"/>
  <c r="AV25" i="262" s="1"/>
  <c r="Y110" i="270"/>
  <c r="AR29" i="262" s="1"/>
  <c r="AV29" i="262" s="1"/>
  <c r="AC110" i="270"/>
  <c r="AR33" i="262" s="1"/>
  <c r="AV33" i="262" s="1"/>
  <c r="AG110" i="270"/>
  <c r="AR37" i="262" s="1"/>
  <c r="AV37" i="262" s="1"/>
  <c r="H110" i="270"/>
  <c r="AR12" i="262" s="1"/>
  <c r="AV12" i="262" s="1"/>
  <c r="L110" i="270"/>
  <c r="AR16" i="262" s="1"/>
  <c r="AV16" i="262" s="1"/>
  <c r="P110" i="270"/>
  <c r="AR20" i="262" s="1"/>
  <c r="AV20" i="262" s="1"/>
  <c r="T110" i="270"/>
  <c r="AR24" i="262" s="1"/>
  <c r="AV24" i="262" s="1"/>
  <c r="X110" i="270"/>
  <c r="AR28" i="262" s="1"/>
  <c r="AV28" i="262" s="1"/>
  <c r="AB110" i="270"/>
  <c r="AR32" i="262" s="1"/>
  <c r="AV32" i="262" s="1"/>
  <c r="AF110" i="270"/>
  <c r="AR36" i="262" s="1"/>
  <c r="AV36" i="262" s="1"/>
  <c r="AM11" i="262"/>
  <c r="AQ11" i="262" s="1"/>
  <c r="AM15" i="262"/>
  <c r="AQ15" i="262" s="1"/>
  <c r="AM19" i="262"/>
  <c r="AQ19" i="262" s="1"/>
  <c r="AM23" i="262"/>
  <c r="AQ23" i="262" s="1"/>
  <c r="AM27" i="262"/>
  <c r="AQ27" i="262" s="1"/>
  <c r="AM31" i="262"/>
  <c r="AQ31" i="262" s="1"/>
  <c r="AE208" i="269"/>
  <c r="AM35" i="262" s="1"/>
  <c r="AQ35" i="262" s="1"/>
  <c r="AM10" i="262"/>
  <c r="AQ10" i="262" s="1"/>
  <c r="L14" i="281" s="1"/>
  <c r="AM14" i="262"/>
  <c r="AQ14" i="262" s="1"/>
  <c r="AM18" i="262"/>
  <c r="AQ18" i="262" s="1"/>
  <c r="AM26" i="262"/>
  <c r="AQ26" i="262" s="1"/>
  <c r="L30" i="281" s="1"/>
  <c r="AM30" i="262"/>
  <c r="AQ30" i="262" s="1"/>
  <c r="AD208" i="269"/>
  <c r="AM34" i="262" s="1"/>
  <c r="AQ34" i="262" s="1"/>
  <c r="AH208" i="269"/>
  <c r="AM38" i="262" s="1"/>
  <c r="AQ38" i="262" s="1"/>
  <c r="AH121" i="268"/>
  <c r="AH38" i="262" s="1"/>
  <c r="AL38" i="262" s="1"/>
  <c r="H205" i="266"/>
  <c r="X12" i="262" s="1"/>
  <c r="AB12" i="262" s="1"/>
  <c r="L205" i="266"/>
  <c r="X16" i="262" s="1"/>
  <c r="AB16" i="262" s="1"/>
  <c r="P205" i="266"/>
  <c r="X20" i="262" s="1"/>
  <c r="AB20" i="262" s="1"/>
  <c r="T205" i="266"/>
  <c r="X24" i="262" s="1"/>
  <c r="AB24" i="262" s="1"/>
  <c r="X205" i="266"/>
  <c r="X28" i="262" s="1"/>
  <c r="AB28" i="262" s="1"/>
  <c r="AB205" i="266"/>
  <c r="X32" i="262" s="1"/>
  <c r="AB32" i="262" s="1"/>
  <c r="AF205" i="266"/>
  <c r="X36" i="262" s="1"/>
  <c r="AB36" i="262" s="1"/>
  <c r="G205" i="266"/>
  <c r="X11" i="262" s="1"/>
  <c r="AB11" i="262" s="1"/>
  <c r="K205" i="266"/>
  <c r="X15" i="262" s="1"/>
  <c r="AB15" i="262" s="1"/>
  <c r="O205" i="266"/>
  <c r="X19" i="262" s="1"/>
  <c r="AB19" i="262" s="1"/>
  <c r="S205" i="266"/>
  <c r="X23" i="262" s="1"/>
  <c r="AB23" i="262" s="1"/>
  <c r="W205" i="266"/>
  <c r="X27" i="262" s="1"/>
  <c r="AB27" i="262" s="1"/>
  <c r="AA205" i="266"/>
  <c r="X31" i="262" s="1"/>
  <c r="AB31" i="262" s="1"/>
  <c r="AE205" i="266"/>
  <c r="X35" i="262" s="1"/>
  <c r="AB35" i="262" s="1"/>
  <c r="F205" i="266"/>
  <c r="X10" i="262" s="1"/>
  <c r="AB10" i="262" s="1"/>
  <c r="J205" i="266"/>
  <c r="X14" i="262" s="1"/>
  <c r="AB14" i="262" s="1"/>
  <c r="N205" i="266"/>
  <c r="X18" i="262" s="1"/>
  <c r="AB18" i="262" s="1"/>
  <c r="R205" i="266"/>
  <c r="X22" i="262" s="1"/>
  <c r="AB22" i="262" s="1"/>
  <c r="V205" i="266"/>
  <c r="X26" i="262" s="1"/>
  <c r="AB26" i="262" s="1"/>
  <c r="Z205" i="266"/>
  <c r="X30" i="262" s="1"/>
  <c r="AB30" i="262" s="1"/>
  <c r="AD205" i="266"/>
  <c r="AH205" i="266"/>
  <c r="E205" i="266"/>
  <c r="X9" i="262" s="1"/>
  <c r="AB9" i="262" s="1"/>
  <c r="I205" i="266"/>
  <c r="X13" i="262" s="1"/>
  <c r="AB13" i="262" s="1"/>
  <c r="M205" i="266"/>
  <c r="X17" i="262" s="1"/>
  <c r="AB17" i="262" s="1"/>
  <c r="Q205" i="266"/>
  <c r="U205" i="266"/>
  <c r="X25" i="262" s="1"/>
  <c r="AB25" i="262" s="1"/>
  <c r="Y205" i="266"/>
  <c r="X29" i="262" s="1"/>
  <c r="AB29" i="262" s="1"/>
  <c r="AC205" i="266"/>
  <c r="X33" i="262" s="1"/>
  <c r="AB33" i="262" s="1"/>
  <c r="AG205" i="266"/>
  <c r="X37" i="262" s="1"/>
  <c r="AB37" i="262" s="1"/>
  <c r="AC128" i="265"/>
  <c r="N33" i="262" s="1"/>
  <c r="R33" i="262" s="1"/>
  <c r="AD128" i="265"/>
  <c r="N34" i="262" s="1"/>
  <c r="R34" i="262" s="1"/>
  <c r="G38" i="281" s="1"/>
  <c r="N10" i="262"/>
  <c r="R10" i="262" s="1"/>
  <c r="N14" i="262"/>
  <c r="R14" i="262" s="1"/>
  <c r="N18" i="262"/>
  <c r="R18" i="262" s="1"/>
  <c r="N22" i="262"/>
  <c r="R22" i="262" s="1"/>
  <c r="G26" i="281" s="1"/>
  <c r="N26" i="262"/>
  <c r="R26" i="262" s="1"/>
  <c r="N30" i="262"/>
  <c r="R30" i="262" s="1"/>
  <c r="AH128" i="265"/>
  <c r="N38" i="262" s="1"/>
  <c r="R38" i="262" s="1"/>
  <c r="N9" i="262"/>
  <c r="R9" i="262" s="1"/>
  <c r="N17" i="262"/>
  <c r="R17" i="262" s="1"/>
  <c r="N21" i="262"/>
  <c r="R21" i="262" s="1"/>
  <c r="N25" i="262"/>
  <c r="R25" i="262" s="1"/>
  <c r="AG128" i="265"/>
  <c r="N37" i="262" s="1"/>
  <c r="R37" i="262" s="1"/>
  <c r="F110" i="264"/>
  <c r="I10" i="262" s="1"/>
  <c r="M10" i="262" s="1"/>
  <c r="J110" i="264"/>
  <c r="I14" i="262" s="1"/>
  <c r="M14" i="262" s="1"/>
  <c r="N110" i="264"/>
  <c r="I18" i="262" s="1"/>
  <c r="M18" i="262" s="1"/>
  <c r="R110" i="264"/>
  <c r="I22" i="262" s="1"/>
  <c r="M22" i="262" s="1"/>
  <c r="V110" i="264"/>
  <c r="I26" i="262" s="1"/>
  <c r="M26" i="262" s="1"/>
  <c r="Z110" i="264"/>
  <c r="I30" i="262" s="1"/>
  <c r="M30" i="262" s="1"/>
  <c r="AD110" i="264"/>
  <c r="I34" i="262" s="1"/>
  <c r="M34" i="262" s="1"/>
  <c r="E110" i="264"/>
  <c r="I9" i="262" s="1"/>
  <c r="M9" i="262" s="1"/>
  <c r="F13" i="281" s="1"/>
  <c r="I110" i="264"/>
  <c r="I13" i="262" s="1"/>
  <c r="M13" i="262" s="1"/>
  <c r="M110" i="264"/>
  <c r="I17" i="262" s="1"/>
  <c r="M17" i="262" s="1"/>
  <c r="Q110" i="264"/>
  <c r="I21" i="262" s="1"/>
  <c r="M21" i="262" s="1"/>
  <c r="U110" i="264"/>
  <c r="I25" i="262" s="1"/>
  <c r="M25" i="262" s="1"/>
  <c r="Y110" i="264"/>
  <c r="I29" i="262" s="1"/>
  <c r="M29" i="262" s="1"/>
  <c r="AC110" i="264"/>
  <c r="I33" i="262" s="1"/>
  <c r="M33" i="262" s="1"/>
  <c r="H110" i="264"/>
  <c r="I12" i="262" s="1"/>
  <c r="M12" i="262" s="1"/>
  <c r="L110" i="264"/>
  <c r="I16" i="262" s="1"/>
  <c r="M16" i="262" s="1"/>
  <c r="P110" i="264"/>
  <c r="I20" i="262" s="1"/>
  <c r="M20" i="262" s="1"/>
  <c r="T110" i="264"/>
  <c r="I24" i="262" s="1"/>
  <c r="M24" i="262" s="1"/>
  <c r="X110" i="264"/>
  <c r="I28" i="262" s="1"/>
  <c r="M28" i="262" s="1"/>
  <c r="AB110" i="264"/>
  <c r="I32" i="262" s="1"/>
  <c r="M32" i="262" s="1"/>
  <c r="AF110" i="264"/>
  <c r="I36" i="262" s="1"/>
  <c r="M36" i="262" s="1"/>
  <c r="G110" i="264"/>
  <c r="I11" i="262" s="1"/>
  <c r="M11" i="262" s="1"/>
  <c r="K110" i="264"/>
  <c r="I15" i="262" s="1"/>
  <c r="M15" i="262" s="1"/>
  <c r="O110" i="264"/>
  <c r="I19" i="262" s="1"/>
  <c r="M19" i="262" s="1"/>
  <c r="S110" i="264"/>
  <c r="I23" i="262" s="1"/>
  <c r="M23" i="262" s="1"/>
  <c r="W110" i="264"/>
  <c r="I27" i="262" s="1"/>
  <c r="M27" i="262" s="1"/>
  <c r="AA110" i="264"/>
  <c r="I31" i="262" s="1"/>
  <c r="M31" i="262" s="1"/>
  <c r="AE110" i="264"/>
  <c r="I35" i="262" s="1"/>
  <c r="M35" i="262" s="1"/>
  <c r="AH110" i="264"/>
  <c r="I38" i="262" s="1"/>
  <c r="M38" i="262" s="1"/>
  <c r="AG110" i="264"/>
  <c r="I37" i="262" s="1"/>
  <c r="M37" i="262" s="1"/>
  <c r="AC110" i="263"/>
  <c r="D33" i="262" s="1"/>
  <c r="H33" i="262" s="1"/>
  <c r="Y110" i="263"/>
  <c r="U110" i="263"/>
  <c r="Q110" i="263"/>
  <c r="M110" i="263"/>
  <c r="I110" i="263"/>
  <c r="AG110" i="263"/>
  <c r="D37" i="262" s="1"/>
  <c r="H37" i="262" s="1"/>
  <c r="AH110" i="263"/>
  <c r="D38" i="262" s="1"/>
  <c r="H38" i="262" s="1"/>
  <c r="AD110" i="263"/>
  <c r="D34" i="262" s="1"/>
  <c r="H34" i="262" s="1"/>
  <c r="Z110" i="263"/>
  <c r="V110" i="263"/>
  <c r="R110" i="263"/>
  <c r="N110" i="263"/>
  <c r="J110" i="263"/>
  <c r="F110" i="263"/>
  <c r="AE110" i="263"/>
  <c r="D35" i="262" s="1"/>
  <c r="H35" i="262" s="1"/>
  <c r="AA110" i="263"/>
  <c r="W110" i="263"/>
  <c r="S110" i="263"/>
  <c r="O110" i="263"/>
  <c r="K110" i="263"/>
  <c r="G110" i="263"/>
  <c r="M35" i="281"/>
  <c r="AH5" i="279"/>
  <c r="AG5" i="279"/>
  <c r="AF5" i="279"/>
  <c r="AE5" i="279"/>
  <c r="AD5" i="279"/>
  <c r="AC5" i="279"/>
  <c r="AB5" i="279"/>
  <c r="AA5" i="279"/>
  <c r="Z5" i="279"/>
  <c r="Y5" i="279"/>
  <c r="X5" i="279"/>
  <c r="W5" i="279"/>
  <c r="V5" i="279"/>
  <c r="U5" i="279"/>
  <c r="T5" i="279"/>
  <c r="S5" i="279"/>
  <c r="R5" i="279"/>
  <c r="Q5" i="279"/>
  <c r="P5" i="279"/>
  <c r="O5" i="279"/>
  <c r="N5" i="279"/>
  <c r="M5" i="279"/>
  <c r="L5" i="279"/>
  <c r="K5" i="279"/>
  <c r="J5" i="279"/>
  <c r="I5" i="279"/>
  <c r="H5" i="279"/>
  <c r="G5" i="279"/>
  <c r="F5" i="279"/>
  <c r="E5" i="279"/>
  <c r="AH5" i="278"/>
  <c r="AG5" i="278"/>
  <c r="AF5" i="278"/>
  <c r="AE5" i="278"/>
  <c r="AD5" i="278"/>
  <c r="AC5" i="278"/>
  <c r="AB5" i="278"/>
  <c r="AA5" i="278"/>
  <c r="Z5" i="278"/>
  <c r="Y5" i="278"/>
  <c r="X5" i="278"/>
  <c r="W5" i="278"/>
  <c r="V5" i="278"/>
  <c r="U5" i="278"/>
  <c r="T5" i="278"/>
  <c r="S5" i="278"/>
  <c r="R5" i="278"/>
  <c r="Q5" i="278"/>
  <c r="P5" i="278"/>
  <c r="O5" i="278"/>
  <c r="N5" i="278"/>
  <c r="M5" i="278"/>
  <c r="L5" i="278"/>
  <c r="K5" i="278"/>
  <c r="J5" i="278"/>
  <c r="I5" i="278"/>
  <c r="H5" i="278"/>
  <c r="G5" i="278"/>
  <c r="F5" i="278"/>
  <c r="E5" i="278"/>
  <c r="AH5" i="277"/>
  <c r="AG5" i="277"/>
  <c r="AF5" i="277"/>
  <c r="AE5" i="277"/>
  <c r="AD5" i="277"/>
  <c r="AC5" i="277"/>
  <c r="AB5" i="277"/>
  <c r="AA5" i="277"/>
  <c r="Z5" i="277"/>
  <c r="Y5" i="277"/>
  <c r="X5" i="277"/>
  <c r="W5" i="277"/>
  <c r="V5" i="277"/>
  <c r="U5" i="277"/>
  <c r="T5" i="277"/>
  <c r="S5" i="277"/>
  <c r="R5" i="277"/>
  <c r="Q5" i="277"/>
  <c r="P5" i="277"/>
  <c r="O5" i="277"/>
  <c r="N5" i="277"/>
  <c r="M5" i="277"/>
  <c r="L5" i="277"/>
  <c r="K5" i="277"/>
  <c r="J5" i="277"/>
  <c r="I5" i="277"/>
  <c r="H5" i="277"/>
  <c r="G5" i="277"/>
  <c r="F5" i="277"/>
  <c r="E5" i="277"/>
  <c r="AH5" i="276"/>
  <c r="AG5" i="276"/>
  <c r="AF5" i="276"/>
  <c r="AE5" i="276"/>
  <c r="AD5" i="276"/>
  <c r="AC5" i="276"/>
  <c r="AB5" i="276"/>
  <c r="AA5" i="276"/>
  <c r="Z5" i="276"/>
  <c r="Y5" i="276"/>
  <c r="X5" i="276"/>
  <c r="W5" i="276"/>
  <c r="V5" i="276"/>
  <c r="U5" i="276"/>
  <c r="T5" i="276"/>
  <c r="S5" i="276"/>
  <c r="R5" i="276"/>
  <c r="Q5" i="276"/>
  <c r="P5" i="276"/>
  <c r="O5" i="276"/>
  <c r="N5" i="276"/>
  <c r="M5" i="276"/>
  <c r="L5" i="276"/>
  <c r="K5" i="276"/>
  <c r="J5" i="276"/>
  <c r="I5" i="276"/>
  <c r="H5" i="276"/>
  <c r="G5" i="276"/>
  <c r="F5" i="276"/>
  <c r="E5" i="276"/>
  <c r="AH5" i="275"/>
  <c r="AG5" i="275"/>
  <c r="AF5" i="275"/>
  <c r="AE5" i="275"/>
  <c r="AD5" i="275"/>
  <c r="AC5" i="275"/>
  <c r="AB5" i="275"/>
  <c r="AA5" i="275"/>
  <c r="Z5" i="275"/>
  <c r="Y5" i="275"/>
  <c r="X5" i="275"/>
  <c r="W5" i="275"/>
  <c r="V5" i="275"/>
  <c r="U5" i="275"/>
  <c r="T5" i="275"/>
  <c r="S5" i="275"/>
  <c r="R5" i="275"/>
  <c r="Q5" i="275"/>
  <c r="P5" i="275"/>
  <c r="O5" i="275"/>
  <c r="N5" i="275"/>
  <c r="M5" i="275"/>
  <c r="L5" i="275"/>
  <c r="K5" i="275"/>
  <c r="J5" i="275"/>
  <c r="I5" i="275"/>
  <c r="H5" i="275"/>
  <c r="G5" i="275"/>
  <c r="F5" i="275"/>
  <c r="E5" i="275"/>
  <c r="AH5" i="272"/>
  <c r="AG5" i="272"/>
  <c r="AF5" i="272"/>
  <c r="AE5" i="272"/>
  <c r="AD5" i="272"/>
  <c r="AC5" i="272"/>
  <c r="AB5" i="272"/>
  <c r="AA5" i="272"/>
  <c r="Z5" i="272"/>
  <c r="Y5" i="272"/>
  <c r="X5" i="272"/>
  <c r="W5" i="272"/>
  <c r="V5" i="272"/>
  <c r="U5" i="272"/>
  <c r="T5" i="272"/>
  <c r="S5" i="272"/>
  <c r="R5" i="272"/>
  <c r="Q5" i="272"/>
  <c r="P5" i="272"/>
  <c r="O5" i="272"/>
  <c r="N5" i="272"/>
  <c r="M5" i="272"/>
  <c r="L5" i="272"/>
  <c r="K5" i="272"/>
  <c r="J5" i="272"/>
  <c r="I5" i="272"/>
  <c r="H5" i="272"/>
  <c r="G5" i="272"/>
  <c r="F5" i="272"/>
  <c r="E5" i="272"/>
  <c r="AH5" i="271"/>
  <c r="AG5" i="271"/>
  <c r="AF5" i="271"/>
  <c r="AE5" i="271"/>
  <c r="AD5" i="271"/>
  <c r="AC5" i="271"/>
  <c r="AB5" i="271"/>
  <c r="AA5" i="271"/>
  <c r="Z5" i="271"/>
  <c r="Y5" i="271"/>
  <c r="X5" i="271"/>
  <c r="W5" i="271"/>
  <c r="V5" i="271"/>
  <c r="U5" i="271"/>
  <c r="T5" i="271"/>
  <c r="S5" i="271"/>
  <c r="R5" i="271"/>
  <c r="Q5" i="271"/>
  <c r="P5" i="271"/>
  <c r="O5" i="271"/>
  <c r="N5" i="271"/>
  <c r="M5" i="271"/>
  <c r="L5" i="271"/>
  <c r="K5" i="271"/>
  <c r="J5" i="271"/>
  <c r="I5" i="271"/>
  <c r="H5" i="271"/>
  <c r="G5" i="271"/>
  <c r="F5" i="271"/>
  <c r="E5" i="271"/>
  <c r="AH5" i="270"/>
  <c r="AG5" i="270"/>
  <c r="AF5" i="270"/>
  <c r="AE5" i="270"/>
  <c r="AD5" i="270"/>
  <c r="AC5" i="270"/>
  <c r="AB5" i="270"/>
  <c r="AA5" i="270"/>
  <c r="Z5" i="270"/>
  <c r="Y5" i="270"/>
  <c r="X5" i="270"/>
  <c r="W5" i="270"/>
  <c r="V5" i="270"/>
  <c r="U5" i="270"/>
  <c r="T5" i="270"/>
  <c r="S5" i="270"/>
  <c r="R5" i="270"/>
  <c r="Q5" i="270"/>
  <c r="P5" i="270"/>
  <c r="O5" i="270"/>
  <c r="N5" i="270"/>
  <c r="M5" i="270"/>
  <c r="L5" i="270"/>
  <c r="K5" i="270"/>
  <c r="J5" i="270"/>
  <c r="I5" i="270"/>
  <c r="H5" i="270"/>
  <c r="G5" i="270"/>
  <c r="F5" i="270"/>
  <c r="E5" i="270"/>
  <c r="AH5" i="269"/>
  <c r="AG5" i="269"/>
  <c r="AF5" i="269"/>
  <c r="AE5" i="269"/>
  <c r="AD5" i="269"/>
  <c r="AC5" i="269"/>
  <c r="AB5" i="269"/>
  <c r="AA5" i="269"/>
  <c r="Z5" i="269"/>
  <c r="Y5" i="269"/>
  <c r="X5" i="269"/>
  <c r="W5" i="269"/>
  <c r="V5" i="269"/>
  <c r="U5" i="269"/>
  <c r="T5" i="269"/>
  <c r="S5" i="269"/>
  <c r="R5" i="269"/>
  <c r="Q5" i="269"/>
  <c r="P5" i="269"/>
  <c r="O5" i="269"/>
  <c r="N5" i="269"/>
  <c r="M5" i="269"/>
  <c r="L5" i="269"/>
  <c r="K5" i="269"/>
  <c r="J5" i="269"/>
  <c r="I5" i="269"/>
  <c r="H5" i="269"/>
  <c r="G5" i="269"/>
  <c r="F5" i="269"/>
  <c r="E5" i="269"/>
  <c r="AH5" i="268"/>
  <c r="AG5" i="268"/>
  <c r="AF5" i="268"/>
  <c r="AE5" i="268"/>
  <c r="AD5" i="268"/>
  <c r="AC5" i="268"/>
  <c r="AB5" i="268"/>
  <c r="AA5" i="268"/>
  <c r="Z5" i="268"/>
  <c r="Y5" i="268"/>
  <c r="X5" i="268"/>
  <c r="W5" i="268"/>
  <c r="V5" i="268"/>
  <c r="U5" i="268"/>
  <c r="T5" i="268"/>
  <c r="S5" i="268"/>
  <c r="R5" i="268"/>
  <c r="Q5" i="268"/>
  <c r="P5" i="268"/>
  <c r="O5" i="268"/>
  <c r="N5" i="268"/>
  <c r="M5" i="268"/>
  <c r="L5" i="268"/>
  <c r="K5" i="268"/>
  <c r="J5" i="268"/>
  <c r="I5" i="268"/>
  <c r="H5" i="268"/>
  <c r="G5" i="268"/>
  <c r="F5" i="268"/>
  <c r="E5" i="268"/>
  <c r="E6" i="267"/>
  <c r="CJ6" i="290" s="1"/>
  <c r="E65" i="267"/>
  <c r="CK6" i="290" s="1"/>
  <c r="AF6" i="267"/>
  <c r="CJ33" i="290" s="1"/>
  <c r="F6" i="267"/>
  <c r="CJ7" i="290" s="1"/>
  <c r="G6" i="267"/>
  <c r="CJ8" i="290" s="1"/>
  <c r="H6" i="267"/>
  <c r="CJ9" i="290" s="1"/>
  <c r="I6" i="267"/>
  <c r="CJ10" i="290" s="1"/>
  <c r="J6" i="267"/>
  <c r="CJ11" i="290" s="1"/>
  <c r="K6" i="267"/>
  <c r="CJ12" i="290" s="1"/>
  <c r="L6" i="267"/>
  <c r="CJ13" i="290" s="1"/>
  <c r="M6" i="267"/>
  <c r="CJ14" i="290" s="1"/>
  <c r="N6" i="267"/>
  <c r="CJ15" i="290" s="1"/>
  <c r="O6" i="267"/>
  <c r="CJ16" i="290" s="1"/>
  <c r="P6" i="267"/>
  <c r="CJ17" i="290" s="1"/>
  <c r="Q6" i="267"/>
  <c r="CJ18" i="290" s="1"/>
  <c r="R6" i="267"/>
  <c r="CJ19" i="290" s="1"/>
  <c r="S6" i="267"/>
  <c r="CJ20" i="290" s="1"/>
  <c r="T6" i="267"/>
  <c r="CJ21" i="290" s="1"/>
  <c r="U6" i="267"/>
  <c r="CJ22" i="290" s="1"/>
  <c r="V6" i="267"/>
  <c r="CJ23" i="290" s="1"/>
  <c r="W6" i="267"/>
  <c r="CJ24" i="290" s="1"/>
  <c r="X6" i="267"/>
  <c r="CJ25" i="290" s="1"/>
  <c r="Y6" i="267"/>
  <c r="CJ26" i="290" s="1"/>
  <c r="Z6" i="267"/>
  <c r="CJ27" i="290" s="1"/>
  <c r="AA6" i="267"/>
  <c r="CJ28" i="290" s="1"/>
  <c r="AB6" i="267"/>
  <c r="CJ29" i="290" s="1"/>
  <c r="AC6" i="267"/>
  <c r="CJ30" i="290" s="1"/>
  <c r="AD6" i="267"/>
  <c r="CJ31" i="290" s="1"/>
  <c r="AE6" i="267"/>
  <c r="CJ32" i="290" s="1"/>
  <c r="AG6" i="267"/>
  <c r="AH6" i="267"/>
  <c r="AH345" i="267"/>
  <c r="AG345" i="267"/>
  <c r="AF345" i="267"/>
  <c r="CV33" i="290" s="1"/>
  <c r="AE345" i="267"/>
  <c r="CV32" i="290" s="1"/>
  <c r="AD345" i="267"/>
  <c r="CV31" i="290" s="1"/>
  <c r="AC345" i="267"/>
  <c r="CV30" i="290" s="1"/>
  <c r="AB345" i="267"/>
  <c r="CV29" i="290" s="1"/>
  <c r="AA345" i="267"/>
  <c r="CV28" i="290" s="1"/>
  <c r="Z345" i="267"/>
  <c r="CV27" i="290" s="1"/>
  <c r="Y345" i="267"/>
  <c r="CV26" i="290" s="1"/>
  <c r="X345" i="267"/>
  <c r="CV25" i="290" s="1"/>
  <c r="W345" i="267"/>
  <c r="CV24" i="290" s="1"/>
  <c r="V345" i="267"/>
  <c r="CV23" i="290" s="1"/>
  <c r="U345" i="267"/>
  <c r="CV22" i="290" s="1"/>
  <c r="T345" i="267"/>
  <c r="CV21" i="290" s="1"/>
  <c r="S345" i="267"/>
  <c r="CV20" i="290" s="1"/>
  <c r="R345" i="267"/>
  <c r="CV19" i="290" s="1"/>
  <c r="Q345" i="267"/>
  <c r="CV18" i="290" s="1"/>
  <c r="P345" i="267"/>
  <c r="CV17" i="290" s="1"/>
  <c r="O345" i="267"/>
  <c r="CV16" i="290" s="1"/>
  <c r="N345" i="267"/>
  <c r="CV15" i="290" s="1"/>
  <c r="M345" i="267"/>
  <c r="CV14" i="290" s="1"/>
  <c r="L345" i="267"/>
  <c r="CV13" i="290" s="1"/>
  <c r="K345" i="267"/>
  <c r="CV12" i="290" s="1"/>
  <c r="J345" i="267"/>
  <c r="CV11" i="290" s="1"/>
  <c r="I345" i="267"/>
  <c r="CV10" i="290" s="1"/>
  <c r="H345" i="267"/>
  <c r="CV9" i="290" s="1"/>
  <c r="G345" i="267"/>
  <c r="CV8" i="290" s="1"/>
  <c r="F345" i="267"/>
  <c r="CV7" i="290" s="1"/>
  <c r="E345" i="267"/>
  <c r="CV6" i="290" s="1"/>
  <c r="AH337" i="267"/>
  <c r="AG337" i="267"/>
  <c r="AF337" i="267"/>
  <c r="CU33" i="290" s="1"/>
  <c r="AE337" i="267"/>
  <c r="CU32" i="290" s="1"/>
  <c r="AD337" i="267"/>
  <c r="CU31" i="290" s="1"/>
  <c r="AC337" i="267"/>
  <c r="CU30" i="290" s="1"/>
  <c r="AB337" i="267"/>
  <c r="CU29" i="290" s="1"/>
  <c r="AA337" i="267"/>
  <c r="CU28" i="290" s="1"/>
  <c r="Z337" i="267"/>
  <c r="CU27" i="290" s="1"/>
  <c r="Y337" i="267"/>
  <c r="CU26" i="290" s="1"/>
  <c r="X337" i="267"/>
  <c r="CU25" i="290" s="1"/>
  <c r="W337" i="267"/>
  <c r="CU24" i="290" s="1"/>
  <c r="V337" i="267"/>
  <c r="CU23" i="290" s="1"/>
  <c r="U337" i="267"/>
  <c r="CU22" i="290" s="1"/>
  <c r="T337" i="267"/>
  <c r="CU21" i="290" s="1"/>
  <c r="S337" i="267"/>
  <c r="CU20" i="290" s="1"/>
  <c r="R337" i="267"/>
  <c r="CU19" i="290" s="1"/>
  <c r="Q337" i="267"/>
  <c r="CU18" i="290" s="1"/>
  <c r="P337" i="267"/>
  <c r="CU17" i="290" s="1"/>
  <c r="O337" i="267"/>
  <c r="CU16" i="290" s="1"/>
  <c r="N337" i="267"/>
  <c r="CU15" i="290" s="1"/>
  <c r="M337" i="267"/>
  <c r="CU14" i="290" s="1"/>
  <c r="L337" i="267"/>
  <c r="CU13" i="290" s="1"/>
  <c r="K337" i="267"/>
  <c r="CU12" i="290" s="1"/>
  <c r="J337" i="267"/>
  <c r="CU11" i="290" s="1"/>
  <c r="I337" i="267"/>
  <c r="CU10" i="290" s="1"/>
  <c r="H337" i="267"/>
  <c r="CU9" i="290" s="1"/>
  <c r="G337" i="267"/>
  <c r="CU8" i="290" s="1"/>
  <c r="F337" i="267"/>
  <c r="CU7" i="290" s="1"/>
  <c r="E337" i="267"/>
  <c r="CU6" i="290" s="1"/>
  <c r="AH329" i="267"/>
  <c r="AG329" i="267"/>
  <c r="AF329" i="267"/>
  <c r="CT33" i="290" s="1"/>
  <c r="AE329" i="267"/>
  <c r="CT32" i="290" s="1"/>
  <c r="AD329" i="267"/>
  <c r="CT31" i="290" s="1"/>
  <c r="AC329" i="267"/>
  <c r="CT30" i="290" s="1"/>
  <c r="AB329" i="267"/>
  <c r="CT29" i="290" s="1"/>
  <c r="AA329" i="267"/>
  <c r="CT28" i="290" s="1"/>
  <c r="Z329" i="267"/>
  <c r="CT27" i="290" s="1"/>
  <c r="Y329" i="267"/>
  <c r="CT26" i="290" s="1"/>
  <c r="X329" i="267"/>
  <c r="CT25" i="290" s="1"/>
  <c r="W329" i="267"/>
  <c r="CT24" i="290" s="1"/>
  <c r="V329" i="267"/>
  <c r="CT23" i="290" s="1"/>
  <c r="U329" i="267"/>
  <c r="CT22" i="290" s="1"/>
  <c r="T329" i="267"/>
  <c r="CT21" i="290" s="1"/>
  <c r="S329" i="267"/>
  <c r="CT20" i="290" s="1"/>
  <c r="R329" i="267"/>
  <c r="CT19" i="290" s="1"/>
  <c r="Q329" i="267"/>
  <c r="CT18" i="290" s="1"/>
  <c r="P329" i="267"/>
  <c r="CT17" i="290" s="1"/>
  <c r="O329" i="267"/>
  <c r="CT16" i="290" s="1"/>
  <c r="N329" i="267"/>
  <c r="CT15" i="290" s="1"/>
  <c r="M329" i="267"/>
  <c r="CT14" i="290" s="1"/>
  <c r="L329" i="267"/>
  <c r="CT13" i="290" s="1"/>
  <c r="K329" i="267"/>
  <c r="CT12" i="290" s="1"/>
  <c r="J329" i="267"/>
  <c r="CT11" i="290" s="1"/>
  <c r="I329" i="267"/>
  <c r="CT10" i="290" s="1"/>
  <c r="H329" i="267"/>
  <c r="CT9" i="290" s="1"/>
  <c r="G329" i="267"/>
  <c r="CT8" i="290" s="1"/>
  <c r="F329" i="267"/>
  <c r="CT7" i="290" s="1"/>
  <c r="E329" i="267"/>
  <c r="CT6" i="290" s="1"/>
  <c r="AH305" i="267"/>
  <c r="AG305" i="267"/>
  <c r="AF305" i="267"/>
  <c r="CS33" i="290" s="1"/>
  <c r="AE305" i="267"/>
  <c r="CS32" i="290" s="1"/>
  <c r="AD305" i="267"/>
  <c r="CS31" i="290" s="1"/>
  <c r="AC305" i="267"/>
  <c r="CS30" i="290" s="1"/>
  <c r="AB305" i="267"/>
  <c r="CS29" i="290" s="1"/>
  <c r="AA305" i="267"/>
  <c r="CS28" i="290" s="1"/>
  <c r="Z305" i="267"/>
  <c r="CS27" i="290" s="1"/>
  <c r="Y305" i="267"/>
  <c r="CS26" i="290" s="1"/>
  <c r="X305" i="267"/>
  <c r="CS25" i="290" s="1"/>
  <c r="W305" i="267"/>
  <c r="CS24" i="290" s="1"/>
  <c r="V305" i="267"/>
  <c r="CS23" i="290" s="1"/>
  <c r="U305" i="267"/>
  <c r="CS22" i="290" s="1"/>
  <c r="T305" i="267"/>
  <c r="CS21" i="290" s="1"/>
  <c r="S305" i="267"/>
  <c r="CS20" i="290" s="1"/>
  <c r="R305" i="267"/>
  <c r="CS19" i="290" s="1"/>
  <c r="Q305" i="267"/>
  <c r="CS18" i="290" s="1"/>
  <c r="P305" i="267"/>
  <c r="CS17" i="290" s="1"/>
  <c r="O305" i="267"/>
  <c r="CS16" i="290" s="1"/>
  <c r="N305" i="267"/>
  <c r="CS15" i="290" s="1"/>
  <c r="M305" i="267"/>
  <c r="CS14" i="290" s="1"/>
  <c r="L305" i="267"/>
  <c r="CS13" i="290" s="1"/>
  <c r="K305" i="267"/>
  <c r="CS12" i="290" s="1"/>
  <c r="J305" i="267"/>
  <c r="CS11" i="290" s="1"/>
  <c r="I305" i="267"/>
  <c r="CS10" i="290" s="1"/>
  <c r="H305" i="267"/>
  <c r="CS9" i="290" s="1"/>
  <c r="G305" i="267"/>
  <c r="CS8" i="290" s="1"/>
  <c r="F305" i="267"/>
  <c r="CS7" i="290" s="1"/>
  <c r="E305" i="267"/>
  <c r="CS6" i="290" s="1"/>
  <c r="AH277" i="267"/>
  <c r="AG277" i="267"/>
  <c r="AF277" i="267"/>
  <c r="CR33" i="290" s="1"/>
  <c r="AE277" i="267"/>
  <c r="CR32" i="290" s="1"/>
  <c r="AD277" i="267"/>
  <c r="CR31" i="290" s="1"/>
  <c r="AC277" i="267"/>
  <c r="CR30" i="290" s="1"/>
  <c r="AB277" i="267"/>
  <c r="CR29" i="290" s="1"/>
  <c r="AA277" i="267"/>
  <c r="CR28" i="290" s="1"/>
  <c r="Z277" i="267"/>
  <c r="CR27" i="290" s="1"/>
  <c r="Y277" i="267"/>
  <c r="CR26" i="290" s="1"/>
  <c r="X277" i="267"/>
  <c r="CR25" i="290" s="1"/>
  <c r="W277" i="267"/>
  <c r="CR24" i="290" s="1"/>
  <c r="V277" i="267"/>
  <c r="CR23" i="290" s="1"/>
  <c r="U277" i="267"/>
  <c r="CR22" i="290" s="1"/>
  <c r="T277" i="267"/>
  <c r="CR21" i="290" s="1"/>
  <c r="S277" i="267"/>
  <c r="CR20" i="290" s="1"/>
  <c r="R277" i="267"/>
  <c r="CR19" i="290" s="1"/>
  <c r="Q277" i="267"/>
  <c r="CR18" i="290" s="1"/>
  <c r="P277" i="267"/>
  <c r="CR17" i="290" s="1"/>
  <c r="O277" i="267"/>
  <c r="CR16" i="290" s="1"/>
  <c r="N277" i="267"/>
  <c r="CR15" i="290" s="1"/>
  <c r="M277" i="267"/>
  <c r="CR14" i="290" s="1"/>
  <c r="L277" i="267"/>
  <c r="CR13" i="290" s="1"/>
  <c r="K277" i="267"/>
  <c r="CR12" i="290" s="1"/>
  <c r="J277" i="267"/>
  <c r="CR11" i="290" s="1"/>
  <c r="I277" i="267"/>
  <c r="CR10" i="290" s="1"/>
  <c r="H277" i="267"/>
  <c r="CR9" i="290" s="1"/>
  <c r="G277" i="267"/>
  <c r="CR8" i="290" s="1"/>
  <c r="F277" i="267"/>
  <c r="CR7" i="290" s="1"/>
  <c r="E277" i="267"/>
  <c r="CR6" i="290" s="1"/>
  <c r="AH256" i="267"/>
  <c r="AG256" i="267"/>
  <c r="AF256" i="267"/>
  <c r="CQ33" i="290" s="1"/>
  <c r="AE256" i="267"/>
  <c r="CQ32" i="290" s="1"/>
  <c r="AD256" i="267"/>
  <c r="CQ31" i="290" s="1"/>
  <c r="AC256" i="267"/>
  <c r="CQ30" i="290" s="1"/>
  <c r="AB256" i="267"/>
  <c r="CQ29" i="290" s="1"/>
  <c r="AA256" i="267"/>
  <c r="CQ28" i="290" s="1"/>
  <c r="Z256" i="267"/>
  <c r="CQ27" i="290" s="1"/>
  <c r="Y256" i="267"/>
  <c r="CQ26" i="290" s="1"/>
  <c r="X256" i="267"/>
  <c r="CQ25" i="290" s="1"/>
  <c r="W256" i="267"/>
  <c r="CQ24" i="290" s="1"/>
  <c r="V256" i="267"/>
  <c r="CQ23" i="290" s="1"/>
  <c r="U256" i="267"/>
  <c r="CQ22" i="290" s="1"/>
  <c r="T256" i="267"/>
  <c r="CQ21" i="290" s="1"/>
  <c r="S256" i="267"/>
  <c r="CQ20" i="290" s="1"/>
  <c r="R256" i="267"/>
  <c r="CQ19" i="290" s="1"/>
  <c r="Q256" i="267"/>
  <c r="CQ18" i="290" s="1"/>
  <c r="P256" i="267"/>
  <c r="CQ17" i="290" s="1"/>
  <c r="O256" i="267"/>
  <c r="CQ16" i="290" s="1"/>
  <c r="N256" i="267"/>
  <c r="CQ15" i="290" s="1"/>
  <c r="M256" i="267"/>
  <c r="CQ14" i="290" s="1"/>
  <c r="L256" i="267"/>
  <c r="CQ13" i="290" s="1"/>
  <c r="K256" i="267"/>
  <c r="CQ12" i="290" s="1"/>
  <c r="J256" i="267"/>
  <c r="CQ11" i="290" s="1"/>
  <c r="I256" i="267"/>
  <c r="CQ10" i="290" s="1"/>
  <c r="H256" i="267"/>
  <c r="CQ9" i="290" s="1"/>
  <c r="G256" i="267"/>
  <c r="CQ8" i="290" s="1"/>
  <c r="F256" i="267"/>
  <c r="CQ7" i="290" s="1"/>
  <c r="E256" i="267"/>
  <c r="CQ6" i="290" s="1"/>
  <c r="AH228" i="267"/>
  <c r="AG228" i="267"/>
  <c r="AF228" i="267"/>
  <c r="CP33" i="290" s="1"/>
  <c r="AE228" i="267"/>
  <c r="CP32" i="290" s="1"/>
  <c r="AD228" i="267"/>
  <c r="CP31" i="290" s="1"/>
  <c r="AC228" i="267"/>
  <c r="CP30" i="290" s="1"/>
  <c r="AB228" i="267"/>
  <c r="CP29" i="290" s="1"/>
  <c r="AA228" i="267"/>
  <c r="CP28" i="290" s="1"/>
  <c r="Z228" i="267"/>
  <c r="CP27" i="290" s="1"/>
  <c r="Y228" i="267"/>
  <c r="CP26" i="290" s="1"/>
  <c r="X228" i="267"/>
  <c r="CP25" i="290" s="1"/>
  <c r="W228" i="267"/>
  <c r="CP24" i="290" s="1"/>
  <c r="V228" i="267"/>
  <c r="CP23" i="290" s="1"/>
  <c r="U228" i="267"/>
  <c r="CP22" i="290" s="1"/>
  <c r="T228" i="267"/>
  <c r="CP21" i="290" s="1"/>
  <c r="S228" i="267"/>
  <c r="CP20" i="290" s="1"/>
  <c r="R228" i="267"/>
  <c r="CP19" i="290" s="1"/>
  <c r="Q228" i="267"/>
  <c r="CP18" i="290" s="1"/>
  <c r="P228" i="267"/>
  <c r="CP17" i="290" s="1"/>
  <c r="O228" i="267"/>
  <c r="CP16" i="290" s="1"/>
  <c r="N228" i="267"/>
  <c r="CP15" i="290" s="1"/>
  <c r="M228" i="267"/>
  <c r="CP14" i="290" s="1"/>
  <c r="L228" i="267"/>
  <c r="CP13" i="290" s="1"/>
  <c r="K228" i="267"/>
  <c r="CP12" i="290" s="1"/>
  <c r="J228" i="267"/>
  <c r="CP11" i="290" s="1"/>
  <c r="I228" i="267"/>
  <c r="CP10" i="290" s="1"/>
  <c r="H228" i="267"/>
  <c r="CP9" i="290" s="1"/>
  <c r="G228" i="267"/>
  <c r="CP8" i="290" s="1"/>
  <c r="F228" i="267"/>
  <c r="CP7" i="290" s="1"/>
  <c r="E228" i="267"/>
  <c r="CP6" i="290" s="1"/>
  <c r="AH192" i="267"/>
  <c r="AG192" i="267"/>
  <c r="AF192" i="267"/>
  <c r="CO33" i="290" s="1"/>
  <c r="AE192" i="267"/>
  <c r="CO32" i="290" s="1"/>
  <c r="AD192" i="267"/>
  <c r="CO31" i="290" s="1"/>
  <c r="AC192" i="267"/>
  <c r="CO30" i="290" s="1"/>
  <c r="AB192" i="267"/>
  <c r="CO29" i="290" s="1"/>
  <c r="AA192" i="267"/>
  <c r="CO28" i="290" s="1"/>
  <c r="Z192" i="267"/>
  <c r="CO27" i="290" s="1"/>
  <c r="Y192" i="267"/>
  <c r="CO26" i="290" s="1"/>
  <c r="X192" i="267"/>
  <c r="CO25" i="290" s="1"/>
  <c r="W192" i="267"/>
  <c r="CO24" i="290" s="1"/>
  <c r="V192" i="267"/>
  <c r="CO23" i="290" s="1"/>
  <c r="U192" i="267"/>
  <c r="CO22" i="290" s="1"/>
  <c r="T192" i="267"/>
  <c r="CO21" i="290" s="1"/>
  <c r="S192" i="267"/>
  <c r="CO20" i="290" s="1"/>
  <c r="R192" i="267"/>
  <c r="CO19" i="290" s="1"/>
  <c r="Q192" i="267"/>
  <c r="CO18" i="290" s="1"/>
  <c r="P192" i="267"/>
  <c r="CO17" i="290" s="1"/>
  <c r="O192" i="267"/>
  <c r="CO16" i="290" s="1"/>
  <c r="N192" i="267"/>
  <c r="CO15" i="290" s="1"/>
  <c r="M192" i="267"/>
  <c r="CO14" i="290" s="1"/>
  <c r="L192" i="267"/>
  <c r="CO13" i="290" s="1"/>
  <c r="K192" i="267"/>
  <c r="CO12" i="290" s="1"/>
  <c r="J192" i="267"/>
  <c r="CO11" i="290" s="1"/>
  <c r="I192" i="267"/>
  <c r="CO10" i="290" s="1"/>
  <c r="H192" i="267"/>
  <c r="CO9" i="290" s="1"/>
  <c r="G192" i="267"/>
  <c r="CO8" i="290" s="1"/>
  <c r="F192" i="267"/>
  <c r="CO7" i="290" s="1"/>
  <c r="E192" i="267"/>
  <c r="CO6" i="290" s="1"/>
  <c r="AH161" i="267"/>
  <c r="AG161" i="267"/>
  <c r="AF161" i="267"/>
  <c r="CN33" i="290" s="1"/>
  <c r="AE161" i="267"/>
  <c r="CN32" i="290" s="1"/>
  <c r="AD161" i="267"/>
  <c r="CN31" i="290" s="1"/>
  <c r="AC161" i="267"/>
  <c r="CN30" i="290" s="1"/>
  <c r="AB161" i="267"/>
  <c r="CN29" i="290" s="1"/>
  <c r="AA161" i="267"/>
  <c r="CN28" i="290" s="1"/>
  <c r="Z161" i="267"/>
  <c r="CN27" i="290" s="1"/>
  <c r="Y161" i="267"/>
  <c r="CN26" i="290" s="1"/>
  <c r="X161" i="267"/>
  <c r="CN25" i="290" s="1"/>
  <c r="W161" i="267"/>
  <c r="CN24" i="290" s="1"/>
  <c r="V161" i="267"/>
  <c r="CN23" i="290" s="1"/>
  <c r="U161" i="267"/>
  <c r="CN22" i="290" s="1"/>
  <c r="T161" i="267"/>
  <c r="CN21" i="290" s="1"/>
  <c r="S161" i="267"/>
  <c r="CN20" i="290" s="1"/>
  <c r="R161" i="267"/>
  <c r="CN19" i="290" s="1"/>
  <c r="Q161" i="267"/>
  <c r="CN18" i="290" s="1"/>
  <c r="P161" i="267"/>
  <c r="CN17" i="290" s="1"/>
  <c r="O161" i="267"/>
  <c r="CN16" i="290" s="1"/>
  <c r="N161" i="267"/>
  <c r="CN15" i="290" s="1"/>
  <c r="M161" i="267"/>
  <c r="CN14" i="290" s="1"/>
  <c r="L161" i="267"/>
  <c r="CN13" i="290" s="1"/>
  <c r="K161" i="267"/>
  <c r="CN12" i="290" s="1"/>
  <c r="J161" i="267"/>
  <c r="CN11" i="290" s="1"/>
  <c r="I161" i="267"/>
  <c r="CN10" i="290" s="1"/>
  <c r="H161" i="267"/>
  <c r="CN9" i="290" s="1"/>
  <c r="G161" i="267"/>
  <c r="CN8" i="290" s="1"/>
  <c r="F161" i="267"/>
  <c r="CN7" i="290" s="1"/>
  <c r="E161" i="267"/>
  <c r="CN6" i="290" s="1"/>
  <c r="AH133" i="267"/>
  <c r="AG133" i="267"/>
  <c r="AF133" i="267"/>
  <c r="CM33" i="290" s="1"/>
  <c r="AE133" i="267"/>
  <c r="CM32" i="290" s="1"/>
  <c r="AD133" i="267"/>
  <c r="CM31" i="290" s="1"/>
  <c r="AC133" i="267"/>
  <c r="CM30" i="290" s="1"/>
  <c r="AB133" i="267"/>
  <c r="CM29" i="290" s="1"/>
  <c r="AA133" i="267"/>
  <c r="CM28" i="290" s="1"/>
  <c r="Z133" i="267"/>
  <c r="CM27" i="290" s="1"/>
  <c r="Y133" i="267"/>
  <c r="CM26" i="290" s="1"/>
  <c r="X133" i="267"/>
  <c r="CM25" i="290" s="1"/>
  <c r="W133" i="267"/>
  <c r="CM24" i="290" s="1"/>
  <c r="V133" i="267"/>
  <c r="CM23" i="290" s="1"/>
  <c r="U133" i="267"/>
  <c r="CM22" i="290" s="1"/>
  <c r="T133" i="267"/>
  <c r="CM21" i="290" s="1"/>
  <c r="S133" i="267"/>
  <c r="CM20" i="290" s="1"/>
  <c r="R133" i="267"/>
  <c r="CM19" i="290" s="1"/>
  <c r="Q133" i="267"/>
  <c r="CM18" i="290" s="1"/>
  <c r="P133" i="267"/>
  <c r="CM17" i="290" s="1"/>
  <c r="O133" i="267"/>
  <c r="CM16" i="290" s="1"/>
  <c r="N133" i="267"/>
  <c r="CM15" i="290" s="1"/>
  <c r="M133" i="267"/>
  <c r="CM14" i="290" s="1"/>
  <c r="L133" i="267"/>
  <c r="CM13" i="290" s="1"/>
  <c r="K133" i="267"/>
  <c r="CM12" i="290" s="1"/>
  <c r="J133" i="267"/>
  <c r="CM11" i="290" s="1"/>
  <c r="I133" i="267"/>
  <c r="CM10" i="290" s="1"/>
  <c r="H133" i="267"/>
  <c r="CM9" i="290" s="1"/>
  <c r="G133" i="267"/>
  <c r="CM8" i="290" s="1"/>
  <c r="F133" i="267"/>
  <c r="CM7" i="290" s="1"/>
  <c r="E133" i="267"/>
  <c r="CM6" i="290" s="1"/>
  <c r="AH113" i="267"/>
  <c r="AG113" i="267"/>
  <c r="AF113" i="267"/>
  <c r="CL33" i="290" s="1"/>
  <c r="AE113" i="267"/>
  <c r="CL32" i="290" s="1"/>
  <c r="AD113" i="267"/>
  <c r="CL31" i="290" s="1"/>
  <c r="AC113" i="267"/>
  <c r="CL30" i="290" s="1"/>
  <c r="AB113" i="267"/>
  <c r="CL29" i="290" s="1"/>
  <c r="AA113" i="267"/>
  <c r="CL28" i="290" s="1"/>
  <c r="Z113" i="267"/>
  <c r="CL27" i="290" s="1"/>
  <c r="Y113" i="267"/>
  <c r="CL26" i="290" s="1"/>
  <c r="X113" i="267"/>
  <c r="CL25" i="290" s="1"/>
  <c r="W113" i="267"/>
  <c r="CL24" i="290" s="1"/>
  <c r="V113" i="267"/>
  <c r="CL23" i="290" s="1"/>
  <c r="U113" i="267"/>
  <c r="CL22" i="290" s="1"/>
  <c r="T113" i="267"/>
  <c r="CL21" i="290" s="1"/>
  <c r="S113" i="267"/>
  <c r="CL20" i="290" s="1"/>
  <c r="R113" i="267"/>
  <c r="CL19" i="290" s="1"/>
  <c r="Q113" i="267"/>
  <c r="CL18" i="290" s="1"/>
  <c r="P113" i="267"/>
  <c r="CL17" i="290" s="1"/>
  <c r="O113" i="267"/>
  <c r="CL16" i="290" s="1"/>
  <c r="N113" i="267"/>
  <c r="CL15" i="290" s="1"/>
  <c r="M113" i="267"/>
  <c r="CL14" i="290" s="1"/>
  <c r="L113" i="267"/>
  <c r="CL13" i="290" s="1"/>
  <c r="K113" i="267"/>
  <c r="CL12" i="290" s="1"/>
  <c r="J113" i="267"/>
  <c r="CL11" i="290" s="1"/>
  <c r="I113" i="267"/>
  <c r="CL10" i="290" s="1"/>
  <c r="H113" i="267"/>
  <c r="CL9" i="290" s="1"/>
  <c r="G113" i="267"/>
  <c r="CL8" i="290" s="1"/>
  <c r="F113" i="267"/>
  <c r="CL7" i="290" s="1"/>
  <c r="E113" i="267"/>
  <c r="CL6" i="290" s="1"/>
  <c r="O65" i="267"/>
  <c r="CK16" i="290" s="1"/>
  <c r="N65" i="267"/>
  <c r="CK15" i="290" s="1"/>
  <c r="M65" i="267"/>
  <c r="CK14" i="290" s="1"/>
  <c r="L65" i="267"/>
  <c r="CK13" i="290" s="1"/>
  <c r="K65" i="267"/>
  <c r="CK12" i="290" s="1"/>
  <c r="J65" i="267"/>
  <c r="CK11" i="290" s="1"/>
  <c r="I65" i="267"/>
  <c r="CK10" i="290" s="1"/>
  <c r="H65" i="267"/>
  <c r="CK9" i="290" s="1"/>
  <c r="G65" i="267"/>
  <c r="CK8" i="290" s="1"/>
  <c r="F65" i="267"/>
  <c r="CK7" i="290" s="1"/>
  <c r="AH4" i="267"/>
  <c r="AG4" i="267"/>
  <c r="AF4" i="267"/>
  <c r="AE4" i="267"/>
  <c r="AD4" i="267"/>
  <c r="AC4" i="267"/>
  <c r="AB4" i="267"/>
  <c r="AA4" i="267"/>
  <c r="Z4" i="267"/>
  <c r="Y4" i="267"/>
  <c r="X4" i="267"/>
  <c r="W4" i="267"/>
  <c r="V4" i="267"/>
  <c r="U4" i="267"/>
  <c r="T4" i="267"/>
  <c r="S4" i="267"/>
  <c r="R4" i="267"/>
  <c r="Q4" i="267"/>
  <c r="P4" i="267"/>
  <c r="O4" i="267"/>
  <c r="N4" i="267"/>
  <c r="M4" i="267"/>
  <c r="L4" i="267"/>
  <c r="K4" i="267"/>
  <c r="J4" i="267"/>
  <c r="I4" i="267"/>
  <c r="H4" i="267"/>
  <c r="G4" i="267"/>
  <c r="F4" i="267"/>
  <c r="E4" i="267"/>
  <c r="AH5" i="266"/>
  <c r="AG5" i="266"/>
  <c r="AF5" i="266"/>
  <c r="AE5" i="266"/>
  <c r="AD5" i="266"/>
  <c r="AC5" i="266"/>
  <c r="AB5" i="266"/>
  <c r="AA5" i="266"/>
  <c r="Z5" i="266"/>
  <c r="Y5" i="266"/>
  <c r="X5" i="266"/>
  <c r="W5" i="266"/>
  <c r="V5" i="266"/>
  <c r="U5" i="266"/>
  <c r="T5" i="266"/>
  <c r="S5" i="266"/>
  <c r="R5" i="266"/>
  <c r="Q5" i="266"/>
  <c r="P5" i="266"/>
  <c r="O5" i="266"/>
  <c r="N5" i="266"/>
  <c r="M5" i="266"/>
  <c r="L5" i="266"/>
  <c r="K5" i="266"/>
  <c r="J5" i="266"/>
  <c r="I5" i="266"/>
  <c r="H5" i="266"/>
  <c r="G5" i="266"/>
  <c r="F5" i="266"/>
  <c r="E5" i="266"/>
  <c r="AH5" i="265"/>
  <c r="AG5" i="265"/>
  <c r="AF5" i="265"/>
  <c r="AE5" i="265"/>
  <c r="AD5" i="265"/>
  <c r="AC5" i="265"/>
  <c r="AH5" i="264"/>
  <c r="AG5" i="264"/>
  <c r="AF5" i="264"/>
  <c r="AE5" i="264"/>
  <c r="AD5" i="264"/>
  <c r="AC5" i="264"/>
  <c r="AB5" i="264"/>
  <c r="AA5" i="264"/>
  <c r="Z5" i="264"/>
  <c r="Y5" i="264"/>
  <c r="X5" i="264"/>
  <c r="W5" i="264"/>
  <c r="V5" i="264"/>
  <c r="U5" i="264"/>
  <c r="T5" i="264"/>
  <c r="S5" i="264"/>
  <c r="R5" i="264"/>
  <c r="Q5" i="264"/>
  <c r="P5" i="264"/>
  <c r="O5" i="264"/>
  <c r="N5" i="264"/>
  <c r="M5" i="264"/>
  <c r="L5" i="264"/>
  <c r="K5" i="264"/>
  <c r="J5" i="264"/>
  <c r="I5" i="264"/>
  <c r="H5" i="264"/>
  <c r="G5" i="264"/>
  <c r="F5" i="264"/>
  <c r="E5" i="264"/>
  <c r="AH5" i="263"/>
  <c r="AG5" i="263"/>
  <c r="AF5" i="263"/>
  <c r="AE5" i="263"/>
  <c r="AD5" i="263"/>
  <c r="AC5" i="263"/>
  <c r="AB5" i="263"/>
  <c r="AA5" i="263"/>
  <c r="Z5" i="263"/>
  <c r="Y5" i="263"/>
  <c r="X5" i="263"/>
  <c r="W5" i="263"/>
  <c r="V5" i="263"/>
  <c r="U5" i="263"/>
  <c r="T5" i="263"/>
  <c r="S5" i="263"/>
  <c r="R5" i="263"/>
  <c r="Q5" i="263"/>
  <c r="P5" i="263"/>
  <c r="O5" i="263"/>
  <c r="N5" i="263"/>
  <c r="M5" i="263"/>
  <c r="L5" i="263"/>
  <c r="K5" i="263"/>
  <c r="J5" i="263"/>
  <c r="I5" i="263"/>
  <c r="H5" i="263"/>
  <c r="G5" i="263"/>
  <c r="F5" i="263"/>
  <c r="E5" i="263"/>
  <c r="C38" i="262"/>
  <c r="B38" i="262"/>
  <c r="C37" i="262"/>
  <c r="B37" i="262"/>
  <c r="C36" i="262"/>
  <c r="B36" i="262"/>
  <c r="C35" i="262"/>
  <c r="B35" i="262"/>
  <c r="C34" i="262"/>
  <c r="B34" i="262"/>
  <c r="C33" i="262"/>
  <c r="B33" i="262"/>
  <c r="C32" i="262"/>
  <c r="B32" i="262"/>
  <c r="C31" i="262"/>
  <c r="B31" i="262"/>
  <c r="C30" i="262"/>
  <c r="B30" i="262"/>
  <c r="C29" i="262"/>
  <c r="B29" i="262"/>
  <c r="C28" i="262"/>
  <c r="B28" i="262"/>
  <c r="C27" i="262"/>
  <c r="B27" i="262"/>
  <c r="C26" i="262"/>
  <c r="B26" i="262"/>
  <c r="C25" i="262"/>
  <c r="B25" i="262"/>
  <c r="C24" i="262"/>
  <c r="B24" i="262"/>
  <c r="C23" i="262"/>
  <c r="B23" i="262"/>
  <c r="C22" i="262"/>
  <c r="B22" i="262"/>
  <c r="C21" i="262"/>
  <c r="B21" i="262"/>
  <c r="C20" i="262"/>
  <c r="B20" i="262"/>
  <c r="C19" i="262"/>
  <c r="B19" i="262"/>
  <c r="C18" i="262"/>
  <c r="B18" i="262"/>
  <c r="C17" i="262"/>
  <c r="B17" i="262"/>
  <c r="C16" i="262"/>
  <c r="B16" i="262"/>
  <c r="C15" i="262"/>
  <c r="B15" i="262"/>
  <c r="C14" i="262"/>
  <c r="B14" i="262"/>
  <c r="C13" i="262"/>
  <c r="B13" i="262"/>
  <c r="C12" i="262"/>
  <c r="B12" i="262"/>
  <c r="C11" i="262"/>
  <c r="B11" i="262"/>
  <c r="C10" i="262"/>
  <c r="B10" i="262"/>
  <c r="C9" i="262"/>
  <c r="B9" i="262"/>
  <c r="D15" i="262" l="1"/>
  <c r="H15" i="262" s="1"/>
  <c r="K118" i="263"/>
  <c r="D31" i="262"/>
  <c r="H31" i="262" s="1"/>
  <c r="AA118" i="263"/>
  <c r="D18" i="262"/>
  <c r="H18" i="262" s="1"/>
  <c r="N118" i="263"/>
  <c r="D17" i="262"/>
  <c r="H17" i="262" s="1"/>
  <c r="M118" i="263"/>
  <c r="D20" i="262"/>
  <c r="H20" i="262" s="1"/>
  <c r="P118" i="263"/>
  <c r="AB118" i="263"/>
  <c r="AE118" i="263"/>
  <c r="D11" i="262"/>
  <c r="H11" i="262" s="1"/>
  <c r="E15" i="281" s="1"/>
  <c r="G118" i="263"/>
  <c r="D27" i="262"/>
  <c r="H27" i="262" s="1"/>
  <c r="W118" i="263"/>
  <c r="D14" i="262"/>
  <c r="H14" i="262" s="1"/>
  <c r="J118" i="263"/>
  <c r="D30" i="262"/>
  <c r="H30" i="262" s="1"/>
  <c r="Z118" i="263"/>
  <c r="D13" i="262"/>
  <c r="H13" i="262" s="1"/>
  <c r="I118" i="263"/>
  <c r="D29" i="262"/>
  <c r="H29" i="262" s="1"/>
  <c r="Y118" i="263"/>
  <c r="D16" i="262"/>
  <c r="H16" i="262" s="1"/>
  <c r="E20" i="281" s="1"/>
  <c r="L118" i="263"/>
  <c r="AD118" i="263"/>
  <c r="D23" i="262"/>
  <c r="H23" i="262" s="1"/>
  <c r="S118" i="263"/>
  <c r="D10" i="262"/>
  <c r="H10" i="262" s="1"/>
  <c r="F118" i="263"/>
  <c r="D26" i="262"/>
  <c r="H26" i="262" s="1"/>
  <c r="V118" i="263"/>
  <c r="D25" i="262"/>
  <c r="H25" i="262" s="1"/>
  <c r="U118" i="263"/>
  <c r="D12" i="262"/>
  <c r="H12" i="262" s="1"/>
  <c r="H118" i="263"/>
  <c r="D28" i="262"/>
  <c r="H28" i="262" s="1"/>
  <c r="X118" i="263"/>
  <c r="AC118" i="263"/>
  <c r="AF118" i="263"/>
  <c r="AH118" i="263"/>
  <c r="D19" i="262"/>
  <c r="H19" i="262" s="1"/>
  <c r="E23" i="281" s="1"/>
  <c r="O118" i="263"/>
  <c r="D22" i="262"/>
  <c r="H22" i="262" s="1"/>
  <c r="E26" i="281" s="1"/>
  <c r="R118" i="263"/>
  <c r="D21" i="262"/>
  <c r="H21" i="262" s="1"/>
  <c r="Q118" i="263"/>
  <c r="D9" i="262"/>
  <c r="H9" i="262" s="1"/>
  <c r="E13" i="281" s="1"/>
  <c r="E118" i="263"/>
  <c r="D24" i="262"/>
  <c r="H24" i="262" s="1"/>
  <c r="T118" i="263"/>
  <c r="AG118" i="263"/>
  <c r="F302" i="284"/>
  <c r="F301" i="284"/>
  <c r="F300" i="284"/>
  <c r="F299" i="284"/>
  <c r="F298" i="284"/>
  <c r="F297" i="284"/>
  <c r="F296" i="284"/>
  <c r="F295" i="284"/>
  <c r="F294" i="284"/>
  <c r="F293" i="284"/>
  <c r="F292" i="284"/>
  <c r="E248" i="284"/>
  <c r="D13" i="284"/>
  <c r="G291" i="284"/>
  <c r="G13" i="284"/>
  <c r="G290" i="284"/>
  <c r="G248" i="284"/>
  <c r="E13" i="284"/>
  <c r="F13" i="284"/>
  <c r="E302" i="284"/>
  <c r="E301" i="284"/>
  <c r="E300" i="284"/>
  <c r="E299" i="284"/>
  <c r="E298" i="284"/>
  <c r="E297" i="284"/>
  <c r="E296" i="284"/>
  <c r="E295" i="284"/>
  <c r="E294" i="284"/>
  <c r="E293" i="284"/>
  <c r="E292" i="284"/>
  <c r="E291" i="284"/>
  <c r="E290" i="284"/>
  <c r="G284" i="284"/>
  <c r="D284" i="284"/>
  <c r="G283" i="284"/>
  <c r="D283" i="284"/>
  <c r="G282" i="284"/>
  <c r="D282" i="284"/>
  <c r="G281" i="284"/>
  <c r="D281" i="284"/>
  <c r="G280" i="284"/>
  <c r="D280" i="284"/>
  <c r="G279" i="284"/>
  <c r="D279" i="284"/>
  <c r="G278" i="284"/>
  <c r="D278" i="284"/>
  <c r="G277" i="284"/>
  <c r="D277" i="284"/>
  <c r="G276" i="284"/>
  <c r="D276" i="284"/>
  <c r="G275" i="284"/>
  <c r="D275" i="284"/>
  <c r="G274" i="284"/>
  <c r="D274" i="284"/>
  <c r="G273" i="284"/>
  <c r="D273" i="284"/>
  <c r="G272" i="284"/>
  <c r="D272" i="284"/>
  <c r="G266" i="284"/>
  <c r="D266" i="284"/>
  <c r="G265" i="284"/>
  <c r="D265" i="284"/>
  <c r="G264" i="284"/>
  <c r="D264" i="284"/>
  <c r="G263" i="284"/>
  <c r="D263" i="284"/>
  <c r="G262" i="284"/>
  <c r="D262" i="284"/>
  <c r="G261" i="284"/>
  <c r="D261" i="284"/>
  <c r="G260" i="284"/>
  <c r="D260" i="284"/>
  <c r="G259" i="284"/>
  <c r="D259" i="284"/>
  <c r="E258" i="284"/>
  <c r="F258" i="284"/>
  <c r="E247" i="284"/>
  <c r="F247" i="284"/>
  <c r="E246" i="284"/>
  <c r="F246" i="284"/>
  <c r="E245" i="284"/>
  <c r="F245" i="284"/>
  <c r="E244" i="284"/>
  <c r="F244" i="284"/>
  <c r="E243" i="284"/>
  <c r="F243" i="284"/>
  <c r="E284" i="284"/>
  <c r="F284" i="284"/>
  <c r="E283" i="284"/>
  <c r="F283" i="284"/>
  <c r="E282" i="284"/>
  <c r="F282" i="284"/>
  <c r="E281" i="284"/>
  <c r="F281" i="284"/>
  <c r="E280" i="284"/>
  <c r="F280" i="284"/>
  <c r="E279" i="284"/>
  <c r="F279" i="284"/>
  <c r="E278" i="284"/>
  <c r="F278" i="284"/>
  <c r="E277" i="284"/>
  <c r="F277" i="284"/>
  <c r="E276" i="284"/>
  <c r="F276" i="284"/>
  <c r="E275" i="284"/>
  <c r="F275" i="284"/>
  <c r="E274" i="284"/>
  <c r="F274" i="284"/>
  <c r="E273" i="284"/>
  <c r="F273" i="284"/>
  <c r="E272" i="284"/>
  <c r="F272" i="284"/>
  <c r="E266" i="284"/>
  <c r="F266" i="284"/>
  <c r="E265" i="284"/>
  <c r="F265" i="284"/>
  <c r="E264" i="284"/>
  <c r="F264" i="284"/>
  <c r="E263" i="284"/>
  <c r="F263" i="284"/>
  <c r="E262" i="284"/>
  <c r="F262" i="284"/>
  <c r="E261" i="284"/>
  <c r="F261" i="284"/>
  <c r="E260" i="284"/>
  <c r="F260" i="284"/>
  <c r="E259" i="284"/>
  <c r="F259" i="284"/>
  <c r="G258" i="284"/>
  <c r="D258" i="284"/>
  <c r="G247" i="284"/>
  <c r="D247" i="284"/>
  <c r="E242" i="284"/>
  <c r="F242" i="284"/>
  <c r="E241" i="284"/>
  <c r="F241" i="284"/>
  <c r="E240" i="284"/>
  <c r="F240" i="284"/>
  <c r="E239" i="284"/>
  <c r="F239" i="284"/>
  <c r="E238" i="284"/>
  <c r="F238" i="284"/>
  <c r="E237" i="284"/>
  <c r="F237" i="284"/>
  <c r="E236" i="284"/>
  <c r="F236" i="284"/>
  <c r="D209" i="284"/>
  <c r="E209" i="284"/>
  <c r="D208" i="284"/>
  <c r="E208" i="284"/>
  <c r="D207" i="284"/>
  <c r="E207" i="284"/>
  <c r="D206" i="284"/>
  <c r="E206" i="284"/>
  <c r="D205" i="284"/>
  <c r="E205" i="284"/>
  <c r="D204" i="284"/>
  <c r="E204" i="284"/>
  <c r="D203" i="284"/>
  <c r="E203" i="284"/>
  <c r="D202" i="284"/>
  <c r="E202" i="284"/>
  <c r="D201" i="284"/>
  <c r="E201" i="284"/>
  <c r="D200" i="284"/>
  <c r="E200" i="284"/>
  <c r="D199" i="284"/>
  <c r="E199" i="284"/>
  <c r="D198" i="284"/>
  <c r="E198" i="284"/>
  <c r="D197" i="284"/>
  <c r="E197" i="284"/>
  <c r="D191" i="284"/>
  <c r="E191" i="284"/>
  <c r="D190" i="284"/>
  <c r="E190" i="284"/>
  <c r="D189" i="284"/>
  <c r="E189" i="284"/>
  <c r="D188" i="284"/>
  <c r="E188" i="284"/>
  <c r="D187" i="284"/>
  <c r="E187" i="284"/>
  <c r="D186" i="284"/>
  <c r="E186" i="284"/>
  <c r="D185" i="284"/>
  <c r="E185" i="284"/>
  <c r="D184" i="284"/>
  <c r="E184" i="284"/>
  <c r="D183" i="284"/>
  <c r="E183" i="284"/>
  <c r="D182" i="284"/>
  <c r="E182" i="284"/>
  <c r="D181" i="284"/>
  <c r="E181" i="284"/>
  <c r="D180" i="284"/>
  <c r="E180" i="284"/>
  <c r="F179" i="284"/>
  <c r="G179" i="284"/>
  <c r="F173" i="284"/>
  <c r="G173" i="284"/>
  <c r="F172" i="284"/>
  <c r="G172" i="284"/>
  <c r="F171" i="284"/>
  <c r="G171" i="284"/>
  <c r="F170" i="284"/>
  <c r="G170" i="284"/>
  <c r="F169" i="284"/>
  <c r="G169" i="284"/>
  <c r="F168" i="284"/>
  <c r="G168" i="284"/>
  <c r="F167" i="284"/>
  <c r="G167" i="284"/>
  <c r="F166" i="284"/>
  <c r="G166" i="284"/>
  <c r="F165" i="284"/>
  <c r="G165" i="284"/>
  <c r="F164" i="284"/>
  <c r="G164" i="284"/>
  <c r="F163" i="284"/>
  <c r="G163" i="284"/>
  <c r="F162" i="284"/>
  <c r="G162" i="284"/>
  <c r="F161" i="284"/>
  <c r="G161" i="284"/>
  <c r="F155" i="284"/>
  <c r="G155" i="284"/>
  <c r="F154" i="284"/>
  <c r="G154" i="284"/>
  <c r="F153" i="284"/>
  <c r="G153" i="284"/>
  <c r="F152" i="284"/>
  <c r="G152" i="284"/>
  <c r="F151" i="284"/>
  <c r="G151" i="284"/>
  <c r="F150" i="284"/>
  <c r="G150" i="284"/>
  <c r="F149" i="284"/>
  <c r="G149" i="284"/>
  <c r="F148" i="284"/>
  <c r="G148" i="284"/>
  <c r="F147" i="284"/>
  <c r="G147" i="284"/>
  <c r="F146" i="284"/>
  <c r="G146" i="284"/>
  <c r="F145" i="284"/>
  <c r="G145" i="284"/>
  <c r="D144" i="284"/>
  <c r="E144" i="284"/>
  <c r="F143" i="284"/>
  <c r="G143" i="284"/>
  <c r="F137" i="284"/>
  <c r="G137" i="284"/>
  <c r="F136" i="284"/>
  <c r="G136" i="284"/>
  <c r="F135" i="284"/>
  <c r="G135" i="284"/>
  <c r="F134" i="284"/>
  <c r="G134" i="284"/>
  <c r="F133" i="284"/>
  <c r="G133" i="284"/>
  <c r="F132" i="284"/>
  <c r="G132" i="284"/>
  <c r="F131" i="284"/>
  <c r="G131" i="284"/>
  <c r="F130" i="284"/>
  <c r="G130" i="284"/>
  <c r="F129" i="284"/>
  <c r="G129" i="284"/>
  <c r="F128" i="284"/>
  <c r="G128" i="284"/>
  <c r="F127" i="284"/>
  <c r="G127" i="284"/>
  <c r="D126" i="284"/>
  <c r="E126" i="284"/>
  <c r="D125" i="284"/>
  <c r="E125" i="284"/>
  <c r="D97" i="284"/>
  <c r="E97" i="284"/>
  <c r="D96" i="284"/>
  <c r="E96" i="284"/>
  <c r="D95" i="284"/>
  <c r="E95" i="284"/>
  <c r="D94" i="284"/>
  <c r="E94" i="284"/>
  <c r="D93" i="284"/>
  <c r="E93" i="284"/>
  <c r="D92" i="284"/>
  <c r="E92" i="284"/>
  <c r="D91" i="284"/>
  <c r="E91" i="284"/>
  <c r="D90" i="284"/>
  <c r="E90" i="284"/>
  <c r="D89" i="284"/>
  <c r="E89" i="284"/>
  <c r="D88" i="284"/>
  <c r="E88" i="284"/>
  <c r="D87" i="284"/>
  <c r="E87" i="284"/>
  <c r="D86" i="284"/>
  <c r="E86" i="284"/>
  <c r="D85" i="284"/>
  <c r="E85" i="284"/>
  <c r="D79" i="284"/>
  <c r="E79" i="284"/>
  <c r="D78" i="284"/>
  <c r="E78" i="284"/>
  <c r="D77" i="284"/>
  <c r="E77" i="284"/>
  <c r="D76" i="284"/>
  <c r="E76" i="284"/>
  <c r="D74" i="284"/>
  <c r="E74" i="284"/>
  <c r="D73" i="284"/>
  <c r="E73" i="284"/>
  <c r="D72" i="284"/>
  <c r="E72" i="284"/>
  <c r="D71" i="284"/>
  <c r="E71" i="284"/>
  <c r="D70" i="284"/>
  <c r="E70" i="284"/>
  <c r="D69" i="284"/>
  <c r="E69" i="284"/>
  <c r="D68" i="284"/>
  <c r="E68" i="284"/>
  <c r="F67" i="284"/>
  <c r="G67" i="284"/>
  <c r="F61" i="284"/>
  <c r="G61" i="284"/>
  <c r="F60" i="284"/>
  <c r="G60" i="284"/>
  <c r="F59" i="284"/>
  <c r="G59" i="284"/>
  <c r="F58" i="284"/>
  <c r="G58" i="284"/>
  <c r="F57" i="284"/>
  <c r="G57" i="284"/>
  <c r="F56" i="284"/>
  <c r="G56" i="284"/>
  <c r="F55" i="284"/>
  <c r="G55" i="284"/>
  <c r="F54" i="284"/>
  <c r="G54" i="284"/>
  <c r="F53" i="284"/>
  <c r="G53" i="284"/>
  <c r="F52" i="284"/>
  <c r="G52" i="284"/>
  <c r="F51" i="284"/>
  <c r="G51" i="284"/>
  <c r="D50" i="284"/>
  <c r="E50" i="284"/>
  <c r="D49" i="284"/>
  <c r="E49" i="284"/>
  <c r="D43" i="284"/>
  <c r="E43" i="284"/>
  <c r="D42" i="284"/>
  <c r="E42" i="284"/>
  <c r="D41" i="284"/>
  <c r="E41" i="284"/>
  <c r="D40" i="284"/>
  <c r="E40" i="284"/>
  <c r="D39" i="284"/>
  <c r="E39" i="284"/>
  <c r="D38" i="284"/>
  <c r="E38" i="284"/>
  <c r="D37" i="284"/>
  <c r="E37" i="284"/>
  <c r="D36" i="284"/>
  <c r="E36" i="284"/>
  <c r="D35" i="284"/>
  <c r="E35" i="284"/>
  <c r="D34" i="284"/>
  <c r="E34" i="284"/>
  <c r="D33" i="284"/>
  <c r="E33" i="284"/>
  <c r="D32" i="284"/>
  <c r="E32" i="284"/>
  <c r="D31" i="284"/>
  <c r="E31" i="284"/>
  <c r="D14" i="284"/>
  <c r="E14" i="284"/>
  <c r="G246" i="284"/>
  <c r="D246" i="284"/>
  <c r="G245" i="284"/>
  <c r="D245" i="284"/>
  <c r="G244" i="284"/>
  <c r="D244" i="284"/>
  <c r="G243" i="284"/>
  <c r="D243" i="284"/>
  <c r="G242" i="284"/>
  <c r="D242" i="284"/>
  <c r="G241" i="284"/>
  <c r="D241" i="284"/>
  <c r="G240" i="284"/>
  <c r="D240" i="284"/>
  <c r="G239" i="284"/>
  <c r="D239" i="284"/>
  <c r="G238" i="284"/>
  <c r="D238" i="284"/>
  <c r="G237" i="284"/>
  <c r="D237" i="284"/>
  <c r="G236" i="284"/>
  <c r="D236" i="284"/>
  <c r="F209" i="284"/>
  <c r="G209" i="284"/>
  <c r="F208" i="284"/>
  <c r="G208" i="284"/>
  <c r="F207" i="284"/>
  <c r="G207" i="284"/>
  <c r="F206" i="284"/>
  <c r="G206" i="284"/>
  <c r="F205" i="284"/>
  <c r="G205" i="284"/>
  <c r="F204" i="284"/>
  <c r="G204" i="284"/>
  <c r="F203" i="284"/>
  <c r="G203" i="284"/>
  <c r="F202" i="284"/>
  <c r="G202" i="284"/>
  <c r="F201" i="284"/>
  <c r="G201" i="284"/>
  <c r="F200" i="284"/>
  <c r="G200" i="284"/>
  <c r="F199" i="284"/>
  <c r="G199" i="284"/>
  <c r="F198" i="284"/>
  <c r="G198" i="284"/>
  <c r="F197" i="284"/>
  <c r="G197" i="284"/>
  <c r="F191" i="284"/>
  <c r="G191" i="284"/>
  <c r="F190" i="284"/>
  <c r="G190" i="284"/>
  <c r="F189" i="284"/>
  <c r="G189" i="284"/>
  <c r="F188" i="284"/>
  <c r="G188" i="284"/>
  <c r="F187" i="284"/>
  <c r="G187" i="284"/>
  <c r="F186" i="284"/>
  <c r="G186" i="284"/>
  <c r="F185" i="284"/>
  <c r="G185" i="284"/>
  <c r="F184" i="284"/>
  <c r="G184" i="284"/>
  <c r="F183" i="284"/>
  <c r="G183" i="284"/>
  <c r="F182" i="284"/>
  <c r="G182" i="284"/>
  <c r="F181" i="284"/>
  <c r="G181" i="284"/>
  <c r="F180" i="284"/>
  <c r="G180" i="284"/>
  <c r="D179" i="284"/>
  <c r="E179" i="284"/>
  <c r="D173" i="284"/>
  <c r="E173" i="284"/>
  <c r="D172" i="284"/>
  <c r="E172" i="284"/>
  <c r="D171" i="284"/>
  <c r="E171" i="284"/>
  <c r="D170" i="284"/>
  <c r="E170" i="284"/>
  <c r="D169" i="284"/>
  <c r="E169" i="284"/>
  <c r="D168" i="284"/>
  <c r="E168" i="284"/>
  <c r="D167" i="284"/>
  <c r="E167" i="284"/>
  <c r="D166" i="284"/>
  <c r="E166" i="284"/>
  <c r="D165" i="284"/>
  <c r="E165" i="284"/>
  <c r="D164" i="284"/>
  <c r="E164" i="284"/>
  <c r="D163" i="284"/>
  <c r="E163" i="284"/>
  <c r="D162" i="284"/>
  <c r="E162" i="284"/>
  <c r="D161" i="284"/>
  <c r="E161" i="284"/>
  <c r="D155" i="284"/>
  <c r="E155" i="284"/>
  <c r="D154" i="284"/>
  <c r="E154" i="284"/>
  <c r="D153" i="284"/>
  <c r="E153" i="284"/>
  <c r="D152" i="284"/>
  <c r="E152" i="284"/>
  <c r="D151" i="284"/>
  <c r="E151" i="284"/>
  <c r="D150" i="284"/>
  <c r="E150" i="284"/>
  <c r="D149" i="284"/>
  <c r="E149" i="284"/>
  <c r="D148" i="284"/>
  <c r="E148" i="284"/>
  <c r="D147" i="284"/>
  <c r="E147" i="284"/>
  <c r="D146" i="284"/>
  <c r="E146" i="284"/>
  <c r="D145" i="284"/>
  <c r="E145" i="284"/>
  <c r="F144" i="284"/>
  <c r="G144" i="284"/>
  <c r="D143" i="284"/>
  <c r="E143" i="284"/>
  <c r="D137" i="284"/>
  <c r="E137" i="284"/>
  <c r="D136" i="284"/>
  <c r="E136" i="284"/>
  <c r="D135" i="284"/>
  <c r="E135" i="284"/>
  <c r="D134" i="284"/>
  <c r="E134" i="284"/>
  <c r="D133" i="284"/>
  <c r="E133" i="284"/>
  <c r="D132" i="284"/>
  <c r="E132" i="284"/>
  <c r="D131" i="284"/>
  <c r="E131" i="284"/>
  <c r="D130" i="284"/>
  <c r="E130" i="284"/>
  <c r="D129" i="284"/>
  <c r="E129" i="284"/>
  <c r="D128" i="284"/>
  <c r="E128" i="284"/>
  <c r="D127" i="284"/>
  <c r="E127" i="284"/>
  <c r="F126" i="284"/>
  <c r="G126" i="284"/>
  <c r="F125" i="284"/>
  <c r="G125" i="284"/>
  <c r="F97" i="284"/>
  <c r="G97" i="284"/>
  <c r="F96" i="284"/>
  <c r="G96" i="284"/>
  <c r="F95" i="284"/>
  <c r="G95" i="284"/>
  <c r="F94" i="284"/>
  <c r="G94" i="284"/>
  <c r="F93" i="284"/>
  <c r="G93" i="284"/>
  <c r="F92" i="284"/>
  <c r="G92" i="284"/>
  <c r="F91" i="284"/>
  <c r="G91" i="284"/>
  <c r="F90" i="284"/>
  <c r="G90" i="284"/>
  <c r="F89" i="284"/>
  <c r="G89" i="284"/>
  <c r="F88" i="284"/>
  <c r="G88" i="284"/>
  <c r="F87" i="284"/>
  <c r="G87" i="284"/>
  <c r="F86" i="284"/>
  <c r="G86" i="284"/>
  <c r="F85" i="284"/>
  <c r="G85" i="284"/>
  <c r="F79" i="284"/>
  <c r="G79" i="284"/>
  <c r="F78" i="284"/>
  <c r="G78" i="284"/>
  <c r="F77" i="284"/>
  <c r="G77" i="284"/>
  <c r="F76" i="284"/>
  <c r="G76" i="284"/>
  <c r="F74" i="284"/>
  <c r="G74" i="284"/>
  <c r="F73" i="284"/>
  <c r="G73" i="284"/>
  <c r="F72" i="284"/>
  <c r="G72" i="284"/>
  <c r="F71" i="284"/>
  <c r="G71" i="284"/>
  <c r="F70" i="284"/>
  <c r="G70" i="284"/>
  <c r="F69" i="284"/>
  <c r="G69" i="284"/>
  <c r="F68" i="284"/>
  <c r="G68" i="284"/>
  <c r="D67" i="284"/>
  <c r="E67" i="284"/>
  <c r="D61" i="284"/>
  <c r="E61" i="284"/>
  <c r="D60" i="284"/>
  <c r="E60" i="284"/>
  <c r="D59" i="284"/>
  <c r="E59" i="284"/>
  <c r="D58" i="284"/>
  <c r="E58" i="284"/>
  <c r="D57" i="284"/>
  <c r="E57" i="284"/>
  <c r="D56" i="284"/>
  <c r="E56" i="284"/>
  <c r="D55" i="284"/>
  <c r="E55" i="284"/>
  <c r="D54" i="284"/>
  <c r="E54" i="284"/>
  <c r="D53" i="284"/>
  <c r="E53" i="284"/>
  <c r="D52" i="284"/>
  <c r="E52" i="284"/>
  <c r="D51" i="284"/>
  <c r="E51" i="284"/>
  <c r="F50" i="284"/>
  <c r="G50" i="284"/>
  <c r="F49" i="284"/>
  <c r="G49" i="284"/>
  <c r="F43" i="284"/>
  <c r="G43" i="284"/>
  <c r="F42" i="284"/>
  <c r="G42" i="284"/>
  <c r="F41" i="284"/>
  <c r="G41" i="284"/>
  <c r="F40" i="284"/>
  <c r="G40" i="284"/>
  <c r="F39" i="284"/>
  <c r="G39" i="284"/>
  <c r="F38" i="284"/>
  <c r="G38" i="284"/>
  <c r="F37" i="284"/>
  <c r="G37" i="284"/>
  <c r="F36" i="284"/>
  <c r="G36" i="284"/>
  <c r="F35" i="284"/>
  <c r="G35" i="284"/>
  <c r="F34" i="284"/>
  <c r="G34" i="284"/>
  <c r="F33" i="284"/>
  <c r="G33" i="284"/>
  <c r="F32" i="284"/>
  <c r="G32" i="284"/>
  <c r="F31" i="284"/>
  <c r="G31" i="284"/>
  <c r="F14" i="284"/>
  <c r="G14" i="284"/>
  <c r="E257" i="284"/>
  <c r="F257" i="284"/>
  <c r="G257" i="284"/>
  <c r="D257" i="284"/>
  <c r="E256" i="284"/>
  <c r="F256" i="284"/>
  <c r="G256" i="284"/>
  <c r="D256" i="284"/>
  <c r="E255" i="284"/>
  <c r="F255" i="284"/>
  <c r="G255" i="284"/>
  <c r="D255" i="284"/>
  <c r="E254" i="284"/>
  <c r="F254" i="284"/>
  <c r="G254" i="284"/>
  <c r="D254" i="284"/>
  <c r="D75" i="284"/>
  <c r="E75" i="284"/>
  <c r="F75" i="284"/>
  <c r="G75" i="284"/>
  <c r="X21" i="262"/>
  <c r="AB21" i="262" s="1"/>
  <c r="I25" i="281" s="1"/>
  <c r="X38" i="262"/>
  <c r="AB38" i="262" s="1"/>
  <c r="I42" i="281" s="1"/>
  <c r="AR10" i="262"/>
  <c r="AV10" i="262" s="1"/>
  <c r="M14" i="281" s="1"/>
  <c r="N29" i="262"/>
  <c r="R29" i="262" s="1"/>
  <c r="G33" i="281" s="1"/>
  <c r="N13" i="262"/>
  <c r="R13" i="262" s="1"/>
  <c r="G17" i="281" s="1"/>
  <c r="X34" i="262"/>
  <c r="AB34" i="262" s="1"/>
  <c r="I38" i="281" s="1"/>
  <c r="AM22" i="262"/>
  <c r="AQ22" i="262" s="1"/>
  <c r="L26" i="281" s="1"/>
  <c r="AR38" i="262"/>
  <c r="AV38" i="262" s="1"/>
  <c r="M42" i="281" s="1"/>
  <c r="AR22" i="262"/>
  <c r="AV22" i="262" s="1"/>
  <c r="M26" i="281" s="1"/>
  <c r="BQ30" i="262"/>
  <c r="BU30" i="262" s="1"/>
  <c r="R34" i="281" s="1"/>
  <c r="CL34" i="290"/>
  <c r="CL35" i="290"/>
  <c r="CM35" i="290"/>
  <c r="CM34" i="290"/>
  <c r="CN34" i="290"/>
  <c r="CN35" i="290"/>
  <c r="CO35" i="290"/>
  <c r="CO34" i="290"/>
  <c r="CP34" i="290"/>
  <c r="CP35" i="290"/>
  <c r="CQ35" i="290"/>
  <c r="CQ34" i="290"/>
  <c r="CR34" i="290"/>
  <c r="CR35" i="290"/>
  <c r="CS35" i="290"/>
  <c r="CS34" i="290"/>
  <c r="CT34" i="290"/>
  <c r="CT35" i="290"/>
  <c r="CU35" i="290"/>
  <c r="CU34" i="290"/>
  <c r="CV34" i="290"/>
  <c r="CV35" i="290"/>
  <c r="CJ34" i="290"/>
  <c r="CJ35" i="290"/>
  <c r="JI5" i="285"/>
  <c r="JG5" i="285"/>
  <c r="JH5" i="285"/>
  <c r="JF5" i="285"/>
  <c r="JI7" i="285"/>
  <c r="JG7" i="285"/>
  <c r="JH7" i="285"/>
  <c r="JF7" i="285"/>
  <c r="JI9" i="285"/>
  <c r="JG9" i="285"/>
  <c r="JH9" i="285"/>
  <c r="JF9" i="285"/>
  <c r="JI11" i="285"/>
  <c r="JG11" i="285"/>
  <c r="JH11" i="285"/>
  <c r="JF11" i="285"/>
  <c r="JH13" i="285"/>
  <c r="JF13" i="285"/>
  <c r="JI13" i="285"/>
  <c r="JG13" i="285"/>
  <c r="JL4" i="285"/>
  <c r="JJ4" i="285"/>
  <c r="JK4" i="285"/>
  <c r="JM4" i="285"/>
  <c r="JL6" i="285"/>
  <c r="JJ6" i="285"/>
  <c r="JK6" i="285"/>
  <c r="JM6" i="285"/>
  <c r="JL8" i="285"/>
  <c r="JJ8" i="285"/>
  <c r="JM8" i="285"/>
  <c r="JK8" i="285"/>
  <c r="JL10" i="285"/>
  <c r="JJ10" i="285"/>
  <c r="JM10" i="285"/>
  <c r="JK10" i="285"/>
  <c r="JL12" i="285"/>
  <c r="JJ12" i="285"/>
  <c r="JK12" i="285"/>
  <c r="JM12" i="285"/>
  <c r="JM14" i="285"/>
  <c r="JK14" i="285"/>
  <c r="JL14" i="285"/>
  <c r="JJ14" i="285"/>
  <c r="JM16" i="285"/>
  <c r="JK16" i="285"/>
  <c r="JL16" i="285"/>
  <c r="JJ16" i="285"/>
  <c r="JM18" i="285"/>
  <c r="JK18" i="285"/>
  <c r="JL18" i="285"/>
  <c r="JJ18" i="285"/>
  <c r="JM20" i="285"/>
  <c r="JK20" i="285"/>
  <c r="JL20" i="285"/>
  <c r="JJ20" i="285"/>
  <c r="JM22" i="285"/>
  <c r="JK22" i="285"/>
  <c r="JL22" i="285"/>
  <c r="JJ22" i="285"/>
  <c r="JM24" i="285"/>
  <c r="JK24" i="285"/>
  <c r="JL24" i="285"/>
  <c r="JJ24" i="285"/>
  <c r="JM26" i="285"/>
  <c r="JK26" i="285"/>
  <c r="JL26" i="285"/>
  <c r="JJ26" i="285"/>
  <c r="JM28" i="285"/>
  <c r="JK28" i="285"/>
  <c r="JL28" i="285"/>
  <c r="JJ28" i="285"/>
  <c r="JM30" i="285"/>
  <c r="JK30" i="285"/>
  <c r="JL30" i="285"/>
  <c r="JJ30" i="285"/>
  <c r="JM32" i="285"/>
  <c r="JK32" i="285"/>
  <c r="JL32" i="285"/>
  <c r="JJ32" i="285"/>
  <c r="JP4" i="285"/>
  <c r="JN4" i="285"/>
  <c r="JO4" i="285"/>
  <c r="JQ4" i="285"/>
  <c r="JP6" i="285"/>
  <c r="JN6" i="285"/>
  <c r="JO6" i="285"/>
  <c r="JQ6" i="285"/>
  <c r="JP8" i="285"/>
  <c r="JN8" i="285"/>
  <c r="JQ8" i="285"/>
  <c r="JO8" i="285"/>
  <c r="JP10" i="285"/>
  <c r="JN10" i="285"/>
  <c r="JQ10" i="285"/>
  <c r="JO10" i="285"/>
  <c r="JP12" i="285"/>
  <c r="JN12" i="285"/>
  <c r="JO12" i="285"/>
  <c r="JQ12" i="285"/>
  <c r="JQ14" i="285"/>
  <c r="JO14" i="285"/>
  <c r="JP14" i="285"/>
  <c r="JN14" i="285"/>
  <c r="JQ16" i="285"/>
  <c r="JO16" i="285"/>
  <c r="JP16" i="285"/>
  <c r="JN16" i="285"/>
  <c r="JQ18" i="285"/>
  <c r="JO18" i="285"/>
  <c r="JP18" i="285"/>
  <c r="JN18" i="285"/>
  <c r="JQ20" i="285"/>
  <c r="JO20" i="285"/>
  <c r="JP20" i="285"/>
  <c r="JN20" i="285"/>
  <c r="JQ22" i="285"/>
  <c r="JO22" i="285"/>
  <c r="JP22" i="285"/>
  <c r="JN22" i="285"/>
  <c r="JQ24" i="285"/>
  <c r="JO24" i="285"/>
  <c r="JP24" i="285"/>
  <c r="JN24" i="285"/>
  <c r="JQ26" i="285"/>
  <c r="JO26" i="285"/>
  <c r="JP26" i="285"/>
  <c r="JN26" i="285"/>
  <c r="JQ28" i="285"/>
  <c r="JO28" i="285"/>
  <c r="JP28" i="285"/>
  <c r="JN28" i="285"/>
  <c r="JQ30" i="285"/>
  <c r="JO30" i="285"/>
  <c r="JP30" i="285"/>
  <c r="JN30" i="285"/>
  <c r="JQ32" i="285"/>
  <c r="JO32" i="285"/>
  <c r="JP32" i="285"/>
  <c r="JN32" i="285"/>
  <c r="JT4" i="285"/>
  <c r="JR4" i="285"/>
  <c r="JS4" i="285"/>
  <c r="JU4" i="285"/>
  <c r="JT6" i="285"/>
  <c r="JR6" i="285"/>
  <c r="JS6" i="285"/>
  <c r="JU6" i="285"/>
  <c r="JT8" i="285"/>
  <c r="JR8" i="285"/>
  <c r="JU8" i="285"/>
  <c r="JS8" i="285"/>
  <c r="JT10" i="285"/>
  <c r="JR10" i="285"/>
  <c r="JU10" i="285"/>
  <c r="JS10" i="285"/>
  <c r="JT12" i="285"/>
  <c r="JR12" i="285"/>
  <c r="JS12" i="285"/>
  <c r="JU12" i="285"/>
  <c r="JU14" i="285"/>
  <c r="JS14" i="285"/>
  <c r="JT14" i="285"/>
  <c r="JR14" i="285"/>
  <c r="JU16" i="285"/>
  <c r="JS16" i="285"/>
  <c r="JT16" i="285"/>
  <c r="JR16" i="285"/>
  <c r="JU18" i="285"/>
  <c r="JS18" i="285"/>
  <c r="JT18" i="285"/>
  <c r="JR18" i="285"/>
  <c r="JU20" i="285"/>
  <c r="JS20" i="285"/>
  <c r="JT20" i="285"/>
  <c r="JR20" i="285"/>
  <c r="JU22" i="285"/>
  <c r="JS22" i="285"/>
  <c r="JT22" i="285"/>
  <c r="JR22" i="285"/>
  <c r="JU24" i="285"/>
  <c r="JS24" i="285"/>
  <c r="JT24" i="285"/>
  <c r="JR24" i="285"/>
  <c r="JU26" i="285"/>
  <c r="JS26" i="285"/>
  <c r="JT26" i="285"/>
  <c r="JR26" i="285"/>
  <c r="JU28" i="285"/>
  <c r="JS28" i="285"/>
  <c r="JT28" i="285"/>
  <c r="JR28" i="285"/>
  <c r="JU30" i="285"/>
  <c r="JS30" i="285"/>
  <c r="JT30" i="285"/>
  <c r="JR30" i="285"/>
  <c r="JU32" i="285"/>
  <c r="JS32" i="285"/>
  <c r="JT32" i="285"/>
  <c r="JR32" i="285"/>
  <c r="JX4" i="285"/>
  <c r="JV4" i="285"/>
  <c r="JW4" i="285"/>
  <c r="JY4" i="285"/>
  <c r="JX6" i="285"/>
  <c r="JV6" i="285"/>
  <c r="JW6" i="285"/>
  <c r="JY6" i="285"/>
  <c r="JX8" i="285"/>
  <c r="JV8" i="285"/>
  <c r="JY8" i="285"/>
  <c r="JW8" i="285"/>
  <c r="JX10" i="285"/>
  <c r="JV10" i="285"/>
  <c r="JY10" i="285"/>
  <c r="JW10" i="285"/>
  <c r="JX12" i="285"/>
  <c r="JV12" i="285"/>
  <c r="JW12" i="285"/>
  <c r="JY12" i="285"/>
  <c r="JY14" i="285"/>
  <c r="JW14" i="285"/>
  <c r="JX14" i="285"/>
  <c r="JV14" i="285"/>
  <c r="JY16" i="285"/>
  <c r="JW16" i="285"/>
  <c r="JX16" i="285"/>
  <c r="JV16" i="285"/>
  <c r="JY18" i="285"/>
  <c r="JW18" i="285"/>
  <c r="JX18" i="285"/>
  <c r="JV18" i="285"/>
  <c r="JY20" i="285"/>
  <c r="JW20" i="285"/>
  <c r="JX20" i="285"/>
  <c r="JV20" i="285"/>
  <c r="JY22" i="285"/>
  <c r="JW22" i="285"/>
  <c r="JX22" i="285"/>
  <c r="JV22" i="285"/>
  <c r="JY24" i="285"/>
  <c r="JW24" i="285"/>
  <c r="JX24" i="285"/>
  <c r="JV24" i="285"/>
  <c r="JY26" i="285"/>
  <c r="JW26" i="285"/>
  <c r="JX26" i="285"/>
  <c r="JV26" i="285"/>
  <c r="JY28" i="285"/>
  <c r="JW28" i="285"/>
  <c r="JX28" i="285"/>
  <c r="JV28" i="285"/>
  <c r="JY30" i="285"/>
  <c r="JW30" i="285"/>
  <c r="JX30" i="285"/>
  <c r="JV30" i="285"/>
  <c r="JY32" i="285"/>
  <c r="JW32" i="285"/>
  <c r="JX32" i="285"/>
  <c r="JV32" i="285"/>
  <c r="KB4" i="285"/>
  <c r="JZ4" i="285"/>
  <c r="KA4" i="285"/>
  <c r="KC4" i="285"/>
  <c r="KB6" i="285"/>
  <c r="JZ6" i="285"/>
  <c r="KA6" i="285"/>
  <c r="KC6" i="285"/>
  <c r="KB8" i="285"/>
  <c r="JZ8" i="285"/>
  <c r="KC8" i="285"/>
  <c r="KA8" i="285"/>
  <c r="KB10" i="285"/>
  <c r="JZ10" i="285"/>
  <c r="KC10" i="285"/>
  <c r="KA10" i="285"/>
  <c r="KB12" i="285"/>
  <c r="JZ12" i="285"/>
  <c r="KA12" i="285"/>
  <c r="KC12" i="285"/>
  <c r="KC14" i="285"/>
  <c r="KA14" i="285"/>
  <c r="KB14" i="285"/>
  <c r="JZ14" i="285"/>
  <c r="KC16" i="285"/>
  <c r="KA16" i="285"/>
  <c r="KB16" i="285"/>
  <c r="JZ16" i="285"/>
  <c r="KC18" i="285"/>
  <c r="KA18" i="285"/>
  <c r="KB18" i="285"/>
  <c r="JZ18" i="285"/>
  <c r="KC20" i="285"/>
  <c r="KA20" i="285"/>
  <c r="KB20" i="285"/>
  <c r="JZ20" i="285"/>
  <c r="KC22" i="285"/>
  <c r="KA22" i="285"/>
  <c r="KB22" i="285"/>
  <c r="JZ22" i="285"/>
  <c r="KC24" i="285"/>
  <c r="KA24" i="285"/>
  <c r="KB24" i="285"/>
  <c r="JZ24" i="285"/>
  <c r="KC26" i="285"/>
  <c r="KA26" i="285"/>
  <c r="KB26" i="285"/>
  <c r="JZ26" i="285"/>
  <c r="KC28" i="285"/>
  <c r="KA28" i="285"/>
  <c r="KB28" i="285"/>
  <c r="JZ28" i="285"/>
  <c r="KC30" i="285"/>
  <c r="KA30" i="285"/>
  <c r="KB30" i="285"/>
  <c r="JZ30" i="285"/>
  <c r="KC32" i="285"/>
  <c r="KA32" i="285"/>
  <c r="KB32" i="285"/>
  <c r="JZ32" i="285"/>
  <c r="KF4" i="285"/>
  <c r="KD4" i="285"/>
  <c r="KE4" i="285"/>
  <c r="KG4" i="285"/>
  <c r="KF6" i="285"/>
  <c r="KD6" i="285"/>
  <c r="KE6" i="285"/>
  <c r="KG6" i="285"/>
  <c r="KF8" i="285"/>
  <c r="KD8" i="285"/>
  <c r="KG8" i="285"/>
  <c r="KE8" i="285"/>
  <c r="KF10" i="285"/>
  <c r="KD10" i="285"/>
  <c r="KG10" i="285"/>
  <c r="KE10" i="285"/>
  <c r="KF12" i="285"/>
  <c r="KD12" i="285"/>
  <c r="KE12" i="285"/>
  <c r="KG12" i="285"/>
  <c r="KG14" i="285"/>
  <c r="KE14" i="285"/>
  <c r="KF14" i="285"/>
  <c r="KD14" i="285"/>
  <c r="KG16" i="285"/>
  <c r="KE16" i="285"/>
  <c r="KF16" i="285"/>
  <c r="KD16" i="285"/>
  <c r="KG18" i="285"/>
  <c r="KE18" i="285"/>
  <c r="KF18" i="285"/>
  <c r="KD18" i="285"/>
  <c r="KG20" i="285"/>
  <c r="KE20" i="285"/>
  <c r="KF20" i="285"/>
  <c r="KD20" i="285"/>
  <c r="KG22" i="285"/>
  <c r="KE22" i="285"/>
  <c r="KF22" i="285"/>
  <c r="KD22" i="285"/>
  <c r="KG24" i="285"/>
  <c r="KE24" i="285"/>
  <c r="KF24" i="285"/>
  <c r="KD24" i="285"/>
  <c r="KG26" i="285"/>
  <c r="KE26" i="285"/>
  <c r="KF26" i="285"/>
  <c r="KD26" i="285"/>
  <c r="KG28" i="285"/>
  <c r="KE28" i="285"/>
  <c r="KF28" i="285"/>
  <c r="KD28" i="285"/>
  <c r="KG30" i="285"/>
  <c r="KE30" i="285"/>
  <c r="KF30" i="285"/>
  <c r="KD30" i="285"/>
  <c r="KG32" i="285"/>
  <c r="KE32" i="285"/>
  <c r="KF32" i="285"/>
  <c r="KD32" i="285"/>
  <c r="KJ4" i="285"/>
  <c r="KH4" i="285"/>
  <c r="KI4" i="285"/>
  <c r="KK4" i="285"/>
  <c r="KJ6" i="285"/>
  <c r="KH6" i="285"/>
  <c r="KI6" i="285"/>
  <c r="KK6" i="285"/>
  <c r="KJ8" i="285"/>
  <c r="KH8" i="285"/>
  <c r="KK8" i="285"/>
  <c r="KI8" i="285"/>
  <c r="KJ10" i="285"/>
  <c r="KH10" i="285"/>
  <c r="KK10" i="285"/>
  <c r="KI10" i="285"/>
  <c r="KJ12" i="285"/>
  <c r="KH12" i="285"/>
  <c r="KI12" i="285"/>
  <c r="KK12" i="285"/>
  <c r="KK14" i="285"/>
  <c r="KI14" i="285"/>
  <c r="KJ14" i="285"/>
  <c r="KH14" i="285"/>
  <c r="KK16" i="285"/>
  <c r="KI16" i="285"/>
  <c r="KJ16" i="285"/>
  <c r="KH16" i="285"/>
  <c r="KK18" i="285"/>
  <c r="KI18" i="285"/>
  <c r="KJ18" i="285"/>
  <c r="KH18" i="285"/>
  <c r="KK20" i="285"/>
  <c r="KI20" i="285"/>
  <c r="KJ20" i="285"/>
  <c r="KH20" i="285"/>
  <c r="KK22" i="285"/>
  <c r="KI22" i="285"/>
  <c r="KJ22" i="285"/>
  <c r="KH22" i="285"/>
  <c r="KK24" i="285"/>
  <c r="KI24" i="285"/>
  <c r="KJ24" i="285"/>
  <c r="KH24" i="285"/>
  <c r="KK26" i="285"/>
  <c r="KI26" i="285"/>
  <c r="KJ26" i="285"/>
  <c r="KH26" i="285"/>
  <c r="KK28" i="285"/>
  <c r="KI28" i="285"/>
  <c r="KJ28" i="285"/>
  <c r="KH28" i="285"/>
  <c r="KK30" i="285"/>
  <c r="KI30" i="285"/>
  <c r="KJ30" i="285"/>
  <c r="KH30" i="285"/>
  <c r="KK32" i="285"/>
  <c r="KI32" i="285"/>
  <c r="KJ32" i="285"/>
  <c r="KH32" i="285"/>
  <c r="KN4" i="285"/>
  <c r="KL4" i="285"/>
  <c r="KM4" i="285"/>
  <c r="KO4" i="285"/>
  <c r="KN6" i="285"/>
  <c r="KL6" i="285"/>
  <c r="KM6" i="285"/>
  <c r="KO6" i="285"/>
  <c r="KN8" i="285"/>
  <c r="KL8" i="285"/>
  <c r="KO8" i="285"/>
  <c r="KM8" i="285"/>
  <c r="KN10" i="285"/>
  <c r="KL10" i="285"/>
  <c r="KO10" i="285"/>
  <c r="KM10" i="285"/>
  <c r="KN12" i="285"/>
  <c r="KL12" i="285"/>
  <c r="KM12" i="285"/>
  <c r="KO12" i="285"/>
  <c r="KO14" i="285"/>
  <c r="KM14" i="285"/>
  <c r="KN14" i="285"/>
  <c r="KL14" i="285"/>
  <c r="KO16" i="285"/>
  <c r="KM16" i="285"/>
  <c r="KN16" i="285"/>
  <c r="KL16" i="285"/>
  <c r="KO18" i="285"/>
  <c r="KM18" i="285"/>
  <c r="KN18" i="285"/>
  <c r="KL18" i="285"/>
  <c r="KO20" i="285"/>
  <c r="KM20" i="285"/>
  <c r="KN20" i="285"/>
  <c r="KL20" i="285"/>
  <c r="KO22" i="285"/>
  <c r="KM22" i="285"/>
  <c r="KN22" i="285"/>
  <c r="KL22" i="285"/>
  <c r="KO24" i="285"/>
  <c r="KM24" i="285"/>
  <c r="KN24" i="285"/>
  <c r="KL24" i="285"/>
  <c r="KO26" i="285"/>
  <c r="KM26" i="285"/>
  <c r="KN26" i="285"/>
  <c r="KL26" i="285"/>
  <c r="KO28" i="285"/>
  <c r="KM28" i="285"/>
  <c r="KN28" i="285"/>
  <c r="KL28" i="285"/>
  <c r="KO30" i="285"/>
  <c r="KM30" i="285"/>
  <c r="KN30" i="285"/>
  <c r="KL30" i="285"/>
  <c r="KO32" i="285"/>
  <c r="KM32" i="285"/>
  <c r="KN32" i="285"/>
  <c r="KL32" i="285"/>
  <c r="KR4" i="285"/>
  <c r="KP4" i="285"/>
  <c r="KQ4" i="285"/>
  <c r="KS4" i="285"/>
  <c r="KR6" i="285"/>
  <c r="KP6" i="285"/>
  <c r="KQ6" i="285"/>
  <c r="KS6" i="285"/>
  <c r="KR8" i="285"/>
  <c r="KP8" i="285"/>
  <c r="KS8" i="285"/>
  <c r="KQ8" i="285"/>
  <c r="KR10" i="285"/>
  <c r="KP10" i="285"/>
  <c r="KS10" i="285"/>
  <c r="KQ10" i="285"/>
  <c r="KR12" i="285"/>
  <c r="KP12" i="285"/>
  <c r="KQ12" i="285"/>
  <c r="KS12" i="285"/>
  <c r="KS14" i="285"/>
  <c r="KQ14" i="285"/>
  <c r="KR14" i="285"/>
  <c r="KP14" i="285"/>
  <c r="KS16" i="285"/>
  <c r="KQ16" i="285"/>
  <c r="KR16" i="285"/>
  <c r="KP16" i="285"/>
  <c r="KS18" i="285"/>
  <c r="KQ18" i="285"/>
  <c r="KR18" i="285"/>
  <c r="KP18" i="285"/>
  <c r="KS20" i="285"/>
  <c r="KQ20" i="285"/>
  <c r="KR20" i="285"/>
  <c r="KP20" i="285"/>
  <c r="KS22" i="285"/>
  <c r="KQ22" i="285"/>
  <c r="KR22" i="285"/>
  <c r="KP22" i="285"/>
  <c r="KS24" i="285"/>
  <c r="KQ24" i="285"/>
  <c r="KR24" i="285"/>
  <c r="KP24" i="285"/>
  <c r="KS26" i="285"/>
  <c r="KQ26" i="285"/>
  <c r="KR26" i="285"/>
  <c r="KP26" i="285"/>
  <c r="KS28" i="285"/>
  <c r="KQ28" i="285"/>
  <c r="KR28" i="285"/>
  <c r="KP28" i="285"/>
  <c r="KS30" i="285"/>
  <c r="KQ30" i="285"/>
  <c r="KR30" i="285"/>
  <c r="KP30" i="285"/>
  <c r="KS32" i="285"/>
  <c r="KQ32" i="285"/>
  <c r="KR32" i="285"/>
  <c r="KP32" i="285"/>
  <c r="KV4" i="285"/>
  <c r="KT4" i="285"/>
  <c r="KU4" i="285"/>
  <c r="KW4" i="285"/>
  <c r="KV6" i="285"/>
  <c r="KT6" i="285"/>
  <c r="KU6" i="285"/>
  <c r="KW6" i="285"/>
  <c r="KV8" i="285"/>
  <c r="KT8" i="285"/>
  <c r="KW8" i="285"/>
  <c r="KU8" i="285"/>
  <c r="KV10" i="285"/>
  <c r="KT10" i="285"/>
  <c r="KW10" i="285"/>
  <c r="KU10" i="285"/>
  <c r="KV12" i="285"/>
  <c r="KT12" i="285"/>
  <c r="KU12" i="285"/>
  <c r="KW12" i="285"/>
  <c r="KW14" i="285"/>
  <c r="KU14" i="285"/>
  <c r="KV14" i="285"/>
  <c r="KT14" i="285"/>
  <c r="KW16" i="285"/>
  <c r="KU16" i="285"/>
  <c r="KV16" i="285"/>
  <c r="KT16" i="285"/>
  <c r="KW18" i="285"/>
  <c r="KU18" i="285"/>
  <c r="KV18" i="285"/>
  <c r="KT18" i="285"/>
  <c r="KW20" i="285"/>
  <c r="KU20" i="285"/>
  <c r="KV20" i="285"/>
  <c r="KT20" i="285"/>
  <c r="KW22" i="285"/>
  <c r="KU22" i="285"/>
  <c r="KV22" i="285"/>
  <c r="KT22" i="285"/>
  <c r="KW24" i="285"/>
  <c r="KU24" i="285"/>
  <c r="KV24" i="285"/>
  <c r="KT24" i="285"/>
  <c r="KW26" i="285"/>
  <c r="KU26" i="285"/>
  <c r="KV26" i="285"/>
  <c r="KT26" i="285"/>
  <c r="KW28" i="285"/>
  <c r="KU28" i="285"/>
  <c r="KV28" i="285"/>
  <c r="KT28" i="285"/>
  <c r="KW30" i="285"/>
  <c r="KU30" i="285"/>
  <c r="KV30" i="285"/>
  <c r="KT30" i="285"/>
  <c r="KW32" i="285"/>
  <c r="KU32" i="285"/>
  <c r="KV32" i="285"/>
  <c r="KT32" i="285"/>
  <c r="KZ4" i="285"/>
  <c r="KX4" i="285"/>
  <c r="KY4" i="285"/>
  <c r="LA4" i="285"/>
  <c r="KZ6" i="285"/>
  <c r="KX6" i="285"/>
  <c r="KY6" i="285"/>
  <c r="LA6" i="285"/>
  <c r="KZ8" i="285"/>
  <c r="KX8" i="285"/>
  <c r="LA8" i="285"/>
  <c r="KY8" i="285"/>
  <c r="KZ10" i="285"/>
  <c r="KX10" i="285"/>
  <c r="LA10" i="285"/>
  <c r="KY10" i="285"/>
  <c r="KZ12" i="285"/>
  <c r="KX12" i="285"/>
  <c r="KY12" i="285"/>
  <c r="LA12" i="285"/>
  <c r="LA14" i="285"/>
  <c r="KY14" i="285"/>
  <c r="KZ14" i="285"/>
  <c r="KX14" i="285"/>
  <c r="LA16" i="285"/>
  <c r="KY16" i="285"/>
  <c r="KZ16" i="285"/>
  <c r="KX16" i="285"/>
  <c r="LA18" i="285"/>
  <c r="KY18" i="285"/>
  <c r="KZ18" i="285"/>
  <c r="KX18" i="285"/>
  <c r="LA20" i="285"/>
  <c r="KY20" i="285"/>
  <c r="KZ20" i="285"/>
  <c r="KX20" i="285"/>
  <c r="LA22" i="285"/>
  <c r="KY22" i="285"/>
  <c r="KZ22" i="285"/>
  <c r="KX22" i="285"/>
  <c r="LA24" i="285"/>
  <c r="KY24" i="285"/>
  <c r="KZ24" i="285"/>
  <c r="KX24" i="285"/>
  <c r="LA26" i="285"/>
  <c r="KY26" i="285"/>
  <c r="KZ26" i="285"/>
  <c r="KX26" i="285"/>
  <c r="LA28" i="285"/>
  <c r="KY28" i="285"/>
  <c r="KZ28" i="285"/>
  <c r="KX28" i="285"/>
  <c r="LA30" i="285"/>
  <c r="KY30" i="285"/>
  <c r="KZ30" i="285"/>
  <c r="KX30" i="285"/>
  <c r="LA32" i="285"/>
  <c r="KY32" i="285"/>
  <c r="KZ32" i="285"/>
  <c r="KX32" i="285"/>
  <c r="JD31" i="285"/>
  <c r="JB31" i="285"/>
  <c r="JE31" i="285"/>
  <c r="JC31" i="285"/>
  <c r="JE28" i="285"/>
  <c r="JC28" i="285"/>
  <c r="JD28" i="285"/>
  <c r="JB28" i="285"/>
  <c r="JE26" i="285"/>
  <c r="JC26" i="285"/>
  <c r="JD26" i="285"/>
  <c r="JB26" i="285"/>
  <c r="JE24" i="285"/>
  <c r="JC24" i="285"/>
  <c r="JD24" i="285"/>
  <c r="JB24" i="285"/>
  <c r="JE22" i="285"/>
  <c r="JC22" i="285"/>
  <c r="JD22" i="285"/>
  <c r="JB22" i="285"/>
  <c r="JE20" i="285"/>
  <c r="JC20" i="285"/>
  <c r="JD20" i="285"/>
  <c r="JB20" i="285"/>
  <c r="JE18" i="285"/>
  <c r="JC18" i="285"/>
  <c r="JD18" i="285"/>
  <c r="JB18" i="285"/>
  <c r="JE16" i="285"/>
  <c r="JC16" i="285"/>
  <c r="JD16" i="285"/>
  <c r="JB16" i="285"/>
  <c r="JE14" i="285"/>
  <c r="JC14" i="285"/>
  <c r="JD14" i="285"/>
  <c r="JB14" i="285"/>
  <c r="JD12" i="285"/>
  <c r="JB12" i="285"/>
  <c r="JC12" i="285"/>
  <c r="JE12" i="285"/>
  <c r="JD10" i="285"/>
  <c r="JB10" i="285"/>
  <c r="JE10" i="285"/>
  <c r="JC10" i="285"/>
  <c r="JD8" i="285"/>
  <c r="JB8" i="285"/>
  <c r="JE8" i="285"/>
  <c r="JC8" i="285"/>
  <c r="JD6" i="285"/>
  <c r="JB6" i="285"/>
  <c r="JC6" i="285"/>
  <c r="JE6" i="285"/>
  <c r="JD4" i="285"/>
  <c r="JB4" i="285"/>
  <c r="JC4" i="285"/>
  <c r="JE4" i="285"/>
  <c r="JI3" i="285"/>
  <c r="G105" i="284" s="1"/>
  <c r="JG3" i="285"/>
  <c r="E105" i="284" s="1"/>
  <c r="JH3" i="285"/>
  <c r="F105" i="284" s="1"/>
  <c r="JF3" i="285"/>
  <c r="D105" i="284" s="1"/>
  <c r="JH4" i="285"/>
  <c r="JF4" i="285"/>
  <c r="JG4" i="285"/>
  <c r="JI4" i="285"/>
  <c r="JH6" i="285"/>
  <c r="JF6" i="285"/>
  <c r="JG6" i="285"/>
  <c r="JI6" i="285"/>
  <c r="JH8" i="285"/>
  <c r="JF8" i="285"/>
  <c r="JI8" i="285"/>
  <c r="JG8" i="285"/>
  <c r="JH10" i="285"/>
  <c r="JF10" i="285"/>
  <c r="JI10" i="285"/>
  <c r="JG10" i="285"/>
  <c r="JH12" i="285"/>
  <c r="JF12" i="285"/>
  <c r="JG12" i="285"/>
  <c r="JI12" i="285"/>
  <c r="JM3" i="285"/>
  <c r="G106" i="284" s="1"/>
  <c r="JK3" i="285"/>
  <c r="E106" i="284" s="1"/>
  <c r="JL3" i="285"/>
  <c r="F106" i="284" s="1"/>
  <c r="JJ3" i="285"/>
  <c r="D106" i="284" s="1"/>
  <c r="JM5" i="285"/>
  <c r="JK5" i="285"/>
  <c r="JL5" i="285"/>
  <c r="JJ5" i="285"/>
  <c r="JM7" i="285"/>
  <c r="JK7" i="285"/>
  <c r="JL7" i="285"/>
  <c r="JJ7" i="285"/>
  <c r="JM9" i="285"/>
  <c r="JK9" i="285"/>
  <c r="JL9" i="285"/>
  <c r="JJ9" i="285"/>
  <c r="JM11" i="285"/>
  <c r="JK11" i="285"/>
  <c r="JL11" i="285"/>
  <c r="JJ11" i="285"/>
  <c r="JL13" i="285"/>
  <c r="JJ13" i="285"/>
  <c r="JM13" i="285"/>
  <c r="JK13" i="285"/>
  <c r="JL15" i="285"/>
  <c r="JJ15" i="285"/>
  <c r="JM15" i="285"/>
  <c r="JK15" i="285"/>
  <c r="JL17" i="285"/>
  <c r="JJ17" i="285"/>
  <c r="JM17" i="285"/>
  <c r="JK17" i="285"/>
  <c r="JL19" i="285"/>
  <c r="JJ19" i="285"/>
  <c r="JM19" i="285"/>
  <c r="JK19" i="285"/>
  <c r="JL21" i="285"/>
  <c r="JJ21" i="285"/>
  <c r="JM21" i="285"/>
  <c r="JK21" i="285"/>
  <c r="JL23" i="285"/>
  <c r="JJ23" i="285"/>
  <c r="JM23" i="285"/>
  <c r="JK23" i="285"/>
  <c r="JL25" i="285"/>
  <c r="JJ25" i="285"/>
  <c r="JM25" i="285"/>
  <c r="JK25" i="285"/>
  <c r="JL27" i="285"/>
  <c r="JJ27" i="285"/>
  <c r="JM27" i="285"/>
  <c r="JK27" i="285"/>
  <c r="JL29" i="285"/>
  <c r="JJ29" i="285"/>
  <c r="JM29" i="285"/>
  <c r="JK29" i="285"/>
  <c r="JL31" i="285"/>
  <c r="JJ31" i="285"/>
  <c r="JM31" i="285"/>
  <c r="JK31" i="285"/>
  <c r="JQ3" i="285"/>
  <c r="G108" i="284" s="1"/>
  <c r="JO3" i="285"/>
  <c r="E108" i="284" s="1"/>
  <c r="JP3" i="285"/>
  <c r="JN3" i="285"/>
  <c r="D108" i="284" s="1"/>
  <c r="JQ5" i="285"/>
  <c r="JO5" i="285"/>
  <c r="JP5" i="285"/>
  <c r="JN5" i="285"/>
  <c r="JQ7" i="285"/>
  <c r="JO7" i="285"/>
  <c r="JP7" i="285"/>
  <c r="JN7" i="285"/>
  <c r="JQ9" i="285"/>
  <c r="JO9" i="285"/>
  <c r="JP9" i="285"/>
  <c r="JN9" i="285"/>
  <c r="JQ11" i="285"/>
  <c r="JO11" i="285"/>
  <c r="JP11" i="285"/>
  <c r="JN11" i="285"/>
  <c r="JP13" i="285"/>
  <c r="JN13" i="285"/>
  <c r="JQ13" i="285"/>
  <c r="JO13" i="285"/>
  <c r="JP15" i="285"/>
  <c r="JN15" i="285"/>
  <c r="JQ15" i="285"/>
  <c r="JO15" i="285"/>
  <c r="JP17" i="285"/>
  <c r="JN17" i="285"/>
  <c r="JQ17" i="285"/>
  <c r="JO17" i="285"/>
  <c r="JP19" i="285"/>
  <c r="JN19" i="285"/>
  <c r="JQ19" i="285"/>
  <c r="JO19" i="285"/>
  <c r="JP21" i="285"/>
  <c r="JN21" i="285"/>
  <c r="JQ21" i="285"/>
  <c r="JO21" i="285"/>
  <c r="JP23" i="285"/>
  <c r="JN23" i="285"/>
  <c r="JQ23" i="285"/>
  <c r="JO23" i="285"/>
  <c r="JP25" i="285"/>
  <c r="JN25" i="285"/>
  <c r="JQ25" i="285"/>
  <c r="JO25" i="285"/>
  <c r="JP27" i="285"/>
  <c r="JN27" i="285"/>
  <c r="JQ27" i="285"/>
  <c r="JO27" i="285"/>
  <c r="JP29" i="285"/>
  <c r="JN29" i="285"/>
  <c r="JQ29" i="285"/>
  <c r="JO29" i="285"/>
  <c r="JP31" i="285"/>
  <c r="JN31" i="285"/>
  <c r="JQ31" i="285"/>
  <c r="JO31" i="285"/>
  <c r="JU3" i="285"/>
  <c r="G109" i="284" s="1"/>
  <c r="JS3" i="285"/>
  <c r="E109" i="284" s="1"/>
  <c r="JT3" i="285"/>
  <c r="F109" i="284" s="1"/>
  <c r="JR3" i="285"/>
  <c r="D109" i="284" s="1"/>
  <c r="JU5" i="285"/>
  <c r="JS5" i="285"/>
  <c r="JT5" i="285"/>
  <c r="JR5" i="285"/>
  <c r="JU7" i="285"/>
  <c r="JS7" i="285"/>
  <c r="JT7" i="285"/>
  <c r="JR7" i="285"/>
  <c r="JU9" i="285"/>
  <c r="JS9" i="285"/>
  <c r="JT9" i="285"/>
  <c r="JR9" i="285"/>
  <c r="JU11" i="285"/>
  <c r="JS11" i="285"/>
  <c r="JT11" i="285"/>
  <c r="JR11" i="285"/>
  <c r="JT13" i="285"/>
  <c r="JR13" i="285"/>
  <c r="JU13" i="285"/>
  <c r="JS13" i="285"/>
  <c r="JT15" i="285"/>
  <c r="JR15" i="285"/>
  <c r="JU15" i="285"/>
  <c r="JS15" i="285"/>
  <c r="JT17" i="285"/>
  <c r="JR17" i="285"/>
  <c r="JU17" i="285"/>
  <c r="JS17" i="285"/>
  <c r="JT19" i="285"/>
  <c r="JR19" i="285"/>
  <c r="JU19" i="285"/>
  <c r="JS19" i="285"/>
  <c r="JT21" i="285"/>
  <c r="JR21" i="285"/>
  <c r="JU21" i="285"/>
  <c r="JS21" i="285"/>
  <c r="JT23" i="285"/>
  <c r="JR23" i="285"/>
  <c r="JU23" i="285"/>
  <c r="JS23" i="285"/>
  <c r="JT25" i="285"/>
  <c r="JR25" i="285"/>
  <c r="JU25" i="285"/>
  <c r="JS25" i="285"/>
  <c r="JT27" i="285"/>
  <c r="JR27" i="285"/>
  <c r="JU27" i="285"/>
  <c r="JS27" i="285"/>
  <c r="JT29" i="285"/>
  <c r="JR29" i="285"/>
  <c r="JU29" i="285"/>
  <c r="JS29" i="285"/>
  <c r="JT31" i="285"/>
  <c r="JR31" i="285"/>
  <c r="JU31" i="285"/>
  <c r="JS31" i="285"/>
  <c r="JY3" i="285"/>
  <c r="G110" i="284" s="1"/>
  <c r="JW3" i="285"/>
  <c r="E110" i="284" s="1"/>
  <c r="JX3" i="285"/>
  <c r="F110" i="284" s="1"/>
  <c r="JV3" i="285"/>
  <c r="D110" i="284" s="1"/>
  <c r="JY5" i="285"/>
  <c r="JW5" i="285"/>
  <c r="JX5" i="285"/>
  <c r="JV5" i="285"/>
  <c r="JY7" i="285"/>
  <c r="JW7" i="285"/>
  <c r="JX7" i="285"/>
  <c r="JV7" i="285"/>
  <c r="JY9" i="285"/>
  <c r="JW9" i="285"/>
  <c r="JX9" i="285"/>
  <c r="JV9" i="285"/>
  <c r="JY11" i="285"/>
  <c r="JW11" i="285"/>
  <c r="JX11" i="285"/>
  <c r="JV11" i="285"/>
  <c r="JX13" i="285"/>
  <c r="JV13" i="285"/>
  <c r="JY13" i="285"/>
  <c r="JW13" i="285"/>
  <c r="JX15" i="285"/>
  <c r="JV15" i="285"/>
  <c r="JY15" i="285"/>
  <c r="JW15" i="285"/>
  <c r="JX17" i="285"/>
  <c r="JV17" i="285"/>
  <c r="JY17" i="285"/>
  <c r="JW17" i="285"/>
  <c r="JX19" i="285"/>
  <c r="JV19" i="285"/>
  <c r="JY19" i="285"/>
  <c r="JW19" i="285"/>
  <c r="JX21" i="285"/>
  <c r="JV21" i="285"/>
  <c r="JY21" i="285"/>
  <c r="JW21" i="285"/>
  <c r="JX23" i="285"/>
  <c r="JV23" i="285"/>
  <c r="JY23" i="285"/>
  <c r="JW23" i="285"/>
  <c r="JX25" i="285"/>
  <c r="JV25" i="285"/>
  <c r="JY25" i="285"/>
  <c r="JW25" i="285"/>
  <c r="JX27" i="285"/>
  <c r="JV27" i="285"/>
  <c r="JY27" i="285"/>
  <c r="JW27" i="285"/>
  <c r="JX29" i="285"/>
  <c r="JV29" i="285"/>
  <c r="JY29" i="285"/>
  <c r="JW29" i="285"/>
  <c r="JX31" i="285"/>
  <c r="JV31" i="285"/>
  <c r="JY31" i="285"/>
  <c r="JW31" i="285"/>
  <c r="KC3" i="285"/>
  <c r="G111" i="284" s="1"/>
  <c r="KA3" i="285"/>
  <c r="E111" i="284" s="1"/>
  <c r="KB3" i="285"/>
  <c r="F111" i="284" s="1"/>
  <c r="JZ3" i="285"/>
  <c r="D111" i="284" s="1"/>
  <c r="KC5" i="285"/>
  <c r="KA5" i="285"/>
  <c r="KB5" i="285"/>
  <c r="JZ5" i="285"/>
  <c r="KC7" i="285"/>
  <c r="KA7" i="285"/>
  <c r="KB7" i="285"/>
  <c r="JZ7" i="285"/>
  <c r="KC9" i="285"/>
  <c r="KA9" i="285"/>
  <c r="KB9" i="285"/>
  <c r="JZ9" i="285"/>
  <c r="KC11" i="285"/>
  <c r="KA11" i="285"/>
  <c r="KB11" i="285"/>
  <c r="JZ11" i="285"/>
  <c r="KB13" i="285"/>
  <c r="JZ13" i="285"/>
  <c r="KC13" i="285"/>
  <c r="KA13" i="285"/>
  <c r="KB15" i="285"/>
  <c r="JZ15" i="285"/>
  <c r="KC15" i="285"/>
  <c r="KA15" i="285"/>
  <c r="KB17" i="285"/>
  <c r="JZ17" i="285"/>
  <c r="KC17" i="285"/>
  <c r="KA17" i="285"/>
  <c r="KB19" i="285"/>
  <c r="JZ19" i="285"/>
  <c r="KC19" i="285"/>
  <c r="KA19" i="285"/>
  <c r="KB21" i="285"/>
  <c r="JZ21" i="285"/>
  <c r="KC21" i="285"/>
  <c r="KA21" i="285"/>
  <c r="KB23" i="285"/>
  <c r="JZ23" i="285"/>
  <c r="KC23" i="285"/>
  <c r="KA23" i="285"/>
  <c r="KB25" i="285"/>
  <c r="JZ25" i="285"/>
  <c r="KC25" i="285"/>
  <c r="KA25" i="285"/>
  <c r="KB27" i="285"/>
  <c r="JZ27" i="285"/>
  <c r="KC27" i="285"/>
  <c r="KA27" i="285"/>
  <c r="KB29" i="285"/>
  <c r="JZ29" i="285"/>
  <c r="KC29" i="285"/>
  <c r="KA29" i="285"/>
  <c r="KB31" i="285"/>
  <c r="JZ31" i="285"/>
  <c r="KC31" i="285"/>
  <c r="KA31" i="285"/>
  <c r="KG3" i="285"/>
  <c r="G113" i="284" s="1"/>
  <c r="KE3" i="285"/>
  <c r="E113" i="284" s="1"/>
  <c r="KF3" i="285"/>
  <c r="F113" i="284" s="1"/>
  <c r="KD3" i="285"/>
  <c r="D113" i="284" s="1"/>
  <c r="KG5" i="285"/>
  <c r="KE5" i="285"/>
  <c r="KF5" i="285"/>
  <c r="KD5" i="285"/>
  <c r="KG7" i="285"/>
  <c r="KE7" i="285"/>
  <c r="KF7" i="285"/>
  <c r="KD7" i="285"/>
  <c r="KG9" i="285"/>
  <c r="KE9" i="285"/>
  <c r="KF9" i="285"/>
  <c r="KD9" i="285"/>
  <c r="KG11" i="285"/>
  <c r="KE11" i="285"/>
  <c r="KF11" i="285"/>
  <c r="KD11" i="285"/>
  <c r="KF13" i="285"/>
  <c r="KD13" i="285"/>
  <c r="KG13" i="285"/>
  <c r="KE13" i="285"/>
  <c r="KF15" i="285"/>
  <c r="KD15" i="285"/>
  <c r="KG15" i="285"/>
  <c r="KE15" i="285"/>
  <c r="KF17" i="285"/>
  <c r="KD17" i="285"/>
  <c r="KG17" i="285"/>
  <c r="KE17" i="285"/>
  <c r="KF19" i="285"/>
  <c r="KD19" i="285"/>
  <c r="KG19" i="285"/>
  <c r="KE19" i="285"/>
  <c r="KF21" i="285"/>
  <c r="KD21" i="285"/>
  <c r="KG21" i="285"/>
  <c r="KE21" i="285"/>
  <c r="KF23" i="285"/>
  <c r="KD23" i="285"/>
  <c r="KG23" i="285"/>
  <c r="KE23" i="285"/>
  <c r="KF25" i="285"/>
  <c r="KD25" i="285"/>
  <c r="KG25" i="285"/>
  <c r="KE25" i="285"/>
  <c r="KF27" i="285"/>
  <c r="KD27" i="285"/>
  <c r="KG27" i="285"/>
  <c r="KE27" i="285"/>
  <c r="KF29" i="285"/>
  <c r="KD29" i="285"/>
  <c r="KG29" i="285"/>
  <c r="KE29" i="285"/>
  <c r="KF31" i="285"/>
  <c r="KD31" i="285"/>
  <c r="KG31" i="285"/>
  <c r="KE31" i="285"/>
  <c r="KK3" i="285"/>
  <c r="KI3" i="285"/>
  <c r="KJ3" i="285"/>
  <c r="KH3" i="285"/>
  <c r="KK5" i="285"/>
  <c r="KI5" i="285"/>
  <c r="KJ5" i="285"/>
  <c r="KH5" i="285"/>
  <c r="KK7" i="285"/>
  <c r="KI7" i="285"/>
  <c r="KJ7" i="285"/>
  <c r="KH7" i="285"/>
  <c r="KK9" i="285"/>
  <c r="KI9" i="285"/>
  <c r="KJ9" i="285"/>
  <c r="KH9" i="285"/>
  <c r="KK11" i="285"/>
  <c r="KI11" i="285"/>
  <c r="KJ11" i="285"/>
  <c r="KH11" i="285"/>
  <c r="KJ13" i="285"/>
  <c r="KH13" i="285"/>
  <c r="KK13" i="285"/>
  <c r="KI13" i="285"/>
  <c r="KJ15" i="285"/>
  <c r="KH15" i="285"/>
  <c r="KK15" i="285"/>
  <c r="KI15" i="285"/>
  <c r="KJ17" i="285"/>
  <c r="KH17" i="285"/>
  <c r="KK17" i="285"/>
  <c r="KI17" i="285"/>
  <c r="KJ19" i="285"/>
  <c r="KH19" i="285"/>
  <c r="KK19" i="285"/>
  <c r="KI19" i="285"/>
  <c r="KJ21" i="285"/>
  <c r="KH21" i="285"/>
  <c r="KK21" i="285"/>
  <c r="KI21" i="285"/>
  <c r="KJ23" i="285"/>
  <c r="KH23" i="285"/>
  <c r="KK23" i="285"/>
  <c r="KI23" i="285"/>
  <c r="KJ25" i="285"/>
  <c r="KH25" i="285"/>
  <c r="KK25" i="285"/>
  <c r="KI25" i="285"/>
  <c r="KJ27" i="285"/>
  <c r="KH27" i="285"/>
  <c r="KK27" i="285"/>
  <c r="KI27" i="285"/>
  <c r="KJ29" i="285"/>
  <c r="KH29" i="285"/>
  <c r="KK29" i="285"/>
  <c r="KI29" i="285"/>
  <c r="KJ31" i="285"/>
  <c r="KH31" i="285"/>
  <c r="KK31" i="285"/>
  <c r="KI31" i="285"/>
  <c r="KO3" i="285"/>
  <c r="G116" i="284" s="1"/>
  <c r="KM3" i="285"/>
  <c r="E116" i="284" s="1"/>
  <c r="KN3" i="285"/>
  <c r="F116" i="284" s="1"/>
  <c r="KL3" i="285"/>
  <c r="D116" i="284" s="1"/>
  <c r="KO5" i="285"/>
  <c r="KM5" i="285"/>
  <c r="KN5" i="285"/>
  <c r="KL5" i="285"/>
  <c r="KO7" i="285"/>
  <c r="KM7" i="285"/>
  <c r="KN7" i="285"/>
  <c r="KL7" i="285"/>
  <c r="KO9" i="285"/>
  <c r="KM9" i="285"/>
  <c r="KN9" i="285"/>
  <c r="KL9" i="285"/>
  <c r="KO11" i="285"/>
  <c r="KM11" i="285"/>
  <c r="KN11" i="285"/>
  <c r="KL11" i="285"/>
  <c r="KN13" i="285"/>
  <c r="KL13" i="285"/>
  <c r="KO13" i="285"/>
  <c r="KM13" i="285"/>
  <c r="KN15" i="285"/>
  <c r="KL15" i="285"/>
  <c r="KO15" i="285"/>
  <c r="KM15" i="285"/>
  <c r="KN17" i="285"/>
  <c r="KL17" i="285"/>
  <c r="KO17" i="285"/>
  <c r="KM17" i="285"/>
  <c r="KN19" i="285"/>
  <c r="KL19" i="285"/>
  <c r="KO19" i="285"/>
  <c r="KM19" i="285"/>
  <c r="KN21" i="285"/>
  <c r="KL21" i="285"/>
  <c r="KO21" i="285"/>
  <c r="KM21" i="285"/>
  <c r="KN23" i="285"/>
  <c r="KL23" i="285"/>
  <c r="KO23" i="285"/>
  <c r="KM23" i="285"/>
  <c r="KN25" i="285"/>
  <c r="KL25" i="285"/>
  <c r="KO25" i="285"/>
  <c r="KM25" i="285"/>
  <c r="KN27" i="285"/>
  <c r="KL27" i="285"/>
  <c r="KO27" i="285"/>
  <c r="KM27" i="285"/>
  <c r="KN29" i="285"/>
  <c r="KL29" i="285"/>
  <c r="KO29" i="285"/>
  <c r="KM29" i="285"/>
  <c r="KN31" i="285"/>
  <c r="KL31" i="285"/>
  <c r="KO31" i="285"/>
  <c r="KM31" i="285"/>
  <c r="KS3" i="285"/>
  <c r="G117" i="284" s="1"/>
  <c r="KQ3" i="285"/>
  <c r="E117" i="284" s="1"/>
  <c r="KR3" i="285"/>
  <c r="F117" i="284" s="1"/>
  <c r="KP3" i="285"/>
  <c r="D117" i="284" s="1"/>
  <c r="KS5" i="285"/>
  <c r="KQ5" i="285"/>
  <c r="KR5" i="285"/>
  <c r="KP5" i="285"/>
  <c r="KS7" i="285"/>
  <c r="KQ7" i="285"/>
  <c r="KR7" i="285"/>
  <c r="KP7" i="285"/>
  <c r="KS9" i="285"/>
  <c r="KQ9" i="285"/>
  <c r="KR9" i="285"/>
  <c r="KP9" i="285"/>
  <c r="KS11" i="285"/>
  <c r="KQ11" i="285"/>
  <c r="KR11" i="285"/>
  <c r="KP11" i="285"/>
  <c r="KR13" i="285"/>
  <c r="KP13" i="285"/>
  <c r="KS13" i="285"/>
  <c r="KQ13" i="285"/>
  <c r="KR15" i="285"/>
  <c r="KP15" i="285"/>
  <c r="KS15" i="285"/>
  <c r="KQ15" i="285"/>
  <c r="KR17" i="285"/>
  <c r="KP17" i="285"/>
  <c r="KS17" i="285"/>
  <c r="KQ17" i="285"/>
  <c r="KR19" i="285"/>
  <c r="KP19" i="285"/>
  <c r="KS19" i="285"/>
  <c r="KQ19" i="285"/>
  <c r="KR21" i="285"/>
  <c r="KP21" i="285"/>
  <c r="KS21" i="285"/>
  <c r="KQ21" i="285"/>
  <c r="KR23" i="285"/>
  <c r="KP23" i="285"/>
  <c r="KS23" i="285"/>
  <c r="KQ23" i="285"/>
  <c r="KR25" i="285"/>
  <c r="KP25" i="285"/>
  <c r="KS25" i="285"/>
  <c r="KQ25" i="285"/>
  <c r="KR27" i="285"/>
  <c r="KP27" i="285"/>
  <c r="KS27" i="285"/>
  <c r="KQ27" i="285"/>
  <c r="KR29" i="285"/>
  <c r="KP29" i="285"/>
  <c r="KS29" i="285"/>
  <c r="KQ29" i="285"/>
  <c r="KR31" i="285"/>
  <c r="KP31" i="285"/>
  <c r="KS31" i="285"/>
  <c r="KQ31" i="285"/>
  <c r="KW3" i="285"/>
  <c r="KU3" i="285"/>
  <c r="KV3" i="285"/>
  <c r="KT3" i="285"/>
  <c r="KW5" i="285"/>
  <c r="KU5" i="285"/>
  <c r="KV5" i="285"/>
  <c r="KT5" i="285"/>
  <c r="KW7" i="285"/>
  <c r="KU7" i="285"/>
  <c r="KV7" i="285"/>
  <c r="KT7" i="285"/>
  <c r="KW9" i="285"/>
  <c r="KU9" i="285"/>
  <c r="KV9" i="285"/>
  <c r="KT9" i="285"/>
  <c r="KW11" i="285"/>
  <c r="KU11" i="285"/>
  <c r="KV11" i="285"/>
  <c r="KT11" i="285"/>
  <c r="KV13" i="285"/>
  <c r="KT13" i="285"/>
  <c r="KW13" i="285"/>
  <c r="KU13" i="285"/>
  <c r="KV15" i="285"/>
  <c r="KT15" i="285"/>
  <c r="KW15" i="285"/>
  <c r="KU15" i="285"/>
  <c r="KV17" i="285"/>
  <c r="KT17" i="285"/>
  <c r="KW17" i="285"/>
  <c r="KU17" i="285"/>
  <c r="KV19" i="285"/>
  <c r="KT19" i="285"/>
  <c r="KW19" i="285"/>
  <c r="KU19" i="285"/>
  <c r="KV21" i="285"/>
  <c r="KT21" i="285"/>
  <c r="KW21" i="285"/>
  <c r="KU21" i="285"/>
  <c r="KV23" i="285"/>
  <c r="KT23" i="285"/>
  <c r="KW23" i="285"/>
  <c r="KU23" i="285"/>
  <c r="KV25" i="285"/>
  <c r="KT25" i="285"/>
  <c r="KW25" i="285"/>
  <c r="KU25" i="285"/>
  <c r="KV27" i="285"/>
  <c r="KT27" i="285"/>
  <c r="KW27" i="285"/>
  <c r="KU27" i="285"/>
  <c r="KV29" i="285"/>
  <c r="KT29" i="285"/>
  <c r="KW29" i="285"/>
  <c r="KU29" i="285"/>
  <c r="KV31" i="285"/>
  <c r="KT31" i="285"/>
  <c r="KW31" i="285"/>
  <c r="KU31" i="285"/>
  <c r="LA3" i="285"/>
  <c r="G119" i="284" s="1"/>
  <c r="KY3" i="285"/>
  <c r="E119" i="284" s="1"/>
  <c r="KZ3" i="285"/>
  <c r="F119" i="284" s="1"/>
  <c r="KX3" i="285"/>
  <c r="D119" i="284" s="1"/>
  <c r="LA5" i="285"/>
  <c r="KY5" i="285"/>
  <c r="KZ5" i="285"/>
  <c r="KX5" i="285"/>
  <c r="LA7" i="285"/>
  <c r="KY7" i="285"/>
  <c r="KZ7" i="285"/>
  <c r="KX7" i="285"/>
  <c r="LA9" i="285"/>
  <c r="KY9" i="285"/>
  <c r="KZ9" i="285"/>
  <c r="KX9" i="285"/>
  <c r="LA11" i="285"/>
  <c r="KY11" i="285"/>
  <c r="KZ11" i="285"/>
  <c r="KX11" i="285"/>
  <c r="KZ13" i="285"/>
  <c r="KX13" i="285"/>
  <c r="LA13" i="285"/>
  <c r="KY13" i="285"/>
  <c r="KZ15" i="285"/>
  <c r="KX15" i="285"/>
  <c r="LA15" i="285"/>
  <c r="KY15" i="285"/>
  <c r="KZ17" i="285"/>
  <c r="KX17" i="285"/>
  <c r="LA17" i="285"/>
  <c r="KY17" i="285"/>
  <c r="KZ19" i="285"/>
  <c r="KX19" i="285"/>
  <c r="LA19" i="285"/>
  <c r="KY19" i="285"/>
  <c r="KZ21" i="285"/>
  <c r="KX21" i="285"/>
  <c r="LA21" i="285"/>
  <c r="KY21" i="285"/>
  <c r="KZ23" i="285"/>
  <c r="KX23" i="285"/>
  <c r="LA23" i="285"/>
  <c r="KY23" i="285"/>
  <c r="KZ25" i="285"/>
  <c r="KX25" i="285"/>
  <c r="LA25" i="285"/>
  <c r="KY25" i="285"/>
  <c r="KZ27" i="285"/>
  <c r="KX27" i="285"/>
  <c r="LA27" i="285"/>
  <c r="KY27" i="285"/>
  <c r="KZ29" i="285"/>
  <c r="KX29" i="285"/>
  <c r="LA29" i="285"/>
  <c r="KY29" i="285"/>
  <c r="KZ31" i="285"/>
  <c r="KX31" i="285"/>
  <c r="LA31" i="285"/>
  <c r="KY31" i="285"/>
  <c r="JE32" i="285"/>
  <c r="JC32" i="285"/>
  <c r="JD32" i="285"/>
  <c r="JB32" i="285"/>
  <c r="JD29" i="285"/>
  <c r="JB29" i="285"/>
  <c r="JE29" i="285"/>
  <c r="JC29" i="285"/>
  <c r="JD27" i="285"/>
  <c r="JB27" i="285"/>
  <c r="JE27" i="285"/>
  <c r="JC27" i="285"/>
  <c r="JD25" i="285"/>
  <c r="JB25" i="285"/>
  <c r="JE25" i="285"/>
  <c r="JC25" i="285"/>
  <c r="JD23" i="285"/>
  <c r="JB23" i="285"/>
  <c r="JE23" i="285"/>
  <c r="JC23" i="285"/>
  <c r="JD21" i="285"/>
  <c r="JB21" i="285"/>
  <c r="JE21" i="285"/>
  <c r="JC21" i="285"/>
  <c r="JD19" i="285"/>
  <c r="JB19" i="285"/>
  <c r="JE19" i="285"/>
  <c r="JC19" i="285"/>
  <c r="JD17" i="285"/>
  <c r="JB17" i="285"/>
  <c r="JE17" i="285"/>
  <c r="JC17" i="285"/>
  <c r="JD15" i="285"/>
  <c r="JB15" i="285"/>
  <c r="JE15" i="285"/>
  <c r="JC15" i="285"/>
  <c r="JD13" i="285"/>
  <c r="JB13" i="285"/>
  <c r="JE13" i="285"/>
  <c r="JC13" i="285"/>
  <c r="JE11" i="285"/>
  <c r="JC11" i="285"/>
  <c r="JD11" i="285"/>
  <c r="JB11" i="285"/>
  <c r="JE9" i="285"/>
  <c r="JC9" i="285"/>
  <c r="JD9" i="285"/>
  <c r="JB9" i="285"/>
  <c r="JE7" i="285"/>
  <c r="JC7" i="285"/>
  <c r="JD7" i="285"/>
  <c r="JB7" i="285"/>
  <c r="JE5" i="285"/>
  <c r="JC5" i="285"/>
  <c r="JD5" i="285"/>
  <c r="JB5" i="285"/>
  <c r="JE30" i="285"/>
  <c r="JC30" i="285"/>
  <c r="JD30" i="285"/>
  <c r="JB30" i="285"/>
  <c r="JE3" i="285"/>
  <c r="G104" i="284" s="1"/>
  <c r="JC3" i="285"/>
  <c r="E104" i="284" s="1"/>
  <c r="JD3" i="285"/>
  <c r="F104" i="284" s="1"/>
  <c r="JB3" i="285"/>
  <c r="D104" i="284" s="1"/>
  <c r="G42" i="281"/>
  <c r="M15" i="281"/>
  <c r="R25" i="281"/>
  <c r="E16" i="281"/>
  <c r="E32" i="281"/>
  <c r="E41" i="281"/>
  <c r="G13" i="281"/>
  <c r="G21" i="281"/>
  <c r="G25" i="281"/>
  <c r="G29" i="281"/>
  <c r="G37" i="281"/>
  <c r="G41" i="281"/>
  <c r="I14" i="281"/>
  <c r="I18" i="281"/>
  <c r="I30" i="281"/>
  <c r="I34" i="281"/>
  <c r="M18" i="281"/>
  <c r="M22" i="281"/>
  <c r="M34" i="281"/>
  <c r="M38" i="281"/>
  <c r="O14" i="281"/>
  <c r="O18" i="281"/>
  <c r="O22" i="281"/>
  <c r="O26" i="281"/>
  <c r="O30" i="281"/>
  <c r="O34" i="281"/>
  <c r="O38" i="281"/>
  <c r="O42" i="281"/>
  <c r="P16" i="281"/>
  <c r="P20" i="281"/>
  <c r="P24" i="281"/>
  <c r="P28" i="281"/>
  <c r="P32" i="281"/>
  <c r="P36" i="281"/>
  <c r="P40" i="281"/>
  <c r="R20" i="281"/>
  <c r="R24" i="281"/>
  <c r="R28" i="281"/>
  <c r="R36" i="281"/>
  <c r="R40" i="281"/>
  <c r="G22" i="281"/>
  <c r="M31" i="281"/>
  <c r="E27" i="281"/>
  <c r="E36" i="281"/>
  <c r="E40" i="281"/>
  <c r="G16" i="281"/>
  <c r="G28" i="281"/>
  <c r="G40" i="281"/>
  <c r="I13" i="281"/>
  <c r="I17" i="281"/>
  <c r="I29" i="281"/>
  <c r="I33" i="281"/>
  <c r="I41" i="281"/>
  <c r="O13" i="281"/>
  <c r="O17" i="281"/>
  <c r="O21" i="281"/>
  <c r="O25" i="281"/>
  <c r="O29" i="281"/>
  <c r="O33" i="281"/>
  <c r="O37" i="281"/>
  <c r="O41" i="281"/>
  <c r="R19" i="281"/>
  <c r="R23" i="281"/>
  <c r="R27" i="281"/>
  <c r="R39" i="281"/>
  <c r="E24" i="281"/>
  <c r="E34" i="281"/>
  <c r="H16" i="281"/>
  <c r="H24" i="281"/>
  <c r="H32" i="281"/>
  <c r="H36" i="281"/>
  <c r="E30" i="281"/>
  <c r="E39" i="281"/>
  <c r="E14" i="281"/>
  <c r="G24" i="281"/>
  <c r="G32" i="281"/>
  <c r="H23" i="281"/>
  <c r="H31" i="281"/>
  <c r="H39" i="281"/>
  <c r="I21" i="281"/>
  <c r="P19" i="281"/>
  <c r="P27" i="281"/>
  <c r="P39" i="281"/>
  <c r="R35" i="281"/>
  <c r="S13" i="281"/>
  <c r="S21" i="281"/>
  <c r="S29" i="281"/>
  <c r="S37" i="281"/>
  <c r="S41" i="281"/>
  <c r="T19" i="281"/>
  <c r="T23" i="281"/>
  <c r="T27" i="281"/>
  <c r="T31" i="281"/>
  <c r="T35" i="281"/>
  <c r="T39" i="281"/>
  <c r="G15" i="281"/>
  <c r="G19" i="281"/>
  <c r="G23" i="281"/>
  <c r="G27" i="281"/>
  <c r="G31" i="281"/>
  <c r="G35" i="281"/>
  <c r="G39" i="281"/>
  <c r="H14" i="281"/>
  <c r="H18" i="281"/>
  <c r="H22" i="281"/>
  <c r="H26" i="281"/>
  <c r="H30" i="281"/>
  <c r="H34" i="281"/>
  <c r="H38" i="281"/>
  <c r="H42" i="281"/>
  <c r="K16" i="281"/>
  <c r="K20" i="281"/>
  <c r="K24" i="281"/>
  <c r="K28" i="281"/>
  <c r="K32" i="281"/>
  <c r="K36" i="281"/>
  <c r="K40" i="281"/>
  <c r="L18" i="281"/>
  <c r="L22" i="281"/>
  <c r="L34" i="281"/>
  <c r="L38" i="281"/>
  <c r="L42" i="281"/>
  <c r="O16" i="281"/>
  <c r="O20" i="281"/>
  <c r="O24" i="281"/>
  <c r="O28" i="281"/>
  <c r="O32" i="281"/>
  <c r="O36" i="281"/>
  <c r="O40" i="281"/>
  <c r="P14" i="281"/>
  <c r="P18" i="281"/>
  <c r="P22" i="281"/>
  <c r="P26" i="281"/>
  <c r="P30" i="281"/>
  <c r="P34" i="281"/>
  <c r="P38" i="281"/>
  <c r="P42" i="281"/>
  <c r="R14" i="281"/>
  <c r="R22" i="281"/>
  <c r="R26" i="281"/>
  <c r="R30" i="281"/>
  <c r="R42" i="281"/>
  <c r="S16" i="281"/>
  <c r="S20" i="281"/>
  <c r="S24" i="281"/>
  <c r="S28" i="281"/>
  <c r="S32" i="281"/>
  <c r="S36" i="281"/>
  <c r="S40" i="281"/>
  <c r="T14" i="281"/>
  <c r="T18" i="281"/>
  <c r="T22" i="281"/>
  <c r="T26" i="281"/>
  <c r="T30" i="281"/>
  <c r="T34" i="281"/>
  <c r="D303" i="284" s="1"/>
  <c r="T38" i="281"/>
  <c r="T42" i="281"/>
  <c r="E37" i="281"/>
  <c r="E31" i="281"/>
  <c r="E42" i="281"/>
  <c r="H20" i="281"/>
  <c r="H28" i="281"/>
  <c r="H40" i="281"/>
  <c r="M30" i="281"/>
  <c r="R16" i="281"/>
  <c r="R32" i="281"/>
  <c r="S14" i="281"/>
  <c r="S18" i="281"/>
  <c r="S22" i="281"/>
  <c r="S26" i="281"/>
  <c r="S30" i="281"/>
  <c r="S34" i="281"/>
  <c r="S38" i="281"/>
  <c r="S42" i="281"/>
  <c r="T16" i="281"/>
  <c r="T20" i="281"/>
  <c r="T24" i="281"/>
  <c r="T28" i="281"/>
  <c r="T32" i="281"/>
  <c r="T36" i="281"/>
  <c r="T40" i="281"/>
  <c r="G20" i="281"/>
  <c r="G36" i="281"/>
  <c r="H15" i="281"/>
  <c r="H19" i="281"/>
  <c r="H27" i="281"/>
  <c r="H35" i="281"/>
  <c r="I37" i="281"/>
  <c r="P15" i="281"/>
  <c r="P23" i="281"/>
  <c r="P31" i="281"/>
  <c r="P35" i="281"/>
  <c r="R15" i="281"/>
  <c r="R31" i="281"/>
  <c r="S17" i="281"/>
  <c r="S25" i="281"/>
  <c r="S33" i="281"/>
  <c r="T15" i="281"/>
  <c r="G14" i="281"/>
  <c r="G18" i="281"/>
  <c r="G30" i="281"/>
  <c r="G34" i="281"/>
  <c r="H17" i="281"/>
  <c r="H21" i="281"/>
  <c r="H25" i="281"/>
  <c r="H29" i="281"/>
  <c r="H33" i="281"/>
  <c r="H37" i="281"/>
  <c r="H41" i="281"/>
  <c r="K23" i="281"/>
  <c r="K27" i="281"/>
  <c r="K31" i="281"/>
  <c r="K35" i="281"/>
  <c r="K39" i="281"/>
  <c r="L13" i="281"/>
  <c r="L17" i="281"/>
  <c r="L21" i="281"/>
  <c r="L25" i="281"/>
  <c r="L29" i="281"/>
  <c r="L33" i="281"/>
  <c r="L37" i="281"/>
  <c r="L41" i="281"/>
  <c r="M23" i="281"/>
  <c r="M27" i="281"/>
  <c r="M39" i="281"/>
  <c r="O15" i="281"/>
  <c r="O19" i="281"/>
  <c r="O23" i="281"/>
  <c r="O27" i="281"/>
  <c r="O31" i="281"/>
  <c r="O35" i="281"/>
  <c r="O39" i="281"/>
  <c r="P13" i="281"/>
  <c r="P17" i="281"/>
  <c r="P21" i="281"/>
  <c r="P25" i="281"/>
  <c r="P29" i="281"/>
  <c r="P33" i="281"/>
  <c r="P37" i="281"/>
  <c r="P41" i="281"/>
  <c r="R13" i="281"/>
  <c r="R17" i="281"/>
  <c r="R21" i="281"/>
  <c r="R29" i="281"/>
  <c r="R33" i="281"/>
  <c r="R37" i="281"/>
  <c r="R41" i="281"/>
  <c r="S15" i="281"/>
  <c r="S19" i="281"/>
  <c r="S23" i="281"/>
  <c r="S27" i="281"/>
  <c r="S31" i="281"/>
  <c r="S35" i="281"/>
  <c r="S39" i="281"/>
  <c r="T17" i="281"/>
  <c r="T21" i="281"/>
  <c r="T25" i="281"/>
  <c r="T29" i="281"/>
  <c r="T33" i="281"/>
  <c r="T37" i="281"/>
  <c r="T41" i="281"/>
  <c r="Q13" i="281"/>
  <c r="E353" i="267"/>
  <c r="M13" i="281"/>
  <c r="M17" i="281"/>
  <c r="M21" i="281"/>
  <c r="M25" i="281"/>
  <c r="M33" i="281"/>
  <c r="M37" i="281"/>
  <c r="M41" i="281"/>
  <c r="M29" i="281"/>
  <c r="M16" i="281"/>
  <c r="M20" i="281"/>
  <c r="M24" i="281"/>
  <c r="M28" i="281"/>
  <c r="M32" i="281"/>
  <c r="M36" i="281"/>
  <c r="M40" i="281"/>
  <c r="L16" i="281"/>
  <c r="L20" i="281"/>
  <c r="L24" i="281"/>
  <c r="L28" i="281"/>
  <c r="L32" i="281"/>
  <c r="L36" i="281"/>
  <c r="L40" i="281"/>
  <c r="L15" i="281"/>
  <c r="L19" i="281"/>
  <c r="L23" i="281"/>
  <c r="L27" i="281"/>
  <c r="L31" i="281"/>
  <c r="L35" i="281"/>
  <c r="L39" i="281"/>
  <c r="K15" i="281"/>
  <c r="K19" i="281"/>
  <c r="K14" i="281"/>
  <c r="K18" i="281"/>
  <c r="K22" i="281"/>
  <c r="K26" i="281"/>
  <c r="K30" i="281"/>
  <c r="K34" i="281"/>
  <c r="K38" i="281"/>
  <c r="K42" i="281"/>
  <c r="K13" i="281"/>
  <c r="K17" i="281"/>
  <c r="K21" i="281"/>
  <c r="K25" i="281"/>
  <c r="K29" i="281"/>
  <c r="K33" i="281"/>
  <c r="K37" i="281"/>
  <c r="K41" i="281"/>
  <c r="I22" i="281"/>
  <c r="I16" i="281"/>
  <c r="I20" i="281"/>
  <c r="I24" i="281"/>
  <c r="I28" i="281"/>
  <c r="I32" i="281"/>
  <c r="I36" i="281"/>
  <c r="I40" i="281"/>
  <c r="I26" i="281"/>
  <c r="I15" i="281"/>
  <c r="I19" i="281"/>
  <c r="I23" i="281"/>
  <c r="I27" i="281"/>
  <c r="I31" i="281"/>
  <c r="I35" i="281"/>
  <c r="I39" i="281"/>
  <c r="R38" i="281"/>
  <c r="Q16" i="281"/>
  <c r="Q20" i="281"/>
  <c r="Q24" i="281"/>
  <c r="Q28" i="281"/>
  <c r="Q32" i="281"/>
  <c r="Q36" i="281"/>
  <c r="Q40" i="281"/>
  <c r="Q15" i="281"/>
  <c r="Q19" i="281"/>
  <c r="Q23" i="281"/>
  <c r="Q27" i="281"/>
  <c r="Q31" i="281"/>
  <c r="Q35" i="281"/>
  <c r="Q39" i="281"/>
  <c r="Q14" i="281"/>
  <c r="Q18" i="281"/>
  <c r="Q22" i="281"/>
  <c r="Q26" i="281"/>
  <c r="Q30" i="281"/>
  <c r="Q34" i="281"/>
  <c r="Q38" i="281"/>
  <c r="Q42" i="281"/>
  <c r="Q17" i="281"/>
  <c r="Q21" i="281"/>
  <c r="Q25" i="281"/>
  <c r="Q29" i="281"/>
  <c r="Q33" i="281"/>
  <c r="Q37" i="281"/>
  <c r="Q41" i="281"/>
  <c r="N16" i="281"/>
  <c r="N20" i="281"/>
  <c r="N24" i="281"/>
  <c r="N28" i="281"/>
  <c r="N32" i="281"/>
  <c r="N36" i="281"/>
  <c r="N40" i="281"/>
  <c r="N14" i="281"/>
  <c r="N18" i="281"/>
  <c r="N22" i="281"/>
  <c r="N26" i="281"/>
  <c r="N30" i="281"/>
  <c r="N34" i="281"/>
  <c r="N38" i="281"/>
  <c r="N42" i="281"/>
  <c r="N15" i="281"/>
  <c r="N19" i="281"/>
  <c r="N23" i="281"/>
  <c r="N27" i="281"/>
  <c r="N31" i="281"/>
  <c r="N35" i="281"/>
  <c r="N39" i="281"/>
  <c r="N17" i="281"/>
  <c r="N21" i="281"/>
  <c r="N25" i="281"/>
  <c r="N29" i="281"/>
  <c r="N33" i="281"/>
  <c r="N37" i="281"/>
  <c r="N41" i="281"/>
  <c r="F14" i="281"/>
  <c r="F18" i="281"/>
  <c r="F22" i="281"/>
  <c r="F26" i="281"/>
  <c r="F38" i="281"/>
  <c r="F42" i="281"/>
  <c r="F17" i="281"/>
  <c r="F21" i="281"/>
  <c r="F25" i="281"/>
  <c r="F29" i="281"/>
  <c r="F33" i="281"/>
  <c r="F16" i="281"/>
  <c r="F20" i="281"/>
  <c r="F28" i="281"/>
  <c r="F32" i="281"/>
  <c r="F36" i="281"/>
  <c r="F19" i="281"/>
  <c r="F31" i="281"/>
  <c r="F35" i="281"/>
  <c r="F39" i="281"/>
  <c r="D285" i="284" l="1"/>
  <c r="D98" i="284"/>
  <c r="D174" i="284"/>
  <c r="D249" i="284"/>
  <c r="D267" i="284"/>
  <c r="D210" i="284"/>
  <c r="D156" i="284"/>
  <c r="D26" i="284"/>
  <c r="D231" i="284"/>
  <c r="D138" i="284"/>
  <c r="F108" i="284"/>
  <c r="D62" i="284"/>
  <c r="D80" i="284"/>
  <c r="F118" i="284"/>
  <c r="G118" i="284"/>
  <c r="D118" i="284"/>
  <c r="E118" i="284"/>
  <c r="F114" i="284"/>
  <c r="G114" i="284"/>
  <c r="D114" i="284"/>
  <c r="E114" i="284"/>
  <c r="AC9" i="262"/>
  <c r="AG9" i="262" s="1"/>
  <c r="CF9" i="262" s="1"/>
  <c r="N13" i="281"/>
  <c r="D192" i="284" s="1"/>
  <c r="F27" i="281"/>
  <c r="F24" i="281"/>
  <c r="F37" i="281"/>
  <c r="F34" i="281"/>
  <c r="D44" i="284" s="1"/>
  <c r="F40" i="281"/>
  <c r="F15" i="281"/>
  <c r="F41" i="281"/>
  <c r="F23" i="281"/>
  <c r="F30" i="281"/>
  <c r="E29" i="281"/>
  <c r="E33" i="281"/>
  <c r="E17" i="281"/>
  <c r="E35" i="281"/>
  <c r="E19" i="281"/>
  <c r="E25" i="281"/>
  <c r="E28" i="281"/>
  <c r="E18" i="281"/>
  <c r="E22" i="281"/>
  <c r="E38" i="281"/>
  <c r="E21" i="281"/>
  <c r="AH5" i="256"/>
  <c r="AG5" i="256"/>
  <c r="AF5" i="256"/>
  <c r="AE5" i="256"/>
  <c r="AD5" i="256"/>
  <c r="AC5" i="256"/>
  <c r="AB5" i="256"/>
  <c r="AA5" i="256"/>
  <c r="Z5" i="256"/>
  <c r="Y5" i="256"/>
  <c r="X5" i="256"/>
  <c r="W5" i="256"/>
  <c r="V5" i="256"/>
  <c r="U5" i="256"/>
  <c r="T5" i="256"/>
  <c r="S5" i="256"/>
  <c r="R5" i="256"/>
  <c r="Q5" i="256"/>
  <c r="P5" i="256"/>
  <c r="O5" i="256"/>
  <c r="N5" i="256"/>
  <c r="M5" i="256"/>
  <c r="L5" i="256"/>
  <c r="K5" i="256"/>
  <c r="J5" i="256"/>
  <c r="I5" i="256"/>
  <c r="H5" i="256"/>
  <c r="G5" i="256"/>
  <c r="F5" i="256"/>
  <c r="E5" i="256"/>
  <c r="J13" i="281" l="1"/>
  <c r="V13" i="281" s="1"/>
  <c r="AH5" i="243"/>
  <c r="AG5" i="243"/>
  <c r="AF5" i="243"/>
  <c r="AE5" i="243"/>
  <c r="AD5" i="243"/>
  <c r="AC5" i="243"/>
  <c r="AB5" i="243"/>
  <c r="AA5" i="243"/>
  <c r="Z5" i="243"/>
  <c r="Y5" i="243"/>
  <c r="X5" i="243"/>
  <c r="W5" i="243"/>
  <c r="V5" i="243"/>
  <c r="U5" i="243"/>
  <c r="T5" i="243"/>
  <c r="S5" i="243"/>
  <c r="R5" i="243"/>
  <c r="Q5" i="243"/>
  <c r="P5" i="243"/>
  <c r="O5" i="243"/>
  <c r="N5" i="243"/>
  <c r="M5" i="243"/>
  <c r="L5" i="243"/>
  <c r="K5" i="243"/>
  <c r="J5" i="243"/>
  <c r="I5" i="243"/>
  <c r="H5" i="243"/>
  <c r="G5" i="243"/>
  <c r="F5" i="243"/>
  <c r="E5" i="243"/>
  <c r="U13" i="281" l="1"/>
  <c r="B12" i="220" l="1"/>
  <c r="C32" i="10" l="1"/>
  <c r="C33" i="10"/>
  <c r="C34" i="10"/>
  <c r="C27" i="10"/>
  <c r="C28" i="10"/>
  <c r="C29" i="10"/>
  <c r="C30" i="10"/>
  <c r="C31" i="10"/>
  <c r="C11" i="10" l="1"/>
  <c r="C12" i="10"/>
  <c r="C13" i="10"/>
  <c r="C14" i="10"/>
  <c r="C15" i="10"/>
  <c r="C16" i="10"/>
  <c r="C17" i="10"/>
  <c r="C18" i="10"/>
  <c r="C19" i="10"/>
  <c r="C20" i="10"/>
  <c r="C21" i="10"/>
  <c r="C22" i="10"/>
  <c r="C23" i="10"/>
  <c r="C24" i="10"/>
  <c r="C25" i="10"/>
  <c r="C26" i="10"/>
  <c r="C35" i="10"/>
  <c r="C36" i="10"/>
  <c r="C37" i="10"/>
  <c r="C38" i="10"/>
  <c r="C39" i="10"/>
  <c r="C10" i="10"/>
  <c r="AG353" i="267"/>
  <c r="AC37" i="262" s="1"/>
  <c r="AG37" i="262" s="1"/>
  <c r="CF37" i="262" s="1"/>
  <c r="CG37" i="262" s="1"/>
  <c r="AE353" i="267"/>
  <c r="AC35" i="262" s="1"/>
  <c r="AG35" i="262" s="1"/>
  <c r="CF35" i="262" s="1"/>
  <c r="CG35" i="262" s="1"/>
  <c r="AC353" i="267"/>
  <c r="AC33" i="262" s="1"/>
  <c r="AG33" i="262" s="1"/>
  <c r="CF33" i="262" s="1"/>
  <c r="AA353" i="267"/>
  <c r="AC31" i="262" s="1"/>
  <c r="AG31" i="262" s="1"/>
  <c r="CF31" i="262" s="1"/>
  <c r="Y353" i="267"/>
  <c r="AC29" i="262" s="1"/>
  <c r="AG29" i="262" s="1"/>
  <c r="CF29" i="262" s="1"/>
  <c r="W353" i="267"/>
  <c r="AC27" i="262" s="1"/>
  <c r="AG27" i="262" s="1"/>
  <c r="CF27" i="262" s="1"/>
  <c r="U353" i="267"/>
  <c r="AC25" i="262" s="1"/>
  <c r="AG25" i="262" s="1"/>
  <c r="CF25" i="262" s="1"/>
  <c r="S353" i="267"/>
  <c r="AC23" i="262" s="1"/>
  <c r="AG23" i="262" s="1"/>
  <c r="CF23" i="262" s="1"/>
  <c r="Q353" i="267"/>
  <c r="AC21" i="262" s="1"/>
  <c r="AG21" i="262" s="1"/>
  <c r="CF21" i="262" s="1"/>
  <c r="O353" i="267"/>
  <c r="AC19" i="262" s="1"/>
  <c r="AG19" i="262" s="1"/>
  <c r="CF19" i="262" s="1"/>
  <c r="M353" i="267"/>
  <c r="AC17" i="262" s="1"/>
  <c r="AG17" i="262" s="1"/>
  <c r="CF17" i="262" s="1"/>
  <c r="K353" i="267"/>
  <c r="AC15" i="262" s="1"/>
  <c r="AG15" i="262" s="1"/>
  <c r="CF15" i="262" s="1"/>
  <c r="I353" i="267"/>
  <c r="AC13" i="262" s="1"/>
  <c r="AG13" i="262" s="1"/>
  <c r="CF13" i="262" s="1"/>
  <c r="G353" i="267"/>
  <c r="AC11" i="262" s="1"/>
  <c r="AG11" i="262" s="1"/>
  <c r="CF11" i="262" s="1"/>
  <c r="AH353" i="267"/>
  <c r="AC38" i="262" s="1"/>
  <c r="AG38" i="262" s="1"/>
  <c r="CF38" i="262" s="1"/>
  <c r="CG38" i="262" s="1"/>
  <c r="AF353" i="267"/>
  <c r="AC36" i="262" s="1"/>
  <c r="AG36" i="262" s="1"/>
  <c r="CF36" i="262" s="1"/>
  <c r="CG36" i="262" s="1"/>
  <c r="AD353" i="267"/>
  <c r="AC34" i="262" s="1"/>
  <c r="AG34" i="262" s="1"/>
  <c r="CF34" i="262" s="1"/>
  <c r="CG34" i="262" s="1"/>
  <c r="AB353" i="267"/>
  <c r="AC32" i="262" s="1"/>
  <c r="AG32" i="262" s="1"/>
  <c r="CF32" i="262" s="1"/>
  <c r="Z353" i="267"/>
  <c r="AC30" i="262" s="1"/>
  <c r="AG30" i="262" s="1"/>
  <c r="CF30" i="262" s="1"/>
  <c r="X353" i="267"/>
  <c r="AC28" i="262" s="1"/>
  <c r="AG28" i="262" s="1"/>
  <c r="CF28" i="262" s="1"/>
  <c r="V353" i="267"/>
  <c r="AC26" i="262" s="1"/>
  <c r="AG26" i="262" s="1"/>
  <c r="CF26" i="262" s="1"/>
  <c r="T353" i="267"/>
  <c r="AC24" i="262" s="1"/>
  <c r="AG24" i="262" s="1"/>
  <c r="CF24" i="262" s="1"/>
  <c r="R353" i="267"/>
  <c r="AC22" i="262" s="1"/>
  <c r="AG22" i="262" s="1"/>
  <c r="CF22" i="262" s="1"/>
  <c r="P353" i="267"/>
  <c r="AC20" i="262" s="1"/>
  <c r="AG20" i="262" s="1"/>
  <c r="CF20" i="262" s="1"/>
  <c r="N353" i="267"/>
  <c r="AC18" i="262" s="1"/>
  <c r="AG18" i="262" s="1"/>
  <c r="CF18" i="262" s="1"/>
  <c r="L353" i="267"/>
  <c r="AC16" i="262" s="1"/>
  <c r="AG16" i="262" s="1"/>
  <c r="CF16" i="262" s="1"/>
  <c r="J353" i="267"/>
  <c r="AC14" i="262" s="1"/>
  <c r="AG14" i="262" s="1"/>
  <c r="CF14" i="262" s="1"/>
  <c r="H353" i="267"/>
  <c r="AC12" i="262" s="1"/>
  <c r="AG12" i="262" s="1"/>
  <c r="CF12" i="262" s="1"/>
  <c r="F353" i="267"/>
  <c r="AC10" i="262" s="1"/>
  <c r="AG10" i="262" s="1"/>
  <c r="CF10" i="262" s="1"/>
  <c r="CG33" i="262" l="1"/>
  <c r="CG32" i="262"/>
  <c r="CG31" i="262"/>
  <c r="CG12" i="262"/>
  <c r="CG16" i="262"/>
  <c r="CG20" i="262"/>
  <c r="CG24" i="262"/>
  <c r="CG28" i="262"/>
  <c r="CG11" i="262"/>
  <c r="CG15" i="262"/>
  <c r="CG19" i="262"/>
  <c r="CG23" i="262"/>
  <c r="CG14" i="262"/>
  <c r="CG18" i="262"/>
  <c r="CG22" i="262"/>
  <c r="CG26" i="262"/>
  <c r="CG30" i="262"/>
  <c r="CG13" i="262"/>
  <c r="CG17" i="262"/>
  <c r="CG21" i="262"/>
  <c r="CG25" i="262"/>
  <c r="CG29" i="262"/>
  <c r="CG27" i="262"/>
  <c r="CG10" i="262"/>
  <c r="CG9" i="262"/>
  <c r="J18" i="281"/>
  <c r="J34" i="281"/>
  <c r="D120" i="284" s="1"/>
  <c r="J21" i="281"/>
  <c r="J37" i="281"/>
  <c r="J24" i="281"/>
  <c r="J40" i="281"/>
  <c r="J35" i="281"/>
  <c r="J14" i="281"/>
  <c r="J22" i="281"/>
  <c r="J30" i="281"/>
  <c r="J38" i="281"/>
  <c r="J17" i="281"/>
  <c r="J25" i="281"/>
  <c r="J33" i="281"/>
  <c r="J41" i="281"/>
  <c r="J26" i="281"/>
  <c r="J42" i="281"/>
  <c r="J29" i="281"/>
  <c r="J16" i="281"/>
  <c r="J32" i="281"/>
  <c r="J19" i="281"/>
  <c r="J27" i="281"/>
  <c r="J20" i="281"/>
  <c r="J28" i="281"/>
  <c r="J36" i="281"/>
  <c r="J15" i="281"/>
  <c r="J23" i="281"/>
  <c r="J31" i="281"/>
  <c r="J39" i="281"/>
  <c r="U36" i="281" l="1"/>
  <c r="V36" i="281"/>
  <c r="V25" i="281"/>
  <c r="U25" i="281"/>
  <c r="V39" i="281"/>
  <c r="U39" i="281"/>
  <c r="V23" i="281"/>
  <c r="U23" i="281"/>
  <c r="U20" i="281"/>
  <c r="V20" i="281"/>
  <c r="U19" i="281"/>
  <c r="V19" i="281"/>
  <c r="U16" i="281"/>
  <c r="V16" i="281"/>
  <c r="V42" i="281"/>
  <c r="U42" i="281"/>
  <c r="U41" i="281"/>
  <c r="V41" i="281"/>
  <c r="U38" i="281"/>
  <c r="V38" i="281"/>
  <c r="U22" i="281"/>
  <c r="V22" i="281"/>
  <c r="U35" i="281"/>
  <c r="V35" i="281"/>
  <c r="V24" i="281"/>
  <c r="U24" i="281"/>
  <c r="U21" i="281"/>
  <c r="V21" i="281"/>
  <c r="V18" i="281"/>
  <c r="U18" i="281"/>
  <c r="V31" i="281"/>
  <c r="U31" i="281"/>
  <c r="V15" i="281"/>
  <c r="U15" i="281"/>
  <c r="V28" i="281"/>
  <c r="U28" i="281"/>
  <c r="V27" i="281"/>
  <c r="U27" i="281"/>
  <c r="U32" i="281"/>
  <c r="V32" i="281"/>
  <c r="V29" i="281"/>
  <c r="U29" i="281"/>
  <c r="V26" i="281"/>
  <c r="U26" i="281"/>
  <c r="V33" i="281"/>
  <c r="U33" i="281"/>
  <c r="U17" i="281"/>
  <c r="V17" i="281"/>
  <c r="U30" i="281"/>
  <c r="V30" i="281"/>
  <c r="V14" i="281"/>
  <c r="U14" i="281"/>
  <c r="U40" i="281"/>
  <c r="V40" i="281"/>
  <c r="V37" i="281"/>
  <c r="U37" i="281"/>
  <c r="U34" i="281"/>
  <c r="V34" i="281"/>
  <c r="W37" i="281" l="1"/>
  <c r="W42" i="281"/>
  <c r="W39" i="281"/>
  <c r="W36" i="281"/>
  <c r="W40" i="281"/>
  <c r="W35" i="281"/>
  <c r="W38" i="281"/>
  <c r="W41" i="281"/>
  <c r="W17" i="281"/>
  <c r="W21" i="281"/>
  <c r="W29" i="281"/>
  <c r="W15" i="281"/>
  <c r="W24" i="281"/>
  <c r="W34" i="281"/>
  <c r="W30" i="281"/>
  <c r="W22" i="281"/>
  <c r="W16" i="281"/>
  <c r="W20" i="281"/>
  <c r="W25" i="281"/>
  <c r="W14" i="281"/>
  <c r="W13" i="281"/>
  <c r="W32" i="281"/>
  <c r="W19" i="281"/>
  <c r="W33" i="281"/>
  <c r="W27" i="281"/>
  <c r="W18" i="281"/>
  <c r="W26" i="281"/>
  <c r="W28" i="281"/>
  <c r="W31" i="281"/>
  <c r="W23" i="281"/>
</calcChain>
</file>

<file path=xl/sharedStrings.xml><?xml version="1.0" encoding="utf-8"?>
<sst xmlns="http://schemas.openxmlformats.org/spreadsheetml/2006/main" count="4863" uniqueCount="2084">
  <si>
    <t>:</t>
  </si>
  <si>
    <t>Kelas</t>
  </si>
  <si>
    <t>Alamat</t>
  </si>
  <si>
    <t>Semester</t>
  </si>
  <si>
    <t>Tahun Pelajaran</t>
  </si>
  <si>
    <t>No</t>
  </si>
  <si>
    <t>Nama</t>
  </si>
  <si>
    <t>No. Induk</t>
  </si>
  <si>
    <t>Jenis Kelamin</t>
  </si>
  <si>
    <t>Agama</t>
  </si>
  <si>
    <t>Madrasah/Sekolah Asal</t>
  </si>
  <si>
    <t>Alamat Siswa</t>
  </si>
  <si>
    <t>Wali</t>
  </si>
  <si>
    <t>Nama Wali</t>
  </si>
  <si>
    <t>Pendidikan</t>
  </si>
  <si>
    <t>Pekerjaan</t>
  </si>
  <si>
    <t>Pilih Nomor Urut Siswa untuk Cek Data Pribadi Siswa</t>
  </si>
  <si>
    <t>1.</t>
  </si>
  <si>
    <t>a.</t>
  </si>
  <si>
    <t>Nama Lengkap</t>
  </si>
  <si>
    <t>b.</t>
  </si>
  <si>
    <t>Nama Panggilan</t>
  </si>
  <si>
    <t>2.</t>
  </si>
  <si>
    <t>Nomor Induk</t>
  </si>
  <si>
    <t>3.</t>
  </si>
  <si>
    <t>Tempat dan Tanggal Lahir</t>
  </si>
  <si>
    <t>4.</t>
  </si>
  <si>
    <t>5.</t>
  </si>
  <si>
    <t>6.</t>
  </si>
  <si>
    <t>7.</t>
  </si>
  <si>
    <t>Nama Madrasah/Sekolah</t>
  </si>
  <si>
    <t>c.</t>
  </si>
  <si>
    <t>No. Telpon</t>
  </si>
  <si>
    <t>8.</t>
  </si>
  <si>
    <t>9.</t>
  </si>
  <si>
    <t>Orang Tua</t>
  </si>
  <si>
    <t>Nama Ayah</t>
  </si>
  <si>
    <t>- Pendidikan</t>
  </si>
  <si>
    <t>- Pekerjaan</t>
  </si>
  <si>
    <t>Nama Ibu</t>
  </si>
  <si>
    <t>10.</t>
  </si>
  <si>
    <t>d.</t>
  </si>
  <si>
    <t>KELAS</t>
  </si>
  <si>
    <t>ALAMAT</t>
  </si>
  <si>
    <t>Pramuka</t>
  </si>
  <si>
    <t>Sakit</t>
  </si>
  <si>
    <t>Izin</t>
  </si>
  <si>
    <t>Absensi</t>
  </si>
  <si>
    <t>REKAP NILAI ULANGAN HARIAN</t>
  </si>
  <si>
    <t>Al Qur'an Hadits</t>
  </si>
  <si>
    <t>MATA PELAJARAN</t>
  </si>
  <si>
    <t>Ex.1</t>
  </si>
  <si>
    <t>Ex.2</t>
  </si>
  <si>
    <t>Ex.3</t>
  </si>
  <si>
    <t>Ex.4</t>
  </si>
  <si>
    <t>Ex.5</t>
  </si>
  <si>
    <t>Ex.6</t>
  </si>
  <si>
    <t>Nama Siswa</t>
  </si>
  <si>
    <t xml:space="preserve">rata-rata </t>
  </si>
  <si>
    <t>Aqidah Akhlak</t>
  </si>
  <si>
    <t>SKI</t>
  </si>
  <si>
    <t>PKn</t>
  </si>
  <si>
    <t>B. Indonesia</t>
  </si>
  <si>
    <t>Bahasa Arab</t>
  </si>
  <si>
    <t>MTK</t>
  </si>
  <si>
    <t>IPA</t>
  </si>
  <si>
    <t>IPS</t>
  </si>
  <si>
    <t>SBK</t>
  </si>
  <si>
    <t>Penjas</t>
  </si>
  <si>
    <t>TIK</t>
  </si>
  <si>
    <t>I</t>
  </si>
  <si>
    <t>NO</t>
  </si>
  <si>
    <t>PANGGILAN</t>
  </si>
  <si>
    <t>B</t>
  </si>
  <si>
    <t>PAI</t>
  </si>
  <si>
    <t>Peringkat</t>
  </si>
  <si>
    <t>Aswaja</t>
  </si>
  <si>
    <t>Fiqih</t>
  </si>
  <si>
    <t>UMUM</t>
  </si>
  <si>
    <t>MULOK</t>
  </si>
  <si>
    <t>A</t>
  </si>
  <si>
    <t>B.Jawa</t>
  </si>
  <si>
    <t>B.Inggris</t>
  </si>
  <si>
    <t>KKM</t>
  </si>
  <si>
    <t>NILAI EXERCISE</t>
  </si>
  <si>
    <t>EX.1</t>
  </si>
  <si>
    <t>EX.2</t>
  </si>
  <si>
    <t>Pendidikan Agama Islam ;</t>
  </si>
  <si>
    <t>a.  Al Qur'an Hadits</t>
  </si>
  <si>
    <t>b. Aqidah Akhlak</t>
  </si>
  <si>
    <t>c. Fiqih</t>
  </si>
  <si>
    <t>Bahasa Indonesia</t>
  </si>
  <si>
    <t>Matematika</t>
  </si>
  <si>
    <t>Ilmu Pengetahuan Alam</t>
  </si>
  <si>
    <t>Ilmu Pengetahuan Sosial</t>
  </si>
  <si>
    <t>Pendidikan Jasmani</t>
  </si>
  <si>
    <t>Muatan Lokal ;</t>
  </si>
  <si>
    <t>a. Bahasa Jawa</t>
  </si>
  <si>
    <t>b. Bahasa Inggris</t>
  </si>
  <si>
    <t>RENTANG NILAI</t>
  </si>
  <si>
    <t>RANGE ANGKA</t>
  </si>
  <si>
    <t>NILAI</t>
  </si>
  <si>
    <t>0 – 24,9</t>
  </si>
  <si>
    <t>D</t>
  </si>
  <si>
    <t>58,25 – 66,4</t>
  </si>
  <si>
    <t>25 – 33,24</t>
  </si>
  <si>
    <t>66,5 – 74,9</t>
  </si>
  <si>
    <t>33,25 – 41,4</t>
  </si>
  <si>
    <t>75 – 83,24</t>
  </si>
  <si>
    <t>41,5 – 49,9</t>
  </si>
  <si>
    <t>C</t>
  </si>
  <si>
    <t>83,25 – 91,4</t>
  </si>
  <si>
    <t>50 – 58,24</t>
  </si>
  <si>
    <t>91,5 – 100</t>
  </si>
  <si>
    <t>NAMA</t>
  </si>
  <si>
    <t>NO. INDUK</t>
  </si>
  <si>
    <t>MATA  PELAJARAN</t>
  </si>
  <si>
    <t>EX.3</t>
  </si>
  <si>
    <t>+</t>
  </si>
  <si>
    <t>-</t>
  </si>
  <si>
    <t>c. TIK</t>
  </si>
  <si>
    <t>d. Aswaja</t>
  </si>
  <si>
    <t>Wali Murid</t>
  </si>
  <si>
    <t>Wali Kelas</t>
  </si>
  <si>
    <t>...................................</t>
  </si>
  <si>
    <t>Kompetensi Dasar</t>
  </si>
  <si>
    <t>Tanggal</t>
  </si>
  <si>
    <t>Nama Sekolah</t>
  </si>
  <si>
    <t>Nama Kepsek</t>
  </si>
  <si>
    <t>NIP</t>
  </si>
  <si>
    <t>Nama Guru Kelas</t>
  </si>
  <si>
    <t>Identitas Sekolah</t>
  </si>
  <si>
    <t>Kelas &amp; Tahun Pelajaran</t>
  </si>
  <si>
    <t>INPUT DATA</t>
  </si>
  <si>
    <t>Peserta Didik</t>
  </si>
  <si>
    <t>OUTPUT DATA</t>
  </si>
  <si>
    <t>Rekap</t>
  </si>
  <si>
    <t>Raport</t>
  </si>
  <si>
    <t>MAPEL WORKSHEET</t>
  </si>
  <si>
    <t>Bahasa Jawa</t>
  </si>
  <si>
    <t>Bahasa Inggris</t>
  </si>
  <si>
    <t>Bojonegoro,</t>
  </si>
  <si>
    <t>WORKSHEET AL QUR'AN</t>
  </si>
  <si>
    <t>Rata-rata Worksheet</t>
  </si>
  <si>
    <t>WORKSHEET AQIDAH</t>
  </si>
  <si>
    <t>1.1</t>
  </si>
  <si>
    <t>1.2</t>
  </si>
  <si>
    <t>1.3</t>
  </si>
  <si>
    <t>1.4</t>
  </si>
  <si>
    <t>1.5</t>
  </si>
  <si>
    <t>1.6</t>
  </si>
  <si>
    <t>1.7</t>
  </si>
  <si>
    <t>2.1</t>
  </si>
  <si>
    <t>2.2</t>
  </si>
  <si>
    <t>2.3</t>
  </si>
  <si>
    <t>2.4</t>
  </si>
  <si>
    <t>2.5</t>
  </si>
  <si>
    <t>2.6</t>
  </si>
  <si>
    <t>2.7</t>
  </si>
  <si>
    <t>3.1</t>
  </si>
  <si>
    <t>3.2</t>
  </si>
  <si>
    <t>3.3</t>
  </si>
  <si>
    <t>3.4</t>
  </si>
  <si>
    <t>3.5</t>
  </si>
  <si>
    <t>3.6</t>
  </si>
  <si>
    <t>3.7</t>
  </si>
  <si>
    <t>4.1</t>
  </si>
  <si>
    <t>4.2</t>
  </si>
  <si>
    <t>4.3</t>
  </si>
  <si>
    <t>4.4</t>
  </si>
  <si>
    <t>4.5</t>
  </si>
  <si>
    <t>4.6</t>
  </si>
  <si>
    <t>4.7</t>
  </si>
  <si>
    <t>5.1</t>
  </si>
  <si>
    <t>5.2</t>
  </si>
  <si>
    <t>5.3</t>
  </si>
  <si>
    <t>5.4</t>
  </si>
  <si>
    <t>5.5</t>
  </si>
  <si>
    <t>5.6</t>
  </si>
  <si>
    <t>5.7</t>
  </si>
  <si>
    <t>6.1</t>
  </si>
  <si>
    <t>6.2</t>
  </si>
  <si>
    <t>6.3</t>
  </si>
  <si>
    <t>6.4</t>
  </si>
  <si>
    <t>6.5</t>
  </si>
  <si>
    <t>6.6</t>
  </si>
  <si>
    <t>6.7</t>
  </si>
  <si>
    <t>7.1</t>
  </si>
  <si>
    <t>7.2</t>
  </si>
  <si>
    <t>7.3</t>
  </si>
  <si>
    <t>7.4</t>
  </si>
  <si>
    <t>7.5</t>
  </si>
  <si>
    <t>7.6</t>
  </si>
  <si>
    <t>7.7</t>
  </si>
  <si>
    <t>8.1</t>
  </si>
  <si>
    <t>8.2</t>
  </si>
  <si>
    <t>8.3</t>
  </si>
  <si>
    <t>8.4</t>
  </si>
  <si>
    <t>8.5</t>
  </si>
  <si>
    <t>8.6</t>
  </si>
  <si>
    <t>8.7</t>
  </si>
  <si>
    <t>9.1</t>
  </si>
  <si>
    <t>9.2</t>
  </si>
  <si>
    <t>9.3</t>
  </si>
  <si>
    <t>9.4</t>
  </si>
  <si>
    <t>9.5</t>
  </si>
  <si>
    <t>9.6</t>
  </si>
  <si>
    <t>9.7</t>
  </si>
  <si>
    <t>10.1</t>
  </si>
  <si>
    <t>10.2</t>
  </si>
  <si>
    <t>10.3</t>
  </si>
  <si>
    <t>10.4</t>
  </si>
  <si>
    <t>10.5</t>
  </si>
  <si>
    <t>10.6</t>
  </si>
  <si>
    <t>10.7</t>
  </si>
  <si>
    <t>11.1</t>
  </si>
  <si>
    <t>11.2</t>
  </si>
  <si>
    <t>11.3</t>
  </si>
  <si>
    <t>11.4</t>
  </si>
  <si>
    <t>11.5</t>
  </si>
  <si>
    <t>11.6</t>
  </si>
  <si>
    <t>11.7</t>
  </si>
  <si>
    <t>12.1</t>
  </si>
  <si>
    <t>12.2</t>
  </si>
  <si>
    <t>12.3</t>
  </si>
  <si>
    <t>12.4</t>
  </si>
  <si>
    <t>12.5</t>
  </si>
  <si>
    <t>12.6</t>
  </si>
  <si>
    <t>12.7</t>
  </si>
  <si>
    <t>13.1</t>
  </si>
  <si>
    <t>13.2</t>
  </si>
  <si>
    <t>13.3</t>
  </si>
  <si>
    <t>13.4</t>
  </si>
  <si>
    <t>13.5</t>
  </si>
  <si>
    <t>13.6</t>
  </si>
  <si>
    <t>13.7</t>
  </si>
  <si>
    <t>WORKSHEET FIQIH</t>
  </si>
  <si>
    <t>WORKSHEET BAHASA INDONESIA</t>
  </si>
  <si>
    <t>MENDENGARKAN</t>
  </si>
  <si>
    <t>BERBICARA</t>
  </si>
  <si>
    <t>MEMBACA</t>
  </si>
  <si>
    <t>MENULIS</t>
  </si>
  <si>
    <t>WORKSHEET BAHASA ARAB</t>
  </si>
  <si>
    <t>WORKSHEET MATEMATIKA</t>
  </si>
  <si>
    <t>WORKSHEET IPA</t>
  </si>
  <si>
    <t>WORKSHEET IPS</t>
  </si>
  <si>
    <t>WORKSHEET PENJASKES</t>
  </si>
  <si>
    <t>WORKSHEET BAHASA JAWA</t>
  </si>
  <si>
    <t>Nama Wali Kelas</t>
  </si>
  <si>
    <t>REKAP NILAI</t>
  </si>
  <si>
    <t>Rata2 WS</t>
  </si>
  <si>
    <t>Rata2 EX</t>
  </si>
  <si>
    <t>WORKSHEET BAHASA INGGRIS</t>
  </si>
  <si>
    <t>WORKSHEET SBK</t>
  </si>
  <si>
    <t>WORKSHEET SKI</t>
  </si>
  <si>
    <t>WORKSHEET TIK</t>
  </si>
  <si>
    <t>WORKSHEET ASWAJA</t>
  </si>
  <si>
    <t>Nilai UTS</t>
  </si>
  <si>
    <t>Nilai UAS</t>
  </si>
  <si>
    <t>Nilai Akhir</t>
  </si>
  <si>
    <t>Jumlah</t>
  </si>
  <si>
    <t>Tanpa Keterangan</t>
  </si>
  <si>
    <t>EXTRA</t>
  </si>
  <si>
    <t>ABSENSI</t>
  </si>
  <si>
    <t>1ALQURAN6a</t>
  </si>
  <si>
    <t>1ALQURAN6b</t>
  </si>
  <si>
    <t>1ALQURAN6c</t>
  </si>
  <si>
    <t>1ALQURAN6d</t>
  </si>
  <si>
    <t>2ALQURAN14a</t>
  </si>
  <si>
    <t>2ALQURAN14b</t>
  </si>
  <si>
    <t>2ALQURAN14c</t>
  </si>
  <si>
    <t>2ALQURAN14d</t>
  </si>
  <si>
    <t>3ALQURAN22a</t>
  </si>
  <si>
    <t>3ALQURAN22b</t>
  </si>
  <si>
    <t>3ALQURAN22c</t>
  </si>
  <si>
    <t>3ALQURAN22d</t>
  </si>
  <si>
    <t>4ALQURAN30a</t>
  </si>
  <si>
    <t>4ALQURAN30b</t>
  </si>
  <si>
    <t>4ALQURAN30c</t>
  </si>
  <si>
    <t>4ALQURAN30d</t>
  </si>
  <si>
    <t>5ALQURAN38a</t>
  </si>
  <si>
    <t>5ALQURAN38b</t>
  </si>
  <si>
    <t>5ALQURAN38c</t>
  </si>
  <si>
    <t>5ALQURAN38d</t>
  </si>
  <si>
    <t>6ALQURAN46a</t>
  </si>
  <si>
    <t>6ALQURAN46b</t>
  </si>
  <si>
    <t>6ALQURAN46c</t>
  </si>
  <si>
    <t>6ALQURAN46d</t>
  </si>
  <si>
    <t>7ALQURAN54a</t>
  </si>
  <si>
    <t>7ALQURAN54b</t>
  </si>
  <si>
    <t>7ALQURAN54c</t>
  </si>
  <si>
    <t>7ALQURAN54d</t>
  </si>
  <si>
    <t>8ALQURAN62a</t>
  </si>
  <si>
    <t>8ALQURAN62b</t>
  </si>
  <si>
    <t>8ALQURAN62c</t>
  </si>
  <si>
    <t>8ALQURAN62d</t>
  </si>
  <si>
    <t>9ALQURAN70a</t>
  </si>
  <si>
    <t>9ALQURAN70b</t>
  </si>
  <si>
    <t>9ALQURAN70c</t>
  </si>
  <si>
    <t>9ALQURAN70d</t>
  </si>
  <si>
    <t>10ALQURAN78a</t>
  </si>
  <si>
    <t>10ALQURAN78b</t>
  </si>
  <si>
    <t>10ALQURAN78c</t>
  </si>
  <si>
    <t>10ALQURAN78d</t>
  </si>
  <si>
    <t>11ALQURAN86a</t>
  </si>
  <si>
    <t>11ALQURAN86b</t>
  </si>
  <si>
    <t>11ALQURAN86c</t>
  </si>
  <si>
    <t>11ALQURAN86d</t>
  </si>
  <si>
    <t>12ALQURAN94a</t>
  </si>
  <si>
    <t>12ALQURAN94b</t>
  </si>
  <si>
    <t>12ALQURAN94c</t>
  </si>
  <si>
    <t>12ALQURAN94d</t>
  </si>
  <si>
    <t>13ALQURAN102a</t>
  </si>
  <si>
    <t>13ALQURAN102b</t>
  </si>
  <si>
    <t>13ALQURAN102c</t>
  </si>
  <si>
    <t>13ALQURAN102d</t>
  </si>
  <si>
    <t>1AQIDAH6a</t>
  </si>
  <si>
    <t>1AQIDAH6b</t>
  </si>
  <si>
    <t>1AQIDAH6c</t>
  </si>
  <si>
    <t>1AQIDAH6d</t>
  </si>
  <si>
    <t>2AQIDAH14a</t>
  </si>
  <si>
    <t>2AQIDAH14b</t>
  </si>
  <si>
    <t>2AQIDAH14c</t>
  </si>
  <si>
    <t>2AQIDAH14d</t>
  </si>
  <si>
    <t>3AQIDAH22a</t>
  </si>
  <si>
    <t>3AQIDAH22b</t>
  </si>
  <si>
    <t>3AQIDAH22c</t>
  </si>
  <si>
    <t>3AQIDAH22d</t>
  </si>
  <si>
    <t>4AQIDAH30a</t>
  </si>
  <si>
    <t>4AQIDAH30b</t>
  </si>
  <si>
    <t>4AQIDAH30c</t>
  </si>
  <si>
    <t>4AQIDAH30d</t>
  </si>
  <si>
    <t>5AQIDAH38a</t>
  </si>
  <si>
    <t>5AQIDAH38b</t>
  </si>
  <si>
    <t>5AQIDAH38c</t>
  </si>
  <si>
    <t>5AQIDAH38d</t>
  </si>
  <si>
    <t>6AQIDAH46a</t>
  </si>
  <si>
    <t>6AQIDAH46b</t>
  </si>
  <si>
    <t>6AQIDAH46c</t>
  </si>
  <si>
    <t>6AQIDAH46d</t>
  </si>
  <si>
    <t>7AQIDAH54a</t>
  </si>
  <si>
    <t>7AQIDAH54b</t>
  </si>
  <si>
    <t>7AQIDAH54c</t>
  </si>
  <si>
    <t>7AQIDAH54d</t>
  </si>
  <si>
    <t>8AQIDAH62a</t>
  </si>
  <si>
    <t>8AQIDAH62b</t>
  </si>
  <si>
    <t>8AQIDAH62c</t>
  </si>
  <si>
    <t>8AQIDAH62d</t>
  </si>
  <si>
    <t>9AQIDAH70a</t>
  </si>
  <si>
    <t>9AQIDAH70b</t>
  </si>
  <si>
    <t>9AQIDAH70c</t>
  </si>
  <si>
    <t>9AQIDAH70d</t>
  </si>
  <si>
    <t>10AQIDAH78a</t>
  </si>
  <si>
    <t>10AQIDAH78b</t>
  </si>
  <si>
    <t>10AQIDAH78c</t>
  </si>
  <si>
    <t>10AQIDAH78d</t>
  </si>
  <si>
    <t>11AQIDAH86a</t>
  </si>
  <si>
    <t>11AQIDAH86b</t>
  </si>
  <si>
    <t>11AQIDAH86c</t>
  </si>
  <si>
    <t>11AQIDAH86d</t>
  </si>
  <si>
    <t>12AQIDAH94a</t>
  </si>
  <si>
    <t>12AQIDAH94b</t>
  </si>
  <si>
    <t>12AQIDAH94c</t>
  </si>
  <si>
    <t>12AQIDAH94d</t>
  </si>
  <si>
    <t>13AQIDAH102a</t>
  </si>
  <si>
    <t>13AQIDAH102b</t>
  </si>
  <si>
    <t>13AQIDAH102c</t>
  </si>
  <si>
    <t>13AQIDAH102d</t>
  </si>
  <si>
    <t>1SKI6a</t>
  </si>
  <si>
    <t>1SKI6b</t>
  </si>
  <si>
    <t>1SKI6c</t>
  </si>
  <si>
    <t>1SKI6d</t>
  </si>
  <si>
    <t>2SKI14a</t>
  </si>
  <si>
    <t>2SKI14b</t>
  </si>
  <si>
    <t>2SKI14c</t>
  </si>
  <si>
    <t>2SKI14d</t>
  </si>
  <si>
    <t>3SKI22a</t>
  </si>
  <si>
    <t>3SKI22b</t>
  </si>
  <si>
    <t>3SKI22c</t>
  </si>
  <si>
    <t>3SKI22d</t>
  </si>
  <si>
    <t>4SKI30a</t>
  </si>
  <si>
    <t>4SKI30b</t>
  </si>
  <si>
    <t>4SKI30c</t>
  </si>
  <si>
    <t>4SKI30d</t>
  </si>
  <si>
    <t>5SKI38a</t>
  </si>
  <si>
    <t>5SKI38b</t>
  </si>
  <si>
    <t>5SKI38c</t>
  </si>
  <si>
    <t>5SKI38d</t>
  </si>
  <si>
    <t>6SKI46a</t>
  </si>
  <si>
    <t>6SKI46b</t>
  </si>
  <si>
    <t>6SKI46c</t>
  </si>
  <si>
    <t>6SKI46d</t>
  </si>
  <si>
    <t>7SKI54a</t>
  </si>
  <si>
    <t>7SKI54b</t>
  </si>
  <si>
    <t>7SKI54c</t>
  </si>
  <si>
    <t>7SKI54d</t>
  </si>
  <si>
    <t>8SKI62a</t>
  </si>
  <si>
    <t>8SKI62b</t>
  </si>
  <si>
    <t>8SKI62c</t>
  </si>
  <si>
    <t>8SKI62d</t>
  </si>
  <si>
    <t>9SKI70a</t>
  </si>
  <si>
    <t>9SKI70b</t>
  </si>
  <si>
    <t>9SKI70c</t>
  </si>
  <si>
    <t>9SKI70d</t>
  </si>
  <si>
    <t>10SKI78a</t>
  </si>
  <si>
    <t>10SKI78b</t>
  </si>
  <si>
    <t>10SKI78c</t>
  </si>
  <si>
    <t>10SKI78d</t>
  </si>
  <si>
    <t>11SKI86a</t>
  </si>
  <si>
    <t>11SKI86b</t>
  </si>
  <si>
    <t>11SKI86c</t>
  </si>
  <si>
    <t>11SKI86d</t>
  </si>
  <si>
    <t>12SKI94a</t>
  </si>
  <si>
    <t>12SKI94b</t>
  </si>
  <si>
    <t>12SKI94c</t>
  </si>
  <si>
    <t>12SKI94d</t>
  </si>
  <si>
    <t>13SKI102a</t>
  </si>
  <si>
    <t>13SKI102b</t>
  </si>
  <si>
    <t>13SKI102c</t>
  </si>
  <si>
    <t>13SKI102d</t>
  </si>
  <si>
    <t>1FIQIH6a</t>
  </si>
  <si>
    <t>1FIQIH6b</t>
  </si>
  <si>
    <t>1FIQIH6c</t>
  </si>
  <si>
    <t>1FIQIH6d</t>
  </si>
  <si>
    <t>2FIQIH14a</t>
  </si>
  <si>
    <t>2FIQIH14b</t>
  </si>
  <si>
    <t>2FIQIH14c</t>
  </si>
  <si>
    <t>2FIQIH14d</t>
  </si>
  <si>
    <t>3FIQIH22a</t>
  </si>
  <si>
    <t>3FIQIH22b</t>
  </si>
  <si>
    <t>3FIQIH22c</t>
  </si>
  <si>
    <t>3FIQIH22d</t>
  </si>
  <si>
    <t>4FIQIH30a</t>
  </si>
  <si>
    <t>4FIQIH30b</t>
  </si>
  <si>
    <t>4FIQIH30c</t>
  </si>
  <si>
    <t>4FIQIH30d</t>
  </si>
  <si>
    <t>5FIQIH38a</t>
  </si>
  <si>
    <t>5FIQIH38b</t>
  </si>
  <si>
    <t>5FIQIH38c</t>
  </si>
  <si>
    <t>5FIQIH38d</t>
  </si>
  <si>
    <t>6FIQIH46a</t>
  </si>
  <si>
    <t>6FIQIH46b</t>
  </si>
  <si>
    <t>6FIQIH46c</t>
  </si>
  <si>
    <t>6FIQIH46d</t>
  </si>
  <si>
    <t>7FIQIH54a</t>
  </si>
  <si>
    <t>7FIQIH54b</t>
  </si>
  <si>
    <t>7FIQIH54c</t>
  </si>
  <si>
    <t>7FIQIH54d</t>
  </si>
  <si>
    <t>8FIQIH62a</t>
  </si>
  <si>
    <t>8FIQIH62b</t>
  </si>
  <si>
    <t>8FIQIH62c</t>
  </si>
  <si>
    <t>8FIQIH62d</t>
  </si>
  <si>
    <t>9FIQIH70a</t>
  </si>
  <si>
    <t>9FIQIH70b</t>
  </si>
  <si>
    <t>9FIQIH70c</t>
  </si>
  <si>
    <t>9FIQIH70d</t>
  </si>
  <si>
    <t>10FIQIH78a</t>
  </si>
  <si>
    <t>10FIQIH78b</t>
  </si>
  <si>
    <t>10FIQIH78c</t>
  </si>
  <si>
    <t>10FIQIH78d</t>
  </si>
  <si>
    <t>11FIQIH86a</t>
  </si>
  <si>
    <t>11FIQIH86b</t>
  </si>
  <si>
    <t>11FIQIH86c</t>
  </si>
  <si>
    <t>11FIQIH86d</t>
  </si>
  <si>
    <t>12FIQIH94a</t>
  </si>
  <si>
    <t>12FIQIH94b</t>
  </si>
  <si>
    <t>12FIQIH94c</t>
  </si>
  <si>
    <t>12FIQIH94d</t>
  </si>
  <si>
    <t>13FIQIH102a</t>
  </si>
  <si>
    <t>13FIQIH102b</t>
  </si>
  <si>
    <t>13FIQIH102c</t>
  </si>
  <si>
    <t>13FIQIH102d</t>
  </si>
  <si>
    <t>1PKN6a</t>
  </si>
  <si>
    <t>1PKN6b</t>
  </si>
  <si>
    <t>1PKN6c</t>
  </si>
  <si>
    <t>1PKN6d</t>
  </si>
  <si>
    <t>2PKN14a</t>
  </si>
  <si>
    <t>2PKN14b</t>
  </si>
  <si>
    <t>2PKN14c</t>
  </si>
  <si>
    <t>2PKN14d</t>
  </si>
  <si>
    <t>3PKN22a</t>
  </si>
  <si>
    <t>3PKN22b</t>
  </si>
  <si>
    <t>3PKN22c</t>
  </si>
  <si>
    <t>3PKN22d</t>
  </si>
  <si>
    <t>4PKN30a</t>
  </si>
  <si>
    <t>4PKN30b</t>
  </si>
  <si>
    <t>4PKN30c</t>
  </si>
  <si>
    <t>4PKN30d</t>
  </si>
  <si>
    <t>5PKN38a</t>
  </si>
  <si>
    <t>5PKN38b</t>
  </si>
  <si>
    <t>5PKN38c</t>
  </si>
  <si>
    <t>5PKN38d</t>
  </si>
  <si>
    <t>6PKN46a</t>
  </si>
  <si>
    <t>6PKN46b</t>
  </si>
  <si>
    <t>6PKN46c</t>
  </si>
  <si>
    <t>6PKN46d</t>
  </si>
  <si>
    <t>7PKN54a</t>
  </si>
  <si>
    <t>7PKN54b</t>
  </si>
  <si>
    <t>7PKN54c</t>
  </si>
  <si>
    <t>7PKN54d</t>
  </si>
  <si>
    <t>8PKN62a</t>
  </si>
  <si>
    <t>8PKN62b</t>
  </si>
  <si>
    <t>8PKN62c</t>
  </si>
  <si>
    <t>8PKN62d</t>
  </si>
  <si>
    <t>9PKN70a</t>
  </si>
  <si>
    <t>9PKN70b</t>
  </si>
  <si>
    <t>9PKN70c</t>
  </si>
  <si>
    <t>9PKN70d</t>
  </si>
  <si>
    <t>10PKN78a</t>
  </si>
  <si>
    <t>10PKN78b</t>
  </si>
  <si>
    <t>10PKN78c</t>
  </si>
  <si>
    <t>10PKN78d</t>
  </si>
  <si>
    <t>11PKN86a</t>
  </si>
  <si>
    <t>11PKN86b</t>
  </si>
  <si>
    <t>11PKN86c</t>
  </si>
  <si>
    <t>11PKN86d</t>
  </si>
  <si>
    <t>12PKN94a</t>
  </si>
  <si>
    <t>12PKN94b</t>
  </si>
  <si>
    <t>12PKN94c</t>
  </si>
  <si>
    <t>12PKN94d</t>
  </si>
  <si>
    <t>13PKN102a</t>
  </si>
  <si>
    <t>13PKN102b</t>
  </si>
  <si>
    <t>13PKN102c</t>
  </si>
  <si>
    <t>13PKN102d</t>
  </si>
  <si>
    <t>1IND6a</t>
  </si>
  <si>
    <t>1IND6b</t>
  </si>
  <si>
    <t>1IND6c</t>
  </si>
  <si>
    <t>1IND6d</t>
  </si>
  <si>
    <t>2IND14a</t>
  </si>
  <si>
    <t>2IND14b</t>
  </si>
  <si>
    <t>2IND14c</t>
  </si>
  <si>
    <t>2IND14d</t>
  </si>
  <si>
    <t>3IND22a</t>
  </si>
  <si>
    <t>3IND22b</t>
  </si>
  <si>
    <t>3IND22c</t>
  </si>
  <si>
    <t>3IND22d</t>
  </si>
  <si>
    <t>4IND30a</t>
  </si>
  <si>
    <t>4IND30b</t>
  </si>
  <si>
    <t>4IND30c</t>
  </si>
  <si>
    <t>4IND30d</t>
  </si>
  <si>
    <t>5IND38a</t>
  </si>
  <si>
    <t>5IND38b</t>
  </si>
  <si>
    <t>5IND38c</t>
  </si>
  <si>
    <t>5IND38d</t>
  </si>
  <si>
    <t>6IND46a</t>
  </si>
  <si>
    <t>6IND46b</t>
  </si>
  <si>
    <t>6IND46c</t>
  </si>
  <si>
    <t>6IND46d</t>
  </si>
  <si>
    <t>7IND54a</t>
  </si>
  <si>
    <t>7IND54b</t>
  </si>
  <si>
    <t>7IND54c</t>
  </si>
  <si>
    <t>7IND54d</t>
  </si>
  <si>
    <t>8IND62a</t>
  </si>
  <si>
    <t>8IND62b</t>
  </si>
  <si>
    <t>8IND62c</t>
  </si>
  <si>
    <t>8IND62d</t>
  </si>
  <si>
    <t>9IND70a</t>
  </si>
  <si>
    <t>9IND70b</t>
  </si>
  <si>
    <t>9IND70c</t>
  </si>
  <si>
    <t>9IND70d</t>
  </si>
  <si>
    <t>10IND78a</t>
  </si>
  <si>
    <t>10IND78b</t>
  </si>
  <si>
    <t>10IND78c</t>
  </si>
  <si>
    <t>10IND78d</t>
  </si>
  <si>
    <t>11IND86a</t>
  </si>
  <si>
    <t>11IND86b</t>
  </si>
  <si>
    <t>11IND86c</t>
  </si>
  <si>
    <t>11IND86d</t>
  </si>
  <si>
    <t>12IND94a</t>
  </si>
  <si>
    <t>12IND94b</t>
  </si>
  <si>
    <t>12IND94c</t>
  </si>
  <si>
    <t>12IND94d</t>
  </si>
  <si>
    <t>13IND102a</t>
  </si>
  <si>
    <t>13IND102b</t>
  </si>
  <si>
    <t>13IND102c</t>
  </si>
  <si>
    <t>13IND102d</t>
  </si>
  <si>
    <t>1ARAB6a</t>
  </si>
  <si>
    <t>1ARAB6b</t>
  </si>
  <si>
    <t>1ARAB6c</t>
  </si>
  <si>
    <t>1ARAB6d</t>
  </si>
  <si>
    <t>2ARAB14a</t>
  </si>
  <si>
    <t>2ARAB14b</t>
  </si>
  <si>
    <t>2ARAB14c</t>
  </si>
  <si>
    <t>2ARAB14d</t>
  </si>
  <si>
    <t>3ARAB22a</t>
  </si>
  <si>
    <t>3ARAB22b</t>
  </si>
  <si>
    <t>3ARAB22c</t>
  </si>
  <si>
    <t>3ARAB22d</t>
  </si>
  <si>
    <t>4ARAB30a</t>
  </si>
  <si>
    <t>4ARAB30b</t>
  </si>
  <si>
    <t>4ARAB30c</t>
  </si>
  <si>
    <t>4ARAB30d</t>
  </si>
  <si>
    <t>5ARAB38a</t>
  </si>
  <si>
    <t>5ARAB38b</t>
  </si>
  <si>
    <t>5ARAB38c</t>
  </si>
  <si>
    <t>5ARAB38d</t>
  </si>
  <si>
    <t>6ARAB46a</t>
  </si>
  <si>
    <t>6ARAB46b</t>
  </si>
  <si>
    <t>6ARAB46c</t>
  </si>
  <si>
    <t>6ARAB46d</t>
  </si>
  <si>
    <t>7ARAB54a</t>
  </si>
  <si>
    <t>7ARAB54b</t>
  </si>
  <si>
    <t>7ARAB54c</t>
  </si>
  <si>
    <t>7ARAB54d</t>
  </si>
  <si>
    <t>8ARAB62a</t>
  </si>
  <si>
    <t>8ARAB62b</t>
  </si>
  <si>
    <t>8ARAB62c</t>
  </si>
  <si>
    <t>8ARAB62d</t>
  </si>
  <si>
    <t>9ARAB70a</t>
  </si>
  <si>
    <t>9ARAB70b</t>
  </si>
  <si>
    <t>9ARAB70c</t>
  </si>
  <si>
    <t>9ARAB70d</t>
  </si>
  <si>
    <t>10ARAB78a</t>
  </si>
  <si>
    <t>10ARAB78b</t>
  </si>
  <si>
    <t>10ARAB78c</t>
  </si>
  <si>
    <t>10ARAB78d</t>
  </si>
  <si>
    <t>11ARAB86a</t>
  </si>
  <si>
    <t>11ARAB86b</t>
  </si>
  <si>
    <t>11ARAB86c</t>
  </si>
  <si>
    <t>11ARAB86d</t>
  </si>
  <si>
    <t>12ARAB94a</t>
  </si>
  <si>
    <t>12ARAB94b</t>
  </si>
  <si>
    <t>12ARAB94c</t>
  </si>
  <si>
    <t>12ARAB94d</t>
  </si>
  <si>
    <t>13ARAB102a</t>
  </si>
  <si>
    <t>13ARAB102b</t>
  </si>
  <si>
    <t>13ARAB102c</t>
  </si>
  <si>
    <t>13ARAB102d</t>
  </si>
  <si>
    <t>1MTK6a</t>
  </si>
  <si>
    <t>1MTK6b</t>
  </si>
  <si>
    <t>1MTK6c</t>
  </si>
  <si>
    <t>1MTK6d</t>
  </si>
  <si>
    <t>2MTK14a</t>
  </si>
  <si>
    <t>2MTK14b</t>
  </si>
  <si>
    <t>2MTK14c</t>
  </si>
  <si>
    <t>2MTK14d</t>
  </si>
  <si>
    <t>3MTK22a</t>
  </si>
  <si>
    <t>3MTK22b</t>
  </si>
  <si>
    <t>3MTK22c</t>
  </si>
  <si>
    <t>3MTK22d</t>
  </si>
  <si>
    <t>4MTK30a</t>
  </si>
  <si>
    <t>4MTK30b</t>
  </si>
  <si>
    <t>4MTK30c</t>
  </si>
  <si>
    <t>4MTK30d</t>
  </si>
  <si>
    <t>5MTK38a</t>
  </si>
  <si>
    <t>5MTK38b</t>
  </si>
  <si>
    <t>5MTK38c</t>
  </si>
  <si>
    <t>5MTK38d</t>
  </si>
  <si>
    <t>6MTK46a</t>
  </si>
  <si>
    <t>6MTK46b</t>
  </si>
  <si>
    <t>6MTK46c</t>
  </si>
  <si>
    <t>6MTK46d</t>
  </si>
  <si>
    <t>7MTK54a</t>
  </si>
  <si>
    <t>7MTK54b</t>
  </si>
  <si>
    <t>7MTK54c</t>
  </si>
  <si>
    <t>7MTK54d</t>
  </si>
  <si>
    <t>8MTK62a</t>
  </si>
  <si>
    <t>8MTK62b</t>
  </si>
  <si>
    <t>8MTK62c</t>
  </si>
  <si>
    <t>8MTK62d</t>
  </si>
  <si>
    <t>9MTK70a</t>
  </si>
  <si>
    <t>9MTK70b</t>
  </si>
  <si>
    <t>9MTK70c</t>
  </si>
  <si>
    <t>9MTK70d</t>
  </si>
  <si>
    <t>10MTK78a</t>
  </si>
  <si>
    <t>10MTK78b</t>
  </si>
  <si>
    <t>10MTK78c</t>
  </si>
  <si>
    <t>10MTK78d</t>
  </si>
  <si>
    <t>11MTK86a</t>
  </si>
  <si>
    <t>11MTK86b</t>
  </si>
  <si>
    <t>11MTK86c</t>
  </si>
  <si>
    <t>11MTK86d</t>
  </si>
  <si>
    <t>12MTK94a</t>
  </si>
  <si>
    <t>12MTK94b</t>
  </si>
  <si>
    <t>12MTK94c</t>
  </si>
  <si>
    <t>12MTK94d</t>
  </si>
  <si>
    <t>13MTK102a</t>
  </si>
  <si>
    <t>13MTK102b</t>
  </si>
  <si>
    <t>13MTK102c</t>
  </si>
  <si>
    <t>13MTK102d</t>
  </si>
  <si>
    <t>1IPA6a</t>
  </si>
  <si>
    <t>1IPA6b</t>
  </si>
  <si>
    <t>1IPA6c</t>
  </si>
  <si>
    <t>1IPA6d</t>
  </si>
  <si>
    <t>2IPA14a</t>
  </si>
  <si>
    <t>2IPA14b</t>
  </si>
  <si>
    <t>2IPA14c</t>
  </si>
  <si>
    <t>2IPA14d</t>
  </si>
  <si>
    <t>3IPA22a</t>
  </si>
  <si>
    <t>3IPA22b</t>
  </si>
  <si>
    <t>3IPA22c</t>
  </si>
  <si>
    <t>3IPA22d</t>
  </si>
  <si>
    <t>4IPA30a</t>
  </si>
  <si>
    <t>4IPA30b</t>
  </si>
  <si>
    <t>4IPA30c</t>
  </si>
  <si>
    <t>4IPA30d</t>
  </si>
  <si>
    <t>5IPA38a</t>
  </si>
  <si>
    <t>5IPA38b</t>
  </si>
  <si>
    <t>5IPA38c</t>
  </si>
  <si>
    <t>5IPA38d</t>
  </si>
  <si>
    <t>6IPA46a</t>
  </si>
  <si>
    <t>6IPA46b</t>
  </si>
  <si>
    <t>6IPA46c</t>
  </si>
  <si>
    <t>6IPA46d</t>
  </si>
  <si>
    <t>7IPA54a</t>
  </si>
  <si>
    <t>7IPA54b</t>
  </si>
  <si>
    <t>7IPA54c</t>
  </si>
  <si>
    <t>7IPA54d</t>
  </si>
  <si>
    <t>8IPA62a</t>
  </si>
  <si>
    <t>8IPA62b</t>
  </si>
  <si>
    <t>8IPA62c</t>
  </si>
  <si>
    <t>8IPA62d</t>
  </si>
  <si>
    <t>9IPA70a</t>
  </si>
  <si>
    <t>9IPA70b</t>
  </si>
  <si>
    <t>9IPA70c</t>
  </si>
  <si>
    <t>9IPA70d</t>
  </si>
  <si>
    <t>10IPA78a</t>
  </si>
  <si>
    <t>10IPA78b</t>
  </si>
  <si>
    <t>10IPA78c</t>
  </si>
  <si>
    <t>10IPA78d</t>
  </si>
  <si>
    <t>11IPA86a</t>
  </si>
  <si>
    <t>11IPA86b</t>
  </si>
  <si>
    <t>11IPA86c</t>
  </si>
  <si>
    <t>11IPA86d</t>
  </si>
  <si>
    <t>12IPA94a</t>
  </si>
  <si>
    <t>12IPA94b</t>
  </si>
  <si>
    <t>12IPA94c</t>
  </si>
  <si>
    <t>12IPA94d</t>
  </si>
  <si>
    <t>13IPA102a</t>
  </si>
  <si>
    <t>13IPA102b</t>
  </si>
  <si>
    <t>13IPA102c</t>
  </si>
  <si>
    <t>13IPA102d</t>
  </si>
  <si>
    <t>1IPS6a</t>
  </si>
  <si>
    <t>1IPS6b</t>
  </si>
  <si>
    <t>1IPS6c</t>
  </si>
  <si>
    <t>1IPS6d</t>
  </si>
  <si>
    <t>2IPS14a</t>
  </si>
  <si>
    <t>2IPS14b</t>
  </si>
  <si>
    <t>2IPS14c</t>
  </si>
  <si>
    <t>2IPS14d</t>
  </si>
  <si>
    <t>3IPS22a</t>
  </si>
  <si>
    <t>3IPS22b</t>
  </si>
  <si>
    <t>3IPS22c</t>
  </si>
  <si>
    <t>3IPS22d</t>
  </si>
  <si>
    <t>4IPS30a</t>
  </si>
  <si>
    <t>4IPS30b</t>
  </si>
  <si>
    <t>4IPS30c</t>
  </si>
  <si>
    <t>4IPS30d</t>
  </si>
  <si>
    <t>5IPS38a</t>
  </si>
  <si>
    <t>5IPS38b</t>
  </si>
  <si>
    <t>5IPS38c</t>
  </si>
  <si>
    <t>5IPS38d</t>
  </si>
  <si>
    <t>6IPS46a</t>
  </si>
  <si>
    <t>6IPS46b</t>
  </si>
  <si>
    <t>6IPS46c</t>
  </si>
  <si>
    <t>6IPS46d</t>
  </si>
  <si>
    <t>7IPS54a</t>
  </si>
  <si>
    <t>7IPS54b</t>
  </si>
  <si>
    <t>7IPS54c</t>
  </si>
  <si>
    <t>7IPS54d</t>
  </si>
  <si>
    <t>8IPS62a</t>
  </si>
  <si>
    <t>8IPS62b</t>
  </si>
  <si>
    <t>8IPS62c</t>
  </si>
  <si>
    <t>8IPS62d</t>
  </si>
  <si>
    <t>9IPS70a</t>
  </si>
  <si>
    <t>9IPS70b</t>
  </si>
  <si>
    <t>9IPS70c</t>
  </si>
  <si>
    <t>9IPS70d</t>
  </si>
  <si>
    <t>10IPS78a</t>
  </si>
  <si>
    <t>10IPS78b</t>
  </si>
  <si>
    <t>10IPS78c</t>
  </si>
  <si>
    <t>10IPS78d</t>
  </si>
  <si>
    <t>11IPS86a</t>
  </si>
  <si>
    <t>11IPS86b</t>
  </si>
  <si>
    <t>11IPS86c</t>
  </si>
  <si>
    <t>11IPS86d</t>
  </si>
  <si>
    <t>12IPS94a</t>
  </si>
  <si>
    <t>12IPS94b</t>
  </si>
  <si>
    <t>12IPS94c</t>
  </si>
  <si>
    <t>12IPS94d</t>
  </si>
  <si>
    <t>13IPS102a</t>
  </si>
  <si>
    <t>13IPS102b</t>
  </si>
  <si>
    <t>13IPS102c</t>
  </si>
  <si>
    <t>13IPS102d</t>
  </si>
  <si>
    <t>1SBK6a</t>
  </si>
  <si>
    <t>1SBK6b</t>
  </si>
  <si>
    <t>1SBK6c</t>
  </si>
  <si>
    <t>1SBK6d</t>
  </si>
  <si>
    <t>2SBK14a</t>
  </si>
  <si>
    <t>2SBK14b</t>
  </si>
  <si>
    <t>2SBK14c</t>
  </si>
  <si>
    <t>2SBK14d</t>
  </si>
  <si>
    <t>3SBK22a</t>
  </si>
  <si>
    <t>3SBK22b</t>
  </si>
  <si>
    <t>3SBK22c</t>
  </si>
  <si>
    <t>3SBK22d</t>
  </si>
  <si>
    <t>4SBK30a</t>
  </si>
  <si>
    <t>4SBK30b</t>
  </si>
  <si>
    <t>4SBK30c</t>
  </si>
  <si>
    <t>4SBK30d</t>
  </si>
  <si>
    <t>5SBK38a</t>
  </si>
  <si>
    <t>5SBK38b</t>
  </si>
  <si>
    <t>5SBK38c</t>
  </si>
  <si>
    <t>5SBK38d</t>
  </si>
  <si>
    <t>6SBK46a</t>
  </si>
  <si>
    <t>6SBK46b</t>
  </si>
  <si>
    <t>6SBK46c</t>
  </si>
  <si>
    <t>6SBK46d</t>
  </si>
  <si>
    <t>7SBK54a</t>
  </si>
  <si>
    <t>7SBK54b</t>
  </si>
  <si>
    <t>7SBK54c</t>
  </si>
  <si>
    <t>7SBK54d</t>
  </si>
  <si>
    <t>8SBK62a</t>
  </si>
  <si>
    <t>8SBK62b</t>
  </si>
  <si>
    <t>8SBK62c</t>
  </si>
  <si>
    <t>8SBK62d</t>
  </si>
  <si>
    <t>9SBK70a</t>
  </si>
  <si>
    <t>9SBK70b</t>
  </si>
  <si>
    <t>9SBK70c</t>
  </si>
  <si>
    <t>9SBK70d</t>
  </si>
  <si>
    <t>10SBK78a</t>
  </si>
  <si>
    <t>10SBK78b</t>
  </si>
  <si>
    <t>10SBK78c</t>
  </si>
  <si>
    <t>10SBK78d</t>
  </si>
  <si>
    <t>11SBK86a</t>
  </si>
  <si>
    <t>11SBK86b</t>
  </si>
  <si>
    <t>11SBK86c</t>
  </si>
  <si>
    <t>11SBK86d</t>
  </si>
  <si>
    <t>12SBK94a</t>
  </si>
  <si>
    <t>12SBK94b</t>
  </si>
  <si>
    <t>12SBK94c</t>
  </si>
  <si>
    <t>12SBK94d</t>
  </si>
  <si>
    <t>13SBK102a</t>
  </si>
  <si>
    <t>13SBK102b</t>
  </si>
  <si>
    <t>13SBK102c</t>
  </si>
  <si>
    <t>13SBK102d</t>
  </si>
  <si>
    <t>1PENJAS6a</t>
  </si>
  <si>
    <t>1PENJAS6b</t>
  </si>
  <si>
    <t>1PENJAS6c</t>
  </si>
  <si>
    <t>1PENJAS6d</t>
  </si>
  <si>
    <t>2PENJAS14a</t>
  </si>
  <si>
    <t>2PENJAS14b</t>
  </si>
  <si>
    <t>2PENJAS14c</t>
  </si>
  <si>
    <t>2PENJAS14d</t>
  </si>
  <si>
    <t>3PENJAS22a</t>
  </si>
  <si>
    <t>3PENJAS22b</t>
  </si>
  <si>
    <t>3PENJAS22c</t>
  </si>
  <si>
    <t>3PENJAS22d</t>
  </si>
  <si>
    <t>4PENJAS30a</t>
  </si>
  <si>
    <t>4PENJAS30b</t>
  </si>
  <si>
    <t>4PENJAS30c</t>
  </si>
  <si>
    <t>4PENJAS30d</t>
  </si>
  <si>
    <t>5PENJAS38a</t>
  </si>
  <si>
    <t>5PENJAS38b</t>
  </si>
  <si>
    <t>5PENJAS38c</t>
  </si>
  <si>
    <t>5PENJAS38d</t>
  </si>
  <si>
    <t>6PENJAS46a</t>
  </si>
  <si>
    <t>6PENJAS46b</t>
  </si>
  <si>
    <t>6PENJAS46c</t>
  </si>
  <si>
    <t>6PENJAS46d</t>
  </si>
  <si>
    <t>7PENJAS54a</t>
  </si>
  <si>
    <t>7PENJAS54b</t>
  </si>
  <si>
    <t>7PENJAS54c</t>
  </si>
  <si>
    <t>7PENJAS54d</t>
  </si>
  <si>
    <t>8PENJAS62a</t>
  </si>
  <si>
    <t>8PENJAS62b</t>
  </si>
  <si>
    <t>8PENJAS62c</t>
  </si>
  <si>
    <t>8PENJAS62d</t>
  </si>
  <si>
    <t>9PENJAS70a</t>
  </si>
  <si>
    <t>9PENJAS70b</t>
  </si>
  <si>
    <t>9PENJAS70c</t>
  </si>
  <si>
    <t>9PENJAS70d</t>
  </si>
  <si>
    <t>10PENJAS78a</t>
  </si>
  <si>
    <t>10PENJAS78b</t>
  </si>
  <si>
    <t>10PENJAS78c</t>
  </si>
  <si>
    <t>10PENJAS78d</t>
  </si>
  <si>
    <t>11PENJAS86a</t>
  </si>
  <si>
    <t>11PENJAS86b</t>
  </si>
  <si>
    <t>11PENJAS86c</t>
  </si>
  <si>
    <t>11PENJAS86d</t>
  </si>
  <si>
    <t>12PENJAS94a</t>
  </si>
  <si>
    <t>12PENJAS94b</t>
  </si>
  <si>
    <t>12PENJAS94c</t>
  </si>
  <si>
    <t>12PENJAS94d</t>
  </si>
  <si>
    <t>13PENJAS102a</t>
  </si>
  <si>
    <t>13PENJAS102b</t>
  </si>
  <si>
    <t>13PENJAS102c</t>
  </si>
  <si>
    <t>13PENJAS102d</t>
  </si>
  <si>
    <t>1JAWA6a</t>
  </si>
  <si>
    <t>1JAWA6b</t>
  </si>
  <si>
    <t>1JAWA6c</t>
  </si>
  <si>
    <t>1JAWA6d</t>
  </si>
  <si>
    <t>2JAWA14a</t>
  </si>
  <si>
    <t>2JAWA14b</t>
  </si>
  <si>
    <t>2JAWA14c</t>
  </si>
  <si>
    <t>2JAWA14d</t>
  </si>
  <si>
    <t>3JAWA22a</t>
  </si>
  <si>
    <t>3JAWA22b</t>
  </si>
  <si>
    <t>3JAWA22c</t>
  </si>
  <si>
    <t>3JAWA22d</t>
  </si>
  <si>
    <t>4JAWA30a</t>
  </si>
  <si>
    <t>4JAWA30b</t>
  </si>
  <si>
    <t>4JAWA30c</t>
  </si>
  <si>
    <t>4JAWA30d</t>
  </si>
  <si>
    <t>5JAWA38a</t>
  </si>
  <si>
    <t>5JAWA38b</t>
  </si>
  <si>
    <t>5JAWA38c</t>
  </si>
  <si>
    <t>5JAWA38d</t>
  </si>
  <si>
    <t>6JAWA46a</t>
  </si>
  <si>
    <t>6JAWA46b</t>
  </si>
  <si>
    <t>6JAWA46c</t>
  </si>
  <si>
    <t>6JAWA46d</t>
  </si>
  <si>
    <t>7JAWA54a</t>
  </si>
  <si>
    <t>7JAWA54b</t>
  </si>
  <si>
    <t>7JAWA54c</t>
  </si>
  <si>
    <t>7JAWA54d</t>
  </si>
  <si>
    <t>8JAWA62a</t>
  </si>
  <si>
    <t>8JAWA62b</t>
  </si>
  <si>
    <t>8JAWA62c</t>
  </si>
  <si>
    <t>8JAWA62d</t>
  </si>
  <si>
    <t>9JAWA70a</t>
  </si>
  <si>
    <t>9JAWA70b</t>
  </si>
  <si>
    <t>9JAWA70c</t>
  </si>
  <si>
    <t>9JAWA70d</t>
  </si>
  <si>
    <t>10JAWA78a</t>
  </si>
  <si>
    <t>10JAWA78b</t>
  </si>
  <si>
    <t>10JAWA78c</t>
  </si>
  <si>
    <t>10JAWA78d</t>
  </si>
  <si>
    <t>11JAWA86a</t>
  </si>
  <si>
    <t>11JAWA86b</t>
  </si>
  <si>
    <t>11JAWA86c</t>
  </si>
  <si>
    <t>11JAWA86d</t>
  </si>
  <si>
    <t>12JAWA94a</t>
  </si>
  <si>
    <t>12JAWA94b</t>
  </si>
  <si>
    <t>12JAWA94c</t>
  </si>
  <si>
    <t>12JAWA94d</t>
  </si>
  <si>
    <t>13JAWA102a</t>
  </si>
  <si>
    <t>13JAWA102b</t>
  </si>
  <si>
    <t>13JAWA102c</t>
  </si>
  <si>
    <t>13JAWA102d</t>
  </si>
  <si>
    <t>1ING6a</t>
  </si>
  <si>
    <t>1ING6b</t>
  </si>
  <si>
    <t>1ING6c</t>
  </si>
  <si>
    <t>1ING6d</t>
  </si>
  <si>
    <t>2ING14a</t>
  </si>
  <si>
    <t>2ING14b</t>
  </si>
  <si>
    <t>2ING14c</t>
  </si>
  <si>
    <t>2ING14d</t>
  </si>
  <si>
    <t>3ING22a</t>
  </si>
  <si>
    <t>3ING22b</t>
  </si>
  <si>
    <t>3ING22c</t>
  </si>
  <si>
    <t>3ING22d</t>
  </si>
  <si>
    <t>4ING30a</t>
  </si>
  <si>
    <t>4ING30b</t>
  </si>
  <si>
    <t>4ING30c</t>
  </si>
  <si>
    <t>4ING30d</t>
  </si>
  <si>
    <t>5ING38a</t>
  </si>
  <si>
    <t>5ING38b</t>
  </si>
  <si>
    <t>5ING38c</t>
  </si>
  <si>
    <t>5ING38d</t>
  </si>
  <si>
    <t>6ING46a</t>
  </si>
  <si>
    <t>6ING46b</t>
  </si>
  <si>
    <t>6ING46c</t>
  </si>
  <si>
    <t>6ING46d</t>
  </si>
  <si>
    <t>7ING54a</t>
  </si>
  <si>
    <t>7ING54b</t>
  </si>
  <si>
    <t>7ING54c</t>
  </si>
  <si>
    <t>7ING54d</t>
  </si>
  <si>
    <t>8ING62a</t>
  </si>
  <si>
    <t>8ING62b</t>
  </si>
  <si>
    <t>8ING62c</t>
  </si>
  <si>
    <t>8ING62d</t>
  </si>
  <si>
    <t>9ING70a</t>
  </si>
  <si>
    <t>9ING70b</t>
  </si>
  <si>
    <t>9ING70c</t>
  </si>
  <si>
    <t>9ING70d</t>
  </si>
  <si>
    <t>10ING78a</t>
  </si>
  <si>
    <t>10ING78b</t>
  </si>
  <si>
    <t>10ING78c</t>
  </si>
  <si>
    <t>10ING78d</t>
  </si>
  <si>
    <t>11ING86a</t>
  </si>
  <si>
    <t>11ING86b</t>
  </si>
  <si>
    <t>11ING86c</t>
  </si>
  <si>
    <t>11ING86d</t>
  </si>
  <si>
    <t>12ING94a</t>
  </si>
  <si>
    <t>12ING94b</t>
  </si>
  <si>
    <t>12ING94c</t>
  </si>
  <si>
    <t>12ING94d</t>
  </si>
  <si>
    <t>13ING102a</t>
  </si>
  <si>
    <t>13ING102b</t>
  </si>
  <si>
    <t>13ING102c</t>
  </si>
  <si>
    <t>13ING102d</t>
  </si>
  <si>
    <t>1TIK6a</t>
  </si>
  <si>
    <t>1TIK6b</t>
  </si>
  <si>
    <t>1TIK6c</t>
  </si>
  <si>
    <t>1TIK6d</t>
  </si>
  <si>
    <t>2TIK14a</t>
  </si>
  <si>
    <t>2TIK14b</t>
  </si>
  <si>
    <t>2TIK14c</t>
  </si>
  <si>
    <t>2TIK14d</t>
  </si>
  <si>
    <t>3TIK22a</t>
  </si>
  <si>
    <t>3TIK22b</t>
  </si>
  <si>
    <t>3TIK22c</t>
  </si>
  <si>
    <t>3TIK22d</t>
  </si>
  <si>
    <t>4TIK30a</t>
  </si>
  <si>
    <t>4TIK30b</t>
  </si>
  <si>
    <t>4TIK30c</t>
  </si>
  <si>
    <t>4TIK30d</t>
  </si>
  <si>
    <t>5TIK38a</t>
  </si>
  <si>
    <t>5TIK38b</t>
  </si>
  <si>
    <t>5TIK38c</t>
  </si>
  <si>
    <t>5TIK38d</t>
  </si>
  <si>
    <t>6TIK46a</t>
  </si>
  <si>
    <t>6TIK46b</t>
  </si>
  <si>
    <t>6TIK46c</t>
  </si>
  <si>
    <t>6TIK46d</t>
  </si>
  <si>
    <t>7TIK54a</t>
  </si>
  <si>
    <t>7TIK54b</t>
  </si>
  <si>
    <t>7TIK54c</t>
  </si>
  <si>
    <t>7TIK54d</t>
  </si>
  <si>
    <t>8TIK62a</t>
  </si>
  <si>
    <t>8TIK62b</t>
  </si>
  <si>
    <t>8TIK62c</t>
  </si>
  <si>
    <t>8TIK62d</t>
  </si>
  <si>
    <t>9TIK70a</t>
  </si>
  <si>
    <t>9TIK70b</t>
  </si>
  <si>
    <t>9TIK70c</t>
  </si>
  <si>
    <t>9TIK70d</t>
  </si>
  <si>
    <t>10TIK78a</t>
  </si>
  <si>
    <t>10TIK78b</t>
  </si>
  <si>
    <t>10TIK78c</t>
  </si>
  <si>
    <t>10TIK78d</t>
  </si>
  <si>
    <t>11TIK86a</t>
  </si>
  <si>
    <t>11TIK86b</t>
  </si>
  <si>
    <t>11TIK86c</t>
  </si>
  <si>
    <t>11TIK86d</t>
  </si>
  <si>
    <t>12TIK94a</t>
  </si>
  <si>
    <t>12TIK94b</t>
  </si>
  <si>
    <t>12TIK94c</t>
  </si>
  <si>
    <t>12TIK94d</t>
  </si>
  <si>
    <t>13TIK102a</t>
  </si>
  <si>
    <t>13TIK102b</t>
  </si>
  <si>
    <t>13TIK102c</t>
  </si>
  <si>
    <t>13TIK102d</t>
  </si>
  <si>
    <t>1ASWAJA6a</t>
  </si>
  <si>
    <t>1ASWAJA6b</t>
  </si>
  <si>
    <t>1ASWAJA6c</t>
  </si>
  <si>
    <t>1ASWAJA6d</t>
  </si>
  <si>
    <t>2ASWAJA14a</t>
  </si>
  <si>
    <t>2ASWAJA14b</t>
  </si>
  <si>
    <t>2ASWAJA14c</t>
  </si>
  <si>
    <t>2ASWAJA14d</t>
  </si>
  <si>
    <t>3ASWAJA22a</t>
  </si>
  <si>
    <t>3ASWAJA22b</t>
  </si>
  <si>
    <t>3ASWAJA22c</t>
  </si>
  <si>
    <t>3ASWAJA22d</t>
  </si>
  <si>
    <t>4ASWAJA30a</t>
  </si>
  <si>
    <t>4ASWAJA30b</t>
  </si>
  <si>
    <t>4ASWAJA30c</t>
  </si>
  <si>
    <t>4ASWAJA30d</t>
  </si>
  <si>
    <t>5ASWAJA38a</t>
  </si>
  <si>
    <t>5ASWAJA38b</t>
  </si>
  <si>
    <t>5ASWAJA38c</t>
  </si>
  <si>
    <t>5ASWAJA38d</t>
  </si>
  <si>
    <t>6ASWAJA46a</t>
  </si>
  <si>
    <t>6ASWAJA46b</t>
  </si>
  <si>
    <t>6ASWAJA46c</t>
  </si>
  <si>
    <t>6ASWAJA46d</t>
  </si>
  <si>
    <t>7ASWAJA54a</t>
  </si>
  <si>
    <t>7ASWAJA54b</t>
  </si>
  <si>
    <t>7ASWAJA54c</t>
  </si>
  <si>
    <t>7ASWAJA54d</t>
  </si>
  <si>
    <t>8ASWAJA62a</t>
  </si>
  <si>
    <t>8ASWAJA62b</t>
  </si>
  <si>
    <t>8ASWAJA62c</t>
  </si>
  <si>
    <t>8ASWAJA62d</t>
  </si>
  <si>
    <t>9ASWAJA70a</t>
  </si>
  <si>
    <t>9ASWAJA70b</t>
  </si>
  <si>
    <t>9ASWAJA70c</t>
  </si>
  <si>
    <t>9ASWAJA70d</t>
  </si>
  <si>
    <t>10ASWAJA78a</t>
  </si>
  <si>
    <t>10ASWAJA78b</t>
  </si>
  <si>
    <t>10ASWAJA78c</t>
  </si>
  <si>
    <t>10ASWAJA78d</t>
  </si>
  <si>
    <t>11ASWAJA86a</t>
  </si>
  <si>
    <t>11ASWAJA86b</t>
  </si>
  <si>
    <t>11ASWAJA86c</t>
  </si>
  <si>
    <t>11ASWAJA86d</t>
  </si>
  <si>
    <t>12ASWAJA94a</t>
  </si>
  <si>
    <t>12ASWAJA94b</t>
  </si>
  <si>
    <t>12ASWAJA94c</t>
  </si>
  <si>
    <t>12ASWAJA94d</t>
  </si>
  <si>
    <t>13ASWAJA102a</t>
  </si>
  <si>
    <t>13ASWAJA102b</t>
  </si>
  <si>
    <t>13ASWAJA102c</t>
  </si>
  <si>
    <t>13ASWAJA102d</t>
  </si>
  <si>
    <t>LAPORAN HASIL BELAJAR</t>
  </si>
  <si>
    <t>1.  Al Qur'an Hadits</t>
  </si>
  <si>
    <t>Hasil Belajar</t>
  </si>
  <si>
    <t>Perlu Peningkatan</t>
  </si>
  <si>
    <t>Mulai Berkembang</t>
  </si>
  <si>
    <t>Berkembang dengan Baik</t>
  </si>
  <si>
    <t>Menguasai</t>
  </si>
  <si>
    <t>Hasil Kompetensi Belajar Siswa</t>
  </si>
  <si>
    <t>no</t>
  </si>
  <si>
    <t>14PENJASa</t>
  </si>
  <si>
    <t>14PENJASb</t>
  </si>
  <si>
    <t>14PENJASc</t>
  </si>
  <si>
    <t>14PENJASd</t>
  </si>
  <si>
    <t>15PENJASa</t>
  </si>
  <si>
    <t>15PENJASb</t>
  </si>
  <si>
    <t>15PENJASc</t>
  </si>
  <si>
    <t>15PENJASd</t>
  </si>
  <si>
    <t>16PENJASa</t>
  </si>
  <si>
    <t>16PENJASb</t>
  </si>
  <si>
    <t>16PENJASc</t>
  </si>
  <si>
    <t>16PENJASd</t>
  </si>
  <si>
    <t>2. Aqidah Akhlak</t>
  </si>
  <si>
    <t>3.  Fikih</t>
  </si>
  <si>
    <t>4. Pendidikan kewarganegaraan</t>
  </si>
  <si>
    <t>5. Bahasa Indonesia</t>
  </si>
  <si>
    <t>6. Bahasa Arab</t>
  </si>
  <si>
    <t>7. Matematika</t>
  </si>
  <si>
    <t>8. Ilmu Pengetahuan Alam</t>
  </si>
  <si>
    <t>10. Seni Budaya dan Ketrampilan</t>
  </si>
  <si>
    <t>9. Ilmu Pengetahuan Sosial</t>
  </si>
  <si>
    <t>12. Bahasa Jawa</t>
  </si>
  <si>
    <t>13. Bahasa Inggris</t>
  </si>
  <si>
    <t>tik</t>
  </si>
  <si>
    <t>aswaja</t>
  </si>
  <si>
    <t>tampilkan</t>
  </si>
  <si>
    <t>sembunyikan</t>
  </si>
  <si>
    <t>Talent's Day</t>
  </si>
  <si>
    <t>Ketidakhadiran</t>
  </si>
  <si>
    <t>Hari</t>
  </si>
  <si>
    <t>Jenis kegiatan</t>
  </si>
  <si>
    <t>Ijin</t>
  </si>
  <si>
    <t xml:space="preserve">Orang tua/Wali </t>
  </si>
  <si>
    <t>............................................................</t>
  </si>
  <si>
    <t>Mengetahui,</t>
  </si>
  <si>
    <t>LENGKAP</t>
  </si>
  <si>
    <t>NO.INDUK</t>
  </si>
  <si>
    <t>TEMPAT LAHIR</t>
  </si>
  <si>
    <t>TANGGAL LAHIR</t>
  </si>
  <si>
    <t>JK</t>
  </si>
  <si>
    <t>AGAMA</t>
  </si>
  <si>
    <t>SEKOLAH ASAL</t>
  </si>
  <si>
    <t>ALAMAT SISWA</t>
  </si>
  <si>
    <t>ORANG TUA</t>
  </si>
  <si>
    <t>AYAH</t>
  </si>
  <si>
    <t>IBU</t>
  </si>
  <si>
    <t>PENDIDIKAN</t>
  </si>
  <si>
    <t>PEKERJAAN</t>
  </si>
  <si>
    <t xml:space="preserve">NAMA </t>
  </si>
  <si>
    <t>JUMLAH SISWA</t>
  </si>
  <si>
    <t>LAKI-LAKI</t>
  </si>
  <si>
    <t>PEREMPUAN</t>
  </si>
  <si>
    <t>IDENTITAS PESERTA DIDIK</t>
  </si>
  <si>
    <t>UNTUK CETAK</t>
  </si>
  <si>
    <t>MULAI NO</t>
  </si>
  <si>
    <t>SAMPAI NO</t>
  </si>
  <si>
    <t>REKAP ABSENSI</t>
  </si>
  <si>
    <t>S</t>
  </si>
  <si>
    <t>PRAMUKA</t>
  </si>
  <si>
    <t>MATA PELAJARAN DAN SKM</t>
  </si>
  <si>
    <t>SKM</t>
  </si>
  <si>
    <t>Pendidikan Kewarganegaraan</t>
  </si>
  <si>
    <t>Pendidikan Jasmani &amp; Kesehatan</t>
  </si>
  <si>
    <t>Al Qur'an Hadist</t>
  </si>
  <si>
    <t>Mata Pelajaran :</t>
  </si>
  <si>
    <t>ex1</t>
  </si>
  <si>
    <t>ex2</t>
  </si>
  <si>
    <t>ex3</t>
  </si>
  <si>
    <t>ex4</t>
  </si>
  <si>
    <t>ex5</t>
  </si>
  <si>
    <t>ex6</t>
  </si>
  <si>
    <t>UTS</t>
  </si>
  <si>
    <t>UAS</t>
  </si>
  <si>
    <t>Nilai Exercise</t>
  </si>
  <si>
    <t>R2ex</t>
  </si>
  <si>
    <t/>
  </si>
  <si>
    <t>11. Pendidikan Jasmani dan Rohani</t>
  </si>
  <si>
    <t>Mendengarkan</t>
  </si>
  <si>
    <t>Berbicara</t>
  </si>
  <si>
    <t>Membaca</t>
  </si>
  <si>
    <t>Menulis</t>
  </si>
  <si>
    <t>CATATAN</t>
  </si>
  <si>
    <t>CATATAN WALI KELAS</t>
  </si>
  <si>
    <t>Keterangan</t>
  </si>
  <si>
    <t>Pilih Nomor Urut Siswa untuk Cek Nilai</t>
  </si>
  <si>
    <t>Input</t>
  </si>
  <si>
    <t>WORKSHEET PKN</t>
  </si>
  <si>
    <t>CTT</t>
  </si>
  <si>
    <t>ALQURAN</t>
  </si>
  <si>
    <t>AKIDAH</t>
  </si>
  <si>
    <t>FIQIH</t>
  </si>
  <si>
    <t>PKN</t>
  </si>
  <si>
    <t>IND</t>
  </si>
  <si>
    <t>ARAB</t>
  </si>
  <si>
    <t>PENJAS</t>
  </si>
  <si>
    <t>JAWA</t>
  </si>
  <si>
    <t>ING</t>
  </si>
  <si>
    <t>ASWAJA</t>
  </si>
  <si>
    <t>TALENT'S DAY</t>
  </si>
  <si>
    <t>Tahfidz</t>
  </si>
  <si>
    <t>Mewarna</t>
  </si>
  <si>
    <t>PUBLIC SPEAKING</t>
  </si>
  <si>
    <t>Public Speaking</t>
  </si>
  <si>
    <t>NAMA SEKOLAH</t>
  </si>
  <si>
    <t>GAJI</t>
  </si>
  <si>
    <t>TELEPON</t>
  </si>
  <si>
    <t xml:space="preserve">TANGGAL DITERIMA </t>
  </si>
  <si>
    <t>ALAMAT ORANG TUA</t>
  </si>
  <si>
    <t>KD WORKSHEET</t>
  </si>
  <si>
    <t>Bojonegoro, 17 Juni 2017</t>
  </si>
  <si>
    <t>B+</t>
  </si>
  <si>
    <t xml:space="preserve">Ananda sudah mampu menguasai tata cara wudu, menyebutkan hal-hal yang membatalkan wudu, manfaat wudu, tata cara wudu, dan juga hafal niat serta doa setelah wudu. Selain itu ananda juga sudah menguasai tata cara tayamum, hal-hal yang membatalkan tayamum, menyebutkan sebab tayamum, serta praktik tayamum. </t>
  </si>
  <si>
    <t xml:space="preserve">Ananda sudah mampu menguasai makna wudu, menyebutkan hal-hal yang membatalkan wudu, manfaat wudu, tata cara wudu, dan juga hafal niat serta doa setelah wudu. Selain itu ananda juga sudah menguasai tata cara tayamum, hal-hal yang membatalkan tayamum, menyebutkan sebab tayamum, serta praktik tayamum. Namun kemampuan ananda mulai berkembang untuk memahami tata cara wudu secara tulis. </t>
  </si>
  <si>
    <t>A-</t>
  </si>
  <si>
    <t xml:space="preserve">Ananda sudah mampu menguasai tata cara wudu, menyebutkan hal-hal yang membatalkan wudu, manfaat wudu. Selain itu ananda juga sudah menguasai tata cara tayamum, hal-hal yang membatalkan tayamum, menyebutkan sebab tayamum, serta praktik tayamum. Bimbingan dan motivasi sangat diperlukan ananda untuk mengahafalkan niat dan doa setelah wudu. </t>
  </si>
  <si>
    <t xml:space="preserve">Ananda sudah mampu menguasai tata cara wudu, menyebutkan hal-hal yang membatalkan wudu, dan manfaat wudu. Selain itu ananda juga sudah menguasai tata cara tayamum, hal-hal yang membatalkan tayamum, menyebutkan sebab tayamum. Selainn itu kemampuan ananda berkembang dengan baik dalam hal mengahafal niat dan doa setelah wudu, serta mempraktikkan tata cara tayamum. </t>
  </si>
  <si>
    <t xml:space="preserve">Ananda sudah mampu menguasai tata cara wudu, menyebutkan hal-hal yang membatalkan wudu, manfaat wudu, dan juga hafal niat serta doa setelah wudu. Selain itu ananda juga sudah menguasai tata cara tayamum, hal-hal yang membatalkan tayamum, menyebutkan sebab tayamum, serta praktik tayamum. </t>
  </si>
  <si>
    <t xml:space="preserve">Ananda sudah mampu menguasai tata cara wudu, menyebutkan hal-hal yang membatalkan wudu, manfaat wudu, dan juga hafal niat serta doa setelah wudu. Selain itu ananda juga sudah menguasai tata cara tayamum, hal-hal yang membatalkan tayamum, dan menyebutkan sebab tayamum. Namun Kemampuan ananda dalam praktik mensimulasikan tayamum sudah berkembang dengan baik. </t>
  </si>
  <si>
    <t xml:space="preserve">Ananda sudah mampu menguasai tata cara wudu, menyebutkan hal-hal yang membatalkan wudu, manfaat wudu, dan juga hafal niat serta doa setelah wudu. Selain itu ananda juga sudah menguasai tata cara tayamum, hal-hal yang membatalkan tayamum, menyebutkan sebab tayamum, serta praktik tayamum. Namun bimbingan dan motivasi sangat membantu ananda dalam menghafal niat dan doa wudu beserta artinya. </t>
  </si>
  <si>
    <t xml:space="preserve">Ananda sudah mampu menguasai tata cara wudu, menyebutkan hal-hal yang membatalkan wudu, manfaat wudu, dan juga hafal niat serta doa setelah wudu. Selain itu ananda juga sudah menguasai tata cara tayamum, hal-hal yang membatalkan tayamum, menyebutkan sebab tayamum, serta mensimulasikan tata cara tayamum dengan baik. </t>
  </si>
  <si>
    <t xml:space="preserve">Ananda sudah mampu menguasai tata cara wudu, menyebutkan hal-hal yang membatalkan wudu, manfaat wudu. Selain itu ananda juga sudah menguasai tata cara tayamum, hal-hal yang membatalkan tayamum, dan menyebutkan sebab tayamum. Bimbingan dan motivasi diperlukan oleh ananda dalam mengahafal niat dan doa wudu serta mensimulasikan tata cara tayamum.  </t>
  </si>
  <si>
    <t xml:space="preserve">Ananda sudah mampu menguasai tata cara wudu, menyebutkan hal-hal yang membatalkan wudu, manfaat wudu. Selain itu ananda juga sudah menguasai tata cara tayamum, hal-hal yang membatalkan tayamum, menyebutkan sebab tayamum, serta praktik tayamum. Kemampuan ananda dalam menghafal niat dan doa setelah wudu juga berkembang dengan baik. </t>
  </si>
  <si>
    <t xml:space="preserve">Ananda sudah mampu menguasai tata cara wudu, menyebutkan hal-hal yang membatalkan wudu, manfaat wudu, dan juga hafal niat serta doa setelah wudu. Selain itu ananda juga sudah menguasai tata cara tayamum, hal-hal yang membatalkan tayamum, menyebutkan sebab tayamum, serta mensimulasikan tata cara tayamum dengan baik dan benar. </t>
  </si>
  <si>
    <t xml:space="preserve">Ananda sudah mampu mengidentifikasi penyebab batalnya wudu, manfaat wudu, dan praktik wudu dengan baik. Selain itu ananda juga menguasai penyebab yang membatalkan tayamum dan manfaat tayamum. Namun bimbingan dan motivasi sangat diperlukan ananda untuk menghafakan niat dan doa setelah wudu serta mepraktikkan tayamum dengan benar. Ananda juga perlu meningkatkan pemahaman tentang tata cara wudu. </t>
  </si>
  <si>
    <t xml:space="preserve">Ananda sudah mampu menguasai tata cara wudu, menyebutkan hal-hal yang membatalkan wudu, manfaat wudu. Selain itu ananda juga sudah menguasai tata cara tayamum, hal-hal yang membatalkan tayamum, menyebutkan sebab tayamum, serta praktik tayamum. Bimbingan dan motivasi sangat diperlukan ananda untuk menghafal niat dan doa setelah wudu. </t>
  </si>
  <si>
    <t xml:space="preserve">Ananda sudah mampu menguasai tata cara wudu, menyebutkan hal-hal yang membatalkan wudu, manfaat wudu. Selain itu ananda juga sudah menguasai tata cara tayamum, hal-hal yang membatalkan tayamum, menyebutkan sebab tayamum. Bimbingan dan motivasi sangat diperlukan ananda untuk menghafal niat dan doa setelah wudu dan juga mempraktikkan tata cara tayamum dengan baik dan benar. </t>
  </si>
  <si>
    <t xml:space="preserve">Ananda mampu menguasai dan mengetahui penyebab yang membatalkan wudu dan manfaat wudu. Selain itu ananda juga sudah menguasai tata cara tayamum serta mampu mempraktikannya. Kemampuan ananda dalam mengahafal niat dan doa wudu juga berkembang dengan baik. Bimbingan dan motivasi sangat diperlukan ananda untuk mensimulasikan tata cara tayamum dengan baik dan benar. </t>
  </si>
  <si>
    <t xml:space="preserve">Ananda mampu menguasai dan memahami penyebab batalnya wudu, manfaat wudu dan juga mampu mempraktikannya dengan baik dan benar. Selain itu ananda juga mampu untuk mensimulasikan tata cara tayamum dengan urut. Kemampuan ananda dalam memahami tata cara tayamum juga berkembang dengan baik. </t>
  </si>
  <si>
    <t xml:space="preserve">Ananda sangat menguasai dalam hal membedakan gerak benda dan mengidentifikasi penyebab gerak benda. Ananda juga sudah mampu untuk mengenal benda langit; mengenal keadaan cuaca; serta membedakan pengaruh musim kemarau dan musim hujan terhadap kegiatan manusia. Ananda juga mampu untuk membedakan benda yang mudah bergerak dan benda yang sulit bergerak melalui percobaan. </t>
  </si>
  <si>
    <t xml:space="preserve">Ananda sangat menguasai dalam hal membedakan gerak benda dan mengidentifikasi penyebab gerak benda. Ananda juga sudah mampu untuk mengenal benda langit; mengenal keadaan cuaca. Ananda juga mampu untuk membedakan benda yang mudah bergerak dan benda yang sulit bergerak melalui percobaan. Kemampuan ananda juga berkembang dengan baik dalam hal membedakan pengaruh musim kemarau dan musim hujan. </t>
  </si>
  <si>
    <t>Ananda sangat menguasai dalam hal membedakan gerak benda dan mengidentifikasi penyebab gerak benda. Ananda juga sudah mampu untuk mengenal benda langit; serta membedakan pengaruh musim kemarau dan musim hujan. Ananda juga mampu untuk membedakan benda yang mudah bergerak dan benda yang sulit bergerak melalui percobaan. Ananda mulai berkembang dalam hal mengenal keadaan cuaca</t>
  </si>
  <si>
    <t xml:space="preserve">Ananda sudah mampu membedakan gerak benda dan juga mengidentifikasi penyebab gerak benda. Selain itu ananda juga sudah mampu mengenal cuaca dan membedakan pengaruhnya. Selain itu kemampuan Ananda berkembang dengan baik dalam mengamati benda langit. Bimbingan dan motivasi sangat dipelukan ananda dalam kegiatan belajar setiap hari. </t>
  </si>
  <si>
    <t xml:space="preserve">Ananda sudah mampu membedakan gerak benda dan juga mengidentifikasi penyebab gerak benda. Selain itu ananda juga sudah mampu mengenal cuaca dan membedakan pengaruhnya. Selain itu kemampuan Ananda berkembang dengan baik dalam mengamati benda langit. Namun yang perlu ananda perhatikan adalah ketelitian dalam mengerjakan. </t>
  </si>
  <si>
    <t xml:space="preserve">Ananda sudah mampu membedakan gerak benda dan juga mengidentifikasi penyebab gerak benda. Selain itu ananda juga sudah mampu mengenal cuaca disekitar. Selain itu kemampuan Ananda berkembang dengan baik dalam mengamati benda langit. Namun yang perlu ananda perhatikan adalah ketelitian dalam mengerjakan. </t>
  </si>
  <si>
    <t xml:space="preserve">Ananda sangat menguasai dalam hal membedakan gerak benda dan mengidentifikasi penyebab gerak benda. Ananda juga sudah mampu untuk mengenal benda langit; serta membedakan pengaruh musim kemarau dan musim hujan. Ananda juga mampu untuk membedakan benda yang mudah bergerak dan benda yang sulit bergerak melalui percobaan. Kemampuan ananda dalam mengenal keadaan cuaca sekitar memang sedang berkembang. </t>
  </si>
  <si>
    <t xml:space="preserve">Ananda memang menguasai untuk membedakan gerak benda; dan mengidentifikasi gerak benda. Anan da juga sudah mampu untuk mengenal keadaan cuaca sekitar. Kemampuan ananda dalam mengenal benda langit dan membedakan pengaruh musim sudah mulai berkembang. Yang perlu diperhatikan adalah ketelitian dalam mengerjakan dan tidak perlu tergesa-gesa. </t>
  </si>
  <si>
    <t>Kemampuan ananda dalam menerima, memahami, dan menerapkan dalam aspek reading dan writing sudah mumpuni. Namun yang masih perlu ditingkatkan adalah aspek listening dan speaking.</t>
  </si>
  <si>
    <t>Kemampuan ananda dalam menerima, memahami, dan menerapkan dalam aspek listening,speaking, reading dan writing sudah mumpuni.</t>
  </si>
  <si>
    <t>Kemampuan ananda dalam menerima, memahami, dan menerapkan dalam aspek listening dan speaking sudah mumpuni. Namun yang masih perlu ditingkatkan adalah aspek reading dan writing .</t>
  </si>
  <si>
    <t xml:space="preserve">secara keseluruhan ananda sudah mampu menguasai materi dengan baik. Namun yang perlu ananda tingkatkan adalha ketelitian dalam mengerjakan seperti pada KD menjalankan lingkungan rumah sehat dan perilaku dalam mengekspresikan kebersihan. Tidak perlu mengerjakan dengan tergesa-gesa, pahami soal dengan sungguh-sungguh pasti hasilnya akan lebih memuaskan . tetap semangat kak </t>
  </si>
  <si>
    <t>kemampuan ananda  menguasai dan memahami materi maupun soal  berkembang dengan baik. Tingkatkan terus belajarnya ya kak</t>
  </si>
  <si>
    <t>Alhamdulillah ananda mampu menguasai bagaimana cara mencerminkan kemabli peristiwa penting yang dialami sendiri di lingkungan, serta mendeskripsikan letak rumah dan menjalankan lingungannya rumah sehat dan perilaku dalam mengekspresikan kebersihan. Hanya saja kurang begitu percaya diri . harus lebih berani dan disiplin lagi ya kak egi tetap semangat belajar</t>
  </si>
  <si>
    <t>secara keseluruhan  ananda mampu menguasai dan memahami baik materi maupun soal yang berikan dengan sangat baik. Pertahankan prestasimu ya kak, tetap semangat belajar</t>
  </si>
  <si>
    <t>kemampuan ananda dalam  menguasai dan memahami materi maupun soal  berkembang dengan baik. Tingkatkan terus belajarnya ya kak luna</t>
  </si>
  <si>
    <t>Alhamdulillah ananda mampu menguasai bagaimana cara mencermin peristiwa penting yang dialami sendiri di lingkungan keluarga, serta mampu mendeskripsikan letak rumah dan mampu menjalankan lingkungan rumah sehat dalam mengekspresikan kebersihan . Semangat belajar terus ya kak Aqila</t>
  </si>
  <si>
    <t>Seacara keseluruhan ananda  mampu menguasai materi maupun soal yang telah diberikan, diharapkan untuk lebih teliti serta tidak tergesa-gesa ya kak i'it. Tingkatkan belajarnya</t>
  </si>
  <si>
    <t>Alhamdulillah ananda sudah mampu menguasai baik materi maupun soal yang telah diberikan. Bimbingan serta motivasi sangat di butuhkan dalam hal ketelitian tidak perlu tergesa-gesa dalam mengerjakan supaya hasil yang di peroleh lebih memuaskan. Tetap semangat ya kak</t>
  </si>
  <si>
    <t>Kemampuan ananda dalam mencerminkan peristiwa penting yang pernah di alami di keluarga berkembang dengan baik, serta ananda mampu mengidentifikasi letak rumah dengan sangat baik. Dan mampu menjalankan lingkungan rumah sehat dan perilaku dalam mengekspresikan kebersihan . tetap semangat belajar ya kak</t>
  </si>
  <si>
    <t>Secara keseluruhan ananda sudah mampu menguasai materi dengan baik. Namun bimbingan dan motivasi tetap di butuhkan untuk meningkatkan ketelitian ananda . Tidak perlu tergesa-gesa dalam mengerjakan supaya hasil yang diperoleh lebih memuaskan, tetap semangat ya kak</t>
  </si>
  <si>
    <t>Alhamdulillah ananda mampu menguasai baik materi maupun soal yang telah diberikan. Namun bimbingan dan motivasi tetap butuhkan dalam meningkatkan rasa percaya diri ananda. Tetap semangat belajar ya kak</t>
  </si>
  <si>
    <t xml:space="preserve">kemampuan ananda berkembang dengan konsisten, ananda mampu mencerminkan kembali peristiwa penting yang di alami sendiri di lingkungan keluarga, serta mampu mendeskripsikan letak rumah dengan sempurna. Bimbingan dan motivasi tetap di butuhkan untuk meningkatkan rasa percaya diri ananda. tetap semangat ya kak </t>
  </si>
  <si>
    <t>Secara keseluruhan ananda sudah menguasai baik materi serta soalyang telah di berikan . Motivasi dan bimbingan sangatlah di butuhkan untuk meningkatkan ketelitian ananda, tidak perlu tergesa-gesa dalam mengerjakan ya kak, denganbegitu nilai yang diperoleh akan lebih memuaskan. tetap semangat</t>
  </si>
  <si>
    <t>alhamdulillah ananda mampu mencerminkan peristiwa penting yang di alamidi lingkungan keluarga dengan sangat baik, serta mampu mengidentifikasi letak rumah dengan sempurna. Bimbingan seta motivasi selalu di butuhkan dalam meningkatkan belajar ananda, tetap semangat ya kak</t>
  </si>
  <si>
    <t>kemampuan ananda mampu menguasai dalam hal mencerminkan peristiwa penting yang pernah di alami di keluarga, serta ananda mampu mengidentifikasi letak rumah dengan sangat baik. Akan tetapi bimbingan dan motivasi sangatlah dibutuhkan dalam meningkatkan ketelitian ananda, tidak perlu tergesa-gesa agar hasil yang diperoleh lebih memuaskan . tetap semangat y kak</t>
  </si>
  <si>
    <t>Ananda menunjukkan kemampuannya dalam mecerminkan kembali peristiwa penting yang di alami sendiri lingkungan keluarga, serta mampu mengidentifikasi letak rumah dan menjalankan lingkungan rumah sehat dan perilaku dalam mengekspresikan kebersihan. Tetap semangat ya kak</t>
  </si>
  <si>
    <t>Alhamdulillah ananda sudah mampu menguasai baik materi maupun soal yang telah diberikan. Bimbingan serta motivasi sangat di butuhkan dalam meningkatkan rasa percaya diri ananda, tetap semangat belajar ya kak</t>
  </si>
  <si>
    <t>secara keseluruhan ananda mampu menguasai serta memahami materi maupun soal yang telah di berikan,bimbingan dan motivasi sangatlah dibutuhkan dalam meningkatkan hasil belajar ananda. Tetap rajin belajar ya kak</t>
  </si>
  <si>
    <t>Alhamdulillah ananda mampu menguasai serta memahami baik materi maupun soal yang telah di berikan dengan sangat baik, namun alangkah bimbingan serta motivasi sangatlah di butuhkan untuk meningkatkan rasa percaya diri ananda. Tetap semangat ya kak</t>
  </si>
  <si>
    <t>Ananda menunjukkan kemampuannya dengan konsisten. ananda mampu menguasai dalam mecerminkan kembali peristiwa penting yang di alami sendiri lingkungan keluarga, serta mampu mengidentifikasi letak rumah dan menjalankan lingkungan rumah sehat dan perilaku dalam mengekspresikan kebersihan. Tetap semangat belajar ya kak</t>
  </si>
  <si>
    <t>Alhamdulillah ananda mampu menguasai dalam hal mencerminkan kembali peristiwa penting yang di alami di lingkungan keluarga dengan baik, serta ananda mampu mengidentifikasi letak rumah dan menjalankan lingkungan rumah sehat serta perilaku dalam mengekspresikan kebersihan dengan sangat baik , tetap semangat belajar ya kak.</t>
  </si>
  <si>
    <t>Alhamdulillah ananda mampu menguasai bagaimana cara mencerminkan kembali peristiwa penting yang dialami sendiri di lingkungan, serta mendeskripsikan letak rumah dan menjalankan lingkungan rumah sehat dan perilaku dalam mengekspresikan kebersihan. tingkatkan lagi semangat belajarnya ya kak.</t>
  </si>
  <si>
    <t>Alhamdulillah kemampuan ananda dalam mencerminkan kembali peristiwa di lingkungan keluarga berkembang dengan baik. Serta mampu menguasai bagaimana mendeskripsikan letak rumah dan menjalankan lingkungan rumah sehat dengan perilaku mengekspresikan kebersihan. Bimbingan dan motivasi sangatlah dibutuhkan untuk meningkatkan kemandirian ananda. tetap semangat belajar ya kak</t>
  </si>
  <si>
    <t>Alhamdulillah ananda cukup semangat saat mengikuti bahasa arab. Keamampuan ananda dalam mengenal bunyi dan makna mufradat  terkait topik  العدد 1-10؛ أسماء الأيام؛ بعض أسماء الفواكه؛ بعض الألوان sangat baik. Konsistensi ananda ketika menyebutkan makna mufradat-mufradat tersebut juga sangat baik. OK semangat terus anak sholeh ... .</t>
  </si>
  <si>
    <t>Alhamdulillah ananda sangat semangat saat mengikuti bahasa arab. Keamampuan ananda dalam mengenal bunyi dan makna mufradat  terkait topik  العدد 1-10؛ أسماء الأيام؛ بعض أسماء الفواكه؛ بعض الألوان sangat baik. Konsistensi ananda ketika menyebutkan makna mufradat-mufradat tersebut juga sangat baik. OK semangat terus anak sholehah ... .</t>
  </si>
  <si>
    <t>Alhamdulillah ananda cukup semangat saat mengikuti bahasa arab. Keamampuan ananda dalam mengenal bunyi dan makna mufradat  terkait topik  العدد 1-10؛ أسماء الأيام؛ بعض أسماء الفواكه؛ بعض الألوان sangat baik. Konsistensi ananda ketika menyebutkan makna mufradat-mufradat tersebut juga sangat baik. OK semangat terus anak sholehah ... .</t>
  </si>
  <si>
    <t>Alhamdulillah ananda sangat semangat saat mengikuti bahasa arab. Keamampuan ananda dalam mengenal bunyi dan makna mufradat  terkait topik العدد 1-10؛ أسماء الأيام؛ بعض أسماء الفواكه؛ بعض الألوان sangat baik. Konsistensi ananda ketika menyebutkan makna mufradat-mufradat tersebut juga sangat baik. OK semangat terus anak sholehah ... .</t>
  </si>
  <si>
    <t>Kemampuan ananda sudah bagus dalam mengenal bunyi dan makna mufradat terkait topik  العدد 1-10؛ أسماء الأيام؛ بعض أسماء الفواكه؛ بعض الألوان . Selain itu ananda juga sudah menunjukkan kemampuannya dalam menyebutkan makna dari mufradat-mufradat tersebut meskipun terkadang agak lupa. Ananda sedang meningkatkan kemampuannya dalam membaca dan menulis arab sambung. Ok tetap semangat dan pantang menyerah ya ... .</t>
  </si>
  <si>
    <t xml:space="preserve">Ananda cukup semangat ketika menirukan bunyi mufradat  terkait topik  العدد 1-10؛ أسماء الأيام؛ بعض أسماء الفواكه؛ بعض الألوان . Selain itu ananda juga sudah menunjukkan kemampuannya dalam menyebutkan makna dari mufradat-mufradat tersebut.  Kemandirian dan rasa percaya diri ananda juga terus meningkat saat mengerjakan soal. Semangat terus anak sholih ... </t>
  </si>
  <si>
    <t xml:space="preserve"> Alhamdulillah keamampuan ananda dalam mengenal bunyi dan makna mufradat  terkait topik  العدد 1-10؛ أسماء الأيام؛ بعض أسماء الفواكه؛ بعض الألوان sangat baik. Selain itu ananda juga sudah konsisten ketika menyebutkan makna mufradat-mufradat tersebut. Namun ananda perlu meningkatkan rasa antusias saat kegiatan bahasa arab dan lebih teliti lagi ketika mengerjakan soal. Semangat terus ya anak sholihah dan pantang menyerah pastinya ... .</t>
  </si>
  <si>
    <t>Ananda cukup semangat ketika menirukan bunyi mufradat  terkait topik   العدد 1-10؛ أسماء الأيام؛ بعض أسماء الفواكه؛ بعض الألوان . Selain itu ananda juga sudah menunjukkan kemampuannya dalam menyebutkan makna dari mufradat-mufradat tersebut. Namun ketelitian ananda perlu ditingkatkan terutama ketika mengerjakan soal dan teruslah semangat untuk berlatih menulis arab sambung ya kak Yudis ... .</t>
  </si>
  <si>
    <t>1. membilang banyak benda  2. mengurutkan banyak benda   3. menentukan nilai tempat puluhan dan satuan  4. melakukan penjumlahan dan pengurangan bilangan dua angka  5. menggunakan sifat operasi pertukaran dan pengelompokan  6. menyelesaikan masalah yang melibatkan penjumlahan dan pengurangan bilangan dua angka  7. membandingkan berat benda   8. menyelesaikan masalah yang berkaitan dengan berat benda  9. mengenal bangun segitiga, segiempat, dan lingkaran 10. mengelompokkan bangun datar</t>
  </si>
  <si>
    <t>Alhamdulillah ananda sudah mulai menguasai materi yang telah diajarkan. Kemampuan ananda dalam mengenal dan memahami teks tembang dolanan berkembang dengan baik. Namun pembiasaan dalam menggunakan basa daerah (basa krama)  perlu ditingkatkan supaya mudah ketika mengerjakan soal. OK tetap semangat ya kak ... .</t>
  </si>
  <si>
    <t>Alhamdulillah ananda sudah mulai menguasai materi yang telah diajarkan. Kemampuan ananda dalam melagukan tembang dolanan berkembang dengan baik. Namun pembiasaan dalam menggunakan basa daerah (basa krama)  perlu ditingkatkan supaya mudah ketika mengerjakan soal. OK tetap semangat ya kak ... .</t>
  </si>
  <si>
    <t>Alhamdulillah ananda sudah mulai menguasai materi yang telah diajarkan. Kemampuan ananda dalam memahami dan mengidentivikasi berkembang dengan baik. Namun pembiasaan dalam menggunakan basa daerah (basa krama)  perlu ditingkatkan supaya mudah ketika mengerjakan soal. OK tetap semangat ya kak ... .</t>
  </si>
  <si>
    <t>Alhamdulillah ananda sudah menguasai materi yang telah diajarkan. Namun pembiasaan dalam menggunakan basa daerah (basa krama)  perlu ditingkatkan supaya mudah ketika mengerjakan soal. OK tetap semangat ya kak ... .</t>
  </si>
  <si>
    <t>Alhamdulillah ananda sudah mulai menguasai materi yang telah diajarkan. Kemampuan ananda dalam melakukan perintah dan permintaan sederhana baik secara lisan maupun tulis mulai berkembang. Namun pembiasaan dalam menggunakan basa daerah (basa krama)  perlu ditingkatkan supaya mudah ketika mengerjakan soal. OK tetap semangat ya kak ... .</t>
  </si>
  <si>
    <t>Alhamdulillah ananda sudah mulai menguasai materi yang telah diajarkan. Kemampuan ananda dalam menyampaikan teks diri tentang keluarga baik secara lisan maupun tulis mulai berkembang. Namun pembiasaan dalam menggunakan basa daerah (basa krama)  perlu ditingkatkan supaya mudah ketika mengerjakan soal. OK tetap semangat ya kak ... .</t>
  </si>
  <si>
    <t>Alhamdulillah ananda sudah mulai menguasai materi yang telah diajarkan. Kemampuan ananda dalam melakukan perintah dan permintaan sederhana baik secara lisan maupun tulis berkembang dengan baik. Namun pembiasaan dalam menggunakan basa daerah (basa krama)  perlu ditingkatkan supaya mudah ketika mengerjakan soal. OK tetap semangat ya kak ... .</t>
  </si>
  <si>
    <t>Alhamdulillah ananda sudah mulai menguasai materi yang telah diajarkan. Kemampuan ananda dalam melakukan perintah dan permintaan sederhana baik secara lisan maupun tulis mulai berkembang. Sedangkan kemampuan ananda dalam memahami dan mengidentivikasi bunyi bahasa daerah, menebalkan dan menyalin huruf lepas sesuai kaidah, dan melagukan tembang dolanan berkembang dengan baik. Namun pembiasaan dalam menggunakan basa daerah (basa krama)  perlu ditingkatkan supaya mudah ketika mengerjakan soal. OK tetap semangat ya kak ... .</t>
  </si>
  <si>
    <t>Alhamdulillah ananda sudah mulai menguasai materi yang telah diajarkan. Kemampuan ananda dalam menebalkan dan menyalin huruf lepas sesuai kaidah, melakukan perintah dan permintaan sederhana baik secara lisan maupun tulis dan melagukan tembang dolanan berkembang dengan baik. Namun pembiasaan dalam menggunakan basa daerah (basa krama)  perlu ditingkatkan supaya mudah ketika mengerjakan soal. OK tetap semangat ya kak ... .</t>
  </si>
  <si>
    <t>Alhamdulillah ananda sudah mulai menguasai materi yang telah diajarkan. Kemampuan ananda dalam menebalkan dan menyalin huruf lepas sesuai kaidah dan melagukan tembang dolanan berkembang dengan baik. Namun pembiasaan dalam menggunakan basa daerah (basa krama)  perlu ditingkatkan supaya mudah ketika mengerjakan soal. OK tetap semangat ya kak ... .</t>
  </si>
  <si>
    <t>Alhamdulillah ananda sudah mulai menguasai materi yang telah diajarkan. Kemampuan ananda dalam mengenal dan memahami teks dolanan, menebalkan dan menyalin huruf lepas sesuai kaidah dan melagukan tembang dolanan berkembang dengan baik. Namun pembiasaan dalam menggunakan basa daerah (basa krama)  perlu ditingkatkan supaya mudah ketika mengerjakan soal. OK tetap semangat ya kak ... .</t>
  </si>
  <si>
    <t>Alhamdulillah ananda sudah mulai menguasai materi yang telah diajarkan. Kemampuan ananda dalam menebalkan dan menyalin huruf lepas sesuai kaidah, melakukan perintah dan permintaan sederhana baik secara lisan maupun tulisan dan melagukan tembang dolanan berkembang dengan baik. Namun pembiasaan dalam menggunakan basa daerah (basa krama)  perlu ditingkatkan supaya mudah ketika mengerjakan soal. OK tetap semangat ya kak ... .</t>
  </si>
  <si>
    <t>Ananda sangat bersemangat dalam praktik penjaskes terutama ketika mempraktikkan aktivitas di air. Kemampuan ananda dalam mempraktikkan beberapa gerakan dasar olahraga, pengenalan lingkungan sekolah dan pemanfaatan makanan/minuman yang baik sudah berkembang secara konsisten. Selain itu kemampuan ananda dalam mengenal makanan sehat dan menjaga kebersihan gigi dan mulut juga sangat baik. Namun sedang belajar untuk menampilkan gerak bebas berirama baik itu kelompok maupun individu.</t>
  </si>
  <si>
    <t>Ananda sudah mampu menunjukkan kemampuannya dalam mempraktikkan beberapa gerakan dasar olahraga, senam lantai, pengenalan lingkungan sekolah dan pemanfaatan makanan/minuman yang baik. Selain itu kemampuan ananda dalam mengenal makan sehat dan menjaga kebersihan gigi dan mulut juga sangat baik. Akan tetapi ananda perlu meningkatkan kemampuannya/keberaniannya ketika melakukan aktivitas di air.</t>
  </si>
  <si>
    <t xml:space="preserve">Ananda sudah mampu menunjukkan kemampuannya dalam mempraktikkan beberapa gerakan dasar olahraga, senam lantai, pengenalan lingkungan sekolah dan pemanfaatan makanan/minuman yang baik. Selain itu kemampuan ananda dalam mengenal makanan sehat dan menjaga kebersihan gigi dan mulut juga sangat baik. Akan tetapi ananda perlu belajar lagi untuk melakukan pernafasan dalam air. </t>
  </si>
  <si>
    <t xml:space="preserve">Ananda sangat bersemangat dalam praktik penjaskes terutama ketika mempraktikkan aktivitas di air. Kemampuan ananda dalam mempraktikkan beberapa gerakan dasar olahraga, senam lantai, pengenalan lingkungan sekolah dan pemanfaatan makanan/minuman yang baik sudah berkembang secara konsisten. Selain itu kemampuan ananda dalam mengenal makanan sehat dan menjaga kebersihan gigi dan mulut juga sangat baik. </t>
  </si>
  <si>
    <t>Ananda sudah mampu menunjukkan kemampuannya dalam mempraktikkan beberapa gerakan dasar olahraga, senam lantai, pengenalan lingkungan sekolah dan pemanfaatan makanan/minuman yang baik. Selain itu kemampuan ananda dalam mengenal makanan sehat dan menjaga kebersihan gigi dan mulut juga sangat baik. Akan tetapi ananda perlu meningkatkan kemampuannya/keberaniannya ketika melakukan aktivitas di air.</t>
  </si>
  <si>
    <t>Ananda sudah mampu menunjukkan kemampuannya dalam mempraktikkan beberapa gerakan dasar olahraga, senam lantai, pengenalan lingkungan sekolah dan pemanfaatan makanan/minuman yang baik. Selain itu kemampuan ananda dalam mengenal makanan sehat dan menjaga kebersihan gigi dan mulut juga sangat baik. Ananda sedang belajar meningkatkan kemampuannya/keberaniannya untuk melakukan aktivitas di air.</t>
  </si>
  <si>
    <t>Alhamdulillah ananda mulai menguasai materi yang telah disampaikan. Kemampuan ananda dalam membilang banyak benda dan menyelesaikan masalah yang melibatkan penjumlahan dan pengurangan bilangan dua angka mulai berkembang. Sedangkan kemampuan ananda dalam mengurutkan banyak benda, membandingkan berat benda dan menyelesaikan masalah yang berkaitan dengan berat benda berkembang dengan baik. Tetap semangat dan lebih teliti lagi ya saat mengerjakan soal ... .</t>
  </si>
  <si>
    <t>Alhamdulillah ananda mulai menguasai materi yang telah disampaikan baik itu dari bilangan, pengukuran dan bangun datar sederhana. Namun ananda perlu meningkatkan pemahaman perintah soal ketika mengerjakan tugas. Ok tetap semangat ya ... .</t>
  </si>
  <si>
    <t xml:space="preserve">Alhamdulillah ananda mulai menguasai materi yang telah diajarkan. Kemampuan ananda dalam melakukan penjumlahan dan pengurangan bilangan dua angka mulai berkembang. Sedangkan kemampuan ananda dalam membilang banyak benda, menggunakan sifat operasi pertukaran dan pengelompokan, menyelesaikan masalah yang melibatkan penjumlahan dan pengurangan bilangan dua angka dan mengenal bangun datar sederhana berkembang dengan baik. Namun terkadang motivasi masih diperlukan ananda ketika mengerjakan soal. Ok lebih teliti lagi ya kak ... </t>
  </si>
  <si>
    <t>Alhamdulillah ananda sudah mulai menguasai materi yang telah disampaikan. Kemampuan ananda dalam menyelesaikan masalah yang melibatkan penjumlahan dan pengurangan bilangan dua angka dan yang berkaitan dengan berat benda berkembang dengan baik. Akan tetapi ananda perlu meningkatkan kemampuannya dalam kompetensi membandingkan berat benda dan mengenal bangun datar sederhana. OK tetap semangat dan lebih teliti lagi ya kak Afnan terutama saat mengerjakan soal.</t>
  </si>
  <si>
    <t xml:space="preserve">Alhamdulillah ananda sudah mulai menguasai materi yang telah disampaikan. Kemampuan ananda dalam menentukan nilai tempat puluhan dan satuan, menggunakan sifat operasi pertukaran dan pengelompokan dan mengenal bangun datar sederhana mulai berkembang. Sedangkan kemampuan ananda dalam menyelesaikan masalah yang melibatkan penjumlahan dan pengurangan bilangan dua angka berkembang dengan baik. Namun ananda perlu perlu meningkatkan ketelitiannya saat mengerjakan soal. </t>
  </si>
  <si>
    <t>Alhamdulillah ananda sudah mulai menguasai materi yang telah disampaikan. Kemampuan ananda dalam menggunakan sifat operasi pertukaran dan pengelompokan mulai berkembang. Namun bimbingan, motivasi dan ketelitian masih diperlukan ananda saat mengerjakan soal. Ok semangat terus dan pantang menyerah ya kak ... .</t>
  </si>
  <si>
    <t>Alhamdulillah ananda mulai menguasai materi yang telah diajarkan. Selain itu kemampuan ananda dalam membilang banyak benda mulai berkembang. Namun ananda masih perlu meningkatkan ketelitiannya saat membandingkan berat benda dan memahami suatu perintah dalam soal. Ok semangat terus dan pantang menyerah ya kak ... .</t>
  </si>
  <si>
    <t>Alhamdulillah ananda cukup aktif saat mengikuti kegiatan matematika. Ananda juga mulai menguasai materi matematika yang telah diajarkan baik itu dari bilangan, pengukuran dan bangun datar sederhana. Akan tetapi ananda perlu meningkatkan ketelitiannya saat menyelesaikan masalah yang berkaitan dengan berat benda. Ok tetap semangat ya nak ... .</t>
  </si>
  <si>
    <t>Alhamdulillah ananda cukup aktif saat mengikuti kegiatan matematika. Ananda juga mulai menguasai materi matematika yang telah diajarkan baik itu dari bilangan, pengukuran dan bangun datar sederhana. Namun terkadang motivasi dan ketelitian masih ananda perlukan saat mengerjakan soal. Ok tetap semangat ya nak ... .</t>
  </si>
  <si>
    <t>Ananda cukup antusias saat mengikuti kegiatan matematika. Ananda sudah mulai menguasai materi yang telah diajarkan. Kemampuan ananda dalam menggunakan sifat operasi pertukaran dan pengelompokan dan mengenal bangun datar mulai berkembang. Sedangkan kemampuan ananda dalam mengurutkan banyak benda, mengurutkan nilai tempat puluhan dan satuan, melakukan penjumlahan  dan pengurangan bilangan dua angka serta membandingkan berat benda berkembang dengan baik. Ananda perlu berlatih lagi supaya lebih teliti saat mengerjakan soal. OK tetap semangat dan pantang menyerah ya ...</t>
  </si>
  <si>
    <t>Alhamdulillah ananda sangat aktif saat mengikuti kegiatan matematika. Ananda juga sudah menguasai materi matematika yang telah diajarkan baik itu dari bilangan, bangun datar sederhana dan pengukuran. Namun ananda masih perlu meningkatkan ketelitiannya saat mengerjakan tugas terutama pada kompetensi menyelesaikan masalah yang berkaitan dengan berat benda dan mengenal bangun datar sederhana. Semangat terus ya anak sholihah ... .</t>
  </si>
  <si>
    <t>Ananda sudah menguasai materi matematika yang telah diajarkan baik itu dari bilangan,bangun datar dan pengukuran. Namun ananda masih perlu meningkatkan ketelitiannya saat mengerjakan tugas terutama pada kompetensi menyelesaikan masalah yang melibatkan penjumlahan dan pengurangan bilangan dua angka dan mengenal bangun datar sederhana. Semangat terus ya anak sholih ... .</t>
  </si>
  <si>
    <t>Alhamdulillah ananda cukup antusias saat mengikuti kegiatan matematika. Ananda juga sudah menguasai materi matematika yang telah diajarkan baik itu dari bilangan,bangun datar sederhana dan pengukuran. Tetaplah semangat dan selalu teliti ketika mengerjakan soal.</t>
  </si>
  <si>
    <t>Alhamdulillah ananda sangat aktif saat mengikuti kegiatan matematika. Ananda juga sudah menguasai materi matematika yang telah diajarkan baik itu dari bilangan, bangun datar sederhana dan pengukuran. Namun ananda masih perlu meningkatkan ketelitiannya saat mengerjakan tugas terutama pada kompetensi mengurutkan banyak benda dan  menyelesaikan masalah yang berkaitan dengan berat benda. Semangat terus ya kak Aqila ... .</t>
  </si>
  <si>
    <t>Alhamdulillah ananda sangat antusias saat mengikuti kegiatan matematika. Ananda juga sudah menguasai materi matematika yang telah diajarkan baik itu dari bilangan, bangun datar sederhana dan pengukuran. Namun ananda masih perlu meningkatkan ketelitiannya saat mengerjakan tugas terutama pada kompetensi membilang banyak benda. Semangat terus ya kak Iit ... .</t>
  </si>
  <si>
    <t>Alhamdulillah ananda cukup antusias saat mengikuti kegiatan matematika. Ananda juga sudah menguasai materi matematika yang telah diajarkan baik itu dari bilangan, bangun datar sederhana dan pengukuran. Tetaplah semangat dan selalu teliti ketika mengerjakan soal.</t>
  </si>
  <si>
    <t xml:space="preserve">Alhamdulillah ananda sudah mulai menguasai materi yang telah disampaikan. Kemampuan ananda berkembang dengan baik dalam beberapa hal  diantaranya mengurutkan banyak benda, melakukan penjumlahan dan pengurangan bilangan dua angka, menyelesaikan masalah yang melibatkan penjumlahan dan pengurangan bilangan dua angka, membandingkan berat benda dan mengenal bangun datar sederhana. Namun ananda perlu perlu meningkatkan ketelitiannya saat mengerjakan soal. </t>
  </si>
  <si>
    <t>Alhamdulillah ananda mulai menguasai materi yang telah disampaikan baik itu dari bilangan, pengukuran dan bangun datar sederhana. Namun ananda perlu meningkatkan pemahaman perintah soal ketika mengerjakan tugas terutama pada kompetensi mengenal bangun datar sederhana. Ok tetap semangat ya ... .</t>
  </si>
  <si>
    <t>Alhamdulillah ananda cukup antusias saat mengikuti kegiatan matematika. Ananda juga sudah menguasai materi matematika yang telah diajarkan baik itu dari bilangan, bangun datar sederhana  dan pengukuran. Tetaplah semangat dan selalu teliti ketika mengerjakan soal.</t>
  </si>
  <si>
    <t>Ananda sudah mulai menguasai materi yang telah diajarkan. Kemampuan ananda juga terus berkembang. Namun bimbingan, motivasi, rasa percaya diri dan ketelitian masih sangat dibutuhkan ananda saat mengerjakn soal agar mendapatkan hasil yang maksimal. Ok tetap semangat dan pantang menyerah ya ... .</t>
  </si>
  <si>
    <t xml:space="preserve">Ananda sudah mulai menguasai sifat operasi pertukaran dan pengelompokan dan mengelompokkan bangun datar menurut bentukknya. Kemampuan ananda mulai berkembang dalam menyelesaikan masalah yang melibatkan penjumlahan dan pengurangan bilangan dua angka dan mengenal bangun datar sederhana. Selain itu kemampuan ananda dalam membilang banyak benda, mengurutkan banyak benda, menentukan nilai tempat puluhan dan satuan, melakukan penjumlahan dan pengurangan bilangan dua angka, membandingkan berat benda dan menyelesaikan masalah yang berkaitan dengan berat benda berkembang dengan baik. Tetap semangat dan lebih teliti lagi ya anak sholihah ... . </t>
  </si>
  <si>
    <t>Alhamdulillah ananda sangat antusias saat mengikuti kegiatan matematika. Ananda juga sudah menguasai materi matematika yang telah diajarkan baik itu dari bilangan, bangun datar sederhana dan pengukuran. Namun ananda masih perlu meningkatkan ketelitiannya saat mengerjakan tugas terutama pada kompetensi mengurutkan banyak benda. Semangat terus ya kak Abiel ... .</t>
  </si>
  <si>
    <t>Ananda cukup antusias dalam mengikuti kegiatan matematika. Ananda mulai menguasai materi yang telah disampaikan baik itu dari bilangan, bangun datar sederhana dan pengukuran. Namun ananda perlu meningkatkan ketelitiannya saat mengerjakan soal terutama pada kompetensi membandingkan berat benda. Ok tetap semangat dan pantang menyerah ya ... .</t>
  </si>
  <si>
    <t>Ananda sangat antusias saat mengikuti kegiatan bahasa arab. Ananda mampu untuk menirukan bunyi mufradat  terkait topik  العدد 1-10؛ أسماء الأيام؛ بعض أسماء الفواكه؛ بعض الألوان dengan baik. Selain itu ananda juga sudah menunjukkan kemampuannya dalam menyebutkan makna dari mufradat-mufradat tersebut. Akan tetapi ketelitian ananda saat mengerjakan soal masih perlu ditingkatkan. Semangat terus ya kak Fauzi ...</t>
  </si>
  <si>
    <t>Alhamdulillah ananda sangat bersemangat saat mengikuti kegiatan bahasa arab. Keamampuan ananda dalam mengenal bunyi dan makna mufradat  terkait topik  العدد 1-10؛ أسماء الأيام؛ بعض أسماء الفواكه؛ بعض الألوان sangat baik. Konsistensi ananda ketika menyebutkan makna mufradat-mufradat tersebut juga sangat baik. OK semangat terus anak sholehah ... .</t>
  </si>
  <si>
    <t>Alhamdulillah kemampuan ananda dalam mengenal bunyi dan makna mufradat  terkait topik العدد 1-10؛ أسماء الأيام؛ بعض أسماء الفواكه؛ بعض الألوان sangat baik. Selain itu ananda juga sudah konsisten ketika menyebutkan makna mufradat-mufradat tersebut. Namun ananda perlu meningkatkan rasa antusias saat menirukan bunyi mufradat tersebut. Semangat terus anak sholeh ... .</t>
  </si>
  <si>
    <t>Alhamdulillah ananda cukup semangat saat mengikuti kegiatan bahasa arab. Keamampuan ananda dalam mengenal bunyi dan makna mufradat  terkait topik  العدد 1-10؛ أسماء الأيام؛ بعض أسماء الفواكه؛ بعض الألوان sangat baik. Konsistensi ananda ketika menyebutkan makna mufradat-mufradat tersebut juga sangat baik. OK semangat terus anak sholeh ... .</t>
  </si>
  <si>
    <t>Ananda cukup antusias saat mengikuti kegiatan bahasa Arab. kemampuan ananda cukup baik ketika menirukan bunyi mufradat terkait topik  العدد 1-10؛ أسماء الأيام؛ بعض أسماء الفواكه؛ بعض الألوان . Selain itu ananda juga sudah menunjukkan kemampuannya dalam menyebutkan makna dari mufradat-mufradat tersebut. Ketelitian dalam mengerjakan soal perlu ananda tingkatkan supaya mendapatkan hasil yang maksimal, Jadi tidak perlu tergesa-gesa. Semangat terus ya kak Afnan ...</t>
  </si>
  <si>
    <t>Alhamdulillah ananda sangat semangat saat mengikuti kegiatan bahasa arab. Keamampuan ananda dalam mengenal bunyi dan makna mufradat  terkait topik  العدد 1-10؛ أسماء الأيام؛ بعض أسماء الفواكه؛ بعض الألوان sangat baik. Konsistensi ananda ketika menyebutkan makna mufradat-mufradat tersebut juga sangat baik. OK semangat terus anak sholehah ... .</t>
  </si>
  <si>
    <t>Ananda cukup antusias saat mengikuti kegiatan bahasa arab. kemampuan ananda cukup baik ketika menirukan bunyi mufradat terkait topik  العدد 1-10؛ أسماء الأيام؛ بعض أسماء الفواكه؛ بعض الألوان . Selain itu ananda juga sudah menunjukkan kemampuannya dalam menyebutkan makna dari mufradat-mufradat tersebut. Ketelitian dalam mengerjakan soal perlu ananda tingkatkan supaya mendapatkan hasil yang maksimal, Jadi tidak perlu tergesa-gesa. Semangat terus ya kak Andra ...</t>
  </si>
  <si>
    <t>Kemampuan ananda sudah bagus dalam mengenal bunyi dan makna mufradat terkait topik  العدد 1-10؛ أسماء الأيام؛ بعض أسماء الفواكه؛ بعض الألوان . Ananda juga sudah menunjukkan kemampuannya dalam menyebutkan makna dari mufradat-mufradat tersebut meskipun terkadang agak lupa. Ananda sedang meningkatkan kemampuannya dalam membaca dan menulis arab sambung. Namun bimbingan dan motivasi masih diperlukan ananda saat mengerjakan soal.  Ok tetap semangat dan pantang menyerah ya anak sholih  ... .</t>
  </si>
  <si>
    <t>Ananda cukup antusias saat mengikuti kegiatan bahasa arab.  Ananda mampu untuk menirukan bunyi mufradat  terkait topik   العدد 1-10؛ أسماء الأيام؛ بعض أسماء الفواكه؛ بعض الألوان dengan baik. Selain itu ananda juga sudah menunjukkan kemampuannya dalam menyebutkan makna dari mufradat-mufradat tersebut meskipun terkadang agak lupa.  Akan tetapi ketelitian ananda saat mengerjakan soal masih perlu ditingkatkan. Semangat terus kak Rozaq ... .</t>
  </si>
  <si>
    <t>Ananda sangat antusias saat mengikuti kegiatan bahasa arab.  Ananda mampu untuk menirukan bunyi mufradat  terkait topik   العدد 1-10؛ أسماء الأيام؛ بعض أسماء الفواكه؛ بعض الألوان dengan sangat baik. Selain itu ananda juga sudah menunjukkan kemampuannya dalam menyebutkan makna dari mufradat-mufradat tersebut.  Yang perlu ananda tingkatkan adalah kesabaran dalam memahami soal. Tetap semangat ya kak Putri ... .</t>
  </si>
  <si>
    <t>Alhamdulillah cukup semangat saat mengikuti bahasa arab. keamampuan ananda dalam mengenal bunyi dan makna mufradat  terkait topik  العدد 1-10؛ أسماء الأيام؛ بعض أسماء الفواكه؛ بعض الألوان sangat baik. Selain itu ananda juga sudah konsisten ketika menyebutkan makna mufradat-mufradat tersebut. Namun terkadang motivasi masih diperlukan ananda saat mengerjakan tugas. Ok tetap semangat ya kak Raira ... .</t>
  </si>
  <si>
    <t>Kemampuan ananda sudah bagus dalam mengenal bunyi dan makna mufradat terkait topik  العدد 1-10؛ أسماء الأيام؛ بعض أسماء الفواكه؛ بعض الألوان . Ananda juga sudah menunjukkan kemampuannya dalam menyebutkan makna dari mufradat-mufradat tersebut meskipun terkadang agak lupa. Ananda sedang meningkatkan kemampuannya dalam membaca dan menulis arab sambung. Namun bimbingan dan motivasi masih diperlukan ananda saat mengerjakan soal. Ok tetap semangat dan pantang menyerah ya anak sholih  ... .</t>
  </si>
  <si>
    <t>Kemampuan ananda untuk menirukan bunyi mufradat  terkait topik   العدد 1-10؛ أسماء الأيام؛ بعض أسماء الفواكه؛ بعض الألوان sangat baik . Selain itu ananda juga sudah menunjukkan kemampuannya dalam menyebutkan makna dari mufradat-mufradat tersebut. Namun terkadang motivasi masih diperlukan ananda terutama ketika mengerjakan tugas. Kak Syafa boleh lo lebih teliti lagi saat mengerjakan soal supaya mendapat nilai yang makasimal. Semangat terus ya nak Sholihah ... .</t>
  </si>
  <si>
    <t>Ananda cukup semangat ketika menirukan bunyi mufradat  terkait topik   العدد 1-10؛ أسماء الأيام؛ بعض أسماء الفواكه؛ بعض الألوان . Selain itu ananda juga sudah menunjukkan kemampuannya dalam menyebutkan makna dari mufradat-mufradat tersebut. Namun ketelitian ananda perlu ditingkatkan terutama ketika mengerjakan soal dan teruslah bersemangat untuk berlatih menulis arab sambung ya kak Nayla ... .</t>
  </si>
  <si>
    <t>Alhamdulillah ananda sangat antusias saat mengikuti kegiatan bahasa arab. Ananda mampu menirukan bunyi mufradat  terkait topik  العدد 1-10؛ أسماء الأيام؛ بعض أسماء الفواكه؛ بعض الألوان dengan sangat baik. Selain itu konsistensi ananda untuk menyebutkan makna mufradat-mufradat tersebut juga sangat bagus. OK tetap semangat dan teliti saat mengerjakan soal ya anak sholih ... .</t>
  </si>
  <si>
    <t xml:space="preserve">Kemampuan ananda dalam mempraktikkan beberapa gerakan dasar olahraga, senam lantai, pengenalan lingkungan sekolah dan pemanfaatan makanan/minuman yang baik sudah berkembang secara konsisten. Selain itu kemampuan ananda dalam mengenal makanan sehat dan menjaga kebersihan gigi dan mulut juga sangat baik. </t>
  </si>
  <si>
    <t xml:space="preserve">Ananda sudah mampu menguasai tata cara wudu, menyebutkan hal-hal yang membatalkan wudu, manfaat wudu, dan juga hafal niat serta doa setelah wudu. Selain itu ananda juga sudah menguasai tata cara tayamum, hal-hal yang membatalkan tayamum, menyebutkan sebab tayamum, dan dapat mensimulasikan tata cara tayamum dengan baik. </t>
  </si>
  <si>
    <t xml:space="preserve">Ananda sudah mampu menguasai tata cara wudu, menyebutkan hal-hal yang membatalkan wudu, manfaat wudu, dan juga hafal niat serta doa setelah wudu. Selain itu ananda juga sudah menguasai tata cara tayamum, hal-hal yang membatalkan tayamum, menyebutkan sebab tayamum, dan mensimulasikan tata cara tayamum dengan baik. </t>
  </si>
  <si>
    <t xml:space="preserve">Ananda sudah mampu menguasai tentang hal-hal yang membatalkan wudu, manfaat wudu, dan juga hafal niat serta doa setelah wudu. Selain itu ananda juga sudah menguasai tata cara tayamum, hal-hal yang membatalkan tayamum, menyebutkan sebab tayamum, serta praktik tayamum dengan baik. Kemampuan ananda dalam hal memahami tata cara wudu mulai berkembang.  </t>
  </si>
  <si>
    <t xml:space="preserve">Ananda mampu menguasai dan mengetahui penyebab yang membatalkan wudu dan manfaat wudu. Selain itu ananda juga sudah menguasai tata cara tayamum serta mampu mempraktikannya. Kemampuan ananda dalam mengahafal niat dan doa wudu juga berkembang dengan baik. Bimbingan dan motivasi sangat diperlukan ananda dalam mengidentifikasi hal-hal yang membatalkan tayamum. </t>
  </si>
  <si>
    <t>Jl Basuki Rahmad Sukorejo BJN</t>
  </si>
  <si>
    <t>Ananda naik ke kelas 2</t>
  </si>
  <si>
    <t>B +</t>
  </si>
  <si>
    <t>Bojonegoro</t>
  </si>
  <si>
    <t>L</t>
  </si>
  <si>
    <t>P</t>
  </si>
  <si>
    <t>Pendidikan kewarganegaraan</t>
  </si>
  <si>
    <t>Seni Budaya dan Prakarya</t>
  </si>
  <si>
    <t>d. Sejarah Kebudayaan Islam</t>
  </si>
  <si>
    <t>NILAI PTS</t>
  </si>
  <si>
    <t>MINU KARAKTER BOJONEGORO</t>
  </si>
  <si>
    <t>GANJIL</t>
  </si>
  <si>
    <t>2019/2020</t>
  </si>
  <si>
    <t>Bojonegoro, 12 Oktober 2019</t>
  </si>
  <si>
    <t>ABDUL MUJIB RIDWAN, ST.</t>
  </si>
  <si>
    <t>III (TIGA)</t>
  </si>
  <si>
    <t>3.1 Mengenal  ketentuan salat sunah  rawatib</t>
  </si>
  <si>
    <t>3.1.1 Mengetahui pengertian dan hukum salat rawatib.</t>
  </si>
  <si>
    <t>3.1.2 Mengetahui jenis salat rawatib dan bilangan rakaatnya</t>
  </si>
  <si>
    <t>3.1.3 Melafalkan niat salat sunnah rawatib</t>
  </si>
  <si>
    <t>3.1.4 Menghafalkan niat salat sunnah rawatib.</t>
  </si>
  <si>
    <t>3.2 Mengetahui  hikmah salat sunah rawatib</t>
  </si>
  <si>
    <t>3.2.1 Memahami keutamaan/hikmah salat sunnah rawatib</t>
  </si>
  <si>
    <t>4.3 Mendemonstrasikan cara salat dalam keadaan sakit.</t>
  </si>
  <si>
    <t>4.3.1 Mempraktikkan cara salat dalam keadaan sakit.</t>
  </si>
  <si>
    <t>Adam</t>
  </si>
  <si>
    <t>Yusuf</t>
  </si>
  <si>
    <t>Faqih</t>
  </si>
  <si>
    <t>Fifi</t>
  </si>
  <si>
    <t>Aini</t>
  </si>
  <si>
    <t>Alifa</t>
  </si>
  <si>
    <t>Aulia</t>
  </si>
  <si>
    <t>Nadzif</t>
  </si>
  <si>
    <t>Dzaky</t>
  </si>
  <si>
    <t>Celin</t>
  </si>
  <si>
    <t>Ima</t>
  </si>
  <si>
    <t>Eyza</t>
  </si>
  <si>
    <t>Fatih</t>
  </si>
  <si>
    <t>Fahri</t>
  </si>
  <si>
    <t>Farid</t>
  </si>
  <si>
    <t>Humam</t>
  </si>
  <si>
    <t>Naisya</t>
  </si>
  <si>
    <t>Fara</t>
  </si>
  <si>
    <t>Udin</t>
  </si>
  <si>
    <t>Galih</t>
  </si>
  <si>
    <t>Zizi</t>
  </si>
  <si>
    <t>Azha</t>
  </si>
  <si>
    <t>Filza</t>
  </si>
  <si>
    <t>Rayyan</t>
  </si>
  <si>
    <t>Risti Fauziah, S.Pd.</t>
  </si>
  <si>
    <t>Membaca dan menulis lambang bilangan empat angka</t>
  </si>
  <si>
    <t>T1 St1 Pb1</t>
  </si>
  <si>
    <t xml:space="preserve">Membandingkan dan mengurutkan bilangan empat angka </t>
  </si>
  <si>
    <t>T1 St1 Pb3</t>
  </si>
  <si>
    <t>Sifat pertukaran (komunikatif) pada penjumlahan (1)</t>
  </si>
  <si>
    <t xml:space="preserve">T2 St1 Pb1 </t>
  </si>
  <si>
    <t>Sifat pertukaran (komunikatif) pada penjumlahan (2)</t>
  </si>
  <si>
    <t>T2 St1 Pb3</t>
  </si>
  <si>
    <t>Menyelesaikan soal cerita menggunakan sifat pertukaran pada penjumlahan (1)</t>
  </si>
  <si>
    <t>T2 St1 Pb5</t>
  </si>
  <si>
    <t>Menyelesaikan soal cerita menggunakan sifat pertukaran pada penjumlahan (2)</t>
  </si>
  <si>
    <t>T2 St1 Pb6</t>
  </si>
  <si>
    <t>Sifat pertukaran (komunikatif) pada perkalian (1)</t>
  </si>
  <si>
    <t>T2 St2 Pb1</t>
  </si>
  <si>
    <t>Sifat pertukaran (komunikatif) pada perkalian (2)</t>
  </si>
  <si>
    <t>T2 St2 Pb3</t>
  </si>
  <si>
    <t>Sifat pertukaran (komunikatif) pada perkalian (3)</t>
  </si>
  <si>
    <t>T2 St2 Pb5</t>
  </si>
  <si>
    <t xml:space="preserve">Soal cerita yang berkaitan dengan sifat pertukaran pada perkalian </t>
  </si>
  <si>
    <t>T2 St2 Pb6</t>
  </si>
  <si>
    <t xml:space="preserve">Menentukan posisi bilangan cacah pada garis bilangan </t>
  </si>
  <si>
    <t>T2 St3 Pb1</t>
  </si>
  <si>
    <t xml:space="preserve">Menghitung hasil penjumlahan menggunakan garis bilangan </t>
  </si>
  <si>
    <t>T2 St3 Pb3</t>
  </si>
  <si>
    <t>Menyelesaikan masalah penjumlahan menggunakan garis bilangan (1)</t>
  </si>
  <si>
    <t>T2 St3 Pb5</t>
  </si>
  <si>
    <t>T2 St3 Pb6</t>
  </si>
  <si>
    <t>Pecahan sederhana (1/2, 1/3, dan 1/4)</t>
  </si>
  <si>
    <t>T2 St4 Pb1</t>
  </si>
  <si>
    <t xml:space="preserve">Pecahan sederahana lainnya </t>
  </si>
  <si>
    <t>T2 St4 Pb3</t>
  </si>
  <si>
    <t xml:space="preserve">Pecahan senilai </t>
  </si>
  <si>
    <t>T2 St4 Pb5</t>
  </si>
  <si>
    <t xml:space="preserve">Menentukan nilai pecahan </t>
  </si>
  <si>
    <t>T2 St4 Pb6</t>
  </si>
  <si>
    <t xml:space="preserve">Operasi penjumlahan bilangan empat angka tanpa menyimpan </t>
  </si>
  <si>
    <t>T1 St1 Pb5</t>
  </si>
  <si>
    <t xml:space="preserve">Menyelesaikan soal cerita penjumlahan bilangan empat angka </t>
  </si>
  <si>
    <t>T1 St1 Pb6</t>
  </si>
  <si>
    <t xml:space="preserve">Penjumlahan bilangan ribuan dengan teknik menyimpan </t>
  </si>
  <si>
    <t>T1 St2 Pb1</t>
  </si>
  <si>
    <t xml:space="preserve">Soal cerita tentang penjumlahan bilangan </t>
  </si>
  <si>
    <t>T1 St2 Pb3</t>
  </si>
  <si>
    <t xml:space="preserve">Pengurangan bilangan dengan cara bersusun </t>
  </si>
  <si>
    <t>T1 St2 Pb5</t>
  </si>
  <si>
    <t xml:space="preserve">Soal cerita tentang pengurangan bilangan </t>
  </si>
  <si>
    <t>T1 St2 Pb6</t>
  </si>
  <si>
    <t xml:space="preserve">Perkalian bilangan dengan cara bersusun </t>
  </si>
  <si>
    <t xml:space="preserve">T1 St3 Pb1 </t>
  </si>
  <si>
    <t xml:space="preserve">Soal cerita tentang perkalian bilangan </t>
  </si>
  <si>
    <t>T1 St3 Pb3</t>
  </si>
  <si>
    <t xml:space="preserve">Membuat soal cerita tentang perkalian </t>
  </si>
  <si>
    <t>T1 St3 Pb5</t>
  </si>
  <si>
    <t xml:space="preserve">Menyelesaikan masalah sehari-hari yang berkaitan dengan perkalian </t>
  </si>
  <si>
    <t>T1 St3 Pb6</t>
  </si>
  <si>
    <t xml:space="preserve">Pembagian bilangan </t>
  </si>
  <si>
    <t>T1 St4 Pb1</t>
  </si>
  <si>
    <t xml:space="preserve">Soal cerita tentang pembagian bilangan </t>
  </si>
  <si>
    <t>T1 St4 Pb3</t>
  </si>
  <si>
    <t xml:space="preserve">Pembagian bilangan tiga angka </t>
  </si>
  <si>
    <t>T1 St4 Pb5</t>
  </si>
  <si>
    <t xml:space="preserve">Menyelesaikan soal cerita pembagian tiga angka </t>
  </si>
  <si>
    <t>T1 St4 Pb6</t>
  </si>
  <si>
    <t>Menentukan dua bilangan yang jumlahnya diketahui (1)</t>
  </si>
  <si>
    <t>T4 St1 Pb1</t>
  </si>
  <si>
    <t>Menentukan dua bilangan yang jumlahnya diketahui (2)</t>
  </si>
  <si>
    <t>T4 St1 Pb3</t>
  </si>
  <si>
    <t xml:space="preserve">Menyelesaikan soal cerita penjumlahan dua bilangan yang hasilnya diketahui </t>
  </si>
  <si>
    <t>T4 St1 Pb5</t>
  </si>
  <si>
    <t>Menentukan dua bilangan yang jumlahnya diketahui (3)</t>
  </si>
  <si>
    <t>T4 St1 Pb6</t>
  </si>
  <si>
    <t>Menentukan dua bilangan yang selisihnya diketahui (1)</t>
  </si>
  <si>
    <t>T4 St2 Pb1</t>
  </si>
  <si>
    <t>Menentukan dua bilangan yang selisihnya diketahui (2)</t>
  </si>
  <si>
    <t xml:space="preserve">T4 St2 Pb3 </t>
  </si>
  <si>
    <t xml:space="preserve">Membuat soal cerita pengurangan dua bilangan yang hasilnya diketahui </t>
  </si>
  <si>
    <t>T4 St2 Pb5</t>
  </si>
  <si>
    <t>Menentukan dua bilangan yang selisihnya diketahui (3)</t>
  </si>
  <si>
    <t xml:space="preserve">T4 St2 Pb6 </t>
  </si>
  <si>
    <t>Menentukan dua bilangan yang hasil perkaliannya diketahui (1)</t>
  </si>
  <si>
    <t>T4 St3 Pb1</t>
  </si>
  <si>
    <t>Menentukan dua bilangan yang hasil perkaliannya diketahui (2)</t>
  </si>
  <si>
    <t>T4 St3 Pb3</t>
  </si>
  <si>
    <t>T4 St3 Pb5</t>
  </si>
  <si>
    <t>Menentukan dua bilangan yang hasil perkaliannya diketahui (3)</t>
  </si>
  <si>
    <t xml:space="preserve">T4 St3 Pb6 </t>
  </si>
  <si>
    <t>Menentukan dua bilangan yang hasil pembagiannya diketahui (1)</t>
  </si>
  <si>
    <t xml:space="preserve">T4 St4 Pb1 </t>
  </si>
  <si>
    <t>Menentukan dua bilangan yang hasil pembagiannya diketahui (2)</t>
  </si>
  <si>
    <t>T4 St4 Pb3</t>
  </si>
  <si>
    <t xml:space="preserve">Menyelesaikan soal cerita pembagian dua bilangan yang hasilnya diketahui </t>
  </si>
  <si>
    <t>T4 St4 Pb5</t>
  </si>
  <si>
    <t>Menentukan dua bilangan yang hasil pembagiannya diketahui (3)</t>
  </si>
  <si>
    <t>T4 St4 Pb6</t>
  </si>
  <si>
    <t xml:space="preserve">Pengukuran panjang dengan satuan baku </t>
  </si>
  <si>
    <t>T3 St1 Pb1</t>
  </si>
  <si>
    <t xml:space="preserve">Pengukuran dengan alat ukur panjang yang berbeda </t>
  </si>
  <si>
    <t>T3 St1 Pb3</t>
  </si>
  <si>
    <t>Kesetaraan satuan panjang buku (1)</t>
  </si>
  <si>
    <t>T3 St1 Pb5</t>
  </si>
  <si>
    <t>Kesetaraan satuan panjang buku (2)</t>
  </si>
  <si>
    <t>T3 St1 Pb6</t>
  </si>
  <si>
    <t>Kesetaraan satuan jarak kilometer (Km) dan meter (m)</t>
  </si>
  <si>
    <t>T3 St2 Pb1</t>
  </si>
  <si>
    <t>Memecahkan permasalahan sehari-hari tentang jarak</t>
  </si>
  <si>
    <t>T3 St2 Pb3</t>
  </si>
  <si>
    <t>Mengukur berat benda dengan satuan baku</t>
  </si>
  <si>
    <t>T3 St2 Pb5</t>
  </si>
  <si>
    <t xml:space="preserve">Menentukan satuan berat yang sesuai </t>
  </si>
  <si>
    <t>T3 St2 Pb6</t>
  </si>
  <si>
    <t xml:space="preserve">Menyelesaikan permasalahan sehari-hari tentang berat benda </t>
  </si>
  <si>
    <t>T3 St3 Pb1</t>
  </si>
  <si>
    <t xml:space="preserve">Kesetaraan satuan berat </t>
  </si>
  <si>
    <t>T3 St3 Pb3</t>
  </si>
  <si>
    <t xml:space="preserve">Menyelesaikan permasalahan kesetaraan satuan berat </t>
  </si>
  <si>
    <t>T3 St3 Pb5</t>
  </si>
  <si>
    <t xml:space="preserve">Satuan waktu dalam kehidupan sehari-hari </t>
  </si>
  <si>
    <t xml:space="preserve">T3 St3 Pb6 </t>
  </si>
  <si>
    <t xml:space="preserve">Kesetaraan satuan waktu </t>
  </si>
  <si>
    <t>T3 St4 Pb1</t>
  </si>
  <si>
    <t>Penjumlahan dan pengurangan satuan waktu</t>
  </si>
  <si>
    <t>T3 St4 Pb3</t>
  </si>
  <si>
    <t>Menentukan lama waktu suatu kegiatan (1)</t>
  </si>
  <si>
    <t>T3 St4 Pb5</t>
  </si>
  <si>
    <t>Menentukan lama waktu suatu kegiatan (2)</t>
  </si>
  <si>
    <t>T3 St4 Pb6</t>
  </si>
  <si>
    <t>Unsur-unsur dalam gambar dekoratif</t>
  </si>
  <si>
    <t>T1 St3 Pb1</t>
  </si>
  <si>
    <t xml:space="preserve">Mengidentifikasi gambar dekoratif pada karya seni daerah </t>
  </si>
  <si>
    <t xml:space="preserve">Ragam hias pada kain batik </t>
  </si>
  <si>
    <t xml:space="preserve">Motif hias berbentuk tumbuhan pada karya seni </t>
  </si>
  <si>
    <t xml:space="preserve">Seni rupa </t>
  </si>
  <si>
    <t xml:space="preserve">Karya seni dekoratif </t>
  </si>
  <si>
    <t xml:space="preserve">T3 St3 Pb3 </t>
  </si>
  <si>
    <t xml:space="preserve">Bentuk-bentuk gambar dekoratif </t>
  </si>
  <si>
    <t>Unsur-unsur pada gambar dekoratif</t>
  </si>
  <si>
    <t xml:space="preserve">T4 St3 Pb3 </t>
  </si>
  <si>
    <t xml:space="preserve">Bunyi panjang dan pendek pada lagu </t>
  </si>
  <si>
    <t xml:space="preserve">Pola irama </t>
  </si>
  <si>
    <t xml:space="preserve">Pola irama dalam bunyi benda </t>
  </si>
  <si>
    <t>T2 St1 Pb1</t>
  </si>
  <si>
    <t xml:space="preserve">Irama dan nada dalam lagu anak </t>
  </si>
  <si>
    <t xml:space="preserve">Alat musik ritmis </t>
  </si>
  <si>
    <t xml:space="preserve">Pola irama sederhana </t>
  </si>
  <si>
    <t xml:space="preserve">Pola irama tiga </t>
  </si>
  <si>
    <t xml:space="preserve">Memainkan pola irama bervariasi birama tiga </t>
  </si>
  <si>
    <t xml:space="preserve">Gerak kuat dan lemah dalam tari </t>
  </si>
  <si>
    <t xml:space="preserve">Memperagakan gerak kuat dan lemah dalam bentuk tarian </t>
  </si>
  <si>
    <t xml:space="preserve">Memahami gerakan hewan di lingkungan sekitar </t>
  </si>
  <si>
    <t xml:space="preserve">Gerak menirukan gerakan kelinci </t>
  </si>
  <si>
    <t xml:space="preserve">Gerak dalam tari </t>
  </si>
  <si>
    <t xml:space="preserve">Gerak kuat dan gerak lemah </t>
  </si>
  <si>
    <t xml:space="preserve">Gerak kaki dalam tari </t>
  </si>
  <si>
    <t xml:space="preserve">Mempraktikkan gerak kaki dalam tari </t>
  </si>
  <si>
    <t>T4 St2 Pb3</t>
  </si>
  <si>
    <t xml:space="preserve">Karya seni mosaik </t>
  </si>
  <si>
    <t xml:space="preserve">Teknik potong, lipat, dan sambung </t>
  </si>
  <si>
    <t xml:space="preserve">Alat mewarnai dan teknik pewarnaan </t>
  </si>
  <si>
    <t xml:space="preserve">Bahan-bahan yang digunakan untuk membuat karya seni </t>
  </si>
  <si>
    <t xml:space="preserve">Teknik melipat pakaian </t>
  </si>
  <si>
    <t xml:space="preserve">Seni melipat (origami) </t>
  </si>
  <si>
    <t xml:space="preserve">Seni melipat kertas </t>
  </si>
  <si>
    <t>T4 St4 Pb1</t>
  </si>
  <si>
    <t xml:space="preserve">Seni melipat kertas dari bahan bekas </t>
  </si>
  <si>
    <t>Menemukan informasi tentang wujud benda</t>
  </si>
  <si>
    <t>Menyusun informasi penting dari teks tentang perubahan wujud benda</t>
  </si>
  <si>
    <t>Membuat kalimat dari peristiwa perubahan wujud benda</t>
  </si>
  <si>
    <t>bahasa daerah yang dianggap</t>
  </si>
  <si>
    <t>sulit dalam teks cerita.</t>
  </si>
  <si>
    <t>Merespons dan melakukan petunjuk secara lisan</t>
  </si>
  <si>
    <t>Mengungkapkan tindak tutur secara lisan</t>
  </si>
  <si>
    <t>Merespons wacana tertulis dengan benar</t>
  </si>
  <si>
    <t>Menyalin dan menuliskan wacana dengan tepat</t>
  </si>
  <si>
    <t>28/18/19</t>
  </si>
  <si>
    <t>Mempraktikkan pola gerak Lokomotor</t>
  </si>
  <si>
    <t>Mempraktikkan pola gerak Non lokomotor</t>
  </si>
  <si>
    <t>Mempraktikkan pola gerak manipulatif</t>
  </si>
  <si>
    <t>Latihan Kekuatan otot bahu dan otot dada.</t>
  </si>
  <si>
    <t xml:space="preserve">Mempraktikkan latihan daya tahan tubuh </t>
  </si>
  <si>
    <t>Mempraktikkan latihan keseimbangan dalam senam lantai</t>
  </si>
  <si>
    <t>Mempraktikkan kombinasi    senam ketangkasan dasar</t>
  </si>
  <si>
    <t>Mempraktikkan gerak ritmik Nonlokomotor individu</t>
  </si>
  <si>
    <t>Mempraktikkan gerak ritmik Nonlokomotor beregu</t>
  </si>
  <si>
    <t>Mengenal kebersihan pecahan</t>
  </si>
  <si>
    <t xml:space="preserve">Mengetahui urutan surat al- humazah dengan baik dan benar </t>
  </si>
  <si>
    <t>26/8/19</t>
  </si>
  <si>
    <t xml:space="preserve">Mengetahui urutan surat at-takatsur  dengan baik dan benar </t>
  </si>
  <si>
    <t>30/9/19</t>
  </si>
  <si>
    <t xml:space="preserve">Mengetahui urutan surat al-zalzalah dengan baik dan benar </t>
  </si>
  <si>
    <t>21/10/19</t>
  </si>
  <si>
    <t xml:space="preserve">Mengetahui arti hadits tentang sholat berjamaah dengan fasih dan benar. </t>
  </si>
  <si>
    <t>22/7/19</t>
  </si>
  <si>
    <t xml:space="preserve">Menjelaskan kandungan hadits tentang keutamaan shalat berjamaah secara sederhana </t>
  </si>
  <si>
    <t xml:space="preserve">membaca surat al-humazah dengan benar dan  fasih . </t>
  </si>
  <si>
    <t xml:space="preserve">membaca surat at-takatsur dengan benar dan  fasih . </t>
  </si>
  <si>
    <t xml:space="preserve">membaca surat al-zalzalah  dengan benar dan  fasih . </t>
  </si>
  <si>
    <t xml:space="preserve">menghafalkan  surat al-humazah  dengan benar dan  fasih . </t>
  </si>
  <si>
    <t xml:space="preserve">menghafalkan  surat at-takatsur  dengan benar dan  fasih . </t>
  </si>
  <si>
    <t xml:space="preserve">menghafalkan  surat az-zalzalah  dengan benar dan  fasih . </t>
  </si>
  <si>
    <t xml:space="preserve">Menghafalkan hadits tentang keutamaan shalat berjama'ah </t>
  </si>
  <si>
    <t>Menjelaskan hukum bacaan qalqalah</t>
  </si>
  <si>
    <t xml:space="preserve">menerapkan bacaan qalqalah </t>
  </si>
  <si>
    <t>3.1 Mengetahui kalimat thayyibah (Subhanallaah, MaasyaAllah SWT).</t>
  </si>
  <si>
    <t xml:space="preserve">Mengetahui manfaat kalimat thayyibah subhanallah </t>
  </si>
  <si>
    <t xml:space="preserve">Mengetahui waktu pengucapan kalimat thayyibah subhanallah </t>
  </si>
  <si>
    <t>3.2 Mengenal sifat-sifat Allah SWT yang terkandung dalam al-Asma al-Husna (al-A’dziim,  al-Kabiir, al-Kariim dan al- Maaliik).</t>
  </si>
  <si>
    <t>Menyebutkan arti kalimat Al-Adziim, Al-Kabiir, Al-Kariim dan Al-Malik.</t>
  </si>
  <si>
    <t>3.3 Menjelaskan malaikat-malaikat Allah SWT dan tugas-tugasnya</t>
  </si>
  <si>
    <t xml:space="preserve">menjelaskan tugas-tugas malaikat </t>
  </si>
  <si>
    <t xml:space="preserve">menjelaskan manfaat beriman kepada malaikat </t>
  </si>
  <si>
    <t xml:space="preserve">3.4 Memahami sikap rendah hati, santun, ikhlas, kasih sayang, dan taat dalam  kehidupan sehari-hari.
</t>
  </si>
  <si>
    <t>Memahami sikap rendah hati, santun, ikhlas, kasih sayang, dan taat dalam  kehidupan sehari-hari.</t>
  </si>
  <si>
    <t>3.5 Memahami akhlakul karimah patuh dan taat terhadap kedua orang tua dalam kehidupan sehari-hari melalui kisah Nabi Ismail AS</t>
  </si>
  <si>
    <r>
      <rPr>
        <sz val="12"/>
        <color theme="1"/>
        <rFont val="Cambria"/>
        <family val="1"/>
      </rPr>
      <t>Mampu memahami</t>
    </r>
    <r>
      <rPr>
        <sz val="12"/>
        <color theme="1"/>
        <rFont val="Times New Roman"/>
        <family val="1"/>
      </rPr>
      <t xml:space="preserve"> akhlakul karimah patuh dan taat terhadap kedua orang tua dalam kehidupan sehari-hari melalui kisah Nabi Ismail AS</t>
    </r>
  </si>
  <si>
    <t>3.7 Menjelaskan cara menghindari sikap durhaka kepada orang tua melakui kisah Kan’an</t>
  </si>
  <si>
    <t>Mampu menjelaskan cara menghindari sikap durhaka kepada orang tua melakui kisah Kan’an</t>
  </si>
  <si>
    <t>4.1 Melafalkan kalimat thayyibah (Subhanallaah, MaasyaAllah SWT) dan maknanya</t>
  </si>
  <si>
    <t xml:space="preserve">Melafalkan kalimat thayyibah </t>
  </si>
  <si>
    <t>4.2 Melafalkan al-Asma al-Husna (al-A’dziim,  al-Kabiir, al-Kariim dan al-Maaliik) dan artinya</t>
  </si>
  <si>
    <t>Mampu melafalkan al asma’ al husna beserta artinya dengan benar</t>
  </si>
  <si>
    <t>4.4 Menunjukkan sikap sifat rendah hati, santun, ikhlas, kasih sayang, dan taat dalam  kehidupan sehari-hari.</t>
  </si>
  <si>
    <t>Menerapkan sikap rendah hati, santun, ikhlas, kasih sayang, dan taat dalam  kehidupan sehari-hari.</t>
  </si>
  <si>
    <t>4.6  Mencontohkan akhlakul karimah patuh dan taat terhadap kedua orang tua dalam kehidupan sehari-hari melalui kisah Nabi Ismail AS</t>
  </si>
  <si>
    <t>Mampu mencontohkan akhlakul karimah patuh dan taat terhadap kedua orang tua dalam kehidupan sehari-hari melalui kisah Nabi Ismail AS.</t>
  </si>
  <si>
    <t>Menemukan informasi tentang benda-benda di sekitar</t>
  </si>
  <si>
    <t>Membuat ringkasan dari teks benda-benda di sekitar</t>
  </si>
  <si>
    <t>T3 St1 Pb2</t>
  </si>
  <si>
    <t>Menemukan kata-kata baku dari teks benda-benda di sekitar</t>
  </si>
  <si>
    <t>Membuat kalimat menggunakan kata-kata baru dari teks benda-benda di sekitar</t>
  </si>
  <si>
    <t>T3 St1 Pb4</t>
  </si>
  <si>
    <t>Menyajikan informasi benda-benda di sekitar</t>
  </si>
  <si>
    <t>Menyajikan informasi dari hasil pengamatan tentang benda-benda di sekitar</t>
  </si>
  <si>
    <t>membuat simpulan dari teks percakapan tentang wujud benda</t>
  </si>
  <si>
    <t>T3 St2 Pb2</t>
  </si>
  <si>
    <t>membuat teks dari teks hasil pengamatan wujud benda</t>
  </si>
  <si>
    <t>Menceritakan kembali informasi dari teks hasil pengamatan tentang wujud benda</t>
  </si>
  <si>
    <t>T3 St2 Pb4</t>
  </si>
  <si>
    <t>Menceritakan kembali informasi dari teks tentang wujud benda</t>
  </si>
  <si>
    <t>menulis laporan hasil pengamatan wujud benda dalam benyuk bagan</t>
  </si>
  <si>
    <t>menemukan informasi tentang wujud benda</t>
  </si>
  <si>
    <t>Menuliskan informasi tentang perubahan wujud benda dari teks yang didengar</t>
  </si>
  <si>
    <t>T3 St3 Pb2</t>
  </si>
  <si>
    <t>Menemukan informasi dari teks tentang peubahan wujud benda</t>
  </si>
  <si>
    <t>Menemukan kata-kata baku dari teks tentang perubahan wujud benda</t>
  </si>
  <si>
    <t>T3 St3 Pb4</t>
  </si>
  <si>
    <t>Mnyusun informasi penting dari teks tentang perubahan wujud benda</t>
  </si>
  <si>
    <t>Langkah-langkah menyusun pendapat dan teks tentang perubahan wujud benda</t>
  </si>
  <si>
    <t>T3 St3 Pb6</t>
  </si>
  <si>
    <t xml:space="preserve">Mengidentifikasi informasi tentang perubahan wujud benda dari cerita bergambar </t>
  </si>
  <si>
    <t>Menyampaikan informasi tentang perubahan wujud benda dalam bentuk peta pikiran</t>
  </si>
  <si>
    <t>T3 St4 Pb2</t>
  </si>
  <si>
    <t>Kata-kata baru dari teks perubahan wujud benda</t>
  </si>
  <si>
    <t>Menemukan kata-kata baru dari syair lagu</t>
  </si>
  <si>
    <t>T3 St4 Pb4</t>
  </si>
  <si>
    <t>menyusun informasi tentang perubahan wujud benda dalam bentik bagan</t>
  </si>
  <si>
    <t>Menemukan kata-kata baru dari teks tentang ciri-ciri Makhluk hidup</t>
  </si>
  <si>
    <t>menyusun kalimat dari kata-kata baru yang ditemukan dalam teks (1)</t>
  </si>
  <si>
    <t>T1 St1 Pb2</t>
  </si>
  <si>
    <t>menyusun kalimat dari kata-kata baru yang ditemukan dalam teks (2)</t>
  </si>
  <si>
    <t>Menyampaikan informasi dari teks lisan</t>
  </si>
  <si>
    <t>T1 St1 Pb4</t>
  </si>
  <si>
    <t>Menulis cerita menggunakan kosakata yang tepat</t>
  </si>
  <si>
    <t>Mendeskripsikan gambar menggunakan kosakata yang tepat</t>
  </si>
  <si>
    <t>Wawancara menggunakan kata-kata yang tepat</t>
  </si>
  <si>
    <t>Menulis cerita berdasarkan hasil wawancara dengan kosakata yang tepat</t>
  </si>
  <si>
    <t>T1 St2 Pb2</t>
  </si>
  <si>
    <t>Menuliskan informasi dari teks dengam kosa kata yang tepat</t>
  </si>
  <si>
    <t>T1St2 Pb3</t>
  </si>
  <si>
    <t>Menceritakan makanan kesukaan menggunakan kosakata yang tepat</t>
  </si>
  <si>
    <t>T1 St2 Pb4</t>
  </si>
  <si>
    <t xml:space="preserve">Menambah kosakata dengan membaca teks </t>
  </si>
  <si>
    <t>Menjelaskan gambar seri menggunakan kosakata yang tepat</t>
  </si>
  <si>
    <t>Kosakata dari teks tentang ciri-ciri hewan</t>
  </si>
  <si>
    <t>Menuliskan informasi suatu teks menggunakan kosakata yang tepat</t>
  </si>
  <si>
    <t>T1 St3 Pb2</t>
  </si>
  <si>
    <t>Menjelaskan perkembangbiakan hewan menggunakan kosakata yang tepat</t>
  </si>
  <si>
    <t>T1 ST3 Pb3</t>
  </si>
  <si>
    <t>Menceritakan daur hidup hewan menggunakan kosakata yang tepat</t>
  </si>
  <si>
    <t>T1 St3 Pb4</t>
  </si>
  <si>
    <t>Menyusun kalimat menggunakan kosakata yang tepat</t>
  </si>
  <si>
    <t>Menyampaikan informasi penting suatu teks menggunakan kosakata yang tepat</t>
  </si>
  <si>
    <t>Menyusun laporan menggunakan kosakata yang tepat</t>
  </si>
  <si>
    <t>Melengkapi informasi berdasarkan teks mengunakan kosakata yang tepat</t>
  </si>
  <si>
    <t>T1 St4 Pb2</t>
  </si>
  <si>
    <t>Menuliskan ciri-ciri tumbuhan khas Indonesia menggunakan kosakata yang tepat</t>
  </si>
  <si>
    <t>membuat laporan menggunakan kosakata yang tepat</t>
  </si>
  <si>
    <t>T1 St4 Pb4</t>
  </si>
  <si>
    <t>Membuat teks percakapan menggunakan kosakata yang tepat</t>
  </si>
  <si>
    <t>membuat kalimat menggunakan kosakata baru</t>
  </si>
  <si>
    <t>Pengertian wawancara</t>
  </si>
  <si>
    <t>menggunakan kata tanya dalam wawancara</t>
  </si>
  <si>
    <t>T2 St3 Pb2</t>
  </si>
  <si>
    <t>Menemukan informasi dari teks hasil wawancara</t>
  </si>
  <si>
    <t>Menyajikan informasi dari teks hasil wawancara dalam bentuk tabel</t>
  </si>
  <si>
    <t>T2 St3 Pb4</t>
  </si>
  <si>
    <t>Menuliskan informasi dari hasil wawancara dengan ejaan yang tepat</t>
  </si>
  <si>
    <t>Menuliskan laporan seerhana dari hasil wawancara</t>
  </si>
  <si>
    <t>Menyusun daftar pertanyaan wawancara</t>
  </si>
  <si>
    <t>T2 ST4 Pb1</t>
  </si>
  <si>
    <t>Menyajikan informasi dari teks  dalam bentuk peta pikiran</t>
  </si>
  <si>
    <t>T2 St4 Pb2</t>
  </si>
  <si>
    <t>Menuliskan hasil wawancara dalam bentuk tabel</t>
  </si>
  <si>
    <t>Pengertian dongeng</t>
  </si>
  <si>
    <t>jenis-jenis dongeng</t>
  </si>
  <si>
    <t>T2 St1 Pb2</t>
  </si>
  <si>
    <t>Unsur-unsur dalam dongeng</t>
  </si>
  <si>
    <t>Menegenali karakter tokoh dalam dongeng</t>
  </si>
  <si>
    <t>T2 St1 Pb4</t>
  </si>
  <si>
    <t>menemukan pesan dari teks dongeng</t>
  </si>
  <si>
    <t>Menceritakan isi dongeng berdasarkan gambar seri</t>
  </si>
  <si>
    <t>Menjelaskan isi dongeng</t>
  </si>
  <si>
    <t>Menemukan isi dongeng</t>
  </si>
  <si>
    <t>T2 St2 Pb2</t>
  </si>
  <si>
    <t>Dongeng tentang hewan (fabel)</t>
  </si>
  <si>
    <t>Menemukan pesan dari fabel</t>
  </si>
  <si>
    <t>T2 St2 Pb4</t>
  </si>
  <si>
    <t>Menyampaikan pesan dari fabel dengan bermain peran</t>
  </si>
  <si>
    <t>Menemukan pesan dari dongeng bergambar</t>
  </si>
  <si>
    <t>Menulis cerita sesuai gambar</t>
  </si>
  <si>
    <t>T2 St4 Pb4</t>
  </si>
  <si>
    <t>Menentukan penokohan dalam dongeng</t>
  </si>
  <si>
    <t>Membuat gambar cerita dari dongeng yang didengar</t>
  </si>
  <si>
    <t>Kalimat saran</t>
  </si>
  <si>
    <t>Kalimat saran dari teks</t>
  </si>
  <si>
    <t>T4 St1 Pb2</t>
  </si>
  <si>
    <t>Langkah-langkah menulis kalimat saran</t>
  </si>
  <si>
    <t xml:space="preserve">Menyusun kalimat saran berdasarkan hasil diskusi </t>
  </si>
  <si>
    <t>Menemukan kalimat saran dari teks yang didengar</t>
  </si>
  <si>
    <t xml:space="preserve">Menyusun kalimat saran berdasarkan hasil pengamatan di lingkungan rumah </t>
  </si>
  <si>
    <t>Menemukan kalimat saran dalam teks</t>
  </si>
  <si>
    <t>T4 St2 Pb2</t>
  </si>
  <si>
    <t>Menyusun kalimat saran berdasarkan teks tentang kewajiban dan hak di sekolah</t>
  </si>
  <si>
    <t xml:space="preserve">Menyatakan kalimat saran secara lisan </t>
  </si>
  <si>
    <t>T4 St2 Pb4</t>
  </si>
  <si>
    <t>Menuliskan kalimat saran dari permasalahan dalam teks tentang kewajiban dan hak di sekolah</t>
  </si>
  <si>
    <t xml:space="preserve">Menuliskan masalah dan kalimat saran dalam bentuk peta pikiran </t>
  </si>
  <si>
    <t>T4 St2 Pb6</t>
  </si>
  <si>
    <t xml:space="preserve">Menyusun kalimat saran berdasarkan hasil pengamatan di lingkungan sekolah </t>
  </si>
  <si>
    <t xml:space="preserve">Menyusun kalimat saran berdasarkan tentang kewajiban dan hak dalam bertetangga </t>
  </si>
  <si>
    <t>T4 St3 Pb2</t>
  </si>
  <si>
    <t xml:space="preserve">Menemukan kalimat saran dalam teks percakapan tentang kewajiban dan hak dalam bertetangga </t>
  </si>
  <si>
    <t>Menyajikan kalimat permasalahan dan sarannya dalam bentuk bagan</t>
  </si>
  <si>
    <t>T4 St3 Pb4</t>
  </si>
  <si>
    <t>Menemukan kalimat penyelesaian dalam teks tentang kewajiban dan hak dalam bertetangga</t>
  </si>
  <si>
    <t xml:space="preserve">Menyusun kalimat penyelesaian berdasarkan hasil pengamatan lingkungan bertetangga </t>
  </si>
  <si>
    <t>T4 St3 Pb6</t>
  </si>
  <si>
    <t>Menjelaskan kalimat penyelesaian masalah berdasarkan teks tenatng kewajiban dan hak warga Negara</t>
  </si>
  <si>
    <t xml:space="preserve">Menyusun kalimat penyelesaian dari teks tentang kewajiban dan hak sebagai warga Negara </t>
  </si>
  <si>
    <t>T4 St4 Pb2</t>
  </si>
  <si>
    <t xml:space="preserve">Menemukan kalimat penyelesaian dari teks tentang kewajiban dan hak sebagai warga Negara </t>
  </si>
  <si>
    <t>Menuliskan kalimat penyelesaian dari teks tentang kewajiban dan hak sebagai warga Negara (1)</t>
  </si>
  <si>
    <t>T4 St4 Pb4</t>
  </si>
  <si>
    <t xml:space="preserve"> Menuliskan kalimat penyelesaian dari teks tentang kewajiban dan hak sebagai warga Negara</t>
  </si>
  <si>
    <t xml:space="preserve">Menyusun kalimat penyelesaian berdasarkan hasil diskusi </t>
  </si>
  <si>
    <t>Menggali informasi tentang konsep perubahan wujud benda dalam kehidupan sehari-hari yang disajikan dalam bentuk lisan, tulis, visual dan atau eksplorasi lingkungan</t>
  </si>
  <si>
    <t>Mencermati kosakata dalam teks tentang konsep ciri-ciri kebutuhan (makanan dan tempat hidup), pertumbuhan dan perkembangan makhluk hidup yang ada di lingkungan setempat yang disajikan dalam bentuk lisan, tulis, visual, dan atau eksplorasi lingkungan</t>
  </si>
  <si>
    <t>Menggali informasi tentang cara perawatan tumbuhan dan hewan melalui wawancara dan atau eksplorasi lingkungan</t>
  </si>
  <si>
    <t>Menguraikan pesan dalam dongeng yang disajikan secara lisan, tulis, dan visual dengan tujuan untuk kesenangan</t>
  </si>
  <si>
    <t>Mencermati ungkapan atau kalimat saran, masukan, dan penyelesaian masalah (sederhana) dalam teks tulis</t>
  </si>
  <si>
    <t>Menyajikan hasil informasi tentang konsep perubahan wujud benda dalam kehidupan sehari-hari dalam bentuk lisan, tulis, dan visual menggunakan kosakata baku dan kalimat efektif</t>
  </si>
  <si>
    <t>Menyajikan laporan tentang konsep ciri-ciri, kebutuhan (makanan dan tempat hidup), pertumbuhan dan perkembangan makhluk hidup yang ada di lingkungan setempat secara tertulis menggunakan kosakata baku dan kalimat efektif</t>
  </si>
  <si>
    <t>Menyajikan hasil wawancara tentang cara-cara perawatan tumbuhan dan hewan dalam bentuk tulis dan visual menggunakan kosakata baku dan kalimat efektif</t>
  </si>
  <si>
    <t>Meragakan pesan dalam dongeng sebagai bentuk ungkapan diri menggunakan kosa kata baku dan kalimat efektif</t>
  </si>
  <si>
    <t>Meragakan ungkapan atau kalimat saran, masukan, dan penyelesaian masalah (sederhana) sebagai bentuk ungkapan diri menggunakan kosakata baku dan kalimat efektif yang dibuat sendiri</t>
  </si>
  <si>
    <t>Menuliskan laporan sederhana dari hasil wawancara</t>
  </si>
  <si>
    <t>Memahami arti gambar pada lambang "Garuda Pancasila"</t>
  </si>
  <si>
    <t>Makna sila pertama pancasila</t>
  </si>
  <si>
    <t>Bersyukur sebagai bentuk pengamalan sila pertama Pancasila (1)</t>
  </si>
  <si>
    <t>Bersyukur sebagai bentuk pengamalan sila pertama Pancasila (2)</t>
  </si>
  <si>
    <t>Bersyukur merupakan contoh pengamalan sila pertama pancasila</t>
  </si>
  <si>
    <t>Menghargai keberagaman sebagai pengamalan sila kedua Pancasila di sekolah</t>
  </si>
  <si>
    <t>Menyikapi keberagaman yang ada disekolah</t>
  </si>
  <si>
    <t>Mengucapkan terimakasih kepada orang lain</t>
  </si>
  <si>
    <t>Meminta maaf kepada orang lain</t>
  </si>
  <si>
    <t>Mendoakan orang lain</t>
  </si>
  <si>
    <t>Menceritakan pengalamn berbuat baik kepada orang lain</t>
  </si>
  <si>
    <t>Keberagaman sifat teman-teman di sekolah</t>
  </si>
  <si>
    <t>Pengertian musyawarah</t>
  </si>
  <si>
    <t>Manfaat Musyawarah</t>
  </si>
  <si>
    <t>T3St1 Pb4</t>
  </si>
  <si>
    <t>Sifat yang harus dijaga saat bermusyawarah</t>
  </si>
  <si>
    <t>Menceritakan pengalaman saat bermusyawarah</t>
  </si>
  <si>
    <t>Manfaat sifat tolong-menolong</t>
  </si>
  <si>
    <t>Manfaat gotong royong</t>
  </si>
  <si>
    <t>Arti penting gotong royong</t>
  </si>
  <si>
    <t>Arti penting hidup sederhana</t>
  </si>
  <si>
    <t>Mengidentifikasi kewajiban dan hak sebagai anggota keluarga dan warga sekolah</t>
  </si>
  <si>
    <t>Tugas dan peran anggota keluarga di rumah</t>
  </si>
  <si>
    <t>Hak dan kewajiban anggota keluarga di rumah</t>
  </si>
  <si>
    <t>Melaksanakan hak dan kewajiban di rumah</t>
  </si>
  <si>
    <t>Bekerja sama dalam melaksanakan tugas di rumah</t>
  </si>
  <si>
    <t>Kewajiban dan hak di rumah (1)</t>
  </si>
  <si>
    <t>Kewajiban dan hak di rumah (2)</t>
  </si>
  <si>
    <t>T4 St1 Pb4</t>
  </si>
  <si>
    <t>Kewajiban dan hak di rumah (3)</t>
  </si>
  <si>
    <t>Pelaksanaan hak dan kewajiban di rumah</t>
  </si>
  <si>
    <t>Kewajiban dan hak sebagai warga sekolah (1)</t>
  </si>
  <si>
    <t>Kewajiban dan hak sebagai warga sekolah (2)</t>
  </si>
  <si>
    <t>Kewajiban dan hak sebagai warga sekolah (3)</t>
  </si>
  <si>
    <t>Pelaksanaan kewajiban dan hak sebagai warga sekolah</t>
  </si>
  <si>
    <t>Kewajiban dan hak saat bermain dengan tetangga</t>
  </si>
  <si>
    <t>Kewajiban dan hak ketika bekerjasama dengan tetangga (1)</t>
  </si>
  <si>
    <t>Kewajiban dan hak berkaitan dengan hewan peliharaan</t>
  </si>
  <si>
    <t>Kewajiban dan hak ketika bekerjasama dengan tetangga (2)</t>
  </si>
  <si>
    <t>Kewajiban dan hak sebagai warga negara (1)</t>
  </si>
  <si>
    <t>Kewajiban dan hak menggunakan jalan umum</t>
  </si>
  <si>
    <t>Menghargai perbedaan</t>
  </si>
  <si>
    <t>Kewajiban dan hak sebagai warga negara (2)</t>
  </si>
  <si>
    <t>Menjelaskan makna keberagaman karakteristik individu di lingkungan sekitar</t>
  </si>
  <si>
    <t>Menghargai perbedaan dengan hidup rukun dan kerja sama</t>
  </si>
  <si>
    <t>Saling menghargai keberagamn di sekolah</t>
  </si>
  <si>
    <t xml:space="preserve">Memberi saran dalam menghargai perbedaan di masyarakat </t>
  </si>
  <si>
    <t>Keberagaman sifat anggota keluarga di rumah</t>
  </si>
  <si>
    <t>Pengalaman berbuat baik kepada orang lain</t>
  </si>
  <si>
    <t>Keberagaman sifat tetangga di lingkungan sekitar</t>
  </si>
  <si>
    <t>Manfaat berbagi peran saat melakukan kegiatan di rumah</t>
  </si>
  <si>
    <t>Keberagaman profesi dan perannya dalam kehidupan sehari-hari</t>
  </si>
  <si>
    <t>Pembagian tugas di lingkungan sekolah</t>
  </si>
  <si>
    <t>melaksanakan tugas sesuai peran dalam lingkungan sekolah</t>
  </si>
  <si>
    <t>Peran di sekolah</t>
  </si>
  <si>
    <t>Tugas warga sekolah</t>
  </si>
  <si>
    <t xml:space="preserve">Peran dalam kelompok </t>
  </si>
  <si>
    <t>Menceritakan pengalaman menjalankan peran dalam kelompok</t>
  </si>
  <si>
    <t>Memahami makna bersatu dalam keberagaman di lingkungan sekitar</t>
  </si>
  <si>
    <t>Makna bersatu dalam keberagaman</t>
  </si>
  <si>
    <t>Menjaga persatuan dalam memberi dan menerima saran</t>
  </si>
  <si>
    <t>Menghargai perbedaan di sekolah</t>
  </si>
  <si>
    <t>Memberi saran dalam memghargai perbedaan di masyarakat</t>
  </si>
  <si>
    <t>Kerjasama sebagai wujud bersatu dalam keberagaman</t>
  </si>
  <si>
    <t>Manfaat kerjasama</t>
  </si>
  <si>
    <t>kerja bakti sebagai contoh kerja sama di sekolah</t>
  </si>
  <si>
    <t>kerja sama di lingkungan rumah</t>
  </si>
  <si>
    <t>Bersatu dalam keberagaman di rumah</t>
  </si>
  <si>
    <t>Bersatu dalam keberagaman di sekolah</t>
  </si>
  <si>
    <t>Slaing menolong orang lain</t>
  </si>
  <si>
    <t>Gotong royong dan saling menolong di masyarakat</t>
  </si>
  <si>
    <t>Menceritakan arti gambar pada lambang negara "Garuda Pancasila"</t>
  </si>
  <si>
    <t>Menyajikan hasil identifikasi kewajiban dan hak sebagai anggota keluarga dan warga sekolah</t>
  </si>
  <si>
    <t>Menyajikan makna keberagaman karakteristik individu di lingkungan sekitar</t>
  </si>
  <si>
    <t>Menyajikan bentuk-bentuk kebersatuan dalam keberagaman di lingkungan sekitar</t>
  </si>
  <si>
    <t>Saling menolong orang lain</t>
  </si>
  <si>
    <t>Menjelaskan sifat-sifat operasi hitung pada bilangan cacah</t>
  </si>
  <si>
    <t>Menjelaskan bilangan cacah dan pecahan sederhana (seperti 1/2, 1/3, dan 1/4) yang disajikan pada garis bilangan</t>
  </si>
  <si>
    <t>Menyatakan suatu bilangan sebagai jumlah, selisih, hasil kali atau hasil bagi dua bilangan cacah</t>
  </si>
  <si>
    <t>Mendeskripsikan dan menentukan hubungan antar satuan baku untuk panjang, berat, dan waktu yang umumnya digunakan dalam kehidupan sehari-hari</t>
  </si>
  <si>
    <t>Menyelesaikan masalah yang melibatkan penggunaan sifat-sifat operasi hitung pada bilangan cacah</t>
  </si>
  <si>
    <t>Menggunakan bilangan cacah dan pecahan sederhana (seperti 1/2, 1/3, dan 1/4) yang disajikan pada garis bilangan</t>
  </si>
  <si>
    <t>Menilai apakah suatu bilangan dapat dinyatakan sebagai jumlah, selisih, hasil kali, atau hasil bagi dua bilangan cacah</t>
  </si>
  <si>
    <t>Menyelesaikan masalah yang berkaitan dengan hubungan antar satuan baku untuk panjang, berat, dan waktu yang umumnya digunakan dalam kehidupan sehari-hari</t>
  </si>
  <si>
    <t>Mengetahui unsur-unsur rupa dalam karya dekoratif</t>
  </si>
  <si>
    <t>Mengetahui bentuk dan variasi pola irama dalam lagu</t>
  </si>
  <si>
    <t>Mengetahui dinamika gerak tari</t>
  </si>
  <si>
    <t>Mengetahui teknik potong, lipat, dan sambung</t>
  </si>
  <si>
    <t>Membuat karya dekoratif</t>
  </si>
  <si>
    <t>Menampilkan bentuk dan variasi irama melalui lagu</t>
  </si>
  <si>
    <t>Meragakan dinamika gerak tari</t>
  </si>
  <si>
    <t>Membuat karya dengan teknik potong, lipat, dan sambung</t>
  </si>
  <si>
    <t>3.1 Menjelaskan keadaan adat-istiadat dan kepercayaan masyarakat Arab Pra-Islam</t>
  </si>
  <si>
    <t>Mengetahui kebudayaan masyarakat Arab Pra-Islam</t>
  </si>
  <si>
    <t>Mengetahui agama dan kepercayaan masyarakat Arab Pra-Islam</t>
  </si>
  <si>
    <t>3.2 Menjelaskan masa kanak-kanak Nabi Muhammad SAW</t>
  </si>
  <si>
    <t>Memahami kelahiran Nabi Muhammad SAW</t>
  </si>
  <si>
    <t>Memahami pengasuhan awal Nabi Muhammad SAW</t>
  </si>
  <si>
    <t>Memahami Nabi Muhammad SAW dalam asuhan ibunya</t>
  </si>
  <si>
    <t>Memahami Nabi Muhammad SAW dalam asuhan kakeknya</t>
  </si>
  <si>
    <t>Memahami Nabi Muhammad SAW dalm asuhan pamannya</t>
  </si>
  <si>
    <t>4.1 Menceritakan kondisi alam, sosial, dan perekonomian masyarakat Arab Pra-Islam</t>
  </si>
  <si>
    <t>Mendiskripsikan keadaan alam (geografis) masyarakat Arab Pra-Islam</t>
  </si>
  <si>
    <t>Mendiskripsikan keadaan sosial masyarakat Arab Pra- Islam</t>
  </si>
  <si>
    <t>Mendiskripsikan keadaan perekonomian masyarakat Arab Pra-Islam</t>
  </si>
  <si>
    <t>4.2 Menceritakan kejadian luar biasa yang mengiringi lahirnya Nabi Muhammad SAW</t>
  </si>
  <si>
    <t>Menceritakan peristiwa kelahiran Nabi Muhammad SAW</t>
  </si>
  <si>
    <t>4.3 Menceritakan sejarah kelahiran Nabi Muhammad SAW</t>
  </si>
  <si>
    <t>Memaparkan sejarah kelahiran Nabi Muhammad SAW</t>
  </si>
  <si>
    <t>4.4 Membuat silsilah keluarga Nabi Muhammad SAW</t>
  </si>
  <si>
    <t>Membuat silsilah keluarga Nabi Muhammad SAW</t>
  </si>
  <si>
    <t>A+</t>
  </si>
  <si>
    <t>B-</t>
  </si>
  <si>
    <t>28/8/19</t>
  </si>
  <si>
    <t>16/10/19</t>
  </si>
  <si>
    <t>20/11/19</t>
  </si>
  <si>
    <t>24/7/19</t>
  </si>
  <si>
    <t>14/8/19</t>
  </si>
  <si>
    <t>23/10/19</t>
  </si>
  <si>
    <t>30/10/19</t>
  </si>
  <si>
    <t>MEWARNA/ TAHFIDZ</t>
  </si>
  <si>
    <t>TARI</t>
  </si>
  <si>
    <t>B+/B</t>
  </si>
  <si>
    <t>B-/C</t>
  </si>
  <si>
    <t>B/B</t>
  </si>
  <si>
    <t>B+/A</t>
  </si>
  <si>
    <t>A-/A+</t>
  </si>
  <si>
    <t>A-/A</t>
  </si>
  <si>
    <t>A-/B</t>
  </si>
  <si>
    <t>B-/B</t>
  </si>
  <si>
    <t>B-/D</t>
  </si>
  <si>
    <t xml:space="preserve"> </t>
  </si>
  <si>
    <t>Kemampuan ananda dalam memahami materi yang telah diberikan sudah bagus. Akan tetapi ananda masih perlu meningkatkan kemampuannya dalam mengenal Hak dan kewajiban. Ok, tetap semangat belajar dan jangan pernah putus asa ya kak.</t>
  </si>
  <si>
    <t>Alhamdulillah ananda sudah menguasai materi yang diberikan. Kemampuan ananda berkembang baik dalam menjelaskan dan menyajikan makna keberagaman karakteristik individu serta memahami makna bersatu. Tetep semangat kak..</t>
  </si>
  <si>
    <t>Alhamdulillah ananda sudah menguasai materi yang diberikan. Kemampuan ananda berkembang baik dalam memahami makna bersatu serta menceritakan arti gambar pada lambang negara "Garuda Pancasila". Ok tetap semangat yaa. Jangan tergesa - gesa ketika menyelesaikan tuga.</t>
  </si>
  <si>
    <t>Alhamdulillah ananda sudah menguasai materi yang diberikan. Kemampuan ananda berkembang baik dalam memahami makna bersatu serta  menyajikan bentuk bentuk kebersatuan dalam keberagaman. Tetep semangat kak..</t>
  </si>
  <si>
    <t>Kemampuan ananda dalam memahami materi yang telah diberikan sudah bagus. Akan tetapi ananda masih perlu meningkatkan kemampuannya dalam mengenal hak dan kewajiban. Ok, tetap semangat belajar dan jangan pernah putus asa ya kak.</t>
  </si>
  <si>
    <t>Alhamdulillah ananda sudah menguasai materi yang diberikan. Kemampuan ananda berkembang baik dalam memahami makna bersatu dan menyajikan bentuk bentuk kebersatuan dalam keberagaman, serta menceritakan arti gambar pada lambang negara "Garuda Pancasila". Ok tetap semangat yaa kak. Manfaatkan waktumu sebaik mungkin.</t>
  </si>
  <si>
    <t>Alhamdulillah ananda sudah menguasai materi yang diberikan. Kemampuan ananda berkembang baik dalam mengidentifikasi serta menyajikan hasil tentang kewajiban dan hak sebagai anggota keluarga dan warga sekolah . Tetep semangat kak..</t>
  </si>
  <si>
    <t>Alhamdulillah ananda sudah menguasai materi yang diberikan. Namun ketelitian dan pemahaman ananda masih perlu ditingkatkan dalam mengerjakan tugas individu. Tetap semangat ya kak Yusuf ... .</t>
  </si>
  <si>
    <t>Alhamdulillah ananda sudah menguasai materi yang diberikan. Kemampuan ananda berkembang baik dalam menggali informasi dan menyajikan hasil wawancara tentang cara perawatan tumbuhan dan hewan, menguraikan serta memperagakan pesan dalam dongeng. Namun ananda masih perlu belajar lebih giat lagi untuk mandiri dalam menyelesaikan tugas. Semangat selalu kak Adam.</t>
  </si>
  <si>
    <t>Alhamdulillah ananda sudah menguasai materi yang diberikan. Kemampuan ananda berkembang baik dalam mencermati dan menyajikan laporan tentang konsep ciri-ciri  pertumbuhan dan perkembangan makhluk hidup, menguraikan pesan dalam dongeng serta menyajikan hasil wawancara tentang cara perawatan tumbuhan dan hewan. Ok tetap semangat kak Faqih.</t>
  </si>
  <si>
    <t>Alhamdulillah ananda sudah menguasai materi yang diberikan. Namun ketelitian dan pemahaman ananda masih perlu ditingkatkan dalam mengerjakan tugas individu. Tetap semangat ya kak Fifi ... .</t>
  </si>
  <si>
    <t>Alhamdulillah ananda sudah menguasai materi yang diberikan. Namun ketelitian dan pemahaman ananda masih perlu ditingkatkan dalam mengerjakan tugas individu. Tetap semangat ya kak Aini ... .</t>
  </si>
  <si>
    <t>KAlhamdulillah ananda sudah menguasai materi yang diberikan. Namun ketelitian dan pemahaman ananda masih perlu ditingkatkan dalam mengerjakan tugas individu. Tetap semangat ya kak Alifa ... .</t>
  </si>
  <si>
    <t>Alhamdulillah ananda sudah menguasai materi yang diberikan. Namun ketelitian dan pemahaman ananda masih perlu ditingkatkan dalam mengerjakan tugas individu. Tetap semangat ya kak Aulia ... .</t>
  </si>
  <si>
    <t>Alhamdulillah ananda sudah menguasai materi yang diberikan. Namun ketelitian dan pemahaman ananda masih perlu ditingkatkan dalam mengerjakan tugas individu. Tetap semangat ya kak Nadzif ... .</t>
  </si>
  <si>
    <t>Alhamdulillah ananda sudah menguasai materi yang diberikan. Namun ketelitian dan pemahaman ananda masih perlu ditingkatkan dalam mengerjakan tugas individu. Tetap semangat ya kak Dzaky ... .</t>
  </si>
  <si>
    <t>Alhamdulillah ananda sudah menguasai materi yang diberikan. Namun ketelitian dan pemahaman ananda masih perlu ditingkatkan dalam mengerjakan tugas individu. Tetap semangat ya kak Celin ... .</t>
  </si>
  <si>
    <t>Alhamdulillah ananda sudah menguasai materi yang diberikan. Namun ketelitian dan pemahaman ananda masih perlu ditingkatkan dalam mengerjakan tugas individu. Tetap semangat ya kak Ima ... .</t>
  </si>
  <si>
    <t>Alhamdulillah ananda sudah menguasai materi yang diberikan. Namun ketelitian dan pemahaman ananda masih perlu ditingkatkan dalam mengerjakan tugas individu. Tetap semangat ya kak Eyza ... .</t>
  </si>
  <si>
    <t>Alhamdulillah ananda sudah menguasai materi yang diberikan. Namun ketelitian dan pemahaman ananda masih perlu ditingkatkan dalam mengerjakan tugas individu. Tetap semangat ya kak Fatih ... .</t>
  </si>
  <si>
    <t>Alhamdulillah ananda sudah menguasai materi yang diberikan. Kemampuan ananda berkembang baik dalam menggali informasi dan menyajikan hasil wawancara tentang cara perawatan tumbuhan dan hewan, mencermati dan menyajikan laporan tentang konsep ciri-ciri  pertumbuhan dan perkembangan makhluk hidup, menguraikan pesan dalam dongeng serta menyajikan hasil wawancara tentang cara perawatan tumbuhan dan hewan. selain itu, kemandirian ananda mulai berkembang dalam menyelesaikan tugas. Ok tetap semangat ya kak Farid.</t>
  </si>
  <si>
    <t>Alhamdulillah ananda sudah menguasai materi yang diberikan. Namun ketelitian dan pemahaman ananda masih perlu ditingkatkan dalam mengerjakan tugas individu. Tetap semangat ya kak Humam ... .</t>
  </si>
  <si>
    <t>Alhamdulillah ananda sudah menguasai materi yang diberikan. Namun ketelitian dan pemahaman ananda masih perlu ditingkatkan dalam mengerjakan tugas individu. Tetap semangat ya kak Fara ... .</t>
  </si>
  <si>
    <t>Alhamdulillah ananda sudah menguasai materi yang diberikan. Kemampuan ananda berkembang baik dalam menguraikan serta memperagakan pesan dalam dongeng. Namun, Ananda masih perlu bimbingan dan motivasi supaya konsisten untuk mengerjakan tugas secara mandiri.. Jangan pernah putus asa dalam belajar, semangat selalu dan pantang menyerah, kak Sholeh pasti bisa!</t>
  </si>
  <si>
    <t>Alhamdulillah ananda sudah menguasai materi yang diberikan. Kemampuan ananda berkembang baik dalam mencermati kosakata dalam teks tentang konsep ciri-ciri pertumbuhan dan perkembangan makhluk hidup, ungkapan atau kalimat saran, masukan, dan penyelesaian masalah (sederhana) dalam teks tulis, menyajikan hasil wawancara tentang cara-cara perawatan tumbuhan dan hewan, serta Meragakan ungkapan atau kalimat saran, masukan, dan penyelesaian masalah (sederhana  . Namun perlu adanya motivasi kepada ananda untuk berani tampil di depan.</t>
  </si>
  <si>
    <t>Alhamdulillah ananda sudah menguasai materi yang diberikan. Namun ketelitian dan pemahaman ananda masih perlu ditingkatkan dalam mengerjakan tugas individu. Tetap semangat ya kak Zizi ... .</t>
  </si>
  <si>
    <t>Alhamdulillah ananda sudah menguasai materi yang diberikan. Namun ketelitian dan pemahaman ananda masih perlu ditingkatkan dalam mengerjakan tugas individu. Tetap semangat ya kak Azha ... .</t>
  </si>
  <si>
    <t>Alhamdulillah ananda sudah menguasai materi yang diberikan. Namun ketelitian dan pemahaman ananda masih perlu ditingkatkan dalam mengerjakan tugas individu. Tetap semangat ya kak Filza  ... .</t>
  </si>
  <si>
    <t>Alhamdulillah ananda sudah menguasai materi yang diberikan. Namun ketelitian dan pemahaman ananda masih perlu ditingkatkan dalam mengerjakan tugas individu. Tetap semangat ya kak Rayyan ... .</t>
  </si>
  <si>
    <t>3.3 Mempratikkan tata cara salat rawatib</t>
  </si>
  <si>
    <t>3.2.1 Mendemonstrasikan tata cara salat rawatib yang benar</t>
  </si>
  <si>
    <t>3.4 Menjelaskan tata cara tayamum bagi orang sakit.</t>
  </si>
  <si>
    <t>3.4.1 Mengetahui tata cara tayamum bagi orang yang sakit</t>
  </si>
  <si>
    <t>3.5 Mempraktikkan tayamum bagi orang sakit.</t>
  </si>
  <si>
    <t>3.5.1 Mendemonstrasikan tayamum bagi orang yang sakit</t>
  </si>
  <si>
    <t>4.1 Memahami  tata cara salat bagi orang  sakit.</t>
  </si>
  <si>
    <t xml:space="preserve">4.1.1 Mengetahui tata cara/ketentuan salat bagi orang yang sakit. </t>
  </si>
  <si>
    <t>4.2 Mengetahui hikmah salat bagi orang sakit</t>
  </si>
  <si>
    <t>4.2.1 Memahami hikmah salat bagi orang yang sakit.</t>
  </si>
  <si>
    <t>Mengenal, memahami dan mengidentifikasi teks secara lisan dan tertulis</t>
  </si>
  <si>
    <t>Mengidentifikasi unsur-unsur teks cerita</t>
  </si>
  <si>
    <t>Mengidentifikasi pokok-pokok isi cerita</t>
  </si>
  <si>
    <t>Menjelaskan isi cerita</t>
  </si>
  <si>
    <t>Mengidentifikasi informasi dari teks, mengenal, memahami, dan laporan hasil observasi secara lisan dan tertulis</t>
  </si>
  <si>
    <t>Menjelaskan struktur teks laporan hasil observasi sederhana</t>
  </si>
  <si>
    <t>Menjelaskan jenis-jenis laporan hasil observasi sederhana</t>
  </si>
  <si>
    <t>Menjelaskan isi teks laporan hasil observasi sederhana</t>
  </si>
  <si>
    <t>Mengenal, memahami, dan mengidentifikasi informasi dari teks lisan tentang kondisi alam dalam bentuk cerita</t>
  </si>
  <si>
    <t>Mengidentifikasi istilah-istilah cuaca dan musim dalam teks</t>
  </si>
  <si>
    <t>Menjelaskan istilah-istilah cuaca dan musim dalam teks cerita</t>
  </si>
  <si>
    <t>Mengenal, memahami dan mengidentifikasi teks puisi tentang alam semesta dan penampakannya dengan bantuan guru secara lisan dan tertulis</t>
  </si>
  <si>
    <t xml:space="preserve">Menjelaskan pengertian puisi </t>
  </si>
  <si>
    <t>Mengidentifikasi ciri-ciri puisi</t>
  </si>
  <si>
    <t>Menjelaskan isi puisi</t>
  </si>
  <si>
    <t>Membaca lancar bentuk teks cerita sederhana dengan memperhatikan pelafalan dan intonasi</t>
  </si>
  <si>
    <t>Membaca lancar teks cerita</t>
  </si>
  <si>
    <t>Mengartikulasikan bunyi bahasa daerah yang dianggap sulit dalam teks cerita</t>
  </si>
  <si>
    <t>Menyusun dan menyampaikan teks laporan sederhana hasil observasi secara lisan dan tulis</t>
  </si>
  <si>
    <t>Menyusun kerangka hasil observasi sederhana</t>
  </si>
  <si>
    <t>Menyusun teks laporan hasil observasi sederhana</t>
  </si>
  <si>
    <t xml:space="preserve">Membaca teks hasil observasi </t>
  </si>
  <si>
    <t>Menyampaikan teks lisan tentang kondisi alam dalam bentuk cerita</t>
  </si>
  <si>
    <t>Menulis cerita tentang kondisi alam</t>
  </si>
  <si>
    <t>Menceritakan kondisi alam secara lisan</t>
  </si>
  <si>
    <t>Membaca indah teks puisi tentang alam semesta dan penampakannya</t>
  </si>
  <si>
    <t>Menulis puisi sederhana</t>
  </si>
  <si>
    <t>Membaca indah teks puisi</t>
  </si>
  <si>
    <t>Menanggapi pembacaan puisi teman</t>
  </si>
  <si>
    <t>Secara keseluruhan ananda mampu mengapresiasi seni dengan baik. Ananda mampu mengetahui unsur - unsur seni rupa, gerak tari, dan membuat karya dengan teknik potong, lipat, sambung. Tetap berlatih dan semangat untuk belajar ya kak.</t>
  </si>
  <si>
    <t>Secara keseluruhan ananda mampu mengapresiasi seni dengan baik. Kemampuan ananda dalam mengetahui dan membuat karya dengan teknik potong, lipat, dan sambung berkembang dengan baik. Tetap berlatih dan semangat untuk belajar ya kak.</t>
  </si>
  <si>
    <t>Kemampuan ananda dalam  mengapresiasi seni sudah baik. Namun, kemampuan ananda mulai berkembang dalam mengetahui dan memperagakan gerak tari. Ok, Tetap berlatih dan semangat untuk belajar ya kak.</t>
  </si>
  <si>
    <t>Kemampuan ananda dalam  mengapresiasi seni sudah baik. Namun, kemampuan ananda berkembang dengan baik dalam mengetahui dan membuat karya dekoratif. Ok, Tetap berlatih dan semangat untuk belajar ya kak.</t>
  </si>
  <si>
    <t>Secara keseluruhan ananda mampu mengapresiasi seni dengan baik. Kemampuan ananda berkembang baik dalam mengetahui serta menampilkan variasi pola irama,   gerak tari dan membuat karya dengan teknik potong, lipat, dan sambung . Tetap berlatih dan semangat untuk belajar ya kak.</t>
  </si>
  <si>
    <t>Secara keseluruhan ananda mampu mengapresiasi seni dengan baik. Kemampuan ananda berkembang baik dalam mengetahui serta memperagakan gerak tari dan membuat karya dengan teknik potong, lipat, dan sambung . Tetap berlatih dan semangat untuk belajar ya kak.</t>
  </si>
  <si>
    <t>Kemampuan ananda dalam  mengapresiasi seni berkembang baik dalam mengetahui dan membuat karya seni dekoatif,  mengetahui serta memperagakan gerak tari dan membuat karya dengan teknik potong, lipat, dan sambung. Ok, Tetap berlatih dan semangat untuk belajar ya kak.</t>
  </si>
  <si>
    <t>Mengetahui urutan ayat QS. al-Humazah (104), at-Takâtsur (102), dan az-Zalzalah (99)</t>
  </si>
  <si>
    <t xml:space="preserve">Menerjemahkan hadis tentang salat berjamaah riwayat Bukhari, Muslim, Tirmizi, Nasai, Ibnu Majah, dan Ahmad dari Ibnu Umar  
صَلاَةُ الْجَمَاعَةِ اَفْضَلُ
</t>
  </si>
  <si>
    <t xml:space="preserve">Membaca QS. al-Humazah (104), at-Takâtsur (102), dan az-Zalzalah (99) secara benar dan fasih. </t>
  </si>
  <si>
    <t xml:space="preserve">Menghafalkan QS. al-Humazah (104), at-Takâtsur (102), dan az-Zalzalah (99) secara benar dan fasih. </t>
  </si>
  <si>
    <t>Menghafalkan hadits tentangsalat berjamaah riwayat Bukhari, Muslim, Tirmizi, Nasai, Ibnu Majah, dan Ahmad dari Ibnu Umar  
صَلاَةُ الْجَمَاعَةِ اَفْضَلُ</t>
  </si>
  <si>
    <t xml:space="preserve">Menerapkan bacaan qalqalah </t>
  </si>
  <si>
    <t>Memahami isi kandungan hadits tentang salat berjamaah riwayat Bukhari, Muslim, Tirmizi, Nasai, Ibnu Majah, dan Ahmad dari Ibnu Umar  
صَلاَةُ الْجَمَاعَةِ اَفْضَلُ</t>
  </si>
  <si>
    <t>Alhamdulillah ananda sudah berkembang dengan baik dalam Membaca, Menghafalkan, dan memahami urutan ayat   surat Al Humazah (104), At Takatsur (102), dan Az Zalzalah (99) dengan fasih dan benar, ananda juga memahami isi kandungan hadits tentang salat berjamaah, Menerjemahkan hadis tentang salat berjamaah.</t>
  </si>
  <si>
    <t>Alhamdulillah ananda sudah menguasai dengan baik dalam Membaca, Menghafalkan, dan memahami urutan ayat   surat Al Humazah (104), At Takatsur (102), dan Az Zalzalah (99) dengan fasih dan benar, ananda juga memahami isi kandungan hadits tentang salat berjamaah, Menerjemahkan hadis tentang salat berjamaah.</t>
  </si>
  <si>
    <t>Alhamdulillah kemampuan ananda sudah berkembang dengan baik dalam Membaca, Menghafalkan, dan memahami urutan ayat   surat Al Humazah (104), At Takatsur (102), dan Az Zalzalah (99) dengan fasih dan benar, ananda juga memahami isi kandungan hadits tentang salat berjamaah, Menerjemahkan hadis tentang salat berjamaah.</t>
  </si>
  <si>
    <t>Alhamdulillah ananda sudah menguasai dalam Membaca, Menghafalkan, dan memahami urutan ayat   surat Al Humazah (104), At Takatsur (102), dan Az Zalzalah (99) dengan fasih dan benar, ananda juga memahami isi kandungan hadits tentang salat berjamaah, Menerjemahkan hadis tentang salat berjamaah.</t>
  </si>
  <si>
    <t>Alhamdulillah ananda sudah menguasai dalam Mengenal dan melafalkan sifat-sifat Allah SWT yang terkandung dalam al-Asma al-Husna (al-A’dziim,  al-Kabiir, al-Kariim dan al- Maaliik), Menjelaskan cara menghindari sikap durhaka kepada orang tua melakui kisah Kan’an, menunjukkan sikap sifat rendah hati, santun, ikhlas, kasih sayang, dan taat dalam  kehidupan sehari-hari.</t>
  </si>
  <si>
    <t>Alhamdulillah ananda sudah menguasai dalam Mengenal sifat-sifat Allah SWT yang terkandung dalam al-Asma al-Husna (al-A’dziim,  al-Kabiir, al-Kariim dan al- Maaliik) dan Menjelaskan malaikat-malaikat Allah SWT dan tugas-tugasnya.</t>
  </si>
  <si>
    <t>Alhamdulillah ananda sudah menguasai dalam Mengenal sifat-sifat Allah SWT yang terkandung dalam al-Asma al-Husna (al-A’dziim,  al-Kabiir, al-Kariim dan al- Maaliik).</t>
  </si>
  <si>
    <t>Alhamdulillah ananda sudah menguasai dalam Mengenal sifat-sifat Allah SWT yang terkandung dalam al-Asma al-Husna (al-A’dziim,  al-Kabiir, al-Kariim dan al- Maaliik). Memahami akhlakul karimah patuh dan taat terhadap kedua orang tua dalam kehidupan sehari-hari melalui kisah Nabi Ismail AS.</t>
  </si>
  <si>
    <t>Alhamdulillah ananda sudah menguasai dalam Mengenal sifat-sifat Allah SWT yang terkandung dalam al-Asma al-Husna (al-A’dziim,  al-Kabiir, al-Kariim dan al- Maaliik). Menjelaskan malaikat-malaikat Allah SWT dan tugas-tugasnya, Memahami akhlakul karimah patuh dan taat terhadap kedua orang tua dalam kehidupan sehari-hari melalui kisah Nabi Ismail AS, Menjelaskan cara menghindari sikap durhaka kepada orang tua melakui kisah Kan’an.</t>
  </si>
  <si>
    <t>Alhamdulillah secara keseluruhan kemampuan ananda sudah mampu menguasai hapir semua materi yang diajarkan…</t>
  </si>
  <si>
    <t>Alhamdulillah ananda sudah menguasai dalam Mengenal sifat-sifat Allah SWT yang terkandung dalam al-Asma al-Husna (al-A’dziim,  al-Kabiir, al-Kariim dan al- Maaliik), Memahami akhlakul karimah patuh dan taat terhadap kedua orang tua dalam kehidupan sehari-hari melalui kisah Nabi Ismail AS, Menjelaskan cara menghindari sikap durhaka kepada orang tua melakui kisah Kan’an.</t>
  </si>
  <si>
    <t>Alhamdulillah secara keseluruhan ananda sudah mampu menguasai hapir semua materi yang diajarkan…</t>
  </si>
  <si>
    <t>Alhamdulillah ananda sudah menguasai dalam Mengetahui kalimat thayyibah (Subhanallaah, MaasyaAllah SWT). Mengenal sifat-sifat Allah SWT yang terkandung dalam al-Asma al-Husna (al-A’dziim,  al-Kabiir, al-Kariim dan al- Maaliik). Memahami akhlakul karimah patuh dan taat terhadap kedua orang tua dalam kehidupan sehari-hari melalui kisah Nabi Ismail AS.</t>
  </si>
  <si>
    <t>Alhamdulillah ananda sudah menguasai dalam Mengenal sifat-sifat Allah SWT yang terkandung dalam al-Asma al-Husna (al-A’dziim,  al-Kabiir, al-Kariim dan al- Maaliik). Menjelaskan malaikat-malaikat Allah SWT dan tugas-tugasnya, Memahami sikap rendah hati, santun, ikhlas, kasih sayang, dan taat dalam  kehidupan sehari-hari. Memahami akhlakul karimah patuh dan taat terhadap kedua orang tua dalam kehidupan sehari-hari melalui kisah Nabi Ismail AS. Melafalkan kalimat thayyibah (Subhanallaah, MaasyaAllah SWT) dan maknanya.</t>
  </si>
  <si>
    <t>Alhamdulillah ananda sudah menguasai dalam Mengenal dan melafalkan sifat-sifat Allah SWT yang terkandung dalam al-Asma al-Husna (al-A’dziim,  al-Kabiir, al-Kariim dan al- Maaliik).  Menjelaskan malaikat-malaikat Allah SWT dan tugas-tugasnya. Menunjukkan sikap sifat rendah hati, santun, ikhlas, kasih sayang, dan taat dalam  kehidupan sehari-hari. Mencontohkan akhlakul karimah patuh dan taat terhadap kedua orang tua dalam kehidupan sehari-hari melalui kisah Nabi Ismail AS.</t>
  </si>
  <si>
    <t>Alhamdulillah ananda sudah menguasai Menjelaskan keadaan adat-istiadat dan kepercayaan masyarakat Arab Pra-Islam, Menjelaskan masa kanak-kanak Nabi Muhammad SAW, Menceritakan kondisi alam, sosial, dan perekonomian masyarakat Arab Pra-Islam, Membuat silsilah keluarga Nabi Muhammad SAW.</t>
  </si>
  <si>
    <t>Alhamdulillah ananda sudah mampu menguasai Menceritakan kondisi alam, sosial, dan perekonomian masyarakat Arab Pra-Islam, Membuat silsilah keluarga Nabi Muhammad SAW. Tetap semangat dan terus tingkatkan belajar mandiri.</t>
  </si>
  <si>
    <t>Alhamdulillah ananda sudah menguasai dalam Menjelaskan masa kanak-kanak Nabi Muhammad SAW.</t>
  </si>
  <si>
    <t>Alhamdulillah ananda sudah menguasai dalam Menjelaskan keadaan adat-istiadat dan kepercayaan masyarakat Arab Pra-Islam, Menjelaskan masa kanak-kanak Nabi Muhammad SAW, Menceritakan kondisi alam, sosial, dan perekonomian masyarakat Arab Pra-Islam, Membuat silsilah keluarga Nabi Muhammad SAW.</t>
  </si>
  <si>
    <t>Anindita Alya Magfiroh</t>
  </si>
  <si>
    <t>Dita</t>
  </si>
  <si>
    <t>Islam</t>
  </si>
  <si>
    <t>Jl. Lettu Suyitno Gg. Eyang Manis. Campurejo</t>
  </si>
  <si>
    <t>SUISMANTO</t>
  </si>
  <si>
    <t>SMA</t>
  </si>
  <si>
    <t>Peg. Swasta</t>
  </si>
  <si>
    <t>SUNDARI</t>
  </si>
  <si>
    <t>SWASTA</t>
  </si>
  <si>
    <t>085748315203</t>
  </si>
  <si>
    <t>Annisa Zahirotus. S</t>
  </si>
  <si>
    <t>Annisa</t>
  </si>
  <si>
    <t>CHOIRUL HUDA</t>
  </si>
  <si>
    <t>SRI NURHENIK</t>
  </si>
  <si>
    <t>S1</t>
  </si>
  <si>
    <t>GURU</t>
  </si>
  <si>
    <t>085852550769</t>
  </si>
  <si>
    <t>A.Risky Syarifunnazal</t>
  </si>
  <si>
    <t>Kiki</t>
  </si>
  <si>
    <t>SUWONO</t>
  </si>
  <si>
    <t>NURUL FATMIATUN</t>
  </si>
  <si>
    <t>IRT</t>
  </si>
  <si>
    <t>085804321652</t>
  </si>
  <si>
    <t>Aliya Noura K</t>
  </si>
  <si>
    <t>Lily</t>
  </si>
  <si>
    <t>Palembang</t>
  </si>
  <si>
    <t>AAN KURNIAWAN</t>
  </si>
  <si>
    <t>NURUL YAUMI</t>
  </si>
  <si>
    <t>08563618148</t>
  </si>
  <si>
    <t>Alifia Resya Putri Ramadhani</t>
  </si>
  <si>
    <t>Rere</t>
  </si>
  <si>
    <t>ANDIK ROMADONI</t>
  </si>
  <si>
    <t>SRI KUNDARYATI</t>
  </si>
  <si>
    <t>Fadhil Rahman</t>
  </si>
  <si>
    <t>Fadhil</t>
  </si>
  <si>
    <t>CHOLILI ROHMAN</t>
  </si>
  <si>
    <t>SLTA</t>
  </si>
  <si>
    <t>ANJAR SARTIKA SARI</t>
  </si>
  <si>
    <t>Griffin Uefa Syam Sabrin</t>
  </si>
  <si>
    <t>Yuefa</t>
  </si>
  <si>
    <t>AGUS SUPRIYANTO</t>
  </si>
  <si>
    <t>SMK</t>
  </si>
  <si>
    <t>Tukang Bangunan</t>
  </si>
  <si>
    <t>SUCI SUSANTI</t>
  </si>
  <si>
    <t>MRT</t>
  </si>
  <si>
    <t>082338380629</t>
  </si>
  <si>
    <t>Khoiriya Uzlivatul Jannah</t>
  </si>
  <si>
    <t>Ria</t>
  </si>
  <si>
    <t>DIDIK SUDARTO</t>
  </si>
  <si>
    <t>STM</t>
  </si>
  <si>
    <t>PNS</t>
  </si>
  <si>
    <t>MUSLIMAH</t>
  </si>
  <si>
    <t>SMP</t>
  </si>
  <si>
    <t>085790303015</t>
  </si>
  <si>
    <t>Nazlia Azelea Tiarany</t>
  </si>
  <si>
    <t>Tiara</t>
  </si>
  <si>
    <t>ARI SUMAWAN</t>
  </si>
  <si>
    <t>Buruh</t>
  </si>
  <si>
    <t>SUMARMI</t>
  </si>
  <si>
    <t>082335130441</t>
  </si>
  <si>
    <t>Nero Alvind Nur Pratama</t>
  </si>
  <si>
    <t>Alvind</t>
  </si>
  <si>
    <t>SURAJI</t>
  </si>
  <si>
    <t>Foto Copy</t>
  </si>
  <si>
    <t>SITI MINDARTI</t>
  </si>
  <si>
    <t>082142375490</t>
  </si>
  <si>
    <t>Prischa al maira rozida</t>
  </si>
  <si>
    <t>Icha</t>
  </si>
  <si>
    <t>M. JUPRI</t>
  </si>
  <si>
    <t>WIWK WINARSIH</t>
  </si>
  <si>
    <t>085828895539</t>
  </si>
  <si>
    <t>Qonita Aulia Nashiroh</t>
  </si>
  <si>
    <t>Qonita</t>
  </si>
  <si>
    <t>ISNADI</t>
  </si>
  <si>
    <t>RUKANI</t>
  </si>
  <si>
    <t>SD</t>
  </si>
  <si>
    <t>Diajeng Pradnya Paramita</t>
  </si>
  <si>
    <t>Anya</t>
  </si>
  <si>
    <t>IWAN ANDRIYANTO</t>
  </si>
  <si>
    <t>ELY SUMARNI</t>
  </si>
  <si>
    <t>SMU</t>
  </si>
  <si>
    <t>DRT</t>
  </si>
  <si>
    <t>085232427896</t>
  </si>
  <si>
    <t>Moch. Radit Danu Arta</t>
  </si>
  <si>
    <t>Radit</t>
  </si>
  <si>
    <t>SLTP</t>
  </si>
  <si>
    <t>085607354591</t>
  </si>
  <si>
    <t>Titania Angelina Saputri</t>
  </si>
  <si>
    <t>angel</t>
  </si>
  <si>
    <t>jl. Lettu Suyitno gg. eyang manis. campurejo</t>
  </si>
  <si>
    <t xml:space="preserve">DONI IRAWAN </t>
  </si>
  <si>
    <t>PARKUR</t>
  </si>
  <si>
    <t>TITIK INDARYANI</t>
  </si>
  <si>
    <t>DAGANG</t>
  </si>
  <si>
    <t>081517457082</t>
  </si>
  <si>
    <t>30 Oktober 2020</t>
  </si>
  <si>
    <t>Kepala Rumah Qur'an "An Nuur"</t>
  </si>
  <si>
    <t>NURUL AINI, S.Pd</t>
  </si>
  <si>
    <t>Diterima di Lembaga tanggal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</si>
</sst>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_(* \(#,##0\);_(* &quot;-&quot;_);_(@_)"/>
    <numFmt numFmtId="164" formatCode="0;\-0;;@"/>
    <numFmt numFmtId="165" formatCode="dddd\,\ dd\ mmmm\ yyyy"/>
    <numFmt numFmtId="166" formatCode="[$-421]dd\ mmmm\ yyyy;@"/>
    <numFmt numFmtId="167" formatCode="dd/mm/yy;@"/>
    <numFmt numFmtId="168" formatCode="0;\-0;\-;@"/>
    <numFmt numFmtId="169" formatCode="[$-F800]dddd\,\ mmmm\ dd\,\ yyyy"/>
    <numFmt numFmtId="170" formatCode="[$-13809]dd\ mmmm\ yyyy;@"/>
  </numFmts>
  <fonts count="92">
    <font>
      <sz val="11"/>
      <color theme="1"/>
      <name val="Calibri"/>
      <family val="2"/>
      <charset val="1"/>
      <scheme val="minor"/>
    </font>
    <font>
      <sz val="11"/>
      <color theme="1"/>
      <name val="Calibri"/>
      <family val="2"/>
      <scheme val="minor"/>
    </font>
    <font>
      <sz val="11"/>
      <color theme="1"/>
      <name val="Calibri"/>
      <family val="2"/>
      <scheme val="minor"/>
    </font>
    <font>
      <sz val="10"/>
      <name val="Arial"/>
      <family val="2"/>
    </font>
    <font>
      <b/>
      <sz val="16"/>
      <color theme="1"/>
      <name val="Calibri"/>
      <family val="2"/>
      <scheme val="minor"/>
    </font>
    <font>
      <sz val="12"/>
      <color theme="1"/>
      <name val="Calibri"/>
      <family val="2"/>
      <scheme val="minor"/>
    </font>
    <font>
      <b/>
      <u/>
      <sz val="12"/>
      <color theme="1"/>
      <name val="Calibri"/>
      <family val="2"/>
      <scheme val="minor"/>
    </font>
    <font>
      <sz val="11"/>
      <color theme="1"/>
      <name val="Cambria"/>
      <family val="1"/>
      <scheme val="major"/>
    </font>
    <font>
      <b/>
      <sz val="12"/>
      <color theme="1"/>
      <name val="Cambria"/>
      <family val="1"/>
      <scheme val="major"/>
    </font>
    <font>
      <sz val="10"/>
      <color theme="1"/>
      <name val="Cambria"/>
      <family val="1"/>
      <scheme val="major"/>
    </font>
    <font>
      <sz val="8"/>
      <color theme="1"/>
      <name val="Cambria"/>
      <family val="1"/>
      <scheme val="major"/>
    </font>
    <font>
      <b/>
      <sz val="11"/>
      <color theme="1"/>
      <name val="Cambria"/>
      <family val="1"/>
      <scheme val="major"/>
    </font>
    <font>
      <sz val="12"/>
      <color theme="1"/>
      <name val="Cambria"/>
      <family val="1"/>
      <scheme val="major"/>
    </font>
    <font>
      <sz val="11"/>
      <name val="Cambria"/>
      <family val="1"/>
      <scheme val="major"/>
    </font>
    <font>
      <sz val="12"/>
      <name val="Cambria"/>
      <family val="1"/>
      <scheme val="major"/>
    </font>
    <font>
      <sz val="10"/>
      <name val="Cambria"/>
      <family val="1"/>
      <scheme val="major"/>
    </font>
    <font>
      <b/>
      <sz val="16"/>
      <color theme="1"/>
      <name val="Cambria"/>
      <family val="1"/>
      <scheme val="major"/>
    </font>
    <font>
      <i/>
      <sz val="9"/>
      <color theme="1"/>
      <name val="Cambria"/>
      <family val="1"/>
      <scheme val="major"/>
    </font>
    <font>
      <sz val="10"/>
      <color indexed="8"/>
      <name val="Cambria"/>
      <family val="1"/>
      <scheme val="major"/>
    </font>
    <font>
      <b/>
      <sz val="11"/>
      <color theme="1"/>
      <name val="Calibri"/>
      <family val="2"/>
      <scheme val="minor"/>
    </font>
    <font>
      <b/>
      <sz val="14"/>
      <color theme="1"/>
      <name val="Cambria"/>
      <family val="1"/>
      <scheme val="major"/>
    </font>
    <font>
      <b/>
      <sz val="14"/>
      <color theme="1"/>
      <name val="Calibri"/>
      <family val="2"/>
      <scheme val="minor"/>
    </font>
    <font>
      <b/>
      <sz val="8"/>
      <color theme="1"/>
      <name val="Cambria"/>
      <family val="1"/>
      <scheme val="major"/>
    </font>
    <font>
      <b/>
      <sz val="14"/>
      <color theme="1"/>
      <name val="Baskerville Old Face"/>
      <family val="1"/>
    </font>
    <font>
      <b/>
      <sz val="12"/>
      <name val="Cambria"/>
      <family val="1"/>
      <scheme val="major"/>
    </font>
    <font>
      <sz val="10"/>
      <color theme="1"/>
      <name val="Calibri"/>
      <family val="2"/>
      <charset val="1"/>
      <scheme val="minor"/>
    </font>
    <font>
      <b/>
      <sz val="10"/>
      <color theme="1"/>
      <name val="Cambria"/>
      <family val="1"/>
    </font>
    <font>
      <b/>
      <sz val="10"/>
      <name val="Cambria"/>
      <family val="1"/>
    </font>
    <font>
      <sz val="10"/>
      <name val="Cambria"/>
      <family val="1"/>
    </font>
    <font>
      <sz val="10"/>
      <color theme="1"/>
      <name val="Cambria"/>
      <family val="1"/>
    </font>
    <font>
      <sz val="10"/>
      <name val="Calibri"/>
      <family val="2"/>
      <charset val="1"/>
      <scheme val="minor"/>
    </font>
    <font>
      <b/>
      <sz val="8"/>
      <color theme="0"/>
      <name val="Cambria"/>
      <family val="1"/>
    </font>
    <font>
      <sz val="11"/>
      <color theme="1"/>
      <name val="Gisha"/>
      <family val="2"/>
    </font>
    <font>
      <b/>
      <sz val="11"/>
      <color theme="0"/>
      <name val="Gisha"/>
      <family val="2"/>
    </font>
    <font>
      <b/>
      <sz val="14"/>
      <color rgb="FFFF0000"/>
      <name val="Gisha"/>
      <family val="2"/>
    </font>
    <font>
      <b/>
      <sz val="18"/>
      <color rgb="FFFF0000"/>
      <name val="Gisha"/>
      <family val="2"/>
    </font>
    <font>
      <b/>
      <sz val="12"/>
      <color theme="0"/>
      <name val="Calibri"/>
      <family val="2"/>
      <scheme val="minor"/>
    </font>
    <font>
      <b/>
      <sz val="20"/>
      <color theme="0"/>
      <name val="Gisha"/>
      <family val="2"/>
    </font>
    <font>
      <sz val="11"/>
      <name val="Cambria"/>
      <family val="1"/>
    </font>
    <font>
      <sz val="12"/>
      <name val="Times New Roman"/>
      <family val="1"/>
    </font>
    <font>
      <b/>
      <sz val="10"/>
      <color theme="1"/>
      <name val="Cambria"/>
      <family val="1"/>
      <scheme val="major"/>
    </font>
    <font>
      <sz val="13"/>
      <color theme="1"/>
      <name val="Monotype Corsiva"/>
      <family val="4"/>
    </font>
    <font>
      <sz val="22"/>
      <color rgb="FF000000"/>
      <name val="Seeing Stars"/>
    </font>
    <font>
      <b/>
      <sz val="13"/>
      <color theme="1"/>
      <name val="Cambria"/>
      <family val="1"/>
      <scheme val="major"/>
    </font>
    <font>
      <sz val="11"/>
      <color rgb="FF000000"/>
      <name val="Cambria"/>
      <family val="1"/>
      <scheme val="major"/>
    </font>
    <font>
      <sz val="11"/>
      <color theme="1"/>
      <name val="Monotype Corsiva"/>
      <family val="4"/>
    </font>
    <font>
      <sz val="11"/>
      <color theme="0" tint="-4.9989318521683403E-2"/>
      <name val="Calibri"/>
      <family val="2"/>
      <charset val="1"/>
      <scheme val="minor"/>
    </font>
    <font>
      <b/>
      <sz val="11"/>
      <color theme="1"/>
      <name val="Arial"/>
      <family val="2"/>
    </font>
    <font>
      <sz val="11"/>
      <color theme="1"/>
      <name val="Arial"/>
      <family val="2"/>
    </font>
    <font>
      <i/>
      <sz val="11"/>
      <color theme="1"/>
      <name val="Calibri"/>
      <family val="2"/>
      <scheme val="minor"/>
    </font>
    <font>
      <sz val="11"/>
      <name val="Calibri"/>
      <family val="2"/>
      <scheme val="minor"/>
    </font>
    <font>
      <b/>
      <sz val="11"/>
      <color theme="0"/>
      <name val="Calibri"/>
      <family val="2"/>
      <scheme val="minor"/>
    </font>
    <font>
      <sz val="11"/>
      <color theme="0"/>
      <name val="Calibri"/>
      <family val="2"/>
      <scheme val="minor"/>
    </font>
    <font>
      <b/>
      <sz val="12"/>
      <color theme="1"/>
      <name val="Calibri"/>
      <family val="2"/>
      <scheme val="minor"/>
    </font>
    <font>
      <b/>
      <sz val="14"/>
      <color theme="0"/>
      <name val="Calibri"/>
      <family val="2"/>
      <scheme val="minor"/>
    </font>
    <font>
      <b/>
      <sz val="12"/>
      <color theme="0"/>
      <name val="Cambria"/>
      <family val="1"/>
      <scheme val="major"/>
    </font>
    <font>
      <b/>
      <sz val="20"/>
      <color theme="1"/>
      <name val="Calibri"/>
      <family val="2"/>
      <scheme val="minor"/>
    </font>
    <font>
      <b/>
      <sz val="12"/>
      <name val="Calibri"/>
      <family val="2"/>
      <scheme val="minor"/>
    </font>
    <font>
      <b/>
      <sz val="12"/>
      <color rgb="FF0070C0"/>
      <name val="Cambria"/>
      <family val="1"/>
      <scheme val="major"/>
    </font>
    <font>
      <sz val="11"/>
      <color theme="0" tint="-0.14999847407452621"/>
      <name val="Cambria"/>
      <family val="1"/>
      <scheme val="major"/>
    </font>
    <font>
      <b/>
      <sz val="20"/>
      <color rgb="FFFFFF00"/>
      <name val="Calibri"/>
      <family val="2"/>
      <scheme val="minor"/>
    </font>
    <font>
      <sz val="11"/>
      <color theme="0"/>
      <name val="Cambria"/>
      <family val="1"/>
      <scheme val="major"/>
    </font>
    <font>
      <sz val="11"/>
      <color theme="0"/>
      <name val="Arial"/>
      <family val="2"/>
    </font>
    <font>
      <sz val="9"/>
      <color theme="1"/>
      <name val="Calibri"/>
      <family val="2"/>
      <charset val="1"/>
      <scheme val="minor"/>
    </font>
    <font>
      <sz val="12"/>
      <color theme="0"/>
      <name val="Calibri"/>
      <family val="2"/>
      <scheme val="minor"/>
    </font>
    <font>
      <b/>
      <u/>
      <sz val="11"/>
      <color theme="1"/>
      <name val="Cambria"/>
      <family val="1"/>
      <scheme val="major"/>
    </font>
    <font>
      <b/>
      <sz val="18"/>
      <color rgb="FFFFFF00"/>
      <name val="Gisha"/>
      <family val="2"/>
    </font>
    <font>
      <b/>
      <sz val="20"/>
      <color rgb="FFFFFF00"/>
      <name val="Gisha"/>
      <family val="2"/>
    </font>
    <font>
      <b/>
      <sz val="22"/>
      <color rgb="FF009900"/>
      <name val="Gisha"/>
      <family val="2"/>
    </font>
    <font>
      <sz val="11"/>
      <color theme="0" tint="-0.14999847407452621"/>
      <name val="Calibri"/>
      <family val="2"/>
      <charset val="1"/>
      <scheme val="minor"/>
    </font>
    <font>
      <sz val="11"/>
      <color theme="1"/>
      <name val="Calibri"/>
      <family val="2"/>
      <charset val="1"/>
      <scheme val="minor"/>
    </font>
    <font>
      <sz val="8"/>
      <color theme="1"/>
      <name val="Times New Roman"/>
      <family val="1"/>
    </font>
    <font>
      <sz val="9"/>
      <color theme="1"/>
      <name val="Times New Roman"/>
      <family val="1"/>
    </font>
    <font>
      <b/>
      <sz val="11"/>
      <color rgb="FFFF0000"/>
      <name val="FrankRuehl"/>
      <family val="2"/>
      <charset val="177"/>
    </font>
    <font>
      <sz val="12"/>
      <color theme="1"/>
      <name val="Cambria"/>
      <family val="1"/>
    </font>
    <font>
      <sz val="14"/>
      <color theme="1"/>
      <name val="Cambria"/>
      <family val="1"/>
    </font>
    <font>
      <sz val="12"/>
      <name val="Cambria"/>
      <family val="1"/>
    </font>
    <font>
      <sz val="11"/>
      <color theme="1"/>
      <name val="Cambria"/>
      <family val="1"/>
    </font>
    <font>
      <sz val="11"/>
      <color theme="1"/>
      <name val="Times New Roman"/>
      <family val="1"/>
    </font>
    <font>
      <b/>
      <sz val="15"/>
      <name val="Cambria"/>
      <family val="1"/>
    </font>
    <font>
      <b/>
      <i/>
      <sz val="20"/>
      <color rgb="FFFFFF00"/>
      <name val="Gisha"/>
      <family val="2"/>
    </font>
    <font>
      <sz val="12"/>
      <color theme="1"/>
      <name val="Times New Roman"/>
      <family val="1"/>
    </font>
    <font>
      <sz val="11"/>
      <color rgb="FF000000"/>
      <name val="Calibri"/>
      <family val="2"/>
      <scheme val="minor"/>
    </font>
    <font>
      <sz val="12"/>
      <color theme="1"/>
      <name val="Wingdings"/>
      <charset val="2"/>
    </font>
    <font>
      <b/>
      <sz val="11"/>
      <name val="Cambria"/>
      <family val="1"/>
      <scheme val="major"/>
    </font>
    <font>
      <b/>
      <sz val="11"/>
      <color rgb="FFFFFF00"/>
      <name val="Gisha"/>
      <family val="2"/>
    </font>
    <font>
      <b/>
      <sz val="11"/>
      <name val="Cambria"/>
      <family val="1"/>
    </font>
    <font>
      <b/>
      <sz val="11"/>
      <color theme="1"/>
      <name val="Cambria"/>
      <family val="1"/>
    </font>
    <font>
      <b/>
      <sz val="11"/>
      <color theme="0"/>
      <name val="Cambria"/>
      <family val="1"/>
    </font>
    <font>
      <sz val="11"/>
      <name val="Calibri"/>
      <family val="2"/>
      <charset val="1"/>
      <scheme val="minor"/>
    </font>
    <font>
      <sz val="10"/>
      <color indexed="8"/>
      <name val="Times New Roman"/>
      <family val="1"/>
    </font>
    <font>
      <sz val="10"/>
      <color theme="1"/>
      <name val="Times New Roman"/>
      <family val="1"/>
    </font>
  </fonts>
  <fills count="58">
    <fill>
      <patternFill patternType="none"/>
    </fill>
    <fill>
      <patternFill patternType="gray125"/>
    </fill>
    <fill>
      <patternFill patternType="solid">
        <fgColor theme="4" tint="0.39997558519241921"/>
        <bgColor indexed="64"/>
      </patternFill>
    </fill>
    <fill>
      <patternFill patternType="solid">
        <fgColor rgb="FF0070C0"/>
        <bgColor indexed="64"/>
      </patternFill>
    </fill>
    <fill>
      <patternFill patternType="solid">
        <fgColor rgb="FF92D050"/>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6" tint="0.39997558519241921"/>
        <bgColor indexed="64"/>
      </patternFill>
    </fill>
    <fill>
      <patternFill patternType="gray125">
        <fgColor theme="9" tint="0.39994506668294322"/>
        <bgColor rgb="FFFF9900"/>
      </patternFill>
    </fill>
    <fill>
      <gradientFill degree="90">
        <stop position="0">
          <color rgb="FF008000"/>
        </stop>
        <stop position="1">
          <color rgb="FF009E00"/>
        </stop>
      </gradientFill>
    </fill>
    <fill>
      <gradientFill degree="270">
        <stop position="0">
          <color rgb="FF009E00"/>
        </stop>
        <stop position="1">
          <color rgb="FF008000"/>
        </stop>
      </gradientFill>
    </fill>
    <fill>
      <gradientFill degree="90">
        <stop position="0">
          <color rgb="FFFFC000"/>
        </stop>
        <stop position="0.5">
          <color rgb="FFFFFF00"/>
        </stop>
        <stop position="1">
          <color rgb="FFFFC000"/>
        </stop>
      </gradientFill>
    </fill>
    <fill>
      <gradientFill>
        <stop position="0">
          <color rgb="FFFFC000"/>
        </stop>
        <stop position="0.5">
          <color rgb="FFFFFF00"/>
        </stop>
        <stop position="1">
          <color rgb="FFFFC000"/>
        </stop>
      </gradientFill>
    </fill>
    <fill>
      <patternFill patternType="solid">
        <fgColor theme="6" tint="0.39994506668294322"/>
        <bgColor theme="9" tint="0.39991454817346722"/>
      </patternFill>
    </fill>
    <fill>
      <patternFill patternType="solid">
        <fgColor rgb="FF009E00"/>
        <bgColor auto="1"/>
      </patternFill>
    </fill>
    <fill>
      <patternFill patternType="solid">
        <fgColor rgb="FF008000"/>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FFC000"/>
        <bgColor indexed="64"/>
      </patternFill>
    </fill>
    <fill>
      <patternFill patternType="solid">
        <fgColor rgb="FF00B050"/>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6"/>
        <bgColor indexed="64"/>
      </patternFill>
    </fill>
    <fill>
      <patternFill patternType="solid">
        <fgColor theme="7"/>
        <bgColor indexed="64"/>
      </patternFill>
    </fill>
    <fill>
      <patternFill patternType="solid">
        <fgColor theme="7" tint="0.79998168889431442"/>
        <bgColor indexed="64"/>
      </patternFill>
    </fill>
    <fill>
      <patternFill patternType="solid">
        <fgColor theme="8"/>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rgb="FFFFFF00"/>
        <bgColor indexed="64"/>
      </patternFill>
    </fill>
    <fill>
      <patternFill patternType="solid">
        <fgColor rgb="FFFFCC00"/>
        <bgColor indexed="64"/>
      </patternFill>
    </fill>
    <fill>
      <patternFill patternType="solid">
        <fgColor theme="0" tint="-0.14999847407452621"/>
        <bgColor auto="1"/>
      </patternFill>
    </fill>
    <fill>
      <patternFill patternType="solid">
        <fgColor rgb="FF009E00"/>
        <bgColor indexed="64"/>
      </patternFill>
    </fill>
    <fill>
      <patternFill patternType="solid">
        <fgColor theme="1" tint="0.34998626667073579"/>
        <bgColor indexed="64"/>
      </patternFill>
    </fill>
    <fill>
      <patternFill patternType="solid">
        <fgColor theme="1" tint="0.499984740745262"/>
        <bgColor indexed="64"/>
      </patternFill>
    </fill>
    <fill>
      <patternFill patternType="solid">
        <fgColor theme="2" tint="-9.9978637043366805E-2"/>
        <bgColor indexed="64"/>
      </patternFill>
    </fill>
    <fill>
      <gradientFill degree="270">
        <stop position="0">
          <color rgb="FF92D050"/>
        </stop>
        <stop position="1">
          <color rgb="FF00B050"/>
        </stop>
      </gradientFill>
    </fill>
    <fill>
      <gradientFill degree="90">
        <stop position="0">
          <color rgb="FF00B050"/>
        </stop>
        <stop position="1">
          <color rgb="FF92D050"/>
        </stop>
      </gradientFill>
    </fill>
    <fill>
      <patternFill patternType="solid">
        <fgColor rgb="FF00B0F0"/>
        <bgColor indexed="64"/>
      </patternFill>
    </fill>
    <fill>
      <patternFill patternType="solid">
        <fgColor theme="5" tint="0.59999389629810485"/>
        <bgColor indexed="64"/>
      </patternFill>
    </fill>
    <fill>
      <patternFill patternType="solid">
        <fgColor theme="3" tint="0.39997558519241921"/>
        <bgColor indexed="64"/>
      </patternFill>
    </fill>
    <fill>
      <patternFill patternType="solid">
        <fgColor rgb="FF0066FF"/>
        <bgColor indexed="64"/>
      </patternFill>
    </fill>
    <fill>
      <patternFill patternType="solid">
        <fgColor theme="4" tint="0.59999389629810485"/>
        <bgColor indexed="64"/>
      </patternFill>
    </fill>
    <fill>
      <patternFill patternType="solid">
        <fgColor rgb="FF0099CC"/>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5" tint="-0.249977111117893"/>
        <bgColor indexed="64"/>
      </patternFill>
    </fill>
    <fill>
      <patternFill patternType="solid">
        <fgColor theme="4" tint="-0.249977111117893"/>
        <bgColor indexed="64"/>
      </patternFill>
    </fill>
    <fill>
      <patternFill patternType="solid">
        <fgColor theme="9" tint="-0.249977111117893"/>
        <bgColor indexed="64"/>
      </patternFill>
    </fill>
    <fill>
      <patternFill patternType="solid">
        <fgColor rgb="FFFFFFFF"/>
        <bgColor indexed="64"/>
      </patternFill>
    </fill>
  </fills>
  <borders count="21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top/>
      <bottom style="double">
        <color indexed="64"/>
      </bottom>
      <diagonal/>
    </border>
    <border>
      <left style="double">
        <color indexed="64"/>
      </left>
      <right style="thin">
        <color indexed="64"/>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double">
        <color indexed="64"/>
      </right>
      <top style="double">
        <color indexed="64"/>
      </top>
      <bottom style="medium">
        <color indexed="64"/>
      </bottom>
      <diagonal/>
    </border>
    <border>
      <left style="double">
        <color indexed="64"/>
      </left>
      <right style="thin">
        <color indexed="64"/>
      </right>
      <top/>
      <bottom style="dashed">
        <color indexed="64"/>
      </bottom>
      <diagonal/>
    </border>
    <border>
      <left style="thin">
        <color indexed="64"/>
      </left>
      <right style="thin">
        <color indexed="64"/>
      </right>
      <top/>
      <bottom style="dashed">
        <color indexed="64"/>
      </bottom>
      <diagonal/>
    </border>
    <border>
      <left style="thin">
        <color indexed="64"/>
      </left>
      <right/>
      <top/>
      <bottom style="dashed">
        <color indexed="64"/>
      </bottom>
      <diagonal/>
    </border>
    <border>
      <left/>
      <right style="thin">
        <color indexed="64"/>
      </right>
      <top/>
      <bottom style="dashed">
        <color indexed="64"/>
      </bottom>
      <diagonal/>
    </border>
    <border>
      <left/>
      <right style="double">
        <color indexed="64"/>
      </right>
      <top/>
      <bottom style="dashed">
        <color indexed="64"/>
      </bottom>
      <diagonal/>
    </border>
    <border>
      <left style="double">
        <color indexed="64"/>
      </left>
      <right style="thin">
        <color indexed="64"/>
      </right>
      <top style="dashed">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top style="dashed">
        <color indexed="64"/>
      </top>
      <bottom style="dashed">
        <color indexed="64"/>
      </bottom>
      <diagonal/>
    </border>
    <border>
      <left/>
      <right style="thin">
        <color indexed="64"/>
      </right>
      <top style="dashed">
        <color indexed="64"/>
      </top>
      <bottom style="dashed">
        <color indexed="64"/>
      </bottom>
      <diagonal/>
    </border>
    <border>
      <left/>
      <right style="double">
        <color indexed="64"/>
      </right>
      <top style="dashed">
        <color indexed="64"/>
      </top>
      <bottom style="dashed">
        <color indexed="64"/>
      </bottom>
      <diagonal/>
    </border>
    <border>
      <left style="double">
        <color indexed="64"/>
      </left>
      <right style="thin">
        <color indexed="64"/>
      </right>
      <top style="dashed">
        <color indexed="64"/>
      </top>
      <bottom style="double">
        <color indexed="64"/>
      </bottom>
      <diagonal/>
    </border>
    <border>
      <left style="thin">
        <color indexed="64"/>
      </left>
      <right style="thin">
        <color indexed="64"/>
      </right>
      <top style="dashed">
        <color indexed="64"/>
      </top>
      <bottom style="double">
        <color indexed="64"/>
      </bottom>
      <diagonal/>
    </border>
    <border>
      <left style="thin">
        <color indexed="64"/>
      </left>
      <right/>
      <top style="dashed">
        <color indexed="64"/>
      </top>
      <bottom style="double">
        <color indexed="64"/>
      </bottom>
      <diagonal/>
    </border>
    <border>
      <left/>
      <right style="thin">
        <color indexed="64"/>
      </right>
      <top style="dashed">
        <color indexed="64"/>
      </top>
      <bottom style="double">
        <color indexed="64"/>
      </bottom>
      <diagonal/>
    </border>
    <border>
      <left/>
      <right style="double">
        <color indexed="64"/>
      </right>
      <top style="dashed">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right style="thin">
        <color indexed="64"/>
      </right>
      <top style="thin">
        <color indexed="64"/>
      </top>
      <bottom style="double">
        <color indexed="64"/>
      </bottom>
      <diagonal/>
    </border>
    <border>
      <left/>
      <right style="thin">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double">
        <color indexed="64"/>
      </left>
      <right style="thin">
        <color indexed="64"/>
      </right>
      <top style="double">
        <color indexed="64"/>
      </top>
      <bottom style="dashed">
        <color indexed="64"/>
      </bottom>
      <diagonal/>
    </border>
    <border>
      <left style="thin">
        <color indexed="64"/>
      </left>
      <right style="thin">
        <color indexed="64"/>
      </right>
      <top style="double">
        <color indexed="64"/>
      </top>
      <bottom style="dashed">
        <color indexed="64"/>
      </bottom>
      <diagonal/>
    </border>
    <border>
      <left style="thin">
        <color indexed="64"/>
      </left>
      <right style="double">
        <color indexed="64"/>
      </right>
      <top style="double">
        <color indexed="64"/>
      </top>
      <bottom style="dashed">
        <color indexed="64"/>
      </bottom>
      <diagonal/>
    </border>
    <border>
      <left style="double">
        <color indexed="64"/>
      </left>
      <right style="double">
        <color indexed="64"/>
      </right>
      <top style="dashed">
        <color indexed="64"/>
      </top>
      <bottom style="dashed">
        <color indexed="64"/>
      </bottom>
      <diagonal/>
    </border>
    <border>
      <left style="thin">
        <color indexed="64"/>
      </left>
      <right style="thin">
        <color indexed="64"/>
      </right>
      <top style="dashed">
        <color indexed="64"/>
      </top>
      <bottom style="thin">
        <color indexed="64"/>
      </bottom>
      <diagonal/>
    </border>
    <border>
      <left style="double">
        <color indexed="64"/>
      </left>
      <right style="thin">
        <color indexed="64"/>
      </right>
      <top style="dashed">
        <color indexed="64"/>
      </top>
      <bottom/>
      <diagonal/>
    </border>
    <border>
      <left style="thin">
        <color indexed="64"/>
      </left>
      <right style="thin">
        <color indexed="64"/>
      </right>
      <top style="dashed">
        <color indexed="64"/>
      </top>
      <bottom/>
      <diagonal/>
    </border>
    <border>
      <left style="double">
        <color indexed="64"/>
      </left>
      <right style="thin">
        <color indexed="64"/>
      </right>
      <top style="thin">
        <color indexed="64"/>
      </top>
      <bottom style="dashed">
        <color indexed="64"/>
      </bottom>
      <diagonal/>
    </border>
    <border>
      <left style="thin">
        <color indexed="64"/>
      </left>
      <right style="thin">
        <color indexed="64"/>
      </right>
      <top style="thin">
        <color indexed="64"/>
      </top>
      <bottom style="dashed">
        <color indexed="64"/>
      </bottom>
      <diagonal/>
    </border>
    <border>
      <left style="thin">
        <color indexed="64"/>
      </left>
      <right style="double">
        <color indexed="64"/>
      </right>
      <top style="thin">
        <color indexed="64"/>
      </top>
      <bottom style="dashed">
        <color indexed="64"/>
      </bottom>
      <diagonal/>
    </border>
    <border>
      <left style="thin">
        <color indexed="64"/>
      </left>
      <right/>
      <top/>
      <bottom/>
      <diagonal/>
    </border>
    <border>
      <left style="thick">
        <color theme="9" tint="-0.499984740745262"/>
      </left>
      <right/>
      <top style="thick">
        <color theme="9" tint="-0.499984740745262"/>
      </top>
      <bottom/>
      <diagonal/>
    </border>
    <border>
      <left/>
      <right/>
      <top style="thick">
        <color theme="9" tint="-0.499984740745262"/>
      </top>
      <bottom/>
      <diagonal/>
    </border>
    <border>
      <left/>
      <right style="thick">
        <color theme="9" tint="-0.499984740745262"/>
      </right>
      <top style="thick">
        <color theme="9" tint="-0.499984740745262"/>
      </top>
      <bottom/>
      <diagonal/>
    </border>
    <border>
      <left style="thick">
        <color theme="9" tint="-0.499984740745262"/>
      </left>
      <right/>
      <top/>
      <bottom/>
      <diagonal/>
    </border>
    <border>
      <left/>
      <right style="thick">
        <color theme="9" tint="-0.499984740745262"/>
      </right>
      <top/>
      <bottom/>
      <diagonal/>
    </border>
    <border>
      <left style="thick">
        <color theme="9" tint="-0.499984740745262"/>
      </left>
      <right/>
      <top/>
      <bottom style="thick">
        <color theme="9" tint="-0.499984740745262"/>
      </bottom>
      <diagonal/>
    </border>
    <border>
      <left/>
      <right/>
      <top/>
      <bottom style="thick">
        <color theme="9" tint="-0.499984740745262"/>
      </bottom>
      <diagonal/>
    </border>
    <border>
      <left/>
      <right style="thick">
        <color theme="9" tint="-0.499984740745262"/>
      </right>
      <top/>
      <bottom style="thick">
        <color theme="9" tint="-0.499984740745262"/>
      </bottom>
      <diagonal/>
    </border>
    <border>
      <left style="thick">
        <color theme="9" tint="0.39997558519241921"/>
      </left>
      <right/>
      <top style="thick">
        <color theme="9" tint="0.39997558519241921"/>
      </top>
      <bottom/>
      <diagonal/>
    </border>
    <border>
      <left/>
      <right/>
      <top style="thick">
        <color theme="9" tint="0.39997558519241921"/>
      </top>
      <bottom/>
      <diagonal/>
    </border>
    <border>
      <left/>
      <right style="thick">
        <color theme="9" tint="0.39997558519241921"/>
      </right>
      <top style="thick">
        <color theme="9" tint="0.39997558519241921"/>
      </top>
      <bottom/>
      <diagonal/>
    </border>
    <border>
      <left/>
      <right/>
      <top/>
      <bottom style="thin">
        <color rgb="FFFF9900"/>
      </bottom>
      <diagonal/>
    </border>
    <border>
      <left/>
      <right/>
      <top style="thin">
        <color rgb="FFFF9900"/>
      </top>
      <bottom/>
      <diagonal/>
    </border>
    <border>
      <left/>
      <right/>
      <top style="thin">
        <color rgb="FFFF9900"/>
      </top>
      <bottom style="thin">
        <color rgb="FFFF9900"/>
      </bottom>
      <diagonal/>
    </border>
    <border>
      <left/>
      <right/>
      <top style="dotted">
        <color rgb="FFFF9900"/>
      </top>
      <bottom/>
      <diagonal/>
    </border>
    <border>
      <left/>
      <right/>
      <top style="dotted">
        <color rgb="FFFF9900"/>
      </top>
      <bottom style="thin">
        <color rgb="FFFF9900"/>
      </bottom>
      <diagonal/>
    </border>
    <border>
      <left/>
      <right/>
      <top/>
      <bottom style="dotted">
        <color rgb="FFFF9900"/>
      </bottom>
      <diagonal/>
    </border>
    <border>
      <left style="thick">
        <color theme="9" tint="0.39997558519241921"/>
      </left>
      <right/>
      <top/>
      <bottom/>
      <diagonal/>
    </border>
    <border>
      <left/>
      <right style="thick">
        <color theme="9" tint="0.39997558519241921"/>
      </right>
      <top/>
      <bottom/>
      <diagonal/>
    </border>
    <border>
      <left style="thin">
        <color theme="6" tint="0.59999389629810485"/>
      </left>
      <right/>
      <top style="thin">
        <color theme="6" tint="0.59999389629810485"/>
      </top>
      <bottom/>
      <diagonal/>
    </border>
    <border>
      <left/>
      <right/>
      <top style="thin">
        <color theme="6" tint="0.59999389629810485"/>
      </top>
      <bottom/>
      <diagonal/>
    </border>
    <border>
      <left/>
      <right style="thin">
        <color theme="6" tint="0.59999389629810485"/>
      </right>
      <top style="thin">
        <color theme="6" tint="0.59999389629810485"/>
      </top>
      <bottom/>
      <diagonal/>
    </border>
    <border>
      <left style="thin">
        <color theme="6" tint="0.59999389629810485"/>
      </left>
      <right/>
      <top/>
      <bottom/>
      <diagonal/>
    </border>
    <border>
      <left/>
      <right style="thin">
        <color theme="6" tint="0.59999389629810485"/>
      </right>
      <top/>
      <bottom/>
      <diagonal/>
    </border>
    <border>
      <left style="thin">
        <color theme="6" tint="0.59999389629810485"/>
      </left>
      <right/>
      <top/>
      <bottom style="thin">
        <color theme="6" tint="0.59999389629810485"/>
      </bottom>
      <diagonal/>
    </border>
    <border>
      <left/>
      <right/>
      <top/>
      <bottom style="thin">
        <color theme="6" tint="0.59999389629810485"/>
      </bottom>
      <diagonal/>
    </border>
    <border>
      <left/>
      <right style="thin">
        <color theme="6" tint="0.59999389629810485"/>
      </right>
      <top/>
      <bottom style="thin">
        <color theme="6" tint="0.59999389629810485"/>
      </bottom>
      <diagonal/>
    </border>
    <border>
      <left/>
      <right/>
      <top/>
      <bottom style="thin">
        <color indexed="64"/>
      </bottom>
      <diagonal/>
    </border>
    <border>
      <left/>
      <right/>
      <top/>
      <bottom style="thin">
        <color theme="0" tint="-0.14999847407452621"/>
      </bottom>
      <diagonal/>
    </border>
    <border>
      <left/>
      <right/>
      <top style="thin">
        <color theme="0" tint="-0.14999847407452621"/>
      </top>
      <bottom style="thin">
        <color theme="0" tint="-0.14999847407452621"/>
      </bottom>
      <diagonal/>
    </border>
    <border>
      <left/>
      <right/>
      <top style="thin">
        <color theme="0" tint="-0.14999847407452621"/>
      </top>
      <bottom/>
      <diagonal/>
    </border>
    <border>
      <left/>
      <right style="thin">
        <color theme="0"/>
      </right>
      <top/>
      <bottom/>
      <diagonal/>
    </border>
    <border>
      <left/>
      <right/>
      <top style="thin">
        <color indexed="64"/>
      </top>
      <bottom/>
      <diagonal/>
    </border>
    <border>
      <left/>
      <right style="thin">
        <color indexed="64"/>
      </right>
      <top style="thin">
        <color indexed="64"/>
      </top>
      <bottom/>
      <diagonal/>
    </border>
    <border>
      <left/>
      <right/>
      <top/>
      <bottom style="dotted">
        <color rgb="FF000000"/>
      </bottom>
      <diagonal/>
    </border>
    <border>
      <left style="thin">
        <color rgb="FF000000"/>
      </left>
      <right/>
      <top style="double">
        <color rgb="FF000000"/>
      </top>
      <bottom style="double">
        <color indexed="64"/>
      </bottom>
      <diagonal/>
    </border>
    <border>
      <left style="thin">
        <color rgb="FF000000"/>
      </left>
      <right/>
      <top/>
      <bottom style="dotted">
        <color rgb="FF000000"/>
      </bottom>
      <diagonal/>
    </border>
    <border>
      <left/>
      <right/>
      <top style="double">
        <color rgb="FF000000"/>
      </top>
      <bottom style="double">
        <color rgb="FF000000"/>
      </bottom>
      <diagonal/>
    </border>
    <border>
      <left style="thin">
        <color rgb="FF000000"/>
      </left>
      <right/>
      <top style="double">
        <color rgb="FF000000"/>
      </top>
      <bottom style="double">
        <color rgb="FF000000"/>
      </bottom>
      <diagonal/>
    </border>
    <border>
      <left/>
      <right/>
      <top style="double">
        <color indexed="64"/>
      </top>
      <bottom style="dotted">
        <color rgb="FF000000"/>
      </bottom>
      <diagonal/>
    </border>
    <border>
      <left style="thin">
        <color rgb="FF000000"/>
      </left>
      <right style="double">
        <color indexed="64"/>
      </right>
      <top/>
      <bottom style="dotted">
        <color rgb="FF000000"/>
      </bottom>
      <diagonal/>
    </border>
    <border>
      <left style="thin">
        <color rgb="FF000000"/>
      </left>
      <right style="double">
        <color indexed="64"/>
      </right>
      <top/>
      <bottom style="double">
        <color rgb="FF000000"/>
      </bottom>
      <diagonal/>
    </border>
    <border>
      <left/>
      <right/>
      <top style="thin">
        <color theme="0"/>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top style="double">
        <color rgb="FF000000"/>
      </top>
      <bottom style="double">
        <color indexed="64"/>
      </bottom>
      <diagonal/>
    </border>
    <border>
      <left style="double">
        <color indexed="64"/>
      </left>
      <right style="double">
        <color indexed="64"/>
      </right>
      <top style="double">
        <color indexed="64"/>
      </top>
      <bottom style="double">
        <color indexed="64"/>
      </bottom>
      <diagonal/>
    </border>
    <border>
      <left style="thin">
        <color indexed="64"/>
      </left>
      <right style="thin">
        <color indexed="64"/>
      </right>
      <top/>
      <bottom style="medium">
        <color indexed="64"/>
      </bottom>
      <diagonal/>
    </border>
    <border>
      <left style="thin">
        <color indexed="64"/>
      </left>
      <right/>
      <top/>
      <bottom style="medium">
        <color rgb="FF000000"/>
      </bottom>
      <diagonal/>
    </border>
    <border>
      <left/>
      <right/>
      <top/>
      <bottom style="medium">
        <color rgb="FF000000"/>
      </bottom>
      <diagonal/>
    </border>
    <border>
      <left style="double">
        <color indexed="64"/>
      </left>
      <right/>
      <top style="double">
        <color indexed="64"/>
      </top>
      <bottom style="double">
        <color indexed="64"/>
      </bottom>
      <diagonal/>
    </border>
    <border>
      <left/>
      <right style="thin">
        <color rgb="FF000000"/>
      </right>
      <top style="double">
        <color indexed="64"/>
      </top>
      <bottom style="double">
        <color indexed="64"/>
      </bottom>
      <diagonal/>
    </border>
    <border>
      <left style="thin">
        <color rgb="FF000000"/>
      </left>
      <right/>
      <top style="double">
        <color indexed="64"/>
      </top>
      <bottom style="double">
        <color indexed="64"/>
      </bottom>
      <diagonal/>
    </border>
    <border>
      <left style="thin">
        <color rgb="FF000000"/>
      </left>
      <right style="thin">
        <color rgb="FF000000"/>
      </right>
      <top style="double">
        <color indexed="64"/>
      </top>
      <bottom style="double">
        <color indexed="64"/>
      </bottom>
      <diagonal/>
    </border>
    <border>
      <left style="thin">
        <color rgb="FF000000"/>
      </left>
      <right style="double">
        <color indexed="64"/>
      </right>
      <top style="double">
        <color indexed="64"/>
      </top>
      <bottom style="double">
        <color indexed="64"/>
      </bottom>
      <diagonal/>
    </border>
    <border>
      <left style="double">
        <color indexed="64"/>
      </left>
      <right/>
      <top/>
      <bottom style="dotted">
        <color rgb="FF000000"/>
      </bottom>
      <diagonal/>
    </border>
    <border>
      <left style="double">
        <color indexed="64"/>
      </left>
      <right/>
      <top style="double">
        <color rgb="FF000000"/>
      </top>
      <bottom style="double">
        <color rgb="FF000000"/>
      </bottom>
      <diagonal/>
    </border>
    <border>
      <left/>
      <right style="double">
        <color indexed="64"/>
      </right>
      <top style="double">
        <color rgb="FF000000"/>
      </top>
      <bottom style="double">
        <color rgb="FF000000"/>
      </bottom>
      <diagonal/>
    </border>
    <border>
      <left style="double">
        <color indexed="64"/>
      </left>
      <right/>
      <top style="double">
        <color rgb="FF000000"/>
      </top>
      <bottom style="double">
        <color indexed="64"/>
      </bottom>
      <diagonal/>
    </border>
    <border>
      <left/>
      <right style="double">
        <color indexed="64"/>
      </right>
      <top style="double">
        <color rgb="FF000000"/>
      </top>
      <bottom style="double">
        <color indexed="64"/>
      </bottom>
      <diagonal/>
    </border>
    <border>
      <left style="thin">
        <color indexed="64"/>
      </left>
      <right style="double">
        <color indexed="64"/>
      </right>
      <top/>
      <bottom style="medium">
        <color indexed="64"/>
      </bottom>
      <diagonal/>
    </border>
    <border>
      <left style="double">
        <color indexed="64"/>
      </left>
      <right/>
      <top/>
      <bottom style="dashed">
        <color rgb="FF000000"/>
      </bottom>
      <diagonal/>
    </border>
    <border>
      <left style="double">
        <color indexed="64"/>
      </left>
      <right/>
      <top style="dashed">
        <color rgb="FF000000"/>
      </top>
      <bottom style="dashed">
        <color rgb="FF000000"/>
      </bottom>
      <diagonal/>
    </border>
    <border>
      <left style="double">
        <color indexed="64"/>
      </left>
      <right/>
      <top style="dashed">
        <color rgb="FF000000"/>
      </top>
      <bottom style="double">
        <color indexed="64"/>
      </bottom>
      <diagonal/>
    </border>
    <border>
      <left/>
      <right style="double">
        <color indexed="64"/>
      </right>
      <top style="double">
        <color indexed="64"/>
      </top>
      <bottom style="double">
        <color indexed="64"/>
      </bottom>
      <diagonal/>
    </border>
    <border>
      <left/>
      <right/>
      <top/>
      <bottom style="medium">
        <color indexed="64"/>
      </bottom>
      <diagonal/>
    </border>
    <border>
      <left style="double">
        <color indexed="64"/>
      </left>
      <right style="double">
        <color indexed="64"/>
      </right>
      <top style="double">
        <color indexed="64"/>
      </top>
      <bottom/>
      <diagonal/>
    </border>
    <border>
      <left style="double">
        <color indexed="64"/>
      </left>
      <right/>
      <top style="dotted">
        <color indexed="64"/>
      </top>
      <bottom style="dotted">
        <color rgb="FF000000"/>
      </bottom>
      <diagonal/>
    </border>
    <border>
      <left/>
      <right/>
      <top style="dotted">
        <color indexed="64"/>
      </top>
      <bottom style="dotted">
        <color rgb="FF000000"/>
      </bottom>
      <diagonal/>
    </border>
    <border>
      <left style="thin">
        <color rgb="FF000000"/>
      </left>
      <right/>
      <top style="dotted">
        <color indexed="64"/>
      </top>
      <bottom style="dotted">
        <color rgb="FF000000"/>
      </bottom>
      <diagonal/>
    </border>
    <border>
      <left style="thin">
        <color rgb="FF000000"/>
      </left>
      <right style="double">
        <color indexed="64"/>
      </right>
      <top style="dotted">
        <color indexed="64"/>
      </top>
      <bottom style="dotted">
        <color rgb="FF000000"/>
      </bottom>
      <diagonal/>
    </border>
    <border>
      <left style="double">
        <color indexed="64"/>
      </left>
      <right/>
      <top style="dotted">
        <color rgb="FF000000"/>
      </top>
      <bottom style="dotted">
        <color indexed="64"/>
      </bottom>
      <diagonal/>
    </border>
    <border>
      <left/>
      <right/>
      <top style="dotted">
        <color rgb="FF000000"/>
      </top>
      <bottom style="dotted">
        <color indexed="64"/>
      </bottom>
      <diagonal/>
    </border>
    <border>
      <left style="thin">
        <color rgb="FF000000"/>
      </left>
      <right/>
      <top style="dotted">
        <color rgb="FF000000"/>
      </top>
      <bottom style="dotted">
        <color indexed="64"/>
      </bottom>
      <diagonal/>
    </border>
    <border>
      <left style="thin">
        <color rgb="FF000000"/>
      </left>
      <right style="double">
        <color indexed="64"/>
      </right>
      <top style="dotted">
        <color rgb="FF000000"/>
      </top>
      <bottom style="dotted">
        <color indexed="64"/>
      </bottom>
      <diagonal/>
    </border>
    <border>
      <left style="double">
        <color indexed="64"/>
      </left>
      <right/>
      <top style="double">
        <color indexed="64"/>
      </top>
      <bottom style="dotted">
        <color indexed="64"/>
      </bottom>
      <diagonal/>
    </border>
    <border>
      <left/>
      <right/>
      <top style="double">
        <color indexed="64"/>
      </top>
      <bottom style="dotted">
        <color indexed="64"/>
      </bottom>
      <diagonal/>
    </border>
    <border>
      <left style="thin">
        <color rgb="FF000000"/>
      </left>
      <right/>
      <top style="double">
        <color indexed="64"/>
      </top>
      <bottom style="dotted">
        <color indexed="64"/>
      </bottom>
      <diagonal/>
    </border>
    <border>
      <left style="thin">
        <color rgb="FF000000"/>
      </left>
      <right style="thin">
        <color rgb="FF000000"/>
      </right>
      <top style="double">
        <color indexed="64"/>
      </top>
      <bottom style="dotted">
        <color indexed="64"/>
      </bottom>
      <diagonal/>
    </border>
    <border>
      <left style="thin">
        <color rgb="FF000000"/>
      </left>
      <right style="double">
        <color indexed="64"/>
      </right>
      <top style="double">
        <color indexed="64"/>
      </top>
      <bottom style="dotted">
        <color indexed="64"/>
      </bottom>
      <diagonal/>
    </border>
    <border>
      <left style="double">
        <color indexed="64"/>
      </left>
      <right/>
      <top style="dotted">
        <color indexed="64"/>
      </top>
      <bottom style="dotted">
        <color indexed="64"/>
      </bottom>
      <diagonal/>
    </border>
    <border>
      <left/>
      <right/>
      <top style="dotted">
        <color indexed="64"/>
      </top>
      <bottom style="dotted">
        <color indexed="64"/>
      </bottom>
      <diagonal/>
    </border>
    <border>
      <left style="thin">
        <color rgb="FF000000"/>
      </left>
      <right/>
      <top style="dotted">
        <color indexed="64"/>
      </top>
      <bottom style="dotted">
        <color indexed="64"/>
      </bottom>
      <diagonal/>
    </border>
    <border>
      <left style="thin">
        <color rgb="FF000000"/>
      </left>
      <right style="thin">
        <color rgb="FF000000"/>
      </right>
      <top style="dotted">
        <color indexed="64"/>
      </top>
      <bottom style="dotted">
        <color indexed="64"/>
      </bottom>
      <diagonal/>
    </border>
    <border>
      <left style="thin">
        <color rgb="FF000000"/>
      </left>
      <right style="double">
        <color indexed="64"/>
      </right>
      <top style="dotted">
        <color indexed="64"/>
      </top>
      <bottom style="dotted">
        <color indexed="64"/>
      </bottom>
      <diagonal/>
    </border>
    <border>
      <left style="double">
        <color indexed="64"/>
      </left>
      <right/>
      <top style="dotted">
        <color indexed="64"/>
      </top>
      <bottom style="double">
        <color rgb="FF000000"/>
      </bottom>
      <diagonal/>
    </border>
    <border>
      <left/>
      <right/>
      <top style="dotted">
        <color indexed="64"/>
      </top>
      <bottom style="double">
        <color rgb="FF000000"/>
      </bottom>
      <diagonal/>
    </border>
    <border>
      <left style="thin">
        <color rgb="FF000000"/>
      </left>
      <right/>
      <top style="dotted">
        <color indexed="64"/>
      </top>
      <bottom style="double">
        <color rgb="FF000000"/>
      </bottom>
      <diagonal/>
    </border>
    <border>
      <left style="thin">
        <color rgb="FF000000"/>
      </left>
      <right style="double">
        <color indexed="64"/>
      </right>
      <top style="dotted">
        <color indexed="64"/>
      </top>
      <bottom style="double">
        <color rgb="FF000000"/>
      </bottom>
      <diagonal/>
    </border>
    <border>
      <left style="double">
        <color indexed="64"/>
      </left>
      <right/>
      <top style="dotted">
        <color rgb="FF000000"/>
      </top>
      <bottom style="double">
        <color indexed="64"/>
      </bottom>
      <diagonal/>
    </border>
    <border>
      <left/>
      <right/>
      <top style="dotted">
        <color rgb="FF000000"/>
      </top>
      <bottom style="double">
        <color indexed="64"/>
      </bottom>
      <diagonal/>
    </border>
    <border>
      <left style="thin">
        <color rgb="FF000000"/>
      </left>
      <right/>
      <top style="dotted">
        <color rgb="FF000000"/>
      </top>
      <bottom style="double">
        <color indexed="64"/>
      </bottom>
      <diagonal/>
    </border>
    <border>
      <left style="thin">
        <color rgb="FF000000"/>
      </left>
      <right style="double">
        <color indexed="64"/>
      </right>
      <top style="dotted">
        <color rgb="FF000000"/>
      </top>
      <bottom style="double">
        <color indexed="64"/>
      </bottom>
      <diagonal/>
    </border>
    <border>
      <left style="double">
        <color indexed="64"/>
      </left>
      <right/>
      <top style="double">
        <color indexed="64"/>
      </top>
      <bottom style="double">
        <color rgb="FF000000"/>
      </bottom>
      <diagonal/>
    </border>
    <border>
      <left/>
      <right/>
      <top style="double">
        <color indexed="64"/>
      </top>
      <bottom style="double">
        <color rgb="FF000000"/>
      </bottom>
      <diagonal/>
    </border>
    <border>
      <left/>
      <right/>
      <top style="double">
        <color indexed="64"/>
      </top>
      <bottom style="double">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indexed="64"/>
      </bottom>
      <diagonal/>
    </border>
    <border>
      <left style="thin">
        <color theme="0" tint="-0.14999847407452621"/>
      </left>
      <right style="thin">
        <color indexed="64"/>
      </right>
      <top style="thin">
        <color indexed="64"/>
      </top>
      <bottom style="thin">
        <color indexed="64"/>
      </bottom>
      <diagonal/>
    </border>
    <border>
      <left/>
      <right/>
      <top/>
      <bottom style="double">
        <color rgb="FF002060"/>
      </bottom>
      <diagonal/>
    </border>
    <border>
      <left style="double">
        <color rgb="FF002060"/>
      </left>
      <right style="double">
        <color rgb="FF002060"/>
      </right>
      <top style="double">
        <color rgb="FF002060"/>
      </top>
      <bottom style="double">
        <color rgb="FF002060"/>
      </bottom>
      <diagonal/>
    </border>
    <border>
      <left style="double">
        <color rgb="FF002060"/>
      </left>
      <right style="double">
        <color rgb="FF002060"/>
      </right>
      <top/>
      <bottom/>
      <diagonal/>
    </border>
    <border>
      <left style="thin">
        <color theme="0" tint="-0.249977111117893"/>
      </left>
      <right style="thin">
        <color theme="0" tint="-0.249977111117893"/>
      </right>
      <top/>
      <bottom style="thin">
        <color theme="0" tint="-0.249977111117893"/>
      </bottom>
      <diagonal/>
    </border>
    <border>
      <left style="thin">
        <color theme="0"/>
      </left>
      <right style="thin">
        <color theme="0"/>
      </right>
      <top/>
      <bottom/>
      <diagonal/>
    </border>
    <border>
      <left style="thin">
        <color rgb="FF000000"/>
      </left>
      <right/>
      <top/>
      <bottom/>
      <diagonal/>
    </border>
    <border>
      <left style="thin">
        <color rgb="FF000000"/>
      </left>
      <right style="double">
        <color indexed="64"/>
      </right>
      <top/>
      <bottom/>
      <diagonal/>
    </border>
    <border>
      <left/>
      <right style="thin">
        <color rgb="FF000000"/>
      </right>
      <top style="double">
        <color indexed="64"/>
      </top>
      <bottom style="dotted">
        <color indexed="64"/>
      </bottom>
      <diagonal/>
    </border>
    <border>
      <left/>
      <right style="thin">
        <color rgb="FF000000"/>
      </right>
      <top style="dotted">
        <color indexed="64"/>
      </top>
      <bottom style="dotted">
        <color indexed="64"/>
      </bottom>
      <diagonal/>
    </border>
    <border>
      <left/>
      <right style="thin">
        <color rgb="FF000000"/>
      </right>
      <top style="dotted">
        <color rgb="FF000000"/>
      </top>
      <bottom style="dotted">
        <color indexed="64"/>
      </bottom>
      <diagonal/>
    </border>
    <border>
      <left style="thin">
        <color indexed="64"/>
      </left>
      <right/>
      <top style="medium">
        <color indexed="64"/>
      </top>
      <bottom style="dashed">
        <color indexed="64"/>
      </bottom>
      <diagonal/>
    </border>
    <border>
      <left style="thin">
        <color indexed="64"/>
      </left>
      <right style="thin">
        <color indexed="64"/>
      </right>
      <top style="medium">
        <color indexed="64"/>
      </top>
      <bottom style="dashed">
        <color indexed="64"/>
      </bottom>
      <diagonal/>
    </border>
    <border>
      <left style="thin">
        <color indexed="64"/>
      </left>
      <right/>
      <top style="medium">
        <color rgb="FF000000"/>
      </top>
      <bottom style="dashed">
        <color indexed="64"/>
      </bottom>
      <diagonal/>
    </border>
    <border>
      <left/>
      <right/>
      <top style="medium">
        <color rgb="FF000000"/>
      </top>
      <bottom style="dashed">
        <color indexed="64"/>
      </bottom>
      <diagonal/>
    </border>
    <border>
      <left style="thin">
        <color indexed="64"/>
      </left>
      <right style="double">
        <color indexed="64"/>
      </right>
      <top style="medium">
        <color indexed="64"/>
      </top>
      <bottom style="dashed">
        <color indexed="64"/>
      </bottom>
      <diagonal/>
    </border>
    <border>
      <left style="thin">
        <color indexed="64"/>
      </left>
      <right style="double">
        <color indexed="64"/>
      </right>
      <top style="dashed">
        <color indexed="64"/>
      </top>
      <bottom style="dashed">
        <color indexed="64"/>
      </bottom>
      <diagonal/>
    </border>
    <border>
      <left/>
      <right/>
      <top/>
      <bottom style="double">
        <color indexed="64"/>
      </bottom>
      <diagonal/>
    </border>
    <border>
      <left style="thin">
        <color indexed="64"/>
      </left>
      <right style="double">
        <color indexed="64"/>
      </right>
      <top/>
      <bottom style="double">
        <color indexed="64"/>
      </bottom>
      <diagonal/>
    </border>
    <border>
      <left/>
      <right/>
      <top style="dashed">
        <color indexed="64"/>
      </top>
      <bottom style="dashed">
        <color indexed="64"/>
      </bottom>
      <diagonal/>
    </border>
    <border>
      <left/>
      <right style="thin">
        <color theme="0" tint="-0.249977111117893"/>
      </right>
      <top style="thin">
        <color theme="0" tint="-0.249977111117893"/>
      </top>
      <bottom style="thin">
        <color theme="0" tint="-0.249977111117893"/>
      </bottom>
      <diagonal/>
    </border>
    <border>
      <left/>
      <right/>
      <top style="double">
        <color indexed="64"/>
      </top>
      <bottom/>
      <diagonal/>
    </border>
    <border>
      <left style="thin">
        <color indexed="64"/>
      </left>
      <right/>
      <top style="dashed">
        <color indexed="64"/>
      </top>
      <bottom/>
      <diagonal/>
    </border>
    <border>
      <left/>
      <right style="thin">
        <color indexed="64"/>
      </right>
      <top style="dashed">
        <color indexed="64"/>
      </top>
      <bottom/>
      <diagonal/>
    </border>
    <border>
      <left/>
      <right style="double">
        <color indexed="64"/>
      </right>
      <top style="dashed">
        <color indexed="64"/>
      </top>
      <bottom/>
      <diagonal/>
    </border>
    <border>
      <left style="double">
        <color indexed="64"/>
      </left>
      <right style="thin">
        <color indexed="64"/>
      </right>
      <top/>
      <bottom/>
      <diagonal/>
    </border>
    <border>
      <left/>
      <right style="double">
        <color indexed="64"/>
      </right>
      <top/>
      <bottom/>
      <diagonal/>
    </border>
    <border>
      <left/>
      <right style="thin">
        <color indexed="64"/>
      </right>
      <top style="dashed">
        <color indexed="64"/>
      </top>
      <bottom style="thin">
        <color indexed="64"/>
      </bottom>
      <diagonal/>
    </border>
    <border>
      <left style="thin">
        <color indexed="64"/>
      </left>
      <right/>
      <top style="dashed">
        <color indexed="64"/>
      </top>
      <bottom style="thin">
        <color indexed="64"/>
      </bottom>
      <diagonal/>
    </border>
    <border>
      <left/>
      <right style="double">
        <color indexed="64"/>
      </right>
      <top style="dashed">
        <color indexed="64"/>
      </top>
      <bottom style="thin">
        <color indexed="64"/>
      </bottom>
      <diagonal/>
    </border>
    <border>
      <left style="double">
        <color indexed="64"/>
      </left>
      <right style="thin">
        <color indexed="64"/>
      </right>
      <top style="dashed">
        <color indexed="64"/>
      </top>
      <bottom style="thin">
        <color indexed="64"/>
      </bottom>
      <diagonal/>
    </border>
    <border>
      <left/>
      <right/>
      <top style="medium">
        <color rgb="FF000000"/>
      </top>
      <bottom style="dashed">
        <color rgb="FF000000"/>
      </bottom>
      <diagonal/>
    </border>
    <border>
      <left/>
      <right/>
      <top style="dashed">
        <color rgb="FF000000"/>
      </top>
      <bottom style="dashed">
        <color rgb="FF000000"/>
      </bottom>
      <diagonal/>
    </border>
    <border>
      <left/>
      <right/>
      <top style="dashed">
        <color rgb="FF000000"/>
      </top>
      <bottom/>
      <diagonal/>
    </border>
    <border>
      <left/>
      <right/>
      <top/>
      <bottom style="dashed">
        <color rgb="FF000000"/>
      </bottom>
      <diagonal/>
    </border>
    <border>
      <left/>
      <right/>
      <top style="dashed">
        <color rgb="FF000000"/>
      </top>
      <bottom style="medium">
        <color rgb="FF000000"/>
      </bottom>
      <diagonal/>
    </border>
    <border>
      <left/>
      <right style="thin">
        <color indexed="64"/>
      </right>
      <top style="dashed">
        <color rgb="FF000000"/>
      </top>
      <bottom style="dashed">
        <color rgb="FF000000"/>
      </bottom>
      <diagonal/>
    </border>
    <border>
      <left/>
      <right/>
      <top style="medium">
        <color rgb="FF000000"/>
      </top>
      <bottom/>
      <diagonal/>
    </border>
    <border>
      <left/>
      <right style="thin">
        <color indexed="64"/>
      </right>
      <top style="dashed">
        <color rgb="FF000000"/>
      </top>
      <bottom/>
      <diagonal/>
    </border>
    <border>
      <left/>
      <right style="thin">
        <color indexed="64"/>
      </right>
      <top/>
      <bottom style="medium">
        <color rgb="FF000000"/>
      </bottom>
      <diagonal/>
    </border>
    <border>
      <left style="thin">
        <color rgb="FF000000"/>
      </left>
      <right style="thin">
        <color rgb="FF000000"/>
      </right>
      <top style="thin">
        <color rgb="FF000000"/>
      </top>
      <bottom style="thin">
        <color rgb="FF000000"/>
      </bottom>
      <diagonal/>
    </border>
    <border>
      <left style="double">
        <color indexed="64"/>
      </left>
      <right style="double">
        <color indexed="64"/>
      </right>
      <top style="dashed">
        <color indexed="64"/>
      </top>
      <bottom/>
      <diagonal/>
    </border>
    <border>
      <left style="double">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style="double">
        <color indexed="64"/>
      </right>
      <top style="thin">
        <color indexed="64"/>
      </top>
      <bottom style="double">
        <color indexed="64"/>
      </bottom>
      <diagonal/>
    </border>
    <border>
      <left style="thin">
        <color theme="0" tint="-0.249977111117893"/>
      </left>
      <right style="thin">
        <color theme="0" tint="-0.249977111117893"/>
      </right>
      <top style="thin">
        <color theme="0" tint="-0.249977111117893"/>
      </top>
      <bottom/>
      <diagonal/>
    </border>
    <border>
      <left style="thin">
        <color indexed="64"/>
      </left>
      <right style="thin">
        <color indexed="64"/>
      </right>
      <top style="thick">
        <color indexed="64"/>
      </top>
      <bottom style="dashed">
        <color indexed="64"/>
      </bottom>
      <diagonal/>
    </border>
    <border>
      <left style="thin">
        <color indexed="64"/>
      </left>
      <right style="thin">
        <color indexed="64"/>
      </right>
      <top style="dashed">
        <color indexed="64"/>
      </top>
      <bottom style="thick">
        <color indexed="64"/>
      </bottom>
      <diagonal/>
    </border>
    <border>
      <left style="thin">
        <color indexed="64"/>
      </left>
      <right style="thin">
        <color indexed="64"/>
      </right>
      <top/>
      <bottom style="thick">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dashed">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s>
  <cellStyleXfs count="5">
    <xf numFmtId="0" fontId="0" fillId="0" borderId="0"/>
    <xf numFmtId="0" fontId="2" fillId="0" borderId="0"/>
    <xf numFmtId="0" fontId="3" fillId="0" borderId="0"/>
    <xf numFmtId="0" fontId="2" fillId="0" borderId="0"/>
    <xf numFmtId="41" fontId="70" fillId="0" borderId="0" applyFont="0" applyFill="0" applyBorder="0" applyAlignment="0" applyProtection="0"/>
  </cellStyleXfs>
  <cellXfs count="1007">
    <xf numFmtId="0" fontId="0" fillId="0" borderId="0" xfId="0"/>
    <xf numFmtId="0" fontId="5" fillId="0" borderId="0" xfId="1" applyFont="1" applyAlignment="1">
      <alignment vertical="center"/>
    </xf>
    <xf numFmtId="0" fontId="7" fillId="0" borderId="0" xfId="0" applyFont="1"/>
    <xf numFmtId="0" fontId="7" fillId="0" borderId="0" xfId="1" applyFont="1" applyProtection="1"/>
    <xf numFmtId="0" fontId="16" fillId="0" borderId="0" xfId="1" applyFont="1" applyAlignment="1" applyProtection="1">
      <alignment horizontal="center"/>
    </xf>
    <xf numFmtId="0" fontId="12" fillId="0" borderId="0" xfId="1" applyFont="1" applyAlignment="1" applyProtection="1">
      <alignment horizontal="left"/>
    </xf>
    <xf numFmtId="0" fontId="7" fillId="0" borderId="0" xfId="1" applyFont="1" applyAlignment="1" applyProtection="1">
      <alignment horizontal="right"/>
    </xf>
    <xf numFmtId="0" fontId="12" fillId="0" borderId="0" xfId="1" applyFont="1" applyProtection="1"/>
    <xf numFmtId="0" fontId="12" fillId="0" borderId="0" xfId="1" applyFont="1" applyFill="1" applyAlignment="1" applyProtection="1">
      <alignment horizontal="center"/>
    </xf>
    <xf numFmtId="0" fontId="8" fillId="0" borderId="0" xfId="1" applyFont="1" applyProtection="1"/>
    <xf numFmtId="0" fontId="12" fillId="0" borderId="0" xfId="1" applyFont="1" applyAlignment="1" applyProtection="1">
      <alignment horizontal="center"/>
    </xf>
    <xf numFmtId="0" fontId="12" fillId="0" borderId="0" xfId="1" quotePrefix="1" applyFont="1" applyProtection="1"/>
    <xf numFmtId="0" fontId="12" fillId="0" borderId="0" xfId="1" applyFont="1" applyFill="1" applyProtection="1"/>
    <xf numFmtId="0" fontId="12" fillId="0" borderId="0" xfId="1" applyFont="1" applyAlignment="1" applyProtection="1">
      <alignment horizontal="right"/>
    </xf>
    <xf numFmtId="0" fontId="7" fillId="0" borderId="0" xfId="1" applyFont="1" applyBorder="1" applyProtection="1"/>
    <xf numFmtId="0" fontId="13" fillId="0" borderId="0" xfId="1" applyFont="1" applyFill="1" applyBorder="1" applyProtection="1"/>
    <xf numFmtId="0" fontId="7" fillId="0" borderId="0" xfId="1" applyFont="1" applyFill="1" applyBorder="1" applyProtection="1"/>
    <xf numFmtId="0" fontId="12" fillId="0" borderId="0" xfId="1" applyFont="1" applyFill="1" applyBorder="1" applyAlignment="1" applyProtection="1">
      <alignment horizontal="center"/>
    </xf>
    <xf numFmtId="164" fontId="12" fillId="0" borderId="0" xfId="1" applyNumberFormat="1" applyFont="1" applyBorder="1" applyProtection="1"/>
    <xf numFmtId="0" fontId="14" fillId="0" borderId="0" xfId="1" applyFont="1" applyFill="1" applyBorder="1" applyAlignment="1" applyProtection="1">
      <alignment horizontal="right" vertical="center"/>
      <protection locked="0" hidden="1"/>
    </xf>
    <xf numFmtId="0" fontId="11" fillId="0" borderId="0" xfId="1" applyFont="1" applyBorder="1" applyProtection="1"/>
    <xf numFmtId="0" fontId="7" fillId="0" borderId="0" xfId="1" applyFont="1" applyFill="1" applyProtection="1"/>
    <xf numFmtId="0" fontId="11" fillId="0" borderId="0" xfId="1" applyFont="1" applyProtection="1"/>
    <xf numFmtId="0" fontId="7" fillId="0" borderId="0" xfId="1" applyFont="1" applyAlignment="1" applyProtection="1">
      <alignment horizontal="center"/>
    </xf>
    <xf numFmtId="0" fontId="5" fillId="0" borderId="0" xfId="1" applyFont="1" applyAlignment="1" applyProtection="1">
      <alignment vertical="center"/>
    </xf>
    <xf numFmtId="0" fontId="5" fillId="0" borderId="0" xfId="1" applyFont="1" applyBorder="1" applyAlignment="1" applyProtection="1">
      <alignment vertical="center"/>
    </xf>
    <xf numFmtId="0" fontId="5" fillId="0" borderId="0" xfId="1" quotePrefix="1" applyFont="1" applyAlignment="1" applyProtection="1">
      <alignment horizontal="center" vertical="center"/>
    </xf>
    <xf numFmtId="0" fontId="5" fillId="0" borderId="0" xfId="1" quotePrefix="1" applyFont="1" applyAlignment="1" applyProtection="1">
      <alignment vertical="center"/>
    </xf>
    <xf numFmtId="164" fontId="5" fillId="0" borderId="0" xfId="1" applyNumberFormat="1" applyFont="1" applyAlignment="1" applyProtection="1">
      <alignment vertical="top"/>
    </xf>
    <xf numFmtId="0" fontId="25" fillId="0" borderId="0" xfId="0" applyFont="1"/>
    <xf numFmtId="0" fontId="25" fillId="0" borderId="5" xfId="0" applyFont="1" applyBorder="1"/>
    <xf numFmtId="0" fontId="30" fillId="5" borderId="0" xfId="0" applyFont="1" applyFill="1" applyBorder="1"/>
    <xf numFmtId="0" fontId="25" fillId="0" borderId="0" xfId="0" applyFont="1" applyBorder="1"/>
    <xf numFmtId="0" fontId="30" fillId="5" borderId="0" xfId="0" applyFont="1" applyFill="1"/>
    <xf numFmtId="0" fontId="29" fillId="0" borderId="0" xfId="0" applyFont="1"/>
    <xf numFmtId="164" fontId="31" fillId="3" borderId="5" xfId="0" applyNumberFormat="1" applyFont="1" applyFill="1" applyBorder="1" applyAlignment="1" applyProtection="1">
      <alignment horizontal="center" vertical="center"/>
    </xf>
    <xf numFmtId="0" fontId="32" fillId="15" borderId="0" xfId="0" applyFont="1" applyFill="1"/>
    <xf numFmtId="0" fontId="32" fillId="15" borderId="0" xfId="0" applyFont="1" applyFill="1" applyBorder="1"/>
    <xf numFmtId="0" fontId="32" fillId="17" borderId="54" xfId="0" applyFont="1" applyFill="1" applyBorder="1"/>
    <xf numFmtId="0" fontId="32" fillId="17" borderId="55" xfId="0" applyFont="1" applyFill="1" applyBorder="1"/>
    <xf numFmtId="0" fontId="32" fillId="17" borderId="56" xfId="0" applyFont="1" applyFill="1" applyBorder="1"/>
    <xf numFmtId="0" fontId="32" fillId="17" borderId="57" xfId="0" applyFont="1" applyFill="1" applyBorder="1"/>
    <xf numFmtId="0" fontId="32" fillId="17" borderId="58" xfId="0" applyFont="1" applyFill="1" applyBorder="1"/>
    <xf numFmtId="0" fontId="32" fillId="17" borderId="0" xfId="0" applyFont="1" applyFill="1" applyBorder="1"/>
    <xf numFmtId="0" fontId="32" fillId="17" borderId="59" xfId="0" applyFont="1" applyFill="1" applyBorder="1"/>
    <xf numFmtId="0" fontId="32" fillId="17" borderId="60" xfId="0" applyFont="1" applyFill="1" applyBorder="1"/>
    <xf numFmtId="0" fontId="32" fillId="17" borderId="61" xfId="0" applyFont="1" applyFill="1" applyBorder="1"/>
    <xf numFmtId="0" fontId="32" fillId="16" borderId="0" xfId="0" applyFont="1" applyFill="1" applyBorder="1"/>
    <xf numFmtId="0" fontId="32" fillId="16" borderId="65" xfId="0" applyFont="1" applyFill="1" applyBorder="1"/>
    <xf numFmtId="0" fontId="32" fillId="16" borderId="66" xfId="0" applyFont="1" applyFill="1" applyBorder="1"/>
    <xf numFmtId="0" fontId="32" fillId="16" borderId="67" xfId="0" applyFont="1" applyFill="1" applyBorder="1"/>
    <xf numFmtId="0" fontId="32" fillId="16" borderId="73" xfId="0" applyFont="1" applyFill="1" applyBorder="1"/>
    <xf numFmtId="0" fontId="32" fillId="16" borderId="74" xfId="0" applyFont="1" applyFill="1" applyBorder="1"/>
    <xf numFmtId="0" fontId="32" fillId="16" borderId="75" xfId="0" applyFont="1" applyFill="1" applyBorder="1"/>
    <xf numFmtId="0" fontId="32" fillId="16" borderId="76" xfId="0" applyFont="1" applyFill="1" applyBorder="1"/>
    <xf numFmtId="0" fontId="32" fillId="16" borderId="77" xfId="0" applyFont="1" applyFill="1" applyBorder="1"/>
    <xf numFmtId="0" fontId="32" fillId="16" borderId="78" xfId="0" applyFont="1" applyFill="1" applyBorder="1"/>
    <xf numFmtId="0" fontId="32" fillId="16" borderId="79" xfId="0" applyFont="1" applyFill="1" applyBorder="1"/>
    <xf numFmtId="0" fontId="32" fillId="16" borderId="80" xfId="0" applyFont="1" applyFill="1" applyBorder="1"/>
    <xf numFmtId="0" fontId="32" fillId="0" borderId="0" xfId="0" applyFont="1" applyFill="1"/>
    <xf numFmtId="0" fontId="32" fillId="22" borderId="0" xfId="0" applyFont="1" applyFill="1" applyBorder="1"/>
    <xf numFmtId="0" fontId="32" fillId="22" borderId="76" xfId="0" applyFont="1" applyFill="1" applyBorder="1"/>
    <xf numFmtId="0" fontId="32" fillId="22" borderId="77" xfId="0" applyFont="1" applyFill="1" applyBorder="1"/>
    <xf numFmtId="0" fontId="32" fillId="22" borderId="78" xfId="0" applyFont="1" applyFill="1" applyBorder="1"/>
    <xf numFmtId="0" fontId="32" fillId="22" borderId="79" xfId="0" applyFont="1" applyFill="1" applyBorder="1"/>
    <xf numFmtId="0" fontId="32" fillId="22" borderId="80" xfId="0" applyFont="1" applyFill="1" applyBorder="1"/>
    <xf numFmtId="0" fontId="5" fillId="0" borderId="0" xfId="1" applyFont="1" applyAlignment="1" applyProtection="1">
      <alignment horizontal="center" vertical="center"/>
    </xf>
    <xf numFmtId="0" fontId="14" fillId="0" borderId="0" xfId="1" applyFont="1" applyFill="1" applyBorder="1" applyAlignment="1" applyProtection="1">
      <alignment horizontal="right" vertical="center"/>
      <protection locked="0" hidden="1"/>
    </xf>
    <xf numFmtId="0" fontId="20" fillId="0" borderId="0" xfId="1" applyFont="1" applyBorder="1" applyAlignment="1" applyProtection="1"/>
    <xf numFmtId="0" fontId="32" fillId="0" borderId="0" xfId="0" applyFont="1" applyFill="1" applyBorder="1" applyProtection="1">
      <protection locked="0"/>
    </xf>
    <xf numFmtId="0" fontId="32" fillId="0" borderId="68" xfId="0" applyFont="1" applyFill="1" applyBorder="1" applyProtection="1">
      <protection locked="0"/>
    </xf>
    <xf numFmtId="164" fontId="5" fillId="0" borderId="82" xfId="1" applyNumberFormat="1" applyFont="1" applyBorder="1" applyAlignment="1" applyProtection="1">
      <alignment vertical="top"/>
    </xf>
    <xf numFmtId="167" fontId="29" fillId="0" borderId="1" xfId="0" applyNumberFormat="1" applyFont="1" applyBorder="1" applyAlignment="1" applyProtection="1">
      <alignment horizontal="center" vertical="center" wrapText="1"/>
      <protection locked="0"/>
    </xf>
    <xf numFmtId="0" fontId="26" fillId="11" borderId="1" xfId="0" applyFont="1" applyFill="1" applyBorder="1" applyAlignment="1">
      <alignment horizontal="center" vertical="center"/>
    </xf>
    <xf numFmtId="0" fontId="28" fillId="5" borderId="9" xfId="0" applyFont="1" applyFill="1" applyBorder="1" applyAlignment="1" applyProtection="1">
      <alignment vertical="center" wrapText="1"/>
      <protection locked="0"/>
    </xf>
    <xf numFmtId="0" fontId="27" fillId="6" borderId="6" xfId="0" applyFont="1" applyFill="1" applyBorder="1" applyAlignment="1">
      <alignment horizontal="center" vertical="top" wrapText="1"/>
    </xf>
    <xf numFmtId="0" fontId="0" fillId="0" borderId="0" xfId="0" applyProtection="1"/>
    <xf numFmtId="0" fontId="27" fillId="6" borderId="9" xfId="0" applyFont="1" applyFill="1" applyBorder="1" applyAlignment="1">
      <alignment horizontal="center" vertical="top" wrapText="1"/>
    </xf>
    <xf numFmtId="0" fontId="0" fillId="0" borderId="0" xfId="0" applyProtection="1">
      <protection locked="0"/>
    </xf>
    <xf numFmtId="0" fontId="27" fillId="6" borderId="1" xfId="0" applyFont="1" applyFill="1" applyBorder="1" applyAlignment="1" applyProtection="1">
      <alignment vertical="top" wrapText="1"/>
      <protection locked="0"/>
    </xf>
    <xf numFmtId="0" fontId="27" fillId="6" borderId="1" xfId="0" applyFont="1" applyFill="1" applyBorder="1" applyAlignment="1" applyProtection="1">
      <alignment horizontal="left" vertical="top" wrapText="1"/>
      <protection locked="0"/>
    </xf>
    <xf numFmtId="0" fontId="17" fillId="2" borderId="1" xfId="1" applyFont="1" applyFill="1" applyBorder="1" applyAlignment="1" applyProtection="1">
      <alignment horizontal="center" vertical="center" wrapText="1"/>
    </xf>
    <xf numFmtId="0" fontId="15" fillId="0" borderId="1" xfId="1" applyFont="1" applyFill="1" applyBorder="1" applyAlignment="1" applyProtection="1">
      <alignment horizontal="center" vertical="center"/>
    </xf>
    <xf numFmtId="164" fontId="9" fillId="0" borderId="1" xfId="2" applyNumberFormat="1" applyFont="1" applyBorder="1" applyAlignment="1" applyProtection="1">
      <alignment vertical="center"/>
    </xf>
    <xf numFmtId="164" fontId="9" fillId="0" borderId="1" xfId="2" applyNumberFormat="1" applyFont="1" applyFill="1" applyBorder="1" applyAlignment="1" applyProtection="1">
      <alignment horizontal="center" vertical="center"/>
    </xf>
    <xf numFmtId="164" fontId="15" fillId="0" borderId="1" xfId="1" applyNumberFormat="1" applyFont="1" applyFill="1" applyBorder="1" applyAlignment="1" applyProtection="1">
      <alignment horizontal="center"/>
    </xf>
    <xf numFmtId="0" fontId="9" fillId="0" borderId="1" xfId="1" applyFont="1" applyFill="1" applyBorder="1" applyAlignment="1" applyProtection="1">
      <alignment horizontal="center" vertical="center"/>
    </xf>
    <xf numFmtId="0" fontId="9" fillId="0" borderId="1" xfId="1" applyFont="1" applyBorder="1" applyAlignment="1" applyProtection="1">
      <alignment horizontal="center" vertical="center"/>
    </xf>
    <xf numFmtId="0" fontId="22" fillId="29" borderId="1" xfId="1" applyFont="1" applyFill="1" applyBorder="1" applyAlignment="1" applyProtection="1">
      <alignment horizontal="center" vertical="center" wrapText="1"/>
    </xf>
    <xf numFmtId="0" fontId="22" fillId="8" borderId="1" xfId="1" applyFont="1" applyFill="1" applyBorder="1" applyAlignment="1" applyProtection="1">
      <alignment horizontal="center" vertical="center" wrapText="1"/>
    </xf>
    <xf numFmtId="0" fontId="22" fillId="35" borderId="1" xfId="1" applyFont="1" applyFill="1" applyBorder="1" applyAlignment="1" applyProtection="1">
      <alignment horizontal="center" vertical="center" wrapText="1"/>
    </xf>
    <xf numFmtId="0" fontId="28" fillId="5" borderId="1" xfId="0" applyFont="1" applyFill="1" applyBorder="1" applyAlignment="1" applyProtection="1">
      <alignment vertical="center" wrapText="1"/>
      <protection locked="0"/>
    </xf>
    <xf numFmtId="164" fontId="15" fillId="0" borderId="1" xfId="1" applyNumberFormat="1" applyFont="1" applyFill="1" applyBorder="1" applyAlignment="1" applyProtection="1">
      <alignment horizontal="center" vertical="center"/>
    </xf>
    <xf numFmtId="164" fontId="15" fillId="30" borderId="1" xfId="1" applyNumberFormat="1" applyFont="1" applyFill="1" applyBorder="1" applyAlignment="1" applyProtection="1">
      <alignment horizontal="center"/>
    </xf>
    <xf numFmtId="164" fontId="15" fillId="33" borderId="1" xfId="1" applyNumberFormat="1" applyFont="1" applyFill="1" applyBorder="1" applyAlignment="1" applyProtection="1">
      <alignment horizontal="center"/>
    </xf>
    <xf numFmtId="164" fontId="15" fillId="13" borderId="1" xfId="1" applyNumberFormat="1" applyFont="1" applyFill="1" applyBorder="1" applyAlignment="1" applyProtection="1">
      <alignment horizontal="center"/>
    </xf>
    <xf numFmtId="1" fontId="0" fillId="0" borderId="0" xfId="0" applyNumberFormat="1" applyProtection="1"/>
    <xf numFmtId="1" fontId="26" fillId="14" borderId="1" xfId="0" applyNumberFormat="1" applyFont="1" applyFill="1" applyBorder="1" applyAlignment="1">
      <alignment horizontal="center" vertical="center"/>
    </xf>
    <xf numFmtId="1" fontId="29" fillId="0" borderId="1" xfId="0" applyNumberFormat="1" applyFont="1" applyBorder="1" applyAlignment="1" applyProtection="1">
      <alignment horizontal="center" vertical="center"/>
      <protection locked="0"/>
    </xf>
    <xf numFmtId="1" fontId="29" fillId="0" borderId="1" xfId="0" applyNumberFormat="1" applyFont="1" applyBorder="1" applyAlignment="1">
      <alignment horizontal="center" vertical="center"/>
    </xf>
    <xf numFmtId="1" fontId="26" fillId="11" borderId="1" xfId="0" applyNumberFormat="1" applyFont="1" applyFill="1" applyBorder="1" applyAlignment="1">
      <alignment horizontal="center" vertical="center"/>
    </xf>
    <xf numFmtId="0" fontId="20" fillId="0" borderId="0" xfId="1" applyFont="1" applyAlignment="1" applyProtection="1">
      <alignment vertical="center"/>
    </xf>
    <xf numFmtId="1" fontId="0" fillId="0" borderId="0" xfId="0" applyNumberFormat="1"/>
    <xf numFmtId="1" fontId="2" fillId="0" borderId="0" xfId="0" applyNumberFormat="1" applyFont="1"/>
    <xf numFmtId="0" fontId="2" fillId="0" borderId="0" xfId="0" applyFont="1"/>
    <xf numFmtId="0" fontId="2" fillId="0" borderId="0" xfId="1" applyFont="1" applyAlignment="1" applyProtection="1">
      <alignment vertical="center"/>
    </xf>
    <xf numFmtId="0" fontId="2" fillId="0" borderId="0" xfId="1" applyFont="1" applyAlignment="1" applyProtection="1">
      <alignment horizontal="center" vertical="center"/>
    </xf>
    <xf numFmtId="0" fontId="2" fillId="0" borderId="152" xfId="1" applyFont="1" applyBorder="1" applyAlignment="1" applyProtection="1">
      <alignment horizontal="center" vertical="center"/>
    </xf>
    <xf numFmtId="0" fontId="2" fillId="0" borderId="152" xfId="1" applyFont="1" applyBorder="1" applyAlignment="1" applyProtection="1">
      <alignment vertical="center"/>
      <protection locked="0"/>
    </xf>
    <xf numFmtId="0" fontId="2" fillId="0" borderId="152" xfId="1" applyFont="1" applyBorder="1" applyAlignment="1" applyProtection="1">
      <alignment horizontal="center" vertical="center"/>
      <protection locked="0"/>
    </xf>
    <xf numFmtId="0" fontId="50" fillId="0" borderId="152" xfId="1" applyFont="1" applyBorder="1" applyAlignment="1" applyProtection="1">
      <alignment horizontal="center"/>
      <protection locked="0"/>
    </xf>
    <xf numFmtId="0" fontId="50" fillId="0" borderId="152" xfId="1" applyFont="1" applyFill="1" applyBorder="1" applyAlignment="1" applyProtection="1">
      <protection locked="0"/>
    </xf>
    <xf numFmtId="0" fontId="50" fillId="0" borderId="152" xfId="1" applyFont="1" applyBorder="1" applyProtection="1">
      <protection locked="0"/>
    </xf>
    <xf numFmtId="0" fontId="2" fillId="11" borderId="0" xfId="1" applyFont="1" applyFill="1" applyAlignment="1" applyProtection="1">
      <alignment vertical="center"/>
    </xf>
    <xf numFmtId="0" fontId="21" fillId="11" borderId="0" xfId="1" applyFont="1" applyFill="1" applyAlignment="1" applyProtection="1">
      <alignment vertical="center"/>
    </xf>
    <xf numFmtId="0" fontId="2" fillId="11" borderId="0" xfId="1" applyFont="1" applyFill="1" applyAlignment="1" applyProtection="1">
      <alignment horizontal="center" vertical="center"/>
    </xf>
    <xf numFmtId="0" fontId="2" fillId="11" borderId="0" xfId="1" applyFont="1" applyFill="1" applyAlignment="1" applyProtection="1">
      <alignment horizontal="right" vertical="center"/>
    </xf>
    <xf numFmtId="0" fontId="19" fillId="11" borderId="0" xfId="1" applyFont="1" applyFill="1" applyAlignment="1" applyProtection="1">
      <alignment horizontal="center" vertical="center"/>
    </xf>
    <xf numFmtId="0" fontId="19" fillId="11" borderId="0" xfId="1" applyFont="1" applyFill="1" applyAlignment="1" applyProtection="1">
      <alignment vertical="center"/>
    </xf>
    <xf numFmtId="0" fontId="19" fillId="5" borderId="0" xfId="1" applyFont="1" applyFill="1" applyAlignment="1" applyProtection="1">
      <alignment horizontal="center" vertical="center"/>
    </xf>
    <xf numFmtId="0" fontId="19" fillId="5" borderId="0" xfId="1" applyNumberFormat="1" applyFont="1" applyFill="1" applyAlignment="1" applyProtection="1">
      <alignment horizontal="center" vertical="center"/>
    </xf>
    <xf numFmtId="0" fontId="49" fillId="29" borderId="4" xfId="1" applyFont="1" applyFill="1" applyBorder="1" applyAlignment="1" applyProtection="1">
      <alignment horizontal="center" vertical="center"/>
    </xf>
    <xf numFmtId="0" fontId="5" fillId="11" borderId="0" xfId="1" applyFont="1" applyFill="1" applyAlignment="1" applyProtection="1">
      <alignment vertical="center"/>
    </xf>
    <xf numFmtId="164" fontId="5" fillId="0" borderId="83" xfId="1" applyNumberFormat="1" applyFont="1" applyBorder="1" applyAlignment="1" applyProtection="1">
      <alignment vertical="center"/>
    </xf>
    <xf numFmtId="0" fontId="0" fillId="0" borderId="153" xfId="0" applyBorder="1" applyAlignment="1" applyProtection="1">
      <alignment horizontal="center"/>
      <protection locked="0"/>
    </xf>
    <xf numFmtId="0" fontId="0" fillId="0" borderId="154" xfId="0" applyBorder="1" applyAlignment="1" applyProtection="1">
      <alignment horizontal="center"/>
      <protection locked="0"/>
    </xf>
    <xf numFmtId="0" fontId="0" fillId="11" borderId="0" xfId="0" applyFill="1" applyProtection="1"/>
    <xf numFmtId="0" fontId="0" fillId="11" borderId="155" xfId="0" applyFill="1" applyBorder="1" applyProtection="1"/>
    <xf numFmtId="0" fontId="0" fillId="11" borderId="84" xfId="0" applyFill="1" applyBorder="1" applyProtection="1"/>
    <xf numFmtId="0" fontId="0" fillId="11" borderId="156" xfId="0" applyFill="1" applyBorder="1" applyProtection="1"/>
    <xf numFmtId="0" fontId="54" fillId="11" borderId="0" xfId="0" applyFont="1" applyFill="1" applyProtection="1"/>
    <xf numFmtId="0" fontId="51" fillId="42" borderId="160" xfId="0" applyFont="1" applyFill="1" applyBorder="1" applyAlignment="1" applyProtection="1">
      <alignment horizontal="center" vertical="center"/>
    </xf>
    <xf numFmtId="0" fontId="51" fillId="42" borderId="1" xfId="0" applyFont="1" applyFill="1" applyBorder="1" applyAlignment="1" applyProtection="1">
      <alignment horizontal="center" vertical="center"/>
    </xf>
    <xf numFmtId="0" fontId="51" fillId="42" borderId="1" xfId="0" applyFont="1" applyFill="1" applyBorder="1" applyAlignment="1" applyProtection="1">
      <alignment horizontal="center" vertical="center" wrapText="1"/>
    </xf>
    <xf numFmtId="0" fontId="0" fillId="0" borderId="154" xfId="0" applyBorder="1" applyAlignment="1" applyProtection="1">
      <alignment horizontal="center"/>
    </xf>
    <xf numFmtId="164" fontId="0" fillId="0" borderId="154" xfId="0" applyNumberFormat="1" applyBorder="1" applyProtection="1"/>
    <xf numFmtId="0" fontId="0" fillId="0" borderId="153" xfId="0" applyBorder="1" applyAlignment="1" applyProtection="1">
      <alignment horizontal="center"/>
    </xf>
    <xf numFmtId="0" fontId="0" fillId="11" borderId="0" xfId="0" applyFill="1" applyBorder="1" applyProtection="1"/>
    <xf numFmtId="0" fontId="0" fillId="0" borderId="0" xfId="0" applyBorder="1" applyProtection="1"/>
    <xf numFmtId="0" fontId="0" fillId="0" borderId="153" xfId="0" applyBorder="1" applyProtection="1">
      <protection locked="0"/>
    </xf>
    <xf numFmtId="0" fontId="5" fillId="5" borderId="1" xfId="1" applyFont="1" applyFill="1" applyBorder="1" applyAlignment="1" applyProtection="1">
      <alignment vertical="center"/>
      <protection locked="0"/>
    </xf>
    <xf numFmtId="0" fontId="51" fillId="42" borderId="9" xfId="0" applyFont="1" applyFill="1" applyBorder="1" applyAlignment="1" applyProtection="1">
      <alignment horizontal="center" vertical="center"/>
    </xf>
    <xf numFmtId="0" fontId="7" fillId="11" borderId="0" xfId="1" applyFont="1" applyFill="1" applyProtection="1"/>
    <xf numFmtId="0" fontId="20" fillId="11" borderId="0" xfId="1" applyFont="1" applyFill="1" applyBorder="1" applyAlignment="1" applyProtection="1"/>
    <xf numFmtId="0" fontId="7" fillId="11" borderId="0" xfId="1" applyFont="1" applyFill="1" applyBorder="1" applyProtection="1"/>
    <xf numFmtId="0" fontId="13" fillId="11" borderId="0" xfId="1" applyFont="1" applyFill="1" applyBorder="1" applyProtection="1"/>
    <xf numFmtId="0" fontId="12" fillId="11" borderId="0" xfId="1" applyFont="1" applyFill="1" applyBorder="1" applyAlignment="1" applyProtection="1">
      <alignment horizontal="center"/>
    </xf>
    <xf numFmtId="164" fontId="12" fillId="11" borderId="0" xfId="1" applyNumberFormat="1" applyFont="1" applyFill="1" applyBorder="1" applyProtection="1"/>
    <xf numFmtId="0" fontId="11" fillId="11" borderId="0" xfId="1" applyFont="1" applyFill="1" applyProtection="1"/>
    <xf numFmtId="0" fontId="16" fillId="11" borderId="0" xfId="1" applyFont="1" applyFill="1" applyAlignment="1" applyProtection="1">
      <alignment horizontal="center"/>
    </xf>
    <xf numFmtId="0" fontId="12" fillId="11" borderId="0" xfId="1" applyFont="1" applyFill="1" applyProtection="1"/>
    <xf numFmtId="164" fontId="12" fillId="0" borderId="152" xfId="1" applyNumberFormat="1" applyFont="1" applyBorder="1" applyProtection="1"/>
    <xf numFmtId="0" fontId="12" fillId="0" borderId="152" xfId="1" applyFont="1" applyFill="1" applyBorder="1" applyAlignment="1" applyProtection="1">
      <alignment horizontal="center"/>
    </xf>
    <xf numFmtId="0" fontId="0" fillId="43" borderId="162" xfId="0" applyFill="1" applyBorder="1" applyAlignment="1">
      <alignment horizontal="center"/>
    </xf>
    <xf numFmtId="0" fontId="19" fillId="43" borderId="162" xfId="0" applyFont="1" applyFill="1" applyBorder="1" applyAlignment="1" applyProtection="1">
      <alignment horizontal="center" vertical="center"/>
      <protection locked="0"/>
    </xf>
    <xf numFmtId="0" fontId="57" fillId="10" borderId="162" xfId="0" applyFont="1" applyFill="1" applyBorder="1" applyAlignment="1">
      <alignment horizontal="center" vertical="center"/>
    </xf>
    <xf numFmtId="0" fontId="0" fillId="11" borderId="0" xfId="0" applyFill="1"/>
    <xf numFmtId="0" fontId="0" fillId="43" borderId="162" xfId="0" applyFill="1" applyBorder="1" applyProtection="1">
      <protection locked="0"/>
    </xf>
    <xf numFmtId="0" fontId="0" fillId="43" borderId="163" xfId="0" applyFill="1" applyBorder="1" applyProtection="1">
      <protection locked="0"/>
    </xf>
    <xf numFmtId="0" fontId="58" fillId="11" borderId="0" xfId="1" applyFont="1" applyFill="1" applyAlignment="1" applyProtection="1">
      <alignment horizontal="right" vertical="center"/>
    </xf>
    <xf numFmtId="0" fontId="7" fillId="11" borderId="0" xfId="1" applyFont="1" applyFill="1" applyAlignment="1" applyProtection="1">
      <alignment horizontal="center" vertical="center"/>
    </xf>
    <xf numFmtId="0" fontId="0" fillId="0" borderId="0" xfId="0" applyBorder="1"/>
    <xf numFmtId="0" fontId="14" fillId="0" borderId="152" xfId="1" applyNumberFormat="1" applyFont="1" applyFill="1" applyBorder="1" applyAlignment="1" applyProtection="1">
      <alignment horizontal="right" vertical="center"/>
      <protection locked="0"/>
    </xf>
    <xf numFmtId="0" fontId="14" fillId="0" borderId="152" xfId="1" applyFont="1" applyFill="1" applyBorder="1" applyAlignment="1" applyProtection="1">
      <alignment horizontal="right" vertical="center"/>
      <protection locked="0"/>
    </xf>
    <xf numFmtId="164" fontId="12" fillId="0" borderId="164" xfId="1" applyNumberFormat="1" applyFont="1" applyBorder="1" applyProtection="1"/>
    <xf numFmtId="0" fontId="17" fillId="29" borderId="1" xfId="1" applyFont="1" applyFill="1" applyBorder="1" applyAlignment="1" applyProtection="1">
      <alignment horizontal="center" vertical="center" wrapText="1"/>
    </xf>
    <xf numFmtId="0" fontId="59" fillId="11" borderId="0" xfId="1" applyFont="1" applyFill="1" applyBorder="1" applyProtection="1"/>
    <xf numFmtId="0" fontId="0" fillId="13" borderId="0" xfId="0" applyFill="1" applyProtection="1">
      <protection locked="0"/>
    </xf>
    <xf numFmtId="0" fontId="59" fillId="11" borderId="0" xfId="1" applyFont="1" applyFill="1" applyAlignment="1" applyProtection="1">
      <alignment horizontal="center"/>
    </xf>
    <xf numFmtId="0" fontId="37" fillId="11" borderId="0" xfId="1" applyFont="1" applyFill="1" applyBorder="1" applyAlignment="1" applyProtection="1">
      <alignment vertical="center"/>
    </xf>
    <xf numFmtId="0" fontId="51" fillId="40" borderId="152" xfId="0" applyFont="1" applyFill="1" applyBorder="1" applyAlignment="1">
      <alignment horizontal="center" vertical="center"/>
    </xf>
    <xf numFmtId="0" fontId="0" fillId="0" borderId="152" xfId="0" applyBorder="1" applyAlignment="1">
      <alignment vertical="top"/>
    </xf>
    <xf numFmtId="0" fontId="63" fillId="0" borderId="152" xfId="0" applyFont="1" applyBorder="1" applyAlignment="1" applyProtection="1">
      <alignment vertical="top" wrapText="1"/>
      <protection locked="0"/>
    </xf>
    <xf numFmtId="0" fontId="9" fillId="28" borderId="1" xfId="1" applyFont="1" applyFill="1" applyBorder="1" applyAlignment="1" applyProtection="1">
      <alignment horizontal="center" vertical="center" textRotation="90" wrapText="1"/>
    </xf>
    <xf numFmtId="0" fontId="51" fillId="28" borderId="1" xfId="1" applyFont="1" applyFill="1" applyBorder="1" applyAlignment="1" applyProtection="1">
      <alignment horizontal="center" vertical="center"/>
    </xf>
    <xf numFmtId="0" fontId="55" fillId="28" borderId="1" xfId="1" applyFont="1" applyFill="1" applyBorder="1" applyAlignment="1" applyProtection="1">
      <alignment horizontal="center" vertical="center"/>
    </xf>
    <xf numFmtId="165" fontId="35" fillId="0" borderId="0" xfId="0" applyNumberFormat="1" applyFont="1" applyFill="1" applyBorder="1" applyAlignment="1" applyProtection="1">
      <alignment vertical="center"/>
    </xf>
    <xf numFmtId="164" fontId="9" fillId="0" borderId="152" xfId="2" applyNumberFormat="1" applyFont="1" applyBorder="1" applyAlignment="1" applyProtection="1">
      <alignment vertical="center"/>
    </xf>
    <xf numFmtId="164" fontId="9" fillId="0" borderId="152" xfId="2" applyNumberFormat="1" applyFont="1" applyFill="1" applyBorder="1" applyAlignment="1" applyProtection="1">
      <alignment horizontal="center" vertical="center"/>
    </xf>
    <xf numFmtId="164" fontId="15" fillId="5" borderId="152" xfId="1" applyNumberFormat="1" applyFont="1" applyFill="1" applyBorder="1" applyAlignment="1" applyProtection="1">
      <alignment horizontal="center"/>
    </xf>
    <xf numFmtId="164" fontId="9" fillId="5" borderId="152" xfId="1" applyNumberFormat="1" applyFont="1" applyFill="1" applyBorder="1" applyAlignment="1" applyProtection="1">
      <alignment horizontal="center"/>
    </xf>
    <xf numFmtId="164" fontId="18" fillId="5" borderId="152" xfId="1" applyNumberFormat="1" applyFont="1" applyFill="1" applyBorder="1" applyAlignment="1" applyProtection="1">
      <alignment horizontal="center" vertical="center"/>
    </xf>
    <xf numFmtId="164" fontId="15" fillId="5" borderId="152" xfId="1" applyNumberFormat="1" applyFont="1" applyFill="1" applyBorder="1" applyAlignment="1" applyProtection="1">
      <alignment horizontal="right" vertical="center"/>
    </xf>
    <xf numFmtId="164" fontId="15" fillId="16" borderId="152" xfId="1" applyNumberFormat="1" applyFont="1" applyFill="1" applyBorder="1" applyAlignment="1" applyProtection="1">
      <alignment horizontal="right" vertical="center"/>
    </xf>
    <xf numFmtId="1" fontId="15" fillId="16" borderId="152" xfId="1" applyNumberFormat="1" applyFont="1" applyFill="1" applyBorder="1" applyAlignment="1" applyProtection="1">
      <alignment horizontal="center" vertical="center"/>
    </xf>
    <xf numFmtId="164" fontId="15" fillId="37" borderId="152" xfId="1" applyNumberFormat="1" applyFont="1" applyFill="1" applyBorder="1" applyAlignment="1" applyProtection="1">
      <alignment horizontal="center"/>
    </xf>
    <xf numFmtId="164" fontId="15" fillId="36" borderId="152" xfId="1" applyNumberFormat="1" applyFont="1" applyFill="1" applyBorder="1" applyAlignment="1" applyProtection="1">
      <alignment horizontal="center"/>
    </xf>
    <xf numFmtId="0" fontId="9" fillId="0" borderId="152" xfId="1" applyFont="1" applyFill="1" applyBorder="1" applyAlignment="1" applyProtection="1">
      <alignment horizontal="center" vertical="center"/>
    </xf>
    <xf numFmtId="0" fontId="9" fillId="0" borderId="152" xfId="1" applyFont="1" applyBorder="1" applyAlignment="1" applyProtection="1">
      <alignment horizontal="center" vertical="center"/>
    </xf>
    <xf numFmtId="164" fontId="15" fillId="16" borderId="152" xfId="1" applyNumberFormat="1" applyFont="1" applyFill="1" applyBorder="1" applyAlignment="1" applyProtection="1">
      <alignment horizontal="center" vertical="center"/>
    </xf>
    <xf numFmtId="0" fontId="15" fillId="0" borderId="164" xfId="1" applyFont="1" applyFill="1" applyBorder="1" applyAlignment="1" applyProtection="1">
      <alignment horizontal="center" vertical="center"/>
    </xf>
    <xf numFmtId="164" fontId="9" fillId="0" borderId="164" xfId="2" applyNumberFormat="1" applyFont="1" applyBorder="1" applyAlignment="1" applyProtection="1">
      <alignment vertical="center"/>
    </xf>
    <xf numFmtId="164" fontId="9" fillId="0" borderId="164" xfId="2" applyNumberFormat="1" applyFont="1" applyFill="1" applyBorder="1" applyAlignment="1" applyProtection="1">
      <alignment horizontal="center" vertical="center"/>
    </xf>
    <xf numFmtId="164" fontId="15" fillId="5" borderId="164" xfId="1" applyNumberFormat="1" applyFont="1" applyFill="1" applyBorder="1" applyAlignment="1" applyProtection="1">
      <alignment horizontal="center"/>
    </xf>
    <xf numFmtId="164" fontId="9" fillId="5" borderId="164" xfId="1" applyNumberFormat="1" applyFont="1" applyFill="1" applyBorder="1" applyAlignment="1" applyProtection="1">
      <alignment horizontal="center"/>
    </xf>
    <xf numFmtId="164" fontId="18" fillId="5" borderId="164" xfId="1" applyNumberFormat="1" applyFont="1" applyFill="1" applyBorder="1" applyAlignment="1" applyProtection="1">
      <alignment horizontal="center" vertical="center"/>
    </xf>
    <xf numFmtId="164" fontId="15" fillId="5" borderId="164" xfId="1" applyNumberFormat="1" applyFont="1" applyFill="1" applyBorder="1" applyAlignment="1" applyProtection="1">
      <alignment horizontal="right" vertical="center"/>
    </xf>
    <xf numFmtId="164" fontId="15" fillId="16" borderId="164" xfId="1" applyNumberFormat="1" applyFont="1" applyFill="1" applyBorder="1" applyAlignment="1" applyProtection="1">
      <alignment horizontal="right" vertical="center"/>
    </xf>
    <xf numFmtId="1" fontId="15" fillId="16" borderId="164" xfId="1" applyNumberFormat="1" applyFont="1" applyFill="1" applyBorder="1" applyAlignment="1" applyProtection="1">
      <alignment horizontal="center" vertical="center"/>
    </xf>
    <xf numFmtId="164" fontId="15" fillId="37" borderId="164" xfId="1" applyNumberFormat="1" applyFont="1" applyFill="1" applyBorder="1" applyAlignment="1" applyProtection="1">
      <alignment horizontal="center"/>
    </xf>
    <xf numFmtId="164" fontId="15" fillId="36" borderId="164" xfId="1" applyNumberFormat="1" applyFont="1" applyFill="1" applyBorder="1" applyAlignment="1" applyProtection="1">
      <alignment horizontal="center"/>
    </xf>
    <xf numFmtId="0" fontId="9" fillId="10" borderId="1" xfId="1" applyFont="1" applyFill="1" applyBorder="1" applyAlignment="1" applyProtection="1">
      <alignment horizontal="center" vertical="center" textRotation="90" wrapText="1"/>
    </xf>
    <xf numFmtId="164" fontId="5" fillId="0" borderId="0" xfId="1" applyNumberFormat="1" applyFont="1" applyAlignment="1" applyProtection="1">
      <alignment horizontal="left" vertical="top"/>
    </xf>
    <xf numFmtId="164" fontId="6" fillId="0" borderId="0" xfId="1" applyNumberFormat="1" applyFont="1" applyAlignment="1" applyProtection="1">
      <alignment vertical="center"/>
    </xf>
    <xf numFmtId="0" fontId="14" fillId="11" borderId="0" xfId="1" applyFont="1" applyFill="1" applyBorder="1" applyAlignment="1" applyProtection="1">
      <alignment horizontal="right" vertical="center"/>
    </xf>
    <xf numFmtId="0" fontId="14" fillId="0" borderId="0" xfId="1" applyFont="1" applyFill="1" applyBorder="1" applyAlignment="1" applyProtection="1">
      <alignment horizontal="right" vertical="center"/>
      <protection locked="0"/>
    </xf>
    <xf numFmtId="0" fontId="7" fillId="11" borderId="0" xfId="0" applyFont="1" applyFill="1" applyProtection="1"/>
    <xf numFmtId="0" fontId="7" fillId="0" borderId="0" xfId="0" applyFont="1" applyProtection="1"/>
    <xf numFmtId="0" fontId="7" fillId="0" borderId="0" xfId="0" applyFont="1" applyAlignment="1" applyProtection="1">
      <alignment horizontal="right"/>
    </xf>
    <xf numFmtId="0" fontId="12" fillId="0" borderId="0" xfId="0" applyFont="1" applyProtection="1"/>
    <xf numFmtId="164" fontId="12" fillId="0" borderId="0" xfId="0" applyNumberFormat="1" applyFont="1" applyProtection="1"/>
    <xf numFmtId="0" fontId="7" fillId="0" borderId="25" xfId="0" applyNumberFormat="1" applyFont="1" applyBorder="1" applyAlignment="1" applyProtection="1">
      <alignment horizontal="right" vertical="center"/>
    </xf>
    <xf numFmtId="0" fontId="7" fillId="0" borderId="26" xfId="0" applyFont="1" applyBorder="1" applyAlignment="1" applyProtection="1">
      <alignment horizontal="left" vertical="center"/>
    </xf>
    <xf numFmtId="0" fontId="7" fillId="12" borderId="0" xfId="0" applyFont="1" applyFill="1" applyProtection="1"/>
    <xf numFmtId="0" fontId="22" fillId="0" borderId="15" xfId="0" applyFont="1" applyBorder="1" applyAlignment="1" applyProtection="1">
      <alignment horizontal="center" vertical="center"/>
    </xf>
    <xf numFmtId="0" fontId="22" fillId="0" borderId="16" xfId="0" applyFont="1" applyBorder="1" applyAlignment="1" applyProtection="1">
      <alignment horizontal="center" vertical="center"/>
    </xf>
    <xf numFmtId="0" fontId="10" fillId="0" borderId="18" xfId="0" applyFont="1" applyBorder="1" applyAlignment="1" applyProtection="1">
      <alignment horizontal="center" vertical="center"/>
    </xf>
    <xf numFmtId="0" fontId="10" fillId="0" borderId="20" xfId="0" applyFont="1" applyBorder="1" applyAlignment="1" applyProtection="1">
      <alignment horizontal="right" vertical="center"/>
    </xf>
    <xf numFmtId="0" fontId="10" fillId="0" borderId="21" xfId="0" applyFont="1" applyBorder="1" applyAlignment="1" applyProtection="1">
      <alignment horizontal="left" vertical="center"/>
    </xf>
    <xf numFmtId="0" fontId="10" fillId="0" borderId="19" xfId="0" applyFont="1" applyBorder="1" applyAlignment="1" applyProtection="1">
      <alignment horizontal="center" vertical="center"/>
    </xf>
    <xf numFmtId="0" fontId="10" fillId="0" borderId="22" xfId="0" applyFont="1" applyBorder="1" applyAlignment="1" applyProtection="1">
      <alignment horizontal="left" vertical="center"/>
    </xf>
    <xf numFmtId="0" fontId="7" fillId="0" borderId="0" xfId="0" applyFont="1" applyBorder="1" applyProtection="1"/>
    <xf numFmtId="0" fontId="10" fillId="0" borderId="23" xfId="0" applyFont="1" applyBorder="1" applyAlignment="1" applyProtection="1">
      <alignment horizontal="center" vertical="center"/>
    </xf>
    <xf numFmtId="0" fontId="10" fillId="0" borderId="25" xfId="0" applyFont="1" applyBorder="1" applyAlignment="1" applyProtection="1">
      <alignment horizontal="right" vertical="center"/>
    </xf>
    <xf numFmtId="0" fontId="10" fillId="0" borderId="26" xfId="0" applyFont="1" applyBorder="1" applyAlignment="1" applyProtection="1">
      <alignment horizontal="left" vertical="center"/>
    </xf>
    <xf numFmtId="0" fontId="10" fillId="0" borderId="24" xfId="0" applyFont="1" applyBorder="1" applyAlignment="1" applyProtection="1">
      <alignment horizontal="center" vertical="center"/>
    </xf>
    <xf numFmtId="0" fontId="10" fillId="0" borderId="27" xfId="0" applyFont="1" applyBorder="1" applyAlignment="1" applyProtection="1">
      <alignment horizontal="left" vertical="center"/>
    </xf>
    <xf numFmtId="0" fontId="22" fillId="0" borderId="0" xfId="1" applyFont="1" applyBorder="1" applyAlignment="1" applyProtection="1">
      <alignment vertical="center" wrapText="1"/>
    </xf>
    <xf numFmtId="0" fontId="10" fillId="0" borderId="28" xfId="0" applyFont="1" applyBorder="1" applyAlignment="1" applyProtection="1">
      <alignment horizontal="center" vertical="center"/>
    </xf>
    <xf numFmtId="0" fontId="10" fillId="0" borderId="30" xfId="0" applyFont="1" applyBorder="1" applyAlignment="1" applyProtection="1">
      <alignment horizontal="right" vertical="center"/>
    </xf>
    <xf numFmtId="0" fontId="10" fillId="0" borderId="31" xfId="0" applyFont="1" applyBorder="1" applyAlignment="1" applyProtection="1">
      <alignment horizontal="left" vertical="center"/>
    </xf>
    <xf numFmtId="0" fontId="10" fillId="0" borderId="29" xfId="0" applyFont="1" applyBorder="1" applyAlignment="1" applyProtection="1">
      <alignment horizontal="center" vertical="center"/>
    </xf>
    <xf numFmtId="0" fontId="10" fillId="0" borderId="32" xfId="0" applyFont="1" applyBorder="1" applyAlignment="1" applyProtection="1">
      <alignment horizontal="left" vertical="center"/>
    </xf>
    <xf numFmtId="0" fontId="7" fillId="0" borderId="0" xfId="0" applyFont="1" applyProtection="1">
      <protection locked="0"/>
    </xf>
    <xf numFmtId="0" fontId="7" fillId="0" borderId="0" xfId="0" applyFont="1" applyAlignment="1" applyProtection="1">
      <alignment horizontal="center"/>
      <protection locked="0"/>
    </xf>
    <xf numFmtId="0" fontId="64" fillId="11" borderId="0" xfId="1" applyFont="1" applyFill="1" applyAlignment="1" applyProtection="1">
      <alignment horizontal="center" vertical="center"/>
    </xf>
    <xf numFmtId="0" fontId="36" fillId="11" borderId="0" xfId="1" applyFont="1" applyFill="1" applyBorder="1" applyAlignment="1" applyProtection="1">
      <alignment vertical="center" wrapText="1"/>
    </xf>
    <xf numFmtId="0" fontId="5" fillId="0" borderId="0" xfId="1" applyFont="1" applyFill="1" applyBorder="1" applyAlignment="1" applyProtection="1">
      <alignment vertical="center"/>
    </xf>
    <xf numFmtId="0" fontId="7" fillId="0" borderId="0" xfId="0" applyFont="1" applyFill="1" applyBorder="1" applyProtection="1"/>
    <xf numFmtId="0" fontId="61" fillId="11" borderId="0" xfId="0" applyFont="1" applyFill="1" applyProtection="1"/>
    <xf numFmtId="0" fontId="7" fillId="11" borderId="0" xfId="0" applyFont="1" applyFill="1" applyBorder="1" applyProtection="1"/>
    <xf numFmtId="0" fontId="46" fillId="0" borderId="0" xfId="0" applyFont="1" applyProtection="1"/>
    <xf numFmtId="0" fontId="11" fillId="0" borderId="0" xfId="0" applyFont="1" applyAlignment="1" applyProtection="1">
      <alignment horizontal="center"/>
    </xf>
    <xf numFmtId="0" fontId="7" fillId="0" borderId="0" xfId="0" applyFont="1" applyAlignment="1" applyProtection="1"/>
    <xf numFmtId="0" fontId="7" fillId="0" borderId="0" xfId="0" applyFont="1" applyAlignment="1" applyProtection="1">
      <alignment horizontal="left"/>
    </xf>
    <xf numFmtId="0" fontId="53" fillId="6" borderId="9" xfId="1" applyFont="1" applyFill="1" applyBorder="1" applyAlignment="1" applyProtection="1">
      <alignment vertical="center"/>
    </xf>
    <xf numFmtId="0" fontId="59" fillId="11" borderId="0" xfId="0" applyFont="1" applyFill="1" applyProtection="1"/>
    <xf numFmtId="0" fontId="11" fillId="0" borderId="0" xfId="0" applyFont="1" applyFill="1" applyAlignment="1" applyProtection="1"/>
    <xf numFmtId="0" fontId="11" fillId="0" borderId="0" xfId="0" applyFont="1" applyFill="1" applyBorder="1" applyAlignment="1" applyProtection="1">
      <alignment vertical="center"/>
    </xf>
    <xf numFmtId="0" fontId="11" fillId="0" borderId="0" xfId="0" applyFont="1" applyFill="1" applyBorder="1" applyAlignment="1" applyProtection="1">
      <alignment horizontal="left"/>
    </xf>
    <xf numFmtId="0" fontId="11" fillId="12" borderId="108" xfId="0" applyFont="1" applyFill="1" applyBorder="1" applyAlignment="1" applyProtection="1">
      <alignment horizontal="center" vertical="center" wrapText="1"/>
    </xf>
    <xf numFmtId="0" fontId="11" fillId="12" borderId="109" xfId="0" applyFont="1" applyFill="1" applyBorder="1" applyAlignment="1" applyProtection="1">
      <alignment horizontal="center" vertical="center" wrapText="1"/>
    </xf>
    <xf numFmtId="0" fontId="11" fillId="12" borderId="110" xfId="0" applyFont="1" applyFill="1" applyBorder="1" applyAlignment="1" applyProtection="1">
      <alignment horizontal="center" vertical="center" wrapText="1"/>
    </xf>
    <xf numFmtId="0" fontId="7" fillId="0" borderId="131" xfId="0" applyFont="1" applyBorder="1" applyAlignment="1" applyProtection="1">
      <alignment horizontal="right" vertical="top"/>
    </xf>
    <xf numFmtId="0" fontId="44" fillId="0" borderId="132" xfId="0" applyFont="1" applyBorder="1" applyAlignment="1" applyProtection="1">
      <alignment vertical="top" wrapText="1"/>
    </xf>
    <xf numFmtId="0" fontId="42" fillId="0" borderId="133" xfId="0" applyFont="1" applyBorder="1" applyAlignment="1" applyProtection="1">
      <alignment horizontal="center" vertical="center" wrapText="1"/>
    </xf>
    <xf numFmtId="0" fontId="42" fillId="0" borderId="134" xfId="0" applyFont="1" applyBorder="1" applyAlignment="1" applyProtection="1">
      <alignment horizontal="center" vertical="center" wrapText="1"/>
    </xf>
    <xf numFmtId="0" fontId="42" fillId="0" borderId="135" xfId="0" applyFont="1" applyBorder="1" applyAlignment="1" applyProtection="1">
      <alignment horizontal="center" vertical="center" wrapText="1"/>
    </xf>
    <xf numFmtId="0" fontId="7" fillId="0" borderId="136" xfId="0" applyFont="1" applyBorder="1" applyAlignment="1" applyProtection="1">
      <alignment horizontal="right" vertical="top"/>
    </xf>
    <xf numFmtId="0" fontId="44" fillId="0" borderId="137" xfId="0" applyFont="1" applyBorder="1" applyAlignment="1" applyProtection="1">
      <alignment vertical="top" wrapText="1"/>
    </xf>
    <xf numFmtId="0" fontId="42" fillId="0" borderId="138" xfId="0" applyFont="1" applyBorder="1" applyAlignment="1" applyProtection="1">
      <alignment horizontal="center" vertical="center" wrapText="1"/>
    </xf>
    <xf numFmtId="0" fontId="42" fillId="0" borderId="139" xfId="0" applyFont="1" applyBorder="1" applyAlignment="1" applyProtection="1">
      <alignment horizontal="center" vertical="center" wrapText="1"/>
    </xf>
    <xf numFmtId="0" fontId="42" fillId="0" borderId="140" xfId="0" applyFont="1" applyBorder="1" applyAlignment="1" applyProtection="1">
      <alignment horizontal="center" vertical="center" wrapText="1"/>
    </xf>
    <xf numFmtId="0" fontId="7" fillId="0" borderId="111" xfId="0" applyFont="1" applyBorder="1" applyAlignment="1" applyProtection="1">
      <alignment horizontal="right" vertical="top"/>
    </xf>
    <xf numFmtId="0" fontId="44" fillId="0" borderId="88" xfId="0" applyFont="1" applyBorder="1" applyAlignment="1" applyProtection="1">
      <alignment vertical="top" wrapText="1"/>
    </xf>
    <xf numFmtId="0" fontId="42" fillId="0" borderId="90" xfId="0" applyFont="1" applyBorder="1" applyAlignment="1" applyProtection="1">
      <alignment horizontal="center" vertical="center" wrapText="1"/>
    </xf>
    <xf numFmtId="0" fontId="42" fillId="0" borderId="95" xfId="0" applyFont="1" applyBorder="1" applyAlignment="1" applyProtection="1">
      <alignment horizontal="center" vertical="center" wrapText="1"/>
    </xf>
    <xf numFmtId="0" fontId="44" fillId="0" borderId="93" xfId="0" applyFont="1" applyBorder="1" applyAlignment="1" applyProtection="1">
      <alignment vertical="top" wrapText="1"/>
    </xf>
    <xf numFmtId="0" fontId="42" fillId="0" borderId="94" xfId="0" applyFont="1" applyBorder="1" applyAlignment="1" applyProtection="1">
      <alignment horizontal="center" vertical="center" wrapText="1"/>
    </xf>
    <xf numFmtId="0" fontId="7" fillId="0" borderId="127" xfId="0" applyFont="1" applyBorder="1" applyAlignment="1" applyProtection="1">
      <alignment horizontal="right" vertical="top"/>
    </xf>
    <xf numFmtId="0" fontId="44" fillId="0" borderId="128" xfId="0" applyFont="1" applyBorder="1" applyAlignment="1" applyProtection="1">
      <alignment vertical="top" wrapText="1"/>
    </xf>
    <xf numFmtId="0" fontId="42" fillId="0" borderId="129" xfId="0" applyFont="1" applyBorder="1" applyAlignment="1" applyProtection="1">
      <alignment horizontal="center" vertical="center" wrapText="1"/>
    </xf>
    <xf numFmtId="0" fontId="42" fillId="0" borderId="130" xfId="0" applyFont="1" applyBorder="1" applyAlignment="1" applyProtection="1">
      <alignment horizontal="center" vertical="center" wrapText="1"/>
    </xf>
    <xf numFmtId="0" fontId="7" fillId="0" borderId="123" xfId="0" applyFont="1" applyBorder="1" applyAlignment="1" applyProtection="1">
      <alignment horizontal="right" vertical="top"/>
    </xf>
    <xf numFmtId="0" fontId="44" fillId="0" borderId="124" xfId="0" applyFont="1" applyBorder="1" applyAlignment="1" applyProtection="1">
      <alignment vertical="top" wrapText="1"/>
    </xf>
    <xf numFmtId="0" fontId="42" fillId="0" borderId="125" xfId="0" applyFont="1" applyBorder="1" applyAlignment="1" applyProtection="1">
      <alignment horizontal="center" vertical="center" wrapText="1"/>
    </xf>
    <xf numFmtId="0" fontId="42" fillId="0" borderId="126" xfId="0" applyFont="1" applyBorder="1" applyAlignment="1" applyProtection="1">
      <alignment horizontal="center" vertical="center" wrapText="1"/>
    </xf>
    <xf numFmtId="0" fontId="11" fillId="12" borderId="133" xfId="0" applyFont="1" applyFill="1" applyBorder="1" applyAlignment="1" applyProtection="1">
      <alignment horizontal="center" vertical="center" wrapText="1"/>
    </xf>
    <xf numFmtId="0" fontId="11" fillId="12" borderId="135" xfId="0" applyFont="1" applyFill="1" applyBorder="1" applyAlignment="1" applyProtection="1">
      <alignment horizontal="center" vertical="center" wrapText="1"/>
    </xf>
    <xf numFmtId="0" fontId="42" fillId="12" borderId="166" xfId="0" applyFont="1" applyFill="1" applyBorder="1" applyAlignment="1" applyProtection="1">
      <alignment horizontal="center" vertical="center" wrapText="1"/>
    </xf>
    <xf numFmtId="0" fontId="42" fillId="12" borderId="167" xfId="0" applyFont="1" applyFill="1" applyBorder="1" applyAlignment="1" applyProtection="1">
      <alignment horizontal="center" vertical="center" wrapText="1"/>
    </xf>
    <xf numFmtId="0" fontId="42" fillId="12" borderId="129" xfId="0" applyFont="1" applyFill="1" applyBorder="1" applyAlignment="1" applyProtection="1">
      <alignment horizontal="center" vertical="center" wrapText="1"/>
    </xf>
    <xf numFmtId="0" fontId="42" fillId="12" borderId="130" xfId="0" applyFont="1" applyFill="1" applyBorder="1" applyAlignment="1" applyProtection="1">
      <alignment horizontal="center" vertical="center" wrapText="1"/>
    </xf>
    <xf numFmtId="0" fontId="7" fillId="0" borderId="141" xfId="0" applyFont="1" applyBorder="1" applyAlignment="1" applyProtection="1">
      <alignment horizontal="right" vertical="top"/>
    </xf>
    <xf numFmtId="0" fontId="44" fillId="0" borderId="142" xfId="0" applyFont="1" applyBorder="1" applyAlignment="1" applyProtection="1">
      <alignment vertical="top" wrapText="1"/>
    </xf>
    <xf numFmtId="0" fontId="42" fillId="0" borderId="143" xfId="0" applyFont="1" applyBorder="1" applyAlignment="1" applyProtection="1">
      <alignment horizontal="center" vertical="center" wrapText="1"/>
    </xf>
    <xf numFmtId="0" fontId="42" fillId="0" borderId="144" xfId="0" applyFont="1" applyBorder="1" applyAlignment="1" applyProtection="1">
      <alignment horizontal="center" vertical="center" wrapText="1"/>
    </xf>
    <xf numFmtId="0" fontId="7" fillId="0" borderId="145" xfId="0" applyFont="1" applyBorder="1" applyAlignment="1" applyProtection="1">
      <alignment horizontal="right" vertical="top"/>
    </xf>
    <xf numFmtId="0" fontId="44" fillId="0" borderId="146" xfId="0" applyFont="1" applyBorder="1" applyAlignment="1" applyProtection="1">
      <alignment vertical="top" wrapText="1"/>
    </xf>
    <xf numFmtId="0" fontId="42" fillId="0" borderId="147" xfId="0" applyFont="1" applyBorder="1" applyAlignment="1" applyProtection="1">
      <alignment horizontal="center" vertical="center" wrapText="1"/>
    </xf>
    <xf numFmtId="0" fontId="42" fillId="0" borderId="148" xfId="0" applyFont="1" applyBorder="1" applyAlignment="1" applyProtection="1">
      <alignment horizontal="center" vertical="center" wrapText="1"/>
    </xf>
    <xf numFmtId="0" fontId="48" fillId="12" borderId="121" xfId="0" applyFont="1" applyFill="1" applyBorder="1" applyAlignment="1" applyProtection="1">
      <alignment horizontal="center" vertical="top" wrapText="1"/>
    </xf>
    <xf numFmtId="0" fontId="48" fillId="12" borderId="103" xfId="0" applyFont="1" applyFill="1" applyBorder="1" applyAlignment="1" applyProtection="1">
      <alignment horizontal="center" vertical="center" wrapText="1"/>
    </xf>
    <xf numFmtId="0" fontId="48" fillId="12" borderId="116" xfId="0" applyFont="1" applyFill="1" applyBorder="1" applyAlignment="1" applyProtection="1">
      <alignment horizontal="center" vertical="center" wrapText="1"/>
    </xf>
    <xf numFmtId="0" fontId="12" fillId="12" borderId="117" xfId="0" applyFont="1" applyFill="1" applyBorder="1" applyAlignment="1" applyProtection="1">
      <alignment horizontal="center" vertical="center" wrapText="1"/>
    </xf>
    <xf numFmtId="0" fontId="48" fillId="0" borderId="171" xfId="0" applyFont="1" applyBorder="1" applyAlignment="1" applyProtection="1">
      <alignment vertical="top" wrapText="1"/>
    </xf>
    <xf numFmtId="168" fontId="48" fillId="0" borderId="172" xfId="0" applyNumberFormat="1" applyFont="1" applyBorder="1" applyAlignment="1" applyProtection="1">
      <alignment horizontal="center" vertical="top" wrapText="1"/>
    </xf>
    <xf numFmtId="168" fontId="48" fillId="0" borderId="175" xfId="0" applyNumberFormat="1" applyFont="1" applyBorder="1" applyAlignment="1" applyProtection="1">
      <alignment horizontal="center" vertical="top" wrapText="1"/>
    </xf>
    <xf numFmtId="0" fontId="12" fillId="12" borderId="118" xfId="0" applyFont="1" applyFill="1" applyBorder="1" applyAlignment="1" applyProtection="1">
      <alignment horizontal="center" vertical="center" wrapText="1"/>
    </xf>
    <xf numFmtId="0" fontId="48" fillId="0" borderId="25" xfId="0" applyFont="1" applyBorder="1" applyAlignment="1" applyProtection="1">
      <alignment vertical="top" wrapText="1"/>
    </xf>
    <xf numFmtId="168" fontId="48" fillId="0" borderId="24" xfId="0" applyNumberFormat="1" applyFont="1" applyBorder="1" applyAlignment="1" applyProtection="1">
      <alignment horizontal="center" vertical="top" wrapText="1"/>
    </xf>
    <xf numFmtId="168" fontId="48" fillId="0" borderId="176" xfId="0" applyNumberFormat="1" applyFont="1" applyBorder="1" applyAlignment="1" applyProtection="1">
      <alignment horizontal="center" vertical="top" wrapText="1"/>
    </xf>
    <xf numFmtId="0" fontId="12" fillId="12" borderId="119" xfId="0" applyFont="1" applyFill="1" applyBorder="1" applyAlignment="1" applyProtection="1">
      <alignment horizontal="center" vertical="center" wrapText="1"/>
    </xf>
    <xf numFmtId="0" fontId="48" fillId="0" borderId="14" xfId="0" applyFont="1" applyBorder="1" applyAlignment="1" applyProtection="1">
      <alignment vertical="top" wrapText="1"/>
    </xf>
    <xf numFmtId="168" fontId="48" fillId="0" borderId="13" xfId="0" applyNumberFormat="1" applyFont="1" applyBorder="1" applyAlignment="1" applyProtection="1">
      <alignment horizontal="center" vertical="top" wrapText="1"/>
    </xf>
    <xf numFmtId="168" fontId="48" fillId="0" borderId="178" xfId="0" applyNumberFormat="1" applyFont="1" applyBorder="1" applyAlignment="1" applyProtection="1">
      <alignment horizontal="center" vertical="top" wrapText="1"/>
    </xf>
    <xf numFmtId="0" fontId="48" fillId="0" borderId="0" xfId="0" applyFont="1" applyAlignment="1" applyProtection="1">
      <alignment horizontal="right" vertical="top"/>
    </xf>
    <xf numFmtId="0" fontId="48" fillId="0" borderId="0" xfId="0" applyFont="1" applyAlignment="1" applyProtection="1">
      <alignment horizontal="left" vertical="top" wrapText="1"/>
    </xf>
    <xf numFmtId="0" fontId="48" fillId="0" borderId="0" xfId="0" applyFont="1" applyAlignment="1" applyProtection="1">
      <alignment wrapText="1"/>
    </xf>
    <xf numFmtId="0" fontId="48" fillId="0" borderId="0" xfId="0" applyFont="1" applyAlignment="1" applyProtection="1">
      <alignment horizontal="center" vertical="center"/>
    </xf>
    <xf numFmtId="0" fontId="62" fillId="11" borderId="0" xfId="0" applyFont="1" applyFill="1" applyAlignment="1" applyProtection="1">
      <alignment horizontal="center" vertical="center"/>
    </xf>
    <xf numFmtId="0" fontId="48" fillId="11" borderId="0" xfId="0" applyFont="1" applyFill="1" applyAlignment="1" applyProtection="1">
      <alignment horizontal="center" vertical="center"/>
    </xf>
    <xf numFmtId="0" fontId="62" fillId="11" borderId="0" xfId="0" applyFont="1" applyFill="1" applyAlignment="1" applyProtection="1">
      <alignment vertical="center"/>
    </xf>
    <xf numFmtId="0" fontId="48" fillId="11" borderId="0" xfId="0" applyFont="1" applyFill="1" applyAlignment="1" applyProtection="1">
      <alignment vertical="center"/>
    </xf>
    <xf numFmtId="0" fontId="61" fillId="0" borderId="0" xfId="0" applyFont="1" applyProtection="1"/>
    <xf numFmtId="0" fontId="48" fillId="0" borderId="0" xfId="0" applyFont="1" applyAlignment="1" applyProtection="1">
      <alignment vertical="top"/>
      <protection locked="0"/>
    </xf>
    <xf numFmtId="0" fontId="48" fillId="0" borderId="0" xfId="0" applyFont="1" applyAlignment="1" applyProtection="1">
      <alignment horizontal="right" vertical="top"/>
      <protection locked="0"/>
    </xf>
    <xf numFmtId="0" fontId="48" fillId="0" borderId="0" xfId="0" applyFont="1" applyAlignment="1" applyProtection="1">
      <alignment horizontal="left" vertical="top" wrapText="1"/>
      <protection locked="0"/>
    </xf>
    <xf numFmtId="0" fontId="48" fillId="0" borderId="0" xfId="0" applyFont="1" applyAlignment="1" applyProtection="1">
      <alignment wrapText="1"/>
      <protection locked="0"/>
    </xf>
    <xf numFmtId="0" fontId="48" fillId="0" borderId="0" xfId="0" applyFont="1" applyAlignment="1" applyProtection="1">
      <alignment horizontal="center" vertical="center"/>
      <protection locked="0"/>
    </xf>
    <xf numFmtId="0" fontId="7" fillId="11" borderId="0" xfId="1" applyFont="1" applyFill="1" applyAlignment="1" applyProtection="1">
      <alignment horizontal="center" vertical="center"/>
      <protection locked="0"/>
    </xf>
    <xf numFmtId="0" fontId="59" fillId="11" borderId="0" xfId="1" applyFont="1" applyFill="1" applyProtection="1">
      <protection locked="0"/>
    </xf>
    <xf numFmtId="164" fontId="0" fillId="0" borderId="152" xfId="0" applyNumberFormat="1" applyBorder="1" applyAlignment="1">
      <alignment vertical="top" wrapText="1"/>
    </xf>
    <xf numFmtId="0" fontId="59" fillId="11" borderId="0" xfId="1" applyFont="1" applyFill="1" applyProtection="1"/>
    <xf numFmtId="164" fontId="2" fillId="0" borderId="0" xfId="1" applyNumberFormat="1" applyFont="1" applyFill="1" applyBorder="1" applyAlignment="1" applyProtection="1">
      <alignment horizontal="center" vertical="center"/>
    </xf>
    <xf numFmtId="0" fontId="69" fillId="11" borderId="0" xfId="0" applyFont="1" applyFill="1"/>
    <xf numFmtId="0" fontId="51" fillId="28" borderId="1" xfId="1" applyFont="1" applyFill="1" applyBorder="1" applyAlignment="1" applyProtection="1">
      <alignment horizontal="center" vertical="center" wrapText="1"/>
    </xf>
    <xf numFmtId="0" fontId="51" fillId="28" borderId="1" xfId="1" applyFont="1" applyFill="1" applyBorder="1" applyAlignment="1" applyProtection="1">
      <alignment horizontal="center" vertical="center"/>
    </xf>
    <xf numFmtId="41" fontId="2" fillId="0" borderId="152" xfId="4" applyFont="1" applyBorder="1" applyAlignment="1" applyProtection="1">
      <alignment horizontal="center" vertical="center"/>
      <protection locked="0"/>
    </xf>
    <xf numFmtId="41" fontId="2" fillId="0" borderId="152" xfId="4" applyFont="1" applyFill="1" applyBorder="1" applyAlignment="1" applyProtection="1">
      <alignment horizontal="center" vertical="center"/>
      <protection locked="0"/>
    </xf>
    <xf numFmtId="41" fontId="2" fillId="0" borderId="152" xfId="4" applyFont="1" applyBorder="1" applyAlignment="1" applyProtection="1">
      <alignment vertical="center"/>
      <protection locked="0"/>
    </xf>
    <xf numFmtId="0" fontId="58" fillId="11" borderId="0" xfId="1" applyFont="1" applyFill="1" applyAlignment="1" applyProtection="1">
      <alignment horizontal="right" vertical="center"/>
      <protection locked="0"/>
    </xf>
    <xf numFmtId="164" fontId="0" fillId="0" borderId="152" xfId="0" applyNumberFormat="1" applyBorder="1" applyAlignment="1" applyProtection="1">
      <alignment horizontal="center" vertical="center"/>
    </xf>
    <xf numFmtId="0" fontId="26" fillId="5" borderId="1" xfId="0" applyNumberFormat="1" applyFont="1" applyFill="1" applyBorder="1" applyAlignment="1" applyProtection="1">
      <alignment horizontal="center" vertical="center"/>
      <protection locked="0"/>
    </xf>
    <xf numFmtId="0" fontId="2" fillId="0" borderId="0" xfId="1" applyNumberFormat="1" applyFont="1" applyFill="1" applyBorder="1" applyAlignment="1" applyProtection="1">
      <alignment horizontal="center" vertical="center"/>
    </xf>
    <xf numFmtId="0" fontId="7" fillId="0" borderId="0" xfId="0" applyFont="1" applyAlignment="1" applyProtection="1"/>
    <xf numFmtId="0" fontId="7" fillId="0" borderId="0" xfId="0" applyFont="1" applyAlignment="1" applyProtection="1">
      <alignment wrapText="1"/>
    </xf>
    <xf numFmtId="0" fontId="32" fillId="0" borderId="0" xfId="0" applyFont="1" applyFill="1" applyBorder="1" applyAlignment="1" applyProtection="1">
      <alignment horizontal="left"/>
      <protection locked="0"/>
    </xf>
    <xf numFmtId="0" fontId="32" fillId="0" borderId="68" xfId="0" applyFont="1" applyFill="1" applyBorder="1" applyAlignment="1" applyProtection="1">
      <alignment horizontal="left"/>
      <protection locked="0"/>
    </xf>
    <xf numFmtId="0" fontId="71" fillId="0" borderId="1" xfId="0" applyFont="1" applyBorder="1" applyAlignment="1" applyProtection="1">
      <alignment horizontal="center" vertical="center"/>
      <protection locked="0"/>
    </xf>
    <xf numFmtId="0" fontId="71" fillId="0" borderId="1" xfId="0" applyNumberFormat="1" applyFont="1" applyBorder="1" applyAlignment="1" applyProtection="1">
      <alignment horizontal="center" vertical="center"/>
      <protection locked="0"/>
    </xf>
    <xf numFmtId="0" fontId="71" fillId="0" borderId="1" xfId="0" applyFont="1" applyBorder="1" applyAlignment="1" applyProtection="1">
      <alignment horizontal="left" vertical="center"/>
      <protection locked="0"/>
    </xf>
    <xf numFmtId="0" fontId="71" fillId="0" borderId="1" xfId="0" applyFont="1" applyFill="1" applyBorder="1" applyAlignment="1" applyProtection="1">
      <alignment horizontal="center" vertical="center"/>
      <protection locked="0"/>
    </xf>
    <xf numFmtId="0" fontId="71" fillId="0" borderId="1" xfId="0" applyFont="1" applyFill="1" applyBorder="1" applyAlignment="1" applyProtection="1">
      <alignment horizontal="left" vertical="center"/>
      <protection locked="0"/>
    </xf>
    <xf numFmtId="0" fontId="27" fillId="6" borderId="0" xfId="0" applyFont="1" applyFill="1" applyBorder="1" applyAlignment="1">
      <alignment horizontal="center" vertical="top" wrapText="1"/>
    </xf>
    <xf numFmtId="0" fontId="32" fillId="0" borderId="68" xfId="0" quotePrefix="1" applyFont="1" applyFill="1" applyBorder="1" applyProtection="1">
      <protection locked="0"/>
    </xf>
    <xf numFmtId="0" fontId="32" fillId="0" borderId="69" xfId="0" quotePrefix="1" applyFont="1" applyFill="1" applyBorder="1" applyProtection="1">
      <protection locked="0"/>
    </xf>
    <xf numFmtId="0" fontId="44" fillId="0" borderId="93" xfId="0" applyFont="1" applyBorder="1" applyAlignment="1" applyProtection="1">
      <alignment vertical="center" wrapText="1"/>
    </xf>
    <xf numFmtId="0" fontId="44" fillId="0" borderId="88" xfId="0" applyFont="1" applyBorder="1" applyAlignment="1" applyProtection="1">
      <alignment vertical="center" wrapText="1"/>
    </xf>
    <xf numFmtId="0" fontId="44" fillId="0" borderId="128" xfId="0" applyFont="1" applyBorder="1" applyAlignment="1" applyProtection="1">
      <alignment vertical="center" wrapText="1"/>
    </xf>
    <xf numFmtId="0" fontId="44" fillId="0" borderId="124" xfId="0" applyFont="1" applyBorder="1" applyAlignment="1" applyProtection="1">
      <alignment vertical="center" wrapText="1"/>
    </xf>
    <xf numFmtId="0" fontId="7" fillId="0" borderId="111" xfId="0" applyFont="1" applyBorder="1" applyAlignment="1" applyProtection="1">
      <alignment horizontal="right" vertical="center"/>
    </xf>
    <xf numFmtId="0" fontId="7" fillId="0" borderId="127" xfId="0" applyFont="1" applyBorder="1" applyAlignment="1" applyProtection="1">
      <alignment horizontal="right" vertical="center"/>
    </xf>
    <xf numFmtId="0" fontId="7" fillId="0" borderId="123" xfId="0" applyFont="1" applyBorder="1" applyAlignment="1" applyProtection="1">
      <alignment horizontal="right" vertical="center"/>
    </xf>
    <xf numFmtId="0" fontId="0" fillId="0" borderId="1" xfId="0" applyBorder="1" applyProtection="1">
      <protection locked="0"/>
    </xf>
    <xf numFmtId="0" fontId="72" fillId="0" borderId="1" xfId="0" applyFont="1" applyFill="1" applyBorder="1" applyAlignment="1" applyProtection="1">
      <alignment horizontal="center" vertical="center"/>
      <protection locked="0"/>
    </xf>
    <xf numFmtId="0" fontId="72" fillId="0" borderId="1" xfId="0" applyFont="1" applyFill="1" applyBorder="1" applyAlignment="1" applyProtection="1">
      <alignment horizontal="left" vertical="center"/>
      <protection locked="0"/>
    </xf>
    <xf numFmtId="0" fontId="50" fillId="0" borderId="164" xfId="1" applyFont="1" applyFill="1" applyBorder="1" applyAlignment="1" applyProtection="1">
      <protection locked="0"/>
    </xf>
    <xf numFmtId="0" fontId="72" fillId="0" borderId="1" xfId="1" quotePrefix="1" applyFont="1" applyBorder="1" applyAlignment="1" applyProtection="1">
      <alignment horizontal="left" vertical="center"/>
      <protection locked="0"/>
    </xf>
    <xf numFmtId="0" fontId="71" fillId="0" borderId="2" xfId="0" applyFont="1" applyBorder="1" applyAlignment="1" applyProtection="1">
      <alignment horizontal="left" vertical="center"/>
      <protection locked="0"/>
    </xf>
    <xf numFmtId="0" fontId="71" fillId="0" borderId="2" xfId="0" applyFont="1" applyFill="1" applyBorder="1" applyAlignment="1" applyProtection="1">
      <alignment horizontal="left" vertical="center"/>
      <protection locked="0"/>
    </xf>
    <xf numFmtId="0" fontId="2" fillId="0" borderId="164" xfId="1" applyFont="1" applyBorder="1" applyAlignment="1" applyProtection="1">
      <alignment vertical="center"/>
      <protection locked="0"/>
    </xf>
    <xf numFmtId="0" fontId="72" fillId="0" borderId="1" xfId="0" applyFont="1" applyBorder="1" applyAlignment="1" applyProtection="1">
      <alignment horizontal="left" vertical="center"/>
      <protection locked="0"/>
    </xf>
    <xf numFmtId="0" fontId="72" fillId="0" borderId="1" xfId="1" applyFont="1" applyBorder="1" applyAlignment="1" applyProtection="1">
      <alignment vertical="center"/>
      <protection locked="0"/>
    </xf>
    <xf numFmtId="41" fontId="2" fillId="0" borderId="180" xfId="4" applyFont="1" applyBorder="1" applyAlignment="1" applyProtection="1">
      <alignment vertical="center"/>
      <protection locked="0"/>
    </xf>
    <xf numFmtId="0" fontId="72" fillId="0" borderId="1" xfId="1" applyFont="1" applyBorder="1" applyAlignment="1" applyProtection="1">
      <alignment horizontal="center" vertical="center"/>
      <protection locked="0"/>
    </xf>
    <xf numFmtId="167" fontId="29" fillId="37" borderId="1" xfId="0" applyNumberFormat="1" applyFont="1" applyFill="1" applyBorder="1" applyAlignment="1" applyProtection="1">
      <alignment horizontal="center" vertical="center" wrapText="1"/>
      <protection locked="0"/>
    </xf>
    <xf numFmtId="1" fontId="29" fillId="37" borderId="1" xfId="0" applyNumberFormat="1" applyFont="1" applyFill="1" applyBorder="1" applyAlignment="1" applyProtection="1">
      <alignment horizontal="center" vertical="center"/>
      <protection locked="0"/>
    </xf>
    <xf numFmtId="167" fontId="29" fillId="27" borderId="1" xfId="0" applyNumberFormat="1" applyFont="1" applyFill="1" applyBorder="1" applyAlignment="1" applyProtection="1">
      <alignment horizontal="center" vertical="center" wrapText="1"/>
      <protection locked="0"/>
    </xf>
    <xf numFmtId="1" fontId="29" fillId="27" borderId="1" xfId="0" applyNumberFormat="1" applyFont="1" applyFill="1" applyBorder="1" applyAlignment="1" applyProtection="1">
      <alignment horizontal="center" vertical="center"/>
      <protection locked="0"/>
    </xf>
    <xf numFmtId="167" fontId="29" fillId="4" borderId="1" xfId="0" applyNumberFormat="1" applyFont="1" applyFill="1" applyBorder="1" applyAlignment="1" applyProtection="1">
      <alignment horizontal="center" vertical="center" wrapText="1"/>
      <protection locked="0"/>
    </xf>
    <xf numFmtId="1" fontId="29" fillId="4" borderId="1" xfId="0" applyNumberFormat="1" applyFont="1" applyFill="1" applyBorder="1" applyAlignment="1" applyProtection="1">
      <alignment horizontal="center" vertical="center"/>
      <protection locked="0"/>
    </xf>
    <xf numFmtId="167" fontId="29" fillId="46" borderId="1" xfId="0" applyNumberFormat="1" applyFont="1" applyFill="1" applyBorder="1" applyAlignment="1" applyProtection="1">
      <alignment horizontal="center" vertical="center" wrapText="1"/>
      <protection locked="0"/>
    </xf>
    <xf numFmtId="1" fontId="29" fillId="46" borderId="1" xfId="0" applyNumberFormat="1" applyFont="1" applyFill="1" applyBorder="1" applyAlignment="1" applyProtection="1">
      <alignment horizontal="center" vertical="center"/>
      <protection locked="0"/>
    </xf>
    <xf numFmtId="0" fontId="15" fillId="0" borderId="1" xfId="1" applyFont="1" applyFill="1" applyBorder="1" applyAlignment="1" applyProtection="1">
      <alignment horizontal="right" vertical="center"/>
      <protection locked="0" hidden="1"/>
    </xf>
    <xf numFmtId="0" fontId="48" fillId="0" borderId="181" xfId="0" applyFont="1" applyBorder="1" applyAlignment="1" applyProtection="1">
      <alignment horizontal="right" vertical="top"/>
    </xf>
    <xf numFmtId="0" fontId="7" fillId="0" borderId="27" xfId="0" applyFont="1" applyBorder="1" applyAlignment="1" applyProtection="1">
      <alignment horizontal="left" vertical="center"/>
    </xf>
    <xf numFmtId="0" fontId="7" fillId="0" borderId="182" xfId="0" applyNumberFormat="1" applyFont="1" applyBorder="1" applyAlignment="1" applyProtection="1">
      <alignment horizontal="right" vertical="center"/>
    </xf>
    <xf numFmtId="0" fontId="7" fillId="0" borderId="183" xfId="0" applyFont="1" applyBorder="1" applyAlignment="1" applyProtection="1">
      <alignment horizontal="left" vertical="center"/>
    </xf>
    <xf numFmtId="0" fontId="7" fillId="0" borderId="184" xfId="0" applyFont="1" applyBorder="1" applyAlignment="1" applyProtection="1">
      <alignment horizontal="left" vertical="center"/>
    </xf>
    <xf numFmtId="0" fontId="7" fillId="0" borderId="53" xfId="0" applyNumberFormat="1" applyFont="1" applyBorder="1" applyAlignment="1" applyProtection="1">
      <alignment horizontal="right" vertical="center"/>
    </xf>
    <xf numFmtId="0" fontId="7" fillId="0" borderId="5" xfId="0" applyFont="1" applyBorder="1" applyAlignment="1" applyProtection="1">
      <alignment horizontal="left" vertical="center"/>
    </xf>
    <xf numFmtId="0" fontId="7" fillId="0" borderId="186" xfId="0" applyFont="1" applyBorder="1" applyAlignment="1" applyProtection="1">
      <alignment horizontal="left" vertical="center"/>
    </xf>
    <xf numFmtId="0" fontId="7" fillId="0" borderId="188" xfId="0" applyNumberFormat="1" applyFont="1" applyBorder="1" applyAlignment="1" applyProtection="1">
      <alignment horizontal="right" vertical="center"/>
    </xf>
    <xf numFmtId="0" fontId="7" fillId="0" borderId="187" xfId="0" applyFont="1" applyBorder="1" applyAlignment="1" applyProtection="1">
      <alignment horizontal="left" vertical="center"/>
    </xf>
    <xf numFmtId="0" fontId="7" fillId="0" borderId="189" xfId="0" applyFont="1" applyBorder="1" applyAlignment="1" applyProtection="1">
      <alignment horizontal="left" vertical="center"/>
    </xf>
    <xf numFmtId="0" fontId="12" fillId="0" borderId="164" xfId="1" applyFont="1" applyFill="1" applyBorder="1" applyAlignment="1" applyProtection="1">
      <alignment horizontal="center"/>
    </xf>
    <xf numFmtId="0" fontId="18" fillId="0" borderId="164" xfId="1" applyNumberFormat="1" applyFont="1" applyFill="1" applyBorder="1" applyAlignment="1" applyProtection="1">
      <alignment horizontal="center"/>
      <protection locked="0"/>
    </xf>
    <xf numFmtId="0" fontId="18" fillId="0" borderId="164" xfId="1" applyFont="1" applyFill="1" applyBorder="1" applyAlignment="1" applyProtection="1">
      <alignment horizontal="center"/>
      <protection locked="0"/>
    </xf>
    <xf numFmtId="0" fontId="14" fillId="0" borderId="1" xfId="1" applyFont="1" applyFill="1" applyBorder="1" applyAlignment="1" applyProtection="1">
      <alignment horizontal="center"/>
    </xf>
    <xf numFmtId="164" fontId="12" fillId="0" borderId="1" xfId="1" applyNumberFormat="1" applyFont="1" applyBorder="1" applyProtection="1"/>
    <xf numFmtId="0" fontId="13" fillId="0" borderId="1" xfId="1" applyFont="1" applyFill="1" applyBorder="1" applyProtection="1">
      <protection locked="0"/>
    </xf>
    <xf numFmtId="0" fontId="14" fillId="0" borderId="1" xfId="1" applyFont="1" applyFill="1" applyBorder="1" applyAlignment="1" applyProtection="1">
      <alignment horizontal="center" vertical="center"/>
      <protection locked="0"/>
    </xf>
    <xf numFmtId="0" fontId="12" fillId="0" borderId="1" xfId="1" applyFont="1" applyFill="1" applyBorder="1" applyAlignment="1" applyProtection="1">
      <alignment horizontal="center"/>
    </xf>
    <xf numFmtId="0" fontId="7" fillId="0" borderId="1" xfId="1" applyFont="1" applyFill="1" applyBorder="1" applyProtection="1">
      <protection locked="0"/>
    </xf>
    <xf numFmtId="0" fontId="12" fillId="0" borderId="1" xfId="1" applyFont="1" applyBorder="1" applyAlignment="1" applyProtection="1">
      <alignment horizontal="center"/>
    </xf>
    <xf numFmtId="0" fontId="7" fillId="0" borderId="1" xfId="1" applyFont="1" applyBorder="1" applyProtection="1">
      <protection locked="0"/>
    </xf>
    <xf numFmtId="0" fontId="18" fillId="0" borderId="1" xfId="1" applyFont="1" applyFill="1" applyBorder="1" applyAlignment="1" applyProtection="1">
      <alignment horizontal="center"/>
      <protection locked="0"/>
    </xf>
    <xf numFmtId="0" fontId="7" fillId="12" borderId="41" xfId="0" applyFont="1" applyFill="1" applyBorder="1" applyAlignment="1" applyProtection="1">
      <alignment horizontal="center" vertical="center"/>
    </xf>
    <xf numFmtId="0" fontId="7" fillId="12" borderId="46" xfId="0" applyFont="1" applyFill="1" applyBorder="1" applyAlignment="1" applyProtection="1">
      <alignment horizontal="center" vertical="center"/>
    </xf>
    <xf numFmtId="0" fontId="7" fillId="0" borderId="25" xfId="0" applyNumberFormat="1" applyFont="1" applyFill="1" applyBorder="1" applyAlignment="1" applyProtection="1">
      <alignment horizontal="right" vertical="center"/>
    </xf>
    <xf numFmtId="0" fontId="7" fillId="0" borderId="26" xfId="0" applyFont="1" applyFill="1" applyBorder="1" applyAlignment="1" applyProtection="1">
      <alignment horizontal="left" vertical="center"/>
    </xf>
    <xf numFmtId="0" fontId="7" fillId="0" borderId="27" xfId="0" applyFont="1" applyFill="1" applyBorder="1" applyAlignment="1" applyProtection="1">
      <alignment horizontal="left" vertical="center"/>
    </xf>
    <xf numFmtId="167" fontId="29" fillId="0" borderId="2" xfId="0" applyNumberFormat="1" applyFont="1" applyBorder="1" applyAlignment="1" applyProtection="1">
      <alignment horizontal="center" vertical="center" wrapText="1"/>
      <protection locked="0"/>
    </xf>
    <xf numFmtId="0" fontId="28" fillId="5" borderId="8" xfId="0" applyFont="1" applyFill="1" applyBorder="1" applyAlignment="1" applyProtection="1">
      <alignment vertical="center" wrapText="1"/>
      <protection locked="0"/>
    </xf>
    <xf numFmtId="0" fontId="74" fillId="0" borderId="1" xfId="0" applyFont="1" applyBorder="1" applyAlignment="1">
      <alignment horizontal="justify" vertical="top" wrapText="1"/>
    </xf>
    <xf numFmtId="0" fontId="28" fillId="5" borderId="10" xfId="0" applyFont="1" applyFill="1" applyBorder="1" applyAlignment="1" applyProtection="1">
      <alignment vertical="center" wrapText="1"/>
      <protection locked="0"/>
    </xf>
    <xf numFmtId="0" fontId="38" fillId="5" borderId="191" xfId="0" applyFont="1" applyFill="1" applyBorder="1" applyAlignment="1">
      <alignment vertical="center" wrapText="1"/>
    </xf>
    <xf numFmtId="0" fontId="75" fillId="0" borderId="1" xfId="0" applyFont="1" applyBorder="1" applyAlignment="1">
      <alignment horizontal="justify" vertical="top" wrapText="1"/>
    </xf>
    <xf numFmtId="0" fontId="38" fillId="5" borderId="193" xfId="0" applyFont="1" applyFill="1" applyBorder="1" applyAlignment="1">
      <alignment vertical="center" wrapText="1"/>
    </xf>
    <xf numFmtId="0" fontId="38" fillId="5" borderId="194" xfId="0" applyFont="1" applyFill="1" applyBorder="1" applyAlignment="1">
      <alignment vertical="center" wrapText="1"/>
    </xf>
    <xf numFmtId="0" fontId="38" fillId="5" borderId="0" xfId="0" applyFont="1" applyFill="1" applyBorder="1" applyAlignment="1">
      <alignment horizontal="left" vertical="top" wrapText="1"/>
    </xf>
    <xf numFmtId="0" fontId="76" fillId="0" borderId="192" xfId="0" applyFont="1" applyFill="1" applyBorder="1" applyAlignment="1">
      <alignment horizontal="left" vertical="center" wrapText="1"/>
    </xf>
    <xf numFmtId="0" fontId="76" fillId="0" borderId="195" xfId="0" applyFont="1" applyFill="1" applyBorder="1" applyAlignment="1">
      <alignment horizontal="left" vertical="center" wrapText="1"/>
    </xf>
    <xf numFmtId="0" fontId="38" fillId="5" borderId="196" xfId="0" applyFont="1" applyFill="1" applyBorder="1" applyAlignment="1">
      <alignment vertical="center" wrapText="1"/>
    </xf>
    <xf numFmtId="0" fontId="27" fillId="6" borderId="53" xfId="0" applyFont="1" applyFill="1" applyBorder="1" applyAlignment="1">
      <alignment horizontal="center" vertical="top" wrapText="1"/>
    </xf>
    <xf numFmtId="0" fontId="27" fillId="6" borderId="8" xfId="0" applyFont="1" applyFill="1" applyBorder="1" applyAlignment="1">
      <alignment horizontal="center" vertical="top" wrapText="1"/>
    </xf>
    <xf numFmtId="0" fontId="27" fillId="6" borderId="0" xfId="0" applyFont="1" applyFill="1" applyBorder="1" applyAlignment="1">
      <alignment horizontal="center" vertical="top" wrapText="1"/>
    </xf>
    <xf numFmtId="0" fontId="27" fillId="6" borderId="53" xfId="0" applyFont="1" applyFill="1" applyBorder="1" applyAlignment="1">
      <alignment horizontal="center" vertical="top" wrapText="1"/>
    </xf>
    <xf numFmtId="0" fontId="75" fillId="0" borderId="0" xfId="0" applyFont="1"/>
    <xf numFmtId="0" fontId="75" fillId="0" borderId="0" xfId="0" applyFont="1" applyAlignment="1">
      <alignment horizontal="justify"/>
    </xf>
    <xf numFmtId="0" fontId="75" fillId="0" borderId="1" xfId="0" applyFont="1" applyBorder="1" applyAlignment="1">
      <alignment horizontal="left" vertical="top" wrapText="1"/>
    </xf>
    <xf numFmtId="0" fontId="28" fillId="5" borderId="9" xfId="0" applyFont="1" applyFill="1" applyBorder="1" applyAlignment="1" applyProtection="1">
      <alignment horizontal="left" vertical="top" wrapText="1"/>
      <protection locked="0"/>
    </xf>
    <xf numFmtId="0" fontId="30" fillId="5" borderId="0" xfId="0" applyFont="1" applyFill="1" applyBorder="1" applyAlignment="1">
      <alignment horizontal="left" vertical="top" wrapText="1"/>
    </xf>
    <xf numFmtId="0" fontId="30" fillId="5" borderId="0" xfId="0" applyFont="1" applyFill="1" applyAlignment="1">
      <alignment horizontal="left" vertical="top" wrapText="1"/>
    </xf>
    <xf numFmtId="0" fontId="75" fillId="0" borderId="0" xfId="0" applyFont="1" applyAlignment="1">
      <alignment horizontal="left" vertical="top" wrapText="1"/>
    </xf>
    <xf numFmtId="0" fontId="75" fillId="0" borderId="0" xfId="0" applyFont="1" applyAlignment="1">
      <alignment horizontal="justify" vertical="top" wrapText="1"/>
    </xf>
    <xf numFmtId="0" fontId="75" fillId="0" borderId="0" xfId="0" applyFont="1" applyAlignment="1">
      <alignment vertical="top" wrapText="1"/>
    </xf>
    <xf numFmtId="0" fontId="38" fillId="5" borderId="0" xfId="0" applyFont="1" applyFill="1" applyBorder="1" applyAlignment="1">
      <alignment vertical="center" wrapText="1"/>
    </xf>
    <xf numFmtId="0" fontId="38" fillId="5" borderId="0" xfId="0" applyFont="1" applyFill="1" applyBorder="1" applyAlignment="1">
      <alignment horizontal="left" vertical="center" wrapText="1"/>
    </xf>
    <xf numFmtId="0" fontId="39" fillId="6" borderId="1" xfId="0" applyFont="1" applyFill="1" applyBorder="1" applyAlignment="1">
      <alignment vertical="top" wrapText="1"/>
    </xf>
    <xf numFmtId="0" fontId="39" fillId="6" borderId="1" xfId="0" applyFont="1" applyFill="1" applyBorder="1" applyAlignment="1">
      <alignment vertical="top"/>
    </xf>
    <xf numFmtId="0" fontId="39" fillId="6" borderId="3" xfId="0" applyFont="1" applyFill="1" applyBorder="1" applyAlignment="1">
      <alignment vertical="top"/>
    </xf>
    <xf numFmtId="0" fontId="77" fillId="0" borderId="200" xfId="0" applyFont="1" applyBorder="1" applyAlignment="1">
      <alignment horizontal="justify" vertical="top" wrapText="1"/>
    </xf>
    <xf numFmtId="0" fontId="78" fillId="0" borderId="1" xfId="0" applyFont="1" applyBorder="1" applyAlignment="1">
      <alignment horizontal="justify"/>
    </xf>
    <xf numFmtId="0" fontId="78" fillId="0" borderId="1" xfId="0" applyFont="1" applyBorder="1"/>
    <xf numFmtId="0" fontId="7" fillId="12" borderId="201" xfId="0" applyFont="1" applyFill="1" applyBorder="1" applyAlignment="1" applyProtection="1">
      <alignment horizontal="center" vertical="center"/>
    </xf>
    <xf numFmtId="0" fontId="7" fillId="0" borderId="203" xfId="0" applyFont="1" applyBorder="1" applyAlignment="1" applyProtection="1">
      <alignment horizontal="right" vertical="center"/>
    </xf>
    <xf numFmtId="0" fontId="7" fillId="0" borderId="37" xfId="0" applyFont="1" applyBorder="1" applyAlignment="1" applyProtection="1">
      <alignment horizontal="left" vertical="center"/>
    </xf>
    <xf numFmtId="0" fontId="7" fillId="0" borderId="203" xfId="0" applyNumberFormat="1" applyFont="1" applyBorder="1" applyAlignment="1" applyProtection="1">
      <alignment horizontal="right" vertical="center"/>
    </xf>
    <xf numFmtId="0" fontId="7" fillId="0" borderId="204" xfId="0" applyFont="1" applyBorder="1" applyAlignment="1" applyProtection="1">
      <alignment horizontal="left" vertical="center"/>
    </xf>
    <xf numFmtId="0" fontId="7" fillId="0" borderId="30" xfId="0" applyNumberFormat="1" applyFont="1" applyBorder="1" applyAlignment="1" applyProtection="1">
      <alignment horizontal="right" vertical="center"/>
    </xf>
    <xf numFmtId="0" fontId="12" fillId="0" borderId="0" xfId="0" applyFont="1" applyProtection="1">
      <protection locked="0"/>
    </xf>
    <xf numFmtId="41" fontId="2" fillId="0" borderId="180" xfId="4" applyFont="1" applyBorder="1" applyAlignment="1" applyProtection="1">
      <alignment horizontal="center" vertical="center"/>
      <protection locked="0"/>
    </xf>
    <xf numFmtId="0" fontId="72" fillId="0" borderId="4" xfId="0" applyFont="1" applyBorder="1" applyAlignment="1" applyProtection="1">
      <alignment horizontal="left" vertical="center"/>
      <protection locked="0"/>
    </xf>
    <xf numFmtId="0" fontId="71" fillId="0" borderId="87" xfId="0" applyFont="1" applyBorder="1" applyAlignment="1" applyProtection="1">
      <alignment horizontal="left" vertical="center"/>
      <protection locked="0"/>
    </xf>
    <xf numFmtId="0" fontId="71" fillId="0" borderId="4" xfId="0" applyFont="1" applyBorder="1" applyAlignment="1" applyProtection="1">
      <alignment horizontal="center" vertical="center"/>
      <protection locked="0"/>
    </xf>
    <xf numFmtId="41" fontId="2" fillId="0" borderId="205" xfId="4" applyFont="1" applyBorder="1" applyAlignment="1" applyProtection="1">
      <alignment horizontal="center" vertical="center"/>
      <protection locked="0"/>
    </xf>
    <xf numFmtId="0" fontId="71" fillId="0" borderId="4" xfId="0" applyFont="1" applyBorder="1" applyAlignment="1" applyProtection="1">
      <alignment horizontal="left" vertical="center"/>
      <protection locked="0"/>
    </xf>
    <xf numFmtId="0" fontId="50" fillId="0" borderId="164" xfId="1" applyFont="1" applyBorder="1" applyProtection="1">
      <protection locked="0"/>
    </xf>
    <xf numFmtId="41" fontId="2" fillId="0" borderId="164" xfId="4" applyFont="1" applyBorder="1" applyAlignment="1" applyProtection="1">
      <alignment vertical="center"/>
      <protection locked="0"/>
    </xf>
    <xf numFmtId="0" fontId="2" fillId="0" borderId="164" xfId="1" applyFont="1" applyBorder="1" applyAlignment="1" applyProtection="1">
      <alignment horizontal="left"/>
      <protection locked="0"/>
    </xf>
    <xf numFmtId="41" fontId="2" fillId="0" borderId="1" xfId="4" applyFont="1" applyBorder="1" applyAlignment="1" applyProtection="1">
      <alignment horizontal="center" vertical="center"/>
      <protection locked="0"/>
    </xf>
    <xf numFmtId="0" fontId="2" fillId="0" borderId="1" xfId="1" applyFont="1" applyBorder="1" applyProtection="1">
      <protection locked="0"/>
    </xf>
    <xf numFmtId="0" fontId="2" fillId="0" borderId="1" xfId="1" applyFont="1" applyBorder="1" applyAlignment="1" applyProtection="1">
      <alignment vertical="center"/>
      <protection locked="0"/>
    </xf>
    <xf numFmtId="41" fontId="2" fillId="0" borderId="1" xfId="4" applyFont="1" applyBorder="1" applyAlignment="1" applyProtection="1">
      <alignment vertical="center"/>
      <protection locked="0"/>
    </xf>
    <xf numFmtId="0" fontId="2" fillId="0" borderId="1" xfId="1" applyFont="1" applyBorder="1" applyAlignment="1" applyProtection="1">
      <alignment horizontal="left" vertical="center"/>
      <protection locked="0"/>
    </xf>
    <xf numFmtId="0" fontId="50" fillId="0" borderId="1" xfId="1" applyFont="1" applyFill="1" applyBorder="1" applyAlignment="1" applyProtection="1">
      <protection locked="0"/>
    </xf>
    <xf numFmtId="0" fontId="50" fillId="0" borderId="1" xfId="1" applyFont="1" applyBorder="1" applyProtection="1">
      <protection locked="0"/>
    </xf>
    <xf numFmtId="41" fontId="2" fillId="0" borderId="152" xfId="4" applyFont="1" applyBorder="1" applyAlignment="1" applyProtection="1">
      <alignment horizontal="left" vertical="center"/>
      <protection locked="0"/>
    </xf>
    <xf numFmtId="41" fontId="2" fillId="0" borderId="152" xfId="4" applyFont="1" applyFill="1" applyBorder="1" applyAlignment="1" applyProtection="1">
      <alignment horizontal="left" vertical="center"/>
      <protection locked="0"/>
    </xf>
    <xf numFmtId="0" fontId="82" fillId="0" borderId="0" xfId="0" applyFont="1"/>
    <xf numFmtId="0" fontId="74" fillId="0" borderId="0" xfId="0" applyFont="1"/>
    <xf numFmtId="0" fontId="81" fillId="0" borderId="1" xfId="0" applyFont="1" applyBorder="1" applyAlignment="1" applyProtection="1">
      <alignment horizontal="left" vertical="center"/>
      <protection locked="0"/>
    </xf>
    <xf numFmtId="14" fontId="1" fillId="0" borderId="1" xfId="0" applyNumberFormat="1" applyFont="1" applyBorder="1" applyAlignment="1" applyProtection="1">
      <alignment horizontal="left" vertical="center"/>
      <protection locked="0"/>
    </xf>
    <xf numFmtId="0" fontId="25" fillId="0" borderId="1" xfId="0" applyFont="1" applyBorder="1" applyAlignment="1" applyProtection="1">
      <alignment vertical="center"/>
      <protection locked="0"/>
    </xf>
    <xf numFmtId="0" fontId="25" fillId="0" borderId="1" xfId="0" applyFont="1" applyBorder="1" applyAlignment="1" applyProtection="1">
      <alignment horizontal="center" vertical="center"/>
      <protection locked="0"/>
    </xf>
    <xf numFmtId="14" fontId="25" fillId="0" borderId="1" xfId="0" applyNumberFormat="1" applyFont="1" applyBorder="1" applyAlignment="1" applyProtection="1">
      <alignment horizontal="center" vertical="center"/>
      <protection locked="0"/>
    </xf>
    <xf numFmtId="0" fontId="81" fillId="0" borderId="1" xfId="0" applyFont="1" applyFill="1" applyBorder="1" applyAlignment="1" applyProtection="1">
      <alignment horizontal="left" vertical="center"/>
      <protection locked="0"/>
    </xf>
    <xf numFmtId="0" fontId="72" fillId="0" borderId="1" xfId="0" applyNumberFormat="1" applyFont="1" applyFill="1" applyBorder="1" applyAlignment="1" applyProtection="1">
      <alignment horizontal="center" vertical="center"/>
      <protection locked="0"/>
    </xf>
    <xf numFmtId="0" fontId="1" fillId="0" borderId="1" xfId="1" applyFont="1" applyFill="1" applyBorder="1" applyAlignment="1" applyProtection="1">
      <alignment horizontal="center" vertical="center"/>
      <protection locked="0"/>
    </xf>
    <xf numFmtId="0" fontId="50" fillId="0" borderId="1" xfId="1" applyFont="1" applyBorder="1" applyAlignment="1" applyProtection="1">
      <alignment horizontal="center"/>
      <protection locked="0"/>
    </xf>
    <xf numFmtId="0" fontId="1" fillId="0" borderId="1" xfId="1" applyFont="1" applyBorder="1" applyAlignment="1" applyProtection="1">
      <alignment vertical="center"/>
      <protection locked="0"/>
    </xf>
    <xf numFmtId="0" fontId="27" fillId="6" borderId="2" xfId="0" applyFont="1" applyFill="1" applyBorder="1" applyAlignment="1">
      <alignment horizontal="left" vertical="top" wrapText="1"/>
    </xf>
    <xf numFmtId="0" fontId="0" fillId="0" borderId="0" xfId="0"/>
    <xf numFmtId="0" fontId="27" fillId="6" borderId="0" xfId="0" applyFont="1" applyFill="1" applyBorder="1" applyAlignment="1">
      <alignment horizontal="left" vertical="top" wrapText="1"/>
    </xf>
    <xf numFmtId="0" fontId="0" fillId="0" borderId="0" xfId="0"/>
    <xf numFmtId="0" fontId="0" fillId="0" borderId="0" xfId="0"/>
    <xf numFmtId="0" fontId="0" fillId="0" borderId="0" xfId="0"/>
    <xf numFmtId="0" fontId="12" fillId="37" borderId="206" xfId="0" applyFont="1" applyFill="1" applyBorder="1" applyAlignment="1">
      <alignment vertical="center" wrapText="1"/>
    </xf>
    <xf numFmtId="0" fontId="12" fillId="37" borderId="206" xfId="0" applyFont="1" applyFill="1" applyBorder="1" applyAlignment="1">
      <alignment vertical="center"/>
    </xf>
    <xf numFmtId="0" fontId="12" fillId="37" borderId="24" xfId="0" applyFont="1" applyFill="1" applyBorder="1" applyAlignment="1">
      <alignment vertical="center" wrapText="1"/>
    </xf>
    <xf numFmtId="0" fontId="12" fillId="37" borderId="24" xfId="0" applyFont="1" applyFill="1" applyBorder="1" applyAlignment="1">
      <alignment vertical="center"/>
    </xf>
    <xf numFmtId="0" fontId="12" fillId="37" borderId="49" xfId="0" applyFont="1" applyFill="1" applyBorder="1" applyAlignment="1">
      <alignment vertical="center" wrapText="1"/>
    </xf>
    <xf numFmtId="0" fontId="12" fillId="37" borderId="49" xfId="0" applyFont="1" applyFill="1" applyBorder="1" applyAlignment="1">
      <alignment vertical="center"/>
    </xf>
    <xf numFmtId="0" fontId="12" fillId="4" borderId="206" xfId="0" applyFont="1" applyFill="1" applyBorder="1" applyAlignment="1">
      <alignment vertical="center" wrapText="1"/>
    </xf>
    <xf numFmtId="0" fontId="12" fillId="4" borderId="206" xfId="0" applyFont="1" applyFill="1" applyBorder="1" applyAlignment="1">
      <alignment vertical="center"/>
    </xf>
    <xf numFmtId="0" fontId="12" fillId="4" borderId="24" xfId="0" applyFont="1" applyFill="1" applyBorder="1" applyAlignment="1">
      <alignment vertical="center" wrapText="1"/>
    </xf>
    <xf numFmtId="0" fontId="12" fillId="4" borderId="24" xfId="0" applyFont="1" applyFill="1" applyBorder="1" applyAlignment="1">
      <alignment vertical="center"/>
    </xf>
    <xf numFmtId="0" fontId="12" fillId="4" borderId="49" xfId="0" applyFont="1" applyFill="1" applyBorder="1" applyAlignment="1">
      <alignment vertical="center" wrapText="1"/>
    </xf>
    <xf numFmtId="0" fontId="12" fillId="4" borderId="49" xfId="0" applyFont="1" applyFill="1" applyBorder="1" applyAlignment="1">
      <alignment vertical="center"/>
    </xf>
    <xf numFmtId="12" fontId="12" fillId="4" borderId="49" xfId="0" applyNumberFormat="1" applyFont="1" applyFill="1" applyBorder="1" applyAlignment="1">
      <alignment vertical="center" wrapText="1"/>
    </xf>
    <xf numFmtId="0" fontId="12" fillId="4" borderId="207" xfId="0" applyFont="1" applyFill="1" applyBorder="1" applyAlignment="1">
      <alignment vertical="center" wrapText="1"/>
    </xf>
    <xf numFmtId="0" fontId="12" fillId="4" borderId="207" xfId="0" applyFont="1" applyFill="1" applyBorder="1" applyAlignment="1">
      <alignment vertical="center"/>
    </xf>
    <xf numFmtId="0" fontId="12" fillId="47" borderId="206" xfId="0" applyFont="1" applyFill="1" applyBorder="1" applyAlignment="1">
      <alignment vertical="center" wrapText="1"/>
    </xf>
    <xf numFmtId="0" fontId="12" fillId="47" borderId="206" xfId="0" applyFont="1" applyFill="1" applyBorder="1" applyAlignment="1">
      <alignment vertical="center"/>
    </xf>
    <xf numFmtId="0" fontId="12" fillId="47" borderId="24" xfId="0" applyFont="1" applyFill="1" applyBorder="1" applyAlignment="1">
      <alignment vertical="center" wrapText="1"/>
    </xf>
    <xf numFmtId="0" fontId="12" fillId="47" borderId="24" xfId="0" applyFont="1" applyFill="1" applyBorder="1" applyAlignment="1">
      <alignment vertical="center"/>
    </xf>
    <xf numFmtId="0" fontId="12" fillId="47" borderId="49" xfId="0" applyFont="1" applyFill="1" applyBorder="1" applyAlignment="1">
      <alignment vertical="center" wrapText="1"/>
    </xf>
    <xf numFmtId="0" fontId="12" fillId="47" borderId="49" xfId="0" applyFont="1" applyFill="1" applyBorder="1" applyAlignment="1">
      <alignment vertical="center"/>
    </xf>
    <xf numFmtId="0" fontId="12" fillId="15" borderId="206" xfId="0" applyFont="1" applyFill="1" applyBorder="1" applyAlignment="1">
      <alignment vertical="center" wrapText="1"/>
    </xf>
    <xf numFmtId="0" fontId="12" fillId="15" borderId="206" xfId="0" applyFont="1" applyFill="1" applyBorder="1" applyAlignment="1">
      <alignment vertical="center"/>
    </xf>
    <xf numFmtId="0" fontId="12" fillId="15" borderId="24" xfId="0" applyFont="1" applyFill="1" applyBorder="1" applyAlignment="1">
      <alignment vertical="center" wrapText="1"/>
    </xf>
    <xf numFmtId="0" fontId="12" fillId="15" borderId="24" xfId="0" applyFont="1" applyFill="1" applyBorder="1" applyAlignment="1">
      <alignment vertical="center"/>
    </xf>
    <xf numFmtId="0" fontId="12" fillId="37" borderId="206" xfId="0" applyFont="1" applyFill="1" applyBorder="1" applyAlignment="1" applyProtection="1">
      <alignment vertical="center" wrapText="1"/>
      <protection locked="0"/>
    </xf>
    <xf numFmtId="0" fontId="12" fillId="37" borderId="206" xfId="0" applyFont="1" applyFill="1" applyBorder="1" applyAlignment="1" applyProtection="1">
      <alignment vertical="center"/>
      <protection locked="0"/>
    </xf>
    <xf numFmtId="0" fontId="12" fillId="37" borderId="24" xfId="0" applyFont="1" applyFill="1" applyBorder="1" applyAlignment="1" applyProtection="1">
      <alignment vertical="center" wrapText="1"/>
      <protection locked="0"/>
    </xf>
    <xf numFmtId="0" fontId="12" fillId="37" borderId="19" xfId="0" applyFont="1" applyFill="1" applyBorder="1" applyAlignment="1" applyProtection="1">
      <alignment vertical="center"/>
      <protection locked="0"/>
    </xf>
    <xf numFmtId="0" fontId="12" fillId="37" borderId="49" xfId="0" applyFont="1" applyFill="1" applyBorder="1" applyAlignment="1" applyProtection="1">
      <alignment vertical="center" wrapText="1"/>
      <protection locked="0"/>
    </xf>
    <xf numFmtId="0" fontId="12" fillId="9" borderId="206" xfId="0" applyFont="1" applyFill="1" applyBorder="1" applyAlignment="1" applyProtection="1">
      <alignment vertical="center" wrapText="1"/>
      <protection locked="0"/>
    </xf>
    <xf numFmtId="0" fontId="12" fillId="9" borderId="206" xfId="0" applyFont="1" applyFill="1" applyBorder="1" applyAlignment="1" applyProtection="1">
      <alignment vertical="center"/>
      <protection locked="0"/>
    </xf>
    <xf numFmtId="0" fontId="12" fillId="9" borderId="24" xfId="0" applyFont="1" applyFill="1" applyBorder="1" applyAlignment="1" applyProtection="1">
      <alignment vertical="center" wrapText="1"/>
      <protection locked="0"/>
    </xf>
    <xf numFmtId="0" fontId="12" fillId="9" borderId="24" xfId="0" applyFont="1" applyFill="1" applyBorder="1" applyAlignment="1" applyProtection="1">
      <alignment vertical="center"/>
      <protection locked="0"/>
    </xf>
    <xf numFmtId="0" fontId="12" fillId="9" borderId="19" xfId="0" applyFont="1" applyFill="1" applyBorder="1" applyAlignment="1" applyProtection="1">
      <alignment vertical="center" wrapText="1"/>
      <protection locked="0"/>
    </xf>
    <xf numFmtId="0" fontId="12" fillId="9" borderId="19" xfId="0" applyFont="1" applyFill="1" applyBorder="1" applyAlignment="1" applyProtection="1">
      <alignment vertical="center"/>
      <protection locked="0"/>
    </xf>
    <xf numFmtId="0" fontId="12" fillId="16" borderId="206" xfId="0" applyFont="1" applyFill="1" applyBorder="1" applyAlignment="1" applyProtection="1">
      <alignment vertical="center" wrapText="1"/>
      <protection locked="0"/>
    </xf>
    <xf numFmtId="0" fontId="12" fillId="16" borderId="206" xfId="0" applyFont="1" applyFill="1" applyBorder="1" applyAlignment="1" applyProtection="1">
      <alignment vertical="center"/>
      <protection locked="0"/>
    </xf>
    <xf numFmtId="0" fontId="12" fillId="16" borderId="24" xfId="0" applyFont="1" applyFill="1" applyBorder="1" applyAlignment="1" applyProtection="1">
      <alignment vertical="center" wrapText="1"/>
      <protection locked="0"/>
    </xf>
    <xf numFmtId="0" fontId="12" fillId="16" borderId="19" xfId="0" applyFont="1" applyFill="1" applyBorder="1" applyAlignment="1" applyProtection="1">
      <alignment vertical="center"/>
      <protection locked="0"/>
    </xf>
    <xf numFmtId="0" fontId="12" fillId="16" borderId="49" xfId="0" applyFont="1" applyFill="1" applyBorder="1" applyAlignment="1" applyProtection="1">
      <alignment vertical="center" wrapText="1"/>
      <protection locked="0"/>
    </xf>
    <xf numFmtId="0" fontId="12" fillId="8" borderId="206" xfId="0" applyFont="1" applyFill="1" applyBorder="1" applyAlignment="1" applyProtection="1">
      <alignment vertical="center" wrapText="1"/>
      <protection locked="0"/>
    </xf>
    <xf numFmtId="0" fontId="12" fillId="8" borderId="206" xfId="0" applyFont="1" applyFill="1" applyBorder="1" applyAlignment="1" applyProtection="1">
      <alignment vertical="center"/>
      <protection locked="0"/>
    </xf>
    <xf numFmtId="0" fontId="12" fillId="8" borderId="24" xfId="0" applyFont="1" applyFill="1" applyBorder="1" applyAlignment="1" applyProtection="1">
      <alignment vertical="center" wrapText="1"/>
      <protection locked="0"/>
    </xf>
    <xf numFmtId="0" fontId="12" fillId="8" borderId="19" xfId="0" applyFont="1" applyFill="1" applyBorder="1" applyAlignment="1" applyProtection="1">
      <alignment vertical="center"/>
      <protection locked="0"/>
    </xf>
    <xf numFmtId="0" fontId="12" fillId="8" borderId="49" xfId="0" applyFont="1" applyFill="1" applyBorder="1" applyAlignment="1" applyProtection="1">
      <alignment vertical="center" wrapText="1"/>
      <protection locked="0"/>
    </xf>
    <xf numFmtId="0" fontId="12" fillId="8" borderId="207" xfId="0" applyFont="1" applyFill="1" applyBorder="1" applyAlignment="1" applyProtection="1">
      <alignment vertical="center" wrapText="1"/>
      <protection locked="0"/>
    </xf>
    <xf numFmtId="0" fontId="12" fillId="8" borderId="208" xfId="0" applyFont="1" applyFill="1" applyBorder="1" applyAlignment="1" applyProtection="1">
      <alignment vertical="center"/>
      <protection locked="0"/>
    </xf>
    <xf numFmtId="0" fontId="12" fillId="37" borderId="19" xfId="0" applyFont="1" applyFill="1" applyBorder="1" applyAlignment="1">
      <alignment vertical="center"/>
    </xf>
    <xf numFmtId="0" fontId="12" fillId="9" borderId="206" xfId="0" applyFont="1" applyFill="1" applyBorder="1" applyAlignment="1">
      <alignment vertical="center" wrapText="1"/>
    </xf>
    <xf numFmtId="0" fontId="12" fillId="9" borderId="206" xfId="0" applyFont="1" applyFill="1" applyBorder="1" applyAlignment="1">
      <alignment vertical="center"/>
    </xf>
    <xf numFmtId="0" fontId="12" fillId="9" borderId="24" xfId="0" applyFont="1" applyFill="1" applyBorder="1" applyAlignment="1">
      <alignment vertical="center" wrapText="1"/>
    </xf>
    <xf numFmtId="0" fontId="12" fillId="9" borderId="24" xfId="0" applyFont="1" applyFill="1" applyBorder="1" applyAlignment="1">
      <alignment vertical="center"/>
    </xf>
    <xf numFmtId="0" fontId="12" fillId="9" borderId="19" xfId="0" applyFont="1" applyFill="1" applyBorder="1" applyAlignment="1">
      <alignment vertical="center" wrapText="1"/>
    </xf>
    <xf numFmtId="0" fontId="12" fillId="9" borderId="19" xfId="0" applyFont="1" applyFill="1" applyBorder="1" applyAlignment="1">
      <alignment vertical="center"/>
    </xf>
    <xf numFmtId="0" fontId="12" fillId="16" borderId="206" xfId="0" applyFont="1" applyFill="1" applyBorder="1" applyAlignment="1">
      <alignment vertical="center" wrapText="1"/>
    </xf>
    <xf numFmtId="0" fontId="12" fillId="16" borderId="206" xfId="0" applyFont="1" applyFill="1" applyBorder="1" applyAlignment="1">
      <alignment vertical="center"/>
    </xf>
    <xf numFmtId="0" fontId="12" fillId="16" borderId="24" xfId="0" applyFont="1" applyFill="1" applyBorder="1" applyAlignment="1">
      <alignment vertical="center" wrapText="1"/>
    </xf>
    <xf numFmtId="0" fontId="12" fillId="16" borderId="19" xfId="0" applyFont="1" applyFill="1" applyBorder="1" applyAlignment="1">
      <alignment vertical="center"/>
    </xf>
    <xf numFmtId="0" fontId="12" fillId="16" borderId="49" xfId="0" applyFont="1" applyFill="1" applyBorder="1" applyAlignment="1">
      <alignment vertical="center" wrapText="1"/>
    </xf>
    <xf numFmtId="0" fontId="12" fillId="8" borderId="206" xfId="0" applyFont="1" applyFill="1" applyBorder="1" applyAlignment="1">
      <alignment vertical="center" wrapText="1"/>
    </xf>
    <xf numFmtId="0" fontId="12" fillId="8" borderId="206" xfId="0" applyFont="1" applyFill="1" applyBorder="1" applyAlignment="1">
      <alignment vertical="center"/>
    </xf>
    <xf numFmtId="0" fontId="12" fillId="8" borderId="24" xfId="0" applyFont="1" applyFill="1" applyBorder="1" applyAlignment="1">
      <alignment vertical="center" wrapText="1"/>
    </xf>
    <xf numFmtId="0" fontId="12" fillId="8" borderId="19" xfId="0" applyFont="1" applyFill="1" applyBorder="1" applyAlignment="1">
      <alignment vertical="center"/>
    </xf>
    <xf numFmtId="0" fontId="12" fillId="8" borderId="49" xfId="0" applyFont="1" applyFill="1" applyBorder="1" applyAlignment="1">
      <alignment vertical="center" wrapText="1"/>
    </xf>
    <xf numFmtId="0" fontId="12" fillId="8" borderId="207" xfId="0" applyFont="1" applyFill="1" applyBorder="1" applyAlignment="1">
      <alignment vertical="center" wrapText="1"/>
    </xf>
    <xf numFmtId="0" fontId="12" fillId="8" borderId="208" xfId="0" applyFont="1" applyFill="1" applyBorder="1" applyAlignment="1">
      <alignment vertical="center"/>
    </xf>
    <xf numFmtId="0" fontId="75" fillId="0" borderId="0" xfId="0" applyFont="1" applyAlignment="1">
      <alignment horizontal="left" indent="5"/>
    </xf>
    <xf numFmtId="0" fontId="75" fillId="0" borderId="0" xfId="0" applyFont="1" applyAlignment="1">
      <alignment horizontal="justify" vertical="center"/>
    </xf>
    <xf numFmtId="0" fontId="0" fillId="0" borderId="0" xfId="0"/>
    <xf numFmtId="0" fontId="27" fillId="6" borderId="2" xfId="0" applyFont="1" applyFill="1" applyBorder="1" applyAlignment="1" applyProtection="1">
      <alignment horizontal="left" vertical="top" wrapText="1"/>
      <protection locked="0"/>
    </xf>
    <xf numFmtId="167" fontId="29" fillId="25" borderId="1" xfId="0" applyNumberFormat="1" applyFont="1" applyFill="1" applyBorder="1" applyAlignment="1" applyProtection="1">
      <alignment horizontal="center" vertical="center" wrapText="1"/>
      <protection locked="0"/>
    </xf>
    <xf numFmtId="1" fontId="29" fillId="25" borderId="1" xfId="0" applyNumberFormat="1" applyFont="1" applyFill="1" applyBorder="1" applyAlignment="1" applyProtection="1">
      <alignment horizontal="center" vertical="center"/>
      <protection locked="0"/>
    </xf>
    <xf numFmtId="167" fontId="29" fillId="9" borderId="1" xfId="0" applyNumberFormat="1" applyFont="1" applyFill="1" applyBorder="1" applyAlignment="1" applyProtection="1">
      <alignment horizontal="center" vertical="center" wrapText="1"/>
      <protection locked="0"/>
    </xf>
    <xf numFmtId="1" fontId="29" fillId="9" borderId="1" xfId="0" applyNumberFormat="1" applyFont="1" applyFill="1" applyBorder="1" applyAlignment="1" applyProtection="1">
      <alignment horizontal="center" vertical="center"/>
      <protection locked="0"/>
    </xf>
    <xf numFmtId="167" fontId="29" fillId="8" borderId="1" xfId="0" applyNumberFormat="1" applyFont="1" applyFill="1" applyBorder="1" applyAlignment="1" applyProtection="1">
      <alignment horizontal="center" vertical="center" wrapText="1"/>
      <protection locked="0"/>
    </xf>
    <xf numFmtId="1" fontId="29" fillId="8" borderId="1" xfId="0" applyNumberFormat="1" applyFont="1" applyFill="1" applyBorder="1" applyAlignment="1" applyProtection="1">
      <alignment horizontal="center" vertical="center"/>
      <protection locked="0"/>
    </xf>
    <xf numFmtId="167" fontId="29" fillId="2" borderId="1" xfId="0" applyNumberFormat="1" applyFont="1" applyFill="1" applyBorder="1" applyAlignment="1" applyProtection="1">
      <alignment horizontal="center" vertical="center" wrapText="1"/>
      <protection locked="0"/>
    </xf>
    <xf numFmtId="1" fontId="29" fillId="2" borderId="1" xfId="0" applyNumberFormat="1" applyFont="1" applyFill="1" applyBorder="1" applyAlignment="1" applyProtection="1">
      <alignment horizontal="center" vertical="center"/>
      <protection locked="0"/>
    </xf>
    <xf numFmtId="167" fontId="29" fillId="48" borderId="1" xfId="0" applyNumberFormat="1" applyFont="1" applyFill="1" applyBorder="1" applyAlignment="1" applyProtection="1">
      <alignment horizontal="center" vertical="center" wrapText="1"/>
      <protection locked="0"/>
    </xf>
    <xf numFmtId="1" fontId="29" fillId="48" borderId="1" xfId="0" applyNumberFormat="1" applyFont="1" applyFill="1" applyBorder="1" applyAlignment="1" applyProtection="1">
      <alignment horizontal="center" vertical="center"/>
      <protection locked="0"/>
    </xf>
    <xf numFmtId="167" fontId="29" fillId="49" borderId="1" xfId="0" applyNumberFormat="1" applyFont="1" applyFill="1" applyBorder="1" applyAlignment="1" applyProtection="1">
      <alignment horizontal="center" vertical="center" wrapText="1"/>
      <protection locked="0"/>
    </xf>
    <xf numFmtId="1" fontId="29" fillId="49" borderId="1" xfId="0" applyNumberFormat="1" applyFont="1" applyFill="1" applyBorder="1" applyAlignment="1" applyProtection="1">
      <alignment horizontal="center" vertical="center"/>
      <protection locked="0"/>
    </xf>
    <xf numFmtId="0" fontId="27" fillId="6" borderId="2" xfId="0" applyFont="1" applyFill="1" applyBorder="1" applyAlignment="1">
      <alignment vertical="top" wrapText="1"/>
    </xf>
    <xf numFmtId="0" fontId="27" fillId="6" borderId="2" xfId="0" applyFont="1" applyFill="1" applyBorder="1" applyAlignment="1" applyProtection="1">
      <alignment vertical="top" wrapText="1"/>
      <protection locked="0"/>
    </xf>
    <xf numFmtId="0" fontId="38" fillId="35" borderId="1" xfId="0" applyFont="1" applyFill="1" applyBorder="1" applyAlignment="1">
      <alignment vertical="top" wrapText="1"/>
    </xf>
    <xf numFmtId="0" fontId="38" fillId="35" borderId="1" xfId="0" applyFont="1" applyFill="1" applyBorder="1" applyAlignment="1">
      <alignment horizontal="left" vertical="top" wrapText="1"/>
    </xf>
    <xf numFmtId="0" fontId="74" fillId="35" borderId="1" xfId="0" applyFont="1" applyFill="1" applyBorder="1" applyAlignment="1">
      <alignment horizontal="justify" vertical="top" wrapText="1"/>
    </xf>
    <xf numFmtId="0" fontId="77" fillId="35" borderId="1" xfId="0" applyFont="1" applyFill="1" applyBorder="1" applyAlignment="1">
      <alignment horizontal="justify" vertical="top" wrapText="1"/>
    </xf>
    <xf numFmtId="0" fontId="74" fillId="35" borderId="1" xfId="0" applyFont="1" applyFill="1" applyBorder="1"/>
    <xf numFmtId="0" fontId="39" fillId="35" borderId="1" xfId="0" applyFont="1" applyFill="1" applyBorder="1" applyAlignment="1">
      <alignment horizontal="justify" vertical="top" wrapText="1"/>
    </xf>
    <xf numFmtId="0" fontId="74" fillId="0" borderId="1" xfId="0" applyFont="1" applyBorder="1" applyAlignment="1">
      <alignment vertical="top" wrapText="1"/>
    </xf>
    <xf numFmtId="0" fontId="0" fillId="5" borderId="1" xfId="0" applyFill="1" applyBorder="1" applyProtection="1">
      <protection locked="0"/>
    </xf>
    <xf numFmtId="1" fontId="29" fillId="5" borderId="1" xfId="0" applyNumberFormat="1" applyFont="1" applyFill="1" applyBorder="1" applyAlignment="1" applyProtection="1">
      <alignment horizontal="center" vertical="center"/>
      <protection locked="0"/>
    </xf>
    <xf numFmtId="0" fontId="9" fillId="0" borderId="0" xfId="0" applyFont="1" applyAlignment="1">
      <alignment vertical="center"/>
    </xf>
    <xf numFmtId="167" fontId="9" fillId="0" borderId="1" xfId="0" applyNumberFormat="1" applyFont="1" applyBorder="1" applyAlignment="1" applyProtection="1">
      <alignment horizontal="center" vertical="center" wrapText="1"/>
      <protection locked="0"/>
    </xf>
    <xf numFmtId="0" fontId="81" fillId="0" borderId="0" xfId="0" applyFont="1" applyAlignment="1">
      <alignment horizontal="justify" vertical="center"/>
    </xf>
    <xf numFmtId="0" fontId="83" fillId="0" borderId="0" xfId="0" applyFont="1" applyAlignment="1">
      <alignment horizontal="justify" vertical="center"/>
    </xf>
    <xf numFmtId="1" fontId="29" fillId="50" borderId="1" xfId="0" applyNumberFormat="1" applyFont="1" applyFill="1" applyBorder="1" applyAlignment="1" applyProtection="1">
      <alignment horizontal="center" vertical="center"/>
      <protection locked="0"/>
    </xf>
    <xf numFmtId="0" fontId="7" fillId="0" borderId="1" xfId="0" applyFont="1" applyBorder="1" applyAlignment="1">
      <alignment horizontal="left" indent="2"/>
    </xf>
    <xf numFmtId="0" fontId="11" fillId="14" borderId="1" xfId="0" applyFont="1" applyFill="1" applyBorder="1" applyAlignment="1">
      <alignment horizontal="center" vertical="center"/>
    </xf>
    <xf numFmtId="0" fontId="13" fillId="5" borderId="9" xfId="0" applyFont="1" applyFill="1" applyBorder="1" applyAlignment="1" applyProtection="1">
      <alignment vertical="center" wrapText="1"/>
      <protection locked="0"/>
    </xf>
    <xf numFmtId="167" fontId="7" fillId="0" borderId="1" xfId="0" applyNumberFormat="1" applyFont="1" applyBorder="1" applyAlignment="1" applyProtection="1">
      <alignment horizontal="center" vertical="center" wrapText="1"/>
      <protection locked="0"/>
    </xf>
    <xf numFmtId="0" fontId="7" fillId="0" borderId="1" xfId="0" applyFont="1" applyBorder="1" applyAlignment="1" applyProtection="1">
      <alignment horizontal="center" vertical="center"/>
      <protection locked="0"/>
    </xf>
    <xf numFmtId="0" fontId="13" fillId="5" borderId="1" xfId="0" applyFont="1" applyFill="1" applyBorder="1" applyAlignment="1">
      <alignment wrapText="1"/>
    </xf>
    <xf numFmtId="0" fontId="7" fillId="0" borderId="206" xfId="0" applyFont="1" applyFill="1" applyBorder="1" applyAlignment="1" applyProtection="1">
      <alignment vertical="center" wrapText="1"/>
      <protection locked="0"/>
    </xf>
    <xf numFmtId="0" fontId="7" fillId="0" borderId="206" xfId="0" applyFont="1" applyFill="1" applyBorder="1" applyAlignment="1" applyProtection="1">
      <alignment vertical="center"/>
      <protection locked="0"/>
    </xf>
    <xf numFmtId="0" fontId="7" fillId="0" borderId="19" xfId="0" applyFont="1" applyFill="1" applyBorder="1" applyAlignment="1" applyProtection="1">
      <alignment vertical="center" wrapText="1"/>
      <protection locked="0"/>
    </xf>
    <xf numFmtId="0" fontId="7" fillId="0" borderId="19" xfId="0" applyFont="1" applyFill="1" applyBorder="1" applyAlignment="1" applyProtection="1">
      <alignment vertical="center"/>
      <protection locked="0"/>
    </xf>
    <xf numFmtId="0" fontId="13" fillId="5" borderId="1" xfId="0" applyFont="1" applyFill="1" applyBorder="1" applyAlignment="1" applyProtection="1">
      <alignment vertical="center" wrapText="1"/>
      <protection locked="0"/>
    </xf>
    <xf numFmtId="0" fontId="7" fillId="0" borderId="19" xfId="0" applyFont="1" applyFill="1" applyBorder="1" applyAlignment="1" applyProtection="1">
      <alignment vertical="top" wrapText="1"/>
      <protection locked="0"/>
    </xf>
    <xf numFmtId="0" fontId="7" fillId="0" borderId="207" xfId="0" applyFont="1" applyFill="1" applyBorder="1" applyAlignment="1" applyProtection="1">
      <alignment vertical="center" wrapText="1"/>
      <protection locked="0"/>
    </xf>
    <xf numFmtId="0" fontId="7" fillId="0" borderId="207" xfId="0" applyFont="1" applyFill="1" applyBorder="1" applyAlignment="1" applyProtection="1">
      <alignment vertical="center"/>
      <protection locked="0"/>
    </xf>
    <xf numFmtId="0" fontId="7" fillId="0" borderId="0" xfId="0" applyFont="1" applyFill="1" applyAlignment="1" applyProtection="1">
      <alignment vertical="top" wrapText="1"/>
      <protection locked="0"/>
    </xf>
    <xf numFmtId="0" fontId="7" fillId="0" borderId="209" xfId="0" applyFont="1" applyFill="1" applyBorder="1" applyAlignment="1" applyProtection="1">
      <alignment vertical="top" wrapText="1"/>
      <protection locked="0"/>
    </xf>
    <xf numFmtId="0" fontId="7" fillId="0" borderId="210" xfId="0" applyFont="1" applyFill="1" applyBorder="1" applyAlignment="1" applyProtection="1">
      <alignment vertical="top" wrapText="1"/>
      <protection locked="0"/>
    </xf>
    <xf numFmtId="0" fontId="7" fillId="0" borderId="24" xfId="0" applyFont="1" applyFill="1" applyBorder="1" applyAlignment="1" applyProtection="1">
      <alignment vertical="top" wrapText="1"/>
      <protection locked="0"/>
    </xf>
    <xf numFmtId="0" fontId="13" fillId="5" borderId="1" xfId="0" applyFont="1" applyFill="1" applyBorder="1"/>
    <xf numFmtId="0" fontId="0" fillId="0" borderId="0" xfId="0" applyFont="1"/>
    <xf numFmtId="164" fontId="88" fillId="3" borderId="5" xfId="0" applyNumberFormat="1" applyFont="1" applyFill="1" applyBorder="1" applyAlignment="1" applyProtection="1">
      <alignment horizontal="center" vertical="center"/>
    </xf>
    <xf numFmtId="0" fontId="0" fillId="0" borderId="5" xfId="0" applyFont="1" applyBorder="1"/>
    <xf numFmtId="0" fontId="87" fillId="27" borderId="7" xfId="0" applyFont="1" applyFill="1" applyBorder="1" applyAlignment="1">
      <alignment vertical="center" wrapText="1"/>
    </xf>
    <xf numFmtId="0" fontId="0" fillId="0" borderId="0" xfId="0" applyFont="1" applyBorder="1"/>
    <xf numFmtId="0" fontId="87" fillId="14" borderId="1" xfId="0" applyFont="1" applyFill="1" applyBorder="1" applyAlignment="1">
      <alignment horizontal="center" vertical="center"/>
    </xf>
    <xf numFmtId="0" fontId="38" fillId="5" borderId="9" xfId="0" applyFont="1" applyFill="1" applyBorder="1" applyAlignment="1" applyProtection="1">
      <alignment vertical="center" wrapText="1"/>
      <protection locked="0"/>
    </xf>
    <xf numFmtId="167" fontId="77" fillId="0" borderId="1" xfId="0" applyNumberFormat="1" applyFont="1" applyBorder="1" applyAlignment="1" applyProtection="1">
      <alignment horizontal="center" vertical="center" wrapText="1"/>
      <protection locked="0"/>
    </xf>
    <xf numFmtId="0" fontId="77" fillId="0" borderId="1" xfId="0" applyFont="1" applyBorder="1" applyAlignment="1" applyProtection="1">
      <alignment horizontal="center" vertical="center"/>
      <protection locked="0"/>
    </xf>
    <xf numFmtId="0" fontId="77" fillId="0" borderId="1" xfId="0" applyFont="1" applyBorder="1" applyAlignment="1">
      <alignment horizontal="center" vertical="center"/>
    </xf>
    <xf numFmtId="0" fontId="87" fillId="11" borderId="1" xfId="0" applyFont="1" applyFill="1" applyBorder="1" applyAlignment="1">
      <alignment horizontal="center" vertical="center"/>
    </xf>
    <xf numFmtId="0" fontId="89" fillId="5" borderId="0" xfId="0" applyFont="1" applyFill="1" applyBorder="1"/>
    <xf numFmtId="0" fontId="89" fillId="5" borderId="0" xfId="0" applyFont="1" applyFill="1"/>
    <xf numFmtId="0" fontId="11" fillId="14" borderId="2" xfId="0" applyFont="1" applyFill="1" applyBorder="1" applyAlignment="1">
      <alignment horizontal="center" vertical="center"/>
    </xf>
    <xf numFmtId="0" fontId="13" fillId="5" borderId="6" xfId="0" applyFont="1" applyFill="1" applyBorder="1" applyAlignment="1" applyProtection="1">
      <alignment vertical="center" wrapText="1"/>
      <protection locked="0"/>
    </xf>
    <xf numFmtId="167" fontId="7" fillId="0" borderId="4" xfId="0" applyNumberFormat="1" applyFont="1" applyBorder="1" applyAlignment="1" applyProtection="1">
      <alignment horizontal="center" vertical="center" wrapText="1"/>
      <protection locked="0"/>
    </xf>
    <xf numFmtId="0" fontId="12" fillId="0" borderId="19" xfId="0" applyFont="1" applyFill="1" applyBorder="1" applyAlignment="1">
      <alignment vertical="center" wrapText="1"/>
    </xf>
    <xf numFmtId="0" fontId="12" fillId="0" borderId="19" xfId="0" applyFont="1" applyFill="1" applyBorder="1" applyAlignment="1">
      <alignment vertical="center"/>
    </xf>
    <xf numFmtId="0" fontId="12" fillId="0" borderId="24" xfId="0" applyFont="1" applyFill="1" applyBorder="1" applyAlignment="1">
      <alignment vertical="center" wrapText="1"/>
    </xf>
    <xf numFmtId="0" fontId="12" fillId="0" borderId="24" xfId="0" applyFont="1" applyFill="1" applyBorder="1" applyAlignment="1">
      <alignment vertical="center"/>
    </xf>
    <xf numFmtId="0" fontId="12" fillId="0" borderId="49" xfId="0" applyFont="1" applyFill="1" applyBorder="1" applyAlignment="1">
      <alignment vertical="center" wrapText="1"/>
    </xf>
    <xf numFmtId="0" fontId="12" fillId="0" borderId="49" xfId="0" applyFont="1" applyFill="1" applyBorder="1" applyAlignment="1">
      <alignment vertical="center"/>
    </xf>
    <xf numFmtId="0" fontId="12" fillId="0" borderId="1" xfId="0" applyFont="1" applyFill="1" applyBorder="1" applyAlignment="1">
      <alignment vertical="center" wrapText="1"/>
    </xf>
    <xf numFmtId="12" fontId="12" fillId="0" borderId="49" xfId="0" applyNumberFormat="1" applyFont="1" applyFill="1" applyBorder="1" applyAlignment="1">
      <alignment vertical="center" wrapText="1"/>
    </xf>
    <xf numFmtId="0" fontId="12" fillId="0" borderId="49" xfId="0" applyFont="1" applyFill="1" applyBorder="1" applyAlignment="1" applyProtection="1">
      <alignment vertical="center" wrapText="1"/>
      <protection locked="0"/>
    </xf>
    <xf numFmtId="0" fontId="12" fillId="0" borderId="49" xfId="0" applyFont="1" applyFill="1" applyBorder="1" applyAlignment="1" applyProtection="1">
      <alignment vertical="center"/>
      <protection locked="0"/>
    </xf>
    <xf numFmtId="0" fontId="12" fillId="0" borderId="4" xfId="0" applyFont="1" applyFill="1" applyBorder="1" applyAlignment="1">
      <alignment vertical="center" wrapText="1"/>
    </xf>
    <xf numFmtId="0" fontId="12" fillId="0" borderId="51" xfId="0" applyFont="1" applyFill="1" applyBorder="1" applyAlignment="1">
      <alignment vertical="center"/>
    </xf>
    <xf numFmtId="0" fontId="12" fillId="0" borderId="51" xfId="0" applyFont="1" applyFill="1" applyBorder="1" applyAlignment="1">
      <alignment vertical="center" wrapText="1"/>
    </xf>
    <xf numFmtId="0" fontId="13" fillId="37" borderId="9" xfId="0" applyFont="1" applyFill="1" applyBorder="1" applyAlignment="1" applyProtection="1">
      <alignment vertical="center" wrapText="1"/>
      <protection locked="0"/>
    </xf>
    <xf numFmtId="167" fontId="7" fillId="37" borderId="1" xfId="0" applyNumberFormat="1" applyFont="1" applyFill="1" applyBorder="1" applyAlignment="1" applyProtection="1">
      <alignment horizontal="center" vertical="center" wrapText="1"/>
      <protection locked="0"/>
    </xf>
    <xf numFmtId="0" fontId="7" fillId="37" borderId="1" xfId="0" applyFont="1" applyFill="1" applyBorder="1" applyAlignment="1" applyProtection="1">
      <alignment horizontal="center" vertical="center"/>
      <protection locked="0"/>
    </xf>
    <xf numFmtId="0" fontId="7" fillId="4" borderId="19" xfId="0" applyFont="1" applyFill="1" applyBorder="1" applyAlignment="1" applyProtection="1">
      <alignment vertical="center" wrapText="1"/>
      <protection locked="0"/>
    </xf>
    <xf numFmtId="0" fontId="7" fillId="4" borderId="19" xfId="0" applyFont="1" applyFill="1" applyBorder="1" applyAlignment="1" applyProtection="1">
      <alignment vertical="center"/>
      <protection locked="0"/>
    </xf>
    <xf numFmtId="0" fontId="7" fillId="4" borderId="4" xfId="0" applyFont="1" applyFill="1" applyBorder="1" applyAlignment="1" applyProtection="1">
      <alignment horizontal="center" vertical="center"/>
      <protection locked="0"/>
    </xf>
    <xf numFmtId="0" fontId="7" fillId="51" borderId="19" xfId="0" applyFont="1" applyFill="1" applyBorder="1" applyAlignment="1" applyProtection="1">
      <alignment vertical="center" wrapText="1"/>
      <protection locked="0"/>
    </xf>
    <xf numFmtId="0" fontId="7" fillId="51" borderId="19" xfId="0" applyFont="1" applyFill="1" applyBorder="1" applyAlignment="1" applyProtection="1">
      <alignment vertical="center"/>
      <protection locked="0"/>
    </xf>
    <xf numFmtId="0" fontId="7" fillId="51" borderId="1" xfId="0" applyFont="1" applyFill="1" applyBorder="1" applyAlignment="1" applyProtection="1">
      <alignment horizontal="center" vertical="center"/>
      <protection locked="0"/>
    </xf>
    <xf numFmtId="0" fontId="7" fillId="51" borderId="4" xfId="0" applyFont="1" applyFill="1" applyBorder="1" applyAlignment="1" applyProtection="1">
      <alignment horizontal="center" vertical="center"/>
      <protection locked="0"/>
    </xf>
    <xf numFmtId="0" fontId="7" fillId="14" borderId="1" xfId="0" applyFont="1" applyFill="1" applyBorder="1" applyAlignment="1" applyProtection="1">
      <alignment horizontal="center" vertical="center"/>
      <protection locked="0"/>
    </xf>
    <xf numFmtId="0" fontId="7" fillId="37" borderId="19" xfId="0" applyFont="1" applyFill="1" applyBorder="1" applyAlignment="1" applyProtection="1">
      <alignment vertical="center"/>
      <protection locked="0"/>
    </xf>
    <xf numFmtId="0" fontId="7" fillId="27" borderId="19" xfId="0" applyFont="1" applyFill="1" applyBorder="1" applyAlignment="1" applyProtection="1">
      <alignment vertical="center" wrapText="1"/>
      <protection locked="0"/>
    </xf>
    <xf numFmtId="0" fontId="7" fillId="27" borderId="19" xfId="0" applyFont="1" applyFill="1" applyBorder="1" applyAlignment="1" applyProtection="1">
      <alignment vertical="center"/>
      <protection locked="0"/>
    </xf>
    <xf numFmtId="0" fontId="7" fillId="27" borderId="1" xfId="0" applyFont="1" applyFill="1" applyBorder="1" applyAlignment="1" applyProtection="1">
      <alignment horizontal="center" vertical="center"/>
      <protection locked="0"/>
    </xf>
    <xf numFmtId="0" fontId="7" fillId="52" borderId="19" xfId="0" applyFont="1" applyFill="1" applyBorder="1" applyAlignment="1" applyProtection="1">
      <alignment vertical="center" wrapText="1"/>
      <protection locked="0"/>
    </xf>
    <xf numFmtId="0" fontId="7" fillId="52" borderId="19" xfId="0" applyFont="1" applyFill="1" applyBorder="1" applyAlignment="1" applyProtection="1">
      <alignment vertical="center"/>
      <protection locked="0"/>
    </xf>
    <xf numFmtId="0" fontId="7" fillId="52" borderId="1" xfId="0" applyFont="1" applyFill="1" applyBorder="1" applyAlignment="1" applyProtection="1">
      <alignment horizontal="center" vertical="center"/>
      <protection locked="0"/>
    </xf>
    <xf numFmtId="0" fontId="7" fillId="25" borderId="1" xfId="0" applyFont="1" applyFill="1" applyBorder="1" applyAlignment="1" applyProtection="1">
      <alignment horizontal="center" vertical="center"/>
      <protection locked="0"/>
    </xf>
    <xf numFmtId="0" fontId="7" fillId="25" borderId="206" xfId="0" applyFont="1" applyFill="1" applyBorder="1" applyAlignment="1" applyProtection="1">
      <alignment vertical="center" wrapText="1"/>
      <protection locked="0"/>
    </xf>
    <xf numFmtId="0" fontId="7" fillId="25" borderId="206" xfId="0" applyFont="1" applyFill="1" applyBorder="1" applyAlignment="1" applyProtection="1">
      <alignment vertical="center"/>
      <protection locked="0"/>
    </xf>
    <xf numFmtId="0" fontId="7" fillId="25" borderId="19" xfId="0" applyFont="1" applyFill="1" applyBorder="1" applyAlignment="1" applyProtection="1">
      <alignment vertical="center" wrapText="1"/>
      <protection locked="0"/>
    </xf>
    <xf numFmtId="0" fontId="7" fillId="25" borderId="19" xfId="0" applyFont="1" applyFill="1" applyBorder="1" applyAlignment="1" applyProtection="1">
      <alignment vertical="center"/>
      <protection locked="0"/>
    </xf>
    <xf numFmtId="0" fontId="13" fillId="53" borderId="9" xfId="0" applyFont="1" applyFill="1" applyBorder="1" applyAlignment="1" applyProtection="1">
      <alignment vertical="center" wrapText="1"/>
      <protection locked="0"/>
    </xf>
    <xf numFmtId="167" fontId="7" fillId="53" borderId="1" xfId="0" applyNumberFormat="1" applyFont="1" applyFill="1" applyBorder="1" applyAlignment="1" applyProtection="1">
      <alignment horizontal="center" vertical="center" wrapText="1"/>
      <protection locked="0"/>
    </xf>
    <xf numFmtId="0" fontId="7" fillId="53" borderId="1" xfId="0" applyFont="1" applyFill="1" applyBorder="1" applyAlignment="1" applyProtection="1">
      <alignment horizontal="center" vertical="center"/>
      <protection locked="0"/>
    </xf>
    <xf numFmtId="0" fontId="13" fillId="14" borderId="9" xfId="0" applyFont="1" applyFill="1" applyBorder="1" applyAlignment="1" applyProtection="1">
      <alignment vertical="center" wrapText="1"/>
      <protection locked="0"/>
    </xf>
    <xf numFmtId="167" fontId="7" fillId="14" borderId="1" xfId="0" applyNumberFormat="1" applyFont="1" applyFill="1" applyBorder="1" applyAlignment="1" applyProtection="1">
      <alignment horizontal="center" vertical="center" wrapText="1"/>
      <protection locked="0"/>
    </xf>
    <xf numFmtId="0" fontId="7" fillId="8" borderId="1" xfId="0" applyFont="1" applyFill="1" applyBorder="1" applyAlignment="1" applyProtection="1">
      <alignment horizontal="center" vertical="center"/>
      <protection locked="0"/>
    </xf>
    <xf numFmtId="0" fontId="13" fillId="54" borderId="9" xfId="0" applyFont="1" applyFill="1" applyBorder="1" applyAlignment="1" applyProtection="1">
      <alignment vertical="center" wrapText="1"/>
      <protection locked="0"/>
    </xf>
    <xf numFmtId="167" fontId="7" fillId="54" borderId="1" xfId="0" applyNumberFormat="1" applyFont="1" applyFill="1" applyBorder="1" applyAlignment="1" applyProtection="1">
      <alignment horizontal="center" vertical="center" wrapText="1"/>
      <protection locked="0"/>
    </xf>
    <xf numFmtId="0" fontId="7" fillId="54" borderId="1" xfId="0" applyFont="1" applyFill="1" applyBorder="1" applyAlignment="1" applyProtection="1">
      <alignment horizontal="center" vertical="center"/>
      <protection locked="0"/>
    </xf>
    <xf numFmtId="0" fontId="7" fillId="31" borderId="206" xfId="0" applyFont="1" applyFill="1" applyBorder="1" applyAlignment="1" applyProtection="1">
      <alignment vertical="center" wrapText="1"/>
      <protection locked="0"/>
    </xf>
    <xf numFmtId="0" fontId="7" fillId="31" borderId="206" xfId="0" applyFont="1" applyFill="1" applyBorder="1" applyAlignment="1" applyProtection="1">
      <alignment vertical="center"/>
      <protection locked="0"/>
    </xf>
    <xf numFmtId="0" fontId="7" fillId="31" borderId="1" xfId="0" applyFont="1" applyFill="1" applyBorder="1" applyAlignment="1" applyProtection="1">
      <alignment horizontal="center" vertical="center"/>
      <protection locked="0"/>
    </xf>
    <xf numFmtId="0" fontId="7" fillId="31" borderId="19" xfId="0" applyFont="1" applyFill="1" applyBorder="1" applyAlignment="1" applyProtection="1">
      <alignment vertical="center" wrapText="1"/>
      <protection locked="0"/>
    </xf>
    <xf numFmtId="0" fontId="7" fillId="31" borderId="19" xfId="0" applyFont="1" applyFill="1" applyBorder="1" applyAlignment="1" applyProtection="1">
      <alignment vertical="center"/>
      <protection locked="0"/>
    </xf>
    <xf numFmtId="0" fontId="7" fillId="31" borderId="19" xfId="0" applyFont="1" applyFill="1" applyBorder="1" applyAlignment="1" applyProtection="1">
      <alignment vertical="top" wrapText="1"/>
      <protection locked="0"/>
    </xf>
    <xf numFmtId="0" fontId="7" fillId="48" borderId="19" xfId="0" applyFont="1" applyFill="1" applyBorder="1" applyAlignment="1" applyProtection="1">
      <alignment vertical="center" wrapText="1"/>
      <protection locked="0"/>
    </xf>
    <xf numFmtId="0" fontId="7" fillId="48" borderId="19" xfId="0" applyFont="1" applyFill="1" applyBorder="1" applyAlignment="1" applyProtection="1">
      <alignment vertical="center"/>
      <protection locked="0"/>
    </xf>
    <xf numFmtId="0" fontId="7" fillId="48" borderId="1" xfId="0" applyFont="1" applyFill="1" applyBorder="1" applyAlignment="1" applyProtection="1">
      <alignment horizontal="center" vertical="center"/>
      <protection locked="0"/>
    </xf>
    <xf numFmtId="0" fontId="7" fillId="27" borderId="207" xfId="0" applyFont="1" applyFill="1" applyBorder="1" applyAlignment="1" applyProtection="1">
      <alignment vertical="center" wrapText="1"/>
      <protection locked="0"/>
    </xf>
    <xf numFmtId="0" fontId="7" fillId="27" borderId="207" xfId="0" applyFont="1" applyFill="1" applyBorder="1" applyAlignment="1" applyProtection="1">
      <alignment vertical="center"/>
      <protection locked="0"/>
    </xf>
    <xf numFmtId="0" fontId="7" fillId="5" borderId="1" xfId="0" applyFont="1" applyFill="1" applyBorder="1" applyAlignment="1" applyProtection="1">
      <alignment horizontal="center" vertical="center"/>
      <protection locked="0"/>
    </xf>
    <xf numFmtId="0" fontId="7" fillId="15" borderId="0" xfId="0" applyFont="1" applyFill="1" applyAlignment="1" applyProtection="1">
      <alignment vertical="top" wrapText="1"/>
      <protection locked="0"/>
    </xf>
    <xf numFmtId="0" fontId="7" fillId="15" borderId="19" xfId="0" applyFont="1" applyFill="1" applyBorder="1" applyAlignment="1" applyProtection="1">
      <alignment vertical="center"/>
      <protection locked="0"/>
    </xf>
    <xf numFmtId="0" fontId="7" fillId="15" borderId="1" xfId="0" applyFont="1" applyFill="1" applyBorder="1" applyAlignment="1" applyProtection="1">
      <alignment horizontal="center" vertical="center"/>
      <protection locked="0"/>
    </xf>
    <xf numFmtId="0" fontId="7" fillId="15" borderId="209" xfId="0" applyFont="1" applyFill="1" applyBorder="1" applyAlignment="1" applyProtection="1">
      <alignment vertical="top" wrapText="1"/>
      <protection locked="0"/>
    </xf>
    <xf numFmtId="0" fontId="7" fillId="15" borderId="210" xfId="0" applyFont="1" applyFill="1" applyBorder="1" applyAlignment="1" applyProtection="1">
      <alignment vertical="top" wrapText="1"/>
      <protection locked="0"/>
    </xf>
    <xf numFmtId="0" fontId="7" fillId="15" borderId="24" xfId="0" applyFont="1" applyFill="1" applyBorder="1" applyAlignment="1" applyProtection="1">
      <alignment vertical="top" wrapText="1"/>
      <protection locked="0"/>
    </xf>
    <xf numFmtId="0" fontId="7" fillId="8" borderId="24" xfId="0" applyFont="1" applyFill="1" applyBorder="1" applyAlignment="1" applyProtection="1">
      <alignment vertical="top" wrapText="1"/>
      <protection locked="0"/>
    </xf>
    <xf numFmtId="0" fontId="7" fillId="8" borderId="19" xfId="0" applyFont="1" applyFill="1" applyBorder="1" applyAlignment="1" applyProtection="1">
      <alignment vertical="center"/>
      <protection locked="0"/>
    </xf>
    <xf numFmtId="0" fontId="7" fillId="8" borderId="0" xfId="0" applyFont="1" applyFill="1" applyAlignment="1" applyProtection="1">
      <alignment vertical="top" wrapText="1"/>
      <protection locked="0"/>
    </xf>
    <xf numFmtId="0" fontId="7" fillId="37" borderId="24" xfId="0" applyFont="1" applyFill="1" applyBorder="1" applyAlignment="1" applyProtection="1">
      <alignment vertical="top" wrapText="1"/>
      <protection locked="0"/>
    </xf>
    <xf numFmtId="0" fontId="7" fillId="37" borderId="0" xfId="0" applyFont="1" applyFill="1" applyAlignment="1" applyProtection="1">
      <alignment vertical="top" wrapText="1"/>
      <protection locked="0"/>
    </xf>
    <xf numFmtId="0" fontId="7" fillId="4" borderId="24" xfId="0" applyFont="1" applyFill="1" applyBorder="1" applyAlignment="1" applyProtection="1">
      <alignment vertical="top" wrapText="1"/>
      <protection locked="0"/>
    </xf>
    <xf numFmtId="0" fontId="7" fillId="4" borderId="1" xfId="0" applyFont="1" applyFill="1" applyBorder="1" applyAlignment="1" applyProtection="1">
      <alignment horizontal="center" vertical="center"/>
      <protection locked="0"/>
    </xf>
    <xf numFmtId="0" fontId="7" fillId="4" borderId="0" xfId="0" applyFont="1" applyFill="1" applyAlignment="1" applyProtection="1">
      <alignment vertical="top" wrapText="1"/>
      <protection locked="0"/>
    </xf>
    <xf numFmtId="0" fontId="13" fillId="8" borderId="9" xfId="0" applyFont="1" applyFill="1" applyBorder="1" applyAlignment="1" applyProtection="1">
      <alignment vertical="center" wrapText="1"/>
      <protection locked="0"/>
    </xf>
    <xf numFmtId="167" fontId="7" fillId="8" borderId="1" xfId="0" applyNumberFormat="1" applyFont="1" applyFill="1" applyBorder="1" applyAlignment="1" applyProtection="1">
      <alignment horizontal="center" vertical="center" wrapText="1"/>
      <protection locked="0"/>
    </xf>
    <xf numFmtId="0" fontId="13" fillId="55" borderId="9" xfId="0" applyFont="1" applyFill="1" applyBorder="1" applyAlignment="1" applyProtection="1">
      <alignment vertical="center" wrapText="1"/>
      <protection locked="0"/>
    </xf>
    <xf numFmtId="167" fontId="7" fillId="55" borderId="1" xfId="0" applyNumberFormat="1" applyFont="1" applyFill="1" applyBorder="1" applyAlignment="1" applyProtection="1">
      <alignment horizontal="center" vertical="center" wrapText="1"/>
      <protection locked="0"/>
    </xf>
    <xf numFmtId="0" fontId="13" fillId="10" borderId="9" xfId="0" applyFont="1" applyFill="1" applyBorder="1" applyAlignment="1" applyProtection="1">
      <alignment vertical="center" wrapText="1"/>
      <protection locked="0"/>
    </xf>
    <xf numFmtId="167" fontId="7" fillId="10" borderId="1" xfId="0" applyNumberFormat="1" applyFont="1" applyFill="1" applyBorder="1" applyAlignment="1" applyProtection="1">
      <alignment horizontal="center" vertical="center" wrapText="1"/>
      <protection locked="0"/>
    </xf>
    <xf numFmtId="0" fontId="13" fillId="56" borderId="9" xfId="0" applyFont="1" applyFill="1" applyBorder="1" applyAlignment="1" applyProtection="1">
      <alignment vertical="center" wrapText="1"/>
      <protection locked="0"/>
    </xf>
    <xf numFmtId="167" fontId="7" fillId="56" borderId="1" xfId="0" applyNumberFormat="1" applyFont="1" applyFill="1" applyBorder="1" applyAlignment="1" applyProtection="1">
      <alignment horizontal="center" vertical="center" wrapText="1"/>
      <protection locked="0"/>
    </xf>
    <xf numFmtId="0" fontId="12" fillId="0" borderId="1" xfId="0" applyFont="1" applyBorder="1" applyProtection="1">
      <protection locked="0"/>
    </xf>
    <xf numFmtId="0" fontId="29" fillId="0" borderId="1" xfId="0" applyFont="1" applyBorder="1" applyAlignment="1">
      <alignment vertical="center"/>
    </xf>
    <xf numFmtId="0" fontId="77" fillId="0" borderId="1" xfId="0" applyFont="1" applyBorder="1" applyAlignment="1">
      <alignment horizontal="left"/>
    </xf>
    <xf numFmtId="0" fontId="90" fillId="0" borderId="1" xfId="0" applyFont="1" applyBorder="1" applyAlignment="1" applyProtection="1">
      <alignment horizontal="center" vertical="center"/>
      <protection locked="0"/>
    </xf>
    <xf numFmtId="0" fontId="90" fillId="57" borderId="1" xfId="0" applyFont="1" applyFill="1" applyBorder="1" applyAlignment="1" applyProtection="1">
      <alignment horizontal="center" vertical="center"/>
      <protection locked="0"/>
    </xf>
    <xf numFmtId="0" fontId="90" fillId="0" borderId="9" xfId="0" applyFont="1" applyBorder="1" applyAlignment="1" applyProtection="1">
      <alignment horizontal="center" vertical="center"/>
      <protection locked="0"/>
    </xf>
    <xf numFmtId="169" fontId="90" fillId="0" borderId="2" xfId="0" applyNumberFormat="1" applyFont="1" applyBorder="1" applyAlignment="1" applyProtection="1">
      <alignment horizontal="center" vertical="center"/>
      <protection locked="0"/>
    </xf>
    <xf numFmtId="14" fontId="90" fillId="0" borderId="1" xfId="0" applyNumberFormat="1" applyFont="1" applyBorder="1" applyAlignment="1" applyProtection="1">
      <alignment horizontal="center" vertical="center"/>
      <protection locked="0"/>
    </xf>
    <xf numFmtId="0" fontId="90" fillId="0" borderId="1" xfId="0" applyFont="1" applyBorder="1" applyAlignment="1" applyProtection="1">
      <alignment horizontal="center"/>
      <protection locked="0"/>
    </xf>
    <xf numFmtId="0" fontId="90" fillId="0" borderId="1" xfId="0" quotePrefix="1" applyFont="1" applyBorder="1" applyAlignment="1" applyProtection="1">
      <alignment horizontal="center" vertical="center"/>
      <protection locked="0"/>
    </xf>
    <xf numFmtId="0" fontId="91" fillId="0" borderId="1" xfId="0" applyFont="1" applyBorder="1" applyAlignment="1" applyProtection="1">
      <alignment horizontal="center" vertical="center"/>
      <protection locked="0"/>
    </xf>
    <xf numFmtId="0" fontId="91" fillId="0" borderId="1" xfId="1" applyFont="1" applyBorder="1" applyAlignment="1" applyProtection="1">
      <alignment horizontal="center" vertical="center"/>
      <protection locked="0"/>
    </xf>
    <xf numFmtId="14" fontId="90" fillId="0" borderId="2" xfId="0" applyNumberFormat="1" applyFont="1" applyBorder="1" applyAlignment="1" applyProtection="1">
      <alignment horizontal="center" vertical="center"/>
      <protection locked="0"/>
    </xf>
    <xf numFmtId="0" fontId="90" fillId="0" borderId="1" xfId="0" quotePrefix="1" applyFont="1" applyBorder="1" applyAlignment="1" applyProtection="1">
      <alignment horizontal="center"/>
      <protection locked="0"/>
    </xf>
    <xf numFmtId="0" fontId="91" fillId="0" borderId="1" xfId="0" applyFont="1" applyBorder="1" applyAlignment="1" applyProtection="1">
      <alignment horizontal="center"/>
      <protection locked="0"/>
    </xf>
    <xf numFmtId="0" fontId="91" fillId="0" borderId="9" xfId="0" applyFont="1" applyBorder="1" applyAlignment="1" applyProtection="1">
      <alignment horizontal="center"/>
      <protection locked="0"/>
    </xf>
    <xf numFmtId="14" fontId="91" fillId="0" borderId="2" xfId="0" applyNumberFormat="1" applyFont="1" applyBorder="1" applyAlignment="1" applyProtection="1">
      <alignment horizontal="center"/>
      <protection locked="0"/>
    </xf>
    <xf numFmtId="14" fontId="91" fillId="0" borderId="1" xfId="0" applyNumberFormat="1" applyFont="1" applyBorder="1" applyAlignment="1" applyProtection="1">
      <alignment horizontal="center" vertical="center"/>
      <protection locked="0"/>
    </xf>
    <xf numFmtId="0" fontId="91" fillId="0" borderId="1" xfId="1" applyFont="1" applyBorder="1" applyAlignment="1" applyProtection="1">
      <alignment horizontal="center"/>
      <protection locked="0"/>
    </xf>
    <xf numFmtId="0" fontId="91" fillId="0" borderId="1" xfId="0" quotePrefix="1" applyFont="1" applyBorder="1" applyAlignment="1" applyProtection="1">
      <alignment horizontal="center" vertical="center"/>
      <protection locked="0"/>
    </xf>
    <xf numFmtId="169" fontId="5" fillId="0" borderId="83" xfId="1" applyNumberFormat="1" applyFont="1" applyBorder="1" applyAlignment="1" applyProtection="1">
      <alignment horizontal="left" vertical="center"/>
    </xf>
    <xf numFmtId="170" fontId="90" fillId="0" borderId="2" xfId="0" applyNumberFormat="1" applyFont="1" applyBorder="1" applyAlignment="1" applyProtection="1">
      <alignment horizontal="center" vertical="center"/>
      <protection locked="0"/>
    </xf>
    <xf numFmtId="0" fontId="33" fillId="19" borderId="0" xfId="0" applyFont="1" applyFill="1" applyBorder="1" applyAlignment="1">
      <alignment horizontal="left" vertical="center"/>
    </xf>
    <xf numFmtId="0" fontId="73" fillId="21" borderId="0" xfId="0" applyFont="1" applyFill="1" applyBorder="1" applyAlignment="1">
      <alignment horizontal="center" vertical="center" textRotation="255"/>
    </xf>
    <xf numFmtId="0" fontId="33" fillId="18" borderId="73" xfId="0" applyFont="1" applyFill="1" applyBorder="1" applyAlignment="1">
      <alignment horizontal="center" vertical="center"/>
    </xf>
    <xf numFmtId="0" fontId="0" fillId="0" borderId="75" xfId="0" applyBorder="1"/>
    <xf numFmtId="0" fontId="0" fillId="0" borderId="78" xfId="0" applyBorder="1"/>
    <xf numFmtId="0" fontId="0" fillId="0" borderId="80" xfId="0" applyBorder="1"/>
    <xf numFmtId="0" fontId="33" fillId="18" borderId="75" xfId="0" applyFont="1" applyFill="1" applyBorder="1" applyAlignment="1">
      <alignment horizontal="center" vertical="center"/>
    </xf>
    <xf numFmtId="0" fontId="33" fillId="18" borderId="78" xfId="0" applyFont="1" applyFill="1" applyBorder="1" applyAlignment="1">
      <alignment horizontal="center" vertical="center"/>
    </xf>
    <xf numFmtId="0" fontId="33" fillId="18" borderId="80" xfId="0" applyFont="1" applyFill="1" applyBorder="1" applyAlignment="1">
      <alignment horizontal="center" vertical="center"/>
    </xf>
    <xf numFmtId="165" fontId="34" fillId="20" borderId="62" xfId="0" applyNumberFormat="1" applyFont="1" applyFill="1" applyBorder="1" applyAlignment="1">
      <alignment horizontal="center" vertical="center"/>
    </xf>
    <xf numFmtId="165" fontId="34" fillId="20" borderId="63" xfId="0" applyNumberFormat="1" applyFont="1" applyFill="1" applyBorder="1" applyAlignment="1">
      <alignment horizontal="center" vertical="center"/>
    </xf>
    <xf numFmtId="165" fontId="34" fillId="20" borderId="64" xfId="0" applyNumberFormat="1" applyFont="1" applyFill="1" applyBorder="1" applyAlignment="1">
      <alignment horizontal="center" vertical="center"/>
    </xf>
    <xf numFmtId="165" fontId="34" fillId="20" borderId="71" xfId="0" applyNumberFormat="1" applyFont="1" applyFill="1" applyBorder="1" applyAlignment="1">
      <alignment horizontal="center" vertical="center"/>
    </xf>
    <xf numFmtId="165" fontId="34" fillId="20" borderId="0" xfId="0" applyNumberFormat="1" applyFont="1" applyFill="1" applyBorder="1" applyAlignment="1">
      <alignment horizontal="center" vertical="center"/>
    </xf>
    <xf numFmtId="165" fontId="34" fillId="20" borderId="72" xfId="0" applyNumberFormat="1" applyFont="1" applyFill="1" applyBorder="1" applyAlignment="1">
      <alignment horizontal="center" vertical="center"/>
    </xf>
    <xf numFmtId="0" fontId="33" fillId="18" borderId="0" xfId="0" applyFont="1" applyFill="1" applyBorder="1" applyAlignment="1">
      <alignment horizontal="center" vertical="center"/>
    </xf>
    <xf numFmtId="0" fontId="32" fillId="16" borderId="66" xfId="0" applyFont="1" applyFill="1" applyBorder="1" applyAlignment="1">
      <alignment horizontal="left"/>
    </xf>
    <xf numFmtId="0" fontId="32" fillId="16" borderId="65" xfId="0" applyFont="1" applyFill="1" applyBorder="1" applyAlignment="1">
      <alignment horizontal="left"/>
    </xf>
    <xf numFmtId="0" fontId="32" fillId="0" borderId="68" xfId="0" applyFont="1" applyFill="1" applyBorder="1" applyAlignment="1" applyProtection="1">
      <alignment horizontal="left" vertical="top" wrapText="1"/>
      <protection locked="0"/>
    </xf>
    <xf numFmtId="0" fontId="32" fillId="0" borderId="0" xfId="0" applyFont="1" applyFill="1" applyBorder="1" applyAlignment="1" applyProtection="1">
      <alignment horizontal="left" vertical="top" wrapText="1"/>
      <protection locked="0"/>
    </xf>
    <xf numFmtId="0" fontId="32" fillId="0" borderId="70" xfId="0" applyFont="1" applyFill="1" applyBorder="1" applyAlignment="1" applyProtection="1">
      <alignment horizontal="left" vertical="top" wrapText="1"/>
      <protection locked="0"/>
    </xf>
    <xf numFmtId="0" fontId="56" fillId="11" borderId="0" xfId="0" applyFont="1" applyFill="1" applyAlignment="1">
      <alignment horizontal="center" vertical="center" wrapText="1"/>
    </xf>
    <xf numFmtId="0" fontId="56" fillId="11" borderId="161" xfId="0" applyFont="1" applyFill="1" applyBorder="1" applyAlignment="1">
      <alignment horizontal="center" vertical="center" wrapText="1"/>
    </xf>
    <xf numFmtId="165" fontId="66" fillId="44" borderId="71" xfId="0" applyNumberFormat="1" applyFont="1" applyFill="1" applyBorder="1" applyAlignment="1">
      <alignment horizontal="center" vertical="center"/>
    </xf>
    <xf numFmtId="165" fontId="66" fillId="44" borderId="0" xfId="0" applyNumberFormat="1" applyFont="1" applyFill="1" applyBorder="1" applyAlignment="1">
      <alignment horizontal="center" vertical="center"/>
    </xf>
    <xf numFmtId="0" fontId="51" fillId="28" borderId="4" xfId="1" applyFont="1" applyFill="1" applyBorder="1" applyAlignment="1" applyProtection="1">
      <alignment horizontal="center" vertical="center" wrapText="1"/>
    </xf>
    <xf numFmtId="0" fontId="51" fillId="28" borderId="11" xfId="1" applyFont="1" applyFill="1" applyBorder="1" applyAlignment="1" applyProtection="1">
      <alignment horizontal="center" vertical="center" wrapText="1"/>
    </xf>
    <xf numFmtId="0" fontId="51" fillId="28" borderId="3" xfId="1" applyFont="1" applyFill="1" applyBorder="1" applyAlignment="1" applyProtection="1">
      <alignment horizontal="center" vertical="center" wrapText="1"/>
    </xf>
    <xf numFmtId="0" fontId="51" fillId="28" borderId="1" xfId="1" applyFont="1" applyFill="1" applyBorder="1" applyAlignment="1" applyProtection="1">
      <alignment horizontal="center" vertical="center" wrapText="1"/>
    </xf>
    <xf numFmtId="0" fontId="51" fillId="28" borderId="9" xfId="1" applyFont="1" applyFill="1" applyBorder="1" applyAlignment="1" applyProtection="1">
      <alignment horizontal="center" vertical="center" wrapText="1"/>
    </xf>
    <xf numFmtId="0" fontId="51" fillId="28" borderId="10" xfId="1" applyFont="1" applyFill="1" applyBorder="1" applyAlignment="1" applyProtection="1">
      <alignment horizontal="center" vertical="center" wrapText="1"/>
    </xf>
    <xf numFmtId="0" fontId="51" fillId="28" borderId="2" xfId="1" applyFont="1" applyFill="1" applyBorder="1" applyAlignment="1" applyProtection="1">
      <alignment horizontal="center" vertical="center" wrapText="1"/>
    </xf>
    <xf numFmtId="0" fontId="51" fillId="28" borderId="6" xfId="1" applyFont="1" applyFill="1" applyBorder="1" applyAlignment="1" applyProtection="1">
      <alignment horizontal="center" vertical="center" wrapText="1"/>
    </xf>
    <xf numFmtId="0" fontId="51" fillId="28" borderId="86" xfId="1" applyFont="1" applyFill="1" applyBorder="1" applyAlignment="1" applyProtection="1">
      <alignment horizontal="center" vertical="center" wrapText="1"/>
    </xf>
    <xf numFmtId="0" fontId="51" fillId="28" borderId="87" xfId="1" applyFont="1" applyFill="1" applyBorder="1" applyAlignment="1" applyProtection="1">
      <alignment horizontal="center" vertical="center" wrapText="1"/>
    </xf>
    <xf numFmtId="0" fontId="51" fillId="28" borderId="8" xfId="1" applyFont="1" applyFill="1" applyBorder="1" applyAlignment="1" applyProtection="1">
      <alignment horizontal="center" vertical="center" wrapText="1"/>
    </xf>
    <xf numFmtId="0" fontId="51" fillId="28" borderId="81" xfId="1" applyFont="1" applyFill="1" applyBorder="1" applyAlignment="1" applyProtection="1">
      <alignment horizontal="center" vertical="center" wrapText="1"/>
    </xf>
    <xf numFmtId="0" fontId="51" fillId="28" borderId="7" xfId="1" applyFont="1" applyFill="1" applyBorder="1" applyAlignment="1" applyProtection="1">
      <alignment horizontal="center" vertical="center" wrapText="1"/>
    </xf>
    <xf numFmtId="0" fontId="52" fillId="28" borderId="1" xfId="0" applyFont="1" applyFill="1" applyBorder="1" applyProtection="1"/>
    <xf numFmtId="0" fontId="51" fillId="28" borderId="1" xfId="1" applyFont="1" applyFill="1" applyBorder="1" applyAlignment="1" applyProtection="1">
      <alignment horizontal="center" vertical="center"/>
    </xf>
    <xf numFmtId="0" fontId="4" fillId="11" borderId="0" xfId="1" applyFont="1" applyFill="1" applyAlignment="1" applyProtection="1">
      <alignment horizontal="center" vertical="center" wrapText="1"/>
    </xf>
    <xf numFmtId="0" fontId="4" fillId="11" borderId="81" xfId="1" applyFont="1" applyFill="1" applyBorder="1" applyAlignment="1" applyProtection="1">
      <alignment horizontal="center" vertical="center" wrapText="1"/>
    </xf>
    <xf numFmtId="0" fontId="51" fillId="28" borderId="9" xfId="1" applyFont="1" applyFill="1" applyBorder="1" applyAlignment="1" applyProtection="1">
      <alignment horizontal="center" vertical="center"/>
    </xf>
    <xf numFmtId="0" fontId="0" fillId="0" borderId="2" xfId="0" applyBorder="1" applyProtection="1"/>
    <xf numFmtId="164" fontId="5" fillId="0" borderId="83" xfId="1" applyNumberFormat="1" applyFont="1" applyBorder="1" applyAlignment="1" applyProtection="1">
      <alignment horizontal="left" vertical="center"/>
    </xf>
    <xf numFmtId="0" fontId="5" fillId="0" borderId="0" xfId="1" applyFont="1" applyAlignment="1" applyProtection="1">
      <alignment horizontal="left" vertical="center"/>
    </xf>
    <xf numFmtId="0" fontId="5" fillId="0" borderId="0" xfId="1" applyFont="1" applyAlignment="1" applyProtection="1">
      <alignment horizontal="center" vertical="center"/>
    </xf>
    <xf numFmtId="164" fontId="5" fillId="0" borderId="84" xfId="1" applyNumberFormat="1" applyFont="1" applyBorder="1" applyAlignment="1" applyProtection="1">
      <alignment horizontal="left" vertical="top"/>
    </xf>
    <xf numFmtId="164" fontId="5" fillId="0" borderId="82" xfId="1" applyNumberFormat="1" applyFont="1" applyBorder="1" applyAlignment="1" applyProtection="1">
      <alignment horizontal="left" vertical="top"/>
    </xf>
    <xf numFmtId="164" fontId="5" fillId="0" borderId="82" xfId="1" applyNumberFormat="1" applyFont="1" applyBorder="1" applyAlignment="1" applyProtection="1">
      <alignment horizontal="left" vertical="center"/>
    </xf>
    <xf numFmtId="164" fontId="5" fillId="0" borderId="81" xfId="1" applyNumberFormat="1" applyFont="1" applyBorder="1" applyAlignment="1" applyProtection="1">
      <alignment horizontal="center" vertical="center"/>
    </xf>
    <xf numFmtId="166" fontId="5" fillId="0" borderId="0" xfId="1" applyNumberFormat="1" applyFont="1" applyAlignment="1" applyProtection="1">
      <alignment horizontal="left" vertical="center"/>
    </xf>
    <xf numFmtId="0" fontId="5" fillId="0" borderId="0" xfId="1" applyFont="1" applyAlignment="1" applyProtection="1">
      <alignment horizontal="right" vertical="center"/>
    </xf>
    <xf numFmtId="164" fontId="5" fillId="0" borderId="83" xfId="1" applyNumberFormat="1" applyFont="1" applyBorder="1" applyAlignment="1" applyProtection="1">
      <alignment horizontal="left" vertical="top"/>
    </xf>
    <xf numFmtId="0" fontId="53" fillId="6" borderId="9" xfId="1" applyFont="1" applyFill="1" applyBorder="1" applyAlignment="1" applyProtection="1">
      <alignment horizontal="center" vertical="center"/>
    </xf>
    <xf numFmtId="0" fontId="53" fillId="6" borderId="2" xfId="1" applyFont="1" applyFill="1" applyBorder="1" applyAlignment="1" applyProtection="1">
      <alignment horizontal="center" vertical="center"/>
    </xf>
    <xf numFmtId="0" fontId="5" fillId="39" borderId="0" xfId="1" applyFont="1" applyFill="1" applyAlignment="1" applyProtection="1">
      <alignment horizontal="center" vertical="center"/>
    </xf>
    <xf numFmtId="0" fontId="4" fillId="0" borderId="0" xfId="1" applyFont="1" applyAlignment="1" applyProtection="1">
      <alignment horizontal="center" vertical="center"/>
    </xf>
    <xf numFmtId="0" fontId="36" fillId="41" borderId="9" xfId="1" applyFont="1" applyFill="1" applyBorder="1" applyAlignment="1" applyProtection="1">
      <alignment horizontal="center" vertical="center"/>
    </xf>
    <xf numFmtId="0" fontId="36" fillId="41" borderId="10" xfId="1" applyFont="1" applyFill="1" applyBorder="1" applyAlignment="1" applyProtection="1">
      <alignment horizontal="center" vertical="center"/>
    </xf>
    <xf numFmtId="0" fontId="36" fillId="41" borderId="2" xfId="1" applyFont="1" applyFill="1" applyBorder="1" applyAlignment="1" applyProtection="1">
      <alignment horizontal="center" vertical="center"/>
    </xf>
    <xf numFmtId="0" fontId="36" fillId="40" borderId="0" xfId="1" applyFont="1" applyFill="1" applyBorder="1" applyAlignment="1" applyProtection="1">
      <alignment horizontal="center" vertical="center" wrapText="1"/>
    </xf>
    <xf numFmtId="0" fontId="37" fillId="4" borderId="0" xfId="1" applyFont="1" applyFill="1" applyBorder="1" applyAlignment="1" applyProtection="1">
      <alignment horizontal="center" vertical="center"/>
      <protection locked="0"/>
    </xf>
    <xf numFmtId="0" fontId="54" fillId="28" borderId="0" xfId="0" applyFont="1" applyFill="1" applyAlignment="1" applyProtection="1">
      <alignment horizontal="center" vertical="center"/>
    </xf>
    <xf numFmtId="0" fontId="54" fillId="28" borderId="81" xfId="0" applyFont="1" applyFill="1" applyBorder="1" applyAlignment="1" applyProtection="1">
      <alignment horizontal="center" vertical="center"/>
    </xf>
    <xf numFmtId="0" fontId="54" fillId="28" borderId="157" xfId="0" applyFont="1" applyFill="1" applyBorder="1" applyAlignment="1" applyProtection="1">
      <alignment horizontal="center" vertical="center"/>
    </xf>
    <xf numFmtId="0" fontId="54" fillId="28" borderId="0" xfId="0" applyFont="1" applyFill="1" applyBorder="1" applyAlignment="1" applyProtection="1">
      <alignment horizontal="center" vertical="center"/>
    </xf>
    <xf numFmtId="0" fontId="54" fillId="28" borderId="158" xfId="0" applyFont="1" applyFill="1" applyBorder="1" applyAlignment="1" applyProtection="1">
      <alignment horizontal="center" vertical="center"/>
    </xf>
    <xf numFmtId="0" fontId="54" fillId="28" borderId="159" xfId="0" applyFont="1" applyFill="1" applyBorder="1" applyAlignment="1" applyProtection="1">
      <alignment horizontal="center" vertical="center"/>
    </xf>
    <xf numFmtId="0" fontId="20" fillId="0" borderId="0" xfId="1" applyFont="1" applyBorder="1" applyAlignment="1" applyProtection="1">
      <alignment horizontal="center"/>
    </xf>
    <xf numFmtId="0" fontId="24" fillId="0" borderId="0" xfId="1" applyFont="1" applyFill="1" applyBorder="1" applyAlignment="1" applyProtection="1">
      <alignment horizontal="center" vertical="center"/>
      <protection locked="0"/>
    </xf>
    <xf numFmtId="0" fontId="55" fillId="28" borderId="1" xfId="1" applyFont="1" applyFill="1" applyBorder="1" applyAlignment="1" applyProtection="1">
      <alignment horizontal="center" vertical="center" wrapText="1"/>
    </xf>
    <xf numFmtId="0" fontId="55" fillId="28" borderId="1" xfId="1" applyFont="1" applyFill="1" applyBorder="1" applyAlignment="1" applyProtection="1">
      <alignment horizontal="center" vertical="center"/>
    </xf>
    <xf numFmtId="0" fontId="20" fillId="0" borderId="0" xfId="1" applyFont="1" applyAlignment="1" applyProtection="1">
      <alignment horizontal="center"/>
    </xf>
    <xf numFmtId="0" fontId="16" fillId="0" borderId="0" xfId="1" applyFont="1" applyAlignment="1" applyProtection="1">
      <alignment horizontal="center"/>
    </xf>
    <xf numFmtId="0" fontId="16" fillId="0" borderId="0" xfId="1" applyFont="1" applyAlignment="1" applyProtection="1">
      <alignment horizontal="center"/>
      <protection locked="0"/>
    </xf>
    <xf numFmtId="0" fontId="0" fillId="0" borderId="1" xfId="0" applyBorder="1" applyAlignment="1">
      <alignment horizontal="center"/>
    </xf>
    <xf numFmtId="0" fontId="60" fillId="4" borderId="0" xfId="0" applyFont="1" applyFill="1" applyAlignment="1">
      <alignment horizontal="center" vertical="center"/>
    </xf>
    <xf numFmtId="0" fontId="51" fillId="40" borderId="152" xfId="0" applyFont="1" applyFill="1" applyBorder="1" applyAlignment="1">
      <alignment horizontal="center" vertical="center"/>
    </xf>
    <xf numFmtId="0" fontId="0" fillId="0" borderId="0" xfId="0" applyAlignment="1" applyProtection="1">
      <alignment horizontal="center"/>
    </xf>
    <xf numFmtId="0" fontId="27" fillId="6" borderId="0" xfId="0" applyFont="1" applyFill="1" applyBorder="1" applyAlignment="1">
      <alignment horizontal="center" vertical="top" wrapText="1"/>
    </xf>
    <xf numFmtId="0" fontId="27" fillId="6" borderId="10" xfId="0" applyFont="1" applyFill="1" applyBorder="1" applyAlignment="1" applyProtection="1">
      <alignment horizontal="left" vertical="top" wrapText="1"/>
      <protection locked="0"/>
    </xf>
    <xf numFmtId="0" fontId="27" fillId="6" borderId="2" xfId="0" applyFont="1" applyFill="1" applyBorder="1" applyAlignment="1" applyProtection="1">
      <alignment horizontal="left" vertical="top" wrapText="1"/>
      <protection locked="0"/>
    </xf>
    <xf numFmtId="0" fontId="27" fillId="26" borderId="9" xfId="0" applyFont="1" applyFill="1" applyBorder="1" applyAlignment="1">
      <alignment horizontal="center" vertical="center" wrapText="1"/>
    </xf>
    <xf numFmtId="0" fontId="27" fillId="26" borderId="10" xfId="0" applyFont="1" applyFill="1" applyBorder="1" applyAlignment="1">
      <alignment horizontal="center" vertical="center" wrapText="1"/>
    </xf>
    <xf numFmtId="0" fontId="27" fillId="26" borderId="2" xfId="0" applyFont="1" applyFill="1" applyBorder="1" applyAlignment="1">
      <alignment horizontal="center" vertical="center" wrapText="1"/>
    </xf>
    <xf numFmtId="0" fontId="27" fillId="6" borderId="6" xfId="0" applyFont="1" applyFill="1" applyBorder="1" applyAlignment="1">
      <alignment horizontal="center" vertical="top" wrapText="1"/>
    </xf>
    <xf numFmtId="0" fontId="27" fillId="6" borderId="53" xfId="0" applyFont="1" applyFill="1" applyBorder="1" applyAlignment="1">
      <alignment horizontal="center" vertical="top" wrapText="1"/>
    </xf>
    <xf numFmtId="0" fontId="27" fillId="6" borderId="8" xfId="0" applyFont="1" applyFill="1" applyBorder="1" applyAlignment="1">
      <alignment horizontal="center" vertical="top" wrapText="1"/>
    </xf>
    <xf numFmtId="0" fontId="67" fillId="45" borderId="0" xfId="0" applyFont="1" applyFill="1" applyAlignment="1">
      <alignment horizontal="center" vertical="center"/>
    </xf>
    <xf numFmtId="0" fontId="26" fillId="0" borderId="0" xfId="0" applyFont="1" applyBorder="1" applyAlignment="1">
      <alignment horizontal="center" vertical="top" wrapText="1"/>
    </xf>
    <xf numFmtId="0" fontId="27" fillId="25" borderId="1" xfId="0" applyFont="1" applyFill="1" applyBorder="1" applyAlignment="1">
      <alignment horizontal="center" vertical="center" wrapText="1"/>
    </xf>
    <xf numFmtId="0" fontId="26" fillId="25" borderId="1" xfId="0" applyFont="1" applyFill="1" applyBorder="1" applyAlignment="1">
      <alignment horizontal="center" vertical="center" wrapText="1"/>
    </xf>
    <xf numFmtId="0" fontId="26" fillId="25" borderId="1" xfId="0" applyFont="1" applyFill="1" applyBorder="1" applyAlignment="1">
      <alignment horizontal="center" vertical="center"/>
    </xf>
    <xf numFmtId="0" fontId="27" fillId="6" borderId="1" xfId="0" applyFont="1" applyFill="1" applyBorder="1" applyAlignment="1">
      <alignment horizontal="center" vertical="top" wrapText="1"/>
    </xf>
    <xf numFmtId="0" fontId="27" fillId="6" borderId="10" xfId="0" applyFont="1" applyFill="1" applyBorder="1" applyAlignment="1">
      <alignment horizontal="left" vertical="top" wrapText="1"/>
    </xf>
    <xf numFmtId="0" fontId="27" fillId="6" borderId="2" xfId="0" applyFont="1" applyFill="1" applyBorder="1" applyAlignment="1">
      <alignment horizontal="left" vertical="top" wrapText="1"/>
    </xf>
    <xf numFmtId="0" fontId="27" fillId="6" borderId="86" xfId="0" applyFont="1" applyFill="1" applyBorder="1" applyAlignment="1" applyProtection="1">
      <alignment horizontal="left" vertical="top" wrapText="1"/>
      <protection locked="0"/>
    </xf>
    <xf numFmtId="0" fontId="27" fillId="6" borderId="87" xfId="0" applyFont="1" applyFill="1" applyBorder="1" applyAlignment="1" applyProtection="1">
      <alignment horizontal="left" vertical="top" wrapText="1"/>
      <protection locked="0"/>
    </xf>
    <xf numFmtId="0" fontId="27" fillId="6" borderId="1" xfId="0" applyFont="1" applyFill="1" applyBorder="1" applyAlignment="1">
      <alignment horizontal="left" vertical="top" wrapText="1"/>
    </xf>
    <xf numFmtId="0" fontId="27" fillId="6" borderId="1" xfId="0" applyFont="1" applyFill="1" applyBorder="1" applyAlignment="1" applyProtection="1">
      <alignment horizontal="left" vertical="top" wrapText="1"/>
      <protection locked="0"/>
    </xf>
    <xf numFmtId="0" fontId="84" fillId="27" borderId="6" xfId="0" applyFont="1" applyFill="1" applyBorder="1" applyAlignment="1" applyProtection="1">
      <alignment horizontal="center" vertical="center" wrapText="1"/>
      <protection locked="0"/>
    </xf>
    <xf numFmtId="0" fontId="84" fillId="27" borderId="86" xfId="0" applyFont="1" applyFill="1" applyBorder="1" applyAlignment="1" applyProtection="1">
      <alignment horizontal="center" vertical="center" wrapText="1"/>
      <protection locked="0"/>
    </xf>
    <xf numFmtId="0" fontId="84" fillId="27" borderId="87" xfId="0" applyFont="1" applyFill="1" applyBorder="1" applyAlignment="1" applyProtection="1">
      <alignment horizontal="center" vertical="center" wrapText="1"/>
      <protection locked="0"/>
    </xf>
    <xf numFmtId="0" fontId="86" fillId="6" borderId="6" xfId="0" applyFont="1" applyFill="1" applyBorder="1" applyAlignment="1">
      <alignment horizontal="center" vertical="top" wrapText="1"/>
    </xf>
    <xf numFmtId="0" fontId="86" fillId="6" borderId="53" xfId="0" applyFont="1" applyFill="1" applyBorder="1" applyAlignment="1">
      <alignment horizontal="center" vertical="top" wrapText="1"/>
    </xf>
    <xf numFmtId="0" fontId="86" fillId="6" borderId="8" xfId="0" applyFont="1" applyFill="1" applyBorder="1" applyAlignment="1">
      <alignment horizontal="center" vertical="top" wrapText="1"/>
    </xf>
    <xf numFmtId="0" fontId="86" fillId="6" borderId="10" xfId="0" applyFont="1" applyFill="1" applyBorder="1" applyAlignment="1" applyProtection="1">
      <alignment horizontal="left" vertical="top" wrapText="1"/>
      <protection locked="0"/>
    </xf>
    <xf numFmtId="0" fontId="86" fillId="6" borderId="2" xfId="0" applyFont="1" applyFill="1" applyBorder="1" applyAlignment="1" applyProtection="1">
      <alignment horizontal="left" vertical="top" wrapText="1"/>
      <protection locked="0"/>
    </xf>
    <xf numFmtId="0" fontId="86" fillId="26" borderId="9" xfId="0" applyFont="1" applyFill="1" applyBorder="1" applyAlignment="1">
      <alignment horizontal="center" vertical="center" wrapText="1"/>
    </xf>
    <xf numFmtId="0" fontId="86" fillId="26" borderId="10" xfId="0" applyFont="1" applyFill="1" applyBorder="1" applyAlignment="1">
      <alignment horizontal="center" vertical="center" wrapText="1"/>
    </xf>
    <xf numFmtId="0" fontId="86" fillId="26" borderId="2" xfId="0" applyFont="1" applyFill="1" applyBorder="1" applyAlignment="1">
      <alignment horizontal="center" vertical="center" wrapText="1"/>
    </xf>
    <xf numFmtId="0" fontId="84" fillId="6" borderId="10" xfId="0" applyFont="1" applyFill="1" applyBorder="1" applyAlignment="1">
      <alignment horizontal="left" vertical="top" wrapText="1"/>
    </xf>
    <xf numFmtId="0" fontId="84" fillId="6" borderId="2" xfId="0" applyFont="1" applyFill="1" applyBorder="1" applyAlignment="1">
      <alignment horizontal="left" vertical="top" wrapText="1"/>
    </xf>
    <xf numFmtId="0" fontId="84" fillId="6" borderId="6" xfId="0" applyFont="1" applyFill="1" applyBorder="1" applyAlignment="1">
      <alignment horizontal="center" vertical="top" wrapText="1"/>
    </xf>
    <xf numFmtId="0" fontId="84" fillId="6" borderId="53" xfId="0" applyFont="1" applyFill="1" applyBorder="1" applyAlignment="1">
      <alignment horizontal="center" vertical="top" wrapText="1"/>
    </xf>
    <xf numFmtId="0" fontId="84" fillId="6" borderId="8" xfId="0" applyFont="1" applyFill="1" applyBorder="1" applyAlignment="1">
      <alignment horizontal="center" vertical="top" wrapText="1"/>
    </xf>
    <xf numFmtId="0" fontId="84" fillId="27" borderId="9" xfId="0" applyFont="1" applyFill="1" applyBorder="1" applyAlignment="1" applyProtection="1">
      <alignment horizontal="center" vertical="center" wrapText="1"/>
      <protection locked="0"/>
    </xf>
    <xf numFmtId="0" fontId="84" fillId="27" borderId="10" xfId="0" applyFont="1" applyFill="1" applyBorder="1" applyAlignment="1" applyProtection="1">
      <alignment horizontal="center" vertical="center" wrapText="1"/>
      <protection locked="0"/>
    </xf>
    <xf numFmtId="0" fontId="84" fillId="27" borderId="2" xfId="0" applyFont="1" applyFill="1" applyBorder="1" applyAlignment="1" applyProtection="1">
      <alignment horizontal="center" vertical="center" wrapText="1"/>
      <protection locked="0"/>
    </xf>
    <xf numFmtId="0" fontId="84" fillId="6" borderId="10" xfId="0" applyFont="1" applyFill="1" applyBorder="1" applyAlignment="1" applyProtection="1">
      <alignment horizontal="left" vertical="top" wrapText="1"/>
      <protection locked="0"/>
    </xf>
    <xf numFmtId="0" fontId="84" fillId="6" borderId="2" xfId="0" applyFont="1" applyFill="1" applyBorder="1" applyAlignment="1" applyProtection="1">
      <alignment horizontal="left" vertical="top" wrapText="1"/>
      <protection locked="0"/>
    </xf>
    <xf numFmtId="0" fontId="84" fillId="27" borderId="53" xfId="0" applyFont="1" applyFill="1" applyBorder="1" applyAlignment="1" applyProtection="1">
      <alignment horizontal="center" vertical="center" wrapText="1"/>
      <protection locked="0"/>
    </xf>
    <xf numFmtId="0" fontId="84" fillId="27" borderId="0" xfId="0" applyFont="1" applyFill="1" applyBorder="1" applyAlignment="1" applyProtection="1">
      <alignment horizontal="center" vertical="center" wrapText="1"/>
      <protection locked="0"/>
    </xf>
    <xf numFmtId="0" fontId="84" fillId="27" borderId="5" xfId="0" applyFont="1" applyFill="1" applyBorder="1" applyAlignment="1" applyProtection="1">
      <alignment horizontal="center" vertical="center" wrapText="1"/>
      <protection locked="0"/>
    </xf>
    <xf numFmtId="0" fontId="84" fillId="6" borderId="211" xfId="0" applyFont="1" applyFill="1" applyBorder="1" applyAlignment="1" applyProtection="1">
      <alignment horizontal="left" vertical="top" wrapText="1"/>
      <protection locked="0"/>
    </xf>
    <xf numFmtId="0" fontId="84" fillId="6" borderId="212" xfId="0" applyFont="1" applyFill="1" applyBorder="1" applyAlignment="1" applyProtection="1">
      <alignment horizontal="left" vertical="top" wrapText="1"/>
      <protection locked="0"/>
    </xf>
    <xf numFmtId="0" fontId="84" fillId="6" borderId="0" xfId="0" applyFont="1" applyFill="1" applyBorder="1" applyAlignment="1">
      <alignment horizontal="center" vertical="top" wrapText="1"/>
    </xf>
    <xf numFmtId="0" fontId="84" fillId="6" borderId="0" xfId="0" applyFont="1" applyFill="1" applyBorder="1" applyAlignment="1" applyProtection="1">
      <alignment horizontal="left" vertical="top" wrapText="1"/>
      <protection locked="0"/>
    </xf>
    <xf numFmtId="0" fontId="87" fillId="27" borderId="53" xfId="0" applyFont="1" applyFill="1" applyBorder="1" applyAlignment="1">
      <alignment horizontal="center" vertical="center" wrapText="1"/>
    </xf>
    <xf numFmtId="0" fontId="87" fillId="27" borderId="0" xfId="0" applyFont="1" applyFill="1" applyBorder="1" applyAlignment="1">
      <alignment horizontal="center" vertical="center" wrapText="1"/>
    </xf>
    <xf numFmtId="0" fontId="85" fillId="45" borderId="0" xfId="0" applyFont="1" applyFill="1" applyAlignment="1">
      <alignment horizontal="center" vertical="center"/>
    </xf>
    <xf numFmtId="0" fontId="86" fillId="25" borderId="1" xfId="0" applyFont="1" applyFill="1" applyBorder="1" applyAlignment="1">
      <alignment horizontal="center" vertical="center" wrapText="1"/>
    </xf>
    <xf numFmtId="0" fontId="87" fillId="25" borderId="1" xfId="0" applyFont="1" applyFill="1" applyBorder="1" applyAlignment="1">
      <alignment horizontal="center" vertical="center" wrapText="1"/>
    </xf>
    <xf numFmtId="0" fontId="87" fillId="25" borderId="1" xfId="0" applyFont="1" applyFill="1" applyBorder="1" applyAlignment="1">
      <alignment horizontal="center" vertical="center"/>
    </xf>
    <xf numFmtId="0" fontId="38" fillId="5" borderId="197" xfId="0" applyFont="1" applyFill="1" applyBorder="1" applyAlignment="1">
      <alignment horizontal="left" vertical="center" wrapText="1"/>
    </xf>
    <xf numFmtId="0" fontId="0" fillId="0" borderId="194" xfId="0" applyBorder="1"/>
    <xf numFmtId="0" fontId="38" fillId="5" borderId="193" xfId="0" applyFont="1" applyFill="1" applyBorder="1" applyAlignment="1">
      <alignment horizontal="left" vertical="center" wrapText="1"/>
    </xf>
    <xf numFmtId="0" fontId="0" fillId="0" borderId="0" xfId="0"/>
    <xf numFmtId="0" fontId="38" fillId="5" borderId="198" xfId="0" applyFont="1" applyFill="1" applyBorder="1" applyAlignment="1">
      <alignment horizontal="left" vertical="center" wrapText="1"/>
    </xf>
    <xf numFmtId="0" fontId="38" fillId="5" borderId="5" xfId="0" applyFont="1" applyFill="1" applyBorder="1" applyAlignment="1">
      <alignment horizontal="left" vertical="center" wrapText="1"/>
    </xf>
    <xf numFmtId="0" fontId="38" fillId="5" borderId="199" xfId="0" applyFont="1" applyFill="1" applyBorder="1" applyAlignment="1">
      <alignment horizontal="left" vertical="center" wrapText="1"/>
    </xf>
    <xf numFmtId="0" fontId="38" fillId="5" borderId="194" xfId="0" applyFont="1" applyFill="1" applyBorder="1" applyAlignment="1">
      <alignment horizontal="left" vertical="center" wrapText="1"/>
    </xf>
    <xf numFmtId="0" fontId="80" fillId="45" borderId="0" xfId="0" applyFont="1" applyFill="1" applyAlignment="1">
      <alignment horizontal="center" vertical="center"/>
    </xf>
    <xf numFmtId="0" fontId="79" fillId="25" borderId="4" xfId="0" applyFont="1" applyFill="1" applyBorder="1" applyAlignment="1">
      <alignment horizontal="center" vertical="center" wrapText="1"/>
    </xf>
    <xf numFmtId="0" fontId="79" fillId="25" borderId="3" xfId="0" applyFont="1" applyFill="1" applyBorder="1" applyAlignment="1">
      <alignment horizontal="center" vertical="center" wrapText="1"/>
    </xf>
    <xf numFmtId="0" fontId="27" fillId="6" borderId="81" xfId="0" applyFont="1" applyFill="1" applyBorder="1" applyAlignment="1" applyProtection="1">
      <alignment horizontal="left" vertical="top" wrapText="1"/>
      <protection locked="0"/>
    </xf>
    <xf numFmtId="0" fontId="27" fillId="6" borderId="7" xfId="0" applyFont="1" applyFill="1" applyBorder="1" applyAlignment="1" applyProtection="1">
      <alignment horizontal="left" vertical="top" wrapText="1"/>
      <protection locked="0"/>
    </xf>
    <xf numFmtId="0" fontId="27" fillId="25" borderId="9" xfId="0" applyFont="1" applyFill="1" applyBorder="1" applyAlignment="1">
      <alignment horizontal="center" vertical="center" wrapText="1"/>
    </xf>
    <xf numFmtId="0" fontId="27" fillId="6" borderId="86" xfId="0" applyFont="1" applyFill="1" applyBorder="1" applyAlignment="1">
      <alignment horizontal="left" vertical="top" wrapText="1"/>
    </xf>
    <xf numFmtId="0" fontId="67" fillId="45" borderId="1" xfId="0" applyFont="1" applyFill="1" applyBorder="1" applyAlignment="1">
      <alignment horizontal="center" vertical="center"/>
    </xf>
    <xf numFmtId="0" fontId="40" fillId="28" borderId="4" xfId="1" applyFont="1" applyFill="1" applyBorder="1" applyAlignment="1" applyProtection="1">
      <alignment horizontal="center" vertical="center" wrapText="1"/>
    </xf>
    <xf numFmtId="0" fontId="40" fillId="28" borderId="11" xfId="1" applyFont="1" applyFill="1" applyBorder="1" applyAlignment="1" applyProtection="1">
      <alignment horizontal="center" vertical="center" wrapText="1"/>
    </xf>
    <xf numFmtId="0" fontId="40" fillId="28" borderId="3" xfId="1" applyFont="1" applyFill="1" applyBorder="1" applyAlignment="1" applyProtection="1">
      <alignment horizontal="center" vertical="center" wrapText="1"/>
    </xf>
    <xf numFmtId="0" fontId="40" fillId="9" borderId="9" xfId="1" applyFont="1" applyFill="1" applyBorder="1" applyAlignment="1" applyProtection="1">
      <alignment horizontal="center" vertical="center" wrapText="1"/>
    </xf>
    <xf numFmtId="0" fontId="40" fillId="9" borderId="10" xfId="1" applyFont="1" applyFill="1" applyBorder="1" applyAlignment="1" applyProtection="1">
      <alignment horizontal="center" vertical="center" wrapText="1"/>
    </xf>
    <xf numFmtId="0" fontId="40" fillId="9" borderId="2" xfId="1" applyFont="1" applyFill="1" applyBorder="1" applyAlignment="1" applyProtection="1">
      <alignment horizontal="center" vertical="center" wrapText="1"/>
    </xf>
    <xf numFmtId="0" fontId="40" fillId="32" borderId="9" xfId="1" applyFont="1" applyFill="1" applyBorder="1" applyAlignment="1" applyProtection="1">
      <alignment horizontal="center"/>
    </xf>
    <xf numFmtId="0" fontId="40" fillId="32" borderId="10" xfId="1" applyFont="1" applyFill="1" applyBorder="1" applyAlignment="1" applyProtection="1">
      <alignment horizontal="center"/>
    </xf>
    <xf numFmtId="0" fontId="40" fillId="32" borderId="2" xfId="1" applyFont="1" applyFill="1" applyBorder="1" applyAlignment="1" applyProtection="1">
      <alignment horizontal="center"/>
    </xf>
    <xf numFmtId="0" fontId="40" fillId="34" borderId="9" xfId="1" applyFont="1" applyFill="1" applyBorder="1" applyAlignment="1" applyProtection="1">
      <alignment horizontal="center"/>
    </xf>
    <xf numFmtId="0" fontId="40" fillId="34" borderId="10" xfId="1" applyFont="1" applyFill="1" applyBorder="1" applyAlignment="1" applyProtection="1">
      <alignment horizontal="center"/>
    </xf>
    <xf numFmtId="0" fontId="40" fillId="34" borderId="2" xfId="1" applyFont="1" applyFill="1" applyBorder="1" applyAlignment="1" applyProtection="1">
      <alignment horizontal="center"/>
    </xf>
    <xf numFmtId="0" fontId="40" fillId="25" borderId="9" xfId="1" applyFont="1" applyFill="1" applyBorder="1" applyAlignment="1" applyProtection="1">
      <alignment horizontal="center" vertical="center" wrapText="1"/>
    </xf>
    <xf numFmtId="0" fontId="40" fillId="25" borderId="10" xfId="1" applyFont="1" applyFill="1" applyBorder="1" applyAlignment="1" applyProtection="1">
      <alignment horizontal="center" vertical="center" wrapText="1"/>
    </xf>
    <xf numFmtId="0" fontId="40" fillId="25" borderId="2" xfId="1" applyFont="1" applyFill="1" applyBorder="1" applyAlignment="1" applyProtection="1">
      <alignment horizontal="center" vertical="center" wrapText="1"/>
    </xf>
    <xf numFmtId="165" fontId="68" fillId="0" borderId="0" xfId="0" applyNumberFormat="1" applyFont="1" applyFill="1" applyBorder="1" applyAlignment="1" applyProtection="1">
      <alignment horizontal="center" vertical="center"/>
    </xf>
    <xf numFmtId="0" fontId="40" fillId="16" borderId="9" xfId="1" applyFont="1" applyFill="1" applyBorder="1" applyAlignment="1" applyProtection="1">
      <alignment horizontal="center" vertical="center" wrapText="1"/>
    </xf>
    <xf numFmtId="0" fontId="40" fillId="16" borderId="10" xfId="1" applyFont="1" applyFill="1" applyBorder="1" applyAlignment="1" applyProtection="1">
      <alignment horizontal="center" vertical="center" wrapText="1"/>
    </xf>
    <xf numFmtId="0" fontId="40" fillId="16" borderId="2" xfId="1" applyFont="1" applyFill="1" applyBorder="1" applyAlignment="1" applyProtection="1">
      <alignment horizontal="center" vertical="center" wrapText="1"/>
    </xf>
    <xf numFmtId="0" fontId="40" fillId="31" borderId="9" xfId="1" applyFont="1" applyFill="1" applyBorder="1" applyAlignment="1" applyProtection="1">
      <alignment horizontal="center"/>
    </xf>
    <xf numFmtId="0" fontId="40" fillId="31" borderId="10" xfId="1" applyFont="1" applyFill="1" applyBorder="1" applyAlignment="1" applyProtection="1">
      <alignment horizontal="center"/>
    </xf>
    <xf numFmtId="0" fontId="40" fillId="31" borderId="2" xfId="1" applyFont="1" applyFill="1" applyBorder="1" applyAlignment="1" applyProtection="1">
      <alignment horizontal="center"/>
    </xf>
    <xf numFmtId="0" fontId="11" fillId="38" borderId="1" xfId="0" applyFont="1" applyFill="1" applyBorder="1" applyAlignment="1" applyProtection="1">
      <alignment horizontal="center" vertical="center" wrapText="1"/>
    </xf>
    <xf numFmtId="0" fontId="20" fillId="0" borderId="0" xfId="1" applyFont="1" applyAlignment="1" applyProtection="1">
      <alignment horizontal="center" vertical="center"/>
    </xf>
    <xf numFmtId="0" fontId="40" fillId="10" borderId="1" xfId="1" applyFont="1" applyFill="1" applyBorder="1" applyAlignment="1" applyProtection="1">
      <alignment horizontal="center" vertical="center" wrapText="1"/>
    </xf>
    <xf numFmtId="0" fontId="40" fillId="4" borderId="1" xfId="1" applyFont="1" applyFill="1" applyBorder="1" applyAlignment="1" applyProtection="1">
      <alignment horizontal="center" vertical="center" wrapText="1"/>
    </xf>
    <xf numFmtId="0" fontId="40" fillId="4" borderId="1" xfId="1" applyFont="1" applyFill="1" applyBorder="1" applyAlignment="1" applyProtection="1">
      <alignment horizontal="center"/>
    </xf>
    <xf numFmtId="0" fontId="40" fillId="10" borderId="9" xfId="1" applyFont="1" applyFill="1" applyBorder="1" applyAlignment="1" applyProtection="1">
      <alignment horizontal="center" vertical="center" wrapText="1"/>
    </xf>
    <xf numFmtId="0" fontId="40" fillId="10" borderId="10" xfId="1" applyFont="1" applyFill="1" applyBorder="1" applyAlignment="1" applyProtection="1">
      <alignment horizontal="center" vertical="center" wrapText="1"/>
    </xf>
    <xf numFmtId="0" fontId="40" fillId="10" borderId="2" xfId="1" applyFont="1" applyFill="1" applyBorder="1" applyAlignment="1" applyProtection="1">
      <alignment horizontal="center" vertical="center" wrapText="1"/>
    </xf>
    <xf numFmtId="0" fontId="53" fillId="6" borderId="1" xfId="1" applyFont="1" applyFill="1" applyBorder="1" applyAlignment="1" applyProtection="1">
      <alignment horizontal="center" vertical="center"/>
    </xf>
    <xf numFmtId="0" fontId="36" fillId="41" borderId="1" xfId="1" applyFont="1" applyFill="1" applyBorder="1" applyAlignment="1" applyProtection="1">
      <alignment horizontal="center" vertical="center"/>
    </xf>
    <xf numFmtId="0" fontId="5" fillId="5" borderId="9" xfId="1" applyFont="1" applyFill="1" applyBorder="1" applyAlignment="1" applyProtection="1">
      <alignment horizontal="center" vertical="center"/>
      <protection locked="0"/>
    </xf>
    <xf numFmtId="0" fontId="5" fillId="5" borderId="2" xfId="1" applyFont="1" applyFill="1" applyBorder="1" applyAlignment="1" applyProtection="1">
      <alignment horizontal="center" vertical="center"/>
      <protection locked="0"/>
    </xf>
    <xf numFmtId="0" fontId="7" fillId="0" borderId="0" xfId="0" applyFont="1" applyAlignment="1" applyProtection="1">
      <alignment horizontal="center" vertical="center"/>
      <protection locked="0"/>
    </xf>
    <xf numFmtId="0" fontId="7" fillId="0" borderId="0" xfId="0" applyFont="1" applyAlignment="1" applyProtection="1">
      <alignment horizontal="center"/>
      <protection locked="0"/>
    </xf>
    <xf numFmtId="0" fontId="65" fillId="0" borderId="0" xfId="0" applyFont="1" applyAlignment="1" applyProtection="1">
      <alignment horizontal="center"/>
      <protection locked="0"/>
    </xf>
    <xf numFmtId="0" fontId="7" fillId="0" borderId="190" xfId="1" applyFont="1" applyFill="1" applyBorder="1" applyAlignment="1" applyProtection="1">
      <alignment horizontal="left" vertical="center"/>
    </xf>
    <xf numFmtId="0" fontId="7" fillId="0" borderId="47" xfId="1" applyFont="1" applyFill="1" applyBorder="1" applyAlignment="1" applyProtection="1">
      <alignment horizontal="left" vertical="center"/>
    </xf>
    <xf numFmtId="0" fontId="7" fillId="0" borderId="26" xfId="1" applyFont="1" applyFill="1" applyBorder="1" applyAlignment="1" applyProtection="1">
      <alignment horizontal="left" vertical="center"/>
    </xf>
    <xf numFmtId="0" fontId="7" fillId="0" borderId="24" xfId="1" applyFont="1" applyFill="1" applyBorder="1" applyAlignment="1" applyProtection="1">
      <alignment horizontal="left" vertical="center"/>
    </xf>
    <xf numFmtId="0" fontId="7" fillId="12" borderId="43" xfId="1" applyFont="1" applyFill="1" applyBorder="1" applyAlignment="1" applyProtection="1">
      <alignment horizontal="left" vertical="center"/>
    </xf>
    <xf numFmtId="0" fontId="7" fillId="12" borderId="44" xfId="1" applyFont="1" applyFill="1" applyBorder="1" applyAlignment="1" applyProtection="1">
      <alignment horizontal="left" vertical="center"/>
    </xf>
    <xf numFmtId="0" fontId="7" fillId="12" borderId="45" xfId="1" applyFont="1" applyFill="1" applyBorder="1" applyAlignment="1" applyProtection="1">
      <alignment horizontal="left" vertical="center"/>
    </xf>
    <xf numFmtId="0" fontId="7" fillId="0" borderId="23" xfId="1" applyFont="1" applyFill="1" applyBorder="1" applyAlignment="1" applyProtection="1">
      <alignment horizontal="left" vertical="center"/>
    </xf>
    <xf numFmtId="0" fontId="11" fillId="11" borderId="35" xfId="0" applyFont="1" applyFill="1" applyBorder="1" applyAlignment="1" applyProtection="1">
      <alignment horizontal="center"/>
    </xf>
    <xf numFmtId="0" fontId="20" fillId="0" borderId="0" xfId="0" applyFont="1" applyAlignment="1" applyProtection="1">
      <alignment horizontal="center"/>
    </xf>
    <xf numFmtId="0" fontId="23" fillId="0" borderId="0" xfId="0" applyFont="1" applyAlignment="1" applyProtection="1">
      <alignment horizontal="center" vertical="center"/>
    </xf>
    <xf numFmtId="0" fontId="20" fillId="0" borderId="0" xfId="0" applyFont="1" applyAlignment="1" applyProtection="1">
      <alignment horizontal="center" vertical="center"/>
    </xf>
    <xf numFmtId="0" fontId="11" fillId="11" borderId="39" xfId="0" applyFont="1" applyFill="1" applyBorder="1" applyAlignment="1" applyProtection="1">
      <alignment horizontal="center" vertical="center"/>
    </xf>
    <xf numFmtId="0" fontId="11" fillId="11" borderId="40" xfId="0" applyFont="1" applyFill="1" applyBorder="1" applyAlignment="1" applyProtection="1">
      <alignment horizontal="center" vertical="center"/>
    </xf>
    <xf numFmtId="0" fontId="11" fillId="11" borderId="38" xfId="0" applyFont="1" applyFill="1" applyBorder="1" applyAlignment="1" applyProtection="1">
      <alignment horizontal="center" vertical="center"/>
    </xf>
    <xf numFmtId="0" fontId="11" fillId="11" borderId="33" xfId="0" applyFont="1" applyFill="1" applyBorder="1" applyAlignment="1" applyProtection="1">
      <alignment horizontal="center" vertical="center"/>
    </xf>
    <xf numFmtId="0" fontId="11" fillId="11" borderId="37" xfId="0" applyFont="1" applyFill="1" applyBorder="1" applyAlignment="1" applyProtection="1">
      <alignment horizontal="center" vertical="center"/>
    </xf>
    <xf numFmtId="0" fontId="11" fillId="11" borderId="35" xfId="0" applyFont="1" applyFill="1" applyBorder="1" applyAlignment="1" applyProtection="1">
      <alignment horizontal="center" vertical="center"/>
    </xf>
    <xf numFmtId="0" fontId="11" fillId="11" borderId="34" xfId="0" applyFont="1" applyFill="1" applyBorder="1" applyAlignment="1" applyProtection="1">
      <alignment horizontal="center" vertical="center"/>
    </xf>
    <xf numFmtId="0" fontId="11" fillId="11" borderId="36" xfId="0" applyFont="1" applyFill="1" applyBorder="1" applyAlignment="1" applyProtection="1">
      <alignment horizontal="center" vertical="center"/>
    </xf>
    <xf numFmtId="0" fontId="11" fillId="11" borderId="33" xfId="0" applyFont="1" applyFill="1" applyBorder="1" applyAlignment="1" applyProtection="1">
      <alignment horizontal="center"/>
    </xf>
    <xf numFmtId="0" fontId="10" fillId="0" borderId="24" xfId="0" applyFont="1" applyBorder="1" applyAlignment="1" applyProtection="1">
      <alignment horizontal="center" vertical="center"/>
    </xf>
    <xf numFmtId="0" fontId="10" fillId="0" borderId="29" xfId="0" applyFont="1" applyBorder="1" applyAlignment="1" applyProtection="1">
      <alignment horizontal="center" vertical="center"/>
    </xf>
    <xf numFmtId="0" fontId="10" fillId="0" borderId="19" xfId="1" applyFont="1" applyBorder="1" applyAlignment="1" applyProtection="1">
      <alignment horizontal="center" vertical="center" wrapText="1"/>
    </xf>
    <xf numFmtId="0" fontId="10" fillId="0" borderId="24" xfId="1" applyFont="1" applyBorder="1" applyAlignment="1" applyProtection="1">
      <alignment horizontal="center" vertical="center" wrapText="1"/>
    </xf>
    <xf numFmtId="0" fontId="10" fillId="0" borderId="29" xfId="1" applyFont="1" applyBorder="1" applyAlignment="1" applyProtection="1">
      <alignment horizontal="center" vertical="center" wrapText="1"/>
    </xf>
    <xf numFmtId="0" fontId="10" fillId="0" borderId="19" xfId="0" applyFont="1" applyBorder="1" applyAlignment="1" applyProtection="1">
      <alignment horizontal="center" vertical="center"/>
    </xf>
    <xf numFmtId="0" fontId="7" fillId="0" borderId="185" xfId="1" applyFont="1" applyFill="1" applyBorder="1" applyAlignment="1" applyProtection="1">
      <alignment horizontal="left" vertical="center"/>
    </xf>
    <xf numFmtId="0" fontId="7" fillId="0" borderId="11" xfId="1" applyFont="1" applyFill="1" applyBorder="1" applyAlignment="1" applyProtection="1">
      <alignment horizontal="left" vertical="center"/>
    </xf>
    <xf numFmtId="0" fontId="22" fillId="12" borderId="12" xfId="0" applyFont="1" applyFill="1" applyBorder="1" applyAlignment="1" applyProtection="1">
      <alignment horizontal="center" vertical="center"/>
    </xf>
    <xf numFmtId="0" fontId="22" fillId="12" borderId="13" xfId="0" applyFont="1" applyFill="1" applyBorder="1" applyAlignment="1" applyProtection="1">
      <alignment horizontal="center" vertical="center"/>
    </xf>
    <xf numFmtId="0" fontId="22" fillId="12" borderId="14" xfId="0" applyFont="1" applyFill="1" applyBorder="1" applyAlignment="1" applyProtection="1">
      <alignment horizontal="center" vertical="center"/>
    </xf>
    <xf numFmtId="0" fontId="22" fillId="0" borderId="16" xfId="0" applyFont="1" applyBorder="1" applyAlignment="1" applyProtection="1">
      <alignment horizontal="center" vertical="center" wrapText="1"/>
    </xf>
    <xf numFmtId="0" fontId="22" fillId="0" borderId="16" xfId="0" applyFont="1" applyBorder="1" applyAlignment="1" applyProtection="1">
      <alignment horizontal="center" vertical="center"/>
    </xf>
    <xf numFmtId="0" fontId="22" fillId="0" borderId="17" xfId="0" applyFont="1" applyBorder="1" applyAlignment="1" applyProtection="1">
      <alignment horizontal="center" vertical="center"/>
    </xf>
    <xf numFmtId="0" fontId="7" fillId="12" borderId="201" xfId="0" applyFont="1" applyFill="1" applyBorder="1" applyAlignment="1" applyProtection="1">
      <alignment horizontal="center" vertical="center"/>
    </xf>
    <xf numFmtId="0" fontId="7" fillId="12" borderId="41" xfId="0" applyFont="1" applyFill="1" applyBorder="1" applyAlignment="1" applyProtection="1">
      <alignment horizontal="center" vertical="center"/>
    </xf>
    <xf numFmtId="0" fontId="7" fillId="12" borderId="42" xfId="0" applyFont="1" applyFill="1" applyBorder="1" applyAlignment="1" applyProtection="1">
      <alignment horizontal="center" vertical="center"/>
    </xf>
    <xf numFmtId="0" fontId="7" fillId="12" borderId="122" xfId="0" applyFont="1" applyFill="1" applyBorder="1" applyAlignment="1" applyProtection="1">
      <alignment horizontal="center" vertical="top"/>
    </xf>
    <xf numFmtId="0" fontId="7" fillId="12" borderId="41" xfId="0" applyFont="1" applyFill="1" applyBorder="1" applyAlignment="1" applyProtection="1">
      <alignment horizontal="center" vertical="top"/>
    </xf>
    <xf numFmtId="0" fontId="8" fillId="0" borderId="0" xfId="0" applyFont="1" applyAlignment="1" applyProtection="1">
      <alignment vertical="center"/>
    </xf>
    <xf numFmtId="0" fontId="7" fillId="0" borderId="48" xfId="1" applyFont="1" applyFill="1" applyBorder="1" applyAlignment="1" applyProtection="1">
      <alignment vertical="center"/>
    </xf>
    <xf numFmtId="0" fontId="7" fillId="0" borderId="49" xfId="1" applyFont="1" applyFill="1" applyBorder="1" applyAlignment="1" applyProtection="1">
      <alignment vertical="center"/>
    </xf>
    <xf numFmtId="0" fontId="7" fillId="0" borderId="202" xfId="1" applyFont="1" applyFill="1" applyBorder="1" applyAlignment="1" applyProtection="1">
      <alignment horizontal="left" vertical="center"/>
    </xf>
    <xf numFmtId="0" fontId="7" fillId="0" borderId="35" xfId="1" applyFont="1" applyFill="1" applyBorder="1" applyAlignment="1" applyProtection="1">
      <alignment horizontal="left" vertical="center"/>
    </xf>
    <xf numFmtId="0" fontId="7" fillId="0" borderId="187" xfId="1" applyFont="1" applyFill="1" applyBorder="1" applyAlignment="1" applyProtection="1">
      <alignment horizontal="left" vertical="center"/>
    </xf>
    <xf numFmtId="0" fontId="7" fillId="0" borderId="48" xfId="1" applyFont="1" applyFill="1" applyBorder="1" applyAlignment="1" applyProtection="1">
      <alignment horizontal="left" vertical="center"/>
    </xf>
    <xf numFmtId="0" fontId="7" fillId="0" borderId="49" xfId="1" applyFont="1" applyFill="1" applyBorder="1" applyAlignment="1" applyProtection="1">
      <alignment horizontal="left" vertical="center"/>
    </xf>
    <xf numFmtId="0" fontId="7" fillId="12" borderId="50" xfId="1" applyFont="1" applyFill="1" applyBorder="1" applyAlignment="1" applyProtection="1">
      <alignment horizontal="left" vertical="center"/>
    </xf>
    <xf numFmtId="0" fontId="7" fillId="12" borderId="51" xfId="1" applyFont="1" applyFill="1" applyBorder="1" applyAlignment="1" applyProtection="1">
      <alignment horizontal="left" vertical="center"/>
    </xf>
    <xf numFmtId="0" fontId="7" fillId="12" borderId="52" xfId="1" applyFont="1" applyFill="1" applyBorder="1" applyAlignment="1" applyProtection="1">
      <alignment horizontal="left" vertical="center"/>
    </xf>
    <xf numFmtId="0" fontId="7" fillId="0" borderId="183" xfId="1" applyFont="1" applyFill="1" applyBorder="1" applyAlignment="1" applyProtection="1">
      <alignment horizontal="left" vertical="center"/>
    </xf>
    <xf numFmtId="0" fontId="37" fillId="24" borderId="99" xfId="1" applyFont="1" applyFill="1" applyBorder="1" applyAlignment="1" applyProtection="1">
      <alignment horizontal="center" vertical="center"/>
      <protection locked="0"/>
    </xf>
    <xf numFmtId="0" fontId="37" fillId="24" borderId="165" xfId="1" applyFont="1" applyFill="1" applyBorder="1" applyAlignment="1" applyProtection="1">
      <alignment horizontal="center" vertical="center"/>
      <protection locked="0"/>
    </xf>
    <xf numFmtId="0" fontId="37" fillId="24" borderId="100" xfId="1" applyFont="1" applyFill="1" applyBorder="1" applyAlignment="1" applyProtection="1">
      <alignment horizontal="center" vertical="center"/>
      <protection locked="0"/>
    </xf>
    <xf numFmtId="0" fontId="41" fillId="0" borderId="114" xfId="0" applyNumberFormat="1" applyFont="1" applyBorder="1" applyAlignment="1" applyProtection="1">
      <alignment horizontal="center" vertical="center" wrapText="1"/>
    </xf>
    <xf numFmtId="0" fontId="45" fillId="0" borderId="101" xfId="0" applyNumberFormat="1" applyFont="1" applyBorder="1" applyAlignment="1" applyProtection="1">
      <alignment vertical="center"/>
    </xf>
    <xf numFmtId="0" fontId="45" fillId="0" borderId="115" xfId="0" applyNumberFormat="1" applyFont="1" applyBorder="1" applyAlignment="1" applyProtection="1">
      <alignment vertical="center"/>
    </xf>
    <xf numFmtId="0" fontId="11" fillId="0" borderId="0" xfId="0" applyFont="1" applyFill="1" applyBorder="1" applyAlignment="1" applyProtection="1">
      <alignment horizontal="left" vertical="center"/>
    </xf>
    <xf numFmtId="0" fontId="11" fillId="12" borderId="106" xfId="0" applyFont="1" applyFill="1" applyBorder="1" applyAlignment="1" applyProtection="1">
      <alignment horizontal="center" vertical="center" wrapText="1"/>
    </xf>
    <xf numFmtId="0" fontId="11" fillId="12" borderId="107" xfId="0" applyFont="1" applyFill="1" applyBorder="1" applyAlignment="1" applyProtection="1">
      <alignment horizontal="center" vertical="center" wrapText="1"/>
    </xf>
    <xf numFmtId="0" fontId="11" fillId="12" borderId="112" xfId="0" applyFont="1" applyFill="1" applyBorder="1" applyAlignment="1" applyProtection="1">
      <alignment horizontal="center" vertical="center" wrapText="1"/>
    </xf>
    <xf numFmtId="0" fontId="11" fillId="12" borderId="91"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xf>
    <xf numFmtId="0" fontId="11" fillId="12" borderId="101" xfId="0" applyFont="1" applyFill="1" applyBorder="1" applyAlignment="1" applyProtection="1">
      <alignment horizontal="center" vertical="center" wrapText="1"/>
    </xf>
    <xf numFmtId="0" fontId="11" fillId="12" borderId="115" xfId="0" applyFont="1" applyFill="1" applyBorder="1" applyAlignment="1" applyProtection="1">
      <alignment horizontal="center" vertical="center" wrapText="1"/>
    </xf>
    <xf numFmtId="0" fontId="11" fillId="12" borderId="114" xfId="0" applyFont="1" applyFill="1" applyBorder="1" applyAlignment="1" applyProtection="1">
      <alignment horizontal="center" vertical="center" wrapText="1"/>
    </xf>
    <xf numFmtId="0" fontId="41" fillId="0" borderId="106" xfId="0" applyNumberFormat="1" applyFont="1" applyBorder="1" applyAlignment="1" applyProtection="1">
      <alignment horizontal="center" vertical="center" wrapText="1"/>
    </xf>
    <xf numFmtId="0" fontId="45" fillId="0" borderId="151" xfId="0" applyNumberFormat="1" applyFont="1" applyBorder="1" applyAlignment="1" applyProtection="1">
      <alignment vertical="center"/>
    </xf>
    <xf numFmtId="0" fontId="45" fillId="0" borderId="120" xfId="0" applyNumberFormat="1" applyFont="1" applyBorder="1" applyAlignment="1" applyProtection="1">
      <alignment vertical="center"/>
    </xf>
    <xf numFmtId="0" fontId="36" fillId="23" borderId="0" xfId="1" applyFont="1" applyFill="1" applyBorder="1" applyAlignment="1" applyProtection="1">
      <alignment horizontal="center" vertical="center" wrapText="1"/>
    </xf>
    <xf numFmtId="0" fontId="36" fillId="23" borderId="85" xfId="1" applyFont="1" applyFill="1" applyBorder="1" applyAlignment="1" applyProtection="1">
      <alignment horizontal="center" vertical="center" wrapText="1"/>
    </xf>
    <xf numFmtId="0" fontId="36" fillId="23" borderId="97" xfId="1" applyFont="1" applyFill="1" applyBorder="1" applyAlignment="1" applyProtection="1">
      <alignment horizontal="center" vertical="center" wrapText="1"/>
    </xf>
    <xf numFmtId="0" fontId="36" fillId="23" borderId="98" xfId="1" applyFont="1" applyFill="1" applyBorder="1" applyAlignment="1" applyProtection="1">
      <alignment horizontal="center" vertical="center" wrapText="1"/>
    </xf>
    <xf numFmtId="0" fontId="48" fillId="0" borderId="25" xfId="0" applyFont="1" applyBorder="1" applyAlignment="1" applyProtection="1">
      <alignment horizontal="left" vertical="center" wrapText="1"/>
    </xf>
    <xf numFmtId="0" fontId="48" fillId="0" borderId="179" xfId="0" applyFont="1" applyBorder="1" applyAlignment="1" applyProtection="1">
      <alignment horizontal="left" vertical="center" wrapText="1"/>
    </xf>
    <xf numFmtId="0" fontId="11" fillId="12" borderId="92" xfId="0" applyFont="1" applyFill="1" applyBorder="1" applyAlignment="1" applyProtection="1">
      <alignment horizontal="center" vertical="center" wrapText="1"/>
    </xf>
    <xf numFmtId="0" fontId="11" fillId="12" borderId="113" xfId="0" applyFont="1" applyFill="1" applyBorder="1" applyAlignment="1" applyProtection="1">
      <alignment horizontal="center" vertical="center" wrapText="1"/>
    </xf>
    <xf numFmtId="0" fontId="48" fillId="0" borderId="0" xfId="0" applyFont="1" applyAlignment="1" applyProtection="1">
      <alignment horizontal="center" vertical="center"/>
      <protection locked="0"/>
    </xf>
    <xf numFmtId="0" fontId="47" fillId="0" borderId="0" xfId="0" applyFont="1" applyAlignment="1" applyProtection="1">
      <alignment horizontal="center" vertical="center"/>
    </xf>
    <xf numFmtId="0" fontId="48" fillId="0" borderId="0" xfId="0" applyFont="1" applyAlignment="1" applyProtection="1">
      <alignment horizontal="center" vertical="center"/>
    </xf>
    <xf numFmtId="0" fontId="47" fillId="7" borderId="120" xfId="0" applyFont="1" applyFill="1" applyBorder="1" applyAlignment="1" applyProtection="1">
      <alignment horizontal="center" vertical="center"/>
    </xf>
    <xf numFmtId="0" fontId="47" fillId="7" borderId="102" xfId="0" applyFont="1" applyFill="1" applyBorder="1" applyAlignment="1" applyProtection="1">
      <alignment horizontal="center" vertical="center"/>
    </xf>
    <xf numFmtId="0" fontId="47" fillId="7" borderId="102" xfId="0" applyFont="1" applyFill="1" applyBorder="1" applyAlignment="1" applyProtection="1">
      <alignment horizontal="center" vertical="center" wrapText="1"/>
    </xf>
    <xf numFmtId="0" fontId="48" fillId="12" borderId="104" xfId="0" applyFont="1" applyFill="1" applyBorder="1" applyAlignment="1" applyProtection="1">
      <alignment horizontal="center" vertical="center" wrapText="1"/>
    </xf>
    <xf numFmtId="0" fontId="48" fillId="12" borderId="105" xfId="0" applyFont="1" applyFill="1" applyBorder="1" applyAlignment="1" applyProtection="1">
      <alignment horizontal="center" vertical="center" wrapText="1"/>
    </xf>
    <xf numFmtId="0" fontId="48" fillId="0" borderId="173" xfId="0" applyFont="1" applyBorder="1" applyAlignment="1" applyProtection="1">
      <alignment horizontal="left" vertical="center" wrapText="1"/>
    </xf>
    <xf numFmtId="0" fontId="48" fillId="0" borderId="174" xfId="0" applyFont="1" applyBorder="1" applyAlignment="1" applyProtection="1">
      <alignment horizontal="left" vertical="center" wrapText="1"/>
    </xf>
    <xf numFmtId="0" fontId="48" fillId="0" borderId="177" xfId="0" applyFont="1" applyBorder="1" applyAlignment="1" applyProtection="1">
      <alignment horizontal="left" vertical="center" wrapText="1"/>
    </xf>
    <xf numFmtId="0" fontId="11" fillId="12" borderId="131" xfId="0" applyFont="1" applyFill="1" applyBorder="1" applyAlignment="1" applyProtection="1">
      <alignment horizontal="center" vertical="center" wrapText="1"/>
    </xf>
    <xf numFmtId="0" fontId="11" fillId="12" borderId="168" xfId="0" applyFont="1" applyFill="1" applyBorder="1" applyAlignment="1" applyProtection="1">
      <alignment horizontal="center" vertical="center" wrapText="1"/>
    </xf>
    <xf numFmtId="0" fontId="11" fillId="12" borderId="136" xfId="0" applyFont="1" applyFill="1" applyBorder="1" applyAlignment="1" applyProtection="1">
      <alignment horizontal="center" vertical="center" wrapText="1"/>
    </xf>
    <xf numFmtId="0" fontId="11" fillId="12" borderId="169" xfId="0" applyFont="1" applyFill="1" applyBorder="1" applyAlignment="1" applyProtection="1">
      <alignment horizontal="center" vertical="center" wrapText="1"/>
    </xf>
    <xf numFmtId="0" fontId="11" fillId="12" borderId="127" xfId="0" applyFont="1" applyFill="1" applyBorder="1" applyAlignment="1" applyProtection="1">
      <alignment horizontal="center" vertical="center" wrapText="1"/>
    </xf>
    <xf numFmtId="0" fontId="11" fillId="12" borderId="170" xfId="0" applyFont="1" applyFill="1" applyBorder="1" applyAlignment="1" applyProtection="1">
      <alignment horizontal="center" vertical="center" wrapText="1"/>
    </xf>
    <xf numFmtId="0" fontId="11" fillId="7" borderId="122" xfId="0" applyFont="1" applyFill="1" applyBorder="1" applyAlignment="1" applyProtection="1">
      <alignment horizontal="center" vertical="center" wrapText="1"/>
    </xf>
    <xf numFmtId="0" fontId="11" fillId="7" borderId="42" xfId="0" applyFont="1" applyFill="1" applyBorder="1" applyAlignment="1" applyProtection="1">
      <alignment horizontal="center" vertical="center" wrapText="1"/>
    </xf>
    <xf numFmtId="0" fontId="48" fillId="0" borderId="0" xfId="0" applyFont="1" applyAlignment="1" applyProtection="1">
      <alignment horizontal="center" vertical="top"/>
      <protection locked="0"/>
    </xf>
    <xf numFmtId="0" fontId="11" fillId="12" borderId="149" xfId="0" applyFont="1" applyFill="1" applyBorder="1" applyAlignment="1" applyProtection="1">
      <alignment horizontal="center" vertical="center" wrapText="1"/>
    </xf>
    <xf numFmtId="0" fontId="11" fillId="12" borderId="150" xfId="0" applyFont="1" applyFill="1" applyBorder="1" applyAlignment="1" applyProtection="1">
      <alignment horizontal="center" vertical="center" wrapText="1"/>
    </xf>
    <xf numFmtId="0" fontId="47" fillId="0" borderId="106" xfId="0" applyFont="1" applyBorder="1" applyAlignment="1" applyProtection="1">
      <alignment horizontal="center"/>
    </xf>
    <xf numFmtId="0" fontId="47" fillId="0" borderId="151" xfId="0" applyFont="1" applyBorder="1" applyAlignment="1" applyProtection="1">
      <alignment horizontal="center"/>
    </xf>
    <xf numFmtId="0" fontId="47" fillId="0" borderId="120" xfId="0" applyFont="1" applyBorder="1" applyAlignment="1" applyProtection="1">
      <alignment horizontal="center"/>
    </xf>
    <xf numFmtId="0" fontId="43" fillId="0" borderId="96" xfId="0" applyFont="1" applyBorder="1" applyAlignment="1" applyProtection="1">
      <alignment horizontal="center"/>
    </xf>
    <xf numFmtId="0" fontId="0" fillId="0" borderId="107" xfId="0" applyBorder="1" applyProtection="1"/>
  </cellXfs>
  <cellStyles count="5">
    <cellStyle name="Comma [0]" xfId="4" builtinId="6"/>
    <cellStyle name="Normal" xfId="0" builtinId="0"/>
    <cellStyle name="Normal 2" xfId="1" xr:uid="{00000000-0005-0000-0000-000002000000}"/>
    <cellStyle name="Normal 2 2" xfId="2" xr:uid="{00000000-0005-0000-0000-000003000000}"/>
    <cellStyle name="Normal 2 7" xfId="3" xr:uid="{00000000-0005-0000-0000-000004000000}"/>
  </cellStyles>
  <dxfs count="3">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patternFill>
      </fill>
    </dxf>
  </dxfs>
  <tableStyles count="0" defaultTableStyle="TableStyleMedium9" defaultPivotStyle="PivotStyleLight16"/>
  <colors>
    <mruColors>
      <color rgb="FF0099CC"/>
      <color rgb="FF009E00"/>
      <color rgb="FF0066FF"/>
      <color rgb="FF009900"/>
      <color rgb="FFFFCC00"/>
      <color rgb="FF008000"/>
      <color rgb="FFFFCC66"/>
      <color rgb="FF0066CC"/>
      <color rgb="FF0094C8"/>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Spin" dx="16" fmlaLink="#REF!" max="30000" min="1" page="10" val="2"/>
</file>

<file path=xl/ctrlProps/ctrlProp2.xml><?xml version="1.0" encoding="utf-8"?>
<formControlPr xmlns="http://schemas.microsoft.com/office/spreadsheetml/2009/9/main" objectType="Spin" dx="16" fmlaLink="$E$1" max="30000" min="1" page="10" val="3"/>
</file>

<file path=xl/ctrlProps/ctrlProp3.xml><?xml version="1.0" encoding="utf-8"?>
<formControlPr xmlns="http://schemas.microsoft.com/office/spreadsheetml/2009/9/main" objectType="Drop" dropLines="20" dropStyle="combo" dx="16" fmlaLink="$H$1" fmlaRange="mapel" noThreeD="1" sel="1" val="0"/>
</file>

<file path=xl/ctrlProps/ctrlProp4.xml><?xml version="1.0" encoding="utf-8"?>
<formControlPr xmlns="http://schemas.microsoft.com/office/spreadsheetml/2009/9/main" objectType="Drop" dropLines="20" dropStyle="combo" dx="16" fmlaLink="$D$1" fmlaRange="mapel" noThreeD="1" sel="4" val="0"/>
</file>

<file path=xl/ctrlProps/ctrlProp5.xml><?xml version="1.0" encoding="utf-8"?>
<formControlPr xmlns="http://schemas.microsoft.com/office/spreadsheetml/2009/9/main" objectType="Spin" dx="16" fmlaLink="$H$1" max="30000" min="1" page="10"/>
</file>

<file path=xl/ctrlProps/ctrlProp6.xml><?xml version="1.0" encoding="utf-8"?>
<formControlPr xmlns="http://schemas.microsoft.com/office/spreadsheetml/2009/9/main" objectType="Spin" dx="16" fmlaLink="$G$1" max="30000" min="1" page="10"/>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55499</xdr:colOff>
      <xdr:row>5</xdr:row>
      <xdr:rowOff>171989</xdr:rowOff>
    </xdr:from>
    <xdr:ext cx="2994281" cy="374141"/>
    <xdr:sp macro="" textlink="">
      <xdr:nvSpPr>
        <xdr:cNvPr id="3" name="Rectangle 2">
          <a:extLst>
            <a:ext uri="{FF2B5EF4-FFF2-40B4-BE49-F238E27FC236}">
              <a16:creationId xmlns:a16="http://schemas.microsoft.com/office/drawing/2014/main" id="{00000000-0008-0000-0000-000003000000}"/>
            </a:ext>
          </a:extLst>
        </xdr:cNvPr>
        <xdr:cNvSpPr/>
      </xdr:nvSpPr>
      <xdr:spPr>
        <a:xfrm>
          <a:off x="150749" y="743489"/>
          <a:ext cx="2994281" cy="374141"/>
        </a:xfrm>
        <a:prstGeom prst="rect">
          <a:avLst/>
        </a:prstGeom>
        <a:noFill/>
      </xdr:spPr>
      <xdr:txBody>
        <a:bodyPr wrap="none" lIns="91440" tIns="45720" rIns="91440" bIns="45720">
          <a:spAutoFit/>
        </a:bodyPr>
        <a:lstStyle/>
        <a:p>
          <a:pPr algn="ctr"/>
          <a:r>
            <a:rPr lang="id-ID" sz="1800" b="1" cap="all" spc="0">
              <a:ln w="9000" cmpd="sng">
                <a:solidFill>
                  <a:schemeClr val="accent4">
                    <a:shade val="50000"/>
                    <a:satMod val="120000"/>
                  </a:schemeClr>
                </a:solidFill>
                <a:prstDash val="solid"/>
              </a:ln>
              <a:solidFill>
                <a:sysClr val="windowText" lastClr="000000"/>
              </a:solidFill>
              <a:effectLst>
                <a:reflection blurRad="12700" stA="28000" endPos="45000" dist="1000" dir="5400000" sy="-100000" algn="bl" rotWithShape="0"/>
              </a:effectLst>
            </a:rPr>
            <a:t>Aplikasi Raport Akademik</a:t>
          </a:r>
          <a:endParaRPr lang="en-US" sz="1800" b="1" cap="all" spc="0">
            <a:ln w="9000" cmpd="sng">
              <a:solidFill>
                <a:schemeClr val="accent4">
                  <a:shade val="50000"/>
                  <a:satMod val="120000"/>
                </a:schemeClr>
              </a:solidFill>
              <a:prstDash val="solid"/>
            </a:ln>
            <a:solidFill>
              <a:sysClr val="windowText" lastClr="000000"/>
            </a:solidFill>
            <a:effectLst>
              <a:reflection blurRad="12700" stA="28000" endPos="45000" dist="1000" dir="5400000" sy="-100000" algn="bl" rotWithShape="0"/>
            </a:effectLst>
          </a:endParaRPr>
        </a:p>
      </xdr:txBody>
    </xdr:sp>
    <xdr:clientData/>
  </xdr:oneCellAnchor>
  <xdr:oneCellAnchor>
    <xdr:from>
      <xdr:col>2</xdr:col>
      <xdr:colOff>922274</xdr:colOff>
      <xdr:row>7</xdr:row>
      <xdr:rowOff>48164</xdr:rowOff>
    </xdr:from>
    <xdr:ext cx="2815001" cy="530658"/>
    <xdr:sp macro="" textlink="">
      <xdr:nvSpPr>
        <xdr:cNvPr id="4" name="Rectangle 3">
          <a:extLst>
            <a:ext uri="{FF2B5EF4-FFF2-40B4-BE49-F238E27FC236}">
              <a16:creationId xmlns:a16="http://schemas.microsoft.com/office/drawing/2014/main" id="{00000000-0008-0000-0000-000004000000}"/>
            </a:ext>
          </a:extLst>
        </xdr:cNvPr>
        <xdr:cNvSpPr/>
      </xdr:nvSpPr>
      <xdr:spPr>
        <a:xfrm>
          <a:off x="1119963" y="982692"/>
          <a:ext cx="2815001" cy="530658"/>
        </a:xfrm>
        <a:prstGeom prst="rect">
          <a:avLst/>
        </a:prstGeom>
        <a:noFill/>
      </xdr:spPr>
      <xdr:txBody>
        <a:bodyPr wrap="none" lIns="91440" tIns="45720" rIns="91440" bIns="45720">
          <a:spAutoFit/>
        </a:bodyPr>
        <a:lstStyle/>
        <a:p>
          <a:pPr algn="ctr"/>
          <a:r>
            <a:rPr lang="id-ID" sz="2800" b="1" cap="none" spc="50">
              <a:ln w="12700" cmpd="sng">
                <a:solidFill>
                  <a:schemeClr val="accent6">
                    <a:satMod val="120000"/>
                    <a:shade val="80000"/>
                  </a:schemeClr>
                </a:solidFill>
                <a:prstDash val="solid"/>
              </a:ln>
              <a:solidFill>
                <a:srgbClr val="009E00"/>
              </a:solidFill>
              <a:effectLst>
                <a:glow rad="53100">
                  <a:schemeClr val="accent6">
                    <a:satMod val="180000"/>
                    <a:alpha val="30000"/>
                  </a:schemeClr>
                </a:glow>
                <a:outerShdw blurRad="60007" dist="310007" dir="7680000" sy="30000" kx="1300200" algn="ctr" rotWithShape="0">
                  <a:prstClr val="black">
                    <a:alpha val="32000"/>
                  </a:prstClr>
                </a:outerShdw>
              </a:effectLst>
            </a:rPr>
            <a:t>MINU</a:t>
          </a:r>
          <a:r>
            <a:rPr lang="en-ID" sz="2800" b="1" cap="none" spc="50">
              <a:ln w="12700" cmpd="sng">
                <a:solidFill>
                  <a:schemeClr val="accent6">
                    <a:satMod val="120000"/>
                    <a:shade val="80000"/>
                  </a:schemeClr>
                </a:solidFill>
                <a:prstDash val="solid"/>
              </a:ln>
              <a:solidFill>
                <a:srgbClr val="009E00"/>
              </a:solidFill>
              <a:effectLst>
                <a:glow rad="53100">
                  <a:schemeClr val="accent6">
                    <a:satMod val="180000"/>
                    <a:alpha val="30000"/>
                  </a:schemeClr>
                </a:glow>
                <a:outerShdw blurRad="60007" dist="310007" dir="7680000" sy="30000" kx="1300200" algn="ctr" rotWithShape="0">
                  <a:prstClr val="black">
                    <a:alpha val="32000"/>
                  </a:prstClr>
                </a:outerShdw>
              </a:effectLst>
            </a:rPr>
            <a:t> KARKATER</a:t>
          </a:r>
          <a:endParaRPr lang="en-US" sz="2800" b="1" cap="none" spc="50">
            <a:ln w="12700" cmpd="sng">
              <a:solidFill>
                <a:schemeClr val="accent6">
                  <a:satMod val="120000"/>
                  <a:shade val="80000"/>
                </a:schemeClr>
              </a:solidFill>
              <a:prstDash val="solid"/>
            </a:ln>
            <a:solidFill>
              <a:srgbClr val="009E00"/>
            </a:solidFill>
            <a:effectLst>
              <a:glow rad="53100">
                <a:schemeClr val="accent6">
                  <a:satMod val="180000"/>
                  <a:alpha val="30000"/>
                </a:schemeClr>
              </a:glow>
              <a:outerShdw blurRad="60007" dist="310007" dir="7680000" sy="30000" kx="1300200" algn="ctr" rotWithShape="0">
                <a:prstClr val="black">
                  <a:alpha val="32000"/>
                </a:prstClr>
              </a:outerShdw>
            </a:effectLst>
          </a:endParaRPr>
        </a:p>
      </xdr:txBody>
    </xdr:sp>
    <xdr:clientData/>
  </xdr:oneCellAnchor>
  <xdr:twoCellAnchor>
    <xdr:from>
      <xdr:col>10</xdr:col>
      <xdr:colOff>416717</xdr:colOff>
      <xdr:row>4</xdr:row>
      <xdr:rowOff>81002</xdr:rowOff>
    </xdr:from>
    <xdr:to>
      <xdr:col>14</xdr:col>
      <xdr:colOff>71436</xdr:colOff>
      <xdr:row>14</xdr:row>
      <xdr:rowOff>116661</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4927613" y="476379"/>
          <a:ext cx="1523776" cy="1850801"/>
          <a:chOff x="4405313" y="673933"/>
          <a:chExt cx="1202531" cy="1881128"/>
        </a:xfrm>
        <a:effectLst>
          <a:outerShdw blurRad="50800" dist="38100" dir="2700000" algn="tl" rotWithShape="0">
            <a:prstClr val="black">
              <a:alpha val="40000"/>
            </a:prstClr>
          </a:outerShdw>
        </a:effectLst>
        <a:scene3d>
          <a:camera prst="orthographicFront">
            <a:rot lat="0" lon="0" rev="0"/>
          </a:camera>
          <a:lightRig rig="soft" dir="t">
            <a:rot lat="0" lon="0" rev="0"/>
          </a:lightRig>
        </a:scene3d>
      </xdr:grpSpPr>
      <xdr:sp macro="[0]!dtSiswa" textlink="">
        <xdr:nvSpPr>
          <xdr:cNvPr id="7" name="Snip Diagonal Corner Rectangle 6">
            <a:extLst>
              <a:ext uri="{FF2B5EF4-FFF2-40B4-BE49-F238E27FC236}">
                <a16:creationId xmlns:a16="http://schemas.microsoft.com/office/drawing/2014/main" id="{00000000-0008-0000-0000-000007000000}"/>
              </a:ext>
            </a:extLst>
          </xdr:cNvPr>
          <xdr:cNvSpPr/>
        </xdr:nvSpPr>
        <xdr:spPr>
          <a:xfrm>
            <a:off x="4405313" y="673933"/>
            <a:ext cx="1180808" cy="529328"/>
          </a:xfrm>
          <a:prstGeom prst="snip2DiagRect">
            <a:avLst/>
          </a:prstGeom>
          <a:ln>
            <a:noFill/>
          </a:ln>
          <a:effectLst>
            <a:outerShdw blurRad="107950" dist="12700" dir="5400000" algn="ctr">
              <a:srgbClr val="000000"/>
            </a:outerShdw>
          </a:effectLst>
          <a:scene3d>
            <a:camera prst="orthographicFront">
              <a:rot lat="0" lon="0" rev="0"/>
            </a:camera>
            <a:lightRig rig="threePt" dir="t">
              <a:rot lat="0" lon="0" rev="1200000"/>
            </a:lightRig>
          </a:scene3d>
          <a:sp3d contourW="44450" prstMaterial="matte">
            <a:bevelT w="63500" h="63500" prst="artDeco"/>
            <a:contourClr>
              <a:srgbClr val="FFFFFF"/>
            </a:contourClr>
          </a:sp3d>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1300" b="1">
                <a:latin typeface="Gisha" pitchFamily="34" charset="-79"/>
                <a:cs typeface="Gisha" pitchFamily="34" charset="-79"/>
              </a:rPr>
              <a:t>Data Siswa</a:t>
            </a:r>
          </a:p>
        </xdr:txBody>
      </xdr:sp>
      <xdr:sp macro="[0]!identitasSiswa" textlink="">
        <xdr:nvSpPr>
          <xdr:cNvPr id="8" name="Snip Diagonal Corner Rectangle 7">
            <a:extLst>
              <a:ext uri="{FF2B5EF4-FFF2-40B4-BE49-F238E27FC236}">
                <a16:creationId xmlns:a16="http://schemas.microsoft.com/office/drawing/2014/main" id="{00000000-0008-0000-0000-000008000000}"/>
              </a:ext>
            </a:extLst>
          </xdr:cNvPr>
          <xdr:cNvSpPr/>
        </xdr:nvSpPr>
        <xdr:spPr>
          <a:xfrm>
            <a:off x="4416174" y="1349833"/>
            <a:ext cx="1180808" cy="529328"/>
          </a:xfrm>
          <a:prstGeom prst="snip2DiagRect">
            <a:avLst/>
          </a:prstGeom>
          <a:ln>
            <a:noFill/>
          </a:ln>
          <a:effectLst>
            <a:outerShdw blurRad="107950" dist="12700" dir="5400000" algn="ctr">
              <a:srgbClr val="000000"/>
            </a:outerShdw>
          </a:effectLst>
          <a:scene3d>
            <a:camera prst="orthographicFront">
              <a:rot lat="0" lon="0" rev="0"/>
            </a:camera>
            <a:lightRig rig="threePt" dir="t">
              <a:rot lat="0" lon="0" rev="1200000"/>
            </a:lightRig>
          </a:scene3d>
          <a:sp3d contourW="44450" prstMaterial="matte">
            <a:bevelT w="63500" h="63500" prst="artDeco"/>
            <a:contourClr>
              <a:srgbClr val="FFFFFF"/>
            </a:contourClr>
          </a:sp3d>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1300" b="1">
                <a:latin typeface="Gisha" pitchFamily="34" charset="-79"/>
                <a:cs typeface="Gisha" pitchFamily="34" charset="-79"/>
              </a:rPr>
              <a:t>Identitas</a:t>
            </a:r>
            <a:r>
              <a:rPr lang="id-ID" sz="1300" b="1" baseline="0">
                <a:latin typeface="Gisha" pitchFamily="34" charset="-79"/>
                <a:cs typeface="Gisha" pitchFamily="34" charset="-79"/>
              </a:rPr>
              <a:t> </a:t>
            </a:r>
            <a:r>
              <a:rPr lang="id-ID" sz="1300" b="1">
                <a:latin typeface="Gisha" pitchFamily="34" charset="-79"/>
                <a:cs typeface="Gisha" pitchFamily="34" charset="-79"/>
              </a:rPr>
              <a:t>Siswa</a:t>
            </a:r>
          </a:p>
        </xdr:txBody>
      </xdr:sp>
      <xdr:sp macro="[0]!kembang" textlink="">
        <xdr:nvSpPr>
          <xdr:cNvPr id="9" name="Snip Diagonal Corner Rectangle 8">
            <a:extLst>
              <a:ext uri="{FF2B5EF4-FFF2-40B4-BE49-F238E27FC236}">
                <a16:creationId xmlns:a16="http://schemas.microsoft.com/office/drawing/2014/main" id="{00000000-0008-0000-0000-000009000000}"/>
              </a:ext>
            </a:extLst>
          </xdr:cNvPr>
          <xdr:cNvSpPr/>
        </xdr:nvSpPr>
        <xdr:spPr>
          <a:xfrm>
            <a:off x="4427036" y="2025733"/>
            <a:ext cx="1180808" cy="529328"/>
          </a:xfrm>
          <a:prstGeom prst="snip2DiagRect">
            <a:avLst/>
          </a:prstGeom>
          <a:ln>
            <a:noFill/>
          </a:ln>
          <a:effectLst>
            <a:outerShdw blurRad="107950" dist="12700" dir="5400000" algn="ctr">
              <a:srgbClr val="000000"/>
            </a:outerShdw>
          </a:effectLst>
          <a:scene3d>
            <a:camera prst="orthographicFront">
              <a:rot lat="0" lon="0" rev="0"/>
            </a:camera>
            <a:lightRig rig="threePt" dir="t">
              <a:rot lat="0" lon="0" rev="1200000"/>
            </a:lightRig>
          </a:scene3d>
          <a:sp3d contourW="44450" prstMaterial="matte">
            <a:bevelT w="63500" h="63500" prst="artDeco"/>
            <a:contourClr>
              <a:srgbClr val="FFFFFF"/>
            </a:contourClr>
          </a:sp3d>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1300" b="1">
                <a:latin typeface="Gisha" pitchFamily="34" charset="-79"/>
                <a:cs typeface="Gisha" pitchFamily="34" charset="-79"/>
              </a:rPr>
              <a:t>Perkembangan Siswa</a:t>
            </a:r>
          </a:p>
        </xdr:txBody>
      </xdr:sp>
    </xdr:grpSp>
    <xdr:clientData/>
  </xdr:twoCellAnchor>
  <xdr:twoCellAnchor>
    <xdr:from>
      <xdr:col>21</xdr:col>
      <xdr:colOff>416717</xdr:colOff>
      <xdr:row>4</xdr:row>
      <xdr:rowOff>90527</xdr:rowOff>
    </xdr:from>
    <xdr:to>
      <xdr:col>25</xdr:col>
      <xdr:colOff>57692</xdr:colOff>
      <xdr:row>14</xdr:row>
      <xdr:rowOff>76200</xdr:rowOff>
    </xdr:to>
    <xdr:grpSp>
      <xdr:nvGrpSpPr>
        <xdr:cNvPr id="10" name="Group 9">
          <a:extLst>
            <a:ext uri="{FF2B5EF4-FFF2-40B4-BE49-F238E27FC236}">
              <a16:creationId xmlns:a16="http://schemas.microsoft.com/office/drawing/2014/main" id="{00000000-0008-0000-0000-00000A000000}"/>
            </a:ext>
          </a:extLst>
        </xdr:cNvPr>
        <xdr:cNvGrpSpPr/>
      </xdr:nvGrpSpPr>
      <xdr:grpSpPr>
        <a:xfrm>
          <a:off x="8054689" y="485904"/>
          <a:ext cx="1510031" cy="1800815"/>
          <a:chOff x="7312817" y="471527"/>
          <a:chExt cx="1507875" cy="1194549"/>
        </a:xfrm>
        <a:effectLst>
          <a:outerShdw blurRad="50800" dist="38100" dir="2700000" algn="tl" rotWithShape="0">
            <a:prstClr val="black">
              <a:alpha val="40000"/>
            </a:prstClr>
          </a:outerShdw>
        </a:effectLst>
        <a:scene3d>
          <a:camera prst="orthographicFront">
            <a:rot lat="0" lon="0" rev="0"/>
          </a:camera>
          <a:lightRig rig="soft" dir="t">
            <a:rot lat="0" lon="0" rev="0"/>
          </a:lightRig>
        </a:scene3d>
      </xdr:grpSpPr>
      <xdr:sp macro="[0]!RkapAll" textlink="">
        <xdr:nvSpPr>
          <xdr:cNvPr id="11" name="Snip Diagonal Corner Rectangle 10">
            <a:extLst>
              <a:ext uri="{FF2B5EF4-FFF2-40B4-BE49-F238E27FC236}">
                <a16:creationId xmlns:a16="http://schemas.microsoft.com/office/drawing/2014/main" id="{00000000-0008-0000-0000-00000B000000}"/>
              </a:ext>
            </a:extLst>
          </xdr:cNvPr>
          <xdr:cNvSpPr/>
        </xdr:nvSpPr>
        <xdr:spPr>
          <a:xfrm>
            <a:off x="7312817" y="471527"/>
            <a:ext cx="1494132" cy="524638"/>
          </a:xfrm>
          <a:prstGeom prst="snip2DiagRect">
            <a:avLst/>
          </a:prstGeom>
          <a:ln>
            <a:noFill/>
          </a:ln>
          <a:effectLst>
            <a:outerShdw blurRad="107950" dist="12700" dir="5400000" algn="ctr">
              <a:srgbClr val="000000"/>
            </a:outerShdw>
          </a:effectLst>
          <a:scene3d>
            <a:camera prst="orthographicFront">
              <a:rot lat="0" lon="0" rev="0"/>
            </a:camera>
            <a:lightRig rig="threePt" dir="t">
              <a:rot lat="0" lon="0" rev="1200000"/>
            </a:lightRig>
          </a:scene3d>
          <a:sp3d contourW="44450" prstMaterial="matte">
            <a:bevelT w="63500" h="63500" prst="artDeco"/>
            <a:contourClr>
              <a:srgbClr val="FFFFFF"/>
            </a:contourClr>
          </a:sp3d>
        </xdr:spPr>
        <xdr:style>
          <a:lnRef idx="0">
            <a:schemeClr val="accent4"/>
          </a:lnRef>
          <a:fillRef idx="3">
            <a:schemeClr val="accent4"/>
          </a:fillRef>
          <a:effectRef idx="3">
            <a:schemeClr val="accent4"/>
          </a:effectRef>
          <a:fontRef idx="minor">
            <a:schemeClr val="lt1"/>
          </a:fontRef>
        </xdr:style>
        <xdr:txBody>
          <a:bodyPr rtlCol="0" anchor="ctr"/>
          <a:lstStyle/>
          <a:p>
            <a:pPr algn="ctr"/>
            <a:r>
              <a:rPr lang="id-ID" sz="1400" b="1">
                <a:latin typeface="Gisha" pitchFamily="34" charset="-79"/>
                <a:cs typeface="Gisha" pitchFamily="34" charset="-79"/>
              </a:rPr>
              <a:t>Rekap All</a:t>
            </a:r>
            <a:r>
              <a:rPr lang="id-ID" sz="1400" b="1" baseline="0">
                <a:latin typeface="Gisha" pitchFamily="34" charset="-79"/>
                <a:cs typeface="Gisha" pitchFamily="34" charset="-79"/>
              </a:rPr>
              <a:t> Mapel</a:t>
            </a:r>
            <a:endParaRPr lang="id-ID" sz="1400" b="1">
              <a:latin typeface="Gisha" pitchFamily="34" charset="-79"/>
              <a:cs typeface="Gisha" pitchFamily="34" charset="-79"/>
            </a:endParaRPr>
          </a:p>
        </xdr:txBody>
      </xdr:sp>
      <xdr:sp macro="[0]!lGer" textlink="">
        <xdr:nvSpPr>
          <xdr:cNvPr id="12" name="Snip Diagonal Corner Rectangle 11">
            <a:extLst>
              <a:ext uri="{FF2B5EF4-FFF2-40B4-BE49-F238E27FC236}">
                <a16:creationId xmlns:a16="http://schemas.microsoft.com/office/drawing/2014/main" id="{00000000-0008-0000-0000-00000C000000}"/>
              </a:ext>
            </a:extLst>
          </xdr:cNvPr>
          <xdr:cNvSpPr/>
        </xdr:nvSpPr>
        <xdr:spPr>
          <a:xfrm>
            <a:off x="7326560" y="1141438"/>
            <a:ext cx="1494132" cy="524638"/>
          </a:xfrm>
          <a:prstGeom prst="snip2DiagRect">
            <a:avLst/>
          </a:prstGeom>
          <a:ln>
            <a:noFill/>
          </a:ln>
          <a:effectLst>
            <a:outerShdw blurRad="107950" dist="12700" dir="5400000" algn="ctr">
              <a:srgbClr val="000000"/>
            </a:outerShdw>
          </a:effectLst>
          <a:scene3d>
            <a:camera prst="orthographicFront">
              <a:rot lat="0" lon="0" rev="0"/>
            </a:camera>
            <a:lightRig rig="threePt" dir="t">
              <a:rot lat="0" lon="0" rev="1200000"/>
            </a:lightRig>
          </a:scene3d>
          <a:sp3d contourW="44450" prstMaterial="matte">
            <a:bevelT w="63500" h="63500" prst="artDeco"/>
            <a:contourClr>
              <a:srgbClr val="FFFFFF"/>
            </a:contourClr>
          </a:sp3d>
        </xdr:spPr>
        <xdr:style>
          <a:lnRef idx="0">
            <a:schemeClr val="accent4"/>
          </a:lnRef>
          <a:fillRef idx="3">
            <a:schemeClr val="accent4"/>
          </a:fillRef>
          <a:effectRef idx="3">
            <a:schemeClr val="accent4"/>
          </a:effectRef>
          <a:fontRef idx="minor">
            <a:schemeClr val="lt1"/>
          </a:fontRef>
        </xdr:style>
        <xdr:txBody>
          <a:bodyPr rtlCol="0" anchor="ctr"/>
          <a:lstStyle/>
          <a:p>
            <a:pPr algn="ctr"/>
            <a:r>
              <a:rPr lang="id-ID" sz="2000" b="1">
                <a:latin typeface="Gisha" pitchFamily="34" charset="-79"/>
                <a:cs typeface="Gisha" pitchFamily="34" charset="-79"/>
              </a:rPr>
              <a:t>Lager</a:t>
            </a:r>
          </a:p>
        </xdr:txBody>
      </xdr:sp>
    </xdr:grpSp>
    <xdr:clientData/>
  </xdr:twoCellAnchor>
  <xdr:twoCellAnchor>
    <xdr:from>
      <xdr:col>9</xdr:col>
      <xdr:colOff>83350</xdr:colOff>
      <xdr:row>19</xdr:row>
      <xdr:rowOff>52426</xdr:rowOff>
    </xdr:from>
    <xdr:to>
      <xdr:col>14</xdr:col>
      <xdr:colOff>533376</xdr:colOff>
      <xdr:row>26</xdr:row>
      <xdr:rowOff>128936</xdr:rowOff>
    </xdr:to>
    <xdr:grpSp>
      <xdr:nvGrpSpPr>
        <xdr:cNvPr id="22" name="Group 21">
          <a:extLst>
            <a:ext uri="{FF2B5EF4-FFF2-40B4-BE49-F238E27FC236}">
              <a16:creationId xmlns:a16="http://schemas.microsoft.com/office/drawing/2014/main" id="{00000000-0008-0000-0000-000016000000}"/>
            </a:ext>
          </a:extLst>
        </xdr:cNvPr>
        <xdr:cNvGrpSpPr/>
      </xdr:nvGrpSpPr>
      <xdr:grpSpPr>
        <a:xfrm>
          <a:off x="4495402" y="3026742"/>
          <a:ext cx="2417927" cy="1406416"/>
          <a:chOff x="3769525" y="3024226"/>
          <a:chExt cx="2412176" cy="1419535"/>
        </a:xfrm>
        <a:effectLst>
          <a:outerShdw blurRad="50800" dist="38100" dir="2700000" algn="tl" rotWithShape="0">
            <a:prstClr val="black">
              <a:alpha val="40000"/>
            </a:prstClr>
          </a:outerShdw>
        </a:effectLst>
        <a:scene3d>
          <a:camera prst="orthographicFront">
            <a:rot lat="0" lon="0" rev="0"/>
          </a:camera>
          <a:lightRig rig="soft" dir="t">
            <a:rot lat="0" lon="0" rev="0"/>
          </a:lightRig>
        </a:scene3d>
      </xdr:grpSpPr>
      <xdr:grpSp>
        <xdr:nvGrpSpPr>
          <xdr:cNvPr id="13" name="Group 12">
            <a:extLst>
              <a:ext uri="{FF2B5EF4-FFF2-40B4-BE49-F238E27FC236}">
                <a16:creationId xmlns:a16="http://schemas.microsoft.com/office/drawing/2014/main" id="{00000000-0008-0000-0000-00000D000000}"/>
              </a:ext>
            </a:extLst>
          </xdr:cNvPr>
          <xdr:cNvGrpSpPr/>
        </xdr:nvGrpSpPr>
        <xdr:grpSpPr>
          <a:xfrm>
            <a:off x="3769525" y="3026604"/>
            <a:ext cx="1145375" cy="1417157"/>
            <a:chOff x="4202905" y="3340933"/>
            <a:chExt cx="1498436" cy="1324288"/>
          </a:xfrm>
        </xdr:grpSpPr>
        <xdr:sp macro="[0]!mPel" textlink="">
          <xdr:nvSpPr>
            <xdr:cNvPr id="14" name="Snip Diagonal Corner Rectangle 13">
              <a:extLst>
                <a:ext uri="{FF2B5EF4-FFF2-40B4-BE49-F238E27FC236}">
                  <a16:creationId xmlns:a16="http://schemas.microsoft.com/office/drawing/2014/main" id="{00000000-0008-0000-0000-00000E000000}"/>
                </a:ext>
              </a:extLst>
            </xdr:cNvPr>
            <xdr:cNvSpPr/>
          </xdr:nvSpPr>
          <xdr:spPr>
            <a:xfrm>
              <a:off x="4202905" y="3340933"/>
              <a:ext cx="1484779" cy="529328"/>
            </a:xfrm>
            <a:prstGeom prst="snip2DiagRect">
              <a:avLst/>
            </a:prstGeom>
            <a:ln>
              <a:noFill/>
            </a:ln>
            <a:effectLst>
              <a:outerShdw blurRad="107950" dist="12700" dir="5400000" algn="ctr">
                <a:srgbClr val="000000"/>
              </a:outerShdw>
            </a:effectLst>
            <a:scene3d>
              <a:camera prst="orthographicFront">
                <a:rot lat="0" lon="0" rev="0"/>
              </a:camera>
              <a:lightRig rig="threePt" dir="t">
                <a:rot lat="0" lon="0" rev="1200000"/>
              </a:lightRig>
            </a:scene3d>
            <a:sp3d contourW="44450" prstMaterial="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300" b="1">
                  <a:latin typeface="Gisha" pitchFamily="34" charset="-79"/>
                  <a:cs typeface="Gisha" pitchFamily="34" charset="-79"/>
                </a:rPr>
                <a:t>Mata Pelajaran</a:t>
              </a:r>
            </a:p>
          </xdr:txBody>
        </xdr:sp>
        <xdr:sp macro="[0]!inputNilai" textlink="">
          <xdr:nvSpPr>
            <xdr:cNvPr id="15" name="Snip Diagonal Corner Rectangle 14">
              <a:extLst>
                <a:ext uri="{FF2B5EF4-FFF2-40B4-BE49-F238E27FC236}">
                  <a16:creationId xmlns:a16="http://schemas.microsoft.com/office/drawing/2014/main" id="{00000000-0008-0000-0000-00000F000000}"/>
                </a:ext>
              </a:extLst>
            </xdr:cNvPr>
            <xdr:cNvSpPr/>
          </xdr:nvSpPr>
          <xdr:spPr>
            <a:xfrm>
              <a:off x="4216562" y="4135893"/>
              <a:ext cx="1484779" cy="529328"/>
            </a:xfrm>
            <a:prstGeom prst="snip2DiagRect">
              <a:avLst/>
            </a:prstGeom>
            <a:ln>
              <a:noFill/>
            </a:ln>
            <a:effectLst>
              <a:outerShdw blurRad="107950" dist="12700" dir="5400000" algn="ctr">
                <a:srgbClr val="000000"/>
              </a:outerShdw>
            </a:effectLst>
            <a:scene3d>
              <a:camera prst="orthographicFront">
                <a:rot lat="0" lon="0" rev="0"/>
              </a:camera>
              <a:lightRig rig="threePt" dir="t">
                <a:rot lat="0" lon="0" rev="1200000"/>
              </a:lightRig>
            </a:scene3d>
            <a:sp3d contourW="44450" prstMaterial="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id-ID" sz="1300" b="1">
                  <a:solidFill>
                    <a:schemeClr val="lt1"/>
                  </a:solidFill>
                  <a:latin typeface="Gisha" pitchFamily="34" charset="-79"/>
                  <a:ea typeface="+mn-ea"/>
                  <a:cs typeface="Gisha" pitchFamily="34" charset="-79"/>
                </a:rPr>
                <a:t>Nilai</a:t>
              </a:r>
              <a:r>
                <a:rPr lang="id-ID" sz="1300" b="1" baseline="0">
                  <a:solidFill>
                    <a:schemeClr val="lt1"/>
                  </a:solidFill>
                  <a:latin typeface="Gisha" pitchFamily="34" charset="-79"/>
                  <a:ea typeface="+mn-ea"/>
                  <a:cs typeface="Gisha" pitchFamily="34" charset="-79"/>
                </a:rPr>
                <a:t> (exercise, UTS, UAS)</a:t>
              </a:r>
              <a:endParaRPr lang="id-ID" sz="1300" b="1">
                <a:solidFill>
                  <a:schemeClr val="lt1"/>
                </a:solidFill>
                <a:latin typeface="Gisha" pitchFamily="34" charset="-79"/>
                <a:ea typeface="+mn-ea"/>
                <a:cs typeface="Gisha" pitchFamily="34" charset="-79"/>
              </a:endParaRPr>
            </a:p>
          </xdr:txBody>
        </xdr:sp>
      </xdr:grpSp>
      <xdr:grpSp>
        <xdr:nvGrpSpPr>
          <xdr:cNvPr id="16" name="Group 15">
            <a:extLst>
              <a:ext uri="{FF2B5EF4-FFF2-40B4-BE49-F238E27FC236}">
                <a16:creationId xmlns:a16="http://schemas.microsoft.com/office/drawing/2014/main" id="{00000000-0008-0000-0000-000010000000}"/>
              </a:ext>
            </a:extLst>
          </xdr:cNvPr>
          <xdr:cNvGrpSpPr/>
        </xdr:nvGrpSpPr>
        <xdr:grpSpPr>
          <a:xfrm>
            <a:off x="5033946" y="3024226"/>
            <a:ext cx="1147755" cy="1417157"/>
            <a:chOff x="4202905" y="3340933"/>
            <a:chExt cx="1498436" cy="1324288"/>
          </a:xfrm>
        </xdr:grpSpPr>
        <xdr:sp macro="[0]!Worksheet" textlink="">
          <xdr:nvSpPr>
            <xdr:cNvPr id="17" name="Snip Diagonal Corner Rectangle 16">
              <a:extLst>
                <a:ext uri="{FF2B5EF4-FFF2-40B4-BE49-F238E27FC236}">
                  <a16:creationId xmlns:a16="http://schemas.microsoft.com/office/drawing/2014/main" id="{00000000-0008-0000-0000-000011000000}"/>
                </a:ext>
              </a:extLst>
            </xdr:cNvPr>
            <xdr:cNvSpPr/>
          </xdr:nvSpPr>
          <xdr:spPr>
            <a:xfrm>
              <a:off x="4202905" y="3340933"/>
              <a:ext cx="1484779" cy="529328"/>
            </a:xfrm>
            <a:prstGeom prst="snip2DiagRect">
              <a:avLst/>
            </a:prstGeom>
            <a:ln>
              <a:noFill/>
            </a:ln>
            <a:effectLst>
              <a:outerShdw blurRad="107950" dist="12700" dir="5400000" algn="ctr">
                <a:srgbClr val="000000"/>
              </a:outerShdw>
            </a:effectLst>
            <a:scene3d>
              <a:camera prst="orthographicFront">
                <a:rot lat="0" lon="0" rev="0"/>
              </a:camera>
              <a:lightRig rig="threePt" dir="t">
                <a:rot lat="0" lon="0" rev="1200000"/>
              </a:lightRig>
            </a:scene3d>
            <a:sp3d contourW="44450" prstMaterial="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300" b="1">
                  <a:latin typeface="Gisha" pitchFamily="34" charset="-79"/>
                  <a:cs typeface="Gisha" pitchFamily="34" charset="-79"/>
                </a:rPr>
                <a:t>Worksheet</a:t>
              </a:r>
            </a:p>
          </xdr:txBody>
        </xdr:sp>
        <xdr:sp macro="[0]!caTtan" textlink="">
          <xdr:nvSpPr>
            <xdr:cNvPr id="18" name="Snip Diagonal Corner Rectangle 17">
              <a:extLst>
                <a:ext uri="{FF2B5EF4-FFF2-40B4-BE49-F238E27FC236}">
                  <a16:creationId xmlns:a16="http://schemas.microsoft.com/office/drawing/2014/main" id="{00000000-0008-0000-0000-000012000000}"/>
                </a:ext>
              </a:extLst>
            </xdr:cNvPr>
            <xdr:cNvSpPr/>
          </xdr:nvSpPr>
          <xdr:spPr>
            <a:xfrm>
              <a:off x="4216562" y="4135893"/>
              <a:ext cx="1484779" cy="529328"/>
            </a:xfrm>
            <a:prstGeom prst="snip2DiagRect">
              <a:avLst/>
            </a:prstGeom>
            <a:ln>
              <a:noFill/>
            </a:ln>
            <a:effectLst>
              <a:outerShdw blurRad="107950" dist="12700" dir="5400000" algn="ctr">
                <a:srgbClr val="000000"/>
              </a:outerShdw>
            </a:effectLst>
            <a:scene3d>
              <a:camera prst="orthographicFront">
                <a:rot lat="0" lon="0" rev="0"/>
              </a:camera>
              <a:lightRig rig="threePt" dir="t">
                <a:rot lat="0" lon="0" rev="1200000"/>
              </a:lightRig>
            </a:scene3d>
            <a:sp3d contourW="44450" prstMaterial="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300" b="1">
                  <a:latin typeface="Gisha" pitchFamily="34" charset="-79"/>
                  <a:cs typeface="Gisha" pitchFamily="34" charset="-79"/>
                </a:rPr>
                <a:t>Catatan</a:t>
              </a:r>
              <a:r>
                <a:rPr lang="id-ID" sz="1300" b="1" baseline="0">
                  <a:latin typeface="Gisha" pitchFamily="34" charset="-79"/>
                  <a:cs typeface="Gisha" pitchFamily="34" charset="-79"/>
                </a:rPr>
                <a:t> </a:t>
              </a:r>
              <a:endParaRPr lang="id-ID" sz="1300" b="1">
                <a:latin typeface="Gisha" pitchFamily="34" charset="-79"/>
                <a:cs typeface="Gisha" pitchFamily="34" charset="-79"/>
              </a:endParaRPr>
            </a:p>
          </xdr:txBody>
        </xdr:sp>
      </xdr:grpSp>
    </xdr:grpSp>
    <xdr:clientData/>
  </xdr:twoCellAnchor>
  <xdr:twoCellAnchor>
    <xdr:from>
      <xdr:col>21</xdr:col>
      <xdr:colOff>416717</xdr:colOff>
      <xdr:row>18</xdr:row>
      <xdr:rowOff>90527</xdr:rowOff>
    </xdr:from>
    <xdr:to>
      <xdr:col>25</xdr:col>
      <xdr:colOff>57692</xdr:colOff>
      <xdr:row>28</xdr:row>
      <xdr:rowOff>76200</xdr:rowOff>
    </xdr:to>
    <xdr:grpSp>
      <xdr:nvGrpSpPr>
        <xdr:cNvPr id="19" name="Group 18">
          <a:extLst>
            <a:ext uri="{FF2B5EF4-FFF2-40B4-BE49-F238E27FC236}">
              <a16:creationId xmlns:a16="http://schemas.microsoft.com/office/drawing/2014/main" id="{00000000-0008-0000-0000-000013000000}"/>
            </a:ext>
          </a:extLst>
        </xdr:cNvPr>
        <xdr:cNvGrpSpPr/>
      </xdr:nvGrpSpPr>
      <xdr:grpSpPr>
        <a:xfrm>
          <a:off x="8054689" y="2876140"/>
          <a:ext cx="1510031" cy="1890673"/>
          <a:chOff x="7312817" y="471527"/>
          <a:chExt cx="1507875" cy="1194549"/>
        </a:xfrm>
        <a:effectLst>
          <a:outerShdw blurRad="50800" dist="38100" dir="2700000" algn="tl" rotWithShape="0">
            <a:prstClr val="black">
              <a:alpha val="40000"/>
            </a:prstClr>
          </a:outerShdw>
        </a:effectLst>
        <a:scene3d>
          <a:camera prst="orthographicFront">
            <a:rot lat="0" lon="0" rev="0"/>
          </a:camera>
          <a:lightRig rig="soft" dir="t">
            <a:rot lat="0" lon="0" rev="0"/>
          </a:lightRig>
        </a:scene3d>
      </xdr:grpSpPr>
      <xdr:sp macro="[0]!RUts" textlink="">
        <xdr:nvSpPr>
          <xdr:cNvPr id="20" name="Snip Diagonal Corner Rectangle 19">
            <a:extLst>
              <a:ext uri="{FF2B5EF4-FFF2-40B4-BE49-F238E27FC236}">
                <a16:creationId xmlns:a16="http://schemas.microsoft.com/office/drawing/2014/main" id="{00000000-0008-0000-0000-000014000000}"/>
              </a:ext>
            </a:extLst>
          </xdr:cNvPr>
          <xdr:cNvSpPr/>
        </xdr:nvSpPr>
        <xdr:spPr>
          <a:xfrm>
            <a:off x="7312817" y="471527"/>
            <a:ext cx="1494132" cy="524638"/>
          </a:xfrm>
          <a:prstGeom prst="snip2DiagRect">
            <a:avLst/>
          </a:prstGeom>
          <a:ln>
            <a:noFill/>
          </a:ln>
          <a:effectLst>
            <a:outerShdw blurRad="107950" dist="12700" dir="5400000" algn="ctr">
              <a:srgbClr val="000000"/>
            </a:outerShdw>
          </a:effectLst>
          <a:scene3d>
            <a:camera prst="orthographicFront">
              <a:rot lat="0" lon="0" rev="0"/>
            </a:camera>
            <a:lightRig rig="threePt" dir="t">
              <a:rot lat="0" lon="0" rev="1200000"/>
            </a:lightRig>
          </a:scene3d>
          <a:sp3d contourW="44450" prstMaterial="matte">
            <a:bevelT w="63500" h="63500" prst="artDeco"/>
            <a:contourClr>
              <a:srgbClr val="FFFFFF"/>
            </a:contourClr>
          </a:sp3d>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2000" b="1">
                <a:latin typeface="Gisha" pitchFamily="34" charset="-79"/>
                <a:cs typeface="Gisha" pitchFamily="34" charset="-79"/>
              </a:rPr>
              <a:t>UTS</a:t>
            </a:r>
          </a:p>
        </xdr:txBody>
      </xdr:sp>
      <xdr:sp macro="[0]!RUas" textlink="">
        <xdr:nvSpPr>
          <xdr:cNvPr id="21" name="Snip Diagonal Corner Rectangle 20">
            <a:extLst>
              <a:ext uri="{FF2B5EF4-FFF2-40B4-BE49-F238E27FC236}">
                <a16:creationId xmlns:a16="http://schemas.microsoft.com/office/drawing/2014/main" id="{00000000-0008-0000-0000-000015000000}"/>
              </a:ext>
            </a:extLst>
          </xdr:cNvPr>
          <xdr:cNvSpPr/>
        </xdr:nvSpPr>
        <xdr:spPr>
          <a:xfrm>
            <a:off x="7326560" y="1141438"/>
            <a:ext cx="1494132" cy="524638"/>
          </a:xfrm>
          <a:prstGeom prst="snip2DiagRect">
            <a:avLst/>
          </a:prstGeom>
          <a:ln>
            <a:noFill/>
          </a:ln>
          <a:effectLst>
            <a:outerShdw blurRad="107950" dist="12700" dir="5400000" algn="ctr">
              <a:srgbClr val="000000"/>
            </a:outerShdw>
          </a:effectLst>
          <a:scene3d>
            <a:camera prst="orthographicFront">
              <a:rot lat="0" lon="0" rev="0"/>
            </a:camera>
            <a:lightRig rig="threePt" dir="t">
              <a:rot lat="0" lon="0" rev="1200000"/>
            </a:lightRig>
          </a:scene3d>
          <a:sp3d contourW="44450" prstMaterial="matte">
            <a:bevelT w="63500" h="63500" prst="artDeco"/>
            <a:contourClr>
              <a:srgbClr val="FFFFFF"/>
            </a:contourClr>
          </a:sp3d>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2000" b="1">
                <a:latin typeface="Gisha" pitchFamily="34" charset="-79"/>
                <a:cs typeface="Gisha" pitchFamily="34" charset="-79"/>
              </a:rPr>
              <a:t>UAS</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124910</xdr:colOff>
      <xdr:row>3</xdr:row>
      <xdr:rowOff>0</xdr:rowOff>
    </xdr:from>
    <xdr:to>
      <xdr:col>0</xdr:col>
      <xdr:colOff>939851</xdr:colOff>
      <xdr:row>4</xdr:row>
      <xdr:rowOff>76200</xdr:rowOff>
    </xdr:to>
    <xdr:sp macro="[0]!depan" textlink="">
      <xdr:nvSpPr>
        <xdr:cNvPr id="2" name="Hexagon 1">
          <a:extLst>
            <a:ext uri="{FF2B5EF4-FFF2-40B4-BE49-F238E27FC236}">
              <a16:creationId xmlns:a16="http://schemas.microsoft.com/office/drawing/2014/main" id="{00000000-0008-0000-0100-000002000000}"/>
            </a:ext>
          </a:extLst>
        </xdr:cNvPr>
        <xdr:cNvSpPr/>
      </xdr:nvSpPr>
      <xdr:spPr>
        <a:xfrm>
          <a:off x="124910" y="581025"/>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0</xdr:col>
      <xdr:colOff>114300</xdr:colOff>
      <xdr:row>4</xdr:row>
      <xdr:rowOff>116416</xdr:rowOff>
    </xdr:from>
    <xdr:to>
      <xdr:col>0</xdr:col>
      <xdr:colOff>929241</xdr:colOff>
      <xdr:row>6</xdr:row>
      <xdr:rowOff>59266</xdr:rowOff>
    </xdr:to>
    <xdr:sp macro="[0]!Worksheet" textlink="">
      <xdr:nvSpPr>
        <xdr:cNvPr id="3" name="Hexagon 2">
          <a:extLst>
            <a:ext uri="{FF2B5EF4-FFF2-40B4-BE49-F238E27FC236}">
              <a16:creationId xmlns:a16="http://schemas.microsoft.com/office/drawing/2014/main" id="{00000000-0008-0000-0100-000003000000}"/>
            </a:ext>
          </a:extLst>
        </xdr:cNvPr>
        <xdr:cNvSpPr/>
      </xdr:nvSpPr>
      <xdr:spPr>
        <a:xfrm>
          <a:off x="114300" y="983191"/>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WORKSHEET</a:t>
          </a:r>
        </a:p>
      </xdr:txBody>
    </xdr:sp>
    <xdr:clientData/>
  </xdr:twoCellAnchor>
  <xdr:twoCellAnchor>
    <xdr:from>
      <xdr:col>0</xdr:col>
      <xdr:colOff>104775</xdr:colOff>
      <xdr:row>6</xdr:row>
      <xdr:rowOff>97366</xdr:rowOff>
    </xdr:from>
    <xdr:to>
      <xdr:col>0</xdr:col>
      <xdr:colOff>919716</xdr:colOff>
      <xdr:row>8</xdr:row>
      <xdr:rowOff>40216</xdr:rowOff>
    </xdr:to>
    <xdr:sp macro="[0]!inputNilai" textlink="">
      <xdr:nvSpPr>
        <xdr:cNvPr id="5" name="Hexagon 4">
          <a:extLst>
            <a:ext uri="{FF2B5EF4-FFF2-40B4-BE49-F238E27FC236}">
              <a16:creationId xmlns:a16="http://schemas.microsoft.com/office/drawing/2014/main" id="{00000000-0008-0000-0100-000005000000}"/>
            </a:ext>
          </a:extLst>
        </xdr:cNvPr>
        <xdr:cNvSpPr/>
      </xdr:nvSpPr>
      <xdr:spPr>
        <a:xfrm>
          <a:off x="104775" y="1383241"/>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NILAI </a:t>
          </a:r>
          <a:r>
            <a:rPr lang="id-ID" sz="600" b="1"/>
            <a:t>(Ex,UTS,UAS)</a:t>
          </a:r>
          <a:endParaRPr lang="id-ID"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416717</xdr:colOff>
      <xdr:row>6</xdr:row>
      <xdr:rowOff>90527</xdr:rowOff>
    </xdr:from>
    <xdr:to>
      <xdr:col>6</xdr:col>
      <xdr:colOff>43949</xdr:colOff>
      <xdr:row>9</xdr:row>
      <xdr:rowOff>65106</xdr:rowOff>
    </xdr:to>
    <xdr:sp macro="[0]!WsAlquran" textlink="">
      <xdr:nvSpPr>
        <xdr:cNvPr id="2" name="Snip Diagonal Corner Rectangle 1">
          <a:extLst>
            <a:ext uri="{FF2B5EF4-FFF2-40B4-BE49-F238E27FC236}">
              <a16:creationId xmlns:a16="http://schemas.microsoft.com/office/drawing/2014/main" id="{00000000-0008-0000-0200-000002000000}"/>
            </a:ext>
          </a:extLst>
        </xdr:cNvPr>
        <xdr:cNvSpPr/>
      </xdr:nvSpPr>
      <xdr:spPr>
        <a:xfrm>
          <a:off x="702467" y="862052"/>
          <a:ext cx="1456032" cy="546079"/>
        </a:xfrm>
        <a:prstGeom prst="snip2Diag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id-ID" sz="1300" b="1">
              <a:latin typeface="Gisha" pitchFamily="34" charset="-79"/>
              <a:cs typeface="Gisha" pitchFamily="34" charset="-79"/>
            </a:rPr>
            <a:t>Al Qur'an</a:t>
          </a:r>
        </a:p>
      </xdr:txBody>
    </xdr:sp>
    <xdr:clientData/>
  </xdr:twoCellAnchor>
  <xdr:twoCellAnchor>
    <xdr:from>
      <xdr:col>3</xdr:col>
      <xdr:colOff>430460</xdr:colOff>
      <xdr:row>10</xdr:row>
      <xdr:rowOff>25817</xdr:rowOff>
    </xdr:from>
    <xdr:to>
      <xdr:col>6</xdr:col>
      <xdr:colOff>57692</xdr:colOff>
      <xdr:row>13</xdr:row>
      <xdr:rowOff>396</xdr:rowOff>
    </xdr:to>
    <xdr:sp macro="[0]!WsAkidah" textlink="">
      <xdr:nvSpPr>
        <xdr:cNvPr id="3" name="Snip Diagonal Corner Rectangle 2">
          <a:extLst>
            <a:ext uri="{FF2B5EF4-FFF2-40B4-BE49-F238E27FC236}">
              <a16:creationId xmlns:a16="http://schemas.microsoft.com/office/drawing/2014/main" id="{00000000-0008-0000-0200-000003000000}"/>
            </a:ext>
          </a:extLst>
        </xdr:cNvPr>
        <xdr:cNvSpPr/>
      </xdr:nvSpPr>
      <xdr:spPr>
        <a:xfrm>
          <a:off x="716210" y="1559342"/>
          <a:ext cx="1456032" cy="546079"/>
        </a:xfrm>
        <a:prstGeom prst="snip2Diag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id-ID" sz="1300" b="1">
              <a:latin typeface="Gisha" pitchFamily="34" charset="-79"/>
              <a:cs typeface="Gisha" pitchFamily="34" charset="-79"/>
            </a:rPr>
            <a:t>Aqidah Akhlaq</a:t>
          </a:r>
        </a:p>
      </xdr:txBody>
    </xdr:sp>
    <xdr:clientData/>
  </xdr:twoCellAnchor>
  <xdr:twoCellAnchor>
    <xdr:from>
      <xdr:col>3</xdr:col>
      <xdr:colOff>444204</xdr:colOff>
      <xdr:row>13</xdr:row>
      <xdr:rowOff>151607</xdr:rowOff>
    </xdr:from>
    <xdr:to>
      <xdr:col>6</xdr:col>
      <xdr:colOff>71436</xdr:colOff>
      <xdr:row>16</xdr:row>
      <xdr:rowOff>126186</xdr:rowOff>
    </xdr:to>
    <xdr:sp macro="[0]!WsFiqih" textlink="">
      <xdr:nvSpPr>
        <xdr:cNvPr id="4" name="Snip Diagonal Corner Rectangle 3">
          <a:extLst>
            <a:ext uri="{FF2B5EF4-FFF2-40B4-BE49-F238E27FC236}">
              <a16:creationId xmlns:a16="http://schemas.microsoft.com/office/drawing/2014/main" id="{00000000-0008-0000-0200-000004000000}"/>
            </a:ext>
          </a:extLst>
        </xdr:cNvPr>
        <xdr:cNvSpPr/>
      </xdr:nvSpPr>
      <xdr:spPr>
        <a:xfrm>
          <a:off x="729954" y="2256632"/>
          <a:ext cx="1456032" cy="546079"/>
        </a:xfrm>
        <a:prstGeom prst="snip2Diag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id-ID" sz="1300" b="1">
              <a:latin typeface="Gisha" pitchFamily="34" charset="-79"/>
              <a:cs typeface="Gisha" pitchFamily="34" charset="-79"/>
            </a:rPr>
            <a:t>Fiqih</a:t>
          </a:r>
        </a:p>
      </xdr:txBody>
    </xdr:sp>
    <xdr:clientData/>
  </xdr:twoCellAnchor>
  <xdr:twoCellAnchor>
    <xdr:from>
      <xdr:col>9</xdr:col>
      <xdr:colOff>152400</xdr:colOff>
      <xdr:row>6</xdr:row>
      <xdr:rowOff>90527</xdr:rowOff>
    </xdr:from>
    <xdr:to>
      <xdr:col>11</xdr:col>
      <xdr:colOff>428625</xdr:colOff>
      <xdr:row>9</xdr:row>
      <xdr:rowOff>65106</xdr:rowOff>
    </xdr:to>
    <xdr:sp macro="[0]!WsPkn" textlink="">
      <xdr:nvSpPr>
        <xdr:cNvPr id="5" name="Snip Diagonal Corner Rectangle 4">
          <a:extLst>
            <a:ext uri="{FF2B5EF4-FFF2-40B4-BE49-F238E27FC236}">
              <a16:creationId xmlns:a16="http://schemas.microsoft.com/office/drawing/2014/main" id="{00000000-0008-0000-0200-000005000000}"/>
            </a:ext>
          </a:extLst>
        </xdr:cNvPr>
        <xdr:cNvSpPr/>
      </xdr:nvSpPr>
      <xdr:spPr>
        <a:xfrm>
          <a:off x="3067050" y="862052"/>
          <a:ext cx="1495425" cy="546079"/>
        </a:xfrm>
        <a:prstGeom prst="snip2Diag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300" b="1">
              <a:latin typeface="Gisha" pitchFamily="34" charset="-79"/>
              <a:cs typeface="Gisha" pitchFamily="34" charset="-79"/>
            </a:rPr>
            <a:t>PKN</a:t>
          </a:r>
        </a:p>
      </xdr:txBody>
    </xdr:sp>
    <xdr:clientData/>
  </xdr:twoCellAnchor>
  <xdr:twoCellAnchor>
    <xdr:from>
      <xdr:col>9</xdr:col>
      <xdr:colOff>166143</xdr:colOff>
      <xdr:row>10</xdr:row>
      <xdr:rowOff>25817</xdr:rowOff>
    </xdr:from>
    <xdr:to>
      <xdr:col>11</xdr:col>
      <xdr:colOff>419100</xdr:colOff>
      <xdr:row>13</xdr:row>
      <xdr:rowOff>396</xdr:rowOff>
    </xdr:to>
    <xdr:sp macro="[0]!WsArab" textlink="">
      <xdr:nvSpPr>
        <xdr:cNvPr id="6" name="Snip Diagonal Corner Rectangle 5">
          <a:extLst>
            <a:ext uri="{FF2B5EF4-FFF2-40B4-BE49-F238E27FC236}">
              <a16:creationId xmlns:a16="http://schemas.microsoft.com/office/drawing/2014/main" id="{00000000-0008-0000-0200-000006000000}"/>
            </a:ext>
          </a:extLst>
        </xdr:cNvPr>
        <xdr:cNvSpPr/>
      </xdr:nvSpPr>
      <xdr:spPr>
        <a:xfrm>
          <a:off x="3080793" y="1559342"/>
          <a:ext cx="1472157" cy="546079"/>
        </a:xfrm>
        <a:prstGeom prst="snip2Diag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300" b="1">
              <a:latin typeface="Gisha" pitchFamily="34" charset="-79"/>
              <a:cs typeface="Gisha" pitchFamily="34" charset="-79"/>
            </a:rPr>
            <a:t>B.Arab</a:t>
          </a:r>
        </a:p>
      </xdr:txBody>
    </xdr:sp>
    <xdr:clientData/>
  </xdr:twoCellAnchor>
  <xdr:twoCellAnchor>
    <xdr:from>
      <xdr:col>9</xdr:col>
      <xdr:colOff>179887</xdr:colOff>
      <xdr:row>13</xdr:row>
      <xdr:rowOff>151607</xdr:rowOff>
    </xdr:from>
    <xdr:to>
      <xdr:col>11</xdr:col>
      <xdr:colOff>432844</xdr:colOff>
      <xdr:row>16</xdr:row>
      <xdr:rowOff>126186</xdr:rowOff>
    </xdr:to>
    <xdr:sp macro="[0]!WsIpa" textlink="">
      <xdr:nvSpPr>
        <xdr:cNvPr id="7" name="Snip Diagonal Corner Rectangle 6">
          <a:extLst>
            <a:ext uri="{FF2B5EF4-FFF2-40B4-BE49-F238E27FC236}">
              <a16:creationId xmlns:a16="http://schemas.microsoft.com/office/drawing/2014/main" id="{00000000-0008-0000-0200-000007000000}"/>
            </a:ext>
          </a:extLst>
        </xdr:cNvPr>
        <xdr:cNvSpPr/>
      </xdr:nvSpPr>
      <xdr:spPr>
        <a:xfrm>
          <a:off x="3094537" y="2256632"/>
          <a:ext cx="1472157" cy="546079"/>
        </a:xfrm>
        <a:prstGeom prst="snip2Diag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300" b="1">
              <a:latin typeface="Gisha" pitchFamily="34" charset="-79"/>
              <a:cs typeface="Gisha" pitchFamily="34" charset="-79"/>
            </a:rPr>
            <a:t>IPA</a:t>
          </a:r>
        </a:p>
      </xdr:txBody>
    </xdr:sp>
    <xdr:clientData/>
  </xdr:twoCellAnchor>
  <xdr:twoCellAnchor>
    <xdr:from>
      <xdr:col>17</xdr:col>
      <xdr:colOff>416717</xdr:colOff>
      <xdr:row>6</xdr:row>
      <xdr:rowOff>90527</xdr:rowOff>
    </xdr:from>
    <xdr:to>
      <xdr:col>20</xdr:col>
      <xdr:colOff>43949</xdr:colOff>
      <xdr:row>9</xdr:row>
      <xdr:rowOff>65106</xdr:rowOff>
    </xdr:to>
    <xdr:sp macro="[0]!WsJawa" textlink="">
      <xdr:nvSpPr>
        <xdr:cNvPr id="8" name="Snip Diagonal Corner Rectangle 7">
          <a:extLst>
            <a:ext uri="{FF2B5EF4-FFF2-40B4-BE49-F238E27FC236}">
              <a16:creationId xmlns:a16="http://schemas.microsoft.com/office/drawing/2014/main" id="{00000000-0008-0000-0200-000008000000}"/>
            </a:ext>
          </a:extLst>
        </xdr:cNvPr>
        <xdr:cNvSpPr/>
      </xdr:nvSpPr>
      <xdr:spPr>
        <a:xfrm>
          <a:off x="7179467" y="862052"/>
          <a:ext cx="1456032" cy="546079"/>
        </a:xfrm>
        <a:prstGeom prst="snip2Diag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accent4"/>
        </a:lnRef>
        <a:fillRef idx="3">
          <a:schemeClr val="accent4"/>
        </a:fillRef>
        <a:effectRef idx="3">
          <a:schemeClr val="accent4"/>
        </a:effectRef>
        <a:fontRef idx="minor">
          <a:schemeClr val="lt1"/>
        </a:fontRef>
      </xdr:style>
      <xdr:txBody>
        <a:bodyPr rtlCol="0" anchor="ctr"/>
        <a:lstStyle/>
        <a:p>
          <a:pPr algn="ctr"/>
          <a:r>
            <a:rPr lang="id-ID" sz="1300" b="1">
              <a:latin typeface="Gisha" pitchFamily="34" charset="-79"/>
              <a:cs typeface="Gisha" pitchFamily="34" charset="-79"/>
            </a:rPr>
            <a:t>B.Jawa</a:t>
          </a:r>
        </a:p>
      </xdr:txBody>
    </xdr:sp>
    <xdr:clientData/>
  </xdr:twoCellAnchor>
  <xdr:twoCellAnchor>
    <xdr:from>
      <xdr:col>17</xdr:col>
      <xdr:colOff>430460</xdr:colOff>
      <xdr:row>10</xdr:row>
      <xdr:rowOff>25817</xdr:rowOff>
    </xdr:from>
    <xdr:to>
      <xdr:col>20</xdr:col>
      <xdr:colOff>57692</xdr:colOff>
      <xdr:row>13</xdr:row>
      <xdr:rowOff>396</xdr:rowOff>
    </xdr:to>
    <xdr:sp macro="[0]!WsIng" textlink="">
      <xdr:nvSpPr>
        <xdr:cNvPr id="9" name="Snip Diagonal Corner Rectangle 8">
          <a:extLst>
            <a:ext uri="{FF2B5EF4-FFF2-40B4-BE49-F238E27FC236}">
              <a16:creationId xmlns:a16="http://schemas.microsoft.com/office/drawing/2014/main" id="{00000000-0008-0000-0200-000009000000}"/>
            </a:ext>
          </a:extLst>
        </xdr:cNvPr>
        <xdr:cNvSpPr/>
      </xdr:nvSpPr>
      <xdr:spPr>
        <a:xfrm>
          <a:off x="7193210" y="1559342"/>
          <a:ext cx="1456032" cy="546079"/>
        </a:xfrm>
        <a:prstGeom prst="snip2Diag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accent4"/>
        </a:lnRef>
        <a:fillRef idx="3">
          <a:schemeClr val="accent4"/>
        </a:fillRef>
        <a:effectRef idx="3">
          <a:schemeClr val="accent4"/>
        </a:effectRef>
        <a:fontRef idx="minor">
          <a:schemeClr val="lt1"/>
        </a:fontRef>
      </xdr:style>
      <xdr:txBody>
        <a:bodyPr rtlCol="0" anchor="ctr"/>
        <a:lstStyle/>
        <a:p>
          <a:pPr algn="ctr"/>
          <a:r>
            <a:rPr lang="id-ID" sz="1300" b="1">
              <a:latin typeface="Gisha" pitchFamily="34" charset="-79"/>
              <a:cs typeface="Gisha" pitchFamily="34" charset="-79"/>
            </a:rPr>
            <a:t>B.Inggris</a:t>
          </a:r>
        </a:p>
      </xdr:txBody>
    </xdr:sp>
    <xdr:clientData/>
  </xdr:twoCellAnchor>
  <xdr:twoCellAnchor>
    <xdr:from>
      <xdr:col>17</xdr:col>
      <xdr:colOff>444204</xdr:colOff>
      <xdr:row>13</xdr:row>
      <xdr:rowOff>151607</xdr:rowOff>
    </xdr:from>
    <xdr:to>
      <xdr:col>20</xdr:col>
      <xdr:colOff>71436</xdr:colOff>
      <xdr:row>16</xdr:row>
      <xdr:rowOff>126186</xdr:rowOff>
    </xdr:to>
    <xdr:sp macro="[0]!WsTik" textlink="">
      <xdr:nvSpPr>
        <xdr:cNvPr id="10" name="Snip Diagonal Corner Rectangle 9">
          <a:extLst>
            <a:ext uri="{FF2B5EF4-FFF2-40B4-BE49-F238E27FC236}">
              <a16:creationId xmlns:a16="http://schemas.microsoft.com/office/drawing/2014/main" id="{00000000-0008-0000-0200-00000A000000}"/>
            </a:ext>
          </a:extLst>
        </xdr:cNvPr>
        <xdr:cNvSpPr/>
      </xdr:nvSpPr>
      <xdr:spPr>
        <a:xfrm>
          <a:off x="7206954" y="2256632"/>
          <a:ext cx="1456032" cy="546079"/>
        </a:xfrm>
        <a:prstGeom prst="snip2DiagRect">
          <a:avLst/>
        </a:prstGeom>
        <a:solidFill>
          <a:srgbClr val="7030A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accent4"/>
        </a:lnRef>
        <a:fillRef idx="3">
          <a:schemeClr val="accent4"/>
        </a:fillRef>
        <a:effectRef idx="3">
          <a:schemeClr val="accent4"/>
        </a:effectRef>
        <a:fontRef idx="minor">
          <a:schemeClr val="lt1"/>
        </a:fontRef>
      </xdr:style>
      <xdr:txBody>
        <a:bodyPr rtlCol="0" anchor="ctr"/>
        <a:lstStyle/>
        <a:p>
          <a:pPr algn="ctr"/>
          <a:r>
            <a:rPr lang="id-ID" sz="1300" b="1">
              <a:latin typeface="Gisha" pitchFamily="34" charset="-79"/>
              <a:cs typeface="Gisha" pitchFamily="34" charset="-79"/>
            </a:rPr>
            <a:t>TIK</a:t>
          </a:r>
        </a:p>
      </xdr:txBody>
    </xdr:sp>
    <xdr:clientData/>
  </xdr:twoCellAnchor>
  <xdr:twoCellAnchor>
    <xdr:from>
      <xdr:col>12</xdr:col>
      <xdr:colOff>16667</xdr:colOff>
      <xdr:row>6</xdr:row>
      <xdr:rowOff>81002</xdr:rowOff>
    </xdr:from>
    <xdr:to>
      <xdr:col>14</xdr:col>
      <xdr:colOff>291599</xdr:colOff>
      <xdr:row>9</xdr:row>
      <xdr:rowOff>55581</xdr:rowOff>
    </xdr:to>
    <xdr:sp macro="[0]!WsInd" textlink="">
      <xdr:nvSpPr>
        <xdr:cNvPr id="11" name="Snip Diagonal Corner Rectangle 10">
          <a:extLst>
            <a:ext uri="{FF2B5EF4-FFF2-40B4-BE49-F238E27FC236}">
              <a16:creationId xmlns:a16="http://schemas.microsoft.com/office/drawing/2014/main" id="{00000000-0008-0000-0200-00000B000000}"/>
            </a:ext>
          </a:extLst>
        </xdr:cNvPr>
        <xdr:cNvSpPr/>
      </xdr:nvSpPr>
      <xdr:spPr>
        <a:xfrm>
          <a:off x="4760117" y="852527"/>
          <a:ext cx="1494132" cy="546079"/>
        </a:xfrm>
        <a:prstGeom prst="snip2Diag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300" b="1">
              <a:latin typeface="Gisha" pitchFamily="34" charset="-79"/>
              <a:cs typeface="Gisha" pitchFamily="34" charset="-79"/>
            </a:rPr>
            <a:t>B.Indonesia</a:t>
          </a:r>
        </a:p>
      </xdr:txBody>
    </xdr:sp>
    <xdr:clientData/>
  </xdr:twoCellAnchor>
  <xdr:twoCellAnchor>
    <xdr:from>
      <xdr:col>12</xdr:col>
      <xdr:colOff>39935</xdr:colOff>
      <xdr:row>10</xdr:row>
      <xdr:rowOff>35342</xdr:rowOff>
    </xdr:from>
    <xdr:to>
      <xdr:col>14</xdr:col>
      <xdr:colOff>314867</xdr:colOff>
      <xdr:row>13</xdr:row>
      <xdr:rowOff>9921</xdr:rowOff>
    </xdr:to>
    <xdr:sp macro="[0]!WsMtk" textlink="">
      <xdr:nvSpPr>
        <xdr:cNvPr id="12" name="Snip Diagonal Corner Rectangle 11">
          <a:extLst>
            <a:ext uri="{FF2B5EF4-FFF2-40B4-BE49-F238E27FC236}">
              <a16:creationId xmlns:a16="http://schemas.microsoft.com/office/drawing/2014/main" id="{00000000-0008-0000-0200-00000C000000}"/>
            </a:ext>
          </a:extLst>
        </xdr:cNvPr>
        <xdr:cNvSpPr/>
      </xdr:nvSpPr>
      <xdr:spPr>
        <a:xfrm>
          <a:off x="4783385" y="1568867"/>
          <a:ext cx="1494132" cy="546079"/>
        </a:xfrm>
        <a:prstGeom prst="snip2Diag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300" b="1">
              <a:latin typeface="Gisha" pitchFamily="34" charset="-79"/>
              <a:cs typeface="Gisha" pitchFamily="34" charset="-79"/>
            </a:rPr>
            <a:t>Matematika</a:t>
          </a:r>
        </a:p>
      </xdr:txBody>
    </xdr:sp>
    <xdr:clientData/>
  </xdr:twoCellAnchor>
  <xdr:twoCellAnchor>
    <xdr:from>
      <xdr:col>12</xdr:col>
      <xdr:colOff>53679</xdr:colOff>
      <xdr:row>13</xdr:row>
      <xdr:rowOff>161132</xdr:rowOff>
    </xdr:from>
    <xdr:to>
      <xdr:col>14</xdr:col>
      <xdr:colOff>328611</xdr:colOff>
      <xdr:row>16</xdr:row>
      <xdr:rowOff>135711</xdr:rowOff>
    </xdr:to>
    <xdr:sp macro="[0]!WsIps" textlink="">
      <xdr:nvSpPr>
        <xdr:cNvPr id="13" name="Snip Diagonal Corner Rectangle 12">
          <a:extLst>
            <a:ext uri="{FF2B5EF4-FFF2-40B4-BE49-F238E27FC236}">
              <a16:creationId xmlns:a16="http://schemas.microsoft.com/office/drawing/2014/main" id="{00000000-0008-0000-0200-00000D000000}"/>
            </a:ext>
          </a:extLst>
        </xdr:cNvPr>
        <xdr:cNvSpPr/>
      </xdr:nvSpPr>
      <xdr:spPr>
        <a:xfrm>
          <a:off x="4797129" y="2266157"/>
          <a:ext cx="1494132" cy="546079"/>
        </a:xfrm>
        <a:prstGeom prst="snip2Diag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300" b="1">
              <a:latin typeface="Gisha" pitchFamily="34" charset="-79"/>
              <a:cs typeface="Gisha" pitchFamily="34" charset="-79"/>
            </a:rPr>
            <a:t>IPS</a:t>
          </a:r>
        </a:p>
      </xdr:txBody>
    </xdr:sp>
    <xdr:clientData/>
  </xdr:twoCellAnchor>
  <xdr:twoCellAnchor>
    <xdr:from>
      <xdr:col>3</xdr:col>
      <xdr:colOff>453729</xdr:colOff>
      <xdr:row>17</xdr:row>
      <xdr:rowOff>65882</xdr:rowOff>
    </xdr:from>
    <xdr:to>
      <xdr:col>6</xdr:col>
      <xdr:colOff>80961</xdr:colOff>
      <xdr:row>20</xdr:row>
      <xdr:rowOff>40461</xdr:rowOff>
    </xdr:to>
    <xdr:sp macro="[0]!WsSki" textlink="">
      <xdr:nvSpPr>
        <xdr:cNvPr id="14" name="Snip Diagonal Corner Rectangle 13">
          <a:extLst>
            <a:ext uri="{FF2B5EF4-FFF2-40B4-BE49-F238E27FC236}">
              <a16:creationId xmlns:a16="http://schemas.microsoft.com/office/drawing/2014/main" id="{00000000-0008-0000-0200-00000E000000}"/>
            </a:ext>
          </a:extLst>
        </xdr:cNvPr>
        <xdr:cNvSpPr/>
      </xdr:nvSpPr>
      <xdr:spPr>
        <a:xfrm>
          <a:off x="739479" y="2932907"/>
          <a:ext cx="1456032" cy="546079"/>
        </a:xfrm>
        <a:prstGeom prst="snip2DiagRect">
          <a:avLst/>
        </a:prstGeom>
        <a:solidFill>
          <a:srgbClr val="0099CC"/>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id-ID" sz="1300" b="1">
              <a:ln>
                <a:noFill/>
              </a:ln>
              <a:solidFill>
                <a:schemeClr val="lt1"/>
              </a:solidFill>
              <a:latin typeface="Gisha" pitchFamily="34" charset="-79"/>
              <a:cs typeface="Gisha" pitchFamily="34" charset="-79"/>
            </a:rPr>
            <a:t>SKI</a:t>
          </a:r>
        </a:p>
      </xdr:txBody>
    </xdr:sp>
    <xdr:clientData/>
  </xdr:twoCellAnchor>
  <xdr:twoCellAnchor>
    <xdr:from>
      <xdr:col>9</xdr:col>
      <xdr:colOff>179887</xdr:colOff>
      <xdr:row>17</xdr:row>
      <xdr:rowOff>75407</xdr:rowOff>
    </xdr:from>
    <xdr:to>
      <xdr:col>11</xdr:col>
      <xdr:colOff>432844</xdr:colOff>
      <xdr:row>20</xdr:row>
      <xdr:rowOff>49986</xdr:rowOff>
    </xdr:to>
    <xdr:sp macro="[0]!WsSbk" textlink="">
      <xdr:nvSpPr>
        <xdr:cNvPr id="15" name="Snip Diagonal Corner Rectangle 14">
          <a:extLst>
            <a:ext uri="{FF2B5EF4-FFF2-40B4-BE49-F238E27FC236}">
              <a16:creationId xmlns:a16="http://schemas.microsoft.com/office/drawing/2014/main" id="{00000000-0008-0000-0200-00000F000000}"/>
            </a:ext>
          </a:extLst>
        </xdr:cNvPr>
        <xdr:cNvSpPr/>
      </xdr:nvSpPr>
      <xdr:spPr>
        <a:xfrm>
          <a:off x="3094537" y="2942432"/>
          <a:ext cx="1472157" cy="546079"/>
        </a:xfrm>
        <a:prstGeom prst="snip2Diag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300" b="1">
              <a:latin typeface="Gisha" pitchFamily="34" charset="-79"/>
              <a:cs typeface="Gisha" pitchFamily="34" charset="-79"/>
            </a:rPr>
            <a:t>SBK</a:t>
          </a:r>
        </a:p>
      </xdr:txBody>
    </xdr:sp>
    <xdr:clientData/>
  </xdr:twoCellAnchor>
  <xdr:twoCellAnchor>
    <xdr:from>
      <xdr:col>12</xdr:col>
      <xdr:colOff>53679</xdr:colOff>
      <xdr:row>17</xdr:row>
      <xdr:rowOff>84932</xdr:rowOff>
    </xdr:from>
    <xdr:to>
      <xdr:col>14</xdr:col>
      <xdr:colOff>328611</xdr:colOff>
      <xdr:row>20</xdr:row>
      <xdr:rowOff>59511</xdr:rowOff>
    </xdr:to>
    <xdr:sp macro="[0]!WsPenjas" textlink="">
      <xdr:nvSpPr>
        <xdr:cNvPr id="16" name="Snip Diagonal Corner Rectangle 15">
          <a:extLst>
            <a:ext uri="{FF2B5EF4-FFF2-40B4-BE49-F238E27FC236}">
              <a16:creationId xmlns:a16="http://schemas.microsoft.com/office/drawing/2014/main" id="{00000000-0008-0000-0200-000010000000}"/>
            </a:ext>
          </a:extLst>
        </xdr:cNvPr>
        <xdr:cNvSpPr/>
      </xdr:nvSpPr>
      <xdr:spPr>
        <a:xfrm>
          <a:off x="4797129" y="2951957"/>
          <a:ext cx="1494132" cy="546079"/>
        </a:xfrm>
        <a:prstGeom prst="snip2Diag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300" b="1">
              <a:latin typeface="Gisha" pitchFamily="34" charset="-79"/>
              <a:cs typeface="Gisha" pitchFamily="34" charset="-79"/>
            </a:rPr>
            <a:t>Penjaskes</a:t>
          </a:r>
        </a:p>
      </xdr:txBody>
    </xdr:sp>
    <xdr:clientData/>
  </xdr:twoCellAnchor>
  <xdr:twoCellAnchor>
    <xdr:from>
      <xdr:col>17</xdr:col>
      <xdr:colOff>434679</xdr:colOff>
      <xdr:row>17</xdr:row>
      <xdr:rowOff>75407</xdr:rowOff>
    </xdr:from>
    <xdr:to>
      <xdr:col>20</xdr:col>
      <xdr:colOff>61911</xdr:colOff>
      <xdr:row>20</xdr:row>
      <xdr:rowOff>49986</xdr:rowOff>
    </xdr:to>
    <xdr:sp macro="[0]!WsAswaja" textlink="">
      <xdr:nvSpPr>
        <xdr:cNvPr id="17" name="Snip Diagonal Corner Rectangle 16">
          <a:extLst>
            <a:ext uri="{FF2B5EF4-FFF2-40B4-BE49-F238E27FC236}">
              <a16:creationId xmlns:a16="http://schemas.microsoft.com/office/drawing/2014/main" id="{00000000-0008-0000-0200-000011000000}"/>
            </a:ext>
          </a:extLst>
        </xdr:cNvPr>
        <xdr:cNvSpPr/>
      </xdr:nvSpPr>
      <xdr:spPr>
        <a:xfrm>
          <a:off x="7197429" y="2942432"/>
          <a:ext cx="1456032" cy="546079"/>
        </a:xfrm>
        <a:prstGeom prst="snip2DiagRect">
          <a:avLst/>
        </a:prstGeom>
        <a:solidFill>
          <a:srgbClr val="7030A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accent4"/>
        </a:lnRef>
        <a:fillRef idx="3">
          <a:schemeClr val="accent4"/>
        </a:fillRef>
        <a:effectRef idx="3">
          <a:schemeClr val="accent4"/>
        </a:effectRef>
        <a:fontRef idx="minor">
          <a:schemeClr val="lt1"/>
        </a:fontRef>
      </xdr:style>
      <xdr:txBody>
        <a:bodyPr rtlCol="0" anchor="ctr"/>
        <a:lstStyle/>
        <a:p>
          <a:pPr algn="ctr"/>
          <a:r>
            <a:rPr lang="id-ID" sz="1300" b="1">
              <a:latin typeface="Gisha" pitchFamily="34" charset="-79"/>
              <a:cs typeface="Gisha" pitchFamily="34" charset="-79"/>
            </a:rPr>
            <a:t>Aswaja</a:t>
          </a:r>
        </a:p>
      </xdr:txBody>
    </xdr:sp>
    <xdr:clientData/>
  </xdr:twoCellAnchor>
  <xdr:twoCellAnchor>
    <xdr:from>
      <xdr:col>1</xdr:col>
      <xdr:colOff>38100</xdr:colOff>
      <xdr:row>1</xdr:row>
      <xdr:rowOff>9525</xdr:rowOff>
    </xdr:from>
    <xdr:to>
      <xdr:col>3</xdr:col>
      <xdr:colOff>593436</xdr:colOff>
      <xdr:row>2</xdr:row>
      <xdr:rowOff>180975</xdr:rowOff>
    </xdr:to>
    <xdr:sp macro="[0]!depan" textlink="">
      <xdr:nvSpPr>
        <xdr:cNvPr id="18" name="Hexagon 17">
          <a:extLst>
            <a:ext uri="{FF2B5EF4-FFF2-40B4-BE49-F238E27FC236}">
              <a16:creationId xmlns:a16="http://schemas.microsoft.com/office/drawing/2014/main" id="{00000000-0008-0000-0200-000012000000}"/>
            </a:ext>
          </a:extLst>
        </xdr:cNvPr>
        <xdr:cNvSpPr/>
      </xdr:nvSpPr>
      <xdr:spPr>
        <a:xfrm>
          <a:off x="133350" y="104775"/>
          <a:ext cx="745836"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3</xdr:col>
      <xdr:colOff>600075</xdr:colOff>
      <xdr:row>1</xdr:row>
      <xdr:rowOff>9525</xdr:rowOff>
    </xdr:from>
    <xdr:to>
      <xdr:col>5</xdr:col>
      <xdr:colOff>195816</xdr:colOff>
      <xdr:row>2</xdr:row>
      <xdr:rowOff>180975</xdr:rowOff>
    </xdr:to>
    <xdr:sp macro="[0]!inputNilai" textlink="">
      <xdr:nvSpPr>
        <xdr:cNvPr id="19" name="Hexagon 18">
          <a:extLst>
            <a:ext uri="{FF2B5EF4-FFF2-40B4-BE49-F238E27FC236}">
              <a16:creationId xmlns:a16="http://schemas.microsoft.com/office/drawing/2014/main" id="{00000000-0008-0000-0200-000013000000}"/>
            </a:ext>
          </a:extLst>
        </xdr:cNvPr>
        <xdr:cNvSpPr/>
      </xdr:nvSpPr>
      <xdr:spPr>
        <a:xfrm>
          <a:off x="885825" y="104775"/>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NILAI </a:t>
          </a:r>
          <a:r>
            <a:rPr lang="id-ID" sz="600" b="1"/>
            <a:t>(Ex,UTS,UAS)</a:t>
          </a:r>
          <a:endParaRPr lang="id-ID" sz="1100" b="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248735</xdr:colOff>
      <xdr:row>2</xdr:row>
      <xdr:rowOff>161925</xdr:rowOff>
    </xdr:from>
    <xdr:to>
      <xdr:col>1</xdr:col>
      <xdr:colOff>711251</xdr:colOff>
      <xdr:row>4</xdr:row>
      <xdr:rowOff>142875</xdr:rowOff>
    </xdr:to>
    <xdr:sp macro="[0]!depan" textlink="">
      <xdr:nvSpPr>
        <xdr:cNvPr id="4" name="Hexagon 3">
          <a:extLst>
            <a:ext uri="{FF2B5EF4-FFF2-40B4-BE49-F238E27FC236}">
              <a16:creationId xmlns:a16="http://schemas.microsoft.com/office/drawing/2014/main" id="{00000000-0008-0000-0300-000004000000}"/>
            </a:ext>
          </a:extLst>
        </xdr:cNvPr>
        <xdr:cNvSpPr/>
      </xdr:nvSpPr>
      <xdr:spPr>
        <a:xfrm>
          <a:off x="248735" y="590550"/>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0</xdr:col>
      <xdr:colOff>238125</xdr:colOff>
      <xdr:row>4</xdr:row>
      <xdr:rowOff>183091</xdr:rowOff>
    </xdr:from>
    <xdr:to>
      <xdr:col>1</xdr:col>
      <xdr:colOff>700641</xdr:colOff>
      <xdr:row>6</xdr:row>
      <xdr:rowOff>164041</xdr:rowOff>
    </xdr:to>
    <xdr:sp macro="[0]!identitasSiswa" textlink="">
      <xdr:nvSpPr>
        <xdr:cNvPr id="5" name="Hexagon 4">
          <a:extLst>
            <a:ext uri="{FF2B5EF4-FFF2-40B4-BE49-F238E27FC236}">
              <a16:creationId xmlns:a16="http://schemas.microsoft.com/office/drawing/2014/main" id="{00000000-0008-0000-0300-000005000000}"/>
            </a:ext>
          </a:extLst>
        </xdr:cNvPr>
        <xdr:cNvSpPr/>
      </xdr:nvSpPr>
      <xdr:spPr>
        <a:xfrm>
          <a:off x="238125" y="992716"/>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CETAK DATA</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371476</xdr:colOff>
      <xdr:row>34</xdr:row>
      <xdr:rowOff>76200</xdr:rowOff>
    </xdr:from>
    <xdr:to>
      <xdr:col>3</xdr:col>
      <xdr:colOff>1057276</xdr:colOff>
      <xdr:row>37</xdr:row>
      <xdr:rowOff>76200</xdr:rowOff>
    </xdr:to>
    <xdr:sp macro="" textlink="">
      <xdr:nvSpPr>
        <xdr:cNvPr id="2" name="Rectangle 1">
          <a:extLst>
            <a:ext uri="{FF2B5EF4-FFF2-40B4-BE49-F238E27FC236}">
              <a16:creationId xmlns:a16="http://schemas.microsoft.com/office/drawing/2014/main" id="{00000000-0008-0000-0400-000002000000}"/>
            </a:ext>
          </a:extLst>
        </xdr:cNvPr>
        <xdr:cNvSpPr/>
      </xdr:nvSpPr>
      <xdr:spPr>
        <a:xfrm>
          <a:off x="742951" y="7753350"/>
          <a:ext cx="685800" cy="7429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chemeClr val="tx1"/>
              </a:solidFill>
            </a:rPr>
            <a:t>Foto</a:t>
          </a:r>
        </a:p>
      </xdr:txBody>
    </xdr:sp>
    <xdr:clientData/>
  </xdr:twoCellAnchor>
  <xdr:twoCellAnchor>
    <xdr:from>
      <xdr:col>0</xdr:col>
      <xdr:colOff>116415</xdr:colOff>
      <xdr:row>3</xdr:row>
      <xdr:rowOff>63499</xdr:rowOff>
    </xdr:from>
    <xdr:to>
      <xdr:col>0</xdr:col>
      <xdr:colOff>931356</xdr:colOff>
      <xdr:row>4</xdr:row>
      <xdr:rowOff>182032</xdr:rowOff>
    </xdr:to>
    <xdr:sp macro="[0]!depan" textlink="">
      <xdr:nvSpPr>
        <xdr:cNvPr id="4" name="Hexagon 3">
          <a:extLst>
            <a:ext uri="{FF2B5EF4-FFF2-40B4-BE49-F238E27FC236}">
              <a16:creationId xmlns:a16="http://schemas.microsoft.com/office/drawing/2014/main" id="{00000000-0008-0000-0400-000004000000}"/>
            </a:ext>
          </a:extLst>
        </xdr:cNvPr>
        <xdr:cNvSpPr/>
      </xdr:nvSpPr>
      <xdr:spPr>
        <a:xfrm>
          <a:off x="116415" y="444499"/>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0</xdr:col>
      <xdr:colOff>105805</xdr:colOff>
      <xdr:row>4</xdr:row>
      <xdr:rowOff>222248</xdr:rowOff>
    </xdr:from>
    <xdr:to>
      <xdr:col>0</xdr:col>
      <xdr:colOff>920746</xdr:colOff>
      <xdr:row>6</xdr:row>
      <xdr:rowOff>118532</xdr:rowOff>
    </xdr:to>
    <xdr:sp macro="[0]!dtSiswa" textlink="">
      <xdr:nvSpPr>
        <xdr:cNvPr id="5" name="Hexagon 4">
          <a:extLst>
            <a:ext uri="{FF2B5EF4-FFF2-40B4-BE49-F238E27FC236}">
              <a16:creationId xmlns:a16="http://schemas.microsoft.com/office/drawing/2014/main" id="{00000000-0008-0000-0400-000005000000}"/>
            </a:ext>
          </a:extLst>
        </xdr:cNvPr>
        <xdr:cNvSpPr/>
      </xdr:nvSpPr>
      <xdr:spPr>
        <a:xfrm>
          <a:off x="105805" y="846665"/>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DATA SISWA</a:t>
          </a:r>
        </a:p>
      </xdr:txBody>
    </xdr:sp>
    <xdr:clientData/>
  </xdr:twoCellAnchor>
  <xdr:twoCellAnchor>
    <xdr:from>
      <xdr:col>10</xdr:col>
      <xdr:colOff>266700</xdr:colOff>
      <xdr:row>0</xdr:row>
      <xdr:rowOff>133350</xdr:rowOff>
    </xdr:from>
    <xdr:to>
      <xdr:col>11</xdr:col>
      <xdr:colOff>428625</xdr:colOff>
      <xdr:row>2</xdr:row>
      <xdr:rowOff>95250</xdr:rowOff>
    </xdr:to>
    <xdr:sp macro="[0]!CetakIdentitas" textlink="">
      <xdr:nvSpPr>
        <xdr:cNvPr id="6" name="Rounded Rectangle 5">
          <a:extLst>
            <a:ext uri="{FF2B5EF4-FFF2-40B4-BE49-F238E27FC236}">
              <a16:creationId xmlns:a16="http://schemas.microsoft.com/office/drawing/2014/main" id="{00000000-0008-0000-0400-000006000000}"/>
            </a:ext>
          </a:extLst>
        </xdr:cNvPr>
        <xdr:cNvSpPr/>
      </xdr:nvSpPr>
      <xdr:spPr>
        <a:xfrm>
          <a:off x="6296025" y="133350"/>
          <a:ext cx="781050" cy="3429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100" b="1"/>
            <a:t>CETAK</a:t>
          </a:r>
        </a:p>
      </xdr:txBody>
    </xdr:sp>
    <xdr:clientData/>
  </xdr:twoCellAnchor>
  <mc:AlternateContent xmlns:mc="http://schemas.openxmlformats.org/markup-compatibility/2006">
    <mc:Choice xmlns:a14="http://schemas.microsoft.com/office/drawing/2010/main" Requires="a14">
      <xdr:twoCellAnchor>
        <xdr:from>
          <xdr:col>12</xdr:col>
          <xdr:colOff>0</xdr:colOff>
          <xdr:row>7</xdr:row>
          <xdr:rowOff>9525</xdr:rowOff>
        </xdr:from>
        <xdr:to>
          <xdr:col>12</xdr:col>
          <xdr:colOff>0</xdr:colOff>
          <xdr:row>7</xdr:row>
          <xdr:rowOff>238125</xdr:rowOff>
        </xdr:to>
        <xdr:sp macro="" textlink="">
          <xdr:nvSpPr>
            <xdr:cNvPr id="6146" name="Spinner 2"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9525</xdr:colOff>
          <xdr:row>0</xdr:row>
          <xdr:rowOff>0</xdr:rowOff>
        </xdr:from>
        <xdr:to>
          <xdr:col>6</xdr:col>
          <xdr:colOff>400050</xdr:colOff>
          <xdr:row>3</xdr:row>
          <xdr:rowOff>0</xdr:rowOff>
        </xdr:to>
        <xdr:sp macro="" textlink="">
          <xdr:nvSpPr>
            <xdr:cNvPr id="6150" name="Spinner 6" hidden="1">
              <a:extLst>
                <a:ext uri="{63B3BB69-23CF-44E3-9099-C40C66FF867C}">
                  <a14:compatExt spid="_x0000_s6150"/>
                </a:ext>
                <a:ext uri="{FF2B5EF4-FFF2-40B4-BE49-F238E27FC236}">
                  <a16:creationId xmlns:a16="http://schemas.microsoft.com/office/drawing/2014/main" id="{00000000-0008-0000-0400-000006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172535</xdr:colOff>
      <xdr:row>4</xdr:row>
      <xdr:rowOff>28575</xdr:rowOff>
    </xdr:from>
    <xdr:to>
      <xdr:col>0</xdr:col>
      <xdr:colOff>987476</xdr:colOff>
      <xdr:row>6</xdr:row>
      <xdr:rowOff>13758</xdr:rowOff>
    </xdr:to>
    <xdr:sp macro="[0]!depan" textlink="">
      <xdr:nvSpPr>
        <xdr:cNvPr id="4" name="Hexagon 3">
          <a:extLst>
            <a:ext uri="{FF2B5EF4-FFF2-40B4-BE49-F238E27FC236}">
              <a16:creationId xmlns:a16="http://schemas.microsoft.com/office/drawing/2014/main" id="{00000000-0008-0000-0500-000004000000}"/>
            </a:ext>
          </a:extLst>
        </xdr:cNvPr>
        <xdr:cNvSpPr/>
      </xdr:nvSpPr>
      <xdr:spPr>
        <a:xfrm>
          <a:off x="172535" y="1038225"/>
          <a:ext cx="814941" cy="366183"/>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0</xdr:col>
      <xdr:colOff>161925</xdr:colOff>
      <xdr:row>6</xdr:row>
      <xdr:rowOff>53974</xdr:rowOff>
    </xdr:from>
    <xdr:to>
      <xdr:col>0</xdr:col>
      <xdr:colOff>976866</xdr:colOff>
      <xdr:row>8</xdr:row>
      <xdr:rowOff>35983</xdr:rowOff>
    </xdr:to>
    <xdr:sp macro="[0]!dtSiswa" textlink="">
      <xdr:nvSpPr>
        <xdr:cNvPr id="5" name="Hexagon 4">
          <a:extLst>
            <a:ext uri="{FF2B5EF4-FFF2-40B4-BE49-F238E27FC236}">
              <a16:creationId xmlns:a16="http://schemas.microsoft.com/office/drawing/2014/main" id="{00000000-0008-0000-0500-000005000000}"/>
            </a:ext>
          </a:extLst>
        </xdr:cNvPr>
        <xdr:cNvSpPr/>
      </xdr:nvSpPr>
      <xdr:spPr>
        <a:xfrm>
          <a:off x="161925" y="1444624"/>
          <a:ext cx="814941" cy="363009"/>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DATA SISWA</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38099</xdr:colOff>
      <xdr:row>0</xdr:row>
      <xdr:rowOff>57150</xdr:rowOff>
    </xdr:from>
    <xdr:to>
      <xdr:col>9</xdr:col>
      <xdr:colOff>371474</xdr:colOff>
      <xdr:row>0</xdr:row>
      <xdr:rowOff>304800</xdr:rowOff>
    </xdr:to>
    <xdr:sp macro="[0]!Simpan" textlink="">
      <xdr:nvSpPr>
        <xdr:cNvPr id="6" name="Rounded Rectangle 5">
          <a:extLst>
            <a:ext uri="{FF2B5EF4-FFF2-40B4-BE49-F238E27FC236}">
              <a16:creationId xmlns:a16="http://schemas.microsoft.com/office/drawing/2014/main" id="{00000000-0008-0000-0600-000006000000}"/>
            </a:ext>
          </a:extLst>
        </xdr:cNvPr>
        <xdr:cNvSpPr/>
      </xdr:nvSpPr>
      <xdr:spPr>
        <a:xfrm>
          <a:off x="6115049" y="57150"/>
          <a:ext cx="714375" cy="247650"/>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id-ID" sz="1100" b="1"/>
            <a:t>SIMPAN</a:t>
          </a:r>
        </a:p>
      </xdr:txBody>
    </xdr:sp>
    <xdr:clientData/>
  </xdr:twoCellAnchor>
  <xdr:twoCellAnchor>
    <xdr:from>
      <xdr:col>0</xdr:col>
      <xdr:colOff>163010</xdr:colOff>
      <xdr:row>1</xdr:row>
      <xdr:rowOff>0</xdr:rowOff>
    </xdr:from>
    <xdr:to>
      <xdr:col>0</xdr:col>
      <xdr:colOff>977951</xdr:colOff>
      <xdr:row>2</xdr:row>
      <xdr:rowOff>133350</xdr:rowOff>
    </xdr:to>
    <xdr:sp macro="[0]!depan" textlink="">
      <xdr:nvSpPr>
        <xdr:cNvPr id="7" name="Hexagon 6">
          <a:extLst>
            <a:ext uri="{FF2B5EF4-FFF2-40B4-BE49-F238E27FC236}">
              <a16:creationId xmlns:a16="http://schemas.microsoft.com/office/drawing/2014/main" id="{00000000-0008-0000-0600-000007000000}"/>
            </a:ext>
          </a:extLst>
        </xdr:cNvPr>
        <xdr:cNvSpPr/>
      </xdr:nvSpPr>
      <xdr:spPr>
        <a:xfrm>
          <a:off x="163010" y="371475"/>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0</xdr:col>
      <xdr:colOff>152400</xdr:colOff>
      <xdr:row>2</xdr:row>
      <xdr:rowOff>173566</xdr:rowOff>
    </xdr:from>
    <xdr:to>
      <xdr:col>0</xdr:col>
      <xdr:colOff>967341</xdr:colOff>
      <xdr:row>4</xdr:row>
      <xdr:rowOff>78316</xdr:rowOff>
    </xdr:to>
    <xdr:sp macro="[0]!Worksheet" textlink="">
      <xdr:nvSpPr>
        <xdr:cNvPr id="8" name="Hexagon 7">
          <a:extLst>
            <a:ext uri="{FF2B5EF4-FFF2-40B4-BE49-F238E27FC236}">
              <a16:creationId xmlns:a16="http://schemas.microsoft.com/office/drawing/2014/main" id="{00000000-0008-0000-0600-000008000000}"/>
            </a:ext>
          </a:extLst>
        </xdr:cNvPr>
        <xdr:cNvSpPr/>
      </xdr:nvSpPr>
      <xdr:spPr>
        <a:xfrm>
          <a:off x="152400" y="773641"/>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WORKSHEET</a:t>
          </a:r>
        </a:p>
      </xdr:txBody>
    </xdr:sp>
    <xdr:clientData/>
  </xdr:twoCellAnchor>
  <xdr:twoCellAnchor>
    <xdr:from>
      <xdr:col>0</xdr:col>
      <xdr:colOff>142875</xdr:colOff>
      <xdr:row>4</xdr:row>
      <xdr:rowOff>116416</xdr:rowOff>
    </xdr:from>
    <xdr:to>
      <xdr:col>0</xdr:col>
      <xdr:colOff>957816</xdr:colOff>
      <xdr:row>6</xdr:row>
      <xdr:rowOff>125941</xdr:rowOff>
    </xdr:to>
    <xdr:sp macro="[0]!RUts" textlink="">
      <xdr:nvSpPr>
        <xdr:cNvPr id="14" name="Hexagon 13">
          <a:extLst>
            <a:ext uri="{FF2B5EF4-FFF2-40B4-BE49-F238E27FC236}">
              <a16:creationId xmlns:a16="http://schemas.microsoft.com/office/drawing/2014/main" id="{00000000-0008-0000-0600-00000E000000}"/>
            </a:ext>
          </a:extLst>
        </xdr:cNvPr>
        <xdr:cNvSpPr/>
      </xdr:nvSpPr>
      <xdr:spPr>
        <a:xfrm>
          <a:off x="142875" y="1173691"/>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RAPOT</a:t>
          </a:r>
          <a:r>
            <a:rPr lang="id-ID" sz="1100" b="1" baseline="0"/>
            <a:t> UTS</a:t>
          </a:r>
          <a:endParaRPr lang="id-ID" sz="1100" b="1"/>
        </a:p>
      </xdr:txBody>
    </xdr:sp>
    <xdr:clientData/>
  </xdr:twoCellAnchor>
  <xdr:twoCellAnchor>
    <xdr:from>
      <xdr:col>0</xdr:col>
      <xdr:colOff>133350</xdr:colOff>
      <xdr:row>6</xdr:row>
      <xdr:rowOff>164041</xdr:rowOff>
    </xdr:from>
    <xdr:to>
      <xdr:col>0</xdr:col>
      <xdr:colOff>948291</xdr:colOff>
      <xdr:row>8</xdr:row>
      <xdr:rowOff>116416</xdr:rowOff>
    </xdr:to>
    <xdr:sp macro="[0]!RUas" textlink="">
      <xdr:nvSpPr>
        <xdr:cNvPr id="15" name="Hexagon 14">
          <a:extLst>
            <a:ext uri="{FF2B5EF4-FFF2-40B4-BE49-F238E27FC236}">
              <a16:creationId xmlns:a16="http://schemas.microsoft.com/office/drawing/2014/main" id="{00000000-0008-0000-0600-00000F000000}"/>
            </a:ext>
          </a:extLst>
        </xdr:cNvPr>
        <xdr:cNvSpPr/>
      </xdr:nvSpPr>
      <xdr:spPr>
        <a:xfrm>
          <a:off x="133350" y="1573741"/>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RAPOT</a:t>
          </a:r>
          <a:r>
            <a:rPr lang="id-ID" sz="1100" b="1" baseline="0"/>
            <a:t> UAS</a:t>
          </a:r>
          <a:endParaRPr lang="id-ID" sz="1100" b="1"/>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0</xdr:row>
          <xdr:rowOff>66675</xdr:rowOff>
        </xdr:from>
        <xdr:to>
          <xdr:col>7</xdr:col>
          <xdr:colOff>285750</xdr:colOff>
          <xdr:row>0</xdr:row>
          <xdr:rowOff>314325</xdr:rowOff>
        </xdr:to>
        <xdr:sp macro="" textlink="">
          <xdr:nvSpPr>
            <xdr:cNvPr id="195588" name="Drop Down 4" hidden="1">
              <a:extLst>
                <a:ext uri="{63B3BB69-23CF-44E3-9099-C40C66FF867C}">
                  <a14:compatExt spid="_x0000_s195588"/>
                </a:ext>
                <a:ext uri="{FF2B5EF4-FFF2-40B4-BE49-F238E27FC236}">
                  <a16:creationId xmlns:a16="http://schemas.microsoft.com/office/drawing/2014/main" id="{00000000-0008-0000-0600-000004F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25</xdr:col>
      <xdr:colOff>38099</xdr:colOff>
      <xdr:row>0</xdr:row>
      <xdr:rowOff>57150</xdr:rowOff>
    </xdr:from>
    <xdr:to>
      <xdr:col>26</xdr:col>
      <xdr:colOff>371474</xdr:colOff>
      <xdr:row>0</xdr:row>
      <xdr:rowOff>304800</xdr:rowOff>
    </xdr:to>
    <xdr:sp macro="[0]!Simpan" textlink="">
      <xdr:nvSpPr>
        <xdr:cNvPr id="2" name="Rounded Rectangle 1">
          <a:extLst>
            <a:ext uri="{FF2B5EF4-FFF2-40B4-BE49-F238E27FC236}">
              <a16:creationId xmlns:a16="http://schemas.microsoft.com/office/drawing/2014/main" id="{00000000-0008-0000-0800-000002000000}"/>
            </a:ext>
          </a:extLst>
        </xdr:cNvPr>
        <xdr:cNvSpPr/>
      </xdr:nvSpPr>
      <xdr:spPr>
        <a:xfrm>
          <a:off x="6115049" y="57150"/>
          <a:ext cx="714375" cy="247650"/>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id-ID" sz="1100" b="1"/>
            <a:t>SIMPAN</a:t>
          </a:r>
        </a:p>
      </xdr:txBody>
    </xdr:sp>
    <xdr:clientData/>
  </xdr:twoCellAnchor>
  <xdr:twoCellAnchor>
    <xdr:from>
      <xdr:col>12</xdr:col>
      <xdr:colOff>183568</xdr:colOff>
      <xdr:row>0</xdr:row>
      <xdr:rowOff>57150</xdr:rowOff>
    </xdr:from>
    <xdr:to>
      <xdr:col>15</xdr:col>
      <xdr:colOff>151530</xdr:colOff>
      <xdr:row>0</xdr:row>
      <xdr:rowOff>304800</xdr:rowOff>
    </xdr:to>
    <xdr:sp macro="[0]!SimpanCatatan" textlink="">
      <xdr:nvSpPr>
        <xdr:cNvPr id="4" name="Rounded Rectangle 3">
          <a:extLst>
            <a:ext uri="{FF2B5EF4-FFF2-40B4-BE49-F238E27FC236}">
              <a16:creationId xmlns:a16="http://schemas.microsoft.com/office/drawing/2014/main" id="{00000000-0008-0000-0800-000004000000}"/>
            </a:ext>
          </a:extLst>
        </xdr:cNvPr>
        <xdr:cNvSpPr/>
      </xdr:nvSpPr>
      <xdr:spPr>
        <a:xfrm>
          <a:off x="4746909" y="57150"/>
          <a:ext cx="721303" cy="247650"/>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id-ID" sz="1100" b="1"/>
            <a:t>SIMPAN</a:t>
          </a:r>
        </a:p>
      </xdr:txBody>
    </xdr:sp>
    <xdr:clientData/>
  </xdr:twoCellAnchor>
  <xdr:twoCellAnchor>
    <xdr:from>
      <xdr:col>0</xdr:col>
      <xdr:colOff>153485</xdr:colOff>
      <xdr:row>4</xdr:row>
      <xdr:rowOff>38100</xdr:rowOff>
    </xdr:from>
    <xdr:to>
      <xdr:col>0</xdr:col>
      <xdr:colOff>968426</xdr:colOff>
      <xdr:row>4</xdr:row>
      <xdr:rowOff>400050</xdr:rowOff>
    </xdr:to>
    <xdr:sp macro="[0]!depan" textlink="">
      <xdr:nvSpPr>
        <xdr:cNvPr id="5" name="Hexagon 4">
          <a:extLst>
            <a:ext uri="{FF2B5EF4-FFF2-40B4-BE49-F238E27FC236}">
              <a16:creationId xmlns:a16="http://schemas.microsoft.com/office/drawing/2014/main" id="{00000000-0008-0000-0800-000005000000}"/>
            </a:ext>
          </a:extLst>
        </xdr:cNvPr>
        <xdr:cNvSpPr/>
      </xdr:nvSpPr>
      <xdr:spPr>
        <a:xfrm>
          <a:off x="153485" y="1009650"/>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0</xdr:col>
      <xdr:colOff>142875</xdr:colOff>
      <xdr:row>4</xdr:row>
      <xdr:rowOff>440266</xdr:rowOff>
    </xdr:from>
    <xdr:to>
      <xdr:col>0</xdr:col>
      <xdr:colOff>957816</xdr:colOff>
      <xdr:row>4</xdr:row>
      <xdr:rowOff>802216</xdr:rowOff>
    </xdr:to>
    <xdr:sp macro="[0]!Worksheet" textlink="">
      <xdr:nvSpPr>
        <xdr:cNvPr id="6" name="Hexagon 5">
          <a:extLst>
            <a:ext uri="{FF2B5EF4-FFF2-40B4-BE49-F238E27FC236}">
              <a16:creationId xmlns:a16="http://schemas.microsoft.com/office/drawing/2014/main" id="{00000000-0008-0000-0800-000006000000}"/>
            </a:ext>
          </a:extLst>
        </xdr:cNvPr>
        <xdr:cNvSpPr/>
      </xdr:nvSpPr>
      <xdr:spPr>
        <a:xfrm>
          <a:off x="142875" y="1411816"/>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WORKSHEET</a:t>
          </a:r>
        </a:p>
      </xdr:txBody>
    </xdr:sp>
    <xdr:clientData/>
  </xdr:twoCellAnchor>
  <xdr:twoCellAnchor>
    <xdr:from>
      <xdr:col>0</xdr:col>
      <xdr:colOff>133350</xdr:colOff>
      <xdr:row>4</xdr:row>
      <xdr:rowOff>840316</xdr:rowOff>
    </xdr:from>
    <xdr:to>
      <xdr:col>0</xdr:col>
      <xdr:colOff>948291</xdr:colOff>
      <xdr:row>5</xdr:row>
      <xdr:rowOff>287866</xdr:rowOff>
    </xdr:to>
    <xdr:sp macro="[0]!inputNilai" textlink="">
      <xdr:nvSpPr>
        <xdr:cNvPr id="7" name="Hexagon 6">
          <a:extLst>
            <a:ext uri="{FF2B5EF4-FFF2-40B4-BE49-F238E27FC236}">
              <a16:creationId xmlns:a16="http://schemas.microsoft.com/office/drawing/2014/main" id="{00000000-0008-0000-0800-000007000000}"/>
            </a:ext>
          </a:extLst>
        </xdr:cNvPr>
        <xdr:cNvSpPr/>
      </xdr:nvSpPr>
      <xdr:spPr>
        <a:xfrm>
          <a:off x="133350" y="1811866"/>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NILAI </a:t>
          </a:r>
          <a:r>
            <a:rPr lang="id-ID" sz="600" b="1"/>
            <a:t>(Ex,UTS,UAS)</a:t>
          </a:r>
          <a:endParaRPr lang="id-ID" sz="1100" b="1"/>
        </a:p>
      </xdr:txBody>
    </xdr:sp>
    <xdr:clientData/>
  </xdr:twoCellAnchor>
  <xdr:twoCellAnchor>
    <xdr:from>
      <xdr:col>0</xdr:col>
      <xdr:colOff>123825</xdr:colOff>
      <xdr:row>5</xdr:row>
      <xdr:rowOff>323850</xdr:rowOff>
    </xdr:from>
    <xdr:to>
      <xdr:col>0</xdr:col>
      <xdr:colOff>938766</xdr:colOff>
      <xdr:row>5</xdr:row>
      <xdr:rowOff>685800</xdr:rowOff>
    </xdr:to>
    <xdr:sp macro="[0]!RUts" textlink="">
      <xdr:nvSpPr>
        <xdr:cNvPr id="8" name="Hexagon 7">
          <a:extLst>
            <a:ext uri="{FF2B5EF4-FFF2-40B4-BE49-F238E27FC236}">
              <a16:creationId xmlns:a16="http://schemas.microsoft.com/office/drawing/2014/main" id="{00000000-0008-0000-0800-000008000000}"/>
            </a:ext>
          </a:extLst>
        </xdr:cNvPr>
        <xdr:cNvSpPr/>
      </xdr:nvSpPr>
      <xdr:spPr>
        <a:xfrm>
          <a:off x="123825" y="2209800"/>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RAPOT</a:t>
          </a:r>
          <a:r>
            <a:rPr lang="id-ID" sz="1100" b="1" baseline="0"/>
            <a:t> UTS</a:t>
          </a:r>
          <a:endParaRPr lang="id-ID" sz="1100" b="1"/>
        </a:p>
      </xdr:txBody>
    </xdr:sp>
    <xdr:clientData/>
  </xdr:twoCellAnchor>
  <xdr:twoCellAnchor>
    <xdr:from>
      <xdr:col>0</xdr:col>
      <xdr:colOff>114300</xdr:colOff>
      <xdr:row>5</xdr:row>
      <xdr:rowOff>723900</xdr:rowOff>
    </xdr:from>
    <xdr:to>
      <xdr:col>0</xdr:col>
      <xdr:colOff>929241</xdr:colOff>
      <xdr:row>6</xdr:row>
      <xdr:rowOff>171450</xdr:rowOff>
    </xdr:to>
    <xdr:sp macro="[0]!RUas" textlink="">
      <xdr:nvSpPr>
        <xdr:cNvPr id="9" name="Hexagon 8">
          <a:extLst>
            <a:ext uri="{FF2B5EF4-FFF2-40B4-BE49-F238E27FC236}">
              <a16:creationId xmlns:a16="http://schemas.microsoft.com/office/drawing/2014/main" id="{00000000-0008-0000-0800-000009000000}"/>
            </a:ext>
          </a:extLst>
        </xdr:cNvPr>
        <xdr:cNvSpPr/>
      </xdr:nvSpPr>
      <xdr:spPr>
        <a:xfrm>
          <a:off x="114300" y="2609850"/>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RAPOT</a:t>
          </a:r>
          <a:r>
            <a:rPr lang="id-ID" sz="1100" b="1" baseline="0"/>
            <a:t> UAS</a:t>
          </a:r>
          <a:endParaRPr lang="id-ID" sz="1100" b="1"/>
        </a:p>
      </xdr:txBody>
    </xdr:sp>
    <xdr:clientData/>
  </xdr:twoCellAnchor>
  <xdr:twoCellAnchor>
    <xdr:from>
      <xdr:col>20</xdr:col>
      <xdr:colOff>66675</xdr:colOff>
      <xdr:row>4</xdr:row>
      <xdr:rowOff>76200</xdr:rowOff>
    </xdr:from>
    <xdr:to>
      <xdr:col>21</xdr:col>
      <xdr:colOff>1181100</xdr:colOff>
      <xdr:row>4</xdr:row>
      <xdr:rowOff>781050</xdr:rowOff>
    </xdr:to>
    <xdr:sp macro="" textlink="">
      <xdr:nvSpPr>
        <xdr:cNvPr id="11" name="Rounded Rectangle 10">
          <a:extLst>
            <a:ext uri="{FF2B5EF4-FFF2-40B4-BE49-F238E27FC236}">
              <a16:creationId xmlns:a16="http://schemas.microsoft.com/office/drawing/2014/main" id="{00000000-0008-0000-0800-00000B000000}"/>
            </a:ext>
          </a:extLst>
        </xdr:cNvPr>
        <xdr:cNvSpPr/>
      </xdr:nvSpPr>
      <xdr:spPr>
        <a:xfrm>
          <a:off x="11068050" y="1047750"/>
          <a:ext cx="1400175" cy="704850"/>
        </a:xfrm>
        <a:prstGeom prst="roundRect">
          <a:avLst/>
        </a:prstGeom>
      </xdr:spPr>
      <xdr:style>
        <a:lnRef idx="3">
          <a:schemeClr val="lt1"/>
        </a:lnRef>
        <a:fillRef idx="1">
          <a:schemeClr val="accent5"/>
        </a:fillRef>
        <a:effectRef idx="1">
          <a:schemeClr val="accent5"/>
        </a:effectRef>
        <a:fontRef idx="minor">
          <a:schemeClr val="lt1"/>
        </a:fontRef>
      </xdr:style>
      <xdr:txBody>
        <a:bodyPr rtlCol="0" anchor="ctr"/>
        <a:lstStyle/>
        <a:p>
          <a:pPr algn="ctr"/>
          <a:r>
            <a:rPr lang="id-ID" sz="1100" b="1"/>
            <a:t>Perlu</a:t>
          </a:r>
          <a:r>
            <a:rPr lang="id-ID" sz="1100" b="1" baseline="0"/>
            <a:t> Peningkatan</a:t>
          </a:r>
        </a:p>
        <a:p>
          <a:pPr algn="ctr"/>
          <a:endParaRPr lang="id-ID" sz="1100" baseline="0"/>
        </a:p>
        <a:p>
          <a:pPr algn="ctr"/>
          <a:endParaRPr lang="id-ID" sz="1100" baseline="0"/>
        </a:p>
        <a:p>
          <a:pPr algn="ctr"/>
          <a:endParaRPr lang="id-ID" sz="1100"/>
        </a:p>
      </xdr:txBody>
    </xdr:sp>
    <xdr:clientData/>
  </xdr:twoCellAnchor>
  <xdr:twoCellAnchor>
    <xdr:from>
      <xdr:col>21</xdr:col>
      <xdr:colOff>342900</xdr:colOff>
      <xdr:row>4</xdr:row>
      <xdr:rowOff>304800</xdr:rowOff>
    </xdr:from>
    <xdr:to>
      <xdr:col>21</xdr:col>
      <xdr:colOff>590550</xdr:colOff>
      <xdr:row>4</xdr:row>
      <xdr:rowOff>618491</xdr:rowOff>
    </xdr:to>
    <xdr:sp macro="" textlink="">
      <xdr:nvSpPr>
        <xdr:cNvPr id="13" name="Down Arrow 12">
          <a:extLst>
            <a:ext uri="{FF2B5EF4-FFF2-40B4-BE49-F238E27FC236}">
              <a16:creationId xmlns:a16="http://schemas.microsoft.com/office/drawing/2014/main" id="{00000000-0008-0000-0800-00000D000000}"/>
            </a:ext>
          </a:extLst>
        </xdr:cNvPr>
        <xdr:cNvSpPr/>
      </xdr:nvSpPr>
      <xdr:spPr>
        <a:xfrm>
          <a:off x="11630025" y="1276350"/>
          <a:ext cx="247650" cy="313691"/>
        </a:xfrm>
        <a:prstGeom prst="downArrow">
          <a:avLst/>
        </a:prstGeom>
      </xdr:spPr>
      <xdr:style>
        <a:lnRef idx="1">
          <a:schemeClr val="accent2"/>
        </a:lnRef>
        <a:fillRef idx="2">
          <a:schemeClr val="accent2"/>
        </a:fillRef>
        <a:effectRef idx="1">
          <a:schemeClr val="accent2"/>
        </a:effectRef>
        <a:fontRef idx="minor">
          <a:schemeClr val="dk1"/>
        </a:fontRef>
      </xdr:style>
      <xdr:txBody>
        <a:bodyPr rtlCol="0" anchor="ctr"/>
        <a:lstStyle/>
        <a:p>
          <a:pPr algn="ctr"/>
          <a:endParaRPr lang="id-ID" sz="1100"/>
        </a:p>
      </xdr:txBody>
    </xdr:sp>
    <xdr:clientData/>
  </xdr:twoCellAnchor>
  <xdr:twoCellAnchor>
    <xdr:from>
      <xdr:col>20</xdr:col>
      <xdr:colOff>66675</xdr:colOff>
      <xdr:row>4</xdr:row>
      <xdr:rowOff>838200</xdr:rowOff>
    </xdr:from>
    <xdr:to>
      <xdr:col>21</xdr:col>
      <xdr:colOff>1181100</xdr:colOff>
      <xdr:row>5</xdr:row>
      <xdr:rowOff>628650</xdr:rowOff>
    </xdr:to>
    <xdr:sp macro="" textlink="">
      <xdr:nvSpPr>
        <xdr:cNvPr id="16" name="Rounded Rectangle 15">
          <a:extLst>
            <a:ext uri="{FF2B5EF4-FFF2-40B4-BE49-F238E27FC236}">
              <a16:creationId xmlns:a16="http://schemas.microsoft.com/office/drawing/2014/main" id="{00000000-0008-0000-0800-000010000000}"/>
            </a:ext>
          </a:extLst>
        </xdr:cNvPr>
        <xdr:cNvSpPr/>
      </xdr:nvSpPr>
      <xdr:spPr>
        <a:xfrm>
          <a:off x="11068050" y="1847850"/>
          <a:ext cx="1400175" cy="704850"/>
        </a:xfrm>
        <a:prstGeom prst="roundRect">
          <a:avLst/>
        </a:prstGeom>
      </xdr:spPr>
      <xdr:style>
        <a:lnRef idx="3">
          <a:schemeClr val="lt1"/>
        </a:lnRef>
        <a:fillRef idx="1">
          <a:schemeClr val="accent5"/>
        </a:fillRef>
        <a:effectRef idx="1">
          <a:schemeClr val="accent5"/>
        </a:effectRef>
        <a:fontRef idx="minor">
          <a:schemeClr val="lt1"/>
        </a:fontRef>
      </xdr:style>
      <xdr:txBody>
        <a:bodyPr rtlCol="0" anchor="ctr"/>
        <a:lstStyle/>
        <a:p>
          <a:pPr algn="ctr"/>
          <a:r>
            <a:rPr lang="id-ID" sz="1100" b="1"/>
            <a:t>Mulai Berkembang</a:t>
          </a:r>
          <a:endParaRPr lang="id-ID" sz="1100" b="1" baseline="0"/>
        </a:p>
        <a:p>
          <a:pPr algn="ctr"/>
          <a:endParaRPr lang="id-ID" sz="1100" baseline="0"/>
        </a:p>
        <a:p>
          <a:pPr algn="ctr"/>
          <a:endParaRPr lang="id-ID" sz="1100" baseline="0"/>
        </a:p>
        <a:p>
          <a:pPr algn="ctr"/>
          <a:endParaRPr lang="id-ID" sz="1100"/>
        </a:p>
      </xdr:txBody>
    </xdr:sp>
    <xdr:clientData/>
  </xdr:twoCellAnchor>
  <xdr:twoCellAnchor>
    <xdr:from>
      <xdr:col>21</xdr:col>
      <xdr:colOff>342900</xdr:colOff>
      <xdr:row>5</xdr:row>
      <xdr:rowOff>152400</xdr:rowOff>
    </xdr:from>
    <xdr:to>
      <xdr:col>21</xdr:col>
      <xdr:colOff>590550</xdr:colOff>
      <xdr:row>5</xdr:row>
      <xdr:rowOff>466091</xdr:rowOff>
    </xdr:to>
    <xdr:sp macro="" textlink="">
      <xdr:nvSpPr>
        <xdr:cNvPr id="17" name="Down Arrow 16">
          <a:extLst>
            <a:ext uri="{FF2B5EF4-FFF2-40B4-BE49-F238E27FC236}">
              <a16:creationId xmlns:a16="http://schemas.microsoft.com/office/drawing/2014/main" id="{00000000-0008-0000-0800-000011000000}"/>
            </a:ext>
          </a:extLst>
        </xdr:cNvPr>
        <xdr:cNvSpPr/>
      </xdr:nvSpPr>
      <xdr:spPr>
        <a:xfrm>
          <a:off x="11630025" y="2076450"/>
          <a:ext cx="247650" cy="313691"/>
        </a:xfrm>
        <a:prstGeom prst="downArrow">
          <a:avLst/>
        </a:prstGeom>
        <a:scene3d>
          <a:camera prst="orthographicFront">
            <a:rot lat="0" lon="0" rev="2700000"/>
          </a:camera>
          <a:lightRig rig="threePt" dir="t"/>
        </a:scene3d>
      </xdr:spPr>
      <xdr:style>
        <a:lnRef idx="1">
          <a:schemeClr val="accent6"/>
        </a:lnRef>
        <a:fillRef idx="2">
          <a:schemeClr val="accent6"/>
        </a:fillRef>
        <a:effectRef idx="1">
          <a:schemeClr val="accent6"/>
        </a:effectRef>
        <a:fontRef idx="minor">
          <a:schemeClr val="dk1"/>
        </a:fontRef>
      </xdr:style>
      <xdr:txBody>
        <a:bodyPr rtlCol="0" anchor="ctr"/>
        <a:lstStyle/>
        <a:p>
          <a:pPr algn="ctr"/>
          <a:endParaRPr lang="id-ID" sz="1100"/>
        </a:p>
      </xdr:txBody>
    </xdr:sp>
    <xdr:clientData/>
  </xdr:twoCellAnchor>
  <xdr:twoCellAnchor>
    <xdr:from>
      <xdr:col>20</xdr:col>
      <xdr:colOff>76200</xdr:colOff>
      <xdr:row>5</xdr:row>
      <xdr:rowOff>685800</xdr:rowOff>
    </xdr:from>
    <xdr:to>
      <xdr:col>21</xdr:col>
      <xdr:colOff>1190625</xdr:colOff>
      <xdr:row>6</xdr:row>
      <xdr:rowOff>476250</xdr:rowOff>
    </xdr:to>
    <xdr:sp macro="" textlink="">
      <xdr:nvSpPr>
        <xdr:cNvPr id="18" name="Rounded Rectangle 17">
          <a:extLst>
            <a:ext uri="{FF2B5EF4-FFF2-40B4-BE49-F238E27FC236}">
              <a16:creationId xmlns:a16="http://schemas.microsoft.com/office/drawing/2014/main" id="{00000000-0008-0000-0800-000012000000}"/>
            </a:ext>
          </a:extLst>
        </xdr:cNvPr>
        <xdr:cNvSpPr/>
      </xdr:nvSpPr>
      <xdr:spPr>
        <a:xfrm>
          <a:off x="11077575" y="2571750"/>
          <a:ext cx="1400175" cy="704850"/>
        </a:xfrm>
        <a:prstGeom prst="roundRect">
          <a:avLst/>
        </a:prstGeom>
      </xdr:spPr>
      <xdr:style>
        <a:lnRef idx="3">
          <a:schemeClr val="lt1"/>
        </a:lnRef>
        <a:fillRef idx="1">
          <a:schemeClr val="accent5"/>
        </a:fillRef>
        <a:effectRef idx="1">
          <a:schemeClr val="accent5"/>
        </a:effectRef>
        <a:fontRef idx="minor">
          <a:schemeClr val="lt1"/>
        </a:fontRef>
      </xdr:style>
      <xdr:txBody>
        <a:bodyPr rtlCol="0" anchor="ctr"/>
        <a:lstStyle/>
        <a:p>
          <a:pPr algn="ctr"/>
          <a:endParaRPr lang="id-ID" sz="1100" b="1"/>
        </a:p>
        <a:p>
          <a:pPr algn="ctr"/>
          <a:r>
            <a:rPr lang="id-ID" sz="1100" b="1"/>
            <a:t>Berkembang dgn</a:t>
          </a:r>
          <a:r>
            <a:rPr lang="id-ID" sz="1100" b="1" baseline="0"/>
            <a:t> Baik</a:t>
          </a:r>
        </a:p>
        <a:p>
          <a:pPr algn="ctr"/>
          <a:endParaRPr lang="id-ID" sz="1100" baseline="0"/>
        </a:p>
        <a:p>
          <a:pPr algn="ctr"/>
          <a:endParaRPr lang="id-ID" sz="1100" baseline="0"/>
        </a:p>
        <a:p>
          <a:pPr algn="ctr"/>
          <a:endParaRPr lang="id-ID" sz="1100"/>
        </a:p>
      </xdr:txBody>
    </xdr:sp>
    <xdr:clientData/>
  </xdr:twoCellAnchor>
  <xdr:twoCellAnchor>
    <xdr:from>
      <xdr:col>21</xdr:col>
      <xdr:colOff>352425</xdr:colOff>
      <xdr:row>6</xdr:row>
      <xdr:rowOff>133350</xdr:rowOff>
    </xdr:from>
    <xdr:to>
      <xdr:col>21</xdr:col>
      <xdr:colOff>600075</xdr:colOff>
      <xdr:row>6</xdr:row>
      <xdr:rowOff>447041</xdr:rowOff>
    </xdr:to>
    <xdr:sp macro="" textlink="">
      <xdr:nvSpPr>
        <xdr:cNvPr id="19" name="Down Arrow 18">
          <a:extLst>
            <a:ext uri="{FF2B5EF4-FFF2-40B4-BE49-F238E27FC236}">
              <a16:creationId xmlns:a16="http://schemas.microsoft.com/office/drawing/2014/main" id="{00000000-0008-0000-0800-000013000000}"/>
            </a:ext>
          </a:extLst>
        </xdr:cNvPr>
        <xdr:cNvSpPr/>
      </xdr:nvSpPr>
      <xdr:spPr>
        <a:xfrm>
          <a:off x="11639550" y="2933700"/>
          <a:ext cx="247650" cy="313691"/>
        </a:xfrm>
        <a:prstGeom prst="downArrow">
          <a:avLst/>
        </a:prstGeom>
        <a:scene3d>
          <a:camera prst="orthographicFront">
            <a:rot lat="0" lon="0" rev="8100000"/>
          </a:camera>
          <a:lightRig rig="threePt" dir="t"/>
        </a:scene3d>
      </xdr:spPr>
      <xdr:style>
        <a:lnRef idx="1">
          <a:schemeClr val="accent6"/>
        </a:lnRef>
        <a:fillRef idx="2">
          <a:schemeClr val="accent6"/>
        </a:fillRef>
        <a:effectRef idx="1">
          <a:schemeClr val="accent6"/>
        </a:effectRef>
        <a:fontRef idx="minor">
          <a:schemeClr val="dk1"/>
        </a:fontRef>
      </xdr:style>
      <xdr:txBody>
        <a:bodyPr rtlCol="0" anchor="ctr"/>
        <a:lstStyle/>
        <a:p>
          <a:pPr algn="ctr"/>
          <a:endParaRPr lang="id-ID" sz="1100"/>
        </a:p>
      </xdr:txBody>
    </xdr:sp>
    <xdr:clientData/>
  </xdr:twoCellAnchor>
  <xdr:twoCellAnchor>
    <xdr:from>
      <xdr:col>20</xdr:col>
      <xdr:colOff>76200</xdr:colOff>
      <xdr:row>6</xdr:row>
      <xdr:rowOff>533400</xdr:rowOff>
    </xdr:from>
    <xdr:to>
      <xdr:col>21</xdr:col>
      <xdr:colOff>1190625</xdr:colOff>
      <xdr:row>7</xdr:row>
      <xdr:rowOff>323850</xdr:rowOff>
    </xdr:to>
    <xdr:sp macro="" textlink="">
      <xdr:nvSpPr>
        <xdr:cNvPr id="20" name="Rounded Rectangle 19">
          <a:extLst>
            <a:ext uri="{FF2B5EF4-FFF2-40B4-BE49-F238E27FC236}">
              <a16:creationId xmlns:a16="http://schemas.microsoft.com/office/drawing/2014/main" id="{00000000-0008-0000-0800-000014000000}"/>
            </a:ext>
          </a:extLst>
        </xdr:cNvPr>
        <xdr:cNvSpPr/>
      </xdr:nvSpPr>
      <xdr:spPr>
        <a:xfrm>
          <a:off x="11077575" y="3333750"/>
          <a:ext cx="1400175" cy="704850"/>
        </a:xfrm>
        <a:prstGeom prst="roundRect">
          <a:avLst/>
        </a:prstGeom>
      </xdr:spPr>
      <xdr:style>
        <a:lnRef idx="3">
          <a:schemeClr val="lt1"/>
        </a:lnRef>
        <a:fillRef idx="1">
          <a:schemeClr val="accent5"/>
        </a:fillRef>
        <a:effectRef idx="1">
          <a:schemeClr val="accent5"/>
        </a:effectRef>
        <a:fontRef idx="minor">
          <a:schemeClr val="lt1"/>
        </a:fontRef>
      </xdr:style>
      <xdr:txBody>
        <a:bodyPr rtlCol="0" anchor="ctr"/>
        <a:lstStyle/>
        <a:p>
          <a:pPr algn="ctr"/>
          <a:r>
            <a:rPr lang="id-ID" sz="1100" b="1"/>
            <a:t>Menguasai</a:t>
          </a:r>
          <a:endParaRPr lang="id-ID" sz="1100" b="1" baseline="0"/>
        </a:p>
        <a:p>
          <a:pPr algn="ctr"/>
          <a:endParaRPr lang="id-ID" sz="1100" baseline="0"/>
        </a:p>
        <a:p>
          <a:pPr algn="ctr"/>
          <a:endParaRPr lang="id-ID" sz="1100" baseline="0"/>
        </a:p>
        <a:p>
          <a:pPr algn="ctr"/>
          <a:endParaRPr lang="id-ID" sz="1100"/>
        </a:p>
      </xdr:txBody>
    </xdr:sp>
    <xdr:clientData/>
  </xdr:twoCellAnchor>
  <xdr:twoCellAnchor>
    <xdr:from>
      <xdr:col>21</xdr:col>
      <xdr:colOff>352425</xdr:colOff>
      <xdr:row>6</xdr:row>
      <xdr:rowOff>762000</xdr:rowOff>
    </xdr:from>
    <xdr:to>
      <xdr:col>21</xdr:col>
      <xdr:colOff>600075</xdr:colOff>
      <xdr:row>7</xdr:row>
      <xdr:rowOff>161291</xdr:rowOff>
    </xdr:to>
    <xdr:sp macro="" textlink="">
      <xdr:nvSpPr>
        <xdr:cNvPr id="21" name="Down Arrow 20">
          <a:extLst>
            <a:ext uri="{FF2B5EF4-FFF2-40B4-BE49-F238E27FC236}">
              <a16:creationId xmlns:a16="http://schemas.microsoft.com/office/drawing/2014/main" id="{00000000-0008-0000-0800-000015000000}"/>
            </a:ext>
          </a:extLst>
        </xdr:cNvPr>
        <xdr:cNvSpPr/>
      </xdr:nvSpPr>
      <xdr:spPr>
        <a:xfrm>
          <a:off x="11639550" y="3562350"/>
          <a:ext cx="247650" cy="313691"/>
        </a:xfrm>
        <a:prstGeom prst="downArrow">
          <a:avLst/>
        </a:prstGeom>
        <a:gradFill flip="none"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tileRect/>
        </a:gradFill>
        <a:ln>
          <a:solidFill>
            <a:schemeClr val="accent3">
              <a:shade val="95000"/>
              <a:satMod val="105000"/>
            </a:schemeClr>
          </a:solidFill>
        </a:ln>
        <a:scene3d>
          <a:camera prst="orthographicFront">
            <a:rot lat="0" lon="0" rev="10800000"/>
          </a:camera>
          <a:lightRig rig="threePt" dir="t"/>
        </a:scene3d>
      </xdr:spPr>
      <xdr:style>
        <a:lnRef idx="1">
          <a:schemeClr val="accent3"/>
        </a:lnRef>
        <a:fillRef idx="2">
          <a:schemeClr val="accent3"/>
        </a:fillRef>
        <a:effectRef idx="1">
          <a:schemeClr val="accent3"/>
        </a:effectRef>
        <a:fontRef idx="minor">
          <a:schemeClr val="dk1"/>
        </a:fontRef>
      </xdr:style>
      <xdr:txBody>
        <a:bodyPr rtlCol="0" anchor="ctr"/>
        <a:lstStyle/>
        <a:p>
          <a:pPr algn="ctr"/>
          <a:endParaRPr lang="id-ID" sz="1100"/>
        </a:p>
      </xdr:txBody>
    </xdr:sp>
    <xdr:clientData/>
  </xdr:twoCellAnchor>
  <mc:AlternateContent xmlns:mc="http://schemas.openxmlformats.org/markup-compatibility/2006">
    <mc:Choice xmlns:a14="http://schemas.microsoft.com/office/drawing/2010/main" Requires="a14">
      <xdr:twoCellAnchor editAs="oneCell">
        <xdr:from>
          <xdr:col>3</xdr:col>
          <xdr:colOff>57150</xdr:colOff>
          <xdr:row>0</xdr:row>
          <xdr:rowOff>47625</xdr:rowOff>
        </xdr:from>
        <xdr:to>
          <xdr:col>12</xdr:col>
          <xdr:colOff>104775</xdr:colOff>
          <xdr:row>0</xdr:row>
          <xdr:rowOff>295275</xdr:rowOff>
        </xdr:to>
        <xdr:sp macro="" textlink="">
          <xdr:nvSpPr>
            <xdr:cNvPr id="198657" name="Drop Down 1" hidden="1">
              <a:extLst>
                <a:ext uri="{63B3BB69-23CF-44E3-9099-C40C66FF867C}">
                  <a14:compatExt spid="_x0000_s198657"/>
                </a:ext>
                <a:ext uri="{FF2B5EF4-FFF2-40B4-BE49-F238E27FC236}">
                  <a16:creationId xmlns:a16="http://schemas.microsoft.com/office/drawing/2014/main" id="{00000000-0008-0000-0800-0000010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38099</xdr:colOff>
      <xdr:row>0</xdr:row>
      <xdr:rowOff>0</xdr:rowOff>
    </xdr:from>
    <xdr:to>
      <xdr:col>2</xdr:col>
      <xdr:colOff>619125</xdr:colOff>
      <xdr:row>2</xdr:row>
      <xdr:rowOff>9525</xdr:rowOff>
    </xdr:to>
    <xdr:sp macro="[0]!depan" textlink="">
      <xdr:nvSpPr>
        <xdr:cNvPr id="2" name="Hexagon 1">
          <a:extLst>
            <a:ext uri="{FF2B5EF4-FFF2-40B4-BE49-F238E27FC236}">
              <a16:creationId xmlns:a16="http://schemas.microsoft.com/office/drawing/2014/main" id="{00000000-0008-0000-0A00-000002000000}"/>
            </a:ext>
          </a:extLst>
        </xdr:cNvPr>
        <xdr:cNvSpPr/>
      </xdr:nvSpPr>
      <xdr:spPr>
        <a:xfrm>
          <a:off x="380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2</xdr:col>
      <xdr:colOff>619124</xdr:colOff>
      <xdr:row>0</xdr:row>
      <xdr:rowOff>0</xdr:rowOff>
    </xdr:from>
    <xdr:to>
      <xdr:col>2</xdr:col>
      <xdr:colOff>1514475</xdr:colOff>
      <xdr:row>2</xdr:row>
      <xdr:rowOff>9525</xdr:rowOff>
    </xdr:to>
    <xdr:sp macro="[0]!Worksheet" textlink="">
      <xdr:nvSpPr>
        <xdr:cNvPr id="3" name="Hexagon 2">
          <a:extLst>
            <a:ext uri="{FF2B5EF4-FFF2-40B4-BE49-F238E27FC236}">
              <a16:creationId xmlns:a16="http://schemas.microsoft.com/office/drawing/2014/main" id="{00000000-0008-0000-0A00-000003000000}"/>
            </a:ext>
          </a:extLst>
        </xdr:cNvPr>
        <xdr:cNvSpPr/>
      </xdr:nvSpPr>
      <xdr:spPr>
        <a:xfrm>
          <a:off x="9334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 SHEET</a:t>
          </a:r>
        </a:p>
      </xdr:txBody>
    </xdr:sp>
    <xdr:clientData/>
  </xdr:twoCellAnchor>
  <xdr:twoCellAnchor>
    <xdr:from>
      <xdr:col>2</xdr:col>
      <xdr:colOff>1514474</xdr:colOff>
      <xdr:row>0</xdr:row>
      <xdr:rowOff>0</xdr:rowOff>
    </xdr:from>
    <xdr:to>
      <xdr:col>2</xdr:col>
      <xdr:colOff>2409825</xdr:colOff>
      <xdr:row>2</xdr:row>
      <xdr:rowOff>9525</xdr:rowOff>
    </xdr:to>
    <xdr:sp macro="[0]!RUts" textlink="">
      <xdr:nvSpPr>
        <xdr:cNvPr id="4" name="Hexagon 3">
          <a:extLst>
            <a:ext uri="{FF2B5EF4-FFF2-40B4-BE49-F238E27FC236}">
              <a16:creationId xmlns:a16="http://schemas.microsoft.com/office/drawing/2014/main" id="{00000000-0008-0000-0A00-000004000000}"/>
            </a:ext>
          </a:extLst>
        </xdr:cNvPr>
        <xdr:cNvSpPr/>
      </xdr:nvSpPr>
      <xdr:spPr>
        <a:xfrm>
          <a:off x="18287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UTS</a:t>
          </a:r>
        </a:p>
      </xdr:txBody>
    </xdr:sp>
    <xdr:clientData/>
  </xdr:twoCellAnchor>
  <xdr:twoCellAnchor>
    <xdr:from>
      <xdr:col>2</xdr:col>
      <xdr:colOff>2409824</xdr:colOff>
      <xdr:row>0</xdr:row>
      <xdr:rowOff>0</xdr:rowOff>
    </xdr:from>
    <xdr:to>
      <xdr:col>3</xdr:col>
      <xdr:colOff>228600</xdr:colOff>
      <xdr:row>2</xdr:row>
      <xdr:rowOff>9525</xdr:rowOff>
    </xdr:to>
    <xdr:sp macro="[0]!RUas" textlink="">
      <xdr:nvSpPr>
        <xdr:cNvPr id="5" name="Hexagon 4">
          <a:extLst>
            <a:ext uri="{FF2B5EF4-FFF2-40B4-BE49-F238E27FC236}">
              <a16:creationId xmlns:a16="http://schemas.microsoft.com/office/drawing/2014/main" id="{00000000-0008-0000-0A00-000005000000}"/>
            </a:ext>
          </a:extLst>
        </xdr:cNvPr>
        <xdr:cNvSpPr/>
      </xdr:nvSpPr>
      <xdr:spPr>
        <a:xfrm>
          <a:off x="27241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UAS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38099</xdr:colOff>
      <xdr:row>0</xdr:row>
      <xdr:rowOff>0</xdr:rowOff>
    </xdr:from>
    <xdr:to>
      <xdr:col>2</xdr:col>
      <xdr:colOff>619125</xdr:colOff>
      <xdr:row>2</xdr:row>
      <xdr:rowOff>9525</xdr:rowOff>
    </xdr:to>
    <xdr:sp macro="[0]!depan" textlink="">
      <xdr:nvSpPr>
        <xdr:cNvPr id="6" name="Hexagon 5">
          <a:extLst>
            <a:ext uri="{FF2B5EF4-FFF2-40B4-BE49-F238E27FC236}">
              <a16:creationId xmlns:a16="http://schemas.microsoft.com/office/drawing/2014/main" id="{00000000-0008-0000-0B00-000006000000}"/>
            </a:ext>
          </a:extLst>
        </xdr:cNvPr>
        <xdr:cNvSpPr/>
      </xdr:nvSpPr>
      <xdr:spPr>
        <a:xfrm>
          <a:off x="380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2</xdr:col>
      <xdr:colOff>619124</xdr:colOff>
      <xdr:row>0</xdr:row>
      <xdr:rowOff>0</xdr:rowOff>
    </xdr:from>
    <xdr:to>
      <xdr:col>2</xdr:col>
      <xdr:colOff>1514475</xdr:colOff>
      <xdr:row>2</xdr:row>
      <xdr:rowOff>9525</xdr:rowOff>
    </xdr:to>
    <xdr:sp macro="[0]!Worksheet" textlink="">
      <xdr:nvSpPr>
        <xdr:cNvPr id="7" name="Hexagon 6">
          <a:extLst>
            <a:ext uri="{FF2B5EF4-FFF2-40B4-BE49-F238E27FC236}">
              <a16:creationId xmlns:a16="http://schemas.microsoft.com/office/drawing/2014/main" id="{00000000-0008-0000-0B00-000007000000}"/>
            </a:ext>
          </a:extLst>
        </xdr:cNvPr>
        <xdr:cNvSpPr/>
      </xdr:nvSpPr>
      <xdr:spPr>
        <a:xfrm>
          <a:off x="9334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 SHEET</a:t>
          </a:r>
        </a:p>
      </xdr:txBody>
    </xdr:sp>
    <xdr:clientData/>
  </xdr:twoCellAnchor>
  <xdr:twoCellAnchor>
    <xdr:from>
      <xdr:col>2</xdr:col>
      <xdr:colOff>1514474</xdr:colOff>
      <xdr:row>0</xdr:row>
      <xdr:rowOff>0</xdr:rowOff>
    </xdr:from>
    <xdr:to>
      <xdr:col>2</xdr:col>
      <xdr:colOff>2409825</xdr:colOff>
      <xdr:row>2</xdr:row>
      <xdr:rowOff>9525</xdr:rowOff>
    </xdr:to>
    <xdr:sp macro="[0]!RUts" textlink="">
      <xdr:nvSpPr>
        <xdr:cNvPr id="8" name="Hexagon 7">
          <a:extLst>
            <a:ext uri="{FF2B5EF4-FFF2-40B4-BE49-F238E27FC236}">
              <a16:creationId xmlns:a16="http://schemas.microsoft.com/office/drawing/2014/main" id="{00000000-0008-0000-0B00-000008000000}"/>
            </a:ext>
          </a:extLst>
        </xdr:cNvPr>
        <xdr:cNvSpPr/>
      </xdr:nvSpPr>
      <xdr:spPr>
        <a:xfrm>
          <a:off x="18287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UTS</a:t>
          </a:r>
        </a:p>
      </xdr:txBody>
    </xdr:sp>
    <xdr:clientData/>
  </xdr:twoCellAnchor>
  <xdr:twoCellAnchor>
    <xdr:from>
      <xdr:col>2</xdr:col>
      <xdr:colOff>2409824</xdr:colOff>
      <xdr:row>0</xdr:row>
      <xdr:rowOff>0</xdr:rowOff>
    </xdr:from>
    <xdr:to>
      <xdr:col>3</xdr:col>
      <xdr:colOff>228600</xdr:colOff>
      <xdr:row>2</xdr:row>
      <xdr:rowOff>9525</xdr:rowOff>
    </xdr:to>
    <xdr:sp macro="[0]!RUas" textlink="">
      <xdr:nvSpPr>
        <xdr:cNvPr id="9" name="Hexagon 8">
          <a:extLst>
            <a:ext uri="{FF2B5EF4-FFF2-40B4-BE49-F238E27FC236}">
              <a16:creationId xmlns:a16="http://schemas.microsoft.com/office/drawing/2014/main" id="{00000000-0008-0000-0B00-000009000000}"/>
            </a:ext>
          </a:extLst>
        </xdr:cNvPr>
        <xdr:cNvSpPr/>
      </xdr:nvSpPr>
      <xdr:spPr>
        <a:xfrm>
          <a:off x="27241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UAS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38099</xdr:colOff>
      <xdr:row>0</xdr:row>
      <xdr:rowOff>0</xdr:rowOff>
    </xdr:from>
    <xdr:to>
      <xdr:col>2</xdr:col>
      <xdr:colOff>619125</xdr:colOff>
      <xdr:row>2</xdr:row>
      <xdr:rowOff>9525</xdr:rowOff>
    </xdr:to>
    <xdr:sp macro="[0]!depan" textlink="">
      <xdr:nvSpPr>
        <xdr:cNvPr id="6" name="Hexagon 5">
          <a:extLst>
            <a:ext uri="{FF2B5EF4-FFF2-40B4-BE49-F238E27FC236}">
              <a16:creationId xmlns:a16="http://schemas.microsoft.com/office/drawing/2014/main" id="{00000000-0008-0000-0C00-000006000000}"/>
            </a:ext>
          </a:extLst>
        </xdr:cNvPr>
        <xdr:cNvSpPr/>
      </xdr:nvSpPr>
      <xdr:spPr>
        <a:xfrm>
          <a:off x="380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2</xdr:col>
      <xdr:colOff>619124</xdr:colOff>
      <xdr:row>0</xdr:row>
      <xdr:rowOff>0</xdr:rowOff>
    </xdr:from>
    <xdr:to>
      <xdr:col>2</xdr:col>
      <xdr:colOff>1514475</xdr:colOff>
      <xdr:row>2</xdr:row>
      <xdr:rowOff>9525</xdr:rowOff>
    </xdr:to>
    <xdr:sp macro="[0]!Worksheet" textlink="">
      <xdr:nvSpPr>
        <xdr:cNvPr id="7" name="Hexagon 6">
          <a:extLst>
            <a:ext uri="{FF2B5EF4-FFF2-40B4-BE49-F238E27FC236}">
              <a16:creationId xmlns:a16="http://schemas.microsoft.com/office/drawing/2014/main" id="{00000000-0008-0000-0C00-000007000000}"/>
            </a:ext>
          </a:extLst>
        </xdr:cNvPr>
        <xdr:cNvSpPr/>
      </xdr:nvSpPr>
      <xdr:spPr>
        <a:xfrm>
          <a:off x="9334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 SHEET</a:t>
          </a:r>
        </a:p>
      </xdr:txBody>
    </xdr:sp>
    <xdr:clientData/>
  </xdr:twoCellAnchor>
  <xdr:twoCellAnchor>
    <xdr:from>
      <xdr:col>2</xdr:col>
      <xdr:colOff>1514474</xdr:colOff>
      <xdr:row>0</xdr:row>
      <xdr:rowOff>0</xdr:rowOff>
    </xdr:from>
    <xdr:to>
      <xdr:col>2</xdr:col>
      <xdr:colOff>2409825</xdr:colOff>
      <xdr:row>2</xdr:row>
      <xdr:rowOff>9525</xdr:rowOff>
    </xdr:to>
    <xdr:sp macro="[0]!RUts" textlink="">
      <xdr:nvSpPr>
        <xdr:cNvPr id="8" name="Hexagon 7">
          <a:extLst>
            <a:ext uri="{FF2B5EF4-FFF2-40B4-BE49-F238E27FC236}">
              <a16:creationId xmlns:a16="http://schemas.microsoft.com/office/drawing/2014/main" id="{00000000-0008-0000-0C00-000008000000}"/>
            </a:ext>
          </a:extLst>
        </xdr:cNvPr>
        <xdr:cNvSpPr/>
      </xdr:nvSpPr>
      <xdr:spPr>
        <a:xfrm>
          <a:off x="18287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UTS</a:t>
          </a:r>
        </a:p>
      </xdr:txBody>
    </xdr:sp>
    <xdr:clientData/>
  </xdr:twoCellAnchor>
  <xdr:twoCellAnchor>
    <xdr:from>
      <xdr:col>2</xdr:col>
      <xdr:colOff>2409824</xdr:colOff>
      <xdr:row>0</xdr:row>
      <xdr:rowOff>0</xdr:rowOff>
    </xdr:from>
    <xdr:to>
      <xdr:col>3</xdr:col>
      <xdr:colOff>228600</xdr:colOff>
      <xdr:row>2</xdr:row>
      <xdr:rowOff>9525</xdr:rowOff>
    </xdr:to>
    <xdr:sp macro="[0]!RUas" textlink="">
      <xdr:nvSpPr>
        <xdr:cNvPr id="9" name="Hexagon 8">
          <a:extLst>
            <a:ext uri="{FF2B5EF4-FFF2-40B4-BE49-F238E27FC236}">
              <a16:creationId xmlns:a16="http://schemas.microsoft.com/office/drawing/2014/main" id="{00000000-0008-0000-0C00-000009000000}"/>
            </a:ext>
          </a:extLst>
        </xdr:cNvPr>
        <xdr:cNvSpPr/>
      </xdr:nvSpPr>
      <xdr:spPr>
        <a:xfrm>
          <a:off x="27241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UAS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38099</xdr:colOff>
      <xdr:row>0</xdr:row>
      <xdr:rowOff>0</xdr:rowOff>
    </xdr:from>
    <xdr:to>
      <xdr:col>2</xdr:col>
      <xdr:colOff>619125</xdr:colOff>
      <xdr:row>2</xdr:row>
      <xdr:rowOff>9525</xdr:rowOff>
    </xdr:to>
    <xdr:sp macro="[0]!depan" textlink="">
      <xdr:nvSpPr>
        <xdr:cNvPr id="6" name="Hexagon 5">
          <a:extLst>
            <a:ext uri="{FF2B5EF4-FFF2-40B4-BE49-F238E27FC236}">
              <a16:creationId xmlns:a16="http://schemas.microsoft.com/office/drawing/2014/main" id="{00000000-0008-0000-0D00-000006000000}"/>
            </a:ext>
          </a:extLst>
        </xdr:cNvPr>
        <xdr:cNvSpPr/>
      </xdr:nvSpPr>
      <xdr:spPr>
        <a:xfrm>
          <a:off x="380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2</xdr:col>
      <xdr:colOff>619124</xdr:colOff>
      <xdr:row>0</xdr:row>
      <xdr:rowOff>0</xdr:rowOff>
    </xdr:from>
    <xdr:to>
      <xdr:col>2</xdr:col>
      <xdr:colOff>1514475</xdr:colOff>
      <xdr:row>2</xdr:row>
      <xdr:rowOff>9525</xdr:rowOff>
    </xdr:to>
    <xdr:sp macro="[0]!Worksheet" textlink="">
      <xdr:nvSpPr>
        <xdr:cNvPr id="7" name="Hexagon 6">
          <a:extLst>
            <a:ext uri="{FF2B5EF4-FFF2-40B4-BE49-F238E27FC236}">
              <a16:creationId xmlns:a16="http://schemas.microsoft.com/office/drawing/2014/main" id="{00000000-0008-0000-0D00-000007000000}"/>
            </a:ext>
          </a:extLst>
        </xdr:cNvPr>
        <xdr:cNvSpPr/>
      </xdr:nvSpPr>
      <xdr:spPr>
        <a:xfrm>
          <a:off x="9334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 SHEET</a:t>
          </a:r>
        </a:p>
      </xdr:txBody>
    </xdr:sp>
    <xdr:clientData/>
  </xdr:twoCellAnchor>
  <xdr:twoCellAnchor>
    <xdr:from>
      <xdr:col>2</xdr:col>
      <xdr:colOff>1514474</xdr:colOff>
      <xdr:row>0</xdr:row>
      <xdr:rowOff>0</xdr:rowOff>
    </xdr:from>
    <xdr:to>
      <xdr:col>2</xdr:col>
      <xdr:colOff>2409825</xdr:colOff>
      <xdr:row>2</xdr:row>
      <xdr:rowOff>9525</xdr:rowOff>
    </xdr:to>
    <xdr:sp macro="[0]!RUts" textlink="">
      <xdr:nvSpPr>
        <xdr:cNvPr id="8" name="Hexagon 7">
          <a:extLst>
            <a:ext uri="{FF2B5EF4-FFF2-40B4-BE49-F238E27FC236}">
              <a16:creationId xmlns:a16="http://schemas.microsoft.com/office/drawing/2014/main" id="{00000000-0008-0000-0D00-000008000000}"/>
            </a:ext>
          </a:extLst>
        </xdr:cNvPr>
        <xdr:cNvSpPr/>
      </xdr:nvSpPr>
      <xdr:spPr>
        <a:xfrm>
          <a:off x="18287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UTS</a:t>
          </a:r>
        </a:p>
      </xdr:txBody>
    </xdr:sp>
    <xdr:clientData/>
  </xdr:twoCellAnchor>
  <xdr:twoCellAnchor>
    <xdr:from>
      <xdr:col>2</xdr:col>
      <xdr:colOff>2409824</xdr:colOff>
      <xdr:row>0</xdr:row>
      <xdr:rowOff>0</xdr:rowOff>
    </xdr:from>
    <xdr:to>
      <xdr:col>3</xdr:col>
      <xdr:colOff>228600</xdr:colOff>
      <xdr:row>2</xdr:row>
      <xdr:rowOff>9525</xdr:rowOff>
    </xdr:to>
    <xdr:sp macro="[0]!RUas" textlink="">
      <xdr:nvSpPr>
        <xdr:cNvPr id="9" name="Hexagon 8">
          <a:extLst>
            <a:ext uri="{FF2B5EF4-FFF2-40B4-BE49-F238E27FC236}">
              <a16:creationId xmlns:a16="http://schemas.microsoft.com/office/drawing/2014/main" id="{00000000-0008-0000-0D00-000009000000}"/>
            </a:ext>
          </a:extLst>
        </xdr:cNvPr>
        <xdr:cNvSpPr/>
      </xdr:nvSpPr>
      <xdr:spPr>
        <a:xfrm>
          <a:off x="27241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UAS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38099</xdr:colOff>
      <xdr:row>0</xdr:row>
      <xdr:rowOff>0</xdr:rowOff>
    </xdr:from>
    <xdr:to>
      <xdr:col>2</xdr:col>
      <xdr:colOff>619125</xdr:colOff>
      <xdr:row>2</xdr:row>
      <xdr:rowOff>9525</xdr:rowOff>
    </xdr:to>
    <xdr:sp macro="[0]!depan" textlink="">
      <xdr:nvSpPr>
        <xdr:cNvPr id="6" name="Hexagon 5">
          <a:extLst>
            <a:ext uri="{FF2B5EF4-FFF2-40B4-BE49-F238E27FC236}">
              <a16:creationId xmlns:a16="http://schemas.microsoft.com/office/drawing/2014/main" id="{00000000-0008-0000-0E00-000006000000}"/>
            </a:ext>
          </a:extLst>
        </xdr:cNvPr>
        <xdr:cNvSpPr/>
      </xdr:nvSpPr>
      <xdr:spPr>
        <a:xfrm>
          <a:off x="380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2</xdr:col>
      <xdr:colOff>619124</xdr:colOff>
      <xdr:row>0</xdr:row>
      <xdr:rowOff>0</xdr:rowOff>
    </xdr:from>
    <xdr:to>
      <xdr:col>2</xdr:col>
      <xdr:colOff>1514475</xdr:colOff>
      <xdr:row>2</xdr:row>
      <xdr:rowOff>9525</xdr:rowOff>
    </xdr:to>
    <xdr:sp macro="[0]!Worksheet" textlink="">
      <xdr:nvSpPr>
        <xdr:cNvPr id="7" name="Hexagon 6">
          <a:extLst>
            <a:ext uri="{FF2B5EF4-FFF2-40B4-BE49-F238E27FC236}">
              <a16:creationId xmlns:a16="http://schemas.microsoft.com/office/drawing/2014/main" id="{00000000-0008-0000-0E00-000007000000}"/>
            </a:ext>
          </a:extLst>
        </xdr:cNvPr>
        <xdr:cNvSpPr/>
      </xdr:nvSpPr>
      <xdr:spPr>
        <a:xfrm>
          <a:off x="9334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 SHEET</a:t>
          </a:r>
        </a:p>
      </xdr:txBody>
    </xdr:sp>
    <xdr:clientData/>
  </xdr:twoCellAnchor>
  <xdr:twoCellAnchor>
    <xdr:from>
      <xdr:col>2</xdr:col>
      <xdr:colOff>1514474</xdr:colOff>
      <xdr:row>0</xdr:row>
      <xdr:rowOff>0</xdr:rowOff>
    </xdr:from>
    <xdr:to>
      <xdr:col>2</xdr:col>
      <xdr:colOff>2409825</xdr:colOff>
      <xdr:row>2</xdr:row>
      <xdr:rowOff>9525</xdr:rowOff>
    </xdr:to>
    <xdr:sp macro="[0]!RUts" textlink="">
      <xdr:nvSpPr>
        <xdr:cNvPr id="8" name="Hexagon 7">
          <a:extLst>
            <a:ext uri="{FF2B5EF4-FFF2-40B4-BE49-F238E27FC236}">
              <a16:creationId xmlns:a16="http://schemas.microsoft.com/office/drawing/2014/main" id="{00000000-0008-0000-0E00-000008000000}"/>
            </a:ext>
          </a:extLst>
        </xdr:cNvPr>
        <xdr:cNvSpPr/>
      </xdr:nvSpPr>
      <xdr:spPr>
        <a:xfrm>
          <a:off x="18287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UTS</a:t>
          </a:r>
        </a:p>
      </xdr:txBody>
    </xdr:sp>
    <xdr:clientData/>
  </xdr:twoCellAnchor>
  <xdr:twoCellAnchor>
    <xdr:from>
      <xdr:col>2</xdr:col>
      <xdr:colOff>2409824</xdr:colOff>
      <xdr:row>0</xdr:row>
      <xdr:rowOff>0</xdr:rowOff>
    </xdr:from>
    <xdr:to>
      <xdr:col>3</xdr:col>
      <xdr:colOff>228600</xdr:colOff>
      <xdr:row>2</xdr:row>
      <xdr:rowOff>9525</xdr:rowOff>
    </xdr:to>
    <xdr:sp macro="[0]!RUas" textlink="">
      <xdr:nvSpPr>
        <xdr:cNvPr id="9" name="Hexagon 8">
          <a:extLst>
            <a:ext uri="{FF2B5EF4-FFF2-40B4-BE49-F238E27FC236}">
              <a16:creationId xmlns:a16="http://schemas.microsoft.com/office/drawing/2014/main" id="{00000000-0008-0000-0E00-000009000000}"/>
            </a:ext>
          </a:extLst>
        </xdr:cNvPr>
        <xdr:cNvSpPr/>
      </xdr:nvSpPr>
      <xdr:spPr>
        <a:xfrm>
          <a:off x="27241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UAS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38099</xdr:colOff>
      <xdr:row>0</xdr:row>
      <xdr:rowOff>0</xdr:rowOff>
    </xdr:from>
    <xdr:to>
      <xdr:col>2</xdr:col>
      <xdr:colOff>619125</xdr:colOff>
      <xdr:row>1</xdr:row>
      <xdr:rowOff>183615</xdr:rowOff>
    </xdr:to>
    <xdr:sp macro="[0]!depan" textlink="">
      <xdr:nvSpPr>
        <xdr:cNvPr id="10" name="Hexagon 9">
          <a:extLst>
            <a:ext uri="{FF2B5EF4-FFF2-40B4-BE49-F238E27FC236}">
              <a16:creationId xmlns:a16="http://schemas.microsoft.com/office/drawing/2014/main" id="{00000000-0008-0000-0F00-00000A000000}"/>
            </a:ext>
          </a:extLst>
        </xdr:cNvPr>
        <xdr:cNvSpPr/>
      </xdr:nvSpPr>
      <xdr:spPr>
        <a:xfrm>
          <a:off x="38099" y="0"/>
          <a:ext cx="902351" cy="37870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2</xdr:col>
      <xdr:colOff>619124</xdr:colOff>
      <xdr:row>0</xdr:row>
      <xdr:rowOff>0</xdr:rowOff>
    </xdr:from>
    <xdr:to>
      <xdr:col>2</xdr:col>
      <xdr:colOff>1514475</xdr:colOff>
      <xdr:row>1</xdr:row>
      <xdr:rowOff>183615</xdr:rowOff>
    </xdr:to>
    <xdr:sp macro="[0]!Worksheet" textlink="">
      <xdr:nvSpPr>
        <xdr:cNvPr id="11" name="Hexagon 10">
          <a:extLst>
            <a:ext uri="{FF2B5EF4-FFF2-40B4-BE49-F238E27FC236}">
              <a16:creationId xmlns:a16="http://schemas.microsoft.com/office/drawing/2014/main" id="{00000000-0008-0000-0F00-00000B000000}"/>
            </a:ext>
          </a:extLst>
        </xdr:cNvPr>
        <xdr:cNvSpPr/>
      </xdr:nvSpPr>
      <xdr:spPr>
        <a:xfrm>
          <a:off x="940449" y="0"/>
          <a:ext cx="895351" cy="37870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 SHEET</a:t>
          </a:r>
        </a:p>
      </xdr:txBody>
    </xdr:sp>
    <xdr:clientData/>
  </xdr:twoCellAnchor>
  <xdr:twoCellAnchor>
    <xdr:from>
      <xdr:col>2</xdr:col>
      <xdr:colOff>1514474</xdr:colOff>
      <xdr:row>0</xdr:row>
      <xdr:rowOff>0</xdr:rowOff>
    </xdr:from>
    <xdr:to>
      <xdr:col>2</xdr:col>
      <xdr:colOff>2409825</xdr:colOff>
      <xdr:row>1</xdr:row>
      <xdr:rowOff>183615</xdr:rowOff>
    </xdr:to>
    <xdr:sp macro="[0]!RUts" textlink="">
      <xdr:nvSpPr>
        <xdr:cNvPr id="12" name="Hexagon 11">
          <a:extLst>
            <a:ext uri="{FF2B5EF4-FFF2-40B4-BE49-F238E27FC236}">
              <a16:creationId xmlns:a16="http://schemas.microsoft.com/office/drawing/2014/main" id="{00000000-0008-0000-0F00-00000C000000}"/>
            </a:ext>
          </a:extLst>
        </xdr:cNvPr>
        <xdr:cNvSpPr/>
      </xdr:nvSpPr>
      <xdr:spPr>
        <a:xfrm>
          <a:off x="1835799" y="0"/>
          <a:ext cx="895351" cy="37870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UTS</a:t>
          </a:r>
        </a:p>
      </xdr:txBody>
    </xdr:sp>
    <xdr:clientData/>
  </xdr:twoCellAnchor>
  <xdr:twoCellAnchor>
    <xdr:from>
      <xdr:col>2</xdr:col>
      <xdr:colOff>2409824</xdr:colOff>
      <xdr:row>0</xdr:row>
      <xdr:rowOff>0</xdr:rowOff>
    </xdr:from>
    <xdr:to>
      <xdr:col>3</xdr:col>
      <xdr:colOff>228600</xdr:colOff>
      <xdr:row>1</xdr:row>
      <xdr:rowOff>183615</xdr:rowOff>
    </xdr:to>
    <xdr:sp macro="[0]!RUas" textlink="">
      <xdr:nvSpPr>
        <xdr:cNvPr id="13" name="Hexagon 12">
          <a:extLst>
            <a:ext uri="{FF2B5EF4-FFF2-40B4-BE49-F238E27FC236}">
              <a16:creationId xmlns:a16="http://schemas.microsoft.com/office/drawing/2014/main" id="{00000000-0008-0000-0F00-00000D000000}"/>
            </a:ext>
          </a:extLst>
        </xdr:cNvPr>
        <xdr:cNvSpPr/>
      </xdr:nvSpPr>
      <xdr:spPr>
        <a:xfrm>
          <a:off x="2731149" y="0"/>
          <a:ext cx="894318" cy="37870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UAS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38099</xdr:colOff>
      <xdr:row>0</xdr:row>
      <xdr:rowOff>0</xdr:rowOff>
    </xdr:from>
    <xdr:to>
      <xdr:col>2</xdr:col>
      <xdr:colOff>619125</xdr:colOff>
      <xdr:row>2</xdr:row>
      <xdr:rowOff>9525</xdr:rowOff>
    </xdr:to>
    <xdr:sp macro="[0]!depan" textlink="">
      <xdr:nvSpPr>
        <xdr:cNvPr id="6" name="Hexagon 5">
          <a:extLst>
            <a:ext uri="{FF2B5EF4-FFF2-40B4-BE49-F238E27FC236}">
              <a16:creationId xmlns:a16="http://schemas.microsoft.com/office/drawing/2014/main" id="{00000000-0008-0000-1000-000006000000}"/>
            </a:ext>
          </a:extLst>
        </xdr:cNvPr>
        <xdr:cNvSpPr/>
      </xdr:nvSpPr>
      <xdr:spPr>
        <a:xfrm>
          <a:off x="380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2</xdr:col>
      <xdr:colOff>619124</xdr:colOff>
      <xdr:row>0</xdr:row>
      <xdr:rowOff>0</xdr:rowOff>
    </xdr:from>
    <xdr:to>
      <xdr:col>2</xdr:col>
      <xdr:colOff>1514475</xdr:colOff>
      <xdr:row>2</xdr:row>
      <xdr:rowOff>9525</xdr:rowOff>
    </xdr:to>
    <xdr:sp macro="[0]!Worksheet" textlink="">
      <xdr:nvSpPr>
        <xdr:cNvPr id="7" name="Hexagon 6">
          <a:extLst>
            <a:ext uri="{FF2B5EF4-FFF2-40B4-BE49-F238E27FC236}">
              <a16:creationId xmlns:a16="http://schemas.microsoft.com/office/drawing/2014/main" id="{00000000-0008-0000-1000-000007000000}"/>
            </a:ext>
          </a:extLst>
        </xdr:cNvPr>
        <xdr:cNvSpPr/>
      </xdr:nvSpPr>
      <xdr:spPr>
        <a:xfrm>
          <a:off x="9334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 SHEET</a:t>
          </a:r>
        </a:p>
      </xdr:txBody>
    </xdr:sp>
    <xdr:clientData/>
  </xdr:twoCellAnchor>
  <xdr:twoCellAnchor>
    <xdr:from>
      <xdr:col>2</xdr:col>
      <xdr:colOff>1514474</xdr:colOff>
      <xdr:row>0</xdr:row>
      <xdr:rowOff>0</xdr:rowOff>
    </xdr:from>
    <xdr:to>
      <xdr:col>2</xdr:col>
      <xdr:colOff>2409825</xdr:colOff>
      <xdr:row>2</xdr:row>
      <xdr:rowOff>9525</xdr:rowOff>
    </xdr:to>
    <xdr:sp macro="[0]!RUts" textlink="">
      <xdr:nvSpPr>
        <xdr:cNvPr id="8" name="Hexagon 7">
          <a:extLst>
            <a:ext uri="{FF2B5EF4-FFF2-40B4-BE49-F238E27FC236}">
              <a16:creationId xmlns:a16="http://schemas.microsoft.com/office/drawing/2014/main" id="{00000000-0008-0000-1000-000008000000}"/>
            </a:ext>
          </a:extLst>
        </xdr:cNvPr>
        <xdr:cNvSpPr/>
      </xdr:nvSpPr>
      <xdr:spPr>
        <a:xfrm>
          <a:off x="18287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UTS</a:t>
          </a:r>
        </a:p>
      </xdr:txBody>
    </xdr:sp>
    <xdr:clientData/>
  </xdr:twoCellAnchor>
  <xdr:twoCellAnchor>
    <xdr:from>
      <xdr:col>2</xdr:col>
      <xdr:colOff>2409824</xdr:colOff>
      <xdr:row>0</xdr:row>
      <xdr:rowOff>0</xdr:rowOff>
    </xdr:from>
    <xdr:to>
      <xdr:col>3</xdr:col>
      <xdr:colOff>228600</xdr:colOff>
      <xdr:row>2</xdr:row>
      <xdr:rowOff>9525</xdr:rowOff>
    </xdr:to>
    <xdr:sp macro="[0]!RUas" textlink="">
      <xdr:nvSpPr>
        <xdr:cNvPr id="9" name="Hexagon 8">
          <a:extLst>
            <a:ext uri="{FF2B5EF4-FFF2-40B4-BE49-F238E27FC236}">
              <a16:creationId xmlns:a16="http://schemas.microsoft.com/office/drawing/2014/main" id="{00000000-0008-0000-1000-000009000000}"/>
            </a:ext>
          </a:extLst>
        </xdr:cNvPr>
        <xdr:cNvSpPr/>
      </xdr:nvSpPr>
      <xdr:spPr>
        <a:xfrm>
          <a:off x="27241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UAS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38099</xdr:colOff>
      <xdr:row>0</xdr:row>
      <xdr:rowOff>0</xdr:rowOff>
    </xdr:from>
    <xdr:to>
      <xdr:col>2</xdr:col>
      <xdr:colOff>619125</xdr:colOff>
      <xdr:row>2</xdr:row>
      <xdr:rowOff>9525</xdr:rowOff>
    </xdr:to>
    <xdr:sp macro="[0]!depan" textlink="">
      <xdr:nvSpPr>
        <xdr:cNvPr id="6" name="Hexagon 5">
          <a:extLst>
            <a:ext uri="{FF2B5EF4-FFF2-40B4-BE49-F238E27FC236}">
              <a16:creationId xmlns:a16="http://schemas.microsoft.com/office/drawing/2014/main" id="{00000000-0008-0000-1100-000006000000}"/>
            </a:ext>
          </a:extLst>
        </xdr:cNvPr>
        <xdr:cNvSpPr/>
      </xdr:nvSpPr>
      <xdr:spPr>
        <a:xfrm>
          <a:off x="380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2</xdr:col>
      <xdr:colOff>619124</xdr:colOff>
      <xdr:row>0</xdr:row>
      <xdr:rowOff>0</xdr:rowOff>
    </xdr:from>
    <xdr:to>
      <xdr:col>2</xdr:col>
      <xdr:colOff>1514475</xdr:colOff>
      <xdr:row>2</xdr:row>
      <xdr:rowOff>9525</xdr:rowOff>
    </xdr:to>
    <xdr:sp macro="[0]!Worksheet" textlink="">
      <xdr:nvSpPr>
        <xdr:cNvPr id="7" name="Hexagon 6">
          <a:extLst>
            <a:ext uri="{FF2B5EF4-FFF2-40B4-BE49-F238E27FC236}">
              <a16:creationId xmlns:a16="http://schemas.microsoft.com/office/drawing/2014/main" id="{00000000-0008-0000-1100-000007000000}"/>
            </a:ext>
          </a:extLst>
        </xdr:cNvPr>
        <xdr:cNvSpPr/>
      </xdr:nvSpPr>
      <xdr:spPr>
        <a:xfrm>
          <a:off x="9334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 SHEET</a:t>
          </a:r>
        </a:p>
      </xdr:txBody>
    </xdr:sp>
    <xdr:clientData/>
  </xdr:twoCellAnchor>
  <xdr:twoCellAnchor>
    <xdr:from>
      <xdr:col>2</xdr:col>
      <xdr:colOff>1514474</xdr:colOff>
      <xdr:row>0</xdr:row>
      <xdr:rowOff>0</xdr:rowOff>
    </xdr:from>
    <xdr:to>
      <xdr:col>2</xdr:col>
      <xdr:colOff>2409825</xdr:colOff>
      <xdr:row>2</xdr:row>
      <xdr:rowOff>9525</xdr:rowOff>
    </xdr:to>
    <xdr:sp macro="[0]!RUts" textlink="">
      <xdr:nvSpPr>
        <xdr:cNvPr id="8" name="Hexagon 7">
          <a:extLst>
            <a:ext uri="{FF2B5EF4-FFF2-40B4-BE49-F238E27FC236}">
              <a16:creationId xmlns:a16="http://schemas.microsoft.com/office/drawing/2014/main" id="{00000000-0008-0000-1100-000008000000}"/>
            </a:ext>
          </a:extLst>
        </xdr:cNvPr>
        <xdr:cNvSpPr/>
      </xdr:nvSpPr>
      <xdr:spPr>
        <a:xfrm>
          <a:off x="18287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UTS</a:t>
          </a:r>
        </a:p>
      </xdr:txBody>
    </xdr:sp>
    <xdr:clientData/>
  </xdr:twoCellAnchor>
  <xdr:twoCellAnchor>
    <xdr:from>
      <xdr:col>2</xdr:col>
      <xdr:colOff>2409824</xdr:colOff>
      <xdr:row>0</xdr:row>
      <xdr:rowOff>0</xdr:rowOff>
    </xdr:from>
    <xdr:to>
      <xdr:col>3</xdr:col>
      <xdr:colOff>228600</xdr:colOff>
      <xdr:row>2</xdr:row>
      <xdr:rowOff>9525</xdr:rowOff>
    </xdr:to>
    <xdr:sp macro="[0]!RUas" textlink="">
      <xdr:nvSpPr>
        <xdr:cNvPr id="9" name="Hexagon 8">
          <a:extLst>
            <a:ext uri="{FF2B5EF4-FFF2-40B4-BE49-F238E27FC236}">
              <a16:creationId xmlns:a16="http://schemas.microsoft.com/office/drawing/2014/main" id="{00000000-0008-0000-1100-000009000000}"/>
            </a:ext>
          </a:extLst>
        </xdr:cNvPr>
        <xdr:cNvSpPr/>
      </xdr:nvSpPr>
      <xdr:spPr>
        <a:xfrm>
          <a:off x="27241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UAS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38099</xdr:colOff>
      <xdr:row>0</xdr:row>
      <xdr:rowOff>0</xdr:rowOff>
    </xdr:from>
    <xdr:to>
      <xdr:col>2</xdr:col>
      <xdr:colOff>619125</xdr:colOff>
      <xdr:row>2</xdr:row>
      <xdr:rowOff>9525</xdr:rowOff>
    </xdr:to>
    <xdr:sp macro="[0]!depan" textlink="">
      <xdr:nvSpPr>
        <xdr:cNvPr id="6" name="Hexagon 5">
          <a:extLst>
            <a:ext uri="{FF2B5EF4-FFF2-40B4-BE49-F238E27FC236}">
              <a16:creationId xmlns:a16="http://schemas.microsoft.com/office/drawing/2014/main" id="{00000000-0008-0000-1200-000006000000}"/>
            </a:ext>
          </a:extLst>
        </xdr:cNvPr>
        <xdr:cNvSpPr/>
      </xdr:nvSpPr>
      <xdr:spPr>
        <a:xfrm>
          <a:off x="380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2</xdr:col>
      <xdr:colOff>619124</xdr:colOff>
      <xdr:row>0</xdr:row>
      <xdr:rowOff>0</xdr:rowOff>
    </xdr:from>
    <xdr:to>
      <xdr:col>2</xdr:col>
      <xdr:colOff>1514475</xdr:colOff>
      <xdr:row>2</xdr:row>
      <xdr:rowOff>9525</xdr:rowOff>
    </xdr:to>
    <xdr:sp macro="[0]!Worksheet" textlink="">
      <xdr:nvSpPr>
        <xdr:cNvPr id="7" name="Hexagon 6">
          <a:extLst>
            <a:ext uri="{FF2B5EF4-FFF2-40B4-BE49-F238E27FC236}">
              <a16:creationId xmlns:a16="http://schemas.microsoft.com/office/drawing/2014/main" id="{00000000-0008-0000-1200-000007000000}"/>
            </a:ext>
          </a:extLst>
        </xdr:cNvPr>
        <xdr:cNvSpPr/>
      </xdr:nvSpPr>
      <xdr:spPr>
        <a:xfrm>
          <a:off x="9334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 SHEET</a:t>
          </a:r>
        </a:p>
      </xdr:txBody>
    </xdr:sp>
    <xdr:clientData/>
  </xdr:twoCellAnchor>
  <xdr:twoCellAnchor>
    <xdr:from>
      <xdr:col>2</xdr:col>
      <xdr:colOff>1514474</xdr:colOff>
      <xdr:row>0</xdr:row>
      <xdr:rowOff>0</xdr:rowOff>
    </xdr:from>
    <xdr:to>
      <xdr:col>2</xdr:col>
      <xdr:colOff>2409825</xdr:colOff>
      <xdr:row>2</xdr:row>
      <xdr:rowOff>9525</xdr:rowOff>
    </xdr:to>
    <xdr:sp macro="[0]!RUts" textlink="">
      <xdr:nvSpPr>
        <xdr:cNvPr id="8" name="Hexagon 7">
          <a:extLst>
            <a:ext uri="{FF2B5EF4-FFF2-40B4-BE49-F238E27FC236}">
              <a16:creationId xmlns:a16="http://schemas.microsoft.com/office/drawing/2014/main" id="{00000000-0008-0000-1200-000008000000}"/>
            </a:ext>
          </a:extLst>
        </xdr:cNvPr>
        <xdr:cNvSpPr/>
      </xdr:nvSpPr>
      <xdr:spPr>
        <a:xfrm>
          <a:off x="18287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UTS</a:t>
          </a:r>
        </a:p>
      </xdr:txBody>
    </xdr:sp>
    <xdr:clientData/>
  </xdr:twoCellAnchor>
  <xdr:twoCellAnchor>
    <xdr:from>
      <xdr:col>2</xdr:col>
      <xdr:colOff>2409824</xdr:colOff>
      <xdr:row>0</xdr:row>
      <xdr:rowOff>0</xdr:rowOff>
    </xdr:from>
    <xdr:to>
      <xdr:col>3</xdr:col>
      <xdr:colOff>228600</xdr:colOff>
      <xdr:row>2</xdr:row>
      <xdr:rowOff>9525</xdr:rowOff>
    </xdr:to>
    <xdr:sp macro="[0]!RUas" textlink="">
      <xdr:nvSpPr>
        <xdr:cNvPr id="9" name="Hexagon 8">
          <a:extLst>
            <a:ext uri="{FF2B5EF4-FFF2-40B4-BE49-F238E27FC236}">
              <a16:creationId xmlns:a16="http://schemas.microsoft.com/office/drawing/2014/main" id="{00000000-0008-0000-1200-000009000000}"/>
            </a:ext>
          </a:extLst>
        </xdr:cNvPr>
        <xdr:cNvSpPr/>
      </xdr:nvSpPr>
      <xdr:spPr>
        <a:xfrm>
          <a:off x="27241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UAS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38099</xdr:colOff>
      <xdr:row>0</xdr:row>
      <xdr:rowOff>0</xdr:rowOff>
    </xdr:from>
    <xdr:to>
      <xdr:col>2</xdr:col>
      <xdr:colOff>619125</xdr:colOff>
      <xdr:row>2</xdr:row>
      <xdr:rowOff>9525</xdr:rowOff>
    </xdr:to>
    <xdr:sp macro="[0]!depan" textlink="">
      <xdr:nvSpPr>
        <xdr:cNvPr id="6" name="Hexagon 5">
          <a:extLst>
            <a:ext uri="{FF2B5EF4-FFF2-40B4-BE49-F238E27FC236}">
              <a16:creationId xmlns:a16="http://schemas.microsoft.com/office/drawing/2014/main" id="{00000000-0008-0000-1300-000006000000}"/>
            </a:ext>
          </a:extLst>
        </xdr:cNvPr>
        <xdr:cNvSpPr/>
      </xdr:nvSpPr>
      <xdr:spPr>
        <a:xfrm>
          <a:off x="380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2</xdr:col>
      <xdr:colOff>619124</xdr:colOff>
      <xdr:row>0</xdr:row>
      <xdr:rowOff>0</xdr:rowOff>
    </xdr:from>
    <xdr:to>
      <xdr:col>2</xdr:col>
      <xdr:colOff>1514475</xdr:colOff>
      <xdr:row>2</xdr:row>
      <xdr:rowOff>9525</xdr:rowOff>
    </xdr:to>
    <xdr:sp macro="[0]!Worksheet" textlink="">
      <xdr:nvSpPr>
        <xdr:cNvPr id="7" name="Hexagon 6">
          <a:extLst>
            <a:ext uri="{FF2B5EF4-FFF2-40B4-BE49-F238E27FC236}">
              <a16:creationId xmlns:a16="http://schemas.microsoft.com/office/drawing/2014/main" id="{00000000-0008-0000-1300-000007000000}"/>
            </a:ext>
          </a:extLst>
        </xdr:cNvPr>
        <xdr:cNvSpPr/>
      </xdr:nvSpPr>
      <xdr:spPr>
        <a:xfrm>
          <a:off x="9334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 SHEET</a:t>
          </a:r>
        </a:p>
      </xdr:txBody>
    </xdr:sp>
    <xdr:clientData/>
  </xdr:twoCellAnchor>
  <xdr:twoCellAnchor>
    <xdr:from>
      <xdr:col>2</xdr:col>
      <xdr:colOff>1514474</xdr:colOff>
      <xdr:row>0</xdr:row>
      <xdr:rowOff>0</xdr:rowOff>
    </xdr:from>
    <xdr:to>
      <xdr:col>2</xdr:col>
      <xdr:colOff>2409825</xdr:colOff>
      <xdr:row>2</xdr:row>
      <xdr:rowOff>9525</xdr:rowOff>
    </xdr:to>
    <xdr:sp macro="[0]!RUts" textlink="">
      <xdr:nvSpPr>
        <xdr:cNvPr id="8" name="Hexagon 7">
          <a:extLst>
            <a:ext uri="{FF2B5EF4-FFF2-40B4-BE49-F238E27FC236}">
              <a16:creationId xmlns:a16="http://schemas.microsoft.com/office/drawing/2014/main" id="{00000000-0008-0000-1300-000008000000}"/>
            </a:ext>
          </a:extLst>
        </xdr:cNvPr>
        <xdr:cNvSpPr/>
      </xdr:nvSpPr>
      <xdr:spPr>
        <a:xfrm>
          <a:off x="18287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UTS</a:t>
          </a:r>
        </a:p>
      </xdr:txBody>
    </xdr:sp>
    <xdr:clientData/>
  </xdr:twoCellAnchor>
  <xdr:twoCellAnchor>
    <xdr:from>
      <xdr:col>2</xdr:col>
      <xdr:colOff>2409824</xdr:colOff>
      <xdr:row>0</xdr:row>
      <xdr:rowOff>0</xdr:rowOff>
    </xdr:from>
    <xdr:to>
      <xdr:col>3</xdr:col>
      <xdr:colOff>228600</xdr:colOff>
      <xdr:row>2</xdr:row>
      <xdr:rowOff>9525</xdr:rowOff>
    </xdr:to>
    <xdr:sp macro="[0]!RUas" textlink="">
      <xdr:nvSpPr>
        <xdr:cNvPr id="9" name="Hexagon 8">
          <a:extLst>
            <a:ext uri="{FF2B5EF4-FFF2-40B4-BE49-F238E27FC236}">
              <a16:creationId xmlns:a16="http://schemas.microsoft.com/office/drawing/2014/main" id="{00000000-0008-0000-1300-000009000000}"/>
            </a:ext>
          </a:extLst>
        </xdr:cNvPr>
        <xdr:cNvSpPr/>
      </xdr:nvSpPr>
      <xdr:spPr>
        <a:xfrm>
          <a:off x="27241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38099</xdr:colOff>
      <xdr:row>0</xdr:row>
      <xdr:rowOff>0</xdr:rowOff>
    </xdr:from>
    <xdr:to>
      <xdr:col>2</xdr:col>
      <xdr:colOff>619125</xdr:colOff>
      <xdr:row>2</xdr:row>
      <xdr:rowOff>9525</xdr:rowOff>
    </xdr:to>
    <xdr:sp macro="[0]!depan" textlink="">
      <xdr:nvSpPr>
        <xdr:cNvPr id="6" name="Hexagon 5">
          <a:extLst>
            <a:ext uri="{FF2B5EF4-FFF2-40B4-BE49-F238E27FC236}">
              <a16:creationId xmlns:a16="http://schemas.microsoft.com/office/drawing/2014/main" id="{00000000-0008-0000-1400-000006000000}"/>
            </a:ext>
          </a:extLst>
        </xdr:cNvPr>
        <xdr:cNvSpPr/>
      </xdr:nvSpPr>
      <xdr:spPr>
        <a:xfrm>
          <a:off x="380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2</xdr:col>
      <xdr:colOff>619124</xdr:colOff>
      <xdr:row>0</xdr:row>
      <xdr:rowOff>0</xdr:rowOff>
    </xdr:from>
    <xdr:to>
      <xdr:col>2</xdr:col>
      <xdr:colOff>1514475</xdr:colOff>
      <xdr:row>2</xdr:row>
      <xdr:rowOff>9525</xdr:rowOff>
    </xdr:to>
    <xdr:sp macro="[0]!Worksheet" textlink="">
      <xdr:nvSpPr>
        <xdr:cNvPr id="7" name="Hexagon 6">
          <a:extLst>
            <a:ext uri="{FF2B5EF4-FFF2-40B4-BE49-F238E27FC236}">
              <a16:creationId xmlns:a16="http://schemas.microsoft.com/office/drawing/2014/main" id="{00000000-0008-0000-1400-000007000000}"/>
            </a:ext>
          </a:extLst>
        </xdr:cNvPr>
        <xdr:cNvSpPr/>
      </xdr:nvSpPr>
      <xdr:spPr>
        <a:xfrm>
          <a:off x="9334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 SHEET</a:t>
          </a:r>
        </a:p>
      </xdr:txBody>
    </xdr:sp>
    <xdr:clientData/>
  </xdr:twoCellAnchor>
  <xdr:twoCellAnchor>
    <xdr:from>
      <xdr:col>2</xdr:col>
      <xdr:colOff>1514474</xdr:colOff>
      <xdr:row>0</xdr:row>
      <xdr:rowOff>0</xdr:rowOff>
    </xdr:from>
    <xdr:to>
      <xdr:col>2</xdr:col>
      <xdr:colOff>2409825</xdr:colOff>
      <xdr:row>2</xdr:row>
      <xdr:rowOff>9525</xdr:rowOff>
    </xdr:to>
    <xdr:sp macro="[0]!RUts" textlink="">
      <xdr:nvSpPr>
        <xdr:cNvPr id="8" name="Hexagon 7">
          <a:extLst>
            <a:ext uri="{FF2B5EF4-FFF2-40B4-BE49-F238E27FC236}">
              <a16:creationId xmlns:a16="http://schemas.microsoft.com/office/drawing/2014/main" id="{00000000-0008-0000-1400-000008000000}"/>
            </a:ext>
          </a:extLst>
        </xdr:cNvPr>
        <xdr:cNvSpPr/>
      </xdr:nvSpPr>
      <xdr:spPr>
        <a:xfrm>
          <a:off x="18287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UTS</a:t>
          </a:r>
        </a:p>
      </xdr:txBody>
    </xdr:sp>
    <xdr:clientData/>
  </xdr:twoCellAnchor>
  <xdr:twoCellAnchor>
    <xdr:from>
      <xdr:col>2</xdr:col>
      <xdr:colOff>2409824</xdr:colOff>
      <xdr:row>0</xdr:row>
      <xdr:rowOff>0</xdr:rowOff>
    </xdr:from>
    <xdr:to>
      <xdr:col>3</xdr:col>
      <xdr:colOff>228600</xdr:colOff>
      <xdr:row>2</xdr:row>
      <xdr:rowOff>9525</xdr:rowOff>
    </xdr:to>
    <xdr:sp macro="[0]!RUas" textlink="">
      <xdr:nvSpPr>
        <xdr:cNvPr id="9" name="Hexagon 8">
          <a:extLst>
            <a:ext uri="{FF2B5EF4-FFF2-40B4-BE49-F238E27FC236}">
              <a16:creationId xmlns:a16="http://schemas.microsoft.com/office/drawing/2014/main" id="{00000000-0008-0000-1400-000009000000}"/>
            </a:ext>
          </a:extLst>
        </xdr:cNvPr>
        <xdr:cNvSpPr/>
      </xdr:nvSpPr>
      <xdr:spPr>
        <a:xfrm>
          <a:off x="27241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UAS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38099</xdr:colOff>
      <xdr:row>0</xdr:row>
      <xdr:rowOff>0</xdr:rowOff>
    </xdr:from>
    <xdr:to>
      <xdr:col>2</xdr:col>
      <xdr:colOff>619125</xdr:colOff>
      <xdr:row>2</xdr:row>
      <xdr:rowOff>9525</xdr:rowOff>
    </xdr:to>
    <xdr:sp macro="[0]!depan" textlink="">
      <xdr:nvSpPr>
        <xdr:cNvPr id="6" name="Hexagon 5">
          <a:extLst>
            <a:ext uri="{FF2B5EF4-FFF2-40B4-BE49-F238E27FC236}">
              <a16:creationId xmlns:a16="http://schemas.microsoft.com/office/drawing/2014/main" id="{00000000-0008-0000-1500-000006000000}"/>
            </a:ext>
          </a:extLst>
        </xdr:cNvPr>
        <xdr:cNvSpPr/>
      </xdr:nvSpPr>
      <xdr:spPr>
        <a:xfrm>
          <a:off x="380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2</xdr:col>
      <xdr:colOff>619124</xdr:colOff>
      <xdr:row>0</xdr:row>
      <xdr:rowOff>0</xdr:rowOff>
    </xdr:from>
    <xdr:to>
      <xdr:col>2</xdr:col>
      <xdr:colOff>1514475</xdr:colOff>
      <xdr:row>2</xdr:row>
      <xdr:rowOff>9525</xdr:rowOff>
    </xdr:to>
    <xdr:sp macro="[0]!Worksheet" textlink="">
      <xdr:nvSpPr>
        <xdr:cNvPr id="7" name="Hexagon 6">
          <a:extLst>
            <a:ext uri="{FF2B5EF4-FFF2-40B4-BE49-F238E27FC236}">
              <a16:creationId xmlns:a16="http://schemas.microsoft.com/office/drawing/2014/main" id="{00000000-0008-0000-1500-000007000000}"/>
            </a:ext>
          </a:extLst>
        </xdr:cNvPr>
        <xdr:cNvSpPr/>
      </xdr:nvSpPr>
      <xdr:spPr>
        <a:xfrm>
          <a:off x="9334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 SHEET</a:t>
          </a:r>
        </a:p>
      </xdr:txBody>
    </xdr:sp>
    <xdr:clientData/>
  </xdr:twoCellAnchor>
  <xdr:twoCellAnchor>
    <xdr:from>
      <xdr:col>2</xdr:col>
      <xdr:colOff>1514474</xdr:colOff>
      <xdr:row>0</xdr:row>
      <xdr:rowOff>0</xdr:rowOff>
    </xdr:from>
    <xdr:to>
      <xdr:col>2</xdr:col>
      <xdr:colOff>2409825</xdr:colOff>
      <xdr:row>2</xdr:row>
      <xdr:rowOff>9525</xdr:rowOff>
    </xdr:to>
    <xdr:sp macro="[0]!RUts" textlink="">
      <xdr:nvSpPr>
        <xdr:cNvPr id="8" name="Hexagon 7">
          <a:extLst>
            <a:ext uri="{FF2B5EF4-FFF2-40B4-BE49-F238E27FC236}">
              <a16:creationId xmlns:a16="http://schemas.microsoft.com/office/drawing/2014/main" id="{00000000-0008-0000-1500-000008000000}"/>
            </a:ext>
          </a:extLst>
        </xdr:cNvPr>
        <xdr:cNvSpPr/>
      </xdr:nvSpPr>
      <xdr:spPr>
        <a:xfrm>
          <a:off x="18287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UTS</a:t>
          </a:r>
        </a:p>
      </xdr:txBody>
    </xdr:sp>
    <xdr:clientData/>
  </xdr:twoCellAnchor>
  <xdr:twoCellAnchor>
    <xdr:from>
      <xdr:col>2</xdr:col>
      <xdr:colOff>2409824</xdr:colOff>
      <xdr:row>0</xdr:row>
      <xdr:rowOff>0</xdr:rowOff>
    </xdr:from>
    <xdr:to>
      <xdr:col>3</xdr:col>
      <xdr:colOff>228600</xdr:colOff>
      <xdr:row>2</xdr:row>
      <xdr:rowOff>9525</xdr:rowOff>
    </xdr:to>
    <xdr:sp macro="[0]!RUas" textlink="">
      <xdr:nvSpPr>
        <xdr:cNvPr id="9" name="Hexagon 8">
          <a:extLst>
            <a:ext uri="{FF2B5EF4-FFF2-40B4-BE49-F238E27FC236}">
              <a16:creationId xmlns:a16="http://schemas.microsoft.com/office/drawing/2014/main" id="{00000000-0008-0000-1500-000009000000}"/>
            </a:ext>
          </a:extLst>
        </xdr:cNvPr>
        <xdr:cNvSpPr/>
      </xdr:nvSpPr>
      <xdr:spPr>
        <a:xfrm>
          <a:off x="27241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UAS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38099</xdr:colOff>
      <xdr:row>0</xdr:row>
      <xdr:rowOff>0</xdr:rowOff>
    </xdr:from>
    <xdr:to>
      <xdr:col>2</xdr:col>
      <xdr:colOff>619125</xdr:colOff>
      <xdr:row>2</xdr:row>
      <xdr:rowOff>9525</xdr:rowOff>
    </xdr:to>
    <xdr:sp macro="[0]!depan" textlink="">
      <xdr:nvSpPr>
        <xdr:cNvPr id="6" name="Hexagon 5">
          <a:extLst>
            <a:ext uri="{FF2B5EF4-FFF2-40B4-BE49-F238E27FC236}">
              <a16:creationId xmlns:a16="http://schemas.microsoft.com/office/drawing/2014/main" id="{00000000-0008-0000-1600-000006000000}"/>
            </a:ext>
          </a:extLst>
        </xdr:cNvPr>
        <xdr:cNvSpPr/>
      </xdr:nvSpPr>
      <xdr:spPr>
        <a:xfrm>
          <a:off x="380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2</xdr:col>
      <xdr:colOff>619124</xdr:colOff>
      <xdr:row>0</xdr:row>
      <xdr:rowOff>0</xdr:rowOff>
    </xdr:from>
    <xdr:to>
      <xdr:col>2</xdr:col>
      <xdr:colOff>1514475</xdr:colOff>
      <xdr:row>2</xdr:row>
      <xdr:rowOff>9525</xdr:rowOff>
    </xdr:to>
    <xdr:sp macro="[0]!Worksheet" textlink="">
      <xdr:nvSpPr>
        <xdr:cNvPr id="7" name="Hexagon 6">
          <a:extLst>
            <a:ext uri="{FF2B5EF4-FFF2-40B4-BE49-F238E27FC236}">
              <a16:creationId xmlns:a16="http://schemas.microsoft.com/office/drawing/2014/main" id="{00000000-0008-0000-1600-000007000000}"/>
            </a:ext>
          </a:extLst>
        </xdr:cNvPr>
        <xdr:cNvSpPr/>
      </xdr:nvSpPr>
      <xdr:spPr>
        <a:xfrm>
          <a:off x="9334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 SHEET</a:t>
          </a:r>
        </a:p>
      </xdr:txBody>
    </xdr:sp>
    <xdr:clientData/>
  </xdr:twoCellAnchor>
  <xdr:twoCellAnchor>
    <xdr:from>
      <xdr:col>2</xdr:col>
      <xdr:colOff>1514474</xdr:colOff>
      <xdr:row>0</xdr:row>
      <xdr:rowOff>0</xdr:rowOff>
    </xdr:from>
    <xdr:to>
      <xdr:col>2</xdr:col>
      <xdr:colOff>2409825</xdr:colOff>
      <xdr:row>2</xdr:row>
      <xdr:rowOff>9525</xdr:rowOff>
    </xdr:to>
    <xdr:sp macro="[0]!RUts" textlink="">
      <xdr:nvSpPr>
        <xdr:cNvPr id="8" name="Hexagon 7">
          <a:extLst>
            <a:ext uri="{FF2B5EF4-FFF2-40B4-BE49-F238E27FC236}">
              <a16:creationId xmlns:a16="http://schemas.microsoft.com/office/drawing/2014/main" id="{00000000-0008-0000-1600-000008000000}"/>
            </a:ext>
          </a:extLst>
        </xdr:cNvPr>
        <xdr:cNvSpPr/>
      </xdr:nvSpPr>
      <xdr:spPr>
        <a:xfrm>
          <a:off x="18287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UTS</a:t>
          </a:r>
        </a:p>
      </xdr:txBody>
    </xdr:sp>
    <xdr:clientData/>
  </xdr:twoCellAnchor>
  <xdr:twoCellAnchor>
    <xdr:from>
      <xdr:col>2</xdr:col>
      <xdr:colOff>2409824</xdr:colOff>
      <xdr:row>0</xdr:row>
      <xdr:rowOff>0</xdr:rowOff>
    </xdr:from>
    <xdr:to>
      <xdr:col>3</xdr:col>
      <xdr:colOff>228600</xdr:colOff>
      <xdr:row>2</xdr:row>
      <xdr:rowOff>9525</xdr:rowOff>
    </xdr:to>
    <xdr:sp macro="[0]!RUas" textlink="">
      <xdr:nvSpPr>
        <xdr:cNvPr id="9" name="Hexagon 8">
          <a:extLst>
            <a:ext uri="{FF2B5EF4-FFF2-40B4-BE49-F238E27FC236}">
              <a16:creationId xmlns:a16="http://schemas.microsoft.com/office/drawing/2014/main" id="{00000000-0008-0000-1600-000009000000}"/>
            </a:ext>
          </a:extLst>
        </xdr:cNvPr>
        <xdr:cNvSpPr/>
      </xdr:nvSpPr>
      <xdr:spPr>
        <a:xfrm>
          <a:off x="27241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UAS</a:t>
          </a:r>
        </a:p>
      </xdr:txBody>
    </xdr:sp>
    <xdr:clientData/>
  </xdr:twoCellAnchor>
  <xdr:twoCellAnchor>
    <xdr:from>
      <xdr:col>0</xdr:col>
      <xdr:colOff>0</xdr:colOff>
      <xdr:row>8</xdr:row>
      <xdr:rowOff>19050</xdr:rowOff>
    </xdr:from>
    <xdr:to>
      <xdr:col>3</xdr:col>
      <xdr:colOff>142875</xdr:colOff>
      <xdr:row>8</xdr:row>
      <xdr:rowOff>19050</xdr:rowOff>
    </xdr:to>
    <xdr:sp macro="" textlink="">
      <xdr:nvSpPr>
        <xdr:cNvPr id="202753" name="AutoShape 1">
          <a:extLst>
            <a:ext uri="{FF2B5EF4-FFF2-40B4-BE49-F238E27FC236}">
              <a16:creationId xmlns:a16="http://schemas.microsoft.com/office/drawing/2014/main" id="{00000000-0008-0000-1600-000001180300}"/>
            </a:ext>
          </a:extLst>
        </xdr:cNvPr>
        <xdr:cNvSpPr>
          <a:spLocks noChangeShapeType="1"/>
        </xdr:cNvSpPr>
      </xdr:nvSpPr>
      <xdr:spPr bwMode="auto">
        <a:xfrm>
          <a:off x="0" y="1971675"/>
          <a:ext cx="3533775" cy="0"/>
        </a:xfrm>
        <a:prstGeom prst="straightConnector1">
          <a:avLst/>
        </a:prstGeom>
        <a:noFill/>
        <a:ln w="9525">
          <a:solidFill>
            <a:srgbClr val="000000"/>
          </a:solidFill>
          <a:round/>
          <a:headEnd/>
          <a:tailEnd/>
        </a:ln>
      </xdr:spPr>
    </xdr:sp>
    <xdr:clientData/>
  </xdr:twoCellAnchor>
  <xdr:twoCellAnchor>
    <xdr:from>
      <xdr:col>0</xdr:col>
      <xdr:colOff>0</xdr:colOff>
      <xdr:row>23</xdr:row>
      <xdr:rowOff>0</xdr:rowOff>
    </xdr:from>
    <xdr:to>
      <xdr:col>3</xdr:col>
      <xdr:colOff>142875</xdr:colOff>
      <xdr:row>23</xdr:row>
      <xdr:rowOff>0</xdr:rowOff>
    </xdr:to>
    <xdr:sp macro="" textlink="">
      <xdr:nvSpPr>
        <xdr:cNvPr id="202754" name="AutoShape 2">
          <a:extLst>
            <a:ext uri="{FF2B5EF4-FFF2-40B4-BE49-F238E27FC236}">
              <a16:creationId xmlns:a16="http://schemas.microsoft.com/office/drawing/2014/main" id="{00000000-0008-0000-1600-000002180300}"/>
            </a:ext>
          </a:extLst>
        </xdr:cNvPr>
        <xdr:cNvSpPr>
          <a:spLocks noChangeShapeType="1"/>
        </xdr:cNvSpPr>
      </xdr:nvSpPr>
      <xdr:spPr bwMode="auto">
        <a:xfrm>
          <a:off x="0" y="4352925"/>
          <a:ext cx="3533775" cy="0"/>
        </a:xfrm>
        <a:prstGeom prst="straightConnector1">
          <a:avLst/>
        </a:prstGeom>
        <a:noFill/>
        <a:ln w="9525">
          <a:solidFill>
            <a:srgbClr val="000000"/>
          </a:solidFill>
          <a:round/>
          <a:headEnd/>
          <a:tailEnd/>
        </a:ln>
      </xdr:spPr>
    </xdr: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38099</xdr:colOff>
      <xdr:row>0</xdr:row>
      <xdr:rowOff>0</xdr:rowOff>
    </xdr:from>
    <xdr:to>
      <xdr:col>2</xdr:col>
      <xdr:colOff>619125</xdr:colOff>
      <xdr:row>2</xdr:row>
      <xdr:rowOff>9525</xdr:rowOff>
    </xdr:to>
    <xdr:sp macro="[0]!depan" textlink="">
      <xdr:nvSpPr>
        <xdr:cNvPr id="6" name="Hexagon 5">
          <a:extLst>
            <a:ext uri="{FF2B5EF4-FFF2-40B4-BE49-F238E27FC236}">
              <a16:creationId xmlns:a16="http://schemas.microsoft.com/office/drawing/2014/main" id="{00000000-0008-0000-1700-000006000000}"/>
            </a:ext>
          </a:extLst>
        </xdr:cNvPr>
        <xdr:cNvSpPr/>
      </xdr:nvSpPr>
      <xdr:spPr>
        <a:xfrm>
          <a:off x="380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2</xdr:col>
      <xdr:colOff>619124</xdr:colOff>
      <xdr:row>0</xdr:row>
      <xdr:rowOff>0</xdr:rowOff>
    </xdr:from>
    <xdr:to>
      <xdr:col>2</xdr:col>
      <xdr:colOff>1514475</xdr:colOff>
      <xdr:row>2</xdr:row>
      <xdr:rowOff>9525</xdr:rowOff>
    </xdr:to>
    <xdr:sp macro="[0]!Worksheet" textlink="">
      <xdr:nvSpPr>
        <xdr:cNvPr id="7" name="Hexagon 6">
          <a:extLst>
            <a:ext uri="{FF2B5EF4-FFF2-40B4-BE49-F238E27FC236}">
              <a16:creationId xmlns:a16="http://schemas.microsoft.com/office/drawing/2014/main" id="{00000000-0008-0000-1700-000007000000}"/>
            </a:ext>
          </a:extLst>
        </xdr:cNvPr>
        <xdr:cNvSpPr/>
      </xdr:nvSpPr>
      <xdr:spPr>
        <a:xfrm>
          <a:off x="9334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 SHEET</a:t>
          </a:r>
        </a:p>
      </xdr:txBody>
    </xdr:sp>
    <xdr:clientData/>
  </xdr:twoCellAnchor>
  <xdr:twoCellAnchor>
    <xdr:from>
      <xdr:col>2</xdr:col>
      <xdr:colOff>1514474</xdr:colOff>
      <xdr:row>0</xdr:row>
      <xdr:rowOff>0</xdr:rowOff>
    </xdr:from>
    <xdr:to>
      <xdr:col>2</xdr:col>
      <xdr:colOff>2409825</xdr:colOff>
      <xdr:row>2</xdr:row>
      <xdr:rowOff>9525</xdr:rowOff>
    </xdr:to>
    <xdr:sp macro="[0]!RUts" textlink="">
      <xdr:nvSpPr>
        <xdr:cNvPr id="8" name="Hexagon 7">
          <a:extLst>
            <a:ext uri="{FF2B5EF4-FFF2-40B4-BE49-F238E27FC236}">
              <a16:creationId xmlns:a16="http://schemas.microsoft.com/office/drawing/2014/main" id="{00000000-0008-0000-1700-000008000000}"/>
            </a:ext>
          </a:extLst>
        </xdr:cNvPr>
        <xdr:cNvSpPr/>
      </xdr:nvSpPr>
      <xdr:spPr>
        <a:xfrm>
          <a:off x="18287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UTS</a:t>
          </a:r>
        </a:p>
      </xdr:txBody>
    </xdr:sp>
    <xdr:clientData/>
  </xdr:twoCellAnchor>
  <xdr:twoCellAnchor>
    <xdr:from>
      <xdr:col>2</xdr:col>
      <xdr:colOff>2409824</xdr:colOff>
      <xdr:row>0</xdr:row>
      <xdr:rowOff>0</xdr:rowOff>
    </xdr:from>
    <xdr:to>
      <xdr:col>3</xdr:col>
      <xdr:colOff>228600</xdr:colOff>
      <xdr:row>2</xdr:row>
      <xdr:rowOff>9525</xdr:rowOff>
    </xdr:to>
    <xdr:sp macro="[0]!RUas" textlink="">
      <xdr:nvSpPr>
        <xdr:cNvPr id="9" name="Hexagon 8">
          <a:extLst>
            <a:ext uri="{FF2B5EF4-FFF2-40B4-BE49-F238E27FC236}">
              <a16:creationId xmlns:a16="http://schemas.microsoft.com/office/drawing/2014/main" id="{00000000-0008-0000-1700-000009000000}"/>
            </a:ext>
          </a:extLst>
        </xdr:cNvPr>
        <xdr:cNvSpPr/>
      </xdr:nvSpPr>
      <xdr:spPr>
        <a:xfrm>
          <a:off x="27241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UAS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38099</xdr:colOff>
      <xdr:row>0</xdr:row>
      <xdr:rowOff>0</xdr:rowOff>
    </xdr:from>
    <xdr:to>
      <xdr:col>2</xdr:col>
      <xdr:colOff>619125</xdr:colOff>
      <xdr:row>2</xdr:row>
      <xdr:rowOff>9525</xdr:rowOff>
    </xdr:to>
    <xdr:sp macro="[0]!depan" textlink="">
      <xdr:nvSpPr>
        <xdr:cNvPr id="6" name="Hexagon 5">
          <a:extLst>
            <a:ext uri="{FF2B5EF4-FFF2-40B4-BE49-F238E27FC236}">
              <a16:creationId xmlns:a16="http://schemas.microsoft.com/office/drawing/2014/main" id="{00000000-0008-0000-1800-000006000000}"/>
            </a:ext>
          </a:extLst>
        </xdr:cNvPr>
        <xdr:cNvSpPr/>
      </xdr:nvSpPr>
      <xdr:spPr>
        <a:xfrm>
          <a:off x="380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2</xdr:col>
      <xdr:colOff>619124</xdr:colOff>
      <xdr:row>0</xdr:row>
      <xdr:rowOff>0</xdr:rowOff>
    </xdr:from>
    <xdr:to>
      <xdr:col>2</xdr:col>
      <xdr:colOff>1514475</xdr:colOff>
      <xdr:row>2</xdr:row>
      <xdr:rowOff>9525</xdr:rowOff>
    </xdr:to>
    <xdr:sp macro="[0]!Worksheet" textlink="">
      <xdr:nvSpPr>
        <xdr:cNvPr id="7" name="Hexagon 6">
          <a:extLst>
            <a:ext uri="{FF2B5EF4-FFF2-40B4-BE49-F238E27FC236}">
              <a16:creationId xmlns:a16="http://schemas.microsoft.com/office/drawing/2014/main" id="{00000000-0008-0000-1800-000007000000}"/>
            </a:ext>
          </a:extLst>
        </xdr:cNvPr>
        <xdr:cNvSpPr/>
      </xdr:nvSpPr>
      <xdr:spPr>
        <a:xfrm>
          <a:off x="9334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 SHEET</a:t>
          </a:r>
        </a:p>
      </xdr:txBody>
    </xdr:sp>
    <xdr:clientData/>
  </xdr:twoCellAnchor>
  <xdr:twoCellAnchor>
    <xdr:from>
      <xdr:col>2</xdr:col>
      <xdr:colOff>1514474</xdr:colOff>
      <xdr:row>0</xdr:row>
      <xdr:rowOff>0</xdr:rowOff>
    </xdr:from>
    <xdr:to>
      <xdr:col>2</xdr:col>
      <xdr:colOff>2409825</xdr:colOff>
      <xdr:row>2</xdr:row>
      <xdr:rowOff>9525</xdr:rowOff>
    </xdr:to>
    <xdr:sp macro="[0]!RUts" textlink="">
      <xdr:nvSpPr>
        <xdr:cNvPr id="8" name="Hexagon 7">
          <a:extLst>
            <a:ext uri="{FF2B5EF4-FFF2-40B4-BE49-F238E27FC236}">
              <a16:creationId xmlns:a16="http://schemas.microsoft.com/office/drawing/2014/main" id="{00000000-0008-0000-1800-000008000000}"/>
            </a:ext>
          </a:extLst>
        </xdr:cNvPr>
        <xdr:cNvSpPr/>
      </xdr:nvSpPr>
      <xdr:spPr>
        <a:xfrm>
          <a:off x="18287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UTS</a:t>
          </a:r>
        </a:p>
      </xdr:txBody>
    </xdr:sp>
    <xdr:clientData/>
  </xdr:twoCellAnchor>
  <xdr:twoCellAnchor>
    <xdr:from>
      <xdr:col>2</xdr:col>
      <xdr:colOff>2409824</xdr:colOff>
      <xdr:row>0</xdr:row>
      <xdr:rowOff>0</xdr:rowOff>
    </xdr:from>
    <xdr:to>
      <xdr:col>3</xdr:col>
      <xdr:colOff>228600</xdr:colOff>
      <xdr:row>2</xdr:row>
      <xdr:rowOff>9525</xdr:rowOff>
    </xdr:to>
    <xdr:sp macro="[0]!RUas" textlink="">
      <xdr:nvSpPr>
        <xdr:cNvPr id="9" name="Hexagon 8">
          <a:extLst>
            <a:ext uri="{FF2B5EF4-FFF2-40B4-BE49-F238E27FC236}">
              <a16:creationId xmlns:a16="http://schemas.microsoft.com/office/drawing/2014/main" id="{00000000-0008-0000-1800-000009000000}"/>
            </a:ext>
          </a:extLst>
        </xdr:cNvPr>
        <xdr:cNvSpPr/>
      </xdr:nvSpPr>
      <xdr:spPr>
        <a:xfrm>
          <a:off x="27241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UAS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38099</xdr:colOff>
      <xdr:row>0</xdr:row>
      <xdr:rowOff>0</xdr:rowOff>
    </xdr:from>
    <xdr:to>
      <xdr:col>2</xdr:col>
      <xdr:colOff>619125</xdr:colOff>
      <xdr:row>2</xdr:row>
      <xdr:rowOff>9525</xdr:rowOff>
    </xdr:to>
    <xdr:sp macro="[0]!depan" textlink="">
      <xdr:nvSpPr>
        <xdr:cNvPr id="6" name="Hexagon 5">
          <a:extLst>
            <a:ext uri="{FF2B5EF4-FFF2-40B4-BE49-F238E27FC236}">
              <a16:creationId xmlns:a16="http://schemas.microsoft.com/office/drawing/2014/main" id="{00000000-0008-0000-1900-000006000000}"/>
            </a:ext>
          </a:extLst>
        </xdr:cNvPr>
        <xdr:cNvSpPr/>
      </xdr:nvSpPr>
      <xdr:spPr>
        <a:xfrm>
          <a:off x="380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2</xdr:col>
      <xdr:colOff>619124</xdr:colOff>
      <xdr:row>0</xdr:row>
      <xdr:rowOff>0</xdr:rowOff>
    </xdr:from>
    <xdr:to>
      <xdr:col>2</xdr:col>
      <xdr:colOff>1514475</xdr:colOff>
      <xdr:row>2</xdr:row>
      <xdr:rowOff>9525</xdr:rowOff>
    </xdr:to>
    <xdr:sp macro="[0]!Worksheet" textlink="">
      <xdr:nvSpPr>
        <xdr:cNvPr id="7" name="Hexagon 6">
          <a:extLst>
            <a:ext uri="{FF2B5EF4-FFF2-40B4-BE49-F238E27FC236}">
              <a16:creationId xmlns:a16="http://schemas.microsoft.com/office/drawing/2014/main" id="{00000000-0008-0000-1900-000007000000}"/>
            </a:ext>
          </a:extLst>
        </xdr:cNvPr>
        <xdr:cNvSpPr/>
      </xdr:nvSpPr>
      <xdr:spPr>
        <a:xfrm>
          <a:off x="9334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 SHEET</a:t>
          </a:r>
        </a:p>
      </xdr:txBody>
    </xdr:sp>
    <xdr:clientData/>
  </xdr:twoCellAnchor>
  <xdr:twoCellAnchor>
    <xdr:from>
      <xdr:col>2</xdr:col>
      <xdr:colOff>1514474</xdr:colOff>
      <xdr:row>0</xdr:row>
      <xdr:rowOff>0</xdr:rowOff>
    </xdr:from>
    <xdr:to>
      <xdr:col>2</xdr:col>
      <xdr:colOff>2409825</xdr:colOff>
      <xdr:row>2</xdr:row>
      <xdr:rowOff>9525</xdr:rowOff>
    </xdr:to>
    <xdr:sp macro="[0]!RUts" textlink="">
      <xdr:nvSpPr>
        <xdr:cNvPr id="8" name="Hexagon 7">
          <a:extLst>
            <a:ext uri="{FF2B5EF4-FFF2-40B4-BE49-F238E27FC236}">
              <a16:creationId xmlns:a16="http://schemas.microsoft.com/office/drawing/2014/main" id="{00000000-0008-0000-1900-000008000000}"/>
            </a:ext>
          </a:extLst>
        </xdr:cNvPr>
        <xdr:cNvSpPr/>
      </xdr:nvSpPr>
      <xdr:spPr>
        <a:xfrm>
          <a:off x="18287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UTS</a:t>
          </a:r>
        </a:p>
      </xdr:txBody>
    </xdr:sp>
    <xdr:clientData/>
  </xdr:twoCellAnchor>
  <xdr:twoCellAnchor>
    <xdr:from>
      <xdr:col>2</xdr:col>
      <xdr:colOff>2409824</xdr:colOff>
      <xdr:row>0</xdr:row>
      <xdr:rowOff>0</xdr:rowOff>
    </xdr:from>
    <xdr:to>
      <xdr:col>3</xdr:col>
      <xdr:colOff>228600</xdr:colOff>
      <xdr:row>2</xdr:row>
      <xdr:rowOff>9525</xdr:rowOff>
    </xdr:to>
    <xdr:sp macro="[0]!RUas" textlink="">
      <xdr:nvSpPr>
        <xdr:cNvPr id="9" name="Hexagon 8">
          <a:extLst>
            <a:ext uri="{FF2B5EF4-FFF2-40B4-BE49-F238E27FC236}">
              <a16:creationId xmlns:a16="http://schemas.microsoft.com/office/drawing/2014/main" id="{00000000-0008-0000-1900-000009000000}"/>
            </a:ext>
          </a:extLst>
        </xdr:cNvPr>
        <xdr:cNvSpPr/>
      </xdr:nvSpPr>
      <xdr:spPr>
        <a:xfrm>
          <a:off x="27241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UAS</a:t>
          </a:r>
        </a:p>
      </xdr:txBody>
    </xdr:sp>
    <xdr:clientData/>
  </xdr:twoCellAnchor>
  <xdr:twoCellAnchor>
    <xdr:from>
      <xdr:col>0</xdr:col>
      <xdr:colOff>38099</xdr:colOff>
      <xdr:row>0</xdr:row>
      <xdr:rowOff>0</xdr:rowOff>
    </xdr:from>
    <xdr:to>
      <xdr:col>2</xdr:col>
      <xdr:colOff>619125</xdr:colOff>
      <xdr:row>2</xdr:row>
      <xdr:rowOff>9525</xdr:rowOff>
    </xdr:to>
    <xdr:sp macro="[0]!depan" textlink="">
      <xdr:nvSpPr>
        <xdr:cNvPr id="10" name="Hexagon 9">
          <a:extLst>
            <a:ext uri="{FF2B5EF4-FFF2-40B4-BE49-F238E27FC236}">
              <a16:creationId xmlns:a16="http://schemas.microsoft.com/office/drawing/2014/main" id="{00000000-0008-0000-1900-00000A000000}"/>
            </a:ext>
          </a:extLst>
        </xdr:cNvPr>
        <xdr:cNvSpPr/>
      </xdr:nvSpPr>
      <xdr:spPr>
        <a:xfrm>
          <a:off x="380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2</xdr:col>
      <xdr:colOff>619124</xdr:colOff>
      <xdr:row>0</xdr:row>
      <xdr:rowOff>0</xdr:rowOff>
    </xdr:from>
    <xdr:to>
      <xdr:col>2</xdr:col>
      <xdr:colOff>1514475</xdr:colOff>
      <xdr:row>2</xdr:row>
      <xdr:rowOff>9525</xdr:rowOff>
    </xdr:to>
    <xdr:sp macro="[0]!Worksheet" textlink="">
      <xdr:nvSpPr>
        <xdr:cNvPr id="11" name="Hexagon 10">
          <a:extLst>
            <a:ext uri="{FF2B5EF4-FFF2-40B4-BE49-F238E27FC236}">
              <a16:creationId xmlns:a16="http://schemas.microsoft.com/office/drawing/2014/main" id="{00000000-0008-0000-1900-00000B000000}"/>
            </a:ext>
          </a:extLst>
        </xdr:cNvPr>
        <xdr:cNvSpPr/>
      </xdr:nvSpPr>
      <xdr:spPr>
        <a:xfrm>
          <a:off x="9334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 SHEET</a:t>
          </a:r>
        </a:p>
      </xdr:txBody>
    </xdr:sp>
    <xdr:clientData/>
  </xdr:twoCellAnchor>
  <xdr:twoCellAnchor>
    <xdr:from>
      <xdr:col>2</xdr:col>
      <xdr:colOff>1514474</xdr:colOff>
      <xdr:row>0</xdr:row>
      <xdr:rowOff>0</xdr:rowOff>
    </xdr:from>
    <xdr:to>
      <xdr:col>2</xdr:col>
      <xdr:colOff>2409825</xdr:colOff>
      <xdr:row>2</xdr:row>
      <xdr:rowOff>9525</xdr:rowOff>
    </xdr:to>
    <xdr:sp macro="[0]!RUts" textlink="">
      <xdr:nvSpPr>
        <xdr:cNvPr id="12" name="Hexagon 11">
          <a:extLst>
            <a:ext uri="{FF2B5EF4-FFF2-40B4-BE49-F238E27FC236}">
              <a16:creationId xmlns:a16="http://schemas.microsoft.com/office/drawing/2014/main" id="{00000000-0008-0000-1900-00000C000000}"/>
            </a:ext>
          </a:extLst>
        </xdr:cNvPr>
        <xdr:cNvSpPr/>
      </xdr:nvSpPr>
      <xdr:spPr>
        <a:xfrm>
          <a:off x="18287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UTS</a:t>
          </a:r>
        </a:p>
      </xdr:txBody>
    </xdr:sp>
    <xdr:clientData/>
  </xdr:twoCellAnchor>
  <xdr:twoCellAnchor>
    <xdr:from>
      <xdr:col>2</xdr:col>
      <xdr:colOff>2409824</xdr:colOff>
      <xdr:row>0</xdr:row>
      <xdr:rowOff>0</xdr:rowOff>
    </xdr:from>
    <xdr:to>
      <xdr:col>3</xdr:col>
      <xdr:colOff>228600</xdr:colOff>
      <xdr:row>2</xdr:row>
      <xdr:rowOff>9525</xdr:rowOff>
    </xdr:to>
    <xdr:sp macro="[0]!RUas" textlink="">
      <xdr:nvSpPr>
        <xdr:cNvPr id="13" name="Hexagon 12">
          <a:extLst>
            <a:ext uri="{FF2B5EF4-FFF2-40B4-BE49-F238E27FC236}">
              <a16:creationId xmlns:a16="http://schemas.microsoft.com/office/drawing/2014/main" id="{00000000-0008-0000-1900-00000D000000}"/>
            </a:ext>
          </a:extLst>
        </xdr:cNvPr>
        <xdr:cNvSpPr/>
      </xdr:nvSpPr>
      <xdr:spPr>
        <a:xfrm>
          <a:off x="27241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UAS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38099</xdr:colOff>
      <xdr:row>0</xdr:row>
      <xdr:rowOff>0</xdr:rowOff>
    </xdr:from>
    <xdr:to>
      <xdr:col>2</xdr:col>
      <xdr:colOff>619125</xdr:colOff>
      <xdr:row>2</xdr:row>
      <xdr:rowOff>9525</xdr:rowOff>
    </xdr:to>
    <xdr:sp macro="[0]!depan" textlink="">
      <xdr:nvSpPr>
        <xdr:cNvPr id="6" name="Hexagon 5">
          <a:extLst>
            <a:ext uri="{FF2B5EF4-FFF2-40B4-BE49-F238E27FC236}">
              <a16:creationId xmlns:a16="http://schemas.microsoft.com/office/drawing/2014/main" id="{00000000-0008-0000-1A00-000006000000}"/>
            </a:ext>
          </a:extLst>
        </xdr:cNvPr>
        <xdr:cNvSpPr/>
      </xdr:nvSpPr>
      <xdr:spPr>
        <a:xfrm>
          <a:off x="380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2</xdr:col>
      <xdr:colOff>619124</xdr:colOff>
      <xdr:row>0</xdr:row>
      <xdr:rowOff>0</xdr:rowOff>
    </xdr:from>
    <xdr:to>
      <xdr:col>2</xdr:col>
      <xdr:colOff>1514475</xdr:colOff>
      <xdr:row>2</xdr:row>
      <xdr:rowOff>9525</xdr:rowOff>
    </xdr:to>
    <xdr:sp macro="[0]!Worksheet" textlink="">
      <xdr:nvSpPr>
        <xdr:cNvPr id="7" name="Hexagon 6">
          <a:extLst>
            <a:ext uri="{FF2B5EF4-FFF2-40B4-BE49-F238E27FC236}">
              <a16:creationId xmlns:a16="http://schemas.microsoft.com/office/drawing/2014/main" id="{00000000-0008-0000-1A00-000007000000}"/>
            </a:ext>
          </a:extLst>
        </xdr:cNvPr>
        <xdr:cNvSpPr/>
      </xdr:nvSpPr>
      <xdr:spPr>
        <a:xfrm>
          <a:off x="9334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 SHEET</a:t>
          </a:r>
        </a:p>
      </xdr:txBody>
    </xdr:sp>
    <xdr:clientData/>
  </xdr:twoCellAnchor>
  <xdr:twoCellAnchor>
    <xdr:from>
      <xdr:col>2</xdr:col>
      <xdr:colOff>1514474</xdr:colOff>
      <xdr:row>0</xdr:row>
      <xdr:rowOff>0</xdr:rowOff>
    </xdr:from>
    <xdr:to>
      <xdr:col>2</xdr:col>
      <xdr:colOff>2409825</xdr:colOff>
      <xdr:row>2</xdr:row>
      <xdr:rowOff>9525</xdr:rowOff>
    </xdr:to>
    <xdr:sp macro="[0]!RUts" textlink="">
      <xdr:nvSpPr>
        <xdr:cNvPr id="8" name="Hexagon 7">
          <a:extLst>
            <a:ext uri="{FF2B5EF4-FFF2-40B4-BE49-F238E27FC236}">
              <a16:creationId xmlns:a16="http://schemas.microsoft.com/office/drawing/2014/main" id="{00000000-0008-0000-1A00-000008000000}"/>
            </a:ext>
          </a:extLst>
        </xdr:cNvPr>
        <xdr:cNvSpPr/>
      </xdr:nvSpPr>
      <xdr:spPr>
        <a:xfrm>
          <a:off x="182879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UTS</a:t>
          </a:r>
        </a:p>
      </xdr:txBody>
    </xdr:sp>
    <xdr:clientData/>
  </xdr:twoCellAnchor>
  <xdr:twoCellAnchor>
    <xdr:from>
      <xdr:col>2</xdr:col>
      <xdr:colOff>2409824</xdr:colOff>
      <xdr:row>0</xdr:row>
      <xdr:rowOff>0</xdr:rowOff>
    </xdr:from>
    <xdr:to>
      <xdr:col>3</xdr:col>
      <xdr:colOff>228600</xdr:colOff>
      <xdr:row>2</xdr:row>
      <xdr:rowOff>9525</xdr:rowOff>
    </xdr:to>
    <xdr:sp macro="[0]!RUas" textlink="">
      <xdr:nvSpPr>
        <xdr:cNvPr id="9" name="Hexagon 8">
          <a:extLst>
            <a:ext uri="{FF2B5EF4-FFF2-40B4-BE49-F238E27FC236}">
              <a16:creationId xmlns:a16="http://schemas.microsoft.com/office/drawing/2014/main" id="{00000000-0008-0000-1A00-000009000000}"/>
            </a:ext>
          </a:extLst>
        </xdr:cNvPr>
        <xdr:cNvSpPr/>
      </xdr:nvSpPr>
      <xdr:spPr>
        <a:xfrm>
          <a:off x="2724149" y="0"/>
          <a:ext cx="895351" cy="390525"/>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UAS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3</xdr:col>
      <xdr:colOff>0</xdr:colOff>
      <xdr:row>0</xdr:row>
      <xdr:rowOff>19050</xdr:rowOff>
    </xdr:from>
    <xdr:to>
      <xdr:col>5</xdr:col>
      <xdr:colOff>181172</xdr:colOff>
      <xdr:row>2</xdr:row>
      <xdr:rowOff>37756</xdr:rowOff>
    </xdr:to>
    <xdr:sp macro="[0]!depan" textlink="">
      <xdr:nvSpPr>
        <xdr:cNvPr id="13" name="Hexagon 12">
          <a:extLst>
            <a:ext uri="{FF2B5EF4-FFF2-40B4-BE49-F238E27FC236}">
              <a16:creationId xmlns:a16="http://schemas.microsoft.com/office/drawing/2014/main" id="{00000000-0008-0000-1B00-00000D000000}"/>
            </a:ext>
          </a:extLst>
        </xdr:cNvPr>
        <xdr:cNvSpPr/>
      </xdr:nvSpPr>
      <xdr:spPr>
        <a:xfrm>
          <a:off x="2790825" y="19050"/>
          <a:ext cx="895547" cy="399706"/>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5</xdr:col>
      <xdr:colOff>186614</xdr:colOff>
      <xdr:row>0</xdr:row>
      <xdr:rowOff>19050</xdr:rowOff>
    </xdr:from>
    <xdr:to>
      <xdr:col>8</xdr:col>
      <xdr:colOff>17886</xdr:colOff>
      <xdr:row>2</xdr:row>
      <xdr:rowOff>37756</xdr:rowOff>
    </xdr:to>
    <xdr:sp macro="[0]!RUts" textlink="">
      <xdr:nvSpPr>
        <xdr:cNvPr id="15" name="Hexagon 14">
          <a:extLst>
            <a:ext uri="{FF2B5EF4-FFF2-40B4-BE49-F238E27FC236}">
              <a16:creationId xmlns:a16="http://schemas.microsoft.com/office/drawing/2014/main" id="{00000000-0008-0000-1B00-00000F000000}"/>
            </a:ext>
          </a:extLst>
        </xdr:cNvPr>
        <xdr:cNvSpPr/>
      </xdr:nvSpPr>
      <xdr:spPr>
        <a:xfrm>
          <a:off x="3691814" y="19050"/>
          <a:ext cx="888547" cy="399706"/>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UTS</a:t>
          </a:r>
        </a:p>
      </xdr:txBody>
    </xdr:sp>
    <xdr:clientData/>
  </xdr:twoCellAnchor>
  <xdr:twoCellAnchor>
    <xdr:from>
      <xdr:col>8</xdr:col>
      <xdr:colOff>17885</xdr:colOff>
      <xdr:row>0</xdr:row>
      <xdr:rowOff>19050</xdr:rowOff>
    </xdr:from>
    <xdr:to>
      <xdr:col>10</xdr:col>
      <xdr:colOff>193746</xdr:colOff>
      <xdr:row>2</xdr:row>
      <xdr:rowOff>37756</xdr:rowOff>
    </xdr:to>
    <xdr:sp macro="[0]!RUas" textlink="">
      <xdr:nvSpPr>
        <xdr:cNvPr id="16" name="Hexagon 15">
          <a:extLst>
            <a:ext uri="{FF2B5EF4-FFF2-40B4-BE49-F238E27FC236}">
              <a16:creationId xmlns:a16="http://schemas.microsoft.com/office/drawing/2014/main" id="{00000000-0008-0000-1B00-000010000000}"/>
            </a:ext>
          </a:extLst>
        </xdr:cNvPr>
        <xdr:cNvSpPr/>
      </xdr:nvSpPr>
      <xdr:spPr>
        <a:xfrm>
          <a:off x="4580360" y="19050"/>
          <a:ext cx="890236" cy="399706"/>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RAPORT UAS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182060</xdr:colOff>
      <xdr:row>1</xdr:row>
      <xdr:rowOff>19050</xdr:rowOff>
    </xdr:from>
    <xdr:to>
      <xdr:col>0</xdr:col>
      <xdr:colOff>997001</xdr:colOff>
      <xdr:row>3</xdr:row>
      <xdr:rowOff>133350</xdr:rowOff>
    </xdr:to>
    <xdr:sp macro="[0]!depan" textlink="">
      <xdr:nvSpPr>
        <xdr:cNvPr id="5" name="Hexagon 4">
          <a:extLst>
            <a:ext uri="{FF2B5EF4-FFF2-40B4-BE49-F238E27FC236}">
              <a16:creationId xmlns:a16="http://schemas.microsoft.com/office/drawing/2014/main" id="{00000000-0008-0000-1C00-000005000000}"/>
            </a:ext>
          </a:extLst>
        </xdr:cNvPr>
        <xdr:cNvSpPr/>
      </xdr:nvSpPr>
      <xdr:spPr>
        <a:xfrm>
          <a:off x="182060" y="209550"/>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0</xdr:col>
      <xdr:colOff>171450</xdr:colOff>
      <xdr:row>3</xdr:row>
      <xdr:rowOff>173566</xdr:rowOff>
    </xdr:from>
    <xdr:to>
      <xdr:col>0</xdr:col>
      <xdr:colOff>986391</xdr:colOff>
      <xdr:row>6</xdr:row>
      <xdr:rowOff>97366</xdr:rowOff>
    </xdr:to>
    <xdr:sp macro="[0]!Worksheet" textlink="">
      <xdr:nvSpPr>
        <xdr:cNvPr id="6" name="Hexagon 5">
          <a:extLst>
            <a:ext uri="{FF2B5EF4-FFF2-40B4-BE49-F238E27FC236}">
              <a16:creationId xmlns:a16="http://schemas.microsoft.com/office/drawing/2014/main" id="{00000000-0008-0000-1C00-000006000000}"/>
            </a:ext>
          </a:extLst>
        </xdr:cNvPr>
        <xdr:cNvSpPr/>
      </xdr:nvSpPr>
      <xdr:spPr>
        <a:xfrm>
          <a:off x="171450" y="611716"/>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WORKSHEET</a:t>
          </a:r>
        </a:p>
      </xdr:txBody>
    </xdr:sp>
    <xdr:clientData/>
  </xdr:twoCellAnchor>
  <xdr:twoCellAnchor>
    <xdr:from>
      <xdr:col>0</xdr:col>
      <xdr:colOff>161925</xdr:colOff>
      <xdr:row>6</xdr:row>
      <xdr:rowOff>135466</xdr:rowOff>
    </xdr:from>
    <xdr:to>
      <xdr:col>0</xdr:col>
      <xdr:colOff>976866</xdr:colOff>
      <xdr:row>9</xdr:row>
      <xdr:rowOff>40216</xdr:rowOff>
    </xdr:to>
    <xdr:sp macro="[0]!inputNilai" textlink="">
      <xdr:nvSpPr>
        <xdr:cNvPr id="7" name="Hexagon 6">
          <a:extLst>
            <a:ext uri="{FF2B5EF4-FFF2-40B4-BE49-F238E27FC236}">
              <a16:creationId xmlns:a16="http://schemas.microsoft.com/office/drawing/2014/main" id="{00000000-0008-0000-1C00-000007000000}"/>
            </a:ext>
          </a:extLst>
        </xdr:cNvPr>
        <xdr:cNvSpPr/>
      </xdr:nvSpPr>
      <xdr:spPr>
        <a:xfrm>
          <a:off x="161925" y="1011766"/>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NILAI </a:t>
          </a:r>
          <a:r>
            <a:rPr lang="id-ID" sz="600" b="1"/>
            <a:t>(Ex,UTS,UAS)</a:t>
          </a:r>
          <a:endParaRPr lang="id-ID" sz="1100" b="1"/>
        </a:p>
      </xdr:txBody>
    </xdr:sp>
    <xdr:clientData/>
  </xdr:twoCellAnchor>
  <xdr:twoCellAnchor>
    <xdr:from>
      <xdr:col>0</xdr:col>
      <xdr:colOff>152400</xdr:colOff>
      <xdr:row>9</xdr:row>
      <xdr:rowOff>76200</xdr:rowOff>
    </xdr:from>
    <xdr:to>
      <xdr:col>0</xdr:col>
      <xdr:colOff>967341</xdr:colOff>
      <xdr:row>10</xdr:row>
      <xdr:rowOff>247650</xdr:rowOff>
    </xdr:to>
    <xdr:sp macro="[0]!RUts" textlink="">
      <xdr:nvSpPr>
        <xdr:cNvPr id="8" name="Hexagon 7">
          <a:extLst>
            <a:ext uri="{FF2B5EF4-FFF2-40B4-BE49-F238E27FC236}">
              <a16:creationId xmlns:a16="http://schemas.microsoft.com/office/drawing/2014/main" id="{00000000-0008-0000-1C00-000008000000}"/>
            </a:ext>
          </a:extLst>
        </xdr:cNvPr>
        <xdr:cNvSpPr/>
      </xdr:nvSpPr>
      <xdr:spPr>
        <a:xfrm>
          <a:off x="152400" y="1409700"/>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RAPOT</a:t>
          </a:r>
          <a:r>
            <a:rPr lang="id-ID" sz="1100" b="1" baseline="0"/>
            <a:t> UTS</a:t>
          </a:r>
          <a:endParaRPr lang="id-ID" sz="1100" b="1"/>
        </a:p>
      </xdr:txBody>
    </xdr:sp>
    <xdr:clientData/>
  </xdr:twoCellAnchor>
  <xdr:twoCellAnchor>
    <xdr:from>
      <xdr:col>0</xdr:col>
      <xdr:colOff>142875</xdr:colOff>
      <xdr:row>10</xdr:row>
      <xdr:rowOff>285750</xdr:rowOff>
    </xdr:from>
    <xdr:to>
      <xdr:col>0</xdr:col>
      <xdr:colOff>957816</xdr:colOff>
      <xdr:row>10</xdr:row>
      <xdr:rowOff>647700</xdr:rowOff>
    </xdr:to>
    <xdr:sp macro="[0]!RUas" textlink="">
      <xdr:nvSpPr>
        <xdr:cNvPr id="9" name="Hexagon 8">
          <a:extLst>
            <a:ext uri="{FF2B5EF4-FFF2-40B4-BE49-F238E27FC236}">
              <a16:creationId xmlns:a16="http://schemas.microsoft.com/office/drawing/2014/main" id="{00000000-0008-0000-1C00-000009000000}"/>
            </a:ext>
          </a:extLst>
        </xdr:cNvPr>
        <xdr:cNvSpPr/>
      </xdr:nvSpPr>
      <xdr:spPr>
        <a:xfrm>
          <a:off x="142875" y="1809750"/>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RAPOT</a:t>
          </a:r>
          <a:r>
            <a:rPr lang="id-ID" sz="1100" b="1" baseline="0"/>
            <a:t> UAS</a:t>
          </a:r>
          <a:endParaRPr lang="id-ID" sz="1100" b="1"/>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16</xdr:col>
      <xdr:colOff>238125</xdr:colOff>
      <xdr:row>0</xdr:row>
      <xdr:rowOff>123825</xdr:rowOff>
    </xdr:from>
    <xdr:to>
      <xdr:col>17</xdr:col>
      <xdr:colOff>666750</xdr:colOff>
      <xdr:row>2</xdr:row>
      <xdr:rowOff>66675</xdr:rowOff>
    </xdr:to>
    <xdr:sp macro="[0]!CetakIdentitas" textlink="">
      <xdr:nvSpPr>
        <xdr:cNvPr id="7" name="Rounded Rectangle 6">
          <a:extLst>
            <a:ext uri="{FF2B5EF4-FFF2-40B4-BE49-F238E27FC236}">
              <a16:creationId xmlns:a16="http://schemas.microsoft.com/office/drawing/2014/main" id="{00000000-0008-0000-1D00-000007000000}"/>
            </a:ext>
          </a:extLst>
        </xdr:cNvPr>
        <xdr:cNvSpPr/>
      </xdr:nvSpPr>
      <xdr:spPr>
        <a:xfrm>
          <a:off x="6705600" y="123825"/>
          <a:ext cx="781050" cy="3429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100" b="1"/>
            <a:t>CETAK</a:t>
          </a:r>
        </a:p>
      </xdr:txBody>
    </xdr:sp>
    <xdr:clientData/>
  </xdr:twoCellAnchor>
  <xdr:twoCellAnchor>
    <xdr:from>
      <xdr:col>0</xdr:col>
      <xdr:colOff>124910</xdr:colOff>
      <xdr:row>3</xdr:row>
      <xdr:rowOff>133350</xdr:rowOff>
    </xdr:from>
    <xdr:to>
      <xdr:col>0</xdr:col>
      <xdr:colOff>939851</xdr:colOff>
      <xdr:row>5</xdr:row>
      <xdr:rowOff>133350</xdr:rowOff>
    </xdr:to>
    <xdr:sp macro="[0]!depan" textlink="">
      <xdr:nvSpPr>
        <xdr:cNvPr id="5" name="Hexagon 4">
          <a:extLst>
            <a:ext uri="{FF2B5EF4-FFF2-40B4-BE49-F238E27FC236}">
              <a16:creationId xmlns:a16="http://schemas.microsoft.com/office/drawing/2014/main" id="{00000000-0008-0000-1D00-000005000000}"/>
            </a:ext>
          </a:extLst>
        </xdr:cNvPr>
        <xdr:cNvSpPr/>
      </xdr:nvSpPr>
      <xdr:spPr>
        <a:xfrm>
          <a:off x="124910" y="733425"/>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0</xdr:col>
      <xdr:colOff>114300</xdr:colOff>
      <xdr:row>5</xdr:row>
      <xdr:rowOff>173566</xdr:rowOff>
    </xdr:from>
    <xdr:to>
      <xdr:col>0</xdr:col>
      <xdr:colOff>929241</xdr:colOff>
      <xdr:row>7</xdr:row>
      <xdr:rowOff>173566</xdr:rowOff>
    </xdr:to>
    <xdr:sp macro="[0]!Worksheet" textlink="">
      <xdr:nvSpPr>
        <xdr:cNvPr id="8" name="Hexagon 7">
          <a:extLst>
            <a:ext uri="{FF2B5EF4-FFF2-40B4-BE49-F238E27FC236}">
              <a16:creationId xmlns:a16="http://schemas.microsoft.com/office/drawing/2014/main" id="{00000000-0008-0000-1D00-000008000000}"/>
            </a:ext>
          </a:extLst>
        </xdr:cNvPr>
        <xdr:cNvSpPr/>
      </xdr:nvSpPr>
      <xdr:spPr>
        <a:xfrm>
          <a:off x="114300" y="1135591"/>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WORKSHEET</a:t>
          </a:r>
        </a:p>
      </xdr:txBody>
    </xdr:sp>
    <xdr:clientData/>
  </xdr:twoCellAnchor>
  <xdr:twoCellAnchor>
    <xdr:from>
      <xdr:col>0</xdr:col>
      <xdr:colOff>104775</xdr:colOff>
      <xdr:row>8</xdr:row>
      <xdr:rowOff>30691</xdr:rowOff>
    </xdr:from>
    <xdr:to>
      <xdr:col>0</xdr:col>
      <xdr:colOff>919716</xdr:colOff>
      <xdr:row>9</xdr:row>
      <xdr:rowOff>211666</xdr:rowOff>
    </xdr:to>
    <xdr:sp macro="[0]!inputNilai" textlink="">
      <xdr:nvSpPr>
        <xdr:cNvPr id="9" name="Hexagon 8">
          <a:extLst>
            <a:ext uri="{FF2B5EF4-FFF2-40B4-BE49-F238E27FC236}">
              <a16:creationId xmlns:a16="http://schemas.microsoft.com/office/drawing/2014/main" id="{00000000-0008-0000-1D00-000009000000}"/>
            </a:ext>
          </a:extLst>
        </xdr:cNvPr>
        <xdr:cNvSpPr/>
      </xdr:nvSpPr>
      <xdr:spPr>
        <a:xfrm>
          <a:off x="104775" y="1535641"/>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NILAI </a:t>
          </a:r>
          <a:r>
            <a:rPr lang="id-ID" sz="600" b="1"/>
            <a:t>(Ex,UTS,UAS)</a:t>
          </a:r>
          <a:endParaRPr lang="id-ID" sz="1100" b="1"/>
        </a:p>
      </xdr:txBody>
    </xdr:sp>
    <xdr:clientData/>
  </xdr:twoCellAnchor>
  <xdr:twoCellAnchor>
    <xdr:from>
      <xdr:col>0</xdr:col>
      <xdr:colOff>85725</xdr:colOff>
      <xdr:row>9</xdr:row>
      <xdr:rowOff>247650</xdr:rowOff>
    </xdr:from>
    <xdr:to>
      <xdr:col>0</xdr:col>
      <xdr:colOff>900666</xdr:colOff>
      <xdr:row>11</xdr:row>
      <xdr:rowOff>66675</xdr:rowOff>
    </xdr:to>
    <xdr:sp macro="[0]!RUas" textlink="">
      <xdr:nvSpPr>
        <xdr:cNvPr id="11" name="Hexagon 10">
          <a:extLst>
            <a:ext uri="{FF2B5EF4-FFF2-40B4-BE49-F238E27FC236}">
              <a16:creationId xmlns:a16="http://schemas.microsoft.com/office/drawing/2014/main" id="{00000000-0008-0000-1D00-00000B000000}"/>
            </a:ext>
          </a:extLst>
        </xdr:cNvPr>
        <xdr:cNvSpPr/>
      </xdr:nvSpPr>
      <xdr:spPr>
        <a:xfrm>
          <a:off x="85725" y="1933575"/>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RAPOT</a:t>
          </a:r>
          <a:r>
            <a:rPr lang="id-ID" sz="1100" b="1" baseline="0"/>
            <a:t> UAS</a:t>
          </a:r>
          <a:endParaRPr lang="id-ID" sz="1100" b="1"/>
        </a:p>
      </xdr:txBody>
    </xdr:sp>
    <xdr:clientData/>
  </xdr:twoCellAnchor>
  <xdr:twoCellAnchor editAs="oneCell">
    <xdr:from>
      <xdr:col>1</xdr:col>
      <xdr:colOff>28575</xdr:colOff>
      <xdr:row>3</xdr:row>
      <xdr:rowOff>57150</xdr:rowOff>
    </xdr:from>
    <xdr:to>
      <xdr:col>16</xdr:col>
      <xdr:colOff>333375</xdr:colOff>
      <xdr:row>9</xdr:row>
      <xdr:rowOff>68792</xdr:rowOff>
    </xdr:to>
    <xdr:pic>
      <xdr:nvPicPr>
        <xdr:cNvPr id="10" name="Picture 9">
          <a:extLst>
            <a:ext uri="{FF2B5EF4-FFF2-40B4-BE49-F238E27FC236}">
              <a16:creationId xmlns:a16="http://schemas.microsoft.com/office/drawing/2014/main" id="{00000000-0008-0000-1D00-00000A000000}"/>
            </a:ext>
          </a:extLst>
        </xdr:cNvPr>
        <xdr:cNvPicPr/>
      </xdr:nvPicPr>
      <xdr:blipFill>
        <a:blip xmlns:r="http://schemas.openxmlformats.org/officeDocument/2006/relationships" r:embed="rId1" cstate="print"/>
        <a:srcRect l="11084" t="30844" r="11301" b="39097"/>
        <a:stretch>
          <a:fillRect/>
        </a:stretch>
      </xdr:blipFill>
      <xdr:spPr bwMode="auto">
        <a:xfrm>
          <a:off x="1145117" y="660400"/>
          <a:ext cx="6136216" cy="1376892"/>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9</xdr:col>
          <xdr:colOff>9525</xdr:colOff>
          <xdr:row>0</xdr:row>
          <xdr:rowOff>0</xdr:rowOff>
        </xdr:from>
        <xdr:to>
          <xdr:col>9</xdr:col>
          <xdr:colOff>400050</xdr:colOff>
          <xdr:row>3</xdr:row>
          <xdr:rowOff>0</xdr:rowOff>
        </xdr:to>
        <xdr:sp macro="" textlink="">
          <xdr:nvSpPr>
            <xdr:cNvPr id="190466" name="Spinner 2" hidden="1">
              <a:extLst>
                <a:ext uri="{63B3BB69-23CF-44E3-9099-C40C66FF867C}">
                  <a14:compatExt spid="_x0000_s190466"/>
                </a:ext>
                <a:ext uri="{FF2B5EF4-FFF2-40B4-BE49-F238E27FC236}">
                  <a16:creationId xmlns:a16="http://schemas.microsoft.com/office/drawing/2014/main" id="{00000000-0008-0000-1D00-000002E802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xdr:twoCellAnchor>
    <xdr:from>
      <xdr:col>8</xdr:col>
      <xdr:colOff>390525</xdr:colOff>
      <xdr:row>7</xdr:row>
      <xdr:rowOff>47625</xdr:rowOff>
    </xdr:from>
    <xdr:to>
      <xdr:col>9</xdr:col>
      <xdr:colOff>333375</xdr:colOff>
      <xdr:row>8</xdr:row>
      <xdr:rowOff>171450</xdr:rowOff>
    </xdr:to>
    <xdr:sp macro="[0]!CetakRaport" textlink="">
      <xdr:nvSpPr>
        <xdr:cNvPr id="4" name="Rounded Rectangle 3">
          <a:extLst>
            <a:ext uri="{FF2B5EF4-FFF2-40B4-BE49-F238E27FC236}">
              <a16:creationId xmlns:a16="http://schemas.microsoft.com/office/drawing/2014/main" id="{00000000-0008-0000-1F00-000004000000}"/>
            </a:ext>
          </a:extLst>
        </xdr:cNvPr>
        <xdr:cNvSpPr/>
      </xdr:nvSpPr>
      <xdr:spPr>
        <a:xfrm>
          <a:off x="8743950" y="1400175"/>
          <a:ext cx="771525" cy="3048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100" b="1"/>
            <a:t>CETAK</a:t>
          </a:r>
        </a:p>
      </xdr:txBody>
    </xdr:sp>
    <xdr:clientData/>
  </xdr:twoCellAnchor>
  <xdr:twoCellAnchor>
    <xdr:from>
      <xdr:col>3</xdr:col>
      <xdr:colOff>28575</xdr:colOff>
      <xdr:row>0</xdr:row>
      <xdr:rowOff>60325</xdr:rowOff>
    </xdr:from>
    <xdr:to>
      <xdr:col>3</xdr:col>
      <xdr:colOff>885825</xdr:colOff>
      <xdr:row>2</xdr:row>
      <xdr:rowOff>104775</xdr:rowOff>
    </xdr:to>
    <xdr:sp macro="[0]!Worksheet_Calculate" textlink="">
      <xdr:nvSpPr>
        <xdr:cNvPr id="3" name="Rounded Rectangle 2">
          <a:extLst>
            <a:ext uri="{FF2B5EF4-FFF2-40B4-BE49-F238E27FC236}">
              <a16:creationId xmlns:a16="http://schemas.microsoft.com/office/drawing/2014/main" id="{00000000-0008-0000-1F00-000003000000}"/>
            </a:ext>
          </a:extLst>
        </xdr:cNvPr>
        <xdr:cNvSpPr/>
      </xdr:nvSpPr>
      <xdr:spPr>
        <a:xfrm>
          <a:off x="3838575" y="60325"/>
          <a:ext cx="857250" cy="406400"/>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2000" b="1"/>
            <a:t>ATUR</a:t>
          </a:r>
        </a:p>
      </xdr:txBody>
    </xdr:sp>
    <xdr:clientData/>
  </xdr:twoCellAnchor>
  <xdr:twoCellAnchor>
    <xdr:from>
      <xdr:col>0</xdr:col>
      <xdr:colOff>115385</xdr:colOff>
      <xdr:row>0</xdr:row>
      <xdr:rowOff>123825</xdr:rowOff>
    </xdr:from>
    <xdr:to>
      <xdr:col>0</xdr:col>
      <xdr:colOff>930326</xdr:colOff>
      <xdr:row>2</xdr:row>
      <xdr:rowOff>123825</xdr:rowOff>
    </xdr:to>
    <xdr:sp macro="[0]!depan" textlink="">
      <xdr:nvSpPr>
        <xdr:cNvPr id="5" name="Hexagon 4">
          <a:extLst>
            <a:ext uri="{FF2B5EF4-FFF2-40B4-BE49-F238E27FC236}">
              <a16:creationId xmlns:a16="http://schemas.microsoft.com/office/drawing/2014/main" id="{00000000-0008-0000-1F00-000005000000}"/>
            </a:ext>
          </a:extLst>
        </xdr:cNvPr>
        <xdr:cNvSpPr/>
      </xdr:nvSpPr>
      <xdr:spPr>
        <a:xfrm>
          <a:off x="115385" y="123825"/>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HOME</a:t>
          </a:r>
        </a:p>
      </xdr:txBody>
    </xdr:sp>
    <xdr:clientData/>
  </xdr:twoCellAnchor>
  <xdr:twoCellAnchor>
    <xdr:from>
      <xdr:col>0</xdr:col>
      <xdr:colOff>104775</xdr:colOff>
      <xdr:row>2</xdr:row>
      <xdr:rowOff>164041</xdr:rowOff>
    </xdr:from>
    <xdr:to>
      <xdr:col>0</xdr:col>
      <xdr:colOff>919716</xdr:colOff>
      <xdr:row>4</xdr:row>
      <xdr:rowOff>135466</xdr:rowOff>
    </xdr:to>
    <xdr:sp macro="[0]!Worksheet" textlink="">
      <xdr:nvSpPr>
        <xdr:cNvPr id="6" name="Hexagon 5">
          <a:extLst>
            <a:ext uri="{FF2B5EF4-FFF2-40B4-BE49-F238E27FC236}">
              <a16:creationId xmlns:a16="http://schemas.microsoft.com/office/drawing/2014/main" id="{00000000-0008-0000-1F00-000006000000}"/>
            </a:ext>
          </a:extLst>
        </xdr:cNvPr>
        <xdr:cNvSpPr/>
      </xdr:nvSpPr>
      <xdr:spPr>
        <a:xfrm>
          <a:off x="104775" y="525991"/>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WORKSHEET</a:t>
          </a:r>
        </a:p>
      </xdr:txBody>
    </xdr:sp>
    <xdr:clientData/>
  </xdr:twoCellAnchor>
  <xdr:twoCellAnchor>
    <xdr:from>
      <xdr:col>0</xdr:col>
      <xdr:colOff>95250</xdr:colOff>
      <xdr:row>4</xdr:row>
      <xdr:rowOff>173566</xdr:rowOff>
    </xdr:from>
    <xdr:to>
      <xdr:col>0</xdr:col>
      <xdr:colOff>910191</xdr:colOff>
      <xdr:row>6</xdr:row>
      <xdr:rowOff>125941</xdr:rowOff>
    </xdr:to>
    <xdr:sp macro="[0]!inputNilai" textlink="">
      <xdr:nvSpPr>
        <xdr:cNvPr id="7" name="Hexagon 6">
          <a:extLst>
            <a:ext uri="{FF2B5EF4-FFF2-40B4-BE49-F238E27FC236}">
              <a16:creationId xmlns:a16="http://schemas.microsoft.com/office/drawing/2014/main" id="{00000000-0008-0000-1F00-000007000000}"/>
            </a:ext>
          </a:extLst>
        </xdr:cNvPr>
        <xdr:cNvSpPr/>
      </xdr:nvSpPr>
      <xdr:spPr>
        <a:xfrm>
          <a:off x="95250" y="926041"/>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NILAI </a:t>
          </a:r>
          <a:r>
            <a:rPr lang="id-ID" sz="600" b="1"/>
            <a:t>(Ex,UTS,UAS)</a:t>
          </a:r>
          <a:endParaRPr lang="id-ID" sz="1100" b="1"/>
        </a:p>
      </xdr:txBody>
    </xdr:sp>
    <xdr:clientData/>
  </xdr:twoCellAnchor>
  <xdr:twoCellAnchor>
    <xdr:from>
      <xdr:col>0</xdr:col>
      <xdr:colOff>85725</xdr:colOff>
      <xdr:row>6</xdr:row>
      <xdr:rowOff>161925</xdr:rowOff>
    </xdr:from>
    <xdr:to>
      <xdr:col>0</xdr:col>
      <xdr:colOff>900666</xdr:colOff>
      <xdr:row>8</xdr:row>
      <xdr:rowOff>104775</xdr:rowOff>
    </xdr:to>
    <xdr:sp macro="[0]!RUts" textlink="">
      <xdr:nvSpPr>
        <xdr:cNvPr id="8" name="Hexagon 7">
          <a:extLst>
            <a:ext uri="{FF2B5EF4-FFF2-40B4-BE49-F238E27FC236}">
              <a16:creationId xmlns:a16="http://schemas.microsoft.com/office/drawing/2014/main" id="{00000000-0008-0000-1F00-000008000000}"/>
            </a:ext>
          </a:extLst>
        </xdr:cNvPr>
        <xdr:cNvSpPr/>
      </xdr:nvSpPr>
      <xdr:spPr>
        <a:xfrm>
          <a:off x="85725" y="1323975"/>
          <a:ext cx="814941" cy="361950"/>
        </a:xfrm>
        <a:prstGeom prst="hexagon">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100" b="1"/>
            <a:t>RAPOT</a:t>
          </a:r>
          <a:r>
            <a:rPr lang="id-ID" sz="1100" b="1" baseline="0"/>
            <a:t> UTS</a:t>
          </a:r>
          <a:endParaRPr lang="id-ID" sz="1100" b="1"/>
        </a:p>
      </xdr:txBody>
    </xdr:sp>
    <xdr:clientData/>
  </xdr:twoCellAnchor>
  <mc:AlternateContent xmlns:mc="http://schemas.openxmlformats.org/markup-compatibility/2006">
    <mc:Choice xmlns:a14="http://schemas.microsoft.com/office/drawing/2010/main" Requires="a14">
      <xdr:twoCellAnchor>
        <xdr:from>
          <xdr:col>7</xdr:col>
          <xdr:colOff>9525</xdr:colOff>
          <xdr:row>0</xdr:row>
          <xdr:rowOff>0</xdr:rowOff>
        </xdr:from>
        <xdr:to>
          <xdr:col>8</xdr:col>
          <xdr:colOff>142875</xdr:colOff>
          <xdr:row>3</xdr:row>
          <xdr:rowOff>9525</xdr:rowOff>
        </xdr:to>
        <xdr:sp macro="" textlink="">
          <xdr:nvSpPr>
            <xdr:cNvPr id="194574" name="Spinner 14" hidden="1">
              <a:extLst>
                <a:ext uri="{63B3BB69-23CF-44E3-9099-C40C66FF867C}">
                  <a14:compatExt spid="_x0000_s194574"/>
                </a:ext>
                <a:ext uri="{FF2B5EF4-FFF2-40B4-BE49-F238E27FC236}">
                  <a16:creationId xmlns:a16="http://schemas.microsoft.com/office/drawing/2014/main" id="{00000000-0008-0000-1F00-00000EF802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8.xml"/><Relationship Id="rId1" Type="http://schemas.openxmlformats.org/officeDocument/2006/relationships/printerSettings" Target="../printerSettings/printerSettings28.bin"/><Relationship Id="rId4" Type="http://schemas.openxmlformats.org/officeDocument/2006/relationships/ctrlProp" Target="../ctrlProps/ctrlProp5.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9.xml"/><Relationship Id="rId1" Type="http://schemas.openxmlformats.org/officeDocument/2006/relationships/printerSettings" Target="../printerSettings/printerSettings30.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32"/>
  <sheetViews>
    <sheetView showGridLines="0" tabSelected="1" topLeftCell="A8" zoomScale="106" zoomScaleNormal="106" workbookViewId="0">
      <selection activeCell="D5" sqref="A1:XFD1048576"/>
    </sheetView>
  </sheetViews>
  <sheetFormatPr defaultColWidth="0" defaultRowHeight="15" customHeight="1" zeroHeight="1"/>
  <cols>
    <col min="1" max="2" width="1.42578125" style="59" customWidth="1"/>
    <col min="3" max="3" width="17.85546875" style="59" customWidth="1"/>
    <col min="4" max="4" width="37" style="59" customWidth="1"/>
    <col min="5" max="7" width="1.42578125" style="59" customWidth="1"/>
    <col min="8" max="8" width="3.140625" style="59" customWidth="1"/>
    <col min="9" max="9" width="0.7109375" style="59" customWidth="1"/>
    <col min="10" max="10" width="1.42578125" style="59" customWidth="1"/>
    <col min="11" max="12" width="9.140625" style="59" customWidth="1"/>
    <col min="13" max="13" width="0.5703125" style="59" customWidth="1"/>
    <col min="14" max="15" width="9.140625" style="59" customWidth="1"/>
    <col min="16" max="18" width="1.42578125" style="59" customWidth="1"/>
    <col min="19" max="19" width="3.140625" style="59" customWidth="1"/>
    <col min="20" max="20" width="0.7109375" style="59" customWidth="1"/>
    <col min="21" max="21" width="1.42578125" style="59" customWidth="1"/>
    <col min="22" max="23" width="9.140625" style="59" customWidth="1"/>
    <col min="24" max="24" width="0.5703125" style="59" customWidth="1"/>
    <col min="25" max="26" width="9.140625" style="59" customWidth="1"/>
    <col min="27" max="27" width="1.42578125" style="59" customWidth="1"/>
    <col min="28" max="28" width="1.140625" style="59" customWidth="1"/>
    <col min="29" max="16384" width="9.140625" style="59" hidden="1"/>
  </cols>
  <sheetData>
    <row r="1" spans="1:28" ht="7.5" customHeight="1" thickBot="1">
      <c r="A1" s="36"/>
      <c r="B1" s="36"/>
      <c r="C1" s="36"/>
      <c r="D1" s="36"/>
      <c r="E1" s="36"/>
      <c r="F1" s="36"/>
      <c r="G1" s="36"/>
      <c r="H1" s="36"/>
      <c r="I1" s="36"/>
      <c r="J1" s="36"/>
      <c r="K1" s="36"/>
      <c r="L1" s="36"/>
      <c r="M1" s="36"/>
      <c r="N1" s="36"/>
      <c r="O1" s="36"/>
      <c r="P1" s="36"/>
      <c r="Q1" s="36"/>
      <c r="R1" s="36"/>
      <c r="S1" s="36"/>
      <c r="T1" s="36"/>
      <c r="U1" s="36"/>
      <c r="V1" s="36"/>
      <c r="W1" s="36"/>
      <c r="X1" s="36"/>
      <c r="Y1" s="36"/>
      <c r="Z1" s="36"/>
      <c r="AA1" s="36"/>
      <c r="AB1" s="36"/>
    </row>
    <row r="2" spans="1:28" ht="7.5" customHeight="1" thickTop="1">
      <c r="A2" s="36"/>
      <c r="B2" s="36"/>
      <c r="C2" s="36"/>
      <c r="D2" s="36"/>
      <c r="E2" s="36"/>
      <c r="F2" s="36"/>
      <c r="G2" s="38"/>
      <c r="H2" s="39"/>
      <c r="I2" s="39"/>
      <c r="J2" s="39"/>
      <c r="K2" s="39"/>
      <c r="L2" s="39"/>
      <c r="M2" s="39"/>
      <c r="N2" s="39"/>
      <c r="O2" s="39"/>
      <c r="P2" s="40"/>
      <c r="Q2" s="36"/>
      <c r="R2" s="38"/>
      <c r="S2" s="39"/>
      <c r="T2" s="39"/>
      <c r="U2" s="39"/>
      <c r="V2" s="39"/>
      <c r="W2" s="39"/>
      <c r="X2" s="39"/>
      <c r="Y2" s="39"/>
      <c r="Z2" s="39"/>
      <c r="AA2" s="40"/>
      <c r="AB2" s="36"/>
    </row>
    <row r="3" spans="1:28" ht="7.5" customHeight="1">
      <c r="A3" s="36"/>
      <c r="B3" s="36"/>
      <c r="C3" s="36"/>
      <c r="D3" s="36"/>
      <c r="E3" s="36"/>
      <c r="F3" s="36"/>
      <c r="G3" s="41"/>
      <c r="H3" s="715" t="s">
        <v>133</v>
      </c>
      <c r="I3" s="43"/>
      <c r="J3" s="43"/>
      <c r="K3" s="716" t="s">
        <v>134</v>
      </c>
      <c r="L3" s="717"/>
      <c r="M3" s="43"/>
      <c r="N3" s="43"/>
      <c r="O3" s="43"/>
      <c r="P3" s="42"/>
      <c r="Q3" s="36"/>
      <c r="R3" s="41"/>
      <c r="S3" s="715" t="s">
        <v>135</v>
      </c>
      <c r="T3" s="43"/>
      <c r="U3" s="43"/>
      <c r="V3" s="716" t="s">
        <v>136</v>
      </c>
      <c r="W3" s="720"/>
      <c r="X3" s="43"/>
      <c r="Y3" s="43"/>
      <c r="Z3" s="43"/>
      <c r="AA3" s="42"/>
      <c r="AB3" s="36"/>
    </row>
    <row r="4" spans="1:28" ht="7.5" customHeight="1">
      <c r="A4" s="36"/>
      <c r="B4" s="36"/>
      <c r="C4" s="36"/>
      <c r="D4" s="36"/>
      <c r="E4" s="36"/>
      <c r="F4" s="36"/>
      <c r="G4" s="41"/>
      <c r="H4" s="715"/>
      <c r="I4" s="43"/>
      <c r="J4" s="51"/>
      <c r="K4" s="718"/>
      <c r="L4" s="719"/>
      <c r="M4" s="52"/>
      <c r="N4" s="52"/>
      <c r="O4" s="53"/>
      <c r="P4" s="42"/>
      <c r="Q4" s="36"/>
      <c r="R4" s="41"/>
      <c r="S4" s="715"/>
      <c r="T4" s="43"/>
      <c r="U4" s="51"/>
      <c r="V4" s="721"/>
      <c r="W4" s="722"/>
      <c r="X4" s="52"/>
      <c r="Y4" s="52"/>
      <c r="Z4" s="53"/>
      <c r="AA4" s="42"/>
      <c r="AB4" s="36"/>
    </row>
    <row r="5" spans="1:28">
      <c r="A5" s="36"/>
      <c r="B5" s="36"/>
      <c r="C5" s="36"/>
      <c r="D5" s="36"/>
      <c r="E5" s="36"/>
      <c r="F5" s="36"/>
      <c r="G5" s="41"/>
      <c r="H5" s="715"/>
      <c r="I5" s="43"/>
      <c r="J5" s="54"/>
      <c r="K5" s="47"/>
      <c r="L5" s="47"/>
      <c r="M5" s="47"/>
      <c r="N5" s="47"/>
      <c r="O5" s="55"/>
      <c r="P5" s="42"/>
      <c r="Q5" s="36"/>
      <c r="R5" s="41"/>
      <c r="S5" s="715"/>
      <c r="T5" s="43"/>
      <c r="U5" s="54"/>
      <c r="V5" s="47"/>
      <c r="W5" s="47"/>
      <c r="X5" s="47"/>
      <c r="Y5" s="47"/>
      <c r="Z5" s="55"/>
      <c r="AA5" s="42"/>
      <c r="AB5" s="36"/>
    </row>
    <row r="6" spans="1:28">
      <c r="A6" s="36"/>
      <c r="B6" s="36"/>
      <c r="C6" s="36"/>
      <c r="D6" s="36"/>
      <c r="E6" s="36"/>
      <c r="F6" s="36"/>
      <c r="G6" s="41"/>
      <c r="H6" s="715"/>
      <c r="I6" s="43"/>
      <c r="J6" s="54"/>
      <c r="K6" s="47"/>
      <c r="L6" s="47"/>
      <c r="M6" s="47"/>
      <c r="N6" s="47"/>
      <c r="O6" s="55"/>
      <c r="P6" s="42"/>
      <c r="Q6" s="36"/>
      <c r="R6" s="41"/>
      <c r="S6" s="715"/>
      <c r="T6" s="43"/>
      <c r="U6" s="54"/>
      <c r="V6" s="47"/>
      <c r="W6" s="47"/>
      <c r="X6" s="47"/>
      <c r="Y6" s="47"/>
      <c r="Z6" s="55"/>
      <c r="AA6" s="42"/>
      <c r="AB6" s="36"/>
    </row>
    <row r="7" spans="1:28">
      <c r="A7" s="36"/>
      <c r="B7" s="36"/>
      <c r="C7" s="36"/>
      <c r="D7" s="36"/>
      <c r="E7" s="36"/>
      <c r="F7" s="36"/>
      <c r="G7" s="41"/>
      <c r="H7" s="715"/>
      <c r="I7" s="43"/>
      <c r="J7" s="54"/>
      <c r="K7" s="47"/>
      <c r="L7" s="47"/>
      <c r="M7" s="47"/>
      <c r="N7" s="47"/>
      <c r="O7" s="55"/>
      <c r="P7" s="42"/>
      <c r="Q7" s="36"/>
      <c r="R7" s="41"/>
      <c r="S7" s="715"/>
      <c r="T7" s="43"/>
      <c r="U7" s="54"/>
      <c r="V7" s="47"/>
      <c r="W7" s="47"/>
      <c r="X7" s="47"/>
      <c r="Y7" s="47"/>
      <c r="Z7" s="55"/>
      <c r="AA7" s="42"/>
      <c r="AB7" s="36"/>
    </row>
    <row r="8" spans="1:28">
      <c r="A8" s="36"/>
      <c r="B8" s="36"/>
      <c r="C8" s="36"/>
      <c r="D8" s="36"/>
      <c r="E8" s="36"/>
      <c r="F8" s="36"/>
      <c r="G8" s="41"/>
      <c r="H8" s="715"/>
      <c r="I8" s="43"/>
      <c r="J8" s="54"/>
      <c r="K8" s="47"/>
      <c r="L8" s="47"/>
      <c r="M8" s="47"/>
      <c r="N8" s="47"/>
      <c r="O8" s="55"/>
      <c r="P8" s="42"/>
      <c r="Q8" s="36"/>
      <c r="R8" s="41"/>
      <c r="S8" s="715"/>
      <c r="T8" s="43"/>
      <c r="U8" s="54"/>
      <c r="V8" s="47"/>
      <c r="W8" s="47"/>
      <c r="X8" s="47"/>
      <c r="Y8" s="47"/>
      <c r="Z8" s="55"/>
      <c r="AA8" s="42"/>
      <c r="AB8" s="36"/>
    </row>
    <row r="9" spans="1:28">
      <c r="A9" s="36"/>
      <c r="B9" s="36"/>
      <c r="C9" s="36"/>
      <c r="D9" s="36"/>
      <c r="E9" s="36"/>
      <c r="F9" s="36"/>
      <c r="G9" s="41"/>
      <c r="H9" s="715"/>
      <c r="I9" s="43"/>
      <c r="J9" s="54"/>
      <c r="K9" s="47"/>
      <c r="L9" s="47"/>
      <c r="M9" s="47"/>
      <c r="N9" s="47"/>
      <c r="O9" s="55"/>
      <c r="P9" s="42"/>
      <c r="Q9" s="36"/>
      <c r="R9" s="41"/>
      <c r="S9" s="715"/>
      <c r="T9" s="43"/>
      <c r="U9" s="54"/>
      <c r="V9" s="47"/>
      <c r="W9" s="47"/>
      <c r="X9" s="47"/>
      <c r="Y9" s="47"/>
      <c r="Z9" s="55"/>
      <c r="AA9" s="42"/>
      <c r="AB9" s="36"/>
    </row>
    <row r="10" spans="1:28">
      <c r="A10" s="36"/>
      <c r="B10" s="36"/>
      <c r="C10" s="36"/>
      <c r="D10" s="36"/>
      <c r="E10" s="36"/>
      <c r="F10" s="36"/>
      <c r="G10" s="41"/>
      <c r="H10" s="715"/>
      <c r="I10" s="43"/>
      <c r="J10" s="54"/>
      <c r="K10" s="47"/>
      <c r="L10" s="47"/>
      <c r="M10" s="47"/>
      <c r="N10" s="47"/>
      <c r="O10" s="55"/>
      <c r="P10" s="42"/>
      <c r="Q10" s="36"/>
      <c r="R10" s="41"/>
      <c r="S10" s="715"/>
      <c r="T10" s="43"/>
      <c r="U10" s="54"/>
      <c r="V10" s="47"/>
      <c r="W10" s="47"/>
      <c r="X10" s="47"/>
      <c r="Y10" s="47"/>
      <c r="Z10" s="55"/>
      <c r="AA10" s="42"/>
      <c r="AB10" s="36"/>
    </row>
    <row r="11" spans="1:28" ht="15.75" thickBot="1">
      <c r="A11" s="36"/>
      <c r="B11" s="36"/>
      <c r="C11" s="36"/>
      <c r="D11" s="36"/>
      <c r="E11" s="36"/>
      <c r="F11" s="36"/>
      <c r="G11" s="41"/>
      <c r="H11" s="715"/>
      <c r="I11" s="43"/>
      <c r="J11" s="54"/>
      <c r="K11" s="47"/>
      <c r="L11" s="47"/>
      <c r="M11" s="47"/>
      <c r="N11" s="47"/>
      <c r="O11" s="55"/>
      <c r="P11" s="42"/>
      <c r="Q11" s="36"/>
      <c r="R11" s="41"/>
      <c r="S11" s="715"/>
      <c r="T11" s="43"/>
      <c r="U11" s="54"/>
      <c r="V11" s="47"/>
      <c r="W11" s="47"/>
      <c r="X11" s="47"/>
      <c r="Y11" s="47"/>
      <c r="Z11" s="55"/>
      <c r="AA11" s="42"/>
      <c r="AB11" s="36"/>
    </row>
    <row r="12" spans="1:28" ht="15.75" customHeight="1" thickTop="1">
      <c r="A12" s="36"/>
      <c r="B12" s="723">
        <f ca="1">TODAY()</f>
        <v>44311</v>
      </c>
      <c r="C12" s="724"/>
      <c r="D12" s="724"/>
      <c r="E12" s="725"/>
      <c r="F12" s="36"/>
      <c r="G12" s="41"/>
      <c r="H12" s="715"/>
      <c r="I12" s="43"/>
      <c r="J12" s="54"/>
      <c r="K12" s="47"/>
      <c r="L12" s="47"/>
      <c r="M12" s="47"/>
      <c r="N12" s="47"/>
      <c r="O12" s="55"/>
      <c r="P12" s="42"/>
      <c r="Q12" s="36"/>
      <c r="R12" s="41"/>
      <c r="S12" s="715"/>
      <c r="T12" s="43"/>
      <c r="U12" s="54"/>
      <c r="V12" s="47"/>
      <c r="W12" s="47"/>
      <c r="X12" s="47"/>
      <c r="Y12" s="47"/>
      <c r="Z12" s="55"/>
      <c r="AA12" s="42"/>
      <c r="AB12" s="36"/>
    </row>
    <row r="13" spans="1:28" ht="15" customHeight="1" thickBot="1">
      <c r="A13" s="36"/>
      <c r="B13" s="726"/>
      <c r="C13" s="727"/>
      <c r="D13" s="727"/>
      <c r="E13" s="728"/>
      <c r="F13" s="36"/>
      <c r="G13" s="41"/>
      <c r="H13" s="715"/>
      <c r="I13" s="43"/>
      <c r="J13" s="54"/>
      <c r="K13" s="47"/>
      <c r="L13" s="47"/>
      <c r="M13" s="47"/>
      <c r="N13" s="47"/>
      <c r="O13" s="55"/>
      <c r="P13" s="42"/>
      <c r="Q13" s="36"/>
      <c r="R13" s="41"/>
      <c r="S13" s="715"/>
      <c r="T13" s="43"/>
      <c r="U13" s="54"/>
      <c r="V13" s="47"/>
      <c r="W13" s="47"/>
      <c r="X13" s="47"/>
      <c r="Y13" s="47"/>
      <c r="Z13" s="55"/>
      <c r="AA13" s="42"/>
      <c r="AB13" s="36"/>
    </row>
    <row r="14" spans="1:28" ht="7.5" customHeight="1" thickTop="1">
      <c r="A14" s="36"/>
      <c r="B14" s="38"/>
      <c r="C14" s="39"/>
      <c r="D14" s="39"/>
      <c r="E14" s="40"/>
      <c r="F14" s="36"/>
      <c r="G14" s="41"/>
      <c r="H14" s="715"/>
      <c r="I14" s="43"/>
      <c r="J14" s="54"/>
      <c r="K14" s="47"/>
      <c r="L14" s="47"/>
      <c r="M14" s="47"/>
      <c r="N14" s="47"/>
      <c r="O14" s="55"/>
      <c r="P14" s="42"/>
      <c r="Q14" s="36"/>
      <c r="R14" s="41"/>
      <c r="S14" s="715"/>
      <c r="T14" s="43"/>
      <c r="U14" s="54"/>
      <c r="V14" s="47"/>
      <c r="W14" s="47"/>
      <c r="X14" s="47"/>
      <c r="Y14" s="47"/>
      <c r="Z14" s="55"/>
      <c r="AA14" s="42"/>
      <c r="AB14" s="36"/>
    </row>
    <row r="15" spans="1:28" ht="15" customHeight="1">
      <c r="A15" s="36"/>
      <c r="B15" s="41"/>
      <c r="C15" s="729" t="s">
        <v>131</v>
      </c>
      <c r="D15" s="729"/>
      <c r="E15" s="42"/>
      <c r="F15" s="36"/>
      <c r="G15" s="41"/>
      <c r="H15" s="715"/>
      <c r="I15" s="43"/>
      <c r="J15" s="56"/>
      <c r="K15" s="57"/>
      <c r="L15" s="57"/>
      <c r="M15" s="57"/>
      <c r="N15" s="57"/>
      <c r="O15" s="58"/>
      <c r="P15" s="42"/>
      <c r="Q15" s="36"/>
      <c r="R15" s="41"/>
      <c r="S15" s="715"/>
      <c r="T15" s="43"/>
      <c r="U15" s="56"/>
      <c r="V15" s="57"/>
      <c r="W15" s="57"/>
      <c r="X15" s="57"/>
      <c r="Y15" s="57"/>
      <c r="Z15" s="58"/>
      <c r="AA15" s="42"/>
      <c r="AB15" s="36"/>
    </row>
    <row r="16" spans="1:28" ht="15" customHeight="1">
      <c r="A16" s="36"/>
      <c r="B16" s="41"/>
      <c r="C16" s="48" t="s">
        <v>127</v>
      </c>
      <c r="D16" s="69" t="s">
        <v>1347</v>
      </c>
      <c r="E16" s="42"/>
      <c r="F16" s="36"/>
      <c r="G16" s="41"/>
      <c r="H16" s="715"/>
      <c r="I16" s="43"/>
      <c r="J16" s="43"/>
      <c r="K16" s="43"/>
      <c r="L16" s="43"/>
      <c r="M16" s="43"/>
      <c r="N16" s="43"/>
      <c r="O16" s="43"/>
      <c r="P16" s="42"/>
      <c r="Q16" s="36"/>
      <c r="R16" s="41"/>
      <c r="S16" s="715"/>
      <c r="T16" s="43"/>
      <c r="U16" s="43"/>
      <c r="V16" s="43"/>
      <c r="W16" s="43"/>
      <c r="X16" s="43"/>
      <c r="Y16" s="43"/>
      <c r="Z16" s="43"/>
      <c r="AA16" s="42"/>
      <c r="AB16" s="36"/>
    </row>
    <row r="17" spans="1:28" ht="7.5" customHeight="1">
      <c r="A17" s="36"/>
      <c r="B17" s="41"/>
      <c r="C17" s="730" t="s">
        <v>2</v>
      </c>
      <c r="D17" s="732" t="s">
        <v>1337</v>
      </c>
      <c r="E17" s="42"/>
      <c r="F17" s="36"/>
      <c r="G17" s="41"/>
      <c r="H17" s="715"/>
      <c r="I17" s="43"/>
      <c r="J17" s="43"/>
      <c r="K17" s="716" t="s">
        <v>1190</v>
      </c>
      <c r="L17" s="720"/>
      <c r="M17" s="43"/>
      <c r="N17" s="43"/>
      <c r="O17" s="43"/>
      <c r="P17" s="42"/>
      <c r="Q17" s="36"/>
      <c r="R17" s="41"/>
      <c r="S17" s="715"/>
      <c r="T17" s="43"/>
      <c r="U17" s="43"/>
      <c r="V17" s="716" t="s">
        <v>137</v>
      </c>
      <c r="W17" s="720"/>
      <c r="X17" s="43"/>
      <c r="Y17" s="43"/>
      <c r="Z17" s="43"/>
      <c r="AA17" s="42"/>
      <c r="AB17" s="36"/>
    </row>
    <row r="18" spans="1:28" ht="7.5" customHeight="1">
      <c r="A18" s="36"/>
      <c r="B18" s="41"/>
      <c r="C18" s="731"/>
      <c r="D18" s="733"/>
      <c r="E18" s="42"/>
      <c r="F18" s="36"/>
      <c r="G18" s="41"/>
      <c r="H18" s="715"/>
      <c r="I18" s="43"/>
      <c r="J18" s="51"/>
      <c r="K18" s="721"/>
      <c r="L18" s="722"/>
      <c r="M18" s="52"/>
      <c r="N18" s="52"/>
      <c r="O18" s="53"/>
      <c r="P18" s="42"/>
      <c r="Q18" s="36"/>
      <c r="R18" s="41"/>
      <c r="S18" s="715"/>
      <c r="T18" s="43"/>
      <c r="U18" s="51"/>
      <c r="V18" s="721"/>
      <c r="W18" s="722"/>
      <c r="X18" s="52"/>
      <c r="Y18" s="52"/>
      <c r="Z18" s="53"/>
      <c r="AA18" s="42"/>
      <c r="AB18" s="36"/>
    </row>
    <row r="19" spans="1:28">
      <c r="A19" s="36"/>
      <c r="B19" s="41"/>
      <c r="C19" s="43"/>
      <c r="D19" s="734"/>
      <c r="E19" s="42"/>
      <c r="F19" s="36"/>
      <c r="G19" s="41"/>
      <c r="H19" s="715"/>
      <c r="I19" s="43"/>
      <c r="J19" s="54"/>
      <c r="K19" s="47"/>
      <c r="L19" s="47"/>
      <c r="M19" s="47"/>
      <c r="N19" s="47"/>
      <c r="O19" s="55"/>
      <c r="P19" s="42"/>
      <c r="Q19" s="36"/>
      <c r="R19" s="41"/>
      <c r="S19" s="715"/>
      <c r="T19" s="43"/>
      <c r="U19" s="54"/>
      <c r="V19" s="47"/>
      <c r="W19" s="47"/>
      <c r="X19" s="47"/>
      <c r="Y19" s="47"/>
      <c r="Z19" s="55"/>
      <c r="AA19" s="42"/>
      <c r="AB19" s="36"/>
    </row>
    <row r="20" spans="1:28">
      <c r="A20" s="36"/>
      <c r="B20" s="41"/>
      <c r="C20" s="49" t="s">
        <v>128</v>
      </c>
      <c r="D20" s="70" t="s">
        <v>1351</v>
      </c>
      <c r="E20" s="42"/>
      <c r="F20" s="36"/>
      <c r="G20" s="41"/>
      <c r="H20" s="715"/>
      <c r="I20" s="43"/>
      <c r="J20" s="54"/>
      <c r="K20" s="47"/>
      <c r="L20" s="47"/>
      <c r="M20" s="47"/>
      <c r="N20" s="47"/>
      <c r="O20" s="55"/>
      <c r="P20" s="42"/>
      <c r="Q20" s="36"/>
      <c r="R20" s="41"/>
      <c r="S20" s="715"/>
      <c r="T20" s="43"/>
      <c r="U20" s="54"/>
      <c r="V20" s="47"/>
      <c r="W20" s="47"/>
      <c r="X20" s="47"/>
      <c r="Y20" s="47"/>
      <c r="Z20" s="55"/>
      <c r="AA20" s="42"/>
      <c r="AB20" s="36"/>
    </row>
    <row r="21" spans="1:28">
      <c r="A21" s="36"/>
      <c r="B21" s="41"/>
      <c r="C21" s="49" t="s">
        <v>129</v>
      </c>
      <c r="D21" s="345" t="s">
        <v>119</v>
      </c>
      <c r="E21" s="42"/>
      <c r="F21" s="36"/>
      <c r="G21" s="41"/>
      <c r="H21" s="715"/>
      <c r="I21" s="43"/>
      <c r="J21" s="54"/>
      <c r="K21" s="47"/>
      <c r="L21" s="47"/>
      <c r="M21" s="47"/>
      <c r="N21" s="47"/>
      <c r="O21" s="55"/>
      <c r="P21" s="42"/>
      <c r="Q21" s="36"/>
      <c r="R21" s="41"/>
      <c r="S21" s="715"/>
      <c r="T21" s="43"/>
      <c r="U21" s="54"/>
      <c r="V21" s="47"/>
      <c r="W21" s="47"/>
      <c r="X21" s="47"/>
      <c r="Y21" s="47"/>
      <c r="Z21" s="55"/>
      <c r="AA21" s="42"/>
      <c r="AB21" s="36"/>
    </row>
    <row r="22" spans="1:28">
      <c r="A22" s="36"/>
      <c r="B22" s="41"/>
      <c r="C22" s="50" t="s">
        <v>130</v>
      </c>
      <c r="D22" s="70" t="s">
        <v>1386</v>
      </c>
      <c r="E22" s="42"/>
      <c r="F22" s="36"/>
      <c r="G22" s="41"/>
      <c r="H22" s="715"/>
      <c r="I22" s="43"/>
      <c r="J22" s="54"/>
      <c r="K22" s="47"/>
      <c r="L22" s="47"/>
      <c r="M22" s="47"/>
      <c r="N22" s="47"/>
      <c r="O22" s="55"/>
      <c r="P22" s="42"/>
      <c r="Q22" s="36"/>
      <c r="R22" s="41"/>
      <c r="S22" s="715"/>
      <c r="T22" s="43"/>
      <c r="U22" s="54"/>
      <c r="V22" s="47"/>
      <c r="W22" s="47"/>
      <c r="X22" s="47"/>
      <c r="Y22" s="47"/>
      <c r="Z22" s="55"/>
      <c r="AA22" s="42"/>
      <c r="AB22" s="36"/>
    </row>
    <row r="23" spans="1:28" ht="15" customHeight="1">
      <c r="A23" s="36"/>
      <c r="B23" s="41"/>
      <c r="C23" s="48" t="s">
        <v>129</v>
      </c>
      <c r="D23" s="346" t="s">
        <v>119</v>
      </c>
      <c r="E23" s="42"/>
      <c r="F23" s="36"/>
      <c r="G23" s="41"/>
      <c r="H23" s="715"/>
      <c r="I23" s="43"/>
      <c r="J23" s="54"/>
      <c r="K23" s="47"/>
      <c r="L23" s="47"/>
      <c r="M23" s="47"/>
      <c r="N23" s="47"/>
      <c r="O23" s="55"/>
      <c r="P23" s="42"/>
      <c r="Q23" s="36"/>
      <c r="R23" s="41"/>
      <c r="S23" s="715"/>
      <c r="T23" s="43"/>
      <c r="U23" s="54"/>
      <c r="V23" s="47"/>
      <c r="W23" s="47"/>
      <c r="X23" s="47"/>
      <c r="Y23" s="47"/>
      <c r="Z23" s="55"/>
      <c r="AA23" s="42"/>
      <c r="AB23" s="36"/>
    </row>
    <row r="24" spans="1:28" ht="15.75" customHeight="1">
      <c r="A24" s="36"/>
      <c r="B24" s="41"/>
      <c r="C24" s="43"/>
      <c r="D24" s="43"/>
      <c r="E24" s="42"/>
      <c r="F24" s="36"/>
      <c r="G24" s="41"/>
      <c r="H24" s="715"/>
      <c r="I24" s="43"/>
      <c r="J24" s="54"/>
      <c r="K24" s="47"/>
      <c r="L24" s="47"/>
      <c r="M24" s="47"/>
      <c r="N24" s="47"/>
      <c r="O24" s="55"/>
      <c r="P24" s="42"/>
      <c r="Q24" s="36"/>
      <c r="R24" s="41"/>
      <c r="S24" s="715"/>
      <c r="T24" s="43"/>
      <c r="U24" s="54"/>
      <c r="V24" s="47"/>
      <c r="W24" s="47"/>
      <c r="X24" s="47"/>
      <c r="Y24" s="47"/>
      <c r="Z24" s="55"/>
      <c r="AA24" s="42"/>
      <c r="AB24" s="36"/>
    </row>
    <row r="25" spans="1:28">
      <c r="A25" s="36"/>
      <c r="B25" s="41"/>
      <c r="C25" s="714" t="s">
        <v>132</v>
      </c>
      <c r="D25" s="714"/>
      <c r="E25" s="42"/>
      <c r="F25" s="36"/>
      <c r="G25" s="41"/>
      <c r="H25" s="715"/>
      <c r="I25" s="43"/>
      <c r="J25" s="54"/>
      <c r="K25" s="47"/>
      <c r="L25" s="47"/>
      <c r="M25" s="47"/>
      <c r="N25" s="47"/>
      <c r="O25" s="55"/>
      <c r="P25" s="42"/>
      <c r="Q25" s="36"/>
      <c r="R25" s="41"/>
      <c r="S25" s="715"/>
      <c r="T25" s="43"/>
      <c r="U25" s="54"/>
      <c r="V25" s="47"/>
      <c r="W25" s="47"/>
      <c r="X25" s="47"/>
      <c r="Y25" s="47"/>
      <c r="Z25" s="55"/>
      <c r="AA25" s="42"/>
      <c r="AB25" s="36"/>
    </row>
    <row r="26" spans="1:28">
      <c r="A26" s="36"/>
      <c r="B26" s="41"/>
      <c r="C26" s="48" t="s">
        <v>1</v>
      </c>
      <c r="D26" s="337" t="s">
        <v>1352</v>
      </c>
      <c r="E26" s="42"/>
      <c r="F26" s="36"/>
      <c r="G26" s="41"/>
      <c r="H26" s="715"/>
      <c r="I26" s="43"/>
      <c r="J26" s="54"/>
      <c r="K26" s="47"/>
      <c r="L26" s="47"/>
      <c r="M26" s="47"/>
      <c r="N26" s="47"/>
      <c r="O26" s="55"/>
      <c r="P26" s="42"/>
      <c r="Q26" s="36"/>
      <c r="R26" s="41"/>
      <c r="S26" s="715"/>
      <c r="T26" s="43"/>
      <c r="U26" s="54"/>
      <c r="V26" s="47"/>
      <c r="W26" s="47"/>
      <c r="X26" s="47"/>
      <c r="Y26" s="47"/>
      <c r="Z26" s="55"/>
      <c r="AA26" s="42"/>
      <c r="AB26" s="36"/>
    </row>
    <row r="27" spans="1:28">
      <c r="A27" s="36"/>
      <c r="B27" s="41"/>
      <c r="C27" s="47" t="s">
        <v>4</v>
      </c>
      <c r="D27" s="338" t="s">
        <v>1349</v>
      </c>
      <c r="E27" s="42"/>
      <c r="F27" s="36"/>
      <c r="G27" s="41"/>
      <c r="H27" s="715"/>
      <c r="I27" s="43"/>
      <c r="J27" s="54"/>
      <c r="K27" s="47"/>
      <c r="L27" s="47"/>
      <c r="M27" s="47"/>
      <c r="N27" s="47"/>
      <c r="O27" s="55"/>
      <c r="P27" s="42"/>
      <c r="Q27" s="36"/>
      <c r="R27" s="41"/>
      <c r="S27" s="715"/>
      <c r="T27" s="43"/>
      <c r="U27" s="54"/>
      <c r="V27" s="47"/>
      <c r="W27" s="47"/>
      <c r="X27" s="47"/>
      <c r="Y27" s="47"/>
      <c r="Z27" s="55"/>
      <c r="AA27" s="42"/>
      <c r="AB27" s="36"/>
    </row>
    <row r="28" spans="1:28" ht="15.75" customHeight="1">
      <c r="A28" s="36"/>
      <c r="B28" s="41"/>
      <c r="C28" s="49" t="s">
        <v>3</v>
      </c>
      <c r="D28" s="338" t="s">
        <v>1348</v>
      </c>
      <c r="E28" s="42"/>
      <c r="F28" s="36"/>
      <c r="G28" s="41"/>
      <c r="H28" s="715"/>
      <c r="I28" s="43"/>
      <c r="J28" s="54"/>
      <c r="K28" s="47"/>
      <c r="L28" s="47"/>
      <c r="M28" s="47"/>
      <c r="N28" s="47"/>
      <c r="O28" s="55"/>
      <c r="P28" s="42"/>
      <c r="Q28" s="36"/>
      <c r="R28" s="41"/>
      <c r="S28" s="715"/>
      <c r="T28" s="43"/>
      <c r="U28" s="54"/>
      <c r="V28" s="47"/>
      <c r="W28" s="47"/>
      <c r="X28" s="47"/>
      <c r="Y28" s="47"/>
      <c r="Z28" s="55"/>
      <c r="AA28" s="42"/>
      <c r="AB28" s="36"/>
    </row>
    <row r="29" spans="1:28">
      <c r="A29" s="36"/>
      <c r="B29" s="41"/>
      <c r="C29" s="43"/>
      <c r="D29" s="43"/>
      <c r="E29" s="42"/>
      <c r="F29" s="36"/>
      <c r="G29" s="41"/>
      <c r="H29" s="715"/>
      <c r="I29" s="43"/>
      <c r="J29" s="56"/>
      <c r="K29" s="57"/>
      <c r="L29" s="57"/>
      <c r="M29" s="57"/>
      <c r="N29" s="57"/>
      <c r="O29" s="58"/>
      <c r="P29" s="42"/>
      <c r="Q29" s="36"/>
      <c r="R29" s="41"/>
      <c r="S29" s="715"/>
      <c r="T29" s="43"/>
      <c r="U29" s="56"/>
      <c r="V29" s="57"/>
      <c r="W29" s="57"/>
      <c r="X29" s="57"/>
      <c r="Y29" s="57"/>
      <c r="Z29" s="58"/>
      <c r="AA29" s="42"/>
      <c r="AB29" s="36"/>
    </row>
    <row r="30" spans="1:28" ht="7.5" customHeight="1" thickBot="1">
      <c r="A30" s="36"/>
      <c r="B30" s="44"/>
      <c r="C30" s="45"/>
      <c r="D30" s="45"/>
      <c r="E30" s="46"/>
      <c r="F30" s="37"/>
      <c r="G30" s="44"/>
      <c r="H30" s="45"/>
      <c r="I30" s="45"/>
      <c r="J30" s="45"/>
      <c r="K30" s="45"/>
      <c r="L30" s="45"/>
      <c r="M30" s="45"/>
      <c r="N30" s="45"/>
      <c r="O30" s="45"/>
      <c r="P30" s="46"/>
      <c r="Q30" s="36"/>
      <c r="R30" s="44"/>
      <c r="S30" s="45"/>
      <c r="T30" s="45"/>
      <c r="U30" s="45"/>
      <c r="V30" s="45"/>
      <c r="W30" s="45"/>
      <c r="X30" s="45"/>
      <c r="Y30" s="45"/>
      <c r="Z30" s="45"/>
      <c r="AA30" s="46"/>
      <c r="AB30" s="36"/>
    </row>
    <row r="31" spans="1:28" ht="7.5" customHeight="1" thickTop="1">
      <c r="A31" s="36"/>
      <c r="B31" s="36"/>
      <c r="C31" s="36"/>
      <c r="D31" s="36"/>
      <c r="E31" s="36"/>
      <c r="F31" s="36"/>
      <c r="G31" s="36"/>
      <c r="H31" s="36"/>
      <c r="I31" s="36"/>
      <c r="J31" s="36"/>
      <c r="K31" s="36"/>
      <c r="L31" s="36"/>
      <c r="M31" s="36"/>
      <c r="N31" s="36"/>
      <c r="O31" s="36"/>
      <c r="P31" s="36"/>
      <c r="Q31" s="36"/>
      <c r="R31" s="36"/>
      <c r="S31" s="36"/>
      <c r="T31" s="36"/>
      <c r="U31" s="36"/>
      <c r="V31" s="36"/>
      <c r="W31" s="36"/>
      <c r="X31" s="36"/>
      <c r="Y31" s="36"/>
      <c r="Z31" s="36"/>
      <c r="AA31" s="36"/>
      <c r="AB31" s="36"/>
    </row>
    <row r="32" spans="1:28" ht="7.5" hidden="1" customHeight="1"/>
  </sheetData>
  <mergeCells count="11">
    <mergeCell ref="C25:D25"/>
    <mergeCell ref="H3:H29"/>
    <mergeCell ref="K3:L4"/>
    <mergeCell ref="S3:S29"/>
    <mergeCell ref="V3:W4"/>
    <mergeCell ref="B12:E13"/>
    <mergeCell ref="C15:D15"/>
    <mergeCell ref="C17:C18"/>
    <mergeCell ref="D17:D19"/>
    <mergeCell ref="K17:L18"/>
    <mergeCell ref="V17:W18"/>
  </mergeCells>
  <pageMargins left="0.70866141732283472" right="0.70866141732283472" top="0.74803149606299213" bottom="0.74803149606299213" header="0.31496062992125984" footer="0.31496062992125984"/>
  <pageSetup paperSize="5" orientation="landscape" horizontalDpi="4294967293"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9"/>
  <dimension ref="A1:G21"/>
  <sheetViews>
    <sheetView showGridLines="0" showRowColHeaders="0" workbookViewId="0">
      <selection activeCell="E14" sqref="E14"/>
    </sheetView>
  </sheetViews>
  <sheetFormatPr defaultColWidth="0" defaultRowHeight="15" zeroHeight="1"/>
  <cols>
    <col min="1" max="1" width="16.7109375" customWidth="1"/>
    <col min="2" max="2" width="9.140625" customWidth="1"/>
    <col min="3" max="3" width="33.28515625" customWidth="1"/>
    <col min="4" max="5" width="9.140625" customWidth="1"/>
    <col min="6" max="6" width="9.140625" hidden="1" customWidth="1"/>
    <col min="7" max="7" width="0" hidden="1" customWidth="1"/>
    <col min="8" max="16384" width="9.140625" hidden="1"/>
  </cols>
  <sheetData>
    <row r="1" spans="1:5">
      <c r="A1" s="156"/>
      <c r="B1" s="735" t="s">
        <v>1164</v>
      </c>
      <c r="C1" s="735"/>
      <c r="D1" s="735"/>
      <c r="E1" s="156"/>
    </row>
    <row r="2" spans="1:5">
      <c r="A2" s="156"/>
      <c r="B2" s="735"/>
      <c r="C2" s="735"/>
      <c r="D2" s="735"/>
      <c r="E2" s="156"/>
    </row>
    <row r="3" spans="1:5" ht="15.75" thickBot="1">
      <c r="A3" s="156"/>
      <c r="B3" s="736"/>
      <c r="C3" s="736"/>
      <c r="D3" s="736"/>
      <c r="E3" s="156"/>
    </row>
    <row r="4" spans="1:5" ht="22.5" customHeight="1" thickTop="1" thickBot="1">
      <c r="A4" s="156"/>
      <c r="B4" s="155" t="s">
        <v>71</v>
      </c>
      <c r="C4" s="155" t="s">
        <v>50</v>
      </c>
      <c r="D4" s="155" t="s">
        <v>1165</v>
      </c>
      <c r="E4" s="156"/>
    </row>
    <row r="5" spans="1:5" ht="16.5" thickTop="1" thickBot="1">
      <c r="A5" s="156"/>
      <c r="B5" s="153">
        <v>1</v>
      </c>
      <c r="C5" s="157" t="s">
        <v>1168</v>
      </c>
      <c r="D5" s="154" t="s">
        <v>1339</v>
      </c>
      <c r="E5" s="156"/>
    </row>
    <row r="6" spans="1:5" ht="16.5" thickTop="1" thickBot="1">
      <c r="A6" s="156"/>
      <c r="B6" s="153">
        <v>2</v>
      </c>
      <c r="C6" s="157" t="s">
        <v>59</v>
      </c>
      <c r="D6" s="154" t="s">
        <v>1339</v>
      </c>
      <c r="E6" s="156"/>
    </row>
    <row r="7" spans="1:5" ht="16.5" thickTop="1" thickBot="1">
      <c r="A7" s="156"/>
      <c r="B7" s="153">
        <v>3</v>
      </c>
      <c r="C7" s="157" t="s">
        <v>77</v>
      </c>
      <c r="D7" s="154" t="s">
        <v>1339</v>
      </c>
      <c r="E7" s="156"/>
    </row>
    <row r="8" spans="1:5" ht="16.5" thickTop="1" thickBot="1">
      <c r="A8" s="156"/>
      <c r="B8" s="153">
        <v>4</v>
      </c>
      <c r="C8" s="158" t="s">
        <v>60</v>
      </c>
      <c r="D8" s="154" t="s">
        <v>1339</v>
      </c>
      <c r="E8" s="156"/>
    </row>
    <row r="9" spans="1:5" ht="16.5" thickTop="1" thickBot="1">
      <c r="A9" s="156"/>
      <c r="B9" s="153">
        <v>5</v>
      </c>
      <c r="C9" s="157" t="s">
        <v>1166</v>
      </c>
      <c r="D9" s="154" t="s">
        <v>1339</v>
      </c>
      <c r="E9" s="156"/>
    </row>
    <row r="10" spans="1:5" ht="16.5" thickTop="1" thickBot="1">
      <c r="A10" s="156"/>
      <c r="B10" s="153">
        <v>6</v>
      </c>
      <c r="C10" s="157" t="s">
        <v>91</v>
      </c>
      <c r="D10" s="154" t="s">
        <v>1339</v>
      </c>
      <c r="E10" s="156"/>
    </row>
    <row r="11" spans="1:5" ht="16.5" thickTop="1" thickBot="1">
      <c r="A11" s="156"/>
      <c r="B11" s="153">
        <v>7</v>
      </c>
      <c r="C11" s="157" t="s">
        <v>63</v>
      </c>
      <c r="D11" s="154" t="s">
        <v>1339</v>
      </c>
      <c r="E11" s="156"/>
    </row>
    <row r="12" spans="1:5" ht="16.5" thickTop="1" thickBot="1">
      <c r="A12" s="156"/>
      <c r="B12" s="153">
        <v>8</v>
      </c>
      <c r="C12" s="157" t="s">
        <v>92</v>
      </c>
      <c r="D12" s="154" t="s">
        <v>1339</v>
      </c>
      <c r="E12" s="156"/>
    </row>
    <row r="13" spans="1:5" ht="16.5" thickTop="1" thickBot="1">
      <c r="A13" s="156"/>
      <c r="B13" s="153">
        <v>9</v>
      </c>
      <c r="C13" s="157" t="s">
        <v>65</v>
      </c>
      <c r="D13" s="154" t="s">
        <v>1339</v>
      </c>
      <c r="E13" s="156"/>
    </row>
    <row r="14" spans="1:5" ht="16.5" thickTop="1" thickBot="1">
      <c r="A14" s="156"/>
      <c r="B14" s="153">
        <v>10</v>
      </c>
      <c r="C14" s="157" t="s">
        <v>66</v>
      </c>
      <c r="D14" s="154" t="s">
        <v>1339</v>
      </c>
      <c r="E14" s="156"/>
    </row>
    <row r="15" spans="1:5" ht="16.5" thickTop="1" thickBot="1">
      <c r="A15" s="156"/>
      <c r="B15" s="153">
        <v>11</v>
      </c>
      <c r="C15" s="157" t="s">
        <v>67</v>
      </c>
      <c r="D15" s="154" t="s">
        <v>1339</v>
      </c>
      <c r="E15" s="156"/>
    </row>
    <row r="16" spans="1:5" ht="16.5" thickTop="1" thickBot="1">
      <c r="A16" s="156"/>
      <c r="B16" s="153">
        <v>12</v>
      </c>
      <c r="C16" s="157" t="s">
        <v>1167</v>
      </c>
      <c r="D16" s="154" t="s">
        <v>1339</v>
      </c>
      <c r="E16" s="156"/>
    </row>
    <row r="17" spans="1:5" ht="16.5" thickTop="1" thickBot="1">
      <c r="A17" s="156"/>
      <c r="B17" s="153">
        <v>13</v>
      </c>
      <c r="C17" s="157" t="s">
        <v>139</v>
      </c>
      <c r="D17" s="154" t="s">
        <v>1339</v>
      </c>
      <c r="E17" s="156"/>
    </row>
    <row r="18" spans="1:5" ht="16.5" thickTop="1" thickBot="1">
      <c r="A18" s="156"/>
      <c r="B18" s="153">
        <v>14</v>
      </c>
      <c r="C18" s="157" t="s">
        <v>140</v>
      </c>
      <c r="D18" s="154" t="s">
        <v>1339</v>
      </c>
      <c r="E18" s="156"/>
    </row>
    <row r="19" spans="1:5" ht="16.5" thickTop="1" thickBot="1">
      <c r="A19" s="156"/>
      <c r="B19" s="153">
        <v>15</v>
      </c>
      <c r="C19" s="157" t="s">
        <v>69</v>
      </c>
      <c r="D19" s="154" t="s">
        <v>1339</v>
      </c>
      <c r="E19" s="156"/>
    </row>
    <row r="20" spans="1:5" ht="16.5" thickTop="1" thickBot="1">
      <c r="A20" s="156"/>
      <c r="B20" s="153">
        <v>16</v>
      </c>
      <c r="C20" s="157" t="s">
        <v>76</v>
      </c>
      <c r="D20" s="154" t="s">
        <v>1339</v>
      </c>
      <c r="E20" s="156"/>
    </row>
    <row r="21" spans="1:5" ht="37.5" customHeight="1" thickTop="1">
      <c r="A21" s="156"/>
      <c r="B21" s="156"/>
      <c r="C21" s="156"/>
      <c r="D21" s="156"/>
      <c r="E21" s="156"/>
    </row>
  </sheetData>
  <mergeCells count="1">
    <mergeCell ref="B1:D3"/>
  </mergeCells>
  <conditionalFormatting sqref="D5:D20">
    <cfRule type="containsBlanks" dxfId="2" priority="1">
      <formula>LEN(TRIM(D5))=0</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W23"/>
  <sheetViews>
    <sheetView showGridLines="0" showRowColHeaders="0" zoomScaleNormal="100" workbookViewId="0">
      <selection activeCell="D5" sqref="D5:E6"/>
    </sheetView>
  </sheetViews>
  <sheetFormatPr defaultColWidth="0" defaultRowHeight="15" customHeight="1" zeroHeight="1"/>
  <cols>
    <col min="1" max="3" width="1.42578125" customWidth="1"/>
    <col min="4" max="7" width="9.140625" customWidth="1"/>
    <col min="8" max="9" width="1.42578125" customWidth="1"/>
    <col min="10" max="15" width="9.140625" customWidth="1"/>
    <col min="16" max="17" width="1.42578125" customWidth="1"/>
    <col min="18" max="21" width="9.140625" customWidth="1"/>
    <col min="22" max="23" width="1.42578125" customWidth="1"/>
    <col min="24" max="16384" width="9.140625" hidden="1"/>
  </cols>
  <sheetData>
    <row r="1" spans="1:23" ht="7.5" customHeight="1">
      <c r="A1" s="36"/>
      <c r="B1" s="36"/>
      <c r="C1" s="36"/>
      <c r="D1" s="36"/>
      <c r="E1" s="36"/>
      <c r="F1" s="36"/>
      <c r="G1" s="36"/>
      <c r="H1" s="36"/>
      <c r="I1" s="36"/>
      <c r="J1" s="36"/>
      <c r="K1" s="36"/>
      <c r="L1" s="36"/>
      <c r="M1" s="36"/>
      <c r="N1" s="36"/>
      <c r="O1" s="36"/>
      <c r="P1" s="36"/>
      <c r="Q1" s="36"/>
      <c r="R1" s="36"/>
      <c r="S1" s="36"/>
      <c r="T1" s="36"/>
      <c r="U1" s="36"/>
      <c r="V1" s="36"/>
      <c r="W1" s="36"/>
    </row>
    <row r="2" spans="1:23">
      <c r="A2" s="36"/>
      <c r="B2" s="737" t="s">
        <v>138</v>
      </c>
      <c r="C2" s="738"/>
      <c r="D2" s="738"/>
      <c r="E2" s="738"/>
      <c r="F2" s="738"/>
      <c r="G2" s="738"/>
      <c r="H2" s="738"/>
      <c r="I2" s="738"/>
      <c r="J2" s="738"/>
      <c r="K2" s="738"/>
      <c r="L2" s="738"/>
      <c r="M2" s="738"/>
      <c r="N2" s="738"/>
      <c r="O2" s="738"/>
      <c r="P2" s="738"/>
      <c r="Q2" s="738"/>
      <c r="R2" s="738"/>
      <c r="S2" s="738"/>
      <c r="T2" s="738"/>
      <c r="U2" s="738"/>
      <c r="V2" s="738"/>
      <c r="W2" s="36"/>
    </row>
    <row r="3" spans="1:23" ht="15.75" thickBot="1">
      <c r="A3" s="36"/>
      <c r="B3" s="737"/>
      <c r="C3" s="738"/>
      <c r="D3" s="738"/>
      <c r="E3" s="738"/>
      <c r="F3" s="738"/>
      <c r="G3" s="738"/>
      <c r="H3" s="738"/>
      <c r="I3" s="738"/>
      <c r="J3" s="738"/>
      <c r="K3" s="738"/>
      <c r="L3" s="738"/>
      <c r="M3" s="738"/>
      <c r="N3" s="738"/>
      <c r="O3" s="738"/>
      <c r="P3" s="738"/>
      <c r="Q3" s="738"/>
      <c r="R3" s="738"/>
      <c r="S3" s="738"/>
      <c r="T3" s="738"/>
      <c r="U3" s="738"/>
      <c r="V3" s="738"/>
      <c r="W3" s="36"/>
    </row>
    <row r="4" spans="1:23" ht="7.5" customHeight="1" thickTop="1">
      <c r="A4" s="36"/>
      <c r="B4" s="38"/>
      <c r="C4" s="39"/>
      <c r="D4" s="39"/>
      <c r="E4" s="39"/>
      <c r="F4" s="39"/>
      <c r="G4" s="39"/>
      <c r="H4" s="39"/>
      <c r="I4" s="39"/>
      <c r="J4" s="39"/>
      <c r="K4" s="39"/>
      <c r="L4" s="39"/>
      <c r="M4" s="39"/>
      <c r="N4" s="39"/>
      <c r="O4" s="39"/>
      <c r="P4" s="39"/>
      <c r="Q4" s="39"/>
      <c r="R4" s="39"/>
      <c r="S4" s="39"/>
      <c r="T4" s="39"/>
      <c r="U4" s="39"/>
      <c r="V4" s="40"/>
      <c r="W4" s="36"/>
    </row>
    <row r="5" spans="1:23" ht="7.5" customHeight="1">
      <c r="A5" s="36"/>
      <c r="B5" s="41"/>
      <c r="C5" s="43"/>
      <c r="D5" s="716" t="s">
        <v>74</v>
      </c>
      <c r="E5" s="720"/>
      <c r="F5" s="43"/>
      <c r="G5" s="43"/>
      <c r="H5" s="43"/>
      <c r="I5" s="43"/>
      <c r="J5" s="716" t="s">
        <v>78</v>
      </c>
      <c r="K5" s="720"/>
      <c r="L5" s="43"/>
      <c r="M5" s="43"/>
      <c r="N5" s="43"/>
      <c r="O5" s="43"/>
      <c r="P5" s="43"/>
      <c r="Q5" s="43"/>
      <c r="R5" s="716" t="s">
        <v>79</v>
      </c>
      <c r="S5" s="720"/>
      <c r="T5" s="43"/>
      <c r="U5" s="43"/>
      <c r="V5" s="42"/>
      <c r="W5" s="36"/>
    </row>
    <row r="6" spans="1:23" ht="7.5" customHeight="1">
      <c r="A6" s="36"/>
      <c r="B6" s="41"/>
      <c r="C6" s="51"/>
      <c r="D6" s="721"/>
      <c r="E6" s="722"/>
      <c r="F6" s="52"/>
      <c r="G6" s="53"/>
      <c r="H6" s="43"/>
      <c r="I6" s="51"/>
      <c r="J6" s="721"/>
      <c r="K6" s="722"/>
      <c r="L6" s="52"/>
      <c r="M6" s="52"/>
      <c r="N6" s="52"/>
      <c r="O6" s="53"/>
      <c r="P6" s="43"/>
      <c r="Q6" s="51"/>
      <c r="R6" s="721"/>
      <c r="S6" s="722"/>
      <c r="T6" s="52"/>
      <c r="U6" s="53"/>
      <c r="V6" s="42"/>
      <c r="W6" s="36"/>
    </row>
    <row r="7" spans="1:23">
      <c r="A7" s="36"/>
      <c r="B7" s="41"/>
      <c r="C7" s="54"/>
      <c r="D7" s="47"/>
      <c r="E7" s="47"/>
      <c r="F7" s="47"/>
      <c r="G7" s="55"/>
      <c r="H7" s="43"/>
      <c r="I7" s="54"/>
      <c r="J7" s="47"/>
      <c r="K7" s="47"/>
      <c r="L7" s="47"/>
      <c r="M7" s="47"/>
      <c r="N7" s="47"/>
      <c r="O7" s="55"/>
      <c r="P7" s="43"/>
      <c r="Q7" s="54"/>
      <c r="R7" s="47"/>
      <c r="S7" s="47"/>
      <c r="T7" s="47"/>
      <c r="U7" s="55"/>
      <c r="V7" s="42"/>
      <c r="W7" s="36"/>
    </row>
    <row r="8" spans="1:23">
      <c r="A8" s="36"/>
      <c r="B8" s="41"/>
      <c r="C8" s="54"/>
      <c r="D8" s="47"/>
      <c r="E8" s="47"/>
      <c r="F8" s="47"/>
      <c r="G8" s="55"/>
      <c r="H8" s="43"/>
      <c r="I8" s="54"/>
      <c r="J8" s="47"/>
      <c r="K8" s="47"/>
      <c r="L8" s="47"/>
      <c r="M8" s="47"/>
      <c r="N8" s="47"/>
      <c r="O8" s="55"/>
      <c r="P8" s="43"/>
      <c r="Q8" s="54"/>
      <c r="R8" s="47"/>
      <c r="S8" s="47"/>
      <c r="T8" s="47"/>
      <c r="U8" s="55"/>
      <c r="V8" s="42"/>
      <c r="W8" s="36"/>
    </row>
    <row r="9" spans="1:23">
      <c r="A9" s="36"/>
      <c r="B9" s="41"/>
      <c r="C9" s="54"/>
      <c r="D9" s="47"/>
      <c r="E9" s="47"/>
      <c r="F9" s="47"/>
      <c r="G9" s="55"/>
      <c r="H9" s="43"/>
      <c r="I9" s="54"/>
      <c r="J9" s="47"/>
      <c r="K9" s="47"/>
      <c r="L9" s="47"/>
      <c r="M9" s="47"/>
      <c r="N9" s="47"/>
      <c r="O9" s="55"/>
      <c r="P9" s="43"/>
      <c r="Q9" s="54"/>
      <c r="R9" s="47"/>
      <c r="S9" s="47"/>
      <c r="T9" s="47"/>
      <c r="U9" s="55"/>
      <c r="V9" s="42"/>
      <c r="W9" s="36"/>
    </row>
    <row r="10" spans="1:23">
      <c r="A10" s="36"/>
      <c r="B10" s="41"/>
      <c r="C10" s="54"/>
      <c r="D10" s="47"/>
      <c r="E10" s="47"/>
      <c r="F10" s="47"/>
      <c r="G10" s="55"/>
      <c r="H10" s="43"/>
      <c r="I10" s="54"/>
      <c r="J10" s="47"/>
      <c r="K10" s="47"/>
      <c r="L10" s="47"/>
      <c r="M10" s="47"/>
      <c r="N10" s="47"/>
      <c r="O10" s="55"/>
      <c r="P10" s="43"/>
      <c r="Q10" s="54"/>
      <c r="R10" s="47"/>
      <c r="S10" s="47"/>
      <c r="T10" s="47"/>
      <c r="U10" s="55"/>
      <c r="V10" s="42"/>
      <c r="W10" s="36"/>
    </row>
    <row r="11" spans="1:23">
      <c r="A11" s="36"/>
      <c r="B11" s="41"/>
      <c r="C11" s="54"/>
      <c r="D11" s="47"/>
      <c r="E11" s="47"/>
      <c r="F11" s="47"/>
      <c r="G11" s="55"/>
      <c r="H11" s="43"/>
      <c r="I11" s="54"/>
      <c r="J11" s="47"/>
      <c r="K11" s="47"/>
      <c r="L11" s="47"/>
      <c r="M11" s="47"/>
      <c r="N11" s="47"/>
      <c r="O11" s="55"/>
      <c r="P11" s="43"/>
      <c r="Q11" s="54"/>
      <c r="R11" s="47"/>
      <c r="S11" s="47"/>
      <c r="T11" s="47"/>
      <c r="U11" s="55"/>
      <c r="V11" s="42"/>
      <c r="W11" s="36"/>
    </row>
    <row r="12" spans="1:23">
      <c r="A12" s="36"/>
      <c r="B12" s="41"/>
      <c r="C12" s="54"/>
      <c r="D12" s="47"/>
      <c r="E12" s="47"/>
      <c r="F12" s="47"/>
      <c r="G12" s="55"/>
      <c r="H12" s="43"/>
      <c r="I12" s="54"/>
      <c r="J12" s="47"/>
      <c r="K12" s="47"/>
      <c r="L12" s="47"/>
      <c r="M12" s="47"/>
      <c r="N12" s="47"/>
      <c r="O12" s="55"/>
      <c r="P12" s="43"/>
      <c r="Q12" s="54"/>
      <c r="R12" s="47"/>
      <c r="S12" s="47"/>
      <c r="T12" s="47"/>
      <c r="U12" s="55"/>
      <c r="V12" s="42"/>
      <c r="W12" s="36"/>
    </row>
    <row r="13" spans="1:23">
      <c r="A13" s="36"/>
      <c r="B13" s="41"/>
      <c r="C13" s="54"/>
      <c r="D13" s="47"/>
      <c r="E13" s="47"/>
      <c r="F13" s="47"/>
      <c r="G13" s="55"/>
      <c r="H13" s="43"/>
      <c r="I13" s="54"/>
      <c r="J13" s="47"/>
      <c r="K13" s="47"/>
      <c r="L13" s="47"/>
      <c r="M13" s="47"/>
      <c r="N13" s="47"/>
      <c r="O13" s="55"/>
      <c r="P13" s="43"/>
      <c r="Q13" s="54"/>
      <c r="R13" s="47"/>
      <c r="S13" s="47"/>
      <c r="T13" s="47"/>
      <c r="U13" s="55"/>
      <c r="V13" s="42"/>
      <c r="W13" s="36"/>
    </row>
    <row r="14" spans="1:23">
      <c r="A14" s="36"/>
      <c r="B14" s="41"/>
      <c r="C14" s="54"/>
      <c r="D14" s="47"/>
      <c r="E14" s="47"/>
      <c r="F14" s="47"/>
      <c r="G14" s="55"/>
      <c r="H14" s="43"/>
      <c r="I14" s="54"/>
      <c r="J14" s="47"/>
      <c r="K14" s="47"/>
      <c r="L14" s="47"/>
      <c r="M14" s="47"/>
      <c r="N14" s="47"/>
      <c r="O14" s="55"/>
      <c r="P14" s="43"/>
      <c r="Q14" s="54"/>
      <c r="R14" s="47"/>
      <c r="S14" s="47"/>
      <c r="T14" s="47"/>
      <c r="U14" s="55"/>
      <c r="V14" s="42"/>
      <c r="W14" s="36"/>
    </row>
    <row r="15" spans="1:23">
      <c r="A15" s="36"/>
      <c r="B15" s="41"/>
      <c r="C15" s="54"/>
      <c r="D15" s="47"/>
      <c r="E15" s="47"/>
      <c r="F15" s="47"/>
      <c r="G15" s="55"/>
      <c r="H15" s="43"/>
      <c r="I15" s="54"/>
      <c r="J15" s="47"/>
      <c r="K15" s="47"/>
      <c r="L15" s="47"/>
      <c r="M15" s="47"/>
      <c r="N15" s="47"/>
      <c r="O15" s="55"/>
      <c r="P15" s="43"/>
      <c r="Q15" s="54"/>
      <c r="R15" s="47"/>
      <c r="S15" s="47"/>
      <c r="T15" s="47"/>
      <c r="U15" s="55"/>
      <c r="V15" s="42"/>
      <c r="W15" s="36"/>
    </row>
    <row r="16" spans="1:23">
      <c r="A16" s="36"/>
      <c r="B16" s="41"/>
      <c r="C16" s="54"/>
      <c r="D16" s="47"/>
      <c r="E16" s="47"/>
      <c r="F16" s="47"/>
      <c r="G16" s="55"/>
      <c r="H16" s="43"/>
      <c r="I16" s="54"/>
      <c r="J16" s="47"/>
      <c r="K16" s="47"/>
      <c r="L16" s="47"/>
      <c r="M16" s="47"/>
      <c r="N16" s="47"/>
      <c r="O16" s="55"/>
      <c r="P16" s="43"/>
      <c r="Q16" s="54"/>
      <c r="R16" s="47"/>
      <c r="S16" s="47"/>
      <c r="T16" s="47"/>
      <c r="U16" s="55"/>
      <c r="V16" s="42"/>
      <c r="W16" s="36"/>
    </row>
    <row r="17" spans="1:23">
      <c r="A17" s="36"/>
      <c r="B17" s="41"/>
      <c r="C17" s="54"/>
      <c r="D17" s="47"/>
      <c r="E17" s="47"/>
      <c r="F17" s="47"/>
      <c r="G17" s="55"/>
      <c r="H17" s="43"/>
      <c r="I17" s="54"/>
      <c r="J17" s="47"/>
      <c r="K17" s="47"/>
      <c r="L17" s="47"/>
      <c r="M17" s="47"/>
      <c r="N17" s="47"/>
      <c r="O17" s="55"/>
      <c r="P17" s="43"/>
      <c r="Q17" s="54"/>
      <c r="R17" s="47"/>
      <c r="S17" s="47"/>
      <c r="T17" s="47"/>
      <c r="U17" s="55"/>
      <c r="V17" s="42"/>
      <c r="W17" s="36"/>
    </row>
    <row r="18" spans="1:23">
      <c r="A18" s="36"/>
      <c r="B18" s="41"/>
      <c r="C18" s="61"/>
      <c r="D18" s="60"/>
      <c r="E18" s="60"/>
      <c r="F18" s="60"/>
      <c r="G18" s="62"/>
      <c r="H18" s="43"/>
      <c r="I18" s="61"/>
      <c r="J18" s="60"/>
      <c r="K18" s="60"/>
      <c r="L18" s="60"/>
      <c r="M18" s="60"/>
      <c r="N18" s="60"/>
      <c r="O18" s="62"/>
      <c r="P18" s="43"/>
      <c r="Q18" s="61"/>
      <c r="R18" s="60"/>
      <c r="S18" s="60"/>
      <c r="T18" s="60"/>
      <c r="U18" s="62"/>
      <c r="V18" s="42"/>
      <c r="W18" s="36"/>
    </row>
    <row r="19" spans="1:23">
      <c r="A19" s="36"/>
      <c r="B19" s="41"/>
      <c r="C19" s="61"/>
      <c r="D19" s="60"/>
      <c r="E19" s="60"/>
      <c r="F19" s="60"/>
      <c r="G19" s="62"/>
      <c r="H19" s="43"/>
      <c r="I19" s="61"/>
      <c r="J19" s="60"/>
      <c r="K19" s="60"/>
      <c r="L19" s="60"/>
      <c r="M19" s="60"/>
      <c r="N19" s="60"/>
      <c r="O19" s="62"/>
      <c r="P19" s="43"/>
      <c r="Q19" s="61"/>
      <c r="R19" s="60"/>
      <c r="S19" s="60"/>
      <c r="T19" s="60"/>
      <c r="U19" s="62"/>
      <c r="V19" s="42"/>
      <c r="W19" s="36"/>
    </row>
    <row r="20" spans="1:23">
      <c r="A20" s="36"/>
      <c r="B20" s="41"/>
      <c r="C20" s="61"/>
      <c r="D20" s="60"/>
      <c r="E20" s="60"/>
      <c r="F20" s="60"/>
      <c r="G20" s="62"/>
      <c r="H20" s="43"/>
      <c r="I20" s="61"/>
      <c r="J20" s="60"/>
      <c r="K20" s="60"/>
      <c r="L20" s="60"/>
      <c r="M20" s="60"/>
      <c r="N20" s="60"/>
      <c r="O20" s="62"/>
      <c r="P20" s="43"/>
      <c r="Q20" s="61"/>
      <c r="R20" s="60"/>
      <c r="S20" s="60"/>
      <c r="T20" s="60"/>
      <c r="U20" s="62"/>
      <c r="V20" s="42"/>
      <c r="W20" s="36"/>
    </row>
    <row r="21" spans="1:23">
      <c r="A21" s="36"/>
      <c r="B21" s="41"/>
      <c r="C21" s="63"/>
      <c r="D21" s="64"/>
      <c r="E21" s="64"/>
      <c r="F21" s="64"/>
      <c r="G21" s="65"/>
      <c r="H21" s="43"/>
      <c r="I21" s="63"/>
      <c r="J21" s="64"/>
      <c r="K21" s="64"/>
      <c r="L21" s="64"/>
      <c r="M21" s="64"/>
      <c r="N21" s="64"/>
      <c r="O21" s="65"/>
      <c r="P21" s="43"/>
      <c r="Q21" s="63"/>
      <c r="R21" s="64"/>
      <c r="S21" s="64"/>
      <c r="T21" s="64"/>
      <c r="U21" s="65"/>
      <c r="V21" s="42"/>
      <c r="W21" s="36"/>
    </row>
    <row r="22" spans="1:23" ht="15.75" thickBot="1">
      <c r="A22" s="36"/>
      <c r="B22" s="44"/>
      <c r="C22" s="45"/>
      <c r="D22" s="45"/>
      <c r="E22" s="45"/>
      <c r="F22" s="45"/>
      <c r="G22" s="45"/>
      <c r="H22" s="45"/>
      <c r="I22" s="45"/>
      <c r="J22" s="45"/>
      <c r="K22" s="45"/>
      <c r="L22" s="45"/>
      <c r="M22" s="45"/>
      <c r="N22" s="45"/>
      <c r="O22" s="45"/>
      <c r="P22" s="45"/>
      <c r="Q22" s="45"/>
      <c r="R22" s="45"/>
      <c r="S22" s="45"/>
      <c r="T22" s="45"/>
      <c r="U22" s="45"/>
      <c r="V22" s="46"/>
      <c r="W22" s="36"/>
    </row>
    <row r="23" spans="1:23" ht="7.5" customHeight="1" thickTop="1">
      <c r="A23" s="36"/>
      <c r="B23" s="36"/>
      <c r="C23" s="36"/>
      <c r="D23" s="36"/>
      <c r="E23" s="36"/>
      <c r="F23" s="36"/>
      <c r="G23" s="36"/>
      <c r="H23" s="36"/>
      <c r="I23" s="36"/>
      <c r="J23" s="36"/>
      <c r="K23" s="36"/>
      <c r="L23" s="36"/>
      <c r="M23" s="36"/>
      <c r="N23" s="36"/>
      <c r="O23" s="36"/>
      <c r="P23" s="36"/>
      <c r="Q23" s="36"/>
      <c r="R23" s="36"/>
      <c r="S23" s="36"/>
      <c r="T23" s="36"/>
      <c r="U23" s="36"/>
      <c r="V23" s="36"/>
      <c r="W23" s="36"/>
    </row>
  </sheetData>
  <mergeCells count="4">
    <mergeCell ref="B2:V3"/>
    <mergeCell ref="D5:E6"/>
    <mergeCell ref="J5:K6"/>
    <mergeCell ref="R5:S6"/>
  </mergeCells>
  <pageMargins left="0.7" right="0.7" top="0.75" bottom="0.75" header="0.3" footer="0.3"/>
  <pageSetup paperSize="9" orientation="portrait" horizontalDpi="4294967293"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AF106"/>
  <sheetViews>
    <sheetView showGridLines="0" zoomScaleNormal="100" workbookViewId="0">
      <pane xSplit="5" ySplit="7" topLeftCell="F8" activePane="bottomRight" state="frozen"/>
      <selection pane="topRight" activeCell="D1" sqref="D1"/>
      <selection pane="bottomLeft" activeCell="A12" sqref="A12"/>
      <selection pane="bottomRight" activeCell="F8" sqref="F8"/>
    </sheetView>
  </sheetViews>
  <sheetFormatPr defaultColWidth="0" defaultRowHeight="15" zeroHeight="1"/>
  <cols>
    <col min="1" max="1" width="5.28515625" style="105" customWidth="1"/>
    <col min="2" max="2" width="10.7109375" style="105" customWidth="1"/>
    <col min="3" max="3" width="3.140625" style="105" customWidth="1"/>
    <col min="4" max="4" width="4.5703125" style="105" customWidth="1"/>
    <col min="5" max="5" width="36.140625" style="105" customWidth="1"/>
    <col min="6" max="6" width="11.42578125" style="105" customWidth="1"/>
    <col min="7" max="7" width="8.5703125" style="105" customWidth="1"/>
    <col min="8" max="8" width="12" style="105" customWidth="1"/>
    <col min="9" max="9" width="19.7109375" style="105" customWidth="1"/>
    <col min="10" max="10" width="7.42578125" style="105" customWidth="1"/>
    <col min="11" max="11" width="9.7109375" style="105" customWidth="1"/>
    <col min="12" max="12" width="33.7109375" style="105" customWidth="1"/>
    <col min="13" max="13" width="14.28515625" style="105" customWidth="1"/>
    <col min="14" max="14" width="25.85546875" style="105" customWidth="1"/>
    <col min="15" max="15" width="31.7109375" style="105" customWidth="1"/>
    <col min="16" max="16" width="15.7109375" style="105" customWidth="1"/>
    <col min="17" max="17" width="23" style="105" customWidth="1"/>
    <col min="18" max="19" width="11.7109375" style="105" customWidth="1"/>
    <col min="20" max="20" width="15.7109375" style="105" customWidth="1"/>
    <col min="21" max="21" width="23.7109375" style="105" customWidth="1"/>
    <col min="22" max="23" width="11.7109375" style="105" customWidth="1"/>
    <col min="24" max="24" width="15.85546875" style="105" customWidth="1"/>
    <col min="25" max="25" width="33.7109375" style="105" customWidth="1"/>
    <col min="26" max="26" width="10.5703125" style="105" bestFit="1" customWidth="1"/>
    <col min="27" max="27" width="11" style="105" bestFit="1" customWidth="1"/>
    <col min="28" max="28" width="9.85546875" style="105" bestFit="1" customWidth="1"/>
    <col min="29" max="29" width="9.140625" style="105" customWidth="1"/>
    <col min="30" max="30" width="4.5703125" style="105" customWidth="1"/>
    <col min="31" max="32" width="0" style="105" hidden="1" customWidth="1"/>
    <col min="33" max="16384" width="9.140625" style="105" hidden="1"/>
  </cols>
  <sheetData>
    <row r="1" spans="1:30" ht="18.75">
      <c r="A1" s="113"/>
      <c r="B1" s="114"/>
      <c r="C1" s="114"/>
      <c r="D1" s="754" t="str">
        <f>"DATA SISWA KELAS "&amp;HOME!D26</f>
        <v>DATA SISWA KELAS III (TIGA)</v>
      </c>
      <c r="E1" s="754"/>
      <c r="F1" s="114"/>
      <c r="G1" s="114"/>
      <c r="H1" s="114"/>
      <c r="I1" s="114"/>
      <c r="J1" s="114"/>
      <c r="K1" s="114"/>
      <c r="L1" s="114"/>
      <c r="M1" s="114"/>
      <c r="N1" s="114"/>
      <c r="O1" s="114"/>
      <c r="P1" s="114"/>
      <c r="Q1" s="114"/>
      <c r="R1" s="114"/>
      <c r="S1" s="114"/>
      <c r="T1" s="114"/>
      <c r="U1" s="114"/>
      <c r="V1" s="114"/>
      <c r="W1" s="114"/>
      <c r="X1" s="114"/>
      <c r="Y1" s="114"/>
      <c r="Z1" s="114"/>
      <c r="AA1" s="114"/>
      <c r="AB1" s="114"/>
      <c r="AC1" s="114"/>
      <c r="AD1" s="113"/>
    </row>
    <row r="2" spans="1:30" ht="15" customHeight="1">
      <c r="A2" s="113"/>
      <c r="B2" s="113"/>
      <c r="C2" s="113"/>
      <c r="D2" s="754"/>
      <c r="E2" s="754"/>
      <c r="F2" s="114"/>
      <c r="G2" s="116"/>
      <c r="H2" s="114"/>
      <c r="I2" s="113"/>
      <c r="J2" s="113"/>
      <c r="K2" s="113"/>
      <c r="L2" s="113"/>
      <c r="M2" s="113"/>
      <c r="N2" s="113"/>
      <c r="O2" s="113"/>
      <c r="P2" s="113"/>
      <c r="Q2" s="113"/>
      <c r="R2" s="113"/>
      <c r="S2" s="113"/>
      <c r="T2" s="113"/>
      <c r="U2" s="113"/>
      <c r="V2" s="113"/>
      <c r="W2" s="113"/>
      <c r="X2" s="113"/>
      <c r="Y2" s="113"/>
      <c r="Z2" s="113"/>
      <c r="AA2" s="113"/>
      <c r="AB2" s="113"/>
      <c r="AC2" s="113"/>
      <c r="AD2" s="113"/>
    </row>
    <row r="3" spans="1:30" ht="15" customHeight="1">
      <c r="A3" s="113"/>
      <c r="B3" s="113"/>
      <c r="C3" s="113"/>
      <c r="D3" s="755"/>
      <c r="E3" s="755"/>
      <c r="F3" s="113"/>
      <c r="G3" s="113"/>
      <c r="H3" s="113"/>
      <c r="I3" s="113"/>
      <c r="J3" s="113"/>
      <c r="K3" s="113"/>
      <c r="L3" s="113"/>
      <c r="M3" s="113"/>
      <c r="N3" s="113"/>
      <c r="O3" s="113"/>
      <c r="P3" s="113"/>
      <c r="Q3" s="113"/>
      <c r="R3" s="113"/>
      <c r="S3" s="113"/>
      <c r="T3" s="113"/>
      <c r="U3" s="113"/>
      <c r="V3" s="113"/>
      <c r="W3" s="113"/>
      <c r="X3" s="113"/>
      <c r="Y3" s="113"/>
      <c r="Z3" s="113"/>
      <c r="AA3" s="113"/>
      <c r="AB3" s="113"/>
      <c r="AC3" s="113"/>
      <c r="AD3" s="113"/>
    </row>
    <row r="4" spans="1:30" ht="15" customHeight="1">
      <c r="A4" s="113"/>
      <c r="B4" s="113"/>
      <c r="C4" s="113"/>
      <c r="D4" s="742" t="s">
        <v>71</v>
      </c>
      <c r="E4" s="756" t="s">
        <v>114</v>
      </c>
      <c r="F4" s="757"/>
      <c r="G4" s="742" t="s">
        <v>1141</v>
      </c>
      <c r="H4" s="742" t="s">
        <v>1142</v>
      </c>
      <c r="I4" s="742" t="s">
        <v>1143</v>
      </c>
      <c r="J4" s="742" t="s">
        <v>1144</v>
      </c>
      <c r="K4" s="742" t="s">
        <v>1145</v>
      </c>
      <c r="L4" s="742" t="s">
        <v>1147</v>
      </c>
      <c r="M4" s="742" t="s">
        <v>1211</v>
      </c>
      <c r="N4" s="746" t="s">
        <v>1146</v>
      </c>
      <c r="O4" s="747"/>
      <c r="P4" s="748"/>
      <c r="Q4" s="743" t="s">
        <v>1148</v>
      </c>
      <c r="R4" s="744"/>
      <c r="S4" s="744"/>
      <c r="T4" s="744"/>
      <c r="U4" s="744"/>
      <c r="V4" s="744"/>
      <c r="W4" s="744"/>
      <c r="X4" s="745"/>
      <c r="Y4" s="739" t="s">
        <v>1212</v>
      </c>
      <c r="Z4" s="753" t="s">
        <v>12</v>
      </c>
      <c r="AA4" s="752"/>
      <c r="AB4" s="752"/>
      <c r="AC4" s="752"/>
      <c r="AD4" s="113"/>
    </row>
    <row r="5" spans="1:30" ht="15" customHeight="1">
      <c r="A5" s="113"/>
      <c r="B5" s="113"/>
      <c r="C5" s="113"/>
      <c r="D5" s="752"/>
      <c r="E5" s="753" t="s">
        <v>1140</v>
      </c>
      <c r="F5" s="753" t="s">
        <v>72</v>
      </c>
      <c r="G5" s="752"/>
      <c r="H5" s="742"/>
      <c r="I5" s="752"/>
      <c r="J5" s="752"/>
      <c r="K5" s="752"/>
      <c r="L5" s="742"/>
      <c r="M5" s="752"/>
      <c r="N5" s="749"/>
      <c r="O5" s="750"/>
      <c r="P5" s="751"/>
      <c r="Q5" s="743" t="s">
        <v>1149</v>
      </c>
      <c r="R5" s="744"/>
      <c r="S5" s="744"/>
      <c r="T5" s="745"/>
      <c r="U5" s="743" t="s">
        <v>1150</v>
      </c>
      <c r="V5" s="744"/>
      <c r="W5" s="744"/>
      <c r="X5" s="745"/>
      <c r="Y5" s="740"/>
      <c r="Z5" s="742" t="s">
        <v>1153</v>
      </c>
      <c r="AA5" s="742" t="s">
        <v>1151</v>
      </c>
      <c r="AB5" s="742" t="s">
        <v>1152</v>
      </c>
      <c r="AC5" s="742" t="s">
        <v>43</v>
      </c>
      <c r="AD5" s="113"/>
    </row>
    <row r="6" spans="1:30" ht="15" customHeight="1">
      <c r="A6" s="113"/>
      <c r="B6" s="113"/>
      <c r="C6" s="113"/>
      <c r="D6" s="752"/>
      <c r="E6" s="752"/>
      <c r="F6" s="752"/>
      <c r="G6" s="752"/>
      <c r="H6" s="742"/>
      <c r="I6" s="752"/>
      <c r="J6" s="752"/>
      <c r="K6" s="752"/>
      <c r="L6" s="742"/>
      <c r="M6" s="752"/>
      <c r="N6" s="326" t="s">
        <v>1208</v>
      </c>
      <c r="O6" s="326" t="s">
        <v>43</v>
      </c>
      <c r="P6" s="326" t="s">
        <v>1210</v>
      </c>
      <c r="Q6" s="174" t="s">
        <v>114</v>
      </c>
      <c r="R6" s="174" t="s">
        <v>1151</v>
      </c>
      <c r="S6" s="174" t="s">
        <v>1152</v>
      </c>
      <c r="T6" s="327" t="s">
        <v>1209</v>
      </c>
      <c r="U6" s="174" t="s">
        <v>114</v>
      </c>
      <c r="V6" s="174" t="s">
        <v>1151</v>
      </c>
      <c r="W6" s="174" t="s">
        <v>1152</v>
      </c>
      <c r="X6" s="327" t="s">
        <v>1209</v>
      </c>
      <c r="Y6" s="741"/>
      <c r="Z6" s="752"/>
      <c r="AA6" s="752"/>
      <c r="AB6" s="752"/>
      <c r="AC6" s="752"/>
      <c r="AD6" s="113"/>
    </row>
    <row r="7" spans="1:30" ht="15" customHeight="1">
      <c r="A7" s="113"/>
      <c r="B7" s="113"/>
      <c r="C7" s="113"/>
      <c r="D7" s="121">
        <v>1</v>
      </c>
      <c r="E7" s="121">
        <v>2</v>
      </c>
      <c r="F7" s="121">
        <v>3</v>
      </c>
      <c r="G7" s="121">
        <v>4</v>
      </c>
      <c r="H7" s="121">
        <v>5</v>
      </c>
      <c r="I7" s="121">
        <v>6</v>
      </c>
      <c r="J7" s="121">
        <v>7</v>
      </c>
      <c r="K7" s="121">
        <v>8</v>
      </c>
      <c r="L7" s="121">
        <v>9</v>
      </c>
      <c r="M7" s="121">
        <v>10</v>
      </c>
      <c r="N7" s="121">
        <v>11</v>
      </c>
      <c r="O7" s="121">
        <v>12</v>
      </c>
      <c r="P7" s="121">
        <v>13</v>
      </c>
      <c r="Q7" s="121">
        <v>14</v>
      </c>
      <c r="R7" s="121">
        <v>15</v>
      </c>
      <c r="S7" s="121">
        <v>16</v>
      </c>
      <c r="T7" s="121">
        <v>17</v>
      </c>
      <c r="U7" s="121">
        <v>18</v>
      </c>
      <c r="V7" s="121">
        <v>19</v>
      </c>
      <c r="W7" s="121">
        <v>20</v>
      </c>
      <c r="X7" s="121">
        <v>21</v>
      </c>
      <c r="Y7" s="121">
        <v>22</v>
      </c>
      <c r="Z7" s="121">
        <v>23</v>
      </c>
      <c r="AA7" s="121">
        <v>24</v>
      </c>
      <c r="AB7" s="121">
        <v>25</v>
      </c>
      <c r="AC7" s="121">
        <v>26</v>
      </c>
      <c r="AD7" s="113"/>
    </row>
    <row r="8" spans="1:30" ht="17.25" customHeight="1">
      <c r="A8" s="113"/>
      <c r="B8" s="113"/>
      <c r="C8" s="113"/>
      <c r="D8" s="107">
        <v>1</v>
      </c>
      <c r="E8" s="695" t="s">
        <v>1985</v>
      </c>
      <c r="F8" s="695" t="s">
        <v>1986</v>
      </c>
      <c r="G8" s="696"/>
      <c r="H8" s="697" t="s">
        <v>1340</v>
      </c>
      <c r="I8" s="698"/>
      <c r="J8" s="695" t="s">
        <v>1342</v>
      </c>
      <c r="K8" s="696" t="s">
        <v>1987</v>
      </c>
      <c r="L8" s="695" t="s">
        <v>1988</v>
      </c>
      <c r="M8" s="699"/>
      <c r="N8" s="695"/>
      <c r="O8" s="695" t="s">
        <v>1989</v>
      </c>
      <c r="P8" s="695" t="s">
        <v>1990</v>
      </c>
      <c r="Q8" s="700" t="s">
        <v>1991</v>
      </c>
      <c r="R8" s="695" t="s">
        <v>1992</v>
      </c>
      <c r="S8" s="695"/>
      <c r="T8" s="695" t="s">
        <v>1993</v>
      </c>
      <c r="U8" s="701" t="s">
        <v>1994</v>
      </c>
      <c r="V8" s="702"/>
      <c r="W8" s="702"/>
      <c r="X8" s="703"/>
      <c r="Y8" s="703"/>
      <c r="Z8" s="108"/>
      <c r="AA8" s="108"/>
      <c r="AB8" s="108"/>
      <c r="AC8" s="108"/>
      <c r="AD8" s="113"/>
    </row>
    <row r="9" spans="1:30" ht="17.25" customHeight="1">
      <c r="A9" s="113"/>
      <c r="B9" s="113"/>
      <c r="C9" s="113"/>
      <c r="D9" s="107">
        <v>2</v>
      </c>
      <c r="E9" s="695" t="s">
        <v>1995</v>
      </c>
      <c r="F9" s="695" t="s">
        <v>1996</v>
      </c>
      <c r="G9" s="696"/>
      <c r="H9" s="697" t="s">
        <v>1340</v>
      </c>
      <c r="I9" s="713">
        <v>40804</v>
      </c>
      <c r="J9" s="695" t="s">
        <v>1342</v>
      </c>
      <c r="K9" s="696" t="s">
        <v>1987</v>
      </c>
      <c r="L9" s="695" t="s">
        <v>1988</v>
      </c>
      <c r="M9" s="699"/>
      <c r="N9" s="695"/>
      <c r="O9" s="695" t="s">
        <v>1997</v>
      </c>
      <c r="P9" s="695" t="s">
        <v>1990</v>
      </c>
      <c r="Q9" s="700" t="s">
        <v>1991</v>
      </c>
      <c r="R9" s="695" t="s">
        <v>1998</v>
      </c>
      <c r="S9" s="695" t="s">
        <v>1999</v>
      </c>
      <c r="T9" s="695" t="s">
        <v>2000</v>
      </c>
      <c r="U9" s="701" t="s">
        <v>2001</v>
      </c>
      <c r="V9" s="702"/>
      <c r="W9" s="702"/>
      <c r="X9" s="703"/>
      <c r="Y9" s="703"/>
      <c r="Z9" s="108"/>
      <c r="AA9" s="108"/>
      <c r="AB9" s="108"/>
      <c r="AC9" s="108"/>
      <c r="AD9" s="113"/>
    </row>
    <row r="10" spans="1:30" ht="17.25" customHeight="1">
      <c r="A10" s="113"/>
      <c r="B10" s="117" t="s">
        <v>1154</v>
      </c>
      <c r="C10" s="113"/>
      <c r="D10" s="107">
        <v>3</v>
      </c>
      <c r="E10" s="695" t="s">
        <v>2002</v>
      </c>
      <c r="F10" s="695" t="s">
        <v>2003</v>
      </c>
      <c r="G10" s="696"/>
      <c r="H10" s="697" t="s">
        <v>1340</v>
      </c>
      <c r="I10" s="704">
        <v>42311</v>
      </c>
      <c r="J10" s="695" t="s">
        <v>1341</v>
      </c>
      <c r="K10" s="696" t="s">
        <v>1987</v>
      </c>
      <c r="L10" s="695" t="s">
        <v>1988</v>
      </c>
      <c r="M10" s="699"/>
      <c r="N10" s="695"/>
      <c r="O10" s="695" t="s">
        <v>2004</v>
      </c>
      <c r="P10" s="695"/>
      <c r="Q10" s="700" t="s">
        <v>1991</v>
      </c>
      <c r="R10" s="695" t="s">
        <v>2005</v>
      </c>
      <c r="S10" s="695"/>
      <c r="T10" s="695" t="s">
        <v>2006</v>
      </c>
      <c r="U10" s="701" t="s">
        <v>2007</v>
      </c>
      <c r="V10" s="702"/>
      <c r="W10" s="702"/>
      <c r="X10" s="703"/>
      <c r="Y10" s="703"/>
      <c r="Z10" s="108"/>
      <c r="AA10" s="108"/>
      <c r="AB10" s="108"/>
      <c r="AC10" s="108"/>
      <c r="AD10" s="113"/>
    </row>
    <row r="11" spans="1:30" ht="17.25" customHeight="1">
      <c r="A11" s="113"/>
      <c r="B11" s="120">
        <v>24</v>
      </c>
      <c r="C11" s="113"/>
      <c r="D11" s="107">
        <v>4</v>
      </c>
      <c r="E11" s="695" t="s">
        <v>2008</v>
      </c>
      <c r="F11" s="695" t="s">
        <v>2009</v>
      </c>
      <c r="G11" s="696"/>
      <c r="H11" s="697" t="s">
        <v>2010</v>
      </c>
      <c r="I11" s="704">
        <v>40800</v>
      </c>
      <c r="J11" s="695" t="s">
        <v>1342</v>
      </c>
      <c r="K11" s="696" t="s">
        <v>1987</v>
      </c>
      <c r="L11" s="695" t="s">
        <v>1988</v>
      </c>
      <c r="M11" s="699"/>
      <c r="N11" s="695"/>
      <c r="O11" s="695" t="s">
        <v>2011</v>
      </c>
      <c r="P11" s="695" t="s">
        <v>1999</v>
      </c>
      <c r="Q11" s="700" t="s">
        <v>1991</v>
      </c>
      <c r="R11" s="695" t="s">
        <v>2012</v>
      </c>
      <c r="S11" s="695" t="s">
        <v>1999</v>
      </c>
      <c r="T11" s="695" t="s">
        <v>1993</v>
      </c>
      <c r="U11" s="701" t="s">
        <v>2013</v>
      </c>
      <c r="V11" s="702"/>
      <c r="W11" s="702"/>
      <c r="X11" s="703"/>
      <c r="Y11" s="703"/>
      <c r="Z11" s="108"/>
      <c r="AA11" s="108"/>
      <c r="AB11" s="108"/>
      <c r="AC11" s="108"/>
      <c r="AD11" s="113"/>
    </row>
    <row r="12" spans="1:30" ht="17.25" customHeight="1">
      <c r="A12" s="113"/>
      <c r="B12" s="118"/>
      <c r="C12" s="113"/>
      <c r="D12" s="107">
        <v>5</v>
      </c>
      <c r="E12" s="695" t="s">
        <v>2014</v>
      </c>
      <c r="F12" s="695" t="s">
        <v>2015</v>
      </c>
      <c r="G12" s="696"/>
      <c r="H12" s="697" t="s">
        <v>1340</v>
      </c>
      <c r="I12" s="704">
        <v>39790</v>
      </c>
      <c r="J12" s="695" t="s">
        <v>1342</v>
      </c>
      <c r="K12" s="696" t="s">
        <v>1987</v>
      </c>
      <c r="L12" s="695" t="s">
        <v>1988</v>
      </c>
      <c r="M12" s="699"/>
      <c r="N12" s="695"/>
      <c r="O12" s="695" t="s">
        <v>2016</v>
      </c>
      <c r="P12" s="695" t="s">
        <v>1990</v>
      </c>
      <c r="Q12" s="700" t="s">
        <v>1991</v>
      </c>
      <c r="R12" s="695" t="s">
        <v>2017</v>
      </c>
      <c r="S12" s="695" t="s">
        <v>1990</v>
      </c>
      <c r="T12" s="695" t="s">
        <v>2006</v>
      </c>
      <c r="U12" s="701" t="s">
        <v>1180</v>
      </c>
      <c r="V12" s="702"/>
      <c r="W12" s="702"/>
      <c r="X12" s="703"/>
      <c r="Y12" s="703"/>
      <c r="Z12" s="108"/>
      <c r="AA12" s="108"/>
      <c r="AB12" s="108"/>
      <c r="AC12" s="108"/>
      <c r="AD12" s="113"/>
    </row>
    <row r="13" spans="1:30" ht="17.25" customHeight="1">
      <c r="A13" s="113"/>
      <c r="B13" s="118" t="s">
        <v>1155</v>
      </c>
      <c r="C13" s="113"/>
      <c r="D13" s="107">
        <v>6</v>
      </c>
      <c r="E13" s="695" t="s">
        <v>2018</v>
      </c>
      <c r="F13" s="695" t="s">
        <v>2019</v>
      </c>
      <c r="G13" s="696"/>
      <c r="H13" s="697" t="s">
        <v>1340</v>
      </c>
      <c r="I13" s="704">
        <v>40720</v>
      </c>
      <c r="J13" s="695" t="s">
        <v>1341</v>
      </c>
      <c r="K13" s="696" t="s">
        <v>1987</v>
      </c>
      <c r="L13" s="695" t="s">
        <v>1988</v>
      </c>
      <c r="M13" s="699"/>
      <c r="N13" s="695"/>
      <c r="O13" s="695" t="s">
        <v>2020</v>
      </c>
      <c r="P13" s="695" t="s">
        <v>2021</v>
      </c>
      <c r="Q13" s="700" t="s">
        <v>1991</v>
      </c>
      <c r="R13" s="695" t="s">
        <v>2022</v>
      </c>
      <c r="S13" s="695" t="s">
        <v>2021</v>
      </c>
      <c r="T13" s="695" t="s">
        <v>2006</v>
      </c>
      <c r="U13" s="701" t="s">
        <v>1180</v>
      </c>
      <c r="V13" s="702"/>
      <c r="W13" s="702"/>
      <c r="X13" s="703"/>
      <c r="Y13" s="703"/>
      <c r="Z13" s="108"/>
      <c r="AA13" s="108"/>
      <c r="AB13" s="108"/>
      <c r="AC13" s="108"/>
      <c r="AD13" s="113"/>
    </row>
    <row r="14" spans="1:30" ht="17.25" customHeight="1">
      <c r="A14" s="113"/>
      <c r="B14" s="119">
        <v>12</v>
      </c>
      <c r="C14" s="113"/>
      <c r="D14" s="107">
        <v>7</v>
      </c>
      <c r="E14" s="695" t="s">
        <v>2023</v>
      </c>
      <c r="F14" s="695" t="s">
        <v>2024</v>
      </c>
      <c r="G14" s="696"/>
      <c r="H14" s="697" t="s">
        <v>1340</v>
      </c>
      <c r="I14" s="704">
        <v>40070</v>
      </c>
      <c r="J14" s="695" t="s">
        <v>1342</v>
      </c>
      <c r="K14" s="696" t="s">
        <v>1987</v>
      </c>
      <c r="L14" s="695" t="s">
        <v>1988</v>
      </c>
      <c r="M14" s="699"/>
      <c r="N14" s="695"/>
      <c r="O14" s="695" t="s">
        <v>2025</v>
      </c>
      <c r="P14" s="695" t="s">
        <v>2026</v>
      </c>
      <c r="Q14" s="700" t="s">
        <v>2027</v>
      </c>
      <c r="R14" s="695" t="s">
        <v>2028</v>
      </c>
      <c r="S14" s="695" t="s">
        <v>1990</v>
      </c>
      <c r="T14" s="695" t="s">
        <v>2029</v>
      </c>
      <c r="U14" s="701" t="s">
        <v>2030</v>
      </c>
      <c r="V14" s="702"/>
      <c r="W14" s="702"/>
      <c r="X14" s="703"/>
      <c r="Y14" s="703"/>
      <c r="Z14" s="108"/>
      <c r="AA14" s="108"/>
      <c r="AB14" s="108"/>
      <c r="AC14" s="108"/>
      <c r="AD14" s="113"/>
    </row>
    <row r="15" spans="1:30" ht="17.25" customHeight="1">
      <c r="A15" s="113"/>
      <c r="B15" s="118"/>
      <c r="C15" s="113"/>
      <c r="D15" s="107">
        <v>8</v>
      </c>
      <c r="E15" s="695" t="s">
        <v>2031</v>
      </c>
      <c r="F15" s="695" t="s">
        <v>2032</v>
      </c>
      <c r="G15" s="696"/>
      <c r="H15" s="697" t="s">
        <v>1340</v>
      </c>
      <c r="I15" s="704">
        <v>39567</v>
      </c>
      <c r="J15" s="695" t="s">
        <v>1342</v>
      </c>
      <c r="K15" s="696" t="s">
        <v>1987</v>
      </c>
      <c r="L15" s="695" t="s">
        <v>1988</v>
      </c>
      <c r="M15" s="699"/>
      <c r="N15" s="695"/>
      <c r="O15" s="695" t="s">
        <v>2033</v>
      </c>
      <c r="P15" s="695" t="s">
        <v>2034</v>
      </c>
      <c r="Q15" s="700" t="s">
        <v>2035</v>
      </c>
      <c r="R15" s="695" t="s">
        <v>2036</v>
      </c>
      <c r="S15" s="695" t="s">
        <v>2037</v>
      </c>
      <c r="T15" s="695" t="s">
        <v>2006</v>
      </c>
      <c r="U15" s="701" t="s">
        <v>2038</v>
      </c>
      <c r="V15" s="703"/>
      <c r="W15" s="703"/>
      <c r="X15" s="703"/>
      <c r="Y15" s="703"/>
      <c r="Z15" s="108"/>
      <c r="AA15" s="108"/>
      <c r="AB15" s="108"/>
      <c r="AC15" s="108"/>
      <c r="AD15" s="113"/>
    </row>
    <row r="16" spans="1:30" ht="17.25" customHeight="1">
      <c r="A16" s="113"/>
      <c r="B16" s="117" t="s">
        <v>1156</v>
      </c>
      <c r="C16" s="113"/>
      <c r="D16" s="107">
        <v>9</v>
      </c>
      <c r="E16" s="695" t="s">
        <v>2039</v>
      </c>
      <c r="F16" s="700" t="s">
        <v>2040</v>
      </c>
      <c r="G16" s="696"/>
      <c r="H16" s="697" t="s">
        <v>1340</v>
      </c>
      <c r="I16" s="704">
        <v>39915</v>
      </c>
      <c r="J16" s="695" t="s">
        <v>1342</v>
      </c>
      <c r="K16" s="696" t="s">
        <v>1987</v>
      </c>
      <c r="L16" s="695" t="s">
        <v>1988</v>
      </c>
      <c r="M16" s="699"/>
      <c r="N16" s="700"/>
      <c r="O16" s="700" t="s">
        <v>2041</v>
      </c>
      <c r="P16" s="700" t="s">
        <v>2034</v>
      </c>
      <c r="Q16" s="700" t="s">
        <v>2042</v>
      </c>
      <c r="R16" s="700" t="s">
        <v>2043</v>
      </c>
      <c r="S16" s="700" t="s">
        <v>2037</v>
      </c>
      <c r="T16" s="700"/>
      <c r="U16" s="705" t="s">
        <v>2044</v>
      </c>
      <c r="V16" s="703"/>
      <c r="W16" s="703"/>
      <c r="X16" s="703"/>
      <c r="Y16" s="703"/>
      <c r="Z16" s="108"/>
      <c r="AA16" s="108"/>
      <c r="AB16" s="108"/>
      <c r="AC16" s="108"/>
      <c r="AD16" s="113"/>
    </row>
    <row r="17" spans="1:30" ht="17.25" customHeight="1">
      <c r="A17" s="113"/>
      <c r="B17" s="119">
        <f>COUNTIF(J8:J37,"P")</f>
        <v>11</v>
      </c>
      <c r="C17" s="113"/>
      <c r="D17" s="107">
        <v>10</v>
      </c>
      <c r="E17" s="695" t="s">
        <v>2045</v>
      </c>
      <c r="F17" s="700" t="s">
        <v>2046</v>
      </c>
      <c r="G17" s="696"/>
      <c r="H17" s="697" t="s">
        <v>1340</v>
      </c>
      <c r="I17" s="704">
        <v>39842</v>
      </c>
      <c r="J17" s="695" t="s">
        <v>1341</v>
      </c>
      <c r="K17" s="696" t="s">
        <v>1987</v>
      </c>
      <c r="L17" s="695" t="s">
        <v>1988</v>
      </c>
      <c r="M17" s="699"/>
      <c r="N17" s="695"/>
      <c r="O17" s="695" t="s">
        <v>2047</v>
      </c>
      <c r="P17" s="695" t="s">
        <v>2037</v>
      </c>
      <c r="Q17" s="700" t="s">
        <v>2048</v>
      </c>
      <c r="R17" s="695" t="s">
        <v>2049</v>
      </c>
      <c r="S17" s="700" t="s">
        <v>2037</v>
      </c>
      <c r="T17" s="695" t="s">
        <v>1993</v>
      </c>
      <c r="U17" s="701" t="s">
        <v>2050</v>
      </c>
      <c r="V17" s="703"/>
      <c r="W17" s="703"/>
      <c r="X17" s="703"/>
      <c r="Y17" s="703"/>
      <c r="Z17" s="108"/>
      <c r="AA17" s="108"/>
      <c r="AB17" s="108"/>
      <c r="AC17" s="108"/>
      <c r="AD17" s="113"/>
    </row>
    <row r="18" spans="1:30" ht="17.25" customHeight="1">
      <c r="A18" s="113"/>
      <c r="B18" s="113"/>
      <c r="C18" s="113"/>
      <c r="D18" s="107">
        <v>11</v>
      </c>
      <c r="E18" s="695" t="s">
        <v>2051</v>
      </c>
      <c r="F18" s="695" t="s">
        <v>2052</v>
      </c>
      <c r="G18" s="696"/>
      <c r="H18" s="697" t="s">
        <v>1340</v>
      </c>
      <c r="I18" s="704">
        <v>39827</v>
      </c>
      <c r="J18" s="695" t="s">
        <v>1342</v>
      </c>
      <c r="K18" s="696" t="s">
        <v>1987</v>
      </c>
      <c r="L18" s="695" t="s">
        <v>1988</v>
      </c>
      <c r="M18" s="699"/>
      <c r="N18" s="695"/>
      <c r="O18" s="695" t="s">
        <v>2053</v>
      </c>
      <c r="P18" s="695" t="s">
        <v>1990</v>
      </c>
      <c r="Q18" s="700" t="s">
        <v>1991</v>
      </c>
      <c r="R18" s="695" t="s">
        <v>2054</v>
      </c>
      <c r="S18" s="695" t="s">
        <v>1990</v>
      </c>
      <c r="T18" s="695" t="s">
        <v>2006</v>
      </c>
      <c r="U18" s="701" t="s">
        <v>2055</v>
      </c>
      <c r="V18" s="703"/>
      <c r="W18" s="703"/>
      <c r="X18" s="703"/>
      <c r="Y18" s="703"/>
      <c r="Z18" s="108"/>
      <c r="AA18" s="108"/>
      <c r="AB18" s="108"/>
      <c r="AC18" s="108"/>
      <c r="AD18" s="113"/>
    </row>
    <row r="19" spans="1:30" ht="17.25" customHeight="1">
      <c r="A19" s="113"/>
      <c r="B19" s="113"/>
      <c r="C19" s="113"/>
      <c r="D19" s="107">
        <v>12</v>
      </c>
      <c r="E19" s="695" t="s">
        <v>2056</v>
      </c>
      <c r="F19" s="695" t="s">
        <v>2057</v>
      </c>
      <c r="G19" s="696"/>
      <c r="H19" s="697" t="s">
        <v>1340</v>
      </c>
      <c r="I19" s="704">
        <v>40477</v>
      </c>
      <c r="J19" s="695" t="s">
        <v>1342</v>
      </c>
      <c r="K19" s="696" t="s">
        <v>1987</v>
      </c>
      <c r="L19" s="695" t="s">
        <v>1988</v>
      </c>
      <c r="M19" s="699"/>
      <c r="N19" s="695"/>
      <c r="O19" s="695" t="s">
        <v>2058</v>
      </c>
      <c r="P19" s="695" t="s">
        <v>2026</v>
      </c>
      <c r="Q19" s="700" t="s">
        <v>1991</v>
      </c>
      <c r="R19" s="695" t="s">
        <v>2059</v>
      </c>
      <c r="S19" s="695" t="s">
        <v>2060</v>
      </c>
      <c r="T19" s="695" t="s">
        <v>2006</v>
      </c>
      <c r="U19" s="695"/>
      <c r="V19" s="703"/>
      <c r="W19" s="703"/>
      <c r="X19" s="703"/>
      <c r="Y19" s="703"/>
      <c r="Z19" s="108"/>
      <c r="AA19" s="108"/>
      <c r="AB19" s="108"/>
      <c r="AC19" s="108"/>
      <c r="AD19" s="113"/>
    </row>
    <row r="20" spans="1:30" ht="17.25" customHeight="1">
      <c r="A20" s="113"/>
      <c r="B20" s="113"/>
      <c r="C20" s="113"/>
      <c r="D20" s="107">
        <v>13</v>
      </c>
      <c r="E20" s="695" t="s">
        <v>2061</v>
      </c>
      <c r="F20" s="695" t="s">
        <v>2062</v>
      </c>
      <c r="G20" s="696"/>
      <c r="H20" s="697" t="s">
        <v>1340</v>
      </c>
      <c r="I20" s="704">
        <v>40355</v>
      </c>
      <c r="J20" s="695" t="s">
        <v>1342</v>
      </c>
      <c r="K20" s="696" t="s">
        <v>1987</v>
      </c>
      <c r="L20" s="695" t="s">
        <v>1988</v>
      </c>
      <c r="M20" s="699"/>
      <c r="N20" s="695"/>
      <c r="O20" s="695" t="s">
        <v>2063</v>
      </c>
      <c r="P20" s="695" t="s">
        <v>1990</v>
      </c>
      <c r="Q20" s="700"/>
      <c r="R20" s="695" t="s">
        <v>2064</v>
      </c>
      <c r="S20" s="695" t="s">
        <v>2065</v>
      </c>
      <c r="T20" s="695" t="s">
        <v>2066</v>
      </c>
      <c r="U20" s="701" t="s">
        <v>2067</v>
      </c>
      <c r="V20" s="703"/>
      <c r="W20" s="703"/>
      <c r="X20" s="703"/>
      <c r="Y20" s="703"/>
      <c r="Z20" s="108"/>
      <c r="AA20" s="108"/>
      <c r="AB20" s="108"/>
      <c r="AC20" s="108"/>
      <c r="AD20" s="113"/>
    </row>
    <row r="21" spans="1:30" ht="17.25" customHeight="1">
      <c r="A21" s="113"/>
      <c r="B21" s="113"/>
      <c r="C21" s="113"/>
      <c r="D21" s="107">
        <v>14</v>
      </c>
      <c r="E21" s="695" t="s">
        <v>2068</v>
      </c>
      <c r="F21" s="695" t="s">
        <v>2069</v>
      </c>
      <c r="G21" s="696"/>
      <c r="H21" s="697" t="s">
        <v>1340</v>
      </c>
      <c r="I21" s="704">
        <v>39568</v>
      </c>
      <c r="J21" s="695" t="s">
        <v>1341</v>
      </c>
      <c r="K21" s="696" t="s">
        <v>1987</v>
      </c>
      <c r="L21" s="695" t="s">
        <v>1988</v>
      </c>
      <c r="M21" s="699"/>
      <c r="N21" s="695"/>
      <c r="O21" s="695" t="s">
        <v>1989</v>
      </c>
      <c r="P21" s="695" t="s">
        <v>2070</v>
      </c>
      <c r="Q21" s="700" t="s">
        <v>1991</v>
      </c>
      <c r="R21" s="695" t="s">
        <v>1992</v>
      </c>
      <c r="S21" s="695" t="s">
        <v>2060</v>
      </c>
      <c r="T21" s="695" t="s">
        <v>1993</v>
      </c>
      <c r="U21" s="701" t="s">
        <v>2071</v>
      </c>
      <c r="V21" s="703"/>
      <c r="W21" s="703"/>
      <c r="X21" s="703"/>
      <c r="Y21" s="703"/>
      <c r="Z21" s="108"/>
      <c r="AA21" s="108"/>
      <c r="AB21" s="108"/>
      <c r="AC21" s="108"/>
      <c r="AD21" s="113"/>
    </row>
    <row r="22" spans="1:30" ht="17.25" customHeight="1">
      <c r="A22" s="113"/>
      <c r="B22" s="113"/>
      <c r="C22" s="113"/>
      <c r="D22" s="107">
        <v>15</v>
      </c>
      <c r="E22" s="706" t="s">
        <v>2072</v>
      </c>
      <c r="F22" s="706" t="s">
        <v>2073</v>
      </c>
      <c r="G22" s="706">
        <v>28</v>
      </c>
      <c r="H22" s="707" t="s">
        <v>1340</v>
      </c>
      <c r="I22" s="708">
        <v>39413</v>
      </c>
      <c r="J22" s="706" t="s">
        <v>1342</v>
      </c>
      <c r="K22" s="706" t="s">
        <v>1987</v>
      </c>
      <c r="L22" s="706" t="s">
        <v>2074</v>
      </c>
      <c r="M22" s="709"/>
      <c r="N22" s="702"/>
      <c r="O22" s="702" t="s">
        <v>2075</v>
      </c>
      <c r="P22" s="706" t="s">
        <v>2070</v>
      </c>
      <c r="Q22" s="702" t="s">
        <v>2076</v>
      </c>
      <c r="R22" s="702" t="s">
        <v>2077</v>
      </c>
      <c r="S22" s="710" t="s">
        <v>2065</v>
      </c>
      <c r="T22" s="702" t="s">
        <v>2078</v>
      </c>
      <c r="U22" s="711" t="s">
        <v>2079</v>
      </c>
      <c r="V22" s="703"/>
      <c r="W22" s="703"/>
      <c r="X22" s="703"/>
      <c r="Y22" s="703"/>
      <c r="Z22" s="108"/>
      <c r="AA22" s="108"/>
      <c r="AB22" s="108"/>
      <c r="AC22" s="108"/>
      <c r="AD22" s="113"/>
    </row>
    <row r="23" spans="1:30" ht="17.25" customHeight="1">
      <c r="A23" s="113"/>
      <c r="B23" s="113"/>
      <c r="C23" s="113"/>
      <c r="D23" s="107">
        <v>16</v>
      </c>
      <c r="E23" s="465"/>
      <c r="F23" s="355"/>
      <c r="G23" s="466"/>
      <c r="H23" s="466"/>
      <c r="I23" s="467"/>
      <c r="J23" s="466"/>
      <c r="K23" s="340"/>
      <c r="L23" s="468"/>
      <c r="M23" s="464"/>
      <c r="N23" s="342"/>
      <c r="O23" s="356"/>
      <c r="P23" s="356"/>
      <c r="Q23" s="360"/>
      <c r="R23" s="342"/>
      <c r="S23" s="342"/>
      <c r="T23" s="329"/>
      <c r="U23" s="343"/>
      <c r="V23" s="342"/>
      <c r="W23" s="342"/>
      <c r="X23" s="329"/>
      <c r="Y23" s="460"/>
      <c r="Z23" s="108"/>
      <c r="AA23" s="108"/>
      <c r="AB23" s="108"/>
      <c r="AC23" s="108"/>
      <c r="AD23" s="113"/>
    </row>
    <row r="24" spans="1:30" ht="17.25" customHeight="1">
      <c r="A24" s="113"/>
      <c r="B24" s="113"/>
      <c r="C24" s="113"/>
      <c r="D24" s="107">
        <v>17</v>
      </c>
      <c r="E24" s="465"/>
      <c r="F24" s="355"/>
      <c r="G24" s="466"/>
      <c r="H24" s="466"/>
      <c r="I24" s="467"/>
      <c r="J24" s="466"/>
      <c r="K24" s="340"/>
      <c r="L24" s="468"/>
      <c r="M24" s="464"/>
      <c r="N24" s="342"/>
      <c r="O24" s="356"/>
      <c r="P24" s="356"/>
      <c r="Q24" s="360"/>
      <c r="R24" s="342"/>
      <c r="S24" s="342"/>
      <c r="T24" s="329"/>
      <c r="U24" s="343"/>
      <c r="V24" s="342"/>
      <c r="W24" s="339"/>
      <c r="X24" s="328"/>
      <c r="Y24" s="459"/>
      <c r="Z24" s="108"/>
      <c r="AA24" s="108"/>
      <c r="AB24" s="108"/>
      <c r="AC24" s="108"/>
      <c r="AD24" s="113"/>
    </row>
    <row r="25" spans="1:30" ht="17.25" customHeight="1">
      <c r="A25" s="113"/>
      <c r="B25" s="113"/>
      <c r="C25" s="113"/>
      <c r="D25" s="107">
        <v>18</v>
      </c>
      <c r="E25" s="465"/>
      <c r="F25" s="355"/>
      <c r="G25" s="466"/>
      <c r="H25" s="466"/>
      <c r="I25" s="467"/>
      <c r="J25" s="466"/>
      <c r="K25" s="340"/>
      <c r="L25" s="463"/>
      <c r="M25" s="464"/>
      <c r="N25" s="339"/>
      <c r="O25" s="362"/>
      <c r="P25" s="362"/>
      <c r="Q25" s="359"/>
      <c r="R25" s="339"/>
      <c r="S25" s="339"/>
      <c r="T25" s="328"/>
      <c r="U25" s="341"/>
      <c r="V25" s="339"/>
      <c r="W25" s="339"/>
      <c r="X25" s="328"/>
      <c r="Y25" s="459"/>
      <c r="Z25" s="108"/>
      <c r="AA25" s="108"/>
      <c r="AB25" s="108"/>
      <c r="AC25" s="108"/>
      <c r="AD25" s="113"/>
    </row>
    <row r="26" spans="1:30" ht="17.25" customHeight="1">
      <c r="A26" s="113"/>
      <c r="B26" s="113"/>
      <c r="C26" s="113"/>
      <c r="D26" s="107">
        <v>19</v>
      </c>
      <c r="E26" s="465"/>
      <c r="F26" s="355"/>
      <c r="G26" s="466"/>
      <c r="H26" s="466"/>
      <c r="I26" s="467"/>
      <c r="J26" s="466"/>
      <c r="K26" s="340"/>
      <c r="L26" s="463"/>
      <c r="M26" s="464"/>
      <c r="N26" s="339"/>
      <c r="O26" s="362"/>
      <c r="P26" s="362"/>
      <c r="Q26" s="359"/>
      <c r="R26" s="339"/>
      <c r="S26" s="339"/>
      <c r="T26" s="328"/>
      <c r="U26" s="341"/>
      <c r="V26" s="339"/>
      <c r="W26" s="339"/>
      <c r="X26" s="328"/>
      <c r="Y26" s="459"/>
      <c r="Z26" s="108"/>
      <c r="AA26" s="108"/>
      <c r="AB26" s="108"/>
      <c r="AC26" s="108"/>
      <c r="AD26" s="113"/>
    </row>
    <row r="27" spans="1:30" ht="17.25" customHeight="1">
      <c r="A27" s="113"/>
      <c r="B27" s="113"/>
      <c r="C27" s="113"/>
      <c r="D27" s="107">
        <v>20</v>
      </c>
      <c r="E27" s="465"/>
      <c r="F27" s="355"/>
      <c r="G27" s="466"/>
      <c r="H27" s="466"/>
      <c r="I27" s="467"/>
      <c r="J27" s="466"/>
      <c r="K27" s="340"/>
      <c r="L27" s="463"/>
      <c r="M27" s="464"/>
      <c r="N27" s="339"/>
      <c r="O27" s="362"/>
      <c r="P27" s="362"/>
      <c r="Q27" s="359"/>
      <c r="R27" s="339"/>
      <c r="S27" s="339"/>
      <c r="T27" s="328"/>
      <c r="U27" s="341"/>
      <c r="V27" s="339"/>
      <c r="W27" s="339"/>
      <c r="X27" s="328"/>
      <c r="Y27" s="459"/>
      <c r="Z27" s="108"/>
      <c r="AA27" s="108"/>
      <c r="AB27" s="108"/>
      <c r="AC27" s="108"/>
      <c r="AD27" s="113"/>
    </row>
    <row r="28" spans="1:30" ht="17.25" customHeight="1">
      <c r="A28" s="113"/>
      <c r="B28" s="113"/>
      <c r="C28" s="113"/>
      <c r="D28" s="107">
        <v>21</v>
      </c>
      <c r="E28" s="465"/>
      <c r="F28" s="355"/>
      <c r="G28" s="466"/>
      <c r="H28" s="466"/>
      <c r="I28" s="467"/>
      <c r="J28" s="466"/>
      <c r="K28" s="340"/>
      <c r="L28" s="463"/>
      <c r="M28" s="464"/>
      <c r="N28" s="339"/>
      <c r="O28" s="444"/>
      <c r="P28" s="444"/>
      <c r="Q28" s="445"/>
      <c r="R28" s="446"/>
      <c r="S28" s="446"/>
      <c r="T28" s="447"/>
      <c r="U28" s="448"/>
      <c r="V28" s="446"/>
      <c r="W28" s="446"/>
      <c r="X28" s="328"/>
      <c r="Y28" s="459"/>
      <c r="Z28" s="108"/>
      <c r="AA28" s="108"/>
      <c r="AB28" s="108"/>
      <c r="AC28" s="108"/>
      <c r="AD28" s="113"/>
    </row>
    <row r="29" spans="1:30" ht="17.25" customHeight="1">
      <c r="A29" s="113"/>
      <c r="B29" s="113"/>
      <c r="C29" s="113"/>
      <c r="D29" s="107">
        <v>22</v>
      </c>
      <c r="E29" s="465"/>
      <c r="F29" s="355"/>
      <c r="G29" s="466"/>
      <c r="H29" s="466"/>
      <c r="I29" s="467"/>
      <c r="J29" s="466"/>
      <c r="K29" s="340"/>
      <c r="L29" s="463"/>
      <c r="M29" s="464"/>
      <c r="N29" s="339"/>
      <c r="O29" s="362"/>
      <c r="P29" s="362"/>
      <c r="Q29" s="341"/>
      <c r="R29" s="339"/>
      <c r="S29" s="339"/>
      <c r="T29" s="452"/>
      <c r="U29" s="341"/>
      <c r="V29" s="339"/>
      <c r="W29" s="339"/>
      <c r="X29" s="443"/>
      <c r="Y29" s="459"/>
      <c r="Z29" s="108"/>
      <c r="AA29" s="108"/>
      <c r="AB29" s="108"/>
      <c r="AC29" s="108"/>
      <c r="AD29" s="113"/>
    </row>
    <row r="30" spans="1:30" ht="17.25" customHeight="1">
      <c r="A30" s="113"/>
      <c r="B30" s="113"/>
      <c r="C30" s="113"/>
      <c r="D30" s="107">
        <v>23</v>
      </c>
      <c r="E30" s="465"/>
      <c r="F30" s="355"/>
      <c r="G30" s="469"/>
      <c r="H30" s="466"/>
      <c r="I30" s="467"/>
      <c r="J30" s="466"/>
      <c r="K30" s="340"/>
      <c r="L30" s="356"/>
      <c r="M30" s="358"/>
      <c r="N30" s="355"/>
      <c r="O30" s="363"/>
      <c r="P30" s="363"/>
      <c r="Q30" s="453"/>
      <c r="R30" s="454"/>
      <c r="S30" s="454"/>
      <c r="T30" s="455"/>
      <c r="U30" s="456"/>
      <c r="V30" s="365"/>
      <c r="W30" s="365"/>
      <c r="X30" s="364"/>
      <c r="Y30" s="459"/>
      <c r="Z30" s="108"/>
      <c r="AA30" s="108"/>
      <c r="AB30" s="108"/>
      <c r="AC30" s="108"/>
      <c r="AD30" s="113"/>
    </row>
    <row r="31" spans="1:30" ht="17.25" customHeight="1">
      <c r="A31" s="113"/>
      <c r="B31" s="113"/>
      <c r="C31" s="113"/>
      <c r="D31" s="107">
        <v>24</v>
      </c>
      <c r="E31" s="465"/>
      <c r="F31" s="470"/>
      <c r="G31" s="471"/>
      <c r="H31" s="466"/>
      <c r="I31" s="467"/>
      <c r="J31" s="466"/>
      <c r="K31" s="472"/>
      <c r="L31" s="472"/>
      <c r="M31" s="457"/>
      <c r="N31" s="472"/>
      <c r="O31" s="454"/>
      <c r="P31" s="454"/>
      <c r="Q31" s="458"/>
      <c r="R31" s="454"/>
      <c r="S31" s="454"/>
      <c r="T31" s="455"/>
      <c r="U31" s="456"/>
      <c r="V31" s="454"/>
      <c r="W31" s="454"/>
      <c r="X31" s="364"/>
      <c r="Y31" s="459"/>
      <c r="Z31" s="108"/>
      <c r="AA31" s="108"/>
      <c r="AB31" s="108"/>
      <c r="AC31" s="108"/>
      <c r="AD31" s="113"/>
    </row>
    <row r="32" spans="1:30" ht="17.25" customHeight="1">
      <c r="A32" s="113"/>
      <c r="B32" s="113"/>
      <c r="C32" s="113"/>
      <c r="D32" s="107">
        <v>25</v>
      </c>
      <c r="E32" s="112"/>
      <c r="F32" s="108"/>
      <c r="G32" s="109"/>
      <c r="H32" s="109"/>
      <c r="I32" s="111"/>
      <c r="J32" s="110"/>
      <c r="K32" s="108"/>
      <c r="L32" s="108"/>
      <c r="M32" s="357"/>
      <c r="N32" s="361"/>
      <c r="O32" s="361"/>
      <c r="P32" s="361"/>
      <c r="Q32" s="449"/>
      <c r="R32" s="361"/>
      <c r="S32" s="361"/>
      <c r="T32" s="450"/>
      <c r="U32" s="451"/>
      <c r="V32" s="361"/>
      <c r="W32" s="361"/>
      <c r="X32" s="330"/>
      <c r="Y32" s="330"/>
      <c r="Z32" s="108"/>
      <c r="AA32" s="108"/>
      <c r="AB32" s="108"/>
      <c r="AC32" s="108"/>
      <c r="AD32" s="113"/>
    </row>
    <row r="33" spans="1:30" ht="17.25" customHeight="1">
      <c r="A33" s="113"/>
      <c r="B33" s="113"/>
      <c r="C33" s="113"/>
      <c r="D33" s="107">
        <v>26</v>
      </c>
      <c r="E33" s="108"/>
      <c r="F33" s="108"/>
      <c r="G33" s="108"/>
      <c r="H33" s="108"/>
      <c r="I33" s="108"/>
      <c r="J33" s="108"/>
      <c r="K33" s="108"/>
      <c r="L33" s="108"/>
      <c r="M33" s="108"/>
      <c r="N33" s="108"/>
      <c r="O33" s="108"/>
      <c r="P33" s="108"/>
      <c r="Q33" s="108"/>
      <c r="R33" s="108"/>
      <c r="S33" s="108"/>
      <c r="T33" s="330"/>
      <c r="U33" s="108"/>
      <c r="V33" s="108"/>
      <c r="W33" s="108"/>
      <c r="X33" s="330"/>
      <c r="Y33" s="330"/>
      <c r="Z33" s="108"/>
      <c r="AA33" s="108"/>
      <c r="AB33" s="108"/>
      <c r="AC33" s="108"/>
      <c r="AD33" s="113"/>
    </row>
    <row r="34" spans="1:30" ht="17.25" customHeight="1">
      <c r="A34" s="113"/>
      <c r="B34" s="113"/>
      <c r="C34" s="113"/>
      <c r="D34" s="107">
        <v>27</v>
      </c>
      <c r="E34" s="108"/>
      <c r="F34" s="108"/>
      <c r="G34" s="108"/>
      <c r="H34" s="108"/>
      <c r="I34" s="108"/>
      <c r="J34" s="108"/>
      <c r="K34" s="108"/>
      <c r="L34" s="108"/>
      <c r="M34" s="108"/>
      <c r="N34" s="108"/>
      <c r="O34" s="108"/>
      <c r="P34" s="108"/>
      <c r="Q34" s="108"/>
      <c r="R34" s="108"/>
      <c r="S34" s="108"/>
      <c r="T34" s="330"/>
      <c r="U34" s="108"/>
      <c r="V34" s="108"/>
      <c r="W34" s="108"/>
      <c r="X34" s="330"/>
      <c r="Y34" s="330"/>
      <c r="Z34" s="108"/>
      <c r="AA34" s="108"/>
      <c r="AB34" s="108"/>
      <c r="AC34" s="108"/>
      <c r="AD34" s="113"/>
    </row>
    <row r="35" spans="1:30" ht="17.25" customHeight="1">
      <c r="A35" s="113"/>
      <c r="B35" s="113"/>
      <c r="C35" s="113"/>
      <c r="D35" s="107">
        <v>28</v>
      </c>
      <c r="E35" s="108"/>
      <c r="F35" s="108"/>
      <c r="G35" s="108"/>
      <c r="H35" s="108"/>
      <c r="I35" s="108"/>
      <c r="J35" s="108"/>
      <c r="K35" s="108"/>
      <c r="L35" s="108"/>
      <c r="M35" s="108"/>
      <c r="N35" s="108"/>
      <c r="O35" s="108"/>
      <c r="P35" s="108"/>
      <c r="Q35" s="108"/>
      <c r="R35" s="108"/>
      <c r="S35" s="108"/>
      <c r="T35" s="330"/>
      <c r="U35" s="108"/>
      <c r="V35" s="108"/>
      <c r="W35" s="108"/>
      <c r="X35" s="330"/>
      <c r="Y35" s="330"/>
      <c r="Z35" s="108"/>
      <c r="AA35" s="108"/>
      <c r="AB35" s="108"/>
      <c r="AC35" s="108"/>
      <c r="AD35" s="113"/>
    </row>
    <row r="36" spans="1:30" ht="17.25" customHeight="1">
      <c r="A36" s="113"/>
      <c r="B36" s="113"/>
      <c r="C36" s="113"/>
      <c r="D36" s="107">
        <v>29</v>
      </c>
      <c r="E36" s="108"/>
      <c r="F36" s="108"/>
      <c r="G36" s="108"/>
      <c r="H36" s="108"/>
      <c r="I36" s="108"/>
      <c r="J36" s="108"/>
      <c r="K36" s="108"/>
      <c r="L36" s="108"/>
      <c r="M36" s="108"/>
      <c r="N36" s="108"/>
      <c r="O36" s="108"/>
      <c r="P36" s="108"/>
      <c r="Q36" s="108"/>
      <c r="R36" s="108"/>
      <c r="S36" s="108"/>
      <c r="T36" s="330"/>
      <c r="U36" s="108"/>
      <c r="V36" s="108"/>
      <c r="W36" s="108"/>
      <c r="X36" s="330"/>
      <c r="Y36" s="330"/>
      <c r="Z36" s="108"/>
      <c r="AA36" s="108"/>
      <c r="AB36" s="108"/>
      <c r="AC36" s="108"/>
      <c r="AD36" s="113"/>
    </row>
    <row r="37" spans="1:30" ht="17.25" customHeight="1">
      <c r="A37" s="113"/>
      <c r="B37" s="113"/>
      <c r="C37" s="113"/>
      <c r="D37" s="107">
        <v>30</v>
      </c>
      <c r="E37" s="108"/>
      <c r="F37" s="108"/>
      <c r="G37" s="108"/>
      <c r="H37" s="108"/>
      <c r="I37" s="108"/>
      <c r="J37" s="108"/>
      <c r="K37" s="108"/>
      <c r="L37" s="108"/>
      <c r="M37" s="108"/>
      <c r="N37" s="108"/>
      <c r="O37" s="108"/>
      <c r="P37" s="108"/>
      <c r="Q37" s="108"/>
      <c r="R37" s="108"/>
      <c r="S37" s="108"/>
      <c r="T37" s="330"/>
      <c r="U37" s="108"/>
      <c r="V37" s="108"/>
      <c r="W37" s="108"/>
      <c r="X37" s="330"/>
      <c r="Y37" s="330"/>
      <c r="Z37" s="108"/>
      <c r="AA37" s="108"/>
      <c r="AB37" s="108"/>
      <c r="AC37" s="108"/>
      <c r="AD37" s="113"/>
    </row>
    <row r="38" spans="1:30">
      <c r="A38" s="113"/>
      <c r="B38" s="113"/>
      <c r="C38" s="113"/>
      <c r="D38" s="115"/>
      <c r="E38" s="113"/>
      <c r="F38" s="113"/>
      <c r="G38" s="113"/>
      <c r="H38" s="113"/>
      <c r="I38" s="113"/>
      <c r="J38" s="113"/>
      <c r="K38" s="113"/>
      <c r="L38" s="113"/>
      <c r="M38" s="113"/>
      <c r="N38" s="113"/>
      <c r="O38" s="113"/>
      <c r="P38" s="113"/>
      <c r="Q38" s="113"/>
      <c r="R38" s="113"/>
      <c r="S38" s="113"/>
      <c r="T38" s="113"/>
      <c r="U38" s="113"/>
      <c r="V38" s="113"/>
      <c r="W38" s="113"/>
      <c r="X38" s="113"/>
      <c r="Y38" s="113"/>
      <c r="Z38" s="113"/>
      <c r="AA38" s="113"/>
      <c r="AB38" s="113"/>
      <c r="AC38" s="113"/>
      <c r="AD38" s="113"/>
    </row>
    <row r="39" spans="1:30">
      <c r="A39" s="113"/>
      <c r="B39" s="113"/>
      <c r="C39" s="113"/>
      <c r="D39" s="115"/>
      <c r="E39" s="113"/>
      <c r="F39" s="113"/>
      <c r="G39" s="113"/>
      <c r="H39" s="113"/>
      <c r="I39" s="113"/>
      <c r="J39" s="113"/>
      <c r="K39" s="113"/>
      <c r="L39" s="113"/>
      <c r="M39" s="113"/>
      <c r="N39" s="113"/>
      <c r="O39" s="113"/>
      <c r="P39" s="113"/>
      <c r="Q39" s="113"/>
      <c r="R39" s="113"/>
      <c r="S39" s="113"/>
      <c r="T39" s="113"/>
      <c r="U39" s="113"/>
      <c r="V39" s="113"/>
      <c r="W39" s="113"/>
      <c r="X39" s="113"/>
      <c r="Y39" s="113"/>
      <c r="Z39" s="113"/>
      <c r="AA39" s="113"/>
      <c r="AB39" s="113"/>
      <c r="AC39" s="113"/>
      <c r="AD39" s="113"/>
    </row>
    <row r="40" spans="1:30" hidden="1">
      <c r="B40" s="113"/>
      <c r="C40" s="113"/>
      <c r="D40" s="115"/>
      <c r="E40" s="113"/>
      <c r="F40" s="113"/>
      <c r="G40" s="113"/>
      <c r="H40" s="113"/>
      <c r="I40" s="113"/>
      <c r="J40" s="113"/>
      <c r="K40" s="113"/>
      <c r="L40" s="113"/>
      <c r="M40" s="113"/>
      <c r="N40" s="113"/>
      <c r="O40" s="113"/>
      <c r="P40" s="113"/>
      <c r="Q40" s="113"/>
      <c r="R40" s="113"/>
      <c r="S40" s="113"/>
      <c r="T40" s="113"/>
      <c r="U40" s="113"/>
      <c r="V40" s="113"/>
      <c r="W40" s="113"/>
      <c r="X40" s="113"/>
      <c r="Y40" s="113"/>
      <c r="Z40" s="113"/>
      <c r="AA40" s="113"/>
      <c r="AB40" s="113"/>
      <c r="AC40" s="113"/>
    </row>
    <row r="41" spans="1:30" hidden="1">
      <c r="B41" s="113"/>
      <c r="C41" s="113"/>
      <c r="D41" s="115"/>
      <c r="E41" s="113"/>
      <c r="F41" s="113"/>
      <c r="G41" s="113"/>
      <c r="H41" s="113"/>
      <c r="I41" s="113"/>
      <c r="J41" s="113"/>
      <c r="K41" s="113"/>
      <c r="L41" s="113"/>
      <c r="M41" s="113"/>
      <c r="N41" s="113"/>
      <c r="O41" s="113"/>
      <c r="P41" s="113"/>
      <c r="Q41" s="113"/>
      <c r="R41" s="113"/>
      <c r="S41" s="113"/>
      <c r="T41" s="113"/>
      <c r="U41" s="113"/>
      <c r="V41" s="113"/>
      <c r="W41" s="113"/>
      <c r="X41" s="113"/>
      <c r="Y41" s="113"/>
      <c r="Z41" s="113"/>
      <c r="AA41" s="113"/>
      <c r="AB41" s="113"/>
      <c r="AC41" s="113"/>
    </row>
    <row r="42" spans="1:30" hidden="1">
      <c r="B42" s="113"/>
      <c r="C42" s="113"/>
      <c r="D42" s="115"/>
      <c r="E42" s="113"/>
      <c r="F42" s="113"/>
      <c r="G42" s="113"/>
      <c r="H42" s="113"/>
      <c r="I42" s="113"/>
      <c r="J42" s="113"/>
      <c r="K42" s="113"/>
      <c r="L42" s="113"/>
      <c r="M42" s="113"/>
      <c r="N42" s="113"/>
      <c r="O42" s="113"/>
      <c r="P42" s="113"/>
      <c r="Q42" s="113"/>
      <c r="R42" s="113"/>
      <c r="S42" s="113"/>
      <c r="T42" s="113"/>
      <c r="U42" s="113"/>
      <c r="V42" s="113"/>
      <c r="W42" s="113"/>
      <c r="X42" s="113"/>
      <c r="Y42" s="113"/>
      <c r="Z42" s="113"/>
      <c r="AA42" s="113"/>
      <c r="AB42" s="113"/>
      <c r="AC42" s="113"/>
    </row>
    <row r="43" spans="1:30" hidden="1">
      <c r="D43" s="106"/>
    </row>
    <row r="44" spans="1:30" hidden="1">
      <c r="D44" s="106"/>
    </row>
    <row r="45" spans="1:30" hidden="1">
      <c r="D45" s="106"/>
    </row>
    <row r="46" spans="1:30" hidden="1">
      <c r="D46" s="106"/>
    </row>
    <row r="47" spans="1:30" hidden="1">
      <c r="D47" s="106"/>
    </row>
    <row r="48" spans="1:30" hidden="1">
      <c r="D48" s="106"/>
    </row>
    <row r="49" spans="4:4" hidden="1">
      <c r="D49" s="106"/>
    </row>
    <row r="50" spans="4:4" hidden="1">
      <c r="D50" s="106"/>
    </row>
    <row r="51" spans="4:4" hidden="1">
      <c r="D51" s="106"/>
    </row>
    <row r="52" spans="4:4" hidden="1">
      <c r="D52" s="106"/>
    </row>
    <row r="53" spans="4:4" hidden="1">
      <c r="D53" s="106"/>
    </row>
    <row r="54" spans="4:4" hidden="1">
      <c r="D54" s="106"/>
    </row>
    <row r="55" spans="4:4" hidden="1">
      <c r="D55" s="106"/>
    </row>
    <row r="56" spans="4:4" hidden="1">
      <c r="D56" s="106"/>
    </row>
    <row r="57" spans="4:4" hidden="1">
      <c r="D57" s="106"/>
    </row>
    <row r="58" spans="4:4" hidden="1">
      <c r="D58" s="106"/>
    </row>
    <row r="59" spans="4:4" hidden="1">
      <c r="D59" s="106"/>
    </row>
    <row r="60" spans="4:4" hidden="1">
      <c r="D60" s="106"/>
    </row>
    <row r="61" spans="4:4" hidden="1">
      <c r="D61" s="106"/>
    </row>
    <row r="62" spans="4:4" hidden="1">
      <c r="D62" s="106"/>
    </row>
    <row r="63" spans="4:4" hidden="1">
      <c r="D63" s="106"/>
    </row>
    <row r="64" spans="4:4" hidden="1">
      <c r="D64" s="106"/>
    </row>
    <row r="65" spans="4:4" hidden="1">
      <c r="D65" s="106"/>
    </row>
    <row r="66" spans="4:4" hidden="1">
      <c r="D66" s="106"/>
    </row>
    <row r="67" spans="4:4" hidden="1">
      <c r="D67" s="106"/>
    </row>
    <row r="68" spans="4:4" hidden="1">
      <c r="D68" s="106"/>
    </row>
    <row r="69" spans="4:4" hidden="1">
      <c r="D69" s="106"/>
    </row>
    <row r="70" spans="4:4" hidden="1">
      <c r="D70" s="106"/>
    </row>
    <row r="71" spans="4:4" hidden="1">
      <c r="D71" s="106"/>
    </row>
    <row r="72" spans="4:4" hidden="1">
      <c r="D72" s="106"/>
    </row>
    <row r="73" spans="4:4" hidden="1">
      <c r="D73" s="106"/>
    </row>
    <row r="74" spans="4:4" hidden="1">
      <c r="D74" s="106"/>
    </row>
    <row r="75" spans="4:4" hidden="1">
      <c r="D75" s="106"/>
    </row>
    <row r="76" spans="4:4" hidden="1">
      <c r="D76" s="106"/>
    </row>
    <row r="77" spans="4:4" hidden="1">
      <c r="D77" s="106"/>
    </row>
    <row r="78" spans="4:4" hidden="1">
      <c r="D78" s="106"/>
    </row>
    <row r="79" spans="4:4" hidden="1">
      <c r="D79" s="106"/>
    </row>
    <row r="80" spans="4:4" hidden="1">
      <c r="D80" s="106"/>
    </row>
    <row r="81" spans="4:4" hidden="1">
      <c r="D81" s="106"/>
    </row>
    <row r="82" spans="4:4" hidden="1">
      <c r="D82" s="106"/>
    </row>
    <row r="83" spans="4:4" hidden="1">
      <c r="D83" s="106"/>
    </row>
    <row r="84" spans="4:4" hidden="1">
      <c r="D84" s="106"/>
    </row>
    <row r="85" spans="4:4" hidden="1">
      <c r="D85" s="106"/>
    </row>
    <row r="86" spans="4:4" hidden="1">
      <c r="D86" s="106"/>
    </row>
    <row r="87" spans="4:4" hidden="1">
      <c r="D87" s="106"/>
    </row>
    <row r="88" spans="4:4" hidden="1">
      <c r="D88" s="106"/>
    </row>
    <row r="89" spans="4:4" hidden="1">
      <c r="D89" s="106"/>
    </row>
    <row r="90" spans="4:4" hidden="1">
      <c r="D90" s="106"/>
    </row>
    <row r="91" spans="4:4" hidden="1">
      <c r="D91" s="106"/>
    </row>
    <row r="92" spans="4:4" hidden="1">
      <c r="D92" s="106"/>
    </row>
    <row r="93" spans="4:4" hidden="1">
      <c r="D93" s="106"/>
    </row>
    <row r="94" spans="4:4" hidden="1">
      <c r="D94" s="106"/>
    </row>
    <row r="95" spans="4:4" hidden="1">
      <c r="D95" s="106"/>
    </row>
    <row r="96" spans="4:4" hidden="1">
      <c r="D96" s="106"/>
    </row>
    <row r="97" spans="4:4" hidden="1">
      <c r="D97" s="106"/>
    </row>
    <row r="98" spans="4:4" hidden="1">
      <c r="D98" s="106"/>
    </row>
    <row r="99" spans="4:4" hidden="1">
      <c r="D99" s="106"/>
    </row>
    <row r="100" spans="4:4" hidden="1">
      <c r="D100" s="106"/>
    </row>
    <row r="101" spans="4:4" hidden="1">
      <c r="D101" s="106"/>
    </row>
    <row r="102" spans="4:4" hidden="1">
      <c r="D102" s="106"/>
    </row>
    <row r="103" spans="4:4" hidden="1">
      <c r="D103" s="106"/>
    </row>
    <row r="104" spans="4:4" hidden="1">
      <c r="D104" s="106"/>
    </row>
    <row r="105" spans="4:4" hidden="1">
      <c r="D105" s="106"/>
    </row>
    <row r="106" spans="4:4" hidden="1">
      <c r="D106" s="106"/>
    </row>
  </sheetData>
  <mergeCells count="22">
    <mergeCell ref="D1:E3"/>
    <mergeCell ref="D4:D6"/>
    <mergeCell ref="E4:F4"/>
    <mergeCell ref="G4:G6"/>
    <mergeCell ref="I4:I6"/>
    <mergeCell ref="J4:J6"/>
    <mergeCell ref="E5:E6"/>
    <mergeCell ref="F5:F6"/>
    <mergeCell ref="H4:H6"/>
    <mergeCell ref="K4:K6"/>
    <mergeCell ref="AC5:AC6"/>
    <mergeCell ref="Z4:AC4"/>
    <mergeCell ref="Z5:Z6"/>
    <mergeCell ref="AA5:AA6"/>
    <mergeCell ref="AB5:AB6"/>
    <mergeCell ref="Y4:Y6"/>
    <mergeCell ref="L4:L6"/>
    <mergeCell ref="Q5:T5"/>
    <mergeCell ref="U5:X5"/>
    <mergeCell ref="Q4:X4"/>
    <mergeCell ref="N4:P5"/>
    <mergeCell ref="M4:M6"/>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2"/>
  <dimension ref="A1:O41"/>
  <sheetViews>
    <sheetView showGridLines="0" showRowColHeaders="0" workbookViewId="0">
      <pane ySplit="3" topLeftCell="A4" activePane="bottomLeft" state="frozen"/>
      <selection activeCell="K33" sqref="K33"/>
      <selection pane="bottomLeft" activeCell="B4" sqref="B4:L4"/>
    </sheetView>
  </sheetViews>
  <sheetFormatPr defaultColWidth="0" defaultRowHeight="19.5" customHeight="1" zeroHeight="1"/>
  <cols>
    <col min="1" max="1" width="16.7109375" style="1" customWidth="1"/>
    <col min="2" max="2" width="2.85546875" style="1" customWidth="1"/>
    <col min="3" max="3" width="2.7109375" style="1" customWidth="1"/>
    <col min="4" max="4" width="27.28515625" style="1" customWidth="1"/>
    <col min="5" max="5" width="1.7109375" style="1" customWidth="1"/>
    <col min="6" max="6" width="6.28515625" style="1" customWidth="1"/>
    <col min="7" max="8" width="9.140625" style="1" customWidth="1"/>
    <col min="9" max="9" width="5.42578125" style="1" customWidth="1"/>
    <col min="10" max="10" width="9.140625" style="1" customWidth="1"/>
    <col min="11" max="11" width="9.28515625" style="1" customWidth="1"/>
    <col min="12" max="12" width="11.28515625" style="1" customWidth="1"/>
    <col min="13" max="13" width="9.42578125" style="1" customWidth="1"/>
    <col min="14" max="16384" width="9.140625" style="1" hidden="1"/>
  </cols>
  <sheetData>
    <row r="1" spans="1:15" ht="15" customHeight="1">
      <c r="A1" s="122"/>
      <c r="B1" s="775" t="s">
        <v>16</v>
      </c>
      <c r="C1" s="775"/>
      <c r="D1" s="775"/>
      <c r="E1" s="776">
        <v>3</v>
      </c>
      <c r="F1" s="776"/>
      <c r="G1" s="122"/>
      <c r="H1" s="772" t="s">
        <v>1158</v>
      </c>
      <c r="I1" s="773"/>
      <c r="J1" s="774"/>
      <c r="K1" s="122"/>
      <c r="L1" s="122"/>
      <c r="M1" s="122"/>
    </row>
    <row r="2" spans="1:15" ht="15" customHeight="1">
      <c r="A2" s="122"/>
      <c r="B2" s="775"/>
      <c r="C2" s="775"/>
      <c r="D2" s="775"/>
      <c r="E2" s="776"/>
      <c r="F2" s="776"/>
      <c r="G2" s="770"/>
      <c r="H2" s="768" t="s">
        <v>1159</v>
      </c>
      <c r="I2" s="769"/>
      <c r="J2" s="140"/>
      <c r="K2" s="770"/>
      <c r="L2" s="770"/>
      <c r="M2" s="122"/>
    </row>
    <row r="3" spans="1:15" ht="15" customHeight="1">
      <c r="A3" s="122"/>
      <c r="B3" s="775"/>
      <c r="C3" s="775"/>
      <c r="D3" s="775"/>
      <c r="E3" s="776"/>
      <c r="F3" s="776"/>
      <c r="G3" s="770"/>
      <c r="H3" s="768" t="s">
        <v>1160</v>
      </c>
      <c r="I3" s="769"/>
      <c r="J3" s="140"/>
      <c r="K3" s="770"/>
      <c r="L3" s="770"/>
      <c r="M3" s="122"/>
    </row>
    <row r="4" spans="1:15" ht="19.5" customHeight="1">
      <c r="A4" s="122"/>
      <c r="B4" s="771" t="s">
        <v>1157</v>
      </c>
      <c r="C4" s="771"/>
      <c r="D4" s="771"/>
      <c r="E4" s="771"/>
      <c r="F4" s="771"/>
      <c r="G4" s="771"/>
      <c r="H4" s="771"/>
      <c r="I4" s="771"/>
      <c r="J4" s="771"/>
      <c r="K4" s="771"/>
      <c r="L4" s="771"/>
      <c r="M4" s="122"/>
      <c r="N4" s="24"/>
      <c r="O4" s="24"/>
    </row>
    <row r="5" spans="1:15" ht="17.25" customHeight="1">
      <c r="A5" s="122"/>
      <c r="B5" s="24"/>
      <c r="C5" s="24"/>
      <c r="D5" s="24"/>
      <c r="E5" s="24"/>
      <c r="F5" s="25"/>
      <c r="G5" s="24"/>
      <c r="H5" s="24"/>
      <c r="I5" s="24"/>
      <c r="J5" s="24"/>
      <c r="K5" s="24"/>
      <c r="L5" s="24"/>
      <c r="M5" s="122"/>
      <c r="N5" s="24"/>
      <c r="O5" s="24"/>
    </row>
    <row r="6" spans="1:15" ht="19.5" customHeight="1">
      <c r="A6" s="122"/>
      <c r="B6" s="26" t="s">
        <v>17</v>
      </c>
      <c r="C6" s="759" t="s">
        <v>6</v>
      </c>
      <c r="D6" s="759"/>
      <c r="E6" s="759"/>
      <c r="F6" s="759"/>
      <c r="G6" s="759"/>
      <c r="H6" s="759"/>
      <c r="I6" s="759"/>
      <c r="J6" s="759"/>
      <c r="K6" s="759"/>
      <c r="L6" s="759"/>
      <c r="M6" s="122"/>
      <c r="N6" s="24"/>
      <c r="O6" s="24"/>
    </row>
    <row r="7" spans="1:15" ht="19.5" customHeight="1">
      <c r="A7" s="122"/>
      <c r="B7" s="66"/>
      <c r="C7" s="27" t="s">
        <v>18</v>
      </c>
      <c r="D7" s="24" t="s">
        <v>19</v>
      </c>
      <c r="E7" s="66" t="s">
        <v>0</v>
      </c>
      <c r="F7" s="763" t="str">
        <f>VLOOKUP(E1,datasiswa,2)</f>
        <v>A.Risky Syarifunnazal</v>
      </c>
      <c r="G7" s="763"/>
      <c r="H7" s="763"/>
      <c r="I7" s="763"/>
      <c r="J7" s="763"/>
      <c r="K7" s="763"/>
      <c r="L7" s="763"/>
      <c r="M7" s="122"/>
      <c r="N7" s="24"/>
      <c r="O7" s="24"/>
    </row>
    <row r="8" spans="1:15" ht="19.5" customHeight="1">
      <c r="A8" s="122"/>
      <c r="B8" s="66"/>
      <c r="C8" s="27" t="s">
        <v>20</v>
      </c>
      <c r="D8" s="24" t="s">
        <v>21</v>
      </c>
      <c r="E8" s="66" t="s">
        <v>0</v>
      </c>
      <c r="F8" s="763" t="str">
        <f>VLOOKUP(E1,datasiswa,3)</f>
        <v>Kiki</v>
      </c>
      <c r="G8" s="763"/>
      <c r="H8" s="763"/>
      <c r="I8" s="763"/>
      <c r="J8" s="763"/>
      <c r="K8" s="763"/>
      <c r="L8" s="763"/>
      <c r="M8" s="122"/>
      <c r="N8" s="24"/>
      <c r="O8" s="24"/>
    </row>
    <row r="9" spans="1:15" ht="19.5" customHeight="1">
      <c r="A9" s="122"/>
      <c r="B9" s="26" t="s">
        <v>22</v>
      </c>
      <c r="C9" s="24" t="s">
        <v>23</v>
      </c>
      <c r="D9" s="24"/>
      <c r="E9" s="66" t="s">
        <v>0</v>
      </c>
      <c r="F9" s="763">
        <f>VLOOKUP(E1,datasiswa,4)</f>
        <v>0</v>
      </c>
      <c r="G9" s="763"/>
      <c r="H9" s="763"/>
      <c r="I9" s="763"/>
      <c r="J9" s="763"/>
      <c r="K9" s="763"/>
      <c r="L9" s="763"/>
      <c r="M9" s="122"/>
      <c r="N9" s="24"/>
      <c r="O9" s="24"/>
    </row>
    <row r="10" spans="1:15" ht="19.5" customHeight="1">
      <c r="A10" s="122"/>
      <c r="B10" s="26" t="s">
        <v>24</v>
      </c>
      <c r="C10" s="24" t="s">
        <v>25</v>
      </c>
      <c r="D10" s="24"/>
      <c r="E10" s="66" t="s">
        <v>0</v>
      </c>
      <c r="F10" s="712" t="str">
        <f>VLOOKUP(E1,datasiswa,5)</f>
        <v>Bojonegoro</v>
      </c>
      <c r="G10" s="123"/>
      <c r="H10" s="123"/>
      <c r="I10" s="123"/>
      <c r="J10" s="123"/>
      <c r="K10" s="123"/>
      <c r="L10" s="123"/>
      <c r="M10" s="122"/>
      <c r="N10" s="24"/>
      <c r="O10" s="24"/>
    </row>
    <row r="11" spans="1:15" ht="19.5" customHeight="1">
      <c r="A11" s="122"/>
      <c r="B11" s="26" t="s">
        <v>26</v>
      </c>
      <c r="C11" s="24" t="s">
        <v>8</v>
      </c>
      <c r="D11" s="24"/>
      <c r="E11" s="66" t="s">
        <v>0</v>
      </c>
      <c r="F11" s="763" t="str">
        <f>VLOOKUP(E1,datasiswa,7)</f>
        <v>L</v>
      </c>
      <c r="G11" s="763"/>
      <c r="H11" s="763"/>
      <c r="I11" s="763"/>
      <c r="J11" s="763"/>
      <c r="K11" s="763"/>
      <c r="L11" s="763"/>
      <c r="M11" s="122"/>
      <c r="N11" s="24"/>
      <c r="O11" s="24"/>
    </row>
    <row r="12" spans="1:15" ht="19.5" customHeight="1">
      <c r="A12" s="122"/>
      <c r="B12" s="26" t="s">
        <v>27</v>
      </c>
      <c r="C12" s="24" t="s">
        <v>9</v>
      </c>
      <c r="D12" s="24"/>
      <c r="E12" s="66" t="s">
        <v>0</v>
      </c>
      <c r="F12" s="763" t="str">
        <f>VLOOKUP(E1,datasiswa,8)</f>
        <v>Islam</v>
      </c>
      <c r="G12" s="763"/>
      <c r="H12" s="763"/>
      <c r="I12" s="763"/>
      <c r="J12" s="763"/>
      <c r="K12" s="763"/>
      <c r="L12" s="763"/>
      <c r="M12" s="122"/>
      <c r="N12" s="24"/>
      <c r="O12" s="24"/>
    </row>
    <row r="13" spans="1:15" ht="19.5" customHeight="1">
      <c r="A13" s="122"/>
      <c r="B13" s="26" t="s">
        <v>28</v>
      </c>
      <c r="C13" s="24" t="s">
        <v>2083</v>
      </c>
      <c r="D13" s="24"/>
      <c r="E13" s="66" t="s">
        <v>0</v>
      </c>
      <c r="F13" s="758"/>
      <c r="G13" s="758"/>
      <c r="H13" s="758"/>
      <c r="I13" s="758"/>
      <c r="J13" s="758"/>
      <c r="K13" s="758"/>
      <c r="L13" s="758"/>
      <c r="M13" s="122"/>
      <c r="N13" s="24"/>
      <c r="O13" s="24"/>
    </row>
    <row r="14" spans="1:15" ht="19.5" customHeight="1">
      <c r="A14" s="122"/>
      <c r="B14" s="26" t="s">
        <v>29</v>
      </c>
      <c r="C14" s="759" t="s">
        <v>10</v>
      </c>
      <c r="D14" s="759"/>
      <c r="E14" s="759"/>
      <c r="F14" s="759"/>
      <c r="G14" s="759"/>
      <c r="H14" s="759"/>
      <c r="I14" s="759"/>
      <c r="J14" s="759"/>
      <c r="K14" s="759"/>
      <c r="L14" s="759"/>
      <c r="M14" s="122"/>
      <c r="N14" s="24"/>
      <c r="O14" s="24"/>
    </row>
    <row r="15" spans="1:15" ht="19.5" customHeight="1">
      <c r="A15" s="122"/>
      <c r="B15" s="24"/>
      <c r="C15" s="26" t="s">
        <v>18</v>
      </c>
      <c r="D15" s="24" t="s">
        <v>30</v>
      </c>
      <c r="E15" s="66" t="s">
        <v>0</v>
      </c>
      <c r="F15" s="763">
        <f>VLOOKUP(E1,datasiswa,11)</f>
        <v>0</v>
      </c>
      <c r="G15" s="763"/>
      <c r="H15" s="763"/>
      <c r="I15" s="763"/>
      <c r="J15" s="763"/>
      <c r="K15" s="763"/>
      <c r="L15" s="763"/>
      <c r="M15" s="122"/>
      <c r="N15" s="24"/>
      <c r="O15" s="24"/>
    </row>
    <row r="16" spans="1:15" ht="19.5" customHeight="1">
      <c r="A16" s="122"/>
      <c r="B16" s="24"/>
      <c r="C16" s="26" t="s">
        <v>20</v>
      </c>
      <c r="D16" s="24" t="s">
        <v>2</v>
      </c>
      <c r="E16" s="66" t="s">
        <v>0</v>
      </c>
      <c r="F16" s="767" t="str">
        <f>VLOOKUP(E1,datasiswa,12)</f>
        <v>SUWONO</v>
      </c>
      <c r="G16" s="767"/>
      <c r="H16" s="767"/>
      <c r="I16" s="767"/>
      <c r="J16" s="767"/>
      <c r="K16" s="767"/>
      <c r="L16" s="767"/>
      <c r="M16" s="122"/>
      <c r="N16" s="24"/>
      <c r="O16" s="24"/>
    </row>
    <row r="17" spans="1:15" ht="19.5" customHeight="1">
      <c r="A17" s="122"/>
      <c r="B17" s="24"/>
      <c r="C17" s="27" t="s">
        <v>31</v>
      </c>
      <c r="D17" s="24" t="s">
        <v>32</v>
      </c>
      <c r="E17" s="66" t="s">
        <v>0</v>
      </c>
      <c r="F17" s="758">
        <f>VLOOKUP(E1,datasiswa,13)</f>
        <v>0</v>
      </c>
      <c r="G17" s="758"/>
      <c r="H17" s="758"/>
      <c r="I17" s="758"/>
      <c r="J17" s="758"/>
      <c r="K17" s="758"/>
      <c r="L17" s="758"/>
      <c r="M17" s="122"/>
      <c r="N17" s="24"/>
      <c r="O17" s="24"/>
    </row>
    <row r="18" spans="1:15" ht="19.5" customHeight="1">
      <c r="A18" s="122"/>
      <c r="B18" s="26" t="s">
        <v>33</v>
      </c>
      <c r="C18" s="24" t="s">
        <v>11</v>
      </c>
      <c r="D18" s="24"/>
      <c r="E18" s="66" t="s">
        <v>0</v>
      </c>
      <c r="F18" s="758" t="str">
        <f>VLOOKUP(E1,datasiswa,9)</f>
        <v>Jl. Lettu Suyitno Gg. Eyang Manis. Campurejo</v>
      </c>
      <c r="G18" s="758"/>
      <c r="H18" s="758"/>
      <c r="I18" s="758"/>
      <c r="J18" s="758"/>
      <c r="K18" s="758"/>
      <c r="L18" s="758"/>
      <c r="M18" s="122"/>
      <c r="N18" s="24"/>
      <c r="O18" s="24"/>
    </row>
    <row r="19" spans="1:15" ht="19.5" customHeight="1">
      <c r="A19" s="122"/>
      <c r="B19" s="26" t="s">
        <v>34</v>
      </c>
      <c r="C19" s="759" t="s">
        <v>35</v>
      </c>
      <c r="D19" s="759"/>
      <c r="E19" s="759"/>
      <c r="F19" s="759"/>
      <c r="G19" s="759"/>
      <c r="H19" s="759"/>
      <c r="I19" s="759"/>
      <c r="J19" s="759"/>
      <c r="K19" s="759"/>
      <c r="L19" s="759"/>
      <c r="M19" s="122"/>
      <c r="N19" s="24"/>
      <c r="O19" s="24"/>
    </row>
    <row r="20" spans="1:15" ht="19.5" customHeight="1">
      <c r="A20" s="122"/>
      <c r="B20" s="24"/>
      <c r="C20" s="26" t="s">
        <v>18</v>
      </c>
      <c r="D20" s="24" t="s">
        <v>36</v>
      </c>
      <c r="E20" s="66" t="s">
        <v>0</v>
      </c>
      <c r="F20" s="763" t="str">
        <f>VLOOKUP(E1,datasiswa,14)</f>
        <v>Peg. Swasta</v>
      </c>
      <c r="G20" s="763"/>
      <c r="H20" s="763"/>
      <c r="I20" s="763"/>
      <c r="J20" s="763"/>
      <c r="K20" s="763"/>
      <c r="L20" s="763"/>
      <c r="M20" s="122"/>
      <c r="N20" s="24"/>
      <c r="O20" s="24"/>
    </row>
    <row r="21" spans="1:15" ht="19.5" customHeight="1">
      <c r="A21" s="122"/>
      <c r="B21" s="24"/>
      <c r="C21" s="66"/>
      <c r="D21" s="27" t="s">
        <v>37</v>
      </c>
      <c r="E21" s="66" t="s">
        <v>0</v>
      </c>
      <c r="F21" s="758" t="str">
        <f>VLOOKUP(E1,datasiswa,15)</f>
        <v>NURUL FATMIATUN</v>
      </c>
      <c r="G21" s="758"/>
      <c r="H21" s="758"/>
      <c r="I21" s="758"/>
      <c r="J21" s="758"/>
      <c r="K21" s="758"/>
      <c r="L21" s="758"/>
      <c r="M21" s="122"/>
      <c r="N21" s="24"/>
      <c r="O21" s="24"/>
    </row>
    <row r="22" spans="1:15" ht="19.5" customHeight="1">
      <c r="A22" s="122"/>
      <c r="B22" s="24"/>
      <c r="C22" s="66"/>
      <c r="D22" s="27" t="s">
        <v>38</v>
      </c>
      <c r="E22" s="66" t="s">
        <v>0</v>
      </c>
      <c r="F22" s="758">
        <f>VLOOKUP(E1,datasiswa,16)</f>
        <v>0</v>
      </c>
      <c r="G22" s="758"/>
      <c r="H22" s="758"/>
      <c r="I22" s="758"/>
      <c r="J22" s="758"/>
      <c r="K22" s="758"/>
      <c r="L22" s="758"/>
      <c r="M22" s="122"/>
      <c r="N22" s="24"/>
      <c r="O22" s="24"/>
    </row>
    <row r="23" spans="1:15" ht="19.5" customHeight="1">
      <c r="A23" s="122"/>
      <c r="B23" s="24"/>
      <c r="C23" s="26" t="s">
        <v>20</v>
      </c>
      <c r="D23" s="24" t="s">
        <v>39</v>
      </c>
      <c r="E23" s="66" t="s">
        <v>0</v>
      </c>
      <c r="F23" s="758" t="str">
        <f>VLOOKUP(E1,datasiswa,18)</f>
        <v>085804321652</v>
      </c>
      <c r="G23" s="758"/>
      <c r="H23" s="758"/>
      <c r="I23" s="758"/>
      <c r="J23" s="758"/>
      <c r="K23" s="758"/>
      <c r="L23" s="758"/>
      <c r="M23" s="122"/>
      <c r="N23" s="24"/>
      <c r="O23" s="24"/>
    </row>
    <row r="24" spans="1:15" ht="19.5" customHeight="1">
      <c r="A24" s="122"/>
      <c r="B24" s="24"/>
      <c r="C24" s="66"/>
      <c r="D24" s="27" t="s">
        <v>37</v>
      </c>
      <c r="E24" s="66" t="s">
        <v>0</v>
      </c>
      <c r="F24" s="758">
        <f>VLOOKUP(E1,datasiswa,19)</f>
        <v>0</v>
      </c>
      <c r="G24" s="758"/>
      <c r="H24" s="758"/>
      <c r="I24" s="758"/>
      <c r="J24" s="758"/>
      <c r="K24" s="758"/>
      <c r="L24" s="758"/>
      <c r="M24" s="122"/>
      <c r="N24" s="24"/>
      <c r="O24" s="24"/>
    </row>
    <row r="25" spans="1:15" ht="19.5" customHeight="1">
      <c r="A25" s="122"/>
      <c r="B25" s="24"/>
      <c r="C25" s="66"/>
      <c r="D25" s="27" t="s">
        <v>38</v>
      </c>
      <c r="E25" s="66" t="s">
        <v>0</v>
      </c>
      <c r="F25" s="758">
        <f>VLOOKUP(E1,datasiswa,20)</f>
        <v>0</v>
      </c>
      <c r="G25" s="758"/>
      <c r="H25" s="758"/>
      <c r="I25" s="758"/>
      <c r="J25" s="758"/>
      <c r="K25" s="758"/>
      <c r="L25" s="758"/>
      <c r="M25" s="122"/>
      <c r="N25" s="24"/>
      <c r="O25" s="24"/>
    </row>
    <row r="26" spans="1:15" ht="19.5" customHeight="1">
      <c r="A26" s="122"/>
      <c r="B26" s="24"/>
      <c r="C26" s="26" t="s">
        <v>31</v>
      </c>
      <c r="D26" s="24" t="s">
        <v>2</v>
      </c>
      <c r="E26" s="66" t="s">
        <v>0</v>
      </c>
      <c r="F26" s="761">
        <f>VLOOKUP(E1,datasiswa,22)</f>
        <v>0</v>
      </c>
      <c r="G26" s="761"/>
      <c r="H26" s="761"/>
      <c r="I26" s="761"/>
      <c r="J26" s="761"/>
      <c r="K26" s="761"/>
      <c r="L26" s="28"/>
      <c r="M26" s="122"/>
      <c r="N26" s="24"/>
      <c r="O26" s="24"/>
    </row>
    <row r="27" spans="1:15" ht="19.5" customHeight="1">
      <c r="A27" s="122"/>
      <c r="B27" s="24"/>
      <c r="C27" s="24"/>
      <c r="D27" s="24"/>
      <c r="E27" s="24"/>
      <c r="F27" s="762"/>
      <c r="G27" s="762"/>
      <c r="H27" s="762"/>
      <c r="I27" s="762"/>
      <c r="J27" s="762"/>
      <c r="K27" s="762"/>
      <c r="L27" s="71"/>
      <c r="M27" s="122"/>
      <c r="N27" s="24"/>
      <c r="O27" s="24"/>
    </row>
    <row r="28" spans="1:15" ht="19.5" customHeight="1">
      <c r="A28" s="122"/>
      <c r="B28" s="26" t="s">
        <v>40</v>
      </c>
      <c r="C28" s="759" t="s">
        <v>12</v>
      </c>
      <c r="D28" s="759"/>
      <c r="E28" s="759"/>
      <c r="F28" s="759"/>
      <c r="G28" s="759"/>
      <c r="H28" s="759"/>
      <c r="I28" s="759"/>
      <c r="J28" s="759"/>
      <c r="K28" s="759"/>
      <c r="L28" s="759"/>
      <c r="M28" s="122"/>
      <c r="N28" s="24"/>
      <c r="O28" s="24"/>
    </row>
    <row r="29" spans="1:15" ht="19.5" customHeight="1">
      <c r="A29" s="122"/>
      <c r="B29" s="24"/>
      <c r="C29" s="26" t="s">
        <v>18</v>
      </c>
      <c r="D29" s="24" t="s">
        <v>13</v>
      </c>
      <c r="E29" s="66" t="s">
        <v>0</v>
      </c>
      <c r="F29" s="763">
        <f>VLOOKUP(E1,datasiswa,23)</f>
        <v>0</v>
      </c>
      <c r="G29" s="763"/>
      <c r="H29" s="763"/>
      <c r="I29" s="763"/>
      <c r="J29" s="763"/>
      <c r="K29" s="763"/>
      <c r="L29" s="763"/>
      <c r="M29" s="122"/>
      <c r="N29" s="24"/>
      <c r="O29" s="24"/>
    </row>
    <row r="30" spans="1:15" ht="19.5" customHeight="1">
      <c r="A30" s="122"/>
      <c r="B30" s="24"/>
      <c r="C30" s="26" t="s">
        <v>20</v>
      </c>
      <c r="D30" s="24" t="s">
        <v>14</v>
      </c>
      <c r="E30" s="66" t="s">
        <v>0</v>
      </c>
      <c r="F30" s="758">
        <f>VLOOKUP(E1,datasiswa,24)</f>
        <v>0</v>
      </c>
      <c r="G30" s="758"/>
      <c r="H30" s="758"/>
      <c r="I30" s="758"/>
      <c r="J30" s="758"/>
      <c r="K30" s="758"/>
      <c r="L30" s="758"/>
      <c r="M30" s="122"/>
      <c r="N30" s="24"/>
      <c r="O30" s="24"/>
    </row>
    <row r="31" spans="1:15" ht="19.5" customHeight="1">
      <c r="A31" s="122"/>
      <c r="B31" s="24"/>
      <c r="C31" s="26" t="s">
        <v>31</v>
      </c>
      <c r="D31" s="24" t="s">
        <v>15</v>
      </c>
      <c r="E31" s="66" t="s">
        <v>0</v>
      </c>
      <c r="F31" s="758">
        <f>VLOOKUP(E1,datasiswa,25)</f>
        <v>0</v>
      </c>
      <c r="G31" s="758"/>
      <c r="H31" s="758"/>
      <c r="I31" s="758"/>
      <c r="J31" s="758"/>
      <c r="K31" s="758"/>
      <c r="L31" s="758"/>
      <c r="M31" s="122"/>
      <c r="N31" s="24"/>
      <c r="O31" s="24"/>
    </row>
    <row r="32" spans="1:15" ht="19.5" customHeight="1">
      <c r="A32" s="122"/>
      <c r="B32" s="24"/>
      <c r="C32" s="26" t="s">
        <v>41</v>
      </c>
      <c r="D32" s="24" t="s">
        <v>2</v>
      </c>
      <c r="E32" s="66" t="s">
        <v>0</v>
      </c>
      <c r="F32" s="761">
        <f>VLOOKUP(E1,datasiswa,26)</f>
        <v>0</v>
      </c>
      <c r="G32" s="761"/>
      <c r="H32" s="761"/>
      <c r="I32" s="761"/>
      <c r="J32" s="761"/>
      <c r="K32" s="761"/>
      <c r="L32" s="761"/>
      <c r="M32" s="122"/>
      <c r="N32" s="24"/>
      <c r="O32" s="24"/>
    </row>
    <row r="33" spans="1:15" ht="19.5" customHeight="1">
      <c r="A33" s="122"/>
      <c r="B33" s="24"/>
      <c r="C33" s="24"/>
      <c r="D33" s="24"/>
      <c r="E33" s="24"/>
      <c r="F33" s="762"/>
      <c r="G33" s="762"/>
      <c r="H33" s="762"/>
      <c r="I33" s="762"/>
      <c r="J33" s="762"/>
      <c r="K33" s="762"/>
      <c r="L33" s="762"/>
      <c r="M33" s="122"/>
      <c r="N33" s="24"/>
      <c r="O33" s="24"/>
    </row>
    <row r="34" spans="1:15" ht="19.5" customHeight="1">
      <c r="A34" s="122"/>
      <c r="B34" s="24"/>
      <c r="C34" s="24"/>
      <c r="D34" s="24"/>
      <c r="E34" s="24"/>
      <c r="F34" s="202"/>
      <c r="G34" s="202"/>
      <c r="H34" s="202"/>
      <c r="I34" s="202"/>
      <c r="J34" s="202"/>
      <c r="K34" s="202"/>
      <c r="L34" s="202"/>
      <c r="M34" s="122"/>
      <c r="N34" s="24"/>
      <c r="O34" s="24"/>
    </row>
    <row r="35" spans="1:15" ht="19.5" customHeight="1">
      <c r="A35" s="122"/>
      <c r="B35" s="24"/>
      <c r="C35" s="24"/>
      <c r="D35" s="24"/>
      <c r="E35" s="24"/>
      <c r="F35" s="24"/>
      <c r="G35" s="24"/>
      <c r="H35" s="766" t="s">
        <v>141</v>
      </c>
      <c r="I35" s="766"/>
      <c r="J35" s="765" t="s">
        <v>2080</v>
      </c>
      <c r="K35" s="765"/>
      <c r="L35" s="24"/>
      <c r="M35" s="122"/>
    </row>
    <row r="36" spans="1:15" ht="19.5" customHeight="1">
      <c r="A36" s="122"/>
      <c r="B36" s="24"/>
      <c r="C36" s="24"/>
      <c r="D36" s="24"/>
      <c r="E36" s="24"/>
      <c r="F36" s="24"/>
      <c r="G36" s="24"/>
      <c r="H36" s="759" t="s">
        <v>2081</v>
      </c>
      <c r="I36" s="759"/>
      <c r="J36" s="759"/>
      <c r="K36" s="759"/>
      <c r="L36" s="24"/>
      <c r="M36" s="122"/>
    </row>
    <row r="37" spans="1:15" ht="19.5" customHeight="1">
      <c r="A37" s="122"/>
      <c r="B37" s="24"/>
      <c r="C37" s="24"/>
      <c r="D37" s="24"/>
      <c r="E37" s="24"/>
      <c r="F37" s="24"/>
      <c r="G37" s="24"/>
      <c r="H37" s="24"/>
      <c r="I37" s="24"/>
      <c r="J37" s="24"/>
      <c r="K37" s="24"/>
      <c r="L37" s="24"/>
      <c r="M37" s="122"/>
    </row>
    <row r="38" spans="1:15" ht="19.5" customHeight="1">
      <c r="A38" s="122"/>
      <c r="B38" s="24"/>
      <c r="C38" s="24"/>
      <c r="D38" s="24"/>
      <c r="E38" s="24"/>
      <c r="F38" s="24"/>
      <c r="G38" s="24"/>
      <c r="H38" s="24"/>
      <c r="I38" s="24"/>
      <c r="J38" s="24"/>
      <c r="K38" s="24"/>
      <c r="L38" s="24"/>
      <c r="M38" s="122"/>
    </row>
    <row r="39" spans="1:15" ht="19.5" customHeight="1">
      <c r="A39" s="122"/>
      <c r="B39" s="24"/>
      <c r="C39" s="24"/>
      <c r="D39" s="24"/>
      <c r="E39" s="24"/>
      <c r="F39" s="24"/>
      <c r="G39" s="24"/>
      <c r="H39" s="764" t="s">
        <v>2082</v>
      </c>
      <c r="I39" s="764"/>
      <c r="J39" s="764"/>
      <c r="K39" s="764"/>
      <c r="L39" s="24"/>
      <c r="M39" s="122"/>
    </row>
    <row r="40" spans="1:15" ht="19.5" customHeight="1">
      <c r="A40" s="122"/>
      <c r="B40" s="24"/>
      <c r="C40" s="24"/>
      <c r="D40" s="24"/>
      <c r="E40" s="24"/>
      <c r="F40" s="24"/>
      <c r="G40" s="24"/>
      <c r="H40" s="760"/>
      <c r="I40" s="760"/>
      <c r="J40" s="760"/>
      <c r="K40" s="760"/>
      <c r="L40" s="203"/>
      <c r="M40" s="122"/>
    </row>
    <row r="41" spans="1:15" ht="19.5" customHeight="1">
      <c r="A41" s="122"/>
      <c r="B41" s="122"/>
      <c r="C41" s="122"/>
      <c r="D41" s="122"/>
      <c r="E41" s="122"/>
      <c r="F41" s="122"/>
      <c r="G41" s="122"/>
      <c r="H41" s="122"/>
      <c r="I41" s="122"/>
      <c r="J41" s="122"/>
      <c r="K41" s="122"/>
      <c r="L41" s="122"/>
      <c r="M41" s="122"/>
    </row>
  </sheetData>
  <mergeCells count="39">
    <mergeCell ref="H1:J1"/>
    <mergeCell ref="K2:K3"/>
    <mergeCell ref="L2:L3"/>
    <mergeCell ref="C6:L6"/>
    <mergeCell ref="F7:L7"/>
    <mergeCell ref="B1:D3"/>
    <mergeCell ref="E1:F3"/>
    <mergeCell ref="F8:L8"/>
    <mergeCell ref="H2:I2"/>
    <mergeCell ref="H3:I3"/>
    <mergeCell ref="G2:G3"/>
    <mergeCell ref="F9:L9"/>
    <mergeCell ref="B4:L4"/>
    <mergeCell ref="F22:L22"/>
    <mergeCell ref="F23:L23"/>
    <mergeCell ref="F24:L24"/>
    <mergeCell ref="F21:L21"/>
    <mergeCell ref="F11:L11"/>
    <mergeCell ref="F12:L12"/>
    <mergeCell ref="F13:L13"/>
    <mergeCell ref="C14:L14"/>
    <mergeCell ref="F15:L15"/>
    <mergeCell ref="F16:L16"/>
    <mergeCell ref="F17:L17"/>
    <mergeCell ref="F18:L18"/>
    <mergeCell ref="C19:L19"/>
    <mergeCell ref="F20:L20"/>
    <mergeCell ref="F25:L25"/>
    <mergeCell ref="C28:L28"/>
    <mergeCell ref="H36:K36"/>
    <mergeCell ref="H40:K40"/>
    <mergeCell ref="F26:K27"/>
    <mergeCell ref="F29:L29"/>
    <mergeCell ref="F30:L30"/>
    <mergeCell ref="F31:L31"/>
    <mergeCell ref="F32:L33"/>
    <mergeCell ref="H39:K39"/>
    <mergeCell ref="J35:K35"/>
    <mergeCell ref="H35:I35"/>
  </mergeCells>
  <pageMargins left="0.62992125984251968" right="7.874015748031496E-2" top="0.86614173228346458" bottom="0.94488188976377963" header="0.31496062992125984" footer="0.31496062992125984"/>
  <pageSetup paperSize="25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6" r:id="rId4" name="Spinner 2">
              <controlPr defaultSize="0" autoPict="0">
                <anchor moveWithCells="1" sizeWithCells="1">
                  <from>
                    <xdr:col>12</xdr:col>
                    <xdr:colOff>0</xdr:colOff>
                    <xdr:row>7</xdr:row>
                    <xdr:rowOff>9525</xdr:rowOff>
                  </from>
                  <to>
                    <xdr:col>12</xdr:col>
                    <xdr:colOff>0</xdr:colOff>
                    <xdr:row>7</xdr:row>
                    <xdr:rowOff>238125</xdr:rowOff>
                  </to>
                </anchor>
              </controlPr>
            </control>
          </mc:Choice>
        </mc:AlternateContent>
        <mc:AlternateContent xmlns:mc="http://schemas.openxmlformats.org/markup-compatibility/2006">
          <mc:Choice Requires="x14">
            <control shapeId="6150" r:id="rId5" name="Spinner 6">
              <controlPr defaultSize="0" autoPict="0">
                <anchor moveWithCells="1" sizeWithCells="1">
                  <from>
                    <xdr:col>6</xdr:col>
                    <xdr:colOff>9525</xdr:colOff>
                    <xdr:row>0</xdr:row>
                    <xdr:rowOff>0</xdr:rowOff>
                  </from>
                  <to>
                    <xdr:col>6</xdr:col>
                    <xdr:colOff>400050</xdr:colOff>
                    <xdr:row>3</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R40"/>
  <sheetViews>
    <sheetView showGridLines="0" workbookViewId="0">
      <pane ySplit="4" topLeftCell="A5" activePane="bottomLeft" state="frozen"/>
      <selection pane="bottomLeft" activeCell="J5" sqref="J5"/>
    </sheetView>
  </sheetViews>
  <sheetFormatPr defaultColWidth="0" defaultRowHeight="0" customHeight="1" zeroHeight="1"/>
  <cols>
    <col min="1" max="1" width="16.7109375" style="76" customWidth="1"/>
    <col min="2" max="2" width="5.7109375" style="76" customWidth="1"/>
    <col min="3" max="3" width="38.42578125" style="76" customWidth="1"/>
    <col min="4" max="6" width="4.7109375" style="76" customWidth="1"/>
    <col min="7" max="8" width="2.7109375" style="76" customWidth="1"/>
    <col min="9" max="12" width="10.85546875" style="76" customWidth="1"/>
    <col min="13" max="13" width="9.140625" style="76" customWidth="1"/>
    <col min="14" max="18" width="0" style="76" hidden="1" customWidth="1"/>
    <col min="19" max="16384" width="9.140625" style="76" hidden="1"/>
  </cols>
  <sheetData>
    <row r="1" spans="1:13" ht="15" customHeight="1">
      <c r="A1" s="126"/>
      <c r="B1" s="127"/>
      <c r="C1" s="128"/>
      <c r="D1" s="128"/>
      <c r="E1" s="128"/>
      <c r="F1" s="129"/>
      <c r="G1" s="126"/>
      <c r="H1" s="126"/>
      <c r="I1" s="126"/>
      <c r="J1" s="126"/>
      <c r="K1" s="126"/>
      <c r="L1" s="126"/>
      <c r="M1" s="126"/>
    </row>
    <row r="2" spans="1:13" ht="15" customHeight="1">
      <c r="A2" s="126"/>
      <c r="B2" s="779" t="s">
        <v>1161</v>
      </c>
      <c r="C2" s="780"/>
      <c r="D2" s="780"/>
      <c r="E2" s="780"/>
      <c r="F2" s="781"/>
      <c r="G2" s="130"/>
      <c r="H2" s="130"/>
      <c r="I2" s="777" t="s">
        <v>1203</v>
      </c>
      <c r="J2" s="777"/>
      <c r="K2" s="777"/>
      <c r="L2" s="777"/>
      <c r="M2" s="126"/>
    </row>
    <row r="3" spans="1:13" ht="15" customHeight="1">
      <c r="A3" s="126"/>
      <c r="B3" s="782"/>
      <c r="C3" s="778"/>
      <c r="D3" s="778"/>
      <c r="E3" s="778"/>
      <c r="F3" s="781"/>
      <c r="G3" s="126"/>
      <c r="H3" s="126"/>
      <c r="I3" s="778"/>
      <c r="J3" s="778"/>
      <c r="K3" s="778"/>
      <c r="L3" s="778"/>
      <c r="M3" s="126"/>
    </row>
    <row r="4" spans="1:13" ht="34.5" customHeight="1">
      <c r="A4" s="126"/>
      <c r="B4" s="131" t="s">
        <v>71</v>
      </c>
      <c r="C4" s="132" t="s">
        <v>114</v>
      </c>
      <c r="D4" s="132" t="s">
        <v>1162</v>
      </c>
      <c r="E4" s="141" t="s">
        <v>70</v>
      </c>
      <c r="F4" s="132" t="s">
        <v>80</v>
      </c>
      <c r="G4" s="126"/>
      <c r="H4" s="126"/>
      <c r="I4" s="133" t="s">
        <v>1163</v>
      </c>
      <c r="J4" s="133" t="s">
        <v>1873</v>
      </c>
      <c r="K4" s="133" t="s">
        <v>1872</v>
      </c>
      <c r="L4" s="133" t="s">
        <v>1206</v>
      </c>
      <c r="M4" s="126"/>
    </row>
    <row r="5" spans="1:13" ht="15" customHeight="1">
      <c r="A5" s="126"/>
      <c r="B5" s="134">
        <v>1</v>
      </c>
      <c r="C5" s="135" t="str">
        <f>DATASISWA!E8</f>
        <v>Anindita Alya Magfiroh</v>
      </c>
      <c r="D5" s="125"/>
      <c r="E5" s="125"/>
      <c r="F5" s="125"/>
      <c r="G5" s="126"/>
      <c r="H5" s="126"/>
      <c r="I5" s="139" t="s">
        <v>1215</v>
      </c>
      <c r="J5" s="139" t="s">
        <v>1215</v>
      </c>
      <c r="K5" s="139" t="s">
        <v>1874</v>
      </c>
      <c r="L5" s="139" t="s">
        <v>1218</v>
      </c>
      <c r="M5" s="126"/>
    </row>
    <row r="6" spans="1:13" ht="15" customHeight="1">
      <c r="A6" s="126"/>
      <c r="B6" s="136">
        <v>2</v>
      </c>
      <c r="C6" s="135" t="str">
        <f>DATASISWA!E9</f>
        <v>Annisa Zahirotus. S</v>
      </c>
      <c r="D6" s="124"/>
      <c r="E6" s="124"/>
      <c r="F6" s="124"/>
      <c r="G6" s="126"/>
      <c r="H6" s="126"/>
      <c r="I6" s="139" t="s">
        <v>73</v>
      </c>
      <c r="J6" s="139" t="s">
        <v>1215</v>
      </c>
      <c r="K6" s="139" t="s">
        <v>1875</v>
      </c>
      <c r="L6" s="139" t="s">
        <v>1215</v>
      </c>
      <c r="M6" s="126"/>
    </row>
    <row r="7" spans="1:13" ht="15" customHeight="1">
      <c r="A7" s="126"/>
      <c r="B7" s="136">
        <v>3</v>
      </c>
      <c r="C7" s="135" t="str">
        <f>DATASISWA!E10</f>
        <v>A.Risky Syarifunnazal</v>
      </c>
      <c r="D7" s="124"/>
      <c r="E7" s="124"/>
      <c r="F7" s="124"/>
      <c r="G7" s="126"/>
      <c r="H7" s="126"/>
      <c r="I7" s="139" t="s">
        <v>73</v>
      </c>
      <c r="J7" s="139" t="s">
        <v>1215</v>
      </c>
      <c r="K7" s="139" t="s">
        <v>1876</v>
      </c>
      <c r="L7" s="139" t="s">
        <v>1215</v>
      </c>
      <c r="M7" s="126"/>
    </row>
    <row r="8" spans="1:13" ht="15" customHeight="1">
      <c r="A8" s="126"/>
      <c r="B8" s="136">
        <v>4</v>
      </c>
      <c r="C8" s="135" t="str">
        <f>DATASISWA!E11</f>
        <v>Aliya Noura K</v>
      </c>
      <c r="D8" s="124"/>
      <c r="E8" s="124"/>
      <c r="F8" s="124"/>
      <c r="G8" s="126"/>
      <c r="H8" s="126"/>
      <c r="I8" s="139" t="s">
        <v>1863</v>
      </c>
      <c r="J8" s="139" t="s">
        <v>1863</v>
      </c>
      <c r="K8" s="139" t="s">
        <v>1877</v>
      </c>
      <c r="L8" s="139" t="s">
        <v>1215</v>
      </c>
      <c r="M8" s="126"/>
    </row>
    <row r="9" spans="1:13" ht="15" customHeight="1">
      <c r="A9" s="126"/>
      <c r="B9" s="136">
        <v>5</v>
      </c>
      <c r="C9" s="135" t="str">
        <f>DATASISWA!E12</f>
        <v>Alifia Resya Putri Ramadhani</v>
      </c>
      <c r="D9" s="124"/>
      <c r="E9" s="124"/>
      <c r="F9" s="124"/>
      <c r="G9" s="126"/>
      <c r="H9" s="126"/>
      <c r="I9" s="139" t="s">
        <v>1863</v>
      </c>
      <c r="J9" s="139" t="s">
        <v>1863</v>
      </c>
      <c r="K9" s="139" t="s">
        <v>1878</v>
      </c>
      <c r="L9" s="139" t="s">
        <v>1218</v>
      </c>
      <c r="M9" s="126"/>
    </row>
    <row r="10" spans="1:13" ht="15" customHeight="1">
      <c r="A10" s="126"/>
      <c r="B10" s="136">
        <v>6</v>
      </c>
      <c r="C10" s="135" t="str">
        <f>DATASISWA!E13</f>
        <v>Fadhil Rahman</v>
      </c>
      <c r="D10" s="124"/>
      <c r="E10" s="124"/>
      <c r="F10" s="124"/>
      <c r="G10" s="126"/>
      <c r="H10" s="126"/>
      <c r="I10" s="139" t="s">
        <v>1863</v>
      </c>
      <c r="J10" s="139" t="s">
        <v>1863</v>
      </c>
      <c r="K10" s="139" t="s">
        <v>1879</v>
      </c>
      <c r="L10" s="139" t="s">
        <v>1215</v>
      </c>
      <c r="M10" s="126"/>
    </row>
    <row r="11" spans="1:13" ht="15" customHeight="1">
      <c r="A11" s="126"/>
      <c r="B11" s="136">
        <v>7</v>
      </c>
      <c r="C11" s="135" t="str">
        <f>DATASISWA!E14</f>
        <v>Griffin Uefa Syam Sabrin</v>
      </c>
      <c r="D11" s="124"/>
      <c r="E11" s="124"/>
      <c r="F11" s="124"/>
      <c r="G11" s="126"/>
      <c r="H11" s="126"/>
      <c r="I11" s="139" t="s">
        <v>1863</v>
      </c>
      <c r="J11" s="139" t="s">
        <v>1863</v>
      </c>
      <c r="K11" s="139" t="s">
        <v>1879</v>
      </c>
      <c r="L11" s="139" t="s">
        <v>80</v>
      </c>
      <c r="M11" s="126"/>
    </row>
    <row r="12" spans="1:13" ht="15" customHeight="1">
      <c r="A12" s="126"/>
      <c r="B12" s="136">
        <v>8</v>
      </c>
      <c r="C12" s="135" t="str">
        <f>DATASISWA!E15</f>
        <v>Khoiriya Uzlivatul Jannah</v>
      </c>
      <c r="D12" s="124"/>
      <c r="E12" s="124"/>
      <c r="F12" s="124"/>
      <c r="G12" s="126"/>
      <c r="H12" s="126"/>
      <c r="I12" s="139" t="s">
        <v>1863</v>
      </c>
      <c r="J12" s="139" t="s">
        <v>1863</v>
      </c>
      <c r="K12" s="139" t="s">
        <v>1879</v>
      </c>
      <c r="L12" s="139" t="s">
        <v>1218</v>
      </c>
      <c r="M12" s="126"/>
    </row>
    <row r="13" spans="1:13" ht="15" customHeight="1">
      <c r="A13" s="126"/>
      <c r="B13" s="136">
        <v>9</v>
      </c>
      <c r="C13" s="135" t="str">
        <f>DATASISWA!E16</f>
        <v>Nazlia Azelea Tiarany</v>
      </c>
      <c r="D13" s="124"/>
      <c r="E13" s="124"/>
      <c r="F13" s="124"/>
      <c r="G13" s="126"/>
      <c r="H13" s="126"/>
      <c r="I13" s="139" t="s">
        <v>1864</v>
      </c>
      <c r="J13" s="139" t="s">
        <v>1215</v>
      </c>
      <c r="K13" s="139" t="s">
        <v>1876</v>
      </c>
      <c r="L13" s="139" t="s">
        <v>1215</v>
      </c>
      <c r="M13" s="126"/>
    </row>
    <row r="14" spans="1:13" ht="15" customHeight="1">
      <c r="A14" s="126"/>
      <c r="B14" s="136">
        <v>10</v>
      </c>
      <c r="C14" s="135" t="str">
        <f>DATASISWA!E17</f>
        <v>Nero Alvind Nur Pratama</v>
      </c>
      <c r="D14" s="124"/>
      <c r="E14" s="124"/>
      <c r="F14" s="124"/>
      <c r="G14" s="126"/>
      <c r="H14" s="126"/>
      <c r="I14" s="139" t="s">
        <v>1863</v>
      </c>
      <c r="J14" s="139" t="s">
        <v>1218</v>
      </c>
      <c r="K14" s="139" t="s">
        <v>1880</v>
      </c>
      <c r="L14" s="139" t="s">
        <v>1215</v>
      </c>
      <c r="M14" s="126"/>
    </row>
    <row r="15" spans="1:13" ht="15" customHeight="1">
      <c r="A15" s="126"/>
      <c r="B15" s="136">
        <v>11</v>
      </c>
      <c r="C15" s="135" t="str">
        <f>DATASISWA!E18</f>
        <v>Prischa al maira rozida</v>
      </c>
      <c r="D15" s="124"/>
      <c r="E15" s="124"/>
      <c r="F15" s="124"/>
      <c r="G15" s="126"/>
      <c r="H15" s="126"/>
      <c r="I15" s="139" t="s">
        <v>1863</v>
      </c>
      <c r="J15" s="139" t="s">
        <v>80</v>
      </c>
      <c r="K15" s="139" t="s">
        <v>1879</v>
      </c>
      <c r="L15" s="139" t="s">
        <v>1215</v>
      </c>
      <c r="M15" s="126"/>
    </row>
    <row r="16" spans="1:13" ht="15" customHeight="1">
      <c r="A16" s="126"/>
      <c r="B16" s="136">
        <v>12</v>
      </c>
      <c r="C16" s="135" t="str">
        <f>DATASISWA!E19</f>
        <v>Qonita Aulia Nashiroh</v>
      </c>
      <c r="D16" s="124"/>
      <c r="E16" s="124"/>
      <c r="F16" s="124"/>
      <c r="G16" s="126"/>
      <c r="H16" s="126"/>
      <c r="I16" s="139" t="s">
        <v>1218</v>
      </c>
      <c r="J16" s="139" t="s">
        <v>1215</v>
      </c>
      <c r="K16" s="139" t="s">
        <v>1874</v>
      </c>
      <c r="L16" s="139" t="s">
        <v>1218</v>
      </c>
      <c r="M16" s="126"/>
    </row>
    <row r="17" spans="1:13" ht="15" customHeight="1">
      <c r="A17" s="126"/>
      <c r="B17" s="136">
        <v>13</v>
      </c>
      <c r="C17" s="135" t="str">
        <f>DATASISWA!E20</f>
        <v>Diajeng Pradnya Paramita</v>
      </c>
      <c r="D17" s="124"/>
      <c r="E17" s="124"/>
      <c r="F17" s="124"/>
      <c r="G17" s="126"/>
      <c r="H17" s="126"/>
      <c r="I17" s="139" t="s">
        <v>1215</v>
      </c>
      <c r="J17" s="139" t="s">
        <v>1215</v>
      </c>
      <c r="K17" s="139" t="s">
        <v>1877</v>
      </c>
      <c r="L17" s="139" t="s">
        <v>1215</v>
      </c>
      <c r="M17" s="126"/>
    </row>
    <row r="18" spans="1:13" ht="15" customHeight="1">
      <c r="A18" s="126"/>
      <c r="B18" s="136">
        <v>14</v>
      </c>
      <c r="C18" s="135" t="str">
        <f>DATASISWA!E21</f>
        <v>Moch. Radit Danu Arta</v>
      </c>
      <c r="D18" s="124"/>
      <c r="E18" s="124"/>
      <c r="F18" s="124"/>
      <c r="G18" s="126"/>
      <c r="H18" s="126"/>
      <c r="I18" s="139" t="s">
        <v>1215</v>
      </c>
      <c r="J18" s="139" t="s">
        <v>1218</v>
      </c>
      <c r="K18" s="139" t="s">
        <v>1876</v>
      </c>
      <c r="L18" s="139" t="s">
        <v>1215</v>
      </c>
      <c r="M18" s="126"/>
    </row>
    <row r="19" spans="1:13" ht="15" customHeight="1">
      <c r="A19" s="126"/>
      <c r="B19" s="136">
        <v>15</v>
      </c>
      <c r="C19" s="135" t="str">
        <f>DATASISWA!E22</f>
        <v>Titania Angelina Saputri</v>
      </c>
      <c r="D19" s="124"/>
      <c r="E19" s="124"/>
      <c r="F19" s="124"/>
      <c r="G19" s="126"/>
      <c r="H19" s="126"/>
      <c r="I19" s="139" t="s">
        <v>1864</v>
      </c>
      <c r="J19" s="139" t="s">
        <v>1863</v>
      </c>
      <c r="K19" s="139" t="s">
        <v>1881</v>
      </c>
      <c r="L19" s="139" t="s">
        <v>1215</v>
      </c>
      <c r="M19" s="126"/>
    </row>
    <row r="20" spans="1:13" ht="15" customHeight="1">
      <c r="A20" s="126"/>
      <c r="B20" s="136">
        <v>16</v>
      </c>
      <c r="C20" s="135">
        <f>DATASISWA!E23</f>
        <v>0</v>
      </c>
      <c r="D20" s="124"/>
      <c r="E20" s="124"/>
      <c r="F20" s="124"/>
      <c r="G20" s="126"/>
      <c r="H20" s="126"/>
      <c r="I20" s="139" t="s">
        <v>1215</v>
      </c>
      <c r="J20" s="139" t="s">
        <v>1215</v>
      </c>
      <c r="K20" s="139" t="s">
        <v>1877</v>
      </c>
      <c r="L20" s="139" t="s">
        <v>1215</v>
      </c>
      <c r="M20" s="126"/>
    </row>
    <row r="21" spans="1:13" ht="15" customHeight="1">
      <c r="A21" s="126"/>
      <c r="B21" s="136">
        <v>17</v>
      </c>
      <c r="C21" s="135">
        <f>DATASISWA!E24</f>
        <v>0</v>
      </c>
      <c r="D21" s="124"/>
      <c r="E21" s="124"/>
      <c r="F21" s="124"/>
      <c r="G21" s="126"/>
      <c r="H21" s="126"/>
      <c r="I21" s="139" t="s">
        <v>1863</v>
      </c>
      <c r="J21" s="139" t="s">
        <v>1863</v>
      </c>
      <c r="K21" s="139" t="s">
        <v>1880</v>
      </c>
      <c r="L21" s="139" t="s">
        <v>1218</v>
      </c>
      <c r="M21" s="126"/>
    </row>
    <row r="22" spans="1:13" ht="15" customHeight="1">
      <c r="A22" s="126"/>
      <c r="B22" s="136">
        <v>18</v>
      </c>
      <c r="C22" s="135">
        <f>DATASISWA!E25</f>
        <v>0</v>
      </c>
      <c r="D22" s="124"/>
      <c r="E22" s="124"/>
      <c r="F22" s="124"/>
      <c r="G22" s="126"/>
      <c r="H22" s="126"/>
      <c r="I22" s="139" t="s">
        <v>1863</v>
      </c>
      <c r="J22" s="139" t="s">
        <v>1863</v>
      </c>
      <c r="K22" s="139" t="s">
        <v>1878</v>
      </c>
      <c r="L22" s="139" t="s">
        <v>1215</v>
      </c>
      <c r="M22" s="126"/>
    </row>
    <row r="23" spans="1:13" ht="15" customHeight="1">
      <c r="A23" s="126"/>
      <c r="B23" s="136">
        <v>19</v>
      </c>
      <c r="C23" s="135">
        <f>DATASISWA!E26</f>
        <v>0</v>
      </c>
      <c r="D23" s="124"/>
      <c r="E23" s="124"/>
      <c r="F23" s="124"/>
      <c r="G23" s="126"/>
      <c r="H23" s="126"/>
      <c r="I23" s="139" t="s">
        <v>73</v>
      </c>
      <c r="J23" s="139" t="s">
        <v>73</v>
      </c>
      <c r="K23" s="139" t="s">
        <v>1882</v>
      </c>
      <c r="L23" s="139" t="s">
        <v>1215</v>
      </c>
      <c r="M23" s="126"/>
    </row>
    <row r="24" spans="1:13" ht="15" customHeight="1">
      <c r="A24" s="126"/>
      <c r="B24" s="136">
        <v>20</v>
      </c>
      <c r="C24" s="135">
        <f>DATASISWA!E27</f>
        <v>0</v>
      </c>
      <c r="D24" s="124"/>
      <c r="E24" s="124"/>
      <c r="F24" s="124"/>
      <c r="G24" s="126"/>
      <c r="H24" s="126"/>
      <c r="I24" s="139" t="s">
        <v>1864</v>
      </c>
      <c r="J24" s="139" t="s">
        <v>1218</v>
      </c>
      <c r="K24" s="139" t="s">
        <v>1881</v>
      </c>
      <c r="L24" s="139" t="s">
        <v>1215</v>
      </c>
      <c r="M24" s="126"/>
    </row>
    <row r="25" spans="1:13" ht="15" customHeight="1">
      <c r="A25" s="126"/>
      <c r="B25" s="136">
        <v>21</v>
      </c>
      <c r="C25" s="135">
        <f>DATASISWA!E28</f>
        <v>0</v>
      </c>
      <c r="D25" s="124"/>
      <c r="E25" s="124"/>
      <c r="F25" s="124"/>
      <c r="G25" s="126"/>
      <c r="H25" s="126"/>
      <c r="I25" s="139" t="s">
        <v>1863</v>
      </c>
      <c r="J25" s="139" t="s">
        <v>1863</v>
      </c>
      <c r="K25" s="139" t="s">
        <v>1879</v>
      </c>
      <c r="L25" s="139" t="s">
        <v>1218</v>
      </c>
      <c r="M25" s="126"/>
    </row>
    <row r="26" spans="1:13" ht="15" customHeight="1">
      <c r="A26" s="126"/>
      <c r="B26" s="136">
        <v>22</v>
      </c>
      <c r="C26" s="135">
        <f>DATASISWA!E29</f>
        <v>0</v>
      </c>
      <c r="D26" s="124"/>
      <c r="E26" s="124"/>
      <c r="F26" s="124"/>
      <c r="G26" s="126"/>
      <c r="H26" s="126"/>
      <c r="I26" s="139" t="s">
        <v>1218</v>
      </c>
      <c r="J26" s="139" t="s">
        <v>1218</v>
      </c>
      <c r="K26" s="139" t="s">
        <v>1874</v>
      </c>
      <c r="L26" s="139" t="s">
        <v>1215</v>
      </c>
      <c r="M26" s="126"/>
    </row>
    <row r="27" spans="1:13" ht="15" customHeight="1">
      <c r="A27" s="126"/>
      <c r="B27" s="136">
        <v>23</v>
      </c>
      <c r="C27" s="135">
        <f>DATASISWA!E30</f>
        <v>0</v>
      </c>
      <c r="D27" s="124"/>
      <c r="E27" s="124"/>
      <c r="F27" s="124"/>
      <c r="G27" s="126"/>
      <c r="H27" s="126"/>
      <c r="I27" s="139" t="s">
        <v>1863</v>
      </c>
      <c r="J27" s="139" t="s">
        <v>1863</v>
      </c>
      <c r="K27" s="139" t="s">
        <v>1877</v>
      </c>
      <c r="L27" s="139" t="s">
        <v>1215</v>
      </c>
      <c r="M27" s="126"/>
    </row>
    <row r="28" spans="1:13" ht="15" customHeight="1">
      <c r="A28" s="126"/>
      <c r="B28" s="136">
        <v>24</v>
      </c>
      <c r="C28" s="135">
        <f>DATASISWA!E31</f>
        <v>0</v>
      </c>
      <c r="D28" s="124"/>
      <c r="E28" s="124"/>
      <c r="F28" s="124"/>
      <c r="G28" s="126"/>
      <c r="H28" s="126"/>
      <c r="I28" s="139" t="s">
        <v>1215</v>
      </c>
      <c r="J28" s="139" t="s">
        <v>1215</v>
      </c>
      <c r="K28" s="139" t="s">
        <v>1881</v>
      </c>
      <c r="L28" s="139" t="s">
        <v>1218</v>
      </c>
      <c r="M28" s="126"/>
    </row>
    <row r="29" spans="1:13" ht="15" customHeight="1">
      <c r="A29" s="126"/>
      <c r="B29" s="136">
        <v>25</v>
      </c>
      <c r="C29" s="135">
        <f>DATASISWA!E32</f>
        <v>0</v>
      </c>
      <c r="D29" s="124"/>
      <c r="E29" s="124"/>
      <c r="F29" s="124"/>
      <c r="G29" s="126"/>
      <c r="H29" s="126"/>
      <c r="I29" s="139"/>
      <c r="J29" s="139"/>
      <c r="K29" s="139"/>
      <c r="L29" s="139"/>
      <c r="M29" s="126"/>
    </row>
    <row r="30" spans="1:13" ht="15" customHeight="1">
      <c r="A30" s="126"/>
      <c r="B30" s="136">
        <v>26</v>
      </c>
      <c r="C30" s="135">
        <f>DATASISWA!E33</f>
        <v>0</v>
      </c>
      <c r="D30" s="124"/>
      <c r="E30" s="124"/>
      <c r="F30" s="124"/>
      <c r="G30" s="126"/>
      <c r="H30" s="126"/>
      <c r="I30" s="139"/>
      <c r="J30" s="139"/>
      <c r="K30" s="139"/>
      <c r="L30" s="139"/>
      <c r="M30" s="126"/>
    </row>
    <row r="31" spans="1:13" ht="15" customHeight="1">
      <c r="A31" s="126"/>
      <c r="B31" s="136">
        <v>27</v>
      </c>
      <c r="C31" s="135">
        <f>DATASISWA!E34</f>
        <v>0</v>
      </c>
      <c r="D31" s="124"/>
      <c r="E31" s="124"/>
      <c r="F31" s="124"/>
      <c r="G31" s="126"/>
      <c r="H31" s="126"/>
      <c r="I31" s="139"/>
      <c r="J31" s="139"/>
      <c r="K31" s="139"/>
      <c r="L31" s="139"/>
      <c r="M31" s="126"/>
    </row>
    <row r="32" spans="1:13" ht="15" customHeight="1">
      <c r="A32" s="126"/>
      <c r="B32" s="136">
        <v>28</v>
      </c>
      <c r="C32" s="135">
        <f>DATASISWA!E35</f>
        <v>0</v>
      </c>
      <c r="D32" s="124"/>
      <c r="E32" s="124"/>
      <c r="F32" s="124"/>
      <c r="G32" s="126"/>
      <c r="H32" s="126"/>
      <c r="I32" s="139"/>
      <c r="J32" s="139"/>
      <c r="K32" s="139"/>
      <c r="L32" s="139"/>
      <c r="M32" s="126"/>
    </row>
    <row r="33" spans="1:13" ht="15" customHeight="1">
      <c r="A33" s="126"/>
      <c r="B33" s="136">
        <v>29</v>
      </c>
      <c r="C33" s="135">
        <f>DATASISWA!E36</f>
        <v>0</v>
      </c>
      <c r="D33" s="124"/>
      <c r="E33" s="124"/>
      <c r="F33" s="124"/>
      <c r="G33" s="126"/>
      <c r="H33" s="126"/>
      <c r="I33" s="139"/>
      <c r="J33" s="139"/>
      <c r="K33" s="139"/>
      <c r="L33" s="139"/>
      <c r="M33" s="126"/>
    </row>
    <row r="34" spans="1:13" ht="15" customHeight="1">
      <c r="A34" s="126"/>
      <c r="B34" s="136">
        <v>30</v>
      </c>
      <c r="C34" s="135">
        <f>DATASISWA!E37</f>
        <v>0</v>
      </c>
      <c r="D34" s="124"/>
      <c r="E34" s="124"/>
      <c r="F34" s="124"/>
      <c r="G34" s="126"/>
      <c r="H34" s="126"/>
      <c r="I34" s="139"/>
      <c r="J34" s="139"/>
      <c r="K34" s="139"/>
      <c r="L34" s="139"/>
      <c r="M34" s="126"/>
    </row>
    <row r="35" spans="1:13" ht="15" customHeight="1">
      <c r="A35" s="137"/>
      <c r="B35" s="137"/>
      <c r="C35" s="137"/>
      <c r="D35" s="137"/>
      <c r="E35" s="137"/>
      <c r="F35" s="137"/>
      <c r="G35" s="137"/>
      <c r="H35" s="126"/>
      <c r="I35" s="126"/>
      <c r="J35" s="126"/>
      <c r="K35" s="126"/>
      <c r="L35" s="126"/>
      <c r="M35" s="126"/>
    </row>
    <row r="36" spans="1:13" ht="15" hidden="1" customHeight="1">
      <c r="A36" s="138"/>
      <c r="B36" s="138"/>
      <c r="C36" s="138"/>
      <c r="D36" s="138"/>
      <c r="E36" s="138"/>
      <c r="F36" s="138"/>
      <c r="G36" s="138"/>
    </row>
    <row r="37" spans="1:13" ht="15" hidden="1" customHeight="1">
      <c r="A37" s="138"/>
      <c r="B37" s="138"/>
      <c r="C37" s="138"/>
      <c r="D37" s="138"/>
      <c r="E37" s="138"/>
      <c r="F37" s="138"/>
      <c r="G37" s="138"/>
    </row>
    <row r="38" spans="1:13" ht="15" hidden="1" customHeight="1">
      <c r="A38" s="138"/>
      <c r="B38" s="138"/>
      <c r="C38" s="138"/>
      <c r="D38" s="138"/>
      <c r="E38" s="138"/>
      <c r="F38" s="138"/>
      <c r="G38" s="138"/>
    </row>
    <row r="39" spans="1:13" ht="15" hidden="1" customHeight="1">
      <c r="A39" s="138"/>
      <c r="B39" s="138"/>
      <c r="C39" s="138"/>
      <c r="D39" s="138"/>
      <c r="E39" s="138"/>
      <c r="F39" s="138"/>
      <c r="G39" s="138"/>
    </row>
    <row r="40" spans="1:13" ht="15" hidden="1" customHeight="1">
      <c r="A40" s="138"/>
      <c r="B40" s="138"/>
      <c r="C40" s="138"/>
      <c r="D40" s="138"/>
      <c r="E40" s="138"/>
      <c r="F40" s="138"/>
      <c r="G40" s="138"/>
    </row>
  </sheetData>
  <mergeCells count="2">
    <mergeCell ref="I2:L3"/>
    <mergeCell ref="B2:F3"/>
  </mergeCells>
  <conditionalFormatting sqref="B5:H34 G3:H6">
    <cfRule type="expression" dxfId="1" priority="2">
      <formula>$D3&gt;JmlhSiswa</formula>
    </cfRule>
  </conditionalFormatting>
  <conditionalFormatting sqref="D5:F27">
    <cfRule type="expression" dxfId="0" priority="1">
      <formula>$D5&gt;JmlhSiswa</formula>
    </cfRule>
  </conditionalFormatting>
  <pageMargins left="0.39370078740157483" right="0.19685039370078741" top="0.74803149606299213" bottom="0.74803149606299213" header="0.31496062992125984" footer="0.31496062992125984"/>
  <pageSetup paperSize="9" orientation="portrait" horizontalDpi="4294967293"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WWY109"/>
  <sheetViews>
    <sheetView showGridLines="0" showRowColHeaders="0" workbookViewId="0">
      <pane ySplit="9" topLeftCell="A10" activePane="bottomLeft" state="frozen"/>
      <selection pane="bottomLeft" activeCell="D10" sqref="D10"/>
    </sheetView>
  </sheetViews>
  <sheetFormatPr defaultColWidth="0" defaultRowHeight="14.25" zeroHeight="1"/>
  <cols>
    <col min="1" max="1" width="16.7109375" style="3" customWidth="1"/>
    <col min="2" max="2" width="4" style="23" customWidth="1"/>
    <col min="3" max="3" width="41.85546875" style="3" customWidth="1"/>
    <col min="4" max="11" width="5.7109375" style="3" customWidth="1"/>
    <col min="12" max="12" width="4.42578125" style="3" customWidth="1"/>
    <col min="13" max="14" width="4.42578125" style="3" hidden="1"/>
    <col min="15" max="15" width="6.42578125" style="3" hidden="1"/>
    <col min="16" max="17" width="4.42578125" style="3" hidden="1"/>
    <col min="18" max="18" width="6.42578125" style="3" hidden="1"/>
    <col min="19" max="20" width="4.42578125" style="3" hidden="1"/>
    <col min="21" max="21" width="6.42578125" style="3" hidden="1"/>
    <col min="22" max="23" width="4.42578125" style="3" hidden="1"/>
    <col min="24" max="24" width="6.42578125" style="3" hidden="1"/>
    <col min="25" max="26" width="4.42578125" style="3" hidden="1"/>
    <col min="27" max="27" width="6.42578125" style="3" hidden="1"/>
    <col min="28" max="29" width="4.42578125" style="3" hidden="1"/>
    <col min="30" max="30" width="6.42578125" style="3" hidden="1"/>
    <col min="31" max="32" width="4.42578125" style="3" hidden="1"/>
    <col min="33" max="33" width="6.42578125" style="3" hidden="1"/>
    <col min="34" max="35" width="4.42578125" style="3" hidden="1"/>
    <col min="36" max="36" width="6.42578125" style="3" hidden="1"/>
    <col min="37" max="38" width="4.42578125" style="21" hidden="1"/>
    <col min="39" max="39" width="6.42578125" style="21" hidden="1"/>
    <col min="40" max="40" width="5.7109375" style="21" hidden="1"/>
    <col min="41" max="41" width="15" style="22" hidden="1"/>
    <col min="42" max="260" width="9.140625" style="3" hidden="1"/>
    <col min="261" max="261" width="6.28515625" style="3" hidden="1"/>
    <col min="262" max="262" width="28.140625" style="3" hidden="1"/>
    <col min="263" max="263" width="9.85546875" style="3" hidden="1"/>
    <col min="264" max="296" width="5.7109375" style="3" hidden="1"/>
    <col min="297" max="297" width="15" style="3" hidden="1"/>
    <col min="298" max="516" width="9.140625" style="3" hidden="1"/>
    <col min="517" max="517" width="6.28515625" style="3" hidden="1"/>
    <col min="518" max="518" width="28.140625" style="3" hidden="1"/>
    <col min="519" max="519" width="9.85546875" style="3" hidden="1"/>
    <col min="520" max="552" width="5.7109375" style="3" hidden="1"/>
    <col min="553" max="553" width="15" style="3" hidden="1"/>
    <col min="554" max="772" width="9.140625" style="3" hidden="1"/>
    <col min="773" max="773" width="6.28515625" style="3" hidden="1"/>
    <col min="774" max="774" width="28.140625" style="3" hidden="1"/>
    <col min="775" max="775" width="9.85546875" style="3" hidden="1"/>
    <col min="776" max="808" width="5.7109375" style="3" hidden="1"/>
    <col min="809" max="809" width="15" style="3" hidden="1"/>
    <col min="810" max="1028" width="9.140625" style="3" hidden="1"/>
    <col min="1029" max="1029" width="6.28515625" style="3" hidden="1"/>
    <col min="1030" max="1030" width="28.140625" style="3" hidden="1"/>
    <col min="1031" max="1031" width="9.85546875" style="3" hidden="1"/>
    <col min="1032" max="1064" width="5.7109375" style="3" hidden="1"/>
    <col min="1065" max="1065" width="15" style="3" hidden="1"/>
    <col min="1066" max="1284" width="9.140625" style="3" hidden="1"/>
    <col min="1285" max="1285" width="6.28515625" style="3" hidden="1"/>
    <col min="1286" max="1286" width="28.140625" style="3" hidden="1"/>
    <col min="1287" max="1287" width="9.85546875" style="3" hidden="1"/>
    <col min="1288" max="1320" width="5.7109375" style="3" hidden="1"/>
    <col min="1321" max="1321" width="15" style="3" hidden="1"/>
    <col min="1322" max="1540" width="9.140625" style="3" hidden="1"/>
    <col min="1541" max="1541" width="6.28515625" style="3" hidden="1"/>
    <col min="1542" max="1542" width="28.140625" style="3" hidden="1"/>
    <col min="1543" max="1543" width="9.85546875" style="3" hidden="1"/>
    <col min="1544" max="1576" width="5.7109375" style="3" hidden="1"/>
    <col min="1577" max="1577" width="15" style="3" hidden="1"/>
    <col min="1578" max="1796" width="9.140625" style="3" hidden="1"/>
    <col min="1797" max="1797" width="6.28515625" style="3" hidden="1"/>
    <col min="1798" max="1798" width="28.140625" style="3" hidden="1"/>
    <col min="1799" max="1799" width="9.85546875" style="3" hidden="1"/>
    <col min="1800" max="1832" width="5.7109375" style="3" hidden="1"/>
    <col min="1833" max="1833" width="15" style="3" hidden="1"/>
    <col min="1834" max="2052" width="9.140625" style="3" hidden="1"/>
    <col min="2053" max="2053" width="6.28515625" style="3" hidden="1"/>
    <col min="2054" max="2054" width="28.140625" style="3" hidden="1"/>
    <col min="2055" max="2055" width="9.85546875" style="3" hidden="1"/>
    <col min="2056" max="2088" width="5.7109375" style="3" hidden="1"/>
    <col min="2089" max="2089" width="15" style="3" hidden="1"/>
    <col min="2090" max="2308" width="9.140625" style="3" hidden="1"/>
    <col min="2309" max="2309" width="6.28515625" style="3" hidden="1"/>
    <col min="2310" max="2310" width="28.140625" style="3" hidden="1"/>
    <col min="2311" max="2311" width="9.85546875" style="3" hidden="1"/>
    <col min="2312" max="2344" width="5.7109375" style="3" hidden="1"/>
    <col min="2345" max="2345" width="15" style="3" hidden="1"/>
    <col min="2346" max="2564" width="9.140625" style="3" hidden="1"/>
    <col min="2565" max="2565" width="6.28515625" style="3" hidden="1"/>
    <col min="2566" max="2566" width="28.140625" style="3" hidden="1"/>
    <col min="2567" max="2567" width="9.85546875" style="3" hidden="1"/>
    <col min="2568" max="2600" width="5.7109375" style="3" hidden="1"/>
    <col min="2601" max="2601" width="15" style="3" hidden="1"/>
    <col min="2602" max="2820" width="9.140625" style="3" hidden="1"/>
    <col min="2821" max="2821" width="6.28515625" style="3" hidden="1"/>
    <col min="2822" max="2822" width="28.140625" style="3" hidden="1"/>
    <col min="2823" max="2823" width="9.85546875" style="3" hidden="1"/>
    <col min="2824" max="2856" width="5.7109375" style="3" hidden="1"/>
    <col min="2857" max="2857" width="15" style="3" hidden="1"/>
    <col min="2858" max="3076" width="9.140625" style="3" hidden="1"/>
    <col min="3077" max="3077" width="6.28515625" style="3" hidden="1"/>
    <col min="3078" max="3078" width="28.140625" style="3" hidden="1"/>
    <col min="3079" max="3079" width="9.85546875" style="3" hidden="1"/>
    <col min="3080" max="3112" width="5.7109375" style="3" hidden="1"/>
    <col min="3113" max="3113" width="15" style="3" hidden="1"/>
    <col min="3114" max="3332" width="9.140625" style="3" hidden="1"/>
    <col min="3333" max="3333" width="6.28515625" style="3" hidden="1"/>
    <col min="3334" max="3334" width="28.140625" style="3" hidden="1"/>
    <col min="3335" max="3335" width="9.85546875" style="3" hidden="1"/>
    <col min="3336" max="3368" width="5.7109375" style="3" hidden="1"/>
    <col min="3369" max="3369" width="15" style="3" hidden="1"/>
    <col min="3370" max="3588" width="9.140625" style="3" hidden="1"/>
    <col min="3589" max="3589" width="6.28515625" style="3" hidden="1"/>
    <col min="3590" max="3590" width="28.140625" style="3" hidden="1"/>
    <col min="3591" max="3591" width="9.85546875" style="3" hidden="1"/>
    <col min="3592" max="3624" width="5.7109375" style="3" hidden="1"/>
    <col min="3625" max="3625" width="15" style="3" hidden="1"/>
    <col min="3626" max="3844" width="9.140625" style="3" hidden="1"/>
    <col min="3845" max="3845" width="6.28515625" style="3" hidden="1"/>
    <col min="3846" max="3846" width="28.140625" style="3" hidden="1"/>
    <col min="3847" max="3847" width="9.85546875" style="3" hidden="1"/>
    <col min="3848" max="3880" width="5.7109375" style="3" hidden="1"/>
    <col min="3881" max="3881" width="15" style="3" hidden="1"/>
    <col min="3882" max="4100" width="9.140625" style="3" hidden="1"/>
    <col min="4101" max="4101" width="6.28515625" style="3" hidden="1"/>
    <col min="4102" max="4102" width="28.140625" style="3" hidden="1"/>
    <col min="4103" max="4103" width="9.85546875" style="3" hidden="1"/>
    <col min="4104" max="4136" width="5.7109375" style="3" hidden="1"/>
    <col min="4137" max="4137" width="15" style="3" hidden="1"/>
    <col min="4138" max="4356" width="9.140625" style="3" hidden="1"/>
    <col min="4357" max="4357" width="6.28515625" style="3" hidden="1"/>
    <col min="4358" max="4358" width="28.140625" style="3" hidden="1"/>
    <col min="4359" max="4359" width="9.85546875" style="3" hidden="1"/>
    <col min="4360" max="4392" width="5.7109375" style="3" hidden="1"/>
    <col min="4393" max="4393" width="15" style="3" hidden="1"/>
    <col min="4394" max="4612" width="9.140625" style="3" hidden="1"/>
    <col min="4613" max="4613" width="6.28515625" style="3" hidden="1"/>
    <col min="4614" max="4614" width="28.140625" style="3" hidden="1"/>
    <col min="4615" max="4615" width="9.85546875" style="3" hidden="1"/>
    <col min="4616" max="4648" width="5.7109375" style="3" hidden="1"/>
    <col min="4649" max="4649" width="15" style="3" hidden="1"/>
    <col min="4650" max="4868" width="9.140625" style="3" hidden="1"/>
    <col min="4869" max="4869" width="6.28515625" style="3" hidden="1"/>
    <col min="4870" max="4870" width="28.140625" style="3" hidden="1"/>
    <col min="4871" max="4871" width="9.85546875" style="3" hidden="1"/>
    <col min="4872" max="4904" width="5.7109375" style="3" hidden="1"/>
    <col min="4905" max="4905" width="15" style="3" hidden="1"/>
    <col min="4906" max="5124" width="9.140625" style="3" hidden="1"/>
    <col min="5125" max="5125" width="6.28515625" style="3" hidden="1"/>
    <col min="5126" max="5126" width="28.140625" style="3" hidden="1"/>
    <col min="5127" max="5127" width="9.85546875" style="3" hidden="1"/>
    <col min="5128" max="5160" width="5.7109375" style="3" hidden="1"/>
    <col min="5161" max="5161" width="15" style="3" hidden="1"/>
    <col min="5162" max="5380" width="9.140625" style="3" hidden="1"/>
    <col min="5381" max="5381" width="6.28515625" style="3" hidden="1"/>
    <col min="5382" max="5382" width="28.140625" style="3" hidden="1"/>
    <col min="5383" max="5383" width="9.85546875" style="3" hidden="1"/>
    <col min="5384" max="5416" width="5.7109375" style="3" hidden="1"/>
    <col min="5417" max="5417" width="15" style="3" hidden="1"/>
    <col min="5418" max="5636" width="9.140625" style="3" hidden="1"/>
    <col min="5637" max="5637" width="6.28515625" style="3" hidden="1"/>
    <col min="5638" max="5638" width="28.140625" style="3" hidden="1"/>
    <col min="5639" max="5639" width="9.85546875" style="3" hidden="1"/>
    <col min="5640" max="5672" width="5.7109375" style="3" hidden="1"/>
    <col min="5673" max="5673" width="15" style="3" hidden="1"/>
    <col min="5674" max="5892" width="9.140625" style="3" hidden="1"/>
    <col min="5893" max="5893" width="6.28515625" style="3" hidden="1"/>
    <col min="5894" max="5894" width="28.140625" style="3" hidden="1"/>
    <col min="5895" max="5895" width="9.85546875" style="3" hidden="1"/>
    <col min="5896" max="5928" width="5.7109375" style="3" hidden="1"/>
    <col min="5929" max="5929" width="15" style="3" hidden="1"/>
    <col min="5930" max="6148" width="9.140625" style="3" hidden="1"/>
    <col min="6149" max="6149" width="6.28515625" style="3" hidden="1"/>
    <col min="6150" max="6150" width="28.140625" style="3" hidden="1"/>
    <col min="6151" max="6151" width="9.85546875" style="3" hidden="1"/>
    <col min="6152" max="6184" width="5.7109375" style="3" hidden="1"/>
    <col min="6185" max="6185" width="15" style="3" hidden="1"/>
    <col min="6186" max="6404" width="9.140625" style="3" hidden="1"/>
    <col min="6405" max="6405" width="6.28515625" style="3" hidden="1"/>
    <col min="6406" max="6406" width="28.140625" style="3" hidden="1"/>
    <col min="6407" max="6407" width="9.85546875" style="3" hidden="1"/>
    <col min="6408" max="6440" width="5.7109375" style="3" hidden="1"/>
    <col min="6441" max="6441" width="15" style="3" hidden="1"/>
    <col min="6442" max="6660" width="9.140625" style="3" hidden="1"/>
    <col min="6661" max="6661" width="6.28515625" style="3" hidden="1"/>
    <col min="6662" max="6662" width="28.140625" style="3" hidden="1"/>
    <col min="6663" max="6663" width="9.85546875" style="3" hidden="1"/>
    <col min="6664" max="6696" width="5.7109375" style="3" hidden="1"/>
    <col min="6697" max="6697" width="15" style="3" hidden="1"/>
    <col min="6698" max="6916" width="9.140625" style="3" hidden="1"/>
    <col min="6917" max="6917" width="6.28515625" style="3" hidden="1"/>
    <col min="6918" max="6918" width="28.140625" style="3" hidden="1"/>
    <col min="6919" max="6919" width="9.85546875" style="3" hidden="1"/>
    <col min="6920" max="6952" width="5.7109375" style="3" hidden="1"/>
    <col min="6953" max="6953" width="15" style="3" hidden="1"/>
    <col min="6954" max="7172" width="9.140625" style="3" hidden="1"/>
    <col min="7173" max="7173" width="6.28515625" style="3" hidden="1"/>
    <col min="7174" max="7174" width="28.140625" style="3" hidden="1"/>
    <col min="7175" max="7175" width="9.85546875" style="3" hidden="1"/>
    <col min="7176" max="7208" width="5.7109375" style="3" hidden="1"/>
    <col min="7209" max="7209" width="15" style="3" hidden="1"/>
    <col min="7210" max="7428" width="9.140625" style="3" hidden="1"/>
    <col min="7429" max="7429" width="6.28515625" style="3" hidden="1"/>
    <col min="7430" max="7430" width="28.140625" style="3" hidden="1"/>
    <col min="7431" max="7431" width="9.85546875" style="3" hidden="1"/>
    <col min="7432" max="7464" width="5.7109375" style="3" hidden="1"/>
    <col min="7465" max="7465" width="15" style="3" hidden="1"/>
    <col min="7466" max="7684" width="9.140625" style="3" hidden="1"/>
    <col min="7685" max="7685" width="6.28515625" style="3" hidden="1"/>
    <col min="7686" max="7686" width="28.140625" style="3" hidden="1"/>
    <col min="7687" max="7687" width="9.85546875" style="3" hidden="1"/>
    <col min="7688" max="7720" width="5.7109375" style="3" hidden="1"/>
    <col min="7721" max="7721" width="15" style="3" hidden="1"/>
    <col min="7722" max="7940" width="9.140625" style="3" hidden="1"/>
    <col min="7941" max="7941" width="6.28515625" style="3" hidden="1"/>
    <col min="7942" max="7942" width="28.140625" style="3" hidden="1"/>
    <col min="7943" max="7943" width="9.85546875" style="3" hidden="1"/>
    <col min="7944" max="7976" width="5.7109375" style="3" hidden="1"/>
    <col min="7977" max="7977" width="15" style="3" hidden="1"/>
    <col min="7978" max="8196" width="9.140625" style="3" hidden="1"/>
    <col min="8197" max="8197" width="6.28515625" style="3" hidden="1"/>
    <col min="8198" max="8198" width="28.140625" style="3" hidden="1"/>
    <col min="8199" max="8199" width="9.85546875" style="3" hidden="1"/>
    <col min="8200" max="8232" width="5.7109375" style="3" hidden="1"/>
    <col min="8233" max="8233" width="15" style="3" hidden="1"/>
    <col min="8234" max="8452" width="9.140625" style="3" hidden="1"/>
    <col min="8453" max="8453" width="6.28515625" style="3" hidden="1"/>
    <col min="8454" max="8454" width="28.140625" style="3" hidden="1"/>
    <col min="8455" max="8455" width="9.85546875" style="3" hidden="1"/>
    <col min="8456" max="8488" width="5.7109375" style="3" hidden="1"/>
    <col min="8489" max="8489" width="15" style="3" hidden="1"/>
    <col min="8490" max="8708" width="9.140625" style="3" hidden="1"/>
    <col min="8709" max="8709" width="6.28515625" style="3" hidden="1"/>
    <col min="8710" max="8710" width="28.140625" style="3" hidden="1"/>
    <col min="8711" max="8711" width="9.85546875" style="3" hidden="1"/>
    <col min="8712" max="8744" width="5.7109375" style="3" hidden="1"/>
    <col min="8745" max="8745" width="15" style="3" hidden="1"/>
    <col min="8746" max="8964" width="9.140625" style="3" hidden="1"/>
    <col min="8965" max="8965" width="6.28515625" style="3" hidden="1"/>
    <col min="8966" max="8966" width="28.140625" style="3" hidden="1"/>
    <col min="8967" max="8967" width="9.85546875" style="3" hidden="1"/>
    <col min="8968" max="9000" width="5.7109375" style="3" hidden="1"/>
    <col min="9001" max="9001" width="15" style="3" hidden="1"/>
    <col min="9002" max="9220" width="9.140625" style="3" hidden="1"/>
    <col min="9221" max="9221" width="6.28515625" style="3" hidden="1"/>
    <col min="9222" max="9222" width="28.140625" style="3" hidden="1"/>
    <col min="9223" max="9223" width="9.85546875" style="3" hidden="1"/>
    <col min="9224" max="9256" width="5.7109375" style="3" hidden="1"/>
    <col min="9257" max="9257" width="15" style="3" hidden="1"/>
    <col min="9258" max="9476" width="9.140625" style="3" hidden="1"/>
    <col min="9477" max="9477" width="6.28515625" style="3" hidden="1"/>
    <col min="9478" max="9478" width="28.140625" style="3" hidden="1"/>
    <col min="9479" max="9479" width="9.85546875" style="3" hidden="1"/>
    <col min="9480" max="9512" width="5.7109375" style="3" hidden="1"/>
    <col min="9513" max="9513" width="15" style="3" hidden="1"/>
    <col min="9514" max="9732" width="9.140625" style="3" hidden="1"/>
    <col min="9733" max="9733" width="6.28515625" style="3" hidden="1"/>
    <col min="9734" max="9734" width="28.140625" style="3" hidden="1"/>
    <col min="9735" max="9735" width="9.85546875" style="3" hidden="1"/>
    <col min="9736" max="9768" width="5.7109375" style="3" hidden="1"/>
    <col min="9769" max="9769" width="15" style="3" hidden="1"/>
    <col min="9770" max="9988" width="9.140625" style="3" hidden="1"/>
    <col min="9989" max="9989" width="6.28515625" style="3" hidden="1"/>
    <col min="9990" max="9990" width="28.140625" style="3" hidden="1"/>
    <col min="9991" max="9991" width="9.85546875" style="3" hidden="1"/>
    <col min="9992" max="10024" width="5.7109375" style="3" hidden="1"/>
    <col min="10025" max="10025" width="15" style="3" hidden="1"/>
    <col min="10026" max="10244" width="9.140625" style="3" hidden="1"/>
    <col min="10245" max="10245" width="6.28515625" style="3" hidden="1"/>
    <col min="10246" max="10246" width="28.140625" style="3" hidden="1"/>
    <col min="10247" max="10247" width="9.85546875" style="3" hidden="1"/>
    <col min="10248" max="10280" width="5.7109375" style="3" hidden="1"/>
    <col min="10281" max="10281" width="15" style="3" hidden="1"/>
    <col min="10282" max="10500" width="9.140625" style="3" hidden="1"/>
    <col min="10501" max="10501" width="6.28515625" style="3" hidden="1"/>
    <col min="10502" max="10502" width="28.140625" style="3" hidden="1"/>
    <col min="10503" max="10503" width="9.85546875" style="3" hidden="1"/>
    <col min="10504" max="10536" width="5.7109375" style="3" hidden="1"/>
    <col min="10537" max="10537" width="15" style="3" hidden="1"/>
    <col min="10538" max="10756" width="9.140625" style="3" hidden="1"/>
    <col min="10757" max="10757" width="6.28515625" style="3" hidden="1"/>
    <col min="10758" max="10758" width="28.140625" style="3" hidden="1"/>
    <col min="10759" max="10759" width="9.85546875" style="3" hidden="1"/>
    <col min="10760" max="10792" width="5.7109375" style="3" hidden="1"/>
    <col min="10793" max="10793" width="15" style="3" hidden="1"/>
    <col min="10794" max="11012" width="9.140625" style="3" hidden="1"/>
    <col min="11013" max="11013" width="6.28515625" style="3" hidden="1"/>
    <col min="11014" max="11014" width="28.140625" style="3" hidden="1"/>
    <col min="11015" max="11015" width="9.85546875" style="3" hidden="1"/>
    <col min="11016" max="11048" width="5.7109375" style="3" hidden="1"/>
    <col min="11049" max="11049" width="15" style="3" hidden="1"/>
    <col min="11050" max="11268" width="9.140625" style="3" hidden="1"/>
    <col min="11269" max="11269" width="6.28515625" style="3" hidden="1"/>
    <col min="11270" max="11270" width="28.140625" style="3" hidden="1"/>
    <col min="11271" max="11271" width="9.85546875" style="3" hidden="1"/>
    <col min="11272" max="11304" width="5.7109375" style="3" hidden="1"/>
    <col min="11305" max="11305" width="15" style="3" hidden="1"/>
    <col min="11306" max="11524" width="9.140625" style="3" hidden="1"/>
    <col min="11525" max="11525" width="6.28515625" style="3" hidden="1"/>
    <col min="11526" max="11526" width="28.140625" style="3" hidden="1"/>
    <col min="11527" max="11527" width="9.85546875" style="3" hidden="1"/>
    <col min="11528" max="11560" width="5.7109375" style="3" hidden="1"/>
    <col min="11561" max="11561" width="15" style="3" hidden="1"/>
    <col min="11562" max="11780" width="9.140625" style="3" hidden="1"/>
    <col min="11781" max="11781" width="6.28515625" style="3" hidden="1"/>
    <col min="11782" max="11782" width="28.140625" style="3" hidden="1"/>
    <col min="11783" max="11783" width="9.85546875" style="3" hidden="1"/>
    <col min="11784" max="11816" width="5.7109375" style="3" hidden="1"/>
    <col min="11817" max="11817" width="15" style="3" hidden="1"/>
    <col min="11818" max="12036" width="9.140625" style="3" hidden="1"/>
    <col min="12037" max="12037" width="6.28515625" style="3" hidden="1"/>
    <col min="12038" max="12038" width="28.140625" style="3" hidden="1"/>
    <col min="12039" max="12039" width="9.85546875" style="3" hidden="1"/>
    <col min="12040" max="12072" width="5.7109375" style="3" hidden="1"/>
    <col min="12073" max="12073" width="15" style="3" hidden="1"/>
    <col min="12074" max="12292" width="9.140625" style="3" hidden="1"/>
    <col min="12293" max="12293" width="6.28515625" style="3" hidden="1"/>
    <col min="12294" max="12294" width="28.140625" style="3" hidden="1"/>
    <col min="12295" max="12295" width="9.85546875" style="3" hidden="1"/>
    <col min="12296" max="12328" width="5.7109375" style="3" hidden="1"/>
    <col min="12329" max="12329" width="15" style="3" hidden="1"/>
    <col min="12330" max="12548" width="9.140625" style="3" hidden="1"/>
    <col min="12549" max="12549" width="6.28515625" style="3" hidden="1"/>
    <col min="12550" max="12550" width="28.140625" style="3" hidden="1"/>
    <col min="12551" max="12551" width="9.85546875" style="3" hidden="1"/>
    <col min="12552" max="12584" width="5.7109375" style="3" hidden="1"/>
    <col min="12585" max="12585" width="15" style="3" hidden="1"/>
    <col min="12586" max="12804" width="9.140625" style="3" hidden="1"/>
    <col min="12805" max="12805" width="6.28515625" style="3" hidden="1"/>
    <col min="12806" max="12806" width="28.140625" style="3" hidden="1"/>
    <col min="12807" max="12807" width="9.85546875" style="3" hidden="1"/>
    <col min="12808" max="12840" width="5.7109375" style="3" hidden="1"/>
    <col min="12841" max="12841" width="15" style="3" hidden="1"/>
    <col min="12842" max="13060" width="9.140625" style="3" hidden="1"/>
    <col min="13061" max="13061" width="6.28515625" style="3" hidden="1"/>
    <col min="13062" max="13062" width="28.140625" style="3" hidden="1"/>
    <col min="13063" max="13063" width="9.85546875" style="3" hidden="1"/>
    <col min="13064" max="13096" width="5.7109375" style="3" hidden="1"/>
    <col min="13097" max="13097" width="15" style="3" hidden="1"/>
    <col min="13098" max="13316" width="9.140625" style="3" hidden="1"/>
    <col min="13317" max="13317" width="6.28515625" style="3" hidden="1"/>
    <col min="13318" max="13318" width="28.140625" style="3" hidden="1"/>
    <col min="13319" max="13319" width="9.85546875" style="3" hidden="1"/>
    <col min="13320" max="13352" width="5.7109375" style="3" hidden="1"/>
    <col min="13353" max="13353" width="15" style="3" hidden="1"/>
    <col min="13354" max="13572" width="9.140625" style="3" hidden="1"/>
    <col min="13573" max="13573" width="6.28515625" style="3" hidden="1"/>
    <col min="13574" max="13574" width="28.140625" style="3" hidden="1"/>
    <col min="13575" max="13575" width="9.85546875" style="3" hidden="1"/>
    <col min="13576" max="13608" width="5.7109375" style="3" hidden="1"/>
    <col min="13609" max="13609" width="15" style="3" hidden="1"/>
    <col min="13610" max="13828" width="9.140625" style="3" hidden="1"/>
    <col min="13829" max="13829" width="6.28515625" style="3" hidden="1"/>
    <col min="13830" max="13830" width="28.140625" style="3" hidden="1"/>
    <col min="13831" max="13831" width="9.85546875" style="3" hidden="1"/>
    <col min="13832" max="13864" width="5.7109375" style="3" hidden="1"/>
    <col min="13865" max="13865" width="15" style="3" hidden="1"/>
    <col min="13866" max="14084" width="9.140625" style="3" hidden="1"/>
    <col min="14085" max="14085" width="6.28515625" style="3" hidden="1"/>
    <col min="14086" max="14086" width="28.140625" style="3" hidden="1"/>
    <col min="14087" max="14087" width="9.85546875" style="3" hidden="1"/>
    <col min="14088" max="14120" width="5.7109375" style="3" hidden="1"/>
    <col min="14121" max="14121" width="15" style="3" hidden="1"/>
    <col min="14122" max="14340" width="9.140625" style="3" hidden="1"/>
    <col min="14341" max="14341" width="6.28515625" style="3" hidden="1"/>
    <col min="14342" max="14342" width="28.140625" style="3" hidden="1"/>
    <col min="14343" max="14343" width="9.85546875" style="3" hidden="1"/>
    <col min="14344" max="14376" width="5.7109375" style="3" hidden="1"/>
    <col min="14377" max="14377" width="15" style="3" hidden="1"/>
    <col min="14378" max="14596" width="9.140625" style="3" hidden="1"/>
    <col min="14597" max="14597" width="6.28515625" style="3" hidden="1"/>
    <col min="14598" max="14598" width="28.140625" style="3" hidden="1"/>
    <col min="14599" max="14599" width="9.85546875" style="3" hidden="1"/>
    <col min="14600" max="14632" width="5.7109375" style="3" hidden="1"/>
    <col min="14633" max="14633" width="15" style="3" hidden="1"/>
    <col min="14634" max="14852" width="9.140625" style="3" hidden="1"/>
    <col min="14853" max="14853" width="6.28515625" style="3" hidden="1"/>
    <col min="14854" max="14854" width="28.140625" style="3" hidden="1"/>
    <col min="14855" max="14855" width="9.85546875" style="3" hidden="1"/>
    <col min="14856" max="14888" width="5.7109375" style="3" hidden="1"/>
    <col min="14889" max="14889" width="15" style="3" hidden="1"/>
    <col min="14890" max="15108" width="9.140625" style="3" hidden="1"/>
    <col min="15109" max="15109" width="6.28515625" style="3" hidden="1"/>
    <col min="15110" max="15110" width="28.140625" style="3" hidden="1"/>
    <col min="15111" max="15111" width="9.85546875" style="3" hidden="1"/>
    <col min="15112" max="15144" width="5.7109375" style="3" hidden="1"/>
    <col min="15145" max="15145" width="15" style="3" hidden="1"/>
    <col min="15146" max="15364" width="9.140625" style="3" hidden="1"/>
    <col min="15365" max="15365" width="6.28515625" style="3" hidden="1"/>
    <col min="15366" max="15366" width="28.140625" style="3" hidden="1"/>
    <col min="15367" max="15367" width="9.85546875" style="3" hidden="1"/>
    <col min="15368" max="15400" width="5.7109375" style="3" hidden="1"/>
    <col min="15401" max="15401" width="15" style="3" hidden="1"/>
    <col min="15402" max="15620" width="9.140625" style="3" hidden="1"/>
    <col min="15621" max="15621" width="6.28515625" style="3" hidden="1"/>
    <col min="15622" max="15622" width="28.140625" style="3" hidden="1"/>
    <col min="15623" max="15623" width="9.85546875" style="3" hidden="1"/>
    <col min="15624" max="15656" width="5.7109375" style="3" hidden="1"/>
    <col min="15657" max="15657" width="15" style="3" hidden="1"/>
    <col min="15658" max="15876" width="9.140625" style="3" hidden="1"/>
    <col min="15877" max="15877" width="6.28515625" style="3" hidden="1"/>
    <col min="15878" max="15878" width="28.140625" style="3" hidden="1"/>
    <col min="15879" max="15879" width="9.85546875" style="3" hidden="1"/>
    <col min="15880" max="15912" width="5.7109375" style="3" hidden="1"/>
    <col min="15913" max="15913" width="15" style="3" hidden="1"/>
    <col min="15914" max="16132" width="9.140625" style="3" hidden="1"/>
    <col min="16133" max="16133" width="6.28515625" style="3" hidden="1"/>
    <col min="16134" max="16134" width="28.140625" style="3" hidden="1"/>
    <col min="16135" max="16135" width="9.85546875" style="3" hidden="1"/>
    <col min="16136" max="16168" width="5.7109375" style="3" hidden="1"/>
    <col min="16169" max="16171" width="15" style="3" hidden="1"/>
    <col min="16172" max="16384" width="9.140625" style="3" hidden="1"/>
  </cols>
  <sheetData>
    <row r="1" spans="1:41" ht="29.25" customHeight="1">
      <c r="A1" s="142"/>
      <c r="B1" s="168">
        <f>INDEX(PROSES!C2:R2,H1)</f>
        <v>1</v>
      </c>
      <c r="C1" s="159" t="s">
        <v>1169</v>
      </c>
      <c r="D1" s="142"/>
      <c r="E1" s="142"/>
      <c r="F1" s="142"/>
      <c r="G1" s="142"/>
      <c r="H1" s="320">
        <v>1</v>
      </c>
      <c r="I1" s="142"/>
      <c r="J1" s="142"/>
      <c r="K1" s="142"/>
      <c r="L1" s="142"/>
    </row>
    <row r="2" spans="1:41" s="68" customFormat="1" ht="18" customHeight="1">
      <c r="A2" s="143"/>
      <c r="B2" s="783" t="s">
        <v>48</v>
      </c>
      <c r="C2" s="783"/>
      <c r="D2" s="783"/>
      <c r="E2" s="783"/>
      <c r="F2" s="783"/>
      <c r="G2" s="783"/>
      <c r="H2" s="783"/>
      <c r="I2" s="783"/>
      <c r="J2" s="783"/>
      <c r="K2" s="783"/>
      <c r="L2" s="143"/>
    </row>
    <row r="3" spans="1:41" ht="18" customHeight="1">
      <c r="A3" s="142"/>
      <c r="B3" s="787" t="str">
        <f>"SEMESTER "&amp;HOME!D28&amp;" TAHUN PELAJARAN "&amp;HOME!D27</f>
        <v>SEMESTER GANJIL TAHUN PELAJARAN 2019/2020</v>
      </c>
      <c r="C3" s="787"/>
      <c r="D3" s="787"/>
      <c r="E3" s="787"/>
      <c r="F3" s="787"/>
      <c r="G3" s="787"/>
      <c r="H3" s="787"/>
      <c r="I3" s="787"/>
      <c r="J3" s="787"/>
      <c r="K3" s="787"/>
      <c r="L3" s="149"/>
      <c r="M3" s="4"/>
      <c r="N3" s="4"/>
      <c r="O3" s="4"/>
      <c r="P3" s="4"/>
      <c r="Q3" s="4"/>
      <c r="R3" s="4"/>
      <c r="S3" s="4"/>
      <c r="T3" s="4"/>
      <c r="U3" s="4"/>
      <c r="V3" s="4"/>
      <c r="W3" s="4"/>
      <c r="X3" s="4"/>
      <c r="Y3" s="4"/>
      <c r="Z3" s="4"/>
      <c r="AA3" s="4"/>
      <c r="AB3" s="4"/>
      <c r="AC3" s="4"/>
      <c r="AD3" s="4"/>
      <c r="AE3" s="4"/>
      <c r="AF3" s="4"/>
      <c r="AG3" s="4"/>
      <c r="AH3" s="4"/>
      <c r="AI3" s="4"/>
      <c r="AJ3" s="4"/>
      <c r="AK3" s="4"/>
      <c r="AL3" s="4"/>
      <c r="AM3" s="4"/>
      <c r="AN3" s="4"/>
      <c r="AO3" s="4"/>
    </row>
    <row r="4" spans="1:41" ht="18" customHeight="1">
      <c r="A4" s="142"/>
      <c r="B4" s="788" t="str">
        <f>"KELAS "&amp;HOME!D26</f>
        <v>KELAS III (TIGA)</v>
      </c>
      <c r="C4" s="788"/>
      <c r="D4" s="788"/>
      <c r="E4" s="788"/>
      <c r="F4" s="788"/>
      <c r="G4" s="788"/>
      <c r="H4" s="788"/>
      <c r="I4" s="788"/>
      <c r="J4" s="788"/>
      <c r="K4" s="788"/>
      <c r="L4" s="149"/>
      <c r="M4" s="4"/>
      <c r="N4" s="4"/>
      <c r="O4" s="4"/>
      <c r="P4" s="4"/>
      <c r="Q4" s="4"/>
      <c r="R4" s="4"/>
      <c r="S4" s="4"/>
      <c r="T4" s="4"/>
      <c r="U4" s="4"/>
      <c r="V4" s="4"/>
      <c r="W4" s="4"/>
      <c r="X4" s="4"/>
      <c r="Y4" s="4"/>
      <c r="Z4" s="4"/>
      <c r="AA4" s="4"/>
      <c r="AB4" s="4"/>
      <c r="AC4" s="4"/>
      <c r="AD4" s="4"/>
      <c r="AE4" s="4"/>
      <c r="AF4" s="4"/>
      <c r="AG4" s="4"/>
      <c r="AH4" s="4"/>
      <c r="AI4" s="4"/>
      <c r="AJ4" s="4"/>
      <c r="AK4" s="4"/>
      <c r="AL4" s="4"/>
      <c r="AM4" s="4"/>
      <c r="AN4" s="4"/>
      <c r="AO4" s="4"/>
    </row>
    <row r="5" spans="1:41" ht="18" customHeight="1">
      <c r="A5" s="142"/>
      <c r="B5" s="789" t="str">
        <f>IF(H1=1,"AL QURAN HADIST",IF(H1=2,"AQIDAH",IF(H1=3,"FIQIH",IF(H1=4,"SKI",IF(H1=5,"PENDIDIKAN KEWARGANEGARAAN",IF(H1=6,"BAHASA INDONESIA",IF(H1=7,"BAHASA ARAB",IF(H1=8,"MATEMATIKA",IF(H1=9,"IPA",IF(H1=10,"IPS",IF(H1=11,"SBK",IF(H1=12,"PENJASKES",IF(H1=13,"BAHASA JAWA",IF(H1=14,"BAHASA INGGRIS",IF(H1=15,"TIK",IF(H1=16,"ASWAJA",))))))))))))))))</f>
        <v>AL QURAN HADIST</v>
      </c>
      <c r="C5" s="789"/>
      <c r="D5" s="789"/>
      <c r="E5" s="789"/>
      <c r="F5" s="789"/>
      <c r="G5" s="789"/>
      <c r="H5" s="789"/>
      <c r="I5" s="789"/>
      <c r="J5" s="789"/>
      <c r="K5" s="789"/>
      <c r="L5" s="149"/>
      <c r="M5" s="4"/>
      <c r="N5" s="4"/>
      <c r="O5" s="4"/>
      <c r="P5" s="4"/>
      <c r="Q5" s="4"/>
      <c r="R5" s="4"/>
      <c r="S5" s="4"/>
      <c r="T5" s="4"/>
      <c r="U5" s="4"/>
      <c r="V5" s="4"/>
      <c r="W5" s="4"/>
      <c r="X5" s="4"/>
      <c r="Y5" s="4"/>
      <c r="Z5" s="4"/>
      <c r="AA5" s="4"/>
      <c r="AB5" s="4"/>
      <c r="AC5" s="4"/>
      <c r="AD5" s="4"/>
      <c r="AE5" s="4"/>
      <c r="AF5" s="4"/>
      <c r="AG5" s="4"/>
      <c r="AH5" s="4"/>
      <c r="AI5" s="4"/>
      <c r="AJ5" s="4"/>
      <c r="AK5" s="4"/>
      <c r="AL5" s="4"/>
      <c r="AM5" s="4"/>
      <c r="AN5" s="4"/>
      <c r="AO5" s="4"/>
    </row>
    <row r="6" spans="1:41" ht="9.75" customHeight="1">
      <c r="A6" s="142"/>
      <c r="B6" s="5"/>
      <c r="C6" s="7"/>
      <c r="D6" s="7"/>
      <c r="E6" s="7"/>
      <c r="F6" s="7"/>
      <c r="G6" s="7"/>
      <c r="H6" s="7"/>
      <c r="I6" s="7"/>
      <c r="J6" s="7"/>
      <c r="K6" s="7"/>
      <c r="L6" s="150"/>
      <c r="M6" s="7"/>
      <c r="N6" s="7"/>
      <c r="O6" s="7"/>
      <c r="P6" s="10"/>
      <c r="Q6" s="10"/>
      <c r="R6" s="7"/>
      <c r="S6" s="7"/>
      <c r="T6" s="7"/>
      <c r="U6" s="7"/>
      <c r="V6" s="7"/>
      <c r="W6" s="7"/>
      <c r="X6" s="7"/>
      <c r="Y6" s="7"/>
      <c r="Z6" s="7"/>
      <c r="AA6" s="7"/>
      <c r="AB6" s="7"/>
      <c r="AC6" s="7"/>
      <c r="AD6" s="7"/>
      <c r="AE6" s="7"/>
      <c r="AF6" s="7"/>
      <c r="AG6" s="7"/>
      <c r="AH6" s="7"/>
      <c r="AI6" s="7"/>
      <c r="AJ6" s="7"/>
      <c r="AK6" s="12"/>
      <c r="AL6" s="12"/>
      <c r="AM6" s="12"/>
      <c r="AN6" s="12"/>
      <c r="AO6" s="9"/>
    </row>
    <row r="7" spans="1:41" s="14" customFormat="1" ht="15.75" customHeight="1">
      <c r="A7" s="144"/>
      <c r="B7" s="785" t="s">
        <v>5</v>
      </c>
      <c r="C7" s="785" t="s">
        <v>6</v>
      </c>
      <c r="D7" s="786" t="s">
        <v>1178</v>
      </c>
      <c r="E7" s="786"/>
      <c r="F7" s="786"/>
      <c r="G7" s="786"/>
      <c r="H7" s="786"/>
      <c r="I7" s="786"/>
      <c r="J7" s="786" t="s">
        <v>1176</v>
      </c>
      <c r="K7" s="786" t="s">
        <v>1177</v>
      </c>
      <c r="L7" s="144"/>
    </row>
    <row r="8" spans="1:41" s="14" customFormat="1" ht="16.5" customHeight="1">
      <c r="A8" s="144"/>
      <c r="B8" s="785"/>
      <c r="C8" s="785"/>
      <c r="D8" s="175" t="s">
        <v>51</v>
      </c>
      <c r="E8" s="175" t="s">
        <v>52</v>
      </c>
      <c r="F8" s="175" t="s">
        <v>53</v>
      </c>
      <c r="G8" s="175" t="s">
        <v>54</v>
      </c>
      <c r="H8" s="175" t="s">
        <v>55</v>
      </c>
      <c r="I8" s="175" t="s">
        <v>56</v>
      </c>
      <c r="J8" s="786"/>
      <c r="K8" s="786"/>
      <c r="L8" s="144"/>
    </row>
    <row r="9" spans="1:41" s="14" customFormat="1" ht="16.5" customHeight="1">
      <c r="A9" s="144"/>
      <c r="B9" s="165">
        <v>1</v>
      </c>
      <c r="C9" s="165">
        <v>2</v>
      </c>
      <c r="D9" s="165">
        <v>4</v>
      </c>
      <c r="E9" s="165">
        <v>5</v>
      </c>
      <c r="F9" s="165">
        <v>6</v>
      </c>
      <c r="G9" s="165">
        <v>7</v>
      </c>
      <c r="H9" s="165">
        <v>8</v>
      </c>
      <c r="I9" s="165">
        <v>9</v>
      </c>
      <c r="J9" s="165">
        <v>10</v>
      </c>
      <c r="K9" s="165">
        <v>11</v>
      </c>
      <c r="L9" s="144"/>
    </row>
    <row r="10" spans="1:41" s="15" customFormat="1" ht="15.75" customHeight="1">
      <c r="A10" s="145"/>
      <c r="B10" s="389">
        <v>1</v>
      </c>
      <c r="C10" s="390" t="str">
        <f>DATASISWA!E8</f>
        <v>Anindita Alya Magfiroh</v>
      </c>
      <c r="D10" s="692"/>
      <c r="E10" s="692"/>
      <c r="F10" s="692"/>
      <c r="G10" s="391"/>
      <c r="H10" s="392"/>
      <c r="I10" s="392"/>
      <c r="J10" s="442"/>
      <c r="K10" s="374"/>
      <c r="L10" s="166" t="str">
        <f>IFERROR(AVERAGE(D10:I10),"")</f>
        <v/>
      </c>
    </row>
    <row r="11" spans="1:41" s="16" customFormat="1" ht="15.75" customHeight="1">
      <c r="A11" s="144"/>
      <c r="B11" s="393">
        <v>2</v>
      </c>
      <c r="C11" s="390" t="str">
        <f>DATASISWA!E9</f>
        <v>Annisa Zahirotus. S</v>
      </c>
      <c r="D11" s="692"/>
      <c r="E11" s="692"/>
      <c r="F11" s="692"/>
      <c r="G11" s="394"/>
      <c r="H11" s="392"/>
      <c r="I11" s="392"/>
      <c r="J11" s="442"/>
      <c r="K11" s="374"/>
      <c r="L11" s="166" t="str">
        <f t="shared" ref="L11:L39" si="0">IFERROR(AVERAGE(D11:I11),"")</f>
        <v/>
      </c>
    </row>
    <row r="12" spans="1:41" s="16" customFormat="1" ht="15.75" customHeight="1">
      <c r="A12" s="144"/>
      <c r="B12" s="393">
        <v>3</v>
      </c>
      <c r="C12" s="390" t="str">
        <f>DATASISWA!E10</f>
        <v>A.Risky Syarifunnazal</v>
      </c>
      <c r="D12" s="692"/>
      <c r="E12" s="692"/>
      <c r="F12" s="692"/>
      <c r="G12" s="394"/>
      <c r="H12" s="392"/>
      <c r="I12" s="392"/>
      <c r="J12" s="442"/>
      <c r="K12" s="374"/>
      <c r="L12" s="166" t="str">
        <f t="shared" si="0"/>
        <v/>
      </c>
    </row>
    <row r="13" spans="1:41" s="16" customFormat="1" ht="15.75" customHeight="1">
      <c r="A13" s="144"/>
      <c r="B13" s="393">
        <v>4</v>
      </c>
      <c r="C13" s="390" t="str">
        <f>DATASISWA!E11</f>
        <v>Aliya Noura K</v>
      </c>
      <c r="D13" s="692"/>
      <c r="E13" s="692"/>
      <c r="F13" s="692"/>
      <c r="G13" s="394"/>
      <c r="H13" s="392"/>
      <c r="I13" s="392"/>
      <c r="J13" s="442"/>
      <c r="K13" s="374"/>
      <c r="L13" s="166" t="str">
        <f t="shared" si="0"/>
        <v/>
      </c>
    </row>
    <row r="14" spans="1:41" s="16" customFormat="1" ht="15.75" customHeight="1">
      <c r="A14" s="144"/>
      <c r="B14" s="393">
        <v>5</v>
      </c>
      <c r="C14" s="390" t="str">
        <f>DATASISWA!E12</f>
        <v>Alifia Resya Putri Ramadhani</v>
      </c>
      <c r="D14" s="692"/>
      <c r="E14" s="692"/>
      <c r="F14" s="692"/>
      <c r="G14" s="394"/>
      <c r="H14" s="392"/>
      <c r="I14" s="392"/>
      <c r="J14" s="442"/>
      <c r="K14" s="374"/>
      <c r="L14" s="166" t="str">
        <f t="shared" si="0"/>
        <v/>
      </c>
    </row>
    <row r="15" spans="1:41" s="14" customFormat="1" ht="15.75" customHeight="1">
      <c r="A15" s="144"/>
      <c r="B15" s="395">
        <v>6</v>
      </c>
      <c r="C15" s="390" t="str">
        <f>DATASISWA!E13</f>
        <v>Fadhil Rahman</v>
      </c>
      <c r="D15" s="692"/>
      <c r="E15" s="692"/>
      <c r="F15" s="692"/>
      <c r="G15" s="396"/>
      <c r="H15" s="392"/>
      <c r="I15" s="392"/>
      <c r="J15" s="442"/>
      <c r="K15" s="374"/>
      <c r="L15" s="166" t="str">
        <f t="shared" si="0"/>
        <v/>
      </c>
    </row>
    <row r="16" spans="1:41" s="14" customFormat="1" ht="15.75" customHeight="1">
      <c r="A16" s="144"/>
      <c r="B16" s="395">
        <v>7</v>
      </c>
      <c r="C16" s="390" t="str">
        <f>DATASISWA!E14</f>
        <v>Griffin Uefa Syam Sabrin</v>
      </c>
      <c r="D16" s="692"/>
      <c r="E16" s="692"/>
      <c r="F16" s="692"/>
      <c r="G16" s="396"/>
      <c r="H16" s="392"/>
      <c r="I16" s="392"/>
      <c r="J16" s="442"/>
      <c r="K16" s="374"/>
      <c r="L16" s="166" t="str">
        <f t="shared" si="0"/>
        <v/>
      </c>
    </row>
    <row r="17" spans="1:12" s="14" customFormat="1" ht="15.75" customHeight="1">
      <c r="A17" s="144"/>
      <c r="B17" s="395">
        <v>8</v>
      </c>
      <c r="C17" s="390" t="str">
        <f>DATASISWA!E15</f>
        <v>Khoiriya Uzlivatul Jannah</v>
      </c>
      <c r="D17" s="692"/>
      <c r="E17" s="692"/>
      <c r="F17" s="692"/>
      <c r="G17" s="396"/>
      <c r="H17" s="392"/>
      <c r="I17" s="392"/>
      <c r="J17" s="442"/>
      <c r="K17" s="374"/>
      <c r="L17" s="166" t="str">
        <f t="shared" si="0"/>
        <v/>
      </c>
    </row>
    <row r="18" spans="1:12" s="14" customFormat="1" ht="15.75" customHeight="1">
      <c r="A18" s="144"/>
      <c r="B18" s="395">
        <v>9</v>
      </c>
      <c r="C18" s="390" t="str">
        <f>DATASISWA!E16</f>
        <v>Nazlia Azelea Tiarany</v>
      </c>
      <c r="D18" s="692"/>
      <c r="E18" s="692"/>
      <c r="F18" s="692"/>
      <c r="G18" s="396"/>
      <c r="H18" s="392"/>
      <c r="I18" s="392"/>
      <c r="J18" s="442"/>
      <c r="K18" s="374"/>
      <c r="L18" s="166" t="str">
        <f t="shared" si="0"/>
        <v/>
      </c>
    </row>
    <row r="19" spans="1:12" s="14" customFormat="1" ht="15.75" customHeight="1">
      <c r="A19" s="144"/>
      <c r="B19" s="395">
        <v>10</v>
      </c>
      <c r="C19" s="390" t="str">
        <f>DATASISWA!E17</f>
        <v>Nero Alvind Nur Pratama</v>
      </c>
      <c r="D19" s="692"/>
      <c r="E19" s="692"/>
      <c r="F19" s="692"/>
      <c r="G19" s="396"/>
      <c r="H19" s="392"/>
      <c r="I19" s="392"/>
      <c r="J19" s="442"/>
      <c r="K19" s="374"/>
      <c r="L19" s="166" t="str">
        <f t="shared" si="0"/>
        <v/>
      </c>
    </row>
    <row r="20" spans="1:12" s="14" customFormat="1" ht="15.75" customHeight="1">
      <c r="A20" s="144"/>
      <c r="B20" s="395">
        <v>11</v>
      </c>
      <c r="C20" s="390" t="str">
        <f>DATASISWA!E18</f>
        <v>Prischa al maira rozida</v>
      </c>
      <c r="D20" s="692"/>
      <c r="E20" s="692"/>
      <c r="F20" s="692"/>
      <c r="G20" s="396"/>
      <c r="H20" s="392"/>
      <c r="I20" s="392"/>
      <c r="J20" s="442"/>
      <c r="K20" s="374"/>
      <c r="L20" s="166" t="str">
        <f t="shared" si="0"/>
        <v/>
      </c>
    </row>
    <row r="21" spans="1:12" s="14" customFormat="1" ht="15.75" customHeight="1">
      <c r="A21" s="144"/>
      <c r="B21" s="395">
        <v>12</v>
      </c>
      <c r="C21" s="390" t="str">
        <f>DATASISWA!E19</f>
        <v>Qonita Aulia Nashiroh</v>
      </c>
      <c r="D21" s="692"/>
      <c r="E21" s="692"/>
      <c r="F21" s="692"/>
      <c r="G21" s="396"/>
      <c r="H21" s="392"/>
      <c r="I21" s="392"/>
      <c r="J21" s="442"/>
      <c r="K21" s="374"/>
      <c r="L21" s="166" t="str">
        <f t="shared" si="0"/>
        <v/>
      </c>
    </row>
    <row r="22" spans="1:12" s="14" customFormat="1" ht="15.75" customHeight="1">
      <c r="A22" s="144"/>
      <c r="B22" s="395">
        <v>13</v>
      </c>
      <c r="C22" s="390" t="str">
        <f>DATASISWA!E20</f>
        <v>Diajeng Pradnya Paramita</v>
      </c>
      <c r="D22" s="692"/>
      <c r="E22" s="692"/>
      <c r="F22" s="692"/>
      <c r="G22" s="396"/>
      <c r="H22" s="392"/>
      <c r="I22" s="392"/>
      <c r="J22" s="442"/>
      <c r="K22" s="374"/>
      <c r="L22" s="166" t="str">
        <f t="shared" si="0"/>
        <v/>
      </c>
    </row>
    <row r="23" spans="1:12" s="14" customFormat="1" ht="15.75" customHeight="1">
      <c r="A23" s="144"/>
      <c r="B23" s="395">
        <v>14</v>
      </c>
      <c r="C23" s="390" t="str">
        <f>DATASISWA!E21</f>
        <v>Moch. Radit Danu Arta</v>
      </c>
      <c r="D23" s="692"/>
      <c r="E23" s="692"/>
      <c r="F23" s="692"/>
      <c r="G23" s="396"/>
      <c r="H23" s="392"/>
      <c r="I23" s="392"/>
      <c r="J23" s="442"/>
      <c r="K23" s="374"/>
      <c r="L23" s="166" t="str">
        <f t="shared" si="0"/>
        <v/>
      </c>
    </row>
    <row r="24" spans="1:12" s="14" customFormat="1" ht="15.75" customHeight="1">
      <c r="A24" s="144"/>
      <c r="B24" s="395">
        <v>15</v>
      </c>
      <c r="C24" s="390" t="str">
        <f>DATASISWA!E22</f>
        <v>Titania Angelina Saputri</v>
      </c>
      <c r="D24" s="692"/>
      <c r="E24" s="692"/>
      <c r="F24" s="692"/>
      <c r="G24" s="396"/>
      <c r="H24" s="392"/>
      <c r="I24" s="392"/>
      <c r="J24" s="442"/>
      <c r="K24" s="374"/>
      <c r="L24" s="166" t="str">
        <f t="shared" si="0"/>
        <v/>
      </c>
    </row>
    <row r="25" spans="1:12" s="16" customFormat="1" ht="15.75" customHeight="1">
      <c r="A25" s="144"/>
      <c r="B25" s="393">
        <v>16</v>
      </c>
      <c r="C25" s="390">
        <f>DATASISWA!E23</f>
        <v>0</v>
      </c>
      <c r="D25" s="692"/>
      <c r="E25" s="692"/>
      <c r="F25" s="692"/>
      <c r="G25" s="394"/>
      <c r="H25" s="392"/>
      <c r="I25" s="392"/>
      <c r="J25" s="442"/>
      <c r="K25" s="374"/>
      <c r="L25" s="166" t="str">
        <f t="shared" si="0"/>
        <v/>
      </c>
    </row>
    <row r="26" spans="1:12" s="16" customFormat="1" ht="15.75" customHeight="1">
      <c r="A26" s="144"/>
      <c r="B26" s="393">
        <v>17</v>
      </c>
      <c r="C26" s="390">
        <f>DATASISWA!E24</f>
        <v>0</v>
      </c>
      <c r="D26" s="692"/>
      <c r="E26" s="692"/>
      <c r="F26" s="692"/>
      <c r="G26" s="394"/>
      <c r="H26" s="392"/>
      <c r="I26" s="392"/>
      <c r="J26" s="442"/>
      <c r="K26" s="374"/>
      <c r="L26" s="166" t="str">
        <f t="shared" si="0"/>
        <v/>
      </c>
    </row>
    <row r="27" spans="1:12" s="14" customFormat="1" ht="15.75">
      <c r="A27" s="144"/>
      <c r="B27" s="395">
        <v>18</v>
      </c>
      <c r="C27" s="390">
        <f>DATASISWA!E25</f>
        <v>0</v>
      </c>
      <c r="D27" s="692"/>
      <c r="E27" s="692"/>
      <c r="F27" s="692"/>
      <c r="G27" s="396"/>
      <c r="H27" s="392"/>
      <c r="I27" s="392"/>
      <c r="J27" s="442"/>
      <c r="K27" s="374"/>
      <c r="L27" s="166" t="str">
        <f t="shared" si="0"/>
        <v/>
      </c>
    </row>
    <row r="28" spans="1:12" s="16" customFormat="1" ht="15.75">
      <c r="A28" s="144"/>
      <c r="B28" s="393">
        <v>19</v>
      </c>
      <c r="C28" s="390">
        <f>DATASISWA!E26</f>
        <v>0</v>
      </c>
      <c r="D28" s="692"/>
      <c r="E28" s="692"/>
      <c r="F28" s="692"/>
      <c r="G28" s="394"/>
      <c r="H28" s="392"/>
      <c r="I28" s="392"/>
      <c r="J28" s="442"/>
      <c r="K28" s="374"/>
      <c r="L28" s="166" t="str">
        <f t="shared" si="0"/>
        <v/>
      </c>
    </row>
    <row r="29" spans="1:12" s="14" customFormat="1" ht="15.75">
      <c r="A29" s="144"/>
      <c r="B29" s="395">
        <v>20</v>
      </c>
      <c r="C29" s="390">
        <f>DATASISWA!E27</f>
        <v>0</v>
      </c>
      <c r="D29" s="692"/>
      <c r="E29" s="692"/>
      <c r="F29" s="692"/>
      <c r="G29" s="396"/>
      <c r="H29" s="392"/>
      <c r="I29" s="392"/>
      <c r="J29" s="442"/>
      <c r="K29" s="374"/>
      <c r="L29" s="166" t="str">
        <f t="shared" si="0"/>
        <v/>
      </c>
    </row>
    <row r="30" spans="1:12" s="16" customFormat="1" ht="15.75">
      <c r="A30" s="144"/>
      <c r="B30" s="393">
        <v>21</v>
      </c>
      <c r="C30" s="390">
        <f>DATASISWA!E28</f>
        <v>0</v>
      </c>
      <c r="D30" s="692"/>
      <c r="E30" s="692"/>
      <c r="F30" s="692"/>
      <c r="G30" s="394"/>
      <c r="H30" s="392"/>
      <c r="I30" s="392"/>
      <c r="J30" s="442"/>
      <c r="K30" s="374"/>
      <c r="L30" s="166" t="str">
        <f t="shared" si="0"/>
        <v/>
      </c>
    </row>
    <row r="31" spans="1:12" s="16" customFormat="1" ht="15.75">
      <c r="A31" s="144"/>
      <c r="B31" s="393">
        <v>22</v>
      </c>
      <c r="C31" s="390">
        <f>DATASISWA!E29</f>
        <v>0</v>
      </c>
      <c r="D31" s="692"/>
      <c r="E31" s="692"/>
      <c r="F31" s="692"/>
      <c r="G31" s="394"/>
      <c r="H31" s="392"/>
      <c r="I31" s="392"/>
      <c r="J31" s="442"/>
      <c r="K31" s="374"/>
      <c r="L31" s="166" t="str">
        <f t="shared" si="0"/>
        <v/>
      </c>
    </row>
    <row r="32" spans="1:12" s="16" customFormat="1" ht="15.75">
      <c r="A32" s="144"/>
      <c r="B32" s="393">
        <v>23</v>
      </c>
      <c r="C32" s="390">
        <f>DATASISWA!E30</f>
        <v>0</v>
      </c>
      <c r="D32" s="692"/>
      <c r="E32" s="692"/>
      <c r="F32" s="692"/>
      <c r="G32" s="394"/>
      <c r="H32" s="392"/>
      <c r="I32" s="392"/>
      <c r="J32" s="442"/>
      <c r="K32" s="374"/>
      <c r="L32" s="166" t="str">
        <f t="shared" si="0"/>
        <v/>
      </c>
    </row>
    <row r="33" spans="1:41" s="16" customFormat="1" ht="15.75">
      <c r="A33" s="144"/>
      <c r="B33" s="393">
        <v>24</v>
      </c>
      <c r="C33" s="390">
        <f>DATASISWA!E31</f>
        <v>0</v>
      </c>
      <c r="D33" s="692"/>
      <c r="E33" s="692"/>
      <c r="F33" s="692"/>
      <c r="G33" s="397"/>
      <c r="H33" s="397"/>
      <c r="I33" s="397"/>
      <c r="J33" s="442"/>
      <c r="K33" s="397"/>
      <c r="L33" s="166" t="str">
        <f t="shared" si="0"/>
        <v/>
      </c>
    </row>
    <row r="34" spans="1:41" s="14" customFormat="1" ht="15.75">
      <c r="A34" s="144"/>
      <c r="B34" s="386">
        <v>25</v>
      </c>
      <c r="C34" s="164">
        <f>DATASISWA!E32</f>
        <v>0</v>
      </c>
      <c r="D34" s="387"/>
      <c r="E34" s="387"/>
      <c r="F34" s="387"/>
      <c r="G34" s="388"/>
      <c r="H34" s="388"/>
      <c r="I34" s="388"/>
      <c r="J34" s="388"/>
      <c r="K34" s="388"/>
      <c r="L34" s="166" t="str">
        <f t="shared" si="0"/>
        <v/>
      </c>
    </row>
    <row r="35" spans="1:41" s="14" customFormat="1" ht="15.75">
      <c r="A35" s="144"/>
      <c r="B35" s="152">
        <v>26</v>
      </c>
      <c r="C35" s="151">
        <f>DATASISWA!E33</f>
        <v>0</v>
      </c>
      <c r="D35" s="162"/>
      <c r="E35" s="162"/>
      <c r="F35" s="162"/>
      <c r="G35" s="163"/>
      <c r="H35" s="163"/>
      <c r="I35" s="163"/>
      <c r="J35" s="163"/>
      <c r="K35" s="163"/>
      <c r="L35" s="166" t="str">
        <f t="shared" si="0"/>
        <v/>
      </c>
      <c r="AK35" s="16"/>
      <c r="AL35" s="16"/>
      <c r="AM35" s="16"/>
      <c r="AN35" s="16"/>
      <c r="AO35" s="20"/>
    </row>
    <row r="36" spans="1:41" s="14" customFormat="1" ht="15.75">
      <c r="A36" s="144"/>
      <c r="B36" s="152">
        <v>27</v>
      </c>
      <c r="C36" s="151">
        <f>DATASISWA!E34</f>
        <v>0</v>
      </c>
      <c r="D36" s="162"/>
      <c r="E36" s="162"/>
      <c r="F36" s="162"/>
      <c r="G36" s="163"/>
      <c r="H36" s="163"/>
      <c r="I36" s="163"/>
      <c r="J36" s="163"/>
      <c r="K36" s="163"/>
      <c r="L36" s="166" t="str">
        <f t="shared" si="0"/>
        <v/>
      </c>
      <c r="AK36" s="16"/>
      <c r="AL36" s="16"/>
      <c r="AM36" s="16"/>
      <c r="AN36" s="16"/>
      <c r="AO36" s="20"/>
    </row>
    <row r="37" spans="1:41" s="14" customFormat="1" ht="15.75">
      <c r="A37" s="144"/>
      <c r="B37" s="152">
        <v>28</v>
      </c>
      <c r="C37" s="151">
        <f>DATASISWA!E35</f>
        <v>0</v>
      </c>
      <c r="D37" s="162"/>
      <c r="E37" s="162"/>
      <c r="F37" s="162"/>
      <c r="G37" s="163"/>
      <c r="H37" s="163"/>
      <c r="I37" s="163"/>
      <c r="J37" s="163"/>
      <c r="K37" s="163"/>
      <c r="L37" s="166" t="str">
        <f t="shared" si="0"/>
        <v/>
      </c>
      <c r="AK37" s="16"/>
      <c r="AL37" s="16"/>
      <c r="AM37" s="16"/>
      <c r="AN37" s="16"/>
      <c r="AO37" s="20"/>
    </row>
    <row r="38" spans="1:41" ht="15.75">
      <c r="A38" s="142"/>
      <c r="B38" s="152">
        <v>29</v>
      </c>
      <c r="C38" s="151">
        <f>DATASISWA!E36</f>
        <v>0</v>
      </c>
      <c r="D38" s="162"/>
      <c r="E38" s="162"/>
      <c r="F38" s="162"/>
      <c r="G38" s="163"/>
      <c r="H38" s="163"/>
      <c r="I38" s="163"/>
      <c r="J38" s="163"/>
      <c r="K38" s="163"/>
      <c r="L38" s="166" t="str">
        <f t="shared" si="0"/>
        <v/>
      </c>
    </row>
    <row r="39" spans="1:41" ht="15.75">
      <c r="A39" s="142"/>
      <c r="B39" s="152">
        <v>30</v>
      </c>
      <c r="C39" s="151">
        <f>DATASISWA!E37</f>
        <v>0</v>
      </c>
      <c r="D39" s="162"/>
      <c r="E39" s="162"/>
      <c r="F39" s="162"/>
      <c r="G39" s="163"/>
      <c r="H39" s="163"/>
      <c r="I39" s="163"/>
      <c r="J39" s="163"/>
      <c r="K39" s="163"/>
      <c r="L39" s="166" t="str">
        <f t="shared" si="0"/>
        <v/>
      </c>
    </row>
    <row r="40" spans="1:41" ht="15.75">
      <c r="A40" s="142"/>
      <c r="B40" s="17"/>
      <c r="C40" s="18"/>
      <c r="D40" s="205"/>
      <c r="E40" s="205"/>
      <c r="F40" s="205"/>
      <c r="G40" s="205"/>
      <c r="H40" s="205"/>
      <c r="I40" s="205"/>
      <c r="J40" s="205"/>
      <c r="K40" s="205"/>
      <c r="L40" s="142"/>
    </row>
    <row r="41" spans="1:41" ht="15.75">
      <c r="A41" s="142"/>
      <c r="B41" s="17"/>
      <c r="C41" s="18"/>
      <c r="D41" s="205"/>
      <c r="E41" s="784"/>
      <c r="F41" s="784"/>
      <c r="G41" s="784"/>
      <c r="H41" s="784"/>
      <c r="I41" s="784"/>
      <c r="J41" s="784"/>
      <c r="K41" s="784"/>
      <c r="L41" s="142"/>
    </row>
    <row r="42" spans="1:41" ht="15.75">
      <c r="A42" s="142"/>
      <c r="B42" s="17"/>
      <c r="C42" s="18"/>
      <c r="D42" s="205"/>
      <c r="E42" s="784"/>
      <c r="F42" s="784"/>
      <c r="G42" s="784"/>
      <c r="H42" s="784"/>
      <c r="I42" s="784"/>
      <c r="J42" s="784"/>
      <c r="K42" s="784"/>
      <c r="L42" s="142"/>
    </row>
    <row r="43" spans="1:41" ht="15.75">
      <c r="A43" s="142"/>
      <c r="B43" s="17"/>
      <c r="C43" s="18"/>
      <c r="D43" s="205"/>
      <c r="E43" s="205"/>
      <c r="F43" s="205"/>
      <c r="G43" s="205"/>
      <c r="H43" s="205"/>
      <c r="I43" s="205"/>
      <c r="J43" s="205"/>
      <c r="K43" s="205"/>
      <c r="L43" s="142"/>
    </row>
    <row r="44" spans="1:41" ht="15.75">
      <c r="A44" s="142"/>
      <c r="B44" s="17"/>
      <c r="C44" s="18"/>
      <c r="D44" s="205"/>
      <c r="E44" s="205"/>
      <c r="F44" s="205"/>
      <c r="G44" s="205"/>
      <c r="H44" s="205"/>
      <c r="I44" s="205"/>
      <c r="J44" s="205"/>
      <c r="K44" s="205"/>
      <c r="L44" s="142"/>
    </row>
    <row r="45" spans="1:41" ht="15.75">
      <c r="A45" s="142"/>
      <c r="B45" s="17"/>
      <c r="C45" s="18"/>
      <c r="D45" s="205"/>
      <c r="E45" s="205"/>
      <c r="F45" s="205"/>
      <c r="G45" s="205"/>
      <c r="H45" s="205"/>
      <c r="I45" s="205"/>
      <c r="J45" s="205"/>
      <c r="K45" s="205"/>
      <c r="L45" s="142"/>
    </row>
    <row r="46" spans="1:41" ht="15.75">
      <c r="A46" s="142"/>
      <c r="B46" s="17"/>
      <c r="C46" s="18"/>
      <c r="D46" s="205"/>
      <c r="E46" s="205"/>
      <c r="F46" s="205"/>
      <c r="G46" s="205"/>
      <c r="H46" s="205"/>
      <c r="I46" s="205"/>
      <c r="J46" s="205"/>
      <c r="K46" s="205"/>
      <c r="L46" s="142"/>
    </row>
    <row r="47" spans="1:41" ht="15.75">
      <c r="A47" s="142"/>
      <c r="B47" s="17"/>
      <c r="C47" s="18"/>
      <c r="D47" s="205"/>
      <c r="E47" s="205"/>
      <c r="F47" s="205"/>
      <c r="G47" s="205"/>
      <c r="H47" s="205"/>
      <c r="I47" s="205"/>
      <c r="J47" s="205"/>
      <c r="K47" s="205"/>
      <c r="L47" s="142"/>
    </row>
    <row r="48" spans="1:41" ht="15.75">
      <c r="A48" s="142"/>
      <c r="B48" s="17"/>
      <c r="C48" s="18"/>
      <c r="D48" s="205"/>
      <c r="E48" s="784"/>
      <c r="F48" s="784"/>
      <c r="G48" s="784"/>
      <c r="H48" s="784"/>
      <c r="I48" s="784"/>
      <c r="J48" s="784"/>
      <c r="K48" s="784"/>
      <c r="L48" s="142"/>
    </row>
    <row r="49" spans="2:41" s="142" customFormat="1" ht="15.75">
      <c r="B49" s="146"/>
      <c r="C49" s="147"/>
      <c r="D49" s="204"/>
      <c r="E49" s="204"/>
      <c r="F49" s="204"/>
      <c r="G49" s="204"/>
      <c r="H49" s="204"/>
      <c r="I49" s="204"/>
      <c r="J49" s="204"/>
      <c r="K49" s="204"/>
      <c r="AO49" s="148"/>
    </row>
    <row r="50" spans="2:41" ht="15.75" hidden="1">
      <c r="B50" s="17"/>
      <c r="C50" s="18"/>
      <c r="D50" s="19"/>
      <c r="E50" s="19"/>
      <c r="F50" s="19"/>
      <c r="G50" s="19"/>
      <c r="H50" s="19"/>
      <c r="I50" s="19"/>
      <c r="J50" s="67"/>
      <c r="K50" s="67"/>
    </row>
    <row r="51" spans="2:41" ht="15.75" hidden="1">
      <c r="B51" s="17"/>
      <c r="C51" s="18"/>
      <c r="D51" s="19"/>
      <c r="E51" s="19"/>
      <c r="F51" s="19"/>
      <c r="G51" s="19"/>
      <c r="H51" s="19"/>
      <c r="I51" s="19"/>
      <c r="J51" s="67"/>
      <c r="K51" s="67"/>
    </row>
    <row r="52" spans="2:41" ht="15.75" hidden="1">
      <c r="B52" s="17"/>
      <c r="C52" s="18"/>
      <c r="D52" s="19"/>
      <c r="E52" s="19"/>
      <c r="F52" s="19"/>
      <c r="G52" s="19"/>
      <c r="H52" s="19"/>
      <c r="I52" s="19"/>
      <c r="J52" s="67"/>
      <c r="K52" s="67"/>
    </row>
    <row r="53" spans="2:41" ht="15.75" hidden="1">
      <c r="B53" s="17"/>
      <c r="C53" s="18"/>
      <c r="D53" s="19"/>
      <c r="E53" s="19"/>
      <c r="F53" s="19"/>
      <c r="G53" s="19"/>
      <c r="H53" s="19"/>
      <c r="I53" s="19"/>
      <c r="J53" s="67"/>
      <c r="K53" s="67"/>
    </row>
    <row r="54" spans="2:41" ht="15.75" hidden="1">
      <c r="B54" s="17"/>
      <c r="C54" s="18"/>
      <c r="D54" s="19"/>
      <c r="E54" s="19"/>
      <c r="F54" s="19"/>
      <c r="G54" s="19"/>
      <c r="H54" s="19"/>
      <c r="I54" s="19"/>
      <c r="J54" s="67"/>
      <c r="K54" s="67"/>
    </row>
    <row r="55" spans="2:41" ht="15.75" hidden="1">
      <c r="B55" s="17"/>
      <c r="C55" s="18"/>
      <c r="D55" s="19"/>
      <c r="E55" s="19"/>
      <c r="F55" s="19"/>
      <c r="G55" s="19"/>
      <c r="H55" s="19"/>
      <c r="I55" s="19"/>
      <c r="J55" s="67"/>
      <c r="K55" s="67"/>
    </row>
    <row r="56" spans="2:41" ht="15.75" hidden="1">
      <c r="B56" s="17"/>
      <c r="C56" s="18"/>
      <c r="D56" s="19"/>
      <c r="E56" s="19"/>
      <c r="F56" s="19"/>
      <c r="G56" s="19"/>
      <c r="H56" s="19"/>
      <c r="I56" s="19"/>
      <c r="J56" s="67"/>
      <c r="K56" s="67"/>
    </row>
    <row r="57" spans="2:41" ht="15.75" hidden="1">
      <c r="B57" s="17"/>
      <c r="C57" s="18"/>
      <c r="D57" s="19"/>
      <c r="E57" s="19"/>
      <c r="F57" s="19"/>
      <c r="G57" s="19"/>
      <c r="H57" s="19"/>
      <c r="I57" s="19"/>
      <c r="J57" s="67"/>
      <c r="K57" s="67"/>
    </row>
    <row r="58" spans="2:41" ht="15.75" hidden="1">
      <c r="B58" s="17"/>
      <c r="C58" s="18"/>
      <c r="D58" s="19"/>
      <c r="E58" s="19"/>
      <c r="F58" s="19"/>
      <c r="G58" s="19"/>
      <c r="H58" s="19"/>
      <c r="I58" s="19"/>
      <c r="J58" s="67"/>
      <c r="K58" s="67"/>
    </row>
    <row r="59" spans="2:41" ht="15.75" hidden="1">
      <c r="B59" s="17"/>
      <c r="C59" s="18"/>
      <c r="D59" s="19"/>
      <c r="E59" s="19"/>
      <c r="F59" s="19"/>
      <c r="G59" s="19"/>
      <c r="H59" s="19"/>
      <c r="I59" s="19"/>
      <c r="J59" s="67"/>
      <c r="K59" s="67"/>
    </row>
    <row r="60" spans="2:41" ht="15.75" hidden="1">
      <c r="B60" s="17"/>
      <c r="C60" s="18"/>
      <c r="D60" s="19"/>
      <c r="E60" s="19"/>
      <c r="F60" s="19"/>
      <c r="G60" s="19"/>
      <c r="H60" s="19"/>
      <c r="I60" s="19"/>
      <c r="J60" s="67"/>
      <c r="K60" s="67"/>
    </row>
    <row r="61" spans="2:41" ht="15.75" hidden="1">
      <c r="B61" s="17"/>
      <c r="C61" s="18"/>
      <c r="D61" s="19"/>
      <c r="E61" s="19"/>
      <c r="F61" s="19"/>
      <c r="G61" s="19"/>
      <c r="H61" s="19"/>
      <c r="I61" s="19"/>
      <c r="J61" s="67"/>
      <c r="K61" s="67"/>
    </row>
    <row r="62" spans="2:41" ht="15.75" hidden="1">
      <c r="B62" s="17"/>
      <c r="C62" s="18"/>
      <c r="D62" s="19"/>
      <c r="E62" s="19"/>
      <c r="F62" s="19"/>
      <c r="G62" s="19"/>
      <c r="H62" s="19"/>
      <c r="I62" s="19"/>
      <c r="J62" s="67"/>
      <c r="K62" s="67"/>
    </row>
    <row r="63" spans="2:41" ht="15.75" hidden="1">
      <c r="B63" s="17"/>
      <c r="C63" s="18"/>
      <c r="D63" s="19"/>
      <c r="E63" s="19"/>
      <c r="F63" s="19"/>
      <c r="G63" s="19"/>
      <c r="H63" s="19"/>
      <c r="I63" s="19"/>
      <c r="J63" s="67"/>
      <c r="K63" s="67"/>
    </row>
    <row r="64" spans="2:41" ht="15.75" hidden="1">
      <c r="B64" s="17"/>
      <c r="C64" s="18"/>
      <c r="D64" s="19"/>
      <c r="E64" s="19"/>
      <c r="F64" s="19"/>
      <c r="G64" s="19"/>
      <c r="H64" s="19"/>
      <c r="I64" s="19"/>
      <c r="J64" s="67"/>
      <c r="K64" s="67"/>
    </row>
    <row r="65" spans="2:11" ht="15.75" hidden="1">
      <c r="B65" s="17"/>
      <c r="C65" s="18"/>
      <c r="D65" s="19"/>
      <c r="E65" s="19"/>
      <c r="F65" s="19"/>
      <c r="G65" s="19"/>
      <c r="H65" s="19"/>
      <c r="I65" s="19"/>
      <c r="J65" s="67"/>
      <c r="K65" s="67"/>
    </row>
    <row r="66" spans="2:11" ht="15.75" hidden="1">
      <c r="B66" s="17"/>
      <c r="C66" s="18"/>
      <c r="D66" s="19"/>
      <c r="E66" s="19"/>
      <c r="F66" s="19"/>
      <c r="G66" s="19"/>
      <c r="H66" s="19"/>
      <c r="I66" s="19"/>
      <c r="J66" s="67"/>
      <c r="K66" s="67"/>
    </row>
    <row r="67" spans="2:11" ht="15.75" hidden="1">
      <c r="B67" s="17"/>
      <c r="C67" s="18"/>
      <c r="D67" s="19"/>
      <c r="E67" s="19"/>
      <c r="F67" s="19"/>
      <c r="G67" s="19"/>
      <c r="H67" s="19"/>
      <c r="I67" s="19"/>
      <c r="J67" s="67"/>
      <c r="K67" s="67"/>
    </row>
    <row r="68" spans="2:11" ht="15.75" hidden="1">
      <c r="B68" s="17"/>
      <c r="C68" s="18"/>
      <c r="D68" s="19"/>
      <c r="E68" s="19"/>
      <c r="F68" s="19"/>
      <c r="G68" s="19"/>
      <c r="H68" s="19"/>
      <c r="I68" s="19"/>
      <c r="J68" s="67"/>
      <c r="K68" s="67"/>
    </row>
    <row r="69" spans="2:11" ht="15.75" hidden="1">
      <c r="B69" s="17"/>
      <c r="C69" s="18"/>
      <c r="D69" s="19"/>
      <c r="E69" s="19"/>
      <c r="F69" s="19"/>
      <c r="G69" s="19"/>
      <c r="H69" s="19"/>
      <c r="I69" s="19"/>
      <c r="J69" s="67"/>
      <c r="K69" s="67"/>
    </row>
    <row r="70" spans="2:11" ht="15.75" hidden="1">
      <c r="B70" s="17"/>
      <c r="C70" s="18"/>
      <c r="D70" s="19"/>
      <c r="E70" s="19"/>
      <c r="F70" s="19"/>
      <c r="G70" s="19"/>
      <c r="H70" s="19"/>
      <c r="I70" s="19"/>
      <c r="J70" s="67"/>
      <c r="K70" s="67"/>
    </row>
    <row r="71" spans="2:11" ht="15.75" hidden="1">
      <c r="B71" s="17"/>
      <c r="C71" s="18"/>
      <c r="D71" s="19"/>
      <c r="E71" s="19"/>
      <c r="F71" s="19"/>
      <c r="G71" s="19"/>
      <c r="H71" s="19"/>
      <c r="I71" s="19"/>
      <c r="J71" s="67"/>
      <c r="K71" s="67"/>
    </row>
    <row r="72" spans="2:11" ht="15.75" hidden="1">
      <c r="B72" s="17"/>
      <c r="C72" s="18"/>
      <c r="D72" s="19"/>
      <c r="E72" s="19"/>
      <c r="F72" s="19"/>
      <c r="G72" s="19"/>
      <c r="H72" s="19"/>
      <c r="I72" s="19"/>
      <c r="J72" s="67"/>
      <c r="K72" s="67"/>
    </row>
    <row r="73" spans="2:11" ht="15.75" hidden="1">
      <c r="B73" s="17"/>
      <c r="C73" s="18"/>
      <c r="D73" s="19"/>
      <c r="E73" s="19"/>
      <c r="F73" s="19"/>
      <c r="G73" s="19"/>
      <c r="H73" s="19"/>
      <c r="I73" s="19"/>
      <c r="J73" s="67"/>
      <c r="K73" s="67"/>
    </row>
    <row r="74" spans="2:11" ht="15.75" hidden="1">
      <c r="B74" s="17"/>
      <c r="C74" s="18"/>
      <c r="D74" s="19"/>
      <c r="E74" s="19"/>
      <c r="F74" s="19"/>
      <c r="G74" s="19"/>
      <c r="H74" s="19"/>
      <c r="I74" s="19"/>
      <c r="J74" s="67"/>
      <c r="K74" s="67"/>
    </row>
    <row r="75" spans="2:11" ht="15.75" hidden="1">
      <c r="B75" s="17"/>
      <c r="C75" s="18"/>
      <c r="D75" s="19"/>
      <c r="E75" s="19"/>
      <c r="F75" s="19"/>
      <c r="G75" s="19"/>
      <c r="H75" s="19"/>
      <c r="I75" s="19"/>
      <c r="J75" s="67"/>
      <c r="K75" s="67"/>
    </row>
    <row r="76" spans="2:11" ht="15.75" hidden="1">
      <c r="B76" s="17"/>
      <c r="C76" s="18"/>
      <c r="D76" s="19"/>
      <c r="E76" s="19"/>
      <c r="F76" s="19"/>
      <c r="G76" s="19"/>
      <c r="H76" s="19"/>
      <c r="I76" s="19"/>
      <c r="J76" s="67"/>
      <c r="K76" s="67"/>
    </row>
    <row r="77" spans="2:11" ht="15.75" hidden="1">
      <c r="B77" s="17"/>
      <c r="C77" s="18"/>
      <c r="D77" s="19"/>
      <c r="E77" s="19"/>
      <c r="F77" s="19"/>
      <c r="G77" s="19"/>
      <c r="H77" s="19"/>
      <c r="I77" s="19"/>
      <c r="J77" s="67"/>
      <c r="K77" s="67"/>
    </row>
    <row r="78" spans="2:11" ht="15.75" hidden="1">
      <c r="B78" s="17"/>
      <c r="C78" s="18"/>
      <c r="D78" s="19"/>
      <c r="E78" s="19"/>
      <c r="F78" s="19"/>
      <c r="G78" s="19"/>
      <c r="H78" s="19"/>
      <c r="I78" s="19"/>
      <c r="J78" s="67"/>
      <c r="K78" s="67"/>
    </row>
    <row r="79" spans="2:11" ht="15.75" hidden="1">
      <c r="B79" s="17"/>
      <c r="C79" s="18"/>
      <c r="D79" s="19"/>
      <c r="E79" s="19"/>
      <c r="F79" s="19"/>
      <c r="G79" s="19"/>
      <c r="H79" s="19"/>
      <c r="I79" s="19"/>
      <c r="J79" s="67"/>
      <c r="K79" s="67"/>
    </row>
    <row r="80" spans="2:11" ht="15.75" hidden="1">
      <c r="B80" s="17"/>
      <c r="C80" s="18"/>
      <c r="D80" s="19"/>
      <c r="E80" s="19"/>
      <c r="F80" s="19"/>
      <c r="G80" s="19"/>
      <c r="H80" s="19"/>
      <c r="I80" s="19"/>
      <c r="J80" s="67"/>
      <c r="K80" s="67"/>
    </row>
    <row r="81" spans="2:11" ht="15.75" hidden="1">
      <c r="B81" s="17"/>
      <c r="C81" s="18"/>
      <c r="D81" s="19"/>
      <c r="E81" s="19"/>
      <c r="F81" s="19"/>
      <c r="G81" s="19"/>
      <c r="H81" s="19"/>
      <c r="I81" s="19"/>
      <c r="J81" s="67"/>
      <c r="K81" s="67"/>
    </row>
    <row r="82" spans="2:11" ht="15.75" hidden="1">
      <c r="B82" s="17"/>
      <c r="C82" s="18"/>
      <c r="D82" s="19"/>
      <c r="E82" s="19"/>
      <c r="F82" s="19"/>
      <c r="G82" s="19"/>
      <c r="H82" s="19"/>
      <c r="I82" s="19"/>
      <c r="J82" s="67"/>
      <c r="K82" s="67"/>
    </row>
    <row r="83" spans="2:11" ht="15.75" hidden="1">
      <c r="B83" s="17"/>
      <c r="C83" s="18"/>
      <c r="D83" s="19"/>
      <c r="E83" s="19"/>
      <c r="F83" s="19"/>
      <c r="G83" s="19"/>
      <c r="H83" s="19"/>
      <c r="I83" s="19"/>
      <c r="J83" s="67"/>
      <c r="K83" s="67"/>
    </row>
    <row r="84" spans="2:11" ht="15.75" hidden="1">
      <c r="B84" s="17"/>
      <c r="C84" s="18"/>
      <c r="D84" s="19"/>
      <c r="E84" s="19"/>
      <c r="F84" s="19"/>
      <c r="G84" s="19"/>
      <c r="H84" s="19"/>
      <c r="I84" s="19"/>
      <c r="J84" s="67"/>
      <c r="K84" s="67"/>
    </row>
    <row r="85" spans="2:11" ht="15.75" hidden="1">
      <c r="B85" s="17"/>
      <c r="C85" s="18"/>
      <c r="D85" s="19"/>
      <c r="E85" s="19"/>
      <c r="F85" s="19"/>
      <c r="G85" s="19"/>
      <c r="H85" s="19"/>
      <c r="I85" s="19"/>
      <c r="J85" s="67"/>
      <c r="K85" s="67"/>
    </row>
    <row r="86" spans="2:11" ht="15.75" hidden="1">
      <c r="B86" s="17"/>
      <c r="C86" s="18"/>
      <c r="D86" s="19"/>
      <c r="E86" s="19"/>
      <c r="F86" s="19"/>
      <c r="G86" s="19"/>
      <c r="H86" s="19"/>
      <c r="I86" s="19"/>
      <c r="J86" s="67"/>
      <c r="K86" s="67"/>
    </row>
    <row r="87" spans="2:11" ht="15.75" hidden="1">
      <c r="B87" s="17"/>
      <c r="C87" s="18"/>
      <c r="D87" s="19"/>
      <c r="E87" s="19"/>
      <c r="F87" s="19"/>
      <c r="G87" s="19"/>
      <c r="H87" s="19"/>
      <c r="I87" s="19"/>
      <c r="J87" s="67"/>
      <c r="K87" s="67"/>
    </row>
    <row r="88" spans="2:11" ht="15.75" hidden="1">
      <c r="B88" s="17"/>
      <c r="C88" s="18"/>
      <c r="D88" s="19"/>
      <c r="E88" s="19"/>
      <c r="F88" s="19"/>
      <c r="G88" s="19"/>
      <c r="H88" s="19"/>
      <c r="I88" s="19"/>
      <c r="J88" s="67"/>
      <c r="K88" s="67"/>
    </row>
    <row r="89" spans="2:11" ht="15.75" hidden="1">
      <c r="B89" s="17"/>
      <c r="C89" s="18"/>
      <c r="D89" s="19"/>
      <c r="E89" s="19"/>
      <c r="F89" s="19"/>
      <c r="G89" s="19"/>
      <c r="H89" s="19"/>
      <c r="I89" s="19"/>
      <c r="J89" s="67"/>
      <c r="K89" s="67"/>
    </row>
    <row r="90" spans="2:11" ht="15.75" hidden="1">
      <c r="B90" s="17"/>
      <c r="C90" s="18"/>
      <c r="D90" s="19"/>
      <c r="E90" s="19"/>
      <c r="F90" s="19"/>
      <c r="G90" s="19"/>
      <c r="H90" s="19"/>
      <c r="I90" s="19"/>
      <c r="J90" s="67"/>
      <c r="K90" s="67"/>
    </row>
    <row r="91" spans="2:11" ht="15.75" hidden="1">
      <c r="B91" s="17"/>
      <c r="C91" s="18"/>
      <c r="D91" s="19"/>
      <c r="E91" s="19"/>
      <c r="F91" s="19"/>
      <c r="G91" s="19"/>
      <c r="H91" s="19"/>
      <c r="I91" s="19"/>
      <c r="J91" s="67"/>
      <c r="K91" s="67"/>
    </row>
    <row r="92" spans="2:11" ht="15.75" hidden="1">
      <c r="B92" s="17"/>
      <c r="C92" s="18"/>
      <c r="D92" s="19"/>
      <c r="E92" s="19"/>
      <c r="F92" s="19"/>
      <c r="G92" s="19"/>
      <c r="H92" s="19"/>
      <c r="I92" s="19"/>
      <c r="J92" s="67"/>
      <c r="K92" s="67"/>
    </row>
    <row r="93" spans="2:11" ht="15.75" hidden="1">
      <c r="B93" s="17"/>
      <c r="C93" s="18"/>
      <c r="D93" s="19"/>
      <c r="E93" s="19"/>
      <c r="F93" s="19"/>
      <c r="G93" s="19"/>
      <c r="H93" s="19"/>
      <c r="I93" s="19"/>
      <c r="J93" s="67"/>
      <c r="K93" s="67"/>
    </row>
    <row r="94" spans="2:11" ht="15.75" hidden="1">
      <c r="B94" s="17"/>
      <c r="C94" s="18"/>
      <c r="D94" s="19"/>
      <c r="E94" s="19"/>
      <c r="F94" s="19"/>
      <c r="G94" s="19"/>
      <c r="H94" s="19"/>
      <c r="I94" s="19"/>
      <c r="J94" s="67"/>
      <c r="K94" s="67"/>
    </row>
    <row r="95" spans="2:11" ht="15.75" hidden="1">
      <c r="B95" s="17"/>
      <c r="C95" s="18"/>
      <c r="D95" s="19"/>
      <c r="E95" s="19"/>
      <c r="F95" s="19"/>
      <c r="G95" s="19"/>
      <c r="H95" s="19"/>
      <c r="I95" s="19"/>
      <c r="J95" s="67"/>
      <c r="K95" s="67"/>
    </row>
    <row r="96" spans="2:11" ht="15.75" hidden="1">
      <c r="B96" s="17"/>
      <c r="C96" s="18"/>
      <c r="D96" s="19"/>
      <c r="E96" s="19"/>
      <c r="F96" s="19"/>
      <c r="G96" s="19"/>
      <c r="H96" s="19"/>
      <c r="I96" s="19"/>
      <c r="J96" s="67"/>
      <c r="K96" s="67"/>
    </row>
    <row r="97" spans="2:11" ht="15.75" hidden="1">
      <c r="B97" s="17"/>
      <c r="C97" s="18"/>
      <c r="D97" s="19"/>
      <c r="E97" s="19"/>
      <c r="F97" s="19"/>
      <c r="G97" s="19"/>
      <c r="H97" s="19"/>
      <c r="I97" s="19"/>
      <c r="J97" s="67"/>
      <c r="K97" s="67"/>
    </row>
    <row r="98" spans="2:11" ht="15.75" hidden="1">
      <c r="B98" s="17"/>
      <c r="C98" s="18"/>
      <c r="D98" s="19"/>
      <c r="E98" s="19"/>
      <c r="F98" s="19"/>
      <c r="G98" s="19"/>
      <c r="H98" s="19"/>
      <c r="I98" s="19"/>
      <c r="J98" s="67"/>
      <c r="K98" s="67"/>
    </row>
    <row r="99" spans="2:11" ht="15.75" hidden="1">
      <c r="B99" s="17"/>
      <c r="C99" s="18"/>
      <c r="D99" s="19"/>
      <c r="E99" s="19"/>
      <c r="F99" s="19"/>
      <c r="G99" s="19"/>
      <c r="H99" s="19"/>
      <c r="I99" s="19"/>
      <c r="J99" s="67"/>
      <c r="K99" s="67"/>
    </row>
    <row r="100" spans="2:11" ht="15.75" hidden="1">
      <c r="B100" s="17"/>
      <c r="C100" s="18"/>
      <c r="D100" s="19"/>
      <c r="E100" s="19"/>
      <c r="F100" s="19"/>
      <c r="G100" s="19"/>
      <c r="H100" s="19"/>
      <c r="I100" s="19"/>
      <c r="J100" s="67"/>
      <c r="K100" s="67"/>
    </row>
    <row r="101" spans="2:11" ht="15.75" hidden="1">
      <c r="B101" s="17"/>
      <c r="C101" s="18"/>
      <c r="D101" s="19"/>
      <c r="E101" s="19"/>
      <c r="F101" s="19"/>
      <c r="G101" s="19"/>
      <c r="H101" s="19"/>
      <c r="I101" s="19"/>
      <c r="J101" s="67"/>
      <c r="K101" s="67"/>
    </row>
    <row r="102" spans="2:11" ht="15.75" hidden="1">
      <c r="B102" s="17"/>
      <c r="C102" s="18"/>
      <c r="D102" s="19"/>
      <c r="E102" s="19"/>
      <c r="F102" s="19"/>
      <c r="G102" s="19"/>
      <c r="H102" s="19"/>
      <c r="I102" s="19"/>
      <c r="J102" s="67"/>
      <c r="K102" s="67"/>
    </row>
    <row r="103" spans="2:11" ht="15.75" hidden="1">
      <c r="B103" s="17"/>
      <c r="C103" s="18"/>
      <c r="D103" s="19"/>
      <c r="E103" s="19"/>
      <c r="F103" s="19"/>
      <c r="G103" s="19"/>
      <c r="H103" s="19"/>
      <c r="I103" s="19"/>
      <c r="J103" s="67"/>
      <c r="K103" s="67"/>
    </row>
    <row r="104" spans="2:11" ht="15.75" hidden="1">
      <c r="B104" s="17"/>
      <c r="C104" s="18"/>
      <c r="D104" s="19"/>
      <c r="E104" s="19"/>
      <c r="F104" s="19"/>
      <c r="G104" s="19"/>
      <c r="H104" s="19"/>
      <c r="I104" s="19"/>
      <c r="J104" s="67"/>
      <c r="K104" s="67"/>
    </row>
    <row r="105" spans="2:11" ht="15.75" hidden="1">
      <c r="B105" s="17"/>
      <c r="C105" s="18"/>
      <c r="D105" s="19"/>
      <c r="E105" s="19"/>
      <c r="F105" s="19"/>
      <c r="G105" s="19"/>
      <c r="H105" s="19"/>
      <c r="I105" s="19"/>
      <c r="J105" s="67"/>
      <c r="K105" s="67"/>
    </row>
    <row r="106" spans="2:11" ht="15.75" hidden="1">
      <c r="B106" s="17"/>
      <c r="C106" s="18"/>
      <c r="D106" s="19"/>
      <c r="E106" s="19"/>
      <c r="F106" s="19"/>
      <c r="G106" s="19"/>
      <c r="H106" s="19"/>
      <c r="I106" s="19"/>
      <c r="J106" s="67"/>
      <c r="K106" s="67"/>
    </row>
    <row r="107" spans="2:11" ht="15.75" hidden="1">
      <c r="B107" s="17"/>
      <c r="C107" s="18"/>
      <c r="D107" s="19"/>
      <c r="E107" s="19"/>
      <c r="F107" s="19"/>
      <c r="G107" s="19"/>
      <c r="H107" s="19"/>
      <c r="I107" s="19"/>
      <c r="J107" s="67"/>
      <c r="K107" s="67"/>
    </row>
    <row r="108" spans="2:11" ht="15.75" hidden="1">
      <c r="B108" s="17"/>
      <c r="C108" s="18"/>
      <c r="D108" s="19"/>
      <c r="E108" s="19"/>
      <c r="F108" s="19"/>
      <c r="G108" s="19"/>
      <c r="H108" s="19"/>
      <c r="I108" s="19"/>
      <c r="J108" s="67"/>
      <c r="K108" s="67"/>
    </row>
    <row r="109" spans="2:11" ht="15.75" hidden="1">
      <c r="B109" s="17"/>
      <c r="C109" s="18"/>
      <c r="D109" s="19"/>
      <c r="E109" s="19"/>
      <c r="F109" s="19"/>
      <c r="G109" s="19"/>
      <c r="H109" s="19"/>
      <c r="I109" s="19"/>
      <c r="J109" s="67"/>
      <c r="K109" s="67"/>
    </row>
  </sheetData>
  <mergeCells count="12">
    <mergeCell ref="B2:K2"/>
    <mergeCell ref="E41:K41"/>
    <mergeCell ref="E42:K42"/>
    <mergeCell ref="E48:K48"/>
    <mergeCell ref="B7:B8"/>
    <mergeCell ref="C7:C8"/>
    <mergeCell ref="D7:I7"/>
    <mergeCell ref="B3:K3"/>
    <mergeCell ref="B4:K4"/>
    <mergeCell ref="B5:K5"/>
    <mergeCell ref="J7:J8"/>
    <mergeCell ref="K7:K8"/>
  </mergeCells>
  <conditionalFormatting sqref="G33:G39 D10:F39 H10:K39">
    <cfRule type="colorScale" priority="13938">
      <colorScale>
        <cfvo type="min"/>
        <cfvo type="percentile" val="50"/>
        <cfvo type="max"/>
        <color rgb="FFF8696B"/>
        <color rgb="FFFFEB84"/>
        <color rgb="FF63BE7B"/>
      </colorScale>
    </cfRule>
  </conditionalFormatting>
  <conditionalFormatting sqref="H10:I31 D10:F31">
    <cfRule type="colorScale" priority="13937">
      <colorScale>
        <cfvo type="min"/>
        <cfvo type="percentile" val="50"/>
        <cfvo type="max"/>
        <color rgb="FFF8696B"/>
        <color rgb="FFFFEB84"/>
        <color rgb="FF63BE7B"/>
      </colorScale>
    </cfRule>
  </conditionalFormatting>
  <conditionalFormatting sqref="D10:E31">
    <cfRule type="colorScale" priority="13936">
      <colorScale>
        <cfvo type="min"/>
        <cfvo type="percentile" val="50"/>
        <cfvo type="max"/>
        <color rgb="FFF8696B"/>
        <color rgb="FFFFEB84"/>
        <color rgb="FF63BE7B"/>
      </colorScale>
    </cfRule>
  </conditionalFormatting>
  <conditionalFormatting sqref="D10:E31">
    <cfRule type="colorScale" priority="13935">
      <colorScale>
        <cfvo type="min"/>
        <cfvo type="percentile" val="50"/>
        <cfvo type="max"/>
        <color rgb="FFF8696B"/>
        <color rgb="FFFFEB84"/>
        <color rgb="FF63BE7B"/>
      </colorScale>
    </cfRule>
  </conditionalFormatting>
  <conditionalFormatting sqref="D10:E31">
    <cfRule type="colorScale" priority="13934">
      <colorScale>
        <cfvo type="min"/>
        <cfvo type="percentile" val="50"/>
        <cfvo type="max"/>
        <color rgb="FFF8696B"/>
        <color rgb="FFFFEB84"/>
        <color rgb="FF63BE7B"/>
      </colorScale>
    </cfRule>
  </conditionalFormatting>
  <conditionalFormatting sqref="D10:E31">
    <cfRule type="colorScale" priority="13933">
      <colorScale>
        <cfvo type="min"/>
        <cfvo type="percentile" val="50"/>
        <cfvo type="max"/>
        <color rgb="FFF8696B"/>
        <color rgb="FFFFEB84"/>
        <color rgb="FF63BE7B"/>
      </colorScale>
    </cfRule>
  </conditionalFormatting>
  <conditionalFormatting sqref="D10:E31">
    <cfRule type="colorScale" priority="13932">
      <colorScale>
        <cfvo type="min"/>
        <cfvo type="percentile" val="50"/>
        <cfvo type="max"/>
        <color rgb="FFF8696B"/>
        <color rgb="FFFFEB84"/>
        <color rgb="FF63BE7B"/>
      </colorScale>
    </cfRule>
  </conditionalFormatting>
  <conditionalFormatting sqref="D10:E31">
    <cfRule type="colorScale" priority="13931">
      <colorScale>
        <cfvo type="min"/>
        <cfvo type="percentile" val="50"/>
        <cfvo type="max"/>
        <color rgb="FFF8696B"/>
        <color rgb="FFFFEB84"/>
        <color rgb="FF63BE7B"/>
      </colorScale>
    </cfRule>
  </conditionalFormatting>
  <conditionalFormatting sqref="D10:E31">
    <cfRule type="colorScale" priority="13930">
      <colorScale>
        <cfvo type="min"/>
        <cfvo type="percentile" val="50"/>
        <cfvo type="max"/>
        <color rgb="FFF8696B"/>
        <color rgb="FFFFEB84"/>
        <color rgb="FF63BE7B"/>
      </colorScale>
    </cfRule>
  </conditionalFormatting>
  <conditionalFormatting sqref="D10:E31">
    <cfRule type="colorScale" priority="13929">
      <colorScale>
        <cfvo type="min"/>
        <cfvo type="percentile" val="50"/>
        <cfvo type="max"/>
        <color rgb="FFF8696B"/>
        <color rgb="FFFFEB84"/>
        <color rgb="FF63BE7B"/>
      </colorScale>
    </cfRule>
  </conditionalFormatting>
  <conditionalFormatting sqref="D10:D31">
    <cfRule type="colorScale" priority="13928">
      <colorScale>
        <cfvo type="min"/>
        <cfvo type="percentile" val="50"/>
        <cfvo type="max"/>
        <color rgb="FFF8696B"/>
        <color rgb="FFFFEB84"/>
        <color rgb="FF63BE7B"/>
      </colorScale>
    </cfRule>
  </conditionalFormatting>
  <conditionalFormatting sqref="D10:E31">
    <cfRule type="colorScale" priority="13927">
      <colorScale>
        <cfvo type="min"/>
        <cfvo type="percentile" val="50"/>
        <cfvo type="max"/>
        <color rgb="FFF8696B"/>
        <color rgb="FFFFEB84"/>
        <color rgb="FF63BE7B"/>
      </colorScale>
    </cfRule>
  </conditionalFormatting>
  <conditionalFormatting sqref="D10:E31">
    <cfRule type="colorScale" priority="13926">
      <colorScale>
        <cfvo type="min"/>
        <cfvo type="percentile" val="50"/>
        <cfvo type="max"/>
        <color rgb="FFF8696B"/>
        <color rgb="FFFFEB84"/>
        <color rgb="FF63BE7B"/>
      </colorScale>
    </cfRule>
  </conditionalFormatting>
  <conditionalFormatting sqref="D10:E31">
    <cfRule type="colorScale" priority="13925">
      <colorScale>
        <cfvo type="min"/>
        <cfvo type="percentile" val="50"/>
        <cfvo type="max"/>
        <color rgb="FFF8696B"/>
        <color rgb="FFFFEB84"/>
        <color rgb="FF63BE7B"/>
      </colorScale>
    </cfRule>
  </conditionalFormatting>
  <conditionalFormatting sqref="D10:D31">
    <cfRule type="colorScale" priority="13924">
      <colorScale>
        <cfvo type="min"/>
        <cfvo type="percentile" val="50"/>
        <cfvo type="max"/>
        <color rgb="FFF8696B"/>
        <color rgb="FFFFEB84"/>
        <color rgb="FF63BE7B"/>
      </colorScale>
    </cfRule>
  </conditionalFormatting>
  <conditionalFormatting sqref="D10:E31">
    <cfRule type="colorScale" priority="13923">
      <colorScale>
        <cfvo type="min"/>
        <cfvo type="percentile" val="50"/>
        <cfvo type="max"/>
        <color rgb="FFF8696B"/>
        <color rgb="FFFFEB84"/>
        <color rgb="FF63BE7B"/>
      </colorScale>
    </cfRule>
  </conditionalFormatting>
  <conditionalFormatting sqref="D10:E31">
    <cfRule type="colorScale" priority="13922">
      <colorScale>
        <cfvo type="min"/>
        <cfvo type="percentile" val="50"/>
        <cfvo type="max"/>
        <color rgb="FFF8696B"/>
        <color rgb="FFFFEB84"/>
        <color rgb="FF63BE7B"/>
      </colorScale>
    </cfRule>
  </conditionalFormatting>
  <conditionalFormatting sqref="D10:E31">
    <cfRule type="colorScale" priority="13921">
      <colorScale>
        <cfvo type="min"/>
        <cfvo type="percentile" val="50"/>
        <cfvo type="max"/>
        <color rgb="FFF8696B"/>
        <color rgb="FFFFEB84"/>
        <color rgb="FF63BE7B"/>
      </colorScale>
    </cfRule>
  </conditionalFormatting>
  <conditionalFormatting sqref="D10:E31">
    <cfRule type="colorScale" priority="13920">
      <colorScale>
        <cfvo type="min"/>
        <cfvo type="percentile" val="50"/>
        <cfvo type="max"/>
        <color rgb="FFF8696B"/>
        <color rgb="FFFFEB84"/>
        <color rgb="FF63BE7B"/>
      </colorScale>
    </cfRule>
  </conditionalFormatting>
  <conditionalFormatting sqref="D10:E31">
    <cfRule type="colorScale" priority="13919">
      <colorScale>
        <cfvo type="min"/>
        <cfvo type="percentile" val="50"/>
        <cfvo type="max"/>
        <color rgb="FFF8696B"/>
        <color rgb="FFFFEB84"/>
        <color rgb="FF63BE7B"/>
      </colorScale>
    </cfRule>
  </conditionalFormatting>
  <conditionalFormatting sqref="D10:E31">
    <cfRule type="colorScale" priority="13918">
      <colorScale>
        <cfvo type="min"/>
        <cfvo type="percentile" val="50"/>
        <cfvo type="max"/>
        <color rgb="FFF8696B"/>
        <color rgb="FFFFEB84"/>
        <color rgb="FF63BE7B"/>
      </colorScale>
    </cfRule>
  </conditionalFormatting>
  <conditionalFormatting sqref="D10:E31">
    <cfRule type="colorScale" priority="13917">
      <colorScale>
        <cfvo type="min"/>
        <cfvo type="percentile" val="50"/>
        <cfvo type="max"/>
        <color rgb="FFF8696B"/>
        <color rgb="FFFFEB84"/>
        <color rgb="FF63BE7B"/>
      </colorScale>
    </cfRule>
  </conditionalFormatting>
  <conditionalFormatting sqref="D10:E31">
    <cfRule type="colorScale" priority="13916">
      <colorScale>
        <cfvo type="min"/>
        <cfvo type="percentile" val="50"/>
        <cfvo type="max"/>
        <color rgb="FFF8696B"/>
        <color rgb="FFFFEB84"/>
        <color rgb="FF63BE7B"/>
      </colorScale>
    </cfRule>
  </conditionalFormatting>
  <conditionalFormatting sqref="D10:E31">
    <cfRule type="colorScale" priority="13915">
      <colorScale>
        <cfvo type="min"/>
        <cfvo type="percentile" val="50"/>
        <cfvo type="max"/>
        <color rgb="FFF8696B"/>
        <color rgb="FFFFEB84"/>
        <color rgb="FF63BE7B"/>
      </colorScale>
    </cfRule>
  </conditionalFormatting>
  <conditionalFormatting sqref="D10:E31">
    <cfRule type="colorScale" priority="13914">
      <colorScale>
        <cfvo type="min"/>
        <cfvo type="percentile" val="50"/>
        <cfvo type="max"/>
        <color rgb="FFF8696B"/>
        <color rgb="FFFFEB84"/>
        <color rgb="FF63BE7B"/>
      </colorScale>
    </cfRule>
  </conditionalFormatting>
  <conditionalFormatting sqref="D10:E31">
    <cfRule type="colorScale" priority="13913">
      <colorScale>
        <cfvo type="min"/>
        <cfvo type="percentile" val="50"/>
        <cfvo type="max"/>
        <color rgb="FFF8696B"/>
        <color rgb="FFFFEB84"/>
        <color rgb="FF63BE7B"/>
      </colorScale>
    </cfRule>
  </conditionalFormatting>
  <conditionalFormatting sqref="D10:E31">
    <cfRule type="colorScale" priority="13912">
      <colorScale>
        <cfvo type="min"/>
        <cfvo type="percentile" val="50"/>
        <cfvo type="max"/>
        <color rgb="FFF8696B"/>
        <color rgb="FFFFEB84"/>
        <color rgb="FF63BE7B"/>
      </colorScale>
    </cfRule>
  </conditionalFormatting>
  <conditionalFormatting sqref="D10:D31">
    <cfRule type="colorScale" priority="13911">
      <colorScale>
        <cfvo type="min"/>
        <cfvo type="percentile" val="50"/>
        <cfvo type="max"/>
        <color rgb="FFF8696B"/>
        <color rgb="FFFFEB84"/>
        <color rgb="FF63BE7B"/>
      </colorScale>
    </cfRule>
  </conditionalFormatting>
  <conditionalFormatting sqref="D10:D31">
    <cfRule type="colorScale" priority="13910">
      <colorScale>
        <cfvo type="min"/>
        <cfvo type="percentile" val="50"/>
        <cfvo type="max"/>
        <color rgb="FFF8696B"/>
        <color rgb="FFFFEB84"/>
        <color rgb="FF63BE7B"/>
      </colorScale>
    </cfRule>
  </conditionalFormatting>
  <conditionalFormatting sqref="D10:D31">
    <cfRule type="colorScale" priority="13909">
      <colorScale>
        <cfvo type="min"/>
        <cfvo type="percentile" val="50"/>
        <cfvo type="max"/>
        <color rgb="FFF8696B"/>
        <color rgb="FFFFEB84"/>
        <color rgb="FF63BE7B"/>
      </colorScale>
    </cfRule>
  </conditionalFormatting>
  <conditionalFormatting sqref="D10:D31">
    <cfRule type="colorScale" priority="13908">
      <colorScale>
        <cfvo type="min"/>
        <cfvo type="percentile" val="50"/>
        <cfvo type="max"/>
        <color rgb="FFF8696B"/>
        <color rgb="FFFFEB84"/>
        <color rgb="FF63BE7B"/>
      </colorScale>
    </cfRule>
  </conditionalFormatting>
  <conditionalFormatting sqref="D10:E31">
    <cfRule type="colorScale" priority="13907">
      <colorScale>
        <cfvo type="min"/>
        <cfvo type="percentile" val="50"/>
        <cfvo type="max"/>
        <color rgb="FFF8696B"/>
        <color rgb="FFFFEB84"/>
        <color rgb="FF63BE7B"/>
      </colorScale>
    </cfRule>
  </conditionalFormatting>
  <conditionalFormatting sqref="D10:E31">
    <cfRule type="colorScale" priority="13906">
      <colorScale>
        <cfvo type="min"/>
        <cfvo type="percentile" val="50"/>
        <cfvo type="max"/>
        <color rgb="FFF8696B"/>
        <color rgb="FFFFEB84"/>
        <color rgb="FF63BE7B"/>
      </colorScale>
    </cfRule>
  </conditionalFormatting>
  <conditionalFormatting sqref="D10:D31">
    <cfRule type="colorScale" priority="13905">
      <colorScale>
        <cfvo type="min"/>
        <cfvo type="percentile" val="50"/>
        <cfvo type="max"/>
        <color rgb="FFF8696B"/>
        <color rgb="FFFFEB84"/>
        <color rgb="FF63BE7B"/>
      </colorScale>
    </cfRule>
  </conditionalFormatting>
  <conditionalFormatting sqref="D10:D31">
    <cfRule type="colorScale" priority="13904">
      <colorScale>
        <cfvo type="min"/>
        <cfvo type="percentile" val="50"/>
        <cfvo type="max"/>
        <color rgb="FFF8696B"/>
        <color rgb="FFFFEB84"/>
        <color rgb="FF63BE7B"/>
      </colorScale>
    </cfRule>
  </conditionalFormatting>
  <conditionalFormatting sqref="D10:D31">
    <cfRule type="colorScale" priority="13903">
      <colorScale>
        <cfvo type="min"/>
        <cfvo type="percentile" val="50"/>
        <cfvo type="max"/>
        <color rgb="FFF8696B"/>
        <color rgb="FFFFEB84"/>
        <color rgb="FF63BE7B"/>
      </colorScale>
    </cfRule>
  </conditionalFormatting>
  <conditionalFormatting sqref="D10:D31">
    <cfRule type="colorScale" priority="13902">
      <colorScale>
        <cfvo type="min"/>
        <cfvo type="percentile" val="50"/>
        <cfvo type="max"/>
        <color rgb="FFF8696B"/>
        <color rgb="FFFFEB84"/>
        <color rgb="FF63BE7B"/>
      </colorScale>
    </cfRule>
  </conditionalFormatting>
  <conditionalFormatting sqref="D10:E31">
    <cfRule type="colorScale" priority="13901">
      <colorScale>
        <cfvo type="min"/>
        <cfvo type="percentile" val="50"/>
        <cfvo type="max"/>
        <color rgb="FFF8696B"/>
        <color rgb="FFFFEB84"/>
        <color rgb="FF63BE7B"/>
      </colorScale>
    </cfRule>
  </conditionalFormatting>
  <conditionalFormatting sqref="D10:E31">
    <cfRule type="colorScale" priority="13900">
      <colorScale>
        <cfvo type="min"/>
        <cfvo type="percentile" val="50"/>
        <cfvo type="max"/>
        <color rgb="FFF8696B"/>
        <color rgb="FFFFEB84"/>
        <color rgb="FF63BE7B"/>
      </colorScale>
    </cfRule>
  </conditionalFormatting>
  <conditionalFormatting sqref="D10:D31">
    <cfRule type="colorScale" priority="13899">
      <colorScale>
        <cfvo type="min"/>
        <cfvo type="percentile" val="50"/>
        <cfvo type="max"/>
        <color rgb="FFF8696B"/>
        <color rgb="FFFFEB84"/>
        <color rgb="FF63BE7B"/>
      </colorScale>
    </cfRule>
  </conditionalFormatting>
  <conditionalFormatting sqref="D10:D31">
    <cfRule type="colorScale" priority="13898">
      <colorScale>
        <cfvo type="min"/>
        <cfvo type="percentile" val="50"/>
        <cfvo type="max"/>
        <color rgb="FFF8696B"/>
        <color rgb="FFFFEB84"/>
        <color rgb="FF63BE7B"/>
      </colorScale>
    </cfRule>
  </conditionalFormatting>
  <conditionalFormatting sqref="D10:D31">
    <cfRule type="colorScale" priority="13897">
      <colorScale>
        <cfvo type="min"/>
        <cfvo type="percentile" val="50"/>
        <cfvo type="max"/>
        <color rgb="FFF8696B"/>
        <color rgb="FFFFEB84"/>
        <color rgb="FF63BE7B"/>
      </colorScale>
    </cfRule>
  </conditionalFormatting>
  <conditionalFormatting sqref="D10:D31">
    <cfRule type="colorScale" priority="13896">
      <colorScale>
        <cfvo type="min"/>
        <cfvo type="percentile" val="50"/>
        <cfvo type="max"/>
        <color rgb="FFF8696B"/>
        <color rgb="FFFFEB84"/>
        <color rgb="FF63BE7B"/>
      </colorScale>
    </cfRule>
  </conditionalFormatting>
  <conditionalFormatting sqref="D10:E31">
    <cfRule type="colorScale" priority="13895">
      <colorScale>
        <cfvo type="min"/>
        <cfvo type="percentile" val="50"/>
        <cfvo type="max"/>
        <color rgb="FFF8696B"/>
        <color rgb="FFFFEB84"/>
        <color rgb="FF63BE7B"/>
      </colorScale>
    </cfRule>
  </conditionalFormatting>
  <conditionalFormatting sqref="D10:E31">
    <cfRule type="colorScale" priority="13894">
      <colorScale>
        <cfvo type="min"/>
        <cfvo type="percentile" val="50"/>
        <cfvo type="max"/>
        <color rgb="FFF8696B"/>
        <color rgb="FFFFEB84"/>
        <color rgb="FF63BE7B"/>
      </colorScale>
    </cfRule>
  </conditionalFormatting>
  <conditionalFormatting sqref="D10:E31">
    <cfRule type="colorScale" priority="13893">
      <colorScale>
        <cfvo type="min"/>
        <cfvo type="percentile" val="50"/>
        <cfvo type="max"/>
        <color rgb="FFF8696B"/>
        <color rgb="FFFFEB84"/>
        <color rgb="FF63BE7B"/>
      </colorScale>
    </cfRule>
  </conditionalFormatting>
  <conditionalFormatting sqref="D10:E31">
    <cfRule type="colorScale" priority="13892">
      <colorScale>
        <cfvo type="min"/>
        <cfvo type="percentile" val="50"/>
        <cfvo type="max"/>
        <color rgb="FFF8696B"/>
        <color rgb="FFFFEB84"/>
        <color rgb="FF63BE7B"/>
      </colorScale>
    </cfRule>
  </conditionalFormatting>
  <conditionalFormatting sqref="D10:D31">
    <cfRule type="colorScale" priority="13891">
      <colorScale>
        <cfvo type="min"/>
        <cfvo type="percentile" val="50"/>
        <cfvo type="max"/>
        <color rgb="FFF8696B"/>
        <color rgb="FFFFEB84"/>
        <color rgb="FF63BE7B"/>
      </colorScale>
    </cfRule>
  </conditionalFormatting>
  <conditionalFormatting sqref="D10:D31">
    <cfRule type="colorScale" priority="13890">
      <colorScale>
        <cfvo type="min"/>
        <cfvo type="percentile" val="50"/>
        <cfvo type="max"/>
        <color rgb="FFF8696B"/>
        <color rgb="FFFFEB84"/>
        <color rgb="FF63BE7B"/>
      </colorScale>
    </cfRule>
  </conditionalFormatting>
  <conditionalFormatting sqref="D10:D31">
    <cfRule type="colorScale" priority="13889">
      <colorScale>
        <cfvo type="min"/>
        <cfvo type="percentile" val="50"/>
        <cfvo type="max"/>
        <color rgb="FFF8696B"/>
        <color rgb="FFFFEB84"/>
        <color rgb="FF63BE7B"/>
      </colorScale>
    </cfRule>
  </conditionalFormatting>
  <conditionalFormatting sqref="D10:D31">
    <cfRule type="colorScale" priority="13888">
      <colorScale>
        <cfvo type="min"/>
        <cfvo type="percentile" val="50"/>
        <cfvo type="max"/>
        <color rgb="FFF8696B"/>
        <color rgb="FFFFEB84"/>
        <color rgb="FF63BE7B"/>
      </colorScale>
    </cfRule>
  </conditionalFormatting>
  <conditionalFormatting sqref="D10:E31">
    <cfRule type="colorScale" priority="13887">
      <colorScale>
        <cfvo type="min"/>
        <cfvo type="percentile" val="50"/>
        <cfvo type="max"/>
        <color rgb="FFF8696B"/>
        <color rgb="FFFFEB84"/>
        <color rgb="FF63BE7B"/>
      </colorScale>
    </cfRule>
  </conditionalFormatting>
  <conditionalFormatting sqref="D10:E31">
    <cfRule type="colorScale" priority="13886">
      <colorScale>
        <cfvo type="min"/>
        <cfvo type="percentile" val="50"/>
        <cfvo type="max"/>
        <color rgb="FFF8696B"/>
        <color rgb="FFFFEB84"/>
        <color rgb="FF63BE7B"/>
      </colorScale>
    </cfRule>
  </conditionalFormatting>
  <conditionalFormatting sqref="D10:D31">
    <cfRule type="colorScale" priority="13885">
      <colorScale>
        <cfvo type="min"/>
        <cfvo type="percentile" val="50"/>
        <cfvo type="max"/>
        <color rgb="FFF8696B"/>
        <color rgb="FFFFEB84"/>
        <color rgb="FF63BE7B"/>
      </colorScale>
    </cfRule>
  </conditionalFormatting>
  <conditionalFormatting sqref="D10:D31">
    <cfRule type="colorScale" priority="13884">
      <colorScale>
        <cfvo type="min"/>
        <cfvo type="percentile" val="50"/>
        <cfvo type="max"/>
        <color rgb="FFF8696B"/>
        <color rgb="FFFFEB84"/>
        <color rgb="FF63BE7B"/>
      </colorScale>
    </cfRule>
  </conditionalFormatting>
  <conditionalFormatting sqref="D10:D31">
    <cfRule type="colorScale" priority="13883">
      <colorScale>
        <cfvo type="min"/>
        <cfvo type="percentile" val="50"/>
        <cfvo type="max"/>
        <color rgb="FFF8696B"/>
        <color rgb="FFFFEB84"/>
        <color rgb="FF63BE7B"/>
      </colorScale>
    </cfRule>
  </conditionalFormatting>
  <conditionalFormatting sqref="D10:D31">
    <cfRule type="colorScale" priority="13882">
      <colorScale>
        <cfvo type="min"/>
        <cfvo type="percentile" val="50"/>
        <cfvo type="max"/>
        <color rgb="FFF8696B"/>
        <color rgb="FFFFEB84"/>
        <color rgb="FF63BE7B"/>
      </colorScale>
    </cfRule>
  </conditionalFormatting>
  <conditionalFormatting sqref="D10:E31">
    <cfRule type="colorScale" priority="13881">
      <colorScale>
        <cfvo type="min"/>
        <cfvo type="percentile" val="50"/>
        <cfvo type="max"/>
        <color rgb="FFF8696B"/>
        <color rgb="FFFFEB84"/>
        <color rgb="FF63BE7B"/>
      </colorScale>
    </cfRule>
  </conditionalFormatting>
  <conditionalFormatting sqref="D10:E31">
    <cfRule type="colorScale" priority="13880">
      <colorScale>
        <cfvo type="min"/>
        <cfvo type="percentile" val="50"/>
        <cfvo type="max"/>
        <color rgb="FFF8696B"/>
        <color rgb="FFFFEB84"/>
        <color rgb="FF63BE7B"/>
      </colorScale>
    </cfRule>
  </conditionalFormatting>
  <conditionalFormatting sqref="D10:D31">
    <cfRule type="colorScale" priority="13879">
      <colorScale>
        <cfvo type="min"/>
        <cfvo type="percentile" val="50"/>
        <cfvo type="max"/>
        <color rgb="FFF8696B"/>
        <color rgb="FFFFEB84"/>
        <color rgb="FF63BE7B"/>
      </colorScale>
    </cfRule>
  </conditionalFormatting>
  <conditionalFormatting sqref="D10:D31">
    <cfRule type="colorScale" priority="13878">
      <colorScale>
        <cfvo type="min"/>
        <cfvo type="percentile" val="50"/>
        <cfvo type="max"/>
        <color rgb="FFF8696B"/>
        <color rgb="FFFFEB84"/>
        <color rgb="FF63BE7B"/>
      </colorScale>
    </cfRule>
  </conditionalFormatting>
  <conditionalFormatting sqref="D10:D31">
    <cfRule type="colorScale" priority="13877">
      <colorScale>
        <cfvo type="min"/>
        <cfvo type="percentile" val="50"/>
        <cfvo type="max"/>
        <color rgb="FFF8696B"/>
        <color rgb="FFFFEB84"/>
        <color rgb="FF63BE7B"/>
      </colorScale>
    </cfRule>
  </conditionalFormatting>
  <conditionalFormatting sqref="D10:D31">
    <cfRule type="colorScale" priority="13876">
      <colorScale>
        <cfvo type="min"/>
        <cfvo type="percentile" val="50"/>
        <cfvo type="max"/>
        <color rgb="FFF8696B"/>
        <color rgb="FFFFEB84"/>
        <color rgb="FF63BE7B"/>
      </colorScale>
    </cfRule>
  </conditionalFormatting>
  <conditionalFormatting sqref="D10:E31">
    <cfRule type="colorScale" priority="13875">
      <colorScale>
        <cfvo type="min"/>
        <cfvo type="percentile" val="50"/>
        <cfvo type="max"/>
        <color rgb="FFF8696B"/>
        <color rgb="FFFFEB84"/>
        <color rgb="FF63BE7B"/>
      </colorScale>
    </cfRule>
  </conditionalFormatting>
  <conditionalFormatting sqref="D10:E31">
    <cfRule type="colorScale" priority="13874">
      <colorScale>
        <cfvo type="min"/>
        <cfvo type="percentile" val="50"/>
        <cfvo type="max"/>
        <color rgb="FFF8696B"/>
        <color rgb="FFFFEB84"/>
        <color rgb="FF63BE7B"/>
      </colorScale>
    </cfRule>
  </conditionalFormatting>
  <conditionalFormatting sqref="D10:E31">
    <cfRule type="colorScale" priority="13873">
      <colorScale>
        <cfvo type="min"/>
        <cfvo type="percentile" val="50"/>
        <cfvo type="max"/>
        <color rgb="FFF8696B"/>
        <color rgb="FFFFEB84"/>
        <color rgb="FF63BE7B"/>
      </colorScale>
    </cfRule>
  </conditionalFormatting>
  <conditionalFormatting sqref="D10:E31">
    <cfRule type="colorScale" priority="13872">
      <colorScale>
        <cfvo type="min"/>
        <cfvo type="percentile" val="50"/>
        <cfvo type="max"/>
        <color rgb="FFF8696B"/>
        <color rgb="FFFFEB84"/>
        <color rgb="FF63BE7B"/>
      </colorScale>
    </cfRule>
  </conditionalFormatting>
  <conditionalFormatting sqref="D10:E31">
    <cfRule type="colorScale" priority="13871">
      <colorScale>
        <cfvo type="min"/>
        <cfvo type="percentile" val="50"/>
        <cfvo type="max"/>
        <color rgb="FFF8696B"/>
        <color rgb="FFFFEB84"/>
        <color rgb="FF63BE7B"/>
      </colorScale>
    </cfRule>
  </conditionalFormatting>
  <conditionalFormatting sqref="D10:E31">
    <cfRule type="colorScale" priority="13870">
      <colorScale>
        <cfvo type="min"/>
        <cfvo type="percentile" val="50"/>
        <cfvo type="max"/>
        <color rgb="FFF8696B"/>
        <color rgb="FFFFEB84"/>
        <color rgb="FF63BE7B"/>
      </colorScale>
    </cfRule>
  </conditionalFormatting>
  <conditionalFormatting sqref="D10:D31">
    <cfRule type="colorScale" priority="13869">
      <colorScale>
        <cfvo type="min"/>
        <cfvo type="percentile" val="50"/>
        <cfvo type="max"/>
        <color rgb="FFF8696B"/>
        <color rgb="FFFFEB84"/>
        <color rgb="FF63BE7B"/>
      </colorScale>
    </cfRule>
  </conditionalFormatting>
  <conditionalFormatting sqref="D10:D31">
    <cfRule type="colorScale" priority="13868">
      <colorScale>
        <cfvo type="min"/>
        <cfvo type="percentile" val="50"/>
        <cfvo type="max"/>
        <color rgb="FFF8696B"/>
        <color rgb="FFFFEB84"/>
        <color rgb="FF63BE7B"/>
      </colorScale>
    </cfRule>
  </conditionalFormatting>
  <conditionalFormatting sqref="D10:D31">
    <cfRule type="colorScale" priority="13867">
      <colorScale>
        <cfvo type="min"/>
        <cfvo type="percentile" val="50"/>
        <cfvo type="max"/>
        <color rgb="FFF8696B"/>
        <color rgb="FFFFEB84"/>
        <color rgb="FF63BE7B"/>
      </colorScale>
    </cfRule>
  </conditionalFormatting>
  <conditionalFormatting sqref="D10:D31">
    <cfRule type="colorScale" priority="13866">
      <colorScale>
        <cfvo type="min"/>
        <cfvo type="percentile" val="50"/>
        <cfvo type="max"/>
        <color rgb="FFF8696B"/>
        <color rgb="FFFFEB84"/>
        <color rgb="FF63BE7B"/>
      </colorScale>
    </cfRule>
  </conditionalFormatting>
  <conditionalFormatting sqref="D10:E31">
    <cfRule type="colorScale" priority="13865">
      <colorScale>
        <cfvo type="min"/>
        <cfvo type="percentile" val="50"/>
        <cfvo type="max"/>
        <color rgb="FFF8696B"/>
        <color rgb="FFFFEB84"/>
        <color rgb="FF63BE7B"/>
      </colorScale>
    </cfRule>
  </conditionalFormatting>
  <conditionalFormatting sqref="D10:E31">
    <cfRule type="colorScale" priority="13864">
      <colorScale>
        <cfvo type="min"/>
        <cfvo type="percentile" val="50"/>
        <cfvo type="max"/>
        <color rgb="FFF8696B"/>
        <color rgb="FFFFEB84"/>
        <color rgb="FF63BE7B"/>
      </colorScale>
    </cfRule>
  </conditionalFormatting>
  <conditionalFormatting sqref="D10:D31">
    <cfRule type="colorScale" priority="13863">
      <colorScale>
        <cfvo type="min"/>
        <cfvo type="percentile" val="50"/>
        <cfvo type="max"/>
        <color rgb="FFF8696B"/>
        <color rgb="FFFFEB84"/>
        <color rgb="FF63BE7B"/>
      </colorScale>
    </cfRule>
  </conditionalFormatting>
  <conditionalFormatting sqref="D10:D31">
    <cfRule type="colorScale" priority="13862">
      <colorScale>
        <cfvo type="min"/>
        <cfvo type="percentile" val="50"/>
        <cfvo type="max"/>
        <color rgb="FFF8696B"/>
        <color rgb="FFFFEB84"/>
        <color rgb="FF63BE7B"/>
      </colorScale>
    </cfRule>
  </conditionalFormatting>
  <conditionalFormatting sqref="D10:D31">
    <cfRule type="colorScale" priority="13861">
      <colorScale>
        <cfvo type="min"/>
        <cfvo type="percentile" val="50"/>
        <cfvo type="max"/>
        <color rgb="FFF8696B"/>
        <color rgb="FFFFEB84"/>
        <color rgb="FF63BE7B"/>
      </colorScale>
    </cfRule>
  </conditionalFormatting>
  <conditionalFormatting sqref="D10:D31">
    <cfRule type="colorScale" priority="13860">
      <colorScale>
        <cfvo type="min"/>
        <cfvo type="percentile" val="50"/>
        <cfvo type="max"/>
        <color rgb="FFF8696B"/>
        <color rgb="FFFFEB84"/>
        <color rgb="FF63BE7B"/>
      </colorScale>
    </cfRule>
  </conditionalFormatting>
  <conditionalFormatting sqref="D10:E31">
    <cfRule type="colorScale" priority="13859">
      <colorScale>
        <cfvo type="min"/>
        <cfvo type="percentile" val="50"/>
        <cfvo type="max"/>
        <color rgb="FFF8696B"/>
        <color rgb="FFFFEB84"/>
        <color rgb="FF63BE7B"/>
      </colorScale>
    </cfRule>
  </conditionalFormatting>
  <conditionalFormatting sqref="D10:E31">
    <cfRule type="colorScale" priority="13858">
      <colorScale>
        <cfvo type="min"/>
        <cfvo type="percentile" val="50"/>
        <cfvo type="max"/>
        <color rgb="FFF8696B"/>
        <color rgb="FFFFEB84"/>
        <color rgb="FF63BE7B"/>
      </colorScale>
    </cfRule>
  </conditionalFormatting>
  <conditionalFormatting sqref="D10:D31">
    <cfRule type="colorScale" priority="13857">
      <colorScale>
        <cfvo type="min"/>
        <cfvo type="percentile" val="50"/>
        <cfvo type="max"/>
        <color rgb="FFF8696B"/>
        <color rgb="FFFFEB84"/>
        <color rgb="FF63BE7B"/>
      </colorScale>
    </cfRule>
  </conditionalFormatting>
  <conditionalFormatting sqref="D10:D31">
    <cfRule type="colorScale" priority="13856">
      <colorScale>
        <cfvo type="min"/>
        <cfvo type="percentile" val="50"/>
        <cfvo type="max"/>
        <color rgb="FFF8696B"/>
        <color rgb="FFFFEB84"/>
        <color rgb="FF63BE7B"/>
      </colorScale>
    </cfRule>
  </conditionalFormatting>
  <conditionalFormatting sqref="D10:D31">
    <cfRule type="colorScale" priority="13855">
      <colorScale>
        <cfvo type="min"/>
        <cfvo type="percentile" val="50"/>
        <cfvo type="max"/>
        <color rgb="FFF8696B"/>
        <color rgb="FFFFEB84"/>
        <color rgb="FF63BE7B"/>
      </colorScale>
    </cfRule>
  </conditionalFormatting>
  <conditionalFormatting sqref="D10:D31">
    <cfRule type="colorScale" priority="13854">
      <colorScale>
        <cfvo type="min"/>
        <cfvo type="percentile" val="50"/>
        <cfvo type="max"/>
        <color rgb="FFF8696B"/>
        <color rgb="FFFFEB84"/>
        <color rgb="FF63BE7B"/>
      </colorScale>
    </cfRule>
  </conditionalFormatting>
  <conditionalFormatting sqref="D10:E31">
    <cfRule type="colorScale" priority="13853">
      <colorScale>
        <cfvo type="min"/>
        <cfvo type="percentile" val="50"/>
        <cfvo type="max"/>
        <color rgb="FFF8696B"/>
        <color rgb="FFFFEB84"/>
        <color rgb="FF63BE7B"/>
      </colorScale>
    </cfRule>
  </conditionalFormatting>
  <conditionalFormatting sqref="D10:E31">
    <cfRule type="colorScale" priority="13852">
      <colorScale>
        <cfvo type="min"/>
        <cfvo type="percentile" val="50"/>
        <cfvo type="max"/>
        <color rgb="FFF8696B"/>
        <color rgb="FFFFEB84"/>
        <color rgb="FF63BE7B"/>
      </colorScale>
    </cfRule>
  </conditionalFormatting>
  <conditionalFormatting sqref="D10:E31">
    <cfRule type="colorScale" priority="13851">
      <colorScale>
        <cfvo type="min"/>
        <cfvo type="percentile" val="50"/>
        <cfvo type="max"/>
        <color rgb="FFF8696B"/>
        <color rgb="FFFFEB84"/>
        <color rgb="FF63BE7B"/>
      </colorScale>
    </cfRule>
  </conditionalFormatting>
  <conditionalFormatting sqref="D10:E31">
    <cfRule type="colorScale" priority="13850">
      <colorScale>
        <cfvo type="min"/>
        <cfvo type="percentile" val="50"/>
        <cfvo type="max"/>
        <color rgb="FFF8696B"/>
        <color rgb="FFFFEB84"/>
        <color rgb="FF63BE7B"/>
      </colorScale>
    </cfRule>
  </conditionalFormatting>
  <conditionalFormatting sqref="D10:D31">
    <cfRule type="colorScale" priority="13849">
      <colorScale>
        <cfvo type="min"/>
        <cfvo type="percentile" val="50"/>
        <cfvo type="max"/>
        <color rgb="FFF8696B"/>
        <color rgb="FFFFEB84"/>
        <color rgb="FF63BE7B"/>
      </colorScale>
    </cfRule>
  </conditionalFormatting>
  <conditionalFormatting sqref="D10:D31">
    <cfRule type="colorScale" priority="13848">
      <colorScale>
        <cfvo type="min"/>
        <cfvo type="percentile" val="50"/>
        <cfvo type="max"/>
        <color rgb="FFF8696B"/>
        <color rgb="FFFFEB84"/>
        <color rgb="FF63BE7B"/>
      </colorScale>
    </cfRule>
  </conditionalFormatting>
  <conditionalFormatting sqref="D10:D31">
    <cfRule type="colorScale" priority="13847">
      <colorScale>
        <cfvo type="min"/>
        <cfvo type="percentile" val="50"/>
        <cfvo type="max"/>
        <color rgb="FFF8696B"/>
        <color rgb="FFFFEB84"/>
        <color rgb="FF63BE7B"/>
      </colorScale>
    </cfRule>
  </conditionalFormatting>
  <conditionalFormatting sqref="D10:D31">
    <cfRule type="colorScale" priority="13846">
      <colorScale>
        <cfvo type="min"/>
        <cfvo type="percentile" val="50"/>
        <cfvo type="max"/>
        <color rgb="FFF8696B"/>
        <color rgb="FFFFEB84"/>
        <color rgb="FF63BE7B"/>
      </colorScale>
    </cfRule>
  </conditionalFormatting>
  <conditionalFormatting sqref="D10:E31">
    <cfRule type="colorScale" priority="13845">
      <colorScale>
        <cfvo type="min"/>
        <cfvo type="percentile" val="50"/>
        <cfvo type="max"/>
        <color rgb="FFF8696B"/>
        <color rgb="FFFFEB84"/>
        <color rgb="FF63BE7B"/>
      </colorScale>
    </cfRule>
  </conditionalFormatting>
  <conditionalFormatting sqref="D10:E31">
    <cfRule type="colorScale" priority="13844">
      <colorScale>
        <cfvo type="min"/>
        <cfvo type="percentile" val="50"/>
        <cfvo type="max"/>
        <color rgb="FFF8696B"/>
        <color rgb="FFFFEB84"/>
        <color rgb="FF63BE7B"/>
      </colorScale>
    </cfRule>
  </conditionalFormatting>
  <conditionalFormatting sqref="D10:D31">
    <cfRule type="colorScale" priority="13843">
      <colorScale>
        <cfvo type="min"/>
        <cfvo type="percentile" val="50"/>
        <cfvo type="max"/>
        <color rgb="FFF8696B"/>
        <color rgb="FFFFEB84"/>
        <color rgb="FF63BE7B"/>
      </colorScale>
    </cfRule>
  </conditionalFormatting>
  <conditionalFormatting sqref="D10:D31">
    <cfRule type="colorScale" priority="13842">
      <colorScale>
        <cfvo type="min"/>
        <cfvo type="percentile" val="50"/>
        <cfvo type="max"/>
        <color rgb="FFF8696B"/>
        <color rgb="FFFFEB84"/>
        <color rgb="FF63BE7B"/>
      </colorScale>
    </cfRule>
  </conditionalFormatting>
  <conditionalFormatting sqref="D10:D31">
    <cfRule type="colorScale" priority="13841">
      <colorScale>
        <cfvo type="min"/>
        <cfvo type="percentile" val="50"/>
        <cfvo type="max"/>
        <color rgb="FFF8696B"/>
        <color rgb="FFFFEB84"/>
        <color rgb="FF63BE7B"/>
      </colorScale>
    </cfRule>
  </conditionalFormatting>
  <conditionalFormatting sqref="D10:D31">
    <cfRule type="colorScale" priority="13840">
      <colorScale>
        <cfvo type="min"/>
        <cfvo type="percentile" val="50"/>
        <cfvo type="max"/>
        <color rgb="FFF8696B"/>
        <color rgb="FFFFEB84"/>
        <color rgb="FF63BE7B"/>
      </colorScale>
    </cfRule>
  </conditionalFormatting>
  <conditionalFormatting sqref="D10:E31">
    <cfRule type="colorScale" priority="13839">
      <colorScale>
        <cfvo type="min"/>
        <cfvo type="percentile" val="50"/>
        <cfvo type="max"/>
        <color rgb="FFF8696B"/>
        <color rgb="FFFFEB84"/>
        <color rgb="FF63BE7B"/>
      </colorScale>
    </cfRule>
  </conditionalFormatting>
  <conditionalFormatting sqref="D10:E31">
    <cfRule type="colorScale" priority="13838">
      <colorScale>
        <cfvo type="min"/>
        <cfvo type="percentile" val="50"/>
        <cfvo type="max"/>
        <color rgb="FFF8696B"/>
        <color rgb="FFFFEB84"/>
        <color rgb="FF63BE7B"/>
      </colorScale>
    </cfRule>
  </conditionalFormatting>
  <conditionalFormatting sqref="D10:D31">
    <cfRule type="colorScale" priority="13837">
      <colorScale>
        <cfvo type="min"/>
        <cfvo type="percentile" val="50"/>
        <cfvo type="max"/>
        <color rgb="FFF8696B"/>
        <color rgb="FFFFEB84"/>
        <color rgb="FF63BE7B"/>
      </colorScale>
    </cfRule>
  </conditionalFormatting>
  <conditionalFormatting sqref="D10:D31">
    <cfRule type="colorScale" priority="13836">
      <colorScale>
        <cfvo type="min"/>
        <cfvo type="percentile" val="50"/>
        <cfvo type="max"/>
        <color rgb="FFF8696B"/>
        <color rgb="FFFFEB84"/>
        <color rgb="FF63BE7B"/>
      </colorScale>
    </cfRule>
  </conditionalFormatting>
  <conditionalFormatting sqref="D10:D31">
    <cfRule type="colorScale" priority="13835">
      <colorScale>
        <cfvo type="min"/>
        <cfvo type="percentile" val="50"/>
        <cfvo type="max"/>
        <color rgb="FFF8696B"/>
        <color rgb="FFFFEB84"/>
        <color rgb="FF63BE7B"/>
      </colorScale>
    </cfRule>
  </conditionalFormatting>
  <conditionalFormatting sqref="D10:D31">
    <cfRule type="colorScale" priority="13834">
      <colorScale>
        <cfvo type="min"/>
        <cfvo type="percentile" val="50"/>
        <cfvo type="max"/>
        <color rgb="FFF8696B"/>
        <color rgb="FFFFEB84"/>
        <color rgb="FF63BE7B"/>
      </colorScale>
    </cfRule>
  </conditionalFormatting>
  <conditionalFormatting sqref="D10:E31">
    <cfRule type="colorScale" priority="13833">
      <colorScale>
        <cfvo type="min"/>
        <cfvo type="percentile" val="50"/>
        <cfvo type="max"/>
        <color rgb="FFF8696B"/>
        <color rgb="FFFFEB84"/>
        <color rgb="FF63BE7B"/>
      </colorScale>
    </cfRule>
  </conditionalFormatting>
  <conditionalFormatting sqref="D10:E31">
    <cfRule type="colorScale" priority="13832">
      <colorScale>
        <cfvo type="min"/>
        <cfvo type="percentile" val="50"/>
        <cfvo type="max"/>
        <color rgb="FFF8696B"/>
        <color rgb="FFFFEB84"/>
        <color rgb="FF63BE7B"/>
      </colorScale>
    </cfRule>
  </conditionalFormatting>
  <conditionalFormatting sqref="D10:E31">
    <cfRule type="colorScale" priority="13831">
      <colorScale>
        <cfvo type="min"/>
        <cfvo type="percentile" val="50"/>
        <cfvo type="max"/>
        <color rgb="FFF8696B"/>
        <color rgb="FFFFEB84"/>
        <color rgb="FF63BE7B"/>
      </colorScale>
    </cfRule>
  </conditionalFormatting>
  <conditionalFormatting sqref="D10:E31">
    <cfRule type="colorScale" priority="13830">
      <colorScale>
        <cfvo type="min"/>
        <cfvo type="percentile" val="50"/>
        <cfvo type="max"/>
        <color rgb="FFF8696B"/>
        <color rgb="FFFFEB84"/>
        <color rgb="FF63BE7B"/>
      </colorScale>
    </cfRule>
  </conditionalFormatting>
  <conditionalFormatting sqref="D10:D31">
    <cfRule type="colorScale" priority="13829">
      <colorScale>
        <cfvo type="min"/>
        <cfvo type="percentile" val="50"/>
        <cfvo type="max"/>
        <color rgb="FFF8696B"/>
        <color rgb="FFFFEB84"/>
        <color rgb="FF63BE7B"/>
      </colorScale>
    </cfRule>
  </conditionalFormatting>
  <conditionalFormatting sqref="D10:D31">
    <cfRule type="colorScale" priority="13828">
      <colorScale>
        <cfvo type="min"/>
        <cfvo type="percentile" val="50"/>
        <cfvo type="max"/>
        <color rgb="FFF8696B"/>
        <color rgb="FFFFEB84"/>
        <color rgb="FF63BE7B"/>
      </colorScale>
    </cfRule>
  </conditionalFormatting>
  <conditionalFormatting sqref="D10:D31">
    <cfRule type="colorScale" priority="13827">
      <colorScale>
        <cfvo type="min"/>
        <cfvo type="percentile" val="50"/>
        <cfvo type="max"/>
        <color rgb="FFF8696B"/>
        <color rgb="FFFFEB84"/>
        <color rgb="FF63BE7B"/>
      </colorScale>
    </cfRule>
  </conditionalFormatting>
  <conditionalFormatting sqref="D10:D31">
    <cfRule type="colorScale" priority="13826">
      <colorScale>
        <cfvo type="min"/>
        <cfvo type="percentile" val="50"/>
        <cfvo type="max"/>
        <color rgb="FFF8696B"/>
        <color rgb="FFFFEB84"/>
        <color rgb="FF63BE7B"/>
      </colorScale>
    </cfRule>
  </conditionalFormatting>
  <conditionalFormatting sqref="D10:E31">
    <cfRule type="colorScale" priority="13825">
      <colorScale>
        <cfvo type="min"/>
        <cfvo type="percentile" val="50"/>
        <cfvo type="max"/>
        <color rgb="FFF8696B"/>
        <color rgb="FFFFEB84"/>
        <color rgb="FF63BE7B"/>
      </colorScale>
    </cfRule>
  </conditionalFormatting>
  <conditionalFormatting sqref="D10:E31">
    <cfRule type="colorScale" priority="13824">
      <colorScale>
        <cfvo type="min"/>
        <cfvo type="percentile" val="50"/>
        <cfvo type="max"/>
        <color rgb="FFF8696B"/>
        <color rgb="FFFFEB84"/>
        <color rgb="FF63BE7B"/>
      </colorScale>
    </cfRule>
  </conditionalFormatting>
  <conditionalFormatting sqref="D10:D31">
    <cfRule type="colorScale" priority="13823">
      <colorScale>
        <cfvo type="min"/>
        <cfvo type="percentile" val="50"/>
        <cfvo type="max"/>
        <color rgb="FFF8696B"/>
        <color rgb="FFFFEB84"/>
        <color rgb="FF63BE7B"/>
      </colorScale>
    </cfRule>
  </conditionalFormatting>
  <conditionalFormatting sqref="D10:D31">
    <cfRule type="colorScale" priority="13822">
      <colorScale>
        <cfvo type="min"/>
        <cfvo type="percentile" val="50"/>
        <cfvo type="max"/>
        <color rgb="FFF8696B"/>
        <color rgb="FFFFEB84"/>
        <color rgb="FF63BE7B"/>
      </colorScale>
    </cfRule>
  </conditionalFormatting>
  <conditionalFormatting sqref="D10:D31">
    <cfRule type="colorScale" priority="13821">
      <colorScale>
        <cfvo type="min"/>
        <cfvo type="percentile" val="50"/>
        <cfvo type="max"/>
        <color rgb="FFF8696B"/>
        <color rgb="FFFFEB84"/>
        <color rgb="FF63BE7B"/>
      </colorScale>
    </cfRule>
  </conditionalFormatting>
  <conditionalFormatting sqref="D10:D31">
    <cfRule type="colorScale" priority="13820">
      <colorScale>
        <cfvo type="min"/>
        <cfvo type="percentile" val="50"/>
        <cfvo type="max"/>
        <color rgb="FFF8696B"/>
        <color rgb="FFFFEB84"/>
        <color rgb="FF63BE7B"/>
      </colorScale>
    </cfRule>
  </conditionalFormatting>
  <conditionalFormatting sqref="D10:E31">
    <cfRule type="colorScale" priority="13819">
      <colorScale>
        <cfvo type="min"/>
        <cfvo type="percentile" val="50"/>
        <cfvo type="max"/>
        <color rgb="FFF8696B"/>
        <color rgb="FFFFEB84"/>
        <color rgb="FF63BE7B"/>
      </colorScale>
    </cfRule>
  </conditionalFormatting>
  <conditionalFormatting sqref="D10:E31">
    <cfRule type="colorScale" priority="13818">
      <colorScale>
        <cfvo type="min"/>
        <cfvo type="percentile" val="50"/>
        <cfvo type="max"/>
        <color rgb="FFF8696B"/>
        <color rgb="FFFFEB84"/>
        <color rgb="FF63BE7B"/>
      </colorScale>
    </cfRule>
  </conditionalFormatting>
  <conditionalFormatting sqref="D10:D31">
    <cfRule type="colorScale" priority="13817">
      <colorScale>
        <cfvo type="min"/>
        <cfvo type="percentile" val="50"/>
        <cfvo type="max"/>
        <color rgb="FFF8696B"/>
        <color rgb="FFFFEB84"/>
        <color rgb="FF63BE7B"/>
      </colorScale>
    </cfRule>
  </conditionalFormatting>
  <conditionalFormatting sqref="D10:D31">
    <cfRule type="colorScale" priority="13816">
      <colorScale>
        <cfvo type="min"/>
        <cfvo type="percentile" val="50"/>
        <cfvo type="max"/>
        <color rgb="FFF8696B"/>
        <color rgb="FFFFEB84"/>
        <color rgb="FF63BE7B"/>
      </colorScale>
    </cfRule>
  </conditionalFormatting>
  <conditionalFormatting sqref="D10:D31">
    <cfRule type="colorScale" priority="13815">
      <colorScale>
        <cfvo type="min"/>
        <cfvo type="percentile" val="50"/>
        <cfvo type="max"/>
        <color rgb="FFF8696B"/>
        <color rgb="FFFFEB84"/>
        <color rgb="FF63BE7B"/>
      </colorScale>
    </cfRule>
  </conditionalFormatting>
  <conditionalFormatting sqref="D10:D31">
    <cfRule type="colorScale" priority="13814">
      <colorScale>
        <cfvo type="min"/>
        <cfvo type="percentile" val="50"/>
        <cfvo type="max"/>
        <color rgb="FFF8696B"/>
        <color rgb="FFFFEB84"/>
        <color rgb="FF63BE7B"/>
      </colorScale>
    </cfRule>
  </conditionalFormatting>
  <conditionalFormatting sqref="D10:E31">
    <cfRule type="colorScale" priority="13813">
      <colorScale>
        <cfvo type="min"/>
        <cfvo type="percentile" val="50"/>
        <cfvo type="max"/>
        <color rgb="FFF8696B"/>
        <color rgb="FFFFEB84"/>
        <color rgb="FF63BE7B"/>
      </colorScale>
    </cfRule>
  </conditionalFormatting>
  <conditionalFormatting sqref="D10:E31">
    <cfRule type="colorScale" priority="13812">
      <colorScale>
        <cfvo type="min"/>
        <cfvo type="percentile" val="50"/>
        <cfvo type="max"/>
        <color rgb="FFF8696B"/>
        <color rgb="FFFFEB84"/>
        <color rgb="FF63BE7B"/>
      </colorScale>
    </cfRule>
  </conditionalFormatting>
  <conditionalFormatting sqref="D10:D31">
    <cfRule type="colorScale" priority="13811">
      <colorScale>
        <cfvo type="min"/>
        <cfvo type="percentile" val="50"/>
        <cfvo type="max"/>
        <color rgb="FFF8696B"/>
        <color rgb="FFFFEB84"/>
        <color rgb="FF63BE7B"/>
      </colorScale>
    </cfRule>
  </conditionalFormatting>
  <conditionalFormatting sqref="D10:D31">
    <cfRule type="colorScale" priority="13810">
      <colorScale>
        <cfvo type="min"/>
        <cfvo type="percentile" val="50"/>
        <cfvo type="max"/>
        <color rgb="FFF8696B"/>
        <color rgb="FFFFEB84"/>
        <color rgb="FF63BE7B"/>
      </colorScale>
    </cfRule>
  </conditionalFormatting>
  <conditionalFormatting sqref="E10:E31">
    <cfRule type="colorScale" priority="13809">
      <colorScale>
        <cfvo type="min"/>
        <cfvo type="percentile" val="50"/>
        <cfvo type="max"/>
        <color rgb="FFF8696B"/>
        <color rgb="FFFFEB84"/>
        <color rgb="FF63BE7B"/>
      </colorScale>
    </cfRule>
  </conditionalFormatting>
  <conditionalFormatting sqref="E10:E31">
    <cfRule type="colorScale" priority="13808">
      <colorScale>
        <cfvo type="min"/>
        <cfvo type="percentile" val="50"/>
        <cfvo type="max"/>
        <color rgb="FFF8696B"/>
        <color rgb="FFFFEB84"/>
        <color rgb="FF63BE7B"/>
      </colorScale>
    </cfRule>
  </conditionalFormatting>
  <conditionalFormatting sqref="D10:E31">
    <cfRule type="colorScale" priority="13807">
      <colorScale>
        <cfvo type="min"/>
        <cfvo type="percentile" val="50"/>
        <cfvo type="max"/>
        <color rgb="FFF8696B"/>
        <color rgb="FFFFEB84"/>
        <color rgb="FF63BE7B"/>
      </colorScale>
    </cfRule>
  </conditionalFormatting>
  <conditionalFormatting sqref="D10:E31">
    <cfRule type="colorScale" priority="13806">
      <colorScale>
        <cfvo type="min"/>
        <cfvo type="percentile" val="50"/>
        <cfvo type="max"/>
        <color rgb="FFF8696B"/>
        <color rgb="FFFFEB84"/>
        <color rgb="FF63BE7B"/>
      </colorScale>
    </cfRule>
  </conditionalFormatting>
  <conditionalFormatting sqref="D10:E31">
    <cfRule type="colorScale" priority="13805">
      <colorScale>
        <cfvo type="min"/>
        <cfvo type="percentile" val="50"/>
        <cfvo type="max"/>
        <color rgb="FFF8696B"/>
        <color rgb="FFFFEB84"/>
        <color rgb="FF63BE7B"/>
      </colorScale>
    </cfRule>
  </conditionalFormatting>
  <conditionalFormatting sqref="D10:E31">
    <cfRule type="colorScale" priority="13804">
      <colorScale>
        <cfvo type="min"/>
        <cfvo type="percentile" val="50"/>
        <cfvo type="max"/>
        <color rgb="FFF8696B"/>
        <color rgb="FFFFEB84"/>
        <color rgb="FF63BE7B"/>
      </colorScale>
    </cfRule>
  </conditionalFormatting>
  <conditionalFormatting sqref="D10:D31">
    <cfRule type="colorScale" priority="13803">
      <colorScale>
        <cfvo type="min"/>
        <cfvo type="percentile" val="50"/>
        <cfvo type="max"/>
        <color rgb="FFF8696B"/>
        <color rgb="FFFFEB84"/>
        <color rgb="FF63BE7B"/>
      </colorScale>
    </cfRule>
  </conditionalFormatting>
  <conditionalFormatting sqref="D10:D31">
    <cfRule type="colorScale" priority="13802">
      <colorScale>
        <cfvo type="min"/>
        <cfvo type="percentile" val="50"/>
        <cfvo type="max"/>
        <color rgb="FFF8696B"/>
        <color rgb="FFFFEB84"/>
        <color rgb="FF63BE7B"/>
      </colorScale>
    </cfRule>
  </conditionalFormatting>
  <conditionalFormatting sqref="D10:D29">
    <cfRule type="colorScale" priority="13801">
      <colorScale>
        <cfvo type="min"/>
        <cfvo type="percentile" val="50"/>
        <cfvo type="max"/>
        <color rgb="FFF8696B"/>
        <color rgb="FFFFEB84"/>
        <color rgb="FF63BE7B"/>
      </colorScale>
    </cfRule>
  </conditionalFormatting>
  <conditionalFormatting sqref="D10:D29">
    <cfRule type="colorScale" priority="13800">
      <colorScale>
        <cfvo type="min"/>
        <cfvo type="percentile" val="50"/>
        <cfvo type="max"/>
        <color rgb="FFF8696B"/>
        <color rgb="FFFFEB84"/>
        <color rgb="FF63BE7B"/>
      </colorScale>
    </cfRule>
  </conditionalFormatting>
  <conditionalFormatting sqref="D10:D31">
    <cfRule type="colorScale" priority="13799">
      <colorScale>
        <cfvo type="min"/>
        <cfvo type="percentile" val="50"/>
        <cfvo type="max"/>
        <color rgb="FFF8696B"/>
        <color rgb="FFFFEB84"/>
        <color rgb="FF63BE7B"/>
      </colorScale>
    </cfRule>
  </conditionalFormatting>
  <conditionalFormatting sqref="D10:D31">
    <cfRule type="colorScale" priority="13798">
      <colorScale>
        <cfvo type="min"/>
        <cfvo type="percentile" val="50"/>
        <cfvo type="max"/>
        <color rgb="FFF8696B"/>
        <color rgb="FFFFEB84"/>
        <color rgb="FF63BE7B"/>
      </colorScale>
    </cfRule>
  </conditionalFormatting>
  <conditionalFormatting sqref="D10:F31">
    <cfRule type="colorScale" priority="13797">
      <colorScale>
        <cfvo type="min"/>
        <cfvo type="percentile" val="50"/>
        <cfvo type="max"/>
        <color rgb="FFF8696B"/>
        <color rgb="FFFFEB84"/>
        <color rgb="FF63BE7B"/>
      </colorScale>
    </cfRule>
  </conditionalFormatting>
  <conditionalFormatting sqref="D10:F31">
    <cfRule type="colorScale" priority="13796">
      <colorScale>
        <cfvo type="min"/>
        <cfvo type="percentile" val="50"/>
        <cfvo type="max"/>
        <color rgb="FFF8696B"/>
        <color rgb="FFFFEB84"/>
        <color rgb="FF63BE7B"/>
      </colorScale>
    </cfRule>
  </conditionalFormatting>
  <conditionalFormatting sqref="D10:F31">
    <cfRule type="colorScale" priority="13795">
      <colorScale>
        <cfvo type="min"/>
        <cfvo type="percentile" val="50"/>
        <cfvo type="max"/>
        <color rgb="FFF8696B"/>
        <color rgb="FFFFEB84"/>
        <color rgb="FF63BE7B"/>
      </colorScale>
    </cfRule>
  </conditionalFormatting>
  <conditionalFormatting sqref="D10:F31">
    <cfRule type="colorScale" priority="13794">
      <colorScale>
        <cfvo type="min"/>
        <cfvo type="percentile" val="50"/>
        <cfvo type="max"/>
        <color rgb="FFF8696B"/>
        <color rgb="FFFFEB84"/>
        <color rgb="FF63BE7B"/>
      </colorScale>
    </cfRule>
  </conditionalFormatting>
  <conditionalFormatting sqref="D10:F31">
    <cfRule type="colorScale" priority="13793">
      <colorScale>
        <cfvo type="min"/>
        <cfvo type="percentile" val="50"/>
        <cfvo type="max"/>
        <color rgb="FFF8696B"/>
        <color rgb="FFFFEB84"/>
        <color rgb="FF63BE7B"/>
      </colorScale>
    </cfRule>
  </conditionalFormatting>
  <conditionalFormatting sqref="D10:F31">
    <cfRule type="colorScale" priority="13792">
      <colorScale>
        <cfvo type="min"/>
        <cfvo type="percentile" val="50"/>
        <cfvo type="max"/>
        <color rgb="FFF8696B"/>
        <color rgb="FFFFEB84"/>
        <color rgb="FF63BE7B"/>
      </colorScale>
    </cfRule>
  </conditionalFormatting>
  <conditionalFormatting sqref="D10:E31">
    <cfRule type="colorScale" priority="13791">
      <colorScale>
        <cfvo type="min"/>
        <cfvo type="percentile" val="50"/>
        <cfvo type="max"/>
        <color rgb="FFF8696B"/>
        <color rgb="FFFFEB84"/>
        <color rgb="FF63BE7B"/>
      </colorScale>
    </cfRule>
  </conditionalFormatting>
  <conditionalFormatting sqref="D10:E31">
    <cfRule type="colorScale" priority="13790">
      <colorScale>
        <cfvo type="min"/>
        <cfvo type="percentile" val="50"/>
        <cfvo type="max"/>
        <color rgb="FFF8696B"/>
        <color rgb="FFFFEB84"/>
        <color rgb="FF63BE7B"/>
      </colorScale>
    </cfRule>
  </conditionalFormatting>
  <conditionalFormatting sqref="D10:E31">
    <cfRule type="colorScale" priority="13789">
      <colorScale>
        <cfvo type="min"/>
        <cfvo type="percentile" val="50"/>
        <cfvo type="max"/>
        <color rgb="FFF8696B"/>
        <color rgb="FFFFEB84"/>
        <color rgb="FF63BE7B"/>
      </colorScale>
    </cfRule>
  </conditionalFormatting>
  <conditionalFormatting sqref="D10:E31">
    <cfRule type="colorScale" priority="13788">
      <colorScale>
        <cfvo type="min"/>
        <cfvo type="percentile" val="50"/>
        <cfvo type="max"/>
        <color rgb="FFF8696B"/>
        <color rgb="FFFFEB84"/>
        <color rgb="FF63BE7B"/>
      </colorScale>
    </cfRule>
  </conditionalFormatting>
  <conditionalFormatting sqref="D10:E31">
    <cfRule type="colorScale" priority="13787">
      <colorScale>
        <cfvo type="min"/>
        <cfvo type="percentile" val="50"/>
        <cfvo type="max"/>
        <color rgb="FFF8696B"/>
        <color rgb="FFFFEB84"/>
        <color rgb="FF63BE7B"/>
      </colorScale>
    </cfRule>
  </conditionalFormatting>
  <conditionalFormatting sqref="D10:E31">
    <cfRule type="colorScale" priority="13786">
      <colorScale>
        <cfvo type="min"/>
        <cfvo type="percentile" val="50"/>
        <cfvo type="max"/>
        <color rgb="FFF8696B"/>
        <color rgb="FFFFEB84"/>
        <color rgb="FF63BE7B"/>
      </colorScale>
    </cfRule>
  </conditionalFormatting>
  <conditionalFormatting sqref="E10:E31">
    <cfRule type="colorScale" priority="13785">
      <colorScale>
        <cfvo type="min"/>
        <cfvo type="percentile" val="50"/>
        <cfvo type="max"/>
        <color rgb="FFF8696B"/>
        <color rgb="FFFFEB84"/>
        <color rgb="FF63BE7B"/>
      </colorScale>
    </cfRule>
  </conditionalFormatting>
  <conditionalFormatting sqref="E10:E31">
    <cfRule type="colorScale" priority="13784">
      <colorScale>
        <cfvo type="min"/>
        <cfvo type="percentile" val="50"/>
        <cfvo type="max"/>
        <color rgb="FFF8696B"/>
        <color rgb="FFFFEB84"/>
        <color rgb="FF63BE7B"/>
      </colorScale>
    </cfRule>
  </conditionalFormatting>
  <conditionalFormatting sqref="J10:J31">
    <cfRule type="colorScale" priority="13783">
      <colorScale>
        <cfvo type="min"/>
        <cfvo type="percentile" val="50"/>
        <cfvo type="max"/>
        <color rgb="FFF8696B"/>
        <color rgb="FFFFEB84"/>
        <color rgb="FF63BE7B"/>
      </colorScale>
    </cfRule>
  </conditionalFormatting>
  <conditionalFormatting sqref="H10:I31 D10:F31">
    <cfRule type="colorScale" priority="13782">
      <colorScale>
        <cfvo type="min"/>
        <cfvo type="percentile" val="50"/>
        <cfvo type="max"/>
        <color rgb="FFF8696B"/>
        <color rgb="FFFFEB84"/>
        <color rgb="FF63BE7B"/>
      </colorScale>
    </cfRule>
  </conditionalFormatting>
  <conditionalFormatting sqref="D10:E31">
    <cfRule type="colorScale" priority="13781">
      <colorScale>
        <cfvo type="min"/>
        <cfvo type="percentile" val="50"/>
        <cfvo type="max"/>
        <color rgb="FFF8696B"/>
        <color rgb="FFFFEB84"/>
        <color rgb="FF63BE7B"/>
      </colorScale>
    </cfRule>
  </conditionalFormatting>
  <conditionalFormatting sqref="D10:E31">
    <cfRule type="colorScale" priority="13780">
      <colorScale>
        <cfvo type="min"/>
        <cfvo type="percentile" val="50"/>
        <cfvo type="max"/>
        <color rgb="FFF8696B"/>
        <color rgb="FFFFEB84"/>
        <color rgb="FF63BE7B"/>
      </colorScale>
    </cfRule>
  </conditionalFormatting>
  <conditionalFormatting sqref="D10:E31">
    <cfRule type="colorScale" priority="13779">
      <colorScale>
        <cfvo type="min"/>
        <cfvo type="percentile" val="50"/>
        <cfvo type="max"/>
        <color rgb="FFF8696B"/>
        <color rgb="FFFFEB84"/>
        <color rgb="FF63BE7B"/>
      </colorScale>
    </cfRule>
  </conditionalFormatting>
  <conditionalFormatting sqref="D10:E31">
    <cfRule type="colorScale" priority="13778">
      <colorScale>
        <cfvo type="min"/>
        <cfvo type="percentile" val="50"/>
        <cfvo type="max"/>
        <color rgb="FFF8696B"/>
        <color rgb="FFFFEB84"/>
        <color rgb="FF63BE7B"/>
      </colorScale>
    </cfRule>
  </conditionalFormatting>
  <conditionalFormatting sqref="D10:E31">
    <cfRule type="colorScale" priority="13777">
      <colorScale>
        <cfvo type="min"/>
        <cfvo type="percentile" val="50"/>
        <cfvo type="max"/>
        <color rgb="FFF8696B"/>
        <color rgb="FFFFEB84"/>
        <color rgb="FF63BE7B"/>
      </colorScale>
    </cfRule>
  </conditionalFormatting>
  <conditionalFormatting sqref="D10:E31">
    <cfRule type="colorScale" priority="13776">
      <colorScale>
        <cfvo type="min"/>
        <cfvo type="percentile" val="50"/>
        <cfvo type="max"/>
        <color rgb="FFF8696B"/>
        <color rgb="FFFFEB84"/>
        <color rgb="FF63BE7B"/>
      </colorScale>
    </cfRule>
  </conditionalFormatting>
  <conditionalFormatting sqref="D10:E31">
    <cfRule type="colorScale" priority="13775">
      <colorScale>
        <cfvo type="min"/>
        <cfvo type="percentile" val="50"/>
        <cfvo type="max"/>
        <color rgb="FFF8696B"/>
        <color rgb="FFFFEB84"/>
        <color rgb="FF63BE7B"/>
      </colorScale>
    </cfRule>
  </conditionalFormatting>
  <conditionalFormatting sqref="D10:E31">
    <cfRule type="colorScale" priority="13774">
      <colorScale>
        <cfvo type="min"/>
        <cfvo type="percentile" val="50"/>
        <cfvo type="max"/>
        <color rgb="FFF8696B"/>
        <color rgb="FFFFEB84"/>
        <color rgb="FF63BE7B"/>
      </colorScale>
    </cfRule>
  </conditionalFormatting>
  <conditionalFormatting sqref="D10:D31">
    <cfRule type="colorScale" priority="13773">
      <colorScale>
        <cfvo type="min"/>
        <cfvo type="percentile" val="50"/>
        <cfvo type="max"/>
        <color rgb="FFF8696B"/>
        <color rgb="FFFFEB84"/>
        <color rgb="FF63BE7B"/>
      </colorScale>
    </cfRule>
  </conditionalFormatting>
  <conditionalFormatting sqref="D10:E31">
    <cfRule type="colorScale" priority="13772">
      <colorScale>
        <cfvo type="min"/>
        <cfvo type="percentile" val="50"/>
        <cfvo type="max"/>
        <color rgb="FFF8696B"/>
        <color rgb="FFFFEB84"/>
        <color rgb="FF63BE7B"/>
      </colorScale>
    </cfRule>
  </conditionalFormatting>
  <conditionalFormatting sqref="D10:E31">
    <cfRule type="colorScale" priority="13771">
      <colorScale>
        <cfvo type="min"/>
        <cfvo type="percentile" val="50"/>
        <cfvo type="max"/>
        <color rgb="FFF8696B"/>
        <color rgb="FFFFEB84"/>
        <color rgb="FF63BE7B"/>
      </colorScale>
    </cfRule>
  </conditionalFormatting>
  <conditionalFormatting sqref="D10:E31">
    <cfRule type="colorScale" priority="13770">
      <colorScale>
        <cfvo type="min"/>
        <cfvo type="percentile" val="50"/>
        <cfvo type="max"/>
        <color rgb="FFF8696B"/>
        <color rgb="FFFFEB84"/>
        <color rgb="FF63BE7B"/>
      </colorScale>
    </cfRule>
  </conditionalFormatting>
  <conditionalFormatting sqref="D10:D31">
    <cfRule type="colorScale" priority="13769">
      <colorScale>
        <cfvo type="min"/>
        <cfvo type="percentile" val="50"/>
        <cfvo type="max"/>
        <color rgb="FFF8696B"/>
        <color rgb="FFFFEB84"/>
        <color rgb="FF63BE7B"/>
      </colorScale>
    </cfRule>
  </conditionalFormatting>
  <conditionalFormatting sqref="D10:E31">
    <cfRule type="colorScale" priority="13768">
      <colorScale>
        <cfvo type="min"/>
        <cfvo type="percentile" val="50"/>
        <cfvo type="max"/>
        <color rgb="FFF8696B"/>
        <color rgb="FFFFEB84"/>
        <color rgb="FF63BE7B"/>
      </colorScale>
    </cfRule>
  </conditionalFormatting>
  <conditionalFormatting sqref="D10:E31">
    <cfRule type="colorScale" priority="13767">
      <colorScale>
        <cfvo type="min"/>
        <cfvo type="percentile" val="50"/>
        <cfvo type="max"/>
        <color rgb="FFF8696B"/>
        <color rgb="FFFFEB84"/>
        <color rgb="FF63BE7B"/>
      </colorScale>
    </cfRule>
  </conditionalFormatting>
  <conditionalFormatting sqref="D10:E31">
    <cfRule type="colorScale" priority="13766">
      <colorScale>
        <cfvo type="min"/>
        <cfvo type="percentile" val="50"/>
        <cfvo type="max"/>
        <color rgb="FFF8696B"/>
        <color rgb="FFFFEB84"/>
        <color rgb="FF63BE7B"/>
      </colorScale>
    </cfRule>
  </conditionalFormatting>
  <conditionalFormatting sqref="D10:E31">
    <cfRule type="colorScale" priority="13765">
      <colorScale>
        <cfvo type="min"/>
        <cfvo type="percentile" val="50"/>
        <cfvo type="max"/>
        <color rgb="FFF8696B"/>
        <color rgb="FFFFEB84"/>
        <color rgb="FF63BE7B"/>
      </colorScale>
    </cfRule>
  </conditionalFormatting>
  <conditionalFormatting sqref="D10:E31">
    <cfRule type="colorScale" priority="13764">
      <colorScale>
        <cfvo type="min"/>
        <cfvo type="percentile" val="50"/>
        <cfvo type="max"/>
        <color rgb="FFF8696B"/>
        <color rgb="FFFFEB84"/>
        <color rgb="FF63BE7B"/>
      </colorScale>
    </cfRule>
  </conditionalFormatting>
  <conditionalFormatting sqref="D10:E31">
    <cfRule type="colorScale" priority="13763">
      <colorScale>
        <cfvo type="min"/>
        <cfvo type="percentile" val="50"/>
        <cfvo type="max"/>
        <color rgb="FFF8696B"/>
        <color rgb="FFFFEB84"/>
        <color rgb="FF63BE7B"/>
      </colorScale>
    </cfRule>
  </conditionalFormatting>
  <conditionalFormatting sqref="D10:E31">
    <cfRule type="colorScale" priority="13762">
      <colorScale>
        <cfvo type="min"/>
        <cfvo type="percentile" val="50"/>
        <cfvo type="max"/>
        <color rgb="FFF8696B"/>
        <color rgb="FFFFEB84"/>
        <color rgb="FF63BE7B"/>
      </colorScale>
    </cfRule>
  </conditionalFormatting>
  <conditionalFormatting sqref="D10:E31">
    <cfRule type="colorScale" priority="13761">
      <colorScale>
        <cfvo type="min"/>
        <cfvo type="percentile" val="50"/>
        <cfvo type="max"/>
        <color rgb="FFF8696B"/>
        <color rgb="FFFFEB84"/>
        <color rgb="FF63BE7B"/>
      </colorScale>
    </cfRule>
  </conditionalFormatting>
  <conditionalFormatting sqref="D10:E31">
    <cfRule type="colorScale" priority="13760">
      <colorScale>
        <cfvo type="min"/>
        <cfvo type="percentile" val="50"/>
        <cfvo type="max"/>
        <color rgb="FFF8696B"/>
        <color rgb="FFFFEB84"/>
        <color rgb="FF63BE7B"/>
      </colorScale>
    </cfRule>
  </conditionalFormatting>
  <conditionalFormatting sqref="D10:E31">
    <cfRule type="colorScale" priority="13759">
      <colorScale>
        <cfvo type="min"/>
        <cfvo type="percentile" val="50"/>
        <cfvo type="max"/>
        <color rgb="FFF8696B"/>
        <color rgb="FFFFEB84"/>
        <color rgb="FF63BE7B"/>
      </colorScale>
    </cfRule>
  </conditionalFormatting>
  <conditionalFormatting sqref="D10:E31">
    <cfRule type="colorScale" priority="13758">
      <colorScale>
        <cfvo type="min"/>
        <cfvo type="percentile" val="50"/>
        <cfvo type="max"/>
        <color rgb="FFF8696B"/>
        <color rgb="FFFFEB84"/>
        <color rgb="FF63BE7B"/>
      </colorScale>
    </cfRule>
  </conditionalFormatting>
  <conditionalFormatting sqref="D10:E31">
    <cfRule type="colorScale" priority="13757">
      <colorScale>
        <cfvo type="min"/>
        <cfvo type="percentile" val="50"/>
        <cfvo type="max"/>
        <color rgb="FFF8696B"/>
        <color rgb="FFFFEB84"/>
        <color rgb="FF63BE7B"/>
      </colorScale>
    </cfRule>
  </conditionalFormatting>
  <conditionalFormatting sqref="D10:D31">
    <cfRule type="colorScale" priority="13756">
      <colorScale>
        <cfvo type="min"/>
        <cfvo type="percentile" val="50"/>
        <cfvo type="max"/>
        <color rgb="FFF8696B"/>
        <color rgb="FFFFEB84"/>
        <color rgb="FF63BE7B"/>
      </colorScale>
    </cfRule>
  </conditionalFormatting>
  <conditionalFormatting sqref="D10:D31">
    <cfRule type="colorScale" priority="13755">
      <colorScale>
        <cfvo type="min"/>
        <cfvo type="percentile" val="50"/>
        <cfvo type="max"/>
        <color rgb="FFF8696B"/>
        <color rgb="FFFFEB84"/>
        <color rgb="FF63BE7B"/>
      </colorScale>
    </cfRule>
  </conditionalFormatting>
  <conditionalFormatting sqref="D10:D31">
    <cfRule type="colorScale" priority="13754">
      <colorScale>
        <cfvo type="min"/>
        <cfvo type="percentile" val="50"/>
        <cfvo type="max"/>
        <color rgb="FFF8696B"/>
        <color rgb="FFFFEB84"/>
        <color rgb="FF63BE7B"/>
      </colorScale>
    </cfRule>
  </conditionalFormatting>
  <conditionalFormatting sqref="D10:D31">
    <cfRule type="colorScale" priority="13753">
      <colorScale>
        <cfvo type="min"/>
        <cfvo type="percentile" val="50"/>
        <cfvo type="max"/>
        <color rgb="FFF8696B"/>
        <color rgb="FFFFEB84"/>
        <color rgb="FF63BE7B"/>
      </colorScale>
    </cfRule>
  </conditionalFormatting>
  <conditionalFormatting sqref="D10:E31">
    <cfRule type="colorScale" priority="13752">
      <colorScale>
        <cfvo type="min"/>
        <cfvo type="percentile" val="50"/>
        <cfvo type="max"/>
        <color rgb="FFF8696B"/>
        <color rgb="FFFFEB84"/>
        <color rgb="FF63BE7B"/>
      </colorScale>
    </cfRule>
  </conditionalFormatting>
  <conditionalFormatting sqref="D10:E31">
    <cfRule type="colorScale" priority="13751">
      <colorScale>
        <cfvo type="min"/>
        <cfvo type="percentile" val="50"/>
        <cfvo type="max"/>
        <color rgb="FFF8696B"/>
        <color rgb="FFFFEB84"/>
        <color rgb="FF63BE7B"/>
      </colorScale>
    </cfRule>
  </conditionalFormatting>
  <conditionalFormatting sqref="D10:D31">
    <cfRule type="colorScale" priority="13750">
      <colorScale>
        <cfvo type="min"/>
        <cfvo type="percentile" val="50"/>
        <cfvo type="max"/>
        <color rgb="FFF8696B"/>
        <color rgb="FFFFEB84"/>
        <color rgb="FF63BE7B"/>
      </colorScale>
    </cfRule>
  </conditionalFormatting>
  <conditionalFormatting sqref="D10:D31">
    <cfRule type="colorScale" priority="13749">
      <colorScale>
        <cfvo type="min"/>
        <cfvo type="percentile" val="50"/>
        <cfvo type="max"/>
        <color rgb="FFF8696B"/>
        <color rgb="FFFFEB84"/>
        <color rgb="FF63BE7B"/>
      </colorScale>
    </cfRule>
  </conditionalFormatting>
  <conditionalFormatting sqref="D10:D31">
    <cfRule type="colorScale" priority="13748">
      <colorScale>
        <cfvo type="min"/>
        <cfvo type="percentile" val="50"/>
        <cfvo type="max"/>
        <color rgb="FFF8696B"/>
        <color rgb="FFFFEB84"/>
        <color rgb="FF63BE7B"/>
      </colorScale>
    </cfRule>
  </conditionalFormatting>
  <conditionalFormatting sqref="D10:D31">
    <cfRule type="colorScale" priority="13747">
      <colorScale>
        <cfvo type="min"/>
        <cfvo type="percentile" val="50"/>
        <cfvo type="max"/>
        <color rgb="FFF8696B"/>
        <color rgb="FFFFEB84"/>
        <color rgb="FF63BE7B"/>
      </colorScale>
    </cfRule>
  </conditionalFormatting>
  <conditionalFormatting sqref="D10:E31">
    <cfRule type="colorScale" priority="13746">
      <colorScale>
        <cfvo type="min"/>
        <cfvo type="percentile" val="50"/>
        <cfvo type="max"/>
        <color rgb="FFF8696B"/>
        <color rgb="FFFFEB84"/>
        <color rgb="FF63BE7B"/>
      </colorScale>
    </cfRule>
  </conditionalFormatting>
  <conditionalFormatting sqref="D10:E31">
    <cfRule type="colorScale" priority="13745">
      <colorScale>
        <cfvo type="min"/>
        <cfvo type="percentile" val="50"/>
        <cfvo type="max"/>
        <color rgb="FFF8696B"/>
        <color rgb="FFFFEB84"/>
        <color rgb="FF63BE7B"/>
      </colorScale>
    </cfRule>
  </conditionalFormatting>
  <conditionalFormatting sqref="D10:D31">
    <cfRule type="colorScale" priority="13744">
      <colorScale>
        <cfvo type="min"/>
        <cfvo type="percentile" val="50"/>
        <cfvo type="max"/>
        <color rgb="FFF8696B"/>
        <color rgb="FFFFEB84"/>
        <color rgb="FF63BE7B"/>
      </colorScale>
    </cfRule>
  </conditionalFormatting>
  <conditionalFormatting sqref="D10:D31">
    <cfRule type="colorScale" priority="13743">
      <colorScale>
        <cfvo type="min"/>
        <cfvo type="percentile" val="50"/>
        <cfvo type="max"/>
        <color rgb="FFF8696B"/>
        <color rgb="FFFFEB84"/>
        <color rgb="FF63BE7B"/>
      </colorScale>
    </cfRule>
  </conditionalFormatting>
  <conditionalFormatting sqref="D10:D31">
    <cfRule type="colorScale" priority="13742">
      <colorScale>
        <cfvo type="min"/>
        <cfvo type="percentile" val="50"/>
        <cfvo type="max"/>
        <color rgb="FFF8696B"/>
        <color rgb="FFFFEB84"/>
        <color rgb="FF63BE7B"/>
      </colorScale>
    </cfRule>
  </conditionalFormatting>
  <conditionalFormatting sqref="D10:D31">
    <cfRule type="colorScale" priority="13741">
      <colorScale>
        <cfvo type="min"/>
        <cfvo type="percentile" val="50"/>
        <cfvo type="max"/>
        <color rgb="FFF8696B"/>
        <color rgb="FFFFEB84"/>
        <color rgb="FF63BE7B"/>
      </colorScale>
    </cfRule>
  </conditionalFormatting>
  <conditionalFormatting sqref="D10:E31">
    <cfRule type="colorScale" priority="13740">
      <colorScale>
        <cfvo type="min"/>
        <cfvo type="percentile" val="50"/>
        <cfvo type="max"/>
        <color rgb="FFF8696B"/>
        <color rgb="FFFFEB84"/>
        <color rgb="FF63BE7B"/>
      </colorScale>
    </cfRule>
  </conditionalFormatting>
  <conditionalFormatting sqref="D10:E31">
    <cfRule type="colorScale" priority="13739">
      <colorScale>
        <cfvo type="min"/>
        <cfvo type="percentile" val="50"/>
        <cfvo type="max"/>
        <color rgb="FFF8696B"/>
        <color rgb="FFFFEB84"/>
        <color rgb="FF63BE7B"/>
      </colorScale>
    </cfRule>
  </conditionalFormatting>
  <conditionalFormatting sqref="D10:E31">
    <cfRule type="colorScale" priority="13738">
      <colorScale>
        <cfvo type="min"/>
        <cfvo type="percentile" val="50"/>
        <cfvo type="max"/>
        <color rgb="FFF8696B"/>
        <color rgb="FFFFEB84"/>
        <color rgb="FF63BE7B"/>
      </colorScale>
    </cfRule>
  </conditionalFormatting>
  <conditionalFormatting sqref="D10:E31">
    <cfRule type="colorScale" priority="13737">
      <colorScale>
        <cfvo type="min"/>
        <cfvo type="percentile" val="50"/>
        <cfvo type="max"/>
        <color rgb="FFF8696B"/>
        <color rgb="FFFFEB84"/>
        <color rgb="FF63BE7B"/>
      </colorScale>
    </cfRule>
  </conditionalFormatting>
  <conditionalFormatting sqref="D10:D31">
    <cfRule type="colorScale" priority="13736">
      <colorScale>
        <cfvo type="min"/>
        <cfvo type="percentile" val="50"/>
        <cfvo type="max"/>
        <color rgb="FFF8696B"/>
        <color rgb="FFFFEB84"/>
        <color rgb="FF63BE7B"/>
      </colorScale>
    </cfRule>
  </conditionalFormatting>
  <conditionalFormatting sqref="D10:D31">
    <cfRule type="colorScale" priority="13735">
      <colorScale>
        <cfvo type="min"/>
        <cfvo type="percentile" val="50"/>
        <cfvo type="max"/>
        <color rgb="FFF8696B"/>
        <color rgb="FFFFEB84"/>
        <color rgb="FF63BE7B"/>
      </colorScale>
    </cfRule>
  </conditionalFormatting>
  <conditionalFormatting sqref="D10:D31">
    <cfRule type="colorScale" priority="13734">
      <colorScale>
        <cfvo type="min"/>
        <cfvo type="percentile" val="50"/>
        <cfvo type="max"/>
        <color rgb="FFF8696B"/>
        <color rgb="FFFFEB84"/>
        <color rgb="FF63BE7B"/>
      </colorScale>
    </cfRule>
  </conditionalFormatting>
  <conditionalFormatting sqref="D10:D31">
    <cfRule type="colorScale" priority="13733">
      <colorScale>
        <cfvo type="min"/>
        <cfvo type="percentile" val="50"/>
        <cfvo type="max"/>
        <color rgb="FFF8696B"/>
        <color rgb="FFFFEB84"/>
        <color rgb="FF63BE7B"/>
      </colorScale>
    </cfRule>
  </conditionalFormatting>
  <conditionalFormatting sqref="D10:E31">
    <cfRule type="colorScale" priority="13732">
      <colorScale>
        <cfvo type="min"/>
        <cfvo type="percentile" val="50"/>
        <cfvo type="max"/>
        <color rgb="FFF8696B"/>
        <color rgb="FFFFEB84"/>
        <color rgb="FF63BE7B"/>
      </colorScale>
    </cfRule>
  </conditionalFormatting>
  <conditionalFormatting sqref="D10:E31">
    <cfRule type="colorScale" priority="13731">
      <colorScale>
        <cfvo type="min"/>
        <cfvo type="percentile" val="50"/>
        <cfvo type="max"/>
        <color rgb="FFF8696B"/>
        <color rgb="FFFFEB84"/>
        <color rgb="FF63BE7B"/>
      </colorScale>
    </cfRule>
  </conditionalFormatting>
  <conditionalFormatting sqref="D10:D31">
    <cfRule type="colorScale" priority="13730">
      <colorScale>
        <cfvo type="min"/>
        <cfvo type="percentile" val="50"/>
        <cfvo type="max"/>
        <color rgb="FFF8696B"/>
        <color rgb="FFFFEB84"/>
        <color rgb="FF63BE7B"/>
      </colorScale>
    </cfRule>
  </conditionalFormatting>
  <conditionalFormatting sqref="D10:D31">
    <cfRule type="colorScale" priority="13729">
      <colorScale>
        <cfvo type="min"/>
        <cfvo type="percentile" val="50"/>
        <cfvo type="max"/>
        <color rgb="FFF8696B"/>
        <color rgb="FFFFEB84"/>
        <color rgb="FF63BE7B"/>
      </colorScale>
    </cfRule>
  </conditionalFormatting>
  <conditionalFormatting sqref="D10:D31">
    <cfRule type="colorScale" priority="13728">
      <colorScale>
        <cfvo type="min"/>
        <cfvo type="percentile" val="50"/>
        <cfvo type="max"/>
        <color rgb="FFF8696B"/>
        <color rgb="FFFFEB84"/>
        <color rgb="FF63BE7B"/>
      </colorScale>
    </cfRule>
  </conditionalFormatting>
  <conditionalFormatting sqref="D10:D31">
    <cfRule type="colorScale" priority="13727">
      <colorScale>
        <cfvo type="min"/>
        <cfvo type="percentile" val="50"/>
        <cfvo type="max"/>
        <color rgb="FFF8696B"/>
        <color rgb="FFFFEB84"/>
        <color rgb="FF63BE7B"/>
      </colorScale>
    </cfRule>
  </conditionalFormatting>
  <conditionalFormatting sqref="D10:E31">
    <cfRule type="colorScale" priority="13726">
      <colorScale>
        <cfvo type="min"/>
        <cfvo type="percentile" val="50"/>
        <cfvo type="max"/>
        <color rgb="FFF8696B"/>
        <color rgb="FFFFEB84"/>
        <color rgb="FF63BE7B"/>
      </colorScale>
    </cfRule>
  </conditionalFormatting>
  <conditionalFormatting sqref="D10:E31">
    <cfRule type="colorScale" priority="13725">
      <colorScale>
        <cfvo type="min"/>
        <cfvo type="percentile" val="50"/>
        <cfvo type="max"/>
        <color rgb="FFF8696B"/>
        <color rgb="FFFFEB84"/>
        <color rgb="FF63BE7B"/>
      </colorScale>
    </cfRule>
  </conditionalFormatting>
  <conditionalFormatting sqref="D10:D31">
    <cfRule type="colorScale" priority="13724">
      <colorScale>
        <cfvo type="min"/>
        <cfvo type="percentile" val="50"/>
        <cfvo type="max"/>
        <color rgb="FFF8696B"/>
        <color rgb="FFFFEB84"/>
        <color rgb="FF63BE7B"/>
      </colorScale>
    </cfRule>
  </conditionalFormatting>
  <conditionalFormatting sqref="D10:D31">
    <cfRule type="colorScale" priority="13723">
      <colorScale>
        <cfvo type="min"/>
        <cfvo type="percentile" val="50"/>
        <cfvo type="max"/>
        <color rgb="FFF8696B"/>
        <color rgb="FFFFEB84"/>
        <color rgb="FF63BE7B"/>
      </colorScale>
    </cfRule>
  </conditionalFormatting>
  <conditionalFormatting sqref="D10:D31">
    <cfRule type="colorScale" priority="13722">
      <colorScale>
        <cfvo type="min"/>
        <cfvo type="percentile" val="50"/>
        <cfvo type="max"/>
        <color rgb="FFF8696B"/>
        <color rgb="FFFFEB84"/>
        <color rgb="FF63BE7B"/>
      </colorScale>
    </cfRule>
  </conditionalFormatting>
  <conditionalFormatting sqref="D10:D31">
    <cfRule type="colorScale" priority="13721">
      <colorScale>
        <cfvo type="min"/>
        <cfvo type="percentile" val="50"/>
        <cfvo type="max"/>
        <color rgb="FFF8696B"/>
        <color rgb="FFFFEB84"/>
        <color rgb="FF63BE7B"/>
      </colorScale>
    </cfRule>
  </conditionalFormatting>
  <conditionalFormatting sqref="D10:E31">
    <cfRule type="colorScale" priority="13720">
      <colorScale>
        <cfvo type="min"/>
        <cfvo type="percentile" val="50"/>
        <cfvo type="max"/>
        <color rgb="FFF8696B"/>
        <color rgb="FFFFEB84"/>
        <color rgb="FF63BE7B"/>
      </colorScale>
    </cfRule>
  </conditionalFormatting>
  <conditionalFormatting sqref="D10:E31">
    <cfRule type="colorScale" priority="13719">
      <colorScale>
        <cfvo type="min"/>
        <cfvo type="percentile" val="50"/>
        <cfvo type="max"/>
        <color rgb="FFF8696B"/>
        <color rgb="FFFFEB84"/>
        <color rgb="FF63BE7B"/>
      </colorScale>
    </cfRule>
  </conditionalFormatting>
  <conditionalFormatting sqref="D10:E31">
    <cfRule type="colorScale" priority="13718">
      <colorScale>
        <cfvo type="min"/>
        <cfvo type="percentile" val="50"/>
        <cfvo type="max"/>
        <color rgb="FFF8696B"/>
        <color rgb="FFFFEB84"/>
        <color rgb="FF63BE7B"/>
      </colorScale>
    </cfRule>
  </conditionalFormatting>
  <conditionalFormatting sqref="D10:E31">
    <cfRule type="colorScale" priority="13717">
      <colorScale>
        <cfvo type="min"/>
        <cfvo type="percentile" val="50"/>
        <cfvo type="max"/>
        <color rgb="FFF8696B"/>
        <color rgb="FFFFEB84"/>
        <color rgb="FF63BE7B"/>
      </colorScale>
    </cfRule>
  </conditionalFormatting>
  <conditionalFormatting sqref="D10:E31">
    <cfRule type="colorScale" priority="13716">
      <colorScale>
        <cfvo type="min"/>
        <cfvo type="percentile" val="50"/>
        <cfvo type="max"/>
        <color rgb="FFF8696B"/>
        <color rgb="FFFFEB84"/>
        <color rgb="FF63BE7B"/>
      </colorScale>
    </cfRule>
  </conditionalFormatting>
  <conditionalFormatting sqref="D10:E31">
    <cfRule type="colorScale" priority="13715">
      <colorScale>
        <cfvo type="min"/>
        <cfvo type="percentile" val="50"/>
        <cfvo type="max"/>
        <color rgb="FFF8696B"/>
        <color rgb="FFFFEB84"/>
        <color rgb="FF63BE7B"/>
      </colorScale>
    </cfRule>
  </conditionalFormatting>
  <conditionalFormatting sqref="D10:D31">
    <cfRule type="colorScale" priority="13714">
      <colorScale>
        <cfvo type="min"/>
        <cfvo type="percentile" val="50"/>
        <cfvo type="max"/>
        <color rgb="FFF8696B"/>
        <color rgb="FFFFEB84"/>
        <color rgb="FF63BE7B"/>
      </colorScale>
    </cfRule>
  </conditionalFormatting>
  <conditionalFormatting sqref="D10:D31">
    <cfRule type="colorScale" priority="13713">
      <colorScale>
        <cfvo type="min"/>
        <cfvo type="percentile" val="50"/>
        <cfvo type="max"/>
        <color rgb="FFF8696B"/>
        <color rgb="FFFFEB84"/>
        <color rgb="FF63BE7B"/>
      </colorScale>
    </cfRule>
  </conditionalFormatting>
  <conditionalFormatting sqref="D10:D31">
    <cfRule type="colorScale" priority="13712">
      <colorScale>
        <cfvo type="min"/>
        <cfvo type="percentile" val="50"/>
        <cfvo type="max"/>
        <color rgb="FFF8696B"/>
        <color rgb="FFFFEB84"/>
        <color rgb="FF63BE7B"/>
      </colorScale>
    </cfRule>
  </conditionalFormatting>
  <conditionalFormatting sqref="D10:D31">
    <cfRule type="colorScale" priority="13711">
      <colorScale>
        <cfvo type="min"/>
        <cfvo type="percentile" val="50"/>
        <cfvo type="max"/>
        <color rgb="FFF8696B"/>
        <color rgb="FFFFEB84"/>
        <color rgb="FF63BE7B"/>
      </colorScale>
    </cfRule>
  </conditionalFormatting>
  <conditionalFormatting sqref="D10:E31">
    <cfRule type="colorScale" priority="13710">
      <colorScale>
        <cfvo type="min"/>
        <cfvo type="percentile" val="50"/>
        <cfvo type="max"/>
        <color rgb="FFF8696B"/>
        <color rgb="FFFFEB84"/>
        <color rgb="FF63BE7B"/>
      </colorScale>
    </cfRule>
  </conditionalFormatting>
  <conditionalFormatting sqref="D10:E31">
    <cfRule type="colorScale" priority="13709">
      <colorScale>
        <cfvo type="min"/>
        <cfvo type="percentile" val="50"/>
        <cfvo type="max"/>
        <color rgb="FFF8696B"/>
        <color rgb="FFFFEB84"/>
        <color rgb="FF63BE7B"/>
      </colorScale>
    </cfRule>
  </conditionalFormatting>
  <conditionalFormatting sqref="D10:D31">
    <cfRule type="colorScale" priority="13708">
      <colorScale>
        <cfvo type="min"/>
        <cfvo type="percentile" val="50"/>
        <cfvo type="max"/>
        <color rgb="FFF8696B"/>
        <color rgb="FFFFEB84"/>
        <color rgb="FF63BE7B"/>
      </colorScale>
    </cfRule>
  </conditionalFormatting>
  <conditionalFormatting sqref="D10:D31">
    <cfRule type="colorScale" priority="13707">
      <colorScale>
        <cfvo type="min"/>
        <cfvo type="percentile" val="50"/>
        <cfvo type="max"/>
        <color rgb="FFF8696B"/>
        <color rgb="FFFFEB84"/>
        <color rgb="FF63BE7B"/>
      </colorScale>
    </cfRule>
  </conditionalFormatting>
  <conditionalFormatting sqref="D10:D31">
    <cfRule type="colorScale" priority="13706">
      <colorScale>
        <cfvo type="min"/>
        <cfvo type="percentile" val="50"/>
        <cfvo type="max"/>
        <color rgb="FFF8696B"/>
        <color rgb="FFFFEB84"/>
        <color rgb="FF63BE7B"/>
      </colorScale>
    </cfRule>
  </conditionalFormatting>
  <conditionalFormatting sqref="D10:D31">
    <cfRule type="colorScale" priority="13705">
      <colorScale>
        <cfvo type="min"/>
        <cfvo type="percentile" val="50"/>
        <cfvo type="max"/>
        <color rgb="FFF8696B"/>
        <color rgb="FFFFEB84"/>
        <color rgb="FF63BE7B"/>
      </colorScale>
    </cfRule>
  </conditionalFormatting>
  <conditionalFormatting sqref="D10:E31">
    <cfRule type="colorScale" priority="13704">
      <colorScale>
        <cfvo type="min"/>
        <cfvo type="percentile" val="50"/>
        <cfvo type="max"/>
        <color rgb="FFF8696B"/>
        <color rgb="FFFFEB84"/>
        <color rgb="FF63BE7B"/>
      </colorScale>
    </cfRule>
  </conditionalFormatting>
  <conditionalFormatting sqref="D10:E31">
    <cfRule type="colorScale" priority="13703">
      <colorScale>
        <cfvo type="min"/>
        <cfvo type="percentile" val="50"/>
        <cfvo type="max"/>
        <color rgb="FFF8696B"/>
        <color rgb="FFFFEB84"/>
        <color rgb="FF63BE7B"/>
      </colorScale>
    </cfRule>
  </conditionalFormatting>
  <conditionalFormatting sqref="D10:D31">
    <cfRule type="colorScale" priority="13702">
      <colorScale>
        <cfvo type="min"/>
        <cfvo type="percentile" val="50"/>
        <cfvo type="max"/>
        <color rgb="FFF8696B"/>
        <color rgb="FFFFEB84"/>
        <color rgb="FF63BE7B"/>
      </colorScale>
    </cfRule>
  </conditionalFormatting>
  <conditionalFormatting sqref="D10:D31">
    <cfRule type="colorScale" priority="13701">
      <colorScale>
        <cfvo type="min"/>
        <cfvo type="percentile" val="50"/>
        <cfvo type="max"/>
        <color rgb="FFF8696B"/>
        <color rgb="FFFFEB84"/>
        <color rgb="FF63BE7B"/>
      </colorScale>
    </cfRule>
  </conditionalFormatting>
  <conditionalFormatting sqref="D10:D31">
    <cfRule type="colorScale" priority="13700">
      <colorScale>
        <cfvo type="min"/>
        <cfvo type="percentile" val="50"/>
        <cfvo type="max"/>
        <color rgb="FFF8696B"/>
        <color rgb="FFFFEB84"/>
        <color rgb="FF63BE7B"/>
      </colorScale>
    </cfRule>
  </conditionalFormatting>
  <conditionalFormatting sqref="D10:D31">
    <cfRule type="colorScale" priority="13699">
      <colorScale>
        <cfvo type="min"/>
        <cfvo type="percentile" val="50"/>
        <cfvo type="max"/>
        <color rgb="FFF8696B"/>
        <color rgb="FFFFEB84"/>
        <color rgb="FF63BE7B"/>
      </colorScale>
    </cfRule>
  </conditionalFormatting>
  <conditionalFormatting sqref="D10:E31">
    <cfRule type="colorScale" priority="13698">
      <colorScale>
        <cfvo type="min"/>
        <cfvo type="percentile" val="50"/>
        <cfvo type="max"/>
        <color rgb="FFF8696B"/>
        <color rgb="FFFFEB84"/>
        <color rgb="FF63BE7B"/>
      </colorScale>
    </cfRule>
  </conditionalFormatting>
  <conditionalFormatting sqref="D10:E31">
    <cfRule type="colorScale" priority="13697">
      <colorScale>
        <cfvo type="min"/>
        <cfvo type="percentile" val="50"/>
        <cfvo type="max"/>
        <color rgb="FFF8696B"/>
        <color rgb="FFFFEB84"/>
        <color rgb="FF63BE7B"/>
      </colorScale>
    </cfRule>
  </conditionalFormatting>
  <conditionalFormatting sqref="D10:E31">
    <cfRule type="colorScale" priority="13696">
      <colorScale>
        <cfvo type="min"/>
        <cfvo type="percentile" val="50"/>
        <cfvo type="max"/>
        <color rgb="FFF8696B"/>
        <color rgb="FFFFEB84"/>
        <color rgb="FF63BE7B"/>
      </colorScale>
    </cfRule>
  </conditionalFormatting>
  <conditionalFormatting sqref="D10:E31">
    <cfRule type="colorScale" priority="13695">
      <colorScale>
        <cfvo type="min"/>
        <cfvo type="percentile" val="50"/>
        <cfvo type="max"/>
        <color rgb="FFF8696B"/>
        <color rgb="FFFFEB84"/>
        <color rgb="FF63BE7B"/>
      </colorScale>
    </cfRule>
  </conditionalFormatting>
  <conditionalFormatting sqref="D10:D31">
    <cfRule type="colorScale" priority="13694">
      <colorScale>
        <cfvo type="min"/>
        <cfvo type="percentile" val="50"/>
        <cfvo type="max"/>
        <color rgb="FFF8696B"/>
        <color rgb="FFFFEB84"/>
        <color rgb="FF63BE7B"/>
      </colorScale>
    </cfRule>
  </conditionalFormatting>
  <conditionalFormatting sqref="D10:D31">
    <cfRule type="colorScale" priority="13693">
      <colorScale>
        <cfvo type="min"/>
        <cfvo type="percentile" val="50"/>
        <cfvo type="max"/>
        <color rgb="FFF8696B"/>
        <color rgb="FFFFEB84"/>
        <color rgb="FF63BE7B"/>
      </colorScale>
    </cfRule>
  </conditionalFormatting>
  <conditionalFormatting sqref="D10:D31">
    <cfRule type="colorScale" priority="13692">
      <colorScale>
        <cfvo type="min"/>
        <cfvo type="percentile" val="50"/>
        <cfvo type="max"/>
        <color rgb="FFF8696B"/>
        <color rgb="FFFFEB84"/>
        <color rgb="FF63BE7B"/>
      </colorScale>
    </cfRule>
  </conditionalFormatting>
  <conditionalFormatting sqref="D10:D31">
    <cfRule type="colorScale" priority="13691">
      <colorScale>
        <cfvo type="min"/>
        <cfvo type="percentile" val="50"/>
        <cfvo type="max"/>
        <color rgb="FFF8696B"/>
        <color rgb="FFFFEB84"/>
        <color rgb="FF63BE7B"/>
      </colorScale>
    </cfRule>
  </conditionalFormatting>
  <conditionalFormatting sqref="D10:E31">
    <cfRule type="colorScale" priority="13690">
      <colorScale>
        <cfvo type="min"/>
        <cfvo type="percentile" val="50"/>
        <cfvo type="max"/>
        <color rgb="FFF8696B"/>
        <color rgb="FFFFEB84"/>
        <color rgb="FF63BE7B"/>
      </colorScale>
    </cfRule>
  </conditionalFormatting>
  <conditionalFormatting sqref="D10:E31">
    <cfRule type="colorScale" priority="13689">
      <colorScale>
        <cfvo type="min"/>
        <cfvo type="percentile" val="50"/>
        <cfvo type="max"/>
        <color rgb="FFF8696B"/>
        <color rgb="FFFFEB84"/>
        <color rgb="FF63BE7B"/>
      </colorScale>
    </cfRule>
  </conditionalFormatting>
  <conditionalFormatting sqref="D10:D31">
    <cfRule type="colorScale" priority="13688">
      <colorScale>
        <cfvo type="min"/>
        <cfvo type="percentile" val="50"/>
        <cfvo type="max"/>
        <color rgb="FFF8696B"/>
        <color rgb="FFFFEB84"/>
        <color rgb="FF63BE7B"/>
      </colorScale>
    </cfRule>
  </conditionalFormatting>
  <conditionalFormatting sqref="D10:D31">
    <cfRule type="colorScale" priority="13687">
      <colorScale>
        <cfvo type="min"/>
        <cfvo type="percentile" val="50"/>
        <cfvo type="max"/>
        <color rgb="FFF8696B"/>
        <color rgb="FFFFEB84"/>
        <color rgb="FF63BE7B"/>
      </colorScale>
    </cfRule>
  </conditionalFormatting>
  <conditionalFormatting sqref="D10:D31">
    <cfRule type="colorScale" priority="13686">
      <colorScale>
        <cfvo type="min"/>
        <cfvo type="percentile" val="50"/>
        <cfvo type="max"/>
        <color rgb="FFF8696B"/>
        <color rgb="FFFFEB84"/>
        <color rgb="FF63BE7B"/>
      </colorScale>
    </cfRule>
  </conditionalFormatting>
  <conditionalFormatting sqref="D10:D31">
    <cfRule type="colorScale" priority="13685">
      <colorScale>
        <cfvo type="min"/>
        <cfvo type="percentile" val="50"/>
        <cfvo type="max"/>
        <color rgb="FFF8696B"/>
        <color rgb="FFFFEB84"/>
        <color rgb="FF63BE7B"/>
      </colorScale>
    </cfRule>
  </conditionalFormatting>
  <conditionalFormatting sqref="D10:E31">
    <cfRule type="colorScale" priority="13684">
      <colorScale>
        <cfvo type="min"/>
        <cfvo type="percentile" val="50"/>
        <cfvo type="max"/>
        <color rgb="FFF8696B"/>
        <color rgb="FFFFEB84"/>
        <color rgb="FF63BE7B"/>
      </colorScale>
    </cfRule>
  </conditionalFormatting>
  <conditionalFormatting sqref="D10:E31">
    <cfRule type="colorScale" priority="13683">
      <colorScale>
        <cfvo type="min"/>
        <cfvo type="percentile" val="50"/>
        <cfvo type="max"/>
        <color rgb="FFF8696B"/>
        <color rgb="FFFFEB84"/>
        <color rgb="FF63BE7B"/>
      </colorScale>
    </cfRule>
  </conditionalFormatting>
  <conditionalFormatting sqref="D10:D31">
    <cfRule type="colorScale" priority="13682">
      <colorScale>
        <cfvo type="min"/>
        <cfvo type="percentile" val="50"/>
        <cfvo type="max"/>
        <color rgb="FFF8696B"/>
        <color rgb="FFFFEB84"/>
        <color rgb="FF63BE7B"/>
      </colorScale>
    </cfRule>
  </conditionalFormatting>
  <conditionalFormatting sqref="D10:D31">
    <cfRule type="colorScale" priority="13681">
      <colorScale>
        <cfvo type="min"/>
        <cfvo type="percentile" val="50"/>
        <cfvo type="max"/>
        <color rgb="FFF8696B"/>
        <color rgb="FFFFEB84"/>
        <color rgb="FF63BE7B"/>
      </colorScale>
    </cfRule>
  </conditionalFormatting>
  <conditionalFormatting sqref="D10:D31">
    <cfRule type="colorScale" priority="13680">
      <colorScale>
        <cfvo type="min"/>
        <cfvo type="percentile" val="50"/>
        <cfvo type="max"/>
        <color rgb="FFF8696B"/>
        <color rgb="FFFFEB84"/>
        <color rgb="FF63BE7B"/>
      </colorScale>
    </cfRule>
  </conditionalFormatting>
  <conditionalFormatting sqref="D10:D31">
    <cfRule type="colorScale" priority="13679">
      <colorScale>
        <cfvo type="min"/>
        <cfvo type="percentile" val="50"/>
        <cfvo type="max"/>
        <color rgb="FFF8696B"/>
        <color rgb="FFFFEB84"/>
        <color rgb="FF63BE7B"/>
      </colorScale>
    </cfRule>
  </conditionalFormatting>
  <conditionalFormatting sqref="D10:E31">
    <cfRule type="colorScale" priority="13678">
      <colorScale>
        <cfvo type="min"/>
        <cfvo type="percentile" val="50"/>
        <cfvo type="max"/>
        <color rgb="FFF8696B"/>
        <color rgb="FFFFEB84"/>
        <color rgb="FF63BE7B"/>
      </colorScale>
    </cfRule>
  </conditionalFormatting>
  <conditionalFormatting sqref="D10:E31">
    <cfRule type="colorScale" priority="13677">
      <colorScale>
        <cfvo type="min"/>
        <cfvo type="percentile" val="50"/>
        <cfvo type="max"/>
        <color rgb="FFF8696B"/>
        <color rgb="FFFFEB84"/>
        <color rgb="FF63BE7B"/>
      </colorScale>
    </cfRule>
  </conditionalFormatting>
  <conditionalFormatting sqref="D10:E31">
    <cfRule type="colorScale" priority="13676">
      <colorScale>
        <cfvo type="min"/>
        <cfvo type="percentile" val="50"/>
        <cfvo type="max"/>
        <color rgb="FFF8696B"/>
        <color rgb="FFFFEB84"/>
        <color rgb="FF63BE7B"/>
      </colorScale>
    </cfRule>
  </conditionalFormatting>
  <conditionalFormatting sqref="D10:E31">
    <cfRule type="colorScale" priority="13675">
      <colorScale>
        <cfvo type="min"/>
        <cfvo type="percentile" val="50"/>
        <cfvo type="max"/>
        <color rgb="FFF8696B"/>
        <color rgb="FFFFEB84"/>
        <color rgb="FF63BE7B"/>
      </colorScale>
    </cfRule>
  </conditionalFormatting>
  <conditionalFormatting sqref="D10:D31">
    <cfRule type="colorScale" priority="13674">
      <colorScale>
        <cfvo type="min"/>
        <cfvo type="percentile" val="50"/>
        <cfvo type="max"/>
        <color rgb="FFF8696B"/>
        <color rgb="FFFFEB84"/>
        <color rgb="FF63BE7B"/>
      </colorScale>
    </cfRule>
  </conditionalFormatting>
  <conditionalFormatting sqref="D10:D31">
    <cfRule type="colorScale" priority="13673">
      <colorScale>
        <cfvo type="min"/>
        <cfvo type="percentile" val="50"/>
        <cfvo type="max"/>
        <color rgb="FFF8696B"/>
        <color rgb="FFFFEB84"/>
        <color rgb="FF63BE7B"/>
      </colorScale>
    </cfRule>
  </conditionalFormatting>
  <conditionalFormatting sqref="D10:D31">
    <cfRule type="colorScale" priority="13672">
      <colorScale>
        <cfvo type="min"/>
        <cfvo type="percentile" val="50"/>
        <cfvo type="max"/>
        <color rgb="FFF8696B"/>
        <color rgb="FFFFEB84"/>
        <color rgb="FF63BE7B"/>
      </colorScale>
    </cfRule>
  </conditionalFormatting>
  <conditionalFormatting sqref="D10:D31">
    <cfRule type="colorScale" priority="13671">
      <colorScale>
        <cfvo type="min"/>
        <cfvo type="percentile" val="50"/>
        <cfvo type="max"/>
        <color rgb="FFF8696B"/>
        <color rgb="FFFFEB84"/>
        <color rgb="FF63BE7B"/>
      </colorScale>
    </cfRule>
  </conditionalFormatting>
  <conditionalFormatting sqref="D10:E31">
    <cfRule type="colorScale" priority="13670">
      <colorScale>
        <cfvo type="min"/>
        <cfvo type="percentile" val="50"/>
        <cfvo type="max"/>
        <color rgb="FFF8696B"/>
        <color rgb="FFFFEB84"/>
        <color rgb="FF63BE7B"/>
      </colorScale>
    </cfRule>
  </conditionalFormatting>
  <conditionalFormatting sqref="D10:E31">
    <cfRule type="colorScale" priority="13669">
      <colorScale>
        <cfvo type="min"/>
        <cfvo type="percentile" val="50"/>
        <cfvo type="max"/>
        <color rgb="FFF8696B"/>
        <color rgb="FFFFEB84"/>
        <color rgb="FF63BE7B"/>
      </colorScale>
    </cfRule>
  </conditionalFormatting>
  <conditionalFormatting sqref="D10:D31">
    <cfRule type="colorScale" priority="13668">
      <colorScale>
        <cfvo type="min"/>
        <cfvo type="percentile" val="50"/>
        <cfvo type="max"/>
        <color rgb="FFF8696B"/>
        <color rgb="FFFFEB84"/>
        <color rgb="FF63BE7B"/>
      </colorScale>
    </cfRule>
  </conditionalFormatting>
  <conditionalFormatting sqref="D10:D31">
    <cfRule type="colorScale" priority="13667">
      <colorScale>
        <cfvo type="min"/>
        <cfvo type="percentile" val="50"/>
        <cfvo type="max"/>
        <color rgb="FFF8696B"/>
        <color rgb="FFFFEB84"/>
        <color rgb="FF63BE7B"/>
      </colorScale>
    </cfRule>
  </conditionalFormatting>
  <conditionalFormatting sqref="D10:D31">
    <cfRule type="colorScale" priority="13666">
      <colorScale>
        <cfvo type="min"/>
        <cfvo type="percentile" val="50"/>
        <cfvo type="max"/>
        <color rgb="FFF8696B"/>
        <color rgb="FFFFEB84"/>
        <color rgb="FF63BE7B"/>
      </colorScale>
    </cfRule>
  </conditionalFormatting>
  <conditionalFormatting sqref="D10:D31">
    <cfRule type="colorScale" priority="13665">
      <colorScale>
        <cfvo type="min"/>
        <cfvo type="percentile" val="50"/>
        <cfvo type="max"/>
        <color rgb="FFF8696B"/>
        <color rgb="FFFFEB84"/>
        <color rgb="FF63BE7B"/>
      </colorScale>
    </cfRule>
  </conditionalFormatting>
  <conditionalFormatting sqref="D10:E31">
    <cfRule type="colorScale" priority="13664">
      <colorScale>
        <cfvo type="min"/>
        <cfvo type="percentile" val="50"/>
        <cfvo type="max"/>
        <color rgb="FFF8696B"/>
        <color rgb="FFFFEB84"/>
        <color rgb="FF63BE7B"/>
      </colorScale>
    </cfRule>
  </conditionalFormatting>
  <conditionalFormatting sqref="D10:E31">
    <cfRule type="colorScale" priority="13663">
      <colorScale>
        <cfvo type="min"/>
        <cfvo type="percentile" val="50"/>
        <cfvo type="max"/>
        <color rgb="FFF8696B"/>
        <color rgb="FFFFEB84"/>
        <color rgb="FF63BE7B"/>
      </colorScale>
    </cfRule>
  </conditionalFormatting>
  <conditionalFormatting sqref="D10:D31">
    <cfRule type="colorScale" priority="13662">
      <colorScale>
        <cfvo type="min"/>
        <cfvo type="percentile" val="50"/>
        <cfvo type="max"/>
        <color rgb="FFF8696B"/>
        <color rgb="FFFFEB84"/>
        <color rgb="FF63BE7B"/>
      </colorScale>
    </cfRule>
  </conditionalFormatting>
  <conditionalFormatting sqref="D10:D31">
    <cfRule type="colorScale" priority="13661">
      <colorScale>
        <cfvo type="min"/>
        <cfvo type="percentile" val="50"/>
        <cfvo type="max"/>
        <color rgb="FFF8696B"/>
        <color rgb="FFFFEB84"/>
        <color rgb="FF63BE7B"/>
      </colorScale>
    </cfRule>
  </conditionalFormatting>
  <conditionalFormatting sqref="D10:D31">
    <cfRule type="colorScale" priority="13660">
      <colorScale>
        <cfvo type="min"/>
        <cfvo type="percentile" val="50"/>
        <cfvo type="max"/>
        <color rgb="FFF8696B"/>
        <color rgb="FFFFEB84"/>
        <color rgb="FF63BE7B"/>
      </colorScale>
    </cfRule>
  </conditionalFormatting>
  <conditionalFormatting sqref="D10:D31">
    <cfRule type="colorScale" priority="13659">
      <colorScale>
        <cfvo type="min"/>
        <cfvo type="percentile" val="50"/>
        <cfvo type="max"/>
        <color rgb="FFF8696B"/>
        <color rgb="FFFFEB84"/>
        <color rgb="FF63BE7B"/>
      </colorScale>
    </cfRule>
  </conditionalFormatting>
  <conditionalFormatting sqref="D10:E31">
    <cfRule type="colorScale" priority="13658">
      <colorScale>
        <cfvo type="min"/>
        <cfvo type="percentile" val="50"/>
        <cfvo type="max"/>
        <color rgb="FFF8696B"/>
        <color rgb="FFFFEB84"/>
        <color rgb="FF63BE7B"/>
      </colorScale>
    </cfRule>
  </conditionalFormatting>
  <conditionalFormatting sqref="D10:E31">
    <cfRule type="colorScale" priority="13657">
      <colorScale>
        <cfvo type="min"/>
        <cfvo type="percentile" val="50"/>
        <cfvo type="max"/>
        <color rgb="FFF8696B"/>
        <color rgb="FFFFEB84"/>
        <color rgb="FF63BE7B"/>
      </colorScale>
    </cfRule>
  </conditionalFormatting>
  <conditionalFormatting sqref="D10:D31">
    <cfRule type="colorScale" priority="13656">
      <colorScale>
        <cfvo type="min"/>
        <cfvo type="percentile" val="50"/>
        <cfvo type="max"/>
        <color rgb="FFF8696B"/>
        <color rgb="FFFFEB84"/>
        <color rgb="FF63BE7B"/>
      </colorScale>
    </cfRule>
  </conditionalFormatting>
  <conditionalFormatting sqref="D10:D31">
    <cfRule type="colorScale" priority="13655">
      <colorScale>
        <cfvo type="min"/>
        <cfvo type="percentile" val="50"/>
        <cfvo type="max"/>
        <color rgb="FFF8696B"/>
        <color rgb="FFFFEB84"/>
        <color rgb="FF63BE7B"/>
      </colorScale>
    </cfRule>
  </conditionalFormatting>
  <conditionalFormatting sqref="E10:E31">
    <cfRule type="colorScale" priority="13654">
      <colorScale>
        <cfvo type="min"/>
        <cfvo type="percentile" val="50"/>
        <cfvo type="max"/>
        <color rgb="FFF8696B"/>
        <color rgb="FFFFEB84"/>
        <color rgb="FF63BE7B"/>
      </colorScale>
    </cfRule>
  </conditionalFormatting>
  <conditionalFormatting sqref="E10:E31">
    <cfRule type="colorScale" priority="13653">
      <colorScale>
        <cfvo type="min"/>
        <cfvo type="percentile" val="50"/>
        <cfvo type="max"/>
        <color rgb="FFF8696B"/>
        <color rgb="FFFFEB84"/>
        <color rgb="FF63BE7B"/>
      </colorScale>
    </cfRule>
  </conditionalFormatting>
  <conditionalFormatting sqref="D10:E31">
    <cfRule type="colorScale" priority="13652">
      <colorScale>
        <cfvo type="min"/>
        <cfvo type="percentile" val="50"/>
        <cfvo type="max"/>
        <color rgb="FFF8696B"/>
        <color rgb="FFFFEB84"/>
        <color rgb="FF63BE7B"/>
      </colorScale>
    </cfRule>
  </conditionalFormatting>
  <conditionalFormatting sqref="D10:E31">
    <cfRule type="colorScale" priority="13651">
      <colorScale>
        <cfvo type="min"/>
        <cfvo type="percentile" val="50"/>
        <cfvo type="max"/>
        <color rgb="FFF8696B"/>
        <color rgb="FFFFEB84"/>
        <color rgb="FF63BE7B"/>
      </colorScale>
    </cfRule>
  </conditionalFormatting>
  <conditionalFormatting sqref="D10:E31">
    <cfRule type="colorScale" priority="13650">
      <colorScale>
        <cfvo type="min"/>
        <cfvo type="percentile" val="50"/>
        <cfvo type="max"/>
        <color rgb="FFF8696B"/>
        <color rgb="FFFFEB84"/>
        <color rgb="FF63BE7B"/>
      </colorScale>
    </cfRule>
  </conditionalFormatting>
  <conditionalFormatting sqref="D10:E31">
    <cfRule type="colorScale" priority="13649">
      <colorScale>
        <cfvo type="min"/>
        <cfvo type="percentile" val="50"/>
        <cfvo type="max"/>
        <color rgb="FFF8696B"/>
        <color rgb="FFFFEB84"/>
        <color rgb="FF63BE7B"/>
      </colorScale>
    </cfRule>
  </conditionalFormatting>
  <conditionalFormatting sqref="D10:D31">
    <cfRule type="colorScale" priority="13648">
      <colorScale>
        <cfvo type="min"/>
        <cfvo type="percentile" val="50"/>
        <cfvo type="max"/>
        <color rgb="FFF8696B"/>
        <color rgb="FFFFEB84"/>
        <color rgb="FF63BE7B"/>
      </colorScale>
    </cfRule>
  </conditionalFormatting>
  <conditionalFormatting sqref="D10:D31">
    <cfRule type="colorScale" priority="13647">
      <colorScale>
        <cfvo type="min"/>
        <cfvo type="percentile" val="50"/>
        <cfvo type="max"/>
        <color rgb="FFF8696B"/>
        <color rgb="FFFFEB84"/>
        <color rgb="FF63BE7B"/>
      </colorScale>
    </cfRule>
  </conditionalFormatting>
  <conditionalFormatting sqref="D10:D29">
    <cfRule type="colorScale" priority="13646">
      <colorScale>
        <cfvo type="min"/>
        <cfvo type="percentile" val="50"/>
        <cfvo type="max"/>
        <color rgb="FFF8696B"/>
        <color rgb="FFFFEB84"/>
        <color rgb="FF63BE7B"/>
      </colorScale>
    </cfRule>
  </conditionalFormatting>
  <conditionalFormatting sqref="D10:D29">
    <cfRule type="colorScale" priority="13645">
      <colorScale>
        <cfvo type="min"/>
        <cfvo type="percentile" val="50"/>
        <cfvo type="max"/>
        <color rgb="FFF8696B"/>
        <color rgb="FFFFEB84"/>
        <color rgb="FF63BE7B"/>
      </colorScale>
    </cfRule>
  </conditionalFormatting>
  <conditionalFormatting sqref="D10:D31">
    <cfRule type="colorScale" priority="13644">
      <colorScale>
        <cfvo type="min"/>
        <cfvo type="percentile" val="50"/>
        <cfvo type="max"/>
        <color rgb="FFF8696B"/>
        <color rgb="FFFFEB84"/>
        <color rgb="FF63BE7B"/>
      </colorScale>
    </cfRule>
  </conditionalFormatting>
  <conditionalFormatting sqref="D10:D31">
    <cfRule type="colorScale" priority="13643">
      <colorScale>
        <cfvo type="min"/>
        <cfvo type="percentile" val="50"/>
        <cfvo type="max"/>
        <color rgb="FFF8696B"/>
        <color rgb="FFFFEB84"/>
        <color rgb="FF63BE7B"/>
      </colorScale>
    </cfRule>
  </conditionalFormatting>
  <conditionalFormatting sqref="D10:F31">
    <cfRule type="colorScale" priority="13642">
      <colorScale>
        <cfvo type="min"/>
        <cfvo type="percentile" val="50"/>
        <cfvo type="max"/>
        <color rgb="FFF8696B"/>
        <color rgb="FFFFEB84"/>
        <color rgb="FF63BE7B"/>
      </colorScale>
    </cfRule>
  </conditionalFormatting>
  <conditionalFormatting sqref="D10:F31">
    <cfRule type="colorScale" priority="13641">
      <colorScale>
        <cfvo type="min"/>
        <cfvo type="percentile" val="50"/>
        <cfvo type="max"/>
        <color rgb="FFF8696B"/>
        <color rgb="FFFFEB84"/>
        <color rgb="FF63BE7B"/>
      </colorScale>
    </cfRule>
  </conditionalFormatting>
  <conditionalFormatting sqref="D10:F31">
    <cfRule type="colorScale" priority="13640">
      <colorScale>
        <cfvo type="min"/>
        <cfvo type="percentile" val="50"/>
        <cfvo type="max"/>
        <color rgb="FFF8696B"/>
        <color rgb="FFFFEB84"/>
        <color rgb="FF63BE7B"/>
      </colorScale>
    </cfRule>
  </conditionalFormatting>
  <conditionalFormatting sqref="D10:F31">
    <cfRule type="colorScale" priority="13639">
      <colorScale>
        <cfvo type="min"/>
        <cfvo type="percentile" val="50"/>
        <cfvo type="max"/>
        <color rgb="FFF8696B"/>
        <color rgb="FFFFEB84"/>
        <color rgb="FF63BE7B"/>
      </colorScale>
    </cfRule>
  </conditionalFormatting>
  <conditionalFormatting sqref="D10:F31">
    <cfRule type="colorScale" priority="13638">
      <colorScale>
        <cfvo type="min"/>
        <cfvo type="percentile" val="50"/>
        <cfvo type="max"/>
        <color rgb="FFF8696B"/>
        <color rgb="FFFFEB84"/>
        <color rgb="FF63BE7B"/>
      </colorScale>
    </cfRule>
  </conditionalFormatting>
  <conditionalFormatting sqref="D10:F31">
    <cfRule type="colorScale" priority="13637">
      <colorScale>
        <cfvo type="min"/>
        <cfvo type="percentile" val="50"/>
        <cfvo type="max"/>
        <color rgb="FFF8696B"/>
        <color rgb="FFFFEB84"/>
        <color rgb="FF63BE7B"/>
      </colorScale>
    </cfRule>
  </conditionalFormatting>
  <conditionalFormatting sqref="D10:E31">
    <cfRule type="colorScale" priority="13636">
      <colorScale>
        <cfvo type="min"/>
        <cfvo type="percentile" val="50"/>
        <cfvo type="max"/>
        <color rgb="FFF8696B"/>
        <color rgb="FFFFEB84"/>
        <color rgb="FF63BE7B"/>
      </colorScale>
    </cfRule>
  </conditionalFormatting>
  <conditionalFormatting sqref="D10:E31">
    <cfRule type="colorScale" priority="13635">
      <colorScale>
        <cfvo type="min"/>
        <cfvo type="percentile" val="50"/>
        <cfvo type="max"/>
        <color rgb="FFF8696B"/>
        <color rgb="FFFFEB84"/>
        <color rgb="FF63BE7B"/>
      </colorScale>
    </cfRule>
  </conditionalFormatting>
  <conditionalFormatting sqref="D10:E31">
    <cfRule type="colorScale" priority="13634">
      <colorScale>
        <cfvo type="min"/>
        <cfvo type="percentile" val="50"/>
        <cfvo type="max"/>
        <color rgb="FFF8696B"/>
        <color rgb="FFFFEB84"/>
        <color rgb="FF63BE7B"/>
      </colorScale>
    </cfRule>
  </conditionalFormatting>
  <conditionalFormatting sqref="D10:E31">
    <cfRule type="colorScale" priority="13633">
      <colorScale>
        <cfvo type="min"/>
        <cfvo type="percentile" val="50"/>
        <cfvo type="max"/>
        <color rgb="FFF8696B"/>
        <color rgb="FFFFEB84"/>
        <color rgb="FF63BE7B"/>
      </colorScale>
    </cfRule>
  </conditionalFormatting>
  <conditionalFormatting sqref="D10:E31">
    <cfRule type="colorScale" priority="13632">
      <colorScale>
        <cfvo type="min"/>
        <cfvo type="percentile" val="50"/>
        <cfvo type="max"/>
        <color rgb="FFF8696B"/>
        <color rgb="FFFFEB84"/>
        <color rgb="FF63BE7B"/>
      </colorScale>
    </cfRule>
  </conditionalFormatting>
  <conditionalFormatting sqref="D10:E31">
    <cfRule type="colorScale" priority="13631">
      <colorScale>
        <cfvo type="min"/>
        <cfvo type="percentile" val="50"/>
        <cfvo type="max"/>
        <color rgb="FFF8696B"/>
        <color rgb="FFFFEB84"/>
        <color rgb="FF63BE7B"/>
      </colorScale>
    </cfRule>
  </conditionalFormatting>
  <conditionalFormatting sqref="E10:E31">
    <cfRule type="colorScale" priority="13630">
      <colorScale>
        <cfvo type="min"/>
        <cfvo type="percentile" val="50"/>
        <cfvo type="max"/>
        <color rgb="FFF8696B"/>
        <color rgb="FFFFEB84"/>
        <color rgb="FF63BE7B"/>
      </colorScale>
    </cfRule>
  </conditionalFormatting>
  <conditionalFormatting sqref="E10:E31">
    <cfRule type="colorScale" priority="13629">
      <colorScale>
        <cfvo type="min"/>
        <cfvo type="percentile" val="50"/>
        <cfvo type="max"/>
        <color rgb="FFF8696B"/>
        <color rgb="FFFFEB84"/>
        <color rgb="FF63BE7B"/>
      </colorScale>
    </cfRule>
  </conditionalFormatting>
  <conditionalFormatting sqref="J10:J31">
    <cfRule type="colorScale" priority="13628">
      <colorScale>
        <cfvo type="min"/>
        <cfvo type="percentile" val="50"/>
        <cfvo type="max"/>
        <color rgb="FFF8696B"/>
        <color rgb="FFFFEB84"/>
        <color rgb="FF63BE7B"/>
      </colorScale>
    </cfRule>
  </conditionalFormatting>
  <conditionalFormatting sqref="H10:I31 D10:F31">
    <cfRule type="colorScale" priority="13627">
      <colorScale>
        <cfvo type="min"/>
        <cfvo type="percentile" val="50"/>
        <cfvo type="max"/>
        <color rgb="FFF8696B"/>
        <color rgb="FFFFEB84"/>
        <color rgb="FF63BE7B"/>
      </colorScale>
    </cfRule>
  </conditionalFormatting>
  <conditionalFormatting sqref="D10:E31">
    <cfRule type="colorScale" priority="13626">
      <colorScale>
        <cfvo type="min"/>
        <cfvo type="percentile" val="50"/>
        <cfvo type="max"/>
        <color rgb="FFF8696B"/>
        <color rgb="FFFFEB84"/>
        <color rgb="FF63BE7B"/>
      </colorScale>
    </cfRule>
  </conditionalFormatting>
  <conditionalFormatting sqref="D10:E31">
    <cfRule type="colorScale" priority="13625">
      <colorScale>
        <cfvo type="min"/>
        <cfvo type="percentile" val="50"/>
        <cfvo type="max"/>
        <color rgb="FFF8696B"/>
        <color rgb="FFFFEB84"/>
        <color rgb="FF63BE7B"/>
      </colorScale>
    </cfRule>
  </conditionalFormatting>
  <conditionalFormatting sqref="D10:E31">
    <cfRule type="colorScale" priority="13624">
      <colorScale>
        <cfvo type="min"/>
        <cfvo type="percentile" val="50"/>
        <cfvo type="max"/>
        <color rgb="FFF8696B"/>
        <color rgb="FFFFEB84"/>
        <color rgb="FF63BE7B"/>
      </colorScale>
    </cfRule>
  </conditionalFormatting>
  <conditionalFormatting sqref="D10:E31">
    <cfRule type="colorScale" priority="13623">
      <colorScale>
        <cfvo type="min"/>
        <cfvo type="percentile" val="50"/>
        <cfvo type="max"/>
        <color rgb="FFF8696B"/>
        <color rgb="FFFFEB84"/>
        <color rgb="FF63BE7B"/>
      </colorScale>
    </cfRule>
  </conditionalFormatting>
  <conditionalFormatting sqref="D10:E31">
    <cfRule type="colorScale" priority="13622">
      <colorScale>
        <cfvo type="min"/>
        <cfvo type="percentile" val="50"/>
        <cfvo type="max"/>
        <color rgb="FFF8696B"/>
        <color rgb="FFFFEB84"/>
        <color rgb="FF63BE7B"/>
      </colorScale>
    </cfRule>
  </conditionalFormatting>
  <conditionalFormatting sqref="D10:E31">
    <cfRule type="colorScale" priority="13621">
      <colorScale>
        <cfvo type="min"/>
        <cfvo type="percentile" val="50"/>
        <cfvo type="max"/>
        <color rgb="FFF8696B"/>
        <color rgb="FFFFEB84"/>
        <color rgb="FF63BE7B"/>
      </colorScale>
    </cfRule>
  </conditionalFormatting>
  <conditionalFormatting sqref="D10:E31">
    <cfRule type="colorScale" priority="13620">
      <colorScale>
        <cfvo type="min"/>
        <cfvo type="percentile" val="50"/>
        <cfvo type="max"/>
        <color rgb="FFF8696B"/>
        <color rgb="FFFFEB84"/>
        <color rgb="FF63BE7B"/>
      </colorScale>
    </cfRule>
  </conditionalFormatting>
  <conditionalFormatting sqref="D10:E31">
    <cfRule type="colorScale" priority="13619">
      <colorScale>
        <cfvo type="min"/>
        <cfvo type="percentile" val="50"/>
        <cfvo type="max"/>
        <color rgb="FFF8696B"/>
        <color rgb="FFFFEB84"/>
        <color rgb="FF63BE7B"/>
      </colorScale>
    </cfRule>
  </conditionalFormatting>
  <conditionalFormatting sqref="D10:D31">
    <cfRule type="colorScale" priority="13618">
      <colorScale>
        <cfvo type="min"/>
        <cfvo type="percentile" val="50"/>
        <cfvo type="max"/>
        <color rgb="FFF8696B"/>
        <color rgb="FFFFEB84"/>
        <color rgb="FF63BE7B"/>
      </colorScale>
    </cfRule>
  </conditionalFormatting>
  <conditionalFormatting sqref="D10:E31">
    <cfRule type="colorScale" priority="13617">
      <colorScale>
        <cfvo type="min"/>
        <cfvo type="percentile" val="50"/>
        <cfvo type="max"/>
        <color rgb="FFF8696B"/>
        <color rgb="FFFFEB84"/>
        <color rgb="FF63BE7B"/>
      </colorScale>
    </cfRule>
  </conditionalFormatting>
  <conditionalFormatting sqref="D10:E31">
    <cfRule type="colorScale" priority="13616">
      <colorScale>
        <cfvo type="min"/>
        <cfvo type="percentile" val="50"/>
        <cfvo type="max"/>
        <color rgb="FFF8696B"/>
        <color rgb="FFFFEB84"/>
        <color rgb="FF63BE7B"/>
      </colorScale>
    </cfRule>
  </conditionalFormatting>
  <conditionalFormatting sqref="D10:E31">
    <cfRule type="colorScale" priority="13615">
      <colorScale>
        <cfvo type="min"/>
        <cfvo type="percentile" val="50"/>
        <cfvo type="max"/>
        <color rgb="FFF8696B"/>
        <color rgb="FFFFEB84"/>
        <color rgb="FF63BE7B"/>
      </colorScale>
    </cfRule>
  </conditionalFormatting>
  <conditionalFormatting sqref="D10:D31">
    <cfRule type="colorScale" priority="13614">
      <colorScale>
        <cfvo type="min"/>
        <cfvo type="percentile" val="50"/>
        <cfvo type="max"/>
        <color rgb="FFF8696B"/>
        <color rgb="FFFFEB84"/>
        <color rgb="FF63BE7B"/>
      </colorScale>
    </cfRule>
  </conditionalFormatting>
  <conditionalFormatting sqref="D10:E31">
    <cfRule type="colorScale" priority="13613">
      <colorScale>
        <cfvo type="min"/>
        <cfvo type="percentile" val="50"/>
        <cfvo type="max"/>
        <color rgb="FFF8696B"/>
        <color rgb="FFFFEB84"/>
        <color rgb="FF63BE7B"/>
      </colorScale>
    </cfRule>
  </conditionalFormatting>
  <conditionalFormatting sqref="D10:E31">
    <cfRule type="colorScale" priority="13612">
      <colorScale>
        <cfvo type="min"/>
        <cfvo type="percentile" val="50"/>
        <cfvo type="max"/>
        <color rgb="FFF8696B"/>
        <color rgb="FFFFEB84"/>
        <color rgb="FF63BE7B"/>
      </colorScale>
    </cfRule>
  </conditionalFormatting>
  <conditionalFormatting sqref="D10:E31">
    <cfRule type="colorScale" priority="13611">
      <colorScale>
        <cfvo type="min"/>
        <cfvo type="percentile" val="50"/>
        <cfvo type="max"/>
        <color rgb="FFF8696B"/>
        <color rgb="FFFFEB84"/>
        <color rgb="FF63BE7B"/>
      </colorScale>
    </cfRule>
  </conditionalFormatting>
  <conditionalFormatting sqref="D10:E31">
    <cfRule type="colorScale" priority="13610">
      <colorScale>
        <cfvo type="min"/>
        <cfvo type="percentile" val="50"/>
        <cfvo type="max"/>
        <color rgb="FFF8696B"/>
        <color rgb="FFFFEB84"/>
        <color rgb="FF63BE7B"/>
      </colorScale>
    </cfRule>
  </conditionalFormatting>
  <conditionalFormatting sqref="D10:E31">
    <cfRule type="colorScale" priority="13609">
      <colorScale>
        <cfvo type="min"/>
        <cfvo type="percentile" val="50"/>
        <cfvo type="max"/>
        <color rgb="FFF8696B"/>
        <color rgb="FFFFEB84"/>
        <color rgb="FF63BE7B"/>
      </colorScale>
    </cfRule>
  </conditionalFormatting>
  <conditionalFormatting sqref="D10:E31">
    <cfRule type="colorScale" priority="13608">
      <colorScale>
        <cfvo type="min"/>
        <cfvo type="percentile" val="50"/>
        <cfvo type="max"/>
        <color rgb="FFF8696B"/>
        <color rgb="FFFFEB84"/>
        <color rgb="FF63BE7B"/>
      </colorScale>
    </cfRule>
  </conditionalFormatting>
  <conditionalFormatting sqref="D10:E31">
    <cfRule type="colorScale" priority="13607">
      <colorScale>
        <cfvo type="min"/>
        <cfvo type="percentile" val="50"/>
        <cfvo type="max"/>
        <color rgb="FFF8696B"/>
        <color rgb="FFFFEB84"/>
        <color rgb="FF63BE7B"/>
      </colorScale>
    </cfRule>
  </conditionalFormatting>
  <conditionalFormatting sqref="D10:E31">
    <cfRule type="colorScale" priority="13606">
      <colorScale>
        <cfvo type="min"/>
        <cfvo type="percentile" val="50"/>
        <cfvo type="max"/>
        <color rgb="FFF8696B"/>
        <color rgb="FFFFEB84"/>
        <color rgb="FF63BE7B"/>
      </colorScale>
    </cfRule>
  </conditionalFormatting>
  <conditionalFormatting sqref="D10:E31">
    <cfRule type="colorScale" priority="13605">
      <colorScale>
        <cfvo type="min"/>
        <cfvo type="percentile" val="50"/>
        <cfvo type="max"/>
        <color rgb="FFF8696B"/>
        <color rgb="FFFFEB84"/>
        <color rgb="FF63BE7B"/>
      </colorScale>
    </cfRule>
  </conditionalFormatting>
  <conditionalFormatting sqref="D10:E31">
    <cfRule type="colorScale" priority="13604">
      <colorScale>
        <cfvo type="min"/>
        <cfvo type="percentile" val="50"/>
        <cfvo type="max"/>
        <color rgb="FFF8696B"/>
        <color rgb="FFFFEB84"/>
        <color rgb="FF63BE7B"/>
      </colorScale>
    </cfRule>
  </conditionalFormatting>
  <conditionalFormatting sqref="D10:E31">
    <cfRule type="colorScale" priority="13603">
      <colorScale>
        <cfvo type="min"/>
        <cfvo type="percentile" val="50"/>
        <cfvo type="max"/>
        <color rgb="FFF8696B"/>
        <color rgb="FFFFEB84"/>
        <color rgb="FF63BE7B"/>
      </colorScale>
    </cfRule>
  </conditionalFormatting>
  <conditionalFormatting sqref="D10:E31">
    <cfRule type="colorScale" priority="13602">
      <colorScale>
        <cfvo type="min"/>
        <cfvo type="percentile" val="50"/>
        <cfvo type="max"/>
        <color rgb="FFF8696B"/>
        <color rgb="FFFFEB84"/>
        <color rgb="FF63BE7B"/>
      </colorScale>
    </cfRule>
  </conditionalFormatting>
  <conditionalFormatting sqref="D10:D31">
    <cfRule type="colorScale" priority="13601">
      <colorScale>
        <cfvo type="min"/>
        <cfvo type="percentile" val="50"/>
        <cfvo type="max"/>
        <color rgb="FFF8696B"/>
        <color rgb="FFFFEB84"/>
        <color rgb="FF63BE7B"/>
      </colorScale>
    </cfRule>
  </conditionalFormatting>
  <conditionalFormatting sqref="D10:D31">
    <cfRule type="colorScale" priority="13600">
      <colorScale>
        <cfvo type="min"/>
        <cfvo type="percentile" val="50"/>
        <cfvo type="max"/>
        <color rgb="FFF8696B"/>
        <color rgb="FFFFEB84"/>
        <color rgb="FF63BE7B"/>
      </colorScale>
    </cfRule>
  </conditionalFormatting>
  <conditionalFormatting sqref="D10:D31">
    <cfRule type="colorScale" priority="13599">
      <colorScale>
        <cfvo type="min"/>
        <cfvo type="percentile" val="50"/>
        <cfvo type="max"/>
        <color rgb="FFF8696B"/>
        <color rgb="FFFFEB84"/>
        <color rgb="FF63BE7B"/>
      </colorScale>
    </cfRule>
  </conditionalFormatting>
  <conditionalFormatting sqref="D10:D31">
    <cfRule type="colorScale" priority="13598">
      <colorScale>
        <cfvo type="min"/>
        <cfvo type="percentile" val="50"/>
        <cfvo type="max"/>
        <color rgb="FFF8696B"/>
        <color rgb="FFFFEB84"/>
        <color rgb="FF63BE7B"/>
      </colorScale>
    </cfRule>
  </conditionalFormatting>
  <conditionalFormatting sqref="D10:E31">
    <cfRule type="colorScale" priority="13597">
      <colorScale>
        <cfvo type="min"/>
        <cfvo type="percentile" val="50"/>
        <cfvo type="max"/>
        <color rgb="FFF8696B"/>
        <color rgb="FFFFEB84"/>
        <color rgb="FF63BE7B"/>
      </colorScale>
    </cfRule>
  </conditionalFormatting>
  <conditionalFormatting sqref="D10:E31">
    <cfRule type="colorScale" priority="13596">
      <colorScale>
        <cfvo type="min"/>
        <cfvo type="percentile" val="50"/>
        <cfvo type="max"/>
        <color rgb="FFF8696B"/>
        <color rgb="FFFFEB84"/>
        <color rgb="FF63BE7B"/>
      </colorScale>
    </cfRule>
  </conditionalFormatting>
  <conditionalFormatting sqref="D10:D31">
    <cfRule type="colorScale" priority="13595">
      <colorScale>
        <cfvo type="min"/>
        <cfvo type="percentile" val="50"/>
        <cfvo type="max"/>
        <color rgb="FFF8696B"/>
        <color rgb="FFFFEB84"/>
        <color rgb="FF63BE7B"/>
      </colorScale>
    </cfRule>
  </conditionalFormatting>
  <conditionalFormatting sqref="D10:D31">
    <cfRule type="colorScale" priority="13594">
      <colorScale>
        <cfvo type="min"/>
        <cfvo type="percentile" val="50"/>
        <cfvo type="max"/>
        <color rgb="FFF8696B"/>
        <color rgb="FFFFEB84"/>
        <color rgb="FF63BE7B"/>
      </colorScale>
    </cfRule>
  </conditionalFormatting>
  <conditionalFormatting sqref="D10:D31">
    <cfRule type="colorScale" priority="13593">
      <colorScale>
        <cfvo type="min"/>
        <cfvo type="percentile" val="50"/>
        <cfvo type="max"/>
        <color rgb="FFF8696B"/>
        <color rgb="FFFFEB84"/>
        <color rgb="FF63BE7B"/>
      </colorScale>
    </cfRule>
  </conditionalFormatting>
  <conditionalFormatting sqref="D10:D31">
    <cfRule type="colorScale" priority="13592">
      <colorScale>
        <cfvo type="min"/>
        <cfvo type="percentile" val="50"/>
        <cfvo type="max"/>
        <color rgb="FFF8696B"/>
        <color rgb="FFFFEB84"/>
        <color rgb="FF63BE7B"/>
      </colorScale>
    </cfRule>
  </conditionalFormatting>
  <conditionalFormatting sqref="D10:E31">
    <cfRule type="colorScale" priority="13591">
      <colorScale>
        <cfvo type="min"/>
        <cfvo type="percentile" val="50"/>
        <cfvo type="max"/>
        <color rgb="FFF8696B"/>
        <color rgb="FFFFEB84"/>
        <color rgb="FF63BE7B"/>
      </colorScale>
    </cfRule>
  </conditionalFormatting>
  <conditionalFormatting sqref="D10:E31">
    <cfRule type="colorScale" priority="13590">
      <colorScale>
        <cfvo type="min"/>
        <cfvo type="percentile" val="50"/>
        <cfvo type="max"/>
        <color rgb="FFF8696B"/>
        <color rgb="FFFFEB84"/>
        <color rgb="FF63BE7B"/>
      </colorScale>
    </cfRule>
  </conditionalFormatting>
  <conditionalFormatting sqref="D10:D31">
    <cfRule type="colorScale" priority="13589">
      <colorScale>
        <cfvo type="min"/>
        <cfvo type="percentile" val="50"/>
        <cfvo type="max"/>
        <color rgb="FFF8696B"/>
        <color rgb="FFFFEB84"/>
        <color rgb="FF63BE7B"/>
      </colorScale>
    </cfRule>
  </conditionalFormatting>
  <conditionalFormatting sqref="D10:D31">
    <cfRule type="colorScale" priority="13588">
      <colorScale>
        <cfvo type="min"/>
        <cfvo type="percentile" val="50"/>
        <cfvo type="max"/>
        <color rgb="FFF8696B"/>
        <color rgb="FFFFEB84"/>
        <color rgb="FF63BE7B"/>
      </colorScale>
    </cfRule>
  </conditionalFormatting>
  <conditionalFormatting sqref="D10:D31">
    <cfRule type="colorScale" priority="13587">
      <colorScale>
        <cfvo type="min"/>
        <cfvo type="percentile" val="50"/>
        <cfvo type="max"/>
        <color rgb="FFF8696B"/>
        <color rgb="FFFFEB84"/>
        <color rgb="FF63BE7B"/>
      </colorScale>
    </cfRule>
  </conditionalFormatting>
  <conditionalFormatting sqref="D10:D31">
    <cfRule type="colorScale" priority="13586">
      <colorScale>
        <cfvo type="min"/>
        <cfvo type="percentile" val="50"/>
        <cfvo type="max"/>
        <color rgb="FFF8696B"/>
        <color rgb="FFFFEB84"/>
        <color rgb="FF63BE7B"/>
      </colorScale>
    </cfRule>
  </conditionalFormatting>
  <conditionalFormatting sqref="D10:E31">
    <cfRule type="colorScale" priority="13585">
      <colorScale>
        <cfvo type="min"/>
        <cfvo type="percentile" val="50"/>
        <cfvo type="max"/>
        <color rgb="FFF8696B"/>
        <color rgb="FFFFEB84"/>
        <color rgb="FF63BE7B"/>
      </colorScale>
    </cfRule>
  </conditionalFormatting>
  <conditionalFormatting sqref="D10:E31">
    <cfRule type="colorScale" priority="13584">
      <colorScale>
        <cfvo type="min"/>
        <cfvo type="percentile" val="50"/>
        <cfvo type="max"/>
        <color rgb="FFF8696B"/>
        <color rgb="FFFFEB84"/>
        <color rgb="FF63BE7B"/>
      </colorScale>
    </cfRule>
  </conditionalFormatting>
  <conditionalFormatting sqref="D10:E31">
    <cfRule type="colorScale" priority="13583">
      <colorScale>
        <cfvo type="min"/>
        <cfvo type="percentile" val="50"/>
        <cfvo type="max"/>
        <color rgb="FFF8696B"/>
        <color rgb="FFFFEB84"/>
        <color rgb="FF63BE7B"/>
      </colorScale>
    </cfRule>
  </conditionalFormatting>
  <conditionalFormatting sqref="D10:E31">
    <cfRule type="colorScale" priority="13582">
      <colorScale>
        <cfvo type="min"/>
        <cfvo type="percentile" val="50"/>
        <cfvo type="max"/>
        <color rgb="FFF8696B"/>
        <color rgb="FFFFEB84"/>
        <color rgb="FF63BE7B"/>
      </colorScale>
    </cfRule>
  </conditionalFormatting>
  <conditionalFormatting sqref="D10:D31">
    <cfRule type="colorScale" priority="13581">
      <colorScale>
        <cfvo type="min"/>
        <cfvo type="percentile" val="50"/>
        <cfvo type="max"/>
        <color rgb="FFF8696B"/>
        <color rgb="FFFFEB84"/>
        <color rgb="FF63BE7B"/>
      </colorScale>
    </cfRule>
  </conditionalFormatting>
  <conditionalFormatting sqref="D10:D31">
    <cfRule type="colorScale" priority="13580">
      <colorScale>
        <cfvo type="min"/>
        <cfvo type="percentile" val="50"/>
        <cfvo type="max"/>
        <color rgb="FFF8696B"/>
        <color rgb="FFFFEB84"/>
        <color rgb="FF63BE7B"/>
      </colorScale>
    </cfRule>
  </conditionalFormatting>
  <conditionalFormatting sqref="D10:D31">
    <cfRule type="colorScale" priority="13579">
      <colorScale>
        <cfvo type="min"/>
        <cfvo type="percentile" val="50"/>
        <cfvo type="max"/>
        <color rgb="FFF8696B"/>
        <color rgb="FFFFEB84"/>
        <color rgb="FF63BE7B"/>
      </colorScale>
    </cfRule>
  </conditionalFormatting>
  <conditionalFormatting sqref="D10:D31">
    <cfRule type="colorScale" priority="13578">
      <colorScale>
        <cfvo type="min"/>
        <cfvo type="percentile" val="50"/>
        <cfvo type="max"/>
        <color rgb="FFF8696B"/>
        <color rgb="FFFFEB84"/>
        <color rgb="FF63BE7B"/>
      </colorScale>
    </cfRule>
  </conditionalFormatting>
  <conditionalFormatting sqref="D10:E31">
    <cfRule type="colorScale" priority="13577">
      <colorScale>
        <cfvo type="min"/>
        <cfvo type="percentile" val="50"/>
        <cfvo type="max"/>
        <color rgb="FFF8696B"/>
        <color rgb="FFFFEB84"/>
        <color rgb="FF63BE7B"/>
      </colorScale>
    </cfRule>
  </conditionalFormatting>
  <conditionalFormatting sqref="D10:E31">
    <cfRule type="colorScale" priority="13576">
      <colorScale>
        <cfvo type="min"/>
        <cfvo type="percentile" val="50"/>
        <cfvo type="max"/>
        <color rgb="FFF8696B"/>
        <color rgb="FFFFEB84"/>
        <color rgb="FF63BE7B"/>
      </colorScale>
    </cfRule>
  </conditionalFormatting>
  <conditionalFormatting sqref="D10:D31">
    <cfRule type="colorScale" priority="13575">
      <colorScale>
        <cfvo type="min"/>
        <cfvo type="percentile" val="50"/>
        <cfvo type="max"/>
        <color rgb="FFF8696B"/>
        <color rgb="FFFFEB84"/>
        <color rgb="FF63BE7B"/>
      </colorScale>
    </cfRule>
  </conditionalFormatting>
  <conditionalFormatting sqref="D10:D31">
    <cfRule type="colorScale" priority="13574">
      <colorScale>
        <cfvo type="min"/>
        <cfvo type="percentile" val="50"/>
        <cfvo type="max"/>
        <color rgb="FFF8696B"/>
        <color rgb="FFFFEB84"/>
        <color rgb="FF63BE7B"/>
      </colorScale>
    </cfRule>
  </conditionalFormatting>
  <conditionalFormatting sqref="D10:D31">
    <cfRule type="colorScale" priority="13573">
      <colorScale>
        <cfvo type="min"/>
        <cfvo type="percentile" val="50"/>
        <cfvo type="max"/>
        <color rgb="FFF8696B"/>
        <color rgb="FFFFEB84"/>
        <color rgb="FF63BE7B"/>
      </colorScale>
    </cfRule>
  </conditionalFormatting>
  <conditionalFormatting sqref="D10:D31">
    <cfRule type="colorScale" priority="13572">
      <colorScale>
        <cfvo type="min"/>
        <cfvo type="percentile" val="50"/>
        <cfvo type="max"/>
        <color rgb="FFF8696B"/>
        <color rgb="FFFFEB84"/>
        <color rgb="FF63BE7B"/>
      </colorScale>
    </cfRule>
  </conditionalFormatting>
  <conditionalFormatting sqref="D10:E31">
    <cfRule type="colorScale" priority="13571">
      <colorScale>
        <cfvo type="min"/>
        <cfvo type="percentile" val="50"/>
        <cfvo type="max"/>
        <color rgb="FFF8696B"/>
        <color rgb="FFFFEB84"/>
        <color rgb="FF63BE7B"/>
      </colorScale>
    </cfRule>
  </conditionalFormatting>
  <conditionalFormatting sqref="D10:E31">
    <cfRule type="colorScale" priority="13570">
      <colorScale>
        <cfvo type="min"/>
        <cfvo type="percentile" val="50"/>
        <cfvo type="max"/>
        <color rgb="FFF8696B"/>
        <color rgb="FFFFEB84"/>
        <color rgb="FF63BE7B"/>
      </colorScale>
    </cfRule>
  </conditionalFormatting>
  <conditionalFormatting sqref="D10:D31">
    <cfRule type="colorScale" priority="13569">
      <colorScale>
        <cfvo type="min"/>
        <cfvo type="percentile" val="50"/>
        <cfvo type="max"/>
        <color rgb="FFF8696B"/>
        <color rgb="FFFFEB84"/>
        <color rgb="FF63BE7B"/>
      </colorScale>
    </cfRule>
  </conditionalFormatting>
  <conditionalFormatting sqref="D10:D31">
    <cfRule type="colorScale" priority="13568">
      <colorScale>
        <cfvo type="min"/>
        <cfvo type="percentile" val="50"/>
        <cfvo type="max"/>
        <color rgb="FFF8696B"/>
        <color rgb="FFFFEB84"/>
        <color rgb="FF63BE7B"/>
      </colorScale>
    </cfRule>
  </conditionalFormatting>
  <conditionalFormatting sqref="D10:D31">
    <cfRule type="colorScale" priority="13567">
      <colorScale>
        <cfvo type="min"/>
        <cfvo type="percentile" val="50"/>
        <cfvo type="max"/>
        <color rgb="FFF8696B"/>
        <color rgb="FFFFEB84"/>
        <color rgb="FF63BE7B"/>
      </colorScale>
    </cfRule>
  </conditionalFormatting>
  <conditionalFormatting sqref="D10:D31">
    <cfRule type="colorScale" priority="13566">
      <colorScale>
        <cfvo type="min"/>
        <cfvo type="percentile" val="50"/>
        <cfvo type="max"/>
        <color rgb="FFF8696B"/>
        <color rgb="FFFFEB84"/>
        <color rgb="FF63BE7B"/>
      </colorScale>
    </cfRule>
  </conditionalFormatting>
  <conditionalFormatting sqref="D10:E31">
    <cfRule type="colorScale" priority="13565">
      <colorScale>
        <cfvo type="min"/>
        <cfvo type="percentile" val="50"/>
        <cfvo type="max"/>
        <color rgb="FFF8696B"/>
        <color rgb="FFFFEB84"/>
        <color rgb="FF63BE7B"/>
      </colorScale>
    </cfRule>
  </conditionalFormatting>
  <conditionalFormatting sqref="D10:E31">
    <cfRule type="colorScale" priority="13564">
      <colorScale>
        <cfvo type="min"/>
        <cfvo type="percentile" val="50"/>
        <cfvo type="max"/>
        <color rgb="FFF8696B"/>
        <color rgb="FFFFEB84"/>
        <color rgb="FF63BE7B"/>
      </colorScale>
    </cfRule>
  </conditionalFormatting>
  <conditionalFormatting sqref="D10:E31">
    <cfRule type="colorScale" priority="13563">
      <colorScale>
        <cfvo type="min"/>
        <cfvo type="percentile" val="50"/>
        <cfvo type="max"/>
        <color rgb="FFF8696B"/>
        <color rgb="FFFFEB84"/>
        <color rgb="FF63BE7B"/>
      </colorScale>
    </cfRule>
  </conditionalFormatting>
  <conditionalFormatting sqref="D10:E31">
    <cfRule type="colorScale" priority="13562">
      <colorScale>
        <cfvo type="min"/>
        <cfvo type="percentile" val="50"/>
        <cfvo type="max"/>
        <color rgb="FFF8696B"/>
        <color rgb="FFFFEB84"/>
        <color rgb="FF63BE7B"/>
      </colorScale>
    </cfRule>
  </conditionalFormatting>
  <conditionalFormatting sqref="D10:E31">
    <cfRule type="colorScale" priority="13561">
      <colorScale>
        <cfvo type="min"/>
        <cfvo type="percentile" val="50"/>
        <cfvo type="max"/>
        <color rgb="FFF8696B"/>
        <color rgb="FFFFEB84"/>
        <color rgb="FF63BE7B"/>
      </colorScale>
    </cfRule>
  </conditionalFormatting>
  <conditionalFormatting sqref="D10:E31">
    <cfRule type="colorScale" priority="13560">
      <colorScale>
        <cfvo type="min"/>
        <cfvo type="percentile" val="50"/>
        <cfvo type="max"/>
        <color rgb="FFF8696B"/>
        <color rgb="FFFFEB84"/>
        <color rgb="FF63BE7B"/>
      </colorScale>
    </cfRule>
  </conditionalFormatting>
  <conditionalFormatting sqref="D10:D31">
    <cfRule type="colorScale" priority="13559">
      <colorScale>
        <cfvo type="min"/>
        <cfvo type="percentile" val="50"/>
        <cfvo type="max"/>
        <color rgb="FFF8696B"/>
        <color rgb="FFFFEB84"/>
        <color rgb="FF63BE7B"/>
      </colorScale>
    </cfRule>
  </conditionalFormatting>
  <conditionalFormatting sqref="D10:D31">
    <cfRule type="colorScale" priority="13558">
      <colorScale>
        <cfvo type="min"/>
        <cfvo type="percentile" val="50"/>
        <cfvo type="max"/>
        <color rgb="FFF8696B"/>
        <color rgb="FFFFEB84"/>
        <color rgb="FF63BE7B"/>
      </colorScale>
    </cfRule>
  </conditionalFormatting>
  <conditionalFormatting sqref="D10:D31">
    <cfRule type="colorScale" priority="13557">
      <colorScale>
        <cfvo type="min"/>
        <cfvo type="percentile" val="50"/>
        <cfvo type="max"/>
        <color rgb="FFF8696B"/>
        <color rgb="FFFFEB84"/>
        <color rgb="FF63BE7B"/>
      </colorScale>
    </cfRule>
  </conditionalFormatting>
  <conditionalFormatting sqref="D10:D31">
    <cfRule type="colorScale" priority="13556">
      <colorScale>
        <cfvo type="min"/>
        <cfvo type="percentile" val="50"/>
        <cfvo type="max"/>
        <color rgb="FFF8696B"/>
        <color rgb="FFFFEB84"/>
        <color rgb="FF63BE7B"/>
      </colorScale>
    </cfRule>
  </conditionalFormatting>
  <conditionalFormatting sqref="D10:E31">
    <cfRule type="colorScale" priority="13555">
      <colorScale>
        <cfvo type="min"/>
        <cfvo type="percentile" val="50"/>
        <cfvo type="max"/>
        <color rgb="FFF8696B"/>
        <color rgb="FFFFEB84"/>
        <color rgb="FF63BE7B"/>
      </colorScale>
    </cfRule>
  </conditionalFormatting>
  <conditionalFormatting sqref="D10:E31">
    <cfRule type="colorScale" priority="13554">
      <colorScale>
        <cfvo type="min"/>
        <cfvo type="percentile" val="50"/>
        <cfvo type="max"/>
        <color rgb="FFF8696B"/>
        <color rgb="FFFFEB84"/>
        <color rgb="FF63BE7B"/>
      </colorScale>
    </cfRule>
  </conditionalFormatting>
  <conditionalFormatting sqref="D10:D31">
    <cfRule type="colorScale" priority="13553">
      <colorScale>
        <cfvo type="min"/>
        <cfvo type="percentile" val="50"/>
        <cfvo type="max"/>
        <color rgb="FFF8696B"/>
        <color rgb="FFFFEB84"/>
        <color rgb="FF63BE7B"/>
      </colorScale>
    </cfRule>
  </conditionalFormatting>
  <conditionalFormatting sqref="D10:D31">
    <cfRule type="colorScale" priority="13552">
      <colorScale>
        <cfvo type="min"/>
        <cfvo type="percentile" val="50"/>
        <cfvo type="max"/>
        <color rgb="FFF8696B"/>
        <color rgb="FFFFEB84"/>
        <color rgb="FF63BE7B"/>
      </colorScale>
    </cfRule>
  </conditionalFormatting>
  <conditionalFormatting sqref="D10:D31">
    <cfRule type="colorScale" priority="13551">
      <colorScale>
        <cfvo type="min"/>
        <cfvo type="percentile" val="50"/>
        <cfvo type="max"/>
        <color rgb="FFF8696B"/>
        <color rgb="FFFFEB84"/>
        <color rgb="FF63BE7B"/>
      </colorScale>
    </cfRule>
  </conditionalFormatting>
  <conditionalFormatting sqref="D10:D31">
    <cfRule type="colorScale" priority="13550">
      <colorScale>
        <cfvo type="min"/>
        <cfvo type="percentile" val="50"/>
        <cfvo type="max"/>
        <color rgb="FFF8696B"/>
        <color rgb="FFFFEB84"/>
        <color rgb="FF63BE7B"/>
      </colorScale>
    </cfRule>
  </conditionalFormatting>
  <conditionalFormatting sqref="D10:E31">
    <cfRule type="colorScale" priority="13549">
      <colorScale>
        <cfvo type="min"/>
        <cfvo type="percentile" val="50"/>
        <cfvo type="max"/>
        <color rgb="FFF8696B"/>
        <color rgb="FFFFEB84"/>
        <color rgb="FF63BE7B"/>
      </colorScale>
    </cfRule>
  </conditionalFormatting>
  <conditionalFormatting sqref="D10:E31">
    <cfRule type="colorScale" priority="13548">
      <colorScale>
        <cfvo type="min"/>
        <cfvo type="percentile" val="50"/>
        <cfvo type="max"/>
        <color rgb="FFF8696B"/>
        <color rgb="FFFFEB84"/>
        <color rgb="FF63BE7B"/>
      </colorScale>
    </cfRule>
  </conditionalFormatting>
  <conditionalFormatting sqref="D10:D31">
    <cfRule type="colorScale" priority="13547">
      <colorScale>
        <cfvo type="min"/>
        <cfvo type="percentile" val="50"/>
        <cfvo type="max"/>
        <color rgb="FFF8696B"/>
        <color rgb="FFFFEB84"/>
        <color rgb="FF63BE7B"/>
      </colorScale>
    </cfRule>
  </conditionalFormatting>
  <conditionalFormatting sqref="D10:D31">
    <cfRule type="colorScale" priority="13546">
      <colorScale>
        <cfvo type="min"/>
        <cfvo type="percentile" val="50"/>
        <cfvo type="max"/>
        <color rgb="FFF8696B"/>
        <color rgb="FFFFEB84"/>
        <color rgb="FF63BE7B"/>
      </colorScale>
    </cfRule>
  </conditionalFormatting>
  <conditionalFormatting sqref="D10:D31">
    <cfRule type="colorScale" priority="13545">
      <colorScale>
        <cfvo type="min"/>
        <cfvo type="percentile" val="50"/>
        <cfvo type="max"/>
        <color rgb="FFF8696B"/>
        <color rgb="FFFFEB84"/>
        <color rgb="FF63BE7B"/>
      </colorScale>
    </cfRule>
  </conditionalFormatting>
  <conditionalFormatting sqref="D10:D31">
    <cfRule type="colorScale" priority="13544">
      <colorScale>
        <cfvo type="min"/>
        <cfvo type="percentile" val="50"/>
        <cfvo type="max"/>
        <color rgb="FFF8696B"/>
        <color rgb="FFFFEB84"/>
        <color rgb="FF63BE7B"/>
      </colorScale>
    </cfRule>
  </conditionalFormatting>
  <conditionalFormatting sqref="D10:E31">
    <cfRule type="colorScale" priority="13543">
      <colorScale>
        <cfvo type="min"/>
        <cfvo type="percentile" val="50"/>
        <cfvo type="max"/>
        <color rgb="FFF8696B"/>
        <color rgb="FFFFEB84"/>
        <color rgb="FF63BE7B"/>
      </colorScale>
    </cfRule>
  </conditionalFormatting>
  <conditionalFormatting sqref="D10:E31">
    <cfRule type="colorScale" priority="13542">
      <colorScale>
        <cfvo type="min"/>
        <cfvo type="percentile" val="50"/>
        <cfvo type="max"/>
        <color rgb="FFF8696B"/>
        <color rgb="FFFFEB84"/>
        <color rgb="FF63BE7B"/>
      </colorScale>
    </cfRule>
  </conditionalFormatting>
  <conditionalFormatting sqref="D10:E31">
    <cfRule type="colorScale" priority="13541">
      <colorScale>
        <cfvo type="min"/>
        <cfvo type="percentile" val="50"/>
        <cfvo type="max"/>
        <color rgb="FFF8696B"/>
        <color rgb="FFFFEB84"/>
        <color rgb="FF63BE7B"/>
      </colorScale>
    </cfRule>
  </conditionalFormatting>
  <conditionalFormatting sqref="D10:E31">
    <cfRule type="colorScale" priority="13540">
      <colorScale>
        <cfvo type="min"/>
        <cfvo type="percentile" val="50"/>
        <cfvo type="max"/>
        <color rgb="FFF8696B"/>
        <color rgb="FFFFEB84"/>
        <color rgb="FF63BE7B"/>
      </colorScale>
    </cfRule>
  </conditionalFormatting>
  <conditionalFormatting sqref="D10:D31">
    <cfRule type="colorScale" priority="13539">
      <colorScale>
        <cfvo type="min"/>
        <cfvo type="percentile" val="50"/>
        <cfvo type="max"/>
        <color rgb="FFF8696B"/>
        <color rgb="FFFFEB84"/>
        <color rgb="FF63BE7B"/>
      </colorScale>
    </cfRule>
  </conditionalFormatting>
  <conditionalFormatting sqref="D10:D31">
    <cfRule type="colorScale" priority="13538">
      <colorScale>
        <cfvo type="min"/>
        <cfvo type="percentile" val="50"/>
        <cfvo type="max"/>
        <color rgb="FFF8696B"/>
        <color rgb="FFFFEB84"/>
        <color rgb="FF63BE7B"/>
      </colorScale>
    </cfRule>
  </conditionalFormatting>
  <conditionalFormatting sqref="D10:D31">
    <cfRule type="colorScale" priority="13537">
      <colorScale>
        <cfvo type="min"/>
        <cfvo type="percentile" val="50"/>
        <cfvo type="max"/>
        <color rgb="FFF8696B"/>
        <color rgb="FFFFEB84"/>
        <color rgb="FF63BE7B"/>
      </colorScale>
    </cfRule>
  </conditionalFormatting>
  <conditionalFormatting sqref="D10:D31">
    <cfRule type="colorScale" priority="13536">
      <colorScale>
        <cfvo type="min"/>
        <cfvo type="percentile" val="50"/>
        <cfvo type="max"/>
        <color rgb="FFF8696B"/>
        <color rgb="FFFFEB84"/>
        <color rgb="FF63BE7B"/>
      </colorScale>
    </cfRule>
  </conditionalFormatting>
  <conditionalFormatting sqref="D10:E31">
    <cfRule type="colorScale" priority="13535">
      <colorScale>
        <cfvo type="min"/>
        <cfvo type="percentile" val="50"/>
        <cfvo type="max"/>
        <color rgb="FFF8696B"/>
        <color rgb="FFFFEB84"/>
        <color rgb="FF63BE7B"/>
      </colorScale>
    </cfRule>
  </conditionalFormatting>
  <conditionalFormatting sqref="D10:E31">
    <cfRule type="colorScale" priority="13534">
      <colorScale>
        <cfvo type="min"/>
        <cfvo type="percentile" val="50"/>
        <cfvo type="max"/>
        <color rgb="FFF8696B"/>
        <color rgb="FFFFEB84"/>
        <color rgb="FF63BE7B"/>
      </colorScale>
    </cfRule>
  </conditionalFormatting>
  <conditionalFormatting sqref="D10:D31">
    <cfRule type="colorScale" priority="13533">
      <colorScale>
        <cfvo type="min"/>
        <cfvo type="percentile" val="50"/>
        <cfvo type="max"/>
        <color rgb="FFF8696B"/>
        <color rgb="FFFFEB84"/>
        <color rgb="FF63BE7B"/>
      </colorScale>
    </cfRule>
  </conditionalFormatting>
  <conditionalFormatting sqref="D10:D31">
    <cfRule type="colorScale" priority="13532">
      <colorScale>
        <cfvo type="min"/>
        <cfvo type="percentile" val="50"/>
        <cfvo type="max"/>
        <color rgb="FFF8696B"/>
        <color rgb="FFFFEB84"/>
        <color rgb="FF63BE7B"/>
      </colorScale>
    </cfRule>
  </conditionalFormatting>
  <conditionalFormatting sqref="D10:D31">
    <cfRule type="colorScale" priority="13531">
      <colorScale>
        <cfvo type="min"/>
        <cfvo type="percentile" val="50"/>
        <cfvo type="max"/>
        <color rgb="FFF8696B"/>
        <color rgb="FFFFEB84"/>
        <color rgb="FF63BE7B"/>
      </colorScale>
    </cfRule>
  </conditionalFormatting>
  <conditionalFormatting sqref="D10:D31">
    <cfRule type="colorScale" priority="13530">
      <colorScale>
        <cfvo type="min"/>
        <cfvo type="percentile" val="50"/>
        <cfvo type="max"/>
        <color rgb="FFF8696B"/>
        <color rgb="FFFFEB84"/>
        <color rgb="FF63BE7B"/>
      </colorScale>
    </cfRule>
  </conditionalFormatting>
  <conditionalFormatting sqref="D10:E31">
    <cfRule type="colorScale" priority="13529">
      <colorScale>
        <cfvo type="min"/>
        <cfvo type="percentile" val="50"/>
        <cfvo type="max"/>
        <color rgb="FFF8696B"/>
        <color rgb="FFFFEB84"/>
        <color rgb="FF63BE7B"/>
      </colorScale>
    </cfRule>
  </conditionalFormatting>
  <conditionalFormatting sqref="D10:E31">
    <cfRule type="colorScale" priority="13528">
      <colorScale>
        <cfvo type="min"/>
        <cfvo type="percentile" val="50"/>
        <cfvo type="max"/>
        <color rgb="FFF8696B"/>
        <color rgb="FFFFEB84"/>
        <color rgb="FF63BE7B"/>
      </colorScale>
    </cfRule>
  </conditionalFormatting>
  <conditionalFormatting sqref="D10:D31">
    <cfRule type="colorScale" priority="13527">
      <colorScale>
        <cfvo type="min"/>
        <cfvo type="percentile" val="50"/>
        <cfvo type="max"/>
        <color rgb="FFF8696B"/>
        <color rgb="FFFFEB84"/>
        <color rgb="FF63BE7B"/>
      </colorScale>
    </cfRule>
  </conditionalFormatting>
  <conditionalFormatting sqref="D10:D31">
    <cfRule type="colorScale" priority="13526">
      <colorScale>
        <cfvo type="min"/>
        <cfvo type="percentile" val="50"/>
        <cfvo type="max"/>
        <color rgb="FFF8696B"/>
        <color rgb="FFFFEB84"/>
        <color rgb="FF63BE7B"/>
      </colorScale>
    </cfRule>
  </conditionalFormatting>
  <conditionalFormatting sqref="D10:D31">
    <cfRule type="colorScale" priority="13525">
      <colorScale>
        <cfvo type="min"/>
        <cfvo type="percentile" val="50"/>
        <cfvo type="max"/>
        <color rgb="FFF8696B"/>
        <color rgb="FFFFEB84"/>
        <color rgb="FF63BE7B"/>
      </colorScale>
    </cfRule>
  </conditionalFormatting>
  <conditionalFormatting sqref="D10:D31">
    <cfRule type="colorScale" priority="13524">
      <colorScale>
        <cfvo type="min"/>
        <cfvo type="percentile" val="50"/>
        <cfvo type="max"/>
        <color rgb="FFF8696B"/>
        <color rgb="FFFFEB84"/>
        <color rgb="FF63BE7B"/>
      </colorScale>
    </cfRule>
  </conditionalFormatting>
  <conditionalFormatting sqref="D10:E31">
    <cfRule type="colorScale" priority="13523">
      <colorScale>
        <cfvo type="min"/>
        <cfvo type="percentile" val="50"/>
        <cfvo type="max"/>
        <color rgb="FFF8696B"/>
        <color rgb="FFFFEB84"/>
        <color rgb="FF63BE7B"/>
      </colorScale>
    </cfRule>
  </conditionalFormatting>
  <conditionalFormatting sqref="D10:E31">
    <cfRule type="colorScale" priority="13522">
      <colorScale>
        <cfvo type="min"/>
        <cfvo type="percentile" val="50"/>
        <cfvo type="max"/>
        <color rgb="FFF8696B"/>
        <color rgb="FFFFEB84"/>
        <color rgb="FF63BE7B"/>
      </colorScale>
    </cfRule>
  </conditionalFormatting>
  <conditionalFormatting sqref="D10:E31">
    <cfRule type="colorScale" priority="13521">
      <colorScale>
        <cfvo type="min"/>
        <cfvo type="percentile" val="50"/>
        <cfvo type="max"/>
        <color rgb="FFF8696B"/>
        <color rgb="FFFFEB84"/>
        <color rgb="FF63BE7B"/>
      </colorScale>
    </cfRule>
  </conditionalFormatting>
  <conditionalFormatting sqref="D10:E31">
    <cfRule type="colorScale" priority="13520">
      <colorScale>
        <cfvo type="min"/>
        <cfvo type="percentile" val="50"/>
        <cfvo type="max"/>
        <color rgb="FFF8696B"/>
        <color rgb="FFFFEB84"/>
        <color rgb="FF63BE7B"/>
      </colorScale>
    </cfRule>
  </conditionalFormatting>
  <conditionalFormatting sqref="D10:D31">
    <cfRule type="colorScale" priority="13519">
      <colorScale>
        <cfvo type="min"/>
        <cfvo type="percentile" val="50"/>
        <cfvo type="max"/>
        <color rgb="FFF8696B"/>
        <color rgb="FFFFEB84"/>
        <color rgb="FF63BE7B"/>
      </colorScale>
    </cfRule>
  </conditionalFormatting>
  <conditionalFormatting sqref="D10:D31">
    <cfRule type="colorScale" priority="13518">
      <colorScale>
        <cfvo type="min"/>
        <cfvo type="percentile" val="50"/>
        <cfvo type="max"/>
        <color rgb="FFF8696B"/>
        <color rgb="FFFFEB84"/>
        <color rgb="FF63BE7B"/>
      </colorScale>
    </cfRule>
  </conditionalFormatting>
  <conditionalFormatting sqref="D10:D31">
    <cfRule type="colorScale" priority="13517">
      <colorScale>
        <cfvo type="min"/>
        <cfvo type="percentile" val="50"/>
        <cfvo type="max"/>
        <color rgb="FFF8696B"/>
        <color rgb="FFFFEB84"/>
        <color rgb="FF63BE7B"/>
      </colorScale>
    </cfRule>
  </conditionalFormatting>
  <conditionalFormatting sqref="D10:D31">
    <cfRule type="colorScale" priority="13516">
      <colorScale>
        <cfvo type="min"/>
        <cfvo type="percentile" val="50"/>
        <cfvo type="max"/>
        <color rgb="FFF8696B"/>
        <color rgb="FFFFEB84"/>
        <color rgb="FF63BE7B"/>
      </colorScale>
    </cfRule>
  </conditionalFormatting>
  <conditionalFormatting sqref="D10:E31">
    <cfRule type="colorScale" priority="13515">
      <colorScale>
        <cfvo type="min"/>
        <cfvo type="percentile" val="50"/>
        <cfvo type="max"/>
        <color rgb="FFF8696B"/>
        <color rgb="FFFFEB84"/>
        <color rgb="FF63BE7B"/>
      </colorScale>
    </cfRule>
  </conditionalFormatting>
  <conditionalFormatting sqref="D10:E31">
    <cfRule type="colorScale" priority="13514">
      <colorScale>
        <cfvo type="min"/>
        <cfvo type="percentile" val="50"/>
        <cfvo type="max"/>
        <color rgb="FFF8696B"/>
        <color rgb="FFFFEB84"/>
        <color rgb="FF63BE7B"/>
      </colorScale>
    </cfRule>
  </conditionalFormatting>
  <conditionalFormatting sqref="D10:D31">
    <cfRule type="colorScale" priority="13513">
      <colorScale>
        <cfvo type="min"/>
        <cfvo type="percentile" val="50"/>
        <cfvo type="max"/>
        <color rgb="FFF8696B"/>
        <color rgb="FFFFEB84"/>
        <color rgb="FF63BE7B"/>
      </colorScale>
    </cfRule>
  </conditionalFormatting>
  <conditionalFormatting sqref="D10:D31">
    <cfRule type="colorScale" priority="13512">
      <colorScale>
        <cfvo type="min"/>
        <cfvo type="percentile" val="50"/>
        <cfvo type="max"/>
        <color rgb="FFF8696B"/>
        <color rgb="FFFFEB84"/>
        <color rgb="FF63BE7B"/>
      </colorScale>
    </cfRule>
  </conditionalFormatting>
  <conditionalFormatting sqref="D10:D31">
    <cfRule type="colorScale" priority="13511">
      <colorScale>
        <cfvo type="min"/>
        <cfvo type="percentile" val="50"/>
        <cfvo type="max"/>
        <color rgb="FFF8696B"/>
        <color rgb="FFFFEB84"/>
        <color rgb="FF63BE7B"/>
      </colorScale>
    </cfRule>
  </conditionalFormatting>
  <conditionalFormatting sqref="D10:D31">
    <cfRule type="colorScale" priority="13510">
      <colorScale>
        <cfvo type="min"/>
        <cfvo type="percentile" val="50"/>
        <cfvo type="max"/>
        <color rgb="FFF8696B"/>
        <color rgb="FFFFEB84"/>
        <color rgb="FF63BE7B"/>
      </colorScale>
    </cfRule>
  </conditionalFormatting>
  <conditionalFormatting sqref="D10:E31">
    <cfRule type="colorScale" priority="13509">
      <colorScale>
        <cfvo type="min"/>
        <cfvo type="percentile" val="50"/>
        <cfvo type="max"/>
        <color rgb="FFF8696B"/>
        <color rgb="FFFFEB84"/>
        <color rgb="FF63BE7B"/>
      </colorScale>
    </cfRule>
  </conditionalFormatting>
  <conditionalFormatting sqref="D10:E31">
    <cfRule type="colorScale" priority="13508">
      <colorScale>
        <cfvo type="min"/>
        <cfvo type="percentile" val="50"/>
        <cfvo type="max"/>
        <color rgb="FFF8696B"/>
        <color rgb="FFFFEB84"/>
        <color rgb="FF63BE7B"/>
      </colorScale>
    </cfRule>
  </conditionalFormatting>
  <conditionalFormatting sqref="D10:D31">
    <cfRule type="colorScale" priority="13507">
      <colorScale>
        <cfvo type="min"/>
        <cfvo type="percentile" val="50"/>
        <cfvo type="max"/>
        <color rgb="FFF8696B"/>
        <color rgb="FFFFEB84"/>
        <color rgb="FF63BE7B"/>
      </colorScale>
    </cfRule>
  </conditionalFormatting>
  <conditionalFormatting sqref="D10:D31">
    <cfRule type="colorScale" priority="13506">
      <colorScale>
        <cfvo type="min"/>
        <cfvo type="percentile" val="50"/>
        <cfvo type="max"/>
        <color rgb="FFF8696B"/>
        <color rgb="FFFFEB84"/>
        <color rgb="FF63BE7B"/>
      </colorScale>
    </cfRule>
  </conditionalFormatting>
  <conditionalFormatting sqref="D10:D31">
    <cfRule type="colorScale" priority="13505">
      <colorScale>
        <cfvo type="min"/>
        <cfvo type="percentile" val="50"/>
        <cfvo type="max"/>
        <color rgb="FFF8696B"/>
        <color rgb="FFFFEB84"/>
        <color rgb="FF63BE7B"/>
      </colorScale>
    </cfRule>
  </conditionalFormatting>
  <conditionalFormatting sqref="D10:D31">
    <cfRule type="colorScale" priority="13504">
      <colorScale>
        <cfvo type="min"/>
        <cfvo type="percentile" val="50"/>
        <cfvo type="max"/>
        <color rgb="FFF8696B"/>
        <color rgb="FFFFEB84"/>
        <color rgb="FF63BE7B"/>
      </colorScale>
    </cfRule>
  </conditionalFormatting>
  <conditionalFormatting sqref="D10:E31">
    <cfRule type="colorScale" priority="13503">
      <colorScale>
        <cfvo type="min"/>
        <cfvo type="percentile" val="50"/>
        <cfvo type="max"/>
        <color rgb="FFF8696B"/>
        <color rgb="FFFFEB84"/>
        <color rgb="FF63BE7B"/>
      </colorScale>
    </cfRule>
  </conditionalFormatting>
  <conditionalFormatting sqref="D10:E31">
    <cfRule type="colorScale" priority="13502">
      <colorScale>
        <cfvo type="min"/>
        <cfvo type="percentile" val="50"/>
        <cfvo type="max"/>
        <color rgb="FFF8696B"/>
        <color rgb="FFFFEB84"/>
        <color rgb="FF63BE7B"/>
      </colorScale>
    </cfRule>
  </conditionalFormatting>
  <conditionalFormatting sqref="D10:D31">
    <cfRule type="colorScale" priority="13501">
      <colorScale>
        <cfvo type="min"/>
        <cfvo type="percentile" val="50"/>
        <cfvo type="max"/>
        <color rgb="FFF8696B"/>
        <color rgb="FFFFEB84"/>
        <color rgb="FF63BE7B"/>
      </colorScale>
    </cfRule>
  </conditionalFormatting>
  <conditionalFormatting sqref="D10:D31">
    <cfRule type="colorScale" priority="13500">
      <colorScale>
        <cfvo type="min"/>
        <cfvo type="percentile" val="50"/>
        <cfvo type="max"/>
        <color rgb="FFF8696B"/>
        <color rgb="FFFFEB84"/>
        <color rgb="FF63BE7B"/>
      </colorScale>
    </cfRule>
  </conditionalFormatting>
  <conditionalFormatting sqref="E10:E31">
    <cfRule type="colorScale" priority="13499">
      <colorScale>
        <cfvo type="min"/>
        <cfvo type="percentile" val="50"/>
        <cfvo type="max"/>
        <color rgb="FFF8696B"/>
        <color rgb="FFFFEB84"/>
        <color rgb="FF63BE7B"/>
      </colorScale>
    </cfRule>
  </conditionalFormatting>
  <conditionalFormatting sqref="E10:E31">
    <cfRule type="colorScale" priority="13498">
      <colorScale>
        <cfvo type="min"/>
        <cfvo type="percentile" val="50"/>
        <cfvo type="max"/>
        <color rgb="FFF8696B"/>
        <color rgb="FFFFEB84"/>
        <color rgb="FF63BE7B"/>
      </colorScale>
    </cfRule>
  </conditionalFormatting>
  <conditionalFormatting sqref="D10:E31">
    <cfRule type="colorScale" priority="13497">
      <colorScale>
        <cfvo type="min"/>
        <cfvo type="percentile" val="50"/>
        <cfvo type="max"/>
        <color rgb="FFF8696B"/>
        <color rgb="FFFFEB84"/>
        <color rgb="FF63BE7B"/>
      </colorScale>
    </cfRule>
  </conditionalFormatting>
  <conditionalFormatting sqref="D10:E31">
    <cfRule type="colorScale" priority="13496">
      <colorScale>
        <cfvo type="min"/>
        <cfvo type="percentile" val="50"/>
        <cfvo type="max"/>
        <color rgb="FFF8696B"/>
        <color rgb="FFFFEB84"/>
        <color rgb="FF63BE7B"/>
      </colorScale>
    </cfRule>
  </conditionalFormatting>
  <conditionalFormatting sqref="D10:E31">
    <cfRule type="colorScale" priority="13495">
      <colorScale>
        <cfvo type="min"/>
        <cfvo type="percentile" val="50"/>
        <cfvo type="max"/>
        <color rgb="FFF8696B"/>
        <color rgb="FFFFEB84"/>
        <color rgb="FF63BE7B"/>
      </colorScale>
    </cfRule>
  </conditionalFormatting>
  <conditionalFormatting sqref="D10:E31">
    <cfRule type="colorScale" priority="13494">
      <colorScale>
        <cfvo type="min"/>
        <cfvo type="percentile" val="50"/>
        <cfvo type="max"/>
        <color rgb="FFF8696B"/>
        <color rgb="FFFFEB84"/>
        <color rgb="FF63BE7B"/>
      </colorScale>
    </cfRule>
  </conditionalFormatting>
  <conditionalFormatting sqref="D10:D31">
    <cfRule type="colorScale" priority="13493">
      <colorScale>
        <cfvo type="min"/>
        <cfvo type="percentile" val="50"/>
        <cfvo type="max"/>
        <color rgb="FFF8696B"/>
        <color rgb="FFFFEB84"/>
        <color rgb="FF63BE7B"/>
      </colorScale>
    </cfRule>
  </conditionalFormatting>
  <conditionalFormatting sqref="D10:D31">
    <cfRule type="colorScale" priority="13492">
      <colorScale>
        <cfvo type="min"/>
        <cfvo type="percentile" val="50"/>
        <cfvo type="max"/>
        <color rgb="FFF8696B"/>
        <color rgb="FFFFEB84"/>
        <color rgb="FF63BE7B"/>
      </colorScale>
    </cfRule>
  </conditionalFormatting>
  <conditionalFormatting sqref="D10:D29">
    <cfRule type="colorScale" priority="13491">
      <colorScale>
        <cfvo type="min"/>
        <cfvo type="percentile" val="50"/>
        <cfvo type="max"/>
        <color rgb="FFF8696B"/>
        <color rgb="FFFFEB84"/>
        <color rgb="FF63BE7B"/>
      </colorScale>
    </cfRule>
  </conditionalFormatting>
  <conditionalFormatting sqref="D10:D29">
    <cfRule type="colorScale" priority="13490">
      <colorScale>
        <cfvo type="min"/>
        <cfvo type="percentile" val="50"/>
        <cfvo type="max"/>
        <color rgb="FFF8696B"/>
        <color rgb="FFFFEB84"/>
        <color rgb="FF63BE7B"/>
      </colorScale>
    </cfRule>
  </conditionalFormatting>
  <conditionalFormatting sqref="D10:D31">
    <cfRule type="colorScale" priority="13489">
      <colorScale>
        <cfvo type="min"/>
        <cfvo type="percentile" val="50"/>
        <cfvo type="max"/>
        <color rgb="FFF8696B"/>
        <color rgb="FFFFEB84"/>
        <color rgb="FF63BE7B"/>
      </colorScale>
    </cfRule>
  </conditionalFormatting>
  <conditionalFormatting sqref="D10:D31">
    <cfRule type="colorScale" priority="13488">
      <colorScale>
        <cfvo type="min"/>
        <cfvo type="percentile" val="50"/>
        <cfvo type="max"/>
        <color rgb="FFF8696B"/>
        <color rgb="FFFFEB84"/>
        <color rgb="FF63BE7B"/>
      </colorScale>
    </cfRule>
  </conditionalFormatting>
  <conditionalFormatting sqref="D10:F31">
    <cfRule type="colorScale" priority="13487">
      <colorScale>
        <cfvo type="min"/>
        <cfvo type="percentile" val="50"/>
        <cfvo type="max"/>
        <color rgb="FFF8696B"/>
        <color rgb="FFFFEB84"/>
        <color rgb="FF63BE7B"/>
      </colorScale>
    </cfRule>
  </conditionalFormatting>
  <conditionalFormatting sqref="D10:F31">
    <cfRule type="colorScale" priority="13486">
      <colorScale>
        <cfvo type="min"/>
        <cfvo type="percentile" val="50"/>
        <cfvo type="max"/>
        <color rgb="FFF8696B"/>
        <color rgb="FFFFEB84"/>
        <color rgb="FF63BE7B"/>
      </colorScale>
    </cfRule>
  </conditionalFormatting>
  <conditionalFormatting sqref="D10:F31">
    <cfRule type="colorScale" priority="13485">
      <colorScale>
        <cfvo type="min"/>
        <cfvo type="percentile" val="50"/>
        <cfvo type="max"/>
        <color rgb="FFF8696B"/>
        <color rgb="FFFFEB84"/>
        <color rgb="FF63BE7B"/>
      </colorScale>
    </cfRule>
  </conditionalFormatting>
  <conditionalFormatting sqref="D10:F31">
    <cfRule type="colorScale" priority="13484">
      <colorScale>
        <cfvo type="min"/>
        <cfvo type="percentile" val="50"/>
        <cfvo type="max"/>
        <color rgb="FFF8696B"/>
        <color rgb="FFFFEB84"/>
        <color rgb="FF63BE7B"/>
      </colorScale>
    </cfRule>
  </conditionalFormatting>
  <conditionalFormatting sqref="D10:F31">
    <cfRule type="colorScale" priority="13483">
      <colorScale>
        <cfvo type="min"/>
        <cfvo type="percentile" val="50"/>
        <cfvo type="max"/>
        <color rgb="FFF8696B"/>
        <color rgb="FFFFEB84"/>
        <color rgb="FF63BE7B"/>
      </colorScale>
    </cfRule>
  </conditionalFormatting>
  <conditionalFormatting sqref="D10:F31">
    <cfRule type="colorScale" priority="13482">
      <colorScale>
        <cfvo type="min"/>
        <cfvo type="percentile" val="50"/>
        <cfvo type="max"/>
        <color rgb="FFF8696B"/>
        <color rgb="FFFFEB84"/>
        <color rgb="FF63BE7B"/>
      </colorScale>
    </cfRule>
  </conditionalFormatting>
  <conditionalFormatting sqref="D10:E31">
    <cfRule type="colorScale" priority="13481">
      <colorScale>
        <cfvo type="min"/>
        <cfvo type="percentile" val="50"/>
        <cfvo type="max"/>
        <color rgb="FFF8696B"/>
        <color rgb="FFFFEB84"/>
        <color rgb="FF63BE7B"/>
      </colorScale>
    </cfRule>
  </conditionalFormatting>
  <conditionalFormatting sqref="D10:E31">
    <cfRule type="colorScale" priority="13480">
      <colorScale>
        <cfvo type="min"/>
        <cfvo type="percentile" val="50"/>
        <cfvo type="max"/>
        <color rgb="FFF8696B"/>
        <color rgb="FFFFEB84"/>
        <color rgb="FF63BE7B"/>
      </colorScale>
    </cfRule>
  </conditionalFormatting>
  <conditionalFormatting sqref="D10:E31">
    <cfRule type="colorScale" priority="13479">
      <colorScale>
        <cfvo type="min"/>
        <cfvo type="percentile" val="50"/>
        <cfvo type="max"/>
        <color rgb="FFF8696B"/>
        <color rgb="FFFFEB84"/>
        <color rgb="FF63BE7B"/>
      </colorScale>
    </cfRule>
  </conditionalFormatting>
  <conditionalFormatting sqref="D10:E31">
    <cfRule type="colorScale" priority="13478">
      <colorScale>
        <cfvo type="min"/>
        <cfvo type="percentile" val="50"/>
        <cfvo type="max"/>
        <color rgb="FFF8696B"/>
        <color rgb="FFFFEB84"/>
        <color rgb="FF63BE7B"/>
      </colorScale>
    </cfRule>
  </conditionalFormatting>
  <conditionalFormatting sqref="D10:E31">
    <cfRule type="colorScale" priority="13477">
      <colorScale>
        <cfvo type="min"/>
        <cfvo type="percentile" val="50"/>
        <cfvo type="max"/>
        <color rgb="FFF8696B"/>
        <color rgb="FFFFEB84"/>
        <color rgb="FF63BE7B"/>
      </colorScale>
    </cfRule>
  </conditionalFormatting>
  <conditionalFormatting sqref="D10:E31">
    <cfRule type="colorScale" priority="13476">
      <colorScale>
        <cfvo type="min"/>
        <cfvo type="percentile" val="50"/>
        <cfvo type="max"/>
        <color rgb="FFF8696B"/>
        <color rgb="FFFFEB84"/>
        <color rgb="FF63BE7B"/>
      </colorScale>
    </cfRule>
  </conditionalFormatting>
  <conditionalFormatting sqref="E10:E31">
    <cfRule type="colorScale" priority="13475">
      <colorScale>
        <cfvo type="min"/>
        <cfvo type="percentile" val="50"/>
        <cfvo type="max"/>
        <color rgb="FFF8696B"/>
        <color rgb="FFFFEB84"/>
        <color rgb="FF63BE7B"/>
      </colorScale>
    </cfRule>
  </conditionalFormatting>
  <conditionalFormatting sqref="E10:E31">
    <cfRule type="colorScale" priority="13474">
      <colorScale>
        <cfvo type="min"/>
        <cfvo type="percentile" val="50"/>
        <cfvo type="max"/>
        <color rgb="FFF8696B"/>
        <color rgb="FFFFEB84"/>
        <color rgb="FF63BE7B"/>
      </colorScale>
    </cfRule>
  </conditionalFormatting>
  <conditionalFormatting sqref="J10:J31">
    <cfRule type="colorScale" priority="13473">
      <colorScale>
        <cfvo type="min"/>
        <cfvo type="percentile" val="50"/>
        <cfvo type="max"/>
        <color rgb="FFF8696B"/>
        <color rgb="FFFFEB84"/>
        <color rgb="FF63BE7B"/>
      </colorScale>
    </cfRule>
  </conditionalFormatting>
  <conditionalFormatting sqref="H10:I21 D10:F21">
    <cfRule type="colorScale" priority="13472">
      <colorScale>
        <cfvo type="min"/>
        <cfvo type="percentile" val="50"/>
        <cfvo type="max"/>
        <color rgb="FFF8696B"/>
        <color rgb="FFFFEB84"/>
        <color rgb="FF63BE7B"/>
      </colorScale>
    </cfRule>
  </conditionalFormatting>
  <conditionalFormatting sqref="D10:E21">
    <cfRule type="colorScale" priority="13471">
      <colorScale>
        <cfvo type="min"/>
        <cfvo type="percentile" val="50"/>
        <cfvo type="max"/>
        <color rgb="FFF8696B"/>
        <color rgb="FFFFEB84"/>
        <color rgb="FF63BE7B"/>
      </colorScale>
    </cfRule>
  </conditionalFormatting>
  <conditionalFormatting sqref="D10:E21">
    <cfRule type="colorScale" priority="13470">
      <colorScale>
        <cfvo type="min"/>
        <cfvo type="percentile" val="50"/>
        <cfvo type="max"/>
        <color rgb="FFF8696B"/>
        <color rgb="FFFFEB84"/>
        <color rgb="FF63BE7B"/>
      </colorScale>
    </cfRule>
  </conditionalFormatting>
  <conditionalFormatting sqref="D10:E21">
    <cfRule type="colorScale" priority="13469">
      <colorScale>
        <cfvo type="min"/>
        <cfvo type="percentile" val="50"/>
        <cfvo type="max"/>
        <color rgb="FFF8696B"/>
        <color rgb="FFFFEB84"/>
        <color rgb="FF63BE7B"/>
      </colorScale>
    </cfRule>
  </conditionalFormatting>
  <conditionalFormatting sqref="D10:E21">
    <cfRule type="colorScale" priority="13468">
      <colorScale>
        <cfvo type="min"/>
        <cfvo type="percentile" val="50"/>
        <cfvo type="max"/>
        <color rgb="FFF8696B"/>
        <color rgb="FFFFEB84"/>
        <color rgb="FF63BE7B"/>
      </colorScale>
    </cfRule>
  </conditionalFormatting>
  <conditionalFormatting sqref="D10:E21">
    <cfRule type="colorScale" priority="13467">
      <colorScale>
        <cfvo type="min"/>
        <cfvo type="percentile" val="50"/>
        <cfvo type="max"/>
        <color rgb="FFF8696B"/>
        <color rgb="FFFFEB84"/>
        <color rgb="FF63BE7B"/>
      </colorScale>
    </cfRule>
  </conditionalFormatting>
  <conditionalFormatting sqref="D10:E21">
    <cfRule type="colorScale" priority="13466">
      <colorScale>
        <cfvo type="min"/>
        <cfvo type="percentile" val="50"/>
        <cfvo type="max"/>
        <color rgb="FFF8696B"/>
        <color rgb="FFFFEB84"/>
        <color rgb="FF63BE7B"/>
      </colorScale>
    </cfRule>
  </conditionalFormatting>
  <conditionalFormatting sqref="D10:E21">
    <cfRule type="colorScale" priority="13465">
      <colorScale>
        <cfvo type="min"/>
        <cfvo type="percentile" val="50"/>
        <cfvo type="max"/>
        <color rgb="FFF8696B"/>
        <color rgb="FFFFEB84"/>
        <color rgb="FF63BE7B"/>
      </colorScale>
    </cfRule>
  </conditionalFormatting>
  <conditionalFormatting sqref="D10:E21">
    <cfRule type="colorScale" priority="13464">
      <colorScale>
        <cfvo type="min"/>
        <cfvo type="percentile" val="50"/>
        <cfvo type="max"/>
        <color rgb="FFF8696B"/>
        <color rgb="FFFFEB84"/>
        <color rgb="FF63BE7B"/>
      </colorScale>
    </cfRule>
  </conditionalFormatting>
  <conditionalFormatting sqref="D10:D21">
    <cfRule type="colorScale" priority="13463">
      <colorScale>
        <cfvo type="min"/>
        <cfvo type="percentile" val="50"/>
        <cfvo type="max"/>
        <color rgb="FFF8696B"/>
        <color rgb="FFFFEB84"/>
        <color rgb="FF63BE7B"/>
      </colorScale>
    </cfRule>
  </conditionalFormatting>
  <conditionalFormatting sqref="D10:E21">
    <cfRule type="colorScale" priority="13462">
      <colorScale>
        <cfvo type="min"/>
        <cfvo type="percentile" val="50"/>
        <cfvo type="max"/>
        <color rgb="FFF8696B"/>
        <color rgb="FFFFEB84"/>
        <color rgb="FF63BE7B"/>
      </colorScale>
    </cfRule>
  </conditionalFormatting>
  <conditionalFormatting sqref="D10:E21">
    <cfRule type="colorScale" priority="13461">
      <colorScale>
        <cfvo type="min"/>
        <cfvo type="percentile" val="50"/>
        <cfvo type="max"/>
        <color rgb="FFF8696B"/>
        <color rgb="FFFFEB84"/>
        <color rgb="FF63BE7B"/>
      </colorScale>
    </cfRule>
  </conditionalFormatting>
  <conditionalFormatting sqref="D10:E21">
    <cfRule type="colorScale" priority="13460">
      <colorScale>
        <cfvo type="min"/>
        <cfvo type="percentile" val="50"/>
        <cfvo type="max"/>
        <color rgb="FFF8696B"/>
        <color rgb="FFFFEB84"/>
        <color rgb="FF63BE7B"/>
      </colorScale>
    </cfRule>
  </conditionalFormatting>
  <conditionalFormatting sqref="D10:D21">
    <cfRule type="colorScale" priority="13459">
      <colorScale>
        <cfvo type="min"/>
        <cfvo type="percentile" val="50"/>
        <cfvo type="max"/>
        <color rgb="FFF8696B"/>
        <color rgb="FFFFEB84"/>
        <color rgb="FF63BE7B"/>
      </colorScale>
    </cfRule>
  </conditionalFormatting>
  <conditionalFormatting sqref="D10:E21">
    <cfRule type="colorScale" priority="13458">
      <colorScale>
        <cfvo type="min"/>
        <cfvo type="percentile" val="50"/>
        <cfvo type="max"/>
        <color rgb="FFF8696B"/>
        <color rgb="FFFFEB84"/>
        <color rgb="FF63BE7B"/>
      </colorScale>
    </cfRule>
  </conditionalFormatting>
  <conditionalFormatting sqref="D10:E21">
    <cfRule type="colorScale" priority="13457">
      <colorScale>
        <cfvo type="min"/>
        <cfvo type="percentile" val="50"/>
        <cfvo type="max"/>
        <color rgb="FFF8696B"/>
        <color rgb="FFFFEB84"/>
        <color rgb="FF63BE7B"/>
      </colorScale>
    </cfRule>
  </conditionalFormatting>
  <conditionalFormatting sqref="D10:E21">
    <cfRule type="colorScale" priority="13456">
      <colorScale>
        <cfvo type="min"/>
        <cfvo type="percentile" val="50"/>
        <cfvo type="max"/>
        <color rgb="FFF8696B"/>
        <color rgb="FFFFEB84"/>
        <color rgb="FF63BE7B"/>
      </colorScale>
    </cfRule>
  </conditionalFormatting>
  <conditionalFormatting sqref="D10:E21">
    <cfRule type="colorScale" priority="13455">
      <colorScale>
        <cfvo type="min"/>
        <cfvo type="percentile" val="50"/>
        <cfvo type="max"/>
        <color rgb="FFF8696B"/>
        <color rgb="FFFFEB84"/>
        <color rgb="FF63BE7B"/>
      </colorScale>
    </cfRule>
  </conditionalFormatting>
  <conditionalFormatting sqref="D10:E21">
    <cfRule type="colorScale" priority="13454">
      <colorScale>
        <cfvo type="min"/>
        <cfvo type="percentile" val="50"/>
        <cfvo type="max"/>
        <color rgb="FFF8696B"/>
        <color rgb="FFFFEB84"/>
        <color rgb="FF63BE7B"/>
      </colorScale>
    </cfRule>
  </conditionalFormatting>
  <conditionalFormatting sqref="D10:E21">
    <cfRule type="colorScale" priority="13453">
      <colorScale>
        <cfvo type="min"/>
        <cfvo type="percentile" val="50"/>
        <cfvo type="max"/>
        <color rgb="FFF8696B"/>
        <color rgb="FFFFEB84"/>
        <color rgb="FF63BE7B"/>
      </colorScale>
    </cfRule>
  </conditionalFormatting>
  <conditionalFormatting sqref="D10:E21">
    <cfRule type="colorScale" priority="13452">
      <colorScale>
        <cfvo type="min"/>
        <cfvo type="percentile" val="50"/>
        <cfvo type="max"/>
        <color rgb="FFF8696B"/>
        <color rgb="FFFFEB84"/>
        <color rgb="FF63BE7B"/>
      </colorScale>
    </cfRule>
  </conditionalFormatting>
  <conditionalFormatting sqref="D10:E21">
    <cfRule type="colorScale" priority="13451">
      <colorScale>
        <cfvo type="min"/>
        <cfvo type="percentile" val="50"/>
        <cfvo type="max"/>
        <color rgb="FFF8696B"/>
        <color rgb="FFFFEB84"/>
        <color rgb="FF63BE7B"/>
      </colorScale>
    </cfRule>
  </conditionalFormatting>
  <conditionalFormatting sqref="D10:E21">
    <cfRule type="colorScale" priority="13450">
      <colorScale>
        <cfvo type="min"/>
        <cfvo type="percentile" val="50"/>
        <cfvo type="max"/>
        <color rgb="FFF8696B"/>
        <color rgb="FFFFEB84"/>
        <color rgb="FF63BE7B"/>
      </colorScale>
    </cfRule>
  </conditionalFormatting>
  <conditionalFormatting sqref="D10:E21">
    <cfRule type="colorScale" priority="13449">
      <colorScale>
        <cfvo type="min"/>
        <cfvo type="percentile" val="50"/>
        <cfvo type="max"/>
        <color rgb="FFF8696B"/>
        <color rgb="FFFFEB84"/>
        <color rgb="FF63BE7B"/>
      </colorScale>
    </cfRule>
  </conditionalFormatting>
  <conditionalFormatting sqref="D10:E21">
    <cfRule type="colorScale" priority="13448">
      <colorScale>
        <cfvo type="min"/>
        <cfvo type="percentile" val="50"/>
        <cfvo type="max"/>
        <color rgb="FFF8696B"/>
        <color rgb="FFFFEB84"/>
        <color rgb="FF63BE7B"/>
      </colorScale>
    </cfRule>
  </conditionalFormatting>
  <conditionalFormatting sqref="D10:E21">
    <cfRule type="colorScale" priority="13447">
      <colorScale>
        <cfvo type="min"/>
        <cfvo type="percentile" val="50"/>
        <cfvo type="max"/>
        <color rgb="FFF8696B"/>
        <color rgb="FFFFEB84"/>
        <color rgb="FF63BE7B"/>
      </colorScale>
    </cfRule>
  </conditionalFormatting>
  <conditionalFormatting sqref="D10:D21">
    <cfRule type="colorScale" priority="13446">
      <colorScale>
        <cfvo type="min"/>
        <cfvo type="percentile" val="50"/>
        <cfvo type="max"/>
        <color rgb="FFF8696B"/>
        <color rgb="FFFFEB84"/>
        <color rgb="FF63BE7B"/>
      </colorScale>
    </cfRule>
  </conditionalFormatting>
  <conditionalFormatting sqref="D10:D21">
    <cfRule type="colorScale" priority="13445">
      <colorScale>
        <cfvo type="min"/>
        <cfvo type="percentile" val="50"/>
        <cfvo type="max"/>
        <color rgb="FFF8696B"/>
        <color rgb="FFFFEB84"/>
        <color rgb="FF63BE7B"/>
      </colorScale>
    </cfRule>
  </conditionalFormatting>
  <conditionalFormatting sqref="D10:D21">
    <cfRule type="colorScale" priority="13444">
      <colorScale>
        <cfvo type="min"/>
        <cfvo type="percentile" val="50"/>
        <cfvo type="max"/>
        <color rgb="FFF8696B"/>
        <color rgb="FFFFEB84"/>
        <color rgb="FF63BE7B"/>
      </colorScale>
    </cfRule>
  </conditionalFormatting>
  <conditionalFormatting sqref="D10:D21">
    <cfRule type="colorScale" priority="13443">
      <colorScale>
        <cfvo type="min"/>
        <cfvo type="percentile" val="50"/>
        <cfvo type="max"/>
        <color rgb="FFF8696B"/>
        <color rgb="FFFFEB84"/>
        <color rgb="FF63BE7B"/>
      </colorScale>
    </cfRule>
  </conditionalFormatting>
  <conditionalFormatting sqref="D10:E21">
    <cfRule type="colorScale" priority="13442">
      <colorScale>
        <cfvo type="min"/>
        <cfvo type="percentile" val="50"/>
        <cfvo type="max"/>
        <color rgb="FFF8696B"/>
        <color rgb="FFFFEB84"/>
        <color rgb="FF63BE7B"/>
      </colorScale>
    </cfRule>
  </conditionalFormatting>
  <conditionalFormatting sqref="D10:E21">
    <cfRule type="colorScale" priority="13441">
      <colorScale>
        <cfvo type="min"/>
        <cfvo type="percentile" val="50"/>
        <cfvo type="max"/>
        <color rgb="FFF8696B"/>
        <color rgb="FFFFEB84"/>
        <color rgb="FF63BE7B"/>
      </colorScale>
    </cfRule>
  </conditionalFormatting>
  <conditionalFormatting sqref="D10:D21">
    <cfRule type="colorScale" priority="13440">
      <colorScale>
        <cfvo type="min"/>
        <cfvo type="percentile" val="50"/>
        <cfvo type="max"/>
        <color rgb="FFF8696B"/>
        <color rgb="FFFFEB84"/>
        <color rgb="FF63BE7B"/>
      </colorScale>
    </cfRule>
  </conditionalFormatting>
  <conditionalFormatting sqref="D10:D21">
    <cfRule type="colorScale" priority="13439">
      <colorScale>
        <cfvo type="min"/>
        <cfvo type="percentile" val="50"/>
        <cfvo type="max"/>
        <color rgb="FFF8696B"/>
        <color rgb="FFFFEB84"/>
        <color rgb="FF63BE7B"/>
      </colorScale>
    </cfRule>
  </conditionalFormatting>
  <conditionalFormatting sqref="D10:D21">
    <cfRule type="colorScale" priority="13438">
      <colorScale>
        <cfvo type="min"/>
        <cfvo type="percentile" val="50"/>
        <cfvo type="max"/>
        <color rgb="FFF8696B"/>
        <color rgb="FFFFEB84"/>
        <color rgb="FF63BE7B"/>
      </colorScale>
    </cfRule>
  </conditionalFormatting>
  <conditionalFormatting sqref="D10:D21">
    <cfRule type="colorScale" priority="13437">
      <colorScale>
        <cfvo type="min"/>
        <cfvo type="percentile" val="50"/>
        <cfvo type="max"/>
        <color rgb="FFF8696B"/>
        <color rgb="FFFFEB84"/>
        <color rgb="FF63BE7B"/>
      </colorScale>
    </cfRule>
  </conditionalFormatting>
  <conditionalFormatting sqref="D10:E21">
    <cfRule type="colorScale" priority="13436">
      <colorScale>
        <cfvo type="min"/>
        <cfvo type="percentile" val="50"/>
        <cfvo type="max"/>
        <color rgb="FFF8696B"/>
        <color rgb="FFFFEB84"/>
        <color rgb="FF63BE7B"/>
      </colorScale>
    </cfRule>
  </conditionalFormatting>
  <conditionalFormatting sqref="D10:E21">
    <cfRule type="colorScale" priority="13435">
      <colorScale>
        <cfvo type="min"/>
        <cfvo type="percentile" val="50"/>
        <cfvo type="max"/>
        <color rgb="FFF8696B"/>
        <color rgb="FFFFEB84"/>
        <color rgb="FF63BE7B"/>
      </colorScale>
    </cfRule>
  </conditionalFormatting>
  <conditionalFormatting sqref="D10:D21">
    <cfRule type="colorScale" priority="13434">
      <colorScale>
        <cfvo type="min"/>
        <cfvo type="percentile" val="50"/>
        <cfvo type="max"/>
        <color rgb="FFF8696B"/>
        <color rgb="FFFFEB84"/>
        <color rgb="FF63BE7B"/>
      </colorScale>
    </cfRule>
  </conditionalFormatting>
  <conditionalFormatting sqref="D10:D21">
    <cfRule type="colorScale" priority="13433">
      <colorScale>
        <cfvo type="min"/>
        <cfvo type="percentile" val="50"/>
        <cfvo type="max"/>
        <color rgb="FFF8696B"/>
        <color rgb="FFFFEB84"/>
        <color rgb="FF63BE7B"/>
      </colorScale>
    </cfRule>
  </conditionalFormatting>
  <conditionalFormatting sqref="D10:D21">
    <cfRule type="colorScale" priority="13432">
      <colorScale>
        <cfvo type="min"/>
        <cfvo type="percentile" val="50"/>
        <cfvo type="max"/>
        <color rgb="FFF8696B"/>
        <color rgb="FFFFEB84"/>
        <color rgb="FF63BE7B"/>
      </colorScale>
    </cfRule>
  </conditionalFormatting>
  <conditionalFormatting sqref="D10:D21">
    <cfRule type="colorScale" priority="13431">
      <colorScale>
        <cfvo type="min"/>
        <cfvo type="percentile" val="50"/>
        <cfvo type="max"/>
        <color rgb="FFF8696B"/>
        <color rgb="FFFFEB84"/>
        <color rgb="FF63BE7B"/>
      </colorScale>
    </cfRule>
  </conditionalFormatting>
  <conditionalFormatting sqref="D10:E21">
    <cfRule type="colorScale" priority="13430">
      <colorScale>
        <cfvo type="min"/>
        <cfvo type="percentile" val="50"/>
        <cfvo type="max"/>
        <color rgb="FFF8696B"/>
        <color rgb="FFFFEB84"/>
        <color rgb="FF63BE7B"/>
      </colorScale>
    </cfRule>
  </conditionalFormatting>
  <conditionalFormatting sqref="D10:E21">
    <cfRule type="colorScale" priority="13429">
      <colorScale>
        <cfvo type="min"/>
        <cfvo type="percentile" val="50"/>
        <cfvo type="max"/>
        <color rgb="FFF8696B"/>
        <color rgb="FFFFEB84"/>
        <color rgb="FF63BE7B"/>
      </colorScale>
    </cfRule>
  </conditionalFormatting>
  <conditionalFormatting sqref="D10:E21">
    <cfRule type="colorScale" priority="13428">
      <colorScale>
        <cfvo type="min"/>
        <cfvo type="percentile" val="50"/>
        <cfvo type="max"/>
        <color rgb="FFF8696B"/>
        <color rgb="FFFFEB84"/>
        <color rgb="FF63BE7B"/>
      </colorScale>
    </cfRule>
  </conditionalFormatting>
  <conditionalFormatting sqref="D10:E21">
    <cfRule type="colorScale" priority="13427">
      <colorScale>
        <cfvo type="min"/>
        <cfvo type="percentile" val="50"/>
        <cfvo type="max"/>
        <color rgb="FFF8696B"/>
        <color rgb="FFFFEB84"/>
        <color rgb="FF63BE7B"/>
      </colorScale>
    </cfRule>
  </conditionalFormatting>
  <conditionalFormatting sqref="D10:D21">
    <cfRule type="colorScale" priority="13426">
      <colorScale>
        <cfvo type="min"/>
        <cfvo type="percentile" val="50"/>
        <cfvo type="max"/>
        <color rgb="FFF8696B"/>
        <color rgb="FFFFEB84"/>
        <color rgb="FF63BE7B"/>
      </colorScale>
    </cfRule>
  </conditionalFormatting>
  <conditionalFormatting sqref="D10:D21">
    <cfRule type="colorScale" priority="13425">
      <colorScale>
        <cfvo type="min"/>
        <cfvo type="percentile" val="50"/>
        <cfvo type="max"/>
        <color rgb="FFF8696B"/>
        <color rgb="FFFFEB84"/>
        <color rgb="FF63BE7B"/>
      </colorScale>
    </cfRule>
  </conditionalFormatting>
  <conditionalFormatting sqref="D10:D21">
    <cfRule type="colorScale" priority="13424">
      <colorScale>
        <cfvo type="min"/>
        <cfvo type="percentile" val="50"/>
        <cfvo type="max"/>
        <color rgb="FFF8696B"/>
        <color rgb="FFFFEB84"/>
        <color rgb="FF63BE7B"/>
      </colorScale>
    </cfRule>
  </conditionalFormatting>
  <conditionalFormatting sqref="D10:D21">
    <cfRule type="colorScale" priority="13423">
      <colorScale>
        <cfvo type="min"/>
        <cfvo type="percentile" val="50"/>
        <cfvo type="max"/>
        <color rgb="FFF8696B"/>
        <color rgb="FFFFEB84"/>
        <color rgb="FF63BE7B"/>
      </colorScale>
    </cfRule>
  </conditionalFormatting>
  <conditionalFormatting sqref="D10:E21">
    <cfRule type="colorScale" priority="13422">
      <colorScale>
        <cfvo type="min"/>
        <cfvo type="percentile" val="50"/>
        <cfvo type="max"/>
        <color rgb="FFF8696B"/>
        <color rgb="FFFFEB84"/>
        <color rgb="FF63BE7B"/>
      </colorScale>
    </cfRule>
  </conditionalFormatting>
  <conditionalFormatting sqref="D10:E21">
    <cfRule type="colorScale" priority="13421">
      <colorScale>
        <cfvo type="min"/>
        <cfvo type="percentile" val="50"/>
        <cfvo type="max"/>
        <color rgb="FFF8696B"/>
        <color rgb="FFFFEB84"/>
        <color rgb="FF63BE7B"/>
      </colorScale>
    </cfRule>
  </conditionalFormatting>
  <conditionalFormatting sqref="D10:D21">
    <cfRule type="colorScale" priority="13420">
      <colorScale>
        <cfvo type="min"/>
        <cfvo type="percentile" val="50"/>
        <cfvo type="max"/>
        <color rgb="FFF8696B"/>
        <color rgb="FFFFEB84"/>
        <color rgb="FF63BE7B"/>
      </colorScale>
    </cfRule>
  </conditionalFormatting>
  <conditionalFormatting sqref="D10:D21">
    <cfRule type="colorScale" priority="13419">
      <colorScale>
        <cfvo type="min"/>
        <cfvo type="percentile" val="50"/>
        <cfvo type="max"/>
        <color rgb="FFF8696B"/>
        <color rgb="FFFFEB84"/>
        <color rgb="FF63BE7B"/>
      </colorScale>
    </cfRule>
  </conditionalFormatting>
  <conditionalFormatting sqref="D10:D21">
    <cfRule type="colorScale" priority="13418">
      <colorScale>
        <cfvo type="min"/>
        <cfvo type="percentile" val="50"/>
        <cfvo type="max"/>
        <color rgb="FFF8696B"/>
        <color rgb="FFFFEB84"/>
        <color rgb="FF63BE7B"/>
      </colorScale>
    </cfRule>
  </conditionalFormatting>
  <conditionalFormatting sqref="D10:D21">
    <cfRule type="colorScale" priority="13417">
      <colorScale>
        <cfvo type="min"/>
        <cfvo type="percentile" val="50"/>
        <cfvo type="max"/>
        <color rgb="FFF8696B"/>
        <color rgb="FFFFEB84"/>
        <color rgb="FF63BE7B"/>
      </colorScale>
    </cfRule>
  </conditionalFormatting>
  <conditionalFormatting sqref="D10:E21">
    <cfRule type="colorScale" priority="13416">
      <colorScale>
        <cfvo type="min"/>
        <cfvo type="percentile" val="50"/>
        <cfvo type="max"/>
        <color rgb="FFF8696B"/>
        <color rgb="FFFFEB84"/>
        <color rgb="FF63BE7B"/>
      </colorScale>
    </cfRule>
  </conditionalFormatting>
  <conditionalFormatting sqref="D10:E21">
    <cfRule type="colorScale" priority="13415">
      <colorScale>
        <cfvo type="min"/>
        <cfvo type="percentile" val="50"/>
        <cfvo type="max"/>
        <color rgb="FFF8696B"/>
        <color rgb="FFFFEB84"/>
        <color rgb="FF63BE7B"/>
      </colorScale>
    </cfRule>
  </conditionalFormatting>
  <conditionalFormatting sqref="D10:D21">
    <cfRule type="colorScale" priority="13414">
      <colorScale>
        <cfvo type="min"/>
        <cfvo type="percentile" val="50"/>
        <cfvo type="max"/>
        <color rgb="FFF8696B"/>
        <color rgb="FFFFEB84"/>
        <color rgb="FF63BE7B"/>
      </colorScale>
    </cfRule>
  </conditionalFormatting>
  <conditionalFormatting sqref="D10:D21">
    <cfRule type="colorScale" priority="13413">
      <colorScale>
        <cfvo type="min"/>
        <cfvo type="percentile" val="50"/>
        <cfvo type="max"/>
        <color rgb="FFF8696B"/>
        <color rgb="FFFFEB84"/>
        <color rgb="FF63BE7B"/>
      </colorScale>
    </cfRule>
  </conditionalFormatting>
  <conditionalFormatting sqref="D10:D21">
    <cfRule type="colorScale" priority="13412">
      <colorScale>
        <cfvo type="min"/>
        <cfvo type="percentile" val="50"/>
        <cfvo type="max"/>
        <color rgb="FFF8696B"/>
        <color rgb="FFFFEB84"/>
        <color rgb="FF63BE7B"/>
      </colorScale>
    </cfRule>
  </conditionalFormatting>
  <conditionalFormatting sqref="D10:D21">
    <cfRule type="colorScale" priority="13411">
      <colorScale>
        <cfvo type="min"/>
        <cfvo type="percentile" val="50"/>
        <cfvo type="max"/>
        <color rgb="FFF8696B"/>
        <color rgb="FFFFEB84"/>
        <color rgb="FF63BE7B"/>
      </colorScale>
    </cfRule>
  </conditionalFormatting>
  <conditionalFormatting sqref="D10:E21">
    <cfRule type="colorScale" priority="13410">
      <colorScale>
        <cfvo type="min"/>
        <cfvo type="percentile" val="50"/>
        <cfvo type="max"/>
        <color rgb="FFF8696B"/>
        <color rgb="FFFFEB84"/>
        <color rgb="FF63BE7B"/>
      </colorScale>
    </cfRule>
  </conditionalFormatting>
  <conditionalFormatting sqref="D10:E21">
    <cfRule type="colorScale" priority="13409">
      <colorScale>
        <cfvo type="min"/>
        <cfvo type="percentile" val="50"/>
        <cfvo type="max"/>
        <color rgb="FFF8696B"/>
        <color rgb="FFFFEB84"/>
        <color rgb="FF63BE7B"/>
      </colorScale>
    </cfRule>
  </conditionalFormatting>
  <conditionalFormatting sqref="D10:E21">
    <cfRule type="colorScale" priority="13408">
      <colorScale>
        <cfvo type="min"/>
        <cfvo type="percentile" val="50"/>
        <cfvo type="max"/>
        <color rgb="FFF8696B"/>
        <color rgb="FFFFEB84"/>
        <color rgb="FF63BE7B"/>
      </colorScale>
    </cfRule>
  </conditionalFormatting>
  <conditionalFormatting sqref="D10:E21">
    <cfRule type="colorScale" priority="13407">
      <colorScale>
        <cfvo type="min"/>
        <cfvo type="percentile" val="50"/>
        <cfvo type="max"/>
        <color rgb="FFF8696B"/>
        <color rgb="FFFFEB84"/>
        <color rgb="FF63BE7B"/>
      </colorScale>
    </cfRule>
  </conditionalFormatting>
  <conditionalFormatting sqref="D10:E21">
    <cfRule type="colorScale" priority="13406">
      <colorScale>
        <cfvo type="min"/>
        <cfvo type="percentile" val="50"/>
        <cfvo type="max"/>
        <color rgb="FFF8696B"/>
        <color rgb="FFFFEB84"/>
        <color rgb="FF63BE7B"/>
      </colorScale>
    </cfRule>
  </conditionalFormatting>
  <conditionalFormatting sqref="D10:E21">
    <cfRule type="colorScale" priority="13405">
      <colorScale>
        <cfvo type="min"/>
        <cfvo type="percentile" val="50"/>
        <cfvo type="max"/>
        <color rgb="FFF8696B"/>
        <color rgb="FFFFEB84"/>
        <color rgb="FF63BE7B"/>
      </colorScale>
    </cfRule>
  </conditionalFormatting>
  <conditionalFormatting sqref="D10:D21">
    <cfRule type="colorScale" priority="13404">
      <colorScale>
        <cfvo type="min"/>
        <cfvo type="percentile" val="50"/>
        <cfvo type="max"/>
        <color rgb="FFF8696B"/>
        <color rgb="FFFFEB84"/>
        <color rgb="FF63BE7B"/>
      </colorScale>
    </cfRule>
  </conditionalFormatting>
  <conditionalFormatting sqref="D10:D21">
    <cfRule type="colorScale" priority="13403">
      <colorScale>
        <cfvo type="min"/>
        <cfvo type="percentile" val="50"/>
        <cfvo type="max"/>
        <color rgb="FFF8696B"/>
        <color rgb="FFFFEB84"/>
        <color rgb="FF63BE7B"/>
      </colorScale>
    </cfRule>
  </conditionalFormatting>
  <conditionalFormatting sqref="D10:D21">
    <cfRule type="colorScale" priority="13402">
      <colorScale>
        <cfvo type="min"/>
        <cfvo type="percentile" val="50"/>
        <cfvo type="max"/>
        <color rgb="FFF8696B"/>
        <color rgb="FFFFEB84"/>
        <color rgb="FF63BE7B"/>
      </colorScale>
    </cfRule>
  </conditionalFormatting>
  <conditionalFormatting sqref="D10:D21">
    <cfRule type="colorScale" priority="13401">
      <colorScale>
        <cfvo type="min"/>
        <cfvo type="percentile" val="50"/>
        <cfvo type="max"/>
        <color rgb="FFF8696B"/>
        <color rgb="FFFFEB84"/>
        <color rgb="FF63BE7B"/>
      </colorScale>
    </cfRule>
  </conditionalFormatting>
  <conditionalFormatting sqref="D10:E21">
    <cfRule type="colorScale" priority="13400">
      <colorScale>
        <cfvo type="min"/>
        <cfvo type="percentile" val="50"/>
        <cfvo type="max"/>
        <color rgb="FFF8696B"/>
        <color rgb="FFFFEB84"/>
        <color rgb="FF63BE7B"/>
      </colorScale>
    </cfRule>
  </conditionalFormatting>
  <conditionalFormatting sqref="D10:E21">
    <cfRule type="colorScale" priority="13399">
      <colorScale>
        <cfvo type="min"/>
        <cfvo type="percentile" val="50"/>
        <cfvo type="max"/>
        <color rgb="FFF8696B"/>
        <color rgb="FFFFEB84"/>
        <color rgb="FF63BE7B"/>
      </colorScale>
    </cfRule>
  </conditionalFormatting>
  <conditionalFormatting sqref="D10:D21">
    <cfRule type="colorScale" priority="13398">
      <colorScale>
        <cfvo type="min"/>
        <cfvo type="percentile" val="50"/>
        <cfvo type="max"/>
        <color rgb="FFF8696B"/>
        <color rgb="FFFFEB84"/>
        <color rgb="FF63BE7B"/>
      </colorScale>
    </cfRule>
  </conditionalFormatting>
  <conditionalFormatting sqref="D10:D21">
    <cfRule type="colorScale" priority="13397">
      <colorScale>
        <cfvo type="min"/>
        <cfvo type="percentile" val="50"/>
        <cfvo type="max"/>
        <color rgb="FFF8696B"/>
        <color rgb="FFFFEB84"/>
        <color rgb="FF63BE7B"/>
      </colorScale>
    </cfRule>
  </conditionalFormatting>
  <conditionalFormatting sqref="D10:D21">
    <cfRule type="colorScale" priority="13396">
      <colorScale>
        <cfvo type="min"/>
        <cfvo type="percentile" val="50"/>
        <cfvo type="max"/>
        <color rgb="FFF8696B"/>
        <color rgb="FFFFEB84"/>
        <color rgb="FF63BE7B"/>
      </colorScale>
    </cfRule>
  </conditionalFormatting>
  <conditionalFormatting sqref="D10:D21">
    <cfRule type="colorScale" priority="13395">
      <colorScale>
        <cfvo type="min"/>
        <cfvo type="percentile" val="50"/>
        <cfvo type="max"/>
        <color rgb="FFF8696B"/>
        <color rgb="FFFFEB84"/>
        <color rgb="FF63BE7B"/>
      </colorScale>
    </cfRule>
  </conditionalFormatting>
  <conditionalFormatting sqref="D10:E21">
    <cfRule type="colorScale" priority="13394">
      <colorScale>
        <cfvo type="min"/>
        <cfvo type="percentile" val="50"/>
        <cfvo type="max"/>
        <color rgb="FFF8696B"/>
        <color rgb="FFFFEB84"/>
        <color rgb="FF63BE7B"/>
      </colorScale>
    </cfRule>
  </conditionalFormatting>
  <conditionalFormatting sqref="D10:E21">
    <cfRule type="colorScale" priority="13393">
      <colorScale>
        <cfvo type="min"/>
        <cfvo type="percentile" val="50"/>
        <cfvo type="max"/>
        <color rgb="FFF8696B"/>
        <color rgb="FFFFEB84"/>
        <color rgb="FF63BE7B"/>
      </colorScale>
    </cfRule>
  </conditionalFormatting>
  <conditionalFormatting sqref="D10:D21">
    <cfRule type="colorScale" priority="13392">
      <colorScale>
        <cfvo type="min"/>
        <cfvo type="percentile" val="50"/>
        <cfvo type="max"/>
        <color rgb="FFF8696B"/>
        <color rgb="FFFFEB84"/>
        <color rgb="FF63BE7B"/>
      </colorScale>
    </cfRule>
  </conditionalFormatting>
  <conditionalFormatting sqref="D10:D21">
    <cfRule type="colorScale" priority="13391">
      <colorScale>
        <cfvo type="min"/>
        <cfvo type="percentile" val="50"/>
        <cfvo type="max"/>
        <color rgb="FFF8696B"/>
        <color rgb="FFFFEB84"/>
        <color rgb="FF63BE7B"/>
      </colorScale>
    </cfRule>
  </conditionalFormatting>
  <conditionalFormatting sqref="D10:D21">
    <cfRule type="colorScale" priority="13390">
      <colorScale>
        <cfvo type="min"/>
        <cfvo type="percentile" val="50"/>
        <cfvo type="max"/>
        <color rgb="FFF8696B"/>
        <color rgb="FFFFEB84"/>
        <color rgb="FF63BE7B"/>
      </colorScale>
    </cfRule>
  </conditionalFormatting>
  <conditionalFormatting sqref="D10:D21">
    <cfRule type="colorScale" priority="13389">
      <colorScale>
        <cfvo type="min"/>
        <cfvo type="percentile" val="50"/>
        <cfvo type="max"/>
        <color rgb="FFF8696B"/>
        <color rgb="FFFFEB84"/>
        <color rgb="FF63BE7B"/>
      </colorScale>
    </cfRule>
  </conditionalFormatting>
  <conditionalFormatting sqref="D10:E21">
    <cfRule type="colorScale" priority="13388">
      <colorScale>
        <cfvo type="min"/>
        <cfvo type="percentile" val="50"/>
        <cfvo type="max"/>
        <color rgb="FFF8696B"/>
        <color rgb="FFFFEB84"/>
        <color rgb="FF63BE7B"/>
      </colorScale>
    </cfRule>
  </conditionalFormatting>
  <conditionalFormatting sqref="D10:E21">
    <cfRule type="colorScale" priority="13387">
      <colorScale>
        <cfvo type="min"/>
        <cfvo type="percentile" val="50"/>
        <cfvo type="max"/>
        <color rgb="FFF8696B"/>
        <color rgb="FFFFEB84"/>
        <color rgb="FF63BE7B"/>
      </colorScale>
    </cfRule>
  </conditionalFormatting>
  <conditionalFormatting sqref="D10:E21">
    <cfRule type="colorScale" priority="13386">
      <colorScale>
        <cfvo type="min"/>
        <cfvo type="percentile" val="50"/>
        <cfvo type="max"/>
        <color rgb="FFF8696B"/>
        <color rgb="FFFFEB84"/>
        <color rgb="FF63BE7B"/>
      </colorScale>
    </cfRule>
  </conditionalFormatting>
  <conditionalFormatting sqref="D10:E21">
    <cfRule type="colorScale" priority="13385">
      <colorScale>
        <cfvo type="min"/>
        <cfvo type="percentile" val="50"/>
        <cfvo type="max"/>
        <color rgb="FFF8696B"/>
        <color rgb="FFFFEB84"/>
        <color rgb="FF63BE7B"/>
      </colorScale>
    </cfRule>
  </conditionalFormatting>
  <conditionalFormatting sqref="D10:D21">
    <cfRule type="colorScale" priority="13384">
      <colorScale>
        <cfvo type="min"/>
        <cfvo type="percentile" val="50"/>
        <cfvo type="max"/>
        <color rgb="FFF8696B"/>
        <color rgb="FFFFEB84"/>
        <color rgb="FF63BE7B"/>
      </colorScale>
    </cfRule>
  </conditionalFormatting>
  <conditionalFormatting sqref="D10:D21">
    <cfRule type="colorScale" priority="13383">
      <colorScale>
        <cfvo type="min"/>
        <cfvo type="percentile" val="50"/>
        <cfvo type="max"/>
        <color rgb="FFF8696B"/>
        <color rgb="FFFFEB84"/>
        <color rgb="FF63BE7B"/>
      </colorScale>
    </cfRule>
  </conditionalFormatting>
  <conditionalFormatting sqref="D10:D21">
    <cfRule type="colorScale" priority="13382">
      <colorScale>
        <cfvo type="min"/>
        <cfvo type="percentile" val="50"/>
        <cfvo type="max"/>
        <color rgb="FFF8696B"/>
        <color rgb="FFFFEB84"/>
        <color rgb="FF63BE7B"/>
      </colorScale>
    </cfRule>
  </conditionalFormatting>
  <conditionalFormatting sqref="D10:D21">
    <cfRule type="colorScale" priority="13381">
      <colorScale>
        <cfvo type="min"/>
        <cfvo type="percentile" val="50"/>
        <cfvo type="max"/>
        <color rgb="FFF8696B"/>
        <color rgb="FFFFEB84"/>
        <color rgb="FF63BE7B"/>
      </colorScale>
    </cfRule>
  </conditionalFormatting>
  <conditionalFormatting sqref="D10:E21">
    <cfRule type="colorScale" priority="13380">
      <colorScale>
        <cfvo type="min"/>
        <cfvo type="percentile" val="50"/>
        <cfvo type="max"/>
        <color rgb="FFF8696B"/>
        <color rgb="FFFFEB84"/>
        <color rgb="FF63BE7B"/>
      </colorScale>
    </cfRule>
  </conditionalFormatting>
  <conditionalFormatting sqref="D10:E21">
    <cfRule type="colorScale" priority="13379">
      <colorScale>
        <cfvo type="min"/>
        <cfvo type="percentile" val="50"/>
        <cfvo type="max"/>
        <color rgb="FFF8696B"/>
        <color rgb="FFFFEB84"/>
        <color rgb="FF63BE7B"/>
      </colorScale>
    </cfRule>
  </conditionalFormatting>
  <conditionalFormatting sqref="D10:D21">
    <cfRule type="colorScale" priority="13378">
      <colorScale>
        <cfvo type="min"/>
        <cfvo type="percentile" val="50"/>
        <cfvo type="max"/>
        <color rgb="FFF8696B"/>
        <color rgb="FFFFEB84"/>
        <color rgb="FF63BE7B"/>
      </colorScale>
    </cfRule>
  </conditionalFormatting>
  <conditionalFormatting sqref="D10:D21">
    <cfRule type="colorScale" priority="13377">
      <colorScale>
        <cfvo type="min"/>
        <cfvo type="percentile" val="50"/>
        <cfvo type="max"/>
        <color rgb="FFF8696B"/>
        <color rgb="FFFFEB84"/>
        <color rgb="FF63BE7B"/>
      </colorScale>
    </cfRule>
  </conditionalFormatting>
  <conditionalFormatting sqref="D10:D21">
    <cfRule type="colorScale" priority="13376">
      <colorScale>
        <cfvo type="min"/>
        <cfvo type="percentile" val="50"/>
        <cfvo type="max"/>
        <color rgb="FFF8696B"/>
        <color rgb="FFFFEB84"/>
        <color rgb="FF63BE7B"/>
      </colorScale>
    </cfRule>
  </conditionalFormatting>
  <conditionalFormatting sqref="D10:D21">
    <cfRule type="colorScale" priority="13375">
      <colorScale>
        <cfvo type="min"/>
        <cfvo type="percentile" val="50"/>
        <cfvo type="max"/>
        <color rgb="FFF8696B"/>
        <color rgb="FFFFEB84"/>
        <color rgb="FF63BE7B"/>
      </colorScale>
    </cfRule>
  </conditionalFormatting>
  <conditionalFormatting sqref="D10:E21">
    <cfRule type="colorScale" priority="13374">
      <colorScale>
        <cfvo type="min"/>
        <cfvo type="percentile" val="50"/>
        <cfvo type="max"/>
        <color rgb="FFF8696B"/>
        <color rgb="FFFFEB84"/>
        <color rgb="FF63BE7B"/>
      </colorScale>
    </cfRule>
  </conditionalFormatting>
  <conditionalFormatting sqref="D10:E21">
    <cfRule type="colorScale" priority="13373">
      <colorScale>
        <cfvo type="min"/>
        <cfvo type="percentile" val="50"/>
        <cfvo type="max"/>
        <color rgb="FFF8696B"/>
        <color rgb="FFFFEB84"/>
        <color rgb="FF63BE7B"/>
      </colorScale>
    </cfRule>
  </conditionalFormatting>
  <conditionalFormatting sqref="D10:D21">
    <cfRule type="colorScale" priority="13372">
      <colorScale>
        <cfvo type="min"/>
        <cfvo type="percentile" val="50"/>
        <cfvo type="max"/>
        <color rgb="FFF8696B"/>
        <color rgb="FFFFEB84"/>
        <color rgb="FF63BE7B"/>
      </colorScale>
    </cfRule>
  </conditionalFormatting>
  <conditionalFormatting sqref="D10:D21">
    <cfRule type="colorScale" priority="13371">
      <colorScale>
        <cfvo type="min"/>
        <cfvo type="percentile" val="50"/>
        <cfvo type="max"/>
        <color rgb="FFF8696B"/>
        <color rgb="FFFFEB84"/>
        <color rgb="FF63BE7B"/>
      </colorScale>
    </cfRule>
  </conditionalFormatting>
  <conditionalFormatting sqref="D10:D21">
    <cfRule type="colorScale" priority="13370">
      <colorScale>
        <cfvo type="min"/>
        <cfvo type="percentile" val="50"/>
        <cfvo type="max"/>
        <color rgb="FFF8696B"/>
        <color rgb="FFFFEB84"/>
        <color rgb="FF63BE7B"/>
      </colorScale>
    </cfRule>
  </conditionalFormatting>
  <conditionalFormatting sqref="D10:D21">
    <cfRule type="colorScale" priority="13369">
      <colorScale>
        <cfvo type="min"/>
        <cfvo type="percentile" val="50"/>
        <cfvo type="max"/>
        <color rgb="FFF8696B"/>
        <color rgb="FFFFEB84"/>
        <color rgb="FF63BE7B"/>
      </colorScale>
    </cfRule>
  </conditionalFormatting>
  <conditionalFormatting sqref="D10:E21">
    <cfRule type="colorScale" priority="13368">
      <colorScale>
        <cfvo type="min"/>
        <cfvo type="percentile" val="50"/>
        <cfvo type="max"/>
        <color rgb="FFF8696B"/>
        <color rgb="FFFFEB84"/>
        <color rgb="FF63BE7B"/>
      </colorScale>
    </cfRule>
  </conditionalFormatting>
  <conditionalFormatting sqref="D10:E21">
    <cfRule type="colorScale" priority="13367">
      <colorScale>
        <cfvo type="min"/>
        <cfvo type="percentile" val="50"/>
        <cfvo type="max"/>
        <color rgb="FFF8696B"/>
        <color rgb="FFFFEB84"/>
        <color rgb="FF63BE7B"/>
      </colorScale>
    </cfRule>
  </conditionalFormatting>
  <conditionalFormatting sqref="D10:E21">
    <cfRule type="colorScale" priority="13366">
      <colorScale>
        <cfvo type="min"/>
        <cfvo type="percentile" val="50"/>
        <cfvo type="max"/>
        <color rgb="FFF8696B"/>
        <color rgb="FFFFEB84"/>
        <color rgb="FF63BE7B"/>
      </colorScale>
    </cfRule>
  </conditionalFormatting>
  <conditionalFormatting sqref="D10:E21">
    <cfRule type="colorScale" priority="13365">
      <colorScale>
        <cfvo type="min"/>
        <cfvo type="percentile" val="50"/>
        <cfvo type="max"/>
        <color rgb="FFF8696B"/>
        <color rgb="FFFFEB84"/>
        <color rgb="FF63BE7B"/>
      </colorScale>
    </cfRule>
  </conditionalFormatting>
  <conditionalFormatting sqref="D10:D21">
    <cfRule type="colorScale" priority="13364">
      <colorScale>
        <cfvo type="min"/>
        <cfvo type="percentile" val="50"/>
        <cfvo type="max"/>
        <color rgb="FFF8696B"/>
        <color rgb="FFFFEB84"/>
        <color rgb="FF63BE7B"/>
      </colorScale>
    </cfRule>
  </conditionalFormatting>
  <conditionalFormatting sqref="D10:D21">
    <cfRule type="colorScale" priority="13363">
      <colorScale>
        <cfvo type="min"/>
        <cfvo type="percentile" val="50"/>
        <cfvo type="max"/>
        <color rgb="FFF8696B"/>
        <color rgb="FFFFEB84"/>
        <color rgb="FF63BE7B"/>
      </colorScale>
    </cfRule>
  </conditionalFormatting>
  <conditionalFormatting sqref="D10:D21">
    <cfRule type="colorScale" priority="13362">
      <colorScale>
        <cfvo type="min"/>
        <cfvo type="percentile" val="50"/>
        <cfvo type="max"/>
        <color rgb="FFF8696B"/>
        <color rgb="FFFFEB84"/>
        <color rgb="FF63BE7B"/>
      </colorScale>
    </cfRule>
  </conditionalFormatting>
  <conditionalFormatting sqref="D10:D21">
    <cfRule type="colorScale" priority="13361">
      <colorScale>
        <cfvo type="min"/>
        <cfvo type="percentile" val="50"/>
        <cfvo type="max"/>
        <color rgb="FFF8696B"/>
        <color rgb="FFFFEB84"/>
        <color rgb="FF63BE7B"/>
      </colorScale>
    </cfRule>
  </conditionalFormatting>
  <conditionalFormatting sqref="D10:E21">
    <cfRule type="colorScale" priority="13360">
      <colorScale>
        <cfvo type="min"/>
        <cfvo type="percentile" val="50"/>
        <cfvo type="max"/>
        <color rgb="FFF8696B"/>
        <color rgb="FFFFEB84"/>
        <color rgb="FF63BE7B"/>
      </colorScale>
    </cfRule>
  </conditionalFormatting>
  <conditionalFormatting sqref="D10:E21">
    <cfRule type="colorScale" priority="13359">
      <colorScale>
        <cfvo type="min"/>
        <cfvo type="percentile" val="50"/>
        <cfvo type="max"/>
        <color rgb="FFF8696B"/>
        <color rgb="FFFFEB84"/>
        <color rgb="FF63BE7B"/>
      </colorScale>
    </cfRule>
  </conditionalFormatting>
  <conditionalFormatting sqref="D10:D21">
    <cfRule type="colorScale" priority="13358">
      <colorScale>
        <cfvo type="min"/>
        <cfvo type="percentile" val="50"/>
        <cfvo type="max"/>
        <color rgb="FFF8696B"/>
        <color rgb="FFFFEB84"/>
        <color rgb="FF63BE7B"/>
      </colorScale>
    </cfRule>
  </conditionalFormatting>
  <conditionalFormatting sqref="D10:D21">
    <cfRule type="colorScale" priority="13357">
      <colorScale>
        <cfvo type="min"/>
        <cfvo type="percentile" val="50"/>
        <cfvo type="max"/>
        <color rgb="FFF8696B"/>
        <color rgb="FFFFEB84"/>
        <color rgb="FF63BE7B"/>
      </colorScale>
    </cfRule>
  </conditionalFormatting>
  <conditionalFormatting sqref="D10:D21">
    <cfRule type="colorScale" priority="13356">
      <colorScale>
        <cfvo type="min"/>
        <cfvo type="percentile" val="50"/>
        <cfvo type="max"/>
        <color rgb="FFF8696B"/>
        <color rgb="FFFFEB84"/>
        <color rgb="FF63BE7B"/>
      </colorScale>
    </cfRule>
  </conditionalFormatting>
  <conditionalFormatting sqref="D10:D21">
    <cfRule type="colorScale" priority="13355">
      <colorScale>
        <cfvo type="min"/>
        <cfvo type="percentile" val="50"/>
        <cfvo type="max"/>
        <color rgb="FFF8696B"/>
        <color rgb="FFFFEB84"/>
        <color rgb="FF63BE7B"/>
      </colorScale>
    </cfRule>
  </conditionalFormatting>
  <conditionalFormatting sqref="D10:E21">
    <cfRule type="colorScale" priority="13354">
      <colorScale>
        <cfvo type="min"/>
        <cfvo type="percentile" val="50"/>
        <cfvo type="max"/>
        <color rgb="FFF8696B"/>
        <color rgb="FFFFEB84"/>
        <color rgb="FF63BE7B"/>
      </colorScale>
    </cfRule>
  </conditionalFormatting>
  <conditionalFormatting sqref="D10:E21">
    <cfRule type="colorScale" priority="13353">
      <colorScale>
        <cfvo type="min"/>
        <cfvo type="percentile" val="50"/>
        <cfvo type="max"/>
        <color rgb="FFF8696B"/>
        <color rgb="FFFFEB84"/>
        <color rgb="FF63BE7B"/>
      </colorScale>
    </cfRule>
  </conditionalFormatting>
  <conditionalFormatting sqref="D10:D21">
    <cfRule type="colorScale" priority="13352">
      <colorScale>
        <cfvo type="min"/>
        <cfvo type="percentile" val="50"/>
        <cfvo type="max"/>
        <color rgb="FFF8696B"/>
        <color rgb="FFFFEB84"/>
        <color rgb="FF63BE7B"/>
      </colorScale>
    </cfRule>
  </conditionalFormatting>
  <conditionalFormatting sqref="D10:D21">
    <cfRule type="colorScale" priority="13351">
      <colorScale>
        <cfvo type="min"/>
        <cfvo type="percentile" val="50"/>
        <cfvo type="max"/>
        <color rgb="FFF8696B"/>
        <color rgb="FFFFEB84"/>
        <color rgb="FF63BE7B"/>
      </colorScale>
    </cfRule>
  </conditionalFormatting>
  <conditionalFormatting sqref="D10:D21">
    <cfRule type="colorScale" priority="13350">
      <colorScale>
        <cfvo type="min"/>
        <cfvo type="percentile" val="50"/>
        <cfvo type="max"/>
        <color rgb="FFF8696B"/>
        <color rgb="FFFFEB84"/>
        <color rgb="FF63BE7B"/>
      </colorScale>
    </cfRule>
  </conditionalFormatting>
  <conditionalFormatting sqref="D10:D21">
    <cfRule type="colorScale" priority="13349">
      <colorScale>
        <cfvo type="min"/>
        <cfvo type="percentile" val="50"/>
        <cfvo type="max"/>
        <color rgb="FFF8696B"/>
        <color rgb="FFFFEB84"/>
        <color rgb="FF63BE7B"/>
      </colorScale>
    </cfRule>
  </conditionalFormatting>
  <conditionalFormatting sqref="D10:E21">
    <cfRule type="colorScale" priority="13348">
      <colorScale>
        <cfvo type="min"/>
        <cfvo type="percentile" val="50"/>
        <cfvo type="max"/>
        <color rgb="FFF8696B"/>
        <color rgb="FFFFEB84"/>
        <color rgb="FF63BE7B"/>
      </colorScale>
    </cfRule>
  </conditionalFormatting>
  <conditionalFormatting sqref="D10:E21">
    <cfRule type="colorScale" priority="13347">
      <colorScale>
        <cfvo type="min"/>
        <cfvo type="percentile" val="50"/>
        <cfvo type="max"/>
        <color rgb="FFF8696B"/>
        <color rgb="FFFFEB84"/>
        <color rgb="FF63BE7B"/>
      </colorScale>
    </cfRule>
  </conditionalFormatting>
  <conditionalFormatting sqref="D10:D21">
    <cfRule type="colorScale" priority="13346">
      <colorScale>
        <cfvo type="min"/>
        <cfvo type="percentile" val="50"/>
        <cfvo type="max"/>
        <color rgb="FFF8696B"/>
        <color rgb="FFFFEB84"/>
        <color rgb="FF63BE7B"/>
      </colorScale>
    </cfRule>
  </conditionalFormatting>
  <conditionalFormatting sqref="D10:D21">
    <cfRule type="colorScale" priority="13345">
      <colorScale>
        <cfvo type="min"/>
        <cfvo type="percentile" val="50"/>
        <cfvo type="max"/>
        <color rgb="FFF8696B"/>
        <color rgb="FFFFEB84"/>
        <color rgb="FF63BE7B"/>
      </colorScale>
    </cfRule>
  </conditionalFormatting>
  <conditionalFormatting sqref="E10:E21">
    <cfRule type="colorScale" priority="13344">
      <colorScale>
        <cfvo type="min"/>
        <cfvo type="percentile" val="50"/>
        <cfvo type="max"/>
        <color rgb="FFF8696B"/>
        <color rgb="FFFFEB84"/>
        <color rgb="FF63BE7B"/>
      </colorScale>
    </cfRule>
  </conditionalFormatting>
  <conditionalFormatting sqref="E10:E21">
    <cfRule type="colorScale" priority="13343">
      <colorScale>
        <cfvo type="min"/>
        <cfvo type="percentile" val="50"/>
        <cfvo type="max"/>
        <color rgb="FFF8696B"/>
        <color rgb="FFFFEB84"/>
        <color rgb="FF63BE7B"/>
      </colorScale>
    </cfRule>
  </conditionalFormatting>
  <conditionalFormatting sqref="D10:E21">
    <cfRule type="colorScale" priority="13342">
      <colorScale>
        <cfvo type="min"/>
        <cfvo type="percentile" val="50"/>
        <cfvo type="max"/>
        <color rgb="FFF8696B"/>
        <color rgb="FFFFEB84"/>
        <color rgb="FF63BE7B"/>
      </colorScale>
    </cfRule>
  </conditionalFormatting>
  <conditionalFormatting sqref="D10:E21">
    <cfRule type="colorScale" priority="13341">
      <colorScale>
        <cfvo type="min"/>
        <cfvo type="percentile" val="50"/>
        <cfvo type="max"/>
        <color rgb="FFF8696B"/>
        <color rgb="FFFFEB84"/>
        <color rgb="FF63BE7B"/>
      </colorScale>
    </cfRule>
  </conditionalFormatting>
  <conditionalFormatting sqref="D10:E21">
    <cfRule type="colorScale" priority="13340">
      <colorScale>
        <cfvo type="min"/>
        <cfvo type="percentile" val="50"/>
        <cfvo type="max"/>
        <color rgb="FFF8696B"/>
        <color rgb="FFFFEB84"/>
        <color rgb="FF63BE7B"/>
      </colorScale>
    </cfRule>
  </conditionalFormatting>
  <conditionalFormatting sqref="D10:E21">
    <cfRule type="colorScale" priority="13339">
      <colorScale>
        <cfvo type="min"/>
        <cfvo type="percentile" val="50"/>
        <cfvo type="max"/>
        <color rgb="FFF8696B"/>
        <color rgb="FFFFEB84"/>
        <color rgb="FF63BE7B"/>
      </colorScale>
    </cfRule>
  </conditionalFormatting>
  <conditionalFormatting sqref="D10:D21">
    <cfRule type="colorScale" priority="13338">
      <colorScale>
        <cfvo type="min"/>
        <cfvo type="percentile" val="50"/>
        <cfvo type="max"/>
        <color rgb="FFF8696B"/>
        <color rgb="FFFFEB84"/>
        <color rgb="FF63BE7B"/>
      </colorScale>
    </cfRule>
  </conditionalFormatting>
  <conditionalFormatting sqref="D10:D21">
    <cfRule type="colorScale" priority="13337">
      <colorScale>
        <cfvo type="min"/>
        <cfvo type="percentile" val="50"/>
        <cfvo type="max"/>
        <color rgb="FFF8696B"/>
        <color rgb="FFFFEB84"/>
        <color rgb="FF63BE7B"/>
      </colorScale>
    </cfRule>
  </conditionalFormatting>
  <conditionalFormatting sqref="D10:D21">
    <cfRule type="colorScale" priority="13336">
      <colorScale>
        <cfvo type="min"/>
        <cfvo type="percentile" val="50"/>
        <cfvo type="max"/>
        <color rgb="FFF8696B"/>
        <color rgb="FFFFEB84"/>
        <color rgb="FF63BE7B"/>
      </colorScale>
    </cfRule>
  </conditionalFormatting>
  <conditionalFormatting sqref="D10:D21">
    <cfRule type="colorScale" priority="13335">
      <colorScale>
        <cfvo type="min"/>
        <cfvo type="percentile" val="50"/>
        <cfvo type="max"/>
        <color rgb="FFF8696B"/>
        <color rgb="FFFFEB84"/>
        <color rgb="FF63BE7B"/>
      </colorScale>
    </cfRule>
  </conditionalFormatting>
  <conditionalFormatting sqref="D10:D21">
    <cfRule type="colorScale" priority="13334">
      <colorScale>
        <cfvo type="min"/>
        <cfvo type="percentile" val="50"/>
        <cfvo type="max"/>
        <color rgb="FFF8696B"/>
        <color rgb="FFFFEB84"/>
        <color rgb="FF63BE7B"/>
      </colorScale>
    </cfRule>
  </conditionalFormatting>
  <conditionalFormatting sqref="D10:D21">
    <cfRule type="colorScale" priority="13333">
      <colorScale>
        <cfvo type="min"/>
        <cfvo type="percentile" val="50"/>
        <cfvo type="max"/>
        <color rgb="FFF8696B"/>
        <color rgb="FFFFEB84"/>
        <color rgb="FF63BE7B"/>
      </colorScale>
    </cfRule>
  </conditionalFormatting>
  <conditionalFormatting sqref="D10:F21">
    <cfRule type="colorScale" priority="13332">
      <colorScale>
        <cfvo type="min"/>
        <cfvo type="percentile" val="50"/>
        <cfvo type="max"/>
        <color rgb="FFF8696B"/>
        <color rgb="FFFFEB84"/>
        <color rgb="FF63BE7B"/>
      </colorScale>
    </cfRule>
  </conditionalFormatting>
  <conditionalFormatting sqref="D10:F21">
    <cfRule type="colorScale" priority="13331">
      <colorScale>
        <cfvo type="min"/>
        <cfvo type="percentile" val="50"/>
        <cfvo type="max"/>
        <color rgb="FFF8696B"/>
        <color rgb="FFFFEB84"/>
        <color rgb="FF63BE7B"/>
      </colorScale>
    </cfRule>
  </conditionalFormatting>
  <conditionalFormatting sqref="D10:F21">
    <cfRule type="colorScale" priority="13330">
      <colorScale>
        <cfvo type="min"/>
        <cfvo type="percentile" val="50"/>
        <cfvo type="max"/>
        <color rgb="FFF8696B"/>
        <color rgb="FFFFEB84"/>
        <color rgb="FF63BE7B"/>
      </colorScale>
    </cfRule>
  </conditionalFormatting>
  <conditionalFormatting sqref="D10:F21">
    <cfRule type="colorScale" priority="13329">
      <colorScale>
        <cfvo type="min"/>
        <cfvo type="percentile" val="50"/>
        <cfvo type="max"/>
        <color rgb="FFF8696B"/>
        <color rgb="FFFFEB84"/>
        <color rgb="FF63BE7B"/>
      </colorScale>
    </cfRule>
  </conditionalFormatting>
  <conditionalFormatting sqref="D10:F21">
    <cfRule type="colorScale" priority="13328">
      <colorScale>
        <cfvo type="min"/>
        <cfvo type="percentile" val="50"/>
        <cfvo type="max"/>
        <color rgb="FFF8696B"/>
        <color rgb="FFFFEB84"/>
        <color rgb="FF63BE7B"/>
      </colorScale>
    </cfRule>
  </conditionalFormatting>
  <conditionalFormatting sqref="D10:F21">
    <cfRule type="colorScale" priority="13327">
      <colorScale>
        <cfvo type="min"/>
        <cfvo type="percentile" val="50"/>
        <cfvo type="max"/>
        <color rgb="FFF8696B"/>
        <color rgb="FFFFEB84"/>
        <color rgb="FF63BE7B"/>
      </colorScale>
    </cfRule>
  </conditionalFormatting>
  <conditionalFormatting sqref="D10:E21">
    <cfRule type="colorScale" priority="13326">
      <colorScale>
        <cfvo type="min"/>
        <cfvo type="percentile" val="50"/>
        <cfvo type="max"/>
        <color rgb="FFF8696B"/>
        <color rgb="FFFFEB84"/>
        <color rgb="FF63BE7B"/>
      </colorScale>
    </cfRule>
  </conditionalFormatting>
  <conditionalFormatting sqref="D10:E21">
    <cfRule type="colorScale" priority="13325">
      <colorScale>
        <cfvo type="min"/>
        <cfvo type="percentile" val="50"/>
        <cfvo type="max"/>
        <color rgb="FFF8696B"/>
        <color rgb="FFFFEB84"/>
        <color rgb="FF63BE7B"/>
      </colorScale>
    </cfRule>
  </conditionalFormatting>
  <conditionalFormatting sqref="D10:E21">
    <cfRule type="colorScale" priority="13324">
      <colorScale>
        <cfvo type="min"/>
        <cfvo type="percentile" val="50"/>
        <cfvo type="max"/>
        <color rgb="FFF8696B"/>
        <color rgb="FFFFEB84"/>
        <color rgb="FF63BE7B"/>
      </colorScale>
    </cfRule>
  </conditionalFormatting>
  <conditionalFormatting sqref="D10:E21">
    <cfRule type="colorScale" priority="13323">
      <colorScale>
        <cfvo type="min"/>
        <cfvo type="percentile" val="50"/>
        <cfvo type="max"/>
        <color rgb="FFF8696B"/>
        <color rgb="FFFFEB84"/>
        <color rgb="FF63BE7B"/>
      </colorScale>
    </cfRule>
  </conditionalFormatting>
  <conditionalFormatting sqref="D10:E21">
    <cfRule type="colorScale" priority="13322">
      <colorScale>
        <cfvo type="min"/>
        <cfvo type="percentile" val="50"/>
        <cfvo type="max"/>
        <color rgb="FFF8696B"/>
        <color rgb="FFFFEB84"/>
        <color rgb="FF63BE7B"/>
      </colorScale>
    </cfRule>
  </conditionalFormatting>
  <conditionalFormatting sqref="D10:E21">
    <cfRule type="colorScale" priority="13321">
      <colorScale>
        <cfvo type="min"/>
        <cfvo type="percentile" val="50"/>
        <cfvo type="max"/>
        <color rgb="FFF8696B"/>
        <color rgb="FFFFEB84"/>
        <color rgb="FF63BE7B"/>
      </colorScale>
    </cfRule>
  </conditionalFormatting>
  <conditionalFormatting sqref="E10:E21">
    <cfRule type="colorScale" priority="13320">
      <colorScale>
        <cfvo type="min"/>
        <cfvo type="percentile" val="50"/>
        <cfvo type="max"/>
        <color rgb="FFF8696B"/>
        <color rgb="FFFFEB84"/>
        <color rgb="FF63BE7B"/>
      </colorScale>
    </cfRule>
  </conditionalFormatting>
  <conditionalFormatting sqref="E10:E21">
    <cfRule type="colorScale" priority="13319">
      <colorScale>
        <cfvo type="min"/>
        <cfvo type="percentile" val="50"/>
        <cfvo type="max"/>
        <color rgb="FFF8696B"/>
        <color rgb="FFFFEB84"/>
        <color rgb="FF63BE7B"/>
      </colorScale>
    </cfRule>
  </conditionalFormatting>
  <conditionalFormatting sqref="J10:J21">
    <cfRule type="colorScale" priority="13318">
      <colorScale>
        <cfvo type="min"/>
        <cfvo type="percentile" val="50"/>
        <cfvo type="max"/>
        <color rgb="FFF8696B"/>
        <color rgb="FFFFEB84"/>
        <color rgb="FF63BE7B"/>
      </colorScale>
    </cfRule>
  </conditionalFormatting>
  <conditionalFormatting sqref="H10:I31 D10:F31">
    <cfRule type="colorScale" priority="13317">
      <colorScale>
        <cfvo type="min"/>
        <cfvo type="percentile" val="50"/>
        <cfvo type="max"/>
        <color rgb="FFF8696B"/>
        <color rgb="FFFFEB84"/>
        <color rgb="FF63BE7B"/>
      </colorScale>
    </cfRule>
  </conditionalFormatting>
  <conditionalFormatting sqref="D10:E31">
    <cfRule type="colorScale" priority="13316">
      <colorScale>
        <cfvo type="min"/>
        <cfvo type="percentile" val="50"/>
        <cfvo type="max"/>
        <color rgb="FFF8696B"/>
        <color rgb="FFFFEB84"/>
        <color rgb="FF63BE7B"/>
      </colorScale>
    </cfRule>
  </conditionalFormatting>
  <conditionalFormatting sqref="D10:E31">
    <cfRule type="colorScale" priority="13315">
      <colorScale>
        <cfvo type="min"/>
        <cfvo type="percentile" val="50"/>
        <cfvo type="max"/>
        <color rgb="FFF8696B"/>
        <color rgb="FFFFEB84"/>
        <color rgb="FF63BE7B"/>
      </colorScale>
    </cfRule>
  </conditionalFormatting>
  <conditionalFormatting sqref="D10:E31">
    <cfRule type="colorScale" priority="13314">
      <colorScale>
        <cfvo type="min"/>
        <cfvo type="percentile" val="50"/>
        <cfvo type="max"/>
        <color rgb="FFF8696B"/>
        <color rgb="FFFFEB84"/>
        <color rgb="FF63BE7B"/>
      </colorScale>
    </cfRule>
  </conditionalFormatting>
  <conditionalFormatting sqref="D10:E31">
    <cfRule type="colorScale" priority="13313">
      <colorScale>
        <cfvo type="min"/>
        <cfvo type="percentile" val="50"/>
        <cfvo type="max"/>
        <color rgb="FFF8696B"/>
        <color rgb="FFFFEB84"/>
        <color rgb="FF63BE7B"/>
      </colorScale>
    </cfRule>
  </conditionalFormatting>
  <conditionalFormatting sqref="D10:E31">
    <cfRule type="colorScale" priority="13312">
      <colorScale>
        <cfvo type="min"/>
        <cfvo type="percentile" val="50"/>
        <cfvo type="max"/>
        <color rgb="FFF8696B"/>
        <color rgb="FFFFEB84"/>
        <color rgb="FF63BE7B"/>
      </colorScale>
    </cfRule>
  </conditionalFormatting>
  <conditionalFormatting sqref="D10:E31">
    <cfRule type="colorScale" priority="13311">
      <colorScale>
        <cfvo type="min"/>
        <cfvo type="percentile" val="50"/>
        <cfvo type="max"/>
        <color rgb="FFF8696B"/>
        <color rgb="FFFFEB84"/>
        <color rgb="FF63BE7B"/>
      </colorScale>
    </cfRule>
  </conditionalFormatting>
  <conditionalFormatting sqref="D10:E31">
    <cfRule type="colorScale" priority="13310">
      <colorScale>
        <cfvo type="min"/>
        <cfvo type="percentile" val="50"/>
        <cfvo type="max"/>
        <color rgb="FFF8696B"/>
        <color rgb="FFFFEB84"/>
        <color rgb="FF63BE7B"/>
      </colorScale>
    </cfRule>
  </conditionalFormatting>
  <conditionalFormatting sqref="D10:E31">
    <cfRule type="colorScale" priority="13309">
      <colorScale>
        <cfvo type="min"/>
        <cfvo type="percentile" val="50"/>
        <cfvo type="max"/>
        <color rgb="FFF8696B"/>
        <color rgb="FFFFEB84"/>
        <color rgb="FF63BE7B"/>
      </colorScale>
    </cfRule>
  </conditionalFormatting>
  <conditionalFormatting sqref="D10:D31">
    <cfRule type="colorScale" priority="13308">
      <colorScale>
        <cfvo type="min"/>
        <cfvo type="percentile" val="50"/>
        <cfvo type="max"/>
        <color rgb="FFF8696B"/>
        <color rgb="FFFFEB84"/>
        <color rgb="FF63BE7B"/>
      </colorScale>
    </cfRule>
  </conditionalFormatting>
  <conditionalFormatting sqref="D10:E31">
    <cfRule type="colorScale" priority="13307">
      <colorScale>
        <cfvo type="min"/>
        <cfvo type="percentile" val="50"/>
        <cfvo type="max"/>
        <color rgb="FFF8696B"/>
        <color rgb="FFFFEB84"/>
        <color rgb="FF63BE7B"/>
      </colorScale>
    </cfRule>
  </conditionalFormatting>
  <conditionalFormatting sqref="D10:E31">
    <cfRule type="colorScale" priority="13306">
      <colorScale>
        <cfvo type="min"/>
        <cfvo type="percentile" val="50"/>
        <cfvo type="max"/>
        <color rgb="FFF8696B"/>
        <color rgb="FFFFEB84"/>
        <color rgb="FF63BE7B"/>
      </colorScale>
    </cfRule>
  </conditionalFormatting>
  <conditionalFormatting sqref="D10:E31">
    <cfRule type="colorScale" priority="13305">
      <colorScale>
        <cfvo type="min"/>
        <cfvo type="percentile" val="50"/>
        <cfvo type="max"/>
        <color rgb="FFF8696B"/>
        <color rgb="FFFFEB84"/>
        <color rgb="FF63BE7B"/>
      </colorScale>
    </cfRule>
  </conditionalFormatting>
  <conditionalFormatting sqref="D10:D31">
    <cfRule type="colorScale" priority="13304">
      <colorScale>
        <cfvo type="min"/>
        <cfvo type="percentile" val="50"/>
        <cfvo type="max"/>
        <color rgb="FFF8696B"/>
        <color rgb="FFFFEB84"/>
        <color rgb="FF63BE7B"/>
      </colorScale>
    </cfRule>
  </conditionalFormatting>
  <conditionalFormatting sqref="D10:E31">
    <cfRule type="colorScale" priority="13303">
      <colorScale>
        <cfvo type="min"/>
        <cfvo type="percentile" val="50"/>
        <cfvo type="max"/>
        <color rgb="FFF8696B"/>
        <color rgb="FFFFEB84"/>
        <color rgb="FF63BE7B"/>
      </colorScale>
    </cfRule>
  </conditionalFormatting>
  <conditionalFormatting sqref="D10:E31">
    <cfRule type="colorScale" priority="13302">
      <colorScale>
        <cfvo type="min"/>
        <cfvo type="percentile" val="50"/>
        <cfvo type="max"/>
        <color rgb="FFF8696B"/>
        <color rgb="FFFFEB84"/>
        <color rgb="FF63BE7B"/>
      </colorScale>
    </cfRule>
  </conditionalFormatting>
  <conditionalFormatting sqref="D10:E31">
    <cfRule type="colorScale" priority="13301">
      <colorScale>
        <cfvo type="min"/>
        <cfvo type="percentile" val="50"/>
        <cfvo type="max"/>
        <color rgb="FFF8696B"/>
        <color rgb="FFFFEB84"/>
        <color rgb="FF63BE7B"/>
      </colorScale>
    </cfRule>
  </conditionalFormatting>
  <conditionalFormatting sqref="D10:E31">
    <cfRule type="colorScale" priority="13300">
      <colorScale>
        <cfvo type="min"/>
        <cfvo type="percentile" val="50"/>
        <cfvo type="max"/>
        <color rgb="FFF8696B"/>
        <color rgb="FFFFEB84"/>
        <color rgb="FF63BE7B"/>
      </colorScale>
    </cfRule>
  </conditionalFormatting>
  <conditionalFormatting sqref="D10:E31">
    <cfRule type="colorScale" priority="13299">
      <colorScale>
        <cfvo type="min"/>
        <cfvo type="percentile" val="50"/>
        <cfvo type="max"/>
        <color rgb="FFF8696B"/>
        <color rgb="FFFFEB84"/>
        <color rgb="FF63BE7B"/>
      </colorScale>
    </cfRule>
  </conditionalFormatting>
  <conditionalFormatting sqref="D10:E31">
    <cfRule type="colorScale" priority="13298">
      <colorScale>
        <cfvo type="min"/>
        <cfvo type="percentile" val="50"/>
        <cfvo type="max"/>
        <color rgb="FFF8696B"/>
        <color rgb="FFFFEB84"/>
        <color rgb="FF63BE7B"/>
      </colorScale>
    </cfRule>
  </conditionalFormatting>
  <conditionalFormatting sqref="D10:E31">
    <cfRule type="colorScale" priority="13297">
      <colorScale>
        <cfvo type="min"/>
        <cfvo type="percentile" val="50"/>
        <cfvo type="max"/>
        <color rgb="FFF8696B"/>
        <color rgb="FFFFEB84"/>
        <color rgb="FF63BE7B"/>
      </colorScale>
    </cfRule>
  </conditionalFormatting>
  <conditionalFormatting sqref="D10:E31">
    <cfRule type="colorScale" priority="13296">
      <colorScale>
        <cfvo type="min"/>
        <cfvo type="percentile" val="50"/>
        <cfvo type="max"/>
        <color rgb="FFF8696B"/>
        <color rgb="FFFFEB84"/>
        <color rgb="FF63BE7B"/>
      </colorScale>
    </cfRule>
  </conditionalFormatting>
  <conditionalFormatting sqref="D10:E31">
    <cfRule type="colorScale" priority="13295">
      <colorScale>
        <cfvo type="min"/>
        <cfvo type="percentile" val="50"/>
        <cfvo type="max"/>
        <color rgb="FFF8696B"/>
        <color rgb="FFFFEB84"/>
        <color rgb="FF63BE7B"/>
      </colorScale>
    </cfRule>
  </conditionalFormatting>
  <conditionalFormatting sqref="D10:E31">
    <cfRule type="colorScale" priority="13294">
      <colorScale>
        <cfvo type="min"/>
        <cfvo type="percentile" val="50"/>
        <cfvo type="max"/>
        <color rgb="FFF8696B"/>
        <color rgb="FFFFEB84"/>
        <color rgb="FF63BE7B"/>
      </colorScale>
    </cfRule>
  </conditionalFormatting>
  <conditionalFormatting sqref="D10:E31">
    <cfRule type="colorScale" priority="13293">
      <colorScale>
        <cfvo type="min"/>
        <cfvo type="percentile" val="50"/>
        <cfvo type="max"/>
        <color rgb="FFF8696B"/>
        <color rgb="FFFFEB84"/>
        <color rgb="FF63BE7B"/>
      </colorScale>
    </cfRule>
  </conditionalFormatting>
  <conditionalFormatting sqref="D10:E31">
    <cfRule type="colorScale" priority="13292">
      <colorScale>
        <cfvo type="min"/>
        <cfvo type="percentile" val="50"/>
        <cfvo type="max"/>
        <color rgb="FFF8696B"/>
        <color rgb="FFFFEB84"/>
        <color rgb="FF63BE7B"/>
      </colorScale>
    </cfRule>
  </conditionalFormatting>
  <conditionalFormatting sqref="D10:D31">
    <cfRule type="colorScale" priority="13291">
      <colorScale>
        <cfvo type="min"/>
        <cfvo type="percentile" val="50"/>
        <cfvo type="max"/>
        <color rgb="FFF8696B"/>
        <color rgb="FFFFEB84"/>
        <color rgb="FF63BE7B"/>
      </colorScale>
    </cfRule>
  </conditionalFormatting>
  <conditionalFormatting sqref="D10:D31">
    <cfRule type="colorScale" priority="13290">
      <colorScale>
        <cfvo type="min"/>
        <cfvo type="percentile" val="50"/>
        <cfvo type="max"/>
        <color rgb="FFF8696B"/>
        <color rgb="FFFFEB84"/>
        <color rgb="FF63BE7B"/>
      </colorScale>
    </cfRule>
  </conditionalFormatting>
  <conditionalFormatting sqref="D10:D31">
    <cfRule type="colorScale" priority="13289">
      <colorScale>
        <cfvo type="min"/>
        <cfvo type="percentile" val="50"/>
        <cfvo type="max"/>
        <color rgb="FFF8696B"/>
        <color rgb="FFFFEB84"/>
        <color rgb="FF63BE7B"/>
      </colorScale>
    </cfRule>
  </conditionalFormatting>
  <conditionalFormatting sqref="D10:D31">
    <cfRule type="colorScale" priority="13288">
      <colorScale>
        <cfvo type="min"/>
        <cfvo type="percentile" val="50"/>
        <cfvo type="max"/>
        <color rgb="FFF8696B"/>
        <color rgb="FFFFEB84"/>
        <color rgb="FF63BE7B"/>
      </colorScale>
    </cfRule>
  </conditionalFormatting>
  <conditionalFormatting sqref="D10:E31">
    <cfRule type="colorScale" priority="13287">
      <colorScale>
        <cfvo type="min"/>
        <cfvo type="percentile" val="50"/>
        <cfvo type="max"/>
        <color rgb="FFF8696B"/>
        <color rgb="FFFFEB84"/>
        <color rgb="FF63BE7B"/>
      </colorScale>
    </cfRule>
  </conditionalFormatting>
  <conditionalFormatting sqref="D10:E31">
    <cfRule type="colorScale" priority="13286">
      <colorScale>
        <cfvo type="min"/>
        <cfvo type="percentile" val="50"/>
        <cfvo type="max"/>
        <color rgb="FFF8696B"/>
        <color rgb="FFFFEB84"/>
        <color rgb="FF63BE7B"/>
      </colorScale>
    </cfRule>
  </conditionalFormatting>
  <conditionalFormatting sqref="D10:D31">
    <cfRule type="colorScale" priority="13285">
      <colorScale>
        <cfvo type="min"/>
        <cfvo type="percentile" val="50"/>
        <cfvo type="max"/>
        <color rgb="FFF8696B"/>
        <color rgb="FFFFEB84"/>
        <color rgb="FF63BE7B"/>
      </colorScale>
    </cfRule>
  </conditionalFormatting>
  <conditionalFormatting sqref="D10:D31">
    <cfRule type="colorScale" priority="13284">
      <colorScale>
        <cfvo type="min"/>
        <cfvo type="percentile" val="50"/>
        <cfvo type="max"/>
        <color rgb="FFF8696B"/>
        <color rgb="FFFFEB84"/>
        <color rgb="FF63BE7B"/>
      </colorScale>
    </cfRule>
  </conditionalFormatting>
  <conditionalFormatting sqref="D10:D31">
    <cfRule type="colorScale" priority="13283">
      <colorScale>
        <cfvo type="min"/>
        <cfvo type="percentile" val="50"/>
        <cfvo type="max"/>
        <color rgb="FFF8696B"/>
        <color rgb="FFFFEB84"/>
        <color rgb="FF63BE7B"/>
      </colorScale>
    </cfRule>
  </conditionalFormatting>
  <conditionalFormatting sqref="D10:D31">
    <cfRule type="colorScale" priority="13282">
      <colorScale>
        <cfvo type="min"/>
        <cfvo type="percentile" val="50"/>
        <cfvo type="max"/>
        <color rgb="FFF8696B"/>
        <color rgb="FFFFEB84"/>
        <color rgb="FF63BE7B"/>
      </colorScale>
    </cfRule>
  </conditionalFormatting>
  <conditionalFormatting sqref="D10:E31">
    <cfRule type="colorScale" priority="13281">
      <colorScale>
        <cfvo type="min"/>
        <cfvo type="percentile" val="50"/>
        <cfvo type="max"/>
        <color rgb="FFF8696B"/>
        <color rgb="FFFFEB84"/>
        <color rgb="FF63BE7B"/>
      </colorScale>
    </cfRule>
  </conditionalFormatting>
  <conditionalFormatting sqref="D10:E31">
    <cfRule type="colorScale" priority="13280">
      <colorScale>
        <cfvo type="min"/>
        <cfvo type="percentile" val="50"/>
        <cfvo type="max"/>
        <color rgb="FFF8696B"/>
        <color rgb="FFFFEB84"/>
        <color rgb="FF63BE7B"/>
      </colorScale>
    </cfRule>
  </conditionalFormatting>
  <conditionalFormatting sqref="D10:D31">
    <cfRule type="colorScale" priority="13279">
      <colorScale>
        <cfvo type="min"/>
        <cfvo type="percentile" val="50"/>
        <cfvo type="max"/>
        <color rgb="FFF8696B"/>
        <color rgb="FFFFEB84"/>
        <color rgb="FF63BE7B"/>
      </colorScale>
    </cfRule>
  </conditionalFormatting>
  <conditionalFormatting sqref="D10:D31">
    <cfRule type="colorScale" priority="13278">
      <colorScale>
        <cfvo type="min"/>
        <cfvo type="percentile" val="50"/>
        <cfvo type="max"/>
        <color rgb="FFF8696B"/>
        <color rgb="FFFFEB84"/>
        <color rgb="FF63BE7B"/>
      </colorScale>
    </cfRule>
  </conditionalFormatting>
  <conditionalFormatting sqref="D10:D31">
    <cfRule type="colorScale" priority="13277">
      <colorScale>
        <cfvo type="min"/>
        <cfvo type="percentile" val="50"/>
        <cfvo type="max"/>
        <color rgb="FFF8696B"/>
        <color rgb="FFFFEB84"/>
        <color rgb="FF63BE7B"/>
      </colorScale>
    </cfRule>
  </conditionalFormatting>
  <conditionalFormatting sqref="D10:D31">
    <cfRule type="colorScale" priority="13276">
      <colorScale>
        <cfvo type="min"/>
        <cfvo type="percentile" val="50"/>
        <cfvo type="max"/>
        <color rgb="FFF8696B"/>
        <color rgb="FFFFEB84"/>
        <color rgb="FF63BE7B"/>
      </colorScale>
    </cfRule>
  </conditionalFormatting>
  <conditionalFormatting sqref="D10:E31">
    <cfRule type="colorScale" priority="13275">
      <colorScale>
        <cfvo type="min"/>
        <cfvo type="percentile" val="50"/>
        <cfvo type="max"/>
        <color rgb="FFF8696B"/>
        <color rgb="FFFFEB84"/>
        <color rgb="FF63BE7B"/>
      </colorScale>
    </cfRule>
  </conditionalFormatting>
  <conditionalFormatting sqref="D10:E31">
    <cfRule type="colorScale" priority="13274">
      <colorScale>
        <cfvo type="min"/>
        <cfvo type="percentile" val="50"/>
        <cfvo type="max"/>
        <color rgb="FFF8696B"/>
        <color rgb="FFFFEB84"/>
        <color rgb="FF63BE7B"/>
      </colorScale>
    </cfRule>
  </conditionalFormatting>
  <conditionalFormatting sqref="D10:E31">
    <cfRule type="colorScale" priority="13273">
      <colorScale>
        <cfvo type="min"/>
        <cfvo type="percentile" val="50"/>
        <cfvo type="max"/>
        <color rgb="FFF8696B"/>
        <color rgb="FFFFEB84"/>
        <color rgb="FF63BE7B"/>
      </colorScale>
    </cfRule>
  </conditionalFormatting>
  <conditionalFormatting sqref="D10:E31">
    <cfRule type="colorScale" priority="13272">
      <colorScale>
        <cfvo type="min"/>
        <cfvo type="percentile" val="50"/>
        <cfvo type="max"/>
        <color rgb="FFF8696B"/>
        <color rgb="FFFFEB84"/>
        <color rgb="FF63BE7B"/>
      </colorScale>
    </cfRule>
  </conditionalFormatting>
  <conditionalFormatting sqref="D10:D31">
    <cfRule type="colorScale" priority="13271">
      <colorScale>
        <cfvo type="min"/>
        <cfvo type="percentile" val="50"/>
        <cfvo type="max"/>
        <color rgb="FFF8696B"/>
        <color rgb="FFFFEB84"/>
        <color rgb="FF63BE7B"/>
      </colorScale>
    </cfRule>
  </conditionalFormatting>
  <conditionalFormatting sqref="D10:D31">
    <cfRule type="colorScale" priority="13270">
      <colorScale>
        <cfvo type="min"/>
        <cfvo type="percentile" val="50"/>
        <cfvo type="max"/>
        <color rgb="FFF8696B"/>
        <color rgb="FFFFEB84"/>
        <color rgb="FF63BE7B"/>
      </colorScale>
    </cfRule>
  </conditionalFormatting>
  <conditionalFormatting sqref="D10:D31">
    <cfRule type="colorScale" priority="13269">
      <colorScale>
        <cfvo type="min"/>
        <cfvo type="percentile" val="50"/>
        <cfvo type="max"/>
        <color rgb="FFF8696B"/>
        <color rgb="FFFFEB84"/>
        <color rgb="FF63BE7B"/>
      </colorScale>
    </cfRule>
  </conditionalFormatting>
  <conditionalFormatting sqref="D10:D31">
    <cfRule type="colorScale" priority="13268">
      <colorScale>
        <cfvo type="min"/>
        <cfvo type="percentile" val="50"/>
        <cfvo type="max"/>
        <color rgb="FFF8696B"/>
        <color rgb="FFFFEB84"/>
        <color rgb="FF63BE7B"/>
      </colorScale>
    </cfRule>
  </conditionalFormatting>
  <conditionalFormatting sqref="D10:E31">
    <cfRule type="colorScale" priority="13267">
      <colorScale>
        <cfvo type="min"/>
        <cfvo type="percentile" val="50"/>
        <cfvo type="max"/>
        <color rgb="FFF8696B"/>
        <color rgb="FFFFEB84"/>
        <color rgb="FF63BE7B"/>
      </colorScale>
    </cfRule>
  </conditionalFormatting>
  <conditionalFormatting sqref="D10:E31">
    <cfRule type="colorScale" priority="13266">
      <colorScale>
        <cfvo type="min"/>
        <cfvo type="percentile" val="50"/>
        <cfvo type="max"/>
        <color rgb="FFF8696B"/>
        <color rgb="FFFFEB84"/>
        <color rgb="FF63BE7B"/>
      </colorScale>
    </cfRule>
  </conditionalFormatting>
  <conditionalFormatting sqref="D10:D31">
    <cfRule type="colorScale" priority="13265">
      <colorScale>
        <cfvo type="min"/>
        <cfvo type="percentile" val="50"/>
        <cfvo type="max"/>
        <color rgb="FFF8696B"/>
        <color rgb="FFFFEB84"/>
        <color rgb="FF63BE7B"/>
      </colorScale>
    </cfRule>
  </conditionalFormatting>
  <conditionalFormatting sqref="D10:D31">
    <cfRule type="colorScale" priority="13264">
      <colorScale>
        <cfvo type="min"/>
        <cfvo type="percentile" val="50"/>
        <cfvo type="max"/>
        <color rgb="FFF8696B"/>
        <color rgb="FFFFEB84"/>
        <color rgb="FF63BE7B"/>
      </colorScale>
    </cfRule>
  </conditionalFormatting>
  <conditionalFormatting sqref="D10:D31">
    <cfRule type="colorScale" priority="13263">
      <colorScale>
        <cfvo type="min"/>
        <cfvo type="percentile" val="50"/>
        <cfvo type="max"/>
        <color rgb="FFF8696B"/>
        <color rgb="FFFFEB84"/>
        <color rgb="FF63BE7B"/>
      </colorScale>
    </cfRule>
  </conditionalFormatting>
  <conditionalFormatting sqref="D10:D31">
    <cfRule type="colorScale" priority="13262">
      <colorScale>
        <cfvo type="min"/>
        <cfvo type="percentile" val="50"/>
        <cfvo type="max"/>
        <color rgb="FFF8696B"/>
        <color rgb="FFFFEB84"/>
        <color rgb="FF63BE7B"/>
      </colorScale>
    </cfRule>
  </conditionalFormatting>
  <conditionalFormatting sqref="D10:E31">
    <cfRule type="colorScale" priority="13261">
      <colorScale>
        <cfvo type="min"/>
        <cfvo type="percentile" val="50"/>
        <cfvo type="max"/>
        <color rgb="FFF8696B"/>
        <color rgb="FFFFEB84"/>
        <color rgb="FF63BE7B"/>
      </colorScale>
    </cfRule>
  </conditionalFormatting>
  <conditionalFormatting sqref="D10:E31">
    <cfRule type="colorScale" priority="13260">
      <colorScale>
        <cfvo type="min"/>
        <cfvo type="percentile" val="50"/>
        <cfvo type="max"/>
        <color rgb="FFF8696B"/>
        <color rgb="FFFFEB84"/>
        <color rgb="FF63BE7B"/>
      </colorScale>
    </cfRule>
  </conditionalFormatting>
  <conditionalFormatting sqref="D10:D31">
    <cfRule type="colorScale" priority="13259">
      <colorScale>
        <cfvo type="min"/>
        <cfvo type="percentile" val="50"/>
        <cfvo type="max"/>
        <color rgb="FFF8696B"/>
        <color rgb="FFFFEB84"/>
        <color rgb="FF63BE7B"/>
      </colorScale>
    </cfRule>
  </conditionalFormatting>
  <conditionalFormatting sqref="D10:D31">
    <cfRule type="colorScale" priority="13258">
      <colorScale>
        <cfvo type="min"/>
        <cfvo type="percentile" val="50"/>
        <cfvo type="max"/>
        <color rgb="FFF8696B"/>
        <color rgb="FFFFEB84"/>
        <color rgb="FF63BE7B"/>
      </colorScale>
    </cfRule>
  </conditionalFormatting>
  <conditionalFormatting sqref="D10:D31">
    <cfRule type="colorScale" priority="13257">
      <colorScale>
        <cfvo type="min"/>
        <cfvo type="percentile" val="50"/>
        <cfvo type="max"/>
        <color rgb="FFF8696B"/>
        <color rgb="FFFFEB84"/>
        <color rgb="FF63BE7B"/>
      </colorScale>
    </cfRule>
  </conditionalFormatting>
  <conditionalFormatting sqref="D10:D31">
    <cfRule type="colorScale" priority="13256">
      <colorScale>
        <cfvo type="min"/>
        <cfvo type="percentile" val="50"/>
        <cfvo type="max"/>
        <color rgb="FFF8696B"/>
        <color rgb="FFFFEB84"/>
        <color rgb="FF63BE7B"/>
      </colorScale>
    </cfRule>
  </conditionalFormatting>
  <conditionalFormatting sqref="D10:E31">
    <cfRule type="colorScale" priority="13255">
      <colorScale>
        <cfvo type="min"/>
        <cfvo type="percentile" val="50"/>
        <cfvo type="max"/>
        <color rgb="FFF8696B"/>
        <color rgb="FFFFEB84"/>
        <color rgb="FF63BE7B"/>
      </colorScale>
    </cfRule>
  </conditionalFormatting>
  <conditionalFormatting sqref="D10:E31">
    <cfRule type="colorScale" priority="13254">
      <colorScale>
        <cfvo type="min"/>
        <cfvo type="percentile" val="50"/>
        <cfvo type="max"/>
        <color rgb="FFF8696B"/>
        <color rgb="FFFFEB84"/>
        <color rgb="FF63BE7B"/>
      </colorScale>
    </cfRule>
  </conditionalFormatting>
  <conditionalFormatting sqref="D10:E31">
    <cfRule type="colorScale" priority="13253">
      <colorScale>
        <cfvo type="min"/>
        <cfvo type="percentile" val="50"/>
        <cfvo type="max"/>
        <color rgb="FFF8696B"/>
        <color rgb="FFFFEB84"/>
        <color rgb="FF63BE7B"/>
      </colorScale>
    </cfRule>
  </conditionalFormatting>
  <conditionalFormatting sqref="D10:E31">
    <cfRule type="colorScale" priority="13252">
      <colorScale>
        <cfvo type="min"/>
        <cfvo type="percentile" val="50"/>
        <cfvo type="max"/>
        <color rgb="FFF8696B"/>
        <color rgb="FFFFEB84"/>
        <color rgb="FF63BE7B"/>
      </colorScale>
    </cfRule>
  </conditionalFormatting>
  <conditionalFormatting sqref="D10:E31">
    <cfRule type="colorScale" priority="13251">
      <colorScale>
        <cfvo type="min"/>
        <cfvo type="percentile" val="50"/>
        <cfvo type="max"/>
        <color rgb="FFF8696B"/>
        <color rgb="FFFFEB84"/>
        <color rgb="FF63BE7B"/>
      </colorScale>
    </cfRule>
  </conditionalFormatting>
  <conditionalFormatting sqref="D10:E31">
    <cfRule type="colorScale" priority="13250">
      <colorScale>
        <cfvo type="min"/>
        <cfvo type="percentile" val="50"/>
        <cfvo type="max"/>
        <color rgb="FFF8696B"/>
        <color rgb="FFFFEB84"/>
        <color rgb="FF63BE7B"/>
      </colorScale>
    </cfRule>
  </conditionalFormatting>
  <conditionalFormatting sqref="D10:D31">
    <cfRule type="colorScale" priority="13249">
      <colorScale>
        <cfvo type="min"/>
        <cfvo type="percentile" val="50"/>
        <cfvo type="max"/>
        <color rgb="FFF8696B"/>
        <color rgb="FFFFEB84"/>
        <color rgb="FF63BE7B"/>
      </colorScale>
    </cfRule>
  </conditionalFormatting>
  <conditionalFormatting sqref="D10:D31">
    <cfRule type="colorScale" priority="13248">
      <colorScale>
        <cfvo type="min"/>
        <cfvo type="percentile" val="50"/>
        <cfvo type="max"/>
        <color rgb="FFF8696B"/>
        <color rgb="FFFFEB84"/>
        <color rgb="FF63BE7B"/>
      </colorScale>
    </cfRule>
  </conditionalFormatting>
  <conditionalFormatting sqref="D10:D31">
    <cfRule type="colorScale" priority="13247">
      <colorScale>
        <cfvo type="min"/>
        <cfvo type="percentile" val="50"/>
        <cfvo type="max"/>
        <color rgb="FFF8696B"/>
        <color rgb="FFFFEB84"/>
        <color rgb="FF63BE7B"/>
      </colorScale>
    </cfRule>
  </conditionalFormatting>
  <conditionalFormatting sqref="D10:D31">
    <cfRule type="colorScale" priority="13246">
      <colorScale>
        <cfvo type="min"/>
        <cfvo type="percentile" val="50"/>
        <cfvo type="max"/>
        <color rgb="FFF8696B"/>
        <color rgb="FFFFEB84"/>
        <color rgb="FF63BE7B"/>
      </colorScale>
    </cfRule>
  </conditionalFormatting>
  <conditionalFormatting sqref="D10:E31">
    <cfRule type="colorScale" priority="13245">
      <colorScale>
        <cfvo type="min"/>
        <cfvo type="percentile" val="50"/>
        <cfvo type="max"/>
        <color rgb="FFF8696B"/>
        <color rgb="FFFFEB84"/>
        <color rgb="FF63BE7B"/>
      </colorScale>
    </cfRule>
  </conditionalFormatting>
  <conditionalFormatting sqref="D10:E31">
    <cfRule type="colorScale" priority="13244">
      <colorScale>
        <cfvo type="min"/>
        <cfvo type="percentile" val="50"/>
        <cfvo type="max"/>
        <color rgb="FFF8696B"/>
        <color rgb="FFFFEB84"/>
        <color rgb="FF63BE7B"/>
      </colorScale>
    </cfRule>
  </conditionalFormatting>
  <conditionalFormatting sqref="D10:D31">
    <cfRule type="colorScale" priority="13243">
      <colorScale>
        <cfvo type="min"/>
        <cfvo type="percentile" val="50"/>
        <cfvo type="max"/>
        <color rgb="FFF8696B"/>
        <color rgb="FFFFEB84"/>
        <color rgb="FF63BE7B"/>
      </colorScale>
    </cfRule>
  </conditionalFormatting>
  <conditionalFormatting sqref="D10:D31">
    <cfRule type="colorScale" priority="13242">
      <colorScale>
        <cfvo type="min"/>
        <cfvo type="percentile" val="50"/>
        <cfvo type="max"/>
        <color rgb="FFF8696B"/>
        <color rgb="FFFFEB84"/>
        <color rgb="FF63BE7B"/>
      </colorScale>
    </cfRule>
  </conditionalFormatting>
  <conditionalFormatting sqref="D10:D31">
    <cfRule type="colorScale" priority="13241">
      <colorScale>
        <cfvo type="min"/>
        <cfvo type="percentile" val="50"/>
        <cfvo type="max"/>
        <color rgb="FFF8696B"/>
        <color rgb="FFFFEB84"/>
        <color rgb="FF63BE7B"/>
      </colorScale>
    </cfRule>
  </conditionalFormatting>
  <conditionalFormatting sqref="D10:D31">
    <cfRule type="colorScale" priority="13240">
      <colorScale>
        <cfvo type="min"/>
        <cfvo type="percentile" val="50"/>
        <cfvo type="max"/>
        <color rgb="FFF8696B"/>
        <color rgb="FFFFEB84"/>
        <color rgb="FF63BE7B"/>
      </colorScale>
    </cfRule>
  </conditionalFormatting>
  <conditionalFormatting sqref="D10:E31">
    <cfRule type="colorScale" priority="13239">
      <colorScale>
        <cfvo type="min"/>
        <cfvo type="percentile" val="50"/>
        <cfvo type="max"/>
        <color rgb="FFF8696B"/>
        <color rgb="FFFFEB84"/>
        <color rgb="FF63BE7B"/>
      </colorScale>
    </cfRule>
  </conditionalFormatting>
  <conditionalFormatting sqref="D10:E31">
    <cfRule type="colorScale" priority="13238">
      <colorScale>
        <cfvo type="min"/>
        <cfvo type="percentile" val="50"/>
        <cfvo type="max"/>
        <color rgb="FFF8696B"/>
        <color rgb="FFFFEB84"/>
        <color rgb="FF63BE7B"/>
      </colorScale>
    </cfRule>
  </conditionalFormatting>
  <conditionalFormatting sqref="D10:D31">
    <cfRule type="colorScale" priority="13237">
      <colorScale>
        <cfvo type="min"/>
        <cfvo type="percentile" val="50"/>
        <cfvo type="max"/>
        <color rgb="FFF8696B"/>
        <color rgb="FFFFEB84"/>
        <color rgb="FF63BE7B"/>
      </colorScale>
    </cfRule>
  </conditionalFormatting>
  <conditionalFormatting sqref="D10:D31">
    <cfRule type="colorScale" priority="13236">
      <colorScale>
        <cfvo type="min"/>
        <cfvo type="percentile" val="50"/>
        <cfvo type="max"/>
        <color rgb="FFF8696B"/>
        <color rgb="FFFFEB84"/>
        <color rgb="FF63BE7B"/>
      </colorScale>
    </cfRule>
  </conditionalFormatting>
  <conditionalFormatting sqref="D10:D31">
    <cfRule type="colorScale" priority="13235">
      <colorScale>
        <cfvo type="min"/>
        <cfvo type="percentile" val="50"/>
        <cfvo type="max"/>
        <color rgb="FFF8696B"/>
        <color rgb="FFFFEB84"/>
        <color rgb="FF63BE7B"/>
      </colorScale>
    </cfRule>
  </conditionalFormatting>
  <conditionalFormatting sqref="D10:D31">
    <cfRule type="colorScale" priority="13234">
      <colorScale>
        <cfvo type="min"/>
        <cfvo type="percentile" val="50"/>
        <cfvo type="max"/>
        <color rgb="FFF8696B"/>
        <color rgb="FFFFEB84"/>
        <color rgb="FF63BE7B"/>
      </colorScale>
    </cfRule>
  </conditionalFormatting>
  <conditionalFormatting sqref="D10:E31">
    <cfRule type="colorScale" priority="13233">
      <colorScale>
        <cfvo type="min"/>
        <cfvo type="percentile" val="50"/>
        <cfvo type="max"/>
        <color rgb="FFF8696B"/>
        <color rgb="FFFFEB84"/>
        <color rgb="FF63BE7B"/>
      </colorScale>
    </cfRule>
  </conditionalFormatting>
  <conditionalFormatting sqref="D10:E31">
    <cfRule type="colorScale" priority="13232">
      <colorScale>
        <cfvo type="min"/>
        <cfvo type="percentile" val="50"/>
        <cfvo type="max"/>
        <color rgb="FFF8696B"/>
        <color rgb="FFFFEB84"/>
        <color rgb="FF63BE7B"/>
      </colorScale>
    </cfRule>
  </conditionalFormatting>
  <conditionalFormatting sqref="D10:E31">
    <cfRule type="colorScale" priority="13231">
      <colorScale>
        <cfvo type="min"/>
        <cfvo type="percentile" val="50"/>
        <cfvo type="max"/>
        <color rgb="FFF8696B"/>
        <color rgb="FFFFEB84"/>
        <color rgb="FF63BE7B"/>
      </colorScale>
    </cfRule>
  </conditionalFormatting>
  <conditionalFormatting sqref="D10:E31">
    <cfRule type="colorScale" priority="13230">
      <colorScale>
        <cfvo type="min"/>
        <cfvo type="percentile" val="50"/>
        <cfvo type="max"/>
        <color rgb="FFF8696B"/>
        <color rgb="FFFFEB84"/>
        <color rgb="FF63BE7B"/>
      </colorScale>
    </cfRule>
  </conditionalFormatting>
  <conditionalFormatting sqref="D10:D31">
    <cfRule type="colorScale" priority="13229">
      <colorScale>
        <cfvo type="min"/>
        <cfvo type="percentile" val="50"/>
        <cfvo type="max"/>
        <color rgb="FFF8696B"/>
        <color rgb="FFFFEB84"/>
        <color rgb="FF63BE7B"/>
      </colorScale>
    </cfRule>
  </conditionalFormatting>
  <conditionalFormatting sqref="D10:D31">
    <cfRule type="colorScale" priority="13228">
      <colorScale>
        <cfvo type="min"/>
        <cfvo type="percentile" val="50"/>
        <cfvo type="max"/>
        <color rgb="FFF8696B"/>
        <color rgb="FFFFEB84"/>
        <color rgb="FF63BE7B"/>
      </colorScale>
    </cfRule>
  </conditionalFormatting>
  <conditionalFormatting sqref="D10:D31">
    <cfRule type="colorScale" priority="13227">
      <colorScale>
        <cfvo type="min"/>
        <cfvo type="percentile" val="50"/>
        <cfvo type="max"/>
        <color rgb="FFF8696B"/>
        <color rgb="FFFFEB84"/>
        <color rgb="FF63BE7B"/>
      </colorScale>
    </cfRule>
  </conditionalFormatting>
  <conditionalFormatting sqref="D10:D31">
    <cfRule type="colorScale" priority="13226">
      <colorScale>
        <cfvo type="min"/>
        <cfvo type="percentile" val="50"/>
        <cfvo type="max"/>
        <color rgb="FFF8696B"/>
        <color rgb="FFFFEB84"/>
        <color rgb="FF63BE7B"/>
      </colorScale>
    </cfRule>
  </conditionalFormatting>
  <conditionalFormatting sqref="D10:E31">
    <cfRule type="colorScale" priority="13225">
      <colorScale>
        <cfvo type="min"/>
        <cfvo type="percentile" val="50"/>
        <cfvo type="max"/>
        <color rgb="FFF8696B"/>
        <color rgb="FFFFEB84"/>
        <color rgb="FF63BE7B"/>
      </colorScale>
    </cfRule>
  </conditionalFormatting>
  <conditionalFormatting sqref="D10:E31">
    <cfRule type="colorScale" priority="13224">
      <colorScale>
        <cfvo type="min"/>
        <cfvo type="percentile" val="50"/>
        <cfvo type="max"/>
        <color rgb="FFF8696B"/>
        <color rgb="FFFFEB84"/>
        <color rgb="FF63BE7B"/>
      </colorScale>
    </cfRule>
  </conditionalFormatting>
  <conditionalFormatting sqref="D10:D31">
    <cfRule type="colorScale" priority="13223">
      <colorScale>
        <cfvo type="min"/>
        <cfvo type="percentile" val="50"/>
        <cfvo type="max"/>
        <color rgb="FFF8696B"/>
        <color rgb="FFFFEB84"/>
        <color rgb="FF63BE7B"/>
      </colorScale>
    </cfRule>
  </conditionalFormatting>
  <conditionalFormatting sqref="D10:D31">
    <cfRule type="colorScale" priority="13222">
      <colorScale>
        <cfvo type="min"/>
        <cfvo type="percentile" val="50"/>
        <cfvo type="max"/>
        <color rgb="FFF8696B"/>
        <color rgb="FFFFEB84"/>
        <color rgb="FF63BE7B"/>
      </colorScale>
    </cfRule>
  </conditionalFormatting>
  <conditionalFormatting sqref="D10:D31">
    <cfRule type="colorScale" priority="13221">
      <colorScale>
        <cfvo type="min"/>
        <cfvo type="percentile" val="50"/>
        <cfvo type="max"/>
        <color rgb="FFF8696B"/>
        <color rgb="FFFFEB84"/>
        <color rgb="FF63BE7B"/>
      </colorScale>
    </cfRule>
  </conditionalFormatting>
  <conditionalFormatting sqref="D10:D31">
    <cfRule type="colorScale" priority="13220">
      <colorScale>
        <cfvo type="min"/>
        <cfvo type="percentile" val="50"/>
        <cfvo type="max"/>
        <color rgb="FFF8696B"/>
        <color rgb="FFFFEB84"/>
        <color rgb="FF63BE7B"/>
      </colorScale>
    </cfRule>
  </conditionalFormatting>
  <conditionalFormatting sqref="D10:E31">
    <cfRule type="colorScale" priority="13219">
      <colorScale>
        <cfvo type="min"/>
        <cfvo type="percentile" val="50"/>
        <cfvo type="max"/>
        <color rgb="FFF8696B"/>
        <color rgb="FFFFEB84"/>
        <color rgb="FF63BE7B"/>
      </colorScale>
    </cfRule>
  </conditionalFormatting>
  <conditionalFormatting sqref="D10:E31">
    <cfRule type="colorScale" priority="13218">
      <colorScale>
        <cfvo type="min"/>
        <cfvo type="percentile" val="50"/>
        <cfvo type="max"/>
        <color rgb="FFF8696B"/>
        <color rgb="FFFFEB84"/>
        <color rgb="FF63BE7B"/>
      </colorScale>
    </cfRule>
  </conditionalFormatting>
  <conditionalFormatting sqref="D10:D31">
    <cfRule type="colorScale" priority="13217">
      <colorScale>
        <cfvo type="min"/>
        <cfvo type="percentile" val="50"/>
        <cfvo type="max"/>
        <color rgb="FFF8696B"/>
        <color rgb="FFFFEB84"/>
        <color rgb="FF63BE7B"/>
      </colorScale>
    </cfRule>
  </conditionalFormatting>
  <conditionalFormatting sqref="D10:D31">
    <cfRule type="colorScale" priority="13216">
      <colorScale>
        <cfvo type="min"/>
        <cfvo type="percentile" val="50"/>
        <cfvo type="max"/>
        <color rgb="FFF8696B"/>
        <color rgb="FFFFEB84"/>
        <color rgb="FF63BE7B"/>
      </colorScale>
    </cfRule>
  </conditionalFormatting>
  <conditionalFormatting sqref="D10:D31">
    <cfRule type="colorScale" priority="13215">
      <colorScale>
        <cfvo type="min"/>
        <cfvo type="percentile" val="50"/>
        <cfvo type="max"/>
        <color rgb="FFF8696B"/>
        <color rgb="FFFFEB84"/>
        <color rgb="FF63BE7B"/>
      </colorScale>
    </cfRule>
  </conditionalFormatting>
  <conditionalFormatting sqref="D10:D31">
    <cfRule type="colorScale" priority="13214">
      <colorScale>
        <cfvo type="min"/>
        <cfvo type="percentile" val="50"/>
        <cfvo type="max"/>
        <color rgb="FFF8696B"/>
        <color rgb="FFFFEB84"/>
        <color rgb="FF63BE7B"/>
      </colorScale>
    </cfRule>
  </conditionalFormatting>
  <conditionalFormatting sqref="D10:E31">
    <cfRule type="colorScale" priority="13213">
      <colorScale>
        <cfvo type="min"/>
        <cfvo type="percentile" val="50"/>
        <cfvo type="max"/>
        <color rgb="FFF8696B"/>
        <color rgb="FFFFEB84"/>
        <color rgb="FF63BE7B"/>
      </colorScale>
    </cfRule>
  </conditionalFormatting>
  <conditionalFormatting sqref="D10:E31">
    <cfRule type="colorScale" priority="13212">
      <colorScale>
        <cfvo type="min"/>
        <cfvo type="percentile" val="50"/>
        <cfvo type="max"/>
        <color rgb="FFF8696B"/>
        <color rgb="FFFFEB84"/>
        <color rgb="FF63BE7B"/>
      </colorScale>
    </cfRule>
  </conditionalFormatting>
  <conditionalFormatting sqref="D10:E31">
    <cfRule type="colorScale" priority="13211">
      <colorScale>
        <cfvo type="min"/>
        <cfvo type="percentile" val="50"/>
        <cfvo type="max"/>
        <color rgb="FFF8696B"/>
        <color rgb="FFFFEB84"/>
        <color rgb="FF63BE7B"/>
      </colorScale>
    </cfRule>
  </conditionalFormatting>
  <conditionalFormatting sqref="D10:E31">
    <cfRule type="colorScale" priority="13210">
      <colorScale>
        <cfvo type="min"/>
        <cfvo type="percentile" val="50"/>
        <cfvo type="max"/>
        <color rgb="FFF8696B"/>
        <color rgb="FFFFEB84"/>
        <color rgb="FF63BE7B"/>
      </colorScale>
    </cfRule>
  </conditionalFormatting>
  <conditionalFormatting sqref="D10:D31">
    <cfRule type="colorScale" priority="13209">
      <colorScale>
        <cfvo type="min"/>
        <cfvo type="percentile" val="50"/>
        <cfvo type="max"/>
        <color rgb="FFF8696B"/>
        <color rgb="FFFFEB84"/>
        <color rgb="FF63BE7B"/>
      </colorScale>
    </cfRule>
  </conditionalFormatting>
  <conditionalFormatting sqref="D10:D31">
    <cfRule type="colorScale" priority="13208">
      <colorScale>
        <cfvo type="min"/>
        <cfvo type="percentile" val="50"/>
        <cfvo type="max"/>
        <color rgb="FFF8696B"/>
        <color rgb="FFFFEB84"/>
        <color rgb="FF63BE7B"/>
      </colorScale>
    </cfRule>
  </conditionalFormatting>
  <conditionalFormatting sqref="D10:D31">
    <cfRule type="colorScale" priority="13207">
      <colorScale>
        <cfvo type="min"/>
        <cfvo type="percentile" val="50"/>
        <cfvo type="max"/>
        <color rgb="FFF8696B"/>
        <color rgb="FFFFEB84"/>
        <color rgb="FF63BE7B"/>
      </colorScale>
    </cfRule>
  </conditionalFormatting>
  <conditionalFormatting sqref="D10:D31">
    <cfRule type="colorScale" priority="13206">
      <colorScale>
        <cfvo type="min"/>
        <cfvo type="percentile" val="50"/>
        <cfvo type="max"/>
        <color rgb="FFF8696B"/>
        <color rgb="FFFFEB84"/>
        <color rgb="FF63BE7B"/>
      </colorScale>
    </cfRule>
  </conditionalFormatting>
  <conditionalFormatting sqref="D10:E31">
    <cfRule type="colorScale" priority="13205">
      <colorScale>
        <cfvo type="min"/>
        <cfvo type="percentile" val="50"/>
        <cfvo type="max"/>
        <color rgb="FFF8696B"/>
        <color rgb="FFFFEB84"/>
        <color rgb="FF63BE7B"/>
      </colorScale>
    </cfRule>
  </conditionalFormatting>
  <conditionalFormatting sqref="D10:E31">
    <cfRule type="colorScale" priority="13204">
      <colorScale>
        <cfvo type="min"/>
        <cfvo type="percentile" val="50"/>
        <cfvo type="max"/>
        <color rgb="FFF8696B"/>
        <color rgb="FFFFEB84"/>
        <color rgb="FF63BE7B"/>
      </colorScale>
    </cfRule>
  </conditionalFormatting>
  <conditionalFormatting sqref="D10:D31">
    <cfRule type="colorScale" priority="13203">
      <colorScale>
        <cfvo type="min"/>
        <cfvo type="percentile" val="50"/>
        <cfvo type="max"/>
        <color rgb="FFF8696B"/>
        <color rgb="FFFFEB84"/>
        <color rgb="FF63BE7B"/>
      </colorScale>
    </cfRule>
  </conditionalFormatting>
  <conditionalFormatting sqref="D10:D31">
    <cfRule type="colorScale" priority="13202">
      <colorScale>
        <cfvo type="min"/>
        <cfvo type="percentile" val="50"/>
        <cfvo type="max"/>
        <color rgb="FFF8696B"/>
        <color rgb="FFFFEB84"/>
        <color rgb="FF63BE7B"/>
      </colorScale>
    </cfRule>
  </conditionalFormatting>
  <conditionalFormatting sqref="D10:D31">
    <cfRule type="colorScale" priority="13201">
      <colorScale>
        <cfvo type="min"/>
        <cfvo type="percentile" val="50"/>
        <cfvo type="max"/>
        <color rgb="FFF8696B"/>
        <color rgb="FFFFEB84"/>
        <color rgb="FF63BE7B"/>
      </colorScale>
    </cfRule>
  </conditionalFormatting>
  <conditionalFormatting sqref="D10:D31">
    <cfRule type="colorScale" priority="13200">
      <colorScale>
        <cfvo type="min"/>
        <cfvo type="percentile" val="50"/>
        <cfvo type="max"/>
        <color rgb="FFF8696B"/>
        <color rgb="FFFFEB84"/>
        <color rgb="FF63BE7B"/>
      </colorScale>
    </cfRule>
  </conditionalFormatting>
  <conditionalFormatting sqref="D10:E31">
    <cfRule type="colorScale" priority="13199">
      <colorScale>
        <cfvo type="min"/>
        <cfvo type="percentile" val="50"/>
        <cfvo type="max"/>
        <color rgb="FFF8696B"/>
        <color rgb="FFFFEB84"/>
        <color rgb="FF63BE7B"/>
      </colorScale>
    </cfRule>
  </conditionalFormatting>
  <conditionalFormatting sqref="D10:E31">
    <cfRule type="colorScale" priority="13198">
      <colorScale>
        <cfvo type="min"/>
        <cfvo type="percentile" val="50"/>
        <cfvo type="max"/>
        <color rgb="FFF8696B"/>
        <color rgb="FFFFEB84"/>
        <color rgb="FF63BE7B"/>
      </colorScale>
    </cfRule>
  </conditionalFormatting>
  <conditionalFormatting sqref="D10:D31">
    <cfRule type="colorScale" priority="13197">
      <colorScale>
        <cfvo type="min"/>
        <cfvo type="percentile" val="50"/>
        <cfvo type="max"/>
        <color rgb="FFF8696B"/>
        <color rgb="FFFFEB84"/>
        <color rgb="FF63BE7B"/>
      </colorScale>
    </cfRule>
  </conditionalFormatting>
  <conditionalFormatting sqref="D10:D31">
    <cfRule type="colorScale" priority="13196">
      <colorScale>
        <cfvo type="min"/>
        <cfvo type="percentile" val="50"/>
        <cfvo type="max"/>
        <color rgb="FFF8696B"/>
        <color rgb="FFFFEB84"/>
        <color rgb="FF63BE7B"/>
      </colorScale>
    </cfRule>
  </conditionalFormatting>
  <conditionalFormatting sqref="D10:D31">
    <cfRule type="colorScale" priority="13195">
      <colorScale>
        <cfvo type="min"/>
        <cfvo type="percentile" val="50"/>
        <cfvo type="max"/>
        <color rgb="FFF8696B"/>
        <color rgb="FFFFEB84"/>
        <color rgb="FF63BE7B"/>
      </colorScale>
    </cfRule>
  </conditionalFormatting>
  <conditionalFormatting sqref="D10:D31">
    <cfRule type="colorScale" priority="13194">
      <colorScale>
        <cfvo type="min"/>
        <cfvo type="percentile" val="50"/>
        <cfvo type="max"/>
        <color rgb="FFF8696B"/>
        <color rgb="FFFFEB84"/>
        <color rgb="FF63BE7B"/>
      </colorScale>
    </cfRule>
  </conditionalFormatting>
  <conditionalFormatting sqref="D10:E31">
    <cfRule type="colorScale" priority="13193">
      <colorScale>
        <cfvo type="min"/>
        <cfvo type="percentile" val="50"/>
        <cfvo type="max"/>
        <color rgb="FFF8696B"/>
        <color rgb="FFFFEB84"/>
        <color rgb="FF63BE7B"/>
      </colorScale>
    </cfRule>
  </conditionalFormatting>
  <conditionalFormatting sqref="D10:E31">
    <cfRule type="colorScale" priority="13192">
      <colorScale>
        <cfvo type="min"/>
        <cfvo type="percentile" val="50"/>
        <cfvo type="max"/>
        <color rgb="FFF8696B"/>
        <color rgb="FFFFEB84"/>
        <color rgb="FF63BE7B"/>
      </colorScale>
    </cfRule>
  </conditionalFormatting>
  <conditionalFormatting sqref="D10:D31">
    <cfRule type="colorScale" priority="13191">
      <colorScale>
        <cfvo type="min"/>
        <cfvo type="percentile" val="50"/>
        <cfvo type="max"/>
        <color rgb="FFF8696B"/>
        <color rgb="FFFFEB84"/>
        <color rgb="FF63BE7B"/>
      </colorScale>
    </cfRule>
  </conditionalFormatting>
  <conditionalFormatting sqref="D10:D31">
    <cfRule type="colorScale" priority="13190">
      <colorScale>
        <cfvo type="min"/>
        <cfvo type="percentile" val="50"/>
        <cfvo type="max"/>
        <color rgb="FFF8696B"/>
        <color rgb="FFFFEB84"/>
        <color rgb="FF63BE7B"/>
      </colorScale>
    </cfRule>
  </conditionalFormatting>
  <conditionalFormatting sqref="E10:E31">
    <cfRule type="colorScale" priority="13189">
      <colorScale>
        <cfvo type="min"/>
        <cfvo type="percentile" val="50"/>
        <cfvo type="max"/>
        <color rgb="FFF8696B"/>
        <color rgb="FFFFEB84"/>
        <color rgb="FF63BE7B"/>
      </colorScale>
    </cfRule>
  </conditionalFormatting>
  <conditionalFormatting sqref="E10:E31">
    <cfRule type="colorScale" priority="13188">
      <colorScale>
        <cfvo type="min"/>
        <cfvo type="percentile" val="50"/>
        <cfvo type="max"/>
        <color rgb="FFF8696B"/>
        <color rgb="FFFFEB84"/>
        <color rgb="FF63BE7B"/>
      </colorScale>
    </cfRule>
  </conditionalFormatting>
  <conditionalFormatting sqref="D10:E31">
    <cfRule type="colorScale" priority="13187">
      <colorScale>
        <cfvo type="min"/>
        <cfvo type="percentile" val="50"/>
        <cfvo type="max"/>
        <color rgb="FFF8696B"/>
        <color rgb="FFFFEB84"/>
        <color rgb="FF63BE7B"/>
      </colorScale>
    </cfRule>
  </conditionalFormatting>
  <conditionalFormatting sqref="D10:E31">
    <cfRule type="colorScale" priority="13186">
      <colorScale>
        <cfvo type="min"/>
        <cfvo type="percentile" val="50"/>
        <cfvo type="max"/>
        <color rgb="FFF8696B"/>
        <color rgb="FFFFEB84"/>
        <color rgb="FF63BE7B"/>
      </colorScale>
    </cfRule>
  </conditionalFormatting>
  <conditionalFormatting sqref="D10:E31">
    <cfRule type="colorScale" priority="13185">
      <colorScale>
        <cfvo type="min"/>
        <cfvo type="percentile" val="50"/>
        <cfvo type="max"/>
        <color rgb="FFF8696B"/>
        <color rgb="FFFFEB84"/>
        <color rgb="FF63BE7B"/>
      </colorScale>
    </cfRule>
  </conditionalFormatting>
  <conditionalFormatting sqref="D10:E31">
    <cfRule type="colorScale" priority="13184">
      <colorScale>
        <cfvo type="min"/>
        <cfvo type="percentile" val="50"/>
        <cfvo type="max"/>
        <color rgb="FFF8696B"/>
        <color rgb="FFFFEB84"/>
        <color rgb="FF63BE7B"/>
      </colorScale>
    </cfRule>
  </conditionalFormatting>
  <conditionalFormatting sqref="D10:D31">
    <cfRule type="colorScale" priority="13183">
      <colorScale>
        <cfvo type="min"/>
        <cfvo type="percentile" val="50"/>
        <cfvo type="max"/>
        <color rgb="FFF8696B"/>
        <color rgb="FFFFEB84"/>
        <color rgb="FF63BE7B"/>
      </colorScale>
    </cfRule>
  </conditionalFormatting>
  <conditionalFormatting sqref="D10:D31">
    <cfRule type="colorScale" priority="13182">
      <colorScale>
        <cfvo type="min"/>
        <cfvo type="percentile" val="50"/>
        <cfvo type="max"/>
        <color rgb="FFF8696B"/>
        <color rgb="FFFFEB84"/>
        <color rgb="FF63BE7B"/>
      </colorScale>
    </cfRule>
  </conditionalFormatting>
  <conditionalFormatting sqref="D10:D29">
    <cfRule type="colorScale" priority="13181">
      <colorScale>
        <cfvo type="min"/>
        <cfvo type="percentile" val="50"/>
        <cfvo type="max"/>
        <color rgb="FFF8696B"/>
        <color rgb="FFFFEB84"/>
        <color rgb="FF63BE7B"/>
      </colorScale>
    </cfRule>
  </conditionalFormatting>
  <conditionalFormatting sqref="D10:D29">
    <cfRule type="colorScale" priority="13180">
      <colorScale>
        <cfvo type="min"/>
        <cfvo type="percentile" val="50"/>
        <cfvo type="max"/>
        <color rgb="FFF8696B"/>
        <color rgb="FFFFEB84"/>
        <color rgb="FF63BE7B"/>
      </colorScale>
    </cfRule>
  </conditionalFormatting>
  <conditionalFormatting sqref="D10:D31">
    <cfRule type="colorScale" priority="13179">
      <colorScale>
        <cfvo type="min"/>
        <cfvo type="percentile" val="50"/>
        <cfvo type="max"/>
        <color rgb="FFF8696B"/>
        <color rgb="FFFFEB84"/>
        <color rgb="FF63BE7B"/>
      </colorScale>
    </cfRule>
  </conditionalFormatting>
  <conditionalFormatting sqref="D10:D31">
    <cfRule type="colorScale" priority="13178">
      <colorScale>
        <cfvo type="min"/>
        <cfvo type="percentile" val="50"/>
        <cfvo type="max"/>
        <color rgb="FFF8696B"/>
        <color rgb="FFFFEB84"/>
        <color rgb="FF63BE7B"/>
      </colorScale>
    </cfRule>
  </conditionalFormatting>
  <conditionalFormatting sqref="D10:F31">
    <cfRule type="colorScale" priority="13177">
      <colorScale>
        <cfvo type="min"/>
        <cfvo type="percentile" val="50"/>
        <cfvo type="max"/>
        <color rgb="FFF8696B"/>
        <color rgb="FFFFEB84"/>
        <color rgb="FF63BE7B"/>
      </colorScale>
    </cfRule>
  </conditionalFormatting>
  <conditionalFormatting sqref="D10:F31">
    <cfRule type="colorScale" priority="13176">
      <colorScale>
        <cfvo type="min"/>
        <cfvo type="percentile" val="50"/>
        <cfvo type="max"/>
        <color rgb="FFF8696B"/>
        <color rgb="FFFFEB84"/>
        <color rgb="FF63BE7B"/>
      </colorScale>
    </cfRule>
  </conditionalFormatting>
  <conditionalFormatting sqref="D10:F31">
    <cfRule type="colorScale" priority="13175">
      <colorScale>
        <cfvo type="min"/>
        <cfvo type="percentile" val="50"/>
        <cfvo type="max"/>
        <color rgb="FFF8696B"/>
        <color rgb="FFFFEB84"/>
        <color rgb="FF63BE7B"/>
      </colorScale>
    </cfRule>
  </conditionalFormatting>
  <conditionalFormatting sqref="D10:F31">
    <cfRule type="colorScale" priority="13174">
      <colorScale>
        <cfvo type="min"/>
        <cfvo type="percentile" val="50"/>
        <cfvo type="max"/>
        <color rgb="FFF8696B"/>
        <color rgb="FFFFEB84"/>
        <color rgb="FF63BE7B"/>
      </colorScale>
    </cfRule>
  </conditionalFormatting>
  <conditionalFormatting sqref="D10:F31">
    <cfRule type="colorScale" priority="13173">
      <colorScale>
        <cfvo type="min"/>
        <cfvo type="percentile" val="50"/>
        <cfvo type="max"/>
        <color rgb="FFF8696B"/>
        <color rgb="FFFFEB84"/>
        <color rgb="FF63BE7B"/>
      </colorScale>
    </cfRule>
  </conditionalFormatting>
  <conditionalFormatting sqref="D10:F31">
    <cfRule type="colorScale" priority="13172">
      <colorScale>
        <cfvo type="min"/>
        <cfvo type="percentile" val="50"/>
        <cfvo type="max"/>
        <color rgb="FFF8696B"/>
        <color rgb="FFFFEB84"/>
        <color rgb="FF63BE7B"/>
      </colorScale>
    </cfRule>
  </conditionalFormatting>
  <conditionalFormatting sqref="D10:E31">
    <cfRule type="colorScale" priority="13171">
      <colorScale>
        <cfvo type="min"/>
        <cfvo type="percentile" val="50"/>
        <cfvo type="max"/>
        <color rgb="FFF8696B"/>
        <color rgb="FFFFEB84"/>
        <color rgb="FF63BE7B"/>
      </colorScale>
    </cfRule>
  </conditionalFormatting>
  <conditionalFormatting sqref="D10:E31">
    <cfRule type="colorScale" priority="13170">
      <colorScale>
        <cfvo type="min"/>
        <cfvo type="percentile" val="50"/>
        <cfvo type="max"/>
        <color rgb="FFF8696B"/>
        <color rgb="FFFFEB84"/>
        <color rgb="FF63BE7B"/>
      </colorScale>
    </cfRule>
  </conditionalFormatting>
  <conditionalFormatting sqref="D10:E31">
    <cfRule type="colorScale" priority="13169">
      <colorScale>
        <cfvo type="min"/>
        <cfvo type="percentile" val="50"/>
        <cfvo type="max"/>
        <color rgb="FFF8696B"/>
        <color rgb="FFFFEB84"/>
        <color rgb="FF63BE7B"/>
      </colorScale>
    </cfRule>
  </conditionalFormatting>
  <conditionalFormatting sqref="D10:E31">
    <cfRule type="colorScale" priority="13168">
      <colorScale>
        <cfvo type="min"/>
        <cfvo type="percentile" val="50"/>
        <cfvo type="max"/>
        <color rgb="FFF8696B"/>
        <color rgb="FFFFEB84"/>
        <color rgb="FF63BE7B"/>
      </colorScale>
    </cfRule>
  </conditionalFormatting>
  <conditionalFormatting sqref="D10:E31">
    <cfRule type="colorScale" priority="13167">
      <colorScale>
        <cfvo type="min"/>
        <cfvo type="percentile" val="50"/>
        <cfvo type="max"/>
        <color rgb="FFF8696B"/>
        <color rgb="FFFFEB84"/>
        <color rgb="FF63BE7B"/>
      </colorScale>
    </cfRule>
  </conditionalFormatting>
  <conditionalFormatting sqref="D10:E31">
    <cfRule type="colorScale" priority="13166">
      <colorScale>
        <cfvo type="min"/>
        <cfvo type="percentile" val="50"/>
        <cfvo type="max"/>
        <color rgb="FFF8696B"/>
        <color rgb="FFFFEB84"/>
        <color rgb="FF63BE7B"/>
      </colorScale>
    </cfRule>
  </conditionalFormatting>
  <conditionalFormatting sqref="E10:E31">
    <cfRule type="colorScale" priority="13165">
      <colorScale>
        <cfvo type="min"/>
        <cfvo type="percentile" val="50"/>
        <cfvo type="max"/>
        <color rgb="FFF8696B"/>
        <color rgb="FFFFEB84"/>
        <color rgb="FF63BE7B"/>
      </colorScale>
    </cfRule>
  </conditionalFormatting>
  <conditionalFormatting sqref="E10:E31">
    <cfRule type="colorScale" priority="13164">
      <colorScale>
        <cfvo type="min"/>
        <cfvo type="percentile" val="50"/>
        <cfvo type="max"/>
        <color rgb="FFF8696B"/>
        <color rgb="FFFFEB84"/>
        <color rgb="FF63BE7B"/>
      </colorScale>
    </cfRule>
  </conditionalFormatting>
  <conditionalFormatting sqref="J10:J31">
    <cfRule type="colorScale" priority="13163">
      <colorScale>
        <cfvo type="min"/>
        <cfvo type="percentile" val="50"/>
        <cfvo type="max"/>
        <color rgb="FFF8696B"/>
        <color rgb="FFFFEB84"/>
        <color rgb="FF63BE7B"/>
      </colorScale>
    </cfRule>
  </conditionalFormatting>
  <conditionalFormatting sqref="H10:I31 D10:F31">
    <cfRule type="colorScale" priority="13162">
      <colorScale>
        <cfvo type="min"/>
        <cfvo type="percentile" val="50"/>
        <cfvo type="max"/>
        <color rgb="FFF8696B"/>
        <color rgb="FFFFEB84"/>
        <color rgb="FF63BE7B"/>
      </colorScale>
    </cfRule>
  </conditionalFormatting>
  <conditionalFormatting sqref="D10:E31">
    <cfRule type="colorScale" priority="13161">
      <colorScale>
        <cfvo type="min"/>
        <cfvo type="percentile" val="50"/>
        <cfvo type="max"/>
        <color rgb="FFF8696B"/>
        <color rgb="FFFFEB84"/>
        <color rgb="FF63BE7B"/>
      </colorScale>
    </cfRule>
  </conditionalFormatting>
  <conditionalFormatting sqref="D10:E31">
    <cfRule type="colorScale" priority="13160">
      <colorScale>
        <cfvo type="min"/>
        <cfvo type="percentile" val="50"/>
        <cfvo type="max"/>
        <color rgb="FFF8696B"/>
        <color rgb="FFFFEB84"/>
        <color rgb="FF63BE7B"/>
      </colorScale>
    </cfRule>
  </conditionalFormatting>
  <conditionalFormatting sqref="D10:E31">
    <cfRule type="colorScale" priority="13159">
      <colorScale>
        <cfvo type="min"/>
        <cfvo type="percentile" val="50"/>
        <cfvo type="max"/>
        <color rgb="FFF8696B"/>
        <color rgb="FFFFEB84"/>
        <color rgb="FF63BE7B"/>
      </colorScale>
    </cfRule>
  </conditionalFormatting>
  <conditionalFormatting sqref="D10:E31">
    <cfRule type="colorScale" priority="13158">
      <colorScale>
        <cfvo type="min"/>
        <cfvo type="percentile" val="50"/>
        <cfvo type="max"/>
        <color rgb="FFF8696B"/>
        <color rgb="FFFFEB84"/>
        <color rgb="FF63BE7B"/>
      </colorScale>
    </cfRule>
  </conditionalFormatting>
  <conditionalFormatting sqref="D10:E31">
    <cfRule type="colorScale" priority="13157">
      <colorScale>
        <cfvo type="min"/>
        <cfvo type="percentile" val="50"/>
        <cfvo type="max"/>
        <color rgb="FFF8696B"/>
        <color rgb="FFFFEB84"/>
        <color rgb="FF63BE7B"/>
      </colorScale>
    </cfRule>
  </conditionalFormatting>
  <conditionalFormatting sqref="D10:E31">
    <cfRule type="colorScale" priority="13156">
      <colorScale>
        <cfvo type="min"/>
        <cfvo type="percentile" val="50"/>
        <cfvo type="max"/>
        <color rgb="FFF8696B"/>
        <color rgb="FFFFEB84"/>
        <color rgb="FF63BE7B"/>
      </colorScale>
    </cfRule>
  </conditionalFormatting>
  <conditionalFormatting sqref="D10:E31">
    <cfRule type="colorScale" priority="13155">
      <colorScale>
        <cfvo type="min"/>
        <cfvo type="percentile" val="50"/>
        <cfvo type="max"/>
        <color rgb="FFF8696B"/>
        <color rgb="FFFFEB84"/>
        <color rgb="FF63BE7B"/>
      </colorScale>
    </cfRule>
  </conditionalFormatting>
  <conditionalFormatting sqref="D10:E31">
    <cfRule type="colorScale" priority="13154">
      <colorScale>
        <cfvo type="min"/>
        <cfvo type="percentile" val="50"/>
        <cfvo type="max"/>
        <color rgb="FFF8696B"/>
        <color rgb="FFFFEB84"/>
        <color rgb="FF63BE7B"/>
      </colorScale>
    </cfRule>
  </conditionalFormatting>
  <conditionalFormatting sqref="D10:D31">
    <cfRule type="colorScale" priority="13153">
      <colorScale>
        <cfvo type="min"/>
        <cfvo type="percentile" val="50"/>
        <cfvo type="max"/>
        <color rgb="FFF8696B"/>
        <color rgb="FFFFEB84"/>
        <color rgb="FF63BE7B"/>
      </colorScale>
    </cfRule>
  </conditionalFormatting>
  <conditionalFormatting sqref="D10:E31">
    <cfRule type="colorScale" priority="13152">
      <colorScale>
        <cfvo type="min"/>
        <cfvo type="percentile" val="50"/>
        <cfvo type="max"/>
        <color rgb="FFF8696B"/>
        <color rgb="FFFFEB84"/>
        <color rgb="FF63BE7B"/>
      </colorScale>
    </cfRule>
  </conditionalFormatting>
  <conditionalFormatting sqref="D10:E31">
    <cfRule type="colorScale" priority="13151">
      <colorScale>
        <cfvo type="min"/>
        <cfvo type="percentile" val="50"/>
        <cfvo type="max"/>
        <color rgb="FFF8696B"/>
        <color rgb="FFFFEB84"/>
        <color rgb="FF63BE7B"/>
      </colorScale>
    </cfRule>
  </conditionalFormatting>
  <conditionalFormatting sqref="D10:E31">
    <cfRule type="colorScale" priority="13150">
      <colorScale>
        <cfvo type="min"/>
        <cfvo type="percentile" val="50"/>
        <cfvo type="max"/>
        <color rgb="FFF8696B"/>
        <color rgb="FFFFEB84"/>
        <color rgb="FF63BE7B"/>
      </colorScale>
    </cfRule>
  </conditionalFormatting>
  <conditionalFormatting sqref="D10:D31">
    <cfRule type="colorScale" priority="13149">
      <colorScale>
        <cfvo type="min"/>
        <cfvo type="percentile" val="50"/>
        <cfvo type="max"/>
        <color rgb="FFF8696B"/>
        <color rgb="FFFFEB84"/>
        <color rgb="FF63BE7B"/>
      </colorScale>
    </cfRule>
  </conditionalFormatting>
  <conditionalFormatting sqref="D10:E31">
    <cfRule type="colorScale" priority="13148">
      <colorScale>
        <cfvo type="min"/>
        <cfvo type="percentile" val="50"/>
        <cfvo type="max"/>
        <color rgb="FFF8696B"/>
        <color rgb="FFFFEB84"/>
        <color rgb="FF63BE7B"/>
      </colorScale>
    </cfRule>
  </conditionalFormatting>
  <conditionalFormatting sqref="D10:E31">
    <cfRule type="colorScale" priority="13147">
      <colorScale>
        <cfvo type="min"/>
        <cfvo type="percentile" val="50"/>
        <cfvo type="max"/>
        <color rgb="FFF8696B"/>
        <color rgb="FFFFEB84"/>
        <color rgb="FF63BE7B"/>
      </colorScale>
    </cfRule>
  </conditionalFormatting>
  <conditionalFormatting sqref="D10:E31">
    <cfRule type="colorScale" priority="13146">
      <colorScale>
        <cfvo type="min"/>
        <cfvo type="percentile" val="50"/>
        <cfvo type="max"/>
        <color rgb="FFF8696B"/>
        <color rgb="FFFFEB84"/>
        <color rgb="FF63BE7B"/>
      </colorScale>
    </cfRule>
  </conditionalFormatting>
  <conditionalFormatting sqref="D10:E31">
    <cfRule type="colorScale" priority="13145">
      <colorScale>
        <cfvo type="min"/>
        <cfvo type="percentile" val="50"/>
        <cfvo type="max"/>
        <color rgb="FFF8696B"/>
        <color rgb="FFFFEB84"/>
        <color rgb="FF63BE7B"/>
      </colorScale>
    </cfRule>
  </conditionalFormatting>
  <conditionalFormatting sqref="D10:E31">
    <cfRule type="colorScale" priority="13144">
      <colorScale>
        <cfvo type="min"/>
        <cfvo type="percentile" val="50"/>
        <cfvo type="max"/>
        <color rgb="FFF8696B"/>
        <color rgb="FFFFEB84"/>
        <color rgb="FF63BE7B"/>
      </colorScale>
    </cfRule>
  </conditionalFormatting>
  <conditionalFormatting sqref="D10:E31">
    <cfRule type="colorScale" priority="13143">
      <colorScale>
        <cfvo type="min"/>
        <cfvo type="percentile" val="50"/>
        <cfvo type="max"/>
        <color rgb="FFF8696B"/>
        <color rgb="FFFFEB84"/>
        <color rgb="FF63BE7B"/>
      </colorScale>
    </cfRule>
  </conditionalFormatting>
  <conditionalFormatting sqref="D10:E31">
    <cfRule type="colorScale" priority="13142">
      <colorScale>
        <cfvo type="min"/>
        <cfvo type="percentile" val="50"/>
        <cfvo type="max"/>
        <color rgb="FFF8696B"/>
        <color rgb="FFFFEB84"/>
        <color rgb="FF63BE7B"/>
      </colorScale>
    </cfRule>
  </conditionalFormatting>
  <conditionalFormatting sqref="D10:E31">
    <cfRule type="colorScale" priority="13141">
      <colorScale>
        <cfvo type="min"/>
        <cfvo type="percentile" val="50"/>
        <cfvo type="max"/>
        <color rgb="FFF8696B"/>
        <color rgb="FFFFEB84"/>
        <color rgb="FF63BE7B"/>
      </colorScale>
    </cfRule>
  </conditionalFormatting>
  <conditionalFormatting sqref="D10:E31">
    <cfRule type="colorScale" priority="13140">
      <colorScale>
        <cfvo type="min"/>
        <cfvo type="percentile" val="50"/>
        <cfvo type="max"/>
        <color rgb="FFF8696B"/>
        <color rgb="FFFFEB84"/>
        <color rgb="FF63BE7B"/>
      </colorScale>
    </cfRule>
  </conditionalFormatting>
  <conditionalFormatting sqref="D10:E31">
    <cfRule type="colorScale" priority="13139">
      <colorScale>
        <cfvo type="min"/>
        <cfvo type="percentile" val="50"/>
        <cfvo type="max"/>
        <color rgb="FFF8696B"/>
        <color rgb="FFFFEB84"/>
        <color rgb="FF63BE7B"/>
      </colorScale>
    </cfRule>
  </conditionalFormatting>
  <conditionalFormatting sqref="D10:E31">
    <cfRule type="colorScale" priority="13138">
      <colorScale>
        <cfvo type="min"/>
        <cfvo type="percentile" val="50"/>
        <cfvo type="max"/>
        <color rgb="FFF8696B"/>
        <color rgb="FFFFEB84"/>
        <color rgb="FF63BE7B"/>
      </colorScale>
    </cfRule>
  </conditionalFormatting>
  <conditionalFormatting sqref="D10:E31">
    <cfRule type="colorScale" priority="13137">
      <colorScale>
        <cfvo type="min"/>
        <cfvo type="percentile" val="50"/>
        <cfvo type="max"/>
        <color rgb="FFF8696B"/>
        <color rgb="FFFFEB84"/>
        <color rgb="FF63BE7B"/>
      </colorScale>
    </cfRule>
  </conditionalFormatting>
  <conditionalFormatting sqref="D10:D31">
    <cfRule type="colorScale" priority="13136">
      <colorScale>
        <cfvo type="min"/>
        <cfvo type="percentile" val="50"/>
        <cfvo type="max"/>
        <color rgb="FFF8696B"/>
        <color rgb="FFFFEB84"/>
        <color rgb="FF63BE7B"/>
      </colorScale>
    </cfRule>
  </conditionalFormatting>
  <conditionalFormatting sqref="D10:D31">
    <cfRule type="colorScale" priority="13135">
      <colorScale>
        <cfvo type="min"/>
        <cfvo type="percentile" val="50"/>
        <cfvo type="max"/>
        <color rgb="FFF8696B"/>
        <color rgb="FFFFEB84"/>
        <color rgb="FF63BE7B"/>
      </colorScale>
    </cfRule>
  </conditionalFormatting>
  <conditionalFormatting sqref="D10:D31">
    <cfRule type="colorScale" priority="13134">
      <colorScale>
        <cfvo type="min"/>
        <cfvo type="percentile" val="50"/>
        <cfvo type="max"/>
        <color rgb="FFF8696B"/>
        <color rgb="FFFFEB84"/>
        <color rgb="FF63BE7B"/>
      </colorScale>
    </cfRule>
  </conditionalFormatting>
  <conditionalFormatting sqref="D10:D31">
    <cfRule type="colorScale" priority="13133">
      <colorScale>
        <cfvo type="min"/>
        <cfvo type="percentile" val="50"/>
        <cfvo type="max"/>
        <color rgb="FFF8696B"/>
        <color rgb="FFFFEB84"/>
        <color rgb="FF63BE7B"/>
      </colorScale>
    </cfRule>
  </conditionalFormatting>
  <conditionalFormatting sqref="D10:E31">
    <cfRule type="colorScale" priority="13132">
      <colorScale>
        <cfvo type="min"/>
        <cfvo type="percentile" val="50"/>
        <cfvo type="max"/>
        <color rgb="FFF8696B"/>
        <color rgb="FFFFEB84"/>
        <color rgb="FF63BE7B"/>
      </colorScale>
    </cfRule>
  </conditionalFormatting>
  <conditionalFormatting sqref="D10:E31">
    <cfRule type="colorScale" priority="13131">
      <colorScale>
        <cfvo type="min"/>
        <cfvo type="percentile" val="50"/>
        <cfvo type="max"/>
        <color rgb="FFF8696B"/>
        <color rgb="FFFFEB84"/>
        <color rgb="FF63BE7B"/>
      </colorScale>
    </cfRule>
  </conditionalFormatting>
  <conditionalFormatting sqref="D10:D31">
    <cfRule type="colorScale" priority="13130">
      <colorScale>
        <cfvo type="min"/>
        <cfvo type="percentile" val="50"/>
        <cfvo type="max"/>
        <color rgb="FFF8696B"/>
        <color rgb="FFFFEB84"/>
        <color rgb="FF63BE7B"/>
      </colorScale>
    </cfRule>
  </conditionalFormatting>
  <conditionalFormatting sqref="D10:D31">
    <cfRule type="colorScale" priority="13129">
      <colorScale>
        <cfvo type="min"/>
        <cfvo type="percentile" val="50"/>
        <cfvo type="max"/>
        <color rgb="FFF8696B"/>
        <color rgb="FFFFEB84"/>
        <color rgb="FF63BE7B"/>
      </colorScale>
    </cfRule>
  </conditionalFormatting>
  <conditionalFormatting sqref="D10:D31">
    <cfRule type="colorScale" priority="13128">
      <colorScale>
        <cfvo type="min"/>
        <cfvo type="percentile" val="50"/>
        <cfvo type="max"/>
        <color rgb="FFF8696B"/>
        <color rgb="FFFFEB84"/>
        <color rgb="FF63BE7B"/>
      </colorScale>
    </cfRule>
  </conditionalFormatting>
  <conditionalFormatting sqref="D10:D31">
    <cfRule type="colorScale" priority="13127">
      <colorScale>
        <cfvo type="min"/>
        <cfvo type="percentile" val="50"/>
        <cfvo type="max"/>
        <color rgb="FFF8696B"/>
        <color rgb="FFFFEB84"/>
        <color rgb="FF63BE7B"/>
      </colorScale>
    </cfRule>
  </conditionalFormatting>
  <conditionalFormatting sqref="D10:E31">
    <cfRule type="colorScale" priority="13126">
      <colorScale>
        <cfvo type="min"/>
        <cfvo type="percentile" val="50"/>
        <cfvo type="max"/>
        <color rgb="FFF8696B"/>
        <color rgb="FFFFEB84"/>
        <color rgb="FF63BE7B"/>
      </colorScale>
    </cfRule>
  </conditionalFormatting>
  <conditionalFormatting sqref="D10:E31">
    <cfRule type="colorScale" priority="13125">
      <colorScale>
        <cfvo type="min"/>
        <cfvo type="percentile" val="50"/>
        <cfvo type="max"/>
        <color rgb="FFF8696B"/>
        <color rgb="FFFFEB84"/>
        <color rgb="FF63BE7B"/>
      </colorScale>
    </cfRule>
  </conditionalFormatting>
  <conditionalFormatting sqref="D10:D31">
    <cfRule type="colorScale" priority="13124">
      <colorScale>
        <cfvo type="min"/>
        <cfvo type="percentile" val="50"/>
        <cfvo type="max"/>
        <color rgb="FFF8696B"/>
        <color rgb="FFFFEB84"/>
        <color rgb="FF63BE7B"/>
      </colorScale>
    </cfRule>
  </conditionalFormatting>
  <conditionalFormatting sqref="D10:D31">
    <cfRule type="colorScale" priority="13123">
      <colorScale>
        <cfvo type="min"/>
        <cfvo type="percentile" val="50"/>
        <cfvo type="max"/>
        <color rgb="FFF8696B"/>
        <color rgb="FFFFEB84"/>
        <color rgb="FF63BE7B"/>
      </colorScale>
    </cfRule>
  </conditionalFormatting>
  <conditionalFormatting sqref="D10:D31">
    <cfRule type="colorScale" priority="13122">
      <colorScale>
        <cfvo type="min"/>
        <cfvo type="percentile" val="50"/>
        <cfvo type="max"/>
        <color rgb="FFF8696B"/>
        <color rgb="FFFFEB84"/>
        <color rgb="FF63BE7B"/>
      </colorScale>
    </cfRule>
  </conditionalFormatting>
  <conditionalFormatting sqref="D10:D31">
    <cfRule type="colorScale" priority="13121">
      <colorScale>
        <cfvo type="min"/>
        <cfvo type="percentile" val="50"/>
        <cfvo type="max"/>
        <color rgb="FFF8696B"/>
        <color rgb="FFFFEB84"/>
        <color rgb="FF63BE7B"/>
      </colorScale>
    </cfRule>
  </conditionalFormatting>
  <conditionalFormatting sqref="D10:E31">
    <cfRule type="colorScale" priority="13120">
      <colorScale>
        <cfvo type="min"/>
        <cfvo type="percentile" val="50"/>
        <cfvo type="max"/>
        <color rgb="FFF8696B"/>
        <color rgb="FFFFEB84"/>
        <color rgb="FF63BE7B"/>
      </colorScale>
    </cfRule>
  </conditionalFormatting>
  <conditionalFormatting sqref="D10:E31">
    <cfRule type="colorScale" priority="13119">
      <colorScale>
        <cfvo type="min"/>
        <cfvo type="percentile" val="50"/>
        <cfvo type="max"/>
        <color rgb="FFF8696B"/>
        <color rgb="FFFFEB84"/>
        <color rgb="FF63BE7B"/>
      </colorScale>
    </cfRule>
  </conditionalFormatting>
  <conditionalFormatting sqref="D10:E31">
    <cfRule type="colorScale" priority="13118">
      <colorScale>
        <cfvo type="min"/>
        <cfvo type="percentile" val="50"/>
        <cfvo type="max"/>
        <color rgb="FFF8696B"/>
        <color rgb="FFFFEB84"/>
        <color rgb="FF63BE7B"/>
      </colorScale>
    </cfRule>
  </conditionalFormatting>
  <conditionalFormatting sqref="D10:E31">
    <cfRule type="colorScale" priority="13117">
      <colorScale>
        <cfvo type="min"/>
        <cfvo type="percentile" val="50"/>
        <cfvo type="max"/>
        <color rgb="FFF8696B"/>
        <color rgb="FFFFEB84"/>
        <color rgb="FF63BE7B"/>
      </colorScale>
    </cfRule>
  </conditionalFormatting>
  <conditionalFormatting sqref="D10:D31">
    <cfRule type="colorScale" priority="13116">
      <colorScale>
        <cfvo type="min"/>
        <cfvo type="percentile" val="50"/>
        <cfvo type="max"/>
        <color rgb="FFF8696B"/>
        <color rgb="FFFFEB84"/>
        <color rgb="FF63BE7B"/>
      </colorScale>
    </cfRule>
  </conditionalFormatting>
  <conditionalFormatting sqref="D10:D31">
    <cfRule type="colorScale" priority="13115">
      <colorScale>
        <cfvo type="min"/>
        <cfvo type="percentile" val="50"/>
        <cfvo type="max"/>
        <color rgb="FFF8696B"/>
        <color rgb="FFFFEB84"/>
        <color rgb="FF63BE7B"/>
      </colorScale>
    </cfRule>
  </conditionalFormatting>
  <conditionalFormatting sqref="D10:D31">
    <cfRule type="colorScale" priority="13114">
      <colorScale>
        <cfvo type="min"/>
        <cfvo type="percentile" val="50"/>
        <cfvo type="max"/>
        <color rgb="FFF8696B"/>
        <color rgb="FFFFEB84"/>
        <color rgb="FF63BE7B"/>
      </colorScale>
    </cfRule>
  </conditionalFormatting>
  <conditionalFormatting sqref="D10:D31">
    <cfRule type="colorScale" priority="13113">
      <colorScale>
        <cfvo type="min"/>
        <cfvo type="percentile" val="50"/>
        <cfvo type="max"/>
        <color rgb="FFF8696B"/>
        <color rgb="FFFFEB84"/>
        <color rgb="FF63BE7B"/>
      </colorScale>
    </cfRule>
  </conditionalFormatting>
  <conditionalFormatting sqref="D10:E31">
    <cfRule type="colorScale" priority="13112">
      <colorScale>
        <cfvo type="min"/>
        <cfvo type="percentile" val="50"/>
        <cfvo type="max"/>
        <color rgb="FFF8696B"/>
        <color rgb="FFFFEB84"/>
        <color rgb="FF63BE7B"/>
      </colorScale>
    </cfRule>
  </conditionalFormatting>
  <conditionalFormatting sqref="D10:E31">
    <cfRule type="colorScale" priority="13111">
      <colorScale>
        <cfvo type="min"/>
        <cfvo type="percentile" val="50"/>
        <cfvo type="max"/>
        <color rgb="FFF8696B"/>
        <color rgb="FFFFEB84"/>
        <color rgb="FF63BE7B"/>
      </colorScale>
    </cfRule>
  </conditionalFormatting>
  <conditionalFormatting sqref="D10:D31">
    <cfRule type="colorScale" priority="13110">
      <colorScale>
        <cfvo type="min"/>
        <cfvo type="percentile" val="50"/>
        <cfvo type="max"/>
        <color rgb="FFF8696B"/>
        <color rgb="FFFFEB84"/>
        <color rgb="FF63BE7B"/>
      </colorScale>
    </cfRule>
  </conditionalFormatting>
  <conditionalFormatting sqref="D10:D31">
    <cfRule type="colorScale" priority="13109">
      <colorScale>
        <cfvo type="min"/>
        <cfvo type="percentile" val="50"/>
        <cfvo type="max"/>
        <color rgb="FFF8696B"/>
        <color rgb="FFFFEB84"/>
        <color rgb="FF63BE7B"/>
      </colorScale>
    </cfRule>
  </conditionalFormatting>
  <conditionalFormatting sqref="D10:D31">
    <cfRule type="colorScale" priority="13108">
      <colorScale>
        <cfvo type="min"/>
        <cfvo type="percentile" val="50"/>
        <cfvo type="max"/>
        <color rgb="FFF8696B"/>
        <color rgb="FFFFEB84"/>
        <color rgb="FF63BE7B"/>
      </colorScale>
    </cfRule>
  </conditionalFormatting>
  <conditionalFormatting sqref="D10:D31">
    <cfRule type="colorScale" priority="13107">
      <colorScale>
        <cfvo type="min"/>
        <cfvo type="percentile" val="50"/>
        <cfvo type="max"/>
        <color rgb="FFF8696B"/>
        <color rgb="FFFFEB84"/>
        <color rgb="FF63BE7B"/>
      </colorScale>
    </cfRule>
  </conditionalFormatting>
  <conditionalFormatting sqref="D10:E31">
    <cfRule type="colorScale" priority="13106">
      <colorScale>
        <cfvo type="min"/>
        <cfvo type="percentile" val="50"/>
        <cfvo type="max"/>
        <color rgb="FFF8696B"/>
        <color rgb="FFFFEB84"/>
        <color rgb="FF63BE7B"/>
      </colorScale>
    </cfRule>
  </conditionalFormatting>
  <conditionalFormatting sqref="D10:E31">
    <cfRule type="colorScale" priority="13105">
      <colorScale>
        <cfvo type="min"/>
        <cfvo type="percentile" val="50"/>
        <cfvo type="max"/>
        <color rgb="FFF8696B"/>
        <color rgb="FFFFEB84"/>
        <color rgb="FF63BE7B"/>
      </colorScale>
    </cfRule>
  </conditionalFormatting>
  <conditionalFormatting sqref="D10:D31">
    <cfRule type="colorScale" priority="13104">
      <colorScale>
        <cfvo type="min"/>
        <cfvo type="percentile" val="50"/>
        <cfvo type="max"/>
        <color rgb="FFF8696B"/>
        <color rgb="FFFFEB84"/>
        <color rgb="FF63BE7B"/>
      </colorScale>
    </cfRule>
  </conditionalFormatting>
  <conditionalFormatting sqref="D10:D31">
    <cfRule type="colorScale" priority="13103">
      <colorScale>
        <cfvo type="min"/>
        <cfvo type="percentile" val="50"/>
        <cfvo type="max"/>
        <color rgb="FFF8696B"/>
        <color rgb="FFFFEB84"/>
        <color rgb="FF63BE7B"/>
      </colorScale>
    </cfRule>
  </conditionalFormatting>
  <conditionalFormatting sqref="D10:D31">
    <cfRule type="colorScale" priority="13102">
      <colorScale>
        <cfvo type="min"/>
        <cfvo type="percentile" val="50"/>
        <cfvo type="max"/>
        <color rgb="FFF8696B"/>
        <color rgb="FFFFEB84"/>
        <color rgb="FF63BE7B"/>
      </colorScale>
    </cfRule>
  </conditionalFormatting>
  <conditionalFormatting sqref="D10:D31">
    <cfRule type="colorScale" priority="13101">
      <colorScale>
        <cfvo type="min"/>
        <cfvo type="percentile" val="50"/>
        <cfvo type="max"/>
        <color rgb="FFF8696B"/>
        <color rgb="FFFFEB84"/>
        <color rgb="FF63BE7B"/>
      </colorScale>
    </cfRule>
  </conditionalFormatting>
  <conditionalFormatting sqref="D10:E31">
    <cfRule type="colorScale" priority="13100">
      <colorScale>
        <cfvo type="min"/>
        <cfvo type="percentile" val="50"/>
        <cfvo type="max"/>
        <color rgb="FFF8696B"/>
        <color rgb="FFFFEB84"/>
        <color rgb="FF63BE7B"/>
      </colorScale>
    </cfRule>
  </conditionalFormatting>
  <conditionalFormatting sqref="D10:E31">
    <cfRule type="colorScale" priority="13099">
      <colorScale>
        <cfvo type="min"/>
        <cfvo type="percentile" val="50"/>
        <cfvo type="max"/>
        <color rgb="FFF8696B"/>
        <color rgb="FFFFEB84"/>
        <color rgb="FF63BE7B"/>
      </colorScale>
    </cfRule>
  </conditionalFormatting>
  <conditionalFormatting sqref="D10:E31">
    <cfRule type="colorScale" priority="13098">
      <colorScale>
        <cfvo type="min"/>
        <cfvo type="percentile" val="50"/>
        <cfvo type="max"/>
        <color rgb="FFF8696B"/>
        <color rgb="FFFFEB84"/>
        <color rgb="FF63BE7B"/>
      </colorScale>
    </cfRule>
  </conditionalFormatting>
  <conditionalFormatting sqref="D10:E31">
    <cfRule type="colorScale" priority="13097">
      <colorScale>
        <cfvo type="min"/>
        <cfvo type="percentile" val="50"/>
        <cfvo type="max"/>
        <color rgb="FFF8696B"/>
        <color rgb="FFFFEB84"/>
        <color rgb="FF63BE7B"/>
      </colorScale>
    </cfRule>
  </conditionalFormatting>
  <conditionalFormatting sqref="D10:E31">
    <cfRule type="colorScale" priority="13096">
      <colorScale>
        <cfvo type="min"/>
        <cfvo type="percentile" val="50"/>
        <cfvo type="max"/>
        <color rgb="FFF8696B"/>
        <color rgb="FFFFEB84"/>
        <color rgb="FF63BE7B"/>
      </colorScale>
    </cfRule>
  </conditionalFormatting>
  <conditionalFormatting sqref="D10:E31">
    <cfRule type="colorScale" priority="13095">
      <colorScale>
        <cfvo type="min"/>
        <cfvo type="percentile" val="50"/>
        <cfvo type="max"/>
        <color rgb="FFF8696B"/>
        <color rgb="FFFFEB84"/>
        <color rgb="FF63BE7B"/>
      </colorScale>
    </cfRule>
  </conditionalFormatting>
  <conditionalFormatting sqref="D10:D31">
    <cfRule type="colorScale" priority="13094">
      <colorScale>
        <cfvo type="min"/>
        <cfvo type="percentile" val="50"/>
        <cfvo type="max"/>
        <color rgb="FFF8696B"/>
        <color rgb="FFFFEB84"/>
        <color rgb="FF63BE7B"/>
      </colorScale>
    </cfRule>
  </conditionalFormatting>
  <conditionalFormatting sqref="D10:D31">
    <cfRule type="colorScale" priority="13093">
      <colorScale>
        <cfvo type="min"/>
        <cfvo type="percentile" val="50"/>
        <cfvo type="max"/>
        <color rgb="FFF8696B"/>
        <color rgb="FFFFEB84"/>
        <color rgb="FF63BE7B"/>
      </colorScale>
    </cfRule>
  </conditionalFormatting>
  <conditionalFormatting sqref="D10:D31">
    <cfRule type="colorScale" priority="13092">
      <colorScale>
        <cfvo type="min"/>
        <cfvo type="percentile" val="50"/>
        <cfvo type="max"/>
        <color rgb="FFF8696B"/>
        <color rgb="FFFFEB84"/>
        <color rgb="FF63BE7B"/>
      </colorScale>
    </cfRule>
  </conditionalFormatting>
  <conditionalFormatting sqref="D10:D31">
    <cfRule type="colorScale" priority="13091">
      <colorScale>
        <cfvo type="min"/>
        <cfvo type="percentile" val="50"/>
        <cfvo type="max"/>
        <color rgb="FFF8696B"/>
        <color rgb="FFFFEB84"/>
        <color rgb="FF63BE7B"/>
      </colorScale>
    </cfRule>
  </conditionalFormatting>
  <conditionalFormatting sqref="D10:E31">
    <cfRule type="colorScale" priority="13090">
      <colorScale>
        <cfvo type="min"/>
        <cfvo type="percentile" val="50"/>
        <cfvo type="max"/>
        <color rgb="FFF8696B"/>
        <color rgb="FFFFEB84"/>
        <color rgb="FF63BE7B"/>
      </colorScale>
    </cfRule>
  </conditionalFormatting>
  <conditionalFormatting sqref="D10:E31">
    <cfRule type="colorScale" priority="13089">
      <colorScale>
        <cfvo type="min"/>
        <cfvo type="percentile" val="50"/>
        <cfvo type="max"/>
        <color rgb="FFF8696B"/>
        <color rgb="FFFFEB84"/>
        <color rgb="FF63BE7B"/>
      </colorScale>
    </cfRule>
  </conditionalFormatting>
  <conditionalFormatting sqref="D10:D31">
    <cfRule type="colorScale" priority="13088">
      <colorScale>
        <cfvo type="min"/>
        <cfvo type="percentile" val="50"/>
        <cfvo type="max"/>
        <color rgb="FFF8696B"/>
        <color rgb="FFFFEB84"/>
        <color rgb="FF63BE7B"/>
      </colorScale>
    </cfRule>
  </conditionalFormatting>
  <conditionalFormatting sqref="D10:D31">
    <cfRule type="colorScale" priority="13087">
      <colorScale>
        <cfvo type="min"/>
        <cfvo type="percentile" val="50"/>
        <cfvo type="max"/>
        <color rgb="FFF8696B"/>
        <color rgb="FFFFEB84"/>
        <color rgb="FF63BE7B"/>
      </colorScale>
    </cfRule>
  </conditionalFormatting>
  <conditionalFormatting sqref="D10:D31">
    <cfRule type="colorScale" priority="13086">
      <colorScale>
        <cfvo type="min"/>
        <cfvo type="percentile" val="50"/>
        <cfvo type="max"/>
        <color rgb="FFF8696B"/>
        <color rgb="FFFFEB84"/>
        <color rgb="FF63BE7B"/>
      </colorScale>
    </cfRule>
  </conditionalFormatting>
  <conditionalFormatting sqref="D10:D31">
    <cfRule type="colorScale" priority="13085">
      <colorScale>
        <cfvo type="min"/>
        <cfvo type="percentile" val="50"/>
        <cfvo type="max"/>
        <color rgb="FFF8696B"/>
        <color rgb="FFFFEB84"/>
        <color rgb="FF63BE7B"/>
      </colorScale>
    </cfRule>
  </conditionalFormatting>
  <conditionalFormatting sqref="D10:E31">
    <cfRule type="colorScale" priority="13084">
      <colorScale>
        <cfvo type="min"/>
        <cfvo type="percentile" val="50"/>
        <cfvo type="max"/>
        <color rgb="FFF8696B"/>
        <color rgb="FFFFEB84"/>
        <color rgb="FF63BE7B"/>
      </colorScale>
    </cfRule>
  </conditionalFormatting>
  <conditionalFormatting sqref="D10:E31">
    <cfRule type="colorScale" priority="13083">
      <colorScale>
        <cfvo type="min"/>
        <cfvo type="percentile" val="50"/>
        <cfvo type="max"/>
        <color rgb="FFF8696B"/>
        <color rgb="FFFFEB84"/>
        <color rgb="FF63BE7B"/>
      </colorScale>
    </cfRule>
  </conditionalFormatting>
  <conditionalFormatting sqref="D10:D31">
    <cfRule type="colorScale" priority="13082">
      <colorScale>
        <cfvo type="min"/>
        <cfvo type="percentile" val="50"/>
        <cfvo type="max"/>
        <color rgb="FFF8696B"/>
        <color rgb="FFFFEB84"/>
        <color rgb="FF63BE7B"/>
      </colorScale>
    </cfRule>
  </conditionalFormatting>
  <conditionalFormatting sqref="D10:D31">
    <cfRule type="colorScale" priority="13081">
      <colorScale>
        <cfvo type="min"/>
        <cfvo type="percentile" val="50"/>
        <cfvo type="max"/>
        <color rgb="FFF8696B"/>
        <color rgb="FFFFEB84"/>
        <color rgb="FF63BE7B"/>
      </colorScale>
    </cfRule>
  </conditionalFormatting>
  <conditionalFormatting sqref="D10:D31">
    <cfRule type="colorScale" priority="13080">
      <colorScale>
        <cfvo type="min"/>
        <cfvo type="percentile" val="50"/>
        <cfvo type="max"/>
        <color rgb="FFF8696B"/>
        <color rgb="FFFFEB84"/>
        <color rgb="FF63BE7B"/>
      </colorScale>
    </cfRule>
  </conditionalFormatting>
  <conditionalFormatting sqref="D10:D31">
    <cfRule type="colorScale" priority="13079">
      <colorScale>
        <cfvo type="min"/>
        <cfvo type="percentile" val="50"/>
        <cfvo type="max"/>
        <color rgb="FFF8696B"/>
        <color rgb="FFFFEB84"/>
        <color rgb="FF63BE7B"/>
      </colorScale>
    </cfRule>
  </conditionalFormatting>
  <conditionalFormatting sqref="D10:E31">
    <cfRule type="colorScale" priority="13078">
      <colorScale>
        <cfvo type="min"/>
        <cfvo type="percentile" val="50"/>
        <cfvo type="max"/>
        <color rgb="FFF8696B"/>
        <color rgb="FFFFEB84"/>
        <color rgb="FF63BE7B"/>
      </colorScale>
    </cfRule>
  </conditionalFormatting>
  <conditionalFormatting sqref="D10:E31">
    <cfRule type="colorScale" priority="13077">
      <colorScale>
        <cfvo type="min"/>
        <cfvo type="percentile" val="50"/>
        <cfvo type="max"/>
        <color rgb="FFF8696B"/>
        <color rgb="FFFFEB84"/>
        <color rgb="FF63BE7B"/>
      </colorScale>
    </cfRule>
  </conditionalFormatting>
  <conditionalFormatting sqref="D10:E31">
    <cfRule type="colorScale" priority="13076">
      <colorScale>
        <cfvo type="min"/>
        <cfvo type="percentile" val="50"/>
        <cfvo type="max"/>
        <color rgb="FFF8696B"/>
        <color rgb="FFFFEB84"/>
        <color rgb="FF63BE7B"/>
      </colorScale>
    </cfRule>
  </conditionalFormatting>
  <conditionalFormatting sqref="D10:E31">
    <cfRule type="colorScale" priority="13075">
      <colorScale>
        <cfvo type="min"/>
        <cfvo type="percentile" val="50"/>
        <cfvo type="max"/>
        <color rgb="FFF8696B"/>
        <color rgb="FFFFEB84"/>
        <color rgb="FF63BE7B"/>
      </colorScale>
    </cfRule>
  </conditionalFormatting>
  <conditionalFormatting sqref="D10:D31">
    <cfRule type="colorScale" priority="13074">
      <colorScale>
        <cfvo type="min"/>
        <cfvo type="percentile" val="50"/>
        <cfvo type="max"/>
        <color rgb="FFF8696B"/>
        <color rgb="FFFFEB84"/>
        <color rgb="FF63BE7B"/>
      </colorScale>
    </cfRule>
  </conditionalFormatting>
  <conditionalFormatting sqref="D10:D31">
    <cfRule type="colorScale" priority="13073">
      <colorScale>
        <cfvo type="min"/>
        <cfvo type="percentile" val="50"/>
        <cfvo type="max"/>
        <color rgb="FFF8696B"/>
        <color rgb="FFFFEB84"/>
        <color rgb="FF63BE7B"/>
      </colorScale>
    </cfRule>
  </conditionalFormatting>
  <conditionalFormatting sqref="D10:D31">
    <cfRule type="colorScale" priority="13072">
      <colorScale>
        <cfvo type="min"/>
        <cfvo type="percentile" val="50"/>
        <cfvo type="max"/>
        <color rgb="FFF8696B"/>
        <color rgb="FFFFEB84"/>
        <color rgb="FF63BE7B"/>
      </colorScale>
    </cfRule>
  </conditionalFormatting>
  <conditionalFormatting sqref="D10:D31">
    <cfRule type="colorScale" priority="13071">
      <colorScale>
        <cfvo type="min"/>
        <cfvo type="percentile" val="50"/>
        <cfvo type="max"/>
        <color rgb="FFF8696B"/>
        <color rgb="FFFFEB84"/>
        <color rgb="FF63BE7B"/>
      </colorScale>
    </cfRule>
  </conditionalFormatting>
  <conditionalFormatting sqref="D10:E31">
    <cfRule type="colorScale" priority="13070">
      <colorScale>
        <cfvo type="min"/>
        <cfvo type="percentile" val="50"/>
        <cfvo type="max"/>
        <color rgb="FFF8696B"/>
        <color rgb="FFFFEB84"/>
        <color rgb="FF63BE7B"/>
      </colorScale>
    </cfRule>
  </conditionalFormatting>
  <conditionalFormatting sqref="D10:E31">
    <cfRule type="colorScale" priority="13069">
      <colorScale>
        <cfvo type="min"/>
        <cfvo type="percentile" val="50"/>
        <cfvo type="max"/>
        <color rgb="FFF8696B"/>
        <color rgb="FFFFEB84"/>
        <color rgb="FF63BE7B"/>
      </colorScale>
    </cfRule>
  </conditionalFormatting>
  <conditionalFormatting sqref="D10:D31">
    <cfRule type="colorScale" priority="13068">
      <colorScale>
        <cfvo type="min"/>
        <cfvo type="percentile" val="50"/>
        <cfvo type="max"/>
        <color rgb="FFF8696B"/>
        <color rgb="FFFFEB84"/>
        <color rgb="FF63BE7B"/>
      </colorScale>
    </cfRule>
  </conditionalFormatting>
  <conditionalFormatting sqref="D10:D31">
    <cfRule type="colorScale" priority="13067">
      <colorScale>
        <cfvo type="min"/>
        <cfvo type="percentile" val="50"/>
        <cfvo type="max"/>
        <color rgb="FFF8696B"/>
        <color rgb="FFFFEB84"/>
        <color rgb="FF63BE7B"/>
      </colorScale>
    </cfRule>
  </conditionalFormatting>
  <conditionalFormatting sqref="D10:D31">
    <cfRule type="colorScale" priority="13066">
      <colorScale>
        <cfvo type="min"/>
        <cfvo type="percentile" val="50"/>
        <cfvo type="max"/>
        <color rgb="FFF8696B"/>
        <color rgb="FFFFEB84"/>
        <color rgb="FF63BE7B"/>
      </colorScale>
    </cfRule>
  </conditionalFormatting>
  <conditionalFormatting sqref="D10:D31">
    <cfRule type="colorScale" priority="13065">
      <colorScale>
        <cfvo type="min"/>
        <cfvo type="percentile" val="50"/>
        <cfvo type="max"/>
        <color rgb="FFF8696B"/>
        <color rgb="FFFFEB84"/>
        <color rgb="FF63BE7B"/>
      </colorScale>
    </cfRule>
  </conditionalFormatting>
  <conditionalFormatting sqref="D10:E31">
    <cfRule type="colorScale" priority="13064">
      <colorScale>
        <cfvo type="min"/>
        <cfvo type="percentile" val="50"/>
        <cfvo type="max"/>
        <color rgb="FFF8696B"/>
        <color rgb="FFFFEB84"/>
        <color rgb="FF63BE7B"/>
      </colorScale>
    </cfRule>
  </conditionalFormatting>
  <conditionalFormatting sqref="D10:E31">
    <cfRule type="colorScale" priority="13063">
      <colorScale>
        <cfvo type="min"/>
        <cfvo type="percentile" val="50"/>
        <cfvo type="max"/>
        <color rgb="FFF8696B"/>
        <color rgb="FFFFEB84"/>
        <color rgb="FF63BE7B"/>
      </colorScale>
    </cfRule>
  </conditionalFormatting>
  <conditionalFormatting sqref="D10:D31">
    <cfRule type="colorScale" priority="13062">
      <colorScale>
        <cfvo type="min"/>
        <cfvo type="percentile" val="50"/>
        <cfvo type="max"/>
        <color rgb="FFF8696B"/>
        <color rgb="FFFFEB84"/>
        <color rgb="FF63BE7B"/>
      </colorScale>
    </cfRule>
  </conditionalFormatting>
  <conditionalFormatting sqref="D10:D31">
    <cfRule type="colorScale" priority="13061">
      <colorScale>
        <cfvo type="min"/>
        <cfvo type="percentile" val="50"/>
        <cfvo type="max"/>
        <color rgb="FFF8696B"/>
        <color rgb="FFFFEB84"/>
        <color rgb="FF63BE7B"/>
      </colorScale>
    </cfRule>
  </conditionalFormatting>
  <conditionalFormatting sqref="D10:D31">
    <cfRule type="colorScale" priority="13060">
      <colorScale>
        <cfvo type="min"/>
        <cfvo type="percentile" val="50"/>
        <cfvo type="max"/>
        <color rgb="FFF8696B"/>
        <color rgb="FFFFEB84"/>
        <color rgb="FF63BE7B"/>
      </colorScale>
    </cfRule>
  </conditionalFormatting>
  <conditionalFormatting sqref="D10:D31">
    <cfRule type="colorScale" priority="13059">
      <colorScale>
        <cfvo type="min"/>
        <cfvo type="percentile" val="50"/>
        <cfvo type="max"/>
        <color rgb="FFF8696B"/>
        <color rgb="FFFFEB84"/>
        <color rgb="FF63BE7B"/>
      </colorScale>
    </cfRule>
  </conditionalFormatting>
  <conditionalFormatting sqref="D10:E31">
    <cfRule type="colorScale" priority="13058">
      <colorScale>
        <cfvo type="min"/>
        <cfvo type="percentile" val="50"/>
        <cfvo type="max"/>
        <color rgb="FFF8696B"/>
        <color rgb="FFFFEB84"/>
        <color rgb="FF63BE7B"/>
      </colorScale>
    </cfRule>
  </conditionalFormatting>
  <conditionalFormatting sqref="D10:E31">
    <cfRule type="colorScale" priority="13057">
      <colorScale>
        <cfvo type="min"/>
        <cfvo type="percentile" val="50"/>
        <cfvo type="max"/>
        <color rgb="FFF8696B"/>
        <color rgb="FFFFEB84"/>
        <color rgb="FF63BE7B"/>
      </colorScale>
    </cfRule>
  </conditionalFormatting>
  <conditionalFormatting sqref="D10:E31">
    <cfRule type="colorScale" priority="13056">
      <colorScale>
        <cfvo type="min"/>
        <cfvo type="percentile" val="50"/>
        <cfvo type="max"/>
        <color rgb="FFF8696B"/>
        <color rgb="FFFFEB84"/>
        <color rgb="FF63BE7B"/>
      </colorScale>
    </cfRule>
  </conditionalFormatting>
  <conditionalFormatting sqref="D10:E31">
    <cfRule type="colorScale" priority="13055">
      <colorScale>
        <cfvo type="min"/>
        <cfvo type="percentile" val="50"/>
        <cfvo type="max"/>
        <color rgb="FFF8696B"/>
        <color rgb="FFFFEB84"/>
        <color rgb="FF63BE7B"/>
      </colorScale>
    </cfRule>
  </conditionalFormatting>
  <conditionalFormatting sqref="D10:D31">
    <cfRule type="colorScale" priority="13054">
      <colorScale>
        <cfvo type="min"/>
        <cfvo type="percentile" val="50"/>
        <cfvo type="max"/>
        <color rgb="FFF8696B"/>
        <color rgb="FFFFEB84"/>
        <color rgb="FF63BE7B"/>
      </colorScale>
    </cfRule>
  </conditionalFormatting>
  <conditionalFormatting sqref="D10:D31">
    <cfRule type="colorScale" priority="13053">
      <colorScale>
        <cfvo type="min"/>
        <cfvo type="percentile" val="50"/>
        <cfvo type="max"/>
        <color rgb="FFF8696B"/>
        <color rgb="FFFFEB84"/>
        <color rgb="FF63BE7B"/>
      </colorScale>
    </cfRule>
  </conditionalFormatting>
  <conditionalFormatting sqref="D10:D31">
    <cfRule type="colorScale" priority="13052">
      <colorScale>
        <cfvo type="min"/>
        <cfvo type="percentile" val="50"/>
        <cfvo type="max"/>
        <color rgb="FFF8696B"/>
        <color rgb="FFFFEB84"/>
        <color rgb="FF63BE7B"/>
      </colorScale>
    </cfRule>
  </conditionalFormatting>
  <conditionalFormatting sqref="D10:D31">
    <cfRule type="colorScale" priority="13051">
      <colorScale>
        <cfvo type="min"/>
        <cfvo type="percentile" val="50"/>
        <cfvo type="max"/>
        <color rgb="FFF8696B"/>
        <color rgb="FFFFEB84"/>
        <color rgb="FF63BE7B"/>
      </colorScale>
    </cfRule>
  </conditionalFormatting>
  <conditionalFormatting sqref="D10:E31">
    <cfRule type="colorScale" priority="13050">
      <colorScale>
        <cfvo type="min"/>
        <cfvo type="percentile" val="50"/>
        <cfvo type="max"/>
        <color rgb="FFF8696B"/>
        <color rgb="FFFFEB84"/>
        <color rgb="FF63BE7B"/>
      </colorScale>
    </cfRule>
  </conditionalFormatting>
  <conditionalFormatting sqref="D10:E31">
    <cfRule type="colorScale" priority="13049">
      <colorScale>
        <cfvo type="min"/>
        <cfvo type="percentile" val="50"/>
        <cfvo type="max"/>
        <color rgb="FFF8696B"/>
        <color rgb="FFFFEB84"/>
        <color rgb="FF63BE7B"/>
      </colorScale>
    </cfRule>
  </conditionalFormatting>
  <conditionalFormatting sqref="D10:D31">
    <cfRule type="colorScale" priority="13048">
      <colorScale>
        <cfvo type="min"/>
        <cfvo type="percentile" val="50"/>
        <cfvo type="max"/>
        <color rgb="FFF8696B"/>
        <color rgb="FFFFEB84"/>
        <color rgb="FF63BE7B"/>
      </colorScale>
    </cfRule>
  </conditionalFormatting>
  <conditionalFormatting sqref="D10:D31">
    <cfRule type="colorScale" priority="13047">
      <colorScale>
        <cfvo type="min"/>
        <cfvo type="percentile" val="50"/>
        <cfvo type="max"/>
        <color rgb="FFF8696B"/>
        <color rgb="FFFFEB84"/>
        <color rgb="FF63BE7B"/>
      </colorScale>
    </cfRule>
  </conditionalFormatting>
  <conditionalFormatting sqref="D10:D31">
    <cfRule type="colorScale" priority="13046">
      <colorScale>
        <cfvo type="min"/>
        <cfvo type="percentile" val="50"/>
        <cfvo type="max"/>
        <color rgb="FFF8696B"/>
        <color rgb="FFFFEB84"/>
        <color rgb="FF63BE7B"/>
      </colorScale>
    </cfRule>
  </conditionalFormatting>
  <conditionalFormatting sqref="D10:D31">
    <cfRule type="colorScale" priority="13045">
      <colorScale>
        <cfvo type="min"/>
        <cfvo type="percentile" val="50"/>
        <cfvo type="max"/>
        <color rgb="FFF8696B"/>
        <color rgb="FFFFEB84"/>
        <color rgb="FF63BE7B"/>
      </colorScale>
    </cfRule>
  </conditionalFormatting>
  <conditionalFormatting sqref="D10:E31">
    <cfRule type="colorScale" priority="13044">
      <colorScale>
        <cfvo type="min"/>
        <cfvo type="percentile" val="50"/>
        <cfvo type="max"/>
        <color rgb="FFF8696B"/>
        <color rgb="FFFFEB84"/>
        <color rgb="FF63BE7B"/>
      </colorScale>
    </cfRule>
  </conditionalFormatting>
  <conditionalFormatting sqref="D10:E31">
    <cfRule type="colorScale" priority="13043">
      <colorScale>
        <cfvo type="min"/>
        <cfvo type="percentile" val="50"/>
        <cfvo type="max"/>
        <color rgb="FFF8696B"/>
        <color rgb="FFFFEB84"/>
        <color rgb="FF63BE7B"/>
      </colorScale>
    </cfRule>
  </conditionalFormatting>
  <conditionalFormatting sqref="D10:D31">
    <cfRule type="colorScale" priority="13042">
      <colorScale>
        <cfvo type="min"/>
        <cfvo type="percentile" val="50"/>
        <cfvo type="max"/>
        <color rgb="FFF8696B"/>
        <color rgb="FFFFEB84"/>
        <color rgb="FF63BE7B"/>
      </colorScale>
    </cfRule>
  </conditionalFormatting>
  <conditionalFormatting sqref="D10:D31">
    <cfRule type="colorScale" priority="13041">
      <colorScale>
        <cfvo type="min"/>
        <cfvo type="percentile" val="50"/>
        <cfvo type="max"/>
        <color rgb="FFF8696B"/>
        <color rgb="FFFFEB84"/>
        <color rgb="FF63BE7B"/>
      </colorScale>
    </cfRule>
  </conditionalFormatting>
  <conditionalFormatting sqref="D10:D31">
    <cfRule type="colorScale" priority="13040">
      <colorScale>
        <cfvo type="min"/>
        <cfvo type="percentile" val="50"/>
        <cfvo type="max"/>
        <color rgb="FFF8696B"/>
        <color rgb="FFFFEB84"/>
        <color rgb="FF63BE7B"/>
      </colorScale>
    </cfRule>
  </conditionalFormatting>
  <conditionalFormatting sqref="D10:D31">
    <cfRule type="colorScale" priority="13039">
      <colorScale>
        <cfvo type="min"/>
        <cfvo type="percentile" val="50"/>
        <cfvo type="max"/>
        <color rgb="FFF8696B"/>
        <color rgb="FFFFEB84"/>
        <color rgb="FF63BE7B"/>
      </colorScale>
    </cfRule>
  </conditionalFormatting>
  <conditionalFormatting sqref="D10:E31">
    <cfRule type="colorScale" priority="13038">
      <colorScale>
        <cfvo type="min"/>
        <cfvo type="percentile" val="50"/>
        <cfvo type="max"/>
        <color rgb="FFF8696B"/>
        <color rgb="FFFFEB84"/>
        <color rgb="FF63BE7B"/>
      </colorScale>
    </cfRule>
  </conditionalFormatting>
  <conditionalFormatting sqref="D10:E31">
    <cfRule type="colorScale" priority="13037">
      <colorScale>
        <cfvo type="min"/>
        <cfvo type="percentile" val="50"/>
        <cfvo type="max"/>
        <color rgb="FFF8696B"/>
        <color rgb="FFFFEB84"/>
        <color rgb="FF63BE7B"/>
      </colorScale>
    </cfRule>
  </conditionalFormatting>
  <conditionalFormatting sqref="D10:D31">
    <cfRule type="colorScale" priority="13036">
      <colorScale>
        <cfvo type="min"/>
        <cfvo type="percentile" val="50"/>
        <cfvo type="max"/>
        <color rgb="FFF8696B"/>
        <color rgb="FFFFEB84"/>
        <color rgb="FF63BE7B"/>
      </colorScale>
    </cfRule>
  </conditionalFormatting>
  <conditionalFormatting sqref="D10:D31">
    <cfRule type="colorScale" priority="13035">
      <colorScale>
        <cfvo type="min"/>
        <cfvo type="percentile" val="50"/>
        <cfvo type="max"/>
        <color rgb="FFF8696B"/>
        <color rgb="FFFFEB84"/>
        <color rgb="FF63BE7B"/>
      </colorScale>
    </cfRule>
  </conditionalFormatting>
  <conditionalFormatting sqref="E10:E31">
    <cfRule type="colorScale" priority="13034">
      <colorScale>
        <cfvo type="min"/>
        <cfvo type="percentile" val="50"/>
        <cfvo type="max"/>
        <color rgb="FFF8696B"/>
        <color rgb="FFFFEB84"/>
        <color rgb="FF63BE7B"/>
      </colorScale>
    </cfRule>
  </conditionalFormatting>
  <conditionalFormatting sqref="E10:E31">
    <cfRule type="colorScale" priority="13033">
      <colorScale>
        <cfvo type="min"/>
        <cfvo type="percentile" val="50"/>
        <cfvo type="max"/>
        <color rgb="FFF8696B"/>
        <color rgb="FFFFEB84"/>
        <color rgb="FF63BE7B"/>
      </colorScale>
    </cfRule>
  </conditionalFormatting>
  <conditionalFormatting sqref="D10:E31">
    <cfRule type="colorScale" priority="13032">
      <colorScale>
        <cfvo type="min"/>
        <cfvo type="percentile" val="50"/>
        <cfvo type="max"/>
        <color rgb="FFF8696B"/>
        <color rgb="FFFFEB84"/>
        <color rgb="FF63BE7B"/>
      </colorScale>
    </cfRule>
  </conditionalFormatting>
  <conditionalFormatting sqref="D10:E31">
    <cfRule type="colorScale" priority="13031">
      <colorScale>
        <cfvo type="min"/>
        <cfvo type="percentile" val="50"/>
        <cfvo type="max"/>
        <color rgb="FFF8696B"/>
        <color rgb="FFFFEB84"/>
        <color rgb="FF63BE7B"/>
      </colorScale>
    </cfRule>
  </conditionalFormatting>
  <conditionalFormatting sqref="D10:E31">
    <cfRule type="colorScale" priority="13030">
      <colorScale>
        <cfvo type="min"/>
        <cfvo type="percentile" val="50"/>
        <cfvo type="max"/>
        <color rgb="FFF8696B"/>
        <color rgb="FFFFEB84"/>
        <color rgb="FF63BE7B"/>
      </colorScale>
    </cfRule>
  </conditionalFormatting>
  <conditionalFormatting sqref="D10:E31">
    <cfRule type="colorScale" priority="13029">
      <colorScale>
        <cfvo type="min"/>
        <cfvo type="percentile" val="50"/>
        <cfvo type="max"/>
        <color rgb="FFF8696B"/>
        <color rgb="FFFFEB84"/>
        <color rgb="FF63BE7B"/>
      </colorScale>
    </cfRule>
  </conditionalFormatting>
  <conditionalFormatting sqref="D10:D31">
    <cfRule type="colorScale" priority="13028">
      <colorScale>
        <cfvo type="min"/>
        <cfvo type="percentile" val="50"/>
        <cfvo type="max"/>
        <color rgb="FFF8696B"/>
        <color rgb="FFFFEB84"/>
        <color rgb="FF63BE7B"/>
      </colorScale>
    </cfRule>
  </conditionalFormatting>
  <conditionalFormatting sqref="D10:D31">
    <cfRule type="colorScale" priority="13027">
      <colorScale>
        <cfvo type="min"/>
        <cfvo type="percentile" val="50"/>
        <cfvo type="max"/>
        <color rgb="FFF8696B"/>
        <color rgb="FFFFEB84"/>
        <color rgb="FF63BE7B"/>
      </colorScale>
    </cfRule>
  </conditionalFormatting>
  <conditionalFormatting sqref="D10:D29">
    <cfRule type="colorScale" priority="13026">
      <colorScale>
        <cfvo type="min"/>
        <cfvo type="percentile" val="50"/>
        <cfvo type="max"/>
        <color rgb="FFF8696B"/>
        <color rgb="FFFFEB84"/>
        <color rgb="FF63BE7B"/>
      </colorScale>
    </cfRule>
  </conditionalFormatting>
  <conditionalFormatting sqref="D10:D29">
    <cfRule type="colorScale" priority="13025">
      <colorScale>
        <cfvo type="min"/>
        <cfvo type="percentile" val="50"/>
        <cfvo type="max"/>
        <color rgb="FFF8696B"/>
        <color rgb="FFFFEB84"/>
        <color rgb="FF63BE7B"/>
      </colorScale>
    </cfRule>
  </conditionalFormatting>
  <conditionalFormatting sqref="D10:D31">
    <cfRule type="colorScale" priority="13024">
      <colorScale>
        <cfvo type="min"/>
        <cfvo type="percentile" val="50"/>
        <cfvo type="max"/>
        <color rgb="FFF8696B"/>
        <color rgb="FFFFEB84"/>
        <color rgb="FF63BE7B"/>
      </colorScale>
    </cfRule>
  </conditionalFormatting>
  <conditionalFormatting sqref="D10:D31">
    <cfRule type="colorScale" priority="13023">
      <colorScale>
        <cfvo type="min"/>
        <cfvo type="percentile" val="50"/>
        <cfvo type="max"/>
        <color rgb="FFF8696B"/>
        <color rgb="FFFFEB84"/>
        <color rgb="FF63BE7B"/>
      </colorScale>
    </cfRule>
  </conditionalFormatting>
  <conditionalFormatting sqref="D10:F31">
    <cfRule type="colorScale" priority="13022">
      <colorScale>
        <cfvo type="min"/>
        <cfvo type="percentile" val="50"/>
        <cfvo type="max"/>
        <color rgb="FFF8696B"/>
        <color rgb="FFFFEB84"/>
        <color rgb="FF63BE7B"/>
      </colorScale>
    </cfRule>
  </conditionalFormatting>
  <conditionalFormatting sqref="D10:F31">
    <cfRule type="colorScale" priority="13021">
      <colorScale>
        <cfvo type="min"/>
        <cfvo type="percentile" val="50"/>
        <cfvo type="max"/>
        <color rgb="FFF8696B"/>
        <color rgb="FFFFEB84"/>
        <color rgb="FF63BE7B"/>
      </colorScale>
    </cfRule>
  </conditionalFormatting>
  <conditionalFormatting sqref="D10:F31">
    <cfRule type="colorScale" priority="13020">
      <colorScale>
        <cfvo type="min"/>
        <cfvo type="percentile" val="50"/>
        <cfvo type="max"/>
        <color rgb="FFF8696B"/>
        <color rgb="FFFFEB84"/>
        <color rgb="FF63BE7B"/>
      </colorScale>
    </cfRule>
  </conditionalFormatting>
  <conditionalFormatting sqref="D10:F31">
    <cfRule type="colorScale" priority="13019">
      <colorScale>
        <cfvo type="min"/>
        <cfvo type="percentile" val="50"/>
        <cfvo type="max"/>
        <color rgb="FFF8696B"/>
        <color rgb="FFFFEB84"/>
        <color rgb="FF63BE7B"/>
      </colorScale>
    </cfRule>
  </conditionalFormatting>
  <conditionalFormatting sqref="D10:F31">
    <cfRule type="colorScale" priority="13018">
      <colorScale>
        <cfvo type="min"/>
        <cfvo type="percentile" val="50"/>
        <cfvo type="max"/>
        <color rgb="FFF8696B"/>
        <color rgb="FFFFEB84"/>
        <color rgb="FF63BE7B"/>
      </colorScale>
    </cfRule>
  </conditionalFormatting>
  <conditionalFormatting sqref="D10:F31">
    <cfRule type="colorScale" priority="13017">
      <colorScale>
        <cfvo type="min"/>
        <cfvo type="percentile" val="50"/>
        <cfvo type="max"/>
        <color rgb="FFF8696B"/>
        <color rgb="FFFFEB84"/>
        <color rgb="FF63BE7B"/>
      </colorScale>
    </cfRule>
  </conditionalFormatting>
  <conditionalFormatting sqref="D10:E31">
    <cfRule type="colorScale" priority="13016">
      <colorScale>
        <cfvo type="min"/>
        <cfvo type="percentile" val="50"/>
        <cfvo type="max"/>
        <color rgb="FFF8696B"/>
        <color rgb="FFFFEB84"/>
        <color rgb="FF63BE7B"/>
      </colorScale>
    </cfRule>
  </conditionalFormatting>
  <conditionalFormatting sqref="D10:E31">
    <cfRule type="colorScale" priority="13015">
      <colorScale>
        <cfvo type="min"/>
        <cfvo type="percentile" val="50"/>
        <cfvo type="max"/>
        <color rgb="FFF8696B"/>
        <color rgb="FFFFEB84"/>
        <color rgb="FF63BE7B"/>
      </colorScale>
    </cfRule>
  </conditionalFormatting>
  <conditionalFormatting sqref="D10:E31">
    <cfRule type="colorScale" priority="13014">
      <colorScale>
        <cfvo type="min"/>
        <cfvo type="percentile" val="50"/>
        <cfvo type="max"/>
        <color rgb="FFF8696B"/>
        <color rgb="FFFFEB84"/>
        <color rgb="FF63BE7B"/>
      </colorScale>
    </cfRule>
  </conditionalFormatting>
  <conditionalFormatting sqref="D10:E31">
    <cfRule type="colorScale" priority="13013">
      <colorScale>
        <cfvo type="min"/>
        <cfvo type="percentile" val="50"/>
        <cfvo type="max"/>
        <color rgb="FFF8696B"/>
        <color rgb="FFFFEB84"/>
        <color rgb="FF63BE7B"/>
      </colorScale>
    </cfRule>
  </conditionalFormatting>
  <conditionalFormatting sqref="D10:E31">
    <cfRule type="colorScale" priority="13012">
      <colorScale>
        <cfvo type="min"/>
        <cfvo type="percentile" val="50"/>
        <cfvo type="max"/>
        <color rgb="FFF8696B"/>
        <color rgb="FFFFEB84"/>
        <color rgb="FF63BE7B"/>
      </colorScale>
    </cfRule>
  </conditionalFormatting>
  <conditionalFormatting sqref="D10:E31">
    <cfRule type="colorScale" priority="13011">
      <colorScale>
        <cfvo type="min"/>
        <cfvo type="percentile" val="50"/>
        <cfvo type="max"/>
        <color rgb="FFF8696B"/>
        <color rgb="FFFFEB84"/>
        <color rgb="FF63BE7B"/>
      </colorScale>
    </cfRule>
  </conditionalFormatting>
  <conditionalFormatting sqref="E10:E31">
    <cfRule type="colorScale" priority="13010">
      <colorScale>
        <cfvo type="min"/>
        <cfvo type="percentile" val="50"/>
        <cfvo type="max"/>
        <color rgb="FFF8696B"/>
        <color rgb="FFFFEB84"/>
        <color rgb="FF63BE7B"/>
      </colorScale>
    </cfRule>
  </conditionalFormatting>
  <conditionalFormatting sqref="E10:E31">
    <cfRule type="colorScale" priority="13009">
      <colorScale>
        <cfvo type="min"/>
        <cfvo type="percentile" val="50"/>
        <cfvo type="max"/>
        <color rgb="FFF8696B"/>
        <color rgb="FFFFEB84"/>
        <color rgb="FF63BE7B"/>
      </colorScale>
    </cfRule>
  </conditionalFormatting>
  <conditionalFormatting sqref="J10:J31">
    <cfRule type="colorScale" priority="13008">
      <colorScale>
        <cfvo type="min"/>
        <cfvo type="percentile" val="50"/>
        <cfvo type="max"/>
        <color rgb="FFF8696B"/>
        <color rgb="FFFFEB84"/>
        <color rgb="FF63BE7B"/>
      </colorScale>
    </cfRule>
  </conditionalFormatting>
  <conditionalFormatting sqref="H10:I31 D10:F31">
    <cfRule type="colorScale" priority="13007">
      <colorScale>
        <cfvo type="min"/>
        <cfvo type="percentile" val="50"/>
        <cfvo type="max"/>
        <color rgb="FFF8696B"/>
        <color rgb="FFFFEB84"/>
        <color rgb="FF63BE7B"/>
      </colorScale>
    </cfRule>
  </conditionalFormatting>
  <conditionalFormatting sqref="D10:E31">
    <cfRule type="colorScale" priority="13006">
      <colorScale>
        <cfvo type="min"/>
        <cfvo type="percentile" val="50"/>
        <cfvo type="max"/>
        <color rgb="FFF8696B"/>
        <color rgb="FFFFEB84"/>
        <color rgb="FF63BE7B"/>
      </colorScale>
    </cfRule>
  </conditionalFormatting>
  <conditionalFormatting sqref="D10:E31">
    <cfRule type="colorScale" priority="13005">
      <colorScale>
        <cfvo type="min"/>
        <cfvo type="percentile" val="50"/>
        <cfvo type="max"/>
        <color rgb="FFF8696B"/>
        <color rgb="FFFFEB84"/>
        <color rgb="FF63BE7B"/>
      </colorScale>
    </cfRule>
  </conditionalFormatting>
  <conditionalFormatting sqref="D10:E31">
    <cfRule type="colorScale" priority="13004">
      <colorScale>
        <cfvo type="min"/>
        <cfvo type="percentile" val="50"/>
        <cfvo type="max"/>
        <color rgb="FFF8696B"/>
        <color rgb="FFFFEB84"/>
        <color rgb="FF63BE7B"/>
      </colorScale>
    </cfRule>
  </conditionalFormatting>
  <conditionalFormatting sqref="D10:E31">
    <cfRule type="colorScale" priority="13003">
      <colorScale>
        <cfvo type="min"/>
        <cfvo type="percentile" val="50"/>
        <cfvo type="max"/>
        <color rgb="FFF8696B"/>
        <color rgb="FFFFEB84"/>
        <color rgb="FF63BE7B"/>
      </colorScale>
    </cfRule>
  </conditionalFormatting>
  <conditionalFormatting sqref="D10:E31">
    <cfRule type="colorScale" priority="13002">
      <colorScale>
        <cfvo type="min"/>
        <cfvo type="percentile" val="50"/>
        <cfvo type="max"/>
        <color rgb="FFF8696B"/>
        <color rgb="FFFFEB84"/>
        <color rgb="FF63BE7B"/>
      </colorScale>
    </cfRule>
  </conditionalFormatting>
  <conditionalFormatting sqref="D10:E31">
    <cfRule type="colorScale" priority="13001">
      <colorScale>
        <cfvo type="min"/>
        <cfvo type="percentile" val="50"/>
        <cfvo type="max"/>
        <color rgb="FFF8696B"/>
        <color rgb="FFFFEB84"/>
        <color rgb="FF63BE7B"/>
      </colorScale>
    </cfRule>
  </conditionalFormatting>
  <conditionalFormatting sqref="D10:E31">
    <cfRule type="colorScale" priority="13000">
      <colorScale>
        <cfvo type="min"/>
        <cfvo type="percentile" val="50"/>
        <cfvo type="max"/>
        <color rgb="FFF8696B"/>
        <color rgb="FFFFEB84"/>
        <color rgb="FF63BE7B"/>
      </colorScale>
    </cfRule>
  </conditionalFormatting>
  <conditionalFormatting sqref="D10:E31">
    <cfRule type="colorScale" priority="12999">
      <colorScale>
        <cfvo type="min"/>
        <cfvo type="percentile" val="50"/>
        <cfvo type="max"/>
        <color rgb="FFF8696B"/>
        <color rgb="FFFFEB84"/>
        <color rgb="FF63BE7B"/>
      </colorScale>
    </cfRule>
  </conditionalFormatting>
  <conditionalFormatting sqref="D10:D31">
    <cfRule type="colorScale" priority="12998">
      <colorScale>
        <cfvo type="min"/>
        <cfvo type="percentile" val="50"/>
        <cfvo type="max"/>
        <color rgb="FFF8696B"/>
        <color rgb="FFFFEB84"/>
        <color rgb="FF63BE7B"/>
      </colorScale>
    </cfRule>
  </conditionalFormatting>
  <conditionalFormatting sqref="D10:E31">
    <cfRule type="colorScale" priority="12997">
      <colorScale>
        <cfvo type="min"/>
        <cfvo type="percentile" val="50"/>
        <cfvo type="max"/>
        <color rgb="FFF8696B"/>
        <color rgb="FFFFEB84"/>
        <color rgb="FF63BE7B"/>
      </colorScale>
    </cfRule>
  </conditionalFormatting>
  <conditionalFormatting sqref="D10:E31">
    <cfRule type="colorScale" priority="12996">
      <colorScale>
        <cfvo type="min"/>
        <cfvo type="percentile" val="50"/>
        <cfvo type="max"/>
        <color rgb="FFF8696B"/>
        <color rgb="FFFFEB84"/>
        <color rgb="FF63BE7B"/>
      </colorScale>
    </cfRule>
  </conditionalFormatting>
  <conditionalFormatting sqref="D10:E31">
    <cfRule type="colorScale" priority="12995">
      <colorScale>
        <cfvo type="min"/>
        <cfvo type="percentile" val="50"/>
        <cfvo type="max"/>
        <color rgb="FFF8696B"/>
        <color rgb="FFFFEB84"/>
        <color rgb="FF63BE7B"/>
      </colorScale>
    </cfRule>
  </conditionalFormatting>
  <conditionalFormatting sqref="D10:D31">
    <cfRule type="colorScale" priority="12994">
      <colorScale>
        <cfvo type="min"/>
        <cfvo type="percentile" val="50"/>
        <cfvo type="max"/>
        <color rgb="FFF8696B"/>
        <color rgb="FFFFEB84"/>
        <color rgb="FF63BE7B"/>
      </colorScale>
    </cfRule>
  </conditionalFormatting>
  <conditionalFormatting sqref="D10:E31">
    <cfRule type="colorScale" priority="12993">
      <colorScale>
        <cfvo type="min"/>
        <cfvo type="percentile" val="50"/>
        <cfvo type="max"/>
        <color rgb="FFF8696B"/>
        <color rgb="FFFFEB84"/>
        <color rgb="FF63BE7B"/>
      </colorScale>
    </cfRule>
  </conditionalFormatting>
  <conditionalFormatting sqref="D10:E31">
    <cfRule type="colorScale" priority="12992">
      <colorScale>
        <cfvo type="min"/>
        <cfvo type="percentile" val="50"/>
        <cfvo type="max"/>
        <color rgb="FFF8696B"/>
        <color rgb="FFFFEB84"/>
        <color rgb="FF63BE7B"/>
      </colorScale>
    </cfRule>
  </conditionalFormatting>
  <conditionalFormatting sqref="D10:E31">
    <cfRule type="colorScale" priority="12991">
      <colorScale>
        <cfvo type="min"/>
        <cfvo type="percentile" val="50"/>
        <cfvo type="max"/>
        <color rgb="FFF8696B"/>
        <color rgb="FFFFEB84"/>
        <color rgb="FF63BE7B"/>
      </colorScale>
    </cfRule>
  </conditionalFormatting>
  <conditionalFormatting sqref="D10:E31">
    <cfRule type="colorScale" priority="12990">
      <colorScale>
        <cfvo type="min"/>
        <cfvo type="percentile" val="50"/>
        <cfvo type="max"/>
        <color rgb="FFF8696B"/>
        <color rgb="FFFFEB84"/>
        <color rgb="FF63BE7B"/>
      </colorScale>
    </cfRule>
  </conditionalFormatting>
  <conditionalFormatting sqref="D10:E31">
    <cfRule type="colorScale" priority="12989">
      <colorScale>
        <cfvo type="min"/>
        <cfvo type="percentile" val="50"/>
        <cfvo type="max"/>
        <color rgb="FFF8696B"/>
        <color rgb="FFFFEB84"/>
        <color rgb="FF63BE7B"/>
      </colorScale>
    </cfRule>
  </conditionalFormatting>
  <conditionalFormatting sqref="D10:E31">
    <cfRule type="colorScale" priority="12988">
      <colorScale>
        <cfvo type="min"/>
        <cfvo type="percentile" val="50"/>
        <cfvo type="max"/>
        <color rgb="FFF8696B"/>
        <color rgb="FFFFEB84"/>
        <color rgb="FF63BE7B"/>
      </colorScale>
    </cfRule>
  </conditionalFormatting>
  <conditionalFormatting sqref="D10:E31">
    <cfRule type="colorScale" priority="12987">
      <colorScale>
        <cfvo type="min"/>
        <cfvo type="percentile" val="50"/>
        <cfvo type="max"/>
        <color rgb="FFF8696B"/>
        <color rgb="FFFFEB84"/>
        <color rgb="FF63BE7B"/>
      </colorScale>
    </cfRule>
  </conditionalFormatting>
  <conditionalFormatting sqref="D10:E31">
    <cfRule type="colorScale" priority="12986">
      <colorScale>
        <cfvo type="min"/>
        <cfvo type="percentile" val="50"/>
        <cfvo type="max"/>
        <color rgb="FFF8696B"/>
        <color rgb="FFFFEB84"/>
        <color rgb="FF63BE7B"/>
      </colorScale>
    </cfRule>
  </conditionalFormatting>
  <conditionalFormatting sqref="D10:E31">
    <cfRule type="colorScale" priority="12985">
      <colorScale>
        <cfvo type="min"/>
        <cfvo type="percentile" val="50"/>
        <cfvo type="max"/>
        <color rgb="FFF8696B"/>
        <color rgb="FFFFEB84"/>
        <color rgb="FF63BE7B"/>
      </colorScale>
    </cfRule>
  </conditionalFormatting>
  <conditionalFormatting sqref="D10:E31">
    <cfRule type="colorScale" priority="12984">
      <colorScale>
        <cfvo type="min"/>
        <cfvo type="percentile" val="50"/>
        <cfvo type="max"/>
        <color rgb="FFF8696B"/>
        <color rgb="FFFFEB84"/>
        <color rgb="FF63BE7B"/>
      </colorScale>
    </cfRule>
  </conditionalFormatting>
  <conditionalFormatting sqref="D10:E31">
    <cfRule type="colorScale" priority="12983">
      <colorScale>
        <cfvo type="min"/>
        <cfvo type="percentile" val="50"/>
        <cfvo type="max"/>
        <color rgb="FFF8696B"/>
        <color rgb="FFFFEB84"/>
        <color rgb="FF63BE7B"/>
      </colorScale>
    </cfRule>
  </conditionalFormatting>
  <conditionalFormatting sqref="D10:E31">
    <cfRule type="colorScale" priority="12982">
      <colorScale>
        <cfvo type="min"/>
        <cfvo type="percentile" val="50"/>
        <cfvo type="max"/>
        <color rgb="FFF8696B"/>
        <color rgb="FFFFEB84"/>
        <color rgb="FF63BE7B"/>
      </colorScale>
    </cfRule>
  </conditionalFormatting>
  <conditionalFormatting sqref="D10:D31">
    <cfRule type="colorScale" priority="12981">
      <colorScale>
        <cfvo type="min"/>
        <cfvo type="percentile" val="50"/>
        <cfvo type="max"/>
        <color rgb="FFF8696B"/>
        <color rgb="FFFFEB84"/>
        <color rgb="FF63BE7B"/>
      </colorScale>
    </cfRule>
  </conditionalFormatting>
  <conditionalFormatting sqref="D10:D31">
    <cfRule type="colorScale" priority="12980">
      <colorScale>
        <cfvo type="min"/>
        <cfvo type="percentile" val="50"/>
        <cfvo type="max"/>
        <color rgb="FFF8696B"/>
        <color rgb="FFFFEB84"/>
        <color rgb="FF63BE7B"/>
      </colorScale>
    </cfRule>
  </conditionalFormatting>
  <conditionalFormatting sqref="D10:D31">
    <cfRule type="colorScale" priority="12979">
      <colorScale>
        <cfvo type="min"/>
        <cfvo type="percentile" val="50"/>
        <cfvo type="max"/>
        <color rgb="FFF8696B"/>
        <color rgb="FFFFEB84"/>
        <color rgb="FF63BE7B"/>
      </colorScale>
    </cfRule>
  </conditionalFormatting>
  <conditionalFormatting sqref="D10:D31">
    <cfRule type="colorScale" priority="12978">
      <colorScale>
        <cfvo type="min"/>
        <cfvo type="percentile" val="50"/>
        <cfvo type="max"/>
        <color rgb="FFF8696B"/>
        <color rgb="FFFFEB84"/>
        <color rgb="FF63BE7B"/>
      </colorScale>
    </cfRule>
  </conditionalFormatting>
  <conditionalFormatting sqref="D10:E31">
    <cfRule type="colorScale" priority="12977">
      <colorScale>
        <cfvo type="min"/>
        <cfvo type="percentile" val="50"/>
        <cfvo type="max"/>
        <color rgb="FFF8696B"/>
        <color rgb="FFFFEB84"/>
        <color rgb="FF63BE7B"/>
      </colorScale>
    </cfRule>
  </conditionalFormatting>
  <conditionalFormatting sqref="D10:E31">
    <cfRule type="colorScale" priority="12976">
      <colorScale>
        <cfvo type="min"/>
        <cfvo type="percentile" val="50"/>
        <cfvo type="max"/>
        <color rgb="FFF8696B"/>
        <color rgb="FFFFEB84"/>
        <color rgb="FF63BE7B"/>
      </colorScale>
    </cfRule>
  </conditionalFormatting>
  <conditionalFormatting sqref="D10:D31">
    <cfRule type="colorScale" priority="12975">
      <colorScale>
        <cfvo type="min"/>
        <cfvo type="percentile" val="50"/>
        <cfvo type="max"/>
        <color rgb="FFF8696B"/>
        <color rgb="FFFFEB84"/>
        <color rgb="FF63BE7B"/>
      </colorScale>
    </cfRule>
  </conditionalFormatting>
  <conditionalFormatting sqref="D10:D31">
    <cfRule type="colorScale" priority="12974">
      <colorScale>
        <cfvo type="min"/>
        <cfvo type="percentile" val="50"/>
        <cfvo type="max"/>
        <color rgb="FFF8696B"/>
        <color rgb="FFFFEB84"/>
        <color rgb="FF63BE7B"/>
      </colorScale>
    </cfRule>
  </conditionalFormatting>
  <conditionalFormatting sqref="D10:D31">
    <cfRule type="colorScale" priority="12973">
      <colorScale>
        <cfvo type="min"/>
        <cfvo type="percentile" val="50"/>
        <cfvo type="max"/>
        <color rgb="FFF8696B"/>
        <color rgb="FFFFEB84"/>
        <color rgb="FF63BE7B"/>
      </colorScale>
    </cfRule>
  </conditionalFormatting>
  <conditionalFormatting sqref="D10:D31">
    <cfRule type="colorScale" priority="12972">
      <colorScale>
        <cfvo type="min"/>
        <cfvo type="percentile" val="50"/>
        <cfvo type="max"/>
        <color rgb="FFF8696B"/>
        <color rgb="FFFFEB84"/>
        <color rgb="FF63BE7B"/>
      </colorScale>
    </cfRule>
  </conditionalFormatting>
  <conditionalFormatting sqref="D10:E31">
    <cfRule type="colorScale" priority="12971">
      <colorScale>
        <cfvo type="min"/>
        <cfvo type="percentile" val="50"/>
        <cfvo type="max"/>
        <color rgb="FFF8696B"/>
        <color rgb="FFFFEB84"/>
        <color rgb="FF63BE7B"/>
      </colorScale>
    </cfRule>
  </conditionalFormatting>
  <conditionalFormatting sqref="D10:E31">
    <cfRule type="colorScale" priority="12970">
      <colorScale>
        <cfvo type="min"/>
        <cfvo type="percentile" val="50"/>
        <cfvo type="max"/>
        <color rgb="FFF8696B"/>
        <color rgb="FFFFEB84"/>
        <color rgb="FF63BE7B"/>
      </colorScale>
    </cfRule>
  </conditionalFormatting>
  <conditionalFormatting sqref="D10:D31">
    <cfRule type="colorScale" priority="12969">
      <colorScale>
        <cfvo type="min"/>
        <cfvo type="percentile" val="50"/>
        <cfvo type="max"/>
        <color rgb="FFF8696B"/>
        <color rgb="FFFFEB84"/>
        <color rgb="FF63BE7B"/>
      </colorScale>
    </cfRule>
  </conditionalFormatting>
  <conditionalFormatting sqref="D10:D31">
    <cfRule type="colorScale" priority="12968">
      <colorScale>
        <cfvo type="min"/>
        <cfvo type="percentile" val="50"/>
        <cfvo type="max"/>
        <color rgb="FFF8696B"/>
        <color rgb="FFFFEB84"/>
        <color rgb="FF63BE7B"/>
      </colorScale>
    </cfRule>
  </conditionalFormatting>
  <conditionalFormatting sqref="D10:D31">
    <cfRule type="colorScale" priority="12967">
      <colorScale>
        <cfvo type="min"/>
        <cfvo type="percentile" val="50"/>
        <cfvo type="max"/>
        <color rgb="FFF8696B"/>
        <color rgb="FFFFEB84"/>
        <color rgb="FF63BE7B"/>
      </colorScale>
    </cfRule>
  </conditionalFormatting>
  <conditionalFormatting sqref="D10:D31">
    <cfRule type="colorScale" priority="12966">
      <colorScale>
        <cfvo type="min"/>
        <cfvo type="percentile" val="50"/>
        <cfvo type="max"/>
        <color rgb="FFF8696B"/>
        <color rgb="FFFFEB84"/>
        <color rgb="FF63BE7B"/>
      </colorScale>
    </cfRule>
  </conditionalFormatting>
  <conditionalFormatting sqref="D10:E31">
    <cfRule type="colorScale" priority="12965">
      <colorScale>
        <cfvo type="min"/>
        <cfvo type="percentile" val="50"/>
        <cfvo type="max"/>
        <color rgb="FFF8696B"/>
        <color rgb="FFFFEB84"/>
        <color rgb="FF63BE7B"/>
      </colorScale>
    </cfRule>
  </conditionalFormatting>
  <conditionalFormatting sqref="D10:E31">
    <cfRule type="colorScale" priority="12964">
      <colorScale>
        <cfvo type="min"/>
        <cfvo type="percentile" val="50"/>
        <cfvo type="max"/>
        <color rgb="FFF8696B"/>
        <color rgb="FFFFEB84"/>
        <color rgb="FF63BE7B"/>
      </colorScale>
    </cfRule>
  </conditionalFormatting>
  <conditionalFormatting sqref="D10:E31">
    <cfRule type="colorScale" priority="12963">
      <colorScale>
        <cfvo type="min"/>
        <cfvo type="percentile" val="50"/>
        <cfvo type="max"/>
        <color rgb="FFF8696B"/>
        <color rgb="FFFFEB84"/>
        <color rgb="FF63BE7B"/>
      </colorScale>
    </cfRule>
  </conditionalFormatting>
  <conditionalFormatting sqref="D10:E31">
    <cfRule type="colorScale" priority="12962">
      <colorScale>
        <cfvo type="min"/>
        <cfvo type="percentile" val="50"/>
        <cfvo type="max"/>
        <color rgb="FFF8696B"/>
        <color rgb="FFFFEB84"/>
        <color rgb="FF63BE7B"/>
      </colorScale>
    </cfRule>
  </conditionalFormatting>
  <conditionalFormatting sqref="D10:D31">
    <cfRule type="colorScale" priority="12961">
      <colorScale>
        <cfvo type="min"/>
        <cfvo type="percentile" val="50"/>
        <cfvo type="max"/>
        <color rgb="FFF8696B"/>
        <color rgb="FFFFEB84"/>
        <color rgb="FF63BE7B"/>
      </colorScale>
    </cfRule>
  </conditionalFormatting>
  <conditionalFormatting sqref="D10:D31">
    <cfRule type="colorScale" priority="12960">
      <colorScale>
        <cfvo type="min"/>
        <cfvo type="percentile" val="50"/>
        <cfvo type="max"/>
        <color rgb="FFF8696B"/>
        <color rgb="FFFFEB84"/>
        <color rgb="FF63BE7B"/>
      </colorScale>
    </cfRule>
  </conditionalFormatting>
  <conditionalFormatting sqref="D10:D31">
    <cfRule type="colorScale" priority="12959">
      <colorScale>
        <cfvo type="min"/>
        <cfvo type="percentile" val="50"/>
        <cfvo type="max"/>
        <color rgb="FFF8696B"/>
        <color rgb="FFFFEB84"/>
        <color rgb="FF63BE7B"/>
      </colorScale>
    </cfRule>
  </conditionalFormatting>
  <conditionalFormatting sqref="D10:D31">
    <cfRule type="colorScale" priority="12958">
      <colorScale>
        <cfvo type="min"/>
        <cfvo type="percentile" val="50"/>
        <cfvo type="max"/>
        <color rgb="FFF8696B"/>
        <color rgb="FFFFEB84"/>
        <color rgb="FF63BE7B"/>
      </colorScale>
    </cfRule>
  </conditionalFormatting>
  <conditionalFormatting sqref="D10:E31">
    <cfRule type="colorScale" priority="12957">
      <colorScale>
        <cfvo type="min"/>
        <cfvo type="percentile" val="50"/>
        <cfvo type="max"/>
        <color rgb="FFF8696B"/>
        <color rgb="FFFFEB84"/>
        <color rgb="FF63BE7B"/>
      </colorScale>
    </cfRule>
  </conditionalFormatting>
  <conditionalFormatting sqref="D10:E31">
    <cfRule type="colorScale" priority="12956">
      <colorScale>
        <cfvo type="min"/>
        <cfvo type="percentile" val="50"/>
        <cfvo type="max"/>
        <color rgb="FFF8696B"/>
        <color rgb="FFFFEB84"/>
        <color rgb="FF63BE7B"/>
      </colorScale>
    </cfRule>
  </conditionalFormatting>
  <conditionalFormatting sqref="D10:D31">
    <cfRule type="colorScale" priority="12955">
      <colorScale>
        <cfvo type="min"/>
        <cfvo type="percentile" val="50"/>
        <cfvo type="max"/>
        <color rgb="FFF8696B"/>
        <color rgb="FFFFEB84"/>
        <color rgb="FF63BE7B"/>
      </colorScale>
    </cfRule>
  </conditionalFormatting>
  <conditionalFormatting sqref="D10:D31">
    <cfRule type="colorScale" priority="12954">
      <colorScale>
        <cfvo type="min"/>
        <cfvo type="percentile" val="50"/>
        <cfvo type="max"/>
        <color rgb="FFF8696B"/>
        <color rgb="FFFFEB84"/>
        <color rgb="FF63BE7B"/>
      </colorScale>
    </cfRule>
  </conditionalFormatting>
  <conditionalFormatting sqref="D10:D31">
    <cfRule type="colorScale" priority="12953">
      <colorScale>
        <cfvo type="min"/>
        <cfvo type="percentile" val="50"/>
        <cfvo type="max"/>
        <color rgb="FFF8696B"/>
        <color rgb="FFFFEB84"/>
        <color rgb="FF63BE7B"/>
      </colorScale>
    </cfRule>
  </conditionalFormatting>
  <conditionalFormatting sqref="D10:D31">
    <cfRule type="colorScale" priority="12952">
      <colorScale>
        <cfvo type="min"/>
        <cfvo type="percentile" val="50"/>
        <cfvo type="max"/>
        <color rgb="FFF8696B"/>
        <color rgb="FFFFEB84"/>
        <color rgb="FF63BE7B"/>
      </colorScale>
    </cfRule>
  </conditionalFormatting>
  <conditionalFormatting sqref="D10:E31">
    <cfRule type="colorScale" priority="12951">
      <colorScale>
        <cfvo type="min"/>
        <cfvo type="percentile" val="50"/>
        <cfvo type="max"/>
        <color rgb="FFF8696B"/>
        <color rgb="FFFFEB84"/>
        <color rgb="FF63BE7B"/>
      </colorScale>
    </cfRule>
  </conditionalFormatting>
  <conditionalFormatting sqref="D10:E31">
    <cfRule type="colorScale" priority="12950">
      <colorScale>
        <cfvo type="min"/>
        <cfvo type="percentile" val="50"/>
        <cfvo type="max"/>
        <color rgb="FFF8696B"/>
        <color rgb="FFFFEB84"/>
        <color rgb="FF63BE7B"/>
      </colorScale>
    </cfRule>
  </conditionalFormatting>
  <conditionalFormatting sqref="D10:D31">
    <cfRule type="colorScale" priority="12949">
      <colorScale>
        <cfvo type="min"/>
        <cfvo type="percentile" val="50"/>
        <cfvo type="max"/>
        <color rgb="FFF8696B"/>
        <color rgb="FFFFEB84"/>
        <color rgb="FF63BE7B"/>
      </colorScale>
    </cfRule>
  </conditionalFormatting>
  <conditionalFormatting sqref="D10:D31">
    <cfRule type="colorScale" priority="12948">
      <colorScale>
        <cfvo type="min"/>
        <cfvo type="percentile" val="50"/>
        <cfvo type="max"/>
        <color rgb="FFF8696B"/>
        <color rgb="FFFFEB84"/>
        <color rgb="FF63BE7B"/>
      </colorScale>
    </cfRule>
  </conditionalFormatting>
  <conditionalFormatting sqref="D10:D31">
    <cfRule type="colorScale" priority="12947">
      <colorScale>
        <cfvo type="min"/>
        <cfvo type="percentile" val="50"/>
        <cfvo type="max"/>
        <color rgb="FFF8696B"/>
        <color rgb="FFFFEB84"/>
        <color rgb="FF63BE7B"/>
      </colorScale>
    </cfRule>
  </conditionalFormatting>
  <conditionalFormatting sqref="D10:D31">
    <cfRule type="colorScale" priority="12946">
      <colorScale>
        <cfvo type="min"/>
        <cfvo type="percentile" val="50"/>
        <cfvo type="max"/>
        <color rgb="FFF8696B"/>
        <color rgb="FFFFEB84"/>
        <color rgb="FF63BE7B"/>
      </colorScale>
    </cfRule>
  </conditionalFormatting>
  <conditionalFormatting sqref="D10:E31">
    <cfRule type="colorScale" priority="12945">
      <colorScale>
        <cfvo type="min"/>
        <cfvo type="percentile" val="50"/>
        <cfvo type="max"/>
        <color rgb="FFF8696B"/>
        <color rgb="FFFFEB84"/>
        <color rgb="FF63BE7B"/>
      </colorScale>
    </cfRule>
  </conditionalFormatting>
  <conditionalFormatting sqref="D10:E31">
    <cfRule type="colorScale" priority="12944">
      <colorScale>
        <cfvo type="min"/>
        <cfvo type="percentile" val="50"/>
        <cfvo type="max"/>
        <color rgb="FFF8696B"/>
        <color rgb="FFFFEB84"/>
        <color rgb="FF63BE7B"/>
      </colorScale>
    </cfRule>
  </conditionalFormatting>
  <conditionalFormatting sqref="D10:E31">
    <cfRule type="colorScale" priority="12943">
      <colorScale>
        <cfvo type="min"/>
        <cfvo type="percentile" val="50"/>
        <cfvo type="max"/>
        <color rgb="FFF8696B"/>
        <color rgb="FFFFEB84"/>
        <color rgb="FF63BE7B"/>
      </colorScale>
    </cfRule>
  </conditionalFormatting>
  <conditionalFormatting sqref="D10:E31">
    <cfRule type="colorScale" priority="12942">
      <colorScale>
        <cfvo type="min"/>
        <cfvo type="percentile" val="50"/>
        <cfvo type="max"/>
        <color rgb="FFF8696B"/>
        <color rgb="FFFFEB84"/>
        <color rgb="FF63BE7B"/>
      </colorScale>
    </cfRule>
  </conditionalFormatting>
  <conditionalFormatting sqref="D10:E31">
    <cfRule type="colorScale" priority="12941">
      <colorScale>
        <cfvo type="min"/>
        <cfvo type="percentile" val="50"/>
        <cfvo type="max"/>
        <color rgb="FFF8696B"/>
        <color rgb="FFFFEB84"/>
        <color rgb="FF63BE7B"/>
      </colorScale>
    </cfRule>
  </conditionalFormatting>
  <conditionalFormatting sqref="D10:E31">
    <cfRule type="colorScale" priority="12940">
      <colorScale>
        <cfvo type="min"/>
        <cfvo type="percentile" val="50"/>
        <cfvo type="max"/>
        <color rgb="FFF8696B"/>
        <color rgb="FFFFEB84"/>
        <color rgb="FF63BE7B"/>
      </colorScale>
    </cfRule>
  </conditionalFormatting>
  <conditionalFormatting sqref="D10:D31">
    <cfRule type="colorScale" priority="12939">
      <colorScale>
        <cfvo type="min"/>
        <cfvo type="percentile" val="50"/>
        <cfvo type="max"/>
        <color rgb="FFF8696B"/>
        <color rgb="FFFFEB84"/>
        <color rgb="FF63BE7B"/>
      </colorScale>
    </cfRule>
  </conditionalFormatting>
  <conditionalFormatting sqref="D10:D31">
    <cfRule type="colorScale" priority="12938">
      <colorScale>
        <cfvo type="min"/>
        <cfvo type="percentile" val="50"/>
        <cfvo type="max"/>
        <color rgb="FFF8696B"/>
        <color rgb="FFFFEB84"/>
        <color rgb="FF63BE7B"/>
      </colorScale>
    </cfRule>
  </conditionalFormatting>
  <conditionalFormatting sqref="D10:D31">
    <cfRule type="colorScale" priority="12937">
      <colorScale>
        <cfvo type="min"/>
        <cfvo type="percentile" val="50"/>
        <cfvo type="max"/>
        <color rgb="FFF8696B"/>
        <color rgb="FFFFEB84"/>
        <color rgb="FF63BE7B"/>
      </colorScale>
    </cfRule>
  </conditionalFormatting>
  <conditionalFormatting sqref="D10:D31">
    <cfRule type="colorScale" priority="12936">
      <colorScale>
        <cfvo type="min"/>
        <cfvo type="percentile" val="50"/>
        <cfvo type="max"/>
        <color rgb="FFF8696B"/>
        <color rgb="FFFFEB84"/>
        <color rgb="FF63BE7B"/>
      </colorScale>
    </cfRule>
  </conditionalFormatting>
  <conditionalFormatting sqref="D10:E31">
    <cfRule type="colorScale" priority="12935">
      <colorScale>
        <cfvo type="min"/>
        <cfvo type="percentile" val="50"/>
        <cfvo type="max"/>
        <color rgb="FFF8696B"/>
        <color rgb="FFFFEB84"/>
        <color rgb="FF63BE7B"/>
      </colorScale>
    </cfRule>
  </conditionalFormatting>
  <conditionalFormatting sqref="D10:E31">
    <cfRule type="colorScale" priority="12934">
      <colorScale>
        <cfvo type="min"/>
        <cfvo type="percentile" val="50"/>
        <cfvo type="max"/>
        <color rgb="FFF8696B"/>
        <color rgb="FFFFEB84"/>
        <color rgb="FF63BE7B"/>
      </colorScale>
    </cfRule>
  </conditionalFormatting>
  <conditionalFormatting sqref="D10:D31">
    <cfRule type="colorScale" priority="12933">
      <colorScale>
        <cfvo type="min"/>
        <cfvo type="percentile" val="50"/>
        <cfvo type="max"/>
        <color rgb="FFF8696B"/>
        <color rgb="FFFFEB84"/>
        <color rgb="FF63BE7B"/>
      </colorScale>
    </cfRule>
  </conditionalFormatting>
  <conditionalFormatting sqref="D10:D31">
    <cfRule type="colorScale" priority="12932">
      <colorScale>
        <cfvo type="min"/>
        <cfvo type="percentile" val="50"/>
        <cfvo type="max"/>
        <color rgb="FFF8696B"/>
        <color rgb="FFFFEB84"/>
        <color rgb="FF63BE7B"/>
      </colorScale>
    </cfRule>
  </conditionalFormatting>
  <conditionalFormatting sqref="D10:D31">
    <cfRule type="colorScale" priority="12931">
      <colorScale>
        <cfvo type="min"/>
        <cfvo type="percentile" val="50"/>
        <cfvo type="max"/>
        <color rgb="FFF8696B"/>
        <color rgb="FFFFEB84"/>
        <color rgb="FF63BE7B"/>
      </colorScale>
    </cfRule>
  </conditionalFormatting>
  <conditionalFormatting sqref="D10:D31">
    <cfRule type="colorScale" priority="12930">
      <colorScale>
        <cfvo type="min"/>
        <cfvo type="percentile" val="50"/>
        <cfvo type="max"/>
        <color rgb="FFF8696B"/>
        <color rgb="FFFFEB84"/>
        <color rgb="FF63BE7B"/>
      </colorScale>
    </cfRule>
  </conditionalFormatting>
  <conditionalFormatting sqref="D10:E31">
    <cfRule type="colorScale" priority="12929">
      <colorScale>
        <cfvo type="min"/>
        <cfvo type="percentile" val="50"/>
        <cfvo type="max"/>
        <color rgb="FFF8696B"/>
        <color rgb="FFFFEB84"/>
        <color rgb="FF63BE7B"/>
      </colorScale>
    </cfRule>
  </conditionalFormatting>
  <conditionalFormatting sqref="D10:E31">
    <cfRule type="colorScale" priority="12928">
      <colorScale>
        <cfvo type="min"/>
        <cfvo type="percentile" val="50"/>
        <cfvo type="max"/>
        <color rgb="FFF8696B"/>
        <color rgb="FFFFEB84"/>
        <color rgb="FF63BE7B"/>
      </colorScale>
    </cfRule>
  </conditionalFormatting>
  <conditionalFormatting sqref="D10:D31">
    <cfRule type="colorScale" priority="12927">
      <colorScale>
        <cfvo type="min"/>
        <cfvo type="percentile" val="50"/>
        <cfvo type="max"/>
        <color rgb="FFF8696B"/>
        <color rgb="FFFFEB84"/>
        <color rgb="FF63BE7B"/>
      </colorScale>
    </cfRule>
  </conditionalFormatting>
  <conditionalFormatting sqref="D10:D31">
    <cfRule type="colorScale" priority="12926">
      <colorScale>
        <cfvo type="min"/>
        <cfvo type="percentile" val="50"/>
        <cfvo type="max"/>
        <color rgb="FFF8696B"/>
        <color rgb="FFFFEB84"/>
        <color rgb="FF63BE7B"/>
      </colorScale>
    </cfRule>
  </conditionalFormatting>
  <conditionalFormatting sqref="D10:D31">
    <cfRule type="colorScale" priority="12925">
      <colorScale>
        <cfvo type="min"/>
        <cfvo type="percentile" val="50"/>
        <cfvo type="max"/>
        <color rgb="FFF8696B"/>
        <color rgb="FFFFEB84"/>
        <color rgb="FF63BE7B"/>
      </colorScale>
    </cfRule>
  </conditionalFormatting>
  <conditionalFormatting sqref="D10:D31">
    <cfRule type="colorScale" priority="12924">
      <colorScale>
        <cfvo type="min"/>
        <cfvo type="percentile" val="50"/>
        <cfvo type="max"/>
        <color rgb="FFF8696B"/>
        <color rgb="FFFFEB84"/>
        <color rgb="FF63BE7B"/>
      </colorScale>
    </cfRule>
  </conditionalFormatting>
  <conditionalFormatting sqref="D10:E31">
    <cfRule type="colorScale" priority="12923">
      <colorScale>
        <cfvo type="min"/>
        <cfvo type="percentile" val="50"/>
        <cfvo type="max"/>
        <color rgb="FFF8696B"/>
        <color rgb="FFFFEB84"/>
        <color rgb="FF63BE7B"/>
      </colorScale>
    </cfRule>
  </conditionalFormatting>
  <conditionalFormatting sqref="D10:E31">
    <cfRule type="colorScale" priority="12922">
      <colorScale>
        <cfvo type="min"/>
        <cfvo type="percentile" val="50"/>
        <cfvo type="max"/>
        <color rgb="FFF8696B"/>
        <color rgb="FFFFEB84"/>
        <color rgb="FF63BE7B"/>
      </colorScale>
    </cfRule>
  </conditionalFormatting>
  <conditionalFormatting sqref="D10:E31">
    <cfRule type="colorScale" priority="12921">
      <colorScale>
        <cfvo type="min"/>
        <cfvo type="percentile" val="50"/>
        <cfvo type="max"/>
        <color rgb="FFF8696B"/>
        <color rgb="FFFFEB84"/>
        <color rgb="FF63BE7B"/>
      </colorScale>
    </cfRule>
  </conditionalFormatting>
  <conditionalFormatting sqref="D10:E31">
    <cfRule type="colorScale" priority="12920">
      <colorScale>
        <cfvo type="min"/>
        <cfvo type="percentile" val="50"/>
        <cfvo type="max"/>
        <color rgb="FFF8696B"/>
        <color rgb="FFFFEB84"/>
        <color rgb="FF63BE7B"/>
      </colorScale>
    </cfRule>
  </conditionalFormatting>
  <conditionalFormatting sqref="D10:D31">
    <cfRule type="colorScale" priority="12919">
      <colorScale>
        <cfvo type="min"/>
        <cfvo type="percentile" val="50"/>
        <cfvo type="max"/>
        <color rgb="FFF8696B"/>
        <color rgb="FFFFEB84"/>
        <color rgb="FF63BE7B"/>
      </colorScale>
    </cfRule>
  </conditionalFormatting>
  <conditionalFormatting sqref="D10:D31">
    <cfRule type="colorScale" priority="12918">
      <colorScale>
        <cfvo type="min"/>
        <cfvo type="percentile" val="50"/>
        <cfvo type="max"/>
        <color rgb="FFF8696B"/>
        <color rgb="FFFFEB84"/>
        <color rgb="FF63BE7B"/>
      </colorScale>
    </cfRule>
  </conditionalFormatting>
  <conditionalFormatting sqref="D10:D31">
    <cfRule type="colorScale" priority="12917">
      <colorScale>
        <cfvo type="min"/>
        <cfvo type="percentile" val="50"/>
        <cfvo type="max"/>
        <color rgb="FFF8696B"/>
        <color rgb="FFFFEB84"/>
        <color rgb="FF63BE7B"/>
      </colorScale>
    </cfRule>
  </conditionalFormatting>
  <conditionalFormatting sqref="D10:D31">
    <cfRule type="colorScale" priority="12916">
      <colorScale>
        <cfvo type="min"/>
        <cfvo type="percentile" val="50"/>
        <cfvo type="max"/>
        <color rgb="FFF8696B"/>
        <color rgb="FFFFEB84"/>
        <color rgb="FF63BE7B"/>
      </colorScale>
    </cfRule>
  </conditionalFormatting>
  <conditionalFormatting sqref="D10:E31">
    <cfRule type="colorScale" priority="12915">
      <colorScale>
        <cfvo type="min"/>
        <cfvo type="percentile" val="50"/>
        <cfvo type="max"/>
        <color rgb="FFF8696B"/>
        <color rgb="FFFFEB84"/>
        <color rgb="FF63BE7B"/>
      </colorScale>
    </cfRule>
  </conditionalFormatting>
  <conditionalFormatting sqref="D10:E31">
    <cfRule type="colorScale" priority="12914">
      <colorScale>
        <cfvo type="min"/>
        <cfvo type="percentile" val="50"/>
        <cfvo type="max"/>
        <color rgb="FFF8696B"/>
        <color rgb="FFFFEB84"/>
        <color rgb="FF63BE7B"/>
      </colorScale>
    </cfRule>
  </conditionalFormatting>
  <conditionalFormatting sqref="D10:D31">
    <cfRule type="colorScale" priority="12913">
      <colorScale>
        <cfvo type="min"/>
        <cfvo type="percentile" val="50"/>
        <cfvo type="max"/>
        <color rgb="FFF8696B"/>
        <color rgb="FFFFEB84"/>
        <color rgb="FF63BE7B"/>
      </colorScale>
    </cfRule>
  </conditionalFormatting>
  <conditionalFormatting sqref="D10:D31">
    <cfRule type="colorScale" priority="12912">
      <colorScale>
        <cfvo type="min"/>
        <cfvo type="percentile" val="50"/>
        <cfvo type="max"/>
        <color rgb="FFF8696B"/>
        <color rgb="FFFFEB84"/>
        <color rgb="FF63BE7B"/>
      </colorScale>
    </cfRule>
  </conditionalFormatting>
  <conditionalFormatting sqref="D10:D31">
    <cfRule type="colorScale" priority="12911">
      <colorScale>
        <cfvo type="min"/>
        <cfvo type="percentile" val="50"/>
        <cfvo type="max"/>
        <color rgb="FFF8696B"/>
        <color rgb="FFFFEB84"/>
        <color rgb="FF63BE7B"/>
      </colorScale>
    </cfRule>
  </conditionalFormatting>
  <conditionalFormatting sqref="D10:D31">
    <cfRule type="colorScale" priority="12910">
      <colorScale>
        <cfvo type="min"/>
        <cfvo type="percentile" val="50"/>
        <cfvo type="max"/>
        <color rgb="FFF8696B"/>
        <color rgb="FFFFEB84"/>
        <color rgb="FF63BE7B"/>
      </colorScale>
    </cfRule>
  </conditionalFormatting>
  <conditionalFormatting sqref="D10:E31">
    <cfRule type="colorScale" priority="12909">
      <colorScale>
        <cfvo type="min"/>
        <cfvo type="percentile" val="50"/>
        <cfvo type="max"/>
        <color rgb="FFF8696B"/>
        <color rgb="FFFFEB84"/>
        <color rgb="FF63BE7B"/>
      </colorScale>
    </cfRule>
  </conditionalFormatting>
  <conditionalFormatting sqref="D10:E31">
    <cfRule type="colorScale" priority="12908">
      <colorScale>
        <cfvo type="min"/>
        <cfvo type="percentile" val="50"/>
        <cfvo type="max"/>
        <color rgb="FFF8696B"/>
        <color rgb="FFFFEB84"/>
        <color rgb="FF63BE7B"/>
      </colorScale>
    </cfRule>
  </conditionalFormatting>
  <conditionalFormatting sqref="D10:D31">
    <cfRule type="colorScale" priority="12907">
      <colorScale>
        <cfvo type="min"/>
        <cfvo type="percentile" val="50"/>
        <cfvo type="max"/>
        <color rgb="FFF8696B"/>
        <color rgb="FFFFEB84"/>
        <color rgb="FF63BE7B"/>
      </colorScale>
    </cfRule>
  </conditionalFormatting>
  <conditionalFormatting sqref="D10:D31">
    <cfRule type="colorScale" priority="12906">
      <colorScale>
        <cfvo type="min"/>
        <cfvo type="percentile" val="50"/>
        <cfvo type="max"/>
        <color rgb="FFF8696B"/>
        <color rgb="FFFFEB84"/>
        <color rgb="FF63BE7B"/>
      </colorScale>
    </cfRule>
  </conditionalFormatting>
  <conditionalFormatting sqref="D10:D31">
    <cfRule type="colorScale" priority="12905">
      <colorScale>
        <cfvo type="min"/>
        <cfvo type="percentile" val="50"/>
        <cfvo type="max"/>
        <color rgb="FFF8696B"/>
        <color rgb="FFFFEB84"/>
        <color rgb="FF63BE7B"/>
      </colorScale>
    </cfRule>
  </conditionalFormatting>
  <conditionalFormatting sqref="D10:D31">
    <cfRule type="colorScale" priority="12904">
      <colorScale>
        <cfvo type="min"/>
        <cfvo type="percentile" val="50"/>
        <cfvo type="max"/>
        <color rgb="FFF8696B"/>
        <color rgb="FFFFEB84"/>
        <color rgb="FF63BE7B"/>
      </colorScale>
    </cfRule>
  </conditionalFormatting>
  <conditionalFormatting sqref="D10:E31">
    <cfRule type="colorScale" priority="12903">
      <colorScale>
        <cfvo type="min"/>
        <cfvo type="percentile" val="50"/>
        <cfvo type="max"/>
        <color rgb="FFF8696B"/>
        <color rgb="FFFFEB84"/>
        <color rgb="FF63BE7B"/>
      </colorScale>
    </cfRule>
  </conditionalFormatting>
  <conditionalFormatting sqref="D10:E31">
    <cfRule type="colorScale" priority="12902">
      <colorScale>
        <cfvo type="min"/>
        <cfvo type="percentile" val="50"/>
        <cfvo type="max"/>
        <color rgb="FFF8696B"/>
        <color rgb="FFFFEB84"/>
        <color rgb="FF63BE7B"/>
      </colorScale>
    </cfRule>
  </conditionalFormatting>
  <conditionalFormatting sqref="D10:E31">
    <cfRule type="colorScale" priority="12901">
      <colorScale>
        <cfvo type="min"/>
        <cfvo type="percentile" val="50"/>
        <cfvo type="max"/>
        <color rgb="FFF8696B"/>
        <color rgb="FFFFEB84"/>
        <color rgb="FF63BE7B"/>
      </colorScale>
    </cfRule>
  </conditionalFormatting>
  <conditionalFormatting sqref="D10:E31">
    <cfRule type="colorScale" priority="12900">
      <colorScale>
        <cfvo type="min"/>
        <cfvo type="percentile" val="50"/>
        <cfvo type="max"/>
        <color rgb="FFF8696B"/>
        <color rgb="FFFFEB84"/>
        <color rgb="FF63BE7B"/>
      </colorScale>
    </cfRule>
  </conditionalFormatting>
  <conditionalFormatting sqref="D10:D31">
    <cfRule type="colorScale" priority="12899">
      <colorScale>
        <cfvo type="min"/>
        <cfvo type="percentile" val="50"/>
        <cfvo type="max"/>
        <color rgb="FFF8696B"/>
        <color rgb="FFFFEB84"/>
        <color rgb="FF63BE7B"/>
      </colorScale>
    </cfRule>
  </conditionalFormatting>
  <conditionalFormatting sqref="D10:D31">
    <cfRule type="colorScale" priority="12898">
      <colorScale>
        <cfvo type="min"/>
        <cfvo type="percentile" val="50"/>
        <cfvo type="max"/>
        <color rgb="FFF8696B"/>
        <color rgb="FFFFEB84"/>
        <color rgb="FF63BE7B"/>
      </colorScale>
    </cfRule>
  </conditionalFormatting>
  <conditionalFormatting sqref="D10:D31">
    <cfRule type="colorScale" priority="12897">
      <colorScale>
        <cfvo type="min"/>
        <cfvo type="percentile" val="50"/>
        <cfvo type="max"/>
        <color rgb="FFF8696B"/>
        <color rgb="FFFFEB84"/>
        <color rgb="FF63BE7B"/>
      </colorScale>
    </cfRule>
  </conditionalFormatting>
  <conditionalFormatting sqref="D10:D31">
    <cfRule type="colorScale" priority="12896">
      <colorScale>
        <cfvo type="min"/>
        <cfvo type="percentile" val="50"/>
        <cfvo type="max"/>
        <color rgb="FFF8696B"/>
        <color rgb="FFFFEB84"/>
        <color rgb="FF63BE7B"/>
      </colorScale>
    </cfRule>
  </conditionalFormatting>
  <conditionalFormatting sqref="D10:E31">
    <cfRule type="colorScale" priority="12895">
      <colorScale>
        <cfvo type="min"/>
        <cfvo type="percentile" val="50"/>
        <cfvo type="max"/>
        <color rgb="FFF8696B"/>
        <color rgb="FFFFEB84"/>
        <color rgb="FF63BE7B"/>
      </colorScale>
    </cfRule>
  </conditionalFormatting>
  <conditionalFormatting sqref="D10:E31">
    <cfRule type="colorScale" priority="12894">
      <colorScale>
        <cfvo type="min"/>
        <cfvo type="percentile" val="50"/>
        <cfvo type="max"/>
        <color rgb="FFF8696B"/>
        <color rgb="FFFFEB84"/>
        <color rgb="FF63BE7B"/>
      </colorScale>
    </cfRule>
  </conditionalFormatting>
  <conditionalFormatting sqref="D10:D31">
    <cfRule type="colorScale" priority="12893">
      <colorScale>
        <cfvo type="min"/>
        <cfvo type="percentile" val="50"/>
        <cfvo type="max"/>
        <color rgb="FFF8696B"/>
        <color rgb="FFFFEB84"/>
        <color rgb="FF63BE7B"/>
      </colorScale>
    </cfRule>
  </conditionalFormatting>
  <conditionalFormatting sqref="D10:D31">
    <cfRule type="colorScale" priority="12892">
      <colorScale>
        <cfvo type="min"/>
        <cfvo type="percentile" val="50"/>
        <cfvo type="max"/>
        <color rgb="FFF8696B"/>
        <color rgb="FFFFEB84"/>
        <color rgb="FF63BE7B"/>
      </colorScale>
    </cfRule>
  </conditionalFormatting>
  <conditionalFormatting sqref="D10:D31">
    <cfRule type="colorScale" priority="12891">
      <colorScale>
        <cfvo type="min"/>
        <cfvo type="percentile" val="50"/>
        <cfvo type="max"/>
        <color rgb="FFF8696B"/>
        <color rgb="FFFFEB84"/>
        <color rgb="FF63BE7B"/>
      </colorScale>
    </cfRule>
  </conditionalFormatting>
  <conditionalFormatting sqref="D10:D31">
    <cfRule type="colorScale" priority="12890">
      <colorScale>
        <cfvo type="min"/>
        <cfvo type="percentile" val="50"/>
        <cfvo type="max"/>
        <color rgb="FFF8696B"/>
        <color rgb="FFFFEB84"/>
        <color rgb="FF63BE7B"/>
      </colorScale>
    </cfRule>
  </conditionalFormatting>
  <conditionalFormatting sqref="D10:E31">
    <cfRule type="colorScale" priority="12889">
      <colorScale>
        <cfvo type="min"/>
        <cfvo type="percentile" val="50"/>
        <cfvo type="max"/>
        <color rgb="FFF8696B"/>
        <color rgb="FFFFEB84"/>
        <color rgb="FF63BE7B"/>
      </colorScale>
    </cfRule>
  </conditionalFormatting>
  <conditionalFormatting sqref="D10:E31">
    <cfRule type="colorScale" priority="12888">
      <colorScale>
        <cfvo type="min"/>
        <cfvo type="percentile" val="50"/>
        <cfvo type="max"/>
        <color rgb="FFF8696B"/>
        <color rgb="FFFFEB84"/>
        <color rgb="FF63BE7B"/>
      </colorScale>
    </cfRule>
  </conditionalFormatting>
  <conditionalFormatting sqref="D10:D31">
    <cfRule type="colorScale" priority="12887">
      <colorScale>
        <cfvo type="min"/>
        <cfvo type="percentile" val="50"/>
        <cfvo type="max"/>
        <color rgb="FFF8696B"/>
        <color rgb="FFFFEB84"/>
        <color rgb="FF63BE7B"/>
      </colorScale>
    </cfRule>
  </conditionalFormatting>
  <conditionalFormatting sqref="D10:D31">
    <cfRule type="colorScale" priority="12886">
      <colorScale>
        <cfvo type="min"/>
        <cfvo type="percentile" val="50"/>
        <cfvo type="max"/>
        <color rgb="FFF8696B"/>
        <color rgb="FFFFEB84"/>
        <color rgb="FF63BE7B"/>
      </colorScale>
    </cfRule>
  </conditionalFormatting>
  <conditionalFormatting sqref="D10:D31">
    <cfRule type="colorScale" priority="12885">
      <colorScale>
        <cfvo type="min"/>
        <cfvo type="percentile" val="50"/>
        <cfvo type="max"/>
        <color rgb="FFF8696B"/>
        <color rgb="FFFFEB84"/>
        <color rgb="FF63BE7B"/>
      </colorScale>
    </cfRule>
  </conditionalFormatting>
  <conditionalFormatting sqref="D10:D31">
    <cfRule type="colorScale" priority="12884">
      <colorScale>
        <cfvo type="min"/>
        <cfvo type="percentile" val="50"/>
        <cfvo type="max"/>
        <color rgb="FFF8696B"/>
        <color rgb="FFFFEB84"/>
        <color rgb="FF63BE7B"/>
      </colorScale>
    </cfRule>
  </conditionalFormatting>
  <conditionalFormatting sqref="D10:E31">
    <cfRule type="colorScale" priority="12883">
      <colorScale>
        <cfvo type="min"/>
        <cfvo type="percentile" val="50"/>
        <cfvo type="max"/>
        <color rgb="FFF8696B"/>
        <color rgb="FFFFEB84"/>
        <color rgb="FF63BE7B"/>
      </colorScale>
    </cfRule>
  </conditionalFormatting>
  <conditionalFormatting sqref="D10:E31">
    <cfRule type="colorScale" priority="12882">
      <colorScale>
        <cfvo type="min"/>
        <cfvo type="percentile" val="50"/>
        <cfvo type="max"/>
        <color rgb="FFF8696B"/>
        <color rgb="FFFFEB84"/>
        <color rgb="FF63BE7B"/>
      </colorScale>
    </cfRule>
  </conditionalFormatting>
  <conditionalFormatting sqref="D10:D31">
    <cfRule type="colorScale" priority="12881">
      <colorScale>
        <cfvo type="min"/>
        <cfvo type="percentile" val="50"/>
        <cfvo type="max"/>
        <color rgb="FFF8696B"/>
        <color rgb="FFFFEB84"/>
        <color rgb="FF63BE7B"/>
      </colorScale>
    </cfRule>
  </conditionalFormatting>
  <conditionalFormatting sqref="D10:D31">
    <cfRule type="colorScale" priority="12880">
      <colorScale>
        <cfvo type="min"/>
        <cfvo type="percentile" val="50"/>
        <cfvo type="max"/>
        <color rgb="FFF8696B"/>
        <color rgb="FFFFEB84"/>
        <color rgb="FF63BE7B"/>
      </colorScale>
    </cfRule>
  </conditionalFormatting>
  <conditionalFormatting sqref="E10:E31">
    <cfRule type="colorScale" priority="12879">
      <colorScale>
        <cfvo type="min"/>
        <cfvo type="percentile" val="50"/>
        <cfvo type="max"/>
        <color rgb="FFF8696B"/>
        <color rgb="FFFFEB84"/>
        <color rgb="FF63BE7B"/>
      </colorScale>
    </cfRule>
  </conditionalFormatting>
  <conditionalFormatting sqref="E10:E31">
    <cfRule type="colorScale" priority="12878">
      <colorScale>
        <cfvo type="min"/>
        <cfvo type="percentile" val="50"/>
        <cfvo type="max"/>
        <color rgb="FFF8696B"/>
        <color rgb="FFFFEB84"/>
        <color rgb="FF63BE7B"/>
      </colorScale>
    </cfRule>
  </conditionalFormatting>
  <conditionalFormatting sqref="D10:E31">
    <cfRule type="colorScale" priority="12877">
      <colorScale>
        <cfvo type="min"/>
        <cfvo type="percentile" val="50"/>
        <cfvo type="max"/>
        <color rgb="FFF8696B"/>
        <color rgb="FFFFEB84"/>
        <color rgb="FF63BE7B"/>
      </colorScale>
    </cfRule>
  </conditionalFormatting>
  <conditionalFormatting sqref="D10:E31">
    <cfRule type="colorScale" priority="12876">
      <colorScale>
        <cfvo type="min"/>
        <cfvo type="percentile" val="50"/>
        <cfvo type="max"/>
        <color rgb="FFF8696B"/>
        <color rgb="FFFFEB84"/>
        <color rgb="FF63BE7B"/>
      </colorScale>
    </cfRule>
  </conditionalFormatting>
  <conditionalFormatting sqref="D10:E31">
    <cfRule type="colorScale" priority="12875">
      <colorScale>
        <cfvo type="min"/>
        <cfvo type="percentile" val="50"/>
        <cfvo type="max"/>
        <color rgb="FFF8696B"/>
        <color rgb="FFFFEB84"/>
        <color rgb="FF63BE7B"/>
      </colorScale>
    </cfRule>
  </conditionalFormatting>
  <conditionalFormatting sqref="D10:E31">
    <cfRule type="colorScale" priority="12874">
      <colorScale>
        <cfvo type="min"/>
        <cfvo type="percentile" val="50"/>
        <cfvo type="max"/>
        <color rgb="FFF8696B"/>
        <color rgb="FFFFEB84"/>
        <color rgb="FF63BE7B"/>
      </colorScale>
    </cfRule>
  </conditionalFormatting>
  <conditionalFormatting sqref="D10:D31">
    <cfRule type="colorScale" priority="12873">
      <colorScale>
        <cfvo type="min"/>
        <cfvo type="percentile" val="50"/>
        <cfvo type="max"/>
        <color rgb="FFF8696B"/>
        <color rgb="FFFFEB84"/>
        <color rgb="FF63BE7B"/>
      </colorScale>
    </cfRule>
  </conditionalFormatting>
  <conditionalFormatting sqref="D10:D31">
    <cfRule type="colorScale" priority="12872">
      <colorScale>
        <cfvo type="min"/>
        <cfvo type="percentile" val="50"/>
        <cfvo type="max"/>
        <color rgb="FFF8696B"/>
        <color rgb="FFFFEB84"/>
        <color rgb="FF63BE7B"/>
      </colorScale>
    </cfRule>
  </conditionalFormatting>
  <conditionalFormatting sqref="D10:D29">
    <cfRule type="colorScale" priority="12871">
      <colorScale>
        <cfvo type="min"/>
        <cfvo type="percentile" val="50"/>
        <cfvo type="max"/>
        <color rgb="FFF8696B"/>
        <color rgb="FFFFEB84"/>
        <color rgb="FF63BE7B"/>
      </colorScale>
    </cfRule>
  </conditionalFormatting>
  <conditionalFormatting sqref="D10:D29">
    <cfRule type="colorScale" priority="12870">
      <colorScale>
        <cfvo type="min"/>
        <cfvo type="percentile" val="50"/>
        <cfvo type="max"/>
        <color rgb="FFF8696B"/>
        <color rgb="FFFFEB84"/>
        <color rgb="FF63BE7B"/>
      </colorScale>
    </cfRule>
  </conditionalFormatting>
  <conditionalFormatting sqref="D10:D31">
    <cfRule type="colorScale" priority="12869">
      <colorScale>
        <cfvo type="min"/>
        <cfvo type="percentile" val="50"/>
        <cfvo type="max"/>
        <color rgb="FFF8696B"/>
        <color rgb="FFFFEB84"/>
        <color rgb="FF63BE7B"/>
      </colorScale>
    </cfRule>
  </conditionalFormatting>
  <conditionalFormatting sqref="D10:D31">
    <cfRule type="colorScale" priority="12868">
      <colorScale>
        <cfvo type="min"/>
        <cfvo type="percentile" val="50"/>
        <cfvo type="max"/>
        <color rgb="FFF8696B"/>
        <color rgb="FFFFEB84"/>
        <color rgb="FF63BE7B"/>
      </colorScale>
    </cfRule>
  </conditionalFormatting>
  <conditionalFormatting sqref="D10:F31">
    <cfRule type="colorScale" priority="12867">
      <colorScale>
        <cfvo type="min"/>
        <cfvo type="percentile" val="50"/>
        <cfvo type="max"/>
        <color rgb="FFF8696B"/>
        <color rgb="FFFFEB84"/>
        <color rgb="FF63BE7B"/>
      </colorScale>
    </cfRule>
  </conditionalFormatting>
  <conditionalFormatting sqref="D10:F31">
    <cfRule type="colorScale" priority="12866">
      <colorScale>
        <cfvo type="min"/>
        <cfvo type="percentile" val="50"/>
        <cfvo type="max"/>
        <color rgb="FFF8696B"/>
        <color rgb="FFFFEB84"/>
        <color rgb="FF63BE7B"/>
      </colorScale>
    </cfRule>
  </conditionalFormatting>
  <conditionalFormatting sqref="D10:F31">
    <cfRule type="colorScale" priority="12865">
      <colorScale>
        <cfvo type="min"/>
        <cfvo type="percentile" val="50"/>
        <cfvo type="max"/>
        <color rgb="FFF8696B"/>
        <color rgb="FFFFEB84"/>
        <color rgb="FF63BE7B"/>
      </colorScale>
    </cfRule>
  </conditionalFormatting>
  <conditionalFormatting sqref="D10:F31">
    <cfRule type="colorScale" priority="12864">
      <colorScale>
        <cfvo type="min"/>
        <cfvo type="percentile" val="50"/>
        <cfvo type="max"/>
        <color rgb="FFF8696B"/>
        <color rgb="FFFFEB84"/>
        <color rgb="FF63BE7B"/>
      </colorScale>
    </cfRule>
  </conditionalFormatting>
  <conditionalFormatting sqref="D10:F31">
    <cfRule type="colorScale" priority="12863">
      <colorScale>
        <cfvo type="min"/>
        <cfvo type="percentile" val="50"/>
        <cfvo type="max"/>
        <color rgb="FFF8696B"/>
        <color rgb="FFFFEB84"/>
        <color rgb="FF63BE7B"/>
      </colorScale>
    </cfRule>
  </conditionalFormatting>
  <conditionalFormatting sqref="D10:F31">
    <cfRule type="colorScale" priority="12862">
      <colorScale>
        <cfvo type="min"/>
        <cfvo type="percentile" val="50"/>
        <cfvo type="max"/>
        <color rgb="FFF8696B"/>
        <color rgb="FFFFEB84"/>
        <color rgb="FF63BE7B"/>
      </colorScale>
    </cfRule>
  </conditionalFormatting>
  <conditionalFormatting sqref="D10:E31">
    <cfRule type="colorScale" priority="12861">
      <colorScale>
        <cfvo type="min"/>
        <cfvo type="percentile" val="50"/>
        <cfvo type="max"/>
        <color rgb="FFF8696B"/>
        <color rgb="FFFFEB84"/>
        <color rgb="FF63BE7B"/>
      </colorScale>
    </cfRule>
  </conditionalFormatting>
  <conditionalFormatting sqref="D10:E31">
    <cfRule type="colorScale" priority="12860">
      <colorScale>
        <cfvo type="min"/>
        <cfvo type="percentile" val="50"/>
        <cfvo type="max"/>
        <color rgb="FFF8696B"/>
        <color rgb="FFFFEB84"/>
        <color rgb="FF63BE7B"/>
      </colorScale>
    </cfRule>
  </conditionalFormatting>
  <conditionalFormatting sqref="D10:E31">
    <cfRule type="colorScale" priority="12859">
      <colorScale>
        <cfvo type="min"/>
        <cfvo type="percentile" val="50"/>
        <cfvo type="max"/>
        <color rgb="FFF8696B"/>
        <color rgb="FFFFEB84"/>
        <color rgb="FF63BE7B"/>
      </colorScale>
    </cfRule>
  </conditionalFormatting>
  <conditionalFormatting sqref="D10:E31">
    <cfRule type="colorScale" priority="12858">
      <colorScale>
        <cfvo type="min"/>
        <cfvo type="percentile" val="50"/>
        <cfvo type="max"/>
        <color rgb="FFF8696B"/>
        <color rgb="FFFFEB84"/>
        <color rgb="FF63BE7B"/>
      </colorScale>
    </cfRule>
  </conditionalFormatting>
  <conditionalFormatting sqref="D10:E31">
    <cfRule type="colorScale" priority="12857">
      <colorScale>
        <cfvo type="min"/>
        <cfvo type="percentile" val="50"/>
        <cfvo type="max"/>
        <color rgb="FFF8696B"/>
        <color rgb="FFFFEB84"/>
        <color rgb="FF63BE7B"/>
      </colorScale>
    </cfRule>
  </conditionalFormatting>
  <conditionalFormatting sqref="D10:E31">
    <cfRule type="colorScale" priority="12856">
      <colorScale>
        <cfvo type="min"/>
        <cfvo type="percentile" val="50"/>
        <cfvo type="max"/>
        <color rgb="FFF8696B"/>
        <color rgb="FFFFEB84"/>
        <color rgb="FF63BE7B"/>
      </colorScale>
    </cfRule>
  </conditionalFormatting>
  <conditionalFormatting sqref="E10:E31">
    <cfRule type="colorScale" priority="12855">
      <colorScale>
        <cfvo type="min"/>
        <cfvo type="percentile" val="50"/>
        <cfvo type="max"/>
        <color rgb="FFF8696B"/>
        <color rgb="FFFFEB84"/>
        <color rgb="FF63BE7B"/>
      </colorScale>
    </cfRule>
  </conditionalFormatting>
  <conditionalFormatting sqref="E10:E31">
    <cfRule type="colorScale" priority="12854">
      <colorScale>
        <cfvo type="min"/>
        <cfvo type="percentile" val="50"/>
        <cfvo type="max"/>
        <color rgb="FFF8696B"/>
        <color rgb="FFFFEB84"/>
        <color rgb="FF63BE7B"/>
      </colorScale>
    </cfRule>
  </conditionalFormatting>
  <conditionalFormatting sqref="J10:J31">
    <cfRule type="colorScale" priority="12853">
      <colorScale>
        <cfvo type="min"/>
        <cfvo type="percentile" val="50"/>
        <cfvo type="max"/>
        <color rgb="FFF8696B"/>
        <color rgb="FFFFEB84"/>
        <color rgb="FF63BE7B"/>
      </colorScale>
    </cfRule>
  </conditionalFormatting>
  <conditionalFormatting sqref="H10:I31 D10:F31">
    <cfRule type="colorScale" priority="12852">
      <colorScale>
        <cfvo type="min"/>
        <cfvo type="percentile" val="50"/>
        <cfvo type="max"/>
        <color rgb="FFF8696B"/>
        <color rgb="FFFFEB84"/>
        <color rgb="FF63BE7B"/>
      </colorScale>
    </cfRule>
  </conditionalFormatting>
  <conditionalFormatting sqref="D10:E31">
    <cfRule type="colorScale" priority="12851">
      <colorScale>
        <cfvo type="min"/>
        <cfvo type="percentile" val="50"/>
        <cfvo type="max"/>
        <color rgb="FFF8696B"/>
        <color rgb="FFFFEB84"/>
        <color rgb="FF63BE7B"/>
      </colorScale>
    </cfRule>
  </conditionalFormatting>
  <conditionalFormatting sqref="D10:E31">
    <cfRule type="colorScale" priority="12850">
      <colorScale>
        <cfvo type="min"/>
        <cfvo type="percentile" val="50"/>
        <cfvo type="max"/>
        <color rgb="FFF8696B"/>
        <color rgb="FFFFEB84"/>
        <color rgb="FF63BE7B"/>
      </colorScale>
    </cfRule>
  </conditionalFormatting>
  <conditionalFormatting sqref="D10:E31">
    <cfRule type="colorScale" priority="12849">
      <colorScale>
        <cfvo type="min"/>
        <cfvo type="percentile" val="50"/>
        <cfvo type="max"/>
        <color rgb="FFF8696B"/>
        <color rgb="FFFFEB84"/>
        <color rgb="FF63BE7B"/>
      </colorScale>
    </cfRule>
  </conditionalFormatting>
  <conditionalFormatting sqref="D10:E31">
    <cfRule type="colorScale" priority="12848">
      <colorScale>
        <cfvo type="min"/>
        <cfvo type="percentile" val="50"/>
        <cfvo type="max"/>
        <color rgb="FFF8696B"/>
        <color rgb="FFFFEB84"/>
        <color rgb="FF63BE7B"/>
      </colorScale>
    </cfRule>
  </conditionalFormatting>
  <conditionalFormatting sqref="D10:E31">
    <cfRule type="colorScale" priority="12847">
      <colorScale>
        <cfvo type="min"/>
        <cfvo type="percentile" val="50"/>
        <cfvo type="max"/>
        <color rgb="FFF8696B"/>
        <color rgb="FFFFEB84"/>
        <color rgb="FF63BE7B"/>
      </colorScale>
    </cfRule>
  </conditionalFormatting>
  <conditionalFormatting sqref="D10:E31">
    <cfRule type="colorScale" priority="12846">
      <colorScale>
        <cfvo type="min"/>
        <cfvo type="percentile" val="50"/>
        <cfvo type="max"/>
        <color rgb="FFF8696B"/>
        <color rgb="FFFFEB84"/>
        <color rgb="FF63BE7B"/>
      </colorScale>
    </cfRule>
  </conditionalFormatting>
  <conditionalFormatting sqref="D10:E31">
    <cfRule type="colorScale" priority="12845">
      <colorScale>
        <cfvo type="min"/>
        <cfvo type="percentile" val="50"/>
        <cfvo type="max"/>
        <color rgb="FFF8696B"/>
        <color rgb="FFFFEB84"/>
        <color rgb="FF63BE7B"/>
      </colorScale>
    </cfRule>
  </conditionalFormatting>
  <conditionalFormatting sqref="D10:E31">
    <cfRule type="colorScale" priority="12844">
      <colorScale>
        <cfvo type="min"/>
        <cfvo type="percentile" val="50"/>
        <cfvo type="max"/>
        <color rgb="FFF8696B"/>
        <color rgb="FFFFEB84"/>
        <color rgb="FF63BE7B"/>
      </colorScale>
    </cfRule>
  </conditionalFormatting>
  <conditionalFormatting sqref="D10:D31">
    <cfRule type="colorScale" priority="12843">
      <colorScale>
        <cfvo type="min"/>
        <cfvo type="percentile" val="50"/>
        <cfvo type="max"/>
        <color rgb="FFF8696B"/>
        <color rgb="FFFFEB84"/>
        <color rgb="FF63BE7B"/>
      </colorScale>
    </cfRule>
  </conditionalFormatting>
  <conditionalFormatting sqref="D10:E31">
    <cfRule type="colorScale" priority="12842">
      <colorScale>
        <cfvo type="min"/>
        <cfvo type="percentile" val="50"/>
        <cfvo type="max"/>
        <color rgb="FFF8696B"/>
        <color rgb="FFFFEB84"/>
        <color rgb="FF63BE7B"/>
      </colorScale>
    </cfRule>
  </conditionalFormatting>
  <conditionalFormatting sqref="D10:E31">
    <cfRule type="colorScale" priority="12841">
      <colorScale>
        <cfvo type="min"/>
        <cfvo type="percentile" val="50"/>
        <cfvo type="max"/>
        <color rgb="FFF8696B"/>
        <color rgb="FFFFEB84"/>
        <color rgb="FF63BE7B"/>
      </colorScale>
    </cfRule>
  </conditionalFormatting>
  <conditionalFormatting sqref="D10:E31">
    <cfRule type="colorScale" priority="12840">
      <colorScale>
        <cfvo type="min"/>
        <cfvo type="percentile" val="50"/>
        <cfvo type="max"/>
        <color rgb="FFF8696B"/>
        <color rgb="FFFFEB84"/>
        <color rgb="FF63BE7B"/>
      </colorScale>
    </cfRule>
  </conditionalFormatting>
  <conditionalFormatting sqref="D10:D31">
    <cfRule type="colorScale" priority="12839">
      <colorScale>
        <cfvo type="min"/>
        <cfvo type="percentile" val="50"/>
        <cfvo type="max"/>
        <color rgb="FFF8696B"/>
        <color rgb="FFFFEB84"/>
        <color rgb="FF63BE7B"/>
      </colorScale>
    </cfRule>
  </conditionalFormatting>
  <conditionalFormatting sqref="D10:E31">
    <cfRule type="colorScale" priority="12838">
      <colorScale>
        <cfvo type="min"/>
        <cfvo type="percentile" val="50"/>
        <cfvo type="max"/>
        <color rgb="FFF8696B"/>
        <color rgb="FFFFEB84"/>
        <color rgb="FF63BE7B"/>
      </colorScale>
    </cfRule>
  </conditionalFormatting>
  <conditionalFormatting sqref="D10:E31">
    <cfRule type="colorScale" priority="12837">
      <colorScale>
        <cfvo type="min"/>
        <cfvo type="percentile" val="50"/>
        <cfvo type="max"/>
        <color rgb="FFF8696B"/>
        <color rgb="FFFFEB84"/>
        <color rgb="FF63BE7B"/>
      </colorScale>
    </cfRule>
  </conditionalFormatting>
  <conditionalFormatting sqref="D10:E31">
    <cfRule type="colorScale" priority="12836">
      <colorScale>
        <cfvo type="min"/>
        <cfvo type="percentile" val="50"/>
        <cfvo type="max"/>
        <color rgb="FFF8696B"/>
        <color rgb="FFFFEB84"/>
        <color rgb="FF63BE7B"/>
      </colorScale>
    </cfRule>
  </conditionalFormatting>
  <conditionalFormatting sqref="D10:E31">
    <cfRule type="colorScale" priority="12835">
      <colorScale>
        <cfvo type="min"/>
        <cfvo type="percentile" val="50"/>
        <cfvo type="max"/>
        <color rgb="FFF8696B"/>
        <color rgb="FFFFEB84"/>
        <color rgb="FF63BE7B"/>
      </colorScale>
    </cfRule>
  </conditionalFormatting>
  <conditionalFormatting sqref="D10:E31">
    <cfRule type="colorScale" priority="12834">
      <colorScale>
        <cfvo type="min"/>
        <cfvo type="percentile" val="50"/>
        <cfvo type="max"/>
        <color rgb="FFF8696B"/>
        <color rgb="FFFFEB84"/>
        <color rgb="FF63BE7B"/>
      </colorScale>
    </cfRule>
  </conditionalFormatting>
  <conditionalFormatting sqref="D10:E31">
    <cfRule type="colorScale" priority="12833">
      <colorScale>
        <cfvo type="min"/>
        <cfvo type="percentile" val="50"/>
        <cfvo type="max"/>
        <color rgb="FFF8696B"/>
        <color rgb="FFFFEB84"/>
        <color rgb="FF63BE7B"/>
      </colorScale>
    </cfRule>
  </conditionalFormatting>
  <conditionalFormatting sqref="D10:E31">
    <cfRule type="colorScale" priority="12832">
      <colorScale>
        <cfvo type="min"/>
        <cfvo type="percentile" val="50"/>
        <cfvo type="max"/>
        <color rgb="FFF8696B"/>
        <color rgb="FFFFEB84"/>
        <color rgb="FF63BE7B"/>
      </colorScale>
    </cfRule>
  </conditionalFormatting>
  <conditionalFormatting sqref="D10:E31">
    <cfRule type="colorScale" priority="12831">
      <colorScale>
        <cfvo type="min"/>
        <cfvo type="percentile" val="50"/>
        <cfvo type="max"/>
        <color rgb="FFF8696B"/>
        <color rgb="FFFFEB84"/>
        <color rgb="FF63BE7B"/>
      </colorScale>
    </cfRule>
  </conditionalFormatting>
  <conditionalFormatting sqref="D10:E31">
    <cfRule type="colorScale" priority="12830">
      <colorScale>
        <cfvo type="min"/>
        <cfvo type="percentile" val="50"/>
        <cfvo type="max"/>
        <color rgb="FFF8696B"/>
        <color rgb="FFFFEB84"/>
        <color rgb="FF63BE7B"/>
      </colorScale>
    </cfRule>
  </conditionalFormatting>
  <conditionalFormatting sqref="D10:E31">
    <cfRule type="colorScale" priority="12829">
      <colorScale>
        <cfvo type="min"/>
        <cfvo type="percentile" val="50"/>
        <cfvo type="max"/>
        <color rgb="FFF8696B"/>
        <color rgb="FFFFEB84"/>
        <color rgb="FF63BE7B"/>
      </colorScale>
    </cfRule>
  </conditionalFormatting>
  <conditionalFormatting sqref="D10:E31">
    <cfRule type="colorScale" priority="12828">
      <colorScale>
        <cfvo type="min"/>
        <cfvo type="percentile" val="50"/>
        <cfvo type="max"/>
        <color rgb="FFF8696B"/>
        <color rgb="FFFFEB84"/>
        <color rgb="FF63BE7B"/>
      </colorScale>
    </cfRule>
  </conditionalFormatting>
  <conditionalFormatting sqref="D10:E31">
    <cfRule type="colorScale" priority="12827">
      <colorScale>
        <cfvo type="min"/>
        <cfvo type="percentile" val="50"/>
        <cfvo type="max"/>
        <color rgb="FFF8696B"/>
        <color rgb="FFFFEB84"/>
        <color rgb="FF63BE7B"/>
      </colorScale>
    </cfRule>
  </conditionalFormatting>
  <conditionalFormatting sqref="D10:D31">
    <cfRule type="colorScale" priority="12826">
      <colorScale>
        <cfvo type="min"/>
        <cfvo type="percentile" val="50"/>
        <cfvo type="max"/>
        <color rgb="FFF8696B"/>
        <color rgb="FFFFEB84"/>
        <color rgb="FF63BE7B"/>
      </colorScale>
    </cfRule>
  </conditionalFormatting>
  <conditionalFormatting sqref="D10:D31">
    <cfRule type="colorScale" priority="12825">
      <colorScale>
        <cfvo type="min"/>
        <cfvo type="percentile" val="50"/>
        <cfvo type="max"/>
        <color rgb="FFF8696B"/>
        <color rgb="FFFFEB84"/>
        <color rgb="FF63BE7B"/>
      </colorScale>
    </cfRule>
  </conditionalFormatting>
  <conditionalFormatting sqref="D10:D31">
    <cfRule type="colorScale" priority="12824">
      <colorScale>
        <cfvo type="min"/>
        <cfvo type="percentile" val="50"/>
        <cfvo type="max"/>
        <color rgb="FFF8696B"/>
        <color rgb="FFFFEB84"/>
        <color rgb="FF63BE7B"/>
      </colorScale>
    </cfRule>
  </conditionalFormatting>
  <conditionalFormatting sqref="D10:D31">
    <cfRule type="colorScale" priority="12823">
      <colorScale>
        <cfvo type="min"/>
        <cfvo type="percentile" val="50"/>
        <cfvo type="max"/>
        <color rgb="FFF8696B"/>
        <color rgb="FFFFEB84"/>
        <color rgb="FF63BE7B"/>
      </colorScale>
    </cfRule>
  </conditionalFormatting>
  <conditionalFormatting sqref="D10:E31">
    <cfRule type="colorScale" priority="12822">
      <colorScale>
        <cfvo type="min"/>
        <cfvo type="percentile" val="50"/>
        <cfvo type="max"/>
        <color rgb="FFF8696B"/>
        <color rgb="FFFFEB84"/>
        <color rgb="FF63BE7B"/>
      </colorScale>
    </cfRule>
  </conditionalFormatting>
  <conditionalFormatting sqref="D10:E31">
    <cfRule type="colorScale" priority="12821">
      <colorScale>
        <cfvo type="min"/>
        <cfvo type="percentile" val="50"/>
        <cfvo type="max"/>
        <color rgb="FFF8696B"/>
        <color rgb="FFFFEB84"/>
        <color rgb="FF63BE7B"/>
      </colorScale>
    </cfRule>
  </conditionalFormatting>
  <conditionalFormatting sqref="D10:D31">
    <cfRule type="colorScale" priority="12820">
      <colorScale>
        <cfvo type="min"/>
        <cfvo type="percentile" val="50"/>
        <cfvo type="max"/>
        <color rgb="FFF8696B"/>
        <color rgb="FFFFEB84"/>
        <color rgb="FF63BE7B"/>
      </colorScale>
    </cfRule>
  </conditionalFormatting>
  <conditionalFormatting sqref="D10:D31">
    <cfRule type="colorScale" priority="12819">
      <colorScale>
        <cfvo type="min"/>
        <cfvo type="percentile" val="50"/>
        <cfvo type="max"/>
        <color rgb="FFF8696B"/>
        <color rgb="FFFFEB84"/>
        <color rgb="FF63BE7B"/>
      </colorScale>
    </cfRule>
  </conditionalFormatting>
  <conditionalFormatting sqref="D10:D31">
    <cfRule type="colorScale" priority="12818">
      <colorScale>
        <cfvo type="min"/>
        <cfvo type="percentile" val="50"/>
        <cfvo type="max"/>
        <color rgb="FFF8696B"/>
        <color rgb="FFFFEB84"/>
        <color rgb="FF63BE7B"/>
      </colorScale>
    </cfRule>
  </conditionalFormatting>
  <conditionalFormatting sqref="D10:D31">
    <cfRule type="colorScale" priority="12817">
      <colorScale>
        <cfvo type="min"/>
        <cfvo type="percentile" val="50"/>
        <cfvo type="max"/>
        <color rgb="FFF8696B"/>
        <color rgb="FFFFEB84"/>
        <color rgb="FF63BE7B"/>
      </colorScale>
    </cfRule>
  </conditionalFormatting>
  <conditionalFormatting sqref="D10:E31">
    <cfRule type="colorScale" priority="12816">
      <colorScale>
        <cfvo type="min"/>
        <cfvo type="percentile" val="50"/>
        <cfvo type="max"/>
        <color rgb="FFF8696B"/>
        <color rgb="FFFFEB84"/>
        <color rgb="FF63BE7B"/>
      </colorScale>
    </cfRule>
  </conditionalFormatting>
  <conditionalFormatting sqref="D10:E31">
    <cfRule type="colorScale" priority="12815">
      <colorScale>
        <cfvo type="min"/>
        <cfvo type="percentile" val="50"/>
        <cfvo type="max"/>
        <color rgb="FFF8696B"/>
        <color rgb="FFFFEB84"/>
        <color rgb="FF63BE7B"/>
      </colorScale>
    </cfRule>
  </conditionalFormatting>
  <conditionalFormatting sqref="D10:D31">
    <cfRule type="colorScale" priority="12814">
      <colorScale>
        <cfvo type="min"/>
        <cfvo type="percentile" val="50"/>
        <cfvo type="max"/>
        <color rgb="FFF8696B"/>
        <color rgb="FFFFEB84"/>
        <color rgb="FF63BE7B"/>
      </colorScale>
    </cfRule>
  </conditionalFormatting>
  <conditionalFormatting sqref="D10:D31">
    <cfRule type="colorScale" priority="12813">
      <colorScale>
        <cfvo type="min"/>
        <cfvo type="percentile" val="50"/>
        <cfvo type="max"/>
        <color rgb="FFF8696B"/>
        <color rgb="FFFFEB84"/>
        <color rgb="FF63BE7B"/>
      </colorScale>
    </cfRule>
  </conditionalFormatting>
  <conditionalFormatting sqref="D10:D31">
    <cfRule type="colorScale" priority="12812">
      <colorScale>
        <cfvo type="min"/>
        <cfvo type="percentile" val="50"/>
        <cfvo type="max"/>
        <color rgb="FFF8696B"/>
        <color rgb="FFFFEB84"/>
        <color rgb="FF63BE7B"/>
      </colorScale>
    </cfRule>
  </conditionalFormatting>
  <conditionalFormatting sqref="D10:D31">
    <cfRule type="colorScale" priority="12811">
      <colorScale>
        <cfvo type="min"/>
        <cfvo type="percentile" val="50"/>
        <cfvo type="max"/>
        <color rgb="FFF8696B"/>
        <color rgb="FFFFEB84"/>
        <color rgb="FF63BE7B"/>
      </colorScale>
    </cfRule>
  </conditionalFormatting>
  <conditionalFormatting sqref="D10:E31">
    <cfRule type="colorScale" priority="12810">
      <colorScale>
        <cfvo type="min"/>
        <cfvo type="percentile" val="50"/>
        <cfvo type="max"/>
        <color rgb="FFF8696B"/>
        <color rgb="FFFFEB84"/>
        <color rgb="FF63BE7B"/>
      </colorScale>
    </cfRule>
  </conditionalFormatting>
  <conditionalFormatting sqref="D10:E31">
    <cfRule type="colorScale" priority="12809">
      <colorScale>
        <cfvo type="min"/>
        <cfvo type="percentile" val="50"/>
        <cfvo type="max"/>
        <color rgb="FFF8696B"/>
        <color rgb="FFFFEB84"/>
        <color rgb="FF63BE7B"/>
      </colorScale>
    </cfRule>
  </conditionalFormatting>
  <conditionalFormatting sqref="D10:E31">
    <cfRule type="colorScale" priority="12808">
      <colorScale>
        <cfvo type="min"/>
        <cfvo type="percentile" val="50"/>
        <cfvo type="max"/>
        <color rgb="FFF8696B"/>
        <color rgb="FFFFEB84"/>
        <color rgb="FF63BE7B"/>
      </colorScale>
    </cfRule>
  </conditionalFormatting>
  <conditionalFormatting sqref="D10:E31">
    <cfRule type="colorScale" priority="12807">
      <colorScale>
        <cfvo type="min"/>
        <cfvo type="percentile" val="50"/>
        <cfvo type="max"/>
        <color rgb="FFF8696B"/>
        <color rgb="FFFFEB84"/>
        <color rgb="FF63BE7B"/>
      </colorScale>
    </cfRule>
  </conditionalFormatting>
  <conditionalFormatting sqref="D10:D31">
    <cfRule type="colorScale" priority="12806">
      <colorScale>
        <cfvo type="min"/>
        <cfvo type="percentile" val="50"/>
        <cfvo type="max"/>
        <color rgb="FFF8696B"/>
        <color rgb="FFFFEB84"/>
        <color rgb="FF63BE7B"/>
      </colorScale>
    </cfRule>
  </conditionalFormatting>
  <conditionalFormatting sqref="D10:D31">
    <cfRule type="colorScale" priority="12805">
      <colorScale>
        <cfvo type="min"/>
        <cfvo type="percentile" val="50"/>
        <cfvo type="max"/>
        <color rgb="FFF8696B"/>
        <color rgb="FFFFEB84"/>
        <color rgb="FF63BE7B"/>
      </colorScale>
    </cfRule>
  </conditionalFormatting>
  <conditionalFormatting sqref="D10:D31">
    <cfRule type="colorScale" priority="12804">
      <colorScale>
        <cfvo type="min"/>
        <cfvo type="percentile" val="50"/>
        <cfvo type="max"/>
        <color rgb="FFF8696B"/>
        <color rgb="FFFFEB84"/>
        <color rgb="FF63BE7B"/>
      </colorScale>
    </cfRule>
  </conditionalFormatting>
  <conditionalFormatting sqref="D10:D31">
    <cfRule type="colorScale" priority="12803">
      <colorScale>
        <cfvo type="min"/>
        <cfvo type="percentile" val="50"/>
        <cfvo type="max"/>
        <color rgb="FFF8696B"/>
        <color rgb="FFFFEB84"/>
        <color rgb="FF63BE7B"/>
      </colorScale>
    </cfRule>
  </conditionalFormatting>
  <conditionalFormatting sqref="D10:E31">
    <cfRule type="colorScale" priority="12802">
      <colorScale>
        <cfvo type="min"/>
        <cfvo type="percentile" val="50"/>
        <cfvo type="max"/>
        <color rgb="FFF8696B"/>
        <color rgb="FFFFEB84"/>
        <color rgb="FF63BE7B"/>
      </colorScale>
    </cfRule>
  </conditionalFormatting>
  <conditionalFormatting sqref="D10:E31">
    <cfRule type="colorScale" priority="12801">
      <colorScale>
        <cfvo type="min"/>
        <cfvo type="percentile" val="50"/>
        <cfvo type="max"/>
        <color rgb="FFF8696B"/>
        <color rgb="FFFFEB84"/>
        <color rgb="FF63BE7B"/>
      </colorScale>
    </cfRule>
  </conditionalFormatting>
  <conditionalFormatting sqref="D10:D31">
    <cfRule type="colorScale" priority="12800">
      <colorScale>
        <cfvo type="min"/>
        <cfvo type="percentile" val="50"/>
        <cfvo type="max"/>
        <color rgb="FFF8696B"/>
        <color rgb="FFFFEB84"/>
        <color rgb="FF63BE7B"/>
      </colorScale>
    </cfRule>
  </conditionalFormatting>
  <conditionalFormatting sqref="D10:D31">
    <cfRule type="colorScale" priority="12799">
      <colorScale>
        <cfvo type="min"/>
        <cfvo type="percentile" val="50"/>
        <cfvo type="max"/>
        <color rgb="FFF8696B"/>
        <color rgb="FFFFEB84"/>
        <color rgb="FF63BE7B"/>
      </colorScale>
    </cfRule>
  </conditionalFormatting>
  <conditionalFormatting sqref="D10:D31">
    <cfRule type="colorScale" priority="12798">
      <colorScale>
        <cfvo type="min"/>
        <cfvo type="percentile" val="50"/>
        <cfvo type="max"/>
        <color rgb="FFF8696B"/>
        <color rgb="FFFFEB84"/>
        <color rgb="FF63BE7B"/>
      </colorScale>
    </cfRule>
  </conditionalFormatting>
  <conditionalFormatting sqref="D10:D31">
    <cfRule type="colorScale" priority="12797">
      <colorScale>
        <cfvo type="min"/>
        <cfvo type="percentile" val="50"/>
        <cfvo type="max"/>
        <color rgb="FFF8696B"/>
        <color rgb="FFFFEB84"/>
        <color rgb="FF63BE7B"/>
      </colorScale>
    </cfRule>
  </conditionalFormatting>
  <conditionalFormatting sqref="D10:E31">
    <cfRule type="colorScale" priority="12796">
      <colorScale>
        <cfvo type="min"/>
        <cfvo type="percentile" val="50"/>
        <cfvo type="max"/>
        <color rgb="FFF8696B"/>
        <color rgb="FFFFEB84"/>
        <color rgb="FF63BE7B"/>
      </colorScale>
    </cfRule>
  </conditionalFormatting>
  <conditionalFormatting sqref="D10:E31">
    <cfRule type="colorScale" priority="12795">
      <colorScale>
        <cfvo type="min"/>
        <cfvo type="percentile" val="50"/>
        <cfvo type="max"/>
        <color rgb="FFF8696B"/>
        <color rgb="FFFFEB84"/>
        <color rgb="FF63BE7B"/>
      </colorScale>
    </cfRule>
  </conditionalFormatting>
  <conditionalFormatting sqref="D10:D31">
    <cfRule type="colorScale" priority="12794">
      <colorScale>
        <cfvo type="min"/>
        <cfvo type="percentile" val="50"/>
        <cfvo type="max"/>
        <color rgb="FFF8696B"/>
        <color rgb="FFFFEB84"/>
        <color rgb="FF63BE7B"/>
      </colorScale>
    </cfRule>
  </conditionalFormatting>
  <conditionalFormatting sqref="D10:D31">
    <cfRule type="colorScale" priority="12793">
      <colorScale>
        <cfvo type="min"/>
        <cfvo type="percentile" val="50"/>
        <cfvo type="max"/>
        <color rgb="FFF8696B"/>
        <color rgb="FFFFEB84"/>
        <color rgb="FF63BE7B"/>
      </colorScale>
    </cfRule>
  </conditionalFormatting>
  <conditionalFormatting sqref="D10:D31">
    <cfRule type="colorScale" priority="12792">
      <colorScale>
        <cfvo type="min"/>
        <cfvo type="percentile" val="50"/>
        <cfvo type="max"/>
        <color rgb="FFF8696B"/>
        <color rgb="FFFFEB84"/>
        <color rgb="FF63BE7B"/>
      </colorScale>
    </cfRule>
  </conditionalFormatting>
  <conditionalFormatting sqref="D10:D31">
    <cfRule type="colorScale" priority="12791">
      <colorScale>
        <cfvo type="min"/>
        <cfvo type="percentile" val="50"/>
        <cfvo type="max"/>
        <color rgb="FFF8696B"/>
        <color rgb="FFFFEB84"/>
        <color rgb="FF63BE7B"/>
      </colorScale>
    </cfRule>
  </conditionalFormatting>
  <conditionalFormatting sqref="D10:E31">
    <cfRule type="colorScale" priority="12790">
      <colorScale>
        <cfvo type="min"/>
        <cfvo type="percentile" val="50"/>
        <cfvo type="max"/>
        <color rgb="FFF8696B"/>
        <color rgb="FFFFEB84"/>
        <color rgb="FF63BE7B"/>
      </colorScale>
    </cfRule>
  </conditionalFormatting>
  <conditionalFormatting sqref="D10:E31">
    <cfRule type="colorScale" priority="12789">
      <colorScale>
        <cfvo type="min"/>
        <cfvo type="percentile" val="50"/>
        <cfvo type="max"/>
        <color rgb="FFF8696B"/>
        <color rgb="FFFFEB84"/>
        <color rgb="FF63BE7B"/>
      </colorScale>
    </cfRule>
  </conditionalFormatting>
  <conditionalFormatting sqref="D10:E31">
    <cfRule type="colorScale" priority="12788">
      <colorScale>
        <cfvo type="min"/>
        <cfvo type="percentile" val="50"/>
        <cfvo type="max"/>
        <color rgb="FFF8696B"/>
        <color rgb="FFFFEB84"/>
        <color rgb="FF63BE7B"/>
      </colorScale>
    </cfRule>
  </conditionalFormatting>
  <conditionalFormatting sqref="D10:E31">
    <cfRule type="colorScale" priority="12787">
      <colorScale>
        <cfvo type="min"/>
        <cfvo type="percentile" val="50"/>
        <cfvo type="max"/>
        <color rgb="FFF8696B"/>
        <color rgb="FFFFEB84"/>
        <color rgb="FF63BE7B"/>
      </colorScale>
    </cfRule>
  </conditionalFormatting>
  <conditionalFormatting sqref="D10:E31">
    <cfRule type="colorScale" priority="12786">
      <colorScale>
        <cfvo type="min"/>
        <cfvo type="percentile" val="50"/>
        <cfvo type="max"/>
        <color rgb="FFF8696B"/>
        <color rgb="FFFFEB84"/>
        <color rgb="FF63BE7B"/>
      </colorScale>
    </cfRule>
  </conditionalFormatting>
  <conditionalFormatting sqref="D10:E31">
    <cfRule type="colorScale" priority="12785">
      <colorScale>
        <cfvo type="min"/>
        <cfvo type="percentile" val="50"/>
        <cfvo type="max"/>
        <color rgb="FFF8696B"/>
        <color rgb="FFFFEB84"/>
        <color rgb="FF63BE7B"/>
      </colorScale>
    </cfRule>
  </conditionalFormatting>
  <conditionalFormatting sqref="D10:D31">
    <cfRule type="colorScale" priority="12784">
      <colorScale>
        <cfvo type="min"/>
        <cfvo type="percentile" val="50"/>
        <cfvo type="max"/>
        <color rgb="FFF8696B"/>
        <color rgb="FFFFEB84"/>
        <color rgb="FF63BE7B"/>
      </colorScale>
    </cfRule>
  </conditionalFormatting>
  <conditionalFormatting sqref="D10:D31">
    <cfRule type="colorScale" priority="12783">
      <colorScale>
        <cfvo type="min"/>
        <cfvo type="percentile" val="50"/>
        <cfvo type="max"/>
        <color rgb="FFF8696B"/>
        <color rgb="FFFFEB84"/>
        <color rgb="FF63BE7B"/>
      </colorScale>
    </cfRule>
  </conditionalFormatting>
  <conditionalFormatting sqref="D10:D31">
    <cfRule type="colorScale" priority="12782">
      <colorScale>
        <cfvo type="min"/>
        <cfvo type="percentile" val="50"/>
        <cfvo type="max"/>
        <color rgb="FFF8696B"/>
        <color rgb="FFFFEB84"/>
        <color rgb="FF63BE7B"/>
      </colorScale>
    </cfRule>
  </conditionalFormatting>
  <conditionalFormatting sqref="D10:D31">
    <cfRule type="colorScale" priority="12781">
      <colorScale>
        <cfvo type="min"/>
        <cfvo type="percentile" val="50"/>
        <cfvo type="max"/>
        <color rgb="FFF8696B"/>
        <color rgb="FFFFEB84"/>
        <color rgb="FF63BE7B"/>
      </colorScale>
    </cfRule>
  </conditionalFormatting>
  <conditionalFormatting sqref="D10:E31">
    <cfRule type="colorScale" priority="12780">
      <colorScale>
        <cfvo type="min"/>
        <cfvo type="percentile" val="50"/>
        <cfvo type="max"/>
        <color rgb="FFF8696B"/>
        <color rgb="FFFFEB84"/>
        <color rgb="FF63BE7B"/>
      </colorScale>
    </cfRule>
  </conditionalFormatting>
  <conditionalFormatting sqref="D10:E31">
    <cfRule type="colorScale" priority="12779">
      <colorScale>
        <cfvo type="min"/>
        <cfvo type="percentile" val="50"/>
        <cfvo type="max"/>
        <color rgb="FFF8696B"/>
        <color rgb="FFFFEB84"/>
        <color rgb="FF63BE7B"/>
      </colorScale>
    </cfRule>
  </conditionalFormatting>
  <conditionalFormatting sqref="D10:D31">
    <cfRule type="colorScale" priority="12778">
      <colorScale>
        <cfvo type="min"/>
        <cfvo type="percentile" val="50"/>
        <cfvo type="max"/>
        <color rgb="FFF8696B"/>
        <color rgb="FFFFEB84"/>
        <color rgb="FF63BE7B"/>
      </colorScale>
    </cfRule>
  </conditionalFormatting>
  <conditionalFormatting sqref="D10:D31">
    <cfRule type="colorScale" priority="12777">
      <colorScale>
        <cfvo type="min"/>
        <cfvo type="percentile" val="50"/>
        <cfvo type="max"/>
        <color rgb="FFF8696B"/>
        <color rgb="FFFFEB84"/>
        <color rgb="FF63BE7B"/>
      </colorScale>
    </cfRule>
  </conditionalFormatting>
  <conditionalFormatting sqref="D10:D31">
    <cfRule type="colorScale" priority="12776">
      <colorScale>
        <cfvo type="min"/>
        <cfvo type="percentile" val="50"/>
        <cfvo type="max"/>
        <color rgb="FFF8696B"/>
        <color rgb="FFFFEB84"/>
        <color rgb="FF63BE7B"/>
      </colorScale>
    </cfRule>
  </conditionalFormatting>
  <conditionalFormatting sqref="D10:D31">
    <cfRule type="colorScale" priority="12775">
      <colorScale>
        <cfvo type="min"/>
        <cfvo type="percentile" val="50"/>
        <cfvo type="max"/>
        <color rgb="FFF8696B"/>
        <color rgb="FFFFEB84"/>
        <color rgb="FF63BE7B"/>
      </colorScale>
    </cfRule>
  </conditionalFormatting>
  <conditionalFormatting sqref="D10:E31">
    <cfRule type="colorScale" priority="12774">
      <colorScale>
        <cfvo type="min"/>
        <cfvo type="percentile" val="50"/>
        <cfvo type="max"/>
        <color rgb="FFF8696B"/>
        <color rgb="FFFFEB84"/>
        <color rgb="FF63BE7B"/>
      </colorScale>
    </cfRule>
  </conditionalFormatting>
  <conditionalFormatting sqref="D10:E31">
    <cfRule type="colorScale" priority="12773">
      <colorScale>
        <cfvo type="min"/>
        <cfvo type="percentile" val="50"/>
        <cfvo type="max"/>
        <color rgb="FFF8696B"/>
        <color rgb="FFFFEB84"/>
        <color rgb="FF63BE7B"/>
      </colorScale>
    </cfRule>
  </conditionalFormatting>
  <conditionalFormatting sqref="D10:D31">
    <cfRule type="colorScale" priority="12772">
      <colorScale>
        <cfvo type="min"/>
        <cfvo type="percentile" val="50"/>
        <cfvo type="max"/>
        <color rgb="FFF8696B"/>
        <color rgb="FFFFEB84"/>
        <color rgb="FF63BE7B"/>
      </colorScale>
    </cfRule>
  </conditionalFormatting>
  <conditionalFormatting sqref="D10:D31">
    <cfRule type="colorScale" priority="12771">
      <colorScale>
        <cfvo type="min"/>
        <cfvo type="percentile" val="50"/>
        <cfvo type="max"/>
        <color rgb="FFF8696B"/>
        <color rgb="FFFFEB84"/>
        <color rgb="FF63BE7B"/>
      </colorScale>
    </cfRule>
  </conditionalFormatting>
  <conditionalFormatting sqref="D10:D31">
    <cfRule type="colorScale" priority="12770">
      <colorScale>
        <cfvo type="min"/>
        <cfvo type="percentile" val="50"/>
        <cfvo type="max"/>
        <color rgb="FFF8696B"/>
        <color rgb="FFFFEB84"/>
        <color rgb="FF63BE7B"/>
      </colorScale>
    </cfRule>
  </conditionalFormatting>
  <conditionalFormatting sqref="D10:D31">
    <cfRule type="colorScale" priority="12769">
      <colorScale>
        <cfvo type="min"/>
        <cfvo type="percentile" val="50"/>
        <cfvo type="max"/>
        <color rgb="FFF8696B"/>
        <color rgb="FFFFEB84"/>
        <color rgb="FF63BE7B"/>
      </colorScale>
    </cfRule>
  </conditionalFormatting>
  <conditionalFormatting sqref="D10:E31">
    <cfRule type="colorScale" priority="12768">
      <colorScale>
        <cfvo type="min"/>
        <cfvo type="percentile" val="50"/>
        <cfvo type="max"/>
        <color rgb="FFF8696B"/>
        <color rgb="FFFFEB84"/>
        <color rgb="FF63BE7B"/>
      </colorScale>
    </cfRule>
  </conditionalFormatting>
  <conditionalFormatting sqref="D10:E31">
    <cfRule type="colorScale" priority="12767">
      <colorScale>
        <cfvo type="min"/>
        <cfvo type="percentile" val="50"/>
        <cfvo type="max"/>
        <color rgb="FFF8696B"/>
        <color rgb="FFFFEB84"/>
        <color rgb="FF63BE7B"/>
      </colorScale>
    </cfRule>
  </conditionalFormatting>
  <conditionalFormatting sqref="D10:E31">
    <cfRule type="colorScale" priority="12766">
      <colorScale>
        <cfvo type="min"/>
        <cfvo type="percentile" val="50"/>
        <cfvo type="max"/>
        <color rgb="FFF8696B"/>
        <color rgb="FFFFEB84"/>
        <color rgb="FF63BE7B"/>
      </colorScale>
    </cfRule>
  </conditionalFormatting>
  <conditionalFormatting sqref="D10:E31">
    <cfRule type="colorScale" priority="12765">
      <colorScale>
        <cfvo type="min"/>
        <cfvo type="percentile" val="50"/>
        <cfvo type="max"/>
        <color rgb="FFF8696B"/>
        <color rgb="FFFFEB84"/>
        <color rgb="FF63BE7B"/>
      </colorScale>
    </cfRule>
  </conditionalFormatting>
  <conditionalFormatting sqref="D10:D31">
    <cfRule type="colorScale" priority="12764">
      <colorScale>
        <cfvo type="min"/>
        <cfvo type="percentile" val="50"/>
        <cfvo type="max"/>
        <color rgb="FFF8696B"/>
        <color rgb="FFFFEB84"/>
        <color rgb="FF63BE7B"/>
      </colorScale>
    </cfRule>
  </conditionalFormatting>
  <conditionalFormatting sqref="D10:D31">
    <cfRule type="colorScale" priority="12763">
      <colorScale>
        <cfvo type="min"/>
        <cfvo type="percentile" val="50"/>
        <cfvo type="max"/>
        <color rgb="FFF8696B"/>
        <color rgb="FFFFEB84"/>
        <color rgb="FF63BE7B"/>
      </colorScale>
    </cfRule>
  </conditionalFormatting>
  <conditionalFormatting sqref="D10:D31">
    <cfRule type="colorScale" priority="12762">
      <colorScale>
        <cfvo type="min"/>
        <cfvo type="percentile" val="50"/>
        <cfvo type="max"/>
        <color rgb="FFF8696B"/>
        <color rgb="FFFFEB84"/>
        <color rgb="FF63BE7B"/>
      </colorScale>
    </cfRule>
  </conditionalFormatting>
  <conditionalFormatting sqref="D10:D31">
    <cfRule type="colorScale" priority="12761">
      <colorScale>
        <cfvo type="min"/>
        <cfvo type="percentile" val="50"/>
        <cfvo type="max"/>
        <color rgb="FFF8696B"/>
        <color rgb="FFFFEB84"/>
        <color rgb="FF63BE7B"/>
      </colorScale>
    </cfRule>
  </conditionalFormatting>
  <conditionalFormatting sqref="D10:E31">
    <cfRule type="colorScale" priority="12760">
      <colorScale>
        <cfvo type="min"/>
        <cfvo type="percentile" val="50"/>
        <cfvo type="max"/>
        <color rgb="FFF8696B"/>
        <color rgb="FFFFEB84"/>
        <color rgb="FF63BE7B"/>
      </colorScale>
    </cfRule>
  </conditionalFormatting>
  <conditionalFormatting sqref="D10:E31">
    <cfRule type="colorScale" priority="12759">
      <colorScale>
        <cfvo type="min"/>
        <cfvo type="percentile" val="50"/>
        <cfvo type="max"/>
        <color rgb="FFF8696B"/>
        <color rgb="FFFFEB84"/>
        <color rgb="FF63BE7B"/>
      </colorScale>
    </cfRule>
  </conditionalFormatting>
  <conditionalFormatting sqref="D10:D31">
    <cfRule type="colorScale" priority="12758">
      <colorScale>
        <cfvo type="min"/>
        <cfvo type="percentile" val="50"/>
        <cfvo type="max"/>
        <color rgb="FFF8696B"/>
        <color rgb="FFFFEB84"/>
        <color rgb="FF63BE7B"/>
      </colorScale>
    </cfRule>
  </conditionalFormatting>
  <conditionalFormatting sqref="D10:D31">
    <cfRule type="colorScale" priority="12757">
      <colorScale>
        <cfvo type="min"/>
        <cfvo type="percentile" val="50"/>
        <cfvo type="max"/>
        <color rgb="FFF8696B"/>
        <color rgb="FFFFEB84"/>
        <color rgb="FF63BE7B"/>
      </colorScale>
    </cfRule>
  </conditionalFormatting>
  <conditionalFormatting sqref="D10:D31">
    <cfRule type="colorScale" priority="12756">
      <colorScale>
        <cfvo type="min"/>
        <cfvo type="percentile" val="50"/>
        <cfvo type="max"/>
        <color rgb="FFF8696B"/>
        <color rgb="FFFFEB84"/>
        <color rgb="FF63BE7B"/>
      </colorScale>
    </cfRule>
  </conditionalFormatting>
  <conditionalFormatting sqref="D10:D31">
    <cfRule type="colorScale" priority="12755">
      <colorScale>
        <cfvo type="min"/>
        <cfvo type="percentile" val="50"/>
        <cfvo type="max"/>
        <color rgb="FFF8696B"/>
        <color rgb="FFFFEB84"/>
        <color rgb="FF63BE7B"/>
      </colorScale>
    </cfRule>
  </conditionalFormatting>
  <conditionalFormatting sqref="D10:E31">
    <cfRule type="colorScale" priority="12754">
      <colorScale>
        <cfvo type="min"/>
        <cfvo type="percentile" val="50"/>
        <cfvo type="max"/>
        <color rgb="FFF8696B"/>
        <color rgb="FFFFEB84"/>
        <color rgb="FF63BE7B"/>
      </colorScale>
    </cfRule>
  </conditionalFormatting>
  <conditionalFormatting sqref="D10:E31">
    <cfRule type="colorScale" priority="12753">
      <colorScale>
        <cfvo type="min"/>
        <cfvo type="percentile" val="50"/>
        <cfvo type="max"/>
        <color rgb="FFF8696B"/>
        <color rgb="FFFFEB84"/>
        <color rgb="FF63BE7B"/>
      </colorScale>
    </cfRule>
  </conditionalFormatting>
  <conditionalFormatting sqref="D10:D31">
    <cfRule type="colorScale" priority="12752">
      <colorScale>
        <cfvo type="min"/>
        <cfvo type="percentile" val="50"/>
        <cfvo type="max"/>
        <color rgb="FFF8696B"/>
        <color rgb="FFFFEB84"/>
        <color rgb="FF63BE7B"/>
      </colorScale>
    </cfRule>
  </conditionalFormatting>
  <conditionalFormatting sqref="D10:D31">
    <cfRule type="colorScale" priority="12751">
      <colorScale>
        <cfvo type="min"/>
        <cfvo type="percentile" val="50"/>
        <cfvo type="max"/>
        <color rgb="FFF8696B"/>
        <color rgb="FFFFEB84"/>
        <color rgb="FF63BE7B"/>
      </colorScale>
    </cfRule>
  </conditionalFormatting>
  <conditionalFormatting sqref="D10:D31">
    <cfRule type="colorScale" priority="12750">
      <colorScale>
        <cfvo type="min"/>
        <cfvo type="percentile" val="50"/>
        <cfvo type="max"/>
        <color rgb="FFF8696B"/>
        <color rgb="FFFFEB84"/>
        <color rgb="FF63BE7B"/>
      </colorScale>
    </cfRule>
  </conditionalFormatting>
  <conditionalFormatting sqref="D10:D31">
    <cfRule type="colorScale" priority="12749">
      <colorScale>
        <cfvo type="min"/>
        <cfvo type="percentile" val="50"/>
        <cfvo type="max"/>
        <color rgb="FFF8696B"/>
        <color rgb="FFFFEB84"/>
        <color rgb="FF63BE7B"/>
      </colorScale>
    </cfRule>
  </conditionalFormatting>
  <conditionalFormatting sqref="D10:E31">
    <cfRule type="colorScale" priority="12748">
      <colorScale>
        <cfvo type="min"/>
        <cfvo type="percentile" val="50"/>
        <cfvo type="max"/>
        <color rgb="FFF8696B"/>
        <color rgb="FFFFEB84"/>
        <color rgb="FF63BE7B"/>
      </colorScale>
    </cfRule>
  </conditionalFormatting>
  <conditionalFormatting sqref="D10:E31">
    <cfRule type="colorScale" priority="12747">
      <colorScale>
        <cfvo type="min"/>
        <cfvo type="percentile" val="50"/>
        <cfvo type="max"/>
        <color rgb="FFF8696B"/>
        <color rgb="FFFFEB84"/>
        <color rgb="FF63BE7B"/>
      </colorScale>
    </cfRule>
  </conditionalFormatting>
  <conditionalFormatting sqref="D10:E31">
    <cfRule type="colorScale" priority="12746">
      <colorScale>
        <cfvo type="min"/>
        <cfvo type="percentile" val="50"/>
        <cfvo type="max"/>
        <color rgb="FFF8696B"/>
        <color rgb="FFFFEB84"/>
        <color rgb="FF63BE7B"/>
      </colorScale>
    </cfRule>
  </conditionalFormatting>
  <conditionalFormatting sqref="D10:E31">
    <cfRule type="colorScale" priority="12745">
      <colorScale>
        <cfvo type="min"/>
        <cfvo type="percentile" val="50"/>
        <cfvo type="max"/>
        <color rgb="FFF8696B"/>
        <color rgb="FFFFEB84"/>
        <color rgb="FF63BE7B"/>
      </colorScale>
    </cfRule>
  </conditionalFormatting>
  <conditionalFormatting sqref="D10:D31">
    <cfRule type="colorScale" priority="12744">
      <colorScale>
        <cfvo type="min"/>
        <cfvo type="percentile" val="50"/>
        <cfvo type="max"/>
        <color rgb="FFF8696B"/>
        <color rgb="FFFFEB84"/>
        <color rgb="FF63BE7B"/>
      </colorScale>
    </cfRule>
  </conditionalFormatting>
  <conditionalFormatting sqref="D10:D31">
    <cfRule type="colorScale" priority="12743">
      <colorScale>
        <cfvo type="min"/>
        <cfvo type="percentile" val="50"/>
        <cfvo type="max"/>
        <color rgb="FFF8696B"/>
        <color rgb="FFFFEB84"/>
        <color rgb="FF63BE7B"/>
      </colorScale>
    </cfRule>
  </conditionalFormatting>
  <conditionalFormatting sqref="D10:D31">
    <cfRule type="colorScale" priority="12742">
      <colorScale>
        <cfvo type="min"/>
        <cfvo type="percentile" val="50"/>
        <cfvo type="max"/>
        <color rgb="FFF8696B"/>
        <color rgb="FFFFEB84"/>
        <color rgb="FF63BE7B"/>
      </colorScale>
    </cfRule>
  </conditionalFormatting>
  <conditionalFormatting sqref="D10:D31">
    <cfRule type="colorScale" priority="12741">
      <colorScale>
        <cfvo type="min"/>
        <cfvo type="percentile" val="50"/>
        <cfvo type="max"/>
        <color rgb="FFF8696B"/>
        <color rgb="FFFFEB84"/>
        <color rgb="FF63BE7B"/>
      </colorScale>
    </cfRule>
  </conditionalFormatting>
  <conditionalFormatting sqref="D10:E31">
    <cfRule type="colorScale" priority="12740">
      <colorScale>
        <cfvo type="min"/>
        <cfvo type="percentile" val="50"/>
        <cfvo type="max"/>
        <color rgb="FFF8696B"/>
        <color rgb="FFFFEB84"/>
        <color rgb="FF63BE7B"/>
      </colorScale>
    </cfRule>
  </conditionalFormatting>
  <conditionalFormatting sqref="D10:E31">
    <cfRule type="colorScale" priority="12739">
      <colorScale>
        <cfvo type="min"/>
        <cfvo type="percentile" val="50"/>
        <cfvo type="max"/>
        <color rgb="FFF8696B"/>
        <color rgb="FFFFEB84"/>
        <color rgb="FF63BE7B"/>
      </colorScale>
    </cfRule>
  </conditionalFormatting>
  <conditionalFormatting sqref="D10:D31">
    <cfRule type="colorScale" priority="12738">
      <colorScale>
        <cfvo type="min"/>
        <cfvo type="percentile" val="50"/>
        <cfvo type="max"/>
        <color rgb="FFF8696B"/>
        <color rgb="FFFFEB84"/>
        <color rgb="FF63BE7B"/>
      </colorScale>
    </cfRule>
  </conditionalFormatting>
  <conditionalFormatting sqref="D10:D31">
    <cfRule type="colorScale" priority="12737">
      <colorScale>
        <cfvo type="min"/>
        <cfvo type="percentile" val="50"/>
        <cfvo type="max"/>
        <color rgb="FFF8696B"/>
        <color rgb="FFFFEB84"/>
        <color rgb="FF63BE7B"/>
      </colorScale>
    </cfRule>
  </conditionalFormatting>
  <conditionalFormatting sqref="D10:D31">
    <cfRule type="colorScale" priority="12736">
      <colorScale>
        <cfvo type="min"/>
        <cfvo type="percentile" val="50"/>
        <cfvo type="max"/>
        <color rgb="FFF8696B"/>
        <color rgb="FFFFEB84"/>
        <color rgb="FF63BE7B"/>
      </colorScale>
    </cfRule>
  </conditionalFormatting>
  <conditionalFormatting sqref="D10:D31">
    <cfRule type="colorScale" priority="12735">
      <colorScale>
        <cfvo type="min"/>
        <cfvo type="percentile" val="50"/>
        <cfvo type="max"/>
        <color rgb="FFF8696B"/>
        <color rgb="FFFFEB84"/>
        <color rgb="FF63BE7B"/>
      </colorScale>
    </cfRule>
  </conditionalFormatting>
  <conditionalFormatting sqref="D10:E31">
    <cfRule type="colorScale" priority="12734">
      <colorScale>
        <cfvo type="min"/>
        <cfvo type="percentile" val="50"/>
        <cfvo type="max"/>
        <color rgb="FFF8696B"/>
        <color rgb="FFFFEB84"/>
        <color rgb="FF63BE7B"/>
      </colorScale>
    </cfRule>
  </conditionalFormatting>
  <conditionalFormatting sqref="D10:E31">
    <cfRule type="colorScale" priority="12733">
      <colorScale>
        <cfvo type="min"/>
        <cfvo type="percentile" val="50"/>
        <cfvo type="max"/>
        <color rgb="FFF8696B"/>
        <color rgb="FFFFEB84"/>
        <color rgb="FF63BE7B"/>
      </colorScale>
    </cfRule>
  </conditionalFormatting>
  <conditionalFormatting sqref="D10:D31">
    <cfRule type="colorScale" priority="12732">
      <colorScale>
        <cfvo type="min"/>
        <cfvo type="percentile" val="50"/>
        <cfvo type="max"/>
        <color rgb="FFF8696B"/>
        <color rgb="FFFFEB84"/>
        <color rgb="FF63BE7B"/>
      </colorScale>
    </cfRule>
  </conditionalFormatting>
  <conditionalFormatting sqref="D10:D31">
    <cfRule type="colorScale" priority="12731">
      <colorScale>
        <cfvo type="min"/>
        <cfvo type="percentile" val="50"/>
        <cfvo type="max"/>
        <color rgb="FFF8696B"/>
        <color rgb="FFFFEB84"/>
        <color rgb="FF63BE7B"/>
      </colorScale>
    </cfRule>
  </conditionalFormatting>
  <conditionalFormatting sqref="D10:D31">
    <cfRule type="colorScale" priority="12730">
      <colorScale>
        <cfvo type="min"/>
        <cfvo type="percentile" val="50"/>
        <cfvo type="max"/>
        <color rgb="FFF8696B"/>
        <color rgb="FFFFEB84"/>
        <color rgb="FF63BE7B"/>
      </colorScale>
    </cfRule>
  </conditionalFormatting>
  <conditionalFormatting sqref="D10:D31">
    <cfRule type="colorScale" priority="12729">
      <colorScale>
        <cfvo type="min"/>
        <cfvo type="percentile" val="50"/>
        <cfvo type="max"/>
        <color rgb="FFF8696B"/>
        <color rgb="FFFFEB84"/>
        <color rgb="FF63BE7B"/>
      </colorScale>
    </cfRule>
  </conditionalFormatting>
  <conditionalFormatting sqref="D10:E31">
    <cfRule type="colorScale" priority="12728">
      <colorScale>
        <cfvo type="min"/>
        <cfvo type="percentile" val="50"/>
        <cfvo type="max"/>
        <color rgb="FFF8696B"/>
        <color rgb="FFFFEB84"/>
        <color rgb="FF63BE7B"/>
      </colorScale>
    </cfRule>
  </conditionalFormatting>
  <conditionalFormatting sqref="D10:E31">
    <cfRule type="colorScale" priority="12727">
      <colorScale>
        <cfvo type="min"/>
        <cfvo type="percentile" val="50"/>
        <cfvo type="max"/>
        <color rgb="FFF8696B"/>
        <color rgb="FFFFEB84"/>
        <color rgb="FF63BE7B"/>
      </colorScale>
    </cfRule>
  </conditionalFormatting>
  <conditionalFormatting sqref="D10:D31">
    <cfRule type="colorScale" priority="12726">
      <colorScale>
        <cfvo type="min"/>
        <cfvo type="percentile" val="50"/>
        <cfvo type="max"/>
        <color rgb="FFF8696B"/>
        <color rgb="FFFFEB84"/>
        <color rgb="FF63BE7B"/>
      </colorScale>
    </cfRule>
  </conditionalFormatting>
  <conditionalFormatting sqref="D10:D31">
    <cfRule type="colorScale" priority="12725">
      <colorScale>
        <cfvo type="min"/>
        <cfvo type="percentile" val="50"/>
        <cfvo type="max"/>
        <color rgb="FFF8696B"/>
        <color rgb="FFFFEB84"/>
        <color rgb="FF63BE7B"/>
      </colorScale>
    </cfRule>
  </conditionalFormatting>
  <conditionalFormatting sqref="E10:E31">
    <cfRule type="colorScale" priority="12724">
      <colorScale>
        <cfvo type="min"/>
        <cfvo type="percentile" val="50"/>
        <cfvo type="max"/>
        <color rgb="FFF8696B"/>
        <color rgb="FFFFEB84"/>
        <color rgb="FF63BE7B"/>
      </colorScale>
    </cfRule>
  </conditionalFormatting>
  <conditionalFormatting sqref="E10:E31">
    <cfRule type="colorScale" priority="12723">
      <colorScale>
        <cfvo type="min"/>
        <cfvo type="percentile" val="50"/>
        <cfvo type="max"/>
        <color rgb="FFF8696B"/>
        <color rgb="FFFFEB84"/>
        <color rgb="FF63BE7B"/>
      </colorScale>
    </cfRule>
  </conditionalFormatting>
  <conditionalFormatting sqref="D10:E31">
    <cfRule type="colorScale" priority="12722">
      <colorScale>
        <cfvo type="min"/>
        <cfvo type="percentile" val="50"/>
        <cfvo type="max"/>
        <color rgb="FFF8696B"/>
        <color rgb="FFFFEB84"/>
        <color rgb="FF63BE7B"/>
      </colorScale>
    </cfRule>
  </conditionalFormatting>
  <conditionalFormatting sqref="D10:E31">
    <cfRule type="colorScale" priority="12721">
      <colorScale>
        <cfvo type="min"/>
        <cfvo type="percentile" val="50"/>
        <cfvo type="max"/>
        <color rgb="FFF8696B"/>
        <color rgb="FFFFEB84"/>
        <color rgb="FF63BE7B"/>
      </colorScale>
    </cfRule>
  </conditionalFormatting>
  <conditionalFormatting sqref="D10:E31">
    <cfRule type="colorScale" priority="12720">
      <colorScale>
        <cfvo type="min"/>
        <cfvo type="percentile" val="50"/>
        <cfvo type="max"/>
        <color rgb="FFF8696B"/>
        <color rgb="FFFFEB84"/>
        <color rgb="FF63BE7B"/>
      </colorScale>
    </cfRule>
  </conditionalFormatting>
  <conditionalFormatting sqref="D10:E31">
    <cfRule type="colorScale" priority="12719">
      <colorScale>
        <cfvo type="min"/>
        <cfvo type="percentile" val="50"/>
        <cfvo type="max"/>
        <color rgb="FFF8696B"/>
        <color rgb="FFFFEB84"/>
        <color rgb="FF63BE7B"/>
      </colorScale>
    </cfRule>
  </conditionalFormatting>
  <conditionalFormatting sqref="D10:D31">
    <cfRule type="colorScale" priority="12718">
      <colorScale>
        <cfvo type="min"/>
        <cfvo type="percentile" val="50"/>
        <cfvo type="max"/>
        <color rgb="FFF8696B"/>
        <color rgb="FFFFEB84"/>
        <color rgb="FF63BE7B"/>
      </colorScale>
    </cfRule>
  </conditionalFormatting>
  <conditionalFormatting sqref="D10:D31">
    <cfRule type="colorScale" priority="12717">
      <colorScale>
        <cfvo type="min"/>
        <cfvo type="percentile" val="50"/>
        <cfvo type="max"/>
        <color rgb="FFF8696B"/>
        <color rgb="FFFFEB84"/>
        <color rgb="FF63BE7B"/>
      </colorScale>
    </cfRule>
  </conditionalFormatting>
  <conditionalFormatting sqref="D10:D29">
    <cfRule type="colorScale" priority="12716">
      <colorScale>
        <cfvo type="min"/>
        <cfvo type="percentile" val="50"/>
        <cfvo type="max"/>
        <color rgb="FFF8696B"/>
        <color rgb="FFFFEB84"/>
        <color rgb="FF63BE7B"/>
      </colorScale>
    </cfRule>
  </conditionalFormatting>
  <conditionalFormatting sqref="D10:D29">
    <cfRule type="colorScale" priority="12715">
      <colorScale>
        <cfvo type="min"/>
        <cfvo type="percentile" val="50"/>
        <cfvo type="max"/>
        <color rgb="FFF8696B"/>
        <color rgb="FFFFEB84"/>
        <color rgb="FF63BE7B"/>
      </colorScale>
    </cfRule>
  </conditionalFormatting>
  <conditionalFormatting sqref="D10:D31">
    <cfRule type="colorScale" priority="12714">
      <colorScale>
        <cfvo type="min"/>
        <cfvo type="percentile" val="50"/>
        <cfvo type="max"/>
        <color rgb="FFF8696B"/>
        <color rgb="FFFFEB84"/>
        <color rgb="FF63BE7B"/>
      </colorScale>
    </cfRule>
  </conditionalFormatting>
  <conditionalFormatting sqref="D10:D31">
    <cfRule type="colorScale" priority="12713">
      <colorScale>
        <cfvo type="min"/>
        <cfvo type="percentile" val="50"/>
        <cfvo type="max"/>
        <color rgb="FFF8696B"/>
        <color rgb="FFFFEB84"/>
        <color rgb="FF63BE7B"/>
      </colorScale>
    </cfRule>
  </conditionalFormatting>
  <conditionalFormatting sqref="D10:F31">
    <cfRule type="colorScale" priority="12712">
      <colorScale>
        <cfvo type="min"/>
        <cfvo type="percentile" val="50"/>
        <cfvo type="max"/>
        <color rgb="FFF8696B"/>
        <color rgb="FFFFEB84"/>
        <color rgb="FF63BE7B"/>
      </colorScale>
    </cfRule>
  </conditionalFormatting>
  <conditionalFormatting sqref="D10:F31">
    <cfRule type="colorScale" priority="12711">
      <colorScale>
        <cfvo type="min"/>
        <cfvo type="percentile" val="50"/>
        <cfvo type="max"/>
        <color rgb="FFF8696B"/>
        <color rgb="FFFFEB84"/>
        <color rgb="FF63BE7B"/>
      </colorScale>
    </cfRule>
  </conditionalFormatting>
  <conditionalFormatting sqref="D10:F31">
    <cfRule type="colorScale" priority="12710">
      <colorScale>
        <cfvo type="min"/>
        <cfvo type="percentile" val="50"/>
        <cfvo type="max"/>
        <color rgb="FFF8696B"/>
        <color rgb="FFFFEB84"/>
        <color rgb="FF63BE7B"/>
      </colorScale>
    </cfRule>
  </conditionalFormatting>
  <conditionalFormatting sqref="D10:F31">
    <cfRule type="colorScale" priority="12709">
      <colorScale>
        <cfvo type="min"/>
        <cfvo type="percentile" val="50"/>
        <cfvo type="max"/>
        <color rgb="FFF8696B"/>
        <color rgb="FFFFEB84"/>
        <color rgb="FF63BE7B"/>
      </colorScale>
    </cfRule>
  </conditionalFormatting>
  <conditionalFormatting sqref="D10:F31">
    <cfRule type="colorScale" priority="12708">
      <colorScale>
        <cfvo type="min"/>
        <cfvo type="percentile" val="50"/>
        <cfvo type="max"/>
        <color rgb="FFF8696B"/>
        <color rgb="FFFFEB84"/>
        <color rgb="FF63BE7B"/>
      </colorScale>
    </cfRule>
  </conditionalFormatting>
  <conditionalFormatting sqref="D10:F31">
    <cfRule type="colorScale" priority="12707">
      <colorScale>
        <cfvo type="min"/>
        <cfvo type="percentile" val="50"/>
        <cfvo type="max"/>
        <color rgb="FFF8696B"/>
        <color rgb="FFFFEB84"/>
        <color rgb="FF63BE7B"/>
      </colorScale>
    </cfRule>
  </conditionalFormatting>
  <conditionalFormatting sqref="D10:E31">
    <cfRule type="colorScale" priority="12706">
      <colorScale>
        <cfvo type="min"/>
        <cfvo type="percentile" val="50"/>
        <cfvo type="max"/>
        <color rgb="FFF8696B"/>
        <color rgb="FFFFEB84"/>
        <color rgb="FF63BE7B"/>
      </colorScale>
    </cfRule>
  </conditionalFormatting>
  <conditionalFormatting sqref="D10:E31">
    <cfRule type="colorScale" priority="12705">
      <colorScale>
        <cfvo type="min"/>
        <cfvo type="percentile" val="50"/>
        <cfvo type="max"/>
        <color rgb="FFF8696B"/>
        <color rgb="FFFFEB84"/>
        <color rgb="FF63BE7B"/>
      </colorScale>
    </cfRule>
  </conditionalFormatting>
  <conditionalFormatting sqref="D10:E31">
    <cfRule type="colorScale" priority="12704">
      <colorScale>
        <cfvo type="min"/>
        <cfvo type="percentile" val="50"/>
        <cfvo type="max"/>
        <color rgb="FFF8696B"/>
        <color rgb="FFFFEB84"/>
        <color rgb="FF63BE7B"/>
      </colorScale>
    </cfRule>
  </conditionalFormatting>
  <conditionalFormatting sqref="D10:E31">
    <cfRule type="colorScale" priority="12703">
      <colorScale>
        <cfvo type="min"/>
        <cfvo type="percentile" val="50"/>
        <cfvo type="max"/>
        <color rgb="FFF8696B"/>
        <color rgb="FFFFEB84"/>
        <color rgb="FF63BE7B"/>
      </colorScale>
    </cfRule>
  </conditionalFormatting>
  <conditionalFormatting sqref="D10:E31">
    <cfRule type="colorScale" priority="12702">
      <colorScale>
        <cfvo type="min"/>
        <cfvo type="percentile" val="50"/>
        <cfvo type="max"/>
        <color rgb="FFF8696B"/>
        <color rgb="FFFFEB84"/>
        <color rgb="FF63BE7B"/>
      </colorScale>
    </cfRule>
  </conditionalFormatting>
  <conditionalFormatting sqref="D10:E31">
    <cfRule type="colorScale" priority="12701">
      <colorScale>
        <cfvo type="min"/>
        <cfvo type="percentile" val="50"/>
        <cfvo type="max"/>
        <color rgb="FFF8696B"/>
        <color rgb="FFFFEB84"/>
        <color rgb="FF63BE7B"/>
      </colorScale>
    </cfRule>
  </conditionalFormatting>
  <conditionalFormatting sqref="E10:E31">
    <cfRule type="colorScale" priority="12700">
      <colorScale>
        <cfvo type="min"/>
        <cfvo type="percentile" val="50"/>
        <cfvo type="max"/>
        <color rgb="FFF8696B"/>
        <color rgb="FFFFEB84"/>
        <color rgb="FF63BE7B"/>
      </colorScale>
    </cfRule>
  </conditionalFormatting>
  <conditionalFormatting sqref="E10:E31">
    <cfRule type="colorScale" priority="12699">
      <colorScale>
        <cfvo type="min"/>
        <cfvo type="percentile" val="50"/>
        <cfvo type="max"/>
        <color rgb="FFF8696B"/>
        <color rgb="FFFFEB84"/>
        <color rgb="FF63BE7B"/>
      </colorScale>
    </cfRule>
  </conditionalFormatting>
  <conditionalFormatting sqref="J10:J31">
    <cfRule type="colorScale" priority="12698">
      <colorScale>
        <cfvo type="min"/>
        <cfvo type="percentile" val="50"/>
        <cfvo type="max"/>
        <color rgb="FFF8696B"/>
        <color rgb="FFFFEB84"/>
        <color rgb="FF63BE7B"/>
      </colorScale>
    </cfRule>
  </conditionalFormatting>
  <conditionalFormatting sqref="H10:I32 J32 D10:F32">
    <cfRule type="colorScale" priority="12697">
      <colorScale>
        <cfvo type="min"/>
        <cfvo type="percentile" val="50"/>
        <cfvo type="max"/>
        <color rgb="FFF8696B"/>
        <color rgb="FFFFEB84"/>
        <color rgb="FF63BE7B"/>
      </colorScale>
    </cfRule>
  </conditionalFormatting>
  <conditionalFormatting sqref="D10:E31">
    <cfRule type="colorScale" priority="12696">
      <colorScale>
        <cfvo type="min"/>
        <cfvo type="percentile" val="50"/>
        <cfvo type="max"/>
        <color rgb="FFF8696B"/>
        <color rgb="FFFFEB84"/>
        <color rgb="FF63BE7B"/>
      </colorScale>
    </cfRule>
  </conditionalFormatting>
  <conditionalFormatting sqref="D10:E31">
    <cfRule type="colorScale" priority="12695">
      <colorScale>
        <cfvo type="min"/>
        <cfvo type="percentile" val="50"/>
        <cfvo type="max"/>
        <color rgb="FFF8696B"/>
        <color rgb="FFFFEB84"/>
        <color rgb="FF63BE7B"/>
      </colorScale>
    </cfRule>
  </conditionalFormatting>
  <conditionalFormatting sqref="D10:E31">
    <cfRule type="colorScale" priority="12694">
      <colorScale>
        <cfvo type="min"/>
        <cfvo type="percentile" val="50"/>
        <cfvo type="max"/>
        <color rgb="FFF8696B"/>
        <color rgb="FFFFEB84"/>
        <color rgb="FF63BE7B"/>
      </colorScale>
    </cfRule>
  </conditionalFormatting>
  <conditionalFormatting sqref="D10:E31">
    <cfRule type="colorScale" priority="12693">
      <colorScale>
        <cfvo type="min"/>
        <cfvo type="percentile" val="50"/>
        <cfvo type="max"/>
        <color rgb="FFF8696B"/>
        <color rgb="FFFFEB84"/>
        <color rgb="FF63BE7B"/>
      </colorScale>
    </cfRule>
  </conditionalFormatting>
  <conditionalFormatting sqref="D10:E31">
    <cfRule type="colorScale" priority="12692">
      <colorScale>
        <cfvo type="min"/>
        <cfvo type="percentile" val="50"/>
        <cfvo type="max"/>
        <color rgb="FFF8696B"/>
        <color rgb="FFFFEB84"/>
        <color rgb="FF63BE7B"/>
      </colorScale>
    </cfRule>
  </conditionalFormatting>
  <conditionalFormatting sqref="D10:E31">
    <cfRule type="colorScale" priority="12691">
      <colorScale>
        <cfvo type="min"/>
        <cfvo type="percentile" val="50"/>
        <cfvo type="max"/>
        <color rgb="FFF8696B"/>
        <color rgb="FFFFEB84"/>
        <color rgb="FF63BE7B"/>
      </colorScale>
    </cfRule>
  </conditionalFormatting>
  <conditionalFormatting sqref="D10:E31">
    <cfRule type="colorScale" priority="12690">
      <colorScale>
        <cfvo type="min"/>
        <cfvo type="percentile" val="50"/>
        <cfvo type="max"/>
        <color rgb="FFF8696B"/>
        <color rgb="FFFFEB84"/>
        <color rgb="FF63BE7B"/>
      </colorScale>
    </cfRule>
  </conditionalFormatting>
  <conditionalFormatting sqref="D10:E31">
    <cfRule type="colorScale" priority="12689">
      <colorScale>
        <cfvo type="min"/>
        <cfvo type="percentile" val="50"/>
        <cfvo type="max"/>
        <color rgb="FFF8696B"/>
        <color rgb="FFFFEB84"/>
        <color rgb="FF63BE7B"/>
      </colorScale>
    </cfRule>
  </conditionalFormatting>
  <conditionalFormatting sqref="D10:D31">
    <cfRule type="colorScale" priority="12688">
      <colorScale>
        <cfvo type="min"/>
        <cfvo type="percentile" val="50"/>
        <cfvo type="max"/>
        <color rgb="FFF8696B"/>
        <color rgb="FFFFEB84"/>
        <color rgb="FF63BE7B"/>
      </colorScale>
    </cfRule>
  </conditionalFormatting>
  <conditionalFormatting sqref="D10:E31">
    <cfRule type="colorScale" priority="12687">
      <colorScale>
        <cfvo type="min"/>
        <cfvo type="percentile" val="50"/>
        <cfvo type="max"/>
        <color rgb="FFF8696B"/>
        <color rgb="FFFFEB84"/>
        <color rgb="FF63BE7B"/>
      </colorScale>
    </cfRule>
  </conditionalFormatting>
  <conditionalFormatting sqref="D10:E31">
    <cfRule type="colorScale" priority="12686">
      <colorScale>
        <cfvo type="min"/>
        <cfvo type="percentile" val="50"/>
        <cfvo type="max"/>
        <color rgb="FFF8696B"/>
        <color rgb="FFFFEB84"/>
        <color rgb="FF63BE7B"/>
      </colorScale>
    </cfRule>
  </conditionalFormatting>
  <conditionalFormatting sqref="D10:E31">
    <cfRule type="colorScale" priority="12685">
      <colorScale>
        <cfvo type="min"/>
        <cfvo type="percentile" val="50"/>
        <cfvo type="max"/>
        <color rgb="FFF8696B"/>
        <color rgb="FFFFEB84"/>
        <color rgb="FF63BE7B"/>
      </colorScale>
    </cfRule>
  </conditionalFormatting>
  <conditionalFormatting sqref="D10:D31">
    <cfRule type="colorScale" priority="12684">
      <colorScale>
        <cfvo type="min"/>
        <cfvo type="percentile" val="50"/>
        <cfvo type="max"/>
        <color rgb="FFF8696B"/>
        <color rgb="FFFFEB84"/>
        <color rgb="FF63BE7B"/>
      </colorScale>
    </cfRule>
  </conditionalFormatting>
  <conditionalFormatting sqref="D10:E31">
    <cfRule type="colorScale" priority="12683">
      <colorScale>
        <cfvo type="min"/>
        <cfvo type="percentile" val="50"/>
        <cfvo type="max"/>
        <color rgb="FFF8696B"/>
        <color rgb="FFFFEB84"/>
        <color rgb="FF63BE7B"/>
      </colorScale>
    </cfRule>
  </conditionalFormatting>
  <conditionalFormatting sqref="D10:E31">
    <cfRule type="colorScale" priority="12682">
      <colorScale>
        <cfvo type="min"/>
        <cfvo type="percentile" val="50"/>
        <cfvo type="max"/>
        <color rgb="FFF8696B"/>
        <color rgb="FFFFEB84"/>
        <color rgb="FF63BE7B"/>
      </colorScale>
    </cfRule>
  </conditionalFormatting>
  <conditionalFormatting sqref="D10:E31">
    <cfRule type="colorScale" priority="12681">
      <colorScale>
        <cfvo type="min"/>
        <cfvo type="percentile" val="50"/>
        <cfvo type="max"/>
        <color rgb="FFF8696B"/>
        <color rgb="FFFFEB84"/>
        <color rgb="FF63BE7B"/>
      </colorScale>
    </cfRule>
  </conditionalFormatting>
  <conditionalFormatting sqref="D10:E31">
    <cfRule type="colorScale" priority="12680">
      <colorScale>
        <cfvo type="min"/>
        <cfvo type="percentile" val="50"/>
        <cfvo type="max"/>
        <color rgb="FFF8696B"/>
        <color rgb="FFFFEB84"/>
        <color rgb="FF63BE7B"/>
      </colorScale>
    </cfRule>
  </conditionalFormatting>
  <conditionalFormatting sqref="D10:E31">
    <cfRule type="colorScale" priority="12679">
      <colorScale>
        <cfvo type="min"/>
        <cfvo type="percentile" val="50"/>
        <cfvo type="max"/>
        <color rgb="FFF8696B"/>
        <color rgb="FFFFEB84"/>
        <color rgb="FF63BE7B"/>
      </colorScale>
    </cfRule>
  </conditionalFormatting>
  <conditionalFormatting sqref="D10:E31">
    <cfRule type="colorScale" priority="12678">
      <colorScale>
        <cfvo type="min"/>
        <cfvo type="percentile" val="50"/>
        <cfvo type="max"/>
        <color rgb="FFF8696B"/>
        <color rgb="FFFFEB84"/>
        <color rgb="FF63BE7B"/>
      </colorScale>
    </cfRule>
  </conditionalFormatting>
  <conditionalFormatting sqref="D10:E31">
    <cfRule type="colorScale" priority="12677">
      <colorScale>
        <cfvo type="min"/>
        <cfvo type="percentile" val="50"/>
        <cfvo type="max"/>
        <color rgb="FFF8696B"/>
        <color rgb="FFFFEB84"/>
        <color rgb="FF63BE7B"/>
      </colorScale>
    </cfRule>
  </conditionalFormatting>
  <conditionalFormatting sqref="D10:E31">
    <cfRule type="colorScale" priority="12676">
      <colorScale>
        <cfvo type="min"/>
        <cfvo type="percentile" val="50"/>
        <cfvo type="max"/>
        <color rgb="FFF8696B"/>
        <color rgb="FFFFEB84"/>
        <color rgb="FF63BE7B"/>
      </colorScale>
    </cfRule>
  </conditionalFormatting>
  <conditionalFormatting sqref="D10:E31">
    <cfRule type="colorScale" priority="12675">
      <colorScale>
        <cfvo type="min"/>
        <cfvo type="percentile" val="50"/>
        <cfvo type="max"/>
        <color rgb="FFF8696B"/>
        <color rgb="FFFFEB84"/>
        <color rgb="FF63BE7B"/>
      </colorScale>
    </cfRule>
  </conditionalFormatting>
  <conditionalFormatting sqref="D10:E31">
    <cfRule type="colorScale" priority="12674">
      <colorScale>
        <cfvo type="min"/>
        <cfvo type="percentile" val="50"/>
        <cfvo type="max"/>
        <color rgb="FFF8696B"/>
        <color rgb="FFFFEB84"/>
        <color rgb="FF63BE7B"/>
      </colorScale>
    </cfRule>
  </conditionalFormatting>
  <conditionalFormatting sqref="D10:E31">
    <cfRule type="colorScale" priority="12673">
      <colorScale>
        <cfvo type="min"/>
        <cfvo type="percentile" val="50"/>
        <cfvo type="max"/>
        <color rgb="FFF8696B"/>
        <color rgb="FFFFEB84"/>
        <color rgb="FF63BE7B"/>
      </colorScale>
    </cfRule>
  </conditionalFormatting>
  <conditionalFormatting sqref="D10:E31">
    <cfRule type="colorScale" priority="12672">
      <colorScale>
        <cfvo type="min"/>
        <cfvo type="percentile" val="50"/>
        <cfvo type="max"/>
        <color rgb="FFF8696B"/>
        <color rgb="FFFFEB84"/>
        <color rgb="FF63BE7B"/>
      </colorScale>
    </cfRule>
  </conditionalFormatting>
  <conditionalFormatting sqref="D10:D31">
    <cfRule type="colorScale" priority="12671">
      <colorScale>
        <cfvo type="min"/>
        <cfvo type="percentile" val="50"/>
        <cfvo type="max"/>
        <color rgb="FFF8696B"/>
        <color rgb="FFFFEB84"/>
        <color rgb="FF63BE7B"/>
      </colorScale>
    </cfRule>
  </conditionalFormatting>
  <conditionalFormatting sqref="D10:D31">
    <cfRule type="colorScale" priority="12670">
      <colorScale>
        <cfvo type="min"/>
        <cfvo type="percentile" val="50"/>
        <cfvo type="max"/>
        <color rgb="FFF8696B"/>
        <color rgb="FFFFEB84"/>
        <color rgb="FF63BE7B"/>
      </colorScale>
    </cfRule>
  </conditionalFormatting>
  <conditionalFormatting sqref="D10:D31">
    <cfRule type="colorScale" priority="12669">
      <colorScale>
        <cfvo type="min"/>
        <cfvo type="percentile" val="50"/>
        <cfvo type="max"/>
        <color rgb="FFF8696B"/>
        <color rgb="FFFFEB84"/>
        <color rgb="FF63BE7B"/>
      </colorScale>
    </cfRule>
  </conditionalFormatting>
  <conditionalFormatting sqref="D10:D31">
    <cfRule type="colorScale" priority="12668">
      <colorScale>
        <cfvo type="min"/>
        <cfvo type="percentile" val="50"/>
        <cfvo type="max"/>
        <color rgb="FFF8696B"/>
        <color rgb="FFFFEB84"/>
        <color rgb="FF63BE7B"/>
      </colorScale>
    </cfRule>
  </conditionalFormatting>
  <conditionalFormatting sqref="D10:E31">
    <cfRule type="colorScale" priority="12667">
      <colorScale>
        <cfvo type="min"/>
        <cfvo type="percentile" val="50"/>
        <cfvo type="max"/>
        <color rgb="FFF8696B"/>
        <color rgb="FFFFEB84"/>
        <color rgb="FF63BE7B"/>
      </colorScale>
    </cfRule>
  </conditionalFormatting>
  <conditionalFormatting sqref="D10:E31">
    <cfRule type="colorScale" priority="12666">
      <colorScale>
        <cfvo type="min"/>
        <cfvo type="percentile" val="50"/>
        <cfvo type="max"/>
        <color rgb="FFF8696B"/>
        <color rgb="FFFFEB84"/>
        <color rgb="FF63BE7B"/>
      </colorScale>
    </cfRule>
  </conditionalFormatting>
  <conditionalFormatting sqref="D10:D31">
    <cfRule type="colorScale" priority="12665">
      <colorScale>
        <cfvo type="min"/>
        <cfvo type="percentile" val="50"/>
        <cfvo type="max"/>
        <color rgb="FFF8696B"/>
        <color rgb="FFFFEB84"/>
        <color rgb="FF63BE7B"/>
      </colorScale>
    </cfRule>
  </conditionalFormatting>
  <conditionalFormatting sqref="D10:D31">
    <cfRule type="colorScale" priority="12664">
      <colorScale>
        <cfvo type="min"/>
        <cfvo type="percentile" val="50"/>
        <cfvo type="max"/>
        <color rgb="FFF8696B"/>
        <color rgb="FFFFEB84"/>
        <color rgb="FF63BE7B"/>
      </colorScale>
    </cfRule>
  </conditionalFormatting>
  <conditionalFormatting sqref="D10:D31">
    <cfRule type="colorScale" priority="12663">
      <colorScale>
        <cfvo type="min"/>
        <cfvo type="percentile" val="50"/>
        <cfvo type="max"/>
        <color rgb="FFF8696B"/>
        <color rgb="FFFFEB84"/>
        <color rgb="FF63BE7B"/>
      </colorScale>
    </cfRule>
  </conditionalFormatting>
  <conditionalFormatting sqref="D10:D31">
    <cfRule type="colorScale" priority="12662">
      <colorScale>
        <cfvo type="min"/>
        <cfvo type="percentile" val="50"/>
        <cfvo type="max"/>
        <color rgb="FFF8696B"/>
        <color rgb="FFFFEB84"/>
        <color rgb="FF63BE7B"/>
      </colorScale>
    </cfRule>
  </conditionalFormatting>
  <conditionalFormatting sqref="D10:E31">
    <cfRule type="colorScale" priority="12661">
      <colorScale>
        <cfvo type="min"/>
        <cfvo type="percentile" val="50"/>
        <cfvo type="max"/>
        <color rgb="FFF8696B"/>
        <color rgb="FFFFEB84"/>
        <color rgb="FF63BE7B"/>
      </colorScale>
    </cfRule>
  </conditionalFormatting>
  <conditionalFormatting sqref="D10:E31">
    <cfRule type="colorScale" priority="12660">
      <colorScale>
        <cfvo type="min"/>
        <cfvo type="percentile" val="50"/>
        <cfvo type="max"/>
        <color rgb="FFF8696B"/>
        <color rgb="FFFFEB84"/>
        <color rgb="FF63BE7B"/>
      </colorScale>
    </cfRule>
  </conditionalFormatting>
  <conditionalFormatting sqref="D10:D31">
    <cfRule type="colorScale" priority="12659">
      <colorScale>
        <cfvo type="min"/>
        <cfvo type="percentile" val="50"/>
        <cfvo type="max"/>
        <color rgb="FFF8696B"/>
        <color rgb="FFFFEB84"/>
        <color rgb="FF63BE7B"/>
      </colorScale>
    </cfRule>
  </conditionalFormatting>
  <conditionalFormatting sqref="D10:D31">
    <cfRule type="colorScale" priority="12658">
      <colorScale>
        <cfvo type="min"/>
        <cfvo type="percentile" val="50"/>
        <cfvo type="max"/>
        <color rgb="FFF8696B"/>
        <color rgb="FFFFEB84"/>
        <color rgb="FF63BE7B"/>
      </colorScale>
    </cfRule>
  </conditionalFormatting>
  <conditionalFormatting sqref="D10:D31">
    <cfRule type="colorScale" priority="12657">
      <colorScale>
        <cfvo type="min"/>
        <cfvo type="percentile" val="50"/>
        <cfvo type="max"/>
        <color rgb="FFF8696B"/>
        <color rgb="FFFFEB84"/>
        <color rgb="FF63BE7B"/>
      </colorScale>
    </cfRule>
  </conditionalFormatting>
  <conditionalFormatting sqref="D10:D31">
    <cfRule type="colorScale" priority="12656">
      <colorScale>
        <cfvo type="min"/>
        <cfvo type="percentile" val="50"/>
        <cfvo type="max"/>
        <color rgb="FFF8696B"/>
        <color rgb="FFFFEB84"/>
        <color rgb="FF63BE7B"/>
      </colorScale>
    </cfRule>
  </conditionalFormatting>
  <conditionalFormatting sqref="D10:E31">
    <cfRule type="colorScale" priority="12655">
      <colorScale>
        <cfvo type="min"/>
        <cfvo type="percentile" val="50"/>
        <cfvo type="max"/>
        <color rgb="FFF8696B"/>
        <color rgb="FFFFEB84"/>
        <color rgb="FF63BE7B"/>
      </colorScale>
    </cfRule>
  </conditionalFormatting>
  <conditionalFormatting sqref="D10:E31">
    <cfRule type="colorScale" priority="12654">
      <colorScale>
        <cfvo type="min"/>
        <cfvo type="percentile" val="50"/>
        <cfvo type="max"/>
        <color rgb="FFF8696B"/>
        <color rgb="FFFFEB84"/>
        <color rgb="FF63BE7B"/>
      </colorScale>
    </cfRule>
  </conditionalFormatting>
  <conditionalFormatting sqref="D10:E31">
    <cfRule type="colorScale" priority="12653">
      <colorScale>
        <cfvo type="min"/>
        <cfvo type="percentile" val="50"/>
        <cfvo type="max"/>
        <color rgb="FFF8696B"/>
        <color rgb="FFFFEB84"/>
        <color rgb="FF63BE7B"/>
      </colorScale>
    </cfRule>
  </conditionalFormatting>
  <conditionalFormatting sqref="D10:E31">
    <cfRule type="colorScale" priority="12652">
      <colorScale>
        <cfvo type="min"/>
        <cfvo type="percentile" val="50"/>
        <cfvo type="max"/>
        <color rgb="FFF8696B"/>
        <color rgb="FFFFEB84"/>
        <color rgb="FF63BE7B"/>
      </colorScale>
    </cfRule>
  </conditionalFormatting>
  <conditionalFormatting sqref="D10:D31">
    <cfRule type="colorScale" priority="12651">
      <colorScale>
        <cfvo type="min"/>
        <cfvo type="percentile" val="50"/>
        <cfvo type="max"/>
        <color rgb="FFF8696B"/>
        <color rgb="FFFFEB84"/>
        <color rgb="FF63BE7B"/>
      </colorScale>
    </cfRule>
  </conditionalFormatting>
  <conditionalFormatting sqref="D10:D31">
    <cfRule type="colorScale" priority="12650">
      <colorScale>
        <cfvo type="min"/>
        <cfvo type="percentile" val="50"/>
        <cfvo type="max"/>
        <color rgb="FFF8696B"/>
        <color rgb="FFFFEB84"/>
        <color rgb="FF63BE7B"/>
      </colorScale>
    </cfRule>
  </conditionalFormatting>
  <conditionalFormatting sqref="D10:D31">
    <cfRule type="colorScale" priority="12649">
      <colorScale>
        <cfvo type="min"/>
        <cfvo type="percentile" val="50"/>
        <cfvo type="max"/>
        <color rgb="FFF8696B"/>
        <color rgb="FFFFEB84"/>
        <color rgb="FF63BE7B"/>
      </colorScale>
    </cfRule>
  </conditionalFormatting>
  <conditionalFormatting sqref="D10:D31">
    <cfRule type="colorScale" priority="12648">
      <colorScale>
        <cfvo type="min"/>
        <cfvo type="percentile" val="50"/>
        <cfvo type="max"/>
        <color rgb="FFF8696B"/>
        <color rgb="FFFFEB84"/>
        <color rgb="FF63BE7B"/>
      </colorScale>
    </cfRule>
  </conditionalFormatting>
  <conditionalFormatting sqref="D10:E31">
    <cfRule type="colorScale" priority="12647">
      <colorScale>
        <cfvo type="min"/>
        <cfvo type="percentile" val="50"/>
        <cfvo type="max"/>
        <color rgb="FFF8696B"/>
        <color rgb="FFFFEB84"/>
        <color rgb="FF63BE7B"/>
      </colorScale>
    </cfRule>
  </conditionalFormatting>
  <conditionalFormatting sqref="D10:E31">
    <cfRule type="colorScale" priority="12646">
      <colorScale>
        <cfvo type="min"/>
        <cfvo type="percentile" val="50"/>
        <cfvo type="max"/>
        <color rgb="FFF8696B"/>
        <color rgb="FFFFEB84"/>
        <color rgb="FF63BE7B"/>
      </colorScale>
    </cfRule>
  </conditionalFormatting>
  <conditionalFormatting sqref="D10:D31">
    <cfRule type="colorScale" priority="12645">
      <colorScale>
        <cfvo type="min"/>
        <cfvo type="percentile" val="50"/>
        <cfvo type="max"/>
        <color rgb="FFF8696B"/>
        <color rgb="FFFFEB84"/>
        <color rgb="FF63BE7B"/>
      </colorScale>
    </cfRule>
  </conditionalFormatting>
  <conditionalFormatting sqref="D10:D31">
    <cfRule type="colorScale" priority="12644">
      <colorScale>
        <cfvo type="min"/>
        <cfvo type="percentile" val="50"/>
        <cfvo type="max"/>
        <color rgb="FFF8696B"/>
        <color rgb="FFFFEB84"/>
        <color rgb="FF63BE7B"/>
      </colorScale>
    </cfRule>
  </conditionalFormatting>
  <conditionalFormatting sqref="D10:D31">
    <cfRule type="colorScale" priority="12643">
      <colorScale>
        <cfvo type="min"/>
        <cfvo type="percentile" val="50"/>
        <cfvo type="max"/>
        <color rgb="FFF8696B"/>
        <color rgb="FFFFEB84"/>
        <color rgb="FF63BE7B"/>
      </colorScale>
    </cfRule>
  </conditionalFormatting>
  <conditionalFormatting sqref="D10:D31">
    <cfRule type="colorScale" priority="12642">
      <colorScale>
        <cfvo type="min"/>
        <cfvo type="percentile" val="50"/>
        <cfvo type="max"/>
        <color rgb="FFF8696B"/>
        <color rgb="FFFFEB84"/>
        <color rgb="FF63BE7B"/>
      </colorScale>
    </cfRule>
  </conditionalFormatting>
  <conditionalFormatting sqref="D10:E31">
    <cfRule type="colorScale" priority="12641">
      <colorScale>
        <cfvo type="min"/>
        <cfvo type="percentile" val="50"/>
        <cfvo type="max"/>
        <color rgb="FFF8696B"/>
        <color rgb="FFFFEB84"/>
        <color rgb="FF63BE7B"/>
      </colorScale>
    </cfRule>
  </conditionalFormatting>
  <conditionalFormatting sqref="D10:E31">
    <cfRule type="colorScale" priority="12640">
      <colorScale>
        <cfvo type="min"/>
        <cfvo type="percentile" val="50"/>
        <cfvo type="max"/>
        <color rgb="FFF8696B"/>
        <color rgb="FFFFEB84"/>
        <color rgb="FF63BE7B"/>
      </colorScale>
    </cfRule>
  </conditionalFormatting>
  <conditionalFormatting sqref="D10:D31">
    <cfRule type="colorScale" priority="12639">
      <colorScale>
        <cfvo type="min"/>
        <cfvo type="percentile" val="50"/>
        <cfvo type="max"/>
        <color rgb="FFF8696B"/>
        <color rgb="FFFFEB84"/>
        <color rgb="FF63BE7B"/>
      </colorScale>
    </cfRule>
  </conditionalFormatting>
  <conditionalFormatting sqref="D10:D31">
    <cfRule type="colorScale" priority="12638">
      <colorScale>
        <cfvo type="min"/>
        <cfvo type="percentile" val="50"/>
        <cfvo type="max"/>
        <color rgb="FFF8696B"/>
        <color rgb="FFFFEB84"/>
        <color rgb="FF63BE7B"/>
      </colorScale>
    </cfRule>
  </conditionalFormatting>
  <conditionalFormatting sqref="D10:D31">
    <cfRule type="colorScale" priority="12637">
      <colorScale>
        <cfvo type="min"/>
        <cfvo type="percentile" val="50"/>
        <cfvo type="max"/>
        <color rgb="FFF8696B"/>
        <color rgb="FFFFEB84"/>
        <color rgb="FF63BE7B"/>
      </colorScale>
    </cfRule>
  </conditionalFormatting>
  <conditionalFormatting sqref="D10:D31">
    <cfRule type="colorScale" priority="12636">
      <colorScale>
        <cfvo type="min"/>
        <cfvo type="percentile" val="50"/>
        <cfvo type="max"/>
        <color rgb="FFF8696B"/>
        <color rgb="FFFFEB84"/>
        <color rgb="FF63BE7B"/>
      </colorScale>
    </cfRule>
  </conditionalFormatting>
  <conditionalFormatting sqref="D10:E31">
    <cfRule type="colorScale" priority="12635">
      <colorScale>
        <cfvo type="min"/>
        <cfvo type="percentile" val="50"/>
        <cfvo type="max"/>
        <color rgb="FFF8696B"/>
        <color rgb="FFFFEB84"/>
        <color rgb="FF63BE7B"/>
      </colorScale>
    </cfRule>
  </conditionalFormatting>
  <conditionalFormatting sqref="D10:E31">
    <cfRule type="colorScale" priority="12634">
      <colorScale>
        <cfvo type="min"/>
        <cfvo type="percentile" val="50"/>
        <cfvo type="max"/>
        <color rgb="FFF8696B"/>
        <color rgb="FFFFEB84"/>
        <color rgb="FF63BE7B"/>
      </colorScale>
    </cfRule>
  </conditionalFormatting>
  <conditionalFormatting sqref="D10:E31">
    <cfRule type="colorScale" priority="12633">
      <colorScale>
        <cfvo type="min"/>
        <cfvo type="percentile" val="50"/>
        <cfvo type="max"/>
        <color rgb="FFF8696B"/>
        <color rgb="FFFFEB84"/>
        <color rgb="FF63BE7B"/>
      </colorScale>
    </cfRule>
  </conditionalFormatting>
  <conditionalFormatting sqref="D10:E31">
    <cfRule type="colorScale" priority="12632">
      <colorScale>
        <cfvo type="min"/>
        <cfvo type="percentile" val="50"/>
        <cfvo type="max"/>
        <color rgb="FFF8696B"/>
        <color rgb="FFFFEB84"/>
        <color rgb="FF63BE7B"/>
      </colorScale>
    </cfRule>
  </conditionalFormatting>
  <conditionalFormatting sqref="D10:E31">
    <cfRule type="colorScale" priority="12631">
      <colorScale>
        <cfvo type="min"/>
        <cfvo type="percentile" val="50"/>
        <cfvo type="max"/>
        <color rgb="FFF8696B"/>
        <color rgb="FFFFEB84"/>
        <color rgb="FF63BE7B"/>
      </colorScale>
    </cfRule>
  </conditionalFormatting>
  <conditionalFormatting sqref="D10:E31">
    <cfRule type="colorScale" priority="12630">
      <colorScale>
        <cfvo type="min"/>
        <cfvo type="percentile" val="50"/>
        <cfvo type="max"/>
        <color rgb="FFF8696B"/>
        <color rgb="FFFFEB84"/>
        <color rgb="FF63BE7B"/>
      </colorScale>
    </cfRule>
  </conditionalFormatting>
  <conditionalFormatting sqref="D10:D31">
    <cfRule type="colorScale" priority="12629">
      <colorScale>
        <cfvo type="min"/>
        <cfvo type="percentile" val="50"/>
        <cfvo type="max"/>
        <color rgb="FFF8696B"/>
        <color rgb="FFFFEB84"/>
        <color rgb="FF63BE7B"/>
      </colorScale>
    </cfRule>
  </conditionalFormatting>
  <conditionalFormatting sqref="D10:D31">
    <cfRule type="colorScale" priority="12628">
      <colorScale>
        <cfvo type="min"/>
        <cfvo type="percentile" val="50"/>
        <cfvo type="max"/>
        <color rgb="FFF8696B"/>
        <color rgb="FFFFEB84"/>
        <color rgb="FF63BE7B"/>
      </colorScale>
    </cfRule>
  </conditionalFormatting>
  <conditionalFormatting sqref="D10:D31">
    <cfRule type="colorScale" priority="12627">
      <colorScale>
        <cfvo type="min"/>
        <cfvo type="percentile" val="50"/>
        <cfvo type="max"/>
        <color rgb="FFF8696B"/>
        <color rgb="FFFFEB84"/>
        <color rgb="FF63BE7B"/>
      </colorScale>
    </cfRule>
  </conditionalFormatting>
  <conditionalFormatting sqref="D10:D31">
    <cfRule type="colorScale" priority="12626">
      <colorScale>
        <cfvo type="min"/>
        <cfvo type="percentile" val="50"/>
        <cfvo type="max"/>
        <color rgb="FFF8696B"/>
        <color rgb="FFFFEB84"/>
        <color rgb="FF63BE7B"/>
      </colorScale>
    </cfRule>
  </conditionalFormatting>
  <conditionalFormatting sqref="D10:E31">
    <cfRule type="colorScale" priority="12625">
      <colorScale>
        <cfvo type="min"/>
        <cfvo type="percentile" val="50"/>
        <cfvo type="max"/>
        <color rgb="FFF8696B"/>
        <color rgb="FFFFEB84"/>
        <color rgb="FF63BE7B"/>
      </colorScale>
    </cfRule>
  </conditionalFormatting>
  <conditionalFormatting sqref="D10:E31">
    <cfRule type="colorScale" priority="12624">
      <colorScale>
        <cfvo type="min"/>
        <cfvo type="percentile" val="50"/>
        <cfvo type="max"/>
        <color rgb="FFF8696B"/>
        <color rgb="FFFFEB84"/>
        <color rgb="FF63BE7B"/>
      </colorScale>
    </cfRule>
  </conditionalFormatting>
  <conditionalFormatting sqref="D10:D31">
    <cfRule type="colorScale" priority="12623">
      <colorScale>
        <cfvo type="min"/>
        <cfvo type="percentile" val="50"/>
        <cfvo type="max"/>
        <color rgb="FFF8696B"/>
        <color rgb="FFFFEB84"/>
        <color rgb="FF63BE7B"/>
      </colorScale>
    </cfRule>
  </conditionalFormatting>
  <conditionalFormatting sqref="D10:D31">
    <cfRule type="colorScale" priority="12622">
      <colorScale>
        <cfvo type="min"/>
        <cfvo type="percentile" val="50"/>
        <cfvo type="max"/>
        <color rgb="FFF8696B"/>
        <color rgb="FFFFEB84"/>
        <color rgb="FF63BE7B"/>
      </colorScale>
    </cfRule>
  </conditionalFormatting>
  <conditionalFormatting sqref="D10:D31">
    <cfRule type="colorScale" priority="12621">
      <colorScale>
        <cfvo type="min"/>
        <cfvo type="percentile" val="50"/>
        <cfvo type="max"/>
        <color rgb="FFF8696B"/>
        <color rgb="FFFFEB84"/>
        <color rgb="FF63BE7B"/>
      </colorScale>
    </cfRule>
  </conditionalFormatting>
  <conditionalFormatting sqref="D10:D31">
    <cfRule type="colorScale" priority="12620">
      <colorScale>
        <cfvo type="min"/>
        <cfvo type="percentile" val="50"/>
        <cfvo type="max"/>
        <color rgb="FFF8696B"/>
        <color rgb="FFFFEB84"/>
        <color rgb="FF63BE7B"/>
      </colorScale>
    </cfRule>
  </conditionalFormatting>
  <conditionalFormatting sqref="D10:E31">
    <cfRule type="colorScale" priority="12619">
      <colorScale>
        <cfvo type="min"/>
        <cfvo type="percentile" val="50"/>
        <cfvo type="max"/>
        <color rgb="FFF8696B"/>
        <color rgb="FFFFEB84"/>
        <color rgb="FF63BE7B"/>
      </colorScale>
    </cfRule>
  </conditionalFormatting>
  <conditionalFormatting sqref="D10:E31">
    <cfRule type="colorScale" priority="12618">
      <colorScale>
        <cfvo type="min"/>
        <cfvo type="percentile" val="50"/>
        <cfvo type="max"/>
        <color rgb="FFF8696B"/>
        <color rgb="FFFFEB84"/>
        <color rgb="FF63BE7B"/>
      </colorScale>
    </cfRule>
  </conditionalFormatting>
  <conditionalFormatting sqref="D10:D31">
    <cfRule type="colorScale" priority="12617">
      <colorScale>
        <cfvo type="min"/>
        <cfvo type="percentile" val="50"/>
        <cfvo type="max"/>
        <color rgb="FFF8696B"/>
        <color rgb="FFFFEB84"/>
        <color rgb="FF63BE7B"/>
      </colorScale>
    </cfRule>
  </conditionalFormatting>
  <conditionalFormatting sqref="D10:D31">
    <cfRule type="colorScale" priority="12616">
      <colorScale>
        <cfvo type="min"/>
        <cfvo type="percentile" val="50"/>
        <cfvo type="max"/>
        <color rgb="FFF8696B"/>
        <color rgb="FFFFEB84"/>
        <color rgb="FF63BE7B"/>
      </colorScale>
    </cfRule>
  </conditionalFormatting>
  <conditionalFormatting sqref="D10:D31">
    <cfRule type="colorScale" priority="12615">
      <colorScale>
        <cfvo type="min"/>
        <cfvo type="percentile" val="50"/>
        <cfvo type="max"/>
        <color rgb="FFF8696B"/>
        <color rgb="FFFFEB84"/>
        <color rgb="FF63BE7B"/>
      </colorScale>
    </cfRule>
  </conditionalFormatting>
  <conditionalFormatting sqref="D10:D31">
    <cfRule type="colorScale" priority="12614">
      <colorScale>
        <cfvo type="min"/>
        <cfvo type="percentile" val="50"/>
        <cfvo type="max"/>
        <color rgb="FFF8696B"/>
        <color rgb="FFFFEB84"/>
        <color rgb="FF63BE7B"/>
      </colorScale>
    </cfRule>
  </conditionalFormatting>
  <conditionalFormatting sqref="D10:E31">
    <cfRule type="colorScale" priority="12613">
      <colorScale>
        <cfvo type="min"/>
        <cfvo type="percentile" val="50"/>
        <cfvo type="max"/>
        <color rgb="FFF8696B"/>
        <color rgb="FFFFEB84"/>
        <color rgb="FF63BE7B"/>
      </colorScale>
    </cfRule>
  </conditionalFormatting>
  <conditionalFormatting sqref="D10:E31">
    <cfRule type="colorScale" priority="12612">
      <colorScale>
        <cfvo type="min"/>
        <cfvo type="percentile" val="50"/>
        <cfvo type="max"/>
        <color rgb="FFF8696B"/>
        <color rgb="FFFFEB84"/>
        <color rgb="FF63BE7B"/>
      </colorScale>
    </cfRule>
  </conditionalFormatting>
  <conditionalFormatting sqref="D10:E31">
    <cfRule type="colorScale" priority="12611">
      <colorScale>
        <cfvo type="min"/>
        <cfvo type="percentile" val="50"/>
        <cfvo type="max"/>
        <color rgb="FFF8696B"/>
        <color rgb="FFFFEB84"/>
        <color rgb="FF63BE7B"/>
      </colorScale>
    </cfRule>
  </conditionalFormatting>
  <conditionalFormatting sqref="D10:E31">
    <cfRule type="colorScale" priority="12610">
      <colorScale>
        <cfvo type="min"/>
        <cfvo type="percentile" val="50"/>
        <cfvo type="max"/>
        <color rgb="FFF8696B"/>
        <color rgb="FFFFEB84"/>
        <color rgb="FF63BE7B"/>
      </colorScale>
    </cfRule>
  </conditionalFormatting>
  <conditionalFormatting sqref="D10:D31">
    <cfRule type="colorScale" priority="12609">
      <colorScale>
        <cfvo type="min"/>
        <cfvo type="percentile" val="50"/>
        <cfvo type="max"/>
        <color rgb="FFF8696B"/>
        <color rgb="FFFFEB84"/>
        <color rgb="FF63BE7B"/>
      </colorScale>
    </cfRule>
  </conditionalFormatting>
  <conditionalFormatting sqref="D10:D31">
    <cfRule type="colorScale" priority="12608">
      <colorScale>
        <cfvo type="min"/>
        <cfvo type="percentile" val="50"/>
        <cfvo type="max"/>
        <color rgb="FFF8696B"/>
        <color rgb="FFFFEB84"/>
        <color rgb="FF63BE7B"/>
      </colorScale>
    </cfRule>
  </conditionalFormatting>
  <conditionalFormatting sqref="D10:D31">
    <cfRule type="colorScale" priority="12607">
      <colorScale>
        <cfvo type="min"/>
        <cfvo type="percentile" val="50"/>
        <cfvo type="max"/>
        <color rgb="FFF8696B"/>
        <color rgb="FFFFEB84"/>
        <color rgb="FF63BE7B"/>
      </colorScale>
    </cfRule>
  </conditionalFormatting>
  <conditionalFormatting sqref="D10:D31">
    <cfRule type="colorScale" priority="12606">
      <colorScale>
        <cfvo type="min"/>
        <cfvo type="percentile" val="50"/>
        <cfvo type="max"/>
        <color rgb="FFF8696B"/>
        <color rgb="FFFFEB84"/>
        <color rgb="FF63BE7B"/>
      </colorScale>
    </cfRule>
  </conditionalFormatting>
  <conditionalFormatting sqref="D10:E31">
    <cfRule type="colorScale" priority="12605">
      <colorScale>
        <cfvo type="min"/>
        <cfvo type="percentile" val="50"/>
        <cfvo type="max"/>
        <color rgb="FFF8696B"/>
        <color rgb="FFFFEB84"/>
        <color rgb="FF63BE7B"/>
      </colorScale>
    </cfRule>
  </conditionalFormatting>
  <conditionalFormatting sqref="D10:E31">
    <cfRule type="colorScale" priority="12604">
      <colorScale>
        <cfvo type="min"/>
        <cfvo type="percentile" val="50"/>
        <cfvo type="max"/>
        <color rgb="FFF8696B"/>
        <color rgb="FFFFEB84"/>
        <color rgb="FF63BE7B"/>
      </colorScale>
    </cfRule>
  </conditionalFormatting>
  <conditionalFormatting sqref="D10:D31">
    <cfRule type="colorScale" priority="12603">
      <colorScale>
        <cfvo type="min"/>
        <cfvo type="percentile" val="50"/>
        <cfvo type="max"/>
        <color rgb="FFF8696B"/>
        <color rgb="FFFFEB84"/>
        <color rgb="FF63BE7B"/>
      </colorScale>
    </cfRule>
  </conditionalFormatting>
  <conditionalFormatting sqref="D10:D31">
    <cfRule type="colorScale" priority="12602">
      <colorScale>
        <cfvo type="min"/>
        <cfvo type="percentile" val="50"/>
        <cfvo type="max"/>
        <color rgb="FFF8696B"/>
        <color rgb="FFFFEB84"/>
        <color rgb="FF63BE7B"/>
      </colorScale>
    </cfRule>
  </conditionalFormatting>
  <conditionalFormatting sqref="D10:D31">
    <cfRule type="colorScale" priority="12601">
      <colorScale>
        <cfvo type="min"/>
        <cfvo type="percentile" val="50"/>
        <cfvo type="max"/>
        <color rgb="FFF8696B"/>
        <color rgb="FFFFEB84"/>
        <color rgb="FF63BE7B"/>
      </colorScale>
    </cfRule>
  </conditionalFormatting>
  <conditionalFormatting sqref="D10:D31">
    <cfRule type="colorScale" priority="12600">
      <colorScale>
        <cfvo type="min"/>
        <cfvo type="percentile" val="50"/>
        <cfvo type="max"/>
        <color rgb="FFF8696B"/>
        <color rgb="FFFFEB84"/>
        <color rgb="FF63BE7B"/>
      </colorScale>
    </cfRule>
  </conditionalFormatting>
  <conditionalFormatting sqref="D10:E31">
    <cfRule type="colorScale" priority="12599">
      <colorScale>
        <cfvo type="min"/>
        <cfvo type="percentile" val="50"/>
        <cfvo type="max"/>
        <color rgb="FFF8696B"/>
        <color rgb="FFFFEB84"/>
        <color rgb="FF63BE7B"/>
      </colorScale>
    </cfRule>
  </conditionalFormatting>
  <conditionalFormatting sqref="D10:E31">
    <cfRule type="colorScale" priority="12598">
      <colorScale>
        <cfvo type="min"/>
        <cfvo type="percentile" val="50"/>
        <cfvo type="max"/>
        <color rgb="FFF8696B"/>
        <color rgb="FFFFEB84"/>
        <color rgb="FF63BE7B"/>
      </colorScale>
    </cfRule>
  </conditionalFormatting>
  <conditionalFormatting sqref="D10:D31">
    <cfRule type="colorScale" priority="12597">
      <colorScale>
        <cfvo type="min"/>
        <cfvo type="percentile" val="50"/>
        <cfvo type="max"/>
        <color rgb="FFF8696B"/>
        <color rgb="FFFFEB84"/>
        <color rgb="FF63BE7B"/>
      </colorScale>
    </cfRule>
  </conditionalFormatting>
  <conditionalFormatting sqref="D10:D31">
    <cfRule type="colorScale" priority="12596">
      <colorScale>
        <cfvo type="min"/>
        <cfvo type="percentile" val="50"/>
        <cfvo type="max"/>
        <color rgb="FFF8696B"/>
        <color rgb="FFFFEB84"/>
        <color rgb="FF63BE7B"/>
      </colorScale>
    </cfRule>
  </conditionalFormatting>
  <conditionalFormatting sqref="D10:D31">
    <cfRule type="colorScale" priority="12595">
      <colorScale>
        <cfvo type="min"/>
        <cfvo type="percentile" val="50"/>
        <cfvo type="max"/>
        <color rgb="FFF8696B"/>
        <color rgb="FFFFEB84"/>
        <color rgb="FF63BE7B"/>
      </colorScale>
    </cfRule>
  </conditionalFormatting>
  <conditionalFormatting sqref="D10:D31">
    <cfRule type="colorScale" priority="12594">
      <colorScale>
        <cfvo type="min"/>
        <cfvo type="percentile" val="50"/>
        <cfvo type="max"/>
        <color rgb="FFF8696B"/>
        <color rgb="FFFFEB84"/>
        <color rgb="FF63BE7B"/>
      </colorScale>
    </cfRule>
  </conditionalFormatting>
  <conditionalFormatting sqref="D10:E31">
    <cfRule type="colorScale" priority="12593">
      <colorScale>
        <cfvo type="min"/>
        <cfvo type="percentile" val="50"/>
        <cfvo type="max"/>
        <color rgb="FFF8696B"/>
        <color rgb="FFFFEB84"/>
        <color rgb="FF63BE7B"/>
      </colorScale>
    </cfRule>
  </conditionalFormatting>
  <conditionalFormatting sqref="D10:E31">
    <cfRule type="colorScale" priority="12592">
      <colorScale>
        <cfvo type="min"/>
        <cfvo type="percentile" val="50"/>
        <cfvo type="max"/>
        <color rgb="FFF8696B"/>
        <color rgb="FFFFEB84"/>
        <color rgb="FF63BE7B"/>
      </colorScale>
    </cfRule>
  </conditionalFormatting>
  <conditionalFormatting sqref="D10:E31">
    <cfRule type="colorScale" priority="12591">
      <colorScale>
        <cfvo type="min"/>
        <cfvo type="percentile" val="50"/>
        <cfvo type="max"/>
        <color rgb="FFF8696B"/>
        <color rgb="FFFFEB84"/>
        <color rgb="FF63BE7B"/>
      </colorScale>
    </cfRule>
  </conditionalFormatting>
  <conditionalFormatting sqref="D10:E31">
    <cfRule type="colorScale" priority="12590">
      <colorScale>
        <cfvo type="min"/>
        <cfvo type="percentile" val="50"/>
        <cfvo type="max"/>
        <color rgb="FFF8696B"/>
        <color rgb="FFFFEB84"/>
        <color rgb="FF63BE7B"/>
      </colorScale>
    </cfRule>
  </conditionalFormatting>
  <conditionalFormatting sqref="D10:D31">
    <cfRule type="colorScale" priority="12589">
      <colorScale>
        <cfvo type="min"/>
        <cfvo type="percentile" val="50"/>
        <cfvo type="max"/>
        <color rgb="FFF8696B"/>
        <color rgb="FFFFEB84"/>
        <color rgb="FF63BE7B"/>
      </colorScale>
    </cfRule>
  </conditionalFormatting>
  <conditionalFormatting sqref="D10:D31">
    <cfRule type="colorScale" priority="12588">
      <colorScale>
        <cfvo type="min"/>
        <cfvo type="percentile" val="50"/>
        <cfvo type="max"/>
        <color rgb="FFF8696B"/>
        <color rgb="FFFFEB84"/>
        <color rgb="FF63BE7B"/>
      </colorScale>
    </cfRule>
  </conditionalFormatting>
  <conditionalFormatting sqref="D10:D31">
    <cfRule type="colorScale" priority="12587">
      <colorScale>
        <cfvo type="min"/>
        <cfvo type="percentile" val="50"/>
        <cfvo type="max"/>
        <color rgb="FFF8696B"/>
        <color rgb="FFFFEB84"/>
        <color rgb="FF63BE7B"/>
      </colorScale>
    </cfRule>
  </conditionalFormatting>
  <conditionalFormatting sqref="D10:D31">
    <cfRule type="colorScale" priority="12586">
      <colorScale>
        <cfvo type="min"/>
        <cfvo type="percentile" val="50"/>
        <cfvo type="max"/>
        <color rgb="FFF8696B"/>
        <color rgb="FFFFEB84"/>
        <color rgb="FF63BE7B"/>
      </colorScale>
    </cfRule>
  </conditionalFormatting>
  <conditionalFormatting sqref="D10:E31">
    <cfRule type="colorScale" priority="12585">
      <colorScale>
        <cfvo type="min"/>
        <cfvo type="percentile" val="50"/>
        <cfvo type="max"/>
        <color rgb="FFF8696B"/>
        <color rgb="FFFFEB84"/>
        <color rgb="FF63BE7B"/>
      </colorScale>
    </cfRule>
  </conditionalFormatting>
  <conditionalFormatting sqref="D10:E31">
    <cfRule type="colorScale" priority="12584">
      <colorScale>
        <cfvo type="min"/>
        <cfvo type="percentile" val="50"/>
        <cfvo type="max"/>
        <color rgb="FFF8696B"/>
        <color rgb="FFFFEB84"/>
        <color rgb="FF63BE7B"/>
      </colorScale>
    </cfRule>
  </conditionalFormatting>
  <conditionalFormatting sqref="D10:D31">
    <cfRule type="colorScale" priority="12583">
      <colorScale>
        <cfvo type="min"/>
        <cfvo type="percentile" val="50"/>
        <cfvo type="max"/>
        <color rgb="FFF8696B"/>
        <color rgb="FFFFEB84"/>
        <color rgb="FF63BE7B"/>
      </colorScale>
    </cfRule>
  </conditionalFormatting>
  <conditionalFormatting sqref="D10:D31">
    <cfRule type="colorScale" priority="12582">
      <colorScale>
        <cfvo type="min"/>
        <cfvo type="percentile" val="50"/>
        <cfvo type="max"/>
        <color rgb="FFF8696B"/>
        <color rgb="FFFFEB84"/>
        <color rgb="FF63BE7B"/>
      </colorScale>
    </cfRule>
  </conditionalFormatting>
  <conditionalFormatting sqref="D10:D31">
    <cfRule type="colorScale" priority="12581">
      <colorScale>
        <cfvo type="min"/>
        <cfvo type="percentile" val="50"/>
        <cfvo type="max"/>
        <color rgb="FFF8696B"/>
        <color rgb="FFFFEB84"/>
        <color rgb="FF63BE7B"/>
      </colorScale>
    </cfRule>
  </conditionalFormatting>
  <conditionalFormatting sqref="D10:D31">
    <cfRule type="colorScale" priority="12580">
      <colorScale>
        <cfvo type="min"/>
        <cfvo type="percentile" val="50"/>
        <cfvo type="max"/>
        <color rgb="FFF8696B"/>
        <color rgb="FFFFEB84"/>
        <color rgb="FF63BE7B"/>
      </colorScale>
    </cfRule>
  </conditionalFormatting>
  <conditionalFormatting sqref="D10:E31">
    <cfRule type="colorScale" priority="12579">
      <colorScale>
        <cfvo type="min"/>
        <cfvo type="percentile" val="50"/>
        <cfvo type="max"/>
        <color rgb="FFF8696B"/>
        <color rgb="FFFFEB84"/>
        <color rgb="FF63BE7B"/>
      </colorScale>
    </cfRule>
  </conditionalFormatting>
  <conditionalFormatting sqref="D10:E31">
    <cfRule type="colorScale" priority="12578">
      <colorScale>
        <cfvo type="min"/>
        <cfvo type="percentile" val="50"/>
        <cfvo type="max"/>
        <color rgb="FFF8696B"/>
        <color rgb="FFFFEB84"/>
        <color rgb="FF63BE7B"/>
      </colorScale>
    </cfRule>
  </conditionalFormatting>
  <conditionalFormatting sqref="D10:D31">
    <cfRule type="colorScale" priority="12577">
      <colorScale>
        <cfvo type="min"/>
        <cfvo type="percentile" val="50"/>
        <cfvo type="max"/>
        <color rgb="FFF8696B"/>
        <color rgb="FFFFEB84"/>
        <color rgb="FF63BE7B"/>
      </colorScale>
    </cfRule>
  </conditionalFormatting>
  <conditionalFormatting sqref="D10:D31">
    <cfRule type="colorScale" priority="12576">
      <colorScale>
        <cfvo type="min"/>
        <cfvo type="percentile" val="50"/>
        <cfvo type="max"/>
        <color rgb="FFF8696B"/>
        <color rgb="FFFFEB84"/>
        <color rgb="FF63BE7B"/>
      </colorScale>
    </cfRule>
  </conditionalFormatting>
  <conditionalFormatting sqref="D10:D31">
    <cfRule type="colorScale" priority="12575">
      <colorScale>
        <cfvo type="min"/>
        <cfvo type="percentile" val="50"/>
        <cfvo type="max"/>
        <color rgb="FFF8696B"/>
        <color rgb="FFFFEB84"/>
        <color rgb="FF63BE7B"/>
      </colorScale>
    </cfRule>
  </conditionalFormatting>
  <conditionalFormatting sqref="D10:D31">
    <cfRule type="colorScale" priority="12574">
      <colorScale>
        <cfvo type="min"/>
        <cfvo type="percentile" val="50"/>
        <cfvo type="max"/>
        <color rgb="FFF8696B"/>
        <color rgb="FFFFEB84"/>
        <color rgb="FF63BE7B"/>
      </colorScale>
    </cfRule>
  </conditionalFormatting>
  <conditionalFormatting sqref="D10:E31">
    <cfRule type="colorScale" priority="12573">
      <colorScale>
        <cfvo type="min"/>
        <cfvo type="percentile" val="50"/>
        <cfvo type="max"/>
        <color rgb="FFF8696B"/>
        <color rgb="FFFFEB84"/>
        <color rgb="FF63BE7B"/>
      </colorScale>
    </cfRule>
  </conditionalFormatting>
  <conditionalFormatting sqref="D10:E31">
    <cfRule type="colorScale" priority="12572">
      <colorScale>
        <cfvo type="min"/>
        <cfvo type="percentile" val="50"/>
        <cfvo type="max"/>
        <color rgb="FFF8696B"/>
        <color rgb="FFFFEB84"/>
        <color rgb="FF63BE7B"/>
      </colorScale>
    </cfRule>
  </conditionalFormatting>
  <conditionalFormatting sqref="D10:D31">
    <cfRule type="colorScale" priority="12571">
      <colorScale>
        <cfvo type="min"/>
        <cfvo type="percentile" val="50"/>
        <cfvo type="max"/>
        <color rgb="FFF8696B"/>
        <color rgb="FFFFEB84"/>
        <color rgb="FF63BE7B"/>
      </colorScale>
    </cfRule>
  </conditionalFormatting>
  <conditionalFormatting sqref="D10:D31">
    <cfRule type="colorScale" priority="12570">
      <colorScale>
        <cfvo type="min"/>
        <cfvo type="percentile" val="50"/>
        <cfvo type="max"/>
        <color rgb="FFF8696B"/>
        <color rgb="FFFFEB84"/>
        <color rgb="FF63BE7B"/>
      </colorScale>
    </cfRule>
  </conditionalFormatting>
  <conditionalFormatting sqref="E10:E31">
    <cfRule type="colorScale" priority="12569">
      <colorScale>
        <cfvo type="min"/>
        <cfvo type="percentile" val="50"/>
        <cfvo type="max"/>
        <color rgb="FFF8696B"/>
        <color rgb="FFFFEB84"/>
        <color rgb="FF63BE7B"/>
      </colorScale>
    </cfRule>
  </conditionalFormatting>
  <conditionalFormatting sqref="E10:E31">
    <cfRule type="colorScale" priority="12568">
      <colorScale>
        <cfvo type="min"/>
        <cfvo type="percentile" val="50"/>
        <cfvo type="max"/>
        <color rgb="FFF8696B"/>
        <color rgb="FFFFEB84"/>
        <color rgb="FF63BE7B"/>
      </colorScale>
    </cfRule>
  </conditionalFormatting>
  <conditionalFormatting sqref="D10:E32">
    <cfRule type="colorScale" priority="12567">
      <colorScale>
        <cfvo type="min"/>
        <cfvo type="percentile" val="50"/>
        <cfvo type="max"/>
        <color rgb="FFF8696B"/>
        <color rgb="FFFFEB84"/>
        <color rgb="FF63BE7B"/>
      </colorScale>
    </cfRule>
  </conditionalFormatting>
  <conditionalFormatting sqref="D10:E32">
    <cfRule type="colorScale" priority="12566">
      <colorScale>
        <cfvo type="min"/>
        <cfvo type="percentile" val="50"/>
        <cfvo type="max"/>
        <color rgb="FFF8696B"/>
        <color rgb="FFFFEB84"/>
        <color rgb="FF63BE7B"/>
      </colorScale>
    </cfRule>
  </conditionalFormatting>
  <conditionalFormatting sqref="D10:E31">
    <cfRule type="colorScale" priority="12565">
      <colorScale>
        <cfvo type="min"/>
        <cfvo type="percentile" val="50"/>
        <cfvo type="max"/>
        <color rgb="FFF8696B"/>
        <color rgb="FFFFEB84"/>
        <color rgb="FF63BE7B"/>
      </colorScale>
    </cfRule>
  </conditionalFormatting>
  <conditionalFormatting sqref="D10:E31">
    <cfRule type="colorScale" priority="12564">
      <colorScale>
        <cfvo type="min"/>
        <cfvo type="percentile" val="50"/>
        <cfvo type="max"/>
        <color rgb="FFF8696B"/>
        <color rgb="FFFFEB84"/>
        <color rgb="FF63BE7B"/>
      </colorScale>
    </cfRule>
  </conditionalFormatting>
  <conditionalFormatting sqref="D10:D31">
    <cfRule type="colorScale" priority="12563">
      <colorScale>
        <cfvo type="min"/>
        <cfvo type="percentile" val="50"/>
        <cfvo type="max"/>
        <color rgb="FFF8696B"/>
        <color rgb="FFFFEB84"/>
        <color rgb="FF63BE7B"/>
      </colorScale>
    </cfRule>
  </conditionalFormatting>
  <conditionalFormatting sqref="D10:D31">
    <cfRule type="colorScale" priority="12562">
      <colorScale>
        <cfvo type="min"/>
        <cfvo type="percentile" val="50"/>
        <cfvo type="max"/>
        <color rgb="FFF8696B"/>
        <color rgb="FFFFEB84"/>
        <color rgb="FF63BE7B"/>
      </colorScale>
    </cfRule>
  </conditionalFormatting>
  <conditionalFormatting sqref="D10:D29">
    <cfRule type="colorScale" priority="12561">
      <colorScale>
        <cfvo type="min"/>
        <cfvo type="percentile" val="50"/>
        <cfvo type="max"/>
        <color rgb="FFF8696B"/>
        <color rgb="FFFFEB84"/>
        <color rgb="FF63BE7B"/>
      </colorScale>
    </cfRule>
  </conditionalFormatting>
  <conditionalFormatting sqref="D10:D29">
    <cfRule type="colorScale" priority="12560">
      <colorScale>
        <cfvo type="min"/>
        <cfvo type="percentile" val="50"/>
        <cfvo type="max"/>
        <color rgb="FFF8696B"/>
        <color rgb="FFFFEB84"/>
        <color rgb="FF63BE7B"/>
      </colorScale>
    </cfRule>
  </conditionalFormatting>
  <conditionalFormatting sqref="D10:D31">
    <cfRule type="colorScale" priority="12559">
      <colorScale>
        <cfvo type="min"/>
        <cfvo type="percentile" val="50"/>
        <cfvo type="max"/>
        <color rgb="FFF8696B"/>
        <color rgb="FFFFEB84"/>
        <color rgb="FF63BE7B"/>
      </colorScale>
    </cfRule>
  </conditionalFormatting>
  <conditionalFormatting sqref="D10:D31">
    <cfRule type="colorScale" priority="12558">
      <colorScale>
        <cfvo type="min"/>
        <cfvo type="percentile" val="50"/>
        <cfvo type="max"/>
        <color rgb="FFF8696B"/>
        <color rgb="FFFFEB84"/>
        <color rgb="FF63BE7B"/>
      </colorScale>
    </cfRule>
  </conditionalFormatting>
  <conditionalFormatting sqref="D10:F32">
    <cfRule type="colorScale" priority="12557">
      <colorScale>
        <cfvo type="min"/>
        <cfvo type="percentile" val="50"/>
        <cfvo type="max"/>
        <color rgb="FFF8696B"/>
        <color rgb="FFFFEB84"/>
        <color rgb="FF63BE7B"/>
      </colorScale>
    </cfRule>
  </conditionalFormatting>
  <conditionalFormatting sqref="D10:F32">
    <cfRule type="colorScale" priority="12556">
      <colorScale>
        <cfvo type="min"/>
        <cfvo type="percentile" val="50"/>
        <cfvo type="max"/>
        <color rgb="FFF8696B"/>
        <color rgb="FFFFEB84"/>
        <color rgb="FF63BE7B"/>
      </colorScale>
    </cfRule>
  </conditionalFormatting>
  <conditionalFormatting sqref="D10:F31">
    <cfRule type="colorScale" priority="12555">
      <colorScale>
        <cfvo type="min"/>
        <cfvo type="percentile" val="50"/>
        <cfvo type="max"/>
        <color rgb="FFF8696B"/>
        <color rgb="FFFFEB84"/>
        <color rgb="FF63BE7B"/>
      </colorScale>
    </cfRule>
  </conditionalFormatting>
  <conditionalFormatting sqref="D10:F31">
    <cfRule type="colorScale" priority="12554">
      <colorScale>
        <cfvo type="min"/>
        <cfvo type="percentile" val="50"/>
        <cfvo type="max"/>
        <color rgb="FFF8696B"/>
        <color rgb="FFFFEB84"/>
        <color rgb="FF63BE7B"/>
      </colorScale>
    </cfRule>
  </conditionalFormatting>
  <conditionalFormatting sqref="D10:F31">
    <cfRule type="colorScale" priority="12553">
      <colorScale>
        <cfvo type="min"/>
        <cfvo type="percentile" val="50"/>
        <cfvo type="max"/>
        <color rgb="FFF8696B"/>
        <color rgb="FFFFEB84"/>
        <color rgb="FF63BE7B"/>
      </colorScale>
    </cfRule>
  </conditionalFormatting>
  <conditionalFormatting sqref="D10:F31">
    <cfRule type="colorScale" priority="12552">
      <colorScale>
        <cfvo type="min"/>
        <cfvo type="percentile" val="50"/>
        <cfvo type="max"/>
        <color rgb="FFF8696B"/>
        <color rgb="FFFFEB84"/>
        <color rgb="FF63BE7B"/>
      </colorScale>
    </cfRule>
  </conditionalFormatting>
  <conditionalFormatting sqref="D10:E31">
    <cfRule type="colorScale" priority="12551">
      <colorScale>
        <cfvo type="min"/>
        <cfvo type="percentile" val="50"/>
        <cfvo type="max"/>
        <color rgb="FFF8696B"/>
        <color rgb="FFFFEB84"/>
        <color rgb="FF63BE7B"/>
      </colorScale>
    </cfRule>
  </conditionalFormatting>
  <conditionalFormatting sqref="D10:E31">
    <cfRule type="colorScale" priority="12550">
      <colorScale>
        <cfvo type="min"/>
        <cfvo type="percentile" val="50"/>
        <cfvo type="max"/>
        <color rgb="FFF8696B"/>
        <color rgb="FFFFEB84"/>
        <color rgb="FF63BE7B"/>
      </colorScale>
    </cfRule>
  </conditionalFormatting>
  <conditionalFormatting sqref="D10:E31">
    <cfRule type="colorScale" priority="12549">
      <colorScale>
        <cfvo type="min"/>
        <cfvo type="percentile" val="50"/>
        <cfvo type="max"/>
        <color rgb="FFF8696B"/>
        <color rgb="FFFFEB84"/>
        <color rgb="FF63BE7B"/>
      </colorScale>
    </cfRule>
  </conditionalFormatting>
  <conditionalFormatting sqref="D10:E31">
    <cfRule type="colorScale" priority="12548">
      <colorScale>
        <cfvo type="min"/>
        <cfvo type="percentile" val="50"/>
        <cfvo type="max"/>
        <color rgb="FFF8696B"/>
        <color rgb="FFFFEB84"/>
        <color rgb="FF63BE7B"/>
      </colorScale>
    </cfRule>
  </conditionalFormatting>
  <conditionalFormatting sqref="D10:E31">
    <cfRule type="colorScale" priority="12547">
      <colorScale>
        <cfvo type="min"/>
        <cfvo type="percentile" val="50"/>
        <cfvo type="max"/>
        <color rgb="FFF8696B"/>
        <color rgb="FFFFEB84"/>
        <color rgb="FF63BE7B"/>
      </colorScale>
    </cfRule>
  </conditionalFormatting>
  <conditionalFormatting sqref="D10:E31">
    <cfRule type="colorScale" priority="12546">
      <colorScale>
        <cfvo type="min"/>
        <cfvo type="percentile" val="50"/>
        <cfvo type="max"/>
        <color rgb="FFF8696B"/>
        <color rgb="FFFFEB84"/>
        <color rgb="FF63BE7B"/>
      </colorScale>
    </cfRule>
  </conditionalFormatting>
  <conditionalFormatting sqref="E10:E31">
    <cfRule type="colorScale" priority="12545">
      <colorScale>
        <cfvo type="min"/>
        <cfvo type="percentile" val="50"/>
        <cfvo type="max"/>
        <color rgb="FFF8696B"/>
        <color rgb="FFFFEB84"/>
        <color rgb="FF63BE7B"/>
      </colorScale>
    </cfRule>
  </conditionalFormatting>
  <conditionalFormatting sqref="E10:E31">
    <cfRule type="colorScale" priority="12544">
      <colorScale>
        <cfvo type="min"/>
        <cfvo type="percentile" val="50"/>
        <cfvo type="max"/>
        <color rgb="FFF8696B"/>
        <color rgb="FFFFEB84"/>
        <color rgb="FF63BE7B"/>
      </colorScale>
    </cfRule>
  </conditionalFormatting>
  <conditionalFormatting sqref="J10:J31">
    <cfRule type="colorScale" priority="12543">
      <colorScale>
        <cfvo type="min"/>
        <cfvo type="percentile" val="50"/>
        <cfvo type="max"/>
        <color rgb="FFF8696B"/>
        <color rgb="FFFFEB84"/>
        <color rgb="FF63BE7B"/>
      </colorScale>
    </cfRule>
  </conditionalFormatting>
  <conditionalFormatting sqref="H10:I31 D10:F31">
    <cfRule type="colorScale" priority="12542">
      <colorScale>
        <cfvo type="min"/>
        <cfvo type="percentile" val="50"/>
        <cfvo type="max"/>
        <color rgb="FFF8696B"/>
        <color rgb="FFFFEB84"/>
        <color rgb="FF63BE7B"/>
      </colorScale>
    </cfRule>
  </conditionalFormatting>
  <conditionalFormatting sqref="D10:E31">
    <cfRule type="colorScale" priority="12541">
      <colorScale>
        <cfvo type="min"/>
        <cfvo type="percentile" val="50"/>
        <cfvo type="max"/>
        <color rgb="FFF8696B"/>
        <color rgb="FFFFEB84"/>
        <color rgb="FF63BE7B"/>
      </colorScale>
    </cfRule>
  </conditionalFormatting>
  <conditionalFormatting sqref="D10:E31">
    <cfRule type="colorScale" priority="12540">
      <colorScale>
        <cfvo type="min"/>
        <cfvo type="percentile" val="50"/>
        <cfvo type="max"/>
        <color rgb="FFF8696B"/>
        <color rgb="FFFFEB84"/>
        <color rgb="FF63BE7B"/>
      </colorScale>
    </cfRule>
  </conditionalFormatting>
  <conditionalFormatting sqref="D10:E31">
    <cfRule type="colorScale" priority="12539">
      <colorScale>
        <cfvo type="min"/>
        <cfvo type="percentile" val="50"/>
        <cfvo type="max"/>
        <color rgb="FFF8696B"/>
        <color rgb="FFFFEB84"/>
        <color rgb="FF63BE7B"/>
      </colorScale>
    </cfRule>
  </conditionalFormatting>
  <conditionalFormatting sqref="D10:E31">
    <cfRule type="colorScale" priority="12538">
      <colorScale>
        <cfvo type="min"/>
        <cfvo type="percentile" val="50"/>
        <cfvo type="max"/>
        <color rgb="FFF8696B"/>
        <color rgb="FFFFEB84"/>
        <color rgb="FF63BE7B"/>
      </colorScale>
    </cfRule>
  </conditionalFormatting>
  <conditionalFormatting sqref="D10:E31">
    <cfRule type="colorScale" priority="12537">
      <colorScale>
        <cfvo type="min"/>
        <cfvo type="percentile" val="50"/>
        <cfvo type="max"/>
        <color rgb="FFF8696B"/>
        <color rgb="FFFFEB84"/>
        <color rgb="FF63BE7B"/>
      </colorScale>
    </cfRule>
  </conditionalFormatting>
  <conditionalFormatting sqref="D10:E31">
    <cfRule type="colorScale" priority="12536">
      <colorScale>
        <cfvo type="min"/>
        <cfvo type="percentile" val="50"/>
        <cfvo type="max"/>
        <color rgb="FFF8696B"/>
        <color rgb="FFFFEB84"/>
        <color rgb="FF63BE7B"/>
      </colorScale>
    </cfRule>
  </conditionalFormatting>
  <conditionalFormatting sqref="D10:E31">
    <cfRule type="colorScale" priority="12535">
      <colorScale>
        <cfvo type="min"/>
        <cfvo type="percentile" val="50"/>
        <cfvo type="max"/>
        <color rgb="FFF8696B"/>
        <color rgb="FFFFEB84"/>
        <color rgb="FF63BE7B"/>
      </colorScale>
    </cfRule>
  </conditionalFormatting>
  <conditionalFormatting sqref="D10:E31">
    <cfRule type="colorScale" priority="12534">
      <colorScale>
        <cfvo type="min"/>
        <cfvo type="percentile" val="50"/>
        <cfvo type="max"/>
        <color rgb="FFF8696B"/>
        <color rgb="FFFFEB84"/>
        <color rgb="FF63BE7B"/>
      </colorScale>
    </cfRule>
  </conditionalFormatting>
  <conditionalFormatting sqref="D10:D31">
    <cfRule type="colorScale" priority="12533">
      <colorScale>
        <cfvo type="min"/>
        <cfvo type="percentile" val="50"/>
        <cfvo type="max"/>
        <color rgb="FFF8696B"/>
        <color rgb="FFFFEB84"/>
        <color rgb="FF63BE7B"/>
      </colorScale>
    </cfRule>
  </conditionalFormatting>
  <conditionalFormatting sqref="D10:E31">
    <cfRule type="colorScale" priority="12532">
      <colorScale>
        <cfvo type="min"/>
        <cfvo type="percentile" val="50"/>
        <cfvo type="max"/>
        <color rgb="FFF8696B"/>
        <color rgb="FFFFEB84"/>
        <color rgb="FF63BE7B"/>
      </colorScale>
    </cfRule>
  </conditionalFormatting>
  <conditionalFormatting sqref="D10:E31">
    <cfRule type="colorScale" priority="12531">
      <colorScale>
        <cfvo type="min"/>
        <cfvo type="percentile" val="50"/>
        <cfvo type="max"/>
        <color rgb="FFF8696B"/>
        <color rgb="FFFFEB84"/>
        <color rgb="FF63BE7B"/>
      </colorScale>
    </cfRule>
  </conditionalFormatting>
  <conditionalFormatting sqref="D10:E31">
    <cfRule type="colorScale" priority="12530">
      <colorScale>
        <cfvo type="min"/>
        <cfvo type="percentile" val="50"/>
        <cfvo type="max"/>
        <color rgb="FFF8696B"/>
        <color rgb="FFFFEB84"/>
        <color rgb="FF63BE7B"/>
      </colorScale>
    </cfRule>
  </conditionalFormatting>
  <conditionalFormatting sqref="D10:D31">
    <cfRule type="colorScale" priority="12529">
      <colorScale>
        <cfvo type="min"/>
        <cfvo type="percentile" val="50"/>
        <cfvo type="max"/>
        <color rgb="FFF8696B"/>
        <color rgb="FFFFEB84"/>
        <color rgb="FF63BE7B"/>
      </colorScale>
    </cfRule>
  </conditionalFormatting>
  <conditionalFormatting sqref="D10:E31">
    <cfRule type="colorScale" priority="12528">
      <colorScale>
        <cfvo type="min"/>
        <cfvo type="percentile" val="50"/>
        <cfvo type="max"/>
        <color rgb="FFF8696B"/>
        <color rgb="FFFFEB84"/>
        <color rgb="FF63BE7B"/>
      </colorScale>
    </cfRule>
  </conditionalFormatting>
  <conditionalFormatting sqref="D10:E31">
    <cfRule type="colorScale" priority="12527">
      <colorScale>
        <cfvo type="min"/>
        <cfvo type="percentile" val="50"/>
        <cfvo type="max"/>
        <color rgb="FFF8696B"/>
        <color rgb="FFFFEB84"/>
        <color rgb="FF63BE7B"/>
      </colorScale>
    </cfRule>
  </conditionalFormatting>
  <conditionalFormatting sqref="D10:E31">
    <cfRule type="colorScale" priority="12526">
      <colorScale>
        <cfvo type="min"/>
        <cfvo type="percentile" val="50"/>
        <cfvo type="max"/>
        <color rgb="FFF8696B"/>
        <color rgb="FFFFEB84"/>
        <color rgb="FF63BE7B"/>
      </colorScale>
    </cfRule>
  </conditionalFormatting>
  <conditionalFormatting sqref="D10:E31">
    <cfRule type="colorScale" priority="12525">
      <colorScale>
        <cfvo type="min"/>
        <cfvo type="percentile" val="50"/>
        <cfvo type="max"/>
        <color rgb="FFF8696B"/>
        <color rgb="FFFFEB84"/>
        <color rgb="FF63BE7B"/>
      </colorScale>
    </cfRule>
  </conditionalFormatting>
  <conditionalFormatting sqref="D10:E31">
    <cfRule type="colorScale" priority="12524">
      <colorScale>
        <cfvo type="min"/>
        <cfvo type="percentile" val="50"/>
        <cfvo type="max"/>
        <color rgb="FFF8696B"/>
        <color rgb="FFFFEB84"/>
        <color rgb="FF63BE7B"/>
      </colorScale>
    </cfRule>
  </conditionalFormatting>
  <conditionalFormatting sqref="D10:E31">
    <cfRule type="colorScale" priority="12523">
      <colorScale>
        <cfvo type="min"/>
        <cfvo type="percentile" val="50"/>
        <cfvo type="max"/>
        <color rgb="FFF8696B"/>
        <color rgb="FFFFEB84"/>
        <color rgb="FF63BE7B"/>
      </colorScale>
    </cfRule>
  </conditionalFormatting>
  <conditionalFormatting sqref="D10:E31">
    <cfRule type="colorScale" priority="12522">
      <colorScale>
        <cfvo type="min"/>
        <cfvo type="percentile" val="50"/>
        <cfvo type="max"/>
        <color rgb="FFF8696B"/>
        <color rgb="FFFFEB84"/>
        <color rgb="FF63BE7B"/>
      </colorScale>
    </cfRule>
  </conditionalFormatting>
  <conditionalFormatting sqref="D10:E31">
    <cfRule type="colorScale" priority="12521">
      <colorScale>
        <cfvo type="min"/>
        <cfvo type="percentile" val="50"/>
        <cfvo type="max"/>
        <color rgb="FFF8696B"/>
        <color rgb="FFFFEB84"/>
        <color rgb="FF63BE7B"/>
      </colorScale>
    </cfRule>
  </conditionalFormatting>
  <conditionalFormatting sqref="D10:E31">
    <cfRule type="colorScale" priority="12520">
      <colorScale>
        <cfvo type="min"/>
        <cfvo type="percentile" val="50"/>
        <cfvo type="max"/>
        <color rgb="FFF8696B"/>
        <color rgb="FFFFEB84"/>
        <color rgb="FF63BE7B"/>
      </colorScale>
    </cfRule>
  </conditionalFormatting>
  <conditionalFormatting sqref="D10:E31">
    <cfRule type="colorScale" priority="12519">
      <colorScale>
        <cfvo type="min"/>
        <cfvo type="percentile" val="50"/>
        <cfvo type="max"/>
        <color rgb="FFF8696B"/>
        <color rgb="FFFFEB84"/>
        <color rgb="FF63BE7B"/>
      </colorScale>
    </cfRule>
  </conditionalFormatting>
  <conditionalFormatting sqref="D10:E31">
    <cfRule type="colorScale" priority="12518">
      <colorScale>
        <cfvo type="min"/>
        <cfvo type="percentile" val="50"/>
        <cfvo type="max"/>
        <color rgb="FFF8696B"/>
        <color rgb="FFFFEB84"/>
        <color rgb="FF63BE7B"/>
      </colorScale>
    </cfRule>
  </conditionalFormatting>
  <conditionalFormatting sqref="D10:E31">
    <cfRule type="colorScale" priority="12517">
      <colorScale>
        <cfvo type="min"/>
        <cfvo type="percentile" val="50"/>
        <cfvo type="max"/>
        <color rgb="FFF8696B"/>
        <color rgb="FFFFEB84"/>
        <color rgb="FF63BE7B"/>
      </colorScale>
    </cfRule>
  </conditionalFormatting>
  <conditionalFormatting sqref="D10:D31">
    <cfRule type="colorScale" priority="12516">
      <colorScale>
        <cfvo type="min"/>
        <cfvo type="percentile" val="50"/>
        <cfvo type="max"/>
        <color rgb="FFF8696B"/>
        <color rgb="FFFFEB84"/>
        <color rgb="FF63BE7B"/>
      </colorScale>
    </cfRule>
  </conditionalFormatting>
  <conditionalFormatting sqref="D10:D31">
    <cfRule type="colorScale" priority="12515">
      <colorScale>
        <cfvo type="min"/>
        <cfvo type="percentile" val="50"/>
        <cfvo type="max"/>
        <color rgb="FFF8696B"/>
        <color rgb="FFFFEB84"/>
        <color rgb="FF63BE7B"/>
      </colorScale>
    </cfRule>
  </conditionalFormatting>
  <conditionalFormatting sqref="D10:D31">
    <cfRule type="colorScale" priority="12514">
      <colorScale>
        <cfvo type="min"/>
        <cfvo type="percentile" val="50"/>
        <cfvo type="max"/>
        <color rgb="FFF8696B"/>
        <color rgb="FFFFEB84"/>
        <color rgb="FF63BE7B"/>
      </colorScale>
    </cfRule>
  </conditionalFormatting>
  <conditionalFormatting sqref="D10:D31">
    <cfRule type="colorScale" priority="12513">
      <colorScale>
        <cfvo type="min"/>
        <cfvo type="percentile" val="50"/>
        <cfvo type="max"/>
        <color rgb="FFF8696B"/>
        <color rgb="FFFFEB84"/>
        <color rgb="FF63BE7B"/>
      </colorScale>
    </cfRule>
  </conditionalFormatting>
  <conditionalFormatting sqref="D10:E31">
    <cfRule type="colorScale" priority="12512">
      <colorScale>
        <cfvo type="min"/>
        <cfvo type="percentile" val="50"/>
        <cfvo type="max"/>
        <color rgb="FFF8696B"/>
        <color rgb="FFFFEB84"/>
        <color rgb="FF63BE7B"/>
      </colorScale>
    </cfRule>
  </conditionalFormatting>
  <conditionalFormatting sqref="D10:E31">
    <cfRule type="colorScale" priority="12511">
      <colorScale>
        <cfvo type="min"/>
        <cfvo type="percentile" val="50"/>
        <cfvo type="max"/>
        <color rgb="FFF8696B"/>
        <color rgb="FFFFEB84"/>
        <color rgb="FF63BE7B"/>
      </colorScale>
    </cfRule>
  </conditionalFormatting>
  <conditionalFormatting sqref="D10:D31">
    <cfRule type="colorScale" priority="12510">
      <colorScale>
        <cfvo type="min"/>
        <cfvo type="percentile" val="50"/>
        <cfvo type="max"/>
        <color rgb="FFF8696B"/>
        <color rgb="FFFFEB84"/>
        <color rgb="FF63BE7B"/>
      </colorScale>
    </cfRule>
  </conditionalFormatting>
  <conditionalFormatting sqref="D10:D31">
    <cfRule type="colorScale" priority="12509">
      <colorScale>
        <cfvo type="min"/>
        <cfvo type="percentile" val="50"/>
        <cfvo type="max"/>
        <color rgb="FFF8696B"/>
        <color rgb="FFFFEB84"/>
        <color rgb="FF63BE7B"/>
      </colorScale>
    </cfRule>
  </conditionalFormatting>
  <conditionalFormatting sqref="D10:D31">
    <cfRule type="colorScale" priority="12508">
      <colorScale>
        <cfvo type="min"/>
        <cfvo type="percentile" val="50"/>
        <cfvo type="max"/>
        <color rgb="FFF8696B"/>
        <color rgb="FFFFEB84"/>
        <color rgb="FF63BE7B"/>
      </colorScale>
    </cfRule>
  </conditionalFormatting>
  <conditionalFormatting sqref="D10:D31">
    <cfRule type="colorScale" priority="12507">
      <colorScale>
        <cfvo type="min"/>
        <cfvo type="percentile" val="50"/>
        <cfvo type="max"/>
        <color rgb="FFF8696B"/>
        <color rgb="FFFFEB84"/>
        <color rgb="FF63BE7B"/>
      </colorScale>
    </cfRule>
  </conditionalFormatting>
  <conditionalFormatting sqref="D10:E31">
    <cfRule type="colorScale" priority="12506">
      <colorScale>
        <cfvo type="min"/>
        <cfvo type="percentile" val="50"/>
        <cfvo type="max"/>
        <color rgb="FFF8696B"/>
        <color rgb="FFFFEB84"/>
        <color rgb="FF63BE7B"/>
      </colorScale>
    </cfRule>
  </conditionalFormatting>
  <conditionalFormatting sqref="D10:E31">
    <cfRule type="colorScale" priority="12505">
      <colorScale>
        <cfvo type="min"/>
        <cfvo type="percentile" val="50"/>
        <cfvo type="max"/>
        <color rgb="FFF8696B"/>
        <color rgb="FFFFEB84"/>
        <color rgb="FF63BE7B"/>
      </colorScale>
    </cfRule>
  </conditionalFormatting>
  <conditionalFormatting sqref="D10:D31">
    <cfRule type="colorScale" priority="12504">
      <colorScale>
        <cfvo type="min"/>
        <cfvo type="percentile" val="50"/>
        <cfvo type="max"/>
        <color rgb="FFF8696B"/>
        <color rgb="FFFFEB84"/>
        <color rgb="FF63BE7B"/>
      </colorScale>
    </cfRule>
  </conditionalFormatting>
  <conditionalFormatting sqref="D10:D31">
    <cfRule type="colorScale" priority="12503">
      <colorScale>
        <cfvo type="min"/>
        <cfvo type="percentile" val="50"/>
        <cfvo type="max"/>
        <color rgb="FFF8696B"/>
        <color rgb="FFFFEB84"/>
        <color rgb="FF63BE7B"/>
      </colorScale>
    </cfRule>
  </conditionalFormatting>
  <conditionalFormatting sqref="D10:D31">
    <cfRule type="colorScale" priority="12502">
      <colorScale>
        <cfvo type="min"/>
        <cfvo type="percentile" val="50"/>
        <cfvo type="max"/>
        <color rgb="FFF8696B"/>
        <color rgb="FFFFEB84"/>
        <color rgb="FF63BE7B"/>
      </colorScale>
    </cfRule>
  </conditionalFormatting>
  <conditionalFormatting sqref="D10:D31">
    <cfRule type="colorScale" priority="12501">
      <colorScale>
        <cfvo type="min"/>
        <cfvo type="percentile" val="50"/>
        <cfvo type="max"/>
        <color rgb="FFF8696B"/>
        <color rgb="FFFFEB84"/>
        <color rgb="FF63BE7B"/>
      </colorScale>
    </cfRule>
  </conditionalFormatting>
  <conditionalFormatting sqref="D10:E31">
    <cfRule type="colorScale" priority="12500">
      <colorScale>
        <cfvo type="min"/>
        <cfvo type="percentile" val="50"/>
        <cfvo type="max"/>
        <color rgb="FFF8696B"/>
        <color rgb="FFFFEB84"/>
        <color rgb="FF63BE7B"/>
      </colorScale>
    </cfRule>
  </conditionalFormatting>
  <conditionalFormatting sqref="D10:E31">
    <cfRule type="colorScale" priority="12499">
      <colorScale>
        <cfvo type="min"/>
        <cfvo type="percentile" val="50"/>
        <cfvo type="max"/>
        <color rgb="FFF8696B"/>
        <color rgb="FFFFEB84"/>
        <color rgb="FF63BE7B"/>
      </colorScale>
    </cfRule>
  </conditionalFormatting>
  <conditionalFormatting sqref="D10:E31">
    <cfRule type="colorScale" priority="12498">
      <colorScale>
        <cfvo type="min"/>
        <cfvo type="percentile" val="50"/>
        <cfvo type="max"/>
        <color rgb="FFF8696B"/>
        <color rgb="FFFFEB84"/>
        <color rgb="FF63BE7B"/>
      </colorScale>
    </cfRule>
  </conditionalFormatting>
  <conditionalFormatting sqref="D10:E31">
    <cfRule type="colorScale" priority="12497">
      <colorScale>
        <cfvo type="min"/>
        <cfvo type="percentile" val="50"/>
        <cfvo type="max"/>
        <color rgb="FFF8696B"/>
        <color rgb="FFFFEB84"/>
        <color rgb="FF63BE7B"/>
      </colorScale>
    </cfRule>
  </conditionalFormatting>
  <conditionalFormatting sqref="D10:D31">
    <cfRule type="colorScale" priority="12496">
      <colorScale>
        <cfvo type="min"/>
        <cfvo type="percentile" val="50"/>
        <cfvo type="max"/>
        <color rgb="FFF8696B"/>
        <color rgb="FFFFEB84"/>
        <color rgb="FF63BE7B"/>
      </colorScale>
    </cfRule>
  </conditionalFormatting>
  <conditionalFormatting sqref="D10:D31">
    <cfRule type="colorScale" priority="12495">
      <colorScale>
        <cfvo type="min"/>
        <cfvo type="percentile" val="50"/>
        <cfvo type="max"/>
        <color rgb="FFF8696B"/>
        <color rgb="FFFFEB84"/>
        <color rgb="FF63BE7B"/>
      </colorScale>
    </cfRule>
  </conditionalFormatting>
  <conditionalFormatting sqref="D10:D31">
    <cfRule type="colorScale" priority="12494">
      <colorScale>
        <cfvo type="min"/>
        <cfvo type="percentile" val="50"/>
        <cfvo type="max"/>
        <color rgb="FFF8696B"/>
        <color rgb="FFFFEB84"/>
        <color rgb="FF63BE7B"/>
      </colorScale>
    </cfRule>
  </conditionalFormatting>
  <conditionalFormatting sqref="D10:D31">
    <cfRule type="colorScale" priority="12493">
      <colorScale>
        <cfvo type="min"/>
        <cfvo type="percentile" val="50"/>
        <cfvo type="max"/>
        <color rgb="FFF8696B"/>
        <color rgb="FFFFEB84"/>
        <color rgb="FF63BE7B"/>
      </colorScale>
    </cfRule>
  </conditionalFormatting>
  <conditionalFormatting sqref="D10:E31">
    <cfRule type="colorScale" priority="12492">
      <colorScale>
        <cfvo type="min"/>
        <cfvo type="percentile" val="50"/>
        <cfvo type="max"/>
        <color rgb="FFF8696B"/>
        <color rgb="FFFFEB84"/>
        <color rgb="FF63BE7B"/>
      </colorScale>
    </cfRule>
  </conditionalFormatting>
  <conditionalFormatting sqref="D10:E31">
    <cfRule type="colorScale" priority="12491">
      <colorScale>
        <cfvo type="min"/>
        <cfvo type="percentile" val="50"/>
        <cfvo type="max"/>
        <color rgb="FFF8696B"/>
        <color rgb="FFFFEB84"/>
        <color rgb="FF63BE7B"/>
      </colorScale>
    </cfRule>
  </conditionalFormatting>
  <conditionalFormatting sqref="D10:D31">
    <cfRule type="colorScale" priority="12490">
      <colorScale>
        <cfvo type="min"/>
        <cfvo type="percentile" val="50"/>
        <cfvo type="max"/>
        <color rgb="FFF8696B"/>
        <color rgb="FFFFEB84"/>
        <color rgb="FF63BE7B"/>
      </colorScale>
    </cfRule>
  </conditionalFormatting>
  <conditionalFormatting sqref="D10:D31">
    <cfRule type="colorScale" priority="12489">
      <colorScale>
        <cfvo type="min"/>
        <cfvo type="percentile" val="50"/>
        <cfvo type="max"/>
        <color rgb="FFF8696B"/>
        <color rgb="FFFFEB84"/>
        <color rgb="FF63BE7B"/>
      </colorScale>
    </cfRule>
  </conditionalFormatting>
  <conditionalFormatting sqref="D10:D31">
    <cfRule type="colorScale" priority="12488">
      <colorScale>
        <cfvo type="min"/>
        <cfvo type="percentile" val="50"/>
        <cfvo type="max"/>
        <color rgb="FFF8696B"/>
        <color rgb="FFFFEB84"/>
        <color rgb="FF63BE7B"/>
      </colorScale>
    </cfRule>
  </conditionalFormatting>
  <conditionalFormatting sqref="D10:D31">
    <cfRule type="colorScale" priority="12487">
      <colorScale>
        <cfvo type="min"/>
        <cfvo type="percentile" val="50"/>
        <cfvo type="max"/>
        <color rgb="FFF8696B"/>
        <color rgb="FFFFEB84"/>
        <color rgb="FF63BE7B"/>
      </colorScale>
    </cfRule>
  </conditionalFormatting>
  <conditionalFormatting sqref="D10:E31">
    <cfRule type="colorScale" priority="12486">
      <colorScale>
        <cfvo type="min"/>
        <cfvo type="percentile" val="50"/>
        <cfvo type="max"/>
        <color rgb="FFF8696B"/>
        <color rgb="FFFFEB84"/>
        <color rgb="FF63BE7B"/>
      </colorScale>
    </cfRule>
  </conditionalFormatting>
  <conditionalFormatting sqref="D10:E31">
    <cfRule type="colorScale" priority="12485">
      <colorScale>
        <cfvo type="min"/>
        <cfvo type="percentile" val="50"/>
        <cfvo type="max"/>
        <color rgb="FFF8696B"/>
        <color rgb="FFFFEB84"/>
        <color rgb="FF63BE7B"/>
      </colorScale>
    </cfRule>
  </conditionalFormatting>
  <conditionalFormatting sqref="D10:D31">
    <cfRule type="colorScale" priority="12484">
      <colorScale>
        <cfvo type="min"/>
        <cfvo type="percentile" val="50"/>
        <cfvo type="max"/>
        <color rgb="FFF8696B"/>
        <color rgb="FFFFEB84"/>
        <color rgb="FF63BE7B"/>
      </colorScale>
    </cfRule>
  </conditionalFormatting>
  <conditionalFormatting sqref="D10:D31">
    <cfRule type="colorScale" priority="12483">
      <colorScale>
        <cfvo type="min"/>
        <cfvo type="percentile" val="50"/>
        <cfvo type="max"/>
        <color rgb="FFF8696B"/>
        <color rgb="FFFFEB84"/>
        <color rgb="FF63BE7B"/>
      </colorScale>
    </cfRule>
  </conditionalFormatting>
  <conditionalFormatting sqref="D10:D31">
    <cfRule type="colorScale" priority="12482">
      <colorScale>
        <cfvo type="min"/>
        <cfvo type="percentile" val="50"/>
        <cfvo type="max"/>
        <color rgb="FFF8696B"/>
        <color rgb="FFFFEB84"/>
        <color rgb="FF63BE7B"/>
      </colorScale>
    </cfRule>
  </conditionalFormatting>
  <conditionalFormatting sqref="D10:D31">
    <cfRule type="colorScale" priority="12481">
      <colorScale>
        <cfvo type="min"/>
        <cfvo type="percentile" val="50"/>
        <cfvo type="max"/>
        <color rgb="FFF8696B"/>
        <color rgb="FFFFEB84"/>
        <color rgb="FF63BE7B"/>
      </colorScale>
    </cfRule>
  </conditionalFormatting>
  <conditionalFormatting sqref="D10:E31">
    <cfRule type="colorScale" priority="12480">
      <colorScale>
        <cfvo type="min"/>
        <cfvo type="percentile" val="50"/>
        <cfvo type="max"/>
        <color rgb="FFF8696B"/>
        <color rgb="FFFFEB84"/>
        <color rgb="FF63BE7B"/>
      </colorScale>
    </cfRule>
  </conditionalFormatting>
  <conditionalFormatting sqref="D10:E31">
    <cfRule type="colorScale" priority="12479">
      <colorScale>
        <cfvo type="min"/>
        <cfvo type="percentile" val="50"/>
        <cfvo type="max"/>
        <color rgb="FFF8696B"/>
        <color rgb="FFFFEB84"/>
        <color rgb="FF63BE7B"/>
      </colorScale>
    </cfRule>
  </conditionalFormatting>
  <conditionalFormatting sqref="D10:E31">
    <cfRule type="colorScale" priority="12478">
      <colorScale>
        <cfvo type="min"/>
        <cfvo type="percentile" val="50"/>
        <cfvo type="max"/>
        <color rgb="FFF8696B"/>
        <color rgb="FFFFEB84"/>
        <color rgb="FF63BE7B"/>
      </colorScale>
    </cfRule>
  </conditionalFormatting>
  <conditionalFormatting sqref="D10:E31">
    <cfRule type="colorScale" priority="12477">
      <colorScale>
        <cfvo type="min"/>
        <cfvo type="percentile" val="50"/>
        <cfvo type="max"/>
        <color rgb="FFF8696B"/>
        <color rgb="FFFFEB84"/>
        <color rgb="FF63BE7B"/>
      </colorScale>
    </cfRule>
  </conditionalFormatting>
  <conditionalFormatting sqref="D10:E31">
    <cfRule type="colorScale" priority="12476">
      <colorScale>
        <cfvo type="min"/>
        <cfvo type="percentile" val="50"/>
        <cfvo type="max"/>
        <color rgb="FFF8696B"/>
        <color rgb="FFFFEB84"/>
        <color rgb="FF63BE7B"/>
      </colorScale>
    </cfRule>
  </conditionalFormatting>
  <conditionalFormatting sqref="D10:E31">
    <cfRule type="colorScale" priority="12475">
      <colorScale>
        <cfvo type="min"/>
        <cfvo type="percentile" val="50"/>
        <cfvo type="max"/>
        <color rgb="FFF8696B"/>
        <color rgb="FFFFEB84"/>
        <color rgb="FF63BE7B"/>
      </colorScale>
    </cfRule>
  </conditionalFormatting>
  <conditionalFormatting sqref="D10:D31">
    <cfRule type="colorScale" priority="12474">
      <colorScale>
        <cfvo type="min"/>
        <cfvo type="percentile" val="50"/>
        <cfvo type="max"/>
        <color rgb="FFF8696B"/>
        <color rgb="FFFFEB84"/>
        <color rgb="FF63BE7B"/>
      </colorScale>
    </cfRule>
  </conditionalFormatting>
  <conditionalFormatting sqref="D10:D31">
    <cfRule type="colorScale" priority="12473">
      <colorScale>
        <cfvo type="min"/>
        <cfvo type="percentile" val="50"/>
        <cfvo type="max"/>
        <color rgb="FFF8696B"/>
        <color rgb="FFFFEB84"/>
        <color rgb="FF63BE7B"/>
      </colorScale>
    </cfRule>
  </conditionalFormatting>
  <conditionalFormatting sqref="D10:D31">
    <cfRule type="colorScale" priority="12472">
      <colorScale>
        <cfvo type="min"/>
        <cfvo type="percentile" val="50"/>
        <cfvo type="max"/>
        <color rgb="FFF8696B"/>
        <color rgb="FFFFEB84"/>
        <color rgb="FF63BE7B"/>
      </colorScale>
    </cfRule>
  </conditionalFormatting>
  <conditionalFormatting sqref="D10:D31">
    <cfRule type="colorScale" priority="12471">
      <colorScale>
        <cfvo type="min"/>
        <cfvo type="percentile" val="50"/>
        <cfvo type="max"/>
        <color rgb="FFF8696B"/>
        <color rgb="FFFFEB84"/>
        <color rgb="FF63BE7B"/>
      </colorScale>
    </cfRule>
  </conditionalFormatting>
  <conditionalFormatting sqref="D10:E31">
    <cfRule type="colorScale" priority="12470">
      <colorScale>
        <cfvo type="min"/>
        <cfvo type="percentile" val="50"/>
        <cfvo type="max"/>
        <color rgb="FFF8696B"/>
        <color rgb="FFFFEB84"/>
        <color rgb="FF63BE7B"/>
      </colorScale>
    </cfRule>
  </conditionalFormatting>
  <conditionalFormatting sqref="D10:E31">
    <cfRule type="colorScale" priority="12469">
      <colorScale>
        <cfvo type="min"/>
        <cfvo type="percentile" val="50"/>
        <cfvo type="max"/>
        <color rgb="FFF8696B"/>
        <color rgb="FFFFEB84"/>
        <color rgb="FF63BE7B"/>
      </colorScale>
    </cfRule>
  </conditionalFormatting>
  <conditionalFormatting sqref="D10:D31">
    <cfRule type="colorScale" priority="12468">
      <colorScale>
        <cfvo type="min"/>
        <cfvo type="percentile" val="50"/>
        <cfvo type="max"/>
        <color rgb="FFF8696B"/>
        <color rgb="FFFFEB84"/>
        <color rgb="FF63BE7B"/>
      </colorScale>
    </cfRule>
  </conditionalFormatting>
  <conditionalFormatting sqref="D10:D31">
    <cfRule type="colorScale" priority="12467">
      <colorScale>
        <cfvo type="min"/>
        <cfvo type="percentile" val="50"/>
        <cfvo type="max"/>
        <color rgb="FFF8696B"/>
        <color rgb="FFFFEB84"/>
        <color rgb="FF63BE7B"/>
      </colorScale>
    </cfRule>
  </conditionalFormatting>
  <conditionalFormatting sqref="D10:D31">
    <cfRule type="colorScale" priority="12466">
      <colorScale>
        <cfvo type="min"/>
        <cfvo type="percentile" val="50"/>
        <cfvo type="max"/>
        <color rgb="FFF8696B"/>
        <color rgb="FFFFEB84"/>
        <color rgb="FF63BE7B"/>
      </colorScale>
    </cfRule>
  </conditionalFormatting>
  <conditionalFormatting sqref="D10:D31">
    <cfRule type="colorScale" priority="12465">
      <colorScale>
        <cfvo type="min"/>
        <cfvo type="percentile" val="50"/>
        <cfvo type="max"/>
        <color rgb="FFF8696B"/>
        <color rgb="FFFFEB84"/>
        <color rgb="FF63BE7B"/>
      </colorScale>
    </cfRule>
  </conditionalFormatting>
  <conditionalFormatting sqref="D10:E31">
    <cfRule type="colorScale" priority="12464">
      <colorScale>
        <cfvo type="min"/>
        <cfvo type="percentile" val="50"/>
        <cfvo type="max"/>
        <color rgb="FFF8696B"/>
        <color rgb="FFFFEB84"/>
        <color rgb="FF63BE7B"/>
      </colorScale>
    </cfRule>
  </conditionalFormatting>
  <conditionalFormatting sqref="D10:E31">
    <cfRule type="colorScale" priority="12463">
      <colorScale>
        <cfvo type="min"/>
        <cfvo type="percentile" val="50"/>
        <cfvo type="max"/>
        <color rgb="FFF8696B"/>
        <color rgb="FFFFEB84"/>
        <color rgb="FF63BE7B"/>
      </colorScale>
    </cfRule>
  </conditionalFormatting>
  <conditionalFormatting sqref="D10:D31">
    <cfRule type="colorScale" priority="12462">
      <colorScale>
        <cfvo type="min"/>
        <cfvo type="percentile" val="50"/>
        <cfvo type="max"/>
        <color rgb="FFF8696B"/>
        <color rgb="FFFFEB84"/>
        <color rgb="FF63BE7B"/>
      </colorScale>
    </cfRule>
  </conditionalFormatting>
  <conditionalFormatting sqref="D10:D31">
    <cfRule type="colorScale" priority="12461">
      <colorScale>
        <cfvo type="min"/>
        <cfvo type="percentile" val="50"/>
        <cfvo type="max"/>
        <color rgb="FFF8696B"/>
        <color rgb="FFFFEB84"/>
        <color rgb="FF63BE7B"/>
      </colorScale>
    </cfRule>
  </conditionalFormatting>
  <conditionalFormatting sqref="D10:D31">
    <cfRule type="colorScale" priority="12460">
      <colorScale>
        <cfvo type="min"/>
        <cfvo type="percentile" val="50"/>
        <cfvo type="max"/>
        <color rgb="FFF8696B"/>
        <color rgb="FFFFEB84"/>
        <color rgb="FF63BE7B"/>
      </colorScale>
    </cfRule>
  </conditionalFormatting>
  <conditionalFormatting sqref="D10:D31">
    <cfRule type="colorScale" priority="12459">
      <colorScale>
        <cfvo type="min"/>
        <cfvo type="percentile" val="50"/>
        <cfvo type="max"/>
        <color rgb="FFF8696B"/>
        <color rgb="FFFFEB84"/>
        <color rgb="FF63BE7B"/>
      </colorScale>
    </cfRule>
  </conditionalFormatting>
  <conditionalFormatting sqref="D10:E31">
    <cfRule type="colorScale" priority="12458">
      <colorScale>
        <cfvo type="min"/>
        <cfvo type="percentile" val="50"/>
        <cfvo type="max"/>
        <color rgb="FFF8696B"/>
        <color rgb="FFFFEB84"/>
        <color rgb="FF63BE7B"/>
      </colorScale>
    </cfRule>
  </conditionalFormatting>
  <conditionalFormatting sqref="D10:E31">
    <cfRule type="colorScale" priority="12457">
      <colorScale>
        <cfvo type="min"/>
        <cfvo type="percentile" val="50"/>
        <cfvo type="max"/>
        <color rgb="FFF8696B"/>
        <color rgb="FFFFEB84"/>
        <color rgb="FF63BE7B"/>
      </colorScale>
    </cfRule>
  </conditionalFormatting>
  <conditionalFormatting sqref="D10:E31">
    <cfRule type="colorScale" priority="12456">
      <colorScale>
        <cfvo type="min"/>
        <cfvo type="percentile" val="50"/>
        <cfvo type="max"/>
        <color rgb="FFF8696B"/>
        <color rgb="FFFFEB84"/>
        <color rgb="FF63BE7B"/>
      </colorScale>
    </cfRule>
  </conditionalFormatting>
  <conditionalFormatting sqref="D10:E31">
    <cfRule type="colorScale" priority="12455">
      <colorScale>
        <cfvo type="min"/>
        <cfvo type="percentile" val="50"/>
        <cfvo type="max"/>
        <color rgb="FFF8696B"/>
        <color rgb="FFFFEB84"/>
        <color rgb="FF63BE7B"/>
      </colorScale>
    </cfRule>
  </conditionalFormatting>
  <conditionalFormatting sqref="D10:D31">
    <cfRule type="colorScale" priority="12454">
      <colorScale>
        <cfvo type="min"/>
        <cfvo type="percentile" val="50"/>
        <cfvo type="max"/>
        <color rgb="FFF8696B"/>
        <color rgb="FFFFEB84"/>
        <color rgb="FF63BE7B"/>
      </colorScale>
    </cfRule>
  </conditionalFormatting>
  <conditionalFormatting sqref="D10:D31">
    <cfRule type="colorScale" priority="12453">
      <colorScale>
        <cfvo type="min"/>
        <cfvo type="percentile" val="50"/>
        <cfvo type="max"/>
        <color rgb="FFF8696B"/>
        <color rgb="FFFFEB84"/>
        <color rgb="FF63BE7B"/>
      </colorScale>
    </cfRule>
  </conditionalFormatting>
  <conditionalFormatting sqref="D10:D31">
    <cfRule type="colorScale" priority="12452">
      <colorScale>
        <cfvo type="min"/>
        <cfvo type="percentile" val="50"/>
        <cfvo type="max"/>
        <color rgb="FFF8696B"/>
        <color rgb="FFFFEB84"/>
        <color rgb="FF63BE7B"/>
      </colorScale>
    </cfRule>
  </conditionalFormatting>
  <conditionalFormatting sqref="D10:D31">
    <cfRule type="colorScale" priority="12451">
      <colorScale>
        <cfvo type="min"/>
        <cfvo type="percentile" val="50"/>
        <cfvo type="max"/>
        <color rgb="FFF8696B"/>
        <color rgb="FFFFEB84"/>
        <color rgb="FF63BE7B"/>
      </colorScale>
    </cfRule>
  </conditionalFormatting>
  <conditionalFormatting sqref="D10:E31">
    <cfRule type="colorScale" priority="12450">
      <colorScale>
        <cfvo type="min"/>
        <cfvo type="percentile" val="50"/>
        <cfvo type="max"/>
        <color rgb="FFF8696B"/>
        <color rgb="FFFFEB84"/>
        <color rgb="FF63BE7B"/>
      </colorScale>
    </cfRule>
  </conditionalFormatting>
  <conditionalFormatting sqref="D10:E31">
    <cfRule type="colorScale" priority="12449">
      <colorScale>
        <cfvo type="min"/>
        <cfvo type="percentile" val="50"/>
        <cfvo type="max"/>
        <color rgb="FFF8696B"/>
        <color rgb="FFFFEB84"/>
        <color rgb="FF63BE7B"/>
      </colorScale>
    </cfRule>
  </conditionalFormatting>
  <conditionalFormatting sqref="D10:D31">
    <cfRule type="colorScale" priority="12448">
      <colorScale>
        <cfvo type="min"/>
        <cfvo type="percentile" val="50"/>
        <cfvo type="max"/>
        <color rgb="FFF8696B"/>
        <color rgb="FFFFEB84"/>
        <color rgb="FF63BE7B"/>
      </colorScale>
    </cfRule>
  </conditionalFormatting>
  <conditionalFormatting sqref="D10:D31">
    <cfRule type="colorScale" priority="12447">
      <colorScale>
        <cfvo type="min"/>
        <cfvo type="percentile" val="50"/>
        <cfvo type="max"/>
        <color rgb="FFF8696B"/>
        <color rgb="FFFFEB84"/>
        <color rgb="FF63BE7B"/>
      </colorScale>
    </cfRule>
  </conditionalFormatting>
  <conditionalFormatting sqref="D10:D31">
    <cfRule type="colorScale" priority="12446">
      <colorScale>
        <cfvo type="min"/>
        <cfvo type="percentile" val="50"/>
        <cfvo type="max"/>
        <color rgb="FFF8696B"/>
        <color rgb="FFFFEB84"/>
        <color rgb="FF63BE7B"/>
      </colorScale>
    </cfRule>
  </conditionalFormatting>
  <conditionalFormatting sqref="D10:D31">
    <cfRule type="colorScale" priority="12445">
      <colorScale>
        <cfvo type="min"/>
        <cfvo type="percentile" val="50"/>
        <cfvo type="max"/>
        <color rgb="FFF8696B"/>
        <color rgb="FFFFEB84"/>
        <color rgb="FF63BE7B"/>
      </colorScale>
    </cfRule>
  </conditionalFormatting>
  <conditionalFormatting sqref="D10:E31">
    <cfRule type="colorScale" priority="12444">
      <colorScale>
        <cfvo type="min"/>
        <cfvo type="percentile" val="50"/>
        <cfvo type="max"/>
        <color rgb="FFF8696B"/>
        <color rgb="FFFFEB84"/>
        <color rgb="FF63BE7B"/>
      </colorScale>
    </cfRule>
  </conditionalFormatting>
  <conditionalFormatting sqref="D10:E31">
    <cfRule type="colorScale" priority="12443">
      <colorScale>
        <cfvo type="min"/>
        <cfvo type="percentile" val="50"/>
        <cfvo type="max"/>
        <color rgb="FFF8696B"/>
        <color rgb="FFFFEB84"/>
        <color rgb="FF63BE7B"/>
      </colorScale>
    </cfRule>
  </conditionalFormatting>
  <conditionalFormatting sqref="D10:D31">
    <cfRule type="colorScale" priority="12442">
      <colorScale>
        <cfvo type="min"/>
        <cfvo type="percentile" val="50"/>
        <cfvo type="max"/>
        <color rgb="FFF8696B"/>
        <color rgb="FFFFEB84"/>
        <color rgb="FF63BE7B"/>
      </colorScale>
    </cfRule>
  </conditionalFormatting>
  <conditionalFormatting sqref="D10:D31">
    <cfRule type="colorScale" priority="12441">
      <colorScale>
        <cfvo type="min"/>
        <cfvo type="percentile" val="50"/>
        <cfvo type="max"/>
        <color rgb="FFF8696B"/>
        <color rgb="FFFFEB84"/>
        <color rgb="FF63BE7B"/>
      </colorScale>
    </cfRule>
  </conditionalFormatting>
  <conditionalFormatting sqref="D10:D31">
    <cfRule type="colorScale" priority="12440">
      <colorScale>
        <cfvo type="min"/>
        <cfvo type="percentile" val="50"/>
        <cfvo type="max"/>
        <color rgb="FFF8696B"/>
        <color rgb="FFFFEB84"/>
        <color rgb="FF63BE7B"/>
      </colorScale>
    </cfRule>
  </conditionalFormatting>
  <conditionalFormatting sqref="D10:D31">
    <cfRule type="colorScale" priority="12439">
      <colorScale>
        <cfvo type="min"/>
        <cfvo type="percentile" val="50"/>
        <cfvo type="max"/>
        <color rgb="FFF8696B"/>
        <color rgb="FFFFEB84"/>
        <color rgb="FF63BE7B"/>
      </colorScale>
    </cfRule>
  </conditionalFormatting>
  <conditionalFormatting sqref="D10:E31">
    <cfRule type="colorScale" priority="12438">
      <colorScale>
        <cfvo type="min"/>
        <cfvo type="percentile" val="50"/>
        <cfvo type="max"/>
        <color rgb="FFF8696B"/>
        <color rgb="FFFFEB84"/>
        <color rgb="FF63BE7B"/>
      </colorScale>
    </cfRule>
  </conditionalFormatting>
  <conditionalFormatting sqref="D10:E31">
    <cfRule type="colorScale" priority="12437">
      <colorScale>
        <cfvo type="min"/>
        <cfvo type="percentile" val="50"/>
        <cfvo type="max"/>
        <color rgb="FFF8696B"/>
        <color rgb="FFFFEB84"/>
        <color rgb="FF63BE7B"/>
      </colorScale>
    </cfRule>
  </conditionalFormatting>
  <conditionalFormatting sqref="D10:E31">
    <cfRule type="colorScale" priority="12436">
      <colorScale>
        <cfvo type="min"/>
        <cfvo type="percentile" val="50"/>
        <cfvo type="max"/>
        <color rgb="FFF8696B"/>
        <color rgb="FFFFEB84"/>
        <color rgb="FF63BE7B"/>
      </colorScale>
    </cfRule>
  </conditionalFormatting>
  <conditionalFormatting sqref="D10:E31">
    <cfRule type="colorScale" priority="12435">
      <colorScale>
        <cfvo type="min"/>
        <cfvo type="percentile" val="50"/>
        <cfvo type="max"/>
        <color rgb="FFF8696B"/>
        <color rgb="FFFFEB84"/>
        <color rgb="FF63BE7B"/>
      </colorScale>
    </cfRule>
  </conditionalFormatting>
  <conditionalFormatting sqref="D10:D31">
    <cfRule type="colorScale" priority="12434">
      <colorScale>
        <cfvo type="min"/>
        <cfvo type="percentile" val="50"/>
        <cfvo type="max"/>
        <color rgb="FFF8696B"/>
        <color rgb="FFFFEB84"/>
        <color rgb="FF63BE7B"/>
      </colorScale>
    </cfRule>
  </conditionalFormatting>
  <conditionalFormatting sqref="D10:D31">
    <cfRule type="colorScale" priority="12433">
      <colorScale>
        <cfvo type="min"/>
        <cfvo type="percentile" val="50"/>
        <cfvo type="max"/>
        <color rgb="FFF8696B"/>
        <color rgb="FFFFEB84"/>
        <color rgb="FF63BE7B"/>
      </colorScale>
    </cfRule>
  </conditionalFormatting>
  <conditionalFormatting sqref="D10:D31">
    <cfRule type="colorScale" priority="12432">
      <colorScale>
        <cfvo type="min"/>
        <cfvo type="percentile" val="50"/>
        <cfvo type="max"/>
        <color rgb="FFF8696B"/>
        <color rgb="FFFFEB84"/>
        <color rgb="FF63BE7B"/>
      </colorScale>
    </cfRule>
  </conditionalFormatting>
  <conditionalFormatting sqref="D10:D31">
    <cfRule type="colorScale" priority="12431">
      <colorScale>
        <cfvo type="min"/>
        <cfvo type="percentile" val="50"/>
        <cfvo type="max"/>
        <color rgb="FFF8696B"/>
        <color rgb="FFFFEB84"/>
        <color rgb="FF63BE7B"/>
      </colorScale>
    </cfRule>
  </conditionalFormatting>
  <conditionalFormatting sqref="D10:E31">
    <cfRule type="colorScale" priority="12430">
      <colorScale>
        <cfvo type="min"/>
        <cfvo type="percentile" val="50"/>
        <cfvo type="max"/>
        <color rgb="FFF8696B"/>
        <color rgb="FFFFEB84"/>
        <color rgb="FF63BE7B"/>
      </colorScale>
    </cfRule>
  </conditionalFormatting>
  <conditionalFormatting sqref="D10:E31">
    <cfRule type="colorScale" priority="12429">
      <colorScale>
        <cfvo type="min"/>
        <cfvo type="percentile" val="50"/>
        <cfvo type="max"/>
        <color rgb="FFF8696B"/>
        <color rgb="FFFFEB84"/>
        <color rgb="FF63BE7B"/>
      </colorScale>
    </cfRule>
  </conditionalFormatting>
  <conditionalFormatting sqref="D10:D31">
    <cfRule type="colorScale" priority="12428">
      <colorScale>
        <cfvo type="min"/>
        <cfvo type="percentile" val="50"/>
        <cfvo type="max"/>
        <color rgb="FFF8696B"/>
        <color rgb="FFFFEB84"/>
        <color rgb="FF63BE7B"/>
      </colorScale>
    </cfRule>
  </conditionalFormatting>
  <conditionalFormatting sqref="D10:D31">
    <cfRule type="colorScale" priority="12427">
      <colorScale>
        <cfvo type="min"/>
        <cfvo type="percentile" val="50"/>
        <cfvo type="max"/>
        <color rgb="FFF8696B"/>
        <color rgb="FFFFEB84"/>
        <color rgb="FF63BE7B"/>
      </colorScale>
    </cfRule>
  </conditionalFormatting>
  <conditionalFormatting sqref="D10:D31">
    <cfRule type="colorScale" priority="12426">
      <colorScale>
        <cfvo type="min"/>
        <cfvo type="percentile" val="50"/>
        <cfvo type="max"/>
        <color rgb="FFF8696B"/>
        <color rgb="FFFFEB84"/>
        <color rgb="FF63BE7B"/>
      </colorScale>
    </cfRule>
  </conditionalFormatting>
  <conditionalFormatting sqref="D10:D31">
    <cfRule type="colorScale" priority="12425">
      <colorScale>
        <cfvo type="min"/>
        <cfvo type="percentile" val="50"/>
        <cfvo type="max"/>
        <color rgb="FFF8696B"/>
        <color rgb="FFFFEB84"/>
        <color rgb="FF63BE7B"/>
      </colorScale>
    </cfRule>
  </conditionalFormatting>
  <conditionalFormatting sqref="D10:E31">
    <cfRule type="colorScale" priority="12424">
      <colorScale>
        <cfvo type="min"/>
        <cfvo type="percentile" val="50"/>
        <cfvo type="max"/>
        <color rgb="FFF8696B"/>
        <color rgb="FFFFEB84"/>
        <color rgb="FF63BE7B"/>
      </colorScale>
    </cfRule>
  </conditionalFormatting>
  <conditionalFormatting sqref="D10:E31">
    <cfRule type="colorScale" priority="12423">
      <colorScale>
        <cfvo type="min"/>
        <cfvo type="percentile" val="50"/>
        <cfvo type="max"/>
        <color rgb="FFF8696B"/>
        <color rgb="FFFFEB84"/>
        <color rgb="FF63BE7B"/>
      </colorScale>
    </cfRule>
  </conditionalFormatting>
  <conditionalFormatting sqref="D10:D31">
    <cfRule type="colorScale" priority="12422">
      <colorScale>
        <cfvo type="min"/>
        <cfvo type="percentile" val="50"/>
        <cfvo type="max"/>
        <color rgb="FFF8696B"/>
        <color rgb="FFFFEB84"/>
        <color rgb="FF63BE7B"/>
      </colorScale>
    </cfRule>
  </conditionalFormatting>
  <conditionalFormatting sqref="D10:D31">
    <cfRule type="colorScale" priority="12421">
      <colorScale>
        <cfvo type="min"/>
        <cfvo type="percentile" val="50"/>
        <cfvo type="max"/>
        <color rgb="FFF8696B"/>
        <color rgb="FFFFEB84"/>
        <color rgb="FF63BE7B"/>
      </colorScale>
    </cfRule>
  </conditionalFormatting>
  <conditionalFormatting sqref="D10:D31">
    <cfRule type="colorScale" priority="12420">
      <colorScale>
        <cfvo type="min"/>
        <cfvo type="percentile" val="50"/>
        <cfvo type="max"/>
        <color rgb="FFF8696B"/>
        <color rgb="FFFFEB84"/>
        <color rgb="FF63BE7B"/>
      </colorScale>
    </cfRule>
  </conditionalFormatting>
  <conditionalFormatting sqref="D10:D31">
    <cfRule type="colorScale" priority="12419">
      <colorScale>
        <cfvo type="min"/>
        <cfvo type="percentile" val="50"/>
        <cfvo type="max"/>
        <color rgb="FFF8696B"/>
        <color rgb="FFFFEB84"/>
        <color rgb="FF63BE7B"/>
      </colorScale>
    </cfRule>
  </conditionalFormatting>
  <conditionalFormatting sqref="D10:E31">
    <cfRule type="colorScale" priority="12418">
      <colorScale>
        <cfvo type="min"/>
        <cfvo type="percentile" val="50"/>
        <cfvo type="max"/>
        <color rgb="FFF8696B"/>
        <color rgb="FFFFEB84"/>
        <color rgb="FF63BE7B"/>
      </colorScale>
    </cfRule>
  </conditionalFormatting>
  <conditionalFormatting sqref="D10:E31">
    <cfRule type="colorScale" priority="12417">
      <colorScale>
        <cfvo type="min"/>
        <cfvo type="percentile" val="50"/>
        <cfvo type="max"/>
        <color rgb="FFF8696B"/>
        <color rgb="FFFFEB84"/>
        <color rgb="FF63BE7B"/>
      </colorScale>
    </cfRule>
  </conditionalFormatting>
  <conditionalFormatting sqref="D10:D31">
    <cfRule type="colorScale" priority="12416">
      <colorScale>
        <cfvo type="min"/>
        <cfvo type="percentile" val="50"/>
        <cfvo type="max"/>
        <color rgb="FFF8696B"/>
        <color rgb="FFFFEB84"/>
        <color rgb="FF63BE7B"/>
      </colorScale>
    </cfRule>
  </conditionalFormatting>
  <conditionalFormatting sqref="D10:D31">
    <cfRule type="colorScale" priority="12415">
      <colorScale>
        <cfvo type="min"/>
        <cfvo type="percentile" val="50"/>
        <cfvo type="max"/>
        <color rgb="FFF8696B"/>
        <color rgb="FFFFEB84"/>
        <color rgb="FF63BE7B"/>
      </colorScale>
    </cfRule>
  </conditionalFormatting>
  <conditionalFormatting sqref="E10:E31">
    <cfRule type="colorScale" priority="12414">
      <colorScale>
        <cfvo type="min"/>
        <cfvo type="percentile" val="50"/>
        <cfvo type="max"/>
        <color rgb="FFF8696B"/>
        <color rgb="FFFFEB84"/>
        <color rgb="FF63BE7B"/>
      </colorScale>
    </cfRule>
  </conditionalFormatting>
  <conditionalFormatting sqref="E10:E31">
    <cfRule type="colorScale" priority="12413">
      <colorScale>
        <cfvo type="min"/>
        <cfvo type="percentile" val="50"/>
        <cfvo type="max"/>
        <color rgb="FFF8696B"/>
        <color rgb="FFFFEB84"/>
        <color rgb="FF63BE7B"/>
      </colorScale>
    </cfRule>
  </conditionalFormatting>
  <conditionalFormatting sqref="D10:E31">
    <cfRule type="colorScale" priority="12412">
      <colorScale>
        <cfvo type="min"/>
        <cfvo type="percentile" val="50"/>
        <cfvo type="max"/>
        <color rgb="FFF8696B"/>
        <color rgb="FFFFEB84"/>
        <color rgb="FF63BE7B"/>
      </colorScale>
    </cfRule>
  </conditionalFormatting>
  <conditionalFormatting sqref="D10:E31">
    <cfRule type="colorScale" priority="12411">
      <colorScale>
        <cfvo type="min"/>
        <cfvo type="percentile" val="50"/>
        <cfvo type="max"/>
        <color rgb="FFF8696B"/>
        <color rgb="FFFFEB84"/>
        <color rgb="FF63BE7B"/>
      </colorScale>
    </cfRule>
  </conditionalFormatting>
  <conditionalFormatting sqref="D10:E31">
    <cfRule type="colorScale" priority="12410">
      <colorScale>
        <cfvo type="min"/>
        <cfvo type="percentile" val="50"/>
        <cfvo type="max"/>
        <color rgb="FFF8696B"/>
        <color rgb="FFFFEB84"/>
        <color rgb="FF63BE7B"/>
      </colorScale>
    </cfRule>
  </conditionalFormatting>
  <conditionalFormatting sqref="D10:E31">
    <cfRule type="colorScale" priority="12409">
      <colorScale>
        <cfvo type="min"/>
        <cfvo type="percentile" val="50"/>
        <cfvo type="max"/>
        <color rgb="FFF8696B"/>
        <color rgb="FFFFEB84"/>
        <color rgb="FF63BE7B"/>
      </colorScale>
    </cfRule>
  </conditionalFormatting>
  <conditionalFormatting sqref="D10:D31">
    <cfRule type="colorScale" priority="12408">
      <colorScale>
        <cfvo type="min"/>
        <cfvo type="percentile" val="50"/>
        <cfvo type="max"/>
        <color rgb="FFF8696B"/>
        <color rgb="FFFFEB84"/>
        <color rgb="FF63BE7B"/>
      </colorScale>
    </cfRule>
  </conditionalFormatting>
  <conditionalFormatting sqref="D10:D31">
    <cfRule type="colorScale" priority="12407">
      <colorScale>
        <cfvo type="min"/>
        <cfvo type="percentile" val="50"/>
        <cfvo type="max"/>
        <color rgb="FFF8696B"/>
        <color rgb="FFFFEB84"/>
        <color rgb="FF63BE7B"/>
      </colorScale>
    </cfRule>
  </conditionalFormatting>
  <conditionalFormatting sqref="D10:D29">
    <cfRule type="colorScale" priority="12406">
      <colorScale>
        <cfvo type="min"/>
        <cfvo type="percentile" val="50"/>
        <cfvo type="max"/>
        <color rgb="FFF8696B"/>
        <color rgb="FFFFEB84"/>
        <color rgb="FF63BE7B"/>
      </colorScale>
    </cfRule>
  </conditionalFormatting>
  <conditionalFormatting sqref="D10:D29">
    <cfRule type="colorScale" priority="12405">
      <colorScale>
        <cfvo type="min"/>
        <cfvo type="percentile" val="50"/>
        <cfvo type="max"/>
        <color rgb="FFF8696B"/>
        <color rgb="FFFFEB84"/>
        <color rgb="FF63BE7B"/>
      </colorScale>
    </cfRule>
  </conditionalFormatting>
  <conditionalFormatting sqref="D10:D31">
    <cfRule type="colorScale" priority="12404">
      <colorScale>
        <cfvo type="min"/>
        <cfvo type="percentile" val="50"/>
        <cfvo type="max"/>
        <color rgb="FFF8696B"/>
        <color rgb="FFFFEB84"/>
        <color rgb="FF63BE7B"/>
      </colorScale>
    </cfRule>
  </conditionalFormatting>
  <conditionalFormatting sqref="D10:D31">
    <cfRule type="colorScale" priority="12403">
      <colorScale>
        <cfvo type="min"/>
        <cfvo type="percentile" val="50"/>
        <cfvo type="max"/>
        <color rgb="FFF8696B"/>
        <color rgb="FFFFEB84"/>
        <color rgb="FF63BE7B"/>
      </colorScale>
    </cfRule>
  </conditionalFormatting>
  <conditionalFormatting sqref="D10:F31">
    <cfRule type="colorScale" priority="12402">
      <colorScale>
        <cfvo type="min"/>
        <cfvo type="percentile" val="50"/>
        <cfvo type="max"/>
        <color rgb="FFF8696B"/>
        <color rgb="FFFFEB84"/>
        <color rgb="FF63BE7B"/>
      </colorScale>
    </cfRule>
  </conditionalFormatting>
  <conditionalFormatting sqref="D10:F31">
    <cfRule type="colorScale" priority="12401">
      <colorScale>
        <cfvo type="min"/>
        <cfvo type="percentile" val="50"/>
        <cfvo type="max"/>
        <color rgb="FFF8696B"/>
        <color rgb="FFFFEB84"/>
        <color rgb="FF63BE7B"/>
      </colorScale>
    </cfRule>
  </conditionalFormatting>
  <conditionalFormatting sqref="D10:F31">
    <cfRule type="colorScale" priority="12400">
      <colorScale>
        <cfvo type="min"/>
        <cfvo type="percentile" val="50"/>
        <cfvo type="max"/>
        <color rgb="FFF8696B"/>
        <color rgb="FFFFEB84"/>
        <color rgb="FF63BE7B"/>
      </colorScale>
    </cfRule>
  </conditionalFormatting>
  <conditionalFormatting sqref="D10:F31">
    <cfRule type="colorScale" priority="12399">
      <colorScale>
        <cfvo type="min"/>
        <cfvo type="percentile" val="50"/>
        <cfvo type="max"/>
        <color rgb="FFF8696B"/>
        <color rgb="FFFFEB84"/>
        <color rgb="FF63BE7B"/>
      </colorScale>
    </cfRule>
  </conditionalFormatting>
  <conditionalFormatting sqref="D10:F31">
    <cfRule type="colorScale" priority="12398">
      <colorScale>
        <cfvo type="min"/>
        <cfvo type="percentile" val="50"/>
        <cfvo type="max"/>
        <color rgb="FFF8696B"/>
        <color rgb="FFFFEB84"/>
        <color rgb="FF63BE7B"/>
      </colorScale>
    </cfRule>
  </conditionalFormatting>
  <conditionalFormatting sqref="D10:F31">
    <cfRule type="colorScale" priority="12397">
      <colorScale>
        <cfvo type="min"/>
        <cfvo type="percentile" val="50"/>
        <cfvo type="max"/>
        <color rgb="FFF8696B"/>
        <color rgb="FFFFEB84"/>
        <color rgb="FF63BE7B"/>
      </colorScale>
    </cfRule>
  </conditionalFormatting>
  <conditionalFormatting sqref="D10:E31">
    <cfRule type="colorScale" priority="12396">
      <colorScale>
        <cfvo type="min"/>
        <cfvo type="percentile" val="50"/>
        <cfvo type="max"/>
        <color rgb="FFF8696B"/>
        <color rgb="FFFFEB84"/>
        <color rgb="FF63BE7B"/>
      </colorScale>
    </cfRule>
  </conditionalFormatting>
  <conditionalFormatting sqref="D10:E31">
    <cfRule type="colorScale" priority="12395">
      <colorScale>
        <cfvo type="min"/>
        <cfvo type="percentile" val="50"/>
        <cfvo type="max"/>
        <color rgb="FFF8696B"/>
        <color rgb="FFFFEB84"/>
        <color rgb="FF63BE7B"/>
      </colorScale>
    </cfRule>
  </conditionalFormatting>
  <conditionalFormatting sqref="D10:E31">
    <cfRule type="colorScale" priority="12394">
      <colorScale>
        <cfvo type="min"/>
        <cfvo type="percentile" val="50"/>
        <cfvo type="max"/>
        <color rgb="FFF8696B"/>
        <color rgb="FFFFEB84"/>
        <color rgb="FF63BE7B"/>
      </colorScale>
    </cfRule>
  </conditionalFormatting>
  <conditionalFormatting sqref="D10:E31">
    <cfRule type="colorScale" priority="12393">
      <colorScale>
        <cfvo type="min"/>
        <cfvo type="percentile" val="50"/>
        <cfvo type="max"/>
        <color rgb="FFF8696B"/>
        <color rgb="FFFFEB84"/>
        <color rgb="FF63BE7B"/>
      </colorScale>
    </cfRule>
  </conditionalFormatting>
  <conditionalFormatting sqref="D10:E31">
    <cfRule type="colorScale" priority="12392">
      <colorScale>
        <cfvo type="min"/>
        <cfvo type="percentile" val="50"/>
        <cfvo type="max"/>
        <color rgb="FFF8696B"/>
        <color rgb="FFFFEB84"/>
        <color rgb="FF63BE7B"/>
      </colorScale>
    </cfRule>
  </conditionalFormatting>
  <conditionalFormatting sqref="D10:E31">
    <cfRule type="colorScale" priority="12391">
      <colorScale>
        <cfvo type="min"/>
        <cfvo type="percentile" val="50"/>
        <cfvo type="max"/>
        <color rgb="FFF8696B"/>
        <color rgb="FFFFEB84"/>
        <color rgb="FF63BE7B"/>
      </colorScale>
    </cfRule>
  </conditionalFormatting>
  <conditionalFormatting sqref="E10:E31">
    <cfRule type="colorScale" priority="12390">
      <colorScale>
        <cfvo type="min"/>
        <cfvo type="percentile" val="50"/>
        <cfvo type="max"/>
        <color rgb="FFF8696B"/>
        <color rgb="FFFFEB84"/>
        <color rgb="FF63BE7B"/>
      </colorScale>
    </cfRule>
  </conditionalFormatting>
  <conditionalFormatting sqref="E10:E31">
    <cfRule type="colorScale" priority="12389">
      <colorScale>
        <cfvo type="min"/>
        <cfvo type="percentile" val="50"/>
        <cfvo type="max"/>
        <color rgb="FFF8696B"/>
        <color rgb="FFFFEB84"/>
        <color rgb="FF63BE7B"/>
      </colorScale>
    </cfRule>
  </conditionalFormatting>
  <conditionalFormatting sqref="J10:J31">
    <cfRule type="colorScale" priority="12388">
      <colorScale>
        <cfvo type="min"/>
        <cfvo type="percentile" val="50"/>
        <cfvo type="max"/>
        <color rgb="FFF8696B"/>
        <color rgb="FFFFEB84"/>
        <color rgb="FF63BE7B"/>
      </colorScale>
    </cfRule>
  </conditionalFormatting>
  <conditionalFormatting sqref="H10:I32 J32 D10:F32">
    <cfRule type="colorScale" priority="12387">
      <colorScale>
        <cfvo type="min"/>
        <cfvo type="percentile" val="50"/>
        <cfvo type="max"/>
        <color rgb="FFF8696B"/>
        <color rgb="FFFFEB84"/>
        <color rgb="FF63BE7B"/>
      </colorScale>
    </cfRule>
  </conditionalFormatting>
  <conditionalFormatting sqref="D10:E31">
    <cfRule type="colorScale" priority="12386">
      <colorScale>
        <cfvo type="min"/>
        <cfvo type="percentile" val="50"/>
        <cfvo type="max"/>
        <color rgb="FFF8696B"/>
        <color rgb="FFFFEB84"/>
        <color rgb="FF63BE7B"/>
      </colorScale>
    </cfRule>
  </conditionalFormatting>
  <conditionalFormatting sqref="D10:E31">
    <cfRule type="colorScale" priority="12385">
      <colorScale>
        <cfvo type="min"/>
        <cfvo type="percentile" val="50"/>
        <cfvo type="max"/>
        <color rgb="FFF8696B"/>
        <color rgb="FFFFEB84"/>
        <color rgb="FF63BE7B"/>
      </colorScale>
    </cfRule>
  </conditionalFormatting>
  <conditionalFormatting sqref="D10:E31">
    <cfRule type="colorScale" priority="12384">
      <colorScale>
        <cfvo type="min"/>
        <cfvo type="percentile" val="50"/>
        <cfvo type="max"/>
        <color rgb="FFF8696B"/>
        <color rgb="FFFFEB84"/>
        <color rgb="FF63BE7B"/>
      </colorScale>
    </cfRule>
  </conditionalFormatting>
  <conditionalFormatting sqref="D10:E31">
    <cfRule type="colorScale" priority="12383">
      <colorScale>
        <cfvo type="min"/>
        <cfvo type="percentile" val="50"/>
        <cfvo type="max"/>
        <color rgb="FFF8696B"/>
        <color rgb="FFFFEB84"/>
        <color rgb="FF63BE7B"/>
      </colorScale>
    </cfRule>
  </conditionalFormatting>
  <conditionalFormatting sqref="D10:E31">
    <cfRule type="colorScale" priority="12382">
      <colorScale>
        <cfvo type="min"/>
        <cfvo type="percentile" val="50"/>
        <cfvo type="max"/>
        <color rgb="FFF8696B"/>
        <color rgb="FFFFEB84"/>
        <color rgb="FF63BE7B"/>
      </colorScale>
    </cfRule>
  </conditionalFormatting>
  <conditionalFormatting sqref="D10:E31">
    <cfRule type="colorScale" priority="12381">
      <colorScale>
        <cfvo type="min"/>
        <cfvo type="percentile" val="50"/>
        <cfvo type="max"/>
        <color rgb="FFF8696B"/>
        <color rgb="FFFFEB84"/>
        <color rgb="FF63BE7B"/>
      </colorScale>
    </cfRule>
  </conditionalFormatting>
  <conditionalFormatting sqref="D10:E31">
    <cfRule type="colorScale" priority="12380">
      <colorScale>
        <cfvo type="min"/>
        <cfvo type="percentile" val="50"/>
        <cfvo type="max"/>
        <color rgb="FFF8696B"/>
        <color rgb="FFFFEB84"/>
        <color rgb="FF63BE7B"/>
      </colorScale>
    </cfRule>
  </conditionalFormatting>
  <conditionalFormatting sqref="D10:E31">
    <cfRule type="colorScale" priority="12379">
      <colorScale>
        <cfvo type="min"/>
        <cfvo type="percentile" val="50"/>
        <cfvo type="max"/>
        <color rgb="FFF8696B"/>
        <color rgb="FFFFEB84"/>
        <color rgb="FF63BE7B"/>
      </colorScale>
    </cfRule>
  </conditionalFormatting>
  <conditionalFormatting sqref="D10:D31">
    <cfRule type="colorScale" priority="12378">
      <colorScale>
        <cfvo type="min"/>
        <cfvo type="percentile" val="50"/>
        <cfvo type="max"/>
        <color rgb="FFF8696B"/>
        <color rgb="FFFFEB84"/>
        <color rgb="FF63BE7B"/>
      </colorScale>
    </cfRule>
  </conditionalFormatting>
  <conditionalFormatting sqref="D10:E31">
    <cfRule type="colorScale" priority="12377">
      <colorScale>
        <cfvo type="min"/>
        <cfvo type="percentile" val="50"/>
        <cfvo type="max"/>
        <color rgb="FFF8696B"/>
        <color rgb="FFFFEB84"/>
        <color rgb="FF63BE7B"/>
      </colorScale>
    </cfRule>
  </conditionalFormatting>
  <conditionalFormatting sqref="D10:E31">
    <cfRule type="colorScale" priority="12376">
      <colorScale>
        <cfvo type="min"/>
        <cfvo type="percentile" val="50"/>
        <cfvo type="max"/>
        <color rgb="FFF8696B"/>
        <color rgb="FFFFEB84"/>
        <color rgb="FF63BE7B"/>
      </colorScale>
    </cfRule>
  </conditionalFormatting>
  <conditionalFormatting sqref="D10:E31">
    <cfRule type="colorScale" priority="12375">
      <colorScale>
        <cfvo type="min"/>
        <cfvo type="percentile" val="50"/>
        <cfvo type="max"/>
        <color rgb="FFF8696B"/>
        <color rgb="FFFFEB84"/>
        <color rgb="FF63BE7B"/>
      </colorScale>
    </cfRule>
  </conditionalFormatting>
  <conditionalFormatting sqref="D10:D31">
    <cfRule type="colorScale" priority="12374">
      <colorScale>
        <cfvo type="min"/>
        <cfvo type="percentile" val="50"/>
        <cfvo type="max"/>
        <color rgb="FFF8696B"/>
        <color rgb="FFFFEB84"/>
        <color rgb="FF63BE7B"/>
      </colorScale>
    </cfRule>
  </conditionalFormatting>
  <conditionalFormatting sqref="D10:E31">
    <cfRule type="colorScale" priority="12373">
      <colorScale>
        <cfvo type="min"/>
        <cfvo type="percentile" val="50"/>
        <cfvo type="max"/>
        <color rgb="FFF8696B"/>
        <color rgb="FFFFEB84"/>
        <color rgb="FF63BE7B"/>
      </colorScale>
    </cfRule>
  </conditionalFormatting>
  <conditionalFormatting sqref="D10:E31">
    <cfRule type="colorScale" priority="12372">
      <colorScale>
        <cfvo type="min"/>
        <cfvo type="percentile" val="50"/>
        <cfvo type="max"/>
        <color rgb="FFF8696B"/>
        <color rgb="FFFFEB84"/>
        <color rgb="FF63BE7B"/>
      </colorScale>
    </cfRule>
  </conditionalFormatting>
  <conditionalFormatting sqref="D10:E31">
    <cfRule type="colorScale" priority="12371">
      <colorScale>
        <cfvo type="min"/>
        <cfvo type="percentile" val="50"/>
        <cfvo type="max"/>
        <color rgb="FFF8696B"/>
        <color rgb="FFFFEB84"/>
        <color rgb="FF63BE7B"/>
      </colorScale>
    </cfRule>
  </conditionalFormatting>
  <conditionalFormatting sqref="D10:E31">
    <cfRule type="colorScale" priority="12370">
      <colorScale>
        <cfvo type="min"/>
        <cfvo type="percentile" val="50"/>
        <cfvo type="max"/>
        <color rgb="FFF8696B"/>
        <color rgb="FFFFEB84"/>
        <color rgb="FF63BE7B"/>
      </colorScale>
    </cfRule>
  </conditionalFormatting>
  <conditionalFormatting sqref="D10:E31">
    <cfRule type="colorScale" priority="12369">
      <colorScale>
        <cfvo type="min"/>
        <cfvo type="percentile" val="50"/>
        <cfvo type="max"/>
        <color rgb="FFF8696B"/>
        <color rgb="FFFFEB84"/>
        <color rgb="FF63BE7B"/>
      </colorScale>
    </cfRule>
  </conditionalFormatting>
  <conditionalFormatting sqref="D10:E31">
    <cfRule type="colorScale" priority="12368">
      <colorScale>
        <cfvo type="min"/>
        <cfvo type="percentile" val="50"/>
        <cfvo type="max"/>
        <color rgb="FFF8696B"/>
        <color rgb="FFFFEB84"/>
        <color rgb="FF63BE7B"/>
      </colorScale>
    </cfRule>
  </conditionalFormatting>
  <conditionalFormatting sqref="D10:E31">
    <cfRule type="colorScale" priority="12367">
      <colorScale>
        <cfvo type="min"/>
        <cfvo type="percentile" val="50"/>
        <cfvo type="max"/>
        <color rgb="FFF8696B"/>
        <color rgb="FFFFEB84"/>
        <color rgb="FF63BE7B"/>
      </colorScale>
    </cfRule>
  </conditionalFormatting>
  <conditionalFormatting sqref="D10:E31">
    <cfRule type="colorScale" priority="12366">
      <colorScale>
        <cfvo type="min"/>
        <cfvo type="percentile" val="50"/>
        <cfvo type="max"/>
        <color rgb="FFF8696B"/>
        <color rgb="FFFFEB84"/>
        <color rgb="FF63BE7B"/>
      </colorScale>
    </cfRule>
  </conditionalFormatting>
  <conditionalFormatting sqref="D10:E31">
    <cfRule type="colorScale" priority="12365">
      <colorScale>
        <cfvo type="min"/>
        <cfvo type="percentile" val="50"/>
        <cfvo type="max"/>
        <color rgb="FFF8696B"/>
        <color rgb="FFFFEB84"/>
        <color rgb="FF63BE7B"/>
      </colorScale>
    </cfRule>
  </conditionalFormatting>
  <conditionalFormatting sqref="D10:E31">
    <cfRule type="colorScale" priority="12364">
      <colorScale>
        <cfvo type="min"/>
        <cfvo type="percentile" val="50"/>
        <cfvo type="max"/>
        <color rgb="FFF8696B"/>
        <color rgb="FFFFEB84"/>
        <color rgb="FF63BE7B"/>
      </colorScale>
    </cfRule>
  </conditionalFormatting>
  <conditionalFormatting sqref="D10:E31">
    <cfRule type="colorScale" priority="12363">
      <colorScale>
        <cfvo type="min"/>
        <cfvo type="percentile" val="50"/>
        <cfvo type="max"/>
        <color rgb="FFF8696B"/>
        <color rgb="FFFFEB84"/>
        <color rgb="FF63BE7B"/>
      </colorScale>
    </cfRule>
  </conditionalFormatting>
  <conditionalFormatting sqref="D10:E31">
    <cfRule type="colorScale" priority="12362">
      <colorScale>
        <cfvo type="min"/>
        <cfvo type="percentile" val="50"/>
        <cfvo type="max"/>
        <color rgb="FFF8696B"/>
        <color rgb="FFFFEB84"/>
        <color rgb="FF63BE7B"/>
      </colorScale>
    </cfRule>
  </conditionalFormatting>
  <conditionalFormatting sqref="D10:D31">
    <cfRule type="colorScale" priority="12361">
      <colorScale>
        <cfvo type="min"/>
        <cfvo type="percentile" val="50"/>
        <cfvo type="max"/>
        <color rgb="FFF8696B"/>
        <color rgb="FFFFEB84"/>
        <color rgb="FF63BE7B"/>
      </colorScale>
    </cfRule>
  </conditionalFormatting>
  <conditionalFormatting sqref="D10:D31">
    <cfRule type="colorScale" priority="12360">
      <colorScale>
        <cfvo type="min"/>
        <cfvo type="percentile" val="50"/>
        <cfvo type="max"/>
        <color rgb="FFF8696B"/>
        <color rgb="FFFFEB84"/>
        <color rgb="FF63BE7B"/>
      </colorScale>
    </cfRule>
  </conditionalFormatting>
  <conditionalFormatting sqref="D10:D31">
    <cfRule type="colorScale" priority="12359">
      <colorScale>
        <cfvo type="min"/>
        <cfvo type="percentile" val="50"/>
        <cfvo type="max"/>
        <color rgb="FFF8696B"/>
        <color rgb="FFFFEB84"/>
        <color rgb="FF63BE7B"/>
      </colorScale>
    </cfRule>
  </conditionalFormatting>
  <conditionalFormatting sqref="D10:D31">
    <cfRule type="colorScale" priority="12358">
      <colorScale>
        <cfvo type="min"/>
        <cfvo type="percentile" val="50"/>
        <cfvo type="max"/>
        <color rgb="FFF8696B"/>
        <color rgb="FFFFEB84"/>
        <color rgb="FF63BE7B"/>
      </colorScale>
    </cfRule>
  </conditionalFormatting>
  <conditionalFormatting sqref="D10:E31">
    <cfRule type="colorScale" priority="12357">
      <colorScale>
        <cfvo type="min"/>
        <cfvo type="percentile" val="50"/>
        <cfvo type="max"/>
        <color rgb="FFF8696B"/>
        <color rgb="FFFFEB84"/>
        <color rgb="FF63BE7B"/>
      </colorScale>
    </cfRule>
  </conditionalFormatting>
  <conditionalFormatting sqref="D10:E31">
    <cfRule type="colorScale" priority="12356">
      <colorScale>
        <cfvo type="min"/>
        <cfvo type="percentile" val="50"/>
        <cfvo type="max"/>
        <color rgb="FFF8696B"/>
        <color rgb="FFFFEB84"/>
        <color rgb="FF63BE7B"/>
      </colorScale>
    </cfRule>
  </conditionalFormatting>
  <conditionalFormatting sqref="D10:D31">
    <cfRule type="colorScale" priority="12355">
      <colorScale>
        <cfvo type="min"/>
        <cfvo type="percentile" val="50"/>
        <cfvo type="max"/>
        <color rgb="FFF8696B"/>
        <color rgb="FFFFEB84"/>
        <color rgb="FF63BE7B"/>
      </colorScale>
    </cfRule>
  </conditionalFormatting>
  <conditionalFormatting sqref="D10:D31">
    <cfRule type="colorScale" priority="12354">
      <colorScale>
        <cfvo type="min"/>
        <cfvo type="percentile" val="50"/>
        <cfvo type="max"/>
        <color rgb="FFF8696B"/>
        <color rgb="FFFFEB84"/>
        <color rgb="FF63BE7B"/>
      </colorScale>
    </cfRule>
  </conditionalFormatting>
  <conditionalFormatting sqref="D10:D31">
    <cfRule type="colorScale" priority="12353">
      <colorScale>
        <cfvo type="min"/>
        <cfvo type="percentile" val="50"/>
        <cfvo type="max"/>
        <color rgb="FFF8696B"/>
        <color rgb="FFFFEB84"/>
        <color rgb="FF63BE7B"/>
      </colorScale>
    </cfRule>
  </conditionalFormatting>
  <conditionalFormatting sqref="D10:D31">
    <cfRule type="colorScale" priority="12352">
      <colorScale>
        <cfvo type="min"/>
        <cfvo type="percentile" val="50"/>
        <cfvo type="max"/>
        <color rgb="FFF8696B"/>
        <color rgb="FFFFEB84"/>
        <color rgb="FF63BE7B"/>
      </colorScale>
    </cfRule>
  </conditionalFormatting>
  <conditionalFormatting sqref="D10:E31">
    <cfRule type="colorScale" priority="12351">
      <colorScale>
        <cfvo type="min"/>
        <cfvo type="percentile" val="50"/>
        <cfvo type="max"/>
        <color rgb="FFF8696B"/>
        <color rgb="FFFFEB84"/>
        <color rgb="FF63BE7B"/>
      </colorScale>
    </cfRule>
  </conditionalFormatting>
  <conditionalFormatting sqref="D10:E31">
    <cfRule type="colorScale" priority="12350">
      <colorScale>
        <cfvo type="min"/>
        <cfvo type="percentile" val="50"/>
        <cfvo type="max"/>
        <color rgb="FFF8696B"/>
        <color rgb="FFFFEB84"/>
        <color rgb="FF63BE7B"/>
      </colorScale>
    </cfRule>
  </conditionalFormatting>
  <conditionalFormatting sqref="D10:D31">
    <cfRule type="colorScale" priority="12349">
      <colorScale>
        <cfvo type="min"/>
        <cfvo type="percentile" val="50"/>
        <cfvo type="max"/>
        <color rgb="FFF8696B"/>
        <color rgb="FFFFEB84"/>
        <color rgb="FF63BE7B"/>
      </colorScale>
    </cfRule>
  </conditionalFormatting>
  <conditionalFormatting sqref="D10:D31">
    <cfRule type="colorScale" priority="12348">
      <colorScale>
        <cfvo type="min"/>
        <cfvo type="percentile" val="50"/>
        <cfvo type="max"/>
        <color rgb="FFF8696B"/>
        <color rgb="FFFFEB84"/>
        <color rgb="FF63BE7B"/>
      </colorScale>
    </cfRule>
  </conditionalFormatting>
  <conditionalFormatting sqref="D10:D31">
    <cfRule type="colorScale" priority="12347">
      <colorScale>
        <cfvo type="min"/>
        <cfvo type="percentile" val="50"/>
        <cfvo type="max"/>
        <color rgb="FFF8696B"/>
        <color rgb="FFFFEB84"/>
        <color rgb="FF63BE7B"/>
      </colorScale>
    </cfRule>
  </conditionalFormatting>
  <conditionalFormatting sqref="D10:D31">
    <cfRule type="colorScale" priority="12346">
      <colorScale>
        <cfvo type="min"/>
        <cfvo type="percentile" val="50"/>
        <cfvo type="max"/>
        <color rgb="FFF8696B"/>
        <color rgb="FFFFEB84"/>
        <color rgb="FF63BE7B"/>
      </colorScale>
    </cfRule>
  </conditionalFormatting>
  <conditionalFormatting sqref="D10:E31">
    <cfRule type="colorScale" priority="12345">
      <colorScale>
        <cfvo type="min"/>
        <cfvo type="percentile" val="50"/>
        <cfvo type="max"/>
        <color rgb="FFF8696B"/>
        <color rgb="FFFFEB84"/>
        <color rgb="FF63BE7B"/>
      </colorScale>
    </cfRule>
  </conditionalFormatting>
  <conditionalFormatting sqref="D10:E31">
    <cfRule type="colorScale" priority="12344">
      <colorScale>
        <cfvo type="min"/>
        <cfvo type="percentile" val="50"/>
        <cfvo type="max"/>
        <color rgb="FFF8696B"/>
        <color rgb="FFFFEB84"/>
        <color rgb="FF63BE7B"/>
      </colorScale>
    </cfRule>
  </conditionalFormatting>
  <conditionalFormatting sqref="D10:E31">
    <cfRule type="colorScale" priority="12343">
      <colorScale>
        <cfvo type="min"/>
        <cfvo type="percentile" val="50"/>
        <cfvo type="max"/>
        <color rgb="FFF8696B"/>
        <color rgb="FFFFEB84"/>
        <color rgb="FF63BE7B"/>
      </colorScale>
    </cfRule>
  </conditionalFormatting>
  <conditionalFormatting sqref="D10:E31">
    <cfRule type="colorScale" priority="12342">
      <colorScale>
        <cfvo type="min"/>
        <cfvo type="percentile" val="50"/>
        <cfvo type="max"/>
        <color rgb="FFF8696B"/>
        <color rgb="FFFFEB84"/>
        <color rgb="FF63BE7B"/>
      </colorScale>
    </cfRule>
  </conditionalFormatting>
  <conditionalFormatting sqref="D10:D31">
    <cfRule type="colorScale" priority="12341">
      <colorScale>
        <cfvo type="min"/>
        <cfvo type="percentile" val="50"/>
        <cfvo type="max"/>
        <color rgb="FFF8696B"/>
        <color rgb="FFFFEB84"/>
        <color rgb="FF63BE7B"/>
      </colorScale>
    </cfRule>
  </conditionalFormatting>
  <conditionalFormatting sqref="D10:D31">
    <cfRule type="colorScale" priority="12340">
      <colorScale>
        <cfvo type="min"/>
        <cfvo type="percentile" val="50"/>
        <cfvo type="max"/>
        <color rgb="FFF8696B"/>
        <color rgb="FFFFEB84"/>
        <color rgb="FF63BE7B"/>
      </colorScale>
    </cfRule>
  </conditionalFormatting>
  <conditionalFormatting sqref="D10:D31">
    <cfRule type="colorScale" priority="12339">
      <colorScale>
        <cfvo type="min"/>
        <cfvo type="percentile" val="50"/>
        <cfvo type="max"/>
        <color rgb="FFF8696B"/>
        <color rgb="FFFFEB84"/>
        <color rgb="FF63BE7B"/>
      </colorScale>
    </cfRule>
  </conditionalFormatting>
  <conditionalFormatting sqref="D10:D31">
    <cfRule type="colorScale" priority="12338">
      <colorScale>
        <cfvo type="min"/>
        <cfvo type="percentile" val="50"/>
        <cfvo type="max"/>
        <color rgb="FFF8696B"/>
        <color rgb="FFFFEB84"/>
        <color rgb="FF63BE7B"/>
      </colorScale>
    </cfRule>
  </conditionalFormatting>
  <conditionalFormatting sqref="D10:E31">
    <cfRule type="colorScale" priority="12337">
      <colorScale>
        <cfvo type="min"/>
        <cfvo type="percentile" val="50"/>
        <cfvo type="max"/>
        <color rgb="FFF8696B"/>
        <color rgb="FFFFEB84"/>
        <color rgb="FF63BE7B"/>
      </colorScale>
    </cfRule>
  </conditionalFormatting>
  <conditionalFormatting sqref="D10:E31">
    <cfRule type="colorScale" priority="12336">
      <colorScale>
        <cfvo type="min"/>
        <cfvo type="percentile" val="50"/>
        <cfvo type="max"/>
        <color rgb="FFF8696B"/>
        <color rgb="FFFFEB84"/>
        <color rgb="FF63BE7B"/>
      </colorScale>
    </cfRule>
  </conditionalFormatting>
  <conditionalFormatting sqref="D10:D31">
    <cfRule type="colorScale" priority="12335">
      <colorScale>
        <cfvo type="min"/>
        <cfvo type="percentile" val="50"/>
        <cfvo type="max"/>
        <color rgb="FFF8696B"/>
        <color rgb="FFFFEB84"/>
        <color rgb="FF63BE7B"/>
      </colorScale>
    </cfRule>
  </conditionalFormatting>
  <conditionalFormatting sqref="D10:D31">
    <cfRule type="colorScale" priority="12334">
      <colorScale>
        <cfvo type="min"/>
        <cfvo type="percentile" val="50"/>
        <cfvo type="max"/>
        <color rgb="FFF8696B"/>
        <color rgb="FFFFEB84"/>
        <color rgb="FF63BE7B"/>
      </colorScale>
    </cfRule>
  </conditionalFormatting>
  <conditionalFormatting sqref="D10:D31">
    <cfRule type="colorScale" priority="12333">
      <colorScale>
        <cfvo type="min"/>
        <cfvo type="percentile" val="50"/>
        <cfvo type="max"/>
        <color rgb="FFF8696B"/>
        <color rgb="FFFFEB84"/>
        <color rgb="FF63BE7B"/>
      </colorScale>
    </cfRule>
  </conditionalFormatting>
  <conditionalFormatting sqref="D10:D31">
    <cfRule type="colorScale" priority="12332">
      <colorScale>
        <cfvo type="min"/>
        <cfvo type="percentile" val="50"/>
        <cfvo type="max"/>
        <color rgb="FFF8696B"/>
        <color rgb="FFFFEB84"/>
        <color rgb="FF63BE7B"/>
      </colorScale>
    </cfRule>
  </conditionalFormatting>
  <conditionalFormatting sqref="D10:E31">
    <cfRule type="colorScale" priority="12331">
      <colorScale>
        <cfvo type="min"/>
        <cfvo type="percentile" val="50"/>
        <cfvo type="max"/>
        <color rgb="FFF8696B"/>
        <color rgb="FFFFEB84"/>
        <color rgb="FF63BE7B"/>
      </colorScale>
    </cfRule>
  </conditionalFormatting>
  <conditionalFormatting sqref="D10:E31">
    <cfRule type="colorScale" priority="12330">
      <colorScale>
        <cfvo type="min"/>
        <cfvo type="percentile" val="50"/>
        <cfvo type="max"/>
        <color rgb="FFF8696B"/>
        <color rgb="FFFFEB84"/>
        <color rgb="FF63BE7B"/>
      </colorScale>
    </cfRule>
  </conditionalFormatting>
  <conditionalFormatting sqref="D10:D31">
    <cfRule type="colorScale" priority="12329">
      <colorScale>
        <cfvo type="min"/>
        <cfvo type="percentile" val="50"/>
        <cfvo type="max"/>
        <color rgb="FFF8696B"/>
        <color rgb="FFFFEB84"/>
        <color rgb="FF63BE7B"/>
      </colorScale>
    </cfRule>
  </conditionalFormatting>
  <conditionalFormatting sqref="D10:D31">
    <cfRule type="colorScale" priority="12328">
      <colorScale>
        <cfvo type="min"/>
        <cfvo type="percentile" val="50"/>
        <cfvo type="max"/>
        <color rgb="FFF8696B"/>
        <color rgb="FFFFEB84"/>
        <color rgb="FF63BE7B"/>
      </colorScale>
    </cfRule>
  </conditionalFormatting>
  <conditionalFormatting sqref="D10:D31">
    <cfRule type="colorScale" priority="12327">
      <colorScale>
        <cfvo type="min"/>
        <cfvo type="percentile" val="50"/>
        <cfvo type="max"/>
        <color rgb="FFF8696B"/>
        <color rgb="FFFFEB84"/>
        <color rgb="FF63BE7B"/>
      </colorScale>
    </cfRule>
  </conditionalFormatting>
  <conditionalFormatting sqref="D10:D31">
    <cfRule type="colorScale" priority="12326">
      <colorScale>
        <cfvo type="min"/>
        <cfvo type="percentile" val="50"/>
        <cfvo type="max"/>
        <color rgb="FFF8696B"/>
        <color rgb="FFFFEB84"/>
        <color rgb="FF63BE7B"/>
      </colorScale>
    </cfRule>
  </conditionalFormatting>
  <conditionalFormatting sqref="D10:E31">
    <cfRule type="colorScale" priority="12325">
      <colorScale>
        <cfvo type="min"/>
        <cfvo type="percentile" val="50"/>
        <cfvo type="max"/>
        <color rgb="FFF8696B"/>
        <color rgb="FFFFEB84"/>
        <color rgb="FF63BE7B"/>
      </colorScale>
    </cfRule>
  </conditionalFormatting>
  <conditionalFormatting sqref="D10:E31">
    <cfRule type="colorScale" priority="12324">
      <colorScale>
        <cfvo type="min"/>
        <cfvo type="percentile" val="50"/>
        <cfvo type="max"/>
        <color rgb="FFF8696B"/>
        <color rgb="FFFFEB84"/>
        <color rgb="FF63BE7B"/>
      </colorScale>
    </cfRule>
  </conditionalFormatting>
  <conditionalFormatting sqref="D10:E31">
    <cfRule type="colorScale" priority="12323">
      <colorScale>
        <cfvo type="min"/>
        <cfvo type="percentile" val="50"/>
        <cfvo type="max"/>
        <color rgb="FFF8696B"/>
        <color rgb="FFFFEB84"/>
        <color rgb="FF63BE7B"/>
      </colorScale>
    </cfRule>
  </conditionalFormatting>
  <conditionalFormatting sqref="D10:E31">
    <cfRule type="colorScale" priority="12322">
      <colorScale>
        <cfvo type="min"/>
        <cfvo type="percentile" val="50"/>
        <cfvo type="max"/>
        <color rgb="FFF8696B"/>
        <color rgb="FFFFEB84"/>
        <color rgb="FF63BE7B"/>
      </colorScale>
    </cfRule>
  </conditionalFormatting>
  <conditionalFormatting sqref="D10:E31">
    <cfRule type="colorScale" priority="12321">
      <colorScale>
        <cfvo type="min"/>
        <cfvo type="percentile" val="50"/>
        <cfvo type="max"/>
        <color rgb="FFF8696B"/>
        <color rgb="FFFFEB84"/>
        <color rgb="FF63BE7B"/>
      </colorScale>
    </cfRule>
  </conditionalFormatting>
  <conditionalFormatting sqref="D10:E31">
    <cfRule type="colorScale" priority="12320">
      <colorScale>
        <cfvo type="min"/>
        <cfvo type="percentile" val="50"/>
        <cfvo type="max"/>
        <color rgb="FFF8696B"/>
        <color rgb="FFFFEB84"/>
        <color rgb="FF63BE7B"/>
      </colorScale>
    </cfRule>
  </conditionalFormatting>
  <conditionalFormatting sqref="D10:D31">
    <cfRule type="colorScale" priority="12319">
      <colorScale>
        <cfvo type="min"/>
        <cfvo type="percentile" val="50"/>
        <cfvo type="max"/>
        <color rgb="FFF8696B"/>
        <color rgb="FFFFEB84"/>
        <color rgb="FF63BE7B"/>
      </colorScale>
    </cfRule>
  </conditionalFormatting>
  <conditionalFormatting sqref="D10:D31">
    <cfRule type="colorScale" priority="12318">
      <colorScale>
        <cfvo type="min"/>
        <cfvo type="percentile" val="50"/>
        <cfvo type="max"/>
        <color rgb="FFF8696B"/>
        <color rgb="FFFFEB84"/>
        <color rgb="FF63BE7B"/>
      </colorScale>
    </cfRule>
  </conditionalFormatting>
  <conditionalFormatting sqref="D10:D31">
    <cfRule type="colorScale" priority="12317">
      <colorScale>
        <cfvo type="min"/>
        <cfvo type="percentile" val="50"/>
        <cfvo type="max"/>
        <color rgb="FFF8696B"/>
        <color rgb="FFFFEB84"/>
        <color rgb="FF63BE7B"/>
      </colorScale>
    </cfRule>
  </conditionalFormatting>
  <conditionalFormatting sqref="D10:D31">
    <cfRule type="colorScale" priority="12316">
      <colorScale>
        <cfvo type="min"/>
        <cfvo type="percentile" val="50"/>
        <cfvo type="max"/>
        <color rgb="FFF8696B"/>
        <color rgb="FFFFEB84"/>
        <color rgb="FF63BE7B"/>
      </colorScale>
    </cfRule>
  </conditionalFormatting>
  <conditionalFormatting sqref="D10:E31">
    <cfRule type="colorScale" priority="12315">
      <colorScale>
        <cfvo type="min"/>
        <cfvo type="percentile" val="50"/>
        <cfvo type="max"/>
        <color rgb="FFF8696B"/>
        <color rgb="FFFFEB84"/>
        <color rgb="FF63BE7B"/>
      </colorScale>
    </cfRule>
  </conditionalFormatting>
  <conditionalFormatting sqref="D10:E31">
    <cfRule type="colorScale" priority="12314">
      <colorScale>
        <cfvo type="min"/>
        <cfvo type="percentile" val="50"/>
        <cfvo type="max"/>
        <color rgb="FFF8696B"/>
        <color rgb="FFFFEB84"/>
        <color rgb="FF63BE7B"/>
      </colorScale>
    </cfRule>
  </conditionalFormatting>
  <conditionalFormatting sqref="D10:D31">
    <cfRule type="colorScale" priority="12313">
      <colorScale>
        <cfvo type="min"/>
        <cfvo type="percentile" val="50"/>
        <cfvo type="max"/>
        <color rgb="FFF8696B"/>
        <color rgb="FFFFEB84"/>
        <color rgb="FF63BE7B"/>
      </colorScale>
    </cfRule>
  </conditionalFormatting>
  <conditionalFormatting sqref="D10:D31">
    <cfRule type="colorScale" priority="12312">
      <colorScale>
        <cfvo type="min"/>
        <cfvo type="percentile" val="50"/>
        <cfvo type="max"/>
        <color rgb="FFF8696B"/>
        <color rgb="FFFFEB84"/>
        <color rgb="FF63BE7B"/>
      </colorScale>
    </cfRule>
  </conditionalFormatting>
  <conditionalFormatting sqref="D10:D31">
    <cfRule type="colorScale" priority="12311">
      <colorScale>
        <cfvo type="min"/>
        <cfvo type="percentile" val="50"/>
        <cfvo type="max"/>
        <color rgb="FFF8696B"/>
        <color rgb="FFFFEB84"/>
        <color rgb="FF63BE7B"/>
      </colorScale>
    </cfRule>
  </conditionalFormatting>
  <conditionalFormatting sqref="D10:D31">
    <cfRule type="colorScale" priority="12310">
      <colorScale>
        <cfvo type="min"/>
        <cfvo type="percentile" val="50"/>
        <cfvo type="max"/>
        <color rgb="FFF8696B"/>
        <color rgb="FFFFEB84"/>
        <color rgb="FF63BE7B"/>
      </colorScale>
    </cfRule>
  </conditionalFormatting>
  <conditionalFormatting sqref="D10:E31">
    <cfRule type="colorScale" priority="12309">
      <colorScale>
        <cfvo type="min"/>
        <cfvo type="percentile" val="50"/>
        <cfvo type="max"/>
        <color rgb="FFF8696B"/>
        <color rgb="FFFFEB84"/>
        <color rgb="FF63BE7B"/>
      </colorScale>
    </cfRule>
  </conditionalFormatting>
  <conditionalFormatting sqref="D10:E31">
    <cfRule type="colorScale" priority="12308">
      <colorScale>
        <cfvo type="min"/>
        <cfvo type="percentile" val="50"/>
        <cfvo type="max"/>
        <color rgb="FFF8696B"/>
        <color rgb="FFFFEB84"/>
        <color rgb="FF63BE7B"/>
      </colorScale>
    </cfRule>
  </conditionalFormatting>
  <conditionalFormatting sqref="D10:D31">
    <cfRule type="colorScale" priority="12307">
      <colorScale>
        <cfvo type="min"/>
        <cfvo type="percentile" val="50"/>
        <cfvo type="max"/>
        <color rgb="FFF8696B"/>
        <color rgb="FFFFEB84"/>
        <color rgb="FF63BE7B"/>
      </colorScale>
    </cfRule>
  </conditionalFormatting>
  <conditionalFormatting sqref="D10:D31">
    <cfRule type="colorScale" priority="12306">
      <colorScale>
        <cfvo type="min"/>
        <cfvo type="percentile" val="50"/>
        <cfvo type="max"/>
        <color rgb="FFF8696B"/>
        <color rgb="FFFFEB84"/>
        <color rgb="FF63BE7B"/>
      </colorScale>
    </cfRule>
  </conditionalFormatting>
  <conditionalFormatting sqref="D10:D31">
    <cfRule type="colorScale" priority="12305">
      <colorScale>
        <cfvo type="min"/>
        <cfvo type="percentile" val="50"/>
        <cfvo type="max"/>
        <color rgb="FFF8696B"/>
        <color rgb="FFFFEB84"/>
        <color rgb="FF63BE7B"/>
      </colorScale>
    </cfRule>
  </conditionalFormatting>
  <conditionalFormatting sqref="D10:D31">
    <cfRule type="colorScale" priority="12304">
      <colorScale>
        <cfvo type="min"/>
        <cfvo type="percentile" val="50"/>
        <cfvo type="max"/>
        <color rgb="FFF8696B"/>
        <color rgb="FFFFEB84"/>
        <color rgb="FF63BE7B"/>
      </colorScale>
    </cfRule>
  </conditionalFormatting>
  <conditionalFormatting sqref="D10:E31">
    <cfRule type="colorScale" priority="12303">
      <colorScale>
        <cfvo type="min"/>
        <cfvo type="percentile" val="50"/>
        <cfvo type="max"/>
        <color rgb="FFF8696B"/>
        <color rgb="FFFFEB84"/>
        <color rgb="FF63BE7B"/>
      </colorScale>
    </cfRule>
  </conditionalFormatting>
  <conditionalFormatting sqref="D10:E31">
    <cfRule type="colorScale" priority="12302">
      <colorScale>
        <cfvo type="min"/>
        <cfvo type="percentile" val="50"/>
        <cfvo type="max"/>
        <color rgb="FFF8696B"/>
        <color rgb="FFFFEB84"/>
        <color rgb="FF63BE7B"/>
      </colorScale>
    </cfRule>
  </conditionalFormatting>
  <conditionalFormatting sqref="D10:E31">
    <cfRule type="colorScale" priority="12301">
      <colorScale>
        <cfvo type="min"/>
        <cfvo type="percentile" val="50"/>
        <cfvo type="max"/>
        <color rgb="FFF8696B"/>
        <color rgb="FFFFEB84"/>
        <color rgb="FF63BE7B"/>
      </colorScale>
    </cfRule>
  </conditionalFormatting>
  <conditionalFormatting sqref="D10:E31">
    <cfRule type="colorScale" priority="12300">
      <colorScale>
        <cfvo type="min"/>
        <cfvo type="percentile" val="50"/>
        <cfvo type="max"/>
        <color rgb="FFF8696B"/>
        <color rgb="FFFFEB84"/>
        <color rgb="FF63BE7B"/>
      </colorScale>
    </cfRule>
  </conditionalFormatting>
  <conditionalFormatting sqref="D10:D31">
    <cfRule type="colorScale" priority="12299">
      <colorScale>
        <cfvo type="min"/>
        <cfvo type="percentile" val="50"/>
        <cfvo type="max"/>
        <color rgb="FFF8696B"/>
        <color rgb="FFFFEB84"/>
        <color rgb="FF63BE7B"/>
      </colorScale>
    </cfRule>
  </conditionalFormatting>
  <conditionalFormatting sqref="D10:D31">
    <cfRule type="colorScale" priority="12298">
      <colorScale>
        <cfvo type="min"/>
        <cfvo type="percentile" val="50"/>
        <cfvo type="max"/>
        <color rgb="FFF8696B"/>
        <color rgb="FFFFEB84"/>
        <color rgb="FF63BE7B"/>
      </colorScale>
    </cfRule>
  </conditionalFormatting>
  <conditionalFormatting sqref="D10:D31">
    <cfRule type="colorScale" priority="12297">
      <colorScale>
        <cfvo type="min"/>
        <cfvo type="percentile" val="50"/>
        <cfvo type="max"/>
        <color rgb="FFF8696B"/>
        <color rgb="FFFFEB84"/>
        <color rgb="FF63BE7B"/>
      </colorScale>
    </cfRule>
  </conditionalFormatting>
  <conditionalFormatting sqref="D10:D31">
    <cfRule type="colorScale" priority="12296">
      <colorScale>
        <cfvo type="min"/>
        <cfvo type="percentile" val="50"/>
        <cfvo type="max"/>
        <color rgb="FFF8696B"/>
        <color rgb="FFFFEB84"/>
        <color rgb="FF63BE7B"/>
      </colorScale>
    </cfRule>
  </conditionalFormatting>
  <conditionalFormatting sqref="D10:E31">
    <cfRule type="colorScale" priority="12295">
      <colorScale>
        <cfvo type="min"/>
        <cfvo type="percentile" val="50"/>
        <cfvo type="max"/>
        <color rgb="FFF8696B"/>
        <color rgb="FFFFEB84"/>
        <color rgb="FF63BE7B"/>
      </colorScale>
    </cfRule>
  </conditionalFormatting>
  <conditionalFormatting sqref="D10:E31">
    <cfRule type="colorScale" priority="12294">
      <colorScale>
        <cfvo type="min"/>
        <cfvo type="percentile" val="50"/>
        <cfvo type="max"/>
        <color rgb="FFF8696B"/>
        <color rgb="FFFFEB84"/>
        <color rgb="FF63BE7B"/>
      </colorScale>
    </cfRule>
  </conditionalFormatting>
  <conditionalFormatting sqref="D10:D31">
    <cfRule type="colorScale" priority="12293">
      <colorScale>
        <cfvo type="min"/>
        <cfvo type="percentile" val="50"/>
        <cfvo type="max"/>
        <color rgb="FFF8696B"/>
        <color rgb="FFFFEB84"/>
        <color rgb="FF63BE7B"/>
      </colorScale>
    </cfRule>
  </conditionalFormatting>
  <conditionalFormatting sqref="D10:D31">
    <cfRule type="colorScale" priority="12292">
      <colorScale>
        <cfvo type="min"/>
        <cfvo type="percentile" val="50"/>
        <cfvo type="max"/>
        <color rgb="FFF8696B"/>
        <color rgb="FFFFEB84"/>
        <color rgb="FF63BE7B"/>
      </colorScale>
    </cfRule>
  </conditionalFormatting>
  <conditionalFormatting sqref="D10:D31">
    <cfRule type="colorScale" priority="12291">
      <colorScale>
        <cfvo type="min"/>
        <cfvo type="percentile" val="50"/>
        <cfvo type="max"/>
        <color rgb="FFF8696B"/>
        <color rgb="FFFFEB84"/>
        <color rgb="FF63BE7B"/>
      </colorScale>
    </cfRule>
  </conditionalFormatting>
  <conditionalFormatting sqref="D10:D31">
    <cfRule type="colorScale" priority="12290">
      <colorScale>
        <cfvo type="min"/>
        <cfvo type="percentile" val="50"/>
        <cfvo type="max"/>
        <color rgb="FFF8696B"/>
        <color rgb="FFFFEB84"/>
        <color rgb="FF63BE7B"/>
      </colorScale>
    </cfRule>
  </conditionalFormatting>
  <conditionalFormatting sqref="D10:E31">
    <cfRule type="colorScale" priority="12289">
      <colorScale>
        <cfvo type="min"/>
        <cfvo type="percentile" val="50"/>
        <cfvo type="max"/>
        <color rgb="FFF8696B"/>
        <color rgb="FFFFEB84"/>
        <color rgb="FF63BE7B"/>
      </colorScale>
    </cfRule>
  </conditionalFormatting>
  <conditionalFormatting sqref="D10:E31">
    <cfRule type="colorScale" priority="12288">
      <colorScale>
        <cfvo type="min"/>
        <cfvo type="percentile" val="50"/>
        <cfvo type="max"/>
        <color rgb="FFF8696B"/>
        <color rgb="FFFFEB84"/>
        <color rgb="FF63BE7B"/>
      </colorScale>
    </cfRule>
  </conditionalFormatting>
  <conditionalFormatting sqref="D10:D31">
    <cfRule type="colorScale" priority="12287">
      <colorScale>
        <cfvo type="min"/>
        <cfvo type="percentile" val="50"/>
        <cfvo type="max"/>
        <color rgb="FFF8696B"/>
        <color rgb="FFFFEB84"/>
        <color rgb="FF63BE7B"/>
      </colorScale>
    </cfRule>
  </conditionalFormatting>
  <conditionalFormatting sqref="D10:D31">
    <cfRule type="colorScale" priority="12286">
      <colorScale>
        <cfvo type="min"/>
        <cfvo type="percentile" val="50"/>
        <cfvo type="max"/>
        <color rgb="FFF8696B"/>
        <color rgb="FFFFEB84"/>
        <color rgb="FF63BE7B"/>
      </colorScale>
    </cfRule>
  </conditionalFormatting>
  <conditionalFormatting sqref="D10:D31">
    <cfRule type="colorScale" priority="12285">
      <colorScale>
        <cfvo type="min"/>
        <cfvo type="percentile" val="50"/>
        <cfvo type="max"/>
        <color rgb="FFF8696B"/>
        <color rgb="FFFFEB84"/>
        <color rgb="FF63BE7B"/>
      </colorScale>
    </cfRule>
  </conditionalFormatting>
  <conditionalFormatting sqref="D10:D31">
    <cfRule type="colorScale" priority="12284">
      <colorScale>
        <cfvo type="min"/>
        <cfvo type="percentile" val="50"/>
        <cfvo type="max"/>
        <color rgb="FFF8696B"/>
        <color rgb="FFFFEB84"/>
        <color rgb="FF63BE7B"/>
      </colorScale>
    </cfRule>
  </conditionalFormatting>
  <conditionalFormatting sqref="D10:E31">
    <cfRule type="colorScale" priority="12283">
      <colorScale>
        <cfvo type="min"/>
        <cfvo type="percentile" val="50"/>
        <cfvo type="max"/>
        <color rgb="FFF8696B"/>
        <color rgb="FFFFEB84"/>
        <color rgb="FF63BE7B"/>
      </colorScale>
    </cfRule>
  </conditionalFormatting>
  <conditionalFormatting sqref="D10:E31">
    <cfRule type="colorScale" priority="12282">
      <colorScale>
        <cfvo type="min"/>
        <cfvo type="percentile" val="50"/>
        <cfvo type="max"/>
        <color rgb="FFF8696B"/>
        <color rgb="FFFFEB84"/>
        <color rgb="FF63BE7B"/>
      </colorScale>
    </cfRule>
  </conditionalFormatting>
  <conditionalFormatting sqref="D10:E31">
    <cfRule type="colorScale" priority="12281">
      <colorScale>
        <cfvo type="min"/>
        <cfvo type="percentile" val="50"/>
        <cfvo type="max"/>
        <color rgb="FFF8696B"/>
        <color rgb="FFFFEB84"/>
        <color rgb="FF63BE7B"/>
      </colorScale>
    </cfRule>
  </conditionalFormatting>
  <conditionalFormatting sqref="D10:E31">
    <cfRule type="colorScale" priority="12280">
      <colorScale>
        <cfvo type="min"/>
        <cfvo type="percentile" val="50"/>
        <cfvo type="max"/>
        <color rgb="FFF8696B"/>
        <color rgb="FFFFEB84"/>
        <color rgb="FF63BE7B"/>
      </colorScale>
    </cfRule>
  </conditionalFormatting>
  <conditionalFormatting sqref="D10:D31">
    <cfRule type="colorScale" priority="12279">
      <colorScale>
        <cfvo type="min"/>
        <cfvo type="percentile" val="50"/>
        <cfvo type="max"/>
        <color rgb="FFF8696B"/>
        <color rgb="FFFFEB84"/>
        <color rgb="FF63BE7B"/>
      </colorScale>
    </cfRule>
  </conditionalFormatting>
  <conditionalFormatting sqref="D10:D31">
    <cfRule type="colorScale" priority="12278">
      <colorScale>
        <cfvo type="min"/>
        <cfvo type="percentile" val="50"/>
        <cfvo type="max"/>
        <color rgb="FFF8696B"/>
        <color rgb="FFFFEB84"/>
        <color rgb="FF63BE7B"/>
      </colorScale>
    </cfRule>
  </conditionalFormatting>
  <conditionalFormatting sqref="D10:D31">
    <cfRule type="colorScale" priority="12277">
      <colorScale>
        <cfvo type="min"/>
        <cfvo type="percentile" val="50"/>
        <cfvo type="max"/>
        <color rgb="FFF8696B"/>
        <color rgb="FFFFEB84"/>
        <color rgb="FF63BE7B"/>
      </colorScale>
    </cfRule>
  </conditionalFormatting>
  <conditionalFormatting sqref="D10:D31">
    <cfRule type="colorScale" priority="12276">
      <colorScale>
        <cfvo type="min"/>
        <cfvo type="percentile" val="50"/>
        <cfvo type="max"/>
        <color rgb="FFF8696B"/>
        <color rgb="FFFFEB84"/>
        <color rgb="FF63BE7B"/>
      </colorScale>
    </cfRule>
  </conditionalFormatting>
  <conditionalFormatting sqref="D10:E31">
    <cfRule type="colorScale" priority="12275">
      <colorScale>
        <cfvo type="min"/>
        <cfvo type="percentile" val="50"/>
        <cfvo type="max"/>
        <color rgb="FFF8696B"/>
        <color rgb="FFFFEB84"/>
        <color rgb="FF63BE7B"/>
      </colorScale>
    </cfRule>
  </conditionalFormatting>
  <conditionalFormatting sqref="D10:E31">
    <cfRule type="colorScale" priority="12274">
      <colorScale>
        <cfvo type="min"/>
        <cfvo type="percentile" val="50"/>
        <cfvo type="max"/>
        <color rgb="FFF8696B"/>
        <color rgb="FFFFEB84"/>
        <color rgb="FF63BE7B"/>
      </colorScale>
    </cfRule>
  </conditionalFormatting>
  <conditionalFormatting sqref="D10:D31">
    <cfRule type="colorScale" priority="12273">
      <colorScale>
        <cfvo type="min"/>
        <cfvo type="percentile" val="50"/>
        <cfvo type="max"/>
        <color rgb="FFF8696B"/>
        <color rgb="FFFFEB84"/>
        <color rgb="FF63BE7B"/>
      </colorScale>
    </cfRule>
  </conditionalFormatting>
  <conditionalFormatting sqref="D10:D31">
    <cfRule type="colorScale" priority="12272">
      <colorScale>
        <cfvo type="min"/>
        <cfvo type="percentile" val="50"/>
        <cfvo type="max"/>
        <color rgb="FFF8696B"/>
        <color rgb="FFFFEB84"/>
        <color rgb="FF63BE7B"/>
      </colorScale>
    </cfRule>
  </conditionalFormatting>
  <conditionalFormatting sqref="D10:D31">
    <cfRule type="colorScale" priority="12271">
      <colorScale>
        <cfvo type="min"/>
        <cfvo type="percentile" val="50"/>
        <cfvo type="max"/>
        <color rgb="FFF8696B"/>
        <color rgb="FFFFEB84"/>
        <color rgb="FF63BE7B"/>
      </colorScale>
    </cfRule>
  </conditionalFormatting>
  <conditionalFormatting sqref="D10:D31">
    <cfRule type="colorScale" priority="12270">
      <colorScale>
        <cfvo type="min"/>
        <cfvo type="percentile" val="50"/>
        <cfvo type="max"/>
        <color rgb="FFF8696B"/>
        <color rgb="FFFFEB84"/>
        <color rgb="FF63BE7B"/>
      </colorScale>
    </cfRule>
  </conditionalFormatting>
  <conditionalFormatting sqref="D10:E31">
    <cfRule type="colorScale" priority="12269">
      <colorScale>
        <cfvo type="min"/>
        <cfvo type="percentile" val="50"/>
        <cfvo type="max"/>
        <color rgb="FFF8696B"/>
        <color rgb="FFFFEB84"/>
        <color rgb="FF63BE7B"/>
      </colorScale>
    </cfRule>
  </conditionalFormatting>
  <conditionalFormatting sqref="D10:E31">
    <cfRule type="colorScale" priority="12268">
      <colorScale>
        <cfvo type="min"/>
        <cfvo type="percentile" val="50"/>
        <cfvo type="max"/>
        <color rgb="FFF8696B"/>
        <color rgb="FFFFEB84"/>
        <color rgb="FF63BE7B"/>
      </colorScale>
    </cfRule>
  </conditionalFormatting>
  <conditionalFormatting sqref="D10:D31">
    <cfRule type="colorScale" priority="12267">
      <colorScale>
        <cfvo type="min"/>
        <cfvo type="percentile" val="50"/>
        <cfvo type="max"/>
        <color rgb="FFF8696B"/>
        <color rgb="FFFFEB84"/>
        <color rgb="FF63BE7B"/>
      </colorScale>
    </cfRule>
  </conditionalFormatting>
  <conditionalFormatting sqref="D10:D31">
    <cfRule type="colorScale" priority="12266">
      <colorScale>
        <cfvo type="min"/>
        <cfvo type="percentile" val="50"/>
        <cfvo type="max"/>
        <color rgb="FFF8696B"/>
        <color rgb="FFFFEB84"/>
        <color rgb="FF63BE7B"/>
      </colorScale>
    </cfRule>
  </conditionalFormatting>
  <conditionalFormatting sqref="D10:D31">
    <cfRule type="colorScale" priority="12265">
      <colorScale>
        <cfvo type="min"/>
        <cfvo type="percentile" val="50"/>
        <cfvo type="max"/>
        <color rgb="FFF8696B"/>
        <color rgb="FFFFEB84"/>
        <color rgb="FF63BE7B"/>
      </colorScale>
    </cfRule>
  </conditionalFormatting>
  <conditionalFormatting sqref="D10:D31">
    <cfRule type="colorScale" priority="12264">
      <colorScale>
        <cfvo type="min"/>
        <cfvo type="percentile" val="50"/>
        <cfvo type="max"/>
        <color rgb="FFF8696B"/>
        <color rgb="FFFFEB84"/>
        <color rgb="FF63BE7B"/>
      </colorScale>
    </cfRule>
  </conditionalFormatting>
  <conditionalFormatting sqref="D10:E31">
    <cfRule type="colorScale" priority="12263">
      <colorScale>
        <cfvo type="min"/>
        <cfvo type="percentile" val="50"/>
        <cfvo type="max"/>
        <color rgb="FFF8696B"/>
        <color rgb="FFFFEB84"/>
        <color rgb="FF63BE7B"/>
      </colorScale>
    </cfRule>
  </conditionalFormatting>
  <conditionalFormatting sqref="D10:E31">
    <cfRule type="colorScale" priority="12262">
      <colorScale>
        <cfvo type="min"/>
        <cfvo type="percentile" val="50"/>
        <cfvo type="max"/>
        <color rgb="FFF8696B"/>
        <color rgb="FFFFEB84"/>
        <color rgb="FF63BE7B"/>
      </colorScale>
    </cfRule>
  </conditionalFormatting>
  <conditionalFormatting sqref="D10:D31">
    <cfRule type="colorScale" priority="12261">
      <colorScale>
        <cfvo type="min"/>
        <cfvo type="percentile" val="50"/>
        <cfvo type="max"/>
        <color rgb="FFF8696B"/>
        <color rgb="FFFFEB84"/>
        <color rgb="FF63BE7B"/>
      </colorScale>
    </cfRule>
  </conditionalFormatting>
  <conditionalFormatting sqref="D10:D31">
    <cfRule type="colorScale" priority="12260">
      <colorScale>
        <cfvo type="min"/>
        <cfvo type="percentile" val="50"/>
        <cfvo type="max"/>
        <color rgb="FFF8696B"/>
        <color rgb="FFFFEB84"/>
        <color rgb="FF63BE7B"/>
      </colorScale>
    </cfRule>
  </conditionalFormatting>
  <conditionalFormatting sqref="E10:E31">
    <cfRule type="colorScale" priority="12259">
      <colorScale>
        <cfvo type="min"/>
        <cfvo type="percentile" val="50"/>
        <cfvo type="max"/>
        <color rgb="FFF8696B"/>
        <color rgb="FFFFEB84"/>
        <color rgb="FF63BE7B"/>
      </colorScale>
    </cfRule>
  </conditionalFormatting>
  <conditionalFormatting sqref="E10:E31">
    <cfRule type="colorScale" priority="12258">
      <colorScale>
        <cfvo type="min"/>
        <cfvo type="percentile" val="50"/>
        <cfvo type="max"/>
        <color rgb="FFF8696B"/>
        <color rgb="FFFFEB84"/>
        <color rgb="FF63BE7B"/>
      </colorScale>
    </cfRule>
  </conditionalFormatting>
  <conditionalFormatting sqref="D10:E32">
    <cfRule type="colorScale" priority="12257">
      <colorScale>
        <cfvo type="min"/>
        <cfvo type="percentile" val="50"/>
        <cfvo type="max"/>
        <color rgb="FFF8696B"/>
        <color rgb="FFFFEB84"/>
        <color rgb="FF63BE7B"/>
      </colorScale>
    </cfRule>
  </conditionalFormatting>
  <conditionalFormatting sqref="D10:E32">
    <cfRule type="colorScale" priority="12256">
      <colorScale>
        <cfvo type="min"/>
        <cfvo type="percentile" val="50"/>
        <cfvo type="max"/>
        <color rgb="FFF8696B"/>
        <color rgb="FFFFEB84"/>
        <color rgb="FF63BE7B"/>
      </colorScale>
    </cfRule>
  </conditionalFormatting>
  <conditionalFormatting sqref="D10:E31">
    <cfRule type="colorScale" priority="12255">
      <colorScale>
        <cfvo type="min"/>
        <cfvo type="percentile" val="50"/>
        <cfvo type="max"/>
        <color rgb="FFF8696B"/>
        <color rgb="FFFFEB84"/>
        <color rgb="FF63BE7B"/>
      </colorScale>
    </cfRule>
  </conditionalFormatting>
  <conditionalFormatting sqref="D10:E31">
    <cfRule type="colorScale" priority="12254">
      <colorScale>
        <cfvo type="min"/>
        <cfvo type="percentile" val="50"/>
        <cfvo type="max"/>
        <color rgb="FFF8696B"/>
        <color rgb="FFFFEB84"/>
        <color rgb="FF63BE7B"/>
      </colorScale>
    </cfRule>
  </conditionalFormatting>
  <conditionalFormatting sqref="D10:D31">
    <cfRule type="colorScale" priority="12253">
      <colorScale>
        <cfvo type="min"/>
        <cfvo type="percentile" val="50"/>
        <cfvo type="max"/>
        <color rgb="FFF8696B"/>
        <color rgb="FFFFEB84"/>
        <color rgb="FF63BE7B"/>
      </colorScale>
    </cfRule>
  </conditionalFormatting>
  <conditionalFormatting sqref="D10:D31">
    <cfRule type="colorScale" priority="12252">
      <colorScale>
        <cfvo type="min"/>
        <cfvo type="percentile" val="50"/>
        <cfvo type="max"/>
        <color rgb="FFF8696B"/>
        <color rgb="FFFFEB84"/>
        <color rgb="FF63BE7B"/>
      </colorScale>
    </cfRule>
  </conditionalFormatting>
  <conditionalFormatting sqref="D10:D29">
    <cfRule type="colorScale" priority="12251">
      <colorScale>
        <cfvo type="min"/>
        <cfvo type="percentile" val="50"/>
        <cfvo type="max"/>
        <color rgb="FFF8696B"/>
        <color rgb="FFFFEB84"/>
        <color rgb="FF63BE7B"/>
      </colorScale>
    </cfRule>
  </conditionalFormatting>
  <conditionalFormatting sqref="D10:D29">
    <cfRule type="colorScale" priority="12250">
      <colorScale>
        <cfvo type="min"/>
        <cfvo type="percentile" val="50"/>
        <cfvo type="max"/>
        <color rgb="FFF8696B"/>
        <color rgb="FFFFEB84"/>
        <color rgb="FF63BE7B"/>
      </colorScale>
    </cfRule>
  </conditionalFormatting>
  <conditionalFormatting sqref="D10:D31">
    <cfRule type="colorScale" priority="12249">
      <colorScale>
        <cfvo type="min"/>
        <cfvo type="percentile" val="50"/>
        <cfvo type="max"/>
        <color rgb="FFF8696B"/>
        <color rgb="FFFFEB84"/>
        <color rgb="FF63BE7B"/>
      </colorScale>
    </cfRule>
  </conditionalFormatting>
  <conditionalFormatting sqref="D10:D31">
    <cfRule type="colorScale" priority="12248">
      <colorScale>
        <cfvo type="min"/>
        <cfvo type="percentile" val="50"/>
        <cfvo type="max"/>
        <color rgb="FFF8696B"/>
        <color rgb="FFFFEB84"/>
        <color rgb="FF63BE7B"/>
      </colorScale>
    </cfRule>
  </conditionalFormatting>
  <conditionalFormatting sqref="D10:F32">
    <cfRule type="colorScale" priority="12247">
      <colorScale>
        <cfvo type="min"/>
        <cfvo type="percentile" val="50"/>
        <cfvo type="max"/>
        <color rgb="FFF8696B"/>
        <color rgb="FFFFEB84"/>
        <color rgb="FF63BE7B"/>
      </colorScale>
    </cfRule>
  </conditionalFormatting>
  <conditionalFormatting sqref="D10:F32">
    <cfRule type="colorScale" priority="12246">
      <colorScale>
        <cfvo type="min"/>
        <cfvo type="percentile" val="50"/>
        <cfvo type="max"/>
        <color rgb="FFF8696B"/>
        <color rgb="FFFFEB84"/>
        <color rgb="FF63BE7B"/>
      </colorScale>
    </cfRule>
  </conditionalFormatting>
  <conditionalFormatting sqref="D10:F31">
    <cfRule type="colorScale" priority="12245">
      <colorScale>
        <cfvo type="min"/>
        <cfvo type="percentile" val="50"/>
        <cfvo type="max"/>
        <color rgb="FFF8696B"/>
        <color rgb="FFFFEB84"/>
        <color rgb="FF63BE7B"/>
      </colorScale>
    </cfRule>
  </conditionalFormatting>
  <conditionalFormatting sqref="D10:F31">
    <cfRule type="colorScale" priority="12244">
      <colorScale>
        <cfvo type="min"/>
        <cfvo type="percentile" val="50"/>
        <cfvo type="max"/>
        <color rgb="FFF8696B"/>
        <color rgb="FFFFEB84"/>
        <color rgb="FF63BE7B"/>
      </colorScale>
    </cfRule>
  </conditionalFormatting>
  <conditionalFormatting sqref="D10:F31">
    <cfRule type="colorScale" priority="12243">
      <colorScale>
        <cfvo type="min"/>
        <cfvo type="percentile" val="50"/>
        <cfvo type="max"/>
        <color rgb="FFF8696B"/>
        <color rgb="FFFFEB84"/>
        <color rgb="FF63BE7B"/>
      </colorScale>
    </cfRule>
  </conditionalFormatting>
  <conditionalFormatting sqref="D10:F31">
    <cfRule type="colorScale" priority="12242">
      <colorScale>
        <cfvo type="min"/>
        <cfvo type="percentile" val="50"/>
        <cfvo type="max"/>
        <color rgb="FFF8696B"/>
        <color rgb="FFFFEB84"/>
        <color rgb="FF63BE7B"/>
      </colorScale>
    </cfRule>
  </conditionalFormatting>
  <conditionalFormatting sqref="D10:E31">
    <cfRule type="colorScale" priority="12241">
      <colorScale>
        <cfvo type="min"/>
        <cfvo type="percentile" val="50"/>
        <cfvo type="max"/>
        <color rgb="FFF8696B"/>
        <color rgb="FFFFEB84"/>
        <color rgb="FF63BE7B"/>
      </colorScale>
    </cfRule>
  </conditionalFormatting>
  <conditionalFormatting sqref="D10:E31">
    <cfRule type="colorScale" priority="12240">
      <colorScale>
        <cfvo type="min"/>
        <cfvo type="percentile" val="50"/>
        <cfvo type="max"/>
        <color rgb="FFF8696B"/>
        <color rgb="FFFFEB84"/>
        <color rgb="FF63BE7B"/>
      </colorScale>
    </cfRule>
  </conditionalFormatting>
  <conditionalFormatting sqref="D10:E31">
    <cfRule type="colorScale" priority="12239">
      <colorScale>
        <cfvo type="min"/>
        <cfvo type="percentile" val="50"/>
        <cfvo type="max"/>
        <color rgb="FFF8696B"/>
        <color rgb="FFFFEB84"/>
        <color rgb="FF63BE7B"/>
      </colorScale>
    </cfRule>
  </conditionalFormatting>
  <conditionalFormatting sqref="D10:E31">
    <cfRule type="colorScale" priority="12238">
      <colorScale>
        <cfvo type="min"/>
        <cfvo type="percentile" val="50"/>
        <cfvo type="max"/>
        <color rgb="FFF8696B"/>
        <color rgb="FFFFEB84"/>
        <color rgb="FF63BE7B"/>
      </colorScale>
    </cfRule>
  </conditionalFormatting>
  <conditionalFormatting sqref="D10:E31">
    <cfRule type="colorScale" priority="12237">
      <colorScale>
        <cfvo type="min"/>
        <cfvo type="percentile" val="50"/>
        <cfvo type="max"/>
        <color rgb="FFF8696B"/>
        <color rgb="FFFFEB84"/>
        <color rgb="FF63BE7B"/>
      </colorScale>
    </cfRule>
  </conditionalFormatting>
  <conditionalFormatting sqref="D10:E31">
    <cfRule type="colorScale" priority="12236">
      <colorScale>
        <cfvo type="min"/>
        <cfvo type="percentile" val="50"/>
        <cfvo type="max"/>
        <color rgb="FFF8696B"/>
        <color rgb="FFFFEB84"/>
        <color rgb="FF63BE7B"/>
      </colorScale>
    </cfRule>
  </conditionalFormatting>
  <conditionalFormatting sqref="E10:E31">
    <cfRule type="colorScale" priority="12235">
      <colorScale>
        <cfvo type="min"/>
        <cfvo type="percentile" val="50"/>
        <cfvo type="max"/>
        <color rgb="FFF8696B"/>
        <color rgb="FFFFEB84"/>
        <color rgb="FF63BE7B"/>
      </colorScale>
    </cfRule>
  </conditionalFormatting>
  <conditionalFormatting sqref="E10:E31">
    <cfRule type="colorScale" priority="12234">
      <colorScale>
        <cfvo type="min"/>
        <cfvo type="percentile" val="50"/>
        <cfvo type="max"/>
        <color rgb="FFF8696B"/>
        <color rgb="FFFFEB84"/>
        <color rgb="FF63BE7B"/>
      </colorScale>
    </cfRule>
  </conditionalFormatting>
  <conditionalFormatting sqref="J10:J31">
    <cfRule type="colorScale" priority="12233">
      <colorScale>
        <cfvo type="min"/>
        <cfvo type="percentile" val="50"/>
        <cfvo type="max"/>
        <color rgb="FFF8696B"/>
        <color rgb="FFFFEB84"/>
        <color rgb="FF63BE7B"/>
      </colorScale>
    </cfRule>
  </conditionalFormatting>
  <conditionalFormatting sqref="D10:D32">
    <cfRule type="colorScale" priority="12232">
      <colorScale>
        <cfvo type="min"/>
        <cfvo type="percentile" val="50"/>
        <cfvo type="max"/>
        <color rgb="FFF8696B"/>
        <color rgb="FFFFEB84"/>
        <color rgb="FF63BE7B"/>
      </colorScale>
    </cfRule>
  </conditionalFormatting>
  <conditionalFormatting sqref="D10:D32">
    <cfRule type="colorScale" priority="12231">
      <colorScale>
        <cfvo type="min"/>
        <cfvo type="percentile" val="50"/>
        <cfvo type="max"/>
        <color rgb="FFF8696B"/>
        <color rgb="FFFFEB84"/>
        <color rgb="FF63BE7B"/>
      </colorScale>
    </cfRule>
  </conditionalFormatting>
  <conditionalFormatting sqref="D10:D31">
    <cfRule type="colorScale" priority="12230">
      <colorScale>
        <cfvo type="min"/>
        <cfvo type="percentile" val="50"/>
        <cfvo type="max"/>
        <color rgb="FFF8696B"/>
        <color rgb="FFFFEB84"/>
        <color rgb="FF63BE7B"/>
      </colorScale>
    </cfRule>
  </conditionalFormatting>
  <conditionalFormatting sqref="D10:D31">
    <cfRule type="colorScale" priority="12229">
      <colorScale>
        <cfvo type="min"/>
        <cfvo type="percentile" val="50"/>
        <cfvo type="max"/>
        <color rgb="FFF8696B"/>
        <color rgb="FFFFEB84"/>
        <color rgb="FF63BE7B"/>
      </colorScale>
    </cfRule>
  </conditionalFormatting>
  <conditionalFormatting sqref="D10:D31">
    <cfRule type="colorScale" priority="12228">
      <colorScale>
        <cfvo type="min"/>
        <cfvo type="percentile" val="50"/>
        <cfvo type="max"/>
        <color rgb="FFF8696B"/>
        <color rgb="FFFFEB84"/>
        <color rgb="FF63BE7B"/>
      </colorScale>
    </cfRule>
  </conditionalFormatting>
  <conditionalFormatting sqref="D10:D31">
    <cfRule type="colorScale" priority="12227">
      <colorScale>
        <cfvo type="min"/>
        <cfvo type="percentile" val="50"/>
        <cfvo type="max"/>
        <color rgb="FFF8696B"/>
        <color rgb="FFFFEB84"/>
        <color rgb="FF63BE7B"/>
      </colorScale>
    </cfRule>
  </conditionalFormatting>
  <conditionalFormatting sqref="D10:D31">
    <cfRule type="colorScale" priority="12226">
      <colorScale>
        <cfvo type="min"/>
        <cfvo type="percentile" val="50"/>
        <cfvo type="max"/>
        <color rgb="FFF8696B"/>
        <color rgb="FFFFEB84"/>
        <color rgb="FF63BE7B"/>
      </colorScale>
    </cfRule>
  </conditionalFormatting>
  <conditionalFormatting sqref="D10:D31">
    <cfRule type="colorScale" priority="12225">
      <colorScale>
        <cfvo type="min"/>
        <cfvo type="percentile" val="50"/>
        <cfvo type="max"/>
        <color rgb="FFF8696B"/>
        <color rgb="FFFFEB84"/>
        <color rgb="FF63BE7B"/>
      </colorScale>
    </cfRule>
  </conditionalFormatting>
  <conditionalFormatting sqref="D10:D31">
    <cfRule type="colorScale" priority="12224">
      <colorScale>
        <cfvo type="min"/>
        <cfvo type="percentile" val="50"/>
        <cfvo type="max"/>
        <color rgb="FFF8696B"/>
        <color rgb="FFFFEB84"/>
        <color rgb="FF63BE7B"/>
      </colorScale>
    </cfRule>
  </conditionalFormatting>
  <conditionalFormatting sqref="D10:D31">
    <cfRule type="colorScale" priority="12223">
      <colorScale>
        <cfvo type="min"/>
        <cfvo type="percentile" val="50"/>
        <cfvo type="max"/>
        <color rgb="FFF8696B"/>
        <color rgb="FFFFEB84"/>
        <color rgb="FF63BE7B"/>
      </colorScale>
    </cfRule>
  </conditionalFormatting>
  <conditionalFormatting sqref="D10:D31">
    <cfRule type="colorScale" priority="12222">
      <colorScale>
        <cfvo type="min"/>
        <cfvo type="percentile" val="50"/>
        <cfvo type="max"/>
        <color rgb="FFF8696B"/>
        <color rgb="FFFFEB84"/>
        <color rgb="FF63BE7B"/>
      </colorScale>
    </cfRule>
  </conditionalFormatting>
  <conditionalFormatting sqref="D10:D31">
    <cfRule type="colorScale" priority="12221">
      <colorScale>
        <cfvo type="min"/>
        <cfvo type="percentile" val="50"/>
        <cfvo type="max"/>
        <color rgb="FFF8696B"/>
        <color rgb="FFFFEB84"/>
        <color rgb="FF63BE7B"/>
      </colorScale>
    </cfRule>
  </conditionalFormatting>
  <conditionalFormatting sqref="D10:D31">
    <cfRule type="colorScale" priority="12220">
      <colorScale>
        <cfvo type="min"/>
        <cfvo type="percentile" val="50"/>
        <cfvo type="max"/>
        <color rgb="FFF8696B"/>
        <color rgb="FFFFEB84"/>
        <color rgb="FF63BE7B"/>
      </colorScale>
    </cfRule>
  </conditionalFormatting>
  <conditionalFormatting sqref="D10:D31">
    <cfRule type="colorScale" priority="12219">
      <colorScale>
        <cfvo type="min"/>
        <cfvo type="percentile" val="50"/>
        <cfvo type="max"/>
        <color rgb="FFF8696B"/>
        <color rgb="FFFFEB84"/>
        <color rgb="FF63BE7B"/>
      </colorScale>
    </cfRule>
  </conditionalFormatting>
  <conditionalFormatting sqref="D10:D31">
    <cfRule type="colorScale" priority="12218">
      <colorScale>
        <cfvo type="min"/>
        <cfvo type="percentile" val="50"/>
        <cfvo type="max"/>
        <color rgb="FFF8696B"/>
        <color rgb="FFFFEB84"/>
        <color rgb="FF63BE7B"/>
      </colorScale>
    </cfRule>
  </conditionalFormatting>
  <conditionalFormatting sqref="D10:D31">
    <cfRule type="colorScale" priority="12217">
      <colorScale>
        <cfvo type="min"/>
        <cfvo type="percentile" val="50"/>
        <cfvo type="max"/>
        <color rgb="FFF8696B"/>
        <color rgb="FFFFEB84"/>
        <color rgb="FF63BE7B"/>
      </colorScale>
    </cfRule>
  </conditionalFormatting>
  <conditionalFormatting sqref="D10:D31">
    <cfRule type="colorScale" priority="12216">
      <colorScale>
        <cfvo type="min"/>
        <cfvo type="percentile" val="50"/>
        <cfvo type="max"/>
        <color rgb="FFF8696B"/>
        <color rgb="FFFFEB84"/>
        <color rgb="FF63BE7B"/>
      </colorScale>
    </cfRule>
  </conditionalFormatting>
  <conditionalFormatting sqref="D10:D31">
    <cfRule type="colorScale" priority="12215">
      <colorScale>
        <cfvo type="min"/>
        <cfvo type="percentile" val="50"/>
        <cfvo type="max"/>
        <color rgb="FFF8696B"/>
        <color rgb="FFFFEB84"/>
        <color rgb="FF63BE7B"/>
      </colorScale>
    </cfRule>
  </conditionalFormatting>
  <conditionalFormatting sqref="D10:D31">
    <cfRule type="colorScale" priority="12214">
      <colorScale>
        <cfvo type="min"/>
        <cfvo type="percentile" val="50"/>
        <cfvo type="max"/>
        <color rgb="FFF8696B"/>
        <color rgb="FFFFEB84"/>
        <color rgb="FF63BE7B"/>
      </colorScale>
    </cfRule>
  </conditionalFormatting>
  <conditionalFormatting sqref="D10:D31">
    <cfRule type="colorScale" priority="12213">
      <colorScale>
        <cfvo type="min"/>
        <cfvo type="percentile" val="50"/>
        <cfvo type="max"/>
        <color rgb="FFF8696B"/>
        <color rgb="FFFFEB84"/>
        <color rgb="FF63BE7B"/>
      </colorScale>
    </cfRule>
  </conditionalFormatting>
  <conditionalFormatting sqref="D10:D31">
    <cfRule type="colorScale" priority="12212">
      <colorScale>
        <cfvo type="min"/>
        <cfvo type="percentile" val="50"/>
        <cfvo type="max"/>
        <color rgb="FFF8696B"/>
        <color rgb="FFFFEB84"/>
        <color rgb="FF63BE7B"/>
      </colorScale>
    </cfRule>
  </conditionalFormatting>
  <conditionalFormatting sqref="D10:D31">
    <cfRule type="colorScale" priority="12211">
      <colorScale>
        <cfvo type="min"/>
        <cfvo type="percentile" val="50"/>
        <cfvo type="max"/>
        <color rgb="FFF8696B"/>
        <color rgb="FFFFEB84"/>
        <color rgb="FF63BE7B"/>
      </colorScale>
    </cfRule>
  </conditionalFormatting>
  <conditionalFormatting sqref="D10:D31">
    <cfRule type="colorScale" priority="12210">
      <colorScale>
        <cfvo type="min"/>
        <cfvo type="percentile" val="50"/>
        <cfvo type="max"/>
        <color rgb="FFF8696B"/>
        <color rgb="FFFFEB84"/>
        <color rgb="FF63BE7B"/>
      </colorScale>
    </cfRule>
  </conditionalFormatting>
  <conditionalFormatting sqref="D10:D31">
    <cfRule type="colorScale" priority="12209">
      <colorScale>
        <cfvo type="min"/>
        <cfvo type="percentile" val="50"/>
        <cfvo type="max"/>
        <color rgb="FFF8696B"/>
        <color rgb="FFFFEB84"/>
        <color rgb="FF63BE7B"/>
      </colorScale>
    </cfRule>
  </conditionalFormatting>
  <conditionalFormatting sqref="D10:D31">
    <cfRule type="colorScale" priority="12208">
      <colorScale>
        <cfvo type="min"/>
        <cfvo type="percentile" val="50"/>
        <cfvo type="max"/>
        <color rgb="FFF8696B"/>
        <color rgb="FFFFEB84"/>
        <color rgb="FF63BE7B"/>
      </colorScale>
    </cfRule>
  </conditionalFormatting>
  <conditionalFormatting sqref="D10:D31">
    <cfRule type="colorScale" priority="12207">
      <colorScale>
        <cfvo type="min"/>
        <cfvo type="percentile" val="50"/>
        <cfvo type="max"/>
        <color rgb="FFF8696B"/>
        <color rgb="FFFFEB84"/>
        <color rgb="FF63BE7B"/>
      </colorScale>
    </cfRule>
  </conditionalFormatting>
  <conditionalFormatting sqref="D10:D31">
    <cfRule type="colorScale" priority="12206">
      <colorScale>
        <cfvo type="min"/>
        <cfvo type="percentile" val="50"/>
        <cfvo type="max"/>
        <color rgb="FFF8696B"/>
        <color rgb="FFFFEB84"/>
        <color rgb="FF63BE7B"/>
      </colorScale>
    </cfRule>
  </conditionalFormatting>
  <conditionalFormatting sqref="D10:D31">
    <cfRule type="colorScale" priority="12205">
      <colorScale>
        <cfvo type="min"/>
        <cfvo type="percentile" val="50"/>
        <cfvo type="max"/>
        <color rgb="FFF8696B"/>
        <color rgb="FFFFEB84"/>
        <color rgb="FF63BE7B"/>
      </colorScale>
    </cfRule>
  </conditionalFormatting>
  <conditionalFormatting sqref="D10:D31">
    <cfRule type="colorScale" priority="12204">
      <colorScale>
        <cfvo type="min"/>
        <cfvo type="percentile" val="50"/>
        <cfvo type="max"/>
        <color rgb="FFF8696B"/>
        <color rgb="FFFFEB84"/>
        <color rgb="FF63BE7B"/>
      </colorScale>
    </cfRule>
  </conditionalFormatting>
  <conditionalFormatting sqref="D10:D31">
    <cfRule type="colorScale" priority="12203">
      <colorScale>
        <cfvo type="min"/>
        <cfvo type="percentile" val="50"/>
        <cfvo type="max"/>
        <color rgb="FFF8696B"/>
        <color rgb="FFFFEB84"/>
        <color rgb="FF63BE7B"/>
      </colorScale>
    </cfRule>
  </conditionalFormatting>
  <conditionalFormatting sqref="D10:D31">
    <cfRule type="colorScale" priority="12202">
      <colorScale>
        <cfvo type="min"/>
        <cfvo type="percentile" val="50"/>
        <cfvo type="max"/>
        <color rgb="FFF8696B"/>
        <color rgb="FFFFEB84"/>
        <color rgb="FF63BE7B"/>
      </colorScale>
    </cfRule>
  </conditionalFormatting>
  <conditionalFormatting sqref="D10:D31">
    <cfRule type="colorScale" priority="12201">
      <colorScale>
        <cfvo type="min"/>
        <cfvo type="percentile" val="50"/>
        <cfvo type="max"/>
        <color rgb="FFF8696B"/>
        <color rgb="FFFFEB84"/>
        <color rgb="FF63BE7B"/>
      </colorScale>
    </cfRule>
  </conditionalFormatting>
  <conditionalFormatting sqref="D10:D31">
    <cfRule type="colorScale" priority="12200">
      <colorScale>
        <cfvo type="min"/>
        <cfvo type="percentile" val="50"/>
        <cfvo type="max"/>
        <color rgb="FFF8696B"/>
        <color rgb="FFFFEB84"/>
        <color rgb="FF63BE7B"/>
      </colorScale>
    </cfRule>
  </conditionalFormatting>
  <conditionalFormatting sqref="D10:D31">
    <cfRule type="colorScale" priority="12199">
      <colorScale>
        <cfvo type="min"/>
        <cfvo type="percentile" val="50"/>
        <cfvo type="max"/>
        <color rgb="FFF8696B"/>
        <color rgb="FFFFEB84"/>
        <color rgb="FF63BE7B"/>
      </colorScale>
    </cfRule>
  </conditionalFormatting>
  <conditionalFormatting sqref="D10:D31">
    <cfRule type="colorScale" priority="12198">
      <colorScale>
        <cfvo type="min"/>
        <cfvo type="percentile" val="50"/>
        <cfvo type="max"/>
        <color rgb="FFF8696B"/>
        <color rgb="FFFFEB84"/>
        <color rgb="FF63BE7B"/>
      </colorScale>
    </cfRule>
  </conditionalFormatting>
  <conditionalFormatting sqref="D10:D31">
    <cfRule type="colorScale" priority="12197">
      <colorScale>
        <cfvo type="min"/>
        <cfvo type="percentile" val="50"/>
        <cfvo type="max"/>
        <color rgb="FFF8696B"/>
        <color rgb="FFFFEB84"/>
        <color rgb="FF63BE7B"/>
      </colorScale>
    </cfRule>
  </conditionalFormatting>
  <conditionalFormatting sqref="D10:D31">
    <cfRule type="colorScale" priority="12196">
      <colorScale>
        <cfvo type="min"/>
        <cfvo type="percentile" val="50"/>
        <cfvo type="max"/>
        <color rgb="FFF8696B"/>
        <color rgb="FFFFEB84"/>
        <color rgb="FF63BE7B"/>
      </colorScale>
    </cfRule>
  </conditionalFormatting>
  <conditionalFormatting sqref="D10:D31">
    <cfRule type="colorScale" priority="12195">
      <colorScale>
        <cfvo type="min"/>
        <cfvo type="percentile" val="50"/>
        <cfvo type="max"/>
        <color rgb="FFF8696B"/>
        <color rgb="FFFFEB84"/>
        <color rgb="FF63BE7B"/>
      </colorScale>
    </cfRule>
  </conditionalFormatting>
  <conditionalFormatting sqref="D10:D31">
    <cfRule type="colorScale" priority="12194">
      <colorScale>
        <cfvo type="min"/>
        <cfvo type="percentile" val="50"/>
        <cfvo type="max"/>
        <color rgb="FFF8696B"/>
        <color rgb="FFFFEB84"/>
        <color rgb="FF63BE7B"/>
      </colorScale>
    </cfRule>
  </conditionalFormatting>
  <conditionalFormatting sqref="D10:D31">
    <cfRule type="colorScale" priority="12193">
      <colorScale>
        <cfvo type="min"/>
        <cfvo type="percentile" val="50"/>
        <cfvo type="max"/>
        <color rgb="FFF8696B"/>
        <color rgb="FFFFEB84"/>
        <color rgb="FF63BE7B"/>
      </colorScale>
    </cfRule>
  </conditionalFormatting>
  <conditionalFormatting sqref="D10:D31">
    <cfRule type="colorScale" priority="12192">
      <colorScale>
        <cfvo type="min"/>
        <cfvo type="percentile" val="50"/>
        <cfvo type="max"/>
        <color rgb="FFF8696B"/>
        <color rgb="FFFFEB84"/>
        <color rgb="FF63BE7B"/>
      </colorScale>
    </cfRule>
  </conditionalFormatting>
  <conditionalFormatting sqref="D10:D31">
    <cfRule type="colorScale" priority="12191">
      <colorScale>
        <cfvo type="min"/>
        <cfvo type="percentile" val="50"/>
        <cfvo type="max"/>
        <color rgb="FFF8696B"/>
        <color rgb="FFFFEB84"/>
        <color rgb="FF63BE7B"/>
      </colorScale>
    </cfRule>
  </conditionalFormatting>
  <conditionalFormatting sqref="D10:D31">
    <cfRule type="colorScale" priority="12190">
      <colorScale>
        <cfvo type="min"/>
        <cfvo type="percentile" val="50"/>
        <cfvo type="max"/>
        <color rgb="FFF8696B"/>
        <color rgb="FFFFEB84"/>
        <color rgb="FF63BE7B"/>
      </colorScale>
    </cfRule>
  </conditionalFormatting>
  <conditionalFormatting sqref="D10:D31">
    <cfRule type="colorScale" priority="12189">
      <colorScale>
        <cfvo type="min"/>
        <cfvo type="percentile" val="50"/>
        <cfvo type="max"/>
        <color rgb="FFF8696B"/>
        <color rgb="FFFFEB84"/>
        <color rgb="FF63BE7B"/>
      </colorScale>
    </cfRule>
  </conditionalFormatting>
  <conditionalFormatting sqref="D10:D31">
    <cfRule type="colorScale" priority="12188">
      <colorScale>
        <cfvo type="min"/>
        <cfvo type="percentile" val="50"/>
        <cfvo type="max"/>
        <color rgb="FFF8696B"/>
        <color rgb="FFFFEB84"/>
        <color rgb="FF63BE7B"/>
      </colorScale>
    </cfRule>
  </conditionalFormatting>
  <conditionalFormatting sqref="D10:D31">
    <cfRule type="colorScale" priority="12187">
      <colorScale>
        <cfvo type="min"/>
        <cfvo type="percentile" val="50"/>
        <cfvo type="max"/>
        <color rgb="FFF8696B"/>
        <color rgb="FFFFEB84"/>
        <color rgb="FF63BE7B"/>
      </colorScale>
    </cfRule>
  </conditionalFormatting>
  <conditionalFormatting sqref="D10:D31">
    <cfRule type="colorScale" priority="12186">
      <colorScale>
        <cfvo type="min"/>
        <cfvo type="percentile" val="50"/>
        <cfvo type="max"/>
        <color rgb="FFF8696B"/>
        <color rgb="FFFFEB84"/>
        <color rgb="FF63BE7B"/>
      </colorScale>
    </cfRule>
  </conditionalFormatting>
  <conditionalFormatting sqref="D10:D31">
    <cfRule type="colorScale" priority="12185">
      <colorScale>
        <cfvo type="min"/>
        <cfvo type="percentile" val="50"/>
        <cfvo type="max"/>
        <color rgb="FFF8696B"/>
        <color rgb="FFFFEB84"/>
        <color rgb="FF63BE7B"/>
      </colorScale>
    </cfRule>
  </conditionalFormatting>
  <conditionalFormatting sqref="D10:D31">
    <cfRule type="colorScale" priority="12184">
      <colorScale>
        <cfvo type="min"/>
        <cfvo type="percentile" val="50"/>
        <cfvo type="max"/>
        <color rgb="FFF8696B"/>
        <color rgb="FFFFEB84"/>
        <color rgb="FF63BE7B"/>
      </colorScale>
    </cfRule>
  </conditionalFormatting>
  <conditionalFormatting sqref="D10:D31">
    <cfRule type="colorScale" priority="12183">
      <colorScale>
        <cfvo type="min"/>
        <cfvo type="percentile" val="50"/>
        <cfvo type="max"/>
        <color rgb="FFF8696B"/>
        <color rgb="FFFFEB84"/>
        <color rgb="FF63BE7B"/>
      </colorScale>
    </cfRule>
  </conditionalFormatting>
  <conditionalFormatting sqref="D10:D31">
    <cfRule type="colorScale" priority="12182">
      <colorScale>
        <cfvo type="min"/>
        <cfvo type="percentile" val="50"/>
        <cfvo type="max"/>
        <color rgb="FFF8696B"/>
        <color rgb="FFFFEB84"/>
        <color rgb="FF63BE7B"/>
      </colorScale>
    </cfRule>
  </conditionalFormatting>
  <conditionalFormatting sqref="D10:D31">
    <cfRule type="colorScale" priority="12181">
      <colorScale>
        <cfvo type="min"/>
        <cfvo type="percentile" val="50"/>
        <cfvo type="max"/>
        <color rgb="FFF8696B"/>
        <color rgb="FFFFEB84"/>
        <color rgb="FF63BE7B"/>
      </colorScale>
    </cfRule>
  </conditionalFormatting>
  <conditionalFormatting sqref="D10:D31">
    <cfRule type="colorScale" priority="12180">
      <colorScale>
        <cfvo type="min"/>
        <cfvo type="percentile" val="50"/>
        <cfvo type="max"/>
        <color rgb="FFF8696B"/>
        <color rgb="FFFFEB84"/>
        <color rgb="FF63BE7B"/>
      </colorScale>
    </cfRule>
  </conditionalFormatting>
  <conditionalFormatting sqref="D10:D31">
    <cfRule type="colorScale" priority="12179">
      <colorScale>
        <cfvo type="min"/>
        <cfvo type="percentile" val="50"/>
        <cfvo type="max"/>
        <color rgb="FFF8696B"/>
        <color rgb="FFFFEB84"/>
        <color rgb="FF63BE7B"/>
      </colorScale>
    </cfRule>
  </conditionalFormatting>
  <conditionalFormatting sqref="D10:D31">
    <cfRule type="colorScale" priority="12178">
      <colorScale>
        <cfvo type="min"/>
        <cfvo type="percentile" val="50"/>
        <cfvo type="max"/>
        <color rgb="FFF8696B"/>
        <color rgb="FFFFEB84"/>
        <color rgb="FF63BE7B"/>
      </colorScale>
    </cfRule>
  </conditionalFormatting>
  <conditionalFormatting sqref="D10:D31">
    <cfRule type="colorScale" priority="12177">
      <colorScale>
        <cfvo type="min"/>
        <cfvo type="percentile" val="50"/>
        <cfvo type="max"/>
        <color rgb="FFF8696B"/>
        <color rgb="FFFFEB84"/>
        <color rgb="FF63BE7B"/>
      </colorScale>
    </cfRule>
  </conditionalFormatting>
  <conditionalFormatting sqref="D10:D31">
    <cfRule type="colorScale" priority="12176">
      <colorScale>
        <cfvo type="min"/>
        <cfvo type="percentile" val="50"/>
        <cfvo type="max"/>
        <color rgb="FFF8696B"/>
        <color rgb="FFFFEB84"/>
        <color rgb="FF63BE7B"/>
      </colorScale>
    </cfRule>
  </conditionalFormatting>
  <conditionalFormatting sqref="D10:D31">
    <cfRule type="colorScale" priority="12175">
      <colorScale>
        <cfvo type="min"/>
        <cfvo type="percentile" val="50"/>
        <cfvo type="max"/>
        <color rgb="FFF8696B"/>
        <color rgb="FFFFEB84"/>
        <color rgb="FF63BE7B"/>
      </colorScale>
    </cfRule>
  </conditionalFormatting>
  <conditionalFormatting sqref="D10:D31">
    <cfRule type="colorScale" priority="12174">
      <colorScale>
        <cfvo type="min"/>
        <cfvo type="percentile" val="50"/>
        <cfvo type="max"/>
        <color rgb="FFF8696B"/>
        <color rgb="FFFFEB84"/>
        <color rgb="FF63BE7B"/>
      </colorScale>
    </cfRule>
  </conditionalFormatting>
  <conditionalFormatting sqref="D10:D31">
    <cfRule type="colorScale" priority="12173">
      <colorScale>
        <cfvo type="min"/>
        <cfvo type="percentile" val="50"/>
        <cfvo type="max"/>
        <color rgb="FFF8696B"/>
        <color rgb="FFFFEB84"/>
        <color rgb="FF63BE7B"/>
      </colorScale>
    </cfRule>
  </conditionalFormatting>
  <conditionalFormatting sqref="D10:D31">
    <cfRule type="colorScale" priority="12172">
      <colorScale>
        <cfvo type="min"/>
        <cfvo type="percentile" val="50"/>
        <cfvo type="max"/>
        <color rgb="FFF8696B"/>
        <color rgb="FFFFEB84"/>
        <color rgb="FF63BE7B"/>
      </colorScale>
    </cfRule>
  </conditionalFormatting>
  <conditionalFormatting sqref="D10:D31">
    <cfRule type="colorScale" priority="12171">
      <colorScale>
        <cfvo type="min"/>
        <cfvo type="percentile" val="50"/>
        <cfvo type="max"/>
        <color rgb="FFF8696B"/>
        <color rgb="FFFFEB84"/>
        <color rgb="FF63BE7B"/>
      </colorScale>
    </cfRule>
  </conditionalFormatting>
  <conditionalFormatting sqref="D10:D31">
    <cfRule type="colorScale" priority="12170">
      <colorScale>
        <cfvo type="min"/>
        <cfvo type="percentile" val="50"/>
        <cfvo type="max"/>
        <color rgb="FFF8696B"/>
        <color rgb="FFFFEB84"/>
        <color rgb="FF63BE7B"/>
      </colorScale>
    </cfRule>
  </conditionalFormatting>
  <conditionalFormatting sqref="D10:D31">
    <cfRule type="colorScale" priority="12169">
      <colorScale>
        <cfvo type="min"/>
        <cfvo type="percentile" val="50"/>
        <cfvo type="max"/>
        <color rgb="FFF8696B"/>
        <color rgb="FFFFEB84"/>
        <color rgb="FF63BE7B"/>
      </colorScale>
    </cfRule>
  </conditionalFormatting>
  <conditionalFormatting sqref="D10:D31">
    <cfRule type="colorScale" priority="12168">
      <colorScale>
        <cfvo type="min"/>
        <cfvo type="percentile" val="50"/>
        <cfvo type="max"/>
        <color rgb="FFF8696B"/>
        <color rgb="FFFFEB84"/>
        <color rgb="FF63BE7B"/>
      </colorScale>
    </cfRule>
  </conditionalFormatting>
  <conditionalFormatting sqref="D10:D31">
    <cfRule type="colorScale" priority="12167">
      <colorScale>
        <cfvo type="min"/>
        <cfvo type="percentile" val="50"/>
        <cfvo type="max"/>
        <color rgb="FFF8696B"/>
        <color rgb="FFFFEB84"/>
        <color rgb="FF63BE7B"/>
      </colorScale>
    </cfRule>
  </conditionalFormatting>
  <conditionalFormatting sqref="D10:D31">
    <cfRule type="colorScale" priority="12166">
      <colorScale>
        <cfvo type="min"/>
        <cfvo type="percentile" val="50"/>
        <cfvo type="max"/>
        <color rgb="FFF8696B"/>
        <color rgb="FFFFEB84"/>
        <color rgb="FF63BE7B"/>
      </colorScale>
    </cfRule>
  </conditionalFormatting>
  <conditionalFormatting sqref="D10:D31">
    <cfRule type="colorScale" priority="12165">
      <colorScale>
        <cfvo type="min"/>
        <cfvo type="percentile" val="50"/>
        <cfvo type="max"/>
        <color rgb="FFF8696B"/>
        <color rgb="FFFFEB84"/>
        <color rgb="FF63BE7B"/>
      </colorScale>
    </cfRule>
  </conditionalFormatting>
  <conditionalFormatting sqref="D10:D31">
    <cfRule type="colorScale" priority="12164">
      <colorScale>
        <cfvo type="min"/>
        <cfvo type="percentile" val="50"/>
        <cfvo type="max"/>
        <color rgb="FFF8696B"/>
        <color rgb="FFFFEB84"/>
        <color rgb="FF63BE7B"/>
      </colorScale>
    </cfRule>
  </conditionalFormatting>
  <conditionalFormatting sqref="D10:D31">
    <cfRule type="colorScale" priority="12163">
      <colorScale>
        <cfvo type="min"/>
        <cfvo type="percentile" val="50"/>
        <cfvo type="max"/>
        <color rgb="FFF8696B"/>
        <color rgb="FFFFEB84"/>
        <color rgb="FF63BE7B"/>
      </colorScale>
    </cfRule>
  </conditionalFormatting>
  <conditionalFormatting sqref="D10:D31">
    <cfRule type="colorScale" priority="12162">
      <colorScale>
        <cfvo type="min"/>
        <cfvo type="percentile" val="50"/>
        <cfvo type="max"/>
        <color rgb="FFF8696B"/>
        <color rgb="FFFFEB84"/>
        <color rgb="FF63BE7B"/>
      </colorScale>
    </cfRule>
  </conditionalFormatting>
  <conditionalFormatting sqref="D10:D31">
    <cfRule type="colorScale" priority="12161">
      <colorScale>
        <cfvo type="min"/>
        <cfvo type="percentile" val="50"/>
        <cfvo type="max"/>
        <color rgb="FFF8696B"/>
        <color rgb="FFFFEB84"/>
        <color rgb="FF63BE7B"/>
      </colorScale>
    </cfRule>
  </conditionalFormatting>
  <conditionalFormatting sqref="D10:D31">
    <cfRule type="colorScale" priority="12160">
      <colorScale>
        <cfvo type="min"/>
        <cfvo type="percentile" val="50"/>
        <cfvo type="max"/>
        <color rgb="FFF8696B"/>
        <color rgb="FFFFEB84"/>
        <color rgb="FF63BE7B"/>
      </colorScale>
    </cfRule>
  </conditionalFormatting>
  <conditionalFormatting sqref="D10:D31">
    <cfRule type="colorScale" priority="12159">
      <colorScale>
        <cfvo type="min"/>
        <cfvo type="percentile" val="50"/>
        <cfvo type="max"/>
        <color rgb="FFF8696B"/>
        <color rgb="FFFFEB84"/>
        <color rgb="FF63BE7B"/>
      </colorScale>
    </cfRule>
  </conditionalFormatting>
  <conditionalFormatting sqref="D10:D31">
    <cfRule type="colorScale" priority="12158">
      <colorScale>
        <cfvo type="min"/>
        <cfvo type="percentile" val="50"/>
        <cfvo type="max"/>
        <color rgb="FFF8696B"/>
        <color rgb="FFFFEB84"/>
        <color rgb="FF63BE7B"/>
      </colorScale>
    </cfRule>
  </conditionalFormatting>
  <conditionalFormatting sqref="D10:D31">
    <cfRule type="colorScale" priority="12157">
      <colorScale>
        <cfvo type="min"/>
        <cfvo type="percentile" val="50"/>
        <cfvo type="max"/>
        <color rgb="FFF8696B"/>
        <color rgb="FFFFEB84"/>
        <color rgb="FF63BE7B"/>
      </colorScale>
    </cfRule>
  </conditionalFormatting>
  <conditionalFormatting sqref="D10:D31">
    <cfRule type="colorScale" priority="12156">
      <colorScale>
        <cfvo type="min"/>
        <cfvo type="percentile" val="50"/>
        <cfvo type="max"/>
        <color rgb="FFF8696B"/>
        <color rgb="FFFFEB84"/>
        <color rgb="FF63BE7B"/>
      </colorScale>
    </cfRule>
  </conditionalFormatting>
  <conditionalFormatting sqref="D10:D31">
    <cfRule type="colorScale" priority="12155">
      <colorScale>
        <cfvo type="min"/>
        <cfvo type="percentile" val="50"/>
        <cfvo type="max"/>
        <color rgb="FFF8696B"/>
        <color rgb="FFFFEB84"/>
        <color rgb="FF63BE7B"/>
      </colorScale>
    </cfRule>
  </conditionalFormatting>
  <conditionalFormatting sqref="D10:D31">
    <cfRule type="colorScale" priority="12154">
      <colorScale>
        <cfvo type="min"/>
        <cfvo type="percentile" val="50"/>
        <cfvo type="max"/>
        <color rgb="FFF8696B"/>
        <color rgb="FFFFEB84"/>
        <color rgb="FF63BE7B"/>
      </colorScale>
    </cfRule>
  </conditionalFormatting>
  <conditionalFormatting sqref="D10:D31">
    <cfRule type="colorScale" priority="12153">
      <colorScale>
        <cfvo type="min"/>
        <cfvo type="percentile" val="50"/>
        <cfvo type="max"/>
        <color rgb="FFF8696B"/>
        <color rgb="FFFFEB84"/>
        <color rgb="FF63BE7B"/>
      </colorScale>
    </cfRule>
  </conditionalFormatting>
  <conditionalFormatting sqref="D10:D31">
    <cfRule type="colorScale" priority="12152">
      <colorScale>
        <cfvo type="min"/>
        <cfvo type="percentile" val="50"/>
        <cfvo type="max"/>
        <color rgb="FFF8696B"/>
        <color rgb="FFFFEB84"/>
        <color rgb="FF63BE7B"/>
      </colorScale>
    </cfRule>
  </conditionalFormatting>
  <conditionalFormatting sqref="D10:D31">
    <cfRule type="colorScale" priority="12151">
      <colorScale>
        <cfvo type="min"/>
        <cfvo type="percentile" val="50"/>
        <cfvo type="max"/>
        <color rgb="FFF8696B"/>
        <color rgb="FFFFEB84"/>
        <color rgb="FF63BE7B"/>
      </colorScale>
    </cfRule>
  </conditionalFormatting>
  <conditionalFormatting sqref="D10:D31">
    <cfRule type="colorScale" priority="12150">
      <colorScale>
        <cfvo type="min"/>
        <cfvo type="percentile" val="50"/>
        <cfvo type="max"/>
        <color rgb="FFF8696B"/>
        <color rgb="FFFFEB84"/>
        <color rgb="FF63BE7B"/>
      </colorScale>
    </cfRule>
  </conditionalFormatting>
  <conditionalFormatting sqref="D10:D31">
    <cfRule type="colorScale" priority="12149">
      <colorScale>
        <cfvo type="min"/>
        <cfvo type="percentile" val="50"/>
        <cfvo type="max"/>
        <color rgb="FFF8696B"/>
        <color rgb="FFFFEB84"/>
        <color rgb="FF63BE7B"/>
      </colorScale>
    </cfRule>
  </conditionalFormatting>
  <conditionalFormatting sqref="D10:D31">
    <cfRule type="colorScale" priority="12148">
      <colorScale>
        <cfvo type="min"/>
        <cfvo type="percentile" val="50"/>
        <cfvo type="max"/>
        <color rgb="FFF8696B"/>
        <color rgb="FFFFEB84"/>
        <color rgb="FF63BE7B"/>
      </colorScale>
    </cfRule>
  </conditionalFormatting>
  <conditionalFormatting sqref="D10:D31">
    <cfRule type="colorScale" priority="12147">
      <colorScale>
        <cfvo type="min"/>
        <cfvo type="percentile" val="50"/>
        <cfvo type="max"/>
        <color rgb="FFF8696B"/>
        <color rgb="FFFFEB84"/>
        <color rgb="FF63BE7B"/>
      </colorScale>
    </cfRule>
  </conditionalFormatting>
  <conditionalFormatting sqref="D10:D31">
    <cfRule type="colorScale" priority="12146">
      <colorScale>
        <cfvo type="min"/>
        <cfvo type="percentile" val="50"/>
        <cfvo type="max"/>
        <color rgb="FFF8696B"/>
        <color rgb="FFFFEB84"/>
        <color rgb="FF63BE7B"/>
      </colorScale>
    </cfRule>
  </conditionalFormatting>
  <conditionalFormatting sqref="D10:D31">
    <cfRule type="colorScale" priority="12145">
      <colorScale>
        <cfvo type="min"/>
        <cfvo type="percentile" val="50"/>
        <cfvo type="max"/>
        <color rgb="FFF8696B"/>
        <color rgb="FFFFEB84"/>
        <color rgb="FF63BE7B"/>
      </colorScale>
    </cfRule>
  </conditionalFormatting>
  <conditionalFormatting sqref="D10:D31">
    <cfRule type="colorScale" priority="12144">
      <colorScale>
        <cfvo type="min"/>
        <cfvo type="percentile" val="50"/>
        <cfvo type="max"/>
        <color rgb="FFF8696B"/>
        <color rgb="FFFFEB84"/>
        <color rgb="FF63BE7B"/>
      </colorScale>
    </cfRule>
  </conditionalFormatting>
  <conditionalFormatting sqref="D10:D31">
    <cfRule type="colorScale" priority="12143">
      <colorScale>
        <cfvo type="min"/>
        <cfvo type="percentile" val="50"/>
        <cfvo type="max"/>
        <color rgb="FFF8696B"/>
        <color rgb="FFFFEB84"/>
        <color rgb="FF63BE7B"/>
      </colorScale>
    </cfRule>
  </conditionalFormatting>
  <conditionalFormatting sqref="D10:D31">
    <cfRule type="colorScale" priority="12142">
      <colorScale>
        <cfvo type="min"/>
        <cfvo type="percentile" val="50"/>
        <cfvo type="max"/>
        <color rgb="FFF8696B"/>
        <color rgb="FFFFEB84"/>
        <color rgb="FF63BE7B"/>
      </colorScale>
    </cfRule>
  </conditionalFormatting>
  <conditionalFormatting sqref="D10:D31">
    <cfRule type="colorScale" priority="12141">
      <colorScale>
        <cfvo type="min"/>
        <cfvo type="percentile" val="50"/>
        <cfvo type="max"/>
        <color rgb="FFF8696B"/>
        <color rgb="FFFFEB84"/>
        <color rgb="FF63BE7B"/>
      </colorScale>
    </cfRule>
  </conditionalFormatting>
  <conditionalFormatting sqref="D10:D31">
    <cfRule type="colorScale" priority="12140">
      <colorScale>
        <cfvo type="min"/>
        <cfvo type="percentile" val="50"/>
        <cfvo type="max"/>
        <color rgb="FFF8696B"/>
        <color rgb="FFFFEB84"/>
        <color rgb="FF63BE7B"/>
      </colorScale>
    </cfRule>
  </conditionalFormatting>
  <conditionalFormatting sqref="D10:D31">
    <cfRule type="colorScale" priority="12139">
      <colorScale>
        <cfvo type="min"/>
        <cfvo type="percentile" val="50"/>
        <cfvo type="max"/>
        <color rgb="FFF8696B"/>
        <color rgb="FFFFEB84"/>
        <color rgb="FF63BE7B"/>
      </colorScale>
    </cfRule>
  </conditionalFormatting>
  <conditionalFormatting sqref="D10:D31">
    <cfRule type="colorScale" priority="12138">
      <colorScale>
        <cfvo type="min"/>
        <cfvo type="percentile" val="50"/>
        <cfvo type="max"/>
        <color rgb="FFF8696B"/>
        <color rgb="FFFFEB84"/>
        <color rgb="FF63BE7B"/>
      </colorScale>
    </cfRule>
  </conditionalFormatting>
  <conditionalFormatting sqref="D10:D31">
    <cfRule type="colorScale" priority="12137">
      <colorScale>
        <cfvo type="min"/>
        <cfvo type="percentile" val="50"/>
        <cfvo type="max"/>
        <color rgb="FFF8696B"/>
        <color rgb="FFFFEB84"/>
        <color rgb="FF63BE7B"/>
      </colorScale>
    </cfRule>
  </conditionalFormatting>
  <conditionalFormatting sqref="D10:D31">
    <cfRule type="colorScale" priority="12136">
      <colorScale>
        <cfvo type="min"/>
        <cfvo type="percentile" val="50"/>
        <cfvo type="max"/>
        <color rgb="FFF8696B"/>
        <color rgb="FFFFEB84"/>
        <color rgb="FF63BE7B"/>
      </colorScale>
    </cfRule>
  </conditionalFormatting>
  <conditionalFormatting sqref="D10:D31">
    <cfRule type="colorScale" priority="12135">
      <colorScale>
        <cfvo type="min"/>
        <cfvo type="percentile" val="50"/>
        <cfvo type="max"/>
        <color rgb="FFF8696B"/>
        <color rgb="FFFFEB84"/>
        <color rgb="FF63BE7B"/>
      </colorScale>
    </cfRule>
  </conditionalFormatting>
  <conditionalFormatting sqref="D10:D31">
    <cfRule type="colorScale" priority="12134">
      <colorScale>
        <cfvo type="min"/>
        <cfvo type="percentile" val="50"/>
        <cfvo type="max"/>
        <color rgb="FFF8696B"/>
        <color rgb="FFFFEB84"/>
        <color rgb="FF63BE7B"/>
      </colorScale>
    </cfRule>
  </conditionalFormatting>
  <conditionalFormatting sqref="D10:D31">
    <cfRule type="colorScale" priority="12133">
      <colorScale>
        <cfvo type="min"/>
        <cfvo type="percentile" val="50"/>
        <cfvo type="max"/>
        <color rgb="FFF8696B"/>
        <color rgb="FFFFEB84"/>
        <color rgb="FF63BE7B"/>
      </colorScale>
    </cfRule>
  </conditionalFormatting>
  <conditionalFormatting sqref="D10:D31">
    <cfRule type="colorScale" priority="12132">
      <colorScale>
        <cfvo type="min"/>
        <cfvo type="percentile" val="50"/>
        <cfvo type="max"/>
        <color rgb="FFF8696B"/>
        <color rgb="FFFFEB84"/>
        <color rgb="FF63BE7B"/>
      </colorScale>
    </cfRule>
  </conditionalFormatting>
  <conditionalFormatting sqref="D10:D31">
    <cfRule type="colorScale" priority="12131">
      <colorScale>
        <cfvo type="min"/>
        <cfvo type="percentile" val="50"/>
        <cfvo type="max"/>
        <color rgb="FFF8696B"/>
        <color rgb="FFFFEB84"/>
        <color rgb="FF63BE7B"/>
      </colorScale>
    </cfRule>
  </conditionalFormatting>
  <conditionalFormatting sqref="D10:D31">
    <cfRule type="colorScale" priority="12130">
      <colorScale>
        <cfvo type="min"/>
        <cfvo type="percentile" val="50"/>
        <cfvo type="max"/>
        <color rgb="FFF8696B"/>
        <color rgb="FFFFEB84"/>
        <color rgb="FF63BE7B"/>
      </colorScale>
    </cfRule>
  </conditionalFormatting>
  <conditionalFormatting sqref="D10:D31">
    <cfRule type="colorScale" priority="12129">
      <colorScale>
        <cfvo type="min"/>
        <cfvo type="percentile" val="50"/>
        <cfvo type="max"/>
        <color rgb="FFF8696B"/>
        <color rgb="FFFFEB84"/>
        <color rgb="FF63BE7B"/>
      </colorScale>
    </cfRule>
  </conditionalFormatting>
  <conditionalFormatting sqref="D10:D31">
    <cfRule type="colorScale" priority="12128">
      <colorScale>
        <cfvo type="min"/>
        <cfvo type="percentile" val="50"/>
        <cfvo type="max"/>
        <color rgb="FFF8696B"/>
        <color rgb="FFFFEB84"/>
        <color rgb="FF63BE7B"/>
      </colorScale>
    </cfRule>
  </conditionalFormatting>
  <conditionalFormatting sqref="D10:D31">
    <cfRule type="colorScale" priority="12127">
      <colorScale>
        <cfvo type="min"/>
        <cfvo type="percentile" val="50"/>
        <cfvo type="max"/>
        <color rgb="FFF8696B"/>
        <color rgb="FFFFEB84"/>
        <color rgb="FF63BE7B"/>
      </colorScale>
    </cfRule>
  </conditionalFormatting>
  <conditionalFormatting sqref="D10:D31">
    <cfRule type="colorScale" priority="12126">
      <colorScale>
        <cfvo type="min"/>
        <cfvo type="percentile" val="50"/>
        <cfvo type="max"/>
        <color rgb="FFF8696B"/>
        <color rgb="FFFFEB84"/>
        <color rgb="FF63BE7B"/>
      </colorScale>
    </cfRule>
  </conditionalFormatting>
  <conditionalFormatting sqref="D10:D31">
    <cfRule type="colorScale" priority="12125">
      <colorScale>
        <cfvo type="min"/>
        <cfvo type="percentile" val="50"/>
        <cfvo type="max"/>
        <color rgb="FFF8696B"/>
        <color rgb="FFFFEB84"/>
        <color rgb="FF63BE7B"/>
      </colorScale>
    </cfRule>
  </conditionalFormatting>
  <conditionalFormatting sqref="D10:D31">
    <cfRule type="colorScale" priority="12124">
      <colorScale>
        <cfvo type="min"/>
        <cfvo type="percentile" val="50"/>
        <cfvo type="max"/>
        <color rgb="FFF8696B"/>
        <color rgb="FFFFEB84"/>
        <color rgb="FF63BE7B"/>
      </colorScale>
    </cfRule>
  </conditionalFormatting>
  <conditionalFormatting sqref="D10:D31">
    <cfRule type="colorScale" priority="12123">
      <colorScale>
        <cfvo type="min"/>
        <cfvo type="percentile" val="50"/>
        <cfvo type="max"/>
        <color rgb="FFF8696B"/>
        <color rgb="FFFFEB84"/>
        <color rgb="FF63BE7B"/>
      </colorScale>
    </cfRule>
  </conditionalFormatting>
  <conditionalFormatting sqref="D10:D31">
    <cfRule type="colorScale" priority="12122">
      <colorScale>
        <cfvo type="min"/>
        <cfvo type="percentile" val="50"/>
        <cfvo type="max"/>
        <color rgb="FFF8696B"/>
        <color rgb="FFFFEB84"/>
        <color rgb="FF63BE7B"/>
      </colorScale>
    </cfRule>
  </conditionalFormatting>
  <conditionalFormatting sqref="D10:D31">
    <cfRule type="colorScale" priority="12121">
      <colorScale>
        <cfvo type="min"/>
        <cfvo type="percentile" val="50"/>
        <cfvo type="max"/>
        <color rgb="FFF8696B"/>
        <color rgb="FFFFEB84"/>
        <color rgb="FF63BE7B"/>
      </colorScale>
    </cfRule>
  </conditionalFormatting>
  <conditionalFormatting sqref="D10:D31">
    <cfRule type="colorScale" priority="12120">
      <colorScale>
        <cfvo type="min"/>
        <cfvo type="percentile" val="50"/>
        <cfvo type="max"/>
        <color rgb="FFF8696B"/>
        <color rgb="FFFFEB84"/>
        <color rgb="FF63BE7B"/>
      </colorScale>
    </cfRule>
  </conditionalFormatting>
  <conditionalFormatting sqref="D10:D31">
    <cfRule type="colorScale" priority="12119">
      <colorScale>
        <cfvo type="min"/>
        <cfvo type="percentile" val="50"/>
        <cfvo type="max"/>
        <color rgb="FFF8696B"/>
        <color rgb="FFFFEB84"/>
        <color rgb="FF63BE7B"/>
      </colorScale>
    </cfRule>
  </conditionalFormatting>
  <conditionalFormatting sqref="D10:D31">
    <cfRule type="colorScale" priority="12118">
      <colorScale>
        <cfvo type="min"/>
        <cfvo type="percentile" val="50"/>
        <cfvo type="max"/>
        <color rgb="FFF8696B"/>
        <color rgb="FFFFEB84"/>
        <color rgb="FF63BE7B"/>
      </colorScale>
    </cfRule>
  </conditionalFormatting>
  <conditionalFormatting sqref="D10:D31">
    <cfRule type="colorScale" priority="12117">
      <colorScale>
        <cfvo type="min"/>
        <cfvo type="percentile" val="50"/>
        <cfvo type="max"/>
        <color rgb="FFF8696B"/>
        <color rgb="FFFFEB84"/>
        <color rgb="FF63BE7B"/>
      </colorScale>
    </cfRule>
  </conditionalFormatting>
  <conditionalFormatting sqref="D10:D31">
    <cfRule type="colorScale" priority="12116">
      <colorScale>
        <cfvo type="min"/>
        <cfvo type="percentile" val="50"/>
        <cfvo type="max"/>
        <color rgb="FFF8696B"/>
        <color rgb="FFFFEB84"/>
        <color rgb="FF63BE7B"/>
      </colorScale>
    </cfRule>
  </conditionalFormatting>
  <conditionalFormatting sqref="D10:D31">
    <cfRule type="colorScale" priority="12115">
      <colorScale>
        <cfvo type="min"/>
        <cfvo type="percentile" val="50"/>
        <cfvo type="max"/>
        <color rgb="FFF8696B"/>
        <color rgb="FFFFEB84"/>
        <color rgb="FF63BE7B"/>
      </colorScale>
    </cfRule>
  </conditionalFormatting>
  <conditionalFormatting sqref="D10:D31">
    <cfRule type="colorScale" priority="12114">
      <colorScale>
        <cfvo type="min"/>
        <cfvo type="percentile" val="50"/>
        <cfvo type="max"/>
        <color rgb="FFF8696B"/>
        <color rgb="FFFFEB84"/>
        <color rgb="FF63BE7B"/>
      </colorScale>
    </cfRule>
  </conditionalFormatting>
  <conditionalFormatting sqref="D10:D31">
    <cfRule type="colorScale" priority="12113">
      <colorScale>
        <cfvo type="min"/>
        <cfvo type="percentile" val="50"/>
        <cfvo type="max"/>
        <color rgb="FFF8696B"/>
        <color rgb="FFFFEB84"/>
        <color rgb="FF63BE7B"/>
      </colorScale>
    </cfRule>
  </conditionalFormatting>
  <conditionalFormatting sqref="D10:D31">
    <cfRule type="colorScale" priority="12112">
      <colorScale>
        <cfvo type="min"/>
        <cfvo type="percentile" val="50"/>
        <cfvo type="max"/>
        <color rgb="FFF8696B"/>
        <color rgb="FFFFEB84"/>
        <color rgb="FF63BE7B"/>
      </colorScale>
    </cfRule>
  </conditionalFormatting>
  <conditionalFormatting sqref="D10:D31">
    <cfRule type="colorScale" priority="12111">
      <colorScale>
        <cfvo type="min"/>
        <cfvo type="percentile" val="50"/>
        <cfvo type="max"/>
        <color rgb="FFF8696B"/>
        <color rgb="FFFFEB84"/>
        <color rgb="FF63BE7B"/>
      </colorScale>
    </cfRule>
  </conditionalFormatting>
  <conditionalFormatting sqref="D10:D31">
    <cfRule type="colorScale" priority="12110">
      <colorScale>
        <cfvo type="min"/>
        <cfvo type="percentile" val="50"/>
        <cfvo type="max"/>
        <color rgb="FFF8696B"/>
        <color rgb="FFFFEB84"/>
        <color rgb="FF63BE7B"/>
      </colorScale>
    </cfRule>
  </conditionalFormatting>
  <conditionalFormatting sqref="D10:D31">
    <cfRule type="colorScale" priority="12109">
      <colorScale>
        <cfvo type="min"/>
        <cfvo type="percentile" val="50"/>
        <cfvo type="max"/>
        <color rgb="FFF8696B"/>
        <color rgb="FFFFEB84"/>
        <color rgb="FF63BE7B"/>
      </colorScale>
    </cfRule>
  </conditionalFormatting>
  <conditionalFormatting sqref="D10:D31">
    <cfRule type="colorScale" priority="12108">
      <colorScale>
        <cfvo type="min"/>
        <cfvo type="percentile" val="50"/>
        <cfvo type="max"/>
        <color rgb="FFF8696B"/>
        <color rgb="FFFFEB84"/>
        <color rgb="FF63BE7B"/>
      </colorScale>
    </cfRule>
  </conditionalFormatting>
  <conditionalFormatting sqref="D10:D31">
    <cfRule type="colorScale" priority="12107">
      <colorScale>
        <cfvo type="min"/>
        <cfvo type="percentile" val="50"/>
        <cfvo type="max"/>
        <color rgb="FFF8696B"/>
        <color rgb="FFFFEB84"/>
        <color rgb="FF63BE7B"/>
      </colorScale>
    </cfRule>
  </conditionalFormatting>
  <conditionalFormatting sqref="D10:D31">
    <cfRule type="colorScale" priority="12106">
      <colorScale>
        <cfvo type="min"/>
        <cfvo type="percentile" val="50"/>
        <cfvo type="max"/>
        <color rgb="FFF8696B"/>
        <color rgb="FFFFEB84"/>
        <color rgb="FF63BE7B"/>
      </colorScale>
    </cfRule>
  </conditionalFormatting>
  <conditionalFormatting sqref="D10:D31">
    <cfRule type="colorScale" priority="12105">
      <colorScale>
        <cfvo type="min"/>
        <cfvo type="percentile" val="50"/>
        <cfvo type="max"/>
        <color rgb="FFF8696B"/>
        <color rgb="FFFFEB84"/>
        <color rgb="FF63BE7B"/>
      </colorScale>
    </cfRule>
  </conditionalFormatting>
  <conditionalFormatting sqref="D10:D31">
    <cfRule type="colorScale" priority="12104">
      <colorScale>
        <cfvo type="min"/>
        <cfvo type="percentile" val="50"/>
        <cfvo type="max"/>
        <color rgb="FFF8696B"/>
        <color rgb="FFFFEB84"/>
        <color rgb="FF63BE7B"/>
      </colorScale>
    </cfRule>
  </conditionalFormatting>
  <conditionalFormatting sqref="D10:D32">
    <cfRule type="colorScale" priority="12103">
      <colorScale>
        <cfvo type="min"/>
        <cfvo type="percentile" val="50"/>
        <cfvo type="max"/>
        <color rgb="FFF8696B"/>
        <color rgb="FFFFEB84"/>
        <color rgb="FF63BE7B"/>
      </colorScale>
    </cfRule>
  </conditionalFormatting>
  <conditionalFormatting sqref="D10:D32">
    <cfRule type="colorScale" priority="12102">
      <colorScale>
        <cfvo type="min"/>
        <cfvo type="percentile" val="50"/>
        <cfvo type="max"/>
        <color rgb="FFF8696B"/>
        <color rgb="FFFFEB84"/>
        <color rgb="FF63BE7B"/>
      </colorScale>
    </cfRule>
  </conditionalFormatting>
  <conditionalFormatting sqref="D10:D31">
    <cfRule type="colorScale" priority="12101">
      <colorScale>
        <cfvo type="min"/>
        <cfvo type="percentile" val="50"/>
        <cfvo type="max"/>
        <color rgb="FFF8696B"/>
        <color rgb="FFFFEB84"/>
        <color rgb="FF63BE7B"/>
      </colorScale>
    </cfRule>
  </conditionalFormatting>
  <conditionalFormatting sqref="D10:D31">
    <cfRule type="colorScale" priority="12100">
      <colorScale>
        <cfvo type="min"/>
        <cfvo type="percentile" val="50"/>
        <cfvo type="max"/>
        <color rgb="FFF8696B"/>
        <color rgb="FFFFEB84"/>
        <color rgb="FF63BE7B"/>
      </colorScale>
    </cfRule>
  </conditionalFormatting>
  <conditionalFormatting sqref="D10:D31">
    <cfRule type="colorScale" priority="12099">
      <colorScale>
        <cfvo type="min"/>
        <cfvo type="percentile" val="50"/>
        <cfvo type="max"/>
        <color rgb="FFF8696B"/>
        <color rgb="FFFFEB84"/>
        <color rgb="FF63BE7B"/>
      </colorScale>
    </cfRule>
  </conditionalFormatting>
  <conditionalFormatting sqref="D10:D31">
    <cfRule type="colorScale" priority="12098">
      <colorScale>
        <cfvo type="min"/>
        <cfvo type="percentile" val="50"/>
        <cfvo type="max"/>
        <color rgb="FFF8696B"/>
        <color rgb="FFFFEB84"/>
        <color rgb="FF63BE7B"/>
      </colorScale>
    </cfRule>
  </conditionalFormatting>
  <conditionalFormatting sqref="D10:D29">
    <cfRule type="colorScale" priority="12097">
      <colorScale>
        <cfvo type="min"/>
        <cfvo type="percentile" val="50"/>
        <cfvo type="max"/>
        <color rgb="FFF8696B"/>
        <color rgb="FFFFEB84"/>
        <color rgb="FF63BE7B"/>
      </colorScale>
    </cfRule>
  </conditionalFormatting>
  <conditionalFormatting sqref="D10:D29">
    <cfRule type="colorScale" priority="12096">
      <colorScale>
        <cfvo type="min"/>
        <cfvo type="percentile" val="50"/>
        <cfvo type="max"/>
        <color rgb="FFF8696B"/>
        <color rgb="FFFFEB84"/>
        <color rgb="FF63BE7B"/>
      </colorScale>
    </cfRule>
  </conditionalFormatting>
  <conditionalFormatting sqref="D10:D31">
    <cfRule type="colorScale" priority="12095">
      <colorScale>
        <cfvo type="min"/>
        <cfvo type="percentile" val="50"/>
        <cfvo type="max"/>
        <color rgb="FFF8696B"/>
        <color rgb="FFFFEB84"/>
        <color rgb="FF63BE7B"/>
      </colorScale>
    </cfRule>
  </conditionalFormatting>
  <conditionalFormatting sqref="D10:D31">
    <cfRule type="colorScale" priority="12094">
      <colorScale>
        <cfvo type="min"/>
        <cfvo type="percentile" val="50"/>
        <cfvo type="max"/>
        <color rgb="FFF8696B"/>
        <color rgb="FFFFEB84"/>
        <color rgb="FF63BE7B"/>
      </colorScale>
    </cfRule>
  </conditionalFormatting>
  <conditionalFormatting sqref="D10:D32">
    <cfRule type="colorScale" priority="12093">
      <colorScale>
        <cfvo type="min"/>
        <cfvo type="percentile" val="50"/>
        <cfvo type="max"/>
        <color rgb="FFF8696B"/>
        <color rgb="FFFFEB84"/>
        <color rgb="FF63BE7B"/>
      </colorScale>
    </cfRule>
  </conditionalFormatting>
  <conditionalFormatting sqref="D10:D32">
    <cfRule type="colorScale" priority="12092">
      <colorScale>
        <cfvo type="min"/>
        <cfvo type="percentile" val="50"/>
        <cfvo type="max"/>
        <color rgb="FFF8696B"/>
        <color rgb="FFFFEB84"/>
        <color rgb="FF63BE7B"/>
      </colorScale>
    </cfRule>
  </conditionalFormatting>
  <conditionalFormatting sqref="D10:D31">
    <cfRule type="colorScale" priority="12091">
      <colorScale>
        <cfvo type="min"/>
        <cfvo type="percentile" val="50"/>
        <cfvo type="max"/>
        <color rgb="FFF8696B"/>
        <color rgb="FFFFEB84"/>
        <color rgb="FF63BE7B"/>
      </colorScale>
    </cfRule>
  </conditionalFormatting>
  <conditionalFormatting sqref="D10:D31">
    <cfRule type="colorScale" priority="12090">
      <colorScale>
        <cfvo type="min"/>
        <cfvo type="percentile" val="50"/>
        <cfvo type="max"/>
        <color rgb="FFF8696B"/>
        <color rgb="FFFFEB84"/>
        <color rgb="FF63BE7B"/>
      </colorScale>
    </cfRule>
  </conditionalFormatting>
  <conditionalFormatting sqref="D10:D31">
    <cfRule type="colorScale" priority="12089">
      <colorScale>
        <cfvo type="min"/>
        <cfvo type="percentile" val="50"/>
        <cfvo type="max"/>
        <color rgb="FFF8696B"/>
        <color rgb="FFFFEB84"/>
        <color rgb="FF63BE7B"/>
      </colorScale>
    </cfRule>
  </conditionalFormatting>
  <conditionalFormatting sqref="D10:D31">
    <cfRule type="colorScale" priority="12088">
      <colorScale>
        <cfvo type="min"/>
        <cfvo type="percentile" val="50"/>
        <cfvo type="max"/>
        <color rgb="FFF8696B"/>
        <color rgb="FFFFEB84"/>
        <color rgb="FF63BE7B"/>
      </colorScale>
    </cfRule>
  </conditionalFormatting>
  <conditionalFormatting sqref="D10:D31">
    <cfRule type="colorScale" priority="12087">
      <colorScale>
        <cfvo type="min"/>
        <cfvo type="percentile" val="50"/>
        <cfvo type="max"/>
        <color rgb="FFF8696B"/>
        <color rgb="FFFFEB84"/>
        <color rgb="FF63BE7B"/>
      </colorScale>
    </cfRule>
  </conditionalFormatting>
  <conditionalFormatting sqref="D10:D31">
    <cfRule type="colorScale" priority="12086">
      <colorScale>
        <cfvo type="min"/>
        <cfvo type="percentile" val="50"/>
        <cfvo type="max"/>
        <color rgb="FFF8696B"/>
        <color rgb="FFFFEB84"/>
        <color rgb="FF63BE7B"/>
      </colorScale>
    </cfRule>
  </conditionalFormatting>
  <conditionalFormatting sqref="D10:D31">
    <cfRule type="colorScale" priority="12085">
      <colorScale>
        <cfvo type="min"/>
        <cfvo type="percentile" val="50"/>
        <cfvo type="max"/>
        <color rgb="FFF8696B"/>
        <color rgb="FFFFEB84"/>
        <color rgb="FF63BE7B"/>
      </colorScale>
    </cfRule>
  </conditionalFormatting>
  <conditionalFormatting sqref="D10:D31">
    <cfRule type="colorScale" priority="12084">
      <colorScale>
        <cfvo type="min"/>
        <cfvo type="percentile" val="50"/>
        <cfvo type="max"/>
        <color rgb="FFF8696B"/>
        <color rgb="FFFFEB84"/>
        <color rgb="FF63BE7B"/>
      </colorScale>
    </cfRule>
  </conditionalFormatting>
  <conditionalFormatting sqref="D10:D31">
    <cfRule type="colorScale" priority="12083">
      <colorScale>
        <cfvo type="min"/>
        <cfvo type="percentile" val="50"/>
        <cfvo type="max"/>
        <color rgb="FFF8696B"/>
        <color rgb="FFFFEB84"/>
        <color rgb="FF63BE7B"/>
      </colorScale>
    </cfRule>
  </conditionalFormatting>
  <conditionalFormatting sqref="D10:D31">
    <cfRule type="colorScale" priority="12082">
      <colorScale>
        <cfvo type="min"/>
        <cfvo type="percentile" val="50"/>
        <cfvo type="max"/>
        <color rgb="FFF8696B"/>
        <color rgb="FFFFEB84"/>
        <color rgb="FF63BE7B"/>
      </colorScale>
    </cfRule>
  </conditionalFormatting>
  <conditionalFormatting sqref="D29:D31">
    <cfRule type="colorScale" priority="12081">
      <colorScale>
        <cfvo type="min"/>
        <cfvo type="percentile" val="50"/>
        <cfvo type="max"/>
        <color rgb="FFF8696B"/>
        <color rgb="FFFFEB84"/>
        <color rgb="FF63BE7B"/>
      </colorScale>
    </cfRule>
  </conditionalFormatting>
  <conditionalFormatting sqref="D29:D31">
    <cfRule type="colorScale" priority="12080">
      <colorScale>
        <cfvo type="min"/>
        <cfvo type="percentile" val="50"/>
        <cfvo type="max"/>
        <color rgb="FFF8696B"/>
        <color rgb="FFFFEB84"/>
        <color rgb="FF63BE7B"/>
      </colorScale>
    </cfRule>
  </conditionalFormatting>
  <conditionalFormatting sqref="D32">
    <cfRule type="colorScale" priority="12079">
      <colorScale>
        <cfvo type="min"/>
        <cfvo type="percentile" val="50"/>
        <cfvo type="max"/>
        <color rgb="FFF8696B"/>
        <color rgb="FFFFEB84"/>
        <color rgb="FF63BE7B"/>
      </colorScale>
    </cfRule>
  </conditionalFormatting>
  <conditionalFormatting sqref="D32">
    <cfRule type="colorScale" priority="12078">
      <colorScale>
        <cfvo type="min"/>
        <cfvo type="percentile" val="50"/>
        <cfvo type="max"/>
        <color rgb="FFF8696B"/>
        <color rgb="FFFFEB84"/>
        <color rgb="FF63BE7B"/>
      </colorScale>
    </cfRule>
  </conditionalFormatting>
  <conditionalFormatting sqref="D32">
    <cfRule type="colorScale" priority="12077">
      <colorScale>
        <cfvo type="min"/>
        <cfvo type="percentile" val="50"/>
        <cfvo type="max"/>
        <color rgb="FFF8696B"/>
        <color rgb="FFFFEB84"/>
        <color rgb="FF63BE7B"/>
      </colorScale>
    </cfRule>
  </conditionalFormatting>
  <conditionalFormatting sqref="D32">
    <cfRule type="colorScale" priority="12076">
      <colorScale>
        <cfvo type="min"/>
        <cfvo type="percentile" val="50"/>
        <cfvo type="max"/>
        <color rgb="FFF8696B"/>
        <color rgb="FFFFEB84"/>
        <color rgb="FF63BE7B"/>
      </colorScale>
    </cfRule>
  </conditionalFormatting>
  <conditionalFormatting sqref="D32">
    <cfRule type="colorScale" priority="12075">
      <colorScale>
        <cfvo type="min"/>
        <cfvo type="percentile" val="50"/>
        <cfvo type="max"/>
        <color rgb="FFF8696B"/>
        <color rgb="FFFFEB84"/>
        <color rgb="FF63BE7B"/>
      </colorScale>
    </cfRule>
  </conditionalFormatting>
  <conditionalFormatting sqref="D32">
    <cfRule type="colorScale" priority="12074">
      <colorScale>
        <cfvo type="min"/>
        <cfvo type="percentile" val="50"/>
        <cfvo type="max"/>
        <color rgb="FFF8696B"/>
        <color rgb="FFFFEB84"/>
        <color rgb="FF63BE7B"/>
      </colorScale>
    </cfRule>
  </conditionalFormatting>
  <conditionalFormatting sqref="D32">
    <cfRule type="colorScale" priority="12073">
      <colorScale>
        <cfvo type="min"/>
        <cfvo type="percentile" val="50"/>
        <cfvo type="max"/>
        <color rgb="FFF8696B"/>
        <color rgb="FFFFEB84"/>
        <color rgb="FF63BE7B"/>
      </colorScale>
    </cfRule>
  </conditionalFormatting>
  <conditionalFormatting sqref="D32">
    <cfRule type="colorScale" priority="12072">
      <colorScale>
        <cfvo type="min"/>
        <cfvo type="percentile" val="50"/>
        <cfvo type="max"/>
        <color rgb="FFF8696B"/>
        <color rgb="FFFFEB84"/>
        <color rgb="FF63BE7B"/>
      </colorScale>
    </cfRule>
  </conditionalFormatting>
  <conditionalFormatting sqref="D32">
    <cfRule type="colorScale" priority="12071">
      <colorScale>
        <cfvo type="min"/>
        <cfvo type="percentile" val="50"/>
        <cfvo type="max"/>
        <color rgb="FFF8696B"/>
        <color rgb="FFFFEB84"/>
        <color rgb="FF63BE7B"/>
      </colorScale>
    </cfRule>
  </conditionalFormatting>
  <conditionalFormatting sqref="D32">
    <cfRule type="colorScale" priority="12070">
      <colorScale>
        <cfvo type="min"/>
        <cfvo type="percentile" val="50"/>
        <cfvo type="max"/>
        <color rgb="FFF8696B"/>
        <color rgb="FFFFEB84"/>
        <color rgb="FF63BE7B"/>
      </colorScale>
    </cfRule>
  </conditionalFormatting>
  <conditionalFormatting sqref="D32">
    <cfRule type="colorScale" priority="12069">
      <colorScale>
        <cfvo type="min"/>
        <cfvo type="percentile" val="50"/>
        <cfvo type="max"/>
        <color rgb="FFF8696B"/>
        <color rgb="FFFFEB84"/>
        <color rgb="FF63BE7B"/>
      </colorScale>
    </cfRule>
  </conditionalFormatting>
  <conditionalFormatting sqref="D32">
    <cfRule type="colorScale" priority="12068">
      <colorScale>
        <cfvo type="min"/>
        <cfvo type="percentile" val="50"/>
        <cfvo type="max"/>
        <color rgb="FFF8696B"/>
        <color rgb="FFFFEB84"/>
        <color rgb="FF63BE7B"/>
      </colorScale>
    </cfRule>
  </conditionalFormatting>
  <conditionalFormatting sqref="D32">
    <cfRule type="colorScale" priority="12067">
      <colorScale>
        <cfvo type="min"/>
        <cfvo type="percentile" val="50"/>
        <cfvo type="max"/>
        <color rgb="FFF8696B"/>
        <color rgb="FFFFEB84"/>
        <color rgb="FF63BE7B"/>
      </colorScale>
    </cfRule>
  </conditionalFormatting>
  <conditionalFormatting sqref="D32">
    <cfRule type="colorScale" priority="12066">
      <colorScale>
        <cfvo type="min"/>
        <cfvo type="percentile" val="50"/>
        <cfvo type="max"/>
        <color rgb="FFF8696B"/>
        <color rgb="FFFFEB84"/>
        <color rgb="FF63BE7B"/>
      </colorScale>
    </cfRule>
  </conditionalFormatting>
  <conditionalFormatting sqref="D32">
    <cfRule type="colorScale" priority="12065">
      <colorScale>
        <cfvo type="min"/>
        <cfvo type="percentile" val="50"/>
        <cfvo type="max"/>
        <color rgb="FFF8696B"/>
        <color rgb="FFFFEB84"/>
        <color rgb="FF63BE7B"/>
      </colorScale>
    </cfRule>
  </conditionalFormatting>
  <conditionalFormatting sqref="D32">
    <cfRule type="colorScale" priority="12064">
      <colorScale>
        <cfvo type="min"/>
        <cfvo type="percentile" val="50"/>
        <cfvo type="max"/>
        <color rgb="FFF8696B"/>
        <color rgb="FFFFEB84"/>
        <color rgb="FF63BE7B"/>
      </colorScale>
    </cfRule>
  </conditionalFormatting>
  <conditionalFormatting sqref="D32">
    <cfRule type="colorScale" priority="12063">
      <colorScale>
        <cfvo type="min"/>
        <cfvo type="percentile" val="50"/>
        <cfvo type="max"/>
        <color rgb="FFF8696B"/>
        <color rgb="FFFFEB84"/>
        <color rgb="FF63BE7B"/>
      </colorScale>
    </cfRule>
  </conditionalFormatting>
  <conditionalFormatting sqref="D32">
    <cfRule type="colorScale" priority="12062">
      <colorScale>
        <cfvo type="min"/>
        <cfvo type="percentile" val="50"/>
        <cfvo type="max"/>
        <color rgb="FFF8696B"/>
        <color rgb="FFFFEB84"/>
        <color rgb="FF63BE7B"/>
      </colorScale>
    </cfRule>
  </conditionalFormatting>
  <conditionalFormatting sqref="D32">
    <cfRule type="colorScale" priority="12061">
      <colorScale>
        <cfvo type="min"/>
        <cfvo type="percentile" val="50"/>
        <cfvo type="max"/>
        <color rgb="FFF8696B"/>
        <color rgb="FFFFEB84"/>
        <color rgb="FF63BE7B"/>
      </colorScale>
    </cfRule>
  </conditionalFormatting>
  <conditionalFormatting sqref="D32">
    <cfRule type="colorScale" priority="12060">
      <colorScale>
        <cfvo type="min"/>
        <cfvo type="percentile" val="50"/>
        <cfvo type="max"/>
        <color rgb="FFF8696B"/>
        <color rgb="FFFFEB84"/>
        <color rgb="FF63BE7B"/>
      </colorScale>
    </cfRule>
  </conditionalFormatting>
  <conditionalFormatting sqref="D32">
    <cfRule type="colorScale" priority="12059">
      <colorScale>
        <cfvo type="min"/>
        <cfvo type="percentile" val="50"/>
        <cfvo type="max"/>
        <color rgb="FFF8696B"/>
        <color rgb="FFFFEB84"/>
        <color rgb="FF63BE7B"/>
      </colorScale>
    </cfRule>
  </conditionalFormatting>
  <conditionalFormatting sqref="D32">
    <cfRule type="colorScale" priority="12058">
      <colorScale>
        <cfvo type="min"/>
        <cfvo type="percentile" val="50"/>
        <cfvo type="max"/>
        <color rgb="FFF8696B"/>
        <color rgb="FFFFEB84"/>
        <color rgb="FF63BE7B"/>
      </colorScale>
    </cfRule>
  </conditionalFormatting>
  <conditionalFormatting sqref="D32">
    <cfRule type="colorScale" priority="12057">
      <colorScale>
        <cfvo type="min"/>
        <cfvo type="percentile" val="50"/>
        <cfvo type="max"/>
        <color rgb="FFF8696B"/>
        <color rgb="FFFFEB84"/>
        <color rgb="FF63BE7B"/>
      </colorScale>
    </cfRule>
  </conditionalFormatting>
  <conditionalFormatting sqref="D32">
    <cfRule type="colorScale" priority="12056">
      <colorScale>
        <cfvo type="min"/>
        <cfvo type="percentile" val="50"/>
        <cfvo type="max"/>
        <color rgb="FFF8696B"/>
        <color rgb="FFFFEB84"/>
        <color rgb="FF63BE7B"/>
      </colorScale>
    </cfRule>
  </conditionalFormatting>
  <conditionalFormatting sqref="D32">
    <cfRule type="colorScale" priority="12055">
      <colorScale>
        <cfvo type="min"/>
        <cfvo type="percentile" val="50"/>
        <cfvo type="max"/>
        <color rgb="FFF8696B"/>
        <color rgb="FFFFEB84"/>
        <color rgb="FF63BE7B"/>
      </colorScale>
    </cfRule>
  </conditionalFormatting>
  <conditionalFormatting sqref="D32">
    <cfRule type="colorScale" priority="12054">
      <colorScale>
        <cfvo type="min"/>
        <cfvo type="percentile" val="50"/>
        <cfvo type="max"/>
        <color rgb="FFF8696B"/>
        <color rgb="FFFFEB84"/>
        <color rgb="FF63BE7B"/>
      </colorScale>
    </cfRule>
  </conditionalFormatting>
  <conditionalFormatting sqref="D32">
    <cfRule type="colorScale" priority="12053">
      <colorScale>
        <cfvo type="min"/>
        <cfvo type="percentile" val="50"/>
        <cfvo type="max"/>
        <color rgb="FFF8696B"/>
        <color rgb="FFFFEB84"/>
        <color rgb="FF63BE7B"/>
      </colorScale>
    </cfRule>
  </conditionalFormatting>
  <conditionalFormatting sqref="D32">
    <cfRule type="colorScale" priority="12052">
      <colorScale>
        <cfvo type="min"/>
        <cfvo type="percentile" val="50"/>
        <cfvo type="max"/>
        <color rgb="FFF8696B"/>
        <color rgb="FFFFEB84"/>
        <color rgb="FF63BE7B"/>
      </colorScale>
    </cfRule>
  </conditionalFormatting>
  <conditionalFormatting sqref="D32">
    <cfRule type="colorScale" priority="12051">
      <colorScale>
        <cfvo type="min"/>
        <cfvo type="percentile" val="50"/>
        <cfvo type="max"/>
        <color rgb="FFF8696B"/>
        <color rgb="FFFFEB84"/>
        <color rgb="FF63BE7B"/>
      </colorScale>
    </cfRule>
  </conditionalFormatting>
  <conditionalFormatting sqref="D32">
    <cfRule type="colorScale" priority="12050">
      <colorScale>
        <cfvo type="min"/>
        <cfvo type="percentile" val="50"/>
        <cfvo type="max"/>
        <color rgb="FFF8696B"/>
        <color rgb="FFFFEB84"/>
        <color rgb="FF63BE7B"/>
      </colorScale>
    </cfRule>
  </conditionalFormatting>
  <conditionalFormatting sqref="D32">
    <cfRule type="colorScale" priority="12049">
      <colorScale>
        <cfvo type="min"/>
        <cfvo type="percentile" val="50"/>
        <cfvo type="max"/>
        <color rgb="FFF8696B"/>
        <color rgb="FFFFEB84"/>
        <color rgb="FF63BE7B"/>
      </colorScale>
    </cfRule>
  </conditionalFormatting>
  <conditionalFormatting sqref="D32">
    <cfRule type="colorScale" priority="12048">
      <colorScale>
        <cfvo type="min"/>
        <cfvo type="percentile" val="50"/>
        <cfvo type="max"/>
        <color rgb="FFF8696B"/>
        <color rgb="FFFFEB84"/>
        <color rgb="FF63BE7B"/>
      </colorScale>
    </cfRule>
  </conditionalFormatting>
  <conditionalFormatting sqref="D32">
    <cfRule type="colorScale" priority="12047">
      <colorScale>
        <cfvo type="min"/>
        <cfvo type="percentile" val="50"/>
        <cfvo type="max"/>
        <color rgb="FFF8696B"/>
        <color rgb="FFFFEB84"/>
        <color rgb="FF63BE7B"/>
      </colorScale>
    </cfRule>
  </conditionalFormatting>
  <conditionalFormatting sqref="D32">
    <cfRule type="colorScale" priority="12046">
      <colorScale>
        <cfvo type="min"/>
        <cfvo type="percentile" val="50"/>
        <cfvo type="max"/>
        <color rgb="FFF8696B"/>
        <color rgb="FFFFEB84"/>
        <color rgb="FF63BE7B"/>
      </colorScale>
    </cfRule>
  </conditionalFormatting>
  <conditionalFormatting sqref="D32">
    <cfRule type="colorScale" priority="12045">
      <colorScale>
        <cfvo type="min"/>
        <cfvo type="percentile" val="50"/>
        <cfvo type="max"/>
        <color rgb="FFF8696B"/>
        <color rgb="FFFFEB84"/>
        <color rgb="FF63BE7B"/>
      </colorScale>
    </cfRule>
  </conditionalFormatting>
  <conditionalFormatting sqref="D32">
    <cfRule type="colorScale" priority="12044">
      <colorScale>
        <cfvo type="min"/>
        <cfvo type="percentile" val="50"/>
        <cfvo type="max"/>
        <color rgb="FFF8696B"/>
        <color rgb="FFFFEB84"/>
        <color rgb="FF63BE7B"/>
      </colorScale>
    </cfRule>
  </conditionalFormatting>
  <conditionalFormatting sqref="D32">
    <cfRule type="colorScale" priority="12043">
      <colorScale>
        <cfvo type="min"/>
        <cfvo type="percentile" val="50"/>
        <cfvo type="max"/>
        <color rgb="FFF8696B"/>
        <color rgb="FFFFEB84"/>
        <color rgb="FF63BE7B"/>
      </colorScale>
    </cfRule>
  </conditionalFormatting>
  <conditionalFormatting sqref="D32">
    <cfRule type="colorScale" priority="12042">
      <colorScale>
        <cfvo type="min"/>
        <cfvo type="percentile" val="50"/>
        <cfvo type="max"/>
        <color rgb="FFF8696B"/>
        <color rgb="FFFFEB84"/>
        <color rgb="FF63BE7B"/>
      </colorScale>
    </cfRule>
  </conditionalFormatting>
  <conditionalFormatting sqref="D32">
    <cfRule type="colorScale" priority="12041">
      <colorScale>
        <cfvo type="min"/>
        <cfvo type="percentile" val="50"/>
        <cfvo type="max"/>
        <color rgb="FFF8696B"/>
        <color rgb="FFFFEB84"/>
        <color rgb="FF63BE7B"/>
      </colorScale>
    </cfRule>
  </conditionalFormatting>
  <conditionalFormatting sqref="D32">
    <cfRule type="colorScale" priority="12040">
      <colorScale>
        <cfvo type="min"/>
        <cfvo type="percentile" val="50"/>
        <cfvo type="max"/>
        <color rgb="FFF8696B"/>
        <color rgb="FFFFEB84"/>
        <color rgb="FF63BE7B"/>
      </colorScale>
    </cfRule>
  </conditionalFormatting>
  <conditionalFormatting sqref="D32">
    <cfRule type="colorScale" priority="12039">
      <colorScale>
        <cfvo type="min"/>
        <cfvo type="percentile" val="50"/>
        <cfvo type="max"/>
        <color rgb="FFF8696B"/>
        <color rgb="FFFFEB84"/>
        <color rgb="FF63BE7B"/>
      </colorScale>
    </cfRule>
  </conditionalFormatting>
  <conditionalFormatting sqref="D32">
    <cfRule type="colorScale" priority="12038">
      <colorScale>
        <cfvo type="min"/>
        <cfvo type="percentile" val="50"/>
        <cfvo type="max"/>
        <color rgb="FFF8696B"/>
        <color rgb="FFFFEB84"/>
        <color rgb="FF63BE7B"/>
      </colorScale>
    </cfRule>
  </conditionalFormatting>
  <conditionalFormatting sqref="D32">
    <cfRule type="colorScale" priority="12037">
      <colorScale>
        <cfvo type="min"/>
        <cfvo type="percentile" val="50"/>
        <cfvo type="max"/>
        <color rgb="FFF8696B"/>
        <color rgb="FFFFEB84"/>
        <color rgb="FF63BE7B"/>
      </colorScale>
    </cfRule>
  </conditionalFormatting>
  <conditionalFormatting sqref="D32">
    <cfRule type="colorScale" priority="12036">
      <colorScale>
        <cfvo type="min"/>
        <cfvo type="percentile" val="50"/>
        <cfvo type="max"/>
        <color rgb="FFF8696B"/>
        <color rgb="FFFFEB84"/>
        <color rgb="FF63BE7B"/>
      </colorScale>
    </cfRule>
  </conditionalFormatting>
  <conditionalFormatting sqref="D32">
    <cfRule type="colorScale" priority="12035">
      <colorScale>
        <cfvo type="min"/>
        <cfvo type="percentile" val="50"/>
        <cfvo type="max"/>
        <color rgb="FFF8696B"/>
        <color rgb="FFFFEB84"/>
        <color rgb="FF63BE7B"/>
      </colorScale>
    </cfRule>
  </conditionalFormatting>
  <conditionalFormatting sqref="D32">
    <cfRule type="colorScale" priority="12034">
      <colorScale>
        <cfvo type="min"/>
        <cfvo type="percentile" val="50"/>
        <cfvo type="max"/>
        <color rgb="FFF8696B"/>
        <color rgb="FFFFEB84"/>
        <color rgb="FF63BE7B"/>
      </colorScale>
    </cfRule>
  </conditionalFormatting>
  <conditionalFormatting sqref="D32">
    <cfRule type="colorScale" priority="12033">
      <colorScale>
        <cfvo type="min"/>
        <cfvo type="percentile" val="50"/>
        <cfvo type="max"/>
        <color rgb="FFF8696B"/>
        <color rgb="FFFFEB84"/>
        <color rgb="FF63BE7B"/>
      </colorScale>
    </cfRule>
  </conditionalFormatting>
  <conditionalFormatting sqref="D32">
    <cfRule type="colorScale" priority="12032">
      <colorScale>
        <cfvo type="min"/>
        <cfvo type="percentile" val="50"/>
        <cfvo type="max"/>
        <color rgb="FFF8696B"/>
        <color rgb="FFFFEB84"/>
        <color rgb="FF63BE7B"/>
      </colorScale>
    </cfRule>
  </conditionalFormatting>
  <conditionalFormatting sqref="D32">
    <cfRule type="colorScale" priority="12031">
      <colorScale>
        <cfvo type="min"/>
        <cfvo type="percentile" val="50"/>
        <cfvo type="max"/>
        <color rgb="FFF8696B"/>
        <color rgb="FFFFEB84"/>
        <color rgb="FF63BE7B"/>
      </colorScale>
    </cfRule>
  </conditionalFormatting>
  <conditionalFormatting sqref="D32">
    <cfRule type="colorScale" priority="12030">
      <colorScale>
        <cfvo type="min"/>
        <cfvo type="percentile" val="50"/>
        <cfvo type="max"/>
        <color rgb="FFF8696B"/>
        <color rgb="FFFFEB84"/>
        <color rgb="FF63BE7B"/>
      </colorScale>
    </cfRule>
  </conditionalFormatting>
  <conditionalFormatting sqref="D32">
    <cfRule type="colorScale" priority="12029">
      <colorScale>
        <cfvo type="min"/>
        <cfvo type="percentile" val="50"/>
        <cfvo type="max"/>
        <color rgb="FFF8696B"/>
        <color rgb="FFFFEB84"/>
        <color rgb="FF63BE7B"/>
      </colorScale>
    </cfRule>
  </conditionalFormatting>
  <conditionalFormatting sqref="D32">
    <cfRule type="colorScale" priority="12028">
      <colorScale>
        <cfvo type="min"/>
        <cfvo type="percentile" val="50"/>
        <cfvo type="max"/>
        <color rgb="FFF8696B"/>
        <color rgb="FFFFEB84"/>
        <color rgb="FF63BE7B"/>
      </colorScale>
    </cfRule>
  </conditionalFormatting>
  <conditionalFormatting sqref="D32">
    <cfRule type="colorScale" priority="12027">
      <colorScale>
        <cfvo type="min"/>
        <cfvo type="percentile" val="50"/>
        <cfvo type="max"/>
        <color rgb="FFF8696B"/>
        <color rgb="FFFFEB84"/>
        <color rgb="FF63BE7B"/>
      </colorScale>
    </cfRule>
  </conditionalFormatting>
  <conditionalFormatting sqref="D32">
    <cfRule type="colorScale" priority="12026">
      <colorScale>
        <cfvo type="min"/>
        <cfvo type="percentile" val="50"/>
        <cfvo type="max"/>
        <color rgb="FFF8696B"/>
        <color rgb="FFFFEB84"/>
        <color rgb="FF63BE7B"/>
      </colorScale>
    </cfRule>
  </conditionalFormatting>
  <conditionalFormatting sqref="D32">
    <cfRule type="colorScale" priority="12025">
      <colorScale>
        <cfvo type="min"/>
        <cfvo type="percentile" val="50"/>
        <cfvo type="max"/>
        <color rgb="FFF8696B"/>
        <color rgb="FFFFEB84"/>
        <color rgb="FF63BE7B"/>
      </colorScale>
    </cfRule>
  </conditionalFormatting>
  <conditionalFormatting sqref="D32">
    <cfRule type="colorScale" priority="12024">
      <colorScale>
        <cfvo type="min"/>
        <cfvo type="percentile" val="50"/>
        <cfvo type="max"/>
        <color rgb="FFF8696B"/>
        <color rgb="FFFFEB84"/>
        <color rgb="FF63BE7B"/>
      </colorScale>
    </cfRule>
  </conditionalFormatting>
  <conditionalFormatting sqref="D32">
    <cfRule type="colorScale" priority="12023">
      <colorScale>
        <cfvo type="min"/>
        <cfvo type="percentile" val="50"/>
        <cfvo type="max"/>
        <color rgb="FFF8696B"/>
        <color rgb="FFFFEB84"/>
        <color rgb="FF63BE7B"/>
      </colorScale>
    </cfRule>
  </conditionalFormatting>
  <conditionalFormatting sqref="D32">
    <cfRule type="colorScale" priority="12022">
      <colorScale>
        <cfvo type="min"/>
        <cfvo type="percentile" val="50"/>
        <cfvo type="max"/>
        <color rgb="FFF8696B"/>
        <color rgb="FFFFEB84"/>
        <color rgb="FF63BE7B"/>
      </colorScale>
    </cfRule>
  </conditionalFormatting>
  <conditionalFormatting sqref="D32">
    <cfRule type="colorScale" priority="12021">
      <colorScale>
        <cfvo type="min"/>
        <cfvo type="percentile" val="50"/>
        <cfvo type="max"/>
        <color rgb="FFF8696B"/>
        <color rgb="FFFFEB84"/>
        <color rgb="FF63BE7B"/>
      </colorScale>
    </cfRule>
  </conditionalFormatting>
  <conditionalFormatting sqref="D32">
    <cfRule type="colorScale" priority="12020">
      <colorScale>
        <cfvo type="min"/>
        <cfvo type="percentile" val="50"/>
        <cfvo type="max"/>
        <color rgb="FFF8696B"/>
        <color rgb="FFFFEB84"/>
        <color rgb="FF63BE7B"/>
      </colorScale>
    </cfRule>
  </conditionalFormatting>
  <conditionalFormatting sqref="D32">
    <cfRule type="colorScale" priority="12019">
      <colorScale>
        <cfvo type="min"/>
        <cfvo type="percentile" val="50"/>
        <cfvo type="max"/>
        <color rgb="FFF8696B"/>
        <color rgb="FFFFEB84"/>
        <color rgb="FF63BE7B"/>
      </colorScale>
    </cfRule>
  </conditionalFormatting>
  <conditionalFormatting sqref="D32">
    <cfRule type="colorScale" priority="12018">
      <colorScale>
        <cfvo type="min"/>
        <cfvo type="percentile" val="50"/>
        <cfvo type="max"/>
        <color rgb="FFF8696B"/>
        <color rgb="FFFFEB84"/>
        <color rgb="FF63BE7B"/>
      </colorScale>
    </cfRule>
  </conditionalFormatting>
  <conditionalFormatting sqref="D32">
    <cfRule type="colorScale" priority="12017">
      <colorScale>
        <cfvo type="min"/>
        <cfvo type="percentile" val="50"/>
        <cfvo type="max"/>
        <color rgb="FFF8696B"/>
        <color rgb="FFFFEB84"/>
        <color rgb="FF63BE7B"/>
      </colorScale>
    </cfRule>
  </conditionalFormatting>
  <conditionalFormatting sqref="D32">
    <cfRule type="colorScale" priority="12016">
      <colorScale>
        <cfvo type="min"/>
        <cfvo type="percentile" val="50"/>
        <cfvo type="max"/>
        <color rgb="FFF8696B"/>
        <color rgb="FFFFEB84"/>
        <color rgb="FF63BE7B"/>
      </colorScale>
    </cfRule>
  </conditionalFormatting>
  <conditionalFormatting sqref="D32">
    <cfRule type="colorScale" priority="12015">
      <colorScale>
        <cfvo type="min"/>
        <cfvo type="percentile" val="50"/>
        <cfvo type="max"/>
        <color rgb="FFF8696B"/>
        <color rgb="FFFFEB84"/>
        <color rgb="FF63BE7B"/>
      </colorScale>
    </cfRule>
  </conditionalFormatting>
  <conditionalFormatting sqref="D32">
    <cfRule type="colorScale" priority="12014">
      <colorScale>
        <cfvo type="min"/>
        <cfvo type="percentile" val="50"/>
        <cfvo type="max"/>
        <color rgb="FFF8696B"/>
        <color rgb="FFFFEB84"/>
        <color rgb="FF63BE7B"/>
      </colorScale>
    </cfRule>
  </conditionalFormatting>
  <conditionalFormatting sqref="D32">
    <cfRule type="colorScale" priority="12013">
      <colorScale>
        <cfvo type="min"/>
        <cfvo type="percentile" val="50"/>
        <cfvo type="max"/>
        <color rgb="FFF8696B"/>
        <color rgb="FFFFEB84"/>
        <color rgb="FF63BE7B"/>
      </colorScale>
    </cfRule>
  </conditionalFormatting>
  <conditionalFormatting sqref="D32">
    <cfRule type="colorScale" priority="12012">
      <colorScale>
        <cfvo type="min"/>
        <cfvo type="percentile" val="50"/>
        <cfvo type="max"/>
        <color rgb="FFF8696B"/>
        <color rgb="FFFFEB84"/>
        <color rgb="FF63BE7B"/>
      </colorScale>
    </cfRule>
  </conditionalFormatting>
  <conditionalFormatting sqref="D32">
    <cfRule type="colorScale" priority="12011">
      <colorScale>
        <cfvo type="min"/>
        <cfvo type="percentile" val="50"/>
        <cfvo type="max"/>
        <color rgb="FFF8696B"/>
        <color rgb="FFFFEB84"/>
        <color rgb="FF63BE7B"/>
      </colorScale>
    </cfRule>
  </conditionalFormatting>
  <conditionalFormatting sqref="D32">
    <cfRule type="colorScale" priority="12010">
      <colorScale>
        <cfvo type="min"/>
        <cfvo type="percentile" val="50"/>
        <cfvo type="max"/>
        <color rgb="FFF8696B"/>
        <color rgb="FFFFEB84"/>
        <color rgb="FF63BE7B"/>
      </colorScale>
    </cfRule>
  </conditionalFormatting>
  <conditionalFormatting sqref="D32">
    <cfRule type="colorScale" priority="12009">
      <colorScale>
        <cfvo type="min"/>
        <cfvo type="percentile" val="50"/>
        <cfvo type="max"/>
        <color rgb="FFF8696B"/>
        <color rgb="FFFFEB84"/>
        <color rgb="FF63BE7B"/>
      </colorScale>
    </cfRule>
  </conditionalFormatting>
  <conditionalFormatting sqref="D32">
    <cfRule type="colorScale" priority="12008">
      <colorScale>
        <cfvo type="min"/>
        <cfvo type="percentile" val="50"/>
        <cfvo type="max"/>
        <color rgb="FFF8696B"/>
        <color rgb="FFFFEB84"/>
        <color rgb="FF63BE7B"/>
      </colorScale>
    </cfRule>
  </conditionalFormatting>
  <conditionalFormatting sqref="D32">
    <cfRule type="colorScale" priority="12007">
      <colorScale>
        <cfvo type="min"/>
        <cfvo type="percentile" val="50"/>
        <cfvo type="max"/>
        <color rgb="FFF8696B"/>
        <color rgb="FFFFEB84"/>
        <color rgb="FF63BE7B"/>
      </colorScale>
    </cfRule>
  </conditionalFormatting>
  <conditionalFormatting sqref="D32">
    <cfRule type="colorScale" priority="12006">
      <colorScale>
        <cfvo type="min"/>
        <cfvo type="percentile" val="50"/>
        <cfvo type="max"/>
        <color rgb="FFF8696B"/>
        <color rgb="FFFFEB84"/>
        <color rgb="FF63BE7B"/>
      </colorScale>
    </cfRule>
  </conditionalFormatting>
  <conditionalFormatting sqref="D32">
    <cfRule type="colorScale" priority="12005">
      <colorScale>
        <cfvo type="min"/>
        <cfvo type="percentile" val="50"/>
        <cfvo type="max"/>
        <color rgb="FFF8696B"/>
        <color rgb="FFFFEB84"/>
        <color rgb="FF63BE7B"/>
      </colorScale>
    </cfRule>
  </conditionalFormatting>
  <conditionalFormatting sqref="D32">
    <cfRule type="colorScale" priority="12004">
      <colorScale>
        <cfvo type="min"/>
        <cfvo type="percentile" val="50"/>
        <cfvo type="max"/>
        <color rgb="FFF8696B"/>
        <color rgb="FFFFEB84"/>
        <color rgb="FF63BE7B"/>
      </colorScale>
    </cfRule>
  </conditionalFormatting>
  <conditionalFormatting sqref="D32">
    <cfRule type="colorScale" priority="12003">
      <colorScale>
        <cfvo type="min"/>
        <cfvo type="percentile" val="50"/>
        <cfvo type="max"/>
        <color rgb="FFF8696B"/>
        <color rgb="FFFFEB84"/>
        <color rgb="FF63BE7B"/>
      </colorScale>
    </cfRule>
  </conditionalFormatting>
  <conditionalFormatting sqref="D32">
    <cfRule type="colorScale" priority="12002">
      <colorScale>
        <cfvo type="min"/>
        <cfvo type="percentile" val="50"/>
        <cfvo type="max"/>
        <color rgb="FFF8696B"/>
        <color rgb="FFFFEB84"/>
        <color rgb="FF63BE7B"/>
      </colorScale>
    </cfRule>
  </conditionalFormatting>
  <conditionalFormatting sqref="D32">
    <cfRule type="colorScale" priority="12001">
      <colorScale>
        <cfvo type="min"/>
        <cfvo type="percentile" val="50"/>
        <cfvo type="max"/>
        <color rgb="FFF8696B"/>
        <color rgb="FFFFEB84"/>
        <color rgb="FF63BE7B"/>
      </colorScale>
    </cfRule>
  </conditionalFormatting>
  <conditionalFormatting sqref="D32">
    <cfRule type="colorScale" priority="12000">
      <colorScale>
        <cfvo type="min"/>
        <cfvo type="percentile" val="50"/>
        <cfvo type="max"/>
        <color rgb="FFF8696B"/>
        <color rgb="FFFFEB84"/>
        <color rgb="FF63BE7B"/>
      </colorScale>
    </cfRule>
  </conditionalFormatting>
  <conditionalFormatting sqref="D32">
    <cfRule type="colorScale" priority="11999">
      <colorScale>
        <cfvo type="min"/>
        <cfvo type="percentile" val="50"/>
        <cfvo type="max"/>
        <color rgb="FFF8696B"/>
        <color rgb="FFFFEB84"/>
        <color rgb="FF63BE7B"/>
      </colorScale>
    </cfRule>
  </conditionalFormatting>
  <conditionalFormatting sqref="D32">
    <cfRule type="colorScale" priority="11998">
      <colorScale>
        <cfvo type="min"/>
        <cfvo type="percentile" val="50"/>
        <cfvo type="max"/>
        <color rgb="FFF8696B"/>
        <color rgb="FFFFEB84"/>
        <color rgb="FF63BE7B"/>
      </colorScale>
    </cfRule>
  </conditionalFormatting>
  <conditionalFormatting sqref="D32">
    <cfRule type="colorScale" priority="11997">
      <colorScale>
        <cfvo type="min"/>
        <cfvo type="percentile" val="50"/>
        <cfvo type="max"/>
        <color rgb="FFF8696B"/>
        <color rgb="FFFFEB84"/>
        <color rgb="FF63BE7B"/>
      </colorScale>
    </cfRule>
  </conditionalFormatting>
  <conditionalFormatting sqref="D32">
    <cfRule type="colorScale" priority="11996">
      <colorScale>
        <cfvo type="min"/>
        <cfvo type="percentile" val="50"/>
        <cfvo type="max"/>
        <color rgb="FFF8696B"/>
        <color rgb="FFFFEB84"/>
        <color rgb="FF63BE7B"/>
      </colorScale>
    </cfRule>
  </conditionalFormatting>
  <conditionalFormatting sqref="D32">
    <cfRule type="colorScale" priority="11995">
      <colorScale>
        <cfvo type="min"/>
        <cfvo type="percentile" val="50"/>
        <cfvo type="max"/>
        <color rgb="FFF8696B"/>
        <color rgb="FFFFEB84"/>
        <color rgb="FF63BE7B"/>
      </colorScale>
    </cfRule>
  </conditionalFormatting>
  <conditionalFormatting sqref="D32">
    <cfRule type="colorScale" priority="11994">
      <colorScale>
        <cfvo type="min"/>
        <cfvo type="percentile" val="50"/>
        <cfvo type="max"/>
        <color rgb="FFF8696B"/>
        <color rgb="FFFFEB84"/>
        <color rgb="FF63BE7B"/>
      </colorScale>
    </cfRule>
  </conditionalFormatting>
  <conditionalFormatting sqref="D32">
    <cfRule type="colorScale" priority="11993">
      <colorScale>
        <cfvo type="min"/>
        <cfvo type="percentile" val="50"/>
        <cfvo type="max"/>
        <color rgb="FFF8696B"/>
        <color rgb="FFFFEB84"/>
        <color rgb="FF63BE7B"/>
      </colorScale>
    </cfRule>
  </conditionalFormatting>
  <conditionalFormatting sqref="D32">
    <cfRule type="colorScale" priority="11992">
      <colorScale>
        <cfvo type="min"/>
        <cfvo type="percentile" val="50"/>
        <cfvo type="max"/>
        <color rgb="FFF8696B"/>
        <color rgb="FFFFEB84"/>
        <color rgb="FF63BE7B"/>
      </colorScale>
    </cfRule>
  </conditionalFormatting>
  <conditionalFormatting sqref="D32">
    <cfRule type="colorScale" priority="11991">
      <colorScale>
        <cfvo type="min"/>
        <cfvo type="percentile" val="50"/>
        <cfvo type="max"/>
        <color rgb="FFF8696B"/>
        <color rgb="FFFFEB84"/>
        <color rgb="FF63BE7B"/>
      </colorScale>
    </cfRule>
  </conditionalFormatting>
  <conditionalFormatting sqref="D32">
    <cfRule type="colorScale" priority="11990">
      <colorScale>
        <cfvo type="min"/>
        <cfvo type="percentile" val="50"/>
        <cfvo type="max"/>
        <color rgb="FFF8696B"/>
        <color rgb="FFFFEB84"/>
        <color rgb="FF63BE7B"/>
      </colorScale>
    </cfRule>
  </conditionalFormatting>
  <conditionalFormatting sqref="D32">
    <cfRule type="colorScale" priority="11989">
      <colorScale>
        <cfvo type="min"/>
        <cfvo type="percentile" val="50"/>
        <cfvo type="max"/>
        <color rgb="FFF8696B"/>
        <color rgb="FFFFEB84"/>
        <color rgb="FF63BE7B"/>
      </colorScale>
    </cfRule>
  </conditionalFormatting>
  <conditionalFormatting sqref="D32">
    <cfRule type="colorScale" priority="11988">
      <colorScale>
        <cfvo type="min"/>
        <cfvo type="percentile" val="50"/>
        <cfvo type="max"/>
        <color rgb="FFF8696B"/>
        <color rgb="FFFFEB84"/>
        <color rgb="FF63BE7B"/>
      </colorScale>
    </cfRule>
  </conditionalFormatting>
  <conditionalFormatting sqref="D32">
    <cfRule type="colorScale" priority="11987">
      <colorScale>
        <cfvo type="min"/>
        <cfvo type="percentile" val="50"/>
        <cfvo type="max"/>
        <color rgb="FFF8696B"/>
        <color rgb="FFFFEB84"/>
        <color rgb="FF63BE7B"/>
      </colorScale>
    </cfRule>
  </conditionalFormatting>
  <conditionalFormatting sqref="D32">
    <cfRule type="colorScale" priority="11986">
      <colorScale>
        <cfvo type="min"/>
        <cfvo type="percentile" val="50"/>
        <cfvo type="max"/>
        <color rgb="FFF8696B"/>
        <color rgb="FFFFEB84"/>
        <color rgb="FF63BE7B"/>
      </colorScale>
    </cfRule>
  </conditionalFormatting>
  <conditionalFormatting sqref="D32">
    <cfRule type="colorScale" priority="11985">
      <colorScale>
        <cfvo type="min"/>
        <cfvo type="percentile" val="50"/>
        <cfvo type="max"/>
        <color rgb="FFF8696B"/>
        <color rgb="FFFFEB84"/>
        <color rgb="FF63BE7B"/>
      </colorScale>
    </cfRule>
  </conditionalFormatting>
  <conditionalFormatting sqref="D32">
    <cfRule type="colorScale" priority="11984">
      <colorScale>
        <cfvo type="min"/>
        <cfvo type="percentile" val="50"/>
        <cfvo type="max"/>
        <color rgb="FFF8696B"/>
        <color rgb="FFFFEB84"/>
        <color rgb="FF63BE7B"/>
      </colorScale>
    </cfRule>
  </conditionalFormatting>
  <conditionalFormatting sqref="D32">
    <cfRule type="colorScale" priority="11983">
      <colorScale>
        <cfvo type="min"/>
        <cfvo type="percentile" val="50"/>
        <cfvo type="max"/>
        <color rgb="FFF8696B"/>
        <color rgb="FFFFEB84"/>
        <color rgb="FF63BE7B"/>
      </colorScale>
    </cfRule>
  </conditionalFormatting>
  <conditionalFormatting sqref="D32">
    <cfRule type="colorScale" priority="11982">
      <colorScale>
        <cfvo type="min"/>
        <cfvo type="percentile" val="50"/>
        <cfvo type="max"/>
        <color rgb="FFF8696B"/>
        <color rgb="FFFFEB84"/>
        <color rgb="FF63BE7B"/>
      </colorScale>
    </cfRule>
  </conditionalFormatting>
  <conditionalFormatting sqref="D32">
    <cfRule type="colorScale" priority="11981">
      <colorScale>
        <cfvo type="min"/>
        <cfvo type="percentile" val="50"/>
        <cfvo type="max"/>
        <color rgb="FFF8696B"/>
        <color rgb="FFFFEB84"/>
        <color rgb="FF63BE7B"/>
      </colorScale>
    </cfRule>
  </conditionalFormatting>
  <conditionalFormatting sqref="D32">
    <cfRule type="colorScale" priority="11980">
      <colorScale>
        <cfvo type="min"/>
        <cfvo type="percentile" val="50"/>
        <cfvo type="max"/>
        <color rgb="FFF8696B"/>
        <color rgb="FFFFEB84"/>
        <color rgb="FF63BE7B"/>
      </colorScale>
    </cfRule>
  </conditionalFormatting>
  <conditionalFormatting sqref="D32">
    <cfRule type="colorScale" priority="11979">
      <colorScale>
        <cfvo type="min"/>
        <cfvo type="percentile" val="50"/>
        <cfvo type="max"/>
        <color rgb="FFF8696B"/>
        <color rgb="FFFFEB84"/>
        <color rgb="FF63BE7B"/>
      </colorScale>
    </cfRule>
  </conditionalFormatting>
  <conditionalFormatting sqref="D32">
    <cfRule type="colorScale" priority="11978">
      <colorScale>
        <cfvo type="min"/>
        <cfvo type="percentile" val="50"/>
        <cfvo type="max"/>
        <color rgb="FFF8696B"/>
        <color rgb="FFFFEB84"/>
        <color rgb="FF63BE7B"/>
      </colorScale>
    </cfRule>
  </conditionalFormatting>
  <conditionalFormatting sqref="D32">
    <cfRule type="colorScale" priority="11977">
      <colorScale>
        <cfvo type="min"/>
        <cfvo type="percentile" val="50"/>
        <cfvo type="max"/>
        <color rgb="FFF8696B"/>
        <color rgb="FFFFEB84"/>
        <color rgb="FF63BE7B"/>
      </colorScale>
    </cfRule>
  </conditionalFormatting>
  <conditionalFormatting sqref="D32">
    <cfRule type="colorScale" priority="11976">
      <colorScale>
        <cfvo type="min"/>
        <cfvo type="percentile" val="50"/>
        <cfvo type="max"/>
        <color rgb="FFF8696B"/>
        <color rgb="FFFFEB84"/>
        <color rgb="FF63BE7B"/>
      </colorScale>
    </cfRule>
  </conditionalFormatting>
  <conditionalFormatting sqref="D32">
    <cfRule type="colorScale" priority="11975">
      <colorScale>
        <cfvo type="min"/>
        <cfvo type="percentile" val="50"/>
        <cfvo type="max"/>
        <color rgb="FFF8696B"/>
        <color rgb="FFFFEB84"/>
        <color rgb="FF63BE7B"/>
      </colorScale>
    </cfRule>
  </conditionalFormatting>
  <conditionalFormatting sqref="D32">
    <cfRule type="colorScale" priority="11974">
      <colorScale>
        <cfvo type="min"/>
        <cfvo type="percentile" val="50"/>
        <cfvo type="max"/>
        <color rgb="FFF8696B"/>
        <color rgb="FFFFEB84"/>
        <color rgb="FF63BE7B"/>
      </colorScale>
    </cfRule>
  </conditionalFormatting>
  <conditionalFormatting sqref="D32">
    <cfRule type="colorScale" priority="11973">
      <colorScale>
        <cfvo type="min"/>
        <cfvo type="percentile" val="50"/>
        <cfvo type="max"/>
        <color rgb="FFF8696B"/>
        <color rgb="FFFFEB84"/>
        <color rgb="FF63BE7B"/>
      </colorScale>
    </cfRule>
  </conditionalFormatting>
  <conditionalFormatting sqref="D32">
    <cfRule type="colorScale" priority="11972">
      <colorScale>
        <cfvo type="min"/>
        <cfvo type="percentile" val="50"/>
        <cfvo type="max"/>
        <color rgb="FFF8696B"/>
        <color rgb="FFFFEB84"/>
        <color rgb="FF63BE7B"/>
      </colorScale>
    </cfRule>
  </conditionalFormatting>
  <conditionalFormatting sqref="D32">
    <cfRule type="colorScale" priority="11971">
      <colorScale>
        <cfvo type="min"/>
        <cfvo type="percentile" val="50"/>
        <cfvo type="max"/>
        <color rgb="FFF8696B"/>
        <color rgb="FFFFEB84"/>
        <color rgb="FF63BE7B"/>
      </colorScale>
    </cfRule>
  </conditionalFormatting>
  <conditionalFormatting sqref="D32">
    <cfRule type="colorScale" priority="11970">
      <colorScale>
        <cfvo type="min"/>
        <cfvo type="percentile" val="50"/>
        <cfvo type="max"/>
        <color rgb="FFF8696B"/>
        <color rgb="FFFFEB84"/>
        <color rgb="FF63BE7B"/>
      </colorScale>
    </cfRule>
  </conditionalFormatting>
  <conditionalFormatting sqref="D32">
    <cfRule type="colorScale" priority="11969">
      <colorScale>
        <cfvo type="min"/>
        <cfvo type="percentile" val="50"/>
        <cfvo type="max"/>
        <color rgb="FFF8696B"/>
        <color rgb="FFFFEB84"/>
        <color rgb="FF63BE7B"/>
      </colorScale>
    </cfRule>
  </conditionalFormatting>
  <conditionalFormatting sqref="D32">
    <cfRule type="colorScale" priority="11968">
      <colorScale>
        <cfvo type="min"/>
        <cfvo type="percentile" val="50"/>
        <cfvo type="max"/>
        <color rgb="FFF8696B"/>
        <color rgb="FFFFEB84"/>
        <color rgb="FF63BE7B"/>
      </colorScale>
    </cfRule>
  </conditionalFormatting>
  <conditionalFormatting sqref="D32">
    <cfRule type="colorScale" priority="11967">
      <colorScale>
        <cfvo type="min"/>
        <cfvo type="percentile" val="50"/>
        <cfvo type="max"/>
        <color rgb="FFF8696B"/>
        <color rgb="FFFFEB84"/>
        <color rgb="FF63BE7B"/>
      </colorScale>
    </cfRule>
  </conditionalFormatting>
  <conditionalFormatting sqref="D32">
    <cfRule type="colorScale" priority="11966">
      <colorScale>
        <cfvo type="min"/>
        <cfvo type="percentile" val="50"/>
        <cfvo type="max"/>
        <color rgb="FFF8696B"/>
        <color rgb="FFFFEB84"/>
        <color rgb="FF63BE7B"/>
      </colorScale>
    </cfRule>
  </conditionalFormatting>
  <conditionalFormatting sqref="D32">
    <cfRule type="colorScale" priority="11965">
      <colorScale>
        <cfvo type="min"/>
        <cfvo type="percentile" val="50"/>
        <cfvo type="max"/>
        <color rgb="FFF8696B"/>
        <color rgb="FFFFEB84"/>
        <color rgb="FF63BE7B"/>
      </colorScale>
    </cfRule>
  </conditionalFormatting>
  <conditionalFormatting sqref="D32">
    <cfRule type="colorScale" priority="11964">
      <colorScale>
        <cfvo type="min"/>
        <cfvo type="percentile" val="50"/>
        <cfvo type="max"/>
        <color rgb="FFF8696B"/>
        <color rgb="FFFFEB84"/>
        <color rgb="FF63BE7B"/>
      </colorScale>
    </cfRule>
  </conditionalFormatting>
  <conditionalFormatting sqref="D32">
    <cfRule type="colorScale" priority="11963">
      <colorScale>
        <cfvo type="min"/>
        <cfvo type="percentile" val="50"/>
        <cfvo type="max"/>
        <color rgb="FFF8696B"/>
        <color rgb="FFFFEB84"/>
        <color rgb="FF63BE7B"/>
      </colorScale>
    </cfRule>
  </conditionalFormatting>
  <conditionalFormatting sqref="D32">
    <cfRule type="colorScale" priority="11962">
      <colorScale>
        <cfvo type="min"/>
        <cfvo type="percentile" val="50"/>
        <cfvo type="max"/>
        <color rgb="FFF8696B"/>
        <color rgb="FFFFEB84"/>
        <color rgb="FF63BE7B"/>
      </colorScale>
    </cfRule>
  </conditionalFormatting>
  <conditionalFormatting sqref="D32">
    <cfRule type="colorScale" priority="11961">
      <colorScale>
        <cfvo type="min"/>
        <cfvo type="percentile" val="50"/>
        <cfvo type="max"/>
        <color rgb="FFF8696B"/>
        <color rgb="FFFFEB84"/>
        <color rgb="FF63BE7B"/>
      </colorScale>
    </cfRule>
  </conditionalFormatting>
  <conditionalFormatting sqref="D32">
    <cfRule type="colorScale" priority="11960">
      <colorScale>
        <cfvo type="min"/>
        <cfvo type="percentile" val="50"/>
        <cfvo type="max"/>
        <color rgb="FFF8696B"/>
        <color rgb="FFFFEB84"/>
        <color rgb="FF63BE7B"/>
      </colorScale>
    </cfRule>
  </conditionalFormatting>
  <conditionalFormatting sqref="D32">
    <cfRule type="colorScale" priority="11959">
      <colorScale>
        <cfvo type="min"/>
        <cfvo type="percentile" val="50"/>
        <cfvo type="max"/>
        <color rgb="FFF8696B"/>
        <color rgb="FFFFEB84"/>
        <color rgb="FF63BE7B"/>
      </colorScale>
    </cfRule>
  </conditionalFormatting>
  <conditionalFormatting sqref="D32">
    <cfRule type="colorScale" priority="11958">
      <colorScale>
        <cfvo type="min"/>
        <cfvo type="percentile" val="50"/>
        <cfvo type="max"/>
        <color rgb="FFF8696B"/>
        <color rgb="FFFFEB84"/>
        <color rgb="FF63BE7B"/>
      </colorScale>
    </cfRule>
  </conditionalFormatting>
  <conditionalFormatting sqref="D32">
    <cfRule type="colorScale" priority="11957">
      <colorScale>
        <cfvo type="min"/>
        <cfvo type="percentile" val="50"/>
        <cfvo type="max"/>
        <color rgb="FFF8696B"/>
        <color rgb="FFFFEB84"/>
        <color rgb="FF63BE7B"/>
      </colorScale>
    </cfRule>
  </conditionalFormatting>
  <conditionalFormatting sqref="D32">
    <cfRule type="colorScale" priority="11956">
      <colorScale>
        <cfvo type="min"/>
        <cfvo type="percentile" val="50"/>
        <cfvo type="max"/>
        <color rgb="FFF8696B"/>
        <color rgb="FFFFEB84"/>
        <color rgb="FF63BE7B"/>
      </colorScale>
    </cfRule>
  </conditionalFormatting>
  <conditionalFormatting sqref="D32">
    <cfRule type="colorScale" priority="11955">
      <colorScale>
        <cfvo type="min"/>
        <cfvo type="percentile" val="50"/>
        <cfvo type="max"/>
        <color rgb="FFF8696B"/>
        <color rgb="FFFFEB84"/>
        <color rgb="FF63BE7B"/>
      </colorScale>
    </cfRule>
  </conditionalFormatting>
  <conditionalFormatting sqref="D32">
    <cfRule type="colorScale" priority="11954">
      <colorScale>
        <cfvo type="min"/>
        <cfvo type="percentile" val="50"/>
        <cfvo type="max"/>
        <color rgb="FFF8696B"/>
        <color rgb="FFFFEB84"/>
        <color rgb="FF63BE7B"/>
      </colorScale>
    </cfRule>
  </conditionalFormatting>
  <conditionalFormatting sqref="D32">
    <cfRule type="colorScale" priority="11953">
      <colorScale>
        <cfvo type="min"/>
        <cfvo type="percentile" val="50"/>
        <cfvo type="max"/>
        <color rgb="FFF8696B"/>
        <color rgb="FFFFEB84"/>
        <color rgb="FF63BE7B"/>
      </colorScale>
    </cfRule>
  </conditionalFormatting>
  <conditionalFormatting sqref="D32">
    <cfRule type="colorScale" priority="11952">
      <colorScale>
        <cfvo type="min"/>
        <cfvo type="percentile" val="50"/>
        <cfvo type="max"/>
        <color rgb="FFF8696B"/>
        <color rgb="FFFFEB84"/>
        <color rgb="FF63BE7B"/>
      </colorScale>
    </cfRule>
  </conditionalFormatting>
  <conditionalFormatting sqref="D32">
    <cfRule type="colorScale" priority="11951">
      <colorScale>
        <cfvo type="min"/>
        <cfvo type="percentile" val="50"/>
        <cfvo type="max"/>
        <color rgb="FFF8696B"/>
        <color rgb="FFFFEB84"/>
        <color rgb="FF63BE7B"/>
      </colorScale>
    </cfRule>
  </conditionalFormatting>
  <conditionalFormatting sqref="D32">
    <cfRule type="colorScale" priority="11950">
      <colorScale>
        <cfvo type="min"/>
        <cfvo type="percentile" val="50"/>
        <cfvo type="max"/>
        <color rgb="FFF8696B"/>
        <color rgb="FFFFEB84"/>
        <color rgb="FF63BE7B"/>
      </colorScale>
    </cfRule>
  </conditionalFormatting>
  <conditionalFormatting sqref="D32">
    <cfRule type="colorScale" priority="11949">
      <colorScale>
        <cfvo type="min"/>
        <cfvo type="percentile" val="50"/>
        <cfvo type="max"/>
        <color rgb="FFF8696B"/>
        <color rgb="FFFFEB84"/>
        <color rgb="FF63BE7B"/>
      </colorScale>
    </cfRule>
  </conditionalFormatting>
  <conditionalFormatting sqref="D32">
    <cfRule type="colorScale" priority="11948">
      <colorScale>
        <cfvo type="min"/>
        <cfvo type="percentile" val="50"/>
        <cfvo type="max"/>
        <color rgb="FFF8696B"/>
        <color rgb="FFFFEB84"/>
        <color rgb="FF63BE7B"/>
      </colorScale>
    </cfRule>
  </conditionalFormatting>
  <conditionalFormatting sqref="D32">
    <cfRule type="colorScale" priority="11947">
      <colorScale>
        <cfvo type="min"/>
        <cfvo type="percentile" val="50"/>
        <cfvo type="max"/>
        <color rgb="FFF8696B"/>
        <color rgb="FFFFEB84"/>
        <color rgb="FF63BE7B"/>
      </colorScale>
    </cfRule>
  </conditionalFormatting>
  <conditionalFormatting sqref="D32">
    <cfRule type="colorScale" priority="11946">
      <colorScale>
        <cfvo type="min"/>
        <cfvo type="percentile" val="50"/>
        <cfvo type="max"/>
        <color rgb="FFF8696B"/>
        <color rgb="FFFFEB84"/>
        <color rgb="FF63BE7B"/>
      </colorScale>
    </cfRule>
  </conditionalFormatting>
  <conditionalFormatting sqref="D32">
    <cfRule type="colorScale" priority="11945">
      <colorScale>
        <cfvo type="min"/>
        <cfvo type="percentile" val="50"/>
        <cfvo type="max"/>
        <color rgb="FFF8696B"/>
        <color rgb="FFFFEB84"/>
        <color rgb="FF63BE7B"/>
      </colorScale>
    </cfRule>
  </conditionalFormatting>
  <conditionalFormatting sqref="D32">
    <cfRule type="colorScale" priority="11944">
      <colorScale>
        <cfvo type="min"/>
        <cfvo type="percentile" val="50"/>
        <cfvo type="max"/>
        <color rgb="FFF8696B"/>
        <color rgb="FFFFEB84"/>
        <color rgb="FF63BE7B"/>
      </colorScale>
    </cfRule>
  </conditionalFormatting>
  <conditionalFormatting sqref="D32">
    <cfRule type="colorScale" priority="11943">
      <colorScale>
        <cfvo type="min"/>
        <cfvo type="percentile" val="50"/>
        <cfvo type="max"/>
        <color rgb="FFF8696B"/>
        <color rgb="FFFFEB84"/>
        <color rgb="FF63BE7B"/>
      </colorScale>
    </cfRule>
  </conditionalFormatting>
  <conditionalFormatting sqref="D32">
    <cfRule type="colorScale" priority="11942">
      <colorScale>
        <cfvo type="min"/>
        <cfvo type="percentile" val="50"/>
        <cfvo type="max"/>
        <color rgb="FFF8696B"/>
        <color rgb="FFFFEB84"/>
        <color rgb="FF63BE7B"/>
      </colorScale>
    </cfRule>
  </conditionalFormatting>
  <conditionalFormatting sqref="D32">
    <cfRule type="colorScale" priority="11941">
      <colorScale>
        <cfvo type="min"/>
        <cfvo type="percentile" val="50"/>
        <cfvo type="max"/>
        <color rgb="FFF8696B"/>
        <color rgb="FFFFEB84"/>
        <color rgb="FF63BE7B"/>
      </colorScale>
    </cfRule>
  </conditionalFormatting>
  <conditionalFormatting sqref="D32">
    <cfRule type="colorScale" priority="11940">
      <colorScale>
        <cfvo type="min"/>
        <cfvo type="percentile" val="50"/>
        <cfvo type="max"/>
        <color rgb="FFF8696B"/>
        <color rgb="FFFFEB84"/>
        <color rgb="FF63BE7B"/>
      </colorScale>
    </cfRule>
  </conditionalFormatting>
  <conditionalFormatting sqref="D32">
    <cfRule type="colorScale" priority="11939">
      <colorScale>
        <cfvo type="min"/>
        <cfvo type="percentile" val="50"/>
        <cfvo type="max"/>
        <color rgb="FFF8696B"/>
        <color rgb="FFFFEB84"/>
        <color rgb="FF63BE7B"/>
      </colorScale>
    </cfRule>
  </conditionalFormatting>
  <conditionalFormatting sqref="D32">
    <cfRule type="colorScale" priority="11938">
      <colorScale>
        <cfvo type="min"/>
        <cfvo type="percentile" val="50"/>
        <cfvo type="max"/>
        <color rgb="FFF8696B"/>
        <color rgb="FFFFEB84"/>
        <color rgb="FF63BE7B"/>
      </colorScale>
    </cfRule>
  </conditionalFormatting>
  <conditionalFormatting sqref="D32">
    <cfRule type="colorScale" priority="11937">
      <colorScale>
        <cfvo type="min"/>
        <cfvo type="percentile" val="50"/>
        <cfvo type="max"/>
        <color rgb="FFF8696B"/>
        <color rgb="FFFFEB84"/>
        <color rgb="FF63BE7B"/>
      </colorScale>
    </cfRule>
  </conditionalFormatting>
  <conditionalFormatting sqref="D32">
    <cfRule type="colorScale" priority="11936">
      <colorScale>
        <cfvo type="min"/>
        <cfvo type="percentile" val="50"/>
        <cfvo type="max"/>
        <color rgb="FFF8696B"/>
        <color rgb="FFFFEB84"/>
        <color rgb="FF63BE7B"/>
      </colorScale>
    </cfRule>
  </conditionalFormatting>
  <conditionalFormatting sqref="D32">
    <cfRule type="colorScale" priority="11935">
      <colorScale>
        <cfvo type="min"/>
        <cfvo type="percentile" val="50"/>
        <cfvo type="max"/>
        <color rgb="FFF8696B"/>
        <color rgb="FFFFEB84"/>
        <color rgb="FF63BE7B"/>
      </colorScale>
    </cfRule>
  </conditionalFormatting>
  <conditionalFormatting sqref="D10:D32">
    <cfRule type="colorScale" priority="11934">
      <colorScale>
        <cfvo type="min"/>
        <cfvo type="percentile" val="50"/>
        <cfvo type="max"/>
        <color rgb="FFF8696B"/>
        <color rgb="FFFFEB84"/>
        <color rgb="FF63BE7B"/>
      </colorScale>
    </cfRule>
  </conditionalFormatting>
  <conditionalFormatting sqref="D10:D31">
    <cfRule type="colorScale" priority="11933">
      <colorScale>
        <cfvo type="min"/>
        <cfvo type="percentile" val="50"/>
        <cfvo type="max"/>
        <color rgb="FFF8696B"/>
        <color rgb="FFFFEB84"/>
        <color rgb="FF63BE7B"/>
      </colorScale>
    </cfRule>
  </conditionalFormatting>
  <conditionalFormatting sqref="D10:D31">
    <cfRule type="colorScale" priority="11932">
      <colorScale>
        <cfvo type="min"/>
        <cfvo type="percentile" val="50"/>
        <cfvo type="max"/>
        <color rgb="FFF8696B"/>
        <color rgb="FFFFEB84"/>
        <color rgb="FF63BE7B"/>
      </colorScale>
    </cfRule>
  </conditionalFormatting>
  <conditionalFormatting sqref="D10:D31">
    <cfRule type="colorScale" priority="11931">
      <colorScale>
        <cfvo type="min"/>
        <cfvo type="percentile" val="50"/>
        <cfvo type="max"/>
        <color rgb="FFF8696B"/>
        <color rgb="FFFFEB84"/>
        <color rgb="FF63BE7B"/>
      </colorScale>
    </cfRule>
  </conditionalFormatting>
  <conditionalFormatting sqref="D10:D31">
    <cfRule type="colorScale" priority="11930">
      <colorScale>
        <cfvo type="min"/>
        <cfvo type="percentile" val="50"/>
        <cfvo type="max"/>
        <color rgb="FFF8696B"/>
        <color rgb="FFFFEB84"/>
        <color rgb="FF63BE7B"/>
      </colorScale>
    </cfRule>
  </conditionalFormatting>
  <conditionalFormatting sqref="D10:D31">
    <cfRule type="colorScale" priority="11929">
      <colorScale>
        <cfvo type="min"/>
        <cfvo type="percentile" val="50"/>
        <cfvo type="max"/>
        <color rgb="FFF8696B"/>
        <color rgb="FFFFEB84"/>
        <color rgb="FF63BE7B"/>
      </colorScale>
    </cfRule>
  </conditionalFormatting>
  <conditionalFormatting sqref="D10:D31">
    <cfRule type="colorScale" priority="11928">
      <colorScale>
        <cfvo type="min"/>
        <cfvo type="percentile" val="50"/>
        <cfvo type="max"/>
        <color rgb="FFF8696B"/>
        <color rgb="FFFFEB84"/>
        <color rgb="FF63BE7B"/>
      </colorScale>
    </cfRule>
  </conditionalFormatting>
  <conditionalFormatting sqref="D10:D31">
    <cfRule type="colorScale" priority="11927">
      <colorScale>
        <cfvo type="min"/>
        <cfvo type="percentile" val="50"/>
        <cfvo type="max"/>
        <color rgb="FFF8696B"/>
        <color rgb="FFFFEB84"/>
        <color rgb="FF63BE7B"/>
      </colorScale>
    </cfRule>
  </conditionalFormatting>
  <conditionalFormatting sqref="D10:D31">
    <cfRule type="colorScale" priority="11926">
      <colorScale>
        <cfvo type="min"/>
        <cfvo type="percentile" val="50"/>
        <cfvo type="max"/>
        <color rgb="FFF8696B"/>
        <color rgb="FFFFEB84"/>
        <color rgb="FF63BE7B"/>
      </colorScale>
    </cfRule>
  </conditionalFormatting>
  <conditionalFormatting sqref="D10:D31">
    <cfRule type="colorScale" priority="11925">
      <colorScale>
        <cfvo type="min"/>
        <cfvo type="percentile" val="50"/>
        <cfvo type="max"/>
        <color rgb="FFF8696B"/>
        <color rgb="FFFFEB84"/>
        <color rgb="FF63BE7B"/>
      </colorScale>
    </cfRule>
  </conditionalFormatting>
  <conditionalFormatting sqref="D10:D31">
    <cfRule type="colorScale" priority="11924">
      <colorScale>
        <cfvo type="min"/>
        <cfvo type="percentile" val="50"/>
        <cfvo type="max"/>
        <color rgb="FFF8696B"/>
        <color rgb="FFFFEB84"/>
        <color rgb="FF63BE7B"/>
      </colorScale>
    </cfRule>
  </conditionalFormatting>
  <conditionalFormatting sqref="D10:D31">
    <cfRule type="colorScale" priority="11923">
      <colorScale>
        <cfvo type="min"/>
        <cfvo type="percentile" val="50"/>
        <cfvo type="max"/>
        <color rgb="FFF8696B"/>
        <color rgb="FFFFEB84"/>
        <color rgb="FF63BE7B"/>
      </colorScale>
    </cfRule>
  </conditionalFormatting>
  <conditionalFormatting sqref="D10:D31">
    <cfRule type="colorScale" priority="11922">
      <colorScale>
        <cfvo type="min"/>
        <cfvo type="percentile" val="50"/>
        <cfvo type="max"/>
        <color rgb="FFF8696B"/>
        <color rgb="FFFFEB84"/>
        <color rgb="FF63BE7B"/>
      </colorScale>
    </cfRule>
  </conditionalFormatting>
  <conditionalFormatting sqref="D10:D31">
    <cfRule type="colorScale" priority="11921">
      <colorScale>
        <cfvo type="min"/>
        <cfvo type="percentile" val="50"/>
        <cfvo type="max"/>
        <color rgb="FFF8696B"/>
        <color rgb="FFFFEB84"/>
        <color rgb="FF63BE7B"/>
      </colorScale>
    </cfRule>
  </conditionalFormatting>
  <conditionalFormatting sqref="D10:D31">
    <cfRule type="colorScale" priority="11920">
      <colorScale>
        <cfvo type="min"/>
        <cfvo type="percentile" val="50"/>
        <cfvo type="max"/>
        <color rgb="FFF8696B"/>
        <color rgb="FFFFEB84"/>
        <color rgb="FF63BE7B"/>
      </colorScale>
    </cfRule>
  </conditionalFormatting>
  <conditionalFormatting sqref="D10:D31">
    <cfRule type="colorScale" priority="11919">
      <colorScale>
        <cfvo type="min"/>
        <cfvo type="percentile" val="50"/>
        <cfvo type="max"/>
        <color rgb="FFF8696B"/>
        <color rgb="FFFFEB84"/>
        <color rgb="FF63BE7B"/>
      </colorScale>
    </cfRule>
  </conditionalFormatting>
  <conditionalFormatting sqref="D10:D31">
    <cfRule type="colorScale" priority="11918">
      <colorScale>
        <cfvo type="min"/>
        <cfvo type="percentile" val="50"/>
        <cfvo type="max"/>
        <color rgb="FFF8696B"/>
        <color rgb="FFFFEB84"/>
        <color rgb="FF63BE7B"/>
      </colorScale>
    </cfRule>
  </conditionalFormatting>
  <conditionalFormatting sqref="D10:D31">
    <cfRule type="colorScale" priority="11917">
      <colorScale>
        <cfvo type="min"/>
        <cfvo type="percentile" val="50"/>
        <cfvo type="max"/>
        <color rgb="FFF8696B"/>
        <color rgb="FFFFEB84"/>
        <color rgb="FF63BE7B"/>
      </colorScale>
    </cfRule>
  </conditionalFormatting>
  <conditionalFormatting sqref="D10:D31">
    <cfRule type="colorScale" priority="11916">
      <colorScale>
        <cfvo type="min"/>
        <cfvo type="percentile" val="50"/>
        <cfvo type="max"/>
        <color rgb="FFF8696B"/>
        <color rgb="FFFFEB84"/>
        <color rgb="FF63BE7B"/>
      </colorScale>
    </cfRule>
  </conditionalFormatting>
  <conditionalFormatting sqref="D10:D31">
    <cfRule type="colorScale" priority="11915">
      <colorScale>
        <cfvo type="min"/>
        <cfvo type="percentile" val="50"/>
        <cfvo type="max"/>
        <color rgb="FFF8696B"/>
        <color rgb="FFFFEB84"/>
        <color rgb="FF63BE7B"/>
      </colorScale>
    </cfRule>
  </conditionalFormatting>
  <conditionalFormatting sqref="D10:D31">
    <cfRule type="colorScale" priority="11914">
      <colorScale>
        <cfvo type="min"/>
        <cfvo type="percentile" val="50"/>
        <cfvo type="max"/>
        <color rgb="FFF8696B"/>
        <color rgb="FFFFEB84"/>
        <color rgb="FF63BE7B"/>
      </colorScale>
    </cfRule>
  </conditionalFormatting>
  <conditionalFormatting sqref="D10:D31">
    <cfRule type="colorScale" priority="11913">
      <colorScale>
        <cfvo type="min"/>
        <cfvo type="percentile" val="50"/>
        <cfvo type="max"/>
        <color rgb="FFF8696B"/>
        <color rgb="FFFFEB84"/>
        <color rgb="FF63BE7B"/>
      </colorScale>
    </cfRule>
  </conditionalFormatting>
  <conditionalFormatting sqref="D10:D31">
    <cfRule type="colorScale" priority="11912">
      <colorScale>
        <cfvo type="min"/>
        <cfvo type="percentile" val="50"/>
        <cfvo type="max"/>
        <color rgb="FFF8696B"/>
        <color rgb="FFFFEB84"/>
        <color rgb="FF63BE7B"/>
      </colorScale>
    </cfRule>
  </conditionalFormatting>
  <conditionalFormatting sqref="D10:D31">
    <cfRule type="colorScale" priority="11911">
      <colorScale>
        <cfvo type="min"/>
        <cfvo type="percentile" val="50"/>
        <cfvo type="max"/>
        <color rgb="FFF8696B"/>
        <color rgb="FFFFEB84"/>
        <color rgb="FF63BE7B"/>
      </colorScale>
    </cfRule>
  </conditionalFormatting>
  <conditionalFormatting sqref="D10:D31">
    <cfRule type="colorScale" priority="11910">
      <colorScale>
        <cfvo type="min"/>
        <cfvo type="percentile" val="50"/>
        <cfvo type="max"/>
        <color rgb="FFF8696B"/>
        <color rgb="FFFFEB84"/>
        <color rgb="FF63BE7B"/>
      </colorScale>
    </cfRule>
  </conditionalFormatting>
  <conditionalFormatting sqref="D10:D31">
    <cfRule type="colorScale" priority="11909">
      <colorScale>
        <cfvo type="min"/>
        <cfvo type="percentile" val="50"/>
        <cfvo type="max"/>
        <color rgb="FFF8696B"/>
        <color rgb="FFFFEB84"/>
        <color rgb="FF63BE7B"/>
      </colorScale>
    </cfRule>
  </conditionalFormatting>
  <conditionalFormatting sqref="D10:D31">
    <cfRule type="colorScale" priority="11908">
      <colorScale>
        <cfvo type="min"/>
        <cfvo type="percentile" val="50"/>
        <cfvo type="max"/>
        <color rgb="FFF8696B"/>
        <color rgb="FFFFEB84"/>
        <color rgb="FF63BE7B"/>
      </colorScale>
    </cfRule>
  </conditionalFormatting>
  <conditionalFormatting sqref="D10:D31">
    <cfRule type="colorScale" priority="11907">
      <colorScale>
        <cfvo type="min"/>
        <cfvo type="percentile" val="50"/>
        <cfvo type="max"/>
        <color rgb="FFF8696B"/>
        <color rgb="FFFFEB84"/>
        <color rgb="FF63BE7B"/>
      </colorScale>
    </cfRule>
  </conditionalFormatting>
  <conditionalFormatting sqref="D10:D31">
    <cfRule type="colorScale" priority="11906">
      <colorScale>
        <cfvo type="min"/>
        <cfvo type="percentile" val="50"/>
        <cfvo type="max"/>
        <color rgb="FFF8696B"/>
        <color rgb="FFFFEB84"/>
        <color rgb="FF63BE7B"/>
      </colorScale>
    </cfRule>
  </conditionalFormatting>
  <conditionalFormatting sqref="D10:D31">
    <cfRule type="colorScale" priority="11905">
      <colorScale>
        <cfvo type="min"/>
        <cfvo type="percentile" val="50"/>
        <cfvo type="max"/>
        <color rgb="FFF8696B"/>
        <color rgb="FFFFEB84"/>
        <color rgb="FF63BE7B"/>
      </colorScale>
    </cfRule>
  </conditionalFormatting>
  <conditionalFormatting sqref="D10:D31">
    <cfRule type="colorScale" priority="11904">
      <colorScale>
        <cfvo type="min"/>
        <cfvo type="percentile" val="50"/>
        <cfvo type="max"/>
        <color rgb="FFF8696B"/>
        <color rgb="FFFFEB84"/>
        <color rgb="FF63BE7B"/>
      </colorScale>
    </cfRule>
  </conditionalFormatting>
  <conditionalFormatting sqref="D10:D31">
    <cfRule type="colorScale" priority="11903">
      <colorScale>
        <cfvo type="min"/>
        <cfvo type="percentile" val="50"/>
        <cfvo type="max"/>
        <color rgb="FFF8696B"/>
        <color rgb="FFFFEB84"/>
        <color rgb="FF63BE7B"/>
      </colorScale>
    </cfRule>
  </conditionalFormatting>
  <conditionalFormatting sqref="D10:D31">
    <cfRule type="colorScale" priority="11902">
      <colorScale>
        <cfvo type="min"/>
        <cfvo type="percentile" val="50"/>
        <cfvo type="max"/>
        <color rgb="FFF8696B"/>
        <color rgb="FFFFEB84"/>
        <color rgb="FF63BE7B"/>
      </colorScale>
    </cfRule>
  </conditionalFormatting>
  <conditionalFormatting sqref="D10:D31">
    <cfRule type="colorScale" priority="11901">
      <colorScale>
        <cfvo type="min"/>
        <cfvo type="percentile" val="50"/>
        <cfvo type="max"/>
        <color rgb="FFF8696B"/>
        <color rgb="FFFFEB84"/>
        <color rgb="FF63BE7B"/>
      </colorScale>
    </cfRule>
  </conditionalFormatting>
  <conditionalFormatting sqref="D10:D31">
    <cfRule type="colorScale" priority="11900">
      <colorScale>
        <cfvo type="min"/>
        <cfvo type="percentile" val="50"/>
        <cfvo type="max"/>
        <color rgb="FFF8696B"/>
        <color rgb="FFFFEB84"/>
        <color rgb="FF63BE7B"/>
      </colorScale>
    </cfRule>
  </conditionalFormatting>
  <conditionalFormatting sqref="D10:D31">
    <cfRule type="colorScale" priority="11899">
      <colorScale>
        <cfvo type="min"/>
        <cfvo type="percentile" val="50"/>
        <cfvo type="max"/>
        <color rgb="FFF8696B"/>
        <color rgb="FFFFEB84"/>
        <color rgb="FF63BE7B"/>
      </colorScale>
    </cfRule>
  </conditionalFormatting>
  <conditionalFormatting sqref="D10:D31">
    <cfRule type="colorScale" priority="11898">
      <colorScale>
        <cfvo type="min"/>
        <cfvo type="percentile" val="50"/>
        <cfvo type="max"/>
        <color rgb="FFF8696B"/>
        <color rgb="FFFFEB84"/>
        <color rgb="FF63BE7B"/>
      </colorScale>
    </cfRule>
  </conditionalFormatting>
  <conditionalFormatting sqref="D10:D31">
    <cfRule type="colorScale" priority="11897">
      <colorScale>
        <cfvo type="min"/>
        <cfvo type="percentile" val="50"/>
        <cfvo type="max"/>
        <color rgb="FFF8696B"/>
        <color rgb="FFFFEB84"/>
        <color rgb="FF63BE7B"/>
      </colorScale>
    </cfRule>
  </conditionalFormatting>
  <conditionalFormatting sqref="D10:D31">
    <cfRule type="colorScale" priority="11896">
      <colorScale>
        <cfvo type="min"/>
        <cfvo type="percentile" val="50"/>
        <cfvo type="max"/>
        <color rgb="FFF8696B"/>
        <color rgb="FFFFEB84"/>
        <color rgb="FF63BE7B"/>
      </colorScale>
    </cfRule>
  </conditionalFormatting>
  <conditionalFormatting sqref="D10:D31">
    <cfRule type="colorScale" priority="11895">
      <colorScale>
        <cfvo type="min"/>
        <cfvo type="percentile" val="50"/>
        <cfvo type="max"/>
        <color rgb="FFF8696B"/>
        <color rgb="FFFFEB84"/>
        <color rgb="FF63BE7B"/>
      </colorScale>
    </cfRule>
  </conditionalFormatting>
  <conditionalFormatting sqref="D10:D31">
    <cfRule type="colorScale" priority="11894">
      <colorScale>
        <cfvo type="min"/>
        <cfvo type="percentile" val="50"/>
        <cfvo type="max"/>
        <color rgb="FFF8696B"/>
        <color rgb="FFFFEB84"/>
        <color rgb="FF63BE7B"/>
      </colorScale>
    </cfRule>
  </conditionalFormatting>
  <conditionalFormatting sqref="D10:D31">
    <cfRule type="colorScale" priority="11893">
      <colorScale>
        <cfvo type="min"/>
        <cfvo type="percentile" val="50"/>
        <cfvo type="max"/>
        <color rgb="FFF8696B"/>
        <color rgb="FFFFEB84"/>
        <color rgb="FF63BE7B"/>
      </colorScale>
    </cfRule>
  </conditionalFormatting>
  <conditionalFormatting sqref="D10:D31">
    <cfRule type="colorScale" priority="11892">
      <colorScale>
        <cfvo type="min"/>
        <cfvo type="percentile" val="50"/>
        <cfvo type="max"/>
        <color rgb="FFF8696B"/>
        <color rgb="FFFFEB84"/>
        <color rgb="FF63BE7B"/>
      </colorScale>
    </cfRule>
  </conditionalFormatting>
  <conditionalFormatting sqref="D10:D31">
    <cfRule type="colorScale" priority="11891">
      <colorScale>
        <cfvo type="min"/>
        <cfvo type="percentile" val="50"/>
        <cfvo type="max"/>
        <color rgb="FFF8696B"/>
        <color rgb="FFFFEB84"/>
        <color rgb="FF63BE7B"/>
      </colorScale>
    </cfRule>
  </conditionalFormatting>
  <conditionalFormatting sqref="D10:D31">
    <cfRule type="colorScale" priority="11890">
      <colorScale>
        <cfvo type="min"/>
        <cfvo type="percentile" val="50"/>
        <cfvo type="max"/>
        <color rgb="FFF8696B"/>
        <color rgb="FFFFEB84"/>
        <color rgb="FF63BE7B"/>
      </colorScale>
    </cfRule>
  </conditionalFormatting>
  <conditionalFormatting sqref="D10:D31">
    <cfRule type="colorScale" priority="11889">
      <colorScale>
        <cfvo type="min"/>
        <cfvo type="percentile" val="50"/>
        <cfvo type="max"/>
        <color rgb="FFF8696B"/>
        <color rgb="FFFFEB84"/>
        <color rgb="FF63BE7B"/>
      </colorScale>
    </cfRule>
  </conditionalFormatting>
  <conditionalFormatting sqref="D10:D31">
    <cfRule type="colorScale" priority="11888">
      <colorScale>
        <cfvo type="min"/>
        <cfvo type="percentile" val="50"/>
        <cfvo type="max"/>
        <color rgb="FFF8696B"/>
        <color rgb="FFFFEB84"/>
        <color rgb="FF63BE7B"/>
      </colorScale>
    </cfRule>
  </conditionalFormatting>
  <conditionalFormatting sqref="D10:D31">
    <cfRule type="colorScale" priority="11887">
      <colorScale>
        <cfvo type="min"/>
        <cfvo type="percentile" val="50"/>
        <cfvo type="max"/>
        <color rgb="FFF8696B"/>
        <color rgb="FFFFEB84"/>
        <color rgb="FF63BE7B"/>
      </colorScale>
    </cfRule>
  </conditionalFormatting>
  <conditionalFormatting sqref="D10:D31">
    <cfRule type="colorScale" priority="11886">
      <colorScale>
        <cfvo type="min"/>
        <cfvo type="percentile" val="50"/>
        <cfvo type="max"/>
        <color rgb="FFF8696B"/>
        <color rgb="FFFFEB84"/>
        <color rgb="FF63BE7B"/>
      </colorScale>
    </cfRule>
  </conditionalFormatting>
  <conditionalFormatting sqref="D10:D31">
    <cfRule type="colorScale" priority="11885">
      <colorScale>
        <cfvo type="min"/>
        <cfvo type="percentile" val="50"/>
        <cfvo type="max"/>
        <color rgb="FFF8696B"/>
        <color rgb="FFFFEB84"/>
        <color rgb="FF63BE7B"/>
      </colorScale>
    </cfRule>
  </conditionalFormatting>
  <conditionalFormatting sqref="D10:D31">
    <cfRule type="colorScale" priority="11884">
      <colorScale>
        <cfvo type="min"/>
        <cfvo type="percentile" val="50"/>
        <cfvo type="max"/>
        <color rgb="FFF8696B"/>
        <color rgb="FFFFEB84"/>
        <color rgb="FF63BE7B"/>
      </colorScale>
    </cfRule>
  </conditionalFormatting>
  <conditionalFormatting sqref="D10:D31">
    <cfRule type="colorScale" priority="11883">
      <colorScale>
        <cfvo type="min"/>
        <cfvo type="percentile" val="50"/>
        <cfvo type="max"/>
        <color rgb="FFF8696B"/>
        <color rgb="FFFFEB84"/>
        <color rgb="FF63BE7B"/>
      </colorScale>
    </cfRule>
  </conditionalFormatting>
  <conditionalFormatting sqref="D10:D31">
    <cfRule type="colorScale" priority="11882">
      <colorScale>
        <cfvo type="min"/>
        <cfvo type="percentile" val="50"/>
        <cfvo type="max"/>
        <color rgb="FFF8696B"/>
        <color rgb="FFFFEB84"/>
        <color rgb="FF63BE7B"/>
      </colorScale>
    </cfRule>
  </conditionalFormatting>
  <conditionalFormatting sqref="D10:D31">
    <cfRule type="colorScale" priority="11881">
      <colorScale>
        <cfvo type="min"/>
        <cfvo type="percentile" val="50"/>
        <cfvo type="max"/>
        <color rgb="FFF8696B"/>
        <color rgb="FFFFEB84"/>
        <color rgb="FF63BE7B"/>
      </colorScale>
    </cfRule>
  </conditionalFormatting>
  <conditionalFormatting sqref="D10:D31">
    <cfRule type="colorScale" priority="11880">
      <colorScale>
        <cfvo type="min"/>
        <cfvo type="percentile" val="50"/>
        <cfvo type="max"/>
        <color rgb="FFF8696B"/>
        <color rgb="FFFFEB84"/>
        <color rgb="FF63BE7B"/>
      </colorScale>
    </cfRule>
  </conditionalFormatting>
  <conditionalFormatting sqref="D10:D31">
    <cfRule type="colorScale" priority="11879">
      <colorScale>
        <cfvo type="min"/>
        <cfvo type="percentile" val="50"/>
        <cfvo type="max"/>
        <color rgb="FFF8696B"/>
        <color rgb="FFFFEB84"/>
        <color rgb="FF63BE7B"/>
      </colorScale>
    </cfRule>
  </conditionalFormatting>
  <conditionalFormatting sqref="D10:D31">
    <cfRule type="colorScale" priority="11878">
      <colorScale>
        <cfvo type="min"/>
        <cfvo type="percentile" val="50"/>
        <cfvo type="max"/>
        <color rgb="FFF8696B"/>
        <color rgb="FFFFEB84"/>
        <color rgb="FF63BE7B"/>
      </colorScale>
    </cfRule>
  </conditionalFormatting>
  <conditionalFormatting sqref="D10:D31">
    <cfRule type="colorScale" priority="11877">
      <colorScale>
        <cfvo type="min"/>
        <cfvo type="percentile" val="50"/>
        <cfvo type="max"/>
        <color rgb="FFF8696B"/>
        <color rgb="FFFFEB84"/>
        <color rgb="FF63BE7B"/>
      </colorScale>
    </cfRule>
  </conditionalFormatting>
  <conditionalFormatting sqref="D10:D31">
    <cfRule type="colorScale" priority="11876">
      <colorScale>
        <cfvo type="min"/>
        <cfvo type="percentile" val="50"/>
        <cfvo type="max"/>
        <color rgb="FFF8696B"/>
        <color rgb="FFFFEB84"/>
        <color rgb="FF63BE7B"/>
      </colorScale>
    </cfRule>
  </conditionalFormatting>
  <conditionalFormatting sqref="D10:D31">
    <cfRule type="colorScale" priority="11875">
      <colorScale>
        <cfvo type="min"/>
        <cfvo type="percentile" val="50"/>
        <cfvo type="max"/>
        <color rgb="FFF8696B"/>
        <color rgb="FFFFEB84"/>
        <color rgb="FF63BE7B"/>
      </colorScale>
    </cfRule>
  </conditionalFormatting>
  <conditionalFormatting sqref="D10:D31">
    <cfRule type="colorScale" priority="11874">
      <colorScale>
        <cfvo type="min"/>
        <cfvo type="percentile" val="50"/>
        <cfvo type="max"/>
        <color rgb="FFF8696B"/>
        <color rgb="FFFFEB84"/>
        <color rgb="FF63BE7B"/>
      </colorScale>
    </cfRule>
  </conditionalFormatting>
  <conditionalFormatting sqref="D10:D31">
    <cfRule type="colorScale" priority="11873">
      <colorScale>
        <cfvo type="min"/>
        <cfvo type="percentile" val="50"/>
        <cfvo type="max"/>
        <color rgb="FFF8696B"/>
        <color rgb="FFFFEB84"/>
        <color rgb="FF63BE7B"/>
      </colorScale>
    </cfRule>
  </conditionalFormatting>
  <conditionalFormatting sqref="D10:D31">
    <cfRule type="colorScale" priority="11872">
      <colorScale>
        <cfvo type="min"/>
        <cfvo type="percentile" val="50"/>
        <cfvo type="max"/>
        <color rgb="FFF8696B"/>
        <color rgb="FFFFEB84"/>
        <color rgb="FF63BE7B"/>
      </colorScale>
    </cfRule>
  </conditionalFormatting>
  <conditionalFormatting sqref="D10:D31">
    <cfRule type="colorScale" priority="11871">
      <colorScale>
        <cfvo type="min"/>
        <cfvo type="percentile" val="50"/>
        <cfvo type="max"/>
        <color rgb="FFF8696B"/>
        <color rgb="FFFFEB84"/>
        <color rgb="FF63BE7B"/>
      </colorScale>
    </cfRule>
  </conditionalFormatting>
  <conditionalFormatting sqref="D10:D31">
    <cfRule type="colorScale" priority="11870">
      <colorScale>
        <cfvo type="min"/>
        <cfvo type="percentile" val="50"/>
        <cfvo type="max"/>
        <color rgb="FFF8696B"/>
        <color rgb="FFFFEB84"/>
        <color rgb="FF63BE7B"/>
      </colorScale>
    </cfRule>
  </conditionalFormatting>
  <conditionalFormatting sqref="D10:D31">
    <cfRule type="colorScale" priority="11869">
      <colorScale>
        <cfvo type="min"/>
        <cfvo type="percentile" val="50"/>
        <cfvo type="max"/>
        <color rgb="FFF8696B"/>
        <color rgb="FFFFEB84"/>
        <color rgb="FF63BE7B"/>
      </colorScale>
    </cfRule>
  </conditionalFormatting>
  <conditionalFormatting sqref="D10:D31">
    <cfRule type="colorScale" priority="11868">
      <colorScale>
        <cfvo type="min"/>
        <cfvo type="percentile" val="50"/>
        <cfvo type="max"/>
        <color rgb="FFF8696B"/>
        <color rgb="FFFFEB84"/>
        <color rgb="FF63BE7B"/>
      </colorScale>
    </cfRule>
  </conditionalFormatting>
  <conditionalFormatting sqref="D10:D31">
    <cfRule type="colorScale" priority="11867">
      <colorScale>
        <cfvo type="min"/>
        <cfvo type="percentile" val="50"/>
        <cfvo type="max"/>
        <color rgb="FFF8696B"/>
        <color rgb="FFFFEB84"/>
        <color rgb="FF63BE7B"/>
      </colorScale>
    </cfRule>
  </conditionalFormatting>
  <conditionalFormatting sqref="D10:D31">
    <cfRule type="colorScale" priority="11866">
      <colorScale>
        <cfvo type="min"/>
        <cfvo type="percentile" val="50"/>
        <cfvo type="max"/>
        <color rgb="FFF8696B"/>
        <color rgb="FFFFEB84"/>
        <color rgb="FF63BE7B"/>
      </colorScale>
    </cfRule>
  </conditionalFormatting>
  <conditionalFormatting sqref="D10:D31">
    <cfRule type="colorScale" priority="11865">
      <colorScale>
        <cfvo type="min"/>
        <cfvo type="percentile" val="50"/>
        <cfvo type="max"/>
        <color rgb="FFF8696B"/>
        <color rgb="FFFFEB84"/>
        <color rgb="FF63BE7B"/>
      </colorScale>
    </cfRule>
  </conditionalFormatting>
  <conditionalFormatting sqref="D10:D31">
    <cfRule type="colorScale" priority="11864">
      <colorScale>
        <cfvo type="min"/>
        <cfvo type="percentile" val="50"/>
        <cfvo type="max"/>
        <color rgb="FFF8696B"/>
        <color rgb="FFFFEB84"/>
        <color rgb="FF63BE7B"/>
      </colorScale>
    </cfRule>
  </conditionalFormatting>
  <conditionalFormatting sqref="D10:D31">
    <cfRule type="colorScale" priority="11863">
      <colorScale>
        <cfvo type="min"/>
        <cfvo type="percentile" val="50"/>
        <cfvo type="max"/>
        <color rgb="FFF8696B"/>
        <color rgb="FFFFEB84"/>
        <color rgb="FF63BE7B"/>
      </colorScale>
    </cfRule>
  </conditionalFormatting>
  <conditionalFormatting sqref="D10:D31">
    <cfRule type="colorScale" priority="11862">
      <colorScale>
        <cfvo type="min"/>
        <cfvo type="percentile" val="50"/>
        <cfvo type="max"/>
        <color rgb="FFF8696B"/>
        <color rgb="FFFFEB84"/>
        <color rgb="FF63BE7B"/>
      </colorScale>
    </cfRule>
  </conditionalFormatting>
  <conditionalFormatting sqref="D10:D31">
    <cfRule type="colorScale" priority="11861">
      <colorScale>
        <cfvo type="min"/>
        <cfvo type="percentile" val="50"/>
        <cfvo type="max"/>
        <color rgb="FFF8696B"/>
        <color rgb="FFFFEB84"/>
        <color rgb="FF63BE7B"/>
      </colorScale>
    </cfRule>
  </conditionalFormatting>
  <conditionalFormatting sqref="D10:D31">
    <cfRule type="colorScale" priority="11860">
      <colorScale>
        <cfvo type="min"/>
        <cfvo type="percentile" val="50"/>
        <cfvo type="max"/>
        <color rgb="FFF8696B"/>
        <color rgb="FFFFEB84"/>
        <color rgb="FF63BE7B"/>
      </colorScale>
    </cfRule>
  </conditionalFormatting>
  <conditionalFormatting sqref="D10:D31">
    <cfRule type="colorScale" priority="11859">
      <colorScale>
        <cfvo type="min"/>
        <cfvo type="percentile" val="50"/>
        <cfvo type="max"/>
        <color rgb="FFF8696B"/>
        <color rgb="FFFFEB84"/>
        <color rgb="FF63BE7B"/>
      </colorScale>
    </cfRule>
  </conditionalFormatting>
  <conditionalFormatting sqref="D10:D31">
    <cfRule type="colorScale" priority="11858">
      <colorScale>
        <cfvo type="min"/>
        <cfvo type="percentile" val="50"/>
        <cfvo type="max"/>
        <color rgb="FFF8696B"/>
        <color rgb="FFFFEB84"/>
        <color rgb="FF63BE7B"/>
      </colorScale>
    </cfRule>
  </conditionalFormatting>
  <conditionalFormatting sqref="D10:D31">
    <cfRule type="colorScale" priority="11857">
      <colorScale>
        <cfvo type="min"/>
        <cfvo type="percentile" val="50"/>
        <cfvo type="max"/>
        <color rgb="FFF8696B"/>
        <color rgb="FFFFEB84"/>
        <color rgb="FF63BE7B"/>
      </colorScale>
    </cfRule>
  </conditionalFormatting>
  <conditionalFormatting sqref="D10:D31">
    <cfRule type="colorScale" priority="11856">
      <colorScale>
        <cfvo type="min"/>
        <cfvo type="percentile" val="50"/>
        <cfvo type="max"/>
        <color rgb="FFF8696B"/>
        <color rgb="FFFFEB84"/>
        <color rgb="FF63BE7B"/>
      </colorScale>
    </cfRule>
  </conditionalFormatting>
  <conditionalFormatting sqref="D10:D31">
    <cfRule type="colorScale" priority="11855">
      <colorScale>
        <cfvo type="min"/>
        <cfvo type="percentile" val="50"/>
        <cfvo type="max"/>
        <color rgb="FFF8696B"/>
        <color rgb="FFFFEB84"/>
        <color rgb="FF63BE7B"/>
      </colorScale>
    </cfRule>
  </conditionalFormatting>
  <conditionalFormatting sqref="D10:D31">
    <cfRule type="colorScale" priority="11854">
      <colorScale>
        <cfvo type="min"/>
        <cfvo type="percentile" val="50"/>
        <cfvo type="max"/>
        <color rgb="FFF8696B"/>
        <color rgb="FFFFEB84"/>
        <color rgb="FF63BE7B"/>
      </colorScale>
    </cfRule>
  </conditionalFormatting>
  <conditionalFormatting sqref="D10:D31">
    <cfRule type="colorScale" priority="11853">
      <colorScale>
        <cfvo type="min"/>
        <cfvo type="percentile" val="50"/>
        <cfvo type="max"/>
        <color rgb="FFF8696B"/>
        <color rgb="FFFFEB84"/>
        <color rgb="FF63BE7B"/>
      </colorScale>
    </cfRule>
  </conditionalFormatting>
  <conditionalFormatting sqref="D10:D31">
    <cfRule type="colorScale" priority="11852">
      <colorScale>
        <cfvo type="min"/>
        <cfvo type="percentile" val="50"/>
        <cfvo type="max"/>
        <color rgb="FFF8696B"/>
        <color rgb="FFFFEB84"/>
        <color rgb="FF63BE7B"/>
      </colorScale>
    </cfRule>
  </conditionalFormatting>
  <conditionalFormatting sqref="D10:D31">
    <cfRule type="colorScale" priority="11851">
      <colorScale>
        <cfvo type="min"/>
        <cfvo type="percentile" val="50"/>
        <cfvo type="max"/>
        <color rgb="FFF8696B"/>
        <color rgb="FFFFEB84"/>
        <color rgb="FF63BE7B"/>
      </colorScale>
    </cfRule>
  </conditionalFormatting>
  <conditionalFormatting sqref="D10:D31">
    <cfRule type="colorScale" priority="11850">
      <colorScale>
        <cfvo type="min"/>
        <cfvo type="percentile" val="50"/>
        <cfvo type="max"/>
        <color rgb="FFF8696B"/>
        <color rgb="FFFFEB84"/>
        <color rgb="FF63BE7B"/>
      </colorScale>
    </cfRule>
  </conditionalFormatting>
  <conditionalFormatting sqref="D10:D31">
    <cfRule type="colorScale" priority="11849">
      <colorScale>
        <cfvo type="min"/>
        <cfvo type="percentile" val="50"/>
        <cfvo type="max"/>
        <color rgb="FFF8696B"/>
        <color rgb="FFFFEB84"/>
        <color rgb="FF63BE7B"/>
      </colorScale>
    </cfRule>
  </conditionalFormatting>
  <conditionalFormatting sqref="D10:D31">
    <cfRule type="colorScale" priority="11848">
      <colorScale>
        <cfvo type="min"/>
        <cfvo type="percentile" val="50"/>
        <cfvo type="max"/>
        <color rgb="FFF8696B"/>
        <color rgb="FFFFEB84"/>
        <color rgb="FF63BE7B"/>
      </colorScale>
    </cfRule>
  </conditionalFormatting>
  <conditionalFormatting sqref="D10:D31">
    <cfRule type="colorScale" priority="11847">
      <colorScale>
        <cfvo type="min"/>
        <cfvo type="percentile" val="50"/>
        <cfvo type="max"/>
        <color rgb="FFF8696B"/>
        <color rgb="FFFFEB84"/>
        <color rgb="FF63BE7B"/>
      </colorScale>
    </cfRule>
  </conditionalFormatting>
  <conditionalFormatting sqref="D10:D31">
    <cfRule type="colorScale" priority="11846">
      <colorScale>
        <cfvo type="min"/>
        <cfvo type="percentile" val="50"/>
        <cfvo type="max"/>
        <color rgb="FFF8696B"/>
        <color rgb="FFFFEB84"/>
        <color rgb="FF63BE7B"/>
      </colorScale>
    </cfRule>
  </conditionalFormatting>
  <conditionalFormatting sqref="D10:D31">
    <cfRule type="colorScale" priority="11845">
      <colorScale>
        <cfvo type="min"/>
        <cfvo type="percentile" val="50"/>
        <cfvo type="max"/>
        <color rgb="FFF8696B"/>
        <color rgb="FFFFEB84"/>
        <color rgb="FF63BE7B"/>
      </colorScale>
    </cfRule>
  </conditionalFormatting>
  <conditionalFormatting sqref="D10:D31">
    <cfRule type="colorScale" priority="11844">
      <colorScale>
        <cfvo type="min"/>
        <cfvo type="percentile" val="50"/>
        <cfvo type="max"/>
        <color rgb="FFF8696B"/>
        <color rgb="FFFFEB84"/>
        <color rgb="FF63BE7B"/>
      </colorScale>
    </cfRule>
  </conditionalFormatting>
  <conditionalFormatting sqref="D10:D31">
    <cfRule type="colorScale" priority="11843">
      <colorScale>
        <cfvo type="min"/>
        <cfvo type="percentile" val="50"/>
        <cfvo type="max"/>
        <color rgb="FFF8696B"/>
        <color rgb="FFFFEB84"/>
        <color rgb="FF63BE7B"/>
      </colorScale>
    </cfRule>
  </conditionalFormatting>
  <conditionalFormatting sqref="D10:D31">
    <cfRule type="colorScale" priority="11842">
      <colorScale>
        <cfvo type="min"/>
        <cfvo type="percentile" val="50"/>
        <cfvo type="max"/>
        <color rgb="FFF8696B"/>
        <color rgb="FFFFEB84"/>
        <color rgb="FF63BE7B"/>
      </colorScale>
    </cfRule>
  </conditionalFormatting>
  <conditionalFormatting sqref="D10:D31">
    <cfRule type="colorScale" priority="11841">
      <colorScale>
        <cfvo type="min"/>
        <cfvo type="percentile" val="50"/>
        <cfvo type="max"/>
        <color rgb="FFF8696B"/>
        <color rgb="FFFFEB84"/>
        <color rgb="FF63BE7B"/>
      </colorScale>
    </cfRule>
  </conditionalFormatting>
  <conditionalFormatting sqref="D10:D31">
    <cfRule type="colorScale" priority="11840">
      <colorScale>
        <cfvo type="min"/>
        <cfvo type="percentile" val="50"/>
        <cfvo type="max"/>
        <color rgb="FFF8696B"/>
        <color rgb="FFFFEB84"/>
        <color rgb="FF63BE7B"/>
      </colorScale>
    </cfRule>
  </conditionalFormatting>
  <conditionalFormatting sqref="D10:D31">
    <cfRule type="colorScale" priority="11839">
      <colorScale>
        <cfvo type="min"/>
        <cfvo type="percentile" val="50"/>
        <cfvo type="max"/>
        <color rgb="FFF8696B"/>
        <color rgb="FFFFEB84"/>
        <color rgb="FF63BE7B"/>
      </colorScale>
    </cfRule>
  </conditionalFormatting>
  <conditionalFormatting sqref="D10:D31">
    <cfRule type="colorScale" priority="11838">
      <colorScale>
        <cfvo type="min"/>
        <cfvo type="percentile" val="50"/>
        <cfvo type="max"/>
        <color rgb="FFF8696B"/>
        <color rgb="FFFFEB84"/>
        <color rgb="FF63BE7B"/>
      </colorScale>
    </cfRule>
  </conditionalFormatting>
  <conditionalFormatting sqref="D10:D31">
    <cfRule type="colorScale" priority="11837">
      <colorScale>
        <cfvo type="min"/>
        <cfvo type="percentile" val="50"/>
        <cfvo type="max"/>
        <color rgb="FFF8696B"/>
        <color rgb="FFFFEB84"/>
        <color rgb="FF63BE7B"/>
      </colorScale>
    </cfRule>
  </conditionalFormatting>
  <conditionalFormatting sqref="D10:D31">
    <cfRule type="colorScale" priority="11836">
      <colorScale>
        <cfvo type="min"/>
        <cfvo type="percentile" val="50"/>
        <cfvo type="max"/>
        <color rgb="FFF8696B"/>
        <color rgb="FFFFEB84"/>
        <color rgb="FF63BE7B"/>
      </colorScale>
    </cfRule>
  </conditionalFormatting>
  <conditionalFormatting sqref="D10:D31">
    <cfRule type="colorScale" priority="11835">
      <colorScale>
        <cfvo type="min"/>
        <cfvo type="percentile" val="50"/>
        <cfvo type="max"/>
        <color rgb="FFF8696B"/>
        <color rgb="FFFFEB84"/>
        <color rgb="FF63BE7B"/>
      </colorScale>
    </cfRule>
  </conditionalFormatting>
  <conditionalFormatting sqref="D10:D31">
    <cfRule type="colorScale" priority="11834">
      <colorScale>
        <cfvo type="min"/>
        <cfvo type="percentile" val="50"/>
        <cfvo type="max"/>
        <color rgb="FFF8696B"/>
        <color rgb="FFFFEB84"/>
        <color rgb="FF63BE7B"/>
      </colorScale>
    </cfRule>
  </conditionalFormatting>
  <conditionalFormatting sqref="D10:D31">
    <cfRule type="colorScale" priority="11833">
      <colorScale>
        <cfvo type="min"/>
        <cfvo type="percentile" val="50"/>
        <cfvo type="max"/>
        <color rgb="FFF8696B"/>
        <color rgb="FFFFEB84"/>
        <color rgb="FF63BE7B"/>
      </colorScale>
    </cfRule>
  </conditionalFormatting>
  <conditionalFormatting sqref="D10:D31">
    <cfRule type="colorScale" priority="11832">
      <colorScale>
        <cfvo type="min"/>
        <cfvo type="percentile" val="50"/>
        <cfvo type="max"/>
        <color rgb="FFF8696B"/>
        <color rgb="FFFFEB84"/>
        <color rgb="FF63BE7B"/>
      </colorScale>
    </cfRule>
  </conditionalFormatting>
  <conditionalFormatting sqref="D10:D31">
    <cfRule type="colorScale" priority="11831">
      <colorScale>
        <cfvo type="min"/>
        <cfvo type="percentile" val="50"/>
        <cfvo type="max"/>
        <color rgb="FFF8696B"/>
        <color rgb="FFFFEB84"/>
        <color rgb="FF63BE7B"/>
      </colorScale>
    </cfRule>
  </conditionalFormatting>
  <conditionalFormatting sqref="D10:D31">
    <cfRule type="colorScale" priority="11830">
      <colorScale>
        <cfvo type="min"/>
        <cfvo type="percentile" val="50"/>
        <cfvo type="max"/>
        <color rgb="FFF8696B"/>
        <color rgb="FFFFEB84"/>
        <color rgb="FF63BE7B"/>
      </colorScale>
    </cfRule>
  </conditionalFormatting>
  <conditionalFormatting sqref="D10:D31">
    <cfRule type="colorScale" priority="11829">
      <colorScale>
        <cfvo type="min"/>
        <cfvo type="percentile" val="50"/>
        <cfvo type="max"/>
        <color rgb="FFF8696B"/>
        <color rgb="FFFFEB84"/>
        <color rgb="FF63BE7B"/>
      </colorScale>
    </cfRule>
  </conditionalFormatting>
  <conditionalFormatting sqref="D10:D31">
    <cfRule type="colorScale" priority="11828">
      <colorScale>
        <cfvo type="min"/>
        <cfvo type="percentile" val="50"/>
        <cfvo type="max"/>
        <color rgb="FFF8696B"/>
        <color rgb="FFFFEB84"/>
        <color rgb="FF63BE7B"/>
      </colorScale>
    </cfRule>
  </conditionalFormatting>
  <conditionalFormatting sqref="D10:D31">
    <cfRule type="colorScale" priority="11827">
      <colorScale>
        <cfvo type="min"/>
        <cfvo type="percentile" val="50"/>
        <cfvo type="max"/>
        <color rgb="FFF8696B"/>
        <color rgb="FFFFEB84"/>
        <color rgb="FF63BE7B"/>
      </colorScale>
    </cfRule>
  </conditionalFormatting>
  <conditionalFormatting sqref="D10:D31">
    <cfRule type="colorScale" priority="11826">
      <colorScale>
        <cfvo type="min"/>
        <cfvo type="percentile" val="50"/>
        <cfvo type="max"/>
        <color rgb="FFF8696B"/>
        <color rgb="FFFFEB84"/>
        <color rgb="FF63BE7B"/>
      </colorScale>
    </cfRule>
  </conditionalFormatting>
  <conditionalFormatting sqref="D10:D31">
    <cfRule type="colorScale" priority="11825">
      <colorScale>
        <cfvo type="min"/>
        <cfvo type="percentile" val="50"/>
        <cfvo type="max"/>
        <color rgb="FFF8696B"/>
        <color rgb="FFFFEB84"/>
        <color rgb="FF63BE7B"/>
      </colorScale>
    </cfRule>
  </conditionalFormatting>
  <conditionalFormatting sqref="D10:D31">
    <cfRule type="colorScale" priority="11824">
      <colorScale>
        <cfvo type="min"/>
        <cfvo type="percentile" val="50"/>
        <cfvo type="max"/>
        <color rgb="FFF8696B"/>
        <color rgb="FFFFEB84"/>
        <color rgb="FF63BE7B"/>
      </colorScale>
    </cfRule>
  </conditionalFormatting>
  <conditionalFormatting sqref="D10:D31">
    <cfRule type="colorScale" priority="11823">
      <colorScale>
        <cfvo type="min"/>
        <cfvo type="percentile" val="50"/>
        <cfvo type="max"/>
        <color rgb="FFF8696B"/>
        <color rgb="FFFFEB84"/>
        <color rgb="FF63BE7B"/>
      </colorScale>
    </cfRule>
  </conditionalFormatting>
  <conditionalFormatting sqref="D10:D31">
    <cfRule type="colorScale" priority="11822">
      <colorScale>
        <cfvo type="min"/>
        <cfvo type="percentile" val="50"/>
        <cfvo type="max"/>
        <color rgb="FFF8696B"/>
        <color rgb="FFFFEB84"/>
        <color rgb="FF63BE7B"/>
      </colorScale>
    </cfRule>
  </conditionalFormatting>
  <conditionalFormatting sqref="D10:D31">
    <cfRule type="colorScale" priority="11821">
      <colorScale>
        <cfvo type="min"/>
        <cfvo type="percentile" val="50"/>
        <cfvo type="max"/>
        <color rgb="FFF8696B"/>
        <color rgb="FFFFEB84"/>
        <color rgb="FF63BE7B"/>
      </colorScale>
    </cfRule>
  </conditionalFormatting>
  <conditionalFormatting sqref="D10:D31">
    <cfRule type="colorScale" priority="11820">
      <colorScale>
        <cfvo type="min"/>
        <cfvo type="percentile" val="50"/>
        <cfvo type="max"/>
        <color rgb="FFF8696B"/>
        <color rgb="FFFFEB84"/>
        <color rgb="FF63BE7B"/>
      </colorScale>
    </cfRule>
  </conditionalFormatting>
  <conditionalFormatting sqref="D10:D31">
    <cfRule type="colorScale" priority="11819">
      <colorScale>
        <cfvo type="min"/>
        <cfvo type="percentile" val="50"/>
        <cfvo type="max"/>
        <color rgb="FFF8696B"/>
        <color rgb="FFFFEB84"/>
        <color rgb="FF63BE7B"/>
      </colorScale>
    </cfRule>
  </conditionalFormatting>
  <conditionalFormatting sqref="D10:D31">
    <cfRule type="colorScale" priority="11818">
      <colorScale>
        <cfvo type="min"/>
        <cfvo type="percentile" val="50"/>
        <cfvo type="max"/>
        <color rgb="FFF8696B"/>
        <color rgb="FFFFEB84"/>
        <color rgb="FF63BE7B"/>
      </colorScale>
    </cfRule>
  </conditionalFormatting>
  <conditionalFormatting sqref="D10:D31">
    <cfRule type="colorScale" priority="11817">
      <colorScale>
        <cfvo type="min"/>
        <cfvo type="percentile" val="50"/>
        <cfvo type="max"/>
        <color rgb="FFF8696B"/>
        <color rgb="FFFFEB84"/>
        <color rgb="FF63BE7B"/>
      </colorScale>
    </cfRule>
  </conditionalFormatting>
  <conditionalFormatting sqref="D10:D31">
    <cfRule type="colorScale" priority="11816">
      <colorScale>
        <cfvo type="min"/>
        <cfvo type="percentile" val="50"/>
        <cfvo type="max"/>
        <color rgb="FFF8696B"/>
        <color rgb="FFFFEB84"/>
        <color rgb="FF63BE7B"/>
      </colorScale>
    </cfRule>
  </conditionalFormatting>
  <conditionalFormatting sqref="D10:D31">
    <cfRule type="colorScale" priority="11815">
      <colorScale>
        <cfvo type="min"/>
        <cfvo type="percentile" val="50"/>
        <cfvo type="max"/>
        <color rgb="FFF8696B"/>
        <color rgb="FFFFEB84"/>
        <color rgb="FF63BE7B"/>
      </colorScale>
    </cfRule>
  </conditionalFormatting>
  <conditionalFormatting sqref="D10:D31">
    <cfRule type="colorScale" priority="11814">
      <colorScale>
        <cfvo type="min"/>
        <cfvo type="percentile" val="50"/>
        <cfvo type="max"/>
        <color rgb="FFF8696B"/>
        <color rgb="FFFFEB84"/>
        <color rgb="FF63BE7B"/>
      </colorScale>
    </cfRule>
  </conditionalFormatting>
  <conditionalFormatting sqref="D10:D31">
    <cfRule type="colorScale" priority="11813">
      <colorScale>
        <cfvo type="min"/>
        <cfvo type="percentile" val="50"/>
        <cfvo type="max"/>
        <color rgb="FFF8696B"/>
        <color rgb="FFFFEB84"/>
        <color rgb="FF63BE7B"/>
      </colorScale>
    </cfRule>
  </conditionalFormatting>
  <conditionalFormatting sqref="D10:D31">
    <cfRule type="colorScale" priority="11812">
      <colorScale>
        <cfvo type="min"/>
        <cfvo type="percentile" val="50"/>
        <cfvo type="max"/>
        <color rgb="FFF8696B"/>
        <color rgb="FFFFEB84"/>
        <color rgb="FF63BE7B"/>
      </colorScale>
    </cfRule>
  </conditionalFormatting>
  <conditionalFormatting sqref="D10:D31">
    <cfRule type="colorScale" priority="11811">
      <colorScale>
        <cfvo type="min"/>
        <cfvo type="percentile" val="50"/>
        <cfvo type="max"/>
        <color rgb="FFF8696B"/>
        <color rgb="FFFFEB84"/>
        <color rgb="FF63BE7B"/>
      </colorScale>
    </cfRule>
  </conditionalFormatting>
  <conditionalFormatting sqref="D10:D31">
    <cfRule type="colorScale" priority="11810">
      <colorScale>
        <cfvo type="min"/>
        <cfvo type="percentile" val="50"/>
        <cfvo type="max"/>
        <color rgb="FFF8696B"/>
        <color rgb="FFFFEB84"/>
        <color rgb="FF63BE7B"/>
      </colorScale>
    </cfRule>
  </conditionalFormatting>
  <conditionalFormatting sqref="D10:D31">
    <cfRule type="colorScale" priority="11809">
      <colorScale>
        <cfvo type="min"/>
        <cfvo type="percentile" val="50"/>
        <cfvo type="max"/>
        <color rgb="FFF8696B"/>
        <color rgb="FFFFEB84"/>
        <color rgb="FF63BE7B"/>
      </colorScale>
    </cfRule>
  </conditionalFormatting>
  <conditionalFormatting sqref="D10:D31">
    <cfRule type="colorScale" priority="11808">
      <colorScale>
        <cfvo type="min"/>
        <cfvo type="percentile" val="50"/>
        <cfvo type="max"/>
        <color rgb="FFF8696B"/>
        <color rgb="FFFFEB84"/>
        <color rgb="FF63BE7B"/>
      </colorScale>
    </cfRule>
  </conditionalFormatting>
  <conditionalFormatting sqref="D10:D31">
    <cfRule type="colorScale" priority="11807">
      <colorScale>
        <cfvo type="min"/>
        <cfvo type="percentile" val="50"/>
        <cfvo type="max"/>
        <color rgb="FFF8696B"/>
        <color rgb="FFFFEB84"/>
        <color rgb="FF63BE7B"/>
      </colorScale>
    </cfRule>
  </conditionalFormatting>
  <conditionalFormatting sqref="D10:D32">
    <cfRule type="colorScale" priority="11806">
      <colorScale>
        <cfvo type="min"/>
        <cfvo type="percentile" val="50"/>
        <cfvo type="max"/>
        <color rgb="FFF8696B"/>
        <color rgb="FFFFEB84"/>
        <color rgb="FF63BE7B"/>
      </colorScale>
    </cfRule>
  </conditionalFormatting>
  <conditionalFormatting sqref="D10:D32">
    <cfRule type="colorScale" priority="11805">
      <colorScale>
        <cfvo type="min"/>
        <cfvo type="percentile" val="50"/>
        <cfvo type="max"/>
        <color rgb="FFF8696B"/>
        <color rgb="FFFFEB84"/>
        <color rgb="FF63BE7B"/>
      </colorScale>
    </cfRule>
  </conditionalFormatting>
  <conditionalFormatting sqref="D10:D31">
    <cfRule type="colorScale" priority="11804">
      <colorScale>
        <cfvo type="min"/>
        <cfvo type="percentile" val="50"/>
        <cfvo type="max"/>
        <color rgb="FFF8696B"/>
        <color rgb="FFFFEB84"/>
        <color rgb="FF63BE7B"/>
      </colorScale>
    </cfRule>
  </conditionalFormatting>
  <conditionalFormatting sqref="D10:D31">
    <cfRule type="colorScale" priority="11803">
      <colorScale>
        <cfvo type="min"/>
        <cfvo type="percentile" val="50"/>
        <cfvo type="max"/>
        <color rgb="FFF8696B"/>
        <color rgb="FFFFEB84"/>
        <color rgb="FF63BE7B"/>
      </colorScale>
    </cfRule>
  </conditionalFormatting>
  <conditionalFormatting sqref="D10:D31">
    <cfRule type="colorScale" priority="11802">
      <colorScale>
        <cfvo type="min"/>
        <cfvo type="percentile" val="50"/>
        <cfvo type="max"/>
        <color rgb="FFF8696B"/>
        <color rgb="FFFFEB84"/>
        <color rgb="FF63BE7B"/>
      </colorScale>
    </cfRule>
  </conditionalFormatting>
  <conditionalFormatting sqref="D10:D31">
    <cfRule type="colorScale" priority="11801">
      <colorScale>
        <cfvo type="min"/>
        <cfvo type="percentile" val="50"/>
        <cfvo type="max"/>
        <color rgb="FFF8696B"/>
        <color rgb="FFFFEB84"/>
        <color rgb="FF63BE7B"/>
      </colorScale>
    </cfRule>
  </conditionalFormatting>
  <conditionalFormatting sqref="D10:D29">
    <cfRule type="colorScale" priority="11800">
      <colorScale>
        <cfvo type="min"/>
        <cfvo type="percentile" val="50"/>
        <cfvo type="max"/>
        <color rgb="FFF8696B"/>
        <color rgb="FFFFEB84"/>
        <color rgb="FF63BE7B"/>
      </colorScale>
    </cfRule>
  </conditionalFormatting>
  <conditionalFormatting sqref="D10:D29">
    <cfRule type="colorScale" priority="11799">
      <colorScale>
        <cfvo type="min"/>
        <cfvo type="percentile" val="50"/>
        <cfvo type="max"/>
        <color rgb="FFF8696B"/>
        <color rgb="FFFFEB84"/>
        <color rgb="FF63BE7B"/>
      </colorScale>
    </cfRule>
  </conditionalFormatting>
  <conditionalFormatting sqref="D10:D31">
    <cfRule type="colorScale" priority="11798">
      <colorScale>
        <cfvo type="min"/>
        <cfvo type="percentile" val="50"/>
        <cfvo type="max"/>
        <color rgb="FFF8696B"/>
        <color rgb="FFFFEB84"/>
        <color rgb="FF63BE7B"/>
      </colorScale>
    </cfRule>
  </conditionalFormatting>
  <conditionalFormatting sqref="D10:D31">
    <cfRule type="colorScale" priority="11797">
      <colorScale>
        <cfvo type="min"/>
        <cfvo type="percentile" val="50"/>
        <cfvo type="max"/>
        <color rgb="FFF8696B"/>
        <color rgb="FFFFEB84"/>
        <color rgb="FF63BE7B"/>
      </colorScale>
    </cfRule>
  </conditionalFormatting>
  <conditionalFormatting sqref="D10:D32">
    <cfRule type="colorScale" priority="11796">
      <colorScale>
        <cfvo type="min"/>
        <cfvo type="percentile" val="50"/>
        <cfvo type="max"/>
        <color rgb="FFF8696B"/>
        <color rgb="FFFFEB84"/>
        <color rgb="FF63BE7B"/>
      </colorScale>
    </cfRule>
  </conditionalFormatting>
  <conditionalFormatting sqref="D10:D32">
    <cfRule type="colorScale" priority="11795">
      <colorScale>
        <cfvo type="min"/>
        <cfvo type="percentile" val="50"/>
        <cfvo type="max"/>
        <color rgb="FFF8696B"/>
        <color rgb="FFFFEB84"/>
        <color rgb="FF63BE7B"/>
      </colorScale>
    </cfRule>
  </conditionalFormatting>
  <conditionalFormatting sqref="D10:D31">
    <cfRule type="colorScale" priority="11794">
      <colorScale>
        <cfvo type="min"/>
        <cfvo type="percentile" val="50"/>
        <cfvo type="max"/>
        <color rgb="FFF8696B"/>
        <color rgb="FFFFEB84"/>
        <color rgb="FF63BE7B"/>
      </colorScale>
    </cfRule>
  </conditionalFormatting>
  <conditionalFormatting sqref="D10:D31">
    <cfRule type="colorScale" priority="11793">
      <colorScale>
        <cfvo type="min"/>
        <cfvo type="percentile" val="50"/>
        <cfvo type="max"/>
        <color rgb="FFF8696B"/>
        <color rgb="FFFFEB84"/>
        <color rgb="FF63BE7B"/>
      </colorScale>
    </cfRule>
  </conditionalFormatting>
  <conditionalFormatting sqref="D10:D31">
    <cfRule type="colorScale" priority="11792">
      <colorScale>
        <cfvo type="min"/>
        <cfvo type="percentile" val="50"/>
        <cfvo type="max"/>
        <color rgb="FFF8696B"/>
        <color rgb="FFFFEB84"/>
        <color rgb="FF63BE7B"/>
      </colorScale>
    </cfRule>
  </conditionalFormatting>
  <conditionalFormatting sqref="D10:D31">
    <cfRule type="colorScale" priority="11791">
      <colorScale>
        <cfvo type="min"/>
        <cfvo type="percentile" val="50"/>
        <cfvo type="max"/>
        <color rgb="FFF8696B"/>
        <color rgb="FFFFEB84"/>
        <color rgb="FF63BE7B"/>
      </colorScale>
    </cfRule>
  </conditionalFormatting>
  <conditionalFormatting sqref="D10:D31">
    <cfRule type="colorScale" priority="11790">
      <colorScale>
        <cfvo type="min"/>
        <cfvo type="percentile" val="50"/>
        <cfvo type="max"/>
        <color rgb="FFF8696B"/>
        <color rgb="FFFFEB84"/>
        <color rgb="FF63BE7B"/>
      </colorScale>
    </cfRule>
  </conditionalFormatting>
  <conditionalFormatting sqref="D10:D31">
    <cfRule type="colorScale" priority="11789">
      <colorScale>
        <cfvo type="min"/>
        <cfvo type="percentile" val="50"/>
        <cfvo type="max"/>
        <color rgb="FFF8696B"/>
        <color rgb="FFFFEB84"/>
        <color rgb="FF63BE7B"/>
      </colorScale>
    </cfRule>
  </conditionalFormatting>
  <conditionalFormatting sqref="D10:D31">
    <cfRule type="colorScale" priority="11788">
      <colorScale>
        <cfvo type="min"/>
        <cfvo type="percentile" val="50"/>
        <cfvo type="max"/>
        <color rgb="FFF8696B"/>
        <color rgb="FFFFEB84"/>
        <color rgb="FF63BE7B"/>
      </colorScale>
    </cfRule>
  </conditionalFormatting>
  <conditionalFormatting sqref="D10:D31">
    <cfRule type="colorScale" priority="11787">
      <colorScale>
        <cfvo type="min"/>
        <cfvo type="percentile" val="50"/>
        <cfvo type="max"/>
        <color rgb="FFF8696B"/>
        <color rgb="FFFFEB84"/>
        <color rgb="FF63BE7B"/>
      </colorScale>
    </cfRule>
  </conditionalFormatting>
  <conditionalFormatting sqref="D10:D31">
    <cfRule type="colorScale" priority="11786">
      <colorScale>
        <cfvo type="min"/>
        <cfvo type="percentile" val="50"/>
        <cfvo type="max"/>
        <color rgb="FFF8696B"/>
        <color rgb="FFFFEB84"/>
        <color rgb="FF63BE7B"/>
      </colorScale>
    </cfRule>
  </conditionalFormatting>
  <conditionalFormatting sqref="D10:D31">
    <cfRule type="colorScale" priority="11785">
      <colorScale>
        <cfvo type="min"/>
        <cfvo type="percentile" val="50"/>
        <cfvo type="max"/>
        <color rgb="FFF8696B"/>
        <color rgb="FFFFEB84"/>
        <color rgb="FF63BE7B"/>
      </colorScale>
    </cfRule>
  </conditionalFormatting>
  <conditionalFormatting sqref="D29:D31">
    <cfRule type="colorScale" priority="11784">
      <colorScale>
        <cfvo type="min"/>
        <cfvo type="percentile" val="50"/>
        <cfvo type="max"/>
        <color rgb="FFF8696B"/>
        <color rgb="FFFFEB84"/>
        <color rgb="FF63BE7B"/>
      </colorScale>
    </cfRule>
  </conditionalFormatting>
  <conditionalFormatting sqref="D29:D31">
    <cfRule type="colorScale" priority="11783">
      <colorScale>
        <cfvo type="min"/>
        <cfvo type="percentile" val="50"/>
        <cfvo type="max"/>
        <color rgb="FFF8696B"/>
        <color rgb="FFFFEB84"/>
        <color rgb="FF63BE7B"/>
      </colorScale>
    </cfRule>
  </conditionalFormatting>
  <conditionalFormatting sqref="D32">
    <cfRule type="colorScale" priority="11782">
      <colorScale>
        <cfvo type="min"/>
        <cfvo type="percentile" val="50"/>
        <cfvo type="max"/>
        <color rgb="FFF8696B"/>
        <color rgb="FFFFEB84"/>
        <color rgb="FF63BE7B"/>
      </colorScale>
    </cfRule>
  </conditionalFormatting>
  <conditionalFormatting sqref="D32">
    <cfRule type="colorScale" priority="11781">
      <colorScale>
        <cfvo type="min"/>
        <cfvo type="percentile" val="50"/>
        <cfvo type="max"/>
        <color rgb="FFF8696B"/>
        <color rgb="FFFFEB84"/>
        <color rgb="FF63BE7B"/>
      </colorScale>
    </cfRule>
  </conditionalFormatting>
  <conditionalFormatting sqref="D32">
    <cfRule type="colorScale" priority="11780">
      <colorScale>
        <cfvo type="min"/>
        <cfvo type="percentile" val="50"/>
        <cfvo type="max"/>
        <color rgb="FFF8696B"/>
        <color rgb="FFFFEB84"/>
        <color rgb="FF63BE7B"/>
      </colorScale>
    </cfRule>
  </conditionalFormatting>
  <conditionalFormatting sqref="D32">
    <cfRule type="colorScale" priority="11779">
      <colorScale>
        <cfvo type="min"/>
        <cfvo type="percentile" val="50"/>
        <cfvo type="max"/>
        <color rgb="FFF8696B"/>
        <color rgb="FFFFEB84"/>
        <color rgb="FF63BE7B"/>
      </colorScale>
    </cfRule>
  </conditionalFormatting>
  <conditionalFormatting sqref="D32">
    <cfRule type="colorScale" priority="11778">
      <colorScale>
        <cfvo type="min"/>
        <cfvo type="percentile" val="50"/>
        <cfvo type="max"/>
        <color rgb="FFF8696B"/>
        <color rgb="FFFFEB84"/>
        <color rgb="FF63BE7B"/>
      </colorScale>
    </cfRule>
  </conditionalFormatting>
  <conditionalFormatting sqref="D32">
    <cfRule type="colorScale" priority="11777">
      <colorScale>
        <cfvo type="min"/>
        <cfvo type="percentile" val="50"/>
        <cfvo type="max"/>
        <color rgb="FFF8696B"/>
        <color rgb="FFFFEB84"/>
        <color rgb="FF63BE7B"/>
      </colorScale>
    </cfRule>
  </conditionalFormatting>
  <conditionalFormatting sqref="D32">
    <cfRule type="colorScale" priority="11776">
      <colorScale>
        <cfvo type="min"/>
        <cfvo type="percentile" val="50"/>
        <cfvo type="max"/>
        <color rgb="FFF8696B"/>
        <color rgb="FFFFEB84"/>
        <color rgb="FF63BE7B"/>
      </colorScale>
    </cfRule>
  </conditionalFormatting>
  <conditionalFormatting sqref="D32">
    <cfRule type="colorScale" priority="11775">
      <colorScale>
        <cfvo type="min"/>
        <cfvo type="percentile" val="50"/>
        <cfvo type="max"/>
        <color rgb="FFF8696B"/>
        <color rgb="FFFFEB84"/>
        <color rgb="FF63BE7B"/>
      </colorScale>
    </cfRule>
  </conditionalFormatting>
  <conditionalFormatting sqref="D32">
    <cfRule type="colorScale" priority="11774">
      <colorScale>
        <cfvo type="min"/>
        <cfvo type="percentile" val="50"/>
        <cfvo type="max"/>
        <color rgb="FFF8696B"/>
        <color rgb="FFFFEB84"/>
        <color rgb="FF63BE7B"/>
      </colorScale>
    </cfRule>
  </conditionalFormatting>
  <conditionalFormatting sqref="D32">
    <cfRule type="colorScale" priority="11773">
      <colorScale>
        <cfvo type="min"/>
        <cfvo type="percentile" val="50"/>
        <cfvo type="max"/>
        <color rgb="FFF8696B"/>
        <color rgb="FFFFEB84"/>
        <color rgb="FF63BE7B"/>
      </colorScale>
    </cfRule>
  </conditionalFormatting>
  <conditionalFormatting sqref="D32">
    <cfRule type="colorScale" priority="11772">
      <colorScale>
        <cfvo type="min"/>
        <cfvo type="percentile" val="50"/>
        <cfvo type="max"/>
        <color rgb="FFF8696B"/>
        <color rgb="FFFFEB84"/>
        <color rgb="FF63BE7B"/>
      </colorScale>
    </cfRule>
  </conditionalFormatting>
  <conditionalFormatting sqref="D32">
    <cfRule type="colorScale" priority="11771">
      <colorScale>
        <cfvo type="min"/>
        <cfvo type="percentile" val="50"/>
        <cfvo type="max"/>
        <color rgb="FFF8696B"/>
        <color rgb="FFFFEB84"/>
        <color rgb="FF63BE7B"/>
      </colorScale>
    </cfRule>
  </conditionalFormatting>
  <conditionalFormatting sqref="D32">
    <cfRule type="colorScale" priority="11770">
      <colorScale>
        <cfvo type="min"/>
        <cfvo type="percentile" val="50"/>
        <cfvo type="max"/>
        <color rgb="FFF8696B"/>
        <color rgb="FFFFEB84"/>
        <color rgb="FF63BE7B"/>
      </colorScale>
    </cfRule>
  </conditionalFormatting>
  <conditionalFormatting sqref="D32">
    <cfRule type="colorScale" priority="11769">
      <colorScale>
        <cfvo type="min"/>
        <cfvo type="percentile" val="50"/>
        <cfvo type="max"/>
        <color rgb="FFF8696B"/>
        <color rgb="FFFFEB84"/>
        <color rgb="FF63BE7B"/>
      </colorScale>
    </cfRule>
  </conditionalFormatting>
  <conditionalFormatting sqref="D32">
    <cfRule type="colorScale" priority="11768">
      <colorScale>
        <cfvo type="min"/>
        <cfvo type="percentile" val="50"/>
        <cfvo type="max"/>
        <color rgb="FFF8696B"/>
        <color rgb="FFFFEB84"/>
        <color rgb="FF63BE7B"/>
      </colorScale>
    </cfRule>
  </conditionalFormatting>
  <conditionalFormatting sqref="D32">
    <cfRule type="colorScale" priority="11767">
      <colorScale>
        <cfvo type="min"/>
        <cfvo type="percentile" val="50"/>
        <cfvo type="max"/>
        <color rgb="FFF8696B"/>
        <color rgb="FFFFEB84"/>
        <color rgb="FF63BE7B"/>
      </colorScale>
    </cfRule>
  </conditionalFormatting>
  <conditionalFormatting sqref="D32">
    <cfRule type="colorScale" priority="11766">
      <colorScale>
        <cfvo type="min"/>
        <cfvo type="percentile" val="50"/>
        <cfvo type="max"/>
        <color rgb="FFF8696B"/>
        <color rgb="FFFFEB84"/>
        <color rgb="FF63BE7B"/>
      </colorScale>
    </cfRule>
  </conditionalFormatting>
  <conditionalFormatting sqref="D32">
    <cfRule type="colorScale" priority="11765">
      <colorScale>
        <cfvo type="min"/>
        <cfvo type="percentile" val="50"/>
        <cfvo type="max"/>
        <color rgb="FFF8696B"/>
        <color rgb="FFFFEB84"/>
        <color rgb="FF63BE7B"/>
      </colorScale>
    </cfRule>
  </conditionalFormatting>
  <conditionalFormatting sqref="D32">
    <cfRule type="colorScale" priority="11764">
      <colorScale>
        <cfvo type="min"/>
        <cfvo type="percentile" val="50"/>
        <cfvo type="max"/>
        <color rgb="FFF8696B"/>
        <color rgb="FFFFEB84"/>
        <color rgb="FF63BE7B"/>
      </colorScale>
    </cfRule>
  </conditionalFormatting>
  <conditionalFormatting sqref="D32">
    <cfRule type="colorScale" priority="11763">
      <colorScale>
        <cfvo type="min"/>
        <cfvo type="percentile" val="50"/>
        <cfvo type="max"/>
        <color rgb="FFF8696B"/>
        <color rgb="FFFFEB84"/>
        <color rgb="FF63BE7B"/>
      </colorScale>
    </cfRule>
  </conditionalFormatting>
  <conditionalFormatting sqref="D32">
    <cfRule type="colorScale" priority="11762">
      <colorScale>
        <cfvo type="min"/>
        <cfvo type="percentile" val="50"/>
        <cfvo type="max"/>
        <color rgb="FFF8696B"/>
        <color rgb="FFFFEB84"/>
        <color rgb="FF63BE7B"/>
      </colorScale>
    </cfRule>
  </conditionalFormatting>
  <conditionalFormatting sqref="D32">
    <cfRule type="colorScale" priority="11761">
      <colorScale>
        <cfvo type="min"/>
        <cfvo type="percentile" val="50"/>
        <cfvo type="max"/>
        <color rgb="FFF8696B"/>
        <color rgb="FFFFEB84"/>
        <color rgb="FF63BE7B"/>
      </colorScale>
    </cfRule>
  </conditionalFormatting>
  <conditionalFormatting sqref="D32">
    <cfRule type="colorScale" priority="11760">
      <colorScale>
        <cfvo type="min"/>
        <cfvo type="percentile" val="50"/>
        <cfvo type="max"/>
        <color rgb="FFF8696B"/>
        <color rgb="FFFFEB84"/>
        <color rgb="FF63BE7B"/>
      </colorScale>
    </cfRule>
  </conditionalFormatting>
  <conditionalFormatting sqref="D32">
    <cfRule type="colorScale" priority="11759">
      <colorScale>
        <cfvo type="min"/>
        <cfvo type="percentile" val="50"/>
        <cfvo type="max"/>
        <color rgb="FFF8696B"/>
        <color rgb="FFFFEB84"/>
        <color rgb="FF63BE7B"/>
      </colorScale>
    </cfRule>
  </conditionalFormatting>
  <conditionalFormatting sqref="D32">
    <cfRule type="colorScale" priority="11758">
      <colorScale>
        <cfvo type="min"/>
        <cfvo type="percentile" val="50"/>
        <cfvo type="max"/>
        <color rgb="FFF8696B"/>
        <color rgb="FFFFEB84"/>
        <color rgb="FF63BE7B"/>
      </colorScale>
    </cfRule>
  </conditionalFormatting>
  <conditionalFormatting sqref="D32">
    <cfRule type="colorScale" priority="11757">
      <colorScale>
        <cfvo type="min"/>
        <cfvo type="percentile" val="50"/>
        <cfvo type="max"/>
        <color rgb="FFF8696B"/>
        <color rgb="FFFFEB84"/>
        <color rgb="FF63BE7B"/>
      </colorScale>
    </cfRule>
  </conditionalFormatting>
  <conditionalFormatting sqref="D32">
    <cfRule type="colorScale" priority="11756">
      <colorScale>
        <cfvo type="min"/>
        <cfvo type="percentile" val="50"/>
        <cfvo type="max"/>
        <color rgb="FFF8696B"/>
        <color rgb="FFFFEB84"/>
        <color rgb="FF63BE7B"/>
      </colorScale>
    </cfRule>
  </conditionalFormatting>
  <conditionalFormatting sqref="D32">
    <cfRule type="colorScale" priority="11755">
      <colorScale>
        <cfvo type="min"/>
        <cfvo type="percentile" val="50"/>
        <cfvo type="max"/>
        <color rgb="FFF8696B"/>
        <color rgb="FFFFEB84"/>
        <color rgb="FF63BE7B"/>
      </colorScale>
    </cfRule>
  </conditionalFormatting>
  <conditionalFormatting sqref="D32">
    <cfRule type="colorScale" priority="11754">
      <colorScale>
        <cfvo type="min"/>
        <cfvo type="percentile" val="50"/>
        <cfvo type="max"/>
        <color rgb="FFF8696B"/>
        <color rgb="FFFFEB84"/>
        <color rgb="FF63BE7B"/>
      </colorScale>
    </cfRule>
  </conditionalFormatting>
  <conditionalFormatting sqref="D32">
    <cfRule type="colorScale" priority="11753">
      <colorScale>
        <cfvo type="min"/>
        <cfvo type="percentile" val="50"/>
        <cfvo type="max"/>
        <color rgb="FFF8696B"/>
        <color rgb="FFFFEB84"/>
        <color rgb="FF63BE7B"/>
      </colorScale>
    </cfRule>
  </conditionalFormatting>
  <conditionalFormatting sqref="D32">
    <cfRule type="colorScale" priority="11752">
      <colorScale>
        <cfvo type="min"/>
        <cfvo type="percentile" val="50"/>
        <cfvo type="max"/>
        <color rgb="FFF8696B"/>
        <color rgb="FFFFEB84"/>
        <color rgb="FF63BE7B"/>
      </colorScale>
    </cfRule>
  </conditionalFormatting>
  <conditionalFormatting sqref="D32">
    <cfRule type="colorScale" priority="11751">
      <colorScale>
        <cfvo type="min"/>
        <cfvo type="percentile" val="50"/>
        <cfvo type="max"/>
        <color rgb="FFF8696B"/>
        <color rgb="FFFFEB84"/>
        <color rgb="FF63BE7B"/>
      </colorScale>
    </cfRule>
  </conditionalFormatting>
  <conditionalFormatting sqref="D32">
    <cfRule type="colorScale" priority="11750">
      <colorScale>
        <cfvo type="min"/>
        <cfvo type="percentile" val="50"/>
        <cfvo type="max"/>
        <color rgb="FFF8696B"/>
        <color rgb="FFFFEB84"/>
        <color rgb="FF63BE7B"/>
      </colorScale>
    </cfRule>
  </conditionalFormatting>
  <conditionalFormatting sqref="D32">
    <cfRule type="colorScale" priority="11749">
      <colorScale>
        <cfvo type="min"/>
        <cfvo type="percentile" val="50"/>
        <cfvo type="max"/>
        <color rgb="FFF8696B"/>
        <color rgb="FFFFEB84"/>
        <color rgb="FF63BE7B"/>
      </colorScale>
    </cfRule>
  </conditionalFormatting>
  <conditionalFormatting sqref="D32">
    <cfRule type="colorScale" priority="11748">
      <colorScale>
        <cfvo type="min"/>
        <cfvo type="percentile" val="50"/>
        <cfvo type="max"/>
        <color rgb="FFF8696B"/>
        <color rgb="FFFFEB84"/>
        <color rgb="FF63BE7B"/>
      </colorScale>
    </cfRule>
  </conditionalFormatting>
  <conditionalFormatting sqref="D32">
    <cfRule type="colorScale" priority="11747">
      <colorScale>
        <cfvo type="min"/>
        <cfvo type="percentile" val="50"/>
        <cfvo type="max"/>
        <color rgb="FFF8696B"/>
        <color rgb="FFFFEB84"/>
        <color rgb="FF63BE7B"/>
      </colorScale>
    </cfRule>
  </conditionalFormatting>
  <conditionalFormatting sqref="D32">
    <cfRule type="colorScale" priority="11746">
      <colorScale>
        <cfvo type="min"/>
        <cfvo type="percentile" val="50"/>
        <cfvo type="max"/>
        <color rgb="FFF8696B"/>
        <color rgb="FFFFEB84"/>
        <color rgb="FF63BE7B"/>
      </colorScale>
    </cfRule>
  </conditionalFormatting>
  <conditionalFormatting sqref="D32">
    <cfRule type="colorScale" priority="11745">
      <colorScale>
        <cfvo type="min"/>
        <cfvo type="percentile" val="50"/>
        <cfvo type="max"/>
        <color rgb="FFF8696B"/>
        <color rgb="FFFFEB84"/>
        <color rgb="FF63BE7B"/>
      </colorScale>
    </cfRule>
  </conditionalFormatting>
  <conditionalFormatting sqref="D32">
    <cfRule type="colorScale" priority="11744">
      <colorScale>
        <cfvo type="min"/>
        <cfvo type="percentile" val="50"/>
        <cfvo type="max"/>
        <color rgb="FFF8696B"/>
        <color rgb="FFFFEB84"/>
        <color rgb="FF63BE7B"/>
      </colorScale>
    </cfRule>
  </conditionalFormatting>
  <conditionalFormatting sqref="D32">
    <cfRule type="colorScale" priority="11743">
      <colorScale>
        <cfvo type="min"/>
        <cfvo type="percentile" val="50"/>
        <cfvo type="max"/>
        <color rgb="FFF8696B"/>
        <color rgb="FFFFEB84"/>
        <color rgb="FF63BE7B"/>
      </colorScale>
    </cfRule>
  </conditionalFormatting>
  <conditionalFormatting sqref="D32">
    <cfRule type="colorScale" priority="11742">
      <colorScale>
        <cfvo type="min"/>
        <cfvo type="percentile" val="50"/>
        <cfvo type="max"/>
        <color rgb="FFF8696B"/>
        <color rgb="FFFFEB84"/>
        <color rgb="FF63BE7B"/>
      </colorScale>
    </cfRule>
  </conditionalFormatting>
  <conditionalFormatting sqref="D32">
    <cfRule type="colorScale" priority="11741">
      <colorScale>
        <cfvo type="min"/>
        <cfvo type="percentile" val="50"/>
        <cfvo type="max"/>
        <color rgb="FFF8696B"/>
        <color rgb="FFFFEB84"/>
        <color rgb="FF63BE7B"/>
      </colorScale>
    </cfRule>
  </conditionalFormatting>
  <conditionalFormatting sqref="D32">
    <cfRule type="colorScale" priority="11740">
      <colorScale>
        <cfvo type="min"/>
        <cfvo type="percentile" val="50"/>
        <cfvo type="max"/>
        <color rgb="FFF8696B"/>
        <color rgb="FFFFEB84"/>
        <color rgb="FF63BE7B"/>
      </colorScale>
    </cfRule>
  </conditionalFormatting>
  <conditionalFormatting sqref="D32">
    <cfRule type="colorScale" priority="11739">
      <colorScale>
        <cfvo type="min"/>
        <cfvo type="percentile" val="50"/>
        <cfvo type="max"/>
        <color rgb="FFF8696B"/>
        <color rgb="FFFFEB84"/>
        <color rgb="FF63BE7B"/>
      </colorScale>
    </cfRule>
  </conditionalFormatting>
  <conditionalFormatting sqref="D32">
    <cfRule type="colorScale" priority="11738">
      <colorScale>
        <cfvo type="min"/>
        <cfvo type="percentile" val="50"/>
        <cfvo type="max"/>
        <color rgb="FFF8696B"/>
        <color rgb="FFFFEB84"/>
        <color rgb="FF63BE7B"/>
      </colorScale>
    </cfRule>
  </conditionalFormatting>
  <conditionalFormatting sqref="D32">
    <cfRule type="colorScale" priority="11737">
      <colorScale>
        <cfvo type="min"/>
        <cfvo type="percentile" val="50"/>
        <cfvo type="max"/>
        <color rgb="FFF8696B"/>
        <color rgb="FFFFEB84"/>
        <color rgb="FF63BE7B"/>
      </colorScale>
    </cfRule>
  </conditionalFormatting>
  <conditionalFormatting sqref="D32">
    <cfRule type="colorScale" priority="11736">
      <colorScale>
        <cfvo type="min"/>
        <cfvo type="percentile" val="50"/>
        <cfvo type="max"/>
        <color rgb="FFF8696B"/>
        <color rgb="FFFFEB84"/>
        <color rgb="FF63BE7B"/>
      </colorScale>
    </cfRule>
  </conditionalFormatting>
  <conditionalFormatting sqref="D32">
    <cfRule type="colorScale" priority="11735">
      <colorScale>
        <cfvo type="min"/>
        <cfvo type="percentile" val="50"/>
        <cfvo type="max"/>
        <color rgb="FFF8696B"/>
        <color rgb="FFFFEB84"/>
        <color rgb="FF63BE7B"/>
      </colorScale>
    </cfRule>
  </conditionalFormatting>
  <conditionalFormatting sqref="D32">
    <cfRule type="colorScale" priority="11734">
      <colorScale>
        <cfvo type="min"/>
        <cfvo type="percentile" val="50"/>
        <cfvo type="max"/>
        <color rgb="FFF8696B"/>
        <color rgb="FFFFEB84"/>
        <color rgb="FF63BE7B"/>
      </colorScale>
    </cfRule>
  </conditionalFormatting>
  <conditionalFormatting sqref="D32">
    <cfRule type="colorScale" priority="11733">
      <colorScale>
        <cfvo type="min"/>
        <cfvo type="percentile" val="50"/>
        <cfvo type="max"/>
        <color rgb="FFF8696B"/>
        <color rgb="FFFFEB84"/>
        <color rgb="FF63BE7B"/>
      </colorScale>
    </cfRule>
  </conditionalFormatting>
  <conditionalFormatting sqref="D32">
    <cfRule type="colorScale" priority="11732">
      <colorScale>
        <cfvo type="min"/>
        <cfvo type="percentile" val="50"/>
        <cfvo type="max"/>
        <color rgb="FFF8696B"/>
        <color rgb="FFFFEB84"/>
        <color rgb="FF63BE7B"/>
      </colorScale>
    </cfRule>
  </conditionalFormatting>
  <conditionalFormatting sqref="D32">
    <cfRule type="colorScale" priority="11731">
      <colorScale>
        <cfvo type="min"/>
        <cfvo type="percentile" val="50"/>
        <cfvo type="max"/>
        <color rgb="FFF8696B"/>
        <color rgb="FFFFEB84"/>
        <color rgb="FF63BE7B"/>
      </colorScale>
    </cfRule>
  </conditionalFormatting>
  <conditionalFormatting sqref="D32">
    <cfRule type="colorScale" priority="11730">
      <colorScale>
        <cfvo type="min"/>
        <cfvo type="percentile" val="50"/>
        <cfvo type="max"/>
        <color rgb="FFF8696B"/>
        <color rgb="FFFFEB84"/>
        <color rgb="FF63BE7B"/>
      </colorScale>
    </cfRule>
  </conditionalFormatting>
  <conditionalFormatting sqref="D32">
    <cfRule type="colorScale" priority="11729">
      <colorScale>
        <cfvo type="min"/>
        <cfvo type="percentile" val="50"/>
        <cfvo type="max"/>
        <color rgb="FFF8696B"/>
        <color rgb="FFFFEB84"/>
        <color rgb="FF63BE7B"/>
      </colorScale>
    </cfRule>
  </conditionalFormatting>
  <conditionalFormatting sqref="D32">
    <cfRule type="colorScale" priority="11728">
      <colorScale>
        <cfvo type="min"/>
        <cfvo type="percentile" val="50"/>
        <cfvo type="max"/>
        <color rgb="FFF8696B"/>
        <color rgb="FFFFEB84"/>
        <color rgb="FF63BE7B"/>
      </colorScale>
    </cfRule>
  </conditionalFormatting>
  <conditionalFormatting sqref="D32">
    <cfRule type="colorScale" priority="11727">
      <colorScale>
        <cfvo type="min"/>
        <cfvo type="percentile" val="50"/>
        <cfvo type="max"/>
        <color rgb="FFF8696B"/>
        <color rgb="FFFFEB84"/>
        <color rgb="FF63BE7B"/>
      </colorScale>
    </cfRule>
  </conditionalFormatting>
  <conditionalFormatting sqref="D32">
    <cfRule type="colorScale" priority="11726">
      <colorScale>
        <cfvo type="min"/>
        <cfvo type="percentile" val="50"/>
        <cfvo type="max"/>
        <color rgb="FFF8696B"/>
        <color rgb="FFFFEB84"/>
        <color rgb="FF63BE7B"/>
      </colorScale>
    </cfRule>
  </conditionalFormatting>
  <conditionalFormatting sqref="D32">
    <cfRule type="colorScale" priority="11725">
      <colorScale>
        <cfvo type="min"/>
        <cfvo type="percentile" val="50"/>
        <cfvo type="max"/>
        <color rgb="FFF8696B"/>
        <color rgb="FFFFEB84"/>
        <color rgb="FF63BE7B"/>
      </colorScale>
    </cfRule>
  </conditionalFormatting>
  <conditionalFormatting sqref="D32">
    <cfRule type="colorScale" priority="11724">
      <colorScale>
        <cfvo type="min"/>
        <cfvo type="percentile" val="50"/>
        <cfvo type="max"/>
        <color rgb="FFF8696B"/>
        <color rgb="FFFFEB84"/>
        <color rgb="FF63BE7B"/>
      </colorScale>
    </cfRule>
  </conditionalFormatting>
  <conditionalFormatting sqref="D32">
    <cfRule type="colorScale" priority="11723">
      <colorScale>
        <cfvo type="min"/>
        <cfvo type="percentile" val="50"/>
        <cfvo type="max"/>
        <color rgb="FFF8696B"/>
        <color rgb="FFFFEB84"/>
        <color rgb="FF63BE7B"/>
      </colorScale>
    </cfRule>
  </conditionalFormatting>
  <conditionalFormatting sqref="D32">
    <cfRule type="colorScale" priority="11722">
      <colorScale>
        <cfvo type="min"/>
        <cfvo type="percentile" val="50"/>
        <cfvo type="max"/>
        <color rgb="FFF8696B"/>
        <color rgb="FFFFEB84"/>
        <color rgb="FF63BE7B"/>
      </colorScale>
    </cfRule>
  </conditionalFormatting>
  <conditionalFormatting sqref="D32">
    <cfRule type="colorScale" priority="11721">
      <colorScale>
        <cfvo type="min"/>
        <cfvo type="percentile" val="50"/>
        <cfvo type="max"/>
        <color rgb="FFF8696B"/>
        <color rgb="FFFFEB84"/>
        <color rgb="FF63BE7B"/>
      </colorScale>
    </cfRule>
  </conditionalFormatting>
  <conditionalFormatting sqref="D32">
    <cfRule type="colorScale" priority="11720">
      <colorScale>
        <cfvo type="min"/>
        <cfvo type="percentile" val="50"/>
        <cfvo type="max"/>
        <color rgb="FFF8696B"/>
        <color rgb="FFFFEB84"/>
        <color rgb="FF63BE7B"/>
      </colorScale>
    </cfRule>
  </conditionalFormatting>
  <conditionalFormatting sqref="D32">
    <cfRule type="colorScale" priority="11719">
      <colorScale>
        <cfvo type="min"/>
        <cfvo type="percentile" val="50"/>
        <cfvo type="max"/>
        <color rgb="FFF8696B"/>
        <color rgb="FFFFEB84"/>
        <color rgb="FF63BE7B"/>
      </colorScale>
    </cfRule>
  </conditionalFormatting>
  <conditionalFormatting sqref="D32">
    <cfRule type="colorScale" priority="11718">
      <colorScale>
        <cfvo type="min"/>
        <cfvo type="percentile" val="50"/>
        <cfvo type="max"/>
        <color rgb="FFF8696B"/>
        <color rgb="FFFFEB84"/>
        <color rgb="FF63BE7B"/>
      </colorScale>
    </cfRule>
  </conditionalFormatting>
  <conditionalFormatting sqref="D32">
    <cfRule type="colorScale" priority="11717">
      <colorScale>
        <cfvo type="min"/>
        <cfvo type="percentile" val="50"/>
        <cfvo type="max"/>
        <color rgb="FFF8696B"/>
        <color rgb="FFFFEB84"/>
        <color rgb="FF63BE7B"/>
      </colorScale>
    </cfRule>
  </conditionalFormatting>
  <conditionalFormatting sqref="D32">
    <cfRule type="colorScale" priority="11716">
      <colorScale>
        <cfvo type="min"/>
        <cfvo type="percentile" val="50"/>
        <cfvo type="max"/>
        <color rgb="FFF8696B"/>
        <color rgb="FFFFEB84"/>
        <color rgb="FF63BE7B"/>
      </colorScale>
    </cfRule>
  </conditionalFormatting>
  <conditionalFormatting sqref="D32">
    <cfRule type="colorScale" priority="11715">
      <colorScale>
        <cfvo type="min"/>
        <cfvo type="percentile" val="50"/>
        <cfvo type="max"/>
        <color rgb="FFF8696B"/>
        <color rgb="FFFFEB84"/>
        <color rgb="FF63BE7B"/>
      </colorScale>
    </cfRule>
  </conditionalFormatting>
  <conditionalFormatting sqref="D32">
    <cfRule type="colorScale" priority="11714">
      <colorScale>
        <cfvo type="min"/>
        <cfvo type="percentile" val="50"/>
        <cfvo type="max"/>
        <color rgb="FFF8696B"/>
        <color rgb="FFFFEB84"/>
        <color rgb="FF63BE7B"/>
      </colorScale>
    </cfRule>
  </conditionalFormatting>
  <conditionalFormatting sqref="D32">
    <cfRule type="colorScale" priority="11713">
      <colorScale>
        <cfvo type="min"/>
        <cfvo type="percentile" val="50"/>
        <cfvo type="max"/>
        <color rgb="FFF8696B"/>
        <color rgb="FFFFEB84"/>
        <color rgb="FF63BE7B"/>
      </colorScale>
    </cfRule>
  </conditionalFormatting>
  <conditionalFormatting sqref="D32">
    <cfRule type="colorScale" priority="11712">
      <colorScale>
        <cfvo type="min"/>
        <cfvo type="percentile" val="50"/>
        <cfvo type="max"/>
        <color rgb="FFF8696B"/>
        <color rgb="FFFFEB84"/>
        <color rgb="FF63BE7B"/>
      </colorScale>
    </cfRule>
  </conditionalFormatting>
  <conditionalFormatting sqref="D32">
    <cfRule type="colorScale" priority="11711">
      <colorScale>
        <cfvo type="min"/>
        <cfvo type="percentile" val="50"/>
        <cfvo type="max"/>
        <color rgb="FFF8696B"/>
        <color rgb="FFFFEB84"/>
        <color rgb="FF63BE7B"/>
      </colorScale>
    </cfRule>
  </conditionalFormatting>
  <conditionalFormatting sqref="D32">
    <cfRule type="colorScale" priority="11710">
      <colorScale>
        <cfvo type="min"/>
        <cfvo type="percentile" val="50"/>
        <cfvo type="max"/>
        <color rgb="FFF8696B"/>
        <color rgb="FFFFEB84"/>
        <color rgb="FF63BE7B"/>
      </colorScale>
    </cfRule>
  </conditionalFormatting>
  <conditionalFormatting sqref="D32">
    <cfRule type="colorScale" priority="11709">
      <colorScale>
        <cfvo type="min"/>
        <cfvo type="percentile" val="50"/>
        <cfvo type="max"/>
        <color rgb="FFF8696B"/>
        <color rgb="FFFFEB84"/>
        <color rgb="FF63BE7B"/>
      </colorScale>
    </cfRule>
  </conditionalFormatting>
  <conditionalFormatting sqref="D32">
    <cfRule type="colorScale" priority="11708">
      <colorScale>
        <cfvo type="min"/>
        <cfvo type="percentile" val="50"/>
        <cfvo type="max"/>
        <color rgb="FFF8696B"/>
        <color rgb="FFFFEB84"/>
        <color rgb="FF63BE7B"/>
      </colorScale>
    </cfRule>
  </conditionalFormatting>
  <conditionalFormatting sqref="D32">
    <cfRule type="colorScale" priority="11707">
      <colorScale>
        <cfvo type="min"/>
        <cfvo type="percentile" val="50"/>
        <cfvo type="max"/>
        <color rgb="FFF8696B"/>
        <color rgb="FFFFEB84"/>
        <color rgb="FF63BE7B"/>
      </colorScale>
    </cfRule>
  </conditionalFormatting>
  <conditionalFormatting sqref="D32">
    <cfRule type="colorScale" priority="11706">
      <colorScale>
        <cfvo type="min"/>
        <cfvo type="percentile" val="50"/>
        <cfvo type="max"/>
        <color rgb="FFF8696B"/>
        <color rgb="FFFFEB84"/>
        <color rgb="FF63BE7B"/>
      </colorScale>
    </cfRule>
  </conditionalFormatting>
  <conditionalFormatting sqref="D32">
    <cfRule type="colorScale" priority="11705">
      <colorScale>
        <cfvo type="min"/>
        <cfvo type="percentile" val="50"/>
        <cfvo type="max"/>
        <color rgb="FFF8696B"/>
        <color rgb="FFFFEB84"/>
        <color rgb="FF63BE7B"/>
      </colorScale>
    </cfRule>
  </conditionalFormatting>
  <conditionalFormatting sqref="D32">
    <cfRule type="colorScale" priority="11704">
      <colorScale>
        <cfvo type="min"/>
        <cfvo type="percentile" val="50"/>
        <cfvo type="max"/>
        <color rgb="FFF8696B"/>
        <color rgb="FFFFEB84"/>
        <color rgb="FF63BE7B"/>
      </colorScale>
    </cfRule>
  </conditionalFormatting>
  <conditionalFormatting sqref="D32">
    <cfRule type="colorScale" priority="11703">
      <colorScale>
        <cfvo type="min"/>
        <cfvo type="percentile" val="50"/>
        <cfvo type="max"/>
        <color rgb="FFF8696B"/>
        <color rgb="FFFFEB84"/>
        <color rgb="FF63BE7B"/>
      </colorScale>
    </cfRule>
  </conditionalFormatting>
  <conditionalFormatting sqref="D32">
    <cfRule type="colorScale" priority="11702">
      <colorScale>
        <cfvo type="min"/>
        <cfvo type="percentile" val="50"/>
        <cfvo type="max"/>
        <color rgb="FFF8696B"/>
        <color rgb="FFFFEB84"/>
        <color rgb="FF63BE7B"/>
      </colorScale>
    </cfRule>
  </conditionalFormatting>
  <conditionalFormatting sqref="D32">
    <cfRule type="colorScale" priority="11701">
      <colorScale>
        <cfvo type="min"/>
        <cfvo type="percentile" val="50"/>
        <cfvo type="max"/>
        <color rgb="FFF8696B"/>
        <color rgb="FFFFEB84"/>
        <color rgb="FF63BE7B"/>
      </colorScale>
    </cfRule>
  </conditionalFormatting>
  <conditionalFormatting sqref="D32">
    <cfRule type="colorScale" priority="11700">
      <colorScale>
        <cfvo type="min"/>
        <cfvo type="percentile" val="50"/>
        <cfvo type="max"/>
        <color rgb="FFF8696B"/>
        <color rgb="FFFFEB84"/>
        <color rgb="FF63BE7B"/>
      </colorScale>
    </cfRule>
  </conditionalFormatting>
  <conditionalFormatting sqref="D32">
    <cfRule type="colorScale" priority="11699">
      <colorScale>
        <cfvo type="min"/>
        <cfvo type="percentile" val="50"/>
        <cfvo type="max"/>
        <color rgb="FFF8696B"/>
        <color rgb="FFFFEB84"/>
        <color rgb="FF63BE7B"/>
      </colorScale>
    </cfRule>
  </conditionalFormatting>
  <conditionalFormatting sqref="D32">
    <cfRule type="colorScale" priority="11698">
      <colorScale>
        <cfvo type="min"/>
        <cfvo type="percentile" val="50"/>
        <cfvo type="max"/>
        <color rgb="FFF8696B"/>
        <color rgb="FFFFEB84"/>
        <color rgb="FF63BE7B"/>
      </colorScale>
    </cfRule>
  </conditionalFormatting>
  <conditionalFormatting sqref="D32">
    <cfRule type="colorScale" priority="11697">
      <colorScale>
        <cfvo type="min"/>
        <cfvo type="percentile" val="50"/>
        <cfvo type="max"/>
        <color rgb="FFF8696B"/>
        <color rgb="FFFFEB84"/>
        <color rgb="FF63BE7B"/>
      </colorScale>
    </cfRule>
  </conditionalFormatting>
  <conditionalFormatting sqref="D32">
    <cfRule type="colorScale" priority="11696">
      <colorScale>
        <cfvo type="min"/>
        <cfvo type="percentile" val="50"/>
        <cfvo type="max"/>
        <color rgb="FFF8696B"/>
        <color rgb="FFFFEB84"/>
        <color rgb="FF63BE7B"/>
      </colorScale>
    </cfRule>
  </conditionalFormatting>
  <conditionalFormatting sqref="D32">
    <cfRule type="colorScale" priority="11695">
      <colorScale>
        <cfvo type="min"/>
        <cfvo type="percentile" val="50"/>
        <cfvo type="max"/>
        <color rgb="FFF8696B"/>
        <color rgb="FFFFEB84"/>
        <color rgb="FF63BE7B"/>
      </colorScale>
    </cfRule>
  </conditionalFormatting>
  <conditionalFormatting sqref="D32">
    <cfRule type="colorScale" priority="11694">
      <colorScale>
        <cfvo type="min"/>
        <cfvo type="percentile" val="50"/>
        <cfvo type="max"/>
        <color rgb="FFF8696B"/>
        <color rgb="FFFFEB84"/>
        <color rgb="FF63BE7B"/>
      </colorScale>
    </cfRule>
  </conditionalFormatting>
  <conditionalFormatting sqref="D32">
    <cfRule type="colorScale" priority="11693">
      <colorScale>
        <cfvo type="min"/>
        <cfvo type="percentile" val="50"/>
        <cfvo type="max"/>
        <color rgb="FFF8696B"/>
        <color rgb="FFFFEB84"/>
        <color rgb="FF63BE7B"/>
      </colorScale>
    </cfRule>
  </conditionalFormatting>
  <conditionalFormatting sqref="D32">
    <cfRule type="colorScale" priority="11692">
      <colorScale>
        <cfvo type="min"/>
        <cfvo type="percentile" val="50"/>
        <cfvo type="max"/>
        <color rgb="FFF8696B"/>
        <color rgb="FFFFEB84"/>
        <color rgb="FF63BE7B"/>
      </colorScale>
    </cfRule>
  </conditionalFormatting>
  <conditionalFormatting sqref="D32">
    <cfRule type="colorScale" priority="11691">
      <colorScale>
        <cfvo type="min"/>
        <cfvo type="percentile" val="50"/>
        <cfvo type="max"/>
        <color rgb="FFF8696B"/>
        <color rgb="FFFFEB84"/>
        <color rgb="FF63BE7B"/>
      </colorScale>
    </cfRule>
  </conditionalFormatting>
  <conditionalFormatting sqref="D32">
    <cfRule type="colorScale" priority="11690">
      <colorScale>
        <cfvo type="min"/>
        <cfvo type="percentile" val="50"/>
        <cfvo type="max"/>
        <color rgb="FFF8696B"/>
        <color rgb="FFFFEB84"/>
        <color rgb="FF63BE7B"/>
      </colorScale>
    </cfRule>
  </conditionalFormatting>
  <conditionalFormatting sqref="D32">
    <cfRule type="colorScale" priority="11689">
      <colorScale>
        <cfvo type="min"/>
        <cfvo type="percentile" val="50"/>
        <cfvo type="max"/>
        <color rgb="FFF8696B"/>
        <color rgb="FFFFEB84"/>
        <color rgb="FF63BE7B"/>
      </colorScale>
    </cfRule>
  </conditionalFormatting>
  <conditionalFormatting sqref="D32">
    <cfRule type="colorScale" priority="11688">
      <colorScale>
        <cfvo type="min"/>
        <cfvo type="percentile" val="50"/>
        <cfvo type="max"/>
        <color rgb="FFF8696B"/>
        <color rgb="FFFFEB84"/>
        <color rgb="FF63BE7B"/>
      </colorScale>
    </cfRule>
  </conditionalFormatting>
  <conditionalFormatting sqref="D32">
    <cfRule type="colorScale" priority="11687">
      <colorScale>
        <cfvo type="min"/>
        <cfvo type="percentile" val="50"/>
        <cfvo type="max"/>
        <color rgb="FFF8696B"/>
        <color rgb="FFFFEB84"/>
        <color rgb="FF63BE7B"/>
      </colorScale>
    </cfRule>
  </conditionalFormatting>
  <conditionalFormatting sqref="D32">
    <cfRule type="colorScale" priority="11686">
      <colorScale>
        <cfvo type="min"/>
        <cfvo type="percentile" val="50"/>
        <cfvo type="max"/>
        <color rgb="FFF8696B"/>
        <color rgb="FFFFEB84"/>
        <color rgb="FF63BE7B"/>
      </colorScale>
    </cfRule>
  </conditionalFormatting>
  <conditionalFormatting sqref="D32">
    <cfRule type="colorScale" priority="11685">
      <colorScale>
        <cfvo type="min"/>
        <cfvo type="percentile" val="50"/>
        <cfvo type="max"/>
        <color rgb="FFF8696B"/>
        <color rgb="FFFFEB84"/>
        <color rgb="FF63BE7B"/>
      </colorScale>
    </cfRule>
  </conditionalFormatting>
  <conditionalFormatting sqref="D32">
    <cfRule type="colorScale" priority="11684">
      <colorScale>
        <cfvo type="min"/>
        <cfvo type="percentile" val="50"/>
        <cfvo type="max"/>
        <color rgb="FFF8696B"/>
        <color rgb="FFFFEB84"/>
        <color rgb="FF63BE7B"/>
      </colorScale>
    </cfRule>
  </conditionalFormatting>
  <conditionalFormatting sqref="D32">
    <cfRule type="colorScale" priority="11683">
      <colorScale>
        <cfvo type="min"/>
        <cfvo type="percentile" val="50"/>
        <cfvo type="max"/>
        <color rgb="FFF8696B"/>
        <color rgb="FFFFEB84"/>
        <color rgb="FF63BE7B"/>
      </colorScale>
    </cfRule>
  </conditionalFormatting>
  <conditionalFormatting sqref="D32">
    <cfRule type="colorScale" priority="11682">
      <colorScale>
        <cfvo type="min"/>
        <cfvo type="percentile" val="50"/>
        <cfvo type="max"/>
        <color rgb="FFF8696B"/>
        <color rgb="FFFFEB84"/>
        <color rgb="FF63BE7B"/>
      </colorScale>
    </cfRule>
  </conditionalFormatting>
  <conditionalFormatting sqref="D32">
    <cfRule type="colorScale" priority="11681">
      <colorScale>
        <cfvo type="min"/>
        <cfvo type="percentile" val="50"/>
        <cfvo type="max"/>
        <color rgb="FFF8696B"/>
        <color rgb="FFFFEB84"/>
        <color rgb="FF63BE7B"/>
      </colorScale>
    </cfRule>
  </conditionalFormatting>
  <conditionalFormatting sqref="D32">
    <cfRule type="colorScale" priority="11680">
      <colorScale>
        <cfvo type="min"/>
        <cfvo type="percentile" val="50"/>
        <cfvo type="max"/>
        <color rgb="FFF8696B"/>
        <color rgb="FFFFEB84"/>
        <color rgb="FF63BE7B"/>
      </colorScale>
    </cfRule>
  </conditionalFormatting>
  <conditionalFormatting sqref="D32">
    <cfRule type="colorScale" priority="11679">
      <colorScale>
        <cfvo type="min"/>
        <cfvo type="percentile" val="50"/>
        <cfvo type="max"/>
        <color rgb="FFF8696B"/>
        <color rgb="FFFFEB84"/>
        <color rgb="FF63BE7B"/>
      </colorScale>
    </cfRule>
  </conditionalFormatting>
  <conditionalFormatting sqref="D32">
    <cfRule type="colorScale" priority="11678">
      <colorScale>
        <cfvo type="min"/>
        <cfvo type="percentile" val="50"/>
        <cfvo type="max"/>
        <color rgb="FFF8696B"/>
        <color rgb="FFFFEB84"/>
        <color rgb="FF63BE7B"/>
      </colorScale>
    </cfRule>
  </conditionalFormatting>
  <conditionalFormatting sqref="D32">
    <cfRule type="colorScale" priority="11677">
      <colorScale>
        <cfvo type="min"/>
        <cfvo type="percentile" val="50"/>
        <cfvo type="max"/>
        <color rgb="FFF8696B"/>
        <color rgb="FFFFEB84"/>
        <color rgb="FF63BE7B"/>
      </colorScale>
    </cfRule>
  </conditionalFormatting>
  <conditionalFormatting sqref="D32">
    <cfRule type="colorScale" priority="11676">
      <colorScale>
        <cfvo type="min"/>
        <cfvo type="percentile" val="50"/>
        <cfvo type="max"/>
        <color rgb="FFF8696B"/>
        <color rgb="FFFFEB84"/>
        <color rgb="FF63BE7B"/>
      </colorScale>
    </cfRule>
  </conditionalFormatting>
  <conditionalFormatting sqref="D32">
    <cfRule type="colorScale" priority="11675">
      <colorScale>
        <cfvo type="min"/>
        <cfvo type="percentile" val="50"/>
        <cfvo type="max"/>
        <color rgb="FFF8696B"/>
        <color rgb="FFFFEB84"/>
        <color rgb="FF63BE7B"/>
      </colorScale>
    </cfRule>
  </conditionalFormatting>
  <conditionalFormatting sqref="D32">
    <cfRule type="colorScale" priority="11674">
      <colorScale>
        <cfvo type="min"/>
        <cfvo type="percentile" val="50"/>
        <cfvo type="max"/>
        <color rgb="FFF8696B"/>
        <color rgb="FFFFEB84"/>
        <color rgb="FF63BE7B"/>
      </colorScale>
    </cfRule>
  </conditionalFormatting>
  <conditionalFormatting sqref="D32">
    <cfRule type="colorScale" priority="11673">
      <colorScale>
        <cfvo type="min"/>
        <cfvo type="percentile" val="50"/>
        <cfvo type="max"/>
        <color rgb="FFF8696B"/>
        <color rgb="FFFFEB84"/>
        <color rgb="FF63BE7B"/>
      </colorScale>
    </cfRule>
  </conditionalFormatting>
  <conditionalFormatting sqref="D32">
    <cfRule type="colorScale" priority="11672">
      <colorScale>
        <cfvo type="min"/>
        <cfvo type="percentile" val="50"/>
        <cfvo type="max"/>
        <color rgb="FFF8696B"/>
        <color rgb="FFFFEB84"/>
        <color rgb="FF63BE7B"/>
      </colorScale>
    </cfRule>
  </conditionalFormatting>
  <conditionalFormatting sqref="D32">
    <cfRule type="colorScale" priority="11671">
      <colorScale>
        <cfvo type="min"/>
        <cfvo type="percentile" val="50"/>
        <cfvo type="max"/>
        <color rgb="FFF8696B"/>
        <color rgb="FFFFEB84"/>
        <color rgb="FF63BE7B"/>
      </colorScale>
    </cfRule>
  </conditionalFormatting>
  <conditionalFormatting sqref="D32">
    <cfRule type="colorScale" priority="11670">
      <colorScale>
        <cfvo type="min"/>
        <cfvo type="percentile" val="50"/>
        <cfvo type="max"/>
        <color rgb="FFF8696B"/>
        <color rgb="FFFFEB84"/>
        <color rgb="FF63BE7B"/>
      </colorScale>
    </cfRule>
  </conditionalFormatting>
  <conditionalFormatting sqref="D32">
    <cfRule type="colorScale" priority="11669">
      <colorScale>
        <cfvo type="min"/>
        <cfvo type="percentile" val="50"/>
        <cfvo type="max"/>
        <color rgb="FFF8696B"/>
        <color rgb="FFFFEB84"/>
        <color rgb="FF63BE7B"/>
      </colorScale>
    </cfRule>
  </conditionalFormatting>
  <conditionalFormatting sqref="D32">
    <cfRule type="colorScale" priority="11668">
      <colorScale>
        <cfvo type="min"/>
        <cfvo type="percentile" val="50"/>
        <cfvo type="max"/>
        <color rgb="FFF8696B"/>
        <color rgb="FFFFEB84"/>
        <color rgb="FF63BE7B"/>
      </colorScale>
    </cfRule>
  </conditionalFormatting>
  <conditionalFormatting sqref="D32">
    <cfRule type="colorScale" priority="11667">
      <colorScale>
        <cfvo type="min"/>
        <cfvo type="percentile" val="50"/>
        <cfvo type="max"/>
        <color rgb="FFF8696B"/>
        <color rgb="FFFFEB84"/>
        <color rgb="FF63BE7B"/>
      </colorScale>
    </cfRule>
  </conditionalFormatting>
  <conditionalFormatting sqref="D32">
    <cfRule type="colorScale" priority="11666">
      <colorScale>
        <cfvo type="min"/>
        <cfvo type="percentile" val="50"/>
        <cfvo type="max"/>
        <color rgb="FFF8696B"/>
        <color rgb="FFFFEB84"/>
        <color rgb="FF63BE7B"/>
      </colorScale>
    </cfRule>
  </conditionalFormatting>
  <conditionalFormatting sqref="D32">
    <cfRule type="colorScale" priority="11665">
      <colorScale>
        <cfvo type="min"/>
        <cfvo type="percentile" val="50"/>
        <cfvo type="max"/>
        <color rgb="FFF8696B"/>
        <color rgb="FFFFEB84"/>
        <color rgb="FF63BE7B"/>
      </colorScale>
    </cfRule>
  </conditionalFormatting>
  <conditionalFormatting sqref="D32">
    <cfRule type="colorScale" priority="11664">
      <colorScale>
        <cfvo type="min"/>
        <cfvo type="percentile" val="50"/>
        <cfvo type="max"/>
        <color rgb="FFF8696B"/>
        <color rgb="FFFFEB84"/>
        <color rgb="FF63BE7B"/>
      </colorScale>
    </cfRule>
  </conditionalFormatting>
  <conditionalFormatting sqref="D32">
    <cfRule type="colorScale" priority="11663">
      <colorScale>
        <cfvo type="min"/>
        <cfvo type="percentile" val="50"/>
        <cfvo type="max"/>
        <color rgb="FFF8696B"/>
        <color rgb="FFFFEB84"/>
        <color rgb="FF63BE7B"/>
      </colorScale>
    </cfRule>
  </conditionalFormatting>
  <conditionalFormatting sqref="D32">
    <cfRule type="colorScale" priority="11662">
      <colorScale>
        <cfvo type="min"/>
        <cfvo type="percentile" val="50"/>
        <cfvo type="max"/>
        <color rgb="FFF8696B"/>
        <color rgb="FFFFEB84"/>
        <color rgb="FF63BE7B"/>
      </colorScale>
    </cfRule>
  </conditionalFormatting>
  <conditionalFormatting sqref="D32">
    <cfRule type="colorScale" priority="11661">
      <colorScale>
        <cfvo type="min"/>
        <cfvo type="percentile" val="50"/>
        <cfvo type="max"/>
        <color rgb="FFF8696B"/>
        <color rgb="FFFFEB84"/>
        <color rgb="FF63BE7B"/>
      </colorScale>
    </cfRule>
  </conditionalFormatting>
  <conditionalFormatting sqref="D32">
    <cfRule type="colorScale" priority="11660">
      <colorScale>
        <cfvo type="min"/>
        <cfvo type="percentile" val="50"/>
        <cfvo type="max"/>
        <color rgb="FFF8696B"/>
        <color rgb="FFFFEB84"/>
        <color rgb="FF63BE7B"/>
      </colorScale>
    </cfRule>
  </conditionalFormatting>
  <conditionalFormatting sqref="D32">
    <cfRule type="colorScale" priority="11659">
      <colorScale>
        <cfvo type="min"/>
        <cfvo type="percentile" val="50"/>
        <cfvo type="max"/>
        <color rgb="FFF8696B"/>
        <color rgb="FFFFEB84"/>
        <color rgb="FF63BE7B"/>
      </colorScale>
    </cfRule>
  </conditionalFormatting>
  <conditionalFormatting sqref="D32">
    <cfRule type="colorScale" priority="11658">
      <colorScale>
        <cfvo type="min"/>
        <cfvo type="percentile" val="50"/>
        <cfvo type="max"/>
        <color rgb="FFF8696B"/>
        <color rgb="FFFFEB84"/>
        <color rgb="FF63BE7B"/>
      </colorScale>
    </cfRule>
  </conditionalFormatting>
  <conditionalFormatting sqref="D32">
    <cfRule type="colorScale" priority="11657">
      <colorScale>
        <cfvo type="min"/>
        <cfvo type="percentile" val="50"/>
        <cfvo type="max"/>
        <color rgb="FFF8696B"/>
        <color rgb="FFFFEB84"/>
        <color rgb="FF63BE7B"/>
      </colorScale>
    </cfRule>
  </conditionalFormatting>
  <conditionalFormatting sqref="D32">
    <cfRule type="colorScale" priority="11656">
      <colorScale>
        <cfvo type="min"/>
        <cfvo type="percentile" val="50"/>
        <cfvo type="max"/>
        <color rgb="FFF8696B"/>
        <color rgb="FFFFEB84"/>
        <color rgb="FF63BE7B"/>
      </colorScale>
    </cfRule>
  </conditionalFormatting>
  <conditionalFormatting sqref="D32">
    <cfRule type="colorScale" priority="11655">
      <colorScale>
        <cfvo type="min"/>
        <cfvo type="percentile" val="50"/>
        <cfvo type="max"/>
        <color rgb="FFF8696B"/>
        <color rgb="FFFFEB84"/>
        <color rgb="FF63BE7B"/>
      </colorScale>
    </cfRule>
  </conditionalFormatting>
  <conditionalFormatting sqref="D32">
    <cfRule type="colorScale" priority="11654">
      <colorScale>
        <cfvo type="min"/>
        <cfvo type="percentile" val="50"/>
        <cfvo type="max"/>
        <color rgb="FFF8696B"/>
        <color rgb="FFFFEB84"/>
        <color rgb="FF63BE7B"/>
      </colorScale>
    </cfRule>
  </conditionalFormatting>
  <conditionalFormatting sqref="D32">
    <cfRule type="colorScale" priority="11653">
      <colorScale>
        <cfvo type="min"/>
        <cfvo type="percentile" val="50"/>
        <cfvo type="max"/>
        <color rgb="FFF8696B"/>
        <color rgb="FFFFEB84"/>
        <color rgb="FF63BE7B"/>
      </colorScale>
    </cfRule>
  </conditionalFormatting>
  <conditionalFormatting sqref="D32">
    <cfRule type="colorScale" priority="11652">
      <colorScale>
        <cfvo type="min"/>
        <cfvo type="percentile" val="50"/>
        <cfvo type="max"/>
        <color rgb="FFF8696B"/>
        <color rgb="FFFFEB84"/>
        <color rgb="FF63BE7B"/>
      </colorScale>
    </cfRule>
  </conditionalFormatting>
  <conditionalFormatting sqref="D32">
    <cfRule type="colorScale" priority="11651">
      <colorScale>
        <cfvo type="min"/>
        <cfvo type="percentile" val="50"/>
        <cfvo type="max"/>
        <color rgb="FFF8696B"/>
        <color rgb="FFFFEB84"/>
        <color rgb="FF63BE7B"/>
      </colorScale>
    </cfRule>
  </conditionalFormatting>
  <conditionalFormatting sqref="D32">
    <cfRule type="colorScale" priority="11650">
      <colorScale>
        <cfvo type="min"/>
        <cfvo type="percentile" val="50"/>
        <cfvo type="max"/>
        <color rgb="FFF8696B"/>
        <color rgb="FFFFEB84"/>
        <color rgb="FF63BE7B"/>
      </colorScale>
    </cfRule>
  </conditionalFormatting>
  <conditionalFormatting sqref="D32">
    <cfRule type="colorScale" priority="11649">
      <colorScale>
        <cfvo type="min"/>
        <cfvo type="percentile" val="50"/>
        <cfvo type="max"/>
        <color rgb="FFF8696B"/>
        <color rgb="FFFFEB84"/>
        <color rgb="FF63BE7B"/>
      </colorScale>
    </cfRule>
  </conditionalFormatting>
  <conditionalFormatting sqref="D32">
    <cfRule type="colorScale" priority="11648">
      <colorScale>
        <cfvo type="min"/>
        <cfvo type="percentile" val="50"/>
        <cfvo type="max"/>
        <color rgb="FFF8696B"/>
        <color rgb="FFFFEB84"/>
        <color rgb="FF63BE7B"/>
      </colorScale>
    </cfRule>
  </conditionalFormatting>
  <conditionalFormatting sqref="D32">
    <cfRule type="colorScale" priority="11647">
      <colorScale>
        <cfvo type="min"/>
        <cfvo type="percentile" val="50"/>
        <cfvo type="max"/>
        <color rgb="FFF8696B"/>
        <color rgb="FFFFEB84"/>
        <color rgb="FF63BE7B"/>
      </colorScale>
    </cfRule>
  </conditionalFormatting>
  <conditionalFormatting sqref="D32">
    <cfRule type="colorScale" priority="11646">
      <colorScale>
        <cfvo type="min"/>
        <cfvo type="percentile" val="50"/>
        <cfvo type="max"/>
        <color rgb="FFF8696B"/>
        <color rgb="FFFFEB84"/>
        <color rgb="FF63BE7B"/>
      </colorScale>
    </cfRule>
  </conditionalFormatting>
  <conditionalFormatting sqref="D32">
    <cfRule type="colorScale" priority="11645">
      <colorScale>
        <cfvo type="min"/>
        <cfvo type="percentile" val="50"/>
        <cfvo type="max"/>
        <color rgb="FFF8696B"/>
        <color rgb="FFFFEB84"/>
        <color rgb="FF63BE7B"/>
      </colorScale>
    </cfRule>
  </conditionalFormatting>
  <conditionalFormatting sqref="D32">
    <cfRule type="colorScale" priority="11644">
      <colorScale>
        <cfvo type="min"/>
        <cfvo type="percentile" val="50"/>
        <cfvo type="max"/>
        <color rgb="FFF8696B"/>
        <color rgb="FFFFEB84"/>
        <color rgb="FF63BE7B"/>
      </colorScale>
    </cfRule>
  </conditionalFormatting>
  <conditionalFormatting sqref="D32">
    <cfRule type="colorScale" priority="11643">
      <colorScale>
        <cfvo type="min"/>
        <cfvo type="percentile" val="50"/>
        <cfvo type="max"/>
        <color rgb="FFF8696B"/>
        <color rgb="FFFFEB84"/>
        <color rgb="FF63BE7B"/>
      </colorScale>
    </cfRule>
  </conditionalFormatting>
  <conditionalFormatting sqref="D32">
    <cfRule type="colorScale" priority="11642">
      <colorScale>
        <cfvo type="min"/>
        <cfvo type="percentile" val="50"/>
        <cfvo type="max"/>
        <color rgb="FFF8696B"/>
        <color rgb="FFFFEB84"/>
        <color rgb="FF63BE7B"/>
      </colorScale>
    </cfRule>
  </conditionalFormatting>
  <conditionalFormatting sqref="D32">
    <cfRule type="colorScale" priority="11641">
      <colorScale>
        <cfvo type="min"/>
        <cfvo type="percentile" val="50"/>
        <cfvo type="max"/>
        <color rgb="FFF8696B"/>
        <color rgb="FFFFEB84"/>
        <color rgb="FF63BE7B"/>
      </colorScale>
    </cfRule>
  </conditionalFormatting>
  <conditionalFormatting sqref="D32">
    <cfRule type="colorScale" priority="11640">
      <colorScale>
        <cfvo type="min"/>
        <cfvo type="percentile" val="50"/>
        <cfvo type="max"/>
        <color rgb="FFF8696B"/>
        <color rgb="FFFFEB84"/>
        <color rgb="FF63BE7B"/>
      </colorScale>
    </cfRule>
  </conditionalFormatting>
  <conditionalFormatting sqref="D32">
    <cfRule type="colorScale" priority="11639">
      <colorScale>
        <cfvo type="min"/>
        <cfvo type="percentile" val="50"/>
        <cfvo type="max"/>
        <color rgb="FFF8696B"/>
        <color rgb="FFFFEB84"/>
        <color rgb="FF63BE7B"/>
      </colorScale>
    </cfRule>
  </conditionalFormatting>
  <conditionalFormatting sqref="D32">
    <cfRule type="colorScale" priority="11638">
      <colorScale>
        <cfvo type="min"/>
        <cfvo type="percentile" val="50"/>
        <cfvo type="max"/>
        <color rgb="FFF8696B"/>
        <color rgb="FFFFEB84"/>
        <color rgb="FF63BE7B"/>
      </colorScale>
    </cfRule>
  </conditionalFormatting>
  <conditionalFormatting sqref="D10:D31">
    <cfRule type="colorScale" priority="11637">
      <colorScale>
        <cfvo type="min"/>
        <cfvo type="percentile" val="50"/>
        <cfvo type="max"/>
        <color rgb="FFF8696B"/>
        <color rgb="FFFFEB84"/>
        <color rgb="FF63BE7B"/>
      </colorScale>
    </cfRule>
  </conditionalFormatting>
  <conditionalFormatting sqref="D10:D31">
    <cfRule type="colorScale" priority="11636">
      <colorScale>
        <cfvo type="min"/>
        <cfvo type="percentile" val="50"/>
        <cfvo type="max"/>
        <color rgb="FFF8696B"/>
        <color rgb="FFFFEB84"/>
        <color rgb="FF63BE7B"/>
      </colorScale>
    </cfRule>
  </conditionalFormatting>
  <conditionalFormatting sqref="D10:D31">
    <cfRule type="colorScale" priority="11635">
      <colorScale>
        <cfvo type="min"/>
        <cfvo type="percentile" val="50"/>
        <cfvo type="max"/>
        <color rgb="FFF8696B"/>
        <color rgb="FFFFEB84"/>
        <color rgb="FF63BE7B"/>
      </colorScale>
    </cfRule>
  </conditionalFormatting>
  <conditionalFormatting sqref="D10:D31">
    <cfRule type="colorScale" priority="11634">
      <colorScale>
        <cfvo type="min"/>
        <cfvo type="percentile" val="50"/>
        <cfvo type="max"/>
        <color rgb="FFF8696B"/>
        <color rgb="FFFFEB84"/>
        <color rgb="FF63BE7B"/>
      </colorScale>
    </cfRule>
  </conditionalFormatting>
  <conditionalFormatting sqref="D11:D31">
    <cfRule type="colorScale" priority="11633">
      <colorScale>
        <cfvo type="min"/>
        <cfvo type="percentile" val="50"/>
        <cfvo type="max"/>
        <color rgb="FFF8696B"/>
        <color rgb="FFFFEB84"/>
        <color rgb="FF63BE7B"/>
      </colorScale>
    </cfRule>
  </conditionalFormatting>
  <conditionalFormatting sqref="D11:D31">
    <cfRule type="colorScale" priority="11632">
      <colorScale>
        <cfvo type="min"/>
        <cfvo type="percentile" val="50"/>
        <cfvo type="max"/>
        <color rgb="FFF8696B"/>
        <color rgb="FFFFEB84"/>
        <color rgb="FF63BE7B"/>
      </colorScale>
    </cfRule>
  </conditionalFormatting>
  <conditionalFormatting sqref="D11:D31">
    <cfRule type="colorScale" priority="11631">
      <colorScale>
        <cfvo type="min"/>
        <cfvo type="percentile" val="50"/>
        <cfvo type="max"/>
        <color rgb="FFF8696B"/>
        <color rgb="FFFFEB84"/>
        <color rgb="FF63BE7B"/>
      </colorScale>
    </cfRule>
  </conditionalFormatting>
  <conditionalFormatting sqref="D11:D31">
    <cfRule type="colorScale" priority="11630">
      <colorScale>
        <cfvo type="min"/>
        <cfvo type="percentile" val="50"/>
        <cfvo type="max"/>
        <color rgb="FFF8696B"/>
        <color rgb="FFFFEB84"/>
        <color rgb="FF63BE7B"/>
      </colorScale>
    </cfRule>
  </conditionalFormatting>
  <conditionalFormatting sqref="D11:D31">
    <cfRule type="colorScale" priority="11629">
      <colorScale>
        <cfvo type="min"/>
        <cfvo type="percentile" val="50"/>
        <cfvo type="max"/>
        <color rgb="FFF8696B"/>
        <color rgb="FFFFEB84"/>
        <color rgb="FF63BE7B"/>
      </colorScale>
    </cfRule>
  </conditionalFormatting>
  <conditionalFormatting sqref="D11:D31">
    <cfRule type="colorScale" priority="11628">
      <colorScale>
        <cfvo type="min"/>
        <cfvo type="percentile" val="50"/>
        <cfvo type="max"/>
        <color rgb="FFF8696B"/>
        <color rgb="FFFFEB84"/>
        <color rgb="FF63BE7B"/>
      </colorScale>
    </cfRule>
  </conditionalFormatting>
  <conditionalFormatting sqref="D11:D31">
    <cfRule type="colorScale" priority="11627">
      <colorScale>
        <cfvo type="min"/>
        <cfvo type="percentile" val="50"/>
        <cfvo type="max"/>
        <color rgb="FFF8696B"/>
        <color rgb="FFFFEB84"/>
        <color rgb="FF63BE7B"/>
      </colorScale>
    </cfRule>
  </conditionalFormatting>
  <conditionalFormatting sqref="D11:D31">
    <cfRule type="colorScale" priority="11626">
      <colorScale>
        <cfvo type="min"/>
        <cfvo type="percentile" val="50"/>
        <cfvo type="max"/>
        <color rgb="FFF8696B"/>
        <color rgb="FFFFEB84"/>
        <color rgb="FF63BE7B"/>
      </colorScale>
    </cfRule>
  </conditionalFormatting>
  <conditionalFormatting sqref="D11:D31">
    <cfRule type="colorScale" priority="11625">
      <colorScale>
        <cfvo type="min"/>
        <cfvo type="percentile" val="50"/>
        <cfvo type="max"/>
        <color rgb="FFF8696B"/>
        <color rgb="FFFFEB84"/>
        <color rgb="FF63BE7B"/>
      </colorScale>
    </cfRule>
  </conditionalFormatting>
  <conditionalFormatting sqref="D11:D31">
    <cfRule type="colorScale" priority="11624">
      <colorScale>
        <cfvo type="min"/>
        <cfvo type="percentile" val="50"/>
        <cfvo type="max"/>
        <color rgb="FFF8696B"/>
        <color rgb="FFFFEB84"/>
        <color rgb="FF63BE7B"/>
      </colorScale>
    </cfRule>
  </conditionalFormatting>
  <conditionalFormatting sqref="D11:D31">
    <cfRule type="colorScale" priority="11623">
      <colorScale>
        <cfvo type="min"/>
        <cfvo type="percentile" val="50"/>
        <cfvo type="max"/>
        <color rgb="FFF8696B"/>
        <color rgb="FFFFEB84"/>
        <color rgb="FF63BE7B"/>
      </colorScale>
    </cfRule>
  </conditionalFormatting>
  <conditionalFormatting sqref="D11:D31">
    <cfRule type="colorScale" priority="11622">
      <colorScale>
        <cfvo type="min"/>
        <cfvo type="percentile" val="50"/>
        <cfvo type="max"/>
        <color rgb="FFF8696B"/>
        <color rgb="FFFFEB84"/>
        <color rgb="FF63BE7B"/>
      </colorScale>
    </cfRule>
  </conditionalFormatting>
  <conditionalFormatting sqref="D11:D31">
    <cfRule type="colorScale" priority="11621">
      <colorScale>
        <cfvo type="min"/>
        <cfvo type="percentile" val="50"/>
        <cfvo type="max"/>
        <color rgb="FFF8696B"/>
        <color rgb="FFFFEB84"/>
        <color rgb="FF63BE7B"/>
      </colorScale>
    </cfRule>
  </conditionalFormatting>
  <conditionalFormatting sqref="D11:D31">
    <cfRule type="colorScale" priority="11620">
      <colorScale>
        <cfvo type="min"/>
        <cfvo type="percentile" val="50"/>
        <cfvo type="max"/>
        <color rgb="FFF8696B"/>
        <color rgb="FFFFEB84"/>
        <color rgb="FF63BE7B"/>
      </colorScale>
    </cfRule>
  </conditionalFormatting>
  <conditionalFormatting sqref="D11:D31">
    <cfRule type="colorScale" priority="11619">
      <colorScale>
        <cfvo type="min"/>
        <cfvo type="percentile" val="50"/>
        <cfvo type="max"/>
        <color rgb="FFF8696B"/>
        <color rgb="FFFFEB84"/>
        <color rgb="FF63BE7B"/>
      </colorScale>
    </cfRule>
  </conditionalFormatting>
  <conditionalFormatting sqref="D11:D31">
    <cfRule type="colorScale" priority="11618">
      <colorScale>
        <cfvo type="min"/>
        <cfvo type="percentile" val="50"/>
        <cfvo type="max"/>
        <color rgb="FFF8696B"/>
        <color rgb="FFFFEB84"/>
        <color rgb="FF63BE7B"/>
      </colorScale>
    </cfRule>
  </conditionalFormatting>
  <conditionalFormatting sqref="D11:D31">
    <cfRule type="colorScale" priority="11617">
      <colorScale>
        <cfvo type="min"/>
        <cfvo type="percentile" val="50"/>
        <cfvo type="max"/>
        <color rgb="FFF8696B"/>
        <color rgb="FFFFEB84"/>
        <color rgb="FF63BE7B"/>
      </colorScale>
    </cfRule>
  </conditionalFormatting>
  <conditionalFormatting sqref="D11:D31">
    <cfRule type="colorScale" priority="11616">
      <colorScale>
        <cfvo type="min"/>
        <cfvo type="percentile" val="50"/>
        <cfvo type="max"/>
        <color rgb="FFF8696B"/>
        <color rgb="FFFFEB84"/>
        <color rgb="FF63BE7B"/>
      </colorScale>
    </cfRule>
  </conditionalFormatting>
  <conditionalFormatting sqref="D11:D31">
    <cfRule type="colorScale" priority="11615">
      <colorScale>
        <cfvo type="min"/>
        <cfvo type="percentile" val="50"/>
        <cfvo type="max"/>
        <color rgb="FFF8696B"/>
        <color rgb="FFFFEB84"/>
        <color rgb="FF63BE7B"/>
      </colorScale>
    </cfRule>
  </conditionalFormatting>
  <conditionalFormatting sqref="D11:D31">
    <cfRule type="colorScale" priority="11614">
      <colorScale>
        <cfvo type="min"/>
        <cfvo type="percentile" val="50"/>
        <cfvo type="max"/>
        <color rgb="FFF8696B"/>
        <color rgb="FFFFEB84"/>
        <color rgb="FF63BE7B"/>
      </colorScale>
    </cfRule>
  </conditionalFormatting>
  <conditionalFormatting sqref="D11:D31">
    <cfRule type="colorScale" priority="11613">
      <colorScale>
        <cfvo type="min"/>
        <cfvo type="percentile" val="50"/>
        <cfvo type="max"/>
        <color rgb="FFF8696B"/>
        <color rgb="FFFFEB84"/>
        <color rgb="FF63BE7B"/>
      </colorScale>
    </cfRule>
  </conditionalFormatting>
  <conditionalFormatting sqref="D11:D31">
    <cfRule type="colorScale" priority="11612">
      <colorScale>
        <cfvo type="min"/>
        <cfvo type="percentile" val="50"/>
        <cfvo type="max"/>
        <color rgb="FFF8696B"/>
        <color rgb="FFFFEB84"/>
        <color rgb="FF63BE7B"/>
      </colorScale>
    </cfRule>
  </conditionalFormatting>
  <conditionalFormatting sqref="D11:D31">
    <cfRule type="colorScale" priority="11611">
      <colorScale>
        <cfvo type="min"/>
        <cfvo type="percentile" val="50"/>
        <cfvo type="max"/>
        <color rgb="FFF8696B"/>
        <color rgb="FFFFEB84"/>
        <color rgb="FF63BE7B"/>
      </colorScale>
    </cfRule>
  </conditionalFormatting>
  <conditionalFormatting sqref="D11:D31">
    <cfRule type="colorScale" priority="11610">
      <colorScale>
        <cfvo type="min"/>
        <cfvo type="percentile" val="50"/>
        <cfvo type="max"/>
        <color rgb="FFF8696B"/>
        <color rgb="FFFFEB84"/>
        <color rgb="FF63BE7B"/>
      </colorScale>
    </cfRule>
  </conditionalFormatting>
  <conditionalFormatting sqref="D11:D31">
    <cfRule type="colorScale" priority="11609">
      <colorScale>
        <cfvo type="min"/>
        <cfvo type="percentile" val="50"/>
        <cfvo type="max"/>
        <color rgb="FFF8696B"/>
        <color rgb="FFFFEB84"/>
        <color rgb="FF63BE7B"/>
      </colorScale>
    </cfRule>
  </conditionalFormatting>
  <conditionalFormatting sqref="D11:D31">
    <cfRule type="colorScale" priority="11608">
      <colorScale>
        <cfvo type="min"/>
        <cfvo type="percentile" val="50"/>
        <cfvo type="max"/>
        <color rgb="FFF8696B"/>
        <color rgb="FFFFEB84"/>
        <color rgb="FF63BE7B"/>
      </colorScale>
    </cfRule>
  </conditionalFormatting>
  <conditionalFormatting sqref="D11:D31">
    <cfRule type="colorScale" priority="11607">
      <colorScale>
        <cfvo type="min"/>
        <cfvo type="percentile" val="50"/>
        <cfvo type="max"/>
        <color rgb="FFF8696B"/>
        <color rgb="FFFFEB84"/>
        <color rgb="FF63BE7B"/>
      </colorScale>
    </cfRule>
  </conditionalFormatting>
  <conditionalFormatting sqref="D11:D31">
    <cfRule type="colorScale" priority="11606">
      <colorScale>
        <cfvo type="min"/>
        <cfvo type="percentile" val="50"/>
        <cfvo type="max"/>
        <color rgb="FFF8696B"/>
        <color rgb="FFFFEB84"/>
        <color rgb="FF63BE7B"/>
      </colorScale>
    </cfRule>
  </conditionalFormatting>
  <conditionalFormatting sqref="D11:D31">
    <cfRule type="colorScale" priority="11605">
      <colorScale>
        <cfvo type="min"/>
        <cfvo type="percentile" val="50"/>
        <cfvo type="max"/>
        <color rgb="FFF8696B"/>
        <color rgb="FFFFEB84"/>
        <color rgb="FF63BE7B"/>
      </colorScale>
    </cfRule>
  </conditionalFormatting>
  <conditionalFormatting sqref="D11:D31">
    <cfRule type="colorScale" priority="11604">
      <colorScale>
        <cfvo type="min"/>
        <cfvo type="percentile" val="50"/>
        <cfvo type="max"/>
        <color rgb="FFF8696B"/>
        <color rgb="FFFFEB84"/>
        <color rgb="FF63BE7B"/>
      </colorScale>
    </cfRule>
  </conditionalFormatting>
  <conditionalFormatting sqref="D11:D31">
    <cfRule type="colorScale" priority="11603">
      <colorScale>
        <cfvo type="min"/>
        <cfvo type="percentile" val="50"/>
        <cfvo type="max"/>
        <color rgb="FFF8696B"/>
        <color rgb="FFFFEB84"/>
        <color rgb="FF63BE7B"/>
      </colorScale>
    </cfRule>
  </conditionalFormatting>
  <conditionalFormatting sqref="D11:D31">
    <cfRule type="colorScale" priority="11602">
      <colorScale>
        <cfvo type="min"/>
        <cfvo type="percentile" val="50"/>
        <cfvo type="max"/>
        <color rgb="FFF8696B"/>
        <color rgb="FFFFEB84"/>
        <color rgb="FF63BE7B"/>
      </colorScale>
    </cfRule>
  </conditionalFormatting>
  <conditionalFormatting sqref="D11:D31">
    <cfRule type="colorScale" priority="11601">
      <colorScale>
        <cfvo type="min"/>
        <cfvo type="percentile" val="50"/>
        <cfvo type="max"/>
        <color rgb="FFF8696B"/>
        <color rgb="FFFFEB84"/>
        <color rgb="FF63BE7B"/>
      </colorScale>
    </cfRule>
  </conditionalFormatting>
  <conditionalFormatting sqref="D11:D31">
    <cfRule type="colorScale" priority="11600">
      <colorScale>
        <cfvo type="min"/>
        <cfvo type="percentile" val="50"/>
        <cfvo type="max"/>
        <color rgb="FFF8696B"/>
        <color rgb="FFFFEB84"/>
        <color rgb="FF63BE7B"/>
      </colorScale>
    </cfRule>
  </conditionalFormatting>
  <conditionalFormatting sqref="D11:D31">
    <cfRule type="colorScale" priority="11599">
      <colorScale>
        <cfvo type="min"/>
        <cfvo type="percentile" val="50"/>
        <cfvo type="max"/>
        <color rgb="FFF8696B"/>
        <color rgb="FFFFEB84"/>
        <color rgb="FF63BE7B"/>
      </colorScale>
    </cfRule>
  </conditionalFormatting>
  <conditionalFormatting sqref="D11:D31">
    <cfRule type="colorScale" priority="11598">
      <colorScale>
        <cfvo type="min"/>
        <cfvo type="percentile" val="50"/>
        <cfvo type="max"/>
        <color rgb="FFF8696B"/>
        <color rgb="FFFFEB84"/>
        <color rgb="FF63BE7B"/>
      </colorScale>
    </cfRule>
  </conditionalFormatting>
  <conditionalFormatting sqref="D11:D31">
    <cfRule type="colorScale" priority="11597">
      <colorScale>
        <cfvo type="min"/>
        <cfvo type="percentile" val="50"/>
        <cfvo type="max"/>
        <color rgb="FFF8696B"/>
        <color rgb="FFFFEB84"/>
        <color rgb="FF63BE7B"/>
      </colorScale>
    </cfRule>
  </conditionalFormatting>
  <conditionalFormatting sqref="D11:D31">
    <cfRule type="colorScale" priority="11596">
      <colorScale>
        <cfvo type="min"/>
        <cfvo type="percentile" val="50"/>
        <cfvo type="max"/>
        <color rgb="FFF8696B"/>
        <color rgb="FFFFEB84"/>
        <color rgb="FF63BE7B"/>
      </colorScale>
    </cfRule>
  </conditionalFormatting>
  <conditionalFormatting sqref="D11:D31">
    <cfRule type="colorScale" priority="11595">
      <colorScale>
        <cfvo type="min"/>
        <cfvo type="percentile" val="50"/>
        <cfvo type="max"/>
        <color rgb="FFF8696B"/>
        <color rgb="FFFFEB84"/>
        <color rgb="FF63BE7B"/>
      </colorScale>
    </cfRule>
  </conditionalFormatting>
  <conditionalFormatting sqref="D11:D31">
    <cfRule type="colorScale" priority="11594">
      <colorScale>
        <cfvo type="min"/>
        <cfvo type="percentile" val="50"/>
        <cfvo type="max"/>
        <color rgb="FFF8696B"/>
        <color rgb="FFFFEB84"/>
        <color rgb="FF63BE7B"/>
      </colorScale>
    </cfRule>
  </conditionalFormatting>
  <conditionalFormatting sqref="D11:D31">
    <cfRule type="colorScale" priority="11593">
      <colorScale>
        <cfvo type="min"/>
        <cfvo type="percentile" val="50"/>
        <cfvo type="max"/>
        <color rgb="FFF8696B"/>
        <color rgb="FFFFEB84"/>
        <color rgb="FF63BE7B"/>
      </colorScale>
    </cfRule>
  </conditionalFormatting>
  <conditionalFormatting sqref="D11:D31">
    <cfRule type="colorScale" priority="11592">
      <colorScale>
        <cfvo type="min"/>
        <cfvo type="percentile" val="50"/>
        <cfvo type="max"/>
        <color rgb="FFF8696B"/>
        <color rgb="FFFFEB84"/>
        <color rgb="FF63BE7B"/>
      </colorScale>
    </cfRule>
  </conditionalFormatting>
  <conditionalFormatting sqref="D11:D31">
    <cfRule type="colorScale" priority="11591">
      <colorScale>
        <cfvo type="min"/>
        <cfvo type="percentile" val="50"/>
        <cfvo type="max"/>
        <color rgb="FFF8696B"/>
        <color rgb="FFFFEB84"/>
        <color rgb="FF63BE7B"/>
      </colorScale>
    </cfRule>
  </conditionalFormatting>
  <conditionalFormatting sqref="D11:D31">
    <cfRule type="colorScale" priority="11590">
      <colorScale>
        <cfvo type="min"/>
        <cfvo type="percentile" val="50"/>
        <cfvo type="max"/>
        <color rgb="FFF8696B"/>
        <color rgb="FFFFEB84"/>
        <color rgb="FF63BE7B"/>
      </colorScale>
    </cfRule>
  </conditionalFormatting>
  <conditionalFormatting sqref="D11:D31">
    <cfRule type="colorScale" priority="11589">
      <colorScale>
        <cfvo type="min"/>
        <cfvo type="percentile" val="50"/>
        <cfvo type="max"/>
        <color rgb="FFF8696B"/>
        <color rgb="FFFFEB84"/>
        <color rgb="FF63BE7B"/>
      </colorScale>
    </cfRule>
  </conditionalFormatting>
  <conditionalFormatting sqref="D11:D31">
    <cfRule type="colorScale" priority="11588">
      <colorScale>
        <cfvo type="min"/>
        <cfvo type="percentile" val="50"/>
        <cfvo type="max"/>
        <color rgb="FFF8696B"/>
        <color rgb="FFFFEB84"/>
        <color rgb="FF63BE7B"/>
      </colorScale>
    </cfRule>
  </conditionalFormatting>
  <conditionalFormatting sqref="D11:D31">
    <cfRule type="colorScale" priority="11587">
      <colorScale>
        <cfvo type="min"/>
        <cfvo type="percentile" val="50"/>
        <cfvo type="max"/>
        <color rgb="FFF8696B"/>
        <color rgb="FFFFEB84"/>
        <color rgb="FF63BE7B"/>
      </colorScale>
    </cfRule>
  </conditionalFormatting>
  <conditionalFormatting sqref="D11:D31">
    <cfRule type="colorScale" priority="11586">
      <colorScale>
        <cfvo type="min"/>
        <cfvo type="percentile" val="50"/>
        <cfvo type="max"/>
        <color rgb="FFF8696B"/>
        <color rgb="FFFFEB84"/>
        <color rgb="FF63BE7B"/>
      </colorScale>
    </cfRule>
  </conditionalFormatting>
  <conditionalFormatting sqref="D11:D31">
    <cfRule type="colorScale" priority="11585">
      <colorScale>
        <cfvo type="min"/>
        <cfvo type="percentile" val="50"/>
        <cfvo type="max"/>
        <color rgb="FFF8696B"/>
        <color rgb="FFFFEB84"/>
        <color rgb="FF63BE7B"/>
      </colorScale>
    </cfRule>
  </conditionalFormatting>
  <conditionalFormatting sqref="D11:D31">
    <cfRule type="colorScale" priority="11584">
      <colorScale>
        <cfvo type="min"/>
        <cfvo type="percentile" val="50"/>
        <cfvo type="max"/>
        <color rgb="FFF8696B"/>
        <color rgb="FFFFEB84"/>
        <color rgb="FF63BE7B"/>
      </colorScale>
    </cfRule>
  </conditionalFormatting>
  <conditionalFormatting sqref="D11:D31">
    <cfRule type="colorScale" priority="11583">
      <colorScale>
        <cfvo type="min"/>
        <cfvo type="percentile" val="50"/>
        <cfvo type="max"/>
        <color rgb="FFF8696B"/>
        <color rgb="FFFFEB84"/>
        <color rgb="FF63BE7B"/>
      </colorScale>
    </cfRule>
  </conditionalFormatting>
  <conditionalFormatting sqref="D11:D31">
    <cfRule type="colorScale" priority="11582">
      <colorScale>
        <cfvo type="min"/>
        <cfvo type="percentile" val="50"/>
        <cfvo type="max"/>
        <color rgb="FFF8696B"/>
        <color rgb="FFFFEB84"/>
        <color rgb="FF63BE7B"/>
      </colorScale>
    </cfRule>
  </conditionalFormatting>
  <conditionalFormatting sqref="D11:D31">
    <cfRule type="colorScale" priority="11581">
      <colorScale>
        <cfvo type="min"/>
        <cfvo type="percentile" val="50"/>
        <cfvo type="max"/>
        <color rgb="FFF8696B"/>
        <color rgb="FFFFEB84"/>
        <color rgb="FF63BE7B"/>
      </colorScale>
    </cfRule>
  </conditionalFormatting>
  <conditionalFormatting sqref="D11:D31">
    <cfRule type="colorScale" priority="11580">
      <colorScale>
        <cfvo type="min"/>
        <cfvo type="percentile" val="50"/>
        <cfvo type="max"/>
        <color rgb="FFF8696B"/>
        <color rgb="FFFFEB84"/>
        <color rgb="FF63BE7B"/>
      </colorScale>
    </cfRule>
  </conditionalFormatting>
  <conditionalFormatting sqref="D11:D31">
    <cfRule type="colorScale" priority="11579">
      <colorScale>
        <cfvo type="min"/>
        <cfvo type="percentile" val="50"/>
        <cfvo type="max"/>
        <color rgb="FFF8696B"/>
        <color rgb="FFFFEB84"/>
        <color rgb="FF63BE7B"/>
      </colorScale>
    </cfRule>
  </conditionalFormatting>
  <conditionalFormatting sqref="D11:D31">
    <cfRule type="colorScale" priority="11578">
      <colorScale>
        <cfvo type="min"/>
        <cfvo type="percentile" val="50"/>
        <cfvo type="max"/>
        <color rgb="FFF8696B"/>
        <color rgb="FFFFEB84"/>
        <color rgb="FF63BE7B"/>
      </colorScale>
    </cfRule>
  </conditionalFormatting>
  <conditionalFormatting sqref="D11:D31">
    <cfRule type="colorScale" priority="11577">
      <colorScale>
        <cfvo type="min"/>
        <cfvo type="percentile" val="50"/>
        <cfvo type="max"/>
        <color rgb="FFF8696B"/>
        <color rgb="FFFFEB84"/>
        <color rgb="FF63BE7B"/>
      </colorScale>
    </cfRule>
  </conditionalFormatting>
  <conditionalFormatting sqref="D11:D31">
    <cfRule type="colorScale" priority="11576">
      <colorScale>
        <cfvo type="min"/>
        <cfvo type="percentile" val="50"/>
        <cfvo type="max"/>
        <color rgb="FFF8696B"/>
        <color rgb="FFFFEB84"/>
        <color rgb="FF63BE7B"/>
      </colorScale>
    </cfRule>
  </conditionalFormatting>
  <conditionalFormatting sqref="D11:D31">
    <cfRule type="colorScale" priority="11575">
      <colorScale>
        <cfvo type="min"/>
        <cfvo type="percentile" val="50"/>
        <cfvo type="max"/>
        <color rgb="FFF8696B"/>
        <color rgb="FFFFEB84"/>
        <color rgb="FF63BE7B"/>
      </colorScale>
    </cfRule>
  </conditionalFormatting>
  <conditionalFormatting sqref="D11:D31">
    <cfRule type="colorScale" priority="11574">
      <colorScale>
        <cfvo type="min"/>
        <cfvo type="percentile" val="50"/>
        <cfvo type="max"/>
        <color rgb="FFF8696B"/>
        <color rgb="FFFFEB84"/>
        <color rgb="FF63BE7B"/>
      </colorScale>
    </cfRule>
  </conditionalFormatting>
  <conditionalFormatting sqref="D11:D31">
    <cfRule type="colorScale" priority="11573">
      <colorScale>
        <cfvo type="min"/>
        <cfvo type="percentile" val="50"/>
        <cfvo type="max"/>
        <color rgb="FFF8696B"/>
        <color rgb="FFFFEB84"/>
        <color rgb="FF63BE7B"/>
      </colorScale>
    </cfRule>
  </conditionalFormatting>
  <conditionalFormatting sqref="D11:D31">
    <cfRule type="colorScale" priority="11572">
      <colorScale>
        <cfvo type="min"/>
        <cfvo type="percentile" val="50"/>
        <cfvo type="max"/>
        <color rgb="FFF8696B"/>
        <color rgb="FFFFEB84"/>
        <color rgb="FF63BE7B"/>
      </colorScale>
    </cfRule>
  </conditionalFormatting>
  <conditionalFormatting sqref="D11:D31">
    <cfRule type="colorScale" priority="11571">
      <colorScale>
        <cfvo type="min"/>
        <cfvo type="percentile" val="50"/>
        <cfvo type="max"/>
        <color rgb="FFF8696B"/>
        <color rgb="FFFFEB84"/>
        <color rgb="FF63BE7B"/>
      </colorScale>
    </cfRule>
  </conditionalFormatting>
  <conditionalFormatting sqref="D11:D31">
    <cfRule type="colorScale" priority="11570">
      <colorScale>
        <cfvo type="min"/>
        <cfvo type="percentile" val="50"/>
        <cfvo type="max"/>
        <color rgb="FFF8696B"/>
        <color rgb="FFFFEB84"/>
        <color rgb="FF63BE7B"/>
      </colorScale>
    </cfRule>
  </conditionalFormatting>
  <conditionalFormatting sqref="D11:D31">
    <cfRule type="colorScale" priority="11569">
      <colorScale>
        <cfvo type="min"/>
        <cfvo type="percentile" val="50"/>
        <cfvo type="max"/>
        <color rgb="FFF8696B"/>
        <color rgb="FFFFEB84"/>
        <color rgb="FF63BE7B"/>
      </colorScale>
    </cfRule>
  </conditionalFormatting>
  <conditionalFormatting sqref="D11:D31">
    <cfRule type="colorScale" priority="11568">
      <colorScale>
        <cfvo type="min"/>
        <cfvo type="percentile" val="50"/>
        <cfvo type="max"/>
        <color rgb="FFF8696B"/>
        <color rgb="FFFFEB84"/>
        <color rgb="FF63BE7B"/>
      </colorScale>
    </cfRule>
  </conditionalFormatting>
  <conditionalFormatting sqref="D11:D29">
    <cfRule type="colorScale" priority="11567">
      <colorScale>
        <cfvo type="min"/>
        <cfvo type="percentile" val="50"/>
        <cfvo type="max"/>
        <color rgb="FFF8696B"/>
        <color rgb="FFFFEB84"/>
        <color rgb="FF63BE7B"/>
      </colorScale>
    </cfRule>
  </conditionalFormatting>
  <conditionalFormatting sqref="D11:D29">
    <cfRule type="colorScale" priority="11566">
      <colorScale>
        <cfvo type="min"/>
        <cfvo type="percentile" val="50"/>
        <cfvo type="max"/>
        <color rgb="FFF8696B"/>
        <color rgb="FFFFEB84"/>
        <color rgb="FF63BE7B"/>
      </colorScale>
    </cfRule>
  </conditionalFormatting>
  <conditionalFormatting sqref="D11:D31">
    <cfRule type="colorScale" priority="11565">
      <colorScale>
        <cfvo type="min"/>
        <cfvo type="percentile" val="50"/>
        <cfvo type="max"/>
        <color rgb="FFF8696B"/>
        <color rgb="FFFFEB84"/>
        <color rgb="FF63BE7B"/>
      </colorScale>
    </cfRule>
  </conditionalFormatting>
  <conditionalFormatting sqref="D11:D31">
    <cfRule type="colorScale" priority="11564">
      <colorScale>
        <cfvo type="min"/>
        <cfvo type="percentile" val="50"/>
        <cfvo type="max"/>
        <color rgb="FFF8696B"/>
        <color rgb="FFFFEB84"/>
        <color rgb="FF63BE7B"/>
      </colorScale>
    </cfRule>
  </conditionalFormatting>
  <conditionalFormatting sqref="D29:D31">
    <cfRule type="colorScale" priority="11563">
      <colorScale>
        <cfvo type="min"/>
        <cfvo type="percentile" val="50"/>
        <cfvo type="max"/>
        <color rgb="FFF8696B"/>
        <color rgb="FFFFEB84"/>
        <color rgb="FF63BE7B"/>
      </colorScale>
    </cfRule>
  </conditionalFormatting>
  <conditionalFormatting sqref="D29:D31">
    <cfRule type="colorScale" priority="11562">
      <colorScale>
        <cfvo type="min"/>
        <cfvo type="percentile" val="50"/>
        <cfvo type="max"/>
        <color rgb="FFF8696B"/>
        <color rgb="FFFFEB84"/>
        <color rgb="FF63BE7B"/>
      </colorScale>
    </cfRule>
  </conditionalFormatting>
  <conditionalFormatting sqref="D32">
    <cfRule type="colorScale" priority="11561">
      <colorScale>
        <cfvo type="min"/>
        <cfvo type="percentile" val="50"/>
        <cfvo type="max"/>
        <color rgb="FFF8696B"/>
        <color rgb="FFFFEB84"/>
        <color rgb="FF63BE7B"/>
      </colorScale>
    </cfRule>
  </conditionalFormatting>
  <conditionalFormatting sqref="D32">
    <cfRule type="colorScale" priority="11560">
      <colorScale>
        <cfvo type="min"/>
        <cfvo type="percentile" val="50"/>
        <cfvo type="max"/>
        <color rgb="FFF8696B"/>
        <color rgb="FFFFEB84"/>
        <color rgb="FF63BE7B"/>
      </colorScale>
    </cfRule>
  </conditionalFormatting>
  <conditionalFormatting sqref="D32">
    <cfRule type="colorScale" priority="11559">
      <colorScale>
        <cfvo type="min"/>
        <cfvo type="percentile" val="50"/>
        <cfvo type="max"/>
        <color rgb="FFF8696B"/>
        <color rgb="FFFFEB84"/>
        <color rgb="FF63BE7B"/>
      </colorScale>
    </cfRule>
  </conditionalFormatting>
  <conditionalFormatting sqref="D32">
    <cfRule type="colorScale" priority="11558">
      <colorScale>
        <cfvo type="min"/>
        <cfvo type="percentile" val="50"/>
        <cfvo type="max"/>
        <color rgb="FFF8696B"/>
        <color rgb="FFFFEB84"/>
        <color rgb="FF63BE7B"/>
      </colorScale>
    </cfRule>
  </conditionalFormatting>
  <conditionalFormatting sqref="D32">
    <cfRule type="colorScale" priority="11557">
      <colorScale>
        <cfvo type="min"/>
        <cfvo type="percentile" val="50"/>
        <cfvo type="max"/>
        <color rgb="FFF8696B"/>
        <color rgb="FFFFEB84"/>
        <color rgb="FF63BE7B"/>
      </colorScale>
    </cfRule>
  </conditionalFormatting>
  <conditionalFormatting sqref="D32">
    <cfRule type="colorScale" priority="11556">
      <colorScale>
        <cfvo type="min"/>
        <cfvo type="percentile" val="50"/>
        <cfvo type="max"/>
        <color rgb="FFF8696B"/>
        <color rgb="FFFFEB84"/>
        <color rgb="FF63BE7B"/>
      </colorScale>
    </cfRule>
  </conditionalFormatting>
  <conditionalFormatting sqref="D32">
    <cfRule type="colorScale" priority="11555">
      <colorScale>
        <cfvo type="min"/>
        <cfvo type="percentile" val="50"/>
        <cfvo type="max"/>
        <color rgb="FFF8696B"/>
        <color rgb="FFFFEB84"/>
        <color rgb="FF63BE7B"/>
      </colorScale>
    </cfRule>
  </conditionalFormatting>
  <conditionalFormatting sqref="D32">
    <cfRule type="colorScale" priority="11554">
      <colorScale>
        <cfvo type="min"/>
        <cfvo type="percentile" val="50"/>
        <cfvo type="max"/>
        <color rgb="FFF8696B"/>
        <color rgb="FFFFEB84"/>
        <color rgb="FF63BE7B"/>
      </colorScale>
    </cfRule>
  </conditionalFormatting>
  <conditionalFormatting sqref="D32">
    <cfRule type="colorScale" priority="11553">
      <colorScale>
        <cfvo type="min"/>
        <cfvo type="percentile" val="50"/>
        <cfvo type="max"/>
        <color rgb="FFF8696B"/>
        <color rgb="FFFFEB84"/>
        <color rgb="FF63BE7B"/>
      </colorScale>
    </cfRule>
  </conditionalFormatting>
  <conditionalFormatting sqref="D32">
    <cfRule type="colorScale" priority="11552">
      <colorScale>
        <cfvo type="min"/>
        <cfvo type="percentile" val="50"/>
        <cfvo type="max"/>
        <color rgb="FFF8696B"/>
        <color rgb="FFFFEB84"/>
        <color rgb="FF63BE7B"/>
      </colorScale>
    </cfRule>
  </conditionalFormatting>
  <conditionalFormatting sqref="D32">
    <cfRule type="colorScale" priority="11551">
      <colorScale>
        <cfvo type="min"/>
        <cfvo type="percentile" val="50"/>
        <cfvo type="max"/>
        <color rgb="FFF8696B"/>
        <color rgb="FFFFEB84"/>
        <color rgb="FF63BE7B"/>
      </colorScale>
    </cfRule>
  </conditionalFormatting>
  <conditionalFormatting sqref="D32">
    <cfRule type="colorScale" priority="11550">
      <colorScale>
        <cfvo type="min"/>
        <cfvo type="percentile" val="50"/>
        <cfvo type="max"/>
        <color rgb="FFF8696B"/>
        <color rgb="FFFFEB84"/>
        <color rgb="FF63BE7B"/>
      </colorScale>
    </cfRule>
  </conditionalFormatting>
  <conditionalFormatting sqref="D32">
    <cfRule type="colorScale" priority="11549">
      <colorScale>
        <cfvo type="min"/>
        <cfvo type="percentile" val="50"/>
        <cfvo type="max"/>
        <color rgb="FFF8696B"/>
        <color rgb="FFFFEB84"/>
        <color rgb="FF63BE7B"/>
      </colorScale>
    </cfRule>
  </conditionalFormatting>
  <conditionalFormatting sqref="D32">
    <cfRule type="colorScale" priority="11548">
      <colorScale>
        <cfvo type="min"/>
        <cfvo type="percentile" val="50"/>
        <cfvo type="max"/>
        <color rgb="FFF8696B"/>
        <color rgb="FFFFEB84"/>
        <color rgb="FF63BE7B"/>
      </colorScale>
    </cfRule>
  </conditionalFormatting>
  <conditionalFormatting sqref="D32">
    <cfRule type="colorScale" priority="11547">
      <colorScale>
        <cfvo type="min"/>
        <cfvo type="percentile" val="50"/>
        <cfvo type="max"/>
        <color rgb="FFF8696B"/>
        <color rgb="FFFFEB84"/>
        <color rgb="FF63BE7B"/>
      </colorScale>
    </cfRule>
  </conditionalFormatting>
  <conditionalFormatting sqref="D32">
    <cfRule type="colorScale" priority="11546">
      <colorScale>
        <cfvo type="min"/>
        <cfvo type="percentile" val="50"/>
        <cfvo type="max"/>
        <color rgb="FFF8696B"/>
        <color rgb="FFFFEB84"/>
        <color rgb="FF63BE7B"/>
      </colorScale>
    </cfRule>
  </conditionalFormatting>
  <conditionalFormatting sqref="D32">
    <cfRule type="colorScale" priority="11545">
      <colorScale>
        <cfvo type="min"/>
        <cfvo type="percentile" val="50"/>
        <cfvo type="max"/>
        <color rgb="FFF8696B"/>
        <color rgb="FFFFEB84"/>
        <color rgb="FF63BE7B"/>
      </colorScale>
    </cfRule>
  </conditionalFormatting>
  <conditionalFormatting sqref="D32">
    <cfRule type="colorScale" priority="11544">
      <colorScale>
        <cfvo type="min"/>
        <cfvo type="percentile" val="50"/>
        <cfvo type="max"/>
        <color rgb="FFF8696B"/>
        <color rgb="FFFFEB84"/>
        <color rgb="FF63BE7B"/>
      </colorScale>
    </cfRule>
  </conditionalFormatting>
  <conditionalFormatting sqref="D32">
    <cfRule type="colorScale" priority="11543">
      <colorScale>
        <cfvo type="min"/>
        <cfvo type="percentile" val="50"/>
        <cfvo type="max"/>
        <color rgb="FFF8696B"/>
        <color rgb="FFFFEB84"/>
        <color rgb="FF63BE7B"/>
      </colorScale>
    </cfRule>
  </conditionalFormatting>
  <conditionalFormatting sqref="D32">
    <cfRule type="colorScale" priority="11542">
      <colorScale>
        <cfvo type="min"/>
        <cfvo type="percentile" val="50"/>
        <cfvo type="max"/>
        <color rgb="FFF8696B"/>
        <color rgb="FFFFEB84"/>
        <color rgb="FF63BE7B"/>
      </colorScale>
    </cfRule>
  </conditionalFormatting>
  <conditionalFormatting sqref="D32">
    <cfRule type="colorScale" priority="11541">
      <colorScale>
        <cfvo type="min"/>
        <cfvo type="percentile" val="50"/>
        <cfvo type="max"/>
        <color rgb="FFF8696B"/>
        <color rgb="FFFFEB84"/>
        <color rgb="FF63BE7B"/>
      </colorScale>
    </cfRule>
  </conditionalFormatting>
  <conditionalFormatting sqref="D32">
    <cfRule type="colorScale" priority="11540">
      <colorScale>
        <cfvo type="min"/>
        <cfvo type="percentile" val="50"/>
        <cfvo type="max"/>
        <color rgb="FFF8696B"/>
        <color rgb="FFFFEB84"/>
        <color rgb="FF63BE7B"/>
      </colorScale>
    </cfRule>
  </conditionalFormatting>
  <conditionalFormatting sqref="D32">
    <cfRule type="colorScale" priority="11539">
      <colorScale>
        <cfvo type="min"/>
        <cfvo type="percentile" val="50"/>
        <cfvo type="max"/>
        <color rgb="FFF8696B"/>
        <color rgb="FFFFEB84"/>
        <color rgb="FF63BE7B"/>
      </colorScale>
    </cfRule>
  </conditionalFormatting>
  <conditionalFormatting sqref="D32">
    <cfRule type="colorScale" priority="11538">
      <colorScale>
        <cfvo type="min"/>
        <cfvo type="percentile" val="50"/>
        <cfvo type="max"/>
        <color rgb="FFF8696B"/>
        <color rgb="FFFFEB84"/>
        <color rgb="FF63BE7B"/>
      </colorScale>
    </cfRule>
  </conditionalFormatting>
  <conditionalFormatting sqref="D32">
    <cfRule type="colorScale" priority="11537">
      <colorScale>
        <cfvo type="min"/>
        <cfvo type="percentile" val="50"/>
        <cfvo type="max"/>
        <color rgb="FFF8696B"/>
        <color rgb="FFFFEB84"/>
        <color rgb="FF63BE7B"/>
      </colorScale>
    </cfRule>
  </conditionalFormatting>
  <conditionalFormatting sqref="D32">
    <cfRule type="colorScale" priority="11536">
      <colorScale>
        <cfvo type="min"/>
        <cfvo type="percentile" val="50"/>
        <cfvo type="max"/>
        <color rgb="FFF8696B"/>
        <color rgb="FFFFEB84"/>
        <color rgb="FF63BE7B"/>
      </colorScale>
    </cfRule>
  </conditionalFormatting>
  <conditionalFormatting sqref="D32">
    <cfRule type="colorScale" priority="11535">
      <colorScale>
        <cfvo type="min"/>
        <cfvo type="percentile" val="50"/>
        <cfvo type="max"/>
        <color rgb="FFF8696B"/>
        <color rgb="FFFFEB84"/>
        <color rgb="FF63BE7B"/>
      </colorScale>
    </cfRule>
  </conditionalFormatting>
  <conditionalFormatting sqref="D32">
    <cfRule type="colorScale" priority="11534">
      <colorScale>
        <cfvo type="min"/>
        <cfvo type="percentile" val="50"/>
        <cfvo type="max"/>
        <color rgb="FFF8696B"/>
        <color rgb="FFFFEB84"/>
        <color rgb="FF63BE7B"/>
      </colorScale>
    </cfRule>
  </conditionalFormatting>
  <conditionalFormatting sqref="D32">
    <cfRule type="colorScale" priority="11533">
      <colorScale>
        <cfvo type="min"/>
        <cfvo type="percentile" val="50"/>
        <cfvo type="max"/>
        <color rgb="FFF8696B"/>
        <color rgb="FFFFEB84"/>
        <color rgb="FF63BE7B"/>
      </colorScale>
    </cfRule>
  </conditionalFormatting>
  <conditionalFormatting sqref="D32">
    <cfRule type="colorScale" priority="11532">
      <colorScale>
        <cfvo type="min"/>
        <cfvo type="percentile" val="50"/>
        <cfvo type="max"/>
        <color rgb="FFF8696B"/>
        <color rgb="FFFFEB84"/>
        <color rgb="FF63BE7B"/>
      </colorScale>
    </cfRule>
  </conditionalFormatting>
  <conditionalFormatting sqref="D32">
    <cfRule type="colorScale" priority="11531">
      <colorScale>
        <cfvo type="min"/>
        <cfvo type="percentile" val="50"/>
        <cfvo type="max"/>
        <color rgb="FFF8696B"/>
        <color rgb="FFFFEB84"/>
        <color rgb="FF63BE7B"/>
      </colorScale>
    </cfRule>
  </conditionalFormatting>
  <conditionalFormatting sqref="D32">
    <cfRule type="colorScale" priority="11530">
      <colorScale>
        <cfvo type="min"/>
        <cfvo type="percentile" val="50"/>
        <cfvo type="max"/>
        <color rgb="FFF8696B"/>
        <color rgb="FFFFEB84"/>
        <color rgb="FF63BE7B"/>
      </colorScale>
    </cfRule>
  </conditionalFormatting>
  <conditionalFormatting sqref="D32">
    <cfRule type="colorScale" priority="11529">
      <colorScale>
        <cfvo type="min"/>
        <cfvo type="percentile" val="50"/>
        <cfvo type="max"/>
        <color rgb="FFF8696B"/>
        <color rgb="FFFFEB84"/>
        <color rgb="FF63BE7B"/>
      </colorScale>
    </cfRule>
  </conditionalFormatting>
  <conditionalFormatting sqref="D32">
    <cfRule type="colorScale" priority="11528">
      <colorScale>
        <cfvo type="min"/>
        <cfvo type="percentile" val="50"/>
        <cfvo type="max"/>
        <color rgb="FFF8696B"/>
        <color rgb="FFFFEB84"/>
        <color rgb="FF63BE7B"/>
      </colorScale>
    </cfRule>
  </conditionalFormatting>
  <conditionalFormatting sqref="D32">
    <cfRule type="colorScale" priority="11527">
      <colorScale>
        <cfvo type="min"/>
        <cfvo type="percentile" val="50"/>
        <cfvo type="max"/>
        <color rgb="FFF8696B"/>
        <color rgb="FFFFEB84"/>
        <color rgb="FF63BE7B"/>
      </colorScale>
    </cfRule>
  </conditionalFormatting>
  <conditionalFormatting sqref="D32">
    <cfRule type="colorScale" priority="11526">
      <colorScale>
        <cfvo type="min"/>
        <cfvo type="percentile" val="50"/>
        <cfvo type="max"/>
        <color rgb="FFF8696B"/>
        <color rgb="FFFFEB84"/>
        <color rgb="FF63BE7B"/>
      </colorScale>
    </cfRule>
  </conditionalFormatting>
  <conditionalFormatting sqref="D32">
    <cfRule type="colorScale" priority="11525">
      <colorScale>
        <cfvo type="min"/>
        <cfvo type="percentile" val="50"/>
        <cfvo type="max"/>
        <color rgb="FFF8696B"/>
        <color rgb="FFFFEB84"/>
        <color rgb="FF63BE7B"/>
      </colorScale>
    </cfRule>
  </conditionalFormatting>
  <conditionalFormatting sqref="D32">
    <cfRule type="colorScale" priority="11524">
      <colorScale>
        <cfvo type="min"/>
        <cfvo type="percentile" val="50"/>
        <cfvo type="max"/>
        <color rgb="FFF8696B"/>
        <color rgb="FFFFEB84"/>
        <color rgb="FF63BE7B"/>
      </colorScale>
    </cfRule>
  </conditionalFormatting>
  <conditionalFormatting sqref="D32">
    <cfRule type="colorScale" priority="11523">
      <colorScale>
        <cfvo type="min"/>
        <cfvo type="percentile" val="50"/>
        <cfvo type="max"/>
        <color rgb="FFF8696B"/>
        <color rgb="FFFFEB84"/>
        <color rgb="FF63BE7B"/>
      </colorScale>
    </cfRule>
  </conditionalFormatting>
  <conditionalFormatting sqref="D32">
    <cfRule type="colorScale" priority="11522">
      <colorScale>
        <cfvo type="min"/>
        <cfvo type="percentile" val="50"/>
        <cfvo type="max"/>
        <color rgb="FFF8696B"/>
        <color rgb="FFFFEB84"/>
        <color rgb="FF63BE7B"/>
      </colorScale>
    </cfRule>
  </conditionalFormatting>
  <conditionalFormatting sqref="D32">
    <cfRule type="colorScale" priority="11521">
      <colorScale>
        <cfvo type="min"/>
        <cfvo type="percentile" val="50"/>
        <cfvo type="max"/>
        <color rgb="FFF8696B"/>
        <color rgb="FFFFEB84"/>
        <color rgb="FF63BE7B"/>
      </colorScale>
    </cfRule>
  </conditionalFormatting>
  <conditionalFormatting sqref="D32">
    <cfRule type="colorScale" priority="11520">
      <colorScale>
        <cfvo type="min"/>
        <cfvo type="percentile" val="50"/>
        <cfvo type="max"/>
        <color rgb="FFF8696B"/>
        <color rgb="FFFFEB84"/>
        <color rgb="FF63BE7B"/>
      </colorScale>
    </cfRule>
  </conditionalFormatting>
  <conditionalFormatting sqref="D32">
    <cfRule type="colorScale" priority="11519">
      <colorScale>
        <cfvo type="min"/>
        <cfvo type="percentile" val="50"/>
        <cfvo type="max"/>
        <color rgb="FFF8696B"/>
        <color rgb="FFFFEB84"/>
        <color rgb="FF63BE7B"/>
      </colorScale>
    </cfRule>
  </conditionalFormatting>
  <conditionalFormatting sqref="D32">
    <cfRule type="colorScale" priority="11518">
      <colorScale>
        <cfvo type="min"/>
        <cfvo type="percentile" val="50"/>
        <cfvo type="max"/>
        <color rgb="FFF8696B"/>
        <color rgb="FFFFEB84"/>
        <color rgb="FF63BE7B"/>
      </colorScale>
    </cfRule>
  </conditionalFormatting>
  <conditionalFormatting sqref="D32">
    <cfRule type="colorScale" priority="11517">
      <colorScale>
        <cfvo type="min"/>
        <cfvo type="percentile" val="50"/>
        <cfvo type="max"/>
        <color rgb="FFF8696B"/>
        <color rgb="FFFFEB84"/>
        <color rgb="FF63BE7B"/>
      </colorScale>
    </cfRule>
  </conditionalFormatting>
  <conditionalFormatting sqref="D32">
    <cfRule type="colorScale" priority="11516">
      <colorScale>
        <cfvo type="min"/>
        <cfvo type="percentile" val="50"/>
        <cfvo type="max"/>
        <color rgb="FFF8696B"/>
        <color rgb="FFFFEB84"/>
        <color rgb="FF63BE7B"/>
      </colorScale>
    </cfRule>
  </conditionalFormatting>
  <conditionalFormatting sqref="D32">
    <cfRule type="colorScale" priority="11515">
      <colorScale>
        <cfvo type="min"/>
        <cfvo type="percentile" val="50"/>
        <cfvo type="max"/>
        <color rgb="FFF8696B"/>
        <color rgb="FFFFEB84"/>
        <color rgb="FF63BE7B"/>
      </colorScale>
    </cfRule>
  </conditionalFormatting>
  <conditionalFormatting sqref="D32">
    <cfRule type="colorScale" priority="11514">
      <colorScale>
        <cfvo type="min"/>
        <cfvo type="percentile" val="50"/>
        <cfvo type="max"/>
        <color rgb="FFF8696B"/>
        <color rgb="FFFFEB84"/>
        <color rgb="FF63BE7B"/>
      </colorScale>
    </cfRule>
  </conditionalFormatting>
  <conditionalFormatting sqref="D32">
    <cfRule type="colorScale" priority="11513">
      <colorScale>
        <cfvo type="min"/>
        <cfvo type="percentile" val="50"/>
        <cfvo type="max"/>
        <color rgb="FFF8696B"/>
        <color rgb="FFFFEB84"/>
        <color rgb="FF63BE7B"/>
      </colorScale>
    </cfRule>
  </conditionalFormatting>
  <conditionalFormatting sqref="D32">
    <cfRule type="colorScale" priority="11512">
      <colorScale>
        <cfvo type="min"/>
        <cfvo type="percentile" val="50"/>
        <cfvo type="max"/>
        <color rgb="FFF8696B"/>
        <color rgb="FFFFEB84"/>
        <color rgb="FF63BE7B"/>
      </colorScale>
    </cfRule>
  </conditionalFormatting>
  <conditionalFormatting sqref="D32">
    <cfRule type="colorScale" priority="11511">
      <colorScale>
        <cfvo type="min"/>
        <cfvo type="percentile" val="50"/>
        <cfvo type="max"/>
        <color rgb="FFF8696B"/>
        <color rgb="FFFFEB84"/>
        <color rgb="FF63BE7B"/>
      </colorScale>
    </cfRule>
  </conditionalFormatting>
  <conditionalFormatting sqref="D32">
    <cfRule type="colorScale" priority="11510">
      <colorScale>
        <cfvo type="min"/>
        <cfvo type="percentile" val="50"/>
        <cfvo type="max"/>
        <color rgb="FFF8696B"/>
        <color rgb="FFFFEB84"/>
        <color rgb="FF63BE7B"/>
      </colorScale>
    </cfRule>
  </conditionalFormatting>
  <conditionalFormatting sqref="D32">
    <cfRule type="colorScale" priority="11509">
      <colorScale>
        <cfvo type="min"/>
        <cfvo type="percentile" val="50"/>
        <cfvo type="max"/>
        <color rgb="FFF8696B"/>
        <color rgb="FFFFEB84"/>
        <color rgb="FF63BE7B"/>
      </colorScale>
    </cfRule>
  </conditionalFormatting>
  <conditionalFormatting sqref="D32">
    <cfRule type="colorScale" priority="11508">
      <colorScale>
        <cfvo type="min"/>
        <cfvo type="percentile" val="50"/>
        <cfvo type="max"/>
        <color rgb="FFF8696B"/>
        <color rgb="FFFFEB84"/>
        <color rgb="FF63BE7B"/>
      </colorScale>
    </cfRule>
  </conditionalFormatting>
  <conditionalFormatting sqref="D32">
    <cfRule type="colorScale" priority="11507">
      <colorScale>
        <cfvo type="min"/>
        <cfvo type="percentile" val="50"/>
        <cfvo type="max"/>
        <color rgb="FFF8696B"/>
        <color rgb="FFFFEB84"/>
        <color rgb="FF63BE7B"/>
      </colorScale>
    </cfRule>
  </conditionalFormatting>
  <conditionalFormatting sqref="D32">
    <cfRule type="colorScale" priority="11506">
      <colorScale>
        <cfvo type="min"/>
        <cfvo type="percentile" val="50"/>
        <cfvo type="max"/>
        <color rgb="FFF8696B"/>
        <color rgb="FFFFEB84"/>
        <color rgb="FF63BE7B"/>
      </colorScale>
    </cfRule>
  </conditionalFormatting>
  <conditionalFormatting sqref="D32">
    <cfRule type="colorScale" priority="11505">
      <colorScale>
        <cfvo type="min"/>
        <cfvo type="percentile" val="50"/>
        <cfvo type="max"/>
        <color rgb="FFF8696B"/>
        <color rgb="FFFFEB84"/>
        <color rgb="FF63BE7B"/>
      </colorScale>
    </cfRule>
  </conditionalFormatting>
  <conditionalFormatting sqref="D32">
    <cfRule type="colorScale" priority="11504">
      <colorScale>
        <cfvo type="min"/>
        <cfvo type="percentile" val="50"/>
        <cfvo type="max"/>
        <color rgb="FFF8696B"/>
        <color rgb="FFFFEB84"/>
        <color rgb="FF63BE7B"/>
      </colorScale>
    </cfRule>
  </conditionalFormatting>
  <conditionalFormatting sqref="D32">
    <cfRule type="colorScale" priority="11503">
      <colorScale>
        <cfvo type="min"/>
        <cfvo type="percentile" val="50"/>
        <cfvo type="max"/>
        <color rgb="FFF8696B"/>
        <color rgb="FFFFEB84"/>
        <color rgb="FF63BE7B"/>
      </colorScale>
    </cfRule>
  </conditionalFormatting>
  <conditionalFormatting sqref="D32">
    <cfRule type="colorScale" priority="11502">
      <colorScale>
        <cfvo type="min"/>
        <cfvo type="percentile" val="50"/>
        <cfvo type="max"/>
        <color rgb="FFF8696B"/>
        <color rgb="FFFFEB84"/>
        <color rgb="FF63BE7B"/>
      </colorScale>
    </cfRule>
  </conditionalFormatting>
  <conditionalFormatting sqref="D32">
    <cfRule type="colorScale" priority="11501">
      <colorScale>
        <cfvo type="min"/>
        <cfvo type="percentile" val="50"/>
        <cfvo type="max"/>
        <color rgb="FFF8696B"/>
        <color rgb="FFFFEB84"/>
        <color rgb="FF63BE7B"/>
      </colorScale>
    </cfRule>
  </conditionalFormatting>
  <conditionalFormatting sqref="D32">
    <cfRule type="colorScale" priority="11500">
      <colorScale>
        <cfvo type="min"/>
        <cfvo type="percentile" val="50"/>
        <cfvo type="max"/>
        <color rgb="FFF8696B"/>
        <color rgb="FFFFEB84"/>
        <color rgb="FF63BE7B"/>
      </colorScale>
    </cfRule>
  </conditionalFormatting>
  <conditionalFormatting sqref="D32">
    <cfRule type="colorScale" priority="11499">
      <colorScale>
        <cfvo type="min"/>
        <cfvo type="percentile" val="50"/>
        <cfvo type="max"/>
        <color rgb="FFF8696B"/>
        <color rgb="FFFFEB84"/>
        <color rgb="FF63BE7B"/>
      </colorScale>
    </cfRule>
  </conditionalFormatting>
  <conditionalFormatting sqref="D32">
    <cfRule type="colorScale" priority="11498">
      <colorScale>
        <cfvo type="min"/>
        <cfvo type="percentile" val="50"/>
        <cfvo type="max"/>
        <color rgb="FFF8696B"/>
        <color rgb="FFFFEB84"/>
        <color rgb="FF63BE7B"/>
      </colorScale>
    </cfRule>
  </conditionalFormatting>
  <conditionalFormatting sqref="D32">
    <cfRule type="colorScale" priority="11497">
      <colorScale>
        <cfvo type="min"/>
        <cfvo type="percentile" val="50"/>
        <cfvo type="max"/>
        <color rgb="FFF8696B"/>
        <color rgb="FFFFEB84"/>
        <color rgb="FF63BE7B"/>
      </colorScale>
    </cfRule>
  </conditionalFormatting>
  <conditionalFormatting sqref="D32">
    <cfRule type="colorScale" priority="11496">
      <colorScale>
        <cfvo type="min"/>
        <cfvo type="percentile" val="50"/>
        <cfvo type="max"/>
        <color rgb="FFF8696B"/>
        <color rgb="FFFFEB84"/>
        <color rgb="FF63BE7B"/>
      </colorScale>
    </cfRule>
  </conditionalFormatting>
  <conditionalFormatting sqref="D32">
    <cfRule type="colorScale" priority="11495">
      <colorScale>
        <cfvo type="min"/>
        <cfvo type="percentile" val="50"/>
        <cfvo type="max"/>
        <color rgb="FFF8696B"/>
        <color rgb="FFFFEB84"/>
        <color rgb="FF63BE7B"/>
      </colorScale>
    </cfRule>
  </conditionalFormatting>
  <conditionalFormatting sqref="D32">
    <cfRule type="colorScale" priority="11494">
      <colorScale>
        <cfvo type="min"/>
        <cfvo type="percentile" val="50"/>
        <cfvo type="max"/>
        <color rgb="FFF8696B"/>
        <color rgb="FFFFEB84"/>
        <color rgb="FF63BE7B"/>
      </colorScale>
    </cfRule>
  </conditionalFormatting>
  <conditionalFormatting sqref="D32">
    <cfRule type="colorScale" priority="11493">
      <colorScale>
        <cfvo type="min"/>
        <cfvo type="percentile" val="50"/>
        <cfvo type="max"/>
        <color rgb="FFF8696B"/>
        <color rgb="FFFFEB84"/>
        <color rgb="FF63BE7B"/>
      </colorScale>
    </cfRule>
  </conditionalFormatting>
  <conditionalFormatting sqref="D32">
    <cfRule type="colorScale" priority="11492">
      <colorScale>
        <cfvo type="min"/>
        <cfvo type="percentile" val="50"/>
        <cfvo type="max"/>
        <color rgb="FFF8696B"/>
        <color rgb="FFFFEB84"/>
        <color rgb="FF63BE7B"/>
      </colorScale>
    </cfRule>
  </conditionalFormatting>
  <conditionalFormatting sqref="D32">
    <cfRule type="colorScale" priority="11491">
      <colorScale>
        <cfvo type="min"/>
        <cfvo type="percentile" val="50"/>
        <cfvo type="max"/>
        <color rgb="FFF8696B"/>
        <color rgb="FFFFEB84"/>
        <color rgb="FF63BE7B"/>
      </colorScale>
    </cfRule>
  </conditionalFormatting>
  <conditionalFormatting sqref="D32">
    <cfRule type="colorScale" priority="11490">
      <colorScale>
        <cfvo type="min"/>
        <cfvo type="percentile" val="50"/>
        <cfvo type="max"/>
        <color rgb="FFF8696B"/>
        <color rgb="FFFFEB84"/>
        <color rgb="FF63BE7B"/>
      </colorScale>
    </cfRule>
  </conditionalFormatting>
  <conditionalFormatting sqref="D32">
    <cfRule type="colorScale" priority="11489">
      <colorScale>
        <cfvo type="min"/>
        <cfvo type="percentile" val="50"/>
        <cfvo type="max"/>
        <color rgb="FFF8696B"/>
        <color rgb="FFFFEB84"/>
        <color rgb="FF63BE7B"/>
      </colorScale>
    </cfRule>
  </conditionalFormatting>
  <conditionalFormatting sqref="D32">
    <cfRule type="colorScale" priority="11488">
      <colorScale>
        <cfvo type="min"/>
        <cfvo type="percentile" val="50"/>
        <cfvo type="max"/>
        <color rgb="FFF8696B"/>
        <color rgb="FFFFEB84"/>
        <color rgb="FF63BE7B"/>
      </colorScale>
    </cfRule>
  </conditionalFormatting>
  <conditionalFormatting sqref="D32">
    <cfRule type="colorScale" priority="11487">
      <colorScale>
        <cfvo type="min"/>
        <cfvo type="percentile" val="50"/>
        <cfvo type="max"/>
        <color rgb="FFF8696B"/>
        <color rgb="FFFFEB84"/>
        <color rgb="FF63BE7B"/>
      </colorScale>
    </cfRule>
  </conditionalFormatting>
  <conditionalFormatting sqref="D32">
    <cfRule type="colorScale" priority="11486">
      <colorScale>
        <cfvo type="min"/>
        <cfvo type="percentile" val="50"/>
        <cfvo type="max"/>
        <color rgb="FFF8696B"/>
        <color rgb="FFFFEB84"/>
        <color rgb="FF63BE7B"/>
      </colorScale>
    </cfRule>
  </conditionalFormatting>
  <conditionalFormatting sqref="D32">
    <cfRule type="colorScale" priority="11485">
      <colorScale>
        <cfvo type="min"/>
        <cfvo type="percentile" val="50"/>
        <cfvo type="max"/>
        <color rgb="FFF8696B"/>
        <color rgb="FFFFEB84"/>
        <color rgb="FF63BE7B"/>
      </colorScale>
    </cfRule>
  </conditionalFormatting>
  <conditionalFormatting sqref="D32">
    <cfRule type="colorScale" priority="11484">
      <colorScale>
        <cfvo type="min"/>
        <cfvo type="percentile" val="50"/>
        <cfvo type="max"/>
        <color rgb="FFF8696B"/>
        <color rgb="FFFFEB84"/>
        <color rgb="FF63BE7B"/>
      </colorScale>
    </cfRule>
  </conditionalFormatting>
  <conditionalFormatting sqref="D32">
    <cfRule type="colorScale" priority="11483">
      <colorScale>
        <cfvo type="min"/>
        <cfvo type="percentile" val="50"/>
        <cfvo type="max"/>
        <color rgb="FFF8696B"/>
        <color rgb="FFFFEB84"/>
        <color rgb="FF63BE7B"/>
      </colorScale>
    </cfRule>
  </conditionalFormatting>
  <conditionalFormatting sqref="D32">
    <cfRule type="colorScale" priority="11482">
      <colorScale>
        <cfvo type="min"/>
        <cfvo type="percentile" val="50"/>
        <cfvo type="max"/>
        <color rgb="FFF8696B"/>
        <color rgb="FFFFEB84"/>
        <color rgb="FF63BE7B"/>
      </colorScale>
    </cfRule>
  </conditionalFormatting>
  <conditionalFormatting sqref="D32">
    <cfRule type="colorScale" priority="11481">
      <colorScale>
        <cfvo type="min"/>
        <cfvo type="percentile" val="50"/>
        <cfvo type="max"/>
        <color rgb="FFF8696B"/>
        <color rgb="FFFFEB84"/>
        <color rgb="FF63BE7B"/>
      </colorScale>
    </cfRule>
  </conditionalFormatting>
  <conditionalFormatting sqref="D32">
    <cfRule type="colorScale" priority="11480">
      <colorScale>
        <cfvo type="min"/>
        <cfvo type="percentile" val="50"/>
        <cfvo type="max"/>
        <color rgb="FFF8696B"/>
        <color rgb="FFFFEB84"/>
        <color rgb="FF63BE7B"/>
      </colorScale>
    </cfRule>
  </conditionalFormatting>
  <conditionalFormatting sqref="D32">
    <cfRule type="colorScale" priority="11479">
      <colorScale>
        <cfvo type="min"/>
        <cfvo type="percentile" val="50"/>
        <cfvo type="max"/>
        <color rgb="FFF8696B"/>
        <color rgb="FFFFEB84"/>
        <color rgb="FF63BE7B"/>
      </colorScale>
    </cfRule>
  </conditionalFormatting>
  <conditionalFormatting sqref="D32">
    <cfRule type="colorScale" priority="11478">
      <colorScale>
        <cfvo type="min"/>
        <cfvo type="percentile" val="50"/>
        <cfvo type="max"/>
        <color rgb="FFF8696B"/>
        <color rgb="FFFFEB84"/>
        <color rgb="FF63BE7B"/>
      </colorScale>
    </cfRule>
  </conditionalFormatting>
  <conditionalFormatting sqref="D32">
    <cfRule type="colorScale" priority="11477">
      <colorScale>
        <cfvo type="min"/>
        <cfvo type="percentile" val="50"/>
        <cfvo type="max"/>
        <color rgb="FFF8696B"/>
        <color rgb="FFFFEB84"/>
        <color rgb="FF63BE7B"/>
      </colorScale>
    </cfRule>
  </conditionalFormatting>
  <conditionalFormatting sqref="D32">
    <cfRule type="colorScale" priority="11476">
      <colorScale>
        <cfvo type="min"/>
        <cfvo type="percentile" val="50"/>
        <cfvo type="max"/>
        <color rgb="FFF8696B"/>
        <color rgb="FFFFEB84"/>
        <color rgb="FF63BE7B"/>
      </colorScale>
    </cfRule>
  </conditionalFormatting>
  <conditionalFormatting sqref="D32">
    <cfRule type="colorScale" priority="11475">
      <colorScale>
        <cfvo type="min"/>
        <cfvo type="percentile" val="50"/>
        <cfvo type="max"/>
        <color rgb="FFF8696B"/>
        <color rgb="FFFFEB84"/>
        <color rgb="FF63BE7B"/>
      </colorScale>
    </cfRule>
  </conditionalFormatting>
  <conditionalFormatting sqref="D32">
    <cfRule type="colorScale" priority="11474">
      <colorScale>
        <cfvo type="min"/>
        <cfvo type="percentile" val="50"/>
        <cfvo type="max"/>
        <color rgb="FFF8696B"/>
        <color rgb="FFFFEB84"/>
        <color rgb="FF63BE7B"/>
      </colorScale>
    </cfRule>
  </conditionalFormatting>
  <conditionalFormatting sqref="D32">
    <cfRule type="colorScale" priority="11473">
      <colorScale>
        <cfvo type="min"/>
        <cfvo type="percentile" val="50"/>
        <cfvo type="max"/>
        <color rgb="FFF8696B"/>
        <color rgb="FFFFEB84"/>
        <color rgb="FF63BE7B"/>
      </colorScale>
    </cfRule>
  </conditionalFormatting>
  <conditionalFormatting sqref="D32">
    <cfRule type="colorScale" priority="11472">
      <colorScale>
        <cfvo type="min"/>
        <cfvo type="percentile" val="50"/>
        <cfvo type="max"/>
        <color rgb="FFF8696B"/>
        <color rgb="FFFFEB84"/>
        <color rgb="FF63BE7B"/>
      </colorScale>
    </cfRule>
  </conditionalFormatting>
  <conditionalFormatting sqref="D32">
    <cfRule type="colorScale" priority="11471">
      <colorScale>
        <cfvo type="min"/>
        <cfvo type="percentile" val="50"/>
        <cfvo type="max"/>
        <color rgb="FFF8696B"/>
        <color rgb="FFFFEB84"/>
        <color rgb="FF63BE7B"/>
      </colorScale>
    </cfRule>
  </conditionalFormatting>
  <conditionalFormatting sqref="D32">
    <cfRule type="colorScale" priority="11470">
      <colorScale>
        <cfvo type="min"/>
        <cfvo type="percentile" val="50"/>
        <cfvo type="max"/>
        <color rgb="FFF8696B"/>
        <color rgb="FFFFEB84"/>
        <color rgb="FF63BE7B"/>
      </colorScale>
    </cfRule>
  </conditionalFormatting>
  <conditionalFormatting sqref="D32">
    <cfRule type="colorScale" priority="11469">
      <colorScale>
        <cfvo type="min"/>
        <cfvo type="percentile" val="50"/>
        <cfvo type="max"/>
        <color rgb="FFF8696B"/>
        <color rgb="FFFFEB84"/>
        <color rgb="FF63BE7B"/>
      </colorScale>
    </cfRule>
  </conditionalFormatting>
  <conditionalFormatting sqref="D32">
    <cfRule type="colorScale" priority="11468">
      <colorScale>
        <cfvo type="min"/>
        <cfvo type="percentile" val="50"/>
        <cfvo type="max"/>
        <color rgb="FFF8696B"/>
        <color rgb="FFFFEB84"/>
        <color rgb="FF63BE7B"/>
      </colorScale>
    </cfRule>
  </conditionalFormatting>
  <conditionalFormatting sqref="D32">
    <cfRule type="colorScale" priority="11467">
      <colorScale>
        <cfvo type="min"/>
        <cfvo type="percentile" val="50"/>
        <cfvo type="max"/>
        <color rgb="FFF8696B"/>
        <color rgb="FFFFEB84"/>
        <color rgb="FF63BE7B"/>
      </colorScale>
    </cfRule>
  </conditionalFormatting>
  <conditionalFormatting sqref="D32">
    <cfRule type="colorScale" priority="11466">
      <colorScale>
        <cfvo type="min"/>
        <cfvo type="percentile" val="50"/>
        <cfvo type="max"/>
        <color rgb="FFF8696B"/>
        <color rgb="FFFFEB84"/>
        <color rgb="FF63BE7B"/>
      </colorScale>
    </cfRule>
  </conditionalFormatting>
  <conditionalFormatting sqref="D32">
    <cfRule type="colorScale" priority="11465">
      <colorScale>
        <cfvo type="min"/>
        <cfvo type="percentile" val="50"/>
        <cfvo type="max"/>
        <color rgb="FFF8696B"/>
        <color rgb="FFFFEB84"/>
        <color rgb="FF63BE7B"/>
      </colorScale>
    </cfRule>
  </conditionalFormatting>
  <conditionalFormatting sqref="D32">
    <cfRule type="colorScale" priority="11464">
      <colorScale>
        <cfvo type="min"/>
        <cfvo type="percentile" val="50"/>
        <cfvo type="max"/>
        <color rgb="FFF8696B"/>
        <color rgb="FFFFEB84"/>
        <color rgb="FF63BE7B"/>
      </colorScale>
    </cfRule>
  </conditionalFormatting>
  <conditionalFormatting sqref="D32">
    <cfRule type="colorScale" priority="11463">
      <colorScale>
        <cfvo type="min"/>
        <cfvo type="percentile" val="50"/>
        <cfvo type="max"/>
        <color rgb="FFF8696B"/>
        <color rgb="FFFFEB84"/>
        <color rgb="FF63BE7B"/>
      </colorScale>
    </cfRule>
  </conditionalFormatting>
  <conditionalFormatting sqref="D32">
    <cfRule type="colorScale" priority="11462">
      <colorScale>
        <cfvo type="min"/>
        <cfvo type="percentile" val="50"/>
        <cfvo type="max"/>
        <color rgb="FFF8696B"/>
        <color rgb="FFFFEB84"/>
        <color rgb="FF63BE7B"/>
      </colorScale>
    </cfRule>
  </conditionalFormatting>
  <conditionalFormatting sqref="D32">
    <cfRule type="colorScale" priority="11461">
      <colorScale>
        <cfvo type="min"/>
        <cfvo type="percentile" val="50"/>
        <cfvo type="max"/>
        <color rgb="FFF8696B"/>
        <color rgb="FFFFEB84"/>
        <color rgb="FF63BE7B"/>
      </colorScale>
    </cfRule>
  </conditionalFormatting>
  <conditionalFormatting sqref="D32">
    <cfRule type="colorScale" priority="11460">
      <colorScale>
        <cfvo type="min"/>
        <cfvo type="percentile" val="50"/>
        <cfvo type="max"/>
        <color rgb="FFF8696B"/>
        <color rgb="FFFFEB84"/>
        <color rgb="FF63BE7B"/>
      </colorScale>
    </cfRule>
  </conditionalFormatting>
  <conditionalFormatting sqref="D32">
    <cfRule type="colorScale" priority="11459">
      <colorScale>
        <cfvo type="min"/>
        <cfvo type="percentile" val="50"/>
        <cfvo type="max"/>
        <color rgb="FFF8696B"/>
        <color rgb="FFFFEB84"/>
        <color rgb="FF63BE7B"/>
      </colorScale>
    </cfRule>
  </conditionalFormatting>
  <conditionalFormatting sqref="D32">
    <cfRule type="colorScale" priority="11458">
      <colorScale>
        <cfvo type="min"/>
        <cfvo type="percentile" val="50"/>
        <cfvo type="max"/>
        <color rgb="FFF8696B"/>
        <color rgb="FFFFEB84"/>
        <color rgb="FF63BE7B"/>
      </colorScale>
    </cfRule>
  </conditionalFormatting>
  <conditionalFormatting sqref="D32">
    <cfRule type="colorScale" priority="11457">
      <colorScale>
        <cfvo type="min"/>
        <cfvo type="percentile" val="50"/>
        <cfvo type="max"/>
        <color rgb="FFF8696B"/>
        <color rgb="FFFFEB84"/>
        <color rgb="FF63BE7B"/>
      </colorScale>
    </cfRule>
  </conditionalFormatting>
  <conditionalFormatting sqref="D32">
    <cfRule type="colorScale" priority="11456">
      <colorScale>
        <cfvo type="min"/>
        <cfvo type="percentile" val="50"/>
        <cfvo type="max"/>
        <color rgb="FFF8696B"/>
        <color rgb="FFFFEB84"/>
        <color rgb="FF63BE7B"/>
      </colorScale>
    </cfRule>
  </conditionalFormatting>
  <conditionalFormatting sqref="D32">
    <cfRule type="colorScale" priority="11455">
      <colorScale>
        <cfvo type="min"/>
        <cfvo type="percentile" val="50"/>
        <cfvo type="max"/>
        <color rgb="FFF8696B"/>
        <color rgb="FFFFEB84"/>
        <color rgb="FF63BE7B"/>
      </colorScale>
    </cfRule>
  </conditionalFormatting>
  <conditionalFormatting sqref="D32">
    <cfRule type="colorScale" priority="11454">
      <colorScale>
        <cfvo type="min"/>
        <cfvo type="percentile" val="50"/>
        <cfvo type="max"/>
        <color rgb="FFF8696B"/>
        <color rgb="FFFFEB84"/>
        <color rgb="FF63BE7B"/>
      </colorScale>
    </cfRule>
  </conditionalFormatting>
  <conditionalFormatting sqref="D32">
    <cfRule type="colorScale" priority="11453">
      <colorScale>
        <cfvo type="min"/>
        <cfvo type="percentile" val="50"/>
        <cfvo type="max"/>
        <color rgb="FFF8696B"/>
        <color rgb="FFFFEB84"/>
        <color rgb="FF63BE7B"/>
      </colorScale>
    </cfRule>
  </conditionalFormatting>
  <conditionalFormatting sqref="D32">
    <cfRule type="colorScale" priority="11452">
      <colorScale>
        <cfvo type="min"/>
        <cfvo type="percentile" val="50"/>
        <cfvo type="max"/>
        <color rgb="FFF8696B"/>
        <color rgb="FFFFEB84"/>
        <color rgb="FF63BE7B"/>
      </colorScale>
    </cfRule>
  </conditionalFormatting>
  <conditionalFormatting sqref="D32">
    <cfRule type="colorScale" priority="11451">
      <colorScale>
        <cfvo type="min"/>
        <cfvo type="percentile" val="50"/>
        <cfvo type="max"/>
        <color rgb="FFF8696B"/>
        <color rgb="FFFFEB84"/>
        <color rgb="FF63BE7B"/>
      </colorScale>
    </cfRule>
  </conditionalFormatting>
  <conditionalFormatting sqref="D32">
    <cfRule type="colorScale" priority="11450">
      <colorScale>
        <cfvo type="min"/>
        <cfvo type="percentile" val="50"/>
        <cfvo type="max"/>
        <color rgb="FFF8696B"/>
        <color rgb="FFFFEB84"/>
        <color rgb="FF63BE7B"/>
      </colorScale>
    </cfRule>
  </conditionalFormatting>
  <conditionalFormatting sqref="D32">
    <cfRule type="colorScale" priority="11449">
      <colorScale>
        <cfvo type="min"/>
        <cfvo type="percentile" val="50"/>
        <cfvo type="max"/>
        <color rgb="FFF8696B"/>
        <color rgb="FFFFEB84"/>
        <color rgb="FF63BE7B"/>
      </colorScale>
    </cfRule>
  </conditionalFormatting>
  <conditionalFormatting sqref="D32">
    <cfRule type="colorScale" priority="11448">
      <colorScale>
        <cfvo type="min"/>
        <cfvo type="percentile" val="50"/>
        <cfvo type="max"/>
        <color rgb="FFF8696B"/>
        <color rgb="FFFFEB84"/>
        <color rgb="FF63BE7B"/>
      </colorScale>
    </cfRule>
  </conditionalFormatting>
  <conditionalFormatting sqref="D32">
    <cfRule type="colorScale" priority="11447">
      <colorScale>
        <cfvo type="min"/>
        <cfvo type="percentile" val="50"/>
        <cfvo type="max"/>
        <color rgb="FFF8696B"/>
        <color rgb="FFFFEB84"/>
        <color rgb="FF63BE7B"/>
      </colorScale>
    </cfRule>
  </conditionalFormatting>
  <conditionalFormatting sqref="D32">
    <cfRule type="colorScale" priority="11446">
      <colorScale>
        <cfvo type="min"/>
        <cfvo type="percentile" val="50"/>
        <cfvo type="max"/>
        <color rgb="FFF8696B"/>
        <color rgb="FFFFEB84"/>
        <color rgb="FF63BE7B"/>
      </colorScale>
    </cfRule>
  </conditionalFormatting>
  <conditionalFormatting sqref="D32">
    <cfRule type="colorScale" priority="11445">
      <colorScale>
        <cfvo type="min"/>
        <cfvo type="percentile" val="50"/>
        <cfvo type="max"/>
        <color rgb="FFF8696B"/>
        <color rgb="FFFFEB84"/>
        <color rgb="FF63BE7B"/>
      </colorScale>
    </cfRule>
  </conditionalFormatting>
  <conditionalFormatting sqref="D32">
    <cfRule type="colorScale" priority="11444">
      <colorScale>
        <cfvo type="min"/>
        <cfvo type="percentile" val="50"/>
        <cfvo type="max"/>
        <color rgb="FFF8696B"/>
        <color rgb="FFFFEB84"/>
        <color rgb="FF63BE7B"/>
      </colorScale>
    </cfRule>
  </conditionalFormatting>
  <conditionalFormatting sqref="D32">
    <cfRule type="colorScale" priority="11443">
      <colorScale>
        <cfvo type="min"/>
        <cfvo type="percentile" val="50"/>
        <cfvo type="max"/>
        <color rgb="FFF8696B"/>
        <color rgb="FFFFEB84"/>
        <color rgb="FF63BE7B"/>
      </colorScale>
    </cfRule>
  </conditionalFormatting>
  <conditionalFormatting sqref="D32">
    <cfRule type="colorScale" priority="11442">
      <colorScale>
        <cfvo type="min"/>
        <cfvo type="percentile" val="50"/>
        <cfvo type="max"/>
        <color rgb="FFF8696B"/>
        <color rgb="FFFFEB84"/>
        <color rgb="FF63BE7B"/>
      </colorScale>
    </cfRule>
  </conditionalFormatting>
  <conditionalFormatting sqref="D32">
    <cfRule type="colorScale" priority="11441">
      <colorScale>
        <cfvo type="min"/>
        <cfvo type="percentile" val="50"/>
        <cfvo type="max"/>
        <color rgb="FFF8696B"/>
        <color rgb="FFFFEB84"/>
        <color rgb="FF63BE7B"/>
      </colorScale>
    </cfRule>
  </conditionalFormatting>
  <conditionalFormatting sqref="D32">
    <cfRule type="colorScale" priority="11440">
      <colorScale>
        <cfvo type="min"/>
        <cfvo type="percentile" val="50"/>
        <cfvo type="max"/>
        <color rgb="FFF8696B"/>
        <color rgb="FFFFEB84"/>
        <color rgb="FF63BE7B"/>
      </colorScale>
    </cfRule>
  </conditionalFormatting>
  <conditionalFormatting sqref="D32">
    <cfRule type="colorScale" priority="11439">
      <colorScale>
        <cfvo type="min"/>
        <cfvo type="percentile" val="50"/>
        <cfvo type="max"/>
        <color rgb="FFF8696B"/>
        <color rgb="FFFFEB84"/>
        <color rgb="FF63BE7B"/>
      </colorScale>
    </cfRule>
  </conditionalFormatting>
  <conditionalFormatting sqref="D32">
    <cfRule type="colorScale" priority="11438">
      <colorScale>
        <cfvo type="min"/>
        <cfvo type="percentile" val="50"/>
        <cfvo type="max"/>
        <color rgb="FFF8696B"/>
        <color rgb="FFFFEB84"/>
        <color rgb="FF63BE7B"/>
      </colorScale>
    </cfRule>
  </conditionalFormatting>
  <conditionalFormatting sqref="D32">
    <cfRule type="colorScale" priority="11437">
      <colorScale>
        <cfvo type="min"/>
        <cfvo type="percentile" val="50"/>
        <cfvo type="max"/>
        <color rgb="FFF8696B"/>
        <color rgb="FFFFEB84"/>
        <color rgb="FF63BE7B"/>
      </colorScale>
    </cfRule>
  </conditionalFormatting>
  <conditionalFormatting sqref="D32">
    <cfRule type="colorScale" priority="11436">
      <colorScale>
        <cfvo type="min"/>
        <cfvo type="percentile" val="50"/>
        <cfvo type="max"/>
        <color rgb="FFF8696B"/>
        <color rgb="FFFFEB84"/>
        <color rgb="FF63BE7B"/>
      </colorScale>
    </cfRule>
  </conditionalFormatting>
  <conditionalFormatting sqref="D32">
    <cfRule type="colorScale" priority="11435">
      <colorScale>
        <cfvo type="min"/>
        <cfvo type="percentile" val="50"/>
        <cfvo type="max"/>
        <color rgb="FFF8696B"/>
        <color rgb="FFFFEB84"/>
        <color rgb="FF63BE7B"/>
      </colorScale>
    </cfRule>
  </conditionalFormatting>
  <conditionalFormatting sqref="D32">
    <cfRule type="colorScale" priority="11434">
      <colorScale>
        <cfvo type="min"/>
        <cfvo type="percentile" val="50"/>
        <cfvo type="max"/>
        <color rgb="FFF8696B"/>
        <color rgb="FFFFEB84"/>
        <color rgb="FF63BE7B"/>
      </colorScale>
    </cfRule>
  </conditionalFormatting>
  <conditionalFormatting sqref="D32">
    <cfRule type="colorScale" priority="11433">
      <colorScale>
        <cfvo type="min"/>
        <cfvo type="percentile" val="50"/>
        <cfvo type="max"/>
        <color rgb="FFF8696B"/>
        <color rgb="FFFFEB84"/>
        <color rgb="FF63BE7B"/>
      </colorScale>
    </cfRule>
  </conditionalFormatting>
  <conditionalFormatting sqref="D32">
    <cfRule type="colorScale" priority="11432">
      <colorScale>
        <cfvo type="min"/>
        <cfvo type="percentile" val="50"/>
        <cfvo type="max"/>
        <color rgb="FFF8696B"/>
        <color rgb="FFFFEB84"/>
        <color rgb="FF63BE7B"/>
      </colorScale>
    </cfRule>
  </conditionalFormatting>
  <conditionalFormatting sqref="D32">
    <cfRule type="colorScale" priority="11431">
      <colorScale>
        <cfvo type="min"/>
        <cfvo type="percentile" val="50"/>
        <cfvo type="max"/>
        <color rgb="FFF8696B"/>
        <color rgb="FFFFEB84"/>
        <color rgb="FF63BE7B"/>
      </colorScale>
    </cfRule>
  </conditionalFormatting>
  <conditionalFormatting sqref="D32">
    <cfRule type="colorScale" priority="11430">
      <colorScale>
        <cfvo type="min"/>
        <cfvo type="percentile" val="50"/>
        <cfvo type="max"/>
        <color rgb="FFF8696B"/>
        <color rgb="FFFFEB84"/>
        <color rgb="FF63BE7B"/>
      </colorScale>
    </cfRule>
  </conditionalFormatting>
  <conditionalFormatting sqref="D32">
    <cfRule type="colorScale" priority="11429">
      <colorScale>
        <cfvo type="min"/>
        <cfvo type="percentile" val="50"/>
        <cfvo type="max"/>
        <color rgb="FFF8696B"/>
        <color rgb="FFFFEB84"/>
        <color rgb="FF63BE7B"/>
      </colorScale>
    </cfRule>
  </conditionalFormatting>
  <conditionalFormatting sqref="D32">
    <cfRule type="colorScale" priority="11428">
      <colorScale>
        <cfvo type="min"/>
        <cfvo type="percentile" val="50"/>
        <cfvo type="max"/>
        <color rgb="FFF8696B"/>
        <color rgb="FFFFEB84"/>
        <color rgb="FF63BE7B"/>
      </colorScale>
    </cfRule>
  </conditionalFormatting>
  <conditionalFormatting sqref="D32">
    <cfRule type="colorScale" priority="11427">
      <colorScale>
        <cfvo type="min"/>
        <cfvo type="percentile" val="50"/>
        <cfvo type="max"/>
        <color rgb="FFF8696B"/>
        <color rgb="FFFFEB84"/>
        <color rgb="FF63BE7B"/>
      </colorScale>
    </cfRule>
  </conditionalFormatting>
  <conditionalFormatting sqref="D32">
    <cfRule type="colorScale" priority="11426">
      <colorScale>
        <cfvo type="min"/>
        <cfvo type="percentile" val="50"/>
        <cfvo type="max"/>
        <color rgb="FFF8696B"/>
        <color rgb="FFFFEB84"/>
        <color rgb="FF63BE7B"/>
      </colorScale>
    </cfRule>
  </conditionalFormatting>
  <conditionalFormatting sqref="D32">
    <cfRule type="colorScale" priority="11425">
      <colorScale>
        <cfvo type="min"/>
        <cfvo type="percentile" val="50"/>
        <cfvo type="max"/>
        <color rgb="FFF8696B"/>
        <color rgb="FFFFEB84"/>
        <color rgb="FF63BE7B"/>
      </colorScale>
    </cfRule>
  </conditionalFormatting>
  <conditionalFormatting sqref="D32">
    <cfRule type="colorScale" priority="11424">
      <colorScale>
        <cfvo type="min"/>
        <cfvo type="percentile" val="50"/>
        <cfvo type="max"/>
        <color rgb="FFF8696B"/>
        <color rgb="FFFFEB84"/>
        <color rgb="FF63BE7B"/>
      </colorScale>
    </cfRule>
  </conditionalFormatting>
  <conditionalFormatting sqref="D32">
    <cfRule type="colorScale" priority="11423">
      <colorScale>
        <cfvo type="min"/>
        <cfvo type="percentile" val="50"/>
        <cfvo type="max"/>
        <color rgb="FFF8696B"/>
        <color rgb="FFFFEB84"/>
        <color rgb="FF63BE7B"/>
      </colorScale>
    </cfRule>
  </conditionalFormatting>
  <conditionalFormatting sqref="D32">
    <cfRule type="colorScale" priority="11422">
      <colorScale>
        <cfvo type="min"/>
        <cfvo type="percentile" val="50"/>
        <cfvo type="max"/>
        <color rgb="FFF8696B"/>
        <color rgb="FFFFEB84"/>
        <color rgb="FF63BE7B"/>
      </colorScale>
    </cfRule>
  </conditionalFormatting>
  <conditionalFormatting sqref="D32">
    <cfRule type="colorScale" priority="11421">
      <colorScale>
        <cfvo type="min"/>
        <cfvo type="percentile" val="50"/>
        <cfvo type="max"/>
        <color rgb="FFF8696B"/>
        <color rgb="FFFFEB84"/>
        <color rgb="FF63BE7B"/>
      </colorScale>
    </cfRule>
  </conditionalFormatting>
  <conditionalFormatting sqref="D32">
    <cfRule type="colorScale" priority="11420">
      <colorScale>
        <cfvo type="min"/>
        <cfvo type="percentile" val="50"/>
        <cfvo type="max"/>
        <color rgb="FFF8696B"/>
        <color rgb="FFFFEB84"/>
        <color rgb="FF63BE7B"/>
      </colorScale>
    </cfRule>
  </conditionalFormatting>
  <conditionalFormatting sqref="D32">
    <cfRule type="colorScale" priority="11419">
      <colorScale>
        <cfvo type="min"/>
        <cfvo type="percentile" val="50"/>
        <cfvo type="max"/>
        <color rgb="FFF8696B"/>
        <color rgb="FFFFEB84"/>
        <color rgb="FF63BE7B"/>
      </colorScale>
    </cfRule>
  </conditionalFormatting>
  <conditionalFormatting sqref="D32">
    <cfRule type="colorScale" priority="11418">
      <colorScale>
        <cfvo type="min"/>
        <cfvo type="percentile" val="50"/>
        <cfvo type="max"/>
        <color rgb="FFF8696B"/>
        <color rgb="FFFFEB84"/>
        <color rgb="FF63BE7B"/>
      </colorScale>
    </cfRule>
  </conditionalFormatting>
  <conditionalFormatting sqref="D32">
    <cfRule type="colorScale" priority="11417">
      <colorScale>
        <cfvo type="min"/>
        <cfvo type="percentile" val="50"/>
        <cfvo type="max"/>
        <color rgb="FFF8696B"/>
        <color rgb="FFFFEB84"/>
        <color rgb="FF63BE7B"/>
      </colorScale>
    </cfRule>
  </conditionalFormatting>
  <conditionalFormatting sqref="D10:D31">
    <cfRule type="colorScale" priority="11416">
      <colorScale>
        <cfvo type="min"/>
        <cfvo type="percentile" val="50"/>
        <cfvo type="max"/>
        <color rgb="FFF8696B"/>
        <color rgb="FFFFEB84"/>
        <color rgb="FF63BE7B"/>
      </colorScale>
    </cfRule>
  </conditionalFormatting>
  <conditionalFormatting sqref="D10:D31">
    <cfRule type="colorScale" priority="11415">
      <colorScale>
        <cfvo type="min"/>
        <cfvo type="percentile" val="50"/>
        <cfvo type="max"/>
        <color rgb="FFF8696B"/>
        <color rgb="FFFFEB84"/>
        <color rgb="FF63BE7B"/>
      </colorScale>
    </cfRule>
  </conditionalFormatting>
  <conditionalFormatting sqref="D10:D31">
    <cfRule type="colorScale" priority="11414">
      <colorScale>
        <cfvo type="min"/>
        <cfvo type="percentile" val="50"/>
        <cfvo type="max"/>
        <color rgb="FFF8696B"/>
        <color rgb="FFFFEB84"/>
        <color rgb="FF63BE7B"/>
      </colorScale>
    </cfRule>
  </conditionalFormatting>
  <conditionalFormatting sqref="D10:D31">
    <cfRule type="colorScale" priority="11413">
      <colorScale>
        <cfvo type="min"/>
        <cfvo type="percentile" val="50"/>
        <cfvo type="max"/>
        <color rgb="FFF8696B"/>
        <color rgb="FFFFEB84"/>
        <color rgb="FF63BE7B"/>
      </colorScale>
    </cfRule>
  </conditionalFormatting>
  <conditionalFormatting sqref="D11:D31">
    <cfRule type="colorScale" priority="11412">
      <colorScale>
        <cfvo type="min"/>
        <cfvo type="percentile" val="50"/>
        <cfvo type="max"/>
        <color rgb="FFF8696B"/>
        <color rgb="FFFFEB84"/>
        <color rgb="FF63BE7B"/>
      </colorScale>
    </cfRule>
  </conditionalFormatting>
  <conditionalFormatting sqref="D11:D31">
    <cfRule type="colorScale" priority="11411">
      <colorScale>
        <cfvo type="min"/>
        <cfvo type="percentile" val="50"/>
        <cfvo type="max"/>
        <color rgb="FFF8696B"/>
        <color rgb="FFFFEB84"/>
        <color rgb="FF63BE7B"/>
      </colorScale>
    </cfRule>
  </conditionalFormatting>
  <conditionalFormatting sqref="D11:D31">
    <cfRule type="colorScale" priority="11410">
      <colorScale>
        <cfvo type="min"/>
        <cfvo type="percentile" val="50"/>
        <cfvo type="max"/>
        <color rgb="FFF8696B"/>
        <color rgb="FFFFEB84"/>
        <color rgb="FF63BE7B"/>
      </colorScale>
    </cfRule>
  </conditionalFormatting>
  <conditionalFormatting sqref="D11:D31">
    <cfRule type="colorScale" priority="11409">
      <colorScale>
        <cfvo type="min"/>
        <cfvo type="percentile" val="50"/>
        <cfvo type="max"/>
        <color rgb="FFF8696B"/>
        <color rgb="FFFFEB84"/>
        <color rgb="FF63BE7B"/>
      </colorScale>
    </cfRule>
  </conditionalFormatting>
  <conditionalFormatting sqref="D11:D31">
    <cfRule type="colorScale" priority="11408">
      <colorScale>
        <cfvo type="min"/>
        <cfvo type="percentile" val="50"/>
        <cfvo type="max"/>
        <color rgb="FFF8696B"/>
        <color rgb="FFFFEB84"/>
        <color rgb="FF63BE7B"/>
      </colorScale>
    </cfRule>
  </conditionalFormatting>
  <conditionalFormatting sqref="D11:D31">
    <cfRule type="colorScale" priority="11407">
      <colorScale>
        <cfvo type="min"/>
        <cfvo type="percentile" val="50"/>
        <cfvo type="max"/>
        <color rgb="FFF8696B"/>
        <color rgb="FFFFEB84"/>
        <color rgb="FF63BE7B"/>
      </colorScale>
    </cfRule>
  </conditionalFormatting>
  <conditionalFormatting sqref="D11:D31">
    <cfRule type="colorScale" priority="11406">
      <colorScale>
        <cfvo type="min"/>
        <cfvo type="percentile" val="50"/>
        <cfvo type="max"/>
        <color rgb="FFF8696B"/>
        <color rgb="FFFFEB84"/>
        <color rgb="FF63BE7B"/>
      </colorScale>
    </cfRule>
  </conditionalFormatting>
  <conditionalFormatting sqref="D11:D31">
    <cfRule type="colorScale" priority="11405">
      <colorScale>
        <cfvo type="min"/>
        <cfvo type="percentile" val="50"/>
        <cfvo type="max"/>
        <color rgb="FFF8696B"/>
        <color rgb="FFFFEB84"/>
        <color rgb="FF63BE7B"/>
      </colorScale>
    </cfRule>
  </conditionalFormatting>
  <conditionalFormatting sqref="D11:D31">
    <cfRule type="colorScale" priority="11404">
      <colorScale>
        <cfvo type="min"/>
        <cfvo type="percentile" val="50"/>
        <cfvo type="max"/>
        <color rgb="FFF8696B"/>
        <color rgb="FFFFEB84"/>
        <color rgb="FF63BE7B"/>
      </colorScale>
    </cfRule>
  </conditionalFormatting>
  <conditionalFormatting sqref="D11:D31">
    <cfRule type="colorScale" priority="11403">
      <colorScale>
        <cfvo type="min"/>
        <cfvo type="percentile" val="50"/>
        <cfvo type="max"/>
        <color rgb="FFF8696B"/>
        <color rgb="FFFFEB84"/>
        <color rgb="FF63BE7B"/>
      </colorScale>
    </cfRule>
  </conditionalFormatting>
  <conditionalFormatting sqref="D11:D31">
    <cfRule type="colorScale" priority="11402">
      <colorScale>
        <cfvo type="min"/>
        <cfvo type="percentile" val="50"/>
        <cfvo type="max"/>
        <color rgb="FFF8696B"/>
        <color rgb="FFFFEB84"/>
        <color rgb="FF63BE7B"/>
      </colorScale>
    </cfRule>
  </conditionalFormatting>
  <conditionalFormatting sqref="D11:D31">
    <cfRule type="colorScale" priority="11401">
      <colorScale>
        <cfvo type="min"/>
        <cfvo type="percentile" val="50"/>
        <cfvo type="max"/>
        <color rgb="FFF8696B"/>
        <color rgb="FFFFEB84"/>
        <color rgb="FF63BE7B"/>
      </colorScale>
    </cfRule>
  </conditionalFormatting>
  <conditionalFormatting sqref="D11:D31">
    <cfRule type="colorScale" priority="11400">
      <colorScale>
        <cfvo type="min"/>
        <cfvo type="percentile" val="50"/>
        <cfvo type="max"/>
        <color rgb="FFF8696B"/>
        <color rgb="FFFFEB84"/>
        <color rgb="FF63BE7B"/>
      </colorScale>
    </cfRule>
  </conditionalFormatting>
  <conditionalFormatting sqref="D11:D31">
    <cfRule type="colorScale" priority="11399">
      <colorScale>
        <cfvo type="min"/>
        <cfvo type="percentile" val="50"/>
        <cfvo type="max"/>
        <color rgb="FFF8696B"/>
        <color rgb="FFFFEB84"/>
        <color rgb="FF63BE7B"/>
      </colorScale>
    </cfRule>
  </conditionalFormatting>
  <conditionalFormatting sqref="D11:D31">
    <cfRule type="colorScale" priority="11398">
      <colorScale>
        <cfvo type="min"/>
        <cfvo type="percentile" val="50"/>
        <cfvo type="max"/>
        <color rgb="FFF8696B"/>
        <color rgb="FFFFEB84"/>
        <color rgb="FF63BE7B"/>
      </colorScale>
    </cfRule>
  </conditionalFormatting>
  <conditionalFormatting sqref="D11:D31">
    <cfRule type="colorScale" priority="11397">
      <colorScale>
        <cfvo type="min"/>
        <cfvo type="percentile" val="50"/>
        <cfvo type="max"/>
        <color rgb="FFF8696B"/>
        <color rgb="FFFFEB84"/>
        <color rgb="FF63BE7B"/>
      </colorScale>
    </cfRule>
  </conditionalFormatting>
  <conditionalFormatting sqref="D11:D31">
    <cfRule type="colorScale" priority="11396">
      <colorScale>
        <cfvo type="min"/>
        <cfvo type="percentile" val="50"/>
        <cfvo type="max"/>
        <color rgb="FFF8696B"/>
        <color rgb="FFFFEB84"/>
        <color rgb="FF63BE7B"/>
      </colorScale>
    </cfRule>
  </conditionalFormatting>
  <conditionalFormatting sqref="D11:D31">
    <cfRule type="colorScale" priority="11395">
      <colorScale>
        <cfvo type="min"/>
        <cfvo type="percentile" val="50"/>
        <cfvo type="max"/>
        <color rgb="FFF8696B"/>
        <color rgb="FFFFEB84"/>
        <color rgb="FF63BE7B"/>
      </colorScale>
    </cfRule>
  </conditionalFormatting>
  <conditionalFormatting sqref="D11:D31">
    <cfRule type="colorScale" priority="11394">
      <colorScale>
        <cfvo type="min"/>
        <cfvo type="percentile" val="50"/>
        <cfvo type="max"/>
        <color rgb="FFF8696B"/>
        <color rgb="FFFFEB84"/>
        <color rgb="FF63BE7B"/>
      </colorScale>
    </cfRule>
  </conditionalFormatting>
  <conditionalFormatting sqref="D11:D31">
    <cfRule type="colorScale" priority="11393">
      <colorScale>
        <cfvo type="min"/>
        <cfvo type="percentile" val="50"/>
        <cfvo type="max"/>
        <color rgb="FFF8696B"/>
        <color rgb="FFFFEB84"/>
        <color rgb="FF63BE7B"/>
      </colorScale>
    </cfRule>
  </conditionalFormatting>
  <conditionalFormatting sqref="D11:D31">
    <cfRule type="colorScale" priority="11392">
      <colorScale>
        <cfvo type="min"/>
        <cfvo type="percentile" val="50"/>
        <cfvo type="max"/>
        <color rgb="FFF8696B"/>
        <color rgb="FFFFEB84"/>
        <color rgb="FF63BE7B"/>
      </colorScale>
    </cfRule>
  </conditionalFormatting>
  <conditionalFormatting sqref="D11:D31">
    <cfRule type="colorScale" priority="11391">
      <colorScale>
        <cfvo type="min"/>
        <cfvo type="percentile" val="50"/>
        <cfvo type="max"/>
        <color rgb="FFF8696B"/>
        <color rgb="FFFFEB84"/>
        <color rgb="FF63BE7B"/>
      </colorScale>
    </cfRule>
  </conditionalFormatting>
  <conditionalFormatting sqref="D11:D31">
    <cfRule type="colorScale" priority="11390">
      <colorScale>
        <cfvo type="min"/>
        <cfvo type="percentile" val="50"/>
        <cfvo type="max"/>
        <color rgb="FFF8696B"/>
        <color rgb="FFFFEB84"/>
        <color rgb="FF63BE7B"/>
      </colorScale>
    </cfRule>
  </conditionalFormatting>
  <conditionalFormatting sqref="D11:D31">
    <cfRule type="colorScale" priority="11389">
      <colorScale>
        <cfvo type="min"/>
        <cfvo type="percentile" val="50"/>
        <cfvo type="max"/>
        <color rgb="FFF8696B"/>
        <color rgb="FFFFEB84"/>
        <color rgb="FF63BE7B"/>
      </colorScale>
    </cfRule>
  </conditionalFormatting>
  <conditionalFormatting sqref="D11:D31">
    <cfRule type="colorScale" priority="11388">
      <colorScale>
        <cfvo type="min"/>
        <cfvo type="percentile" val="50"/>
        <cfvo type="max"/>
        <color rgb="FFF8696B"/>
        <color rgb="FFFFEB84"/>
        <color rgb="FF63BE7B"/>
      </colorScale>
    </cfRule>
  </conditionalFormatting>
  <conditionalFormatting sqref="D11:D31">
    <cfRule type="colorScale" priority="11387">
      <colorScale>
        <cfvo type="min"/>
        <cfvo type="percentile" val="50"/>
        <cfvo type="max"/>
        <color rgb="FFF8696B"/>
        <color rgb="FFFFEB84"/>
        <color rgb="FF63BE7B"/>
      </colorScale>
    </cfRule>
  </conditionalFormatting>
  <conditionalFormatting sqref="D11:D31">
    <cfRule type="colorScale" priority="11386">
      <colorScale>
        <cfvo type="min"/>
        <cfvo type="percentile" val="50"/>
        <cfvo type="max"/>
        <color rgb="FFF8696B"/>
        <color rgb="FFFFEB84"/>
        <color rgb="FF63BE7B"/>
      </colorScale>
    </cfRule>
  </conditionalFormatting>
  <conditionalFormatting sqref="D11:D31">
    <cfRule type="colorScale" priority="11385">
      <colorScale>
        <cfvo type="min"/>
        <cfvo type="percentile" val="50"/>
        <cfvo type="max"/>
        <color rgb="FFF8696B"/>
        <color rgb="FFFFEB84"/>
        <color rgb="FF63BE7B"/>
      </colorScale>
    </cfRule>
  </conditionalFormatting>
  <conditionalFormatting sqref="D11:D31">
    <cfRule type="colorScale" priority="11384">
      <colorScale>
        <cfvo type="min"/>
        <cfvo type="percentile" val="50"/>
        <cfvo type="max"/>
        <color rgb="FFF8696B"/>
        <color rgb="FFFFEB84"/>
        <color rgb="FF63BE7B"/>
      </colorScale>
    </cfRule>
  </conditionalFormatting>
  <conditionalFormatting sqref="D11:D31">
    <cfRule type="colorScale" priority="11383">
      <colorScale>
        <cfvo type="min"/>
        <cfvo type="percentile" val="50"/>
        <cfvo type="max"/>
        <color rgb="FFF8696B"/>
        <color rgb="FFFFEB84"/>
        <color rgb="FF63BE7B"/>
      </colorScale>
    </cfRule>
  </conditionalFormatting>
  <conditionalFormatting sqref="D11:D31">
    <cfRule type="colorScale" priority="11382">
      <colorScale>
        <cfvo type="min"/>
        <cfvo type="percentile" val="50"/>
        <cfvo type="max"/>
        <color rgb="FFF8696B"/>
        <color rgb="FFFFEB84"/>
        <color rgb="FF63BE7B"/>
      </colorScale>
    </cfRule>
  </conditionalFormatting>
  <conditionalFormatting sqref="D11:D31">
    <cfRule type="colorScale" priority="11381">
      <colorScale>
        <cfvo type="min"/>
        <cfvo type="percentile" val="50"/>
        <cfvo type="max"/>
        <color rgb="FFF8696B"/>
        <color rgb="FFFFEB84"/>
        <color rgb="FF63BE7B"/>
      </colorScale>
    </cfRule>
  </conditionalFormatting>
  <conditionalFormatting sqref="D11:D31">
    <cfRule type="colorScale" priority="11380">
      <colorScale>
        <cfvo type="min"/>
        <cfvo type="percentile" val="50"/>
        <cfvo type="max"/>
        <color rgb="FFF8696B"/>
        <color rgb="FFFFEB84"/>
        <color rgb="FF63BE7B"/>
      </colorScale>
    </cfRule>
  </conditionalFormatting>
  <conditionalFormatting sqref="D11:D31">
    <cfRule type="colorScale" priority="11379">
      <colorScale>
        <cfvo type="min"/>
        <cfvo type="percentile" val="50"/>
        <cfvo type="max"/>
        <color rgb="FFF8696B"/>
        <color rgb="FFFFEB84"/>
        <color rgb="FF63BE7B"/>
      </colorScale>
    </cfRule>
  </conditionalFormatting>
  <conditionalFormatting sqref="D11:D31">
    <cfRule type="colorScale" priority="11378">
      <colorScale>
        <cfvo type="min"/>
        <cfvo type="percentile" val="50"/>
        <cfvo type="max"/>
        <color rgb="FFF8696B"/>
        <color rgb="FFFFEB84"/>
        <color rgb="FF63BE7B"/>
      </colorScale>
    </cfRule>
  </conditionalFormatting>
  <conditionalFormatting sqref="D11:D31">
    <cfRule type="colorScale" priority="11377">
      <colorScale>
        <cfvo type="min"/>
        <cfvo type="percentile" val="50"/>
        <cfvo type="max"/>
        <color rgb="FFF8696B"/>
        <color rgb="FFFFEB84"/>
        <color rgb="FF63BE7B"/>
      </colorScale>
    </cfRule>
  </conditionalFormatting>
  <conditionalFormatting sqref="D11:D31">
    <cfRule type="colorScale" priority="11376">
      <colorScale>
        <cfvo type="min"/>
        <cfvo type="percentile" val="50"/>
        <cfvo type="max"/>
        <color rgb="FFF8696B"/>
        <color rgb="FFFFEB84"/>
        <color rgb="FF63BE7B"/>
      </colorScale>
    </cfRule>
  </conditionalFormatting>
  <conditionalFormatting sqref="D11:D31">
    <cfRule type="colorScale" priority="11375">
      <colorScale>
        <cfvo type="min"/>
        <cfvo type="percentile" val="50"/>
        <cfvo type="max"/>
        <color rgb="FFF8696B"/>
        <color rgb="FFFFEB84"/>
        <color rgb="FF63BE7B"/>
      </colorScale>
    </cfRule>
  </conditionalFormatting>
  <conditionalFormatting sqref="D11:D31">
    <cfRule type="colorScale" priority="11374">
      <colorScale>
        <cfvo type="min"/>
        <cfvo type="percentile" val="50"/>
        <cfvo type="max"/>
        <color rgb="FFF8696B"/>
        <color rgb="FFFFEB84"/>
        <color rgb="FF63BE7B"/>
      </colorScale>
    </cfRule>
  </conditionalFormatting>
  <conditionalFormatting sqref="D11:D31">
    <cfRule type="colorScale" priority="11373">
      <colorScale>
        <cfvo type="min"/>
        <cfvo type="percentile" val="50"/>
        <cfvo type="max"/>
        <color rgb="FFF8696B"/>
        <color rgb="FFFFEB84"/>
        <color rgb="FF63BE7B"/>
      </colorScale>
    </cfRule>
  </conditionalFormatting>
  <conditionalFormatting sqref="D11:D31">
    <cfRule type="colorScale" priority="11372">
      <colorScale>
        <cfvo type="min"/>
        <cfvo type="percentile" val="50"/>
        <cfvo type="max"/>
        <color rgb="FFF8696B"/>
        <color rgb="FFFFEB84"/>
        <color rgb="FF63BE7B"/>
      </colorScale>
    </cfRule>
  </conditionalFormatting>
  <conditionalFormatting sqref="D11:D31">
    <cfRule type="colorScale" priority="11371">
      <colorScale>
        <cfvo type="min"/>
        <cfvo type="percentile" val="50"/>
        <cfvo type="max"/>
        <color rgb="FFF8696B"/>
        <color rgb="FFFFEB84"/>
        <color rgb="FF63BE7B"/>
      </colorScale>
    </cfRule>
  </conditionalFormatting>
  <conditionalFormatting sqref="D11:D31">
    <cfRule type="colorScale" priority="11370">
      <colorScale>
        <cfvo type="min"/>
        <cfvo type="percentile" val="50"/>
        <cfvo type="max"/>
        <color rgb="FFF8696B"/>
        <color rgb="FFFFEB84"/>
        <color rgb="FF63BE7B"/>
      </colorScale>
    </cfRule>
  </conditionalFormatting>
  <conditionalFormatting sqref="D11:D31">
    <cfRule type="colorScale" priority="11369">
      <colorScale>
        <cfvo type="min"/>
        <cfvo type="percentile" val="50"/>
        <cfvo type="max"/>
        <color rgb="FFF8696B"/>
        <color rgb="FFFFEB84"/>
        <color rgb="FF63BE7B"/>
      </colorScale>
    </cfRule>
  </conditionalFormatting>
  <conditionalFormatting sqref="D11:D31">
    <cfRule type="colorScale" priority="11368">
      <colorScale>
        <cfvo type="min"/>
        <cfvo type="percentile" val="50"/>
        <cfvo type="max"/>
        <color rgb="FFF8696B"/>
        <color rgb="FFFFEB84"/>
        <color rgb="FF63BE7B"/>
      </colorScale>
    </cfRule>
  </conditionalFormatting>
  <conditionalFormatting sqref="D11:D31">
    <cfRule type="colorScale" priority="11367">
      <colorScale>
        <cfvo type="min"/>
        <cfvo type="percentile" val="50"/>
        <cfvo type="max"/>
        <color rgb="FFF8696B"/>
        <color rgb="FFFFEB84"/>
        <color rgb="FF63BE7B"/>
      </colorScale>
    </cfRule>
  </conditionalFormatting>
  <conditionalFormatting sqref="D11:D31">
    <cfRule type="colorScale" priority="11366">
      <colorScale>
        <cfvo type="min"/>
        <cfvo type="percentile" val="50"/>
        <cfvo type="max"/>
        <color rgb="FFF8696B"/>
        <color rgb="FFFFEB84"/>
        <color rgb="FF63BE7B"/>
      </colorScale>
    </cfRule>
  </conditionalFormatting>
  <conditionalFormatting sqref="D11:D31">
    <cfRule type="colorScale" priority="11365">
      <colorScale>
        <cfvo type="min"/>
        <cfvo type="percentile" val="50"/>
        <cfvo type="max"/>
        <color rgb="FFF8696B"/>
        <color rgb="FFFFEB84"/>
        <color rgb="FF63BE7B"/>
      </colorScale>
    </cfRule>
  </conditionalFormatting>
  <conditionalFormatting sqref="D11:D31">
    <cfRule type="colorScale" priority="11364">
      <colorScale>
        <cfvo type="min"/>
        <cfvo type="percentile" val="50"/>
        <cfvo type="max"/>
        <color rgb="FFF8696B"/>
        <color rgb="FFFFEB84"/>
        <color rgb="FF63BE7B"/>
      </colorScale>
    </cfRule>
  </conditionalFormatting>
  <conditionalFormatting sqref="D11:D31">
    <cfRule type="colorScale" priority="11363">
      <colorScale>
        <cfvo type="min"/>
        <cfvo type="percentile" val="50"/>
        <cfvo type="max"/>
        <color rgb="FFF8696B"/>
        <color rgb="FFFFEB84"/>
        <color rgb="FF63BE7B"/>
      </colorScale>
    </cfRule>
  </conditionalFormatting>
  <conditionalFormatting sqref="D11:D31">
    <cfRule type="colorScale" priority="11362">
      <colorScale>
        <cfvo type="min"/>
        <cfvo type="percentile" val="50"/>
        <cfvo type="max"/>
        <color rgb="FFF8696B"/>
        <color rgb="FFFFEB84"/>
        <color rgb="FF63BE7B"/>
      </colorScale>
    </cfRule>
  </conditionalFormatting>
  <conditionalFormatting sqref="D11:D31">
    <cfRule type="colorScale" priority="11361">
      <colorScale>
        <cfvo type="min"/>
        <cfvo type="percentile" val="50"/>
        <cfvo type="max"/>
        <color rgb="FFF8696B"/>
        <color rgb="FFFFEB84"/>
        <color rgb="FF63BE7B"/>
      </colorScale>
    </cfRule>
  </conditionalFormatting>
  <conditionalFormatting sqref="D11:D31">
    <cfRule type="colorScale" priority="11360">
      <colorScale>
        <cfvo type="min"/>
        <cfvo type="percentile" val="50"/>
        <cfvo type="max"/>
        <color rgb="FFF8696B"/>
        <color rgb="FFFFEB84"/>
        <color rgb="FF63BE7B"/>
      </colorScale>
    </cfRule>
  </conditionalFormatting>
  <conditionalFormatting sqref="D11:D31">
    <cfRule type="colorScale" priority="11359">
      <colorScale>
        <cfvo type="min"/>
        <cfvo type="percentile" val="50"/>
        <cfvo type="max"/>
        <color rgb="FFF8696B"/>
        <color rgb="FFFFEB84"/>
        <color rgb="FF63BE7B"/>
      </colorScale>
    </cfRule>
  </conditionalFormatting>
  <conditionalFormatting sqref="D11:D31">
    <cfRule type="colorScale" priority="11358">
      <colorScale>
        <cfvo type="min"/>
        <cfvo type="percentile" val="50"/>
        <cfvo type="max"/>
        <color rgb="FFF8696B"/>
        <color rgb="FFFFEB84"/>
        <color rgb="FF63BE7B"/>
      </colorScale>
    </cfRule>
  </conditionalFormatting>
  <conditionalFormatting sqref="D11:D31">
    <cfRule type="colorScale" priority="11357">
      <colorScale>
        <cfvo type="min"/>
        <cfvo type="percentile" val="50"/>
        <cfvo type="max"/>
        <color rgb="FFF8696B"/>
        <color rgb="FFFFEB84"/>
        <color rgb="FF63BE7B"/>
      </colorScale>
    </cfRule>
  </conditionalFormatting>
  <conditionalFormatting sqref="D11:D31">
    <cfRule type="colorScale" priority="11356">
      <colorScale>
        <cfvo type="min"/>
        <cfvo type="percentile" val="50"/>
        <cfvo type="max"/>
        <color rgb="FFF8696B"/>
        <color rgb="FFFFEB84"/>
        <color rgb="FF63BE7B"/>
      </colorScale>
    </cfRule>
  </conditionalFormatting>
  <conditionalFormatting sqref="D11:D31">
    <cfRule type="colorScale" priority="11355">
      <colorScale>
        <cfvo type="min"/>
        <cfvo type="percentile" val="50"/>
        <cfvo type="max"/>
        <color rgb="FFF8696B"/>
        <color rgb="FFFFEB84"/>
        <color rgb="FF63BE7B"/>
      </colorScale>
    </cfRule>
  </conditionalFormatting>
  <conditionalFormatting sqref="D11:D31">
    <cfRule type="colorScale" priority="11354">
      <colorScale>
        <cfvo type="min"/>
        <cfvo type="percentile" val="50"/>
        <cfvo type="max"/>
        <color rgb="FFF8696B"/>
        <color rgb="FFFFEB84"/>
        <color rgb="FF63BE7B"/>
      </colorScale>
    </cfRule>
  </conditionalFormatting>
  <conditionalFormatting sqref="D11:D31">
    <cfRule type="colorScale" priority="11353">
      <colorScale>
        <cfvo type="min"/>
        <cfvo type="percentile" val="50"/>
        <cfvo type="max"/>
        <color rgb="FFF8696B"/>
        <color rgb="FFFFEB84"/>
        <color rgb="FF63BE7B"/>
      </colorScale>
    </cfRule>
  </conditionalFormatting>
  <conditionalFormatting sqref="D11:D31">
    <cfRule type="colorScale" priority="11352">
      <colorScale>
        <cfvo type="min"/>
        <cfvo type="percentile" val="50"/>
        <cfvo type="max"/>
        <color rgb="FFF8696B"/>
        <color rgb="FFFFEB84"/>
        <color rgb="FF63BE7B"/>
      </colorScale>
    </cfRule>
  </conditionalFormatting>
  <conditionalFormatting sqref="D11:D31">
    <cfRule type="colorScale" priority="11351">
      <colorScale>
        <cfvo type="min"/>
        <cfvo type="percentile" val="50"/>
        <cfvo type="max"/>
        <color rgb="FFF8696B"/>
        <color rgb="FFFFEB84"/>
        <color rgb="FF63BE7B"/>
      </colorScale>
    </cfRule>
  </conditionalFormatting>
  <conditionalFormatting sqref="D11:D31">
    <cfRule type="colorScale" priority="11350">
      <colorScale>
        <cfvo type="min"/>
        <cfvo type="percentile" val="50"/>
        <cfvo type="max"/>
        <color rgb="FFF8696B"/>
        <color rgb="FFFFEB84"/>
        <color rgb="FF63BE7B"/>
      </colorScale>
    </cfRule>
  </conditionalFormatting>
  <conditionalFormatting sqref="D11:D31">
    <cfRule type="colorScale" priority="11349">
      <colorScale>
        <cfvo type="min"/>
        <cfvo type="percentile" val="50"/>
        <cfvo type="max"/>
        <color rgb="FFF8696B"/>
        <color rgb="FFFFEB84"/>
        <color rgb="FF63BE7B"/>
      </colorScale>
    </cfRule>
  </conditionalFormatting>
  <conditionalFormatting sqref="D11:D31">
    <cfRule type="colorScale" priority="11348">
      <colorScale>
        <cfvo type="min"/>
        <cfvo type="percentile" val="50"/>
        <cfvo type="max"/>
        <color rgb="FFF8696B"/>
        <color rgb="FFFFEB84"/>
        <color rgb="FF63BE7B"/>
      </colorScale>
    </cfRule>
  </conditionalFormatting>
  <conditionalFormatting sqref="D11:D31">
    <cfRule type="colorScale" priority="11347">
      <colorScale>
        <cfvo type="min"/>
        <cfvo type="percentile" val="50"/>
        <cfvo type="max"/>
        <color rgb="FFF8696B"/>
        <color rgb="FFFFEB84"/>
        <color rgb="FF63BE7B"/>
      </colorScale>
    </cfRule>
  </conditionalFormatting>
  <conditionalFormatting sqref="D11:D29">
    <cfRule type="colorScale" priority="11346">
      <colorScale>
        <cfvo type="min"/>
        <cfvo type="percentile" val="50"/>
        <cfvo type="max"/>
        <color rgb="FFF8696B"/>
        <color rgb="FFFFEB84"/>
        <color rgb="FF63BE7B"/>
      </colorScale>
    </cfRule>
  </conditionalFormatting>
  <conditionalFormatting sqref="D11:D29">
    <cfRule type="colorScale" priority="11345">
      <colorScale>
        <cfvo type="min"/>
        <cfvo type="percentile" val="50"/>
        <cfvo type="max"/>
        <color rgb="FFF8696B"/>
        <color rgb="FFFFEB84"/>
        <color rgb="FF63BE7B"/>
      </colorScale>
    </cfRule>
  </conditionalFormatting>
  <conditionalFormatting sqref="D11:D31">
    <cfRule type="colorScale" priority="11344">
      <colorScale>
        <cfvo type="min"/>
        <cfvo type="percentile" val="50"/>
        <cfvo type="max"/>
        <color rgb="FFF8696B"/>
        <color rgb="FFFFEB84"/>
        <color rgb="FF63BE7B"/>
      </colorScale>
    </cfRule>
  </conditionalFormatting>
  <conditionalFormatting sqref="D11:D31">
    <cfRule type="colorScale" priority="11343">
      <colorScale>
        <cfvo type="min"/>
        <cfvo type="percentile" val="50"/>
        <cfvo type="max"/>
        <color rgb="FFF8696B"/>
        <color rgb="FFFFEB84"/>
        <color rgb="FF63BE7B"/>
      </colorScale>
    </cfRule>
  </conditionalFormatting>
  <conditionalFormatting sqref="D29:D31">
    <cfRule type="colorScale" priority="11342">
      <colorScale>
        <cfvo type="min"/>
        <cfvo type="percentile" val="50"/>
        <cfvo type="max"/>
        <color rgb="FFF8696B"/>
        <color rgb="FFFFEB84"/>
        <color rgb="FF63BE7B"/>
      </colorScale>
    </cfRule>
  </conditionalFormatting>
  <conditionalFormatting sqref="D29:D31">
    <cfRule type="colorScale" priority="11341">
      <colorScale>
        <cfvo type="min"/>
        <cfvo type="percentile" val="50"/>
        <cfvo type="max"/>
        <color rgb="FFF8696B"/>
        <color rgb="FFFFEB84"/>
        <color rgb="FF63BE7B"/>
      </colorScale>
    </cfRule>
  </conditionalFormatting>
  <conditionalFormatting sqref="D32">
    <cfRule type="colorScale" priority="11340">
      <colorScale>
        <cfvo type="min"/>
        <cfvo type="percentile" val="50"/>
        <cfvo type="max"/>
        <color rgb="FFF8696B"/>
        <color rgb="FFFFEB84"/>
        <color rgb="FF63BE7B"/>
      </colorScale>
    </cfRule>
  </conditionalFormatting>
  <conditionalFormatting sqref="D32">
    <cfRule type="colorScale" priority="11339">
      <colorScale>
        <cfvo type="min"/>
        <cfvo type="percentile" val="50"/>
        <cfvo type="max"/>
        <color rgb="FFF8696B"/>
        <color rgb="FFFFEB84"/>
        <color rgb="FF63BE7B"/>
      </colorScale>
    </cfRule>
  </conditionalFormatting>
  <conditionalFormatting sqref="D32">
    <cfRule type="colorScale" priority="11338">
      <colorScale>
        <cfvo type="min"/>
        <cfvo type="percentile" val="50"/>
        <cfvo type="max"/>
        <color rgb="FFF8696B"/>
        <color rgb="FFFFEB84"/>
        <color rgb="FF63BE7B"/>
      </colorScale>
    </cfRule>
  </conditionalFormatting>
  <conditionalFormatting sqref="D32">
    <cfRule type="colorScale" priority="11337">
      <colorScale>
        <cfvo type="min"/>
        <cfvo type="percentile" val="50"/>
        <cfvo type="max"/>
        <color rgb="FFF8696B"/>
        <color rgb="FFFFEB84"/>
        <color rgb="FF63BE7B"/>
      </colorScale>
    </cfRule>
  </conditionalFormatting>
  <conditionalFormatting sqref="D32">
    <cfRule type="colorScale" priority="11336">
      <colorScale>
        <cfvo type="min"/>
        <cfvo type="percentile" val="50"/>
        <cfvo type="max"/>
        <color rgb="FFF8696B"/>
        <color rgb="FFFFEB84"/>
        <color rgb="FF63BE7B"/>
      </colorScale>
    </cfRule>
  </conditionalFormatting>
  <conditionalFormatting sqref="D32">
    <cfRule type="colorScale" priority="11335">
      <colorScale>
        <cfvo type="min"/>
        <cfvo type="percentile" val="50"/>
        <cfvo type="max"/>
        <color rgb="FFF8696B"/>
        <color rgb="FFFFEB84"/>
        <color rgb="FF63BE7B"/>
      </colorScale>
    </cfRule>
  </conditionalFormatting>
  <conditionalFormatting sqref="D32">
    <cfRule type="colorScale" priority="11334">
      <colorScale>
        <cfvo type="min"/>
        <cfvo type="percentile" val="50"/>
        <cfvo type="max"/>
        <color rgb="FFF8696B"/>
        <color rgb="FFFFEB84"/>
        <color rgb="FF63BE7B"/>
      </colorScale>
    </cfRule>
  </conditionalFormatting>
  <conditionalFormatting sqref="D32">
    <cfRule type="colorScale" priority="11333">
      <colorScale>
        <cfvo type="min"/>
        <cfvo type="percentile" val="50"/>
        <cfvo type="max"/>
        <color rgb="FFF8696B"/>
        <color rgb="FFFFEB84"/>
        <color rgb="FF63BE7B"/>
      </colorScale>
    </cfRule>
  </conditionalFormatting>
  <conditionalFormatting sqref="D32">
    <cfRule type="colorScale" priority="11332">
      <colorScale>
        <cfvo type="min"/>
        <cfvo type="percentile" val="50"/>
        <cfvo type="max"/>
        <color rgb="FFF8696B"/>
        <color rgb="FFFFEB84"/>
        <color rgb="FF63BE7B"/>
      </colorScale>
    </cfRule>
  </conditionalFormatting>
  <conditionalFormatting sqref="D32">
    <cfRule type="colorScale" priority="11331">
      <colorScale>
        <cfvo type="min"/>
        <cfvo type="percentile" val="50"/>
        <cfvo type="max"/>
        <color rgb="FFF8696B"/>
        <color rgb="FFFFEB84"/>
        <color rgb="FF63BE7B"/>
      </colorScale>
    </cfRule>
  </conditionalFormatting>
  <conditionalFormatting sqref="D32">
    <cfRule type="colorScale" priority="11330">
      <colorScale>
        <cfvo type="min"/>
        <cfvo type="percentile" val="50"/>
        <cfvo type="max"/>
        <color rgb="FFF8696B"/>
        <color rgb="FFFFEB84"/>
        <color rgb="FF63BE7B"/>
      </colorScale>
    </cfRule>
  </conditionalFormatting>
  <conditionalFormatting sqref="D32">
    <cfRule type="colorScale" priority="11329">
      <colorScale>
        <cfvo type="min"/>
        <cfvo type="percentile" val="50"/>
        <cfvo type="max"/>
        <color rgb="FFF8696B"/>
        <color rgb="FFFFEB84"/>
        <color rgb="FF63BE7B"/>
      </colorScale>
    </cfRule>
  </conditionalFormatting>
  <conditionalFormatting sqref="D32">
    <cfRule type="colorScale" priority="11328">
      <colorScale>
        <cfvo type="min"/>
        <cfvo type="percentile" val="50"/>
        <cfvo type="max"/>
        <color rgb="FFF8696B"/>
        <color rgb="FFFFEB84"/>
        <color rgb="FF63BE7B"/>
      </colorScale>
    </cfRule>
  </conditionalFormatting>
  <conditionalFormatting sqref="D32">
    <cfRule type="colorScale" priority="11327">
      <colorScale>
        <cfvo type="min"/>
        <cfvo type="percentile" val="50"/>
        <cfvo type="max"/>
        <color rgb="FFF8696B"/>
        <color rgb="FFFFEB84"/>
        <color rgb="FF63BE7B"/>
      </colorScale>
    </cfRule>
  </conditionalFormatting>
  <conditionalFormatting sqref="D32">
    <cfRule type="colorScale" priority="11326">
      <colorScale>
        <cfvo type="min"/>
        <cfvo type="percentile" val="50"/>
        <cfvo type="max"/>
        <color rgb="FFF8696B"/>
        <color rgb="FFFFEB84"/>
        <color rgb="FF63BE7B"/>
      </colorScale>
    </cfRule>
  </conditionalFormatting>
  <conditionalFormatting sqref="D32">
    <cfRule type="colorScale" priority="11325">
      <colorScale>
        <cfvo type="min"/>
        <cfvo type="percentile" val="50"/>
        <cfvo type="max"/>
        <color rgb="FFF8696B"/>
        <color rgb="FFFFEB84"/>
        <color rgb="FF63BE7B"/>
      </colorScale>
    </cfRule>
  </conditionalFormatting>
  <conditionalFormatting sqref="D32">
    <cfRule type="colorScale" priority="11324">
      <colorScale>
        <cfvo type="min"/>
        <cfvo type="percentile" val="50"/>
        <cfvo type="max"/>
        <color rgb="FFF8696B"/>
        <color rgb="FFFFEB84"/>
        <color rgb="FF63BE7B"/>
      </colorScale>
    </cfRule>
  </conditionalFormatting>
  <conditionalFormatting sqref="D32">
    <cfRule type="colorScale" priority="11323">
      <colorScale>
        <cfvo type="min"/>
        <cfvo type="percentile" val="50"/>
        <cfvo type="max"/>
        <color rgb="FFF8696B"/>
        <color rgb="FFFFEB84"/>
        <color rgb="FF63BE7B"/>
      </colorScale>
    </cfRule>
  </conditionalFormatting>
  <conditionalFormatting sqref="D32">
    <cfRule type="colorScale" priority="11322">
      <colorScale>
        <cfvo type="min"/>
        <cfvo type="percentile" val="50"/>
        <cfvo type="max"/>
        <color rgb="FFF8696B"/>
        <color rgb="FFFFEB84"/>
        <color rgb="FF63BE7B"/>
      </colorScale>
    </cfRule>
  </conditionalFormatting>
  <conditionalFormatting sqref="D32">
    <cfRule type="colorScale" priority="11321">
      <colorScale>
        <cfvo type="min"/>
        <cfvo type="percentile" val="50"/>
        <cfvo type="max"/>
        <color rgb="FFF8696B"/>
        <color rgb="FFFFEB84"/>
        <color rgb="FF63BE7B"/>
      </colorScale>
    </cfRule>
  </conditionalFormatting>
  <conditionalFormatting sqref="D32">
    <cfRule type="colorScale" priority="11320">
      <colorScale>
        <cfvo type="min"/>
        <cfvo type="percentile" val="50"/>
        <cfvo type="max"/>
        <color rgb="FFF8696B"/>
        <color rgb="FFFFEB84"/>
        <color rgb="FF63BE7B"/>
      </colorScale>
    </cfRule>
  </conditionalFormatting>
  <conditionalFormatting sqref="D32">
    <cfRule type="colorScale" priority="11319">
      <colorScale>
        <cfvo type="min"/>
        <cfvo type="percentile" val="50"/>
        <cfvo type="max"/>
        <color rgb="FFF8696B"/>
        <color rgb="FFFFEB84"/>
        <color rgb="FF63BE7B"/>
      </colorScale>
    </cfRule>
  </conditionalFormatting>
  <conditionalFormatting sqref="D32">
    <cfRule type="colorScale" priority="11318">
      <colorScale>
        <cfvo type="min"/>
        <cfvo type="percentile" val="50"/>
        <cfvo type="max"/>
        <color rgb="FFF8696B"/>
        <color rgb="FFFFEB84"/>
        <color rgb="FF63BE7B"/>
      </colorScale>
    </cfRule>
  </conditionalFormatting>
  <conditionalFormatting sqref="D32">
    <cfRule type="colorScale" priority="11317">
      <colorScale>
        <cfvo type="min"/>
        <cfvo type="percentile" val="50"/>
        <cfvo type="max"/>
        <color rgb="FFF8696B"/>
        <color rgb="FFFFEB84"/>
        <color rgb="FF63BE7B"/>
      </colorScale>
    </cfRule>
  </conditionalFormatting>
  <conditionalFormatting sqref="D32">
    <cfRule type="colorScale" priority="11316">
      <colorScale>
        <cfvo type="min"/>
        <cfvo type="percentile" val="50"/>
        <cfvo type="max"/>
        <color rgb="FFF8696B"/>
        <color rgb="FFFFEB84"/>
        <color rgb="FF63BE7B"/>
      </colorScale>
    </cfRule>
  </conditionalFormatting>
  <conditionalFormatting sqref="D32">
    <cfRule type="colorScale" priority="11315">
      <colorScale>
        <cfvo type="min"/>
        <cfvo type="percentile" val="50"/>
        <cfvo type="max"/>
        <color rgb="FFF8696B"/>
        <color rgb="FFFFEB84"/>
        <color rgb="FF63BE7B"/>
      </colorScale>
    </cfRule>
  </conditionalFormatting>
  <conditionalFormatting sqref="D32">
    <cfRule type="colorScale" priority="11314">
      <colorScale>
        <cfvo type="min"/>
        <cfvo type="percentile" val="50"/>
        <cfvo type="max"/>
        <color rgb="FFF8696B"/>
        <color rgb="FFFFEB84"/>
        <color rgb="FF63BE7B"/>
      </colorScale>
    </cfRule>
  </conditionalFormatting>
  <conditionalFormatting sqref="D32">
    <cfRule type="colorScale" priority="11313">
      <colorScale>
        <cfvo type="min"/>
        <cfvo type="percentile" val="50"/>
        <cfvo type="max"/>
        <color rgb="FFF8696B"/>
        <color rgb="FFFFEB84"/>
        <color rgb="FF63BE7B"/>
      </colorScale>
    </cfRule>
  </conditionalFormatting>
  <conditionalFormatting sqref="D32">
    <cfRule type="colorScale" priority="11312">
      <colorScale>
        <cfvo type="min"/>
        <cfvo type="percentile" val="50"/>
        <cfvo type="max"/>
        <color rgb="FFF8696B"/>
        <color rgb="FFFFEB84"/>
        <color rgb="FF63BE7B"/>
      </colorScale>
    </cfRule>
  </conditionalFormatting>
  <conditionalFormatting sqref="D32">
    <cfRule type="colorScale" priority="11311">
      <colorScale>
        <cfvo type="min"/>
        <cfvo type="percentile" val="50"/>
        <cfvo type="max"/>
        <color rgb="FFF8696B"/>
        <color rgb="FFFFEB84"/>
        <color rgb="FF63BE7B"/>
      </colorScale>
    </cfRule>
  </conditionalFormatting>
  <conditionalFormatting sqref="D32">
    <cfRule type="colorScale" priority="11310">
      <colorScale>
        <cfvo type="min"/>
        <cfvo type="percentile" val="50"/>
        <cfvo type="max"/>
        <color rgb="FFF8696B"/>
        <color rgb="FFFFEB84"/>
        <color rgb="FF63BE7B"/>
      </colorScale>
    </cfRule>
  </conditionalFormatting>
  <conditionalFormatting sqref="D32">
    <cfRule type="colorScale" priority="11309">
      <colorScale>
        <cfvo type="min"/>
        <cfvo type="percentile" val="50"/>
        <cfvo type="max"/>
        <color rgb="FFF8696B"/>
        <color rgb="FFFFEB84"/>
        <color rgb="FF63BE7B"/>
      </colorScale>
    </cfRule>
  </conditionalFormatting>
  <conditionalFormatting sqref="D32">
    <cfRule type="colorScale" priority="11308">
      <colorScale>
        <cfvo type="min"/>
        <cfvo type="percentile" val="50"/>
        <cfvo type="max"/>
        <color rgb="FFF8696B"/>
        <color rgb="FFFFEB84"/>
        <color rgb="FF63BE7B"/>
      </colorScale>
    </cfRule>
  </conditionalFormatting>
  <conditionalFormatting sqref="D32">
    <cfRule type="colorScale" priority="11307">
      <colorScale>
        <cfvo type="min"/>
        <cfvo type="percentile" val="50"/>
        <cfvo type="max"/>
        <color rgb="FFF8696B"/>
        <color rgb="FFFFEB84"/>
        <color rgb="FF63BE7B"/>
      </colorScale>
    </cfRule>
  </conditionalFormatting>
  <conditionalFormatting sqref="D32">
    <cfRule type="colorScale" priority="11306">
      <colorScale>
        <cfvo type="min"/>
        <cfvo type="percentile" val="50"/>
        <cfvo type="max"/>
        <color rgb="FFF8696B"/>
        <color rgb="FFFFEB84"/>
        <color rgb="FF63BE7B"/>
      </colorScale>
    </cfRule>
  </conditionalFormatting>
  <conditionalFormatting sqref="D32">
    <cfRule type="colorScale" priority="11305">
      <colorScale>
        <cfvo type="min"/>
        <cfvo type="percentile" val="50"/>
        <cfvo type="max"/>
        <color rgb="FFF8696B"/>
        <color rgb="FFFFEB84"/>
        <color rgb="FF63BE7B"/>
      </colorScale>
    </cfRule>
  </conditionalFormatting>
  <conditionalFormatting sqref="D32">
    <cfRule type="colorScale" priority="11304">
      <colorScale>
        <cfvo type="min"/>
        <cfvo type="percentile" val="50"/>
        <cfvo type="max"/>
        <color rgb="FFF8696B"/>
        <color rgb="FFFFEB84"/>
        <color rgb="FF63BE7B"/>
      </colorScale>
    </cfRule>
  </conditionalFormatting>
  <conditionalFormatting sqref="D32">
    <cfRule type="colorScale" priority="11303">
      <colorScale>
        <cfvo type="min"/>
        <cfvo type="percentile" val="50"/>
        <cfvo type="max"/>
        <color rgb="FFF8696B"/>
        <color rgb="FFFFEB84"/>
        <color rgb="FF63BE7B"/>
      </colorScale>
    </cfRule>
  </conditionalFormatting>
  <conditionalFormatting sqref="D32">
    <cfRule type="colorScale" priority="11302">
      <colorScale>
        <cfvo type="min"/>
        <cfvo type="percentile" val="50"/>
        <cfvo type="max"/>
        <color rgb="FFF8696B"/>
        <color rgb="FFFFEB84"/>
        <color rgb="FF63BE7B"/>
      </colorScale>
    </cfRule>
  </conditionalFormatting>
  <conditionalFormatting sqref="D32">
    <cfRule type="colorScale" priority="11301">
      <colorScale>
        <cfvo type="min"/>
        <cfvo type="percentile" val="50"/>
        <cfvo type="max"/>
        <color rgb="FFF8696B"/>
        <color rgb="FFFFEB84"/>
        <color rgb="FF63BE7B"/>
      </colorScale>
    </cfRule>
  </conditionalFormatting>
  <conditionalFormatting sqref="D32">
    <cfRule type="colorScale" priority="11300">
      <colorScale>
        <cfvo type="min"/>
        <cfvo type="percentile" val="50"/>
        <cfvo type="max"/>
        <color rgb="FFF8696B"/>
        <color rgb="FFFFEB84"/>
        <color rgb="FF63BE7B"/>
      </colorScale>
    </cfRule>
  </conditionalFormatting>
  <conditionalFormatting sqref="D32">
    <cfRule type="colorScale" priority="11299">
      <colorScale>
        <cfvo type="min"/>
        <cfvo type="percentile" val="50"/>
        <cfvo type="max"/>
        <color rgb="FFF8696B"/>
        <color rgb="FFFFEB84"/>
        <color rgb="FF63BE7B"/>
      </colorScale>
    </cfRule>
  </conditionalFormatting>
  <conditionalFormatting sqref="D32">
    <cfRule type="colorScale" priority="11298">
      <colorScale>
        <cfvo type="min"/>
        <cfvo type="percentile" val="50"/>
        <cfvo type="max"/>
        <color rgb="FFF8696B"/>
        <color rgb="FFFFEB84"/>
        <color rgb="FF63BE7B"/>
      </colorScale>
    </cfRule>
  </conditionalFormatting>
  <conditionalFormatting sqref="D32">
    <cfRule type="colorScale" priority="11297">
      <colorScale>
        <cfvo type="min"/>
        <cfvo type="percentile" val="50"/>
        <cfvo type="max"/>
        <color rgb="FFF8696B"/>
        <color rgb="FFFFEB84"/>
        <color rgb="FF63BE7B"/>
      </colorScale>
    </cfRule>
  </conditionalFormatting>
  <conditionalFormatting sqref="D32">
    <cfRule type="colorScale" priority="11296">
      <colorScale>
        <cfvo type="min"/>
        <cfvo type="percentile" val="50"/>
        <cfvo type="max"/>
        <color rgb="FFF8696B"/>
        <color rgb="FFFFEB84"/>
        <color rgb="FF63BE7B"/>
      </colorScale>
    </cfRule>
  </conditionalFormatting>
  <conditionalFormatting sqref="D32">
    <cfRule type="colorScale" priority="11295">
      <colorScale>
        <cfvo type="min"/>
        <cfvo type="percentile" val="50"/>
        <cfvo type="max"/>
        <color rgb="FFF8696B"/>
        <color rgb="FFFFEB84"/>
        <color rgb="FF63BE7B"/>
      </colorScale>
    </cfRule>
  </conditionalFormatting>
  <conditionalFormatting sqref="D32">
    <cfRule type="colorScale" priority="11294">
      <colorScale>
        <cfvo type="min"/>
        <cfvo type="percentile" val="50"/>
        <cfvo type="max"/>
        <color rgb="FFF8696B"/>
        <color rgb="FFFFEB84"/>
        <color rgb="FF63BE7B"/>
      </colorScale>
    </cfRule>
  </conditionalFormatting>
  <conditionalFormatting sqref="D32">
    <cfRule type="colorScale" priority="11293">
      <colorScale>
        <cfvo type="min"/>
        <cfvo type="percentile" val="50"/>
        <cfvo type="max"/>
        <color rgb="FFF8696B"/>
        <color rgb="FFFFEB84"/>
        <color rgb="FF63BE7B"/>
      </colorScale>
    </cfRule>
  </conditionalFormatting>
  <conditionalFormatting sqref="D32">
    <cfRule type="colorScale" priority="11292">
      <colorScale>
        <cfvo type="min"/>
        <cfvo type="percentile" val="50"/>
        <cfvo type="max"/>
        <color rgb="FFF8696B"/>
        <color rgb="FFFFEB84"/>
        <color rgb="FF63BE7B"/>
      </colorScale>
    </cfRule>
  </conditionalFormatting>
  <conditionalFormatting sqref="D32">
    <cfRule type="colorScale" priority="11291">
      <colorScale>
        <cfvo type="min"/>
        <cfvo type="percentile" val="50"/>
        <cfvo type="max"/>
        <color rgb="FFF8696B"/>
        <color rgb="FFFFEB84"/>
        <color rgb="FF63BE7B"/>
      </colorScale>
    </cfRule>
  </conditionalFormatting>
  <conditionalFormatting sqref="D32">
    <cfRule type="colorScale" priority="11290">
      <colorScale>
        <cfvo type="min"/>
        <cfvo type="percentile" val="50"/>
        <cfvo type="max"/>
        <color rgb="FFF8696B"/>
        <color rgb="FFFFEB84"/>
        <color rgb="FF63BE7B"/>
      </colorScale>
    </cfRule>
  </conditionalFormatting>
  <conditionalFormatting sqref="D32">
    <cfRule type="colorScale" priority="11289">
      <colorScale>
        <cfvo type="min"/>
        <cfvo type="percentile" val="50"/>
        <cfvo type="max"/>
        <color rgb="FFF8696B"/>
        <color rgb="FFFFEB84"/>
        <color rgb="FF63BE7B"/>
      </colorScale>
    </cfRule>
  </conditionalFormatting>
  <conditionalFormatting sqref="D32">
    <cfRule type="colorScale" priority="11288">
      <colorScale>
        <cfvo type="min"/>
        <cfvo type="percentile" val="50"/>
        <cfvo type="max"/>
        <color rgb="FFF8696B"/>
        <color rgb="FFFFEB84"/>
        <color rgb="FF63BE7B"/>
      </colorScale>
    </cfRule>
  </conditionalFormatting>
  <conditionalFormatting sqref="D32">
    <cfRule type="colorScale" priority="11287">
      <colorScale>
        <cfvo type="min"/>
        <cfvo type="percentile" val="50"/>
        <cfvo type="max"/>
        <color rgb="FFF8696B"/>
        <color rgb="FFFFEB84"/>
        <color rgb="FF63BE7B"/>
      </colorScale>
    </cfRule>
  </conditionalFormatting>
  <conditionalFormatting sqref="D32">
    <cfRule type="colorScale" priority="11286">
      <colorScale>
        <cfvo type="min"/>
        <cfvo type="percentile" val="50"/>
        <cfvo type="max"/>
        <color rgb="FFF8696B"/>
        <color rgb="FFFFEB84"/>
        <color rgb="FF63BE7B"/>
      </colorScale>
    </cfRule>
  </conditionalFormatting>
  <conditionalFormatting sqref="D32">
    <cfRule type="colorScale" priority="11285">
      <colorScale>
        <cfvo type="min"/>
        <cfvo type="percentile" val="50"/>
        <cfvo type="max"/>
        <color rgb="FFF8696B"/>
        <color rgb="FFFFEB84"/>
        <color rgb="FF63BE7B"/>
      </colorScale>
    </cfRule>
  </conditionalFormatting>
  <conditionalFormatting sqref="D32">
    <cfRule type="colorScale" priority="11284">
      <colorScale>
        <cfvo type="min"/>
        <cfvo type="percentile" val="50"/>
        <cfvo type="max"/>
        <color rgb="FFF8696B"/>
        <color rgb="FFFFEB84"/>
        <color rgb="FF63BE7B"/>
      </colorScale>
    </cfRule>
  </conditionalFormatting>
  <conditionalFormatting sqref="D32">
    <cfRule type="colorScale" priority="11283">
      <colorScale>
        <cfvo type="min"/>
        <cfvo type="percentile" val="50"/>
        <cfvo type="max"/>
        <color rgb="FFF8696B"/>
        <color rgb="FFFFEB84"/>
        <color rgb="FF63BE7B"/>
      </colorScale>
    </cfRule>
  </conditionalFormatting>
  <conditionalFormatting sqref="D32">
    <cfRule type="colorScale" priority="11282">
      <colorScale>
        <cfvo type="min"/>
        <cfvo type="percentile" val="50"/>
        <cfvo type="max"/>
        <color rgb="FFF8696B"/>
        <color rgb="FFFFEB84"/>
        <color rgb="FF63BE7B"/>
      </colorScale>
    </cfRule>
  </conditionalFormatting>
  <conditionalFormatting sqref="D32">
    <cfRule type="colorScale" priority="11281">
      <colorScale>
        <cfvo type="min"/>
        <cfvo type="percentile" val="50"/>
        <cfvo type="max"/>
        <color rgb="FFF8696B"/>
        <color rgb="FFFFEB84"/>
        <color rgb="FF63BE7B"/>
      </colorScale>
    </cfRule>
  </conditionalFormatting>
  <conditionalFormatting sqref="D32">
    <cfRule type="colorScale" priority="11280">
      <colorScale>
        <cfvo type="min"/>
        <cfvo type="percentile" val="50"/>
        <cfvo type="max"/>
        <color rgb="FFF8696B"/>
        <color rgb="FFFFEB84"/>
        <color rgb="FF63BE7B"/>
      </colorScale>
    </cfRule>
  </conditionalFormatting>
  <conditionalFormatting sqref="D32">
    <cfRule type="colorScale" priority="11279">
      <colorScale>
        <cfvo type="min"/>
        <cfvo type="percentile" val="50"/>
        <cfvo type="max"/>
        <color rgb="FFF8696B"/>
        <color rgb="FFFFEB84"/>
        <color rgb="FF63BE7B"/>
      </colorScale>
    </cfRule>
  </conditionalFormatting>
  <conditionalFormatting sqref="D32">
    <cfRule type="colorScale" priority="11278">
      <colorScale>
        <cfvo type="min"/>
        <cfvo type="percentile" val="50"/>
        <cfvo type="max"/>
        <color rgb="FFF8696B"/>
        <color rgb="FFFFEB84"/>
        <color rgb="FF63BE7B"/>
      </colorScale>
    </cfRule>
  </conditionalFormatting>
  <conditionalFormatting sqref="D32">
    <cfRule type="colorScale" priority="11277">
      <colorScale>
        <cfvo type="min"/>
        <cfvo type="percentile" val="50"/>
        <cfvo type="max"/>
        <color rgb="FFF8696B"/>
        <color rgb="FFFFEB84"/>
        <color rgb="FF63BE7B"/>
      </colorScale>
    </cfRule>
  </conditionalFormatting>
  <conditionalFormatting sqref="D32">
    <cfRule type="colorScale" priority="11276">
      <colorScale>
        <cfvo type="min"/>
        <cfvo type="percentile" val="50"/>
        <cfvo type="max"/>
        <color rgb="FFF8696B"/>
        <color rgb="FFFFEB84"/>
        <color rgb="FF63BE7B"/>
      </colorScale>
    </cfRule>
  </conditionalFormatting>
  <conditionalFormatting sqref="D32">
    <cfRule type="colorScale" priority="11275">
      <colorScale>
        <cfvo type="min"/>
        <cfvo type="percentile" val="50"/>
        <cfvo type="max"/>
        <color rgb="FFF8696B"/>
        <color rgb="FFFFEB84"/>
        <color rgb="FF63BE7B"/>
      </colorScale>
    </cfRule>
  </conditionalFormatting>
  <conditionalFormatting sqref="D32">
    <cfRule type="colorScale" priority="11274">
      <colorScale>
        <cfvo type="min"/>
        <cfvo type="percentile" val="50"/>
        <cfvo type="max"/>
        <color rgb="FFF8696B"/>
        <color rgb="FFFFEB84"/>
        <color rgb="FF63BE7B"/>
      </colorScale>
    </cfRule>
  </conditionalFormatting>
  <conditionalFormatting sqref="D32">
    <cfRule type="colorScale" priority="11273">
      <colorScale>
        <cfvo type="min"/>
        <cfvo type="percentile" val="50"/>
        <cfvo type="max"/>
        <color rgb="FFF8696B"/>
        <color rgb="FFFFEB84"/>
        <color rgb="FF63BE7B"/>
      </colorScale>
    </cfRule>
  </conditionalFormatting>
  <conditionalFormatting sqref="D32">
    <cfRule type="colorScale" priority="11272">
      <colorScale>
        <cfvo type="min"/>
        <cfvo type="percentile" val="50"/>
        <cfvo type="max"/>
        <color rgb="FFF8696B"/>
        <color rgb="FFFFEB84"/>
        <color rgb="FF63BE7B"/>
      </colorScale>
    </cfRule>
  </conditionalFormatting>
  <conditionalFormatting sqref="D32">
    <cfRule type="colorScale" priority="11271">
      <colorScale>
        <cfvo type="min"/>
        <cfvo type="percentile" val="50"/>
        <cfvo type="max"/>
        <color rgb="FFF8696B"/>
        <color rgb="FFFFEB84"/>
        <color rgb="FF63BE7B"/>
      </colorScale>
    </cfRule>
  </conditionalFormatting>
  <conditionalFormatting sqref="D32">
    <cfRule type="colorScale" priority="11270">
      <colorScale>
        <cfvo type="min"/>
        <cfvo type="percentile" val="50"/>
        <cfvo type="max"/>
        <color rgb="FFF8696B"/>
        <color rgb="FFFFEB84"/>
        <color rgb="FF63BE7B"/>
      </colorScale>
    </cfRule>
  </conditionalFormatting>
  <conditionalFormatting sqref="D32">
    <cfRule type="colorScale" priority="11269">
      <colorScale>
        <cfvo type="min"/>
        <cfvo type="percentile" val="50"/>
        <cfvo type="max"/>
        <color rgb="FFF8696B"/>
        <color rgb="FFFFEB84"/>
        <color rgb="FF63BE7B"/>
      </colorScale>
    </cfRule>
  </conditionalFormatting>
  <conditionalFormatting sqref="D32">
    <cfRule type="colorScale" priority="11268">
      <colorScale>
        <cfvo type="min"/>
        <cfvo type="percentile" val="50"/>
        <cfvo type="max"/>
        <color rgb="FFF8696B"/>
        <color rgb="FFFFEB84"/>
        <color rgb="FF63BE7B"/>
      </colorScale>
    </cfRule>
  </conditionalFormatting>
  <conditionalFormatting sqref="D32">
    <cfRule type="colorScale" priority="11267">
      <colorScale>
        <cfvo type="min"/>
        <cfvo type="percentile" val="50"/>
        <cfvo type="max"/>
        <color rgb="FFF8696B"/>
        <color rgb="FFFFEB84"/>
        <color rgb="FF63BE7B"/>
      </colorScale>
    </cfRule>
  </conditionalFormatting>
  <conditionalFormatting sqref="D32">
    <cfRule type="colorScale" priority="11266">
      <colorScale>
        <cfvo type="min"/>
        <cfvo type="percentile" val="50"/>
        <cfvo type="max"/>
        <color rgb="FFF8696B"/>
        <color rgb="FFFFEB84"/>
        <color rgb="FF63BE7B"/>
      </colorScale>
    </cfRule>
  </conditionalFormatting>
  <conditionalFormatting sqref="D32">
    <cfRule type="colorScale" priority="11265">
      <colorScale>
        <cfvo type="min"/>
        <cfvo type="percentile" val="50"/>
        <cfvo type="max"/>
        <color rgb="FFF8696B"/>
        <color rgb="FFFFEB84"/>
        <color rgb="FF63BE7B"/>
      </colorScale>
    </cfRule>
  </conditionalFormatting>
  <conditionalFormatting sqref="D32">
    <cfRule type="colorScale" priority="11264">
      <colorScale>
        <cfvo type="min"/>
        <cfvo type="percentile" val="50"/>
        <cfvo type="max"/>
        <color rgb="FFF8696B"/>
        <color rgb="FFFFEB84"/>
        <color rgb="FF63BE7B"/>
      </colorScale>
    </cfRule>
  </conditionalFormatting>
  <conditionalFormatting sqref="D32">
    <cfRule type="colorScale" priority="11263">
      <colorScale>
        <cfvo type="min"/>
        <cfvo type="percentile" val="50"/>
        <cfvo type="max"/>
        <color rgb="FFF8696B"/>
        <color rgb="FFFFEB84"/>
        <color rgb="FF63BE7B"/>
      </colorScale>
    </cfRule>
  </conditionalFormatting>
  <conditionalFormatting sqref="D32">
    <cfRule type="colorScale" priority="11262">
      <colorScale>
        <cfvo type="min"/>
        <cfvo type="percentile" val="50"/>
        <cfvo type="max"/>
        <color rgb="FFF8696B"/>
        <color rgb="FFFFEB84"/>
        <color rgb="FF63BE7B"/>
      </colorScale>
    </cfRule>
  </conditionalFormatting>
  <conditionalFormatting sqref="D32">
    <cfRule type="colorScale" priority="11261">
      <colorScale>
        <cfvo type="min"/>
        <cfvo type="percentile" val="50"/>
        <cfvo type="max"/>
        <color rgb="FFF8696B"/>
        <color rgb="FFFFEB84"/>
        <color rgb="FF63BE7B"/>
      </colorScale>
    </cfRule>
  </conditionalFormatting>
  <conditionalFormatting sqref="D32">
    <cfRule type="colorScale" priority="11260">
      <colorScale>
        <cfvo type="min"/>
        <cfvo type="percentile" val="50"/>
        <cfvo type="max"/>
        <color rgb="FFF8696B"/>
        <color rgb="FFFFEB84"/>
        <color rgb="FF63BE7B"/>
      </colorScale>
    </cfRule>
  </conditionalFormatting>
  <conditionalFormatting sqref="D32">
    <cfRule type="colorScale" priority="11259">
      <colorScale>
        <cfvo type="min"/>
        <cfvo type="percentile" val="50"/>
        <cfvo type="max"/>
        <color rgb="FFF8696B"/>
        <color rgb="FFFFEB84"/>
        <color rgb="FF63BE7B"/>
      </colorScale>
    </cfRule>
  </conditionalFormatting>
  <conditionalFormatting sqref="D32">
    <cfRule type="colorScale" priority="11258">
      <colorScale>
        <cfvo type="min"/>
        <cfvo type="percentile" val="50"/>
        <cfvo type="max"/>
        <color rgb="FFF8696B"/>
        <color rgb="FFFFEB84"/>
        <color rgb="FF63BE7B"/>
      </colorScale>
    </cfRule>
  </conditionalFormatting>
  <conditionalFormatting sqref="D32">
    <cfRule type="colorScale" priority="11257">
      <colorScale>
        <cfvo type="min"/>
        <cfvo type="percentile" val="50"/>
        <cfvo type="max"/>
        <color rgb="FFF8696B"/>
        <color rgb="FFFFEB84"/>
        <color rgb="FF63BE7B"/>
      </colorScale>
    </cfRule>
  </conditionalFormatting>
  <conditionalFormatting sqref="D32">
    <cfRule type="colorScale" priority="11256">
      <colorScale>
        <cfvo type="min"/>
        <cfvo type="percentile" val="50"/>
        <cfvo type="max"/>
        <color rgb="FFF8696B"/>
        <color rgb="FFFFEB84"/>
        <color rgb="FF63BE7B"/>
      </colorScale>
    </cfRule>
  </conditionalFormatting>
  <conditionalFormatting sqref="D32">
    <cfRule type="colorScale" priority="11255">
      <colorScale>
        <cfvo type="min"/>
        <cfvo type="percentile" val="50"/>
        <cfvo type="max"/>
        <color rgb="FFF8696B"/>
        <color rgb="FFFFEB84"/>
        <color rgb="FF63BE7B"/>
      </colorScale>
    </cfRule>
  </conditionalFormatting>
  <conditionalFormatting sqref="D32">
    <cfRule type="colorScale" priority="11254">
      <colorScale>
        <cfvo type="min"/>
        <cfvo type="percentile" val="50"/>
        <cfvo type="max"/>
        <color rgb="FFF8696B"/>
        <color rgb="FFFFEB84"/>
        <color rgb="FF63BE7B"/>
      </colorScale>
    </cfRule>
  </conditionalFormatting>
  <conditionalFormatting sqref="D32">
    <cfRule type="colorScale" priority="11253">
      <colorScale>
        <cfvo type="min"/>
        <cfvo type="percentile" val="50"/>
        <cfvo type="max"/>
        <color rgb="FFF8696B"/>
        <color rgb="FFFFEB84"/>
        <color rgb="FF63BE7B"/>
      </colorScale>
    </cfRule>
  </conditionalFormatting>
  <conditionalFormatting sqref="D32">
    <cfRule type="colorScale" priority="11252">
      <colorScale>
        <cfvo type="min"/>
        <cfvo type="percentile" val="50"/>
        <cfvo type="max"/>
        <color rgb="FFF8696B"/>
        <color rgb="FFFFEB84"/>
        <color rgb="FF63BE7B"/>
      </colorScale>
    </cfRule>
  </conditionalFormatting>
  <conditionalFormatting sqref="D32">
    <cfRule type="colorScale" priority="11251">
      <colorScale>
        <cfvo type="min"/>
        <cfvo type="percentile" val="50"/>
        <cfvo type="max"/>
        <color rgb="FFF8696B"/>
        <color rgb="FFFFEB84"/>
        <color rgb="FF63BE7B"/>
      </colorScale>
    </cfRule>
  </conditionalFormatting>
  <conditionalFormatting sqref="D32">
    <cfRule type="colorScale" priority="11250">
      <colorScale>
        <cfvo type="min"/>
        <cfvo type="percentile" val="50"/>
        <cfvo type="max"/>
        <color rgb="FFF8696B"/>
        <color rgb="FFFFEB84"/>
        <color rgb="FF63BE7B"/>
      </colorScale>
    </cfRule>
  </conditionalFormatting>
  <conditionalFormatting sqref="D32">
    <cfRule type="colorScale" priority="11249">
      <colorScale>
        <cfvo type="min"/>
        <cfvo type="percentile" val="50"/>
        <cfvo type="max"/>
        <color rgb="FFF8696B"/>
        <color rgb="FFFFEB84"/>
        <color rgb="FF63BE7B"/>
      </colorScale>
    </cfRule>
  </conditionalFormatting>
  <conditionalFormatting sqref="D32">
    <cfRule type="colorScale" priority="11248">
      <colorScale>
        <cfvo type="min"/>
        <cfvo type="percentile" val="50"/>
        <cfvo type="max"/>
        <color rgb="FFF8696B"/>
        <color rgb="FFFFEB84"/>
        <color rgb="FF63BE7B"/>
      </colorScale>
    </cfRule>
  </conditionalFormatting>
  <conditionalFormatting sqref="D32">
    <cfRule type="colorScale" priority="11247">
      <colorScale>
        <cfvo type="min"/>
        <cfvo type="percentile" val="50"/>
        <cfvo type="max"/>
        <color rgb="FFF8696B"/>
        <color rgb="FFFFEB84"/>
        <color rgb="FF63BE7B"/>
      </colorScale>
    </cfRule>
  </conditionalFormatting>
  <conditionalFormatting sqref="D32">
    <cfRule type="colorScale" priority="11246">
      <colorScale>
        <cfvo type="min"/>
        <cfvo type="percentile" val="50"/>
        <cfvo type="max"/>
        <color rgb="FFF8696B"/>
        <color rgb="FFFFEB84"/>
        <color rgb="FF63BE7B"/>
      </colorScale>
    </cfRule>
  </conditionalFormatting>
  <conditionalFormatting sqref="D32">
    <cfRule type="colorScale" priority="11245">
      <colorScale>
        <cfvo type="min"/>
        <cfvo type="percentile" val="50"/>
        <cfvo type="max"/>
        <color rgb="FFF8696B"/>
        <color rgb="FFFFEB84"/>
        <color rgb="FF63BE7B"/>
      </colorScale>
    </cfRule>
  </conditionalFormatting>
  <conditionalFormatting sqref="D32">
    <cfRule type="colorScale" priority="11244">
      <colorScale>
        <cfvo type="min"/>
        <cfvo type="percentile" val="50"/>
        <cfvo type="max"/>
        <color rgb="FFF8696B"/>
        <color rgb="FFFFEB84"/>
        <color rgb="FF63BE7B"/>
      </colorScale>
    </cfRule>
  </conditionalFormatting>
  <conditionalFormatting sqref="D32">
    <cfRule type="colorScale" priority="11243">
      <colorScale>
        <cfvo type="min"/>
        <cfvo type="percentile" val="50"/>
        <cfvo type="max"/>
        <color rgb="FFF8696B"/>
        <color rgb="FFFFEB84"/>
        <color rgb="FF63BE7B"/>
      </colorScale>
    </cfRule>
  </conditionalFormatting>
  <conditionalFormatting sqref="D32">
    <cfRule type="colorScale" priority="11242">
      <colorScale>
        <cfvo type="min"/>
        <cfvo type="percentile" val="50"/>
        <cfvo type="max"/>
        <color rgb="FFF8696B"/>
        <color rgb="FFFFEB84"/>
        <color rgb="FF63BE7B"/>
      </colorScale>
    </cfRule>
  </conditionalFormatting>
  <conditionalFormatting sqref="D32">
    <cfRule type="colorScale" priority="11241">
      <colorScale>
        <cfvo type="min"/>
        <cfvo type="percentile" val="50"/>
        <cfvo type="max"/>
        <color rgb="FFF8696B"/>
        <color rgb="FFFFEB84"/>
        <color rgb="FF63BE7B"/>
      </colorScale>
    </cfRule>
  </conditionalFormatting>
  <conditionalFormatting sqref="D32">
    <cfRule type="colorScale" priority="11240">
      <colorScale>
        <cfvo type="min"/>
        <cfvo type="percentile" val="50"/>
        <cfvo type="max"/>
        <color rgb="FFF8696B"/>
        <color rgb="FFFFEB84"/>
        <color rgb="FF63BE7B"/>
      </colorScale>
    </cfRule>
  </conditionalFormatting>
  <conditionalFormatting sqref="D32">
    <cfRule type="colorScale" priority="11239">
      <colorScale>
        <cfvo type="min"/>
        <cfvo type="percentile" val="50"/>
        <cfvo type="max"/>
        <color rgb="FFF8696B"/>
        <color rgb="FFFFEB84"/>
        <color rgb="FF63BE7B"/>
      </colorScale>
    </cfRule>
  </conditionalFormatting>
  <conditionalFormatting sqref="D32">
    <cfRule type="colorScale" priority="11238">
      <colorScale>
        <cfvo type="min"/>
        <cfvo type="percentile" val="50"/>
        <cfvo type="max"/>
        <color rgb="FFF8696B"/>
        <color rgb="FFFFEB84"/>
        <color rgb="FF63BE7B"/>
      </colorScale>
    </cfRule>
  </conditionalFormatting>
  <conditionalFormatting sqref="D32">
    <cfRule type="colorScale" priority="11237">
      <colorScale>
        <cfvo type="min"/>
        <cfvo type="percentile" val="50"/>
        <cfvo type="max"/>
        <color rgb="FFF8696B"/>
        <color rgb="FFFFEB84"/>
        <color rgb="FF63BE7B"/>
      </colorScale>
    </cfRule>
  </conditionalFormatting>
  <conditionalFormatting sqref="D32">
    <cfRule type="colorScale" priority="11236">
      <colorScale>
        <cfvo type="min"/>
        <cfvo type="percentile" val="50"/>
        <cfvo type="max"/>
        <color rgb="FFF8696B"/>
        <color rgb="FFFFEB84"/>
        <color rgb="FF63BE7B"/>
      </colorScale>
    </cfRule>
  </conditionalFormatting>
  <conditionalFormatting sqref="D32">
    <cfRule type="colorScale" priority="11235">
      <colorScale>
        <cfvo type="min"/>
        <cfvo type="percentile" val="50"/>
        <cfvo type="max"/>
        <color rgb="FFF8696B"/>
        <color rgb="FFFFEB84"/>
        <color rgb="FF63BE7B"/>
      </colorScale>
    </cfRule>
  </conditionalFormatting>
  <conditionalFormatting sqref="D32">
    <cfRule type="colorScale" priority="11234">
      <colorScale>
        <cfvo type="min"/>
        <cfvo type="percentile" val="50"/>
        <cfvo type="max"/>
        <color rgb="FFF8696B"/>
        <color rgb="FFFFEB84"/>
        <color rgb="FF63BE7B"/>
      </colorScale>
    </cfRule>
  </conditionalFormatting>
  <conditionalFormatting sqref="D32">
    <cfRule type="colorScale" priority="11233">
      <colorScale>
        <cfvo type="min"/>
        <cfvo type="percentile" val="50"/>
        <cfvo type="max"/>
        <color rgb="FFF8696B"/>
        <color rgb="FFFFEB84"/>
        <color rgb="FF63BE7B"/>
      </colorScale>
    </cfRule>
  </conditionalFormatting>
  <conditionalFormatting sqref="D32">
    <cfRule type="colorScale" priority="11232">
      <colorScale>
        <cfvo type="min"/>
        <cfvo type="percentile" val="50"/>
        <cfvo type="max"/>
        <color rgb="FFF8696B"/>
        <color rgb="FFFFEB84"/>
        <color rgb="FF63BE7B"/>
      </colorScale>
    </cfRule>
  </conditionalFormatting>
  <conditionalFormatting sqref="D32">
    <cfRule type="colorScale" priority="11231">
      <colorScale>
        <cfvo type="min"/>
        <cfvo type="percentile" val="50"/>
        <cfvo type="max"/>
        <color rgb="FFF8696B"/>
        <color rgb="FFFFEB84"/>
        <color rgb="FF63BE7B"/>
      </colorScale>
    </cfRule>
  </conditionalFormatting>
  <conditionalFormatting sqref="D32">
    <cfRule type="colorScale" priority="11230">
      <colorScale>
        <cfvo type="min"/>
        <cfvo type="percentile" val="50"/>
        <cfvo type="max"/>
        <color rgb="FFF8696B"/>
        <color rgb="FFFFEB84"/>
        <color rgb="FF63BE7B"/>
      </colorScale>
    </cfRule>
  </conditionalFormatting>
  <conditionalFormatting sqref="D32">
    <cfRule type="colorScale" priority="11229">
      <colorScale>
        <cfvo type="min"/>
        <cfvo type="percentile" val="50"/>
        <cfvo type="max"/>
        <color rgb="FFF8696B"/>
        <color rgb="FFFFEB84"/>
        <color rgb="FF63BE7B"/>
      </colorScale>
    </cfRule>
  </conditionalFormatting>
  <conditionalFormatting sqref="D32">
    <cfRule type="colorScale" priority="11228">
      <colorScale>
        <cfvo type="min"/>
        <cfvo type="percentile" val="50"/>
        <cfvo type="max"/>
        <color rgb="FFF8696B"/>
        <color rgb="FFFFEB84"/>
        <color rgb="FF63BE7B"/>
      </colorScale>
    </cfRule>
  </conditionalFormatting>
  <conditionalFormatting sqref="D32">
    <cfRule type="colorScale" priority="11227">
      <colorScale>
        <cfvo type="min"/>
        <cfvo type="percentile" val="50"/>
        <cfvo type="max"/>
        <color rgb="FFF8696B"/>
        <color rgb="FFFFEB84"/>
        <color rgb="FF63BE7B"/>
      </colorScale>
    </cfRule>
  </conditionalFormatting>
  <conditionalFormatting sqref="D32">
    <cfRule type="colorScale" priority="11226">
      <colorScale>
        <cfvo type="min"/>
        <cfvo type="percentile" val="50"/>
        <cfvo type="max"/>
        <color rgb="FFF8696B"/>
        <color rgb="FFFFEB84"/>
        <color rgb="FF63BE7B"/>
      </colorScale>
    </cfRule>
  </conditionalFormatting>
  <conditionalFormatting sqref="D32">
    <cfRule type="colorScale" priority="11225">
      <colorScale>
        <cfvo type="min"/>
        <cfvo type="percentile" val="50"/>
        <cfvo type="max"/>
        <color rgb="FFF8696B"/>
        <color rgb="FFFFEB84"/>
        <color rgb="FF63BE7B"/>
      </colorScale>
    </cfRule>
  </conditionalFormatting>
  <conditionalFormatting sqref="D32">
    <cfRule type="colorScale" priority="11224">
      <colorScale>
        <cfvo type="min"/>
        <cfvo type="percentile" val="50"/>
        <cfvo type="max"/>
        <color rgb="FFF8696B"/>
        <color rgb="FFFFEB84"/>
        <color rgb="FF63BE7B"/>
      </colorScale>
    </cfRule>
  </conditionalFormatting>
  <conditionalFormatting sqref="D32">
    <cfRule type="colorScale" priority="11223">
      <colorScale>
        <cfvo type="min"/>
        <cfvo type="percentile" val="50"/>
        <cfvo type="max"/>
        <color rgb="FFF8696B"/>
        <color rgb="FFFFEB84"/>
        <color rgb="FF63BE7B"/>
      </colorScale>
    </cfRule>
  </conditionalFormatting>
  <conditionalFormatting sqref="D32">
    <cfRule type="colorScale" priority="11222">
      <colorScale>
        <cfvo type="min"/>
        <cfvo type="percentile" val="50"/>
        <cfvo type="max"/>
        <color rgb="FFF8696B"/>
        <color rgb="FFFFEB84"/>
        <color rgb="FF63BE7B"/>
      </colorScale>
    </cfRule>
  </conditionalFormatting>
  <conditionalFormatting sqref="D32">
    <cfRule type="colorScale" priority="11221">
      <colorScale>
        <cfvo type="min"/>
        <cfvo type="percentile" val="50"/>
        <cfvo type="max"/>
        <color rgb="FFF8696B"/>
        <color rgb="FFFFEB84"/>
        <color rgb="FF63BE7B"/>
      </colorScale>
    </cfRule>
  </conditionalFormatting>
  <conditionalFormatting sqref="D32">
    <cfRule type="colorScale" priority="11220">
      <colorScale>
        <cfvo type="min"/>
        <cfvo type="percentile" val="50"/>
        <cfvo type="max"/>
        <color rgb="FFF8696B"/>
        <color rgb="FFFFEB84"/>
        <color rgb="FF63BE7B"/>
      </colorScale>
    </cfRule>
  </conditionalFormatting>
  <conditionalFormatting sqref="D32">
    <cfRule type="colorScale" priority="11219">
      <colorScale>
        <cfvo type="min"/>
        <cfvo type="percentile" val="50"/>
        <cfvo type="max"/>
        <color rgb="FFF8696B"/>
        <color rgb="FFFFEB84"/>
        <color rgb="FF63BE7B"/>
      </colorScale>
    </cfRule>
  </conditionalFormatting>
  <conditionalFormatting sqref="D32">
    <cfRule type="colorScale" priority="11218">
      <colorScale>
        <cfvo type="min"/>
        <cfvo type="percentile" val="50"/>
        <cfvo type="max"/>
        <color rgb="FFF8696B"/>
        <color rgb="FFFFEB84"/>
        <color rgb="FF63BE7B"/>
      </colorScale>
    </cfRule>
  </conditionalFormatting>
  <conditionalFormatting sqref="D32">
    <cfRule type="colorScale" priority="11217">
      <colorScale>
        <cfvo type="min"/>
        <cfvo type="percentile" val="50"/>
        <cfvo type="max"/>
        <color rgb="FFF8696B"/>
        <color rgb="FFFFEB84"/>
        <color rgb="FF63BE7B"/>
      </colorScale>
    </cfRule>
  </conditionalFormatting>
  <conditionalFormatting sqref="D32">
    <cfRule type="colorScale" priority="11216">
      <colorScale>
        <cfvo type="min"/>
        <cfvo type="percentile" val="50"/>
        <cfvo type="max"/>
        <color rgb="FFF8696B"/>
        <color rgb="FFFFEB84"/>
        <color rgb="FF63BE7B"/>
      </colorScale>
    </cfRule>
  </conditionalFormatting>
  <conditionalFormatting sqref="D32">
    <cfRule type="colorScale" priority="11215">
      <colorScale>
        <cfvo type="min"/>
        <cfvo type="percentile" val="50"/>
        <cfvo type="max"/>
        <color rgb="FFF8696B"/>
        <color rgb="FFFFEB84"/>
        <color rgb="FF63BE7B"/>
      </colorScale>
    </cfRule>
  </conditionalFormatting>
  <conditionalFormatting sqref="D32">
    <cfRule type="colorScale" priority="11214">
      <colorScale>
        <cfvo type="min"/>
        <cfvo type="percentile" val="50"/>
        <cfvo type="max"/>
        <color rgb="FFF8696B"/>
        <color rgb="FFFFEB84"/>
        <color rgb="FF63BE7B"/>
      </colorScale>
    </cfRule>
  </conditionalFormatting>
  <conditionalFormatting sqref="D32">
    <cfRule type="colorScale" priority="11213">
      <colorScale>
        <cfvo type="min"/>
        <cfvo type="percentile" val="50"/>
        <cfvo type="max"/>
        <color rgb="FFF8696B"/>
        <color rgb="FFFFEB84"/>
        <color rgb="FF63BE7B"/>
      </colorScale>
    </cfRule>
  </conditionalFormatting>
  <conditionalFormatting sqref="D32">
    <cfRule type="colorScale" priority="11212">
      <colorScale>
        <cfvo type="min"/>
        <cfvo type="percentile" val="50"/>
        <cfvo type="max"/>
        <color rgb="FFF8696B"/>
        <color rgb="FFFFEB84"/>
        <color rgb="FF63BE7B"/>
      </colorScale>
    </cfRule>
  </conditionalFormatting>
  <conditionalFormatting sqref="D32">
    <cfRule type="colorScale" priority="11211">
      <colorScale>
        <cfvo type="min"/>
        <cfvo type="percentile" val="50"/>
        <cfvo type="max"/>
        <color rgb="FFF8696B"/>
        <color rgb="FFFFEB84"/>
        <color rgb="FF63BE7B"/>
      </colorScale>
    </cfRule>
  </conditionalFormatting>
  <conditionalFormatting sqref="D32">
    <cfRule type="colorScale" priority="11210">
      <colorScale>
        <cfvo type="min"/>
        <cfvo type="percentile" val="50"/>
        <cfvo type="max"/>
        <color rgb="FFF8696B"/>
        <color rgb="FFFFEB84"/>
        <color rgb="FF63BE7B"/>
      </colorScale>
    </cfRule>
  </conditionalFormatting>
  <conditionalFormatting sqref="D32">
    <cfRule type="colorScale" priority="11209">
      <colorScale>
        <cfvo type="min"/>
        <cfvo type="percentile" val="50"/>
        <cfvo type="max"/>
        <color rgb="FFF8696B"/>
        <color rgb="FFFFEB84"/>
        <color rgb="FF63BE7B"/>
      </colorScale>
    </cfRule>
  </conditionalFormatting>
  <conditionalFormatting sqref="D32">
    <cfRule type="colorScale" priority="11208">
      <colorScale>
        <cfvo type="min"/>
        <cfvo type="percentile" val="50"/>
        <cfvo type="max"/>
        <color rgb="FFF8696B"/>
        <color rgb="FFFFEB84"/>
        <color rgb="FF63BE7B"/>
      </colorScale>
    </cfRule>
  </conditionalFormatting>
  <conditionalFormatting sqref="D32">
    <cfRule type="colorScale" priority="11207">
      <colorScale>
        <cfvo type="min"/>
        <cfvo type="percentile" val="50"/>
        <cfvo type="max"/>
        <color rgb="FFF8696B"/>
        <color rgb="FFFFEB84"/>
        <color rgb="FF63BE7B"/>
      </colorScale>
    </cfRule>
  </conditionalFormatting>
  <conditionalFormatting sqref="D32">
    <cfRule type="colorScale" priority="11206">
      <colorScale>
        <cfvo type="min"/>
        <cfvo type="percentile" val="50"/>
        <cfvo type="max"/>
        <color rgb="FFF8696B"/>
        <color rgb="FFFFEB84"/>
        <color rgb="FF63BE7B"/>
      </colorScale>
    </cfRule>
  </conditionalFormatting>
  <conditionalFormatting sqref="D32">
    <cfRule type="colorScale" priority="11205">
      <colorScale>
        <cfvo type="min"/>
        <cfvo type="percentile" val="50"/>
        <cfvo type="max"/>
        <color rgb="FFF8696B"/>
        <color rgb="FFFFEB84"/>
        <color rgb="FF63BE7B"/>
      </colorScale>
    </cfRule>
  </conditionalFormatting>
  <conditionalFormatting sqref="D32">
    <cfRule type="colorScale" priority="11204">
      <colorScale>
        <cfvo type="min"/>
        <cfvo type="percentile" val="50"/>
        <cfvo type="max"/>
        <color rgb="FFF8696B"/>
        <color rgb="FFFFEB84"/>
        <color rgb="FF63BE7B"/>
      </colorScale>
    </cfRule>
  </conditionalFormatting>
  <conditionalFormatting sqref="D32">
    <cfRule type="colorScale" priority="11203">
      <colorScale>
        <cfvo type="min"/>
        <cfvo type="percentile" val="50"/>
        <cfvo type="max"/>
        <color rgb="FFF8696B"/>
        <color rgb="FFFFEB84"/>
        <color rgb="FF63BE7B"/>
      </colorScale>
    </cfRule>
  </conditionalFormatting>
  <conditionalFormatting sqref="D32">
    <cfRule type="colorScale" priority="11202">
      <colorScale>
        <cfvo type="min"/>
        <cfvo type="percentile" val="50"/>
        <cfvo type="max"/>
        <color rgb="FFF8696B"/>
        <color rgb="FFFFEB84"/>
        <color rgb="FF63BE7B"/>
      </colorScale>
    </cfRule>
  </conditionalFormatting>
  <conditionalFormatting sqref="D32">
    <cfRule type="colorScale" priority="11201">
      <colorScale>
        <cfvo type="min"/>
        <cfvo type="percentile" val="50"/>
        <cfvo type="max"/>
        <color rgb="FFF8696B"/>
        <color rgb="FFFFEB84"/>
        <color rgb="FF63BE7B"/>
      </colorScale>
    </cfRule>
  </conditionalFormatting>
  <conditionalFormatting sqref="D32">
    <cfRule type="colorScale" priority="11200">
      <colorScale>
        <cfvo type="min"/>
        <cfvo type="percentile" val="50"/>
        <cfvo type="max"/>
        <color rgb="FFF8696B"/>
        <color rgb="FFFFEB84"/>
        <color rgb="FF63BE7B"/>
      </colorScale>
    </cfRule>
  </conditionalFormatting>
  <conditionalFormatting sqref="D32">
    <cfRule type="colorScale" priority="11199">
      <colorScale>
        <cfvo type="min"/>
        <cfvo type="percentile" val="50"/>
        <cfvo type="max"/>
        <color rgb="FFF8696B"/>
        <color rgb="FFFFEB84"/>
        <color rgb="FF63BE7B"/>
      </colorScale>
    </cfRule>
  </conditionalFormatting>
  <conditionalFormatting sqref="D32">
    <cfRule type="colorScale" priority="11198">
      <colorScale>
        <cfvo type="min"/>
        <cfvo type="percentile" val="50"/>
        <cfvo type="max"/>
        <color rgb="FFF8696B"/>
        <color rgb="FFFFEB84"/>
        <color rgb="FF63BE7B"/>
      </colorScale>
    </cfRule>
  </conditionalFormatting>
  <conditionalFormatting sqref="D32">
    <cfRule type="colorScale" priority="11197">
      <colorScale>
        <cfvo type="min"/>
        <cfvo type="percentile" val="50"/>
        <cfvo type="max"/>
        <color rgb="FFF8696B"/>
        <color rgb="FFFFEB84"/>
        <color rgb="FF63BE7B"/>
      </colorScale>
    </cfRule>
  </conditionalFormatting>
  <conditionalFormatting sqref="D32">
    <cfRule type="colorScale" priority="11196">
      <colorScale>
        <cfvo type="min"/>
        <cfvo type="percentile" val="50"/>
        <cfvo type="max"/>
        <color rgb="FFF8696B"/>
        <color rgb="FFFFEB84"/>
        <color rgb="FF63BE7B"/>
      </colorScale>
    </cfRule>
  </conditionalFormatting>
  <conditionalFormatting sqref="E25:E27 E10:F25">
    <cfRule type="colorScale" priority="11195">
      <colorScale>
        <cfvo type="min"/>
        <cfvo type="percentile" val="50"/>
        <cfvo type="max"/>
        <color rgb="FFF8696B"/>
        <color rgb="FFFFEB84"/>
        <color rgb="FF63BE7B"/>
      </colorScale>
    </cfRule>
  </conditionalFormatting>
  <conditionalFormatting sqref="E25:E27 E10:F25">
    <cfRule type="colorScale" priority="11194">
      <colorScale>
        <cfvo type="min"/>
        <cfvo type="percentile" val="50"/>
        <cfvo type="max"/>
        <color rgb="FFF8696B"/>
        <color rgb="FFFFEB84"/>
        <color rgb="FF63BE7B"/>
      </colorScale>
    </cfRule>
  </conditionalFormatting>
  <conditionalFormatting sqref="E10:E27">
    <cfRule type="colorScale" priority="11193">
      <colorScale>
        <cfvo type="min"/>
        <cfvo type="percentile" val="50"/>
        <cfvo type="max"/>
        <color rgb="FFF8696B"/>
        <color rgb="FFFFEB84"/>
        <color rgb="FF63BE7B"/>
      </colorScale>
    </cfRule>
  </conditionalFormatting>
  <conditionalFormatting sqref="E10:E27">
    <cfRule type="colorScale" priority="11192">
      <colorScale>
        <cfvo type="min"/>
        <cfvo type="percentile" val="50"/>
        <cfvo type="max"/>
        <color rgb="FFF8696B"/>
        <color rgb="FFFFEB84"/>
        <color rgb="FF63BE7B"/>
      </colorScale>
    </cfRule>
  </conditionalFormatting>
  <conditionalFormatting sqref="E10:E27">
    <cfRule type="colorScale" priority="11191">
      <colorScale>
        <cfvo type="min"/>
        <cfvo type="percentile" val="50"/>
        <cfvo type="max"/>
        <color rgb="FFF8696B"/>
        <color rgb="FFFFEB84"/>
        <color rgb="FF63BE7B"/>
      </colorScale>
    </cfRule>
  </conditionalFormatting>
  <conditionalFormatting sqref="E10:E27">
    <cfRule type="colorScale" priority="11190">
      <colorScale>
        <cfvo type="min"/>
        <cfvo type="percentile" val="50"/>
        <cfvo type="max"/>
        <color rgb="FFF8696B"/>
        <color rgb="FFFFEB84"/>
        <color rgb="FF63BE7B"/>
      </colorScale>
    </cfRule>
  </conditionalFormatting>
  <conditionalFormatting sqref="E10:E27">
    <cfRule type="colorScale" priority="11189">
      <colorScale>
        <cfvo type="min"/>
        <cfvo type="percentile" val="50"/>
        <cfvo type="max"/>
        <color rgb="FFF8696B"/>
        <color rgb="FFFFEB84"/>
        <color rgb="FF63BE7B"/>
      </colorScale>
    </cfRule>
  </conditionalFormatting>
  <conditionalFormatting sqref="E10:E27">
    <cfRule type="colorScale" priority="11188">
      <colorScale>
        <cfvo type="min"/>
        <cfvo type="percentile" val="50"/>
        <cfvo type="max"/>
        <color rgb="FFF8696B"/>
        <color rgb="FFFFEB84"/>
        <color rgb="FF63BE7B"/>
      </colorScale>
    </cfRule>
  </conditionalFormatting>
  <conditionalFormatting sqref="E10:E27">
    <cfRule type="colorScale" priority="11187">
      <colorScale>
        <cfvo type="min"/>
        <cfvo type="percentile" val="50"/>
        <cfvo type="max"/>
        <color rgb="FFF8696B"/>
        <color rgb="FFFFEB84"/>
        <color rgb="FF63BE7B"/>
      </colorScale>
    </cfRule>
  </conditionalFormatting>
  <conditionalFormatting sqref="E10:E27">
    <cfRule type="colorScale" priority="11186">
      <colorScale>
        <cfvo type="min"/>
        <cfvo type="percentile" val="50"/>
        <cfvo type="max"/>
        <color rgb="FFF8696B"/>
        <color rgb="FFFFEB84"/>
        <color rgb="FF63BE7B"/>
      </colorScale>
    </cfRule>
  </conditionalFormatting>
  <conditionalFormatting sqref="E10:E27">
    <cfRule type="colorScale" priority="11185">
      <colorScale>
        <cfvo type="min"/>
        <cfvo type="percentile" val="50"/>
        <cfvo type="max"/>
        <color rgb="FFF8696B"/>
        <color rgb="FFFFEB84"/>
        <color rgb="FF63BE7B"/>
      </colorScale>
    </cfRule>
  </conditionalFormatting>
  <conditionalFormatting sqref="E10:E27">
    <cfRule type="colorScale" priority="11184">
      <colorScale>
        <cfvo type="min"/>
        <cfvo type="percentile" val="50"/>
        <cfvo type="max"/>
        <color rgb="FFF8696B"/>
        <color rgb="FFFFEB84"/>
        <color rgb="FF63BE7B"/>
      </colorScale>
    </cfRule>
  </conditionalFormatting>
  <conditionalFormatting sqref="E10:E27">
    <cfRule type="colorScale" priority="11183">
      <colorScale>
        <cfvo type="min"/>
        <cfvo type="percentile" val="50"/>
        <cfvo type="max"/>
        <color rgb="FFF8696B"/>
        <color rgb="FFFFEB84"/>
        <color rgb="FF63BE7B"/>
      </colorScale>
    </cfRule>
  </conditionalFormatting>
  <conditionalFormatting sqref="E10:E27">
    <cfRule type="colorScale" priority="11182">
      <colorScale>
        <cfvo type="min"/>
        <cfvo type="percentile" val="50"/>
        <cfvo type="max"/>
        <color rgb="FFF8696B"/>
        <color rgb="FFFFEB84"/>
        <color rgb="FF63BE7B"/>
      </colorScale>
    </cfRule>
  </conditionalFormatting>
  <conditionalFormatting sqref="E10:E27">
    <cfRule type="colorScale" priority="11181">
      <colorScale>
        <cfvo type="min"/>
        <cfvo type="percentile" val="50"/>
        <cfvo type="max"/>
        <color rgb="FFF8696B"/>
        <color rgb="FFFFEB84"/>
        <color rgb="FF63BE7B"/>
      </colorScale>
    </cfRule>
  </conditionalFormatting>
  <conditionalFormatting sqref="E10:E27">
    <cfRule type="colorScale" priority="11180">
      <colorScale>
        <cfvo type="min"/>
        <cfvo type="percentile" val="50"/>
        <cfvo type="max"/>
        <color rgb="FFF8696B"/>
        <color rgb="FFFFEB84"/>
        <color rgb="FF63BE7B"/>
      </colorScale>
    </cfRule>
  </conditionalFormatting>
  <conditionalFormatting sqref="E10:E27">
    <cfRule type="colorScale" priority="11179">
      <colorScale>
        <cfvo type="min"/>
        <cfvo type="percentile" val="50"/>
        <cfvo type="max"/>
        <color rgb="FFF8696B"/>
        <color rgb="FFFFEB84"/>
        <color rgb="FF63BE7B"/>
      </colorScale>
    </cfRule>
  </conditionalFormatting>
  <conditionalFormatting sqref="E10:E27">
    <cfRule type="colorScale" priority="11178">
      <colorScale>
        <cfvo type="min"/>
        <cfvo type="percentile" val="50"/>
        <cfvo type="max"/>
        <color rgb="FFF8696B"/>
        <color rgb="FFFFEB84"/>
        <color rgb="FF63BE7B"/>
      </colorScale>
    </cfRule>
  </conditionalFormatting>
  <conditionalFormatting sqref="E10:E27">
    <cfRule type="colorScale" priority="11177">
      <colorScale>
        <cfvo type="min"/>
        <cfvo type="percentile" val="50"/>
        <cfvo type="max"/>
        <color rgb="FFF8696B"/>
        <color rgb="FFFFEB84"/>
        <color rgb="FF63BE7B"/>
      </colorScale>
    </cfRule>
  </conditionalFormatting>
  <conditionalFormatting sqref="E10:E27">
    <cfRule type="colorScale" priority="11176">
      <colorScale>
        <cfvo type="min"/>
        <cfvo type="percentile" val="50"/>
        <cfvo type="max"/>
        <color rgb="FFF8696B"/>
        <color rgb="FFFFEB84"/>
        <color rgb="FF63BE7B"/>
      </colorScale>
    </cfRule>
  </conditionalFormatting>
  <conditionalFormatting sqref="E10:E27">
    <cfRule type="colorScale" priority="11175">
      <colorScale>
        <cfvo type="min"/>
        <cfvo type="percentile" val="50"/>
        <cfvo type="max"/>
        <color rgb="FFF8696B"/>
        <color rgb="FFFFEB84"/>
        <color rgb="FF63BE7B"/>
      </colorScale>
    </cfRule>
  </conditionalFormatting>
  <conditionalFormatting sqref="E10:E27">
    <cfRule type="colorScale" priority="11174">
      <colorScale>
        <cfvo type="min"/>
        <cfvo type="percentile" val="50"/>
        <cfvo type="max"/>
        <color rgb="FFF8696B"/>
        <color rgb="FFFFEB84"/>
        <color rgb="FF63BE7B"/>
      </colorScale>
    </cfRule>
  </conditionalFormatting>
  <conditionalFormatting sqref="E10:E27">
    <cfRule type="colorScale" priority="11173">
      <colorScale>
        <cfvo type="min"/>
        <cfvo type="percentile" val="50"/>
        <cfvo type="max"/>
        <color rgb="FFF8696B"/>
        <color rgb="FFFFEB84"/>
        <color rgb="FF63BE7B"/>
      </colorScale>
    </cfRule>
  </conditionalFormatting>
  <conditionalFormatting sqref="E10:E27">
    <cfRule type="colorScale" priority="11172">
      <colorScale>
        <cfvo type="min"/>
        <cfvo type="percentile" val="50"/>
        <cfvo type="max"/>
        <color rgb="FFF8696B"/>
        <color rgb="FFFFEB84"/>
        <color rgb="FF63BE7B"/>
      </colorScale>
    </cfRule>
  </conditionalFormatting>
  <conditionalFormatting sqref="E10:E27">
    <cfRule type="colorScale" priority="11171">
      <colorScale>
        <cfvo type="min"/>
        <cfvo type="percentile" val="50"/>
        <cfvo type="max"/>
        <color rgb="FFF8696B"/>
        <color rgb="FFFFEB84"/>
        <color rgb="FF63BE7B"/>
      </colorScale>
    </cfRule>
  </conditionalFormatting>
  <conditionalFormatting sqref="E10:E27">
    <cfRule type="colorScale" priority="11170">
      <colorScale>
        <cfvo type="min"/>
        <cfvo type="percentile" val="50"/>
        <cfvo type="max"/>
        <color rgb="FFF8696B"/>
        <color rgb="FFFFEB84"/>
        <color rgb="FF63BE7B"/>
      </colorScale>
    </cfRule>
  </conditionalFormatting>
  <conditionalFormatting sqref="E10:E27">
    <cfRule type="colorScale" priority="11169">
      <colorScale>
        <cfvo type="min"/>
        <cfvo type="percentile" val="50"/>
        <cfvo type="max"/>
        <color rgb="FFF8696B"/>
        <color rgb="FFFFEB84"/>
        <color rgb="FF63BE7B"/>
      </colorScale>
    </cfRule>
  </conditionalFormatting>
  <conditionalFormatting sqref="E10:E27">
    <cfRule type="colorScale" priority="11168">
      <colorScale>
        <cfvo type="min"/>
        <cfvo type="percentile" val="50"/>
        <cfvo type="max"/>
        <color rgb="FFF8696B"/>
        <color rgb="FFFFEB84"/>
        <color rgb="FF63BE7B"/>
      </colorScale>
    </cfRule>
  </conditionalFormatting>
  <conditionalFormatting sqref="E10:E27">
    <cfRule type="colorScale" priority="11167">
      <colorScale>
        <cfvo type="min"/>
        <cfvo type="percentile" val="50"/>
        <cfvo type="max"/>
        <color rgb="FFF8696B"/>
        <color rgb="FFFFEB84"/>
        <color rgb="FF63BE7B"/>
      </colorScale>
    </cfRule>
  </conditionalFormatting>
  <conditionalFormatting sqref="E10:E27">
    <cfRule type="colorScale" priority="11166">
      <colorScale>
        <cfvo type="min"/>
        <cfvo type="percentile" val="50"/>
        <cfvo type="max"/>
        <color rgb="FFF8696B"/>
        <color rgb="FFFFEB84"/>
        <color rgb="FF63BE7B"/>
      </colorScale>
    </cfRule>
  </conditionalFormatting>
  <conditionalFormatting sqref="E10:E27">
    <cfRule type="colorScale" priority="11165">
      <colorScale>
        <cfvo type="min"/>
        <cfvo type="percentile" val="50"/>
        <cfvo type="max"/>
        <color rgb="FFF8696B"/>
        <color rgb="FFFFEB84"/>
        <color rgb="FF63BE7B"/>
      </colorScale>
    </cfRule>
  </conditionalFormatting>
  <conditionalFormatting sqref="E10:E27">
    <cfRule type="colorScale" priority="11164">
      <colorScale>
        <cfvo type="min"/>
        <cfvo type="percentile" val="50"/>
        <cfvo type="max"/>
        <color rgb="FFF8696B"/>
        <color rgb="FFFFEB84"/>
        <color rgb="FF63BE7B"/>
      </colorScale>
    </cfRule>
  </conditionalFormatting>
  <conditionalFormatting sqref="E10:E27">
    <cfRule type="colorScale" priority="11163">
      <colorScale>
        <cfvo type="min"/>
        <cfvo type="percentile" val="50"/>
        <cfvo type="max"/>
        <color rgb="FFF8696B"/>
        <color rgb="FFFFEB84"/>
        <color rgb="FF63BE7B"/>
      </colorScale>
    </cfRule>
  </conditionalFormatting>
  <conditionalFormatting sqref="E10:E27">
    <cfRule type="colorScale" priority="11162">
      <colorScale>
        <cfvo type="min"/>
        <cfvo type="percentile" val="50"/>
        <cfvo type="max"/>
        <color rgb="FFF8696B"/>
        <color rgb="FFFFEB84"/>
        <color rgb="FF63BE7B"/>
      </colorScale>
    </cfRule>
  </conditionalFormatting>
  <conditionalFormatting sqref="E10:E27">
    <cfRule type="colorScale" priority="11161">
      <colorScale>
        <cfvo type="min"/>
        <cfvo type="percentile" val="50"/>
        <cfvo type="max"/>
        <color rgb="FFF8696B"/>
        <color rgb="FFFFEB84"/>
        <color rgb="FF63BE7B"/>
      </colorScale>
    </cfRule>
  </conditionalFormatting>
  <conditionalFormatting sqref="E10:E27">
    <cfRule type="colorScale" priority="11160">
      <colorScale>
        <cfvo type="min"/>
        <cfvo type="percentile" val="50"/>
        <cfvo type="max"/>
        <color rgb="FFF8696B"/>
        <color rgb="FFFFEB84"/>
        <color rgb="FF63BE7B"/>
      </colorScale>
    </cfRule>
  </conditionalFormatting>
  <conditionalFormatting sqref="E10:E27">
    <cfRule type="colorScale" priority="11159">
      <colorScale>
        <cfvo type="min"/>
        <cfvo type="percentile" val="50"/>
        <cfvo type="max"/>
        <color rgb="FFF8696B"/>
        <color rgb="FFFFEB84"/>
        <color rgb="FF63BE7B"/>
      </colorScale>
    </cfRule>
  </conditionalFormatting>
  <conditionalFormatting sqref="E10:E27">
    <cfRule type="colorScale" priority="11158">
      <colorScale>
        <cfvo type="min"/>
        <cfvo type="percentile" val="50"/>
        <cfvo type="max"/>
        <color rgb="FFF8696B"/>
        <color rgb="FFFFEB84"/>
        <color rgb="FF63BE7B"/>
      </colorScale>
    </cfRule>
  </conditionalFormatting>
  <conditionalFormatting sqref="E10:E27">
    <cfRule type="colorScale" priority="11157">
      <colorScale>
        <cfvo type="min"/>
        <cfvo type="percentile" val="50"/>
        <cfvo type="max"/>
        <color rgb="FFF8696B"/>
        <color rgb="FFFFEB84"/>
        <color rgb="FF63BE7B"/>
      </colorScale>
    </cfRule>
  </conditionalFormatting>
  <conditionalFormatting sqref="E10:E27">
    <cfRule type="colorScale" priority="11156">
      <colorScale>
        <cfvo type="min"/>
        <cfvo type="percentile" val="50"/>
        <cfvo type="max"/>
        <color rgb="FFF8696B"/>
        <color rgb="FFFFEB84"/>
        <color rgb="FF63BE7B"/>
      </colorScale>
    </cfRule>
  </conditionalFormatting>
  <conditionalFormatting sqref="E10:E27">
    <cfRule type="colorScale" priority="11155">
      <colorScale>
        <cfvo type="min"/>
        <cfvo type="percentile" val="50"/>
        <cfvo type="max"/>
        <color rgb="FFF8696B"/>
        <color rgb="FFFFEB84"/>
        <color rgb="FF63BE7B"/>
      </colorScale>
    </cfRule>
  </conditionalFormatting>
  <conditionalFormatting sqref="E10:E27">
    <cfRule type="colorScale" priority="11154">
      <colorScale>
        <cfvo type="min"/>
        <cfvo type="percentile" val="50"/>
        <cfvo type="max"/>
        <color rgb="FFF8696B"/>
        <color rgb="FFFFEB84"/>
        <color rgb="FF63BE7B"/>
      </colorScale>
    </cfRule>
  </conditionalFormatting>
  <conditionalFormatting sqref="E10:E27">
    <cfRule type="colorScale" priority="11153">
      <colorScale>
        <cfvo type="min"/>
        <cfvo type="percentile" val="50"/>
        <cfvo type="max"/>
        <color rgb="FFF8696B"/>
        <color rgb="FFFFEB84"/>
        <color rgb="FF63BE7B"/>
      </colorScale>
    </cfRule>
  </conditionalFormatting>
  <conditionalFormatting sqref="E10:E27">
    <cfRule type="colorScale" priority="11152">
      <colorScale>
        <cfvo type="min"/>
        <cfvo type="percentile" val="50"/>
        <cfvo type="max"/>
        <color rgb="FFF8696B"/>
        <color rgb="FFFFEB84"/>
        <color rgb="FF63BE7B"/>
      </colorScale>
    </cfRule>
  </conditionalFormatting>
  <conditionalFormatting sqref="E10:E27">
    <cfRule type="colorScale" priority="11151">
      <colorScale>
        <cfvo type="min"/>
        <cfvo type="percentile" val="50"/>
        <cfvo type="max"/>
        <color rgb="FFF8696B"/>
        <color rgb="FFFFEB84"/>
        <color rgb="FF63BE7B"/>
      </colorScale>
    </cfRule>
  </conditionalFormatting>
  <conditionalFormatting sqref="E10:E27">
    <cfRule type="colorScale" priority="11150">
      <colorScale>
        <cfvo type="min"/>
        <cfvo type="percentile" val="50"/>
        <cfvo type="max"/>
        <color rgb="FFF8696B"/>
        <color rgb="FFFFEB84"/>
        <color rgb="FF63BE7B"/>
      </colorScale>
    </cfRule>
  </conditionalFormatting>
  <conditionalFormatting sqref="E10:E27">
    <cfRule type="colorScale" priority="11149">
      <colorScale>
        <cfvo type="min"/>
        <cfvo type="percentile" val="50"/>
        <cfvo type="max"/>
        <color rgb="FFF8696B"/>
        <color rgb="FFFFEB84"/>
        <color rgb="FF63BE7B"/>
      </colorScale>
    </cfRule>
  </conditionalFormatting>
  <conditionalFormatting sqref="E10:E27">
    <cfRule type="colorScale" priority="11148">
      <colorScale>
        <cfvo type="min"/>
        <cfvo type="percentile" val="50"/>
        <cfvo type="max"/>
        <color rgb="FFF8696B"/>
        <color rgb="FFFFEB84"/>
        <color rgb="FF63BE7B"/>
      </colorScale>
    </cfRule>
  </conditionalFormatting>
  <conditionalFormatting sqref="E10:E27">
    <cfRule type="colorScale" priority="11147">
      <colorScale>
        <cfvo type="min"/>
        <cfvo type="percentile" val="50"/>
        <cfvo type="max"/>
        <color rgb="FFF8696B"/>
        <color rgb="FFFFEB84"/>
        <color rgb="FF63BE7B"/>
      </colorScale>
    </cfRule>
  </conditionalFormatting>
  <conditionalFormatting sqref="E10:E27">
    <cfRule type="colorScale" priority="11146">
      <colorScale>
        <cfvo type="min"/>
        <cfvo type="percentile" val="50"/>
        <cfvo type="max"/>
        <color rgb="FFF8696B"/>
        <color rgb="FFFFEB84"/>
        <color rgb="FF63BE7B"/>
      </colorScale>
    </cfRule>
  </conditionalFormatting>
  <conditionalFormatting sqref="E10:E27">
    <cfRule type="colorScale" priority="11145">
      <colorScale>
        <cfvo type="min"/>
        <cfvo type="percentile" val="50"/>
        <cfvo type="max"/>
        <color rgb="FFF8696B"/>
        <color rgb="FFFFEB84"/>
        <color rgb="FF63BE7B"/>
      </colorScale>
    </cfRule>
  </conditionalFormatting>
  <conditionalFormatting sqref="E10:E27">
    <cfRule type="colorScale" priority="11144">
      <colorScale>
        <cfvo type="min"/>
        <cfvo type="percentile" val="50"/>
        <cfvo type="max"/>
        <color rgb="FFF8696B"/>
        <color rgb="FFFFEB84"/>
        <color rgb="FF63BE7B"/>
      </colorScale>
    </cfRule>
  </conditionalFormatting>
  <conditionalFormatting sqref="E10:E27">
    <cfRule type="colorScale" priority="11143">
      <colorScale>
        <cfvo type="min"/>
        <cfvo type="percentile" val="50"/>
        <cfvo type="max"/>
        <color rgb="FFF8696B"/>
        <color rgb="FFFFEB84"/>
        <color rgb="FF63BE7B"/>
      </colorScale>
    </cfRule>
  </conditionalFormatting>
  <conditionalFormatting sqref="E10:E27">
    <cfRule type="colorScale" priority="11142">
      <colorScale>
        <cfvo type="min"/>
        <cfvo type="percentile" val="50"/>
        <cfvo type="max"/>
        <color rgb="FFF8696B"/>
        <color rgb="FFFFEB84"/>
        <color rgb="FF63BE7B"/>
      </colorScale>
    </cfRule>
  </conditionalFormatting>
  <conditionalFormatting sqref="E10:E27">
    <cfRule type="colorScale" priority="11141">
      <colorScale>
        <cfvo type="min"/>
        <cfvo type="percentile" val="50"/>
        <cfvo type="max"/>
        <color rgb="FFF8696B"/>
        <color rgb="FFFFEB84"/>
        <color rgb="FF63BE7B"/>
      </colorScale>
    </cfRule>
  </conditionalFormatting>
  <conditionalFormatting sqref="E10:E27">
    <cfRule type="colorScale" priority="11140">
      <colorScale>
        <cfvo type="min"/>
        <cfvo type="percentile" val="50"/>
        <cfvo type="max"/>
        <color rgb="FFF8696B"/>
        <color rgb="FFFFEB84"/>
        <color rgb="FF63BE7B"/>
      </colorScale>
    </cfRule>
  </conditionalFormatting>
  <conditionalFormatting sqref="E10:E27">
    <cfRule type="colorScale" priority="11139">
      <colorScale>
        <cfvo type="min"/>
        <cfvo type="percentile" val="50"/>
        <cfvo type="max"/>
        <color rgb="FFF8696B"/>
        <color rgb="FFFFEB84"/>
        <color rgb="FF63BE7B"/>
      </colorScale>
    </cfRule>
  </conditionalFormatting>
  <conditionalFormatting sqref="E10:E27">
    <cfRule type="colorScale" priority="11138">
      <colorScale>
        <cfvo type="min"/>
        <cfvo type="percentile" val="50"/>
        <cfvo type="max"/>
        <color rgb="FFF8696B"/>
        <color rgb="FFFFEB84"/>
        <color rgb="FF63BE7B"/>
      </colorScale>
    </cfRule>
  </conditionalFormatting>
  <conditionalFormatting sqref="E10:E27">
    <cfRule type="colorScale" priority="11137">
      <colorScale>
        <cfvo type="min"/>
        <cfvo type="percentile" val="50"/>
        <cfvo type="max"/>
        <color rgb="FFF8696B"/>
        <color rgb="FFFFEB84"/>
        <color rgb="FF63BE7B"/>
      </colorScale>
    </cfRule>
  </conditionalFormatting>
  <conditionalFormatting sqref="E10:E27">
    <cfRule type="colorScale" priority="11136">
      <colorScale>
        <cfvo type="min"/>
        <cfvo type="percentile" val="50"/>
        <cfvo type="max"/>
        <color rgb="FFF8696B"/>
        <color rgb="FFFFEB84"/>
        <color rgb="FF63BE7B"/>
      </colorScale>
    </cfRule>
  </conditionalFormatting>
  <conditionalFormatting sqref="E10:E27">
    <cfRule type="colorScale" priority="11135">
      <colorScale>
        <cfvo type="min"/>
        <cfvo type="percentile" val="50"/>
        <cfvo type="max"/>
        <color rgb="FFF8696B"/>
        <color rgb="FFFFEB84"/>
        <color rgb="FF63BE7B"/>
      </colorScale>
    </cfRule>
  </conditionalFormatting>
  <conditionalFormatting sqref="E10:E27">
    <cfRule type="colorScale" priority="11134">
      <colorScale>
        <cfvo type="min"/>
        <cfvo type="percentile" val="50"/>
        <cfvo type="max"/>
        <color rgb="FFF8696B"/>
        <color rgb="FFFFEB84"/>
        <color rgb="FF63BE7B"/>
      </colorScale>
    </cfRule>
  </conditionalFormatting>
  <conditionalFormatting sqref="E10:E27">
    <cfRule type="colorScale" priority="11133">
      <colorScale>
        <cfvo type="min"/>
        <cfvo type="percentile" val="50"/>
        <cfvo type="max"/>
        <color rgb="FFF8696B"/>
        <color rgb="FFFFEB84"/>
        <color rgb="FF63BE7B"/>
      </colorScale>
    </cfRule>
  </conditionalFormatting>
  <conditionalFormatting sqref="E10:E27">
    <cfRule type="colorScale" priority="11132">
      <colorScale>
        <cfvo type="min"/>
        <cfvo type="percentile" val="50"/>
        <cfvo type="max"/>
        <color rgb="FFF8696B"/>
        <color rgb="FFFFEB84"/>
        <color rgb="FF63BE7B"/>
      </colorScale>
    </cfRule>
  </conditionalFormatting>
  <conditionalFormatting sqref="E10:E27">
    <cfRule type="colorScale" priority="11131">
      <colorScale>
        <cfvo type="min"/>
        <cfvo type="percentile" val="50"/>
        <cfvo type="max"/>
        <color rgb="FFF8696B"/>
        <color rgb="FFFFEB84"/>
        <color rgb="FF63BE7B"/>
      </colorScale>
    </cfRule>
  </conditionalFormatting>
  <conditionalFormatting sqref="E10:E27">
    <cfRule type="colorScale" priority="11130">
      <colorScale>
        <cfvo type="min"/>
        <cfvo type="percentile" val="50"/>
        <cfvo type="max"/>
        <color rgb="FFF8696B"/>
        <color rgb="FFFFEB84"/>
        <color rgb="FF63BE7B"/>
      </colorScale>
    </cfRule>
  </conditionalFormatting>
  <conditionalFormatting sqref="E10:E27">
    <cfRule type="colorScale" priority="11129">
      <colorScale>
        <cfvo type="min"/>
        <cfvo type="percentile" val="50"/>
        <cfvo type="max"/>
        <color rgb="FFF8696B"/>
        <color rgb="FFFFEB84"/>
        <color rgb="FF63BE7B"/>
      </colorScale>
    </cfRule>
  </conditionalFormatting>
  <conditionalFormatting sqref="E10:E27">
    <cfRule type="colorScale" priority="11128">
      <colorScale>
        <cfvo type="min"/>
        <cfvo type="percentile" val="50"/>
        <cfvo type="max"/>
        <color rgb="FFF8696B"/>
        <color rgb="FFFFEB84"/>
        <color rgb="FF63BE7B"/>
      </colorScale>
    </cfRule>
  </conditionalFormatting>
  <conditionalFormatting sqref="E10:E27">
    <cfRule type="colorScale" priority="11127">
      <colorScale>
        <cfvo type="min"/>
        <cfvo type="percentile" val="50"/>
        <cfvo type="max"/>
        <color rgb="FFF8696B"/>
        <color rgb="FFFFEB84"/>
        <color rgb="FF63BE7B"/>
      </colorScale>
    </cfRule>
  </conditionalFormatting>
  <conditionalFormatting sqref="E10:E27">
    <cfRule type="colorScale" priority="11126">
      <colorScale>
        <cfvo type="min"/>
        <cfvo type="percentile" val="50"/>
        <cfvo type="max"/>
        <color rgb="FFF8696B"/>
        <color rgb="FFFFEB84"/>
        <color rgb="FF63BE7B"/>
      </colorScale>
    </cfRule>
  </conditionalFormatting>
  <conditionalFormatting sqref="E10:E27">
    <cfRule type="colorScale" priority="11125">
      <colorScale>
        <cfvo type="min"/>
        <cfvo type="percentile" val="50"/>
        <cfvo type="max"/>
        <color rgb="FFF8696B"/>
        <color rgb="FFFFEB84"/>
        <color rgb="FF63BE7B"/>
      </colorScale>
    </cfRule>
  </conditionalFormatting>
  <conditionalFormatting sqref="E25:E27 E10:F25">
    <cfRule type="colorScale" priority="11124">
      <colorScale>
        <cfvo type="min"/>
        <cfvo type="percentile" val="50"/>
        <cfvo type="max"/>
        <color rgb="FFF8696B"/>
        <color rgb="FFFFEB84"/>
        <color rgb="FF63BE7B"/>
      </colorScale>
    </cfRule>
  </conditionalFormatting>
  <conditionalFormatting sqref="E25:E27 E10:F25">
    <cfRule type="colorScale" priority="11123">
      <colorScale>
        <cfvo type="min"/>
        <cfvo type="percentile" val="50"/>
        <cfvo type="max"/>
        <color rgb="FFF8696B"/>
        <color rgb="FFFFEB84"/>
        <color rgb="FF63BE7B"/>
      </colorScale>
    </cfRule>
  </conditionalFormatting>
  <conditionalFormatting sqref="E25:E27 E10:F24">
    <cfRule type="colorScale" priority="11122">
      <colorScale>
        <cfvo type="min"/>
        <cfvo type="percentile" val="50"/>
        <cfvo type="max"/>
        <color rgb="FFF8696B"/>
        <color rgb="FFFFEB84"/>
        <color rgb="FF63BE7B"/>
      </colorScale>
    </cfRule>
  </conditionalFormatting>
  <conditionalFormatting sqref="E25:E27 E10:F24">
    <cfRule type="colorScale" priority="11121">
      <colorScale>
        <cfvo type="min"/>
        <cfvo type="percentile" val="50"/>
        <cfvo type="max"/>
        <color rgb="FFF8696B"/>
        <color rgb="FFFFEB84"/>
        <color rgb="FF63BE7B"/>
      </colorScale>
    </cfRule>
  </conditionalFormatting>
  <conditionalFormatting sqref="E25:E27 E10:F24">
    <cfRule type="colorScale" priority="11120">
      <colorScale>
        <cfvo type="min"/>
        <cfvo type="percentile" val="50"/>
        <cfvo type="max"/>
        <color rgb="FFF8696B"/>
        <color rgb="FFFFEB84"/>
        <color rgb="FF63BE7B"/>
      </colorScale>
    </cfRule>
  </conditionalFormatting>
  <conditionalFormatting sqref="E25:E27 E10:F24">
    <cfRule type="colorScale" priority="11119">
      <colorScale>
        <cfvo type="min"/>
        <cfvo type="percentile" val="50"/>
        <cfvo type="max"/>
        <color rgb="FFF8696B"/>
        <color rgb="FFFFEB84"/>
        <color rgb="FF63BE7B"/>
      </colorScale>
    </cfRule>
  </conditionalFormatting>
  <conditionalFormatting sqref="E10:E27">
    <cfRule type="colorScale" priority="11118">
      <colorScale>
        <cfvo type="min"/>
        <cfvo type="percentile" val="50"/>
        <cfvo type="max"/>
        <color rgb="FFF8696B"/>
        <color rgb="FFFFEB84"/>
        <color rgb="FF63BE7B"/>
      </colorScale>
    </cfRule>
  </conditionalFormatting>
  <conditionalFormatting sqref="E10:E27">
    <cfRule type="colorScale" priority="11117">
      <colorScale>
        <cfvo type="min"/>
        <cfvo type="percentile" val="50"/>
        <cfvo type="max"/>
        <color rgb="FFF8696B"/>
        <color rgb="FFFFEB84"/>
        <color rgb="FF63BE7B"/>
      </colorScale>
    </cfRule>
  </conditionalFormatting>
  <conditionalFormatting sqref="E10:E27">
    <cfRule type="colorScale" priority="11116">
      <colorScale>
        <cfvo type="min"/>
        <cfvo type="percentile" val="50"/>
        <cfvo type="max"/>
        <color rgb="FFF8696B"/>
        <color rgb="FFFFEB84"/>
        <color rgb="FF63BE7B"/>
      </colorScale>
    </cfRule>
  </conditionalFormatting>
  <conditionalFormatting sqref="E10:E27">
    <cfRule type="colorScale" priority="11115">
      <colorScale>
        <cfvo type="min"/>
        <cfvo type="percentile" val="50"/>
        <cfvo type="max"/>
        <color rgb="FFF8696B"/>
        <color rgb="FFFFEB84"/>
        <color rgb="FF63BE7B"/>
      </colorScale>
    </cfRule>
  </conditionalFormatting>
  <conditionalFormatting sqref="E10:E27">
    <cfRule type="colorScale" priority="11114">
      <colorScale>
        <cfvo type="min"/>
        <cfvo type="percentile" val="50"/>
        <cfvo type="max"/>
        <color rgb="FFF8696B"/>
        <color rgb="FFFFEB84"/>
        <color rgb="FF63BE7B"/>
      </colorScale>
    </cfRule>
  </conditionalFormatting>
  <conditionalFormatting sqref="E10:E27">
    <cfRule type="colorScale" priority="11113">
      <colorScale>
        <cfvo type="min"/>
        <cfvo type="percentile" val="50"/>
        <cfvo type="max"/>
        <color rgb="FFF8696B"/>
        <color rgb="FFFFEB84"/>
        <color rgb="FF63BE7B"/>
      </colorScale>
    </cfRule>
  </conditionalFormatting>
  <conditionalFormatting sqref="E10:E27">
    <cfRule type="colorScale" priority="11112">
      <colorScale>
        <cfvo type="min"/>
        <cfvo type="percentile" val="50"/>
        <cfvo type="max"/>
        <color rgb="FFF8696B"/>
        <color rgb="FFFFEB84"/>
        <color rgb="FF63BE7B"/>
      </colorScale>
    </cfRule>
  </conditionalFormatting>
  <conditionalFormatting sqref="E10:E27">
    <cfRule type="colorScale" priority="11111">
      <colorScale>
        <cfvo type="min"/>
        <cfvo type="percentile" val="50"/>
        <cfvo type="max"/>
        <color rgb="FFF8696B"/>
        <color rgb="FFFFEB84"/>
        <color rgb="FF63BE7B"/>
      </colorScale>
    </cfRule>
  </conditionalFormatting>
  <conditionalFormatting sqref="E10:E27">
    <cfRule type="colorScale" priority="11110">
      <colorScale>
        <cfvo type="min"/>
        <cfvo type="percentile" val="50"/>
        <cfvo type="max"/>
        <color rgb="FFF8696B"/>
        <color rgb="FFFFEB84"/>
        <color rgb="FF63BE7B"/>
      </colorScale>
    </cfRule>
  </conditionalFormatting>
  <conditionalFormatting sqref="E10:E27">
    <cfRule type="colorScale" priority="11109">
      <colorScale>
        <cfvo type="min"/>
        <cfvo type="percentile" val="50"/>
        <cfvo type="max"/>
        <color rgb="FFF8696B"/>
        <color rgb="FFFFEB84"/>
        <color rgb="FF63BE7B"/>
      </colorScale>
    </cfRule>
  </conditionalFormatting>
  <conditionalFormatting sqref="E10:E27">
    <cfRule type="colorScale" priority="11108">
      <colorScale>
        <cfvo type="min"/>
        <cfvo type="percentile" val="50"/>
        <cfvo type="max"/>
        <color rgb="FFF8696B"/>
        <color rgb="FFFFEB84"/>
        <color rgb="FF63BE7B"/>
      </colorScale>
    </cfRule>
  </conditionalFormatting>
  <conditionalFormatting sqref="E10:E27">
    <cfRule type="colorScale" priority="11107">
      <colorScale>
        <cfvo type="min"/>
        <cfvo type="percentile" val="50"/>
        <cfvo type="max"/>
        <color rgb="FFF8696B"/>
        <color rgb="FFFFEB84"/>
        <color rgb="FF63BE7B"/>
      </colorScale>
    </cfRule>
  </conditionalFormatting>
  <conditionalFormatting sqref="E10:E27">
    <cfRule type="colorScale" priority="11106">
      <colorScale>
        <cfvo type="min"/>
        <cfvo type="percentile" val="50"/>
        <cfvo type="max"/>
        <color rgb="FFF8696B"/>
        <color rgb="FFFFEB84"/>
        <color rgb="FF63BE7B"/>
      </colorScale>
    </cfRule>
  </conditionalFormatting>
  <conditionalFormatting sqref="E10:E27">
    <cfRule type="colorScale" priority="11105">
      <colorScale>
        <cfvo type="min"/>
        <cfvo type="percentile" val="50"/>
        <cfvo type="max"/>
        <color rgb="FFF8696B"/>
        <color rgb="FFFFEB84"/>
        <color rgb="FF63BE7B"/>
      </colorScale>
    </cfRule>
  </conditionalFormatting>
  <conditionalFormatting sqref="E10:E27">
    <cfRule type="colorScale" priority="11104">
      <colorScale>
        <cfvo type="min"/>
        <cfvo type="percentile" val="50"/>
        <cfvo type="max"/>
        <color rgb="FFF8696B"/>
        <color rgb="FFFFEB84"/>
        <color rgb="FF63BE7B"/>
      </colorScale>
    </cfRule>
  </conditionalFormatting>
  <conditionalFormatting sqref="E10:E27">
    <cfRule type="colorScale" priority="11103">
      <colorScale>
        <cfvo type="min"/>
        <cfvo type="percentile" val="50"/>
        <cfvo type="max"/>
        <color rgb="FFF8696B"/>
        <color rgb="FFFFEB84"/>
        <color rgb="FF63BE7B"/>
      </colorScale>
    </cfRule>
  </conditionalFormatting>
  <conditionalFormatting sqref="E10:E27">
    <cfRule type="colorScale" priority="11102">
      <colorScale>
        <cfvo type="min"/>
        <cfvo type="percentile" val="50"/>
        <cfvo type="max"/>
        <color rgb="FFF8696B"/>
        <color rgb="FFFFEB84"/>
        <color rgb="FF63BE7B"/>
      </colorScale>
    </cfRule>
  </conditionalFormatting>
  <conditionalFormatting sqref="E10:E27">
    <cfRule type="colorScale" priority="11101">
      <colorScale>
        <cfvo type="min"/>
        <cfvo type="percentile" val="50"/>
        <cfvo type="max"/>
        <color rgb="FFF8696B"/>
        <color rgb="FFFFEB84"/>
        <color rgb="FF63BE7B"/>
      </colorScale>
    </cfRule>
  </conditionalFormatting>
  <conditionalFormatting sqref="E10:E27">
    <cfRule type="colorScale" priority="11100">
      <colorScale>
        <cfvo type="min"/>
        <cfvo type="percentile" val="50"/>
        <cfvo type="max"/>
        <color rgb="FFF8696B"/>
        <color rgb="FFFFEB84"/>
        <color rgb="FF63BE7B"/>
      </colorScale>
    </cfRule>
  </conditionalFormatting>
  <conditionalFormatting sqref="E10:E27">
    <cfRule type="colorScale" priority="11099">
      <colorScale>
        <cfvo type="min"/>
        <cfvo type="percentile" val="50"/>
        <cfvo type="max"/>
        <color rgb="FFF8696B"/>
        <color rgb="FFFFEB84"/>
        <color rgb="FF63BE7B"/>
      </colorScale>
    </cfRule>
  </conditionalFormatting>
  <conditionalFormatting sqref="E10:E27">
    <cfRule type="colorScale" priority="11098">
      <colorScale>
        <cfvo type="min"/>
        <cfvo type="percentile" val="50"/>
        <cfvo type="max"/>
        <color rgb="FFF8696B"/>
        <color rgb="FFFFEB84"/>
        <color rgb="FF63BE7B"/>
      </colorScale>
    </cfRule>
  </conditionalFormatting>
  <conditionalFormatting sqref="E10:E27">
    <cfRule type="colorScale" priority="11097">
      <colorScale>
        <cfvo type="min"/>
        <cfvo type="percentile" val="50"/>
        <cfvo type="max"/>
        <color rgb="FFF8696B"/>
        <color rgb="FFFFEB84"/>
        <color rgb="FF63BE7B"/>
      </colorScale>
    </cfRule>
  </conditionalFormatting>
  <conditionalFormatting sqref="E10:E27">
    <cfRule type="colorScale" priority="11096">
      <colorScale>
        <cfvo type="min"/>
        <cfvo type="percentile" val="50"/>
        <cfvo type="max"/>
        <color rgb="FFF8696B"/>
        <color rgb="FFFFEB84"/>
        <color rgb="FF63BE7B"/>
      </colorScale>
    </cfRule>
  </conditionalFormatting>
  <conditionalFormatting sqref="E10:E27">
    <cfRule type="colorScale" priority="11095">
      <colorScale>
        <cfvo type="min"/>
        <cfvo type="percentile" val="50"/>
        <cfvo type="max"/>
        <color rgb="FFF8696B"/>
        <color rgb="FFFFEB84"/>
        <color rgb="FF63BE7B"/>
      </colorScale>
    </cfRule>
  </conditionalFormatting>
  <conditionalFormatting sqref="E10:E27">
    <cfRule type="colorScale" priority="11094">
      <colorScale>
        <cfvo type="min"/>
        <cfvo type="percentile" val="50"/>
        <cfvo type="max"/>
        <color rgb="FFF8696B"/>
        <color rgb="FFFFEB84"/>
        <color rgb="FF63BE7B"/>
      </colorScale>
    </cfRule>
  </conditionalFormatting>
  <conditionalFormatting sqref="E10:E27">
    <cfRule type="colorScale" priority="11093">
      <colorScale>
        <cfvo type="min"/>
        <cfvo type="percentile" val="50"/>
        <cfvo type="max"/>
        <color rgb="FFF8696B"/>
        <color rgb="FFFFEB84"/>
        <color rgb="FF63BE7B"/>
      </colorScale>
    </cfRule>
  </conditionalFormatting>
  <conditionalFormatting sqref="E10:E27">
    <cfRule type="colorScale" priority="11092">
      <colorScale>
        <cfvo type="min"/>
        <cfvo type="percentile" val="50"/>
        <cfvo type="max"/>
        <color rgb="FFF8696B"/>
        <color rgb="FFFFEB84"/>
        <color rgb="FF63BE7B"/>
      </colorScale>
    </cfRule>
  </conditionalFormatting>
  <conditionalFormatting sqref="E10:E27">
    <cfRule type="colorScale" priority="11091">
      <colorScale>
        <cfvo type="min"/>
        <cfvo type="percentile" val="50"/>
        <cfvo type="max"/>
        <color rgb="FFF8696B"/>
        <color rgb="FFFFEB84"/>
        <color rgb="FF63BE7B"/>
      </colorScale>
    </cfRule>
  </conditionalFormatting>
  <conditionalFormatting sqref="E10:E27">
    <cfRule type="colorScale" priority="11090">
      <colorScale>
        <cfvo type="min"/>
        <cfvo type="percentile" val="50"/>
        <cfvo type="max"/>
        <color rgb="FFF8696B"/>
        <color rgb="FFFFEB84"/>
        <color rgb="FF63BE7B"/>
      </colorScale>
    </cfRule>
  </conditionalFormatting>
  <conditionalFormatting sqref="E10:E27">
    <cfRule type="colorScale" priority="11089">
      <colorScale>
        <cfvo type="min"/>
        <cfvo type="percentile" val="50"/>
        <cfvo type="max"/>
        <color rgb="FFF8696B"/>
        <color rgb="FFFFEB84"/>
        <color rgb="FF63BE7B"/>
      </colorScale>
    </cfRule>
  </conditionalFormatting>
  <conditionalFormatting sqref="E10:E27">
    <cfRule type="colorScale" priority="11088">
      <colorScale>
        <cfvo type="min"/>
        <cfvo type="percentile" val="50"/>
        <cfvo type="max"/>
        <color rgb="FFF8696B"/>
        <color rgb="FFFFEB84"/>
        <color rgb="FF63BE7B"/>
      </colorScale>
    </cfRule>
  </conditionalFormatting>
  <conditionalFormatting sqref="E10:E27">
    <cfRule type="colorScale" priority="11087">
      <colorScale>
        <cfvo type="min"/>
        <cfvo type="percentile" val="50"/>
        <cfvo type="max"/>
        <color rgb="FFF8696B"/>
        <color rgb="FFFFEB84"/>
        <color rgb="FF63BE7B"/>
      </colorScale>
    </cfRule>
  </conditionalFormatting>
  <conditionalFormatting sqref="E10:E27">
    <cfRule type="colorScale" priority="11086">
      <colorScale>
        <cfvo type="min"/>
        <cfvo type="percentile" val="50"/>
        <cfvo type="max"/>
        <color rgb="FFF8696B"/>
        <color rgb="FFFFEB84"/>
        <color rgb="FF63BE7B"/>
      </colorScale>
    </cfRule>
  </conditionalFormatting>
  <conditionalFormatting sqref="E10:E27">
    <cfRule type="colorScale" priority="11085">
      <colorScale>
        <cfvo type="min"/>
        <cfvo type="percentile" val="50"/>
        <cfvo type="max"/>
        <color rgb="FFF8696B"/>
        <color rgb="FFFFEB84"/>
        <color rgb="FF63BE7B"/>
      </colorScale>
    </cfRule>
  </conditionalFormatting>
  <conditionalFormatting sqref="E10:E27">
    <cfRule type="colorScale" priority="11084">
      <colorScale>
        <cfvo type="min"/>
        <cfvo type="percentile" val="50"/>
        <cfvo type="max"/>
        <color rgb="FFF8696B"/>
        <color rgb="FFFFEB84"/>
        <color rgb="FF63BE7B"/>
      </colorScale>
    </cfRule>
  </conditionalFormatting>
  <conditionalFormatting sqref="E10:E27">
    <cfRule type="colorScale" priority="11083">
      <colorScale>
        <cfvo type="min"/>
        <cfvo type="percentile" val="50"/>
        <cfvo type="max"/>
        <color rgb="FFF8696B"/>
        <color rgb="FFFFEB84"/>
        <color rgb="FF63BE7B"/>
      </colorScale>
    </cfRule>
  </conditionalFormatting>
  <conditionalFormatting sqref="E10:E27">
    <cfRule type="colorScale" priority="11082">
      <colorScale>
        <cfvo type="min"/>
        <cfvo type="percentile" val="50"/>
        <cfvo type="max"/>
        <color rgb="FFF8696B"/>
        <color rgb="FFFFEB84"/>
        <color rgb="FF63BE7B"/>
      </colorScale>
    </cfRule>
  </conditionalFormatting>
  <conditionalFormatting sqref="E10:E27">
    <cfRule type="colorScale" priority="11081">
      <colorScale>
        <cfvo type="min"/>
        <cfvo type="percentile" val="50"/>
        <cfvo type="max"/>
        <color rgb="FFF8696B"/>
        <color rgb="FFFFEB84"/>
        <color rgb="FF63BE7B"/>
      </colorScale>
    </cfRule>
  </conditionalFormatting>
  <conditionalFormatting sqref="E10:E27">
    <cfRule type="colorScale" priority="11080">
      <colorScale>
        <cfvo type="min"/>
        <cfvo type="percentile" val="50"/>
        <cfvo type="max"/>
        <color rgb="FFF8696B"/>
        <color rgb="FFFFEB84"/>
        <color rgb="FF63BE7B"/>
      </colorScale>
    </cfRule>
  </conditionalFormatting>
  <conditionalFormatting sqref="E10:E27">
    <cfRule type="colorScale" priority="11079">
      <colorScale>
        <cfvo type="min"/>
        <cfvo type="percentile" val="50"/>
        <cfvo type="max"/>
        <color rgb="FFF8696B"/>
        <color rgb="FFFFEB84"/>
        <color rgb="FF63BE7B"/>
      </colorScale>
    </cfRule>
  </conditionalFormatting>
  <conditionalFormatting sqref="E10:E27">
    <cfRule type="colorScale" priority="11078">
      <colorScale>
        <cfvo type="min"/>
        <cfvo type="percentile" val="50"/>
        <cfvo type="max"/>
        <color rgb="FFF8696B"/>
        <color rgb="FFFFEB84"/>
        <color rgb="FF63BE7B"/>
      </colorScale>
    </cfRule>
  </conditionalFormatting>
  <conditionalFormatting sqref="E10:E27">
    <cfRule type="colorScale" priority="11077">
      <colorScale>
        <cfvo type="min"/>
        <cfvo type="percentile" val="50"/>
        <cfvo type="max"/>
        <color rgb="FFF8696B"/>
        <color rgb="FFFFEB84"/>
        <color rgb="FF63BE7B"/>
      </colorScale>
    </cfRule>
  </conditionalFormatting>
  <conditionalFormatting sqref="E10:E27">
    <cfRule type="colorScale" priority="11076">
      <colorScale>
        <cfvo type="min"/>
        <cfvo type="percentile" val="50"/>
        <cfvo type="max"/>
        <color rgb="FFF8696B"/>
        <color rgb="FFFFEB84"/>
        <color rgb="FF63BE7B"/>
      </colorScale>
    </cfRule>
  </conditionalFormatting>
  <conditionalFormatting sqref="E10:E27">
    <cfRule type="colorScale" priority="11075">
      <colorScale>
        <cfvo type="min"/>
        <cfvo type="percentile" val="50"/>
        <cfvo type="max"/>
        <color rgb="FFF8696B"/>
        <color rgb="FFFFEB84"/>
        <color rgb="FF63BE7B"/>
      </colorScale>
    </cfRule>
  </conditionalFormatting>
  <conditionalFormatting sqref="E10:E27">
    <cfRule type="colorScale" priority="11074">
      <colorScale>
        <cfvo type="min"/>
        <cfvo type="percentile" val="50"/>
        <cfvo type="max"/>
        <color rgb="FFF8696B"/>
        <color rgb="FFFFEB84"/>
        <color rgb="FF63BE7B"/>
      </colorScale>
    </cfRule>
  </conditionalFormatting>
  <conditionalFormatting sqref="E10:E27">
    <cfRule type="colorScale" priority="11073">
      <colorScale>
        <cfvo type="min"/>
        <cfvo type="percentile" val="50"/>
        <cfvo type="max"/>
        <color rgb="FFF8696B"/>
        <color rgb="FFFFEB84"/>
        <color rgb="FF63BE7B"/>
      </colorScale>
    </cfRule>
  </conditionalFormatting>
  <conditionalFormatting sqref="E10:E27">
    <cfRule type="colorScale" priority="11072">
      <colorScale>
        <cfvo type="min"/>
        <cfvo type="percentile" val="50"/>
        <cfvo type="max"/>
        <color rgb="FFF8696B"/>
        <color rgb="FFFFEB84"/>
        <color rgb="FF63BE7B"/>
      </colorScale>
    </cfRule>
  </conditionalFormatting>
  <conditionalFormatting sqref="E10:E27">
    <cfRule type="colorScale" priority="11071">
      <colorScale>
        <cfvo type="min"/>
        <cfvo type="percentile" val="50"/>
        <cfvo type="max"/>
        <color rgb="FFF8696B"/>
        <color rgb="FFFFEB84"/>
        <color rgb="FF63BE7B"/>
      </colorScale>
    </cfRule>
  </conditionalFormatting>
  <conditionalFormatting sqref="E10:E27">
    <cfRule type="colorScale" priority="11070">
      <colorScale>
        <cfvo type="min"/>
        <cfvo type="percentile" val="50"/>
        <cfvo type="max"/>
        <color rgb="FFF8696B"/>
        <color rgb="FFFFEB84"/>
        <color rgb="FF63BE7B"/>
      </colorScale>
    </cfRule>
  </conditionalFormatting>
  <conditionalFormatting sqref="E10:E27">
    <cfRule type="colorScale" priority="11069">
      <colorScale>
        <cfvo type="min"/>
        <cfvo type="percentile" val="50"/>
        <cfvo type="max"/>
        <color rgb="FFF8696B"/>
        <color rgb="FFFFEB84"/>
        <color rgb="FF63BE7B"/>
      </colorScale>
    </cfRule>
  </conditionalFormatting>
  <conditionalFormatting sqref="E10:E27">
    <cfRule type="colorScale" priority="11068">
      <colorScale>
        <cfvo type="min"/>
        <cfvo type="percentile" val="50"/>
        <cfvo type="max"/>
        <color rgb="FFF8696B"/>
        <color rgb="FFFFEB84"/>
        <color rgb="FF63BE7B"/>
      </colorScale>
    </cfRule>
  </conditionalFormatting>
  <conditionalFormatting sqref="E10:E27">
    <cfRule type="colorScale" priority="11067">
      <colorScale>
        <cfvo type="min"/>
        <cfvo type="percentile" val="50"/>
        <cfvo type="max"/>
        <color rgb="FFF8696B"/>
        <color rgb="FFFFEB84"/>
        <color rgb="FF63BE7B"/>
      </colorScale>
    </cfRule>
  </conditionalFormatting>
  <conditionalFormatting sqref="E10:E27">
    <cfRule type="colorScale" priority="11066">
      <colorScale>
        <cfvo type="min"/>
        <cfvo type="percentile" val="50"/>
        <cfvo type="max"/>
        <color rgb="FFF8696B"/>
        <color rgb="FFFFEB84"/>
        <color rgb="FF63BE7B"/>
      </colorScale>
    </cfRule>
  </conditionalFormatting>
  <conditionalFormatting sqref="E10:E27">
    <cfRule type="colorScale" priority="11065">
      <colorScale>
        <cfvo type="min"/>
        <cfvo type="percentile" val="50"/>
        <cfvo type="max"/>
        <color rgb="FFF8696B"/>
        <color rgb="FFFFEB84"/>
        <color rgb="FF63BE7B"/>
      </colorScale>
    </cfRule>
  </conditionalFormatting>
  <conditionalFormatting sqref="E10:E27">
    <cfRule type="colorScale" priority="11064">
      <colorScale>
        <cfvo type="min"/>
        <cfvo type="percentile" val="50"/>
        <cfvo type="max"/>
        <color rgb="FFF8696B"/>
        <color rgb="FFFFEB84"/>
        <color rgb="FF63BE7B"/>
      </colorScale>
    </cfRule>
  </conditionalFormatting>
  <conditionalFormatting sqref="E10:E27">
    <cfRule type="colorScale" priority="11063">
      <colorScale>
        <cfvo type="min"/>
        <cfvo type="percentile" val="50"/>
        <cfvo type="max"/>
        <color rgb="FFF8696B"/>
        <color rgb="FFFFEB84"/>
        <color rgb="FF63BE7B"/>
      </colorScale>
    </cfRule>
  </conditionalFormatting>
  <conditionalFormatting sqref="E10:E27">
    <cfRule type="colorScale" priority="11062">
      <colorScale>
        <cfvo type="min"/>
        <cfvo type="percentile" val="50"/>
        <cfvo type="max"/>
        <color rgb="FFF8696B"/>
        <color rgb="FFFFEB84"/>
        <color rgb="FF63BE7B"/>
      </colorScale>
    </cfRule>
  </conditionalFormatting>
  <conditionalFormatting sqref="E10:E27">
    <cfRule type="colorScale" priority="11061">
      <colorScale>
        <cfvo type="min"/>
        <cfvo type="percentile" val="50"/>
        <cfvo type="max"/>
        <color rgb="FFF8696B"/>
        <color rgb="FFFFEB84"/>
        <color rgb="FF63BE7B"/>
      </colorScale>
    </cfRule>
  </conditionalFormatting>
  <conditionalFormatting sqref="E10:E27">
    <cfRule type="colorScale" priority="11060">
      <colorScale>
        <cfvo type="min"/>
        <cfvo type="percentile" val="50"/>
        <cfvo type="max"/>
        <color rgb="FFF8696B"/>
        <color rgb="FFFFEB84"/>
        <color rgb="FF63BE7B"/>
      </colorScale>
    </cfRule>
  </conditionalFormatting>
  <conditionalFormatting sqref="E10:E27">
    <cfRule type="colorScale" priority="11059">
      <colorScale>
        <cfvo type="min"/>
        <cfvo type="percentile" val="50"/>
        <cfvo type="max"/>
        <color rgb="FFF8696B"/>
        <color rgb="FFFFEB84"/>
        <color rgb="FF63BE7B"/>
      </colorScale>
    </cfRule>
  </conditionalFormatting>
  <conditionalFormatting sqref="E10:E27">
    <cfRule type="colorScale" priority="11058">
      <colorScale>
        <cfvo type="min"/>
        <cfvo type="percentile" val="50"/>
        <cfvo type="max"/>
        <color rgb="FFF8696B"/>
        <color rgb="FFFFEB84"/>
        <color rgb="FF63BE7B"/>
      </colorScale>
    </cfRule>
  </conditionalFormatting>
  <conditionalFormatting sqref="E10:E27">
    <cfRule type="colorScale" priority="11057">
      <colorScale>
        <cfvo type="min"/>
        <cfvo type="percentile" val="50"/>
        <cfvo type="max"/>
        <color rgb="FFF8696B"/>
        <color rgb="FFFFEB84"/>
        <color rgb="FF63BE7B"/>
      </colorScale>
    </cfRule>
  </conditionalFormatting>
  <conditionalFormatting sqref="E10:E27">
    <cfRule type="colorScale" priority="11056">
      <colorScale>
        <cfvo type="min"/>
        <cfvo type="percentile" val="50"/>
        <cfvo type="max"/>
        <color rgb="FFF8696B"/>
        <color rgb="FFFFEB84"/>
        <color rgb="FF63BE7B"/>
      </colorScale>
    </cfRule>
  </conditionalFormatting>
  <conditionalFormatting sqref="E10:E27">
    <cfRule type="colorScale" priority="11055">
      <colorScale>
        <cfvo type="min"/>
        <cfvo type="percentile" val="50"/>
        <cfvo type="max"/>
        <color rgb="FFF8696B"/>
        <color rgb="FFFFEB84"/>
        <color rgb="FF63BE7B"/>
      </colorScale>
    </cfRule>
  </conditionalFormatting>
  <conditionalFormatting sqref="E10:E27">
    <cfRule type="colorScale" priority="11054">
      <colorScale>
        <cfvo type="min"/>
        <cfvo type="percentile" val="50"/>
        <cfvo type="max"/>
        <color rgb="FFF8696B"/>
        <color rgb="FFFFEB84"/>
        <color rgb="FF63BE7B"/>
      </colorScale>
    </cfRule>
  </conditionalFormatting>
  <conditionalFormatting sqref="E10:E27">
    <cfRule type="colorScale" priority="11053">
      <colorScale>
        <cfvo type="min"/>
        <cfvo type="percentile" val="50"/>
        <cfvo type="max"/>
        <color rgb="FFF8696B"/>
        <color rgb="FFFFEB84"/>
        <color rgb="FF63BE7B"/>
      </colorScale>
    </cfRule>
  </conditionalFormatting>
  <conditionalFormatting sqref="E10:E27">
    <cfRule type="colorScale" priority="11052">
      <colorScale>
        <cfvo type="min"/>
        <cfvo type="percentile" val="50"/>
        <cfvo type="max"/>
        <color rgb="FFF8696B"/>
        <color rgb="FFFFEB84"/>
        <color rgb="FF63BE7B"/>
      </colorScale>
    </cfRule>
  </conditionalFormatting>
  <conditionalFormatting sqref="E10:E27">
    <cfRule type="colorScale" priority="11051">
      <colorScale>
        <cfvo type="min"/>
        <cfvo type="percentile" val="50"/>
        <cfvo type="max"/>
        <color rgb="FFF8696B"/>
        <color rgb="FFFFEB84"/>
        <color rgb="FF63BE7B"/>
      </colorScale>
    </cfRule>
  </conditionalFormatting>
  <conditionalFormatting sqref="E10:E27">
    <cfRule type="colorScale" priority="11050">
      <colorScale>
        <cfvo type="min"/>
        <cfvo type="percentile" val="50"/>
        <cfvo type="max"/>
        <color rgb="FFF8696B"/>
        <color rgb="FFFFEB84"/>
        <color rgb="FF63BE7B"/>
      </colorScale>
    </cfRule>
  </conditionalFormatting>
  <conditionalFormatting sqref="E10:E27">
    <cfRule type="colorScale" priority="11049">
      <colorScale>
        <cfvo type="min"/>
        <cfvo type="percentile" val="50"/>
        <cfvo type="max"/>
        <color rgb="FFF8696B"/>
        <color rgb="FFFFEB84"/>
        <color rgb="FF63BE7B"/>
      </colorScale>
    </cfRule>
  </conditionalFormatting>
  <conditionalFormatting sqref="E10:E27">
    <cfRule type="colorScale" priority="11048">
      <colorScale>
        <cfvo type="min"/>
        <cfvo type="percentile" val="50"/>
        <cfvo type="max"/>
        <color rgb="FFF8696B"/>
        <color rgb="FFFFEB84"/>
        <color rgb="FF63BE7B"/>
      </colorScale>
    </cfRule>
  </conditionalFormatting>
  <conditionalFormatting sqref="E10:E27">
    <cfRule type="colorScale" priority="11047">
      <colorScale>
        <cfvo type="min"/>
        <cfvo type="percentile" val="50"/>
        <cfvo type="max"/>
        <color rgb="FFF8696B"/>
        <color rgb="FFFFEB84"/>
        <color rgb="FF63BE7B"/>
      </colorScale>
    </cfRule>
  </conditionalFormatting>
  <conditionalFormatting sqref="E10:E27">
    <cfRule type="colorScale" priority="11046">
      <colorScale>
        <cfvo type="min"/>
        <cfvo type="percentile" val="50"/>
        <cfvo type="max"/>
        <color rgb="FFF8696B"/>
        <color rgb="FFFFEB84"/>
        <color rgb="FF63BE7B"/>
      </colorScale>
    </cfRule>
  </conditionalFormatting>
  <conditionalFormatting sqref="E10:E27">
    <cfRule type="colorScale" priority="11045">
      <colorScale>
        <cfvo type="min"/>
        <cfvo type="percentile" val="50"/>
        <cfvo type="max"/>
        <color rgb="FFF8696B"/>
        <color rgb="FFFFEB84"/>
        <color rgb="FF63BE7B"/>
      </colorScale>
    </cfRule>
  </conditionalFormatting>
  <conditionalFormatting sqref="E10:E21">
    <cfRule type="colorScale" priority="11044">
      <colorScale>
        <cfvo type="min"/>
        <cfvo type="percentile" val="50"/>
        <cfvo type="max"/>
        <color rgb="FFF8696B"/>
        <color rgb="FFFFEB84"/>
        <color rgb="FF63BE7B"/>
      </colorScale>
    </cfRule>
  </conditionalFormatting>
  <conditionalFormatting sqref="E10:E21">
    <cfRule type="colorScale" priority="11043">
      <colorScale>
        <cfvo type="min"/>
        <cfvo type="percentile" val="50"/>
        <cfvo type="max"/>
        <color rgb="FFF8696B"/>
        <color rgb="FFFFEB84"/>
        <color rgb="FF63BE7B"/>
      </colorScale>
    </cfRule>
  </conditionalFormatting>
  <conditionalFormatting sqref="E10:E27">
    <cfRule type="colorScale" priority="11042">
      <colorScale>
        <cfvo type="min"/>
        <cfvo type="percentile" val="50"/>
        <cfvo type="max"/>
        <color rgb="FFF8696B"/>
        <color rgb="FFFFEB84"/>
        <color rgb="FF63BE7B"/>
      </colorScale>
    </cfRule>
  </conditionalFormatting>
  <conditionalFormatting sqref="E10:E27">
    <cfRule type="colorScale" priority="11041">
      <colorScale>
        <cfvo type="min"/>
        <cfvo type="percentile" val="50"/>
        <cfvo type="max"/>
        <color rgb="FFF8696B"/>
        <color rgb="FFFFEB84"/>
        <color rgb="FF63BE7B"/>
      </colorScale>
    </cfRule>
  </conditionalFormatting>
  <conditionalFormatting sqref="E22:E27">
    <cfRule type="colorScale" priority="11040">
      <colorScale>
        <cfvo type="min"/>
        <cfvo type="percentile" val="50"/>
        <cfvo type="max"/>
        <color rgb="FFF8696B"/>
        <color rgb="FFFFEB84"/>
        <color rgb="FF63BE7B"/>
      </colorScale>
    </cfRule>
  </conditionalFormatting>
  <conditionalFormatting sqref="E22:E27">
    <cfRule type="colorScale" priority="11039">
      <colorScale>
        <cfvo type="min"/>
        <cfvo type="percentile" val="50"/>
        <cfvo type="max"/>
        <color rgb="FFF8696B"/>
        <color rgb="FFFFEB84"/>
        <color rgb="FF63BE7B"/>
      </colorScale>
    </cfRule>
  </conditionalFormatting>
  <conditionalFormatting sqref="E25">
    <cfRule type="colorScale" priority="11038">
      <colorScale>
        <cfvo type="min"/>
        <cfvo type="percentile" val="50"/>
        <cfvo type="max"/>
        <color rgb="FFF8696B"/>
        <color rgb="FFFFEB84"/>
        <color rgb="FF63BE7B"/>
      </colorScale>
    </cfRule>
  </conditionalFormatting>
  <conditionalFormatting sqref="E25">
    <cfRule type="colorScale" priority="11037">
      <colorScale>
        <cfvo type="min"/>
        <cfvo type="percentile" val="50"/>
        <cfvo type="max"/>
        <color rgb="FFF8696B"/>
        <color rgb="FFFFEB84"/>
        <color rgb="FF63BE7B"/>
      </colorScale>
    </cfRule>
  </conditionalFormatting>
  <conditionalFormatting sqref="E25">
    <cfRule type="colorScale" priority="11036">
      <colorScale>
        <cfvo type="min"/>
        <cfvo type="percentile" val="50"/>
        <cfvo type="max"/>
        <color rgb="FFF8696B"/>
        <color rgb="FFFFEB84"/>
        <color rgb="FF63BE7B"/>
      </colorScale>
    </cfRule>
  </conditionalFormatting>
  <conditionalFormatting sqref="E25">
    <cfRule type="colorScale" priority="11035">
      <colorScale>
        <cfvo type="min"/>
        <cfvo type="percentile" val="50"/>
        <cfvo type="max"/>
        <color rgb="FFF8696B"/>
        <color rgb="FFFFEB84"/>
        <color rgb="FF63BE7B"/>
      </colorScale>
    </cfRule>
  </conditionalFormatting>
  <conditionalFormatting sqref="E25">
    <cfRule type="colorScale" priority="11034">
      <colorScale>
        <cfvo type="min"/>
        <cfvo type="percentile" val="50"/>
        <cfvo type="max"/>
        <color rgb="FFF8696B"/>
        <color rgb="FFFFEB84"/>
        <color rgb="FF63BE7B"/>
      </colorScale>
    </cfRule>
  </conditionalFormatting>
  <conditionalFormatting sqref="E25">
    <cfRule type="colorScale" priority="11033">
      <colorScale>
        <cfvo type="min"/>
        <cfvo type="percentile" val="50"/>
        <cfvo type="max"/>
        <color rgb="FFF8696B"/>
        <color rgb="FFFFEB84"/>
        <color rgb="FF63BE7B"/>
      </colorScale>
    </cfRule>
  </conditionalFormatting>
  <conditionalFormatting sqref="E25">
    <cfRule type="colorScale" priority="11032">
      <colorScale>
        <cfvo type="min"/>
        <cfvo type="percentile" val="50"/>
        <cfvo type="max"/>
        <color rgb="FFF8696B"/>
        <color rgb="FFFFEB84"/>
        <color rgb="FF63BE7B"/>
      </colorScale>
    </cfRule>
  </conditionalFormatting>
  <conditionalFormatting sqref="E25">
    <cfRule type="colorScale" priority="11031">
      <colorScale>
        <cfvo type="min"/>
        <cfvo type="percentile" val="50"/>
        <cfvo type="max"/>
        <color rgb="FFF8696B"/>
        <color rgb="FFFFEB84"/>
        <color rgb="FF63BE7B"/>
      </colorScale>
    </cfRule>
  </conditionalFormatting>
  <conditionalFormatting sqref="E25">
    <cfRule type="colorScale" priority="11030">
      <colorScale>
        <cfvo type="min"/>
        <cfvo type="percentile" val="50"/>
        <cfvo type="max"/>
        <color rgb="FFF8696B"/>
        <color rgb="FFFFEB84"/>
        <color rgb="FF63BE7B"/>
      </colorScale>
    </cfRule>
  </conditionalFormatting>
  <conditionalFormatting sqref="E25">
    <cfRule type="colorScale" priority="11029">
      <colorScale>
        <cfvo type="min"/>
        <cfvo type="percentile" val="50"/>
        <cfvo type="max"/>
        <color rgb="FFF8696B"/>
        <color rgb="FFFFEB84"/>
        <color rgb="FF63BE7B"/>
      </colorScale>
    </cfRule>
  </conditionalFormatting>
  <conditionalFormatting sqref="E25">
    <cfRule type="colorScale" priority="11028">
      <colorScale>
        <cfvo type="min"/>
        <cfvo type="percentile" val="50"/>
        <cfvo type="max"/>
        <color rgb="FFF8696B"/>
        <color rgb="FFFFEB84"/>
        <color rgb="FF63BE7B"/>
      </colorScale>
    </cfRule>
  </conditionalFormatting>
  <conditionalFormatting sqref="E25">
    <cfRule type="colorScale" priority="11027">
      <colorScale>
        <cfvo type="min"/>
        <cfvo type="percentile" val="50"/>
        <cfvo type="max"/>
        <color rgb="FFF8696B"/>
        <color rgb="FFFFEB84"/>
        <color rgb="FF63BE7B"/>
      </colorScale>
    </cfRule>
  </conditionalFormatting>
  <conditionalFormatting sqref="E25">
    <cfRule type="colorScale" priority="11026">
      <colorScale>
        <cfvo type="min"/>
        <cfvo type="percentile" val="50"/>
        <cfvo type="max"/>
        <color rgb="FFF8696B"/>
        <color rgb="FFFFEB84"/>
        <color rgb="FF63BE7B"/>
      </colorScale>
    </cfRule>
  </conditionalFormatting>
  <conditionalFormatting sqref="E25">
    <cfRule type="colorScale" priority="11025">
      <colorScale>
        <cfvo type="min"/>
        <cfvo type="percentile" val="50"/>
        <cfvo type="max"/>
        <color rgb="FFF8696B"/>
        <color rgb="FFFFEB84"/>
        <color rgb="FF63BE7B"/>
      </colorScale>
    </cfRule>
  </conditionalFormatting>
  <conditionalFormatting sqref="E25">
    <cfRule type="colorScale" priority="11024">
      <colorScale>
        <cfvo type="min"/>
        <cfvo type="percentile" val="50"/>
        <cfvo type="max"/>
        <color rgb="FFF8696B"/>
        <color rgb="FFFFEB84"/>
        <color rgb="FF63BE7B"/>
      </colorScale>
    </cfRule>
  </conditionalFormatting>
  <conditionalFormatting sqref="E25">
    <cfRule type="colorScale" priority="11023">
      <colorScale>
        <cfvo type="min"/>
        <cfvo type="percentile" val="50"/>
        <cfvo type="max"/>
        <color rgb="FFF8696B"/>
        <color rgb="FFFFEB84"/>
        <color rgb="FF63BE7B"/>
      </colorScale>
    </cfRule>
  </conditionalFormatting>
  <conditionalFormatting sqref="E25">
    <cfRule type="colorScale" priority="11022">
      <colorScale>
        <cfvo type="min"/>
        <cfvo type="percentile" val="50"/>
        <cfvo type="max"/>
        <color rgb="FFF8696B"/>
        <color rgb="FFFFEB84"/>
        <color rgb="FF63BE7B"/>
      </colorScale>
    </cfRule>
  </conditionalFormatting>
  <conditionalFormatting sqref="E25">
    <cfRule type="colorScale" priority="11021">
      <colorScale>
        <cfvo type="min"/>
        <cfvo type="percentile" val="50"/>
        <cfvo type="max"/>
        <color rgb="FFF8696B"/>
        <color rgb="FFFFEB84"/>
        <color rgb="FF63BE7B"/>
      </colorScale>
    </cfRule>
  </conditionalFormatting>
  <conditionalFormatting sqref="E25">
    <cfRule type="colorScale" priority="11020">
      <colorScale>
        <cfvo type="min"/>
        <cfvo type="percentile" val="50"/>
        <cfvo type="max"/>
        <color rgb="FFF8696B"/>
        <color rgb="FFFFEB84"/>
        <color rgb="FF63BE7B"/>
      </colorScale>
    </cfRule>
  </conditionalFormatting>
  <conditionalFormatting sqref="E25">
    <cfRule type="colorScale" priority="11019">
      <colorScale>
        <cfvo type="min"/>
        <cfvo type="percentile" val="50"/>
        <cfvo type="max"/>
        <color rgb="FFF8696B"/>
        <color rgb="FFFFEB84"/>
        <color rgb="FF63BE7B"/>
      </colorScale>
    </cfRule>
  </conditionalFormatting>
  <conditionalFormatting sqref="E25">
    <cfRule type="colorScale" priority="11018">
      <colorScale>
        <cfvo type="min"/>
        <cfvo type="percentile" val="50"/>
        <cfvo type="max"/>
        <color rgb="FFF8696B"/>
        <color rgb="FFFFEB84"/>
        <color rgb="FF63BE7B"/>
      </colorScale>
    </cfRule>
  </conditionalFormatting>
  <conditionalFormatting sqref="E25">
    <cfRule type="colorScale" priority="11017">
      <colorScale>
        <cfvo type="min"/>
        <cfvo type="percentile" val="50"/>
        <cfvo type="max"/>
        <color rgb="FFF8696B"/>
        <color rgb="FFFFEB84"/>
        <color rgb="FF63BE7B"/>
      </colorScale>
    </cfRule>
  </conditionalFormatting>
  <conditionalFormatting sqref="E25">
    <cfRule type="colorScale" priority="11016">
      <colorScale>
        <cfvo type="min"/>
        <cfvo type="percentile" val="50"/>
        <cfvo type="max"/>
        <color rgb="FFF8696B"/>
        <color rgb="FFFFEB84"/>
        <color rgb="FF63BE7B"/>
      </colorScale>
    </cfRule>
  </conditionalFormatting>
  <conditionalFormatting sqref="E25">
    <cfRule type="colorScale" priority="11015">
      <colorScale>
        <cfvo type="min"/>
        <cfvo type="percentile" val="50"/>
        <cfvo type="max"/>
        <color rgb="FFF8696B"/>
        <color rgb="FFFFEB84"/>
        <color rgb="FF63BE7B"/>
      </colorScale>
    </cfRule>
  </conditionalFormatting>
  <conditionalFormatting sqref="E25">
    <cfRule type="colorScale" priority="11014">
      <colorScale>
        <cfvo type="min"/>
        <cfvo type="percentile" val="50"/>
        <cfvo type="max"/>
        <color rgb="FFF8696B"/>
        <color rgb="FFFFEB84"/>
        <color rgb="FF63BE7B"/>
      </colorScale>
    </cfRule>
  </conditionalFormatting>
  <conditionalFormatting sqref="E25">
    <cfRule type="colorScale" priority="11013">
      <colorScale>
        <cfvo type="min"/>
        <cfvo type="percentile" val="50"/>
        <cfvo type="max"/>
        <color rgb="FFF8696B"/>
        <color rgb="FFFFEB84"/>
        <color rgb="FF63BE7B"/>
      </colorScale>
    </cfRule>
  </conditionalFormatting>
  <conditionalFormatting sqref="E25">
    <cfRule type="colorScale" priority="11012">
      <colorScale>
        <cfvo type="min"/>
        <cfvo type="percentile" val="50"/>
        <cfvo type="max"/>
        <color rgb="FFF8696B"/>
        <color rgb="FFFFEB84"/>
        <color rgb="FF63BE7B"/>
      </colorScale>
    </cfRule>
  </conditionalFormatting>
  <conditionalFormatting sqref="E25">
    <cfRule type="colorScale" priority="11011">
      <colorScale>
        <cfvo type="min"/>
        <cfvo type="percentile" val="50"/>
        <cfvo type="max"/>
        <color rgb="FFF8696B"/>
        <color rgb="FFFFEB84"/>
        <color rgb="FF63BE7B"/>
      </colorScale>
    </cfRule>
  </conditionalFormatting>
  <conditionalFormatting sqref="E25">
    <cfRule type="colorScale" priority="11010">
      <colorScale>
        <cfvo type="min"/>
        <cfvo type="percentile" val="50"/>
        <cfvo type="max"/>
        <color rgb="FFF8696B"/>
        <color rgb="FFFFEB84"/>
        <color rgb="FF63BE7B"/>
      </colorScale>
    </cfRule>
  </conditionalFormatting>
  <conditionalFormatting sqref="E25">
    <cfRule type="colorScale" priority="11009">
      <colorScale>
        <cfvo type="min"/>
        <cfvo type="percentile" val="50"/>
        <cfvo type="max"/>
        <color rgb="FFF8696B"/>
        <color rgb="FFFFEB84"/>
        <color rgb="FF63BE7B"/>
      </colorScale>
    </cfRule>
  </conditionalFormatting>
  <conditionalFormatting sqref="E25">
    <cfRule type="colorScale" priority="11008">
      <colorScale>
        <cfvo type="min"/>
        <cfvo type="percentile" val="50"/>
        <cfvo type="max"/>
        <color rgb="FFF8696B"/>
        <color rgb="FFFFEB84"/>
        <color rgb="FF63BE7B"/>
      </colorScale>
    </cfRule>
  </conditionalFormatting>
  <conditionalFormatting sqref="E25">
    <cfRule type="colorScale" priority="11007">
      <colorScale>
        <cfvo type="min"/>
        <cfvo type="percentile" val="50"/>
        <cfvo type="max"/>
        <color rgb="FFF8696B"/>
        <color rgb="FFFFEB84"/>
        <color rgb="FF63BE7B"/>
      </colorScale>
    </cfRule>
  </conditionalFormatting>
  <conditionalFormatting sqref="E25">
    <cfRule type="colorScale" priority="11006">
      <colorScale>
        <cfvo type="min"/>
        <cfvo type="percentile" val="50"/>
        <cfvo type="max"/>
        <color rgb="FFF8696B"/>
        <color rgb="FFFFEB84"/>
        <color rgb="FF63BE7B"/>
      </colorScale>
    </cfRule>
  </conditionalFormatting>
  <conditionalFormatting sqref="E25">
    <cfRule type="colorScale" priority="11005">
      <colorScale>
        <cfvo type="min"/>
        <cfvo type="percentile" val="50"/>
        <cfvo type="max"/>
        <color rgb="FFF8696B"/>
        <color rgb="FFFFEB84"/>
        <color rgb="FF63BE7B"/>
      </colorScale>
    </cfRule>
  </conditionalFormatting>
  <conditionalFormatting sqref="E25">
    <cfRule type="colorScale" priority="11004">
      <colorScale>
        <cfvo type="min"/>
        <cfvo type="percentile" val="50"/>
        <cfvo type="max"/>
        <color rgb="FFF8696B"/>
        <color rgb="FFFFEB84"/>
        <color rgb="FF63BE7B"/>
      </colorScale>
    </cfRule>
  </conditionalFormatting>
  <conditionalFormatting sqref="E25">
    <cfRule type="colorScale" priority="11003">
      <colorScale>
        <cfvo type="min"/>
        <cfvo type="percentile" val="50"/>
        <cfvo type="max"/>
        <color rgb="FFF8696B"/>
        <color rgb="FFFFEB84"/>
        <color rgb="FF63BE7B"/>
      </colorScale>
    </cfRule>
  </conditionalFormatting>
  <conditionalFormatting sqref="E25">
    <cfRule type="colorScale" priority="11002">
      <colorScale>
        <cfvo type="min"/>
        <cfvo type="percentile" val="50"/>
        <cfvo type="max"/>
        <color rgb="FFF8696B"/>
        <color rgb="FFFFEB84"/>
        <color rgb="FF63BE7B"/>
      </colorScale>
    </cfRule>
  </conditionalFormatting>
  <conditionalFormatting sqref="E25">
    <cfRule type="colorScale" priority="11001">
      <colorScale>
        <cfvo type="min"/>
        <cfvo type="percentile" val="50"/>
        <cfvo type="max"/>
        <color rgb="FFF8696B"/>
        <color rgb="FFFFEB84"/>
        <color rgb="FF63BE7B"/>
      </colorScale>
    </cfRule>
  </conditionalFormatting>
  <conditionalFormatting sqref="E25">
    <cfRule type="colorScale" priority="11000">
      <colorScale>
        <cfvo type="min"/>
        <cfvo type="percentile" val="50"/>
        <cfvo type="max"/>
        <color rgb="FFF8696B"/>
        <color rgb="FFFFEB84"/>
        <color rgb="FF63BE7B"/>
      </colorScale>
    </cfRule>
  </conditionalFormatting>
  <conditionalFormatting sqref="E25">
    <cfRule type="colorScale" priority="10999">
      <colorScale>
        <cfvo type="min"/>
        <cfvo type="percentile" val="50"/>
        <cfvo type="max"/>
        <color rgb="FFF8696B"/>
        <color rgb="FFFFEB84"/>
        <color rgb="FF63BE7B"/>
      </colorScale>
    </cfRule>
  </conditionalFormatting>
  <conditionalFormatting sqref="E25">
    <cfRule type="colorScale" priority="10998">
      <colorScale>
        <cfvo type="min"/>
        <cfvo type="percentile" val="50"/>
        <cfvo type="max"/>
        <color rgb="FFF8696B"/>
        <color rgb="FFFFEB84"/>
        <color rgb="FF63BE7B"/>
      </colorScale>
    </cfRule>
  </conditionalFormatting>
  <conditionalFormatting sqref="E25">
    <cfRule type="colorScale" priority="10997">
      <colorScale>
        <cfvo type="min"/>
        <cfvo type="percentile" val="50"/>
        <cfvo type="max"/>
        <color rgb="FFF8696B"/>
        <color rgb="FFFFEB84"/>
        <color rgb="FF63BE7B"/>
      </colorScale>
    </cfRule>
  </conditionalFormatting>
  <conditionalFormatting sqref="E25">
    <cfRule type="colorScale" priority="10996">
      <colorScale>
        <cfvo type="min"/>
        <cfvo type="percentile" val="50"/>
        <cfvo type="max"/>
        <color rgb="FFF8696B"/>
        <color rgb="FFFFEB84"/>
        <color rgb="FF63BE7B"/>
      </colorScale>
    </cfRule>
  </conditionalFormatting>
  <conditionalFormatting sqref="E25">
    <cfRule type="colorScale" priority="10995">
      <colorScale>
        <cfvo type="min"/>
        <cfvo type="percentile" val="50"/>
        <cfvo type="max"/>
        <color rgb="FFF8696B"/>
        <color rgb="FFFFEB84"/>
        <color rgb="FF63BE7B"/>
      </colorScale>
    </cfRule>
  </conditionalFormatting>
  <conditionalFormatting sqref="E25">
    <cfRule type="colorScale" priority="10994">
      <colorScale>
        <cfvo type="min"/>
        <cfvo type="percentile" val="50"/>
        <cfvo type="max"/>
        <color rgb="FFF8696B"/>
        <color rgb="FFFFEB84"/>
        <color rgb="FF63BE7B"/>
      </colorScale>
    </cfRule>
  </conditionalFormatting>
  <conditionalFormatting sqref="E25">
    <cfRule type="colorScale" priority="10993">
      <colorScale>
        <cfvo type="min"/>
        <cfvo type="percentile" val="50"/>
        <cfvo type="max"/>
        <color rgb="FFF8696B"/>
        <color rgb="FFFFEB84"/>
        <color rgb="FF63BE7B"/>
      </colorScale>
    </cfRule>
  </conditionalFormatting>
  <conditionalFormatting sqref="E25">
    <cfRule type="colorScale" priority="10992">
      <colorScale>
        <cfvo type="min"/>
        <cfvo type="percentile" val="50"/>
        <cfvo type="max"/>
        <color rgb="FFF8696B"/>
        <color rgb="FFFFEB84"/>
        <color rgb="FF63BE7B"/>
      </colorScale>
    </cfRule>
  </conditionalFormatting>
  <conditionalFormatting sqref="E25">
    <cfRule type="colorScale" priority="10991">
      <colorScale>
        <cfvo type="min"/>
        <cfvo type="percentile" val="50"/>
        <cfvo type="max"/>
        <color rgb="FFF8696B"/>
        <color rgb="FFFFEB84"/>
        <color rgb="FF63BE7B"/>
      </colorScale>
    </cfRule>
  </conditionalFormatting>
  <conditionalFormatting sqref="E25">
    <cfRule type="colorScale" priority="10990">
      <colorScale>
        <cfvo type="min"/>
        <cfvo type="percentile" val="50"/>
        <cfvo type="max"/>
        <color rgb="FFF8696B"/>
        <color rgb="FFFFEB84"/>
        <color rgb="FF63BE7B"/>
      </colorScale>
    </cfRule>
  </conditionalFormatting>
  <conditionalFormatting sqref="E25">
    <cfRule type="colorScale" priority="10989">
      <colorScale>
        <cfvo type="min"/>
        <cfvo type="percentile" val="50"/>
        <cfvo type="max"/>
        <color rgb="FFF8696B"/>
        <color rgb="FFFFEB84"/>
        <color rgb="FF63BE7B"/>
      </colorScale>
    </cfRule>
  </conditionalFormatting>
  <conditionalFormatting sqref="E25">
    <cfRule type="colorScale" priority="10988">
      <colorScale>
        <cfvo type="min"/>
        <cfvo type="percentile" val="50"/>
        <cfvo type="max"/>
        <color rgb="FFF8696B"/>
        <color rgb="FFFFEB84"/>
        <color rgb="FF63BE7B"/>
      </colorScale>
    </cfRule>
  </conditionalFormatting>
  <conditionalFormatting sqref="E25">
    <cfRule type="colorScale" priority="10987">
      <colorScale>
        <cfvo type="min"/>
        <cfvo type="percentile" val="50"/>
        <cfvo type="max"/>
        <color rgb="FFF8696B"/>
        <color rgb="FFFFEB84"/>
        <color rgb="FF63BE7B"/>
      </colorScale>
    </cfRule>
  </conditionalFormatting>
  <conditionalFormatting sqref="E25">
    <cfRule type="colorScale" priority="10986">
      <colorScale>
        <cfvo type="min"/>
        <cfvo type="percentile" val="50"/>
        <cfvo type="max"/>
        <color rgb="FFF8696B"/>
        <color rgb="FFFFEB84"/>
        <color rgb="FF63BE7B"/>
      </colorScale>
    </cfRule>
  </conditionalFormatting>
  <conditionalFormatting sqref="E25">
    <cfRule type="colorScale" priority="10985">
      <colorScale>
        <cfvo type="min"/>
        <cfvo type="percentile" val="50"/>
        <cfvo type="max"/>
        <color rgb="FFF8696B"/>
        <color rgb="FFFFEB84"/>
        <color rgb="FF63BE7B"/>
      </colorScale>
    </cfRule>
  </conditionalFormatting>
  <conditionalFormatting sqref="E25">
    <cfRule type="colorScale" priority="10984">
      <colorScale>
        <cfvo type="min"/>
        <cfvo type="percentile" val="50"/>
        <cfvo type="max"/>
        <color rgb="FFF8696B"/>
        <color rgb="FFFFEB84"/>
        <color rgb="FF63BE7B"/>
      </colorScale>
    </cfRule>
  </conditionalFormatting>
  <conditionalFormatting sqref="E25">
    <cfRule type="colorScale" priority="10983">
      <colorScale>
        <cfvo type="min"/>
        <cfvo type="percentile" val="50"/>
        <cfvo type="max"/>
        <color rgb="FFF8696B"/>
        <color rgb="FFFFEB84"/>
        <color rgb="FF63BE7B"/>
      </colorScale>
    </cfRule>
  </conditionalFormatting>
  <conditionalFormatting sqref="E25">
    <cfRule type="colorScale" priority="10982">
      <colorScale>
        <cfvo type="min"/>
        <cfvo type="percentile" val="50"/>
        <cfvo type="max"/>
        <color rgb="FFF8696B"/>
        <color rgb="FFFFEB84"/>
        <color rgb="FF63BE7B"/>
      </colorScale>
    </cfRule>
  </conditionalFormatting>
  <conditionalFormatting sqref="E25">
    <cfRule type="colorScale" priority="10981">
      <colorScale>
        <cfvo type="min"/>
        <cfvo type="percentile" val="50"/>
        <cfvo type="max"/>
        <color rgb="FFF8696B"/>
        <color rgb="FFFFEB84"/>
        <color rgb="FF63BE7B"/>
      </colorScale>
    </cfRule>
  </conditionalFormatting>
  <conditionalFormatting sqref="E25">
    <cfRule type="colorScale" priority="10980">
      <colorScale>
        <cfvo type="min"/>
        <cfvo type="percentile" val="50"/>
        <cfvo type="max"/>
        <color rgb="FFF8696B"/>
        <color rgb="FFFFEB84"/>
        <color rgb="FF63BE7B"/>
      </colorScale>
    </cfRule>
  </conditionalFormatting>
  <conditionalFormatting sqref="E25">
    <cfRule type="colorScale" priority="10979">
      <colorScale>
        <cfvo type="min"/>
        <cfvo type="percentile" val="50"/>
        <cfvo type="max"/>
        <color rgb="FFF8696B"/>
        <color rgb="FFFFEB84"/>
        <color rgb="FF63BE7B"/>
      </colorScale>
    </cfRule>
  </conditionalFormatting>
  <conditionalFormatting sqref="E25">
    <cfRule type="colorScale" priority="10978">
      <colorScale>
        <cfvo type="min"/>
        <cfvo type="percentile" val="50"/>
        <cfvo type="max"/>
        <color rgb="FFF8696B"/>
        <color rgb="FFFFEB84"/>
        <color rgb="FF63BE7B"/>
      </colorScale>
    </cfRule>
  </conditionalFormatting>
  <conditionalFormatting sqref="E25">
    <cfRule type="colorScale" priority="10977">
      <colorScale>
        <cfvo type="min"/>
        <cfvo type="percentile" val="50"/>
        <cfvo type="max"/>
        <color rgb="FFF8696B"/>
        <color rgb="FFFFEB84"/>
        <color rgb="FF63BE7B"/>
      </colorScale>
    </cfRule>
  </conditionalFormatting>
  <conditionalFormatting sqref="E25">
    <cfRule type="colorScale" priority="10976">
      <colorScale>
        <cfvo type="min"/>
        <cfvo type="percentile" val="50"/>
        <cfvo type="max"/>
        <color rgb="FFF8696B"/>
        <color rgb="FFFFEB84"/>
        <color rgb="FF63BE7B"/>
      </colorScale>
    </cfRule>
  </conditionalFormatting>
  <conditionalFormatting sqref="E25">
    <cfRule type="colorScale" priority="10975">
      <colorScale>
        <cfvo type="min"/>
        <cfvo type="percentile" val="50"/>
        <cfvo type="max"/>
        <color rgb="FFF8696B"/>
        <color rgb="FFFFEB84"/>
        <color rgb="FF63BE7B"/>
      </colorScale>
    </cfRule>
  </conditionalFormatting>
  <conditionalFormatting sqref="E25">
    <cfRule type="colorScale" priority="10974">
      <colorScale>
        <cfvo type="min"/>
        <cfvo type="percentile" val="50"/>
        <cfvo type="max"/>
        <color rgb="FFF8696B"/>
        <color rgb="FFFFEB84"/>
        <color rgb="FF63BE7B"/>
      </colorScale>
    </cfRule>
  </conditionalFormatting>
  <conditionalFormatting sqref="E25">
    <cfRule type="colorScale" priority="10973">
      <colorScale>
        <cfvo type="min"/>
        <cfvo type="percentile" val="50"/>
        <cfvo type="max"/>
        <color rgb="FFF8696B"/>
        <color rgb="FFFFEB84"/>
        <color rgb="FF63BE7B"/>
      </colorScale>
    </cfRule>
  </conditionalFormatting>
  <conditionalFormatting sqref="E25">
    <cfRule type="colorScale" priority="10972">
      <colorScale>
        <cfvo type="min"/>
        <cfvo type="percentile" val="50"/>
        <cfvo type="max"/>
        <color rgb="FFF8696B"/>
        <color rgb="FFFFEB84"/>
        <color rgb="FF63BE7B"/>
      </colorScale>
    </cfRule>
  </conditionalFormatting>
  <conditionalFormatting sqref="E25">
    <cfRule type="colorScale" priority="10971">
      <colorScale>
        <cfvo type="min"/>
        <cfvo type="percentile" val="50"/>
        <cfvo type="max"/>
        <color rgb="FFF8696B"/>
        <color rgb="FFFFEB84"/>
        <color rgb="FF63BE7B"/>
      </colorScale>
    </cfRule>
  </conditionalFormatting>
  <conditionalFormatting sqref="E25">
    <cfRule type="colorScale" priority="10970">
      <colorScale>
        <cfvo type="min"/>
        <cfvo type="percentile" val="50"/>
        <cfvo type="max"/>
        <color rgb="FFF8696B"/>
        <color rgb="FFFFEB84"/>
        <color rgb="FF63BE7B"/>
      </colorScale>
    </cfRule>
  </conditionalFormatting>
  <conditionalFormatting sqref="E25">
    <cfRule type="colorScale" priority="10969">
      <colorScale>
        <cfvo type="min"/>
        <cfvo type="percentile" val="50"/>
        <cfvo type="max"/>
        <color rgb="FFF8696B"/>
        <color rgb="FFFFEB84"/>
        <color rgb="FF63BE7B"/>
      </colorScale>
    </cfRule>
  </conditionalFormatting>
  <conditionalFormatting sqref="E25">
    <cfRule type="colorScale" priority="10968">
      <colorScale>
        <cfvo type="min"/>
        <cfvo type="percentile" val="50"/>
        <cfvo type="max"/>
        <color rgb="FFF8696B"/>
        <color rgb="FFFFEB84"/>
        <color rgb="FF63BE7B"/>
      </colorScale>
    </cfRule>
  </conditionalFormatting>
  <conditionalFormatting sqref="E25">
    <cfRule type="colorScale" priority="10967">
      <colorScale>
        <cfvo type="min"/>
        <cfvo type="percentile" val="50"/>
        <cfvo type="max"/>
        <color rgb="FFF8696B"/>
        <color rgb="FFFFEB84"/>
        <color rgb="FF63BE7B"/>
      </colorScale>
    </cfRule>
  </conditionalFormatting>
  <conditionalFormatting sqref="E25">
    <cfRule type="colorScale" priority="10966">
      <colorScale>
        <cfvo type="min"/>
        <cfvo type="percentile" val="50"/>
        <cfvo type="max"/>
        <color rgb="FFF8696B"/>
        <color rgb="FFFFEB84"/>
        <color rgb="FF63BE7B"/>
      </colorScale>
    </cfRule>
  </conditionalFormatting>
  <conditionalFormatting sqref="E25">
    <cfRule type="colorScale" priority="10965">
      <colorScale>
        <cfvo type="min"/>
        <cfvo type="percentile" val="50"/>
        <cfvo type="max"/>
        <color rgb="FFF8696B"/>
        <color rgb="FFFFEB84"/>
        <color rgb="FF63BE7B"/>
      </colorScale>
    </cfRule>
  </conditionalFormatting>
  <conditionalFormatting sqref="E25">
    <cfRule type="colorScale" priority="10964">
      <colorScale>
        <cfvo type="min"/>
        <cfvo type="percentile" val="50"/>
        <cfvo type="max"/>
        <color rgb="FFF8696B"/>
        <color rgb="FFFFEB84"/>
        <color rgb="FF63BE7B"/>
      </colorScale>
    </cfRule>
  </conditionalFormatting>
  <conditionalFormatting sqref="E25">
    <cfRule type="colorScale" priority="10963">
      <colorScale>
        <cfvo type="min"/>
        <cfvo type="percentile" val="50"/>
        <cfvo type="max"/>
        <color rgb="FFF8696B"/>
        <color rgb="FFFFEB84"/>
        <color rgb="FF63BE7B"/>
      </colorScale>
    </cfRule>
  </conditionalFormatting>
  <conditionalFormatting sqref="E25">
    <cfRule type="colorScale" priority="10962">
      <colorScale>
        <cfvo type="min"/>
        <cfvo type="percentile" val="50"/>
        <cfvo type="max"/>
        <color rgb="FFF8696B"/>
        <color rgb="FFFFEB84"/>
        <color rgb="FF63BE7B"/>
      </colorScale>
    </cfRule>
  </conditionalFormatting>
  <conditionalFormatting sqref="E25">
    <cfRule type="colorScale" priority="10961">
      <colorScale>
        <cfvo type="min"/>
        <cfvo type="percentile" val="50"/>
        <cfvo type="max"/>
        <color rgb="FFF8696B"/>
        <color rgb="FFFFEB84"/>
        <color rgb="FF63BE7B"/>
      </colorScale>
    </cfRule>
  </conditionalFormatting>
  <conditionalFormatting sqref="E25">
    <cfRule type="colorScale" priority="10960">
      <colorScale>
        <cfvo type="min"/>
        <cfvo type="percentile" val="50"/>
        <cfvo type="max"/>
        <color rgb="FFF8696B"/>
        <color rgb="FFFFEB84"/>
        <color rgb="FF63BE7B"/>
      </colorScale>
    </cfRule>
  </conditionalFormatting>
  <conditionalFormatting sqref="E25">
    <cfRule type="colorScale" priority="10959">
      <colorScale>
        <cfvo type="min"/>
        <cfvo type="percentile" val="50"/>
        <cfvo type="max"/>
        <color rgb="FFF8696B"/>
        <color rgb="FFFFEB84"/>
        <color rgb="FF63BE7B"/>
      </colorScale>
    </cfRule>
  </conditionalFormatting>
  <conditionalFormatting sqref="E25">
    <cfRule type="colorScale" priority="10958">
      <colorScale>
        <cfvo type="min"/>
        <cfvo type="percentile" val="50"/>
        <cfvo type="max"/>
        <color rgb="FFF8696B"/>
        <color rgb="FFFFEB84"/>
        <color rgb="FF63BE7B"/>
      </colorScale>
    </cfRule>
  </conditionalFormatting>
  <conditionalFormatting sqref="E25">
    <cfRule type="colorScale" priority="10957">
      <colorScale>
        <cfvo type="min"/>
        <cfvo type="percentile" val="50"/>
        <cfvo type="max"/>
        <color rgb="FFF8696B"/>
        <color rgb="FFFFEB84"/>
        <color rgb="FF63BE7B"/>
      </colorScale>
    </cfRule>
  </conditionalFormatting>
  <conditionalFormatting sqref="E25">
    <cfRule type="colorScale" priority="10956">
      <colorScale>
        <cfvo type="min"/>
        <cfvo type="percentile" val="50"/>
        <cfvo type="max"/>
        <color rgb="FFF8696B"/>
        <color rgb="FFFFEB84"/>
        <color rgb="FF63BE7B"/>
      </colorScale>
    </cfRule>
  </conditionalFormatting>
  <conditionalFormatting sqref="E25">
    <cfRule type="colorScale" priority="10955">
      <colorScale>
        <cfvo type="min"/>
        <cfvo type="percentile" val="50"/>
        <cfvo type="max"/>
        <color rgb="FFF8696B"/>
        <color rgb="FFFFEB84"/>
        <color rgb="FF63BE7B"/>
      </colorScale>
    </cfRule>
  </conditionalFormatting>
  <conditionalFormatting sqref="E25">
    <cfRule type="colorScale" priority="10954">
      <colorScale>
        <cfvo type="min"/>
        <cfvo type="percentile" val="50"/>
        <cfvo type="max"/>
        <color rgb="FFF8696B"/>
        <color rgb="FFFFEB84"/>
        <color rgb="FF63BE7B"/>
      </colorScale>
    </cfRule>
  </conditionalFormatting>
  <conditionalFormatting sqref="E25">
    <cfRule type="colorScale" priority="10953">
      <colorScale>
        <cfvo type="min"/>
        <cfvo type="percentile" val="50"/>
        <cfvo type="max"/>
        <color rgb="FFF8696B"/>
        <color rgb="FFFFEB84"/>
        <color rgb="FF63BE7B"/>
      </colorScale>
    </cfRule>
  </conditionalFormatting>
  <conditionalFormatting sqref="E25">
    <cfRule type="colorScale" priority="10952">
      <colorScale>
        <cfvo type="min"/>
        <cfvo type="percentile" val="50"/>
        <cfvo type="max"/>
        <color rgb="FFF8696B"/>
        <color rgb="FFFFEB84"/>
        <color rgb="FF63BE7B"/>
      </colorScale>
    </cfRule>
  </conditionalFormatting>
  <conditionalFormatting sqref="E25">
    <cfRule type="colorScale" priority="10951">
      <colorScale>
        <cfvo type="min"/>
        <cfvo type="percentile" val="50"/>
        <cfvo type="max"/>
        <color rgb="FFF8696B"/>
        <color rgb="FFFFEB84"/>
        <color rgb="FF63BE7B"/>
      </colorScale>
    </cfRule>
  </conditionalFormatting>
  <conditionalFormatting sqref="E25">
    <cfRule type="colorScale" priority="10950">
      <colorScale>
        <cfvo type="min"/>
        <cfvo type="percentile" val="50"/>
        <cfvo type="max"/>
        <color rgb="FFF8696B"/>
        <color rgb="FFFFEB84"/>
        <color rgb="FF63BE7B"/>
      </colorScale>
    </cfRule>
  </conditionalFormatting>
  <conditionalFormatting sqref="E25">
    <cfRule type="colorScale" priority="10949">
      <colorScale>
        <cfvo type="min"/>
        <cfvo type="percentile" val="50"/>
        <cfvo type="max"/>
        <color rgb="FFF8696B"/>
        <color rgb="FFFFEB84"/>
        <color rgb="FF63BE7B"/>
      </colorScale>
    </cfRule>
  </conditionalFormatting>
  <conditionalFormatting sqref="E25">
    <cfRule type="colorScale" priority="10948">
      <colorScale>
        <cfvo type="min"/>
        <cfvo type="percentile" val="50"/>
        <cfvo type="max"/>
        <color rgb="FFF8696B"/>
        <color rgb="FFFFEB84"/>
        <color rgb="FF63BE7B"/>
      </colorScale>
    </cfRule>
  </conditionalFormatting>
  <conditionalFormatting sqref="E25">
    <cfRule type="colorScale" priority="10947">
      <colorScale>
        <cfvo type="min"/>
        <cfvo type="percentile" val="50"/>
        <cfvo type="max"/>
        <color rgb="FFF8696B"/>
        <color rgb="FFFFEB84"/>
        <color rgb="FF63BE7B"/>
      </colorScale>
    </cfRule>
  </conditionalFormatting>
  <conditionalFormatting sqref="E25">
    <cfRule type="colorScale" priority="10946">
      <colorScale>
        <cfvo type="min"/>
        <cfvo type="percentile" val="50"/>
        <cfvo type="max"/>
        <color rgb="FFF8696B"/>
        <color rgb="FFFFEB84"/>
        <color rgb="FF63BE7B"/>
      </colorScale>
    </cfRule>
  </conditionalFormatting>
  <conditionalFormatting sqref="E25">
    <cfRule type="colorScale" priority="10945">
      <colorScale>
        <cfvo type="min"/>
        <cfvo type="percentile" val="50"/>
        <cfvo type="max"/>
        <color rgb="FFF8696B"/>
        <color rgb="FFFFEB84"/>
        <color rgb="FF63BE7B"/>
      </colorScale>
    </cfRule>
  </conditionalFormatting>
  <conditionalFormatting sqref="E25">
    <cfRule type="colorScale" priority="10944">
      <colorScale>
        <cfvo type="min"/>
        <cfvo type="percentile" val="50"/>
        <cfvo type="max"/>
        <color rgb="FFF8696B"/>
        <color rgb="FFFFEB84"/>
        <color rgb="FF63BE7B"/>
      </colorScale>
    </cfRule>
  </conditionalFormatting>
  <conditionalFormatting sqref="E25">
    <cfRule type="colorScale" priority="10943">
      <colorScale>
        <cfvo type="min"/>
        <cfvo type="percentile" val="50"/>
        <cfvo type="max"/>
        <color rgb="FFF8696B"/>
        <color rgb="FFFFEB84"/>
        <color rgb="FF63BE7B"/>
      </colorScale>
    </cfRule>
  </conditionalFormatting>
  <conditionalFormatting sqref="E25">
    <cfRule type="colorScale" priority="10942">
      <colorScale>
        <cfvo type="min"/>
        <cfvo type="percentile" val="50"/>
        <cfvo type="max"/>
        <color rgb="FFF8696B"/>
        <color rgb="FFFFEB84"/>
        <color rgb="FF63BE7B"/>
      </colorScale>
    </cfRule>
  </conditionalFormatting>
  <conditionalFormatting sqref="E25">
    <cfRule type="colorScale" priority="10941">
      <colorScale>
        <cfvo type="min"/>
        <cfvo type="percentile" val="50"/>
        <cfvo type="max"/>
        <color rgb="FFF8696B"/>
        <color rgb="FFFFEB84"/>
        <color rgb="FF63BE7B"/>
      </colorScale>
    </cfRule>
  </conditionalFormatting>
  <conditionalFormatting sqref="E25">
    <cfRule type="colorScale" priority="10940">
      <colorScale>
        <cfvo type="min"/>
        <cfvo type="percentile" val="50"/>
        <cfvo type="max"/>
        <color rgb="FFF8696B"/>
        <color rgb="FFFFEB84"/>
        <color rgb="FF63BE7B"/>
      </colorScale>
    </cfRule>
  </conditionalFormatting>
  <conditionalFormatting sqref="E25">
    <cfRule type="colorScale" priority="10939">
      <colorScale>
        <cfvo type="min"/>
        <cfvo type="percentile" val="50"/>
        <cfvo type="max"/>
        <color rgb="FFF8696B"/>
        <color rgb="FFFFEB84"/>
        <color rgb="FF63BE7B"/>
      </colorScale>
    </cfRule>
  </conditionalFormatting>
  <conditionalFormatting sqref="E25">
    <cfRule type="colorScale" priority="10938">
      <colorScale>
        <cfvo type="min"/>
        <cfvo type="percentile" val="50"/>
        <cfvo type="max"/>
        <color rgb="FFF8696B"/>
        <color rgb="FFFFEB84"/>
        <color rgb="FF63BE7B"/>
      </colorScale>
    </cfRule>
  </conditionalFormatting>
  <conditionalFormatting sqref="E25">
    <cfRule type="colorScale" priority="10937">
      <colorScale>
        <cfvo type="min"/>
        <cfvo type="percentile" val="50"/>
        <cfvo type="max"/>
        <color rgb="FFF8696B"/>
        <color rgb="FFFFEB84"/>
        <color rgb="FF63BE7B"/>
      </colorScale>
    </cfRule>
  </conditionalFormatting>
  <conditionalFormatting sqref="E25">
    <cfRule type="colorScale" priority="10936">
      <colorScale>
        <cfvo type="min"/>
        <cfvo type="percentile" val="50"/>
        <cfvo type="max"/>
        <color rgb="FFF8696B"/>
        <color rgb="FFFFEB84"/>
        <color rgb="FF63BE7B"/>
      </colorScale>
    </cfRule>
  </conditionalFormatting>
  <conditionalFormatting sqref="E25">
    <cfRule type="colorScale" priority="10935">
      <colorScale>
        <cfvo type="min"/>
        <cfvo type="percentile" val="50"/>
        <cfvo type="max"/>
        <color rgb="FFF8696B"/>
        <color rgb="FFFFEB84"/>
        <color rgb="FF63BE7B"/>
      </colorScale>
    </cfRule>
  </conditionalFormatting>
  <conditionalFormatting sqref="E25">
    <cfRule type="colorScale" priority="10934">
      <colorScale>
        <cfvo type="min"/>
        <cfvo type="percentile" val="50"/>
        <cfvo type="max"/>
        <color rgb="FFF8696B"/>
        <color rgb="FFFFEB84"/>
        <color rgb="FF63BE7B"/>
      </colorScale>
    </cfRule>
  </conditionalFormatting>
  <conditionalFormatting sqref="E25">
    <cfRule type="colorScale" priority="10933">
      <colorScale>
        <cfvo type="min"/>
        <cfvo type="percentile" val="50"/>
        <cfvo type="max"/>
        <color rgb="FFF8696B"/>
        <color rgb="FFFFEB84"/>
        <color rgb="FF63BE7B"/>
      </colorScale>
    </cfRule>
  </conditionalFormatting>
  <conditionalFormatting sqref="E25">
    <cfRule type="colorScale" priority="10932">
      <colorScale>
        <cfvo type="min"/>
        <cfvo type="percentile" val="50"/>
        <cfvo type="max"/>
        <color rgb="FFF8696B"/>
        <color rgb="FFFFEB84"/>
        <color rgb="FF63BE7B"/>
      </colorScale>
    </cfRule>
  </conditionalFormatting>
  <conditionalFormatting sqref="E25">
    <cfRule type="colorScale" priority="10931">
      <colorScale>
        <cfvo type="min"/>
        <cfvo type="percentile" val="50"/>
        <cfvo type="max"/>
        <color rgb="FFF8696B"/>
        <color rgb="FFFFEB84"/>
        <color rgb="FF63BE7B"/>
      </colorScale>
    </cfRule>
  </conditionalFormatting>
  <conditionalFormatting sqref="E25">
    <cfRule type="colorScale" priority="10930">
      <colorScale>
        <cfvo type="min"/>
        <cfvo type="percentile" val="50"/>
        <cfvo type="max"/>
        <color rgb="FFF8696B"/>
        <color rgb="FFFFEB84"/>
        <color rgb="FF63BE7B"/>
      </colorScale>
    </cfRule>
  </conditionalFormatting>
  <conditionalFormatting sqref="E25">
    <cfRule type="colorScale" priority="10929">
      <colorScale>
        <cfvo type="min"/>
        <cfvo type="percentile" val="50"/>
        <cfvo type="max"/>
        <color rgb="FFF8696B"/>
        <color rgb="FFFFEB84"/>
        <color rgb="FF63BE7B"/>
      </colorScale>
    </cfRule>
  </conditionalFormatting>
  <conditionalFormatting sqref="E25">
    <cfRule type="colorScale" priority="10928">
      <colorScale>
        <cfvo type="min"/>
        <cfvo type="percentile" val="50"/>
        <cfvo type="max"/>
        <color rgb="FFF8696B"/>
        <color rgb="FFFFEB84"/>
        <color rgb="FF63BE7B"/>
      </colorScale>
    </cfRule>
  </conditionalFormatting>
  <conditionalFormatting sqref="E25">
    <cfRule type="colorScale" priority="10927">
      <colorScale>
        <cfvo type="min"/>
        <cfvo type="percentile" val="50"/>
        <cfvo type="max"/>
        <color rgb="FFF8696B"/>
        <color rgb="FFFFEB84"/>
        <color rgb="FF63BE7B"/>
      </colorScale>
    </cfRule>
  </conditionalFormatting>
  <conditionalFormatting sqref="E25">
    <cfRule type="colorScale" priority="10926">
      <colorScale>
        <cfvo type="min"/>
        <cfvo type="percentile" val="50"/>
        <cfvo type="max"/>
        <color rgb="FFF8696B"/>
        <color rgb="FFFFEB84"/>
        <color rgb="FF63BE7B"/>
      </colorScale>
    </cfRule>
  </conditionalFormatting>
  <conditionalFormatting sqref="E25">
    <cfRule type="colorScale" priority="10925">
      <colorScale>
        <cfvo type="min"/>
        <cfvo type="percentile" val="50"/>
        <cfvo type="max"/>
        <color rgb="FFF8696B"/>
        <color rgb="FFFFEB84"/>
        <color rgb="FF63BE7B"/>
      </colorScale>
    </cfRule>
  </conditionalFormatting>
  <conditionalFormatting sqref="E25">
    <cfRule type="colorScale" priority="10924">
      <colorScale>
        <cfvo type="min"/>
        <cfvo type="percentile" val="50"/>
        <cfvo type="max"/>
        <color rgb="FFF8696B"/>
        <color rgb="FFFFEB84"/>
        <color rgb="FF63BE7B"/>
      </colorScale>
    </cfRule>
  </conditionalFormatting>
  <conditionalFormatting sqref="E25">
    <cfRule type="colorScale" priority="10923">
      <colorScale>
        <cfvo type="min"/>
        <cfvo type="percentile" val="50"/>
        <cfvo type="max"/>
        <color rgb="FFF8696B"/>
        <color rgb="FFFFEB84"/>
        <color rgb="FF63BE7B"/>
      </colorScale>
    </cfRule>
  </conditionalFormatting>
  <conditionalFormatting sqref="E25">
    <cfRule type="colorScale" priority="10922">
      <colorScale>
        <cfvo type="min"/>
        <cfvo type="percentile" val="50"/>
        <cfvo type="max"/>
        <color rgb="FFF8696B"/>
        <color rgb="FFFFEB84"/>
        <color rgb="FF63BE7B"/>
      </colorScale>
    </cfRule>
  </conditionalFormatting>
  <conditionalFormatting sqref="E25">
    <cfRule type="colorScale" priority="10921">
      <colorScale>
        <cfvo type="min"/>
        <cfvo type="percentile" val="50"/>
        <cfvo type="max"/>
        <color rgb="FFF8696B"/>
        <color rgb="FFFFEB84"/>
        <color rgb="FF63BE7B"/>
      </colorScale>
    </cfRule>
  </conditionalFormatting>
  <conditionalFormatting sqref="E25">
    <cfRule type="colorScale" priority="10920">
      <colorScale>
        <cfvo type="min"/>
        <cfvo type="percentile" val="50"/>
        <cfvo type="max"/>
        <color rgb="FFF8696B"/>
        <color rgb="FFFFEB84"/>
        <color rgb="FF63BE7B"/>
      </colorScale>
    </cfRule>
  </conditionalFormatting>
  <conditionalFormatting sqref="E25">
    <cfRule type="colorScale" priority="10919">
      <colorScale>
        <cfvo type="min"/>
        <cfvo type="percentile" val="50"/>
        <cfvo type="max"/>
        <color rgb="FFF8696B"/>
        <color rgb="FFFFEB84"/>
        <color rgb="FF63BE7B"/>
      </colorScale>
    </cfRule>
  </conditionalFormatting>
  <conditionalFormatting sqref="E25">
    <cfRule type="colorScale" priority="10918">
      <colorScale>
        <cfvo type="min"/>
        <cfvo type="percentile" val="50"/>
        <cfvo type="max"/>
        <color rgb="FFF8696B"/>
        <color rgb="FFFFEB84"/>
        <color rgb="FF63BE7B"/>
      </colorScale>
    </cfRule>
  </conditionalFormatting>
  <conditionalFormatting sqref="E25">
    <cfRule type="colorScale" priority="10917">
      <colorScale>
        <cfvo type="min"/>
        <cfvo type="percentile" val="50"/>
        <cfvo type="max"/>
        <color rgb="FFF8696B"/>
        <color rgb="FFFFEB84"/>
        <color rgb="FF63BE7B"/>
      </colorScale>
    </cfRule>
  </conditionalFormatting>
  <conditionalFormatting sqref="E25">
    <cfRule type="colorScale" priority="10916">
      <colorScale>
        <cfvo type="min"/>
        <cfvo type="percentile" val="50"/>
        <cfvo type="max"/>
        <color rgb="FFF8696B"/>
        <color rgb="FFFFEB84"/>
        <color rgb="FF63BE7B"/>
      </colorScale>
    </cfRule>
  </conditionalFormatting>
  <conditionalFormatting sqref="E25">
    <cfRule type="colorScale" priority="10915">
      <colorScale>
        <cfvo type="min"/>
        <cfvo type="percentile" val="50"/>
        <cfvo type="max"/>
        <color rgb="FFF8696B"/>
        <color rgb="FFFFEB84"/>
        <color rgb="FF63BE7B"/>
      </colorScale>
    </cfRule>
  </conditionalFormatting>
  <conditionalFormatting sqref="E25">
    <cfRule type="colorScale" priority="10914">
      <colorScale>
        <cfvo type="min"/>
        <cfvo type="percentile" val="50"/>
        <cfvo type="max"/>
        <color rgb="FFF8696B"/>
        <color rgb="FFFFEB84"/>
        <color rgb="FF63BE7B"/>
      </colorScale>
    </cfRule>
  </conditionalFormatting>
  <conditionalFormatting sqref="E25">
    <cfRule type="colorScale" priority="10913">
      <colorScale>
        <cfvo type="min"/>
        <cfvo type="percentile" val="50"/>
        <cfvo type="max"/>
        <color rgb="FFF8696B"/>
        <color rgb="FFFFEB84"/>
        <color rgb="FF63BE7B"/>
      </colorScale>
    </cfRule>
  </conditionalFormatting>
  <conditionalFormatting sqref="E25">
    <cfRule type="colorScale" priority="10912">
      <colorScale>
        <cfvo type="min"/>
        <cfvo type="percentile" val="50"/>
        <cfvo type="max"/>
        <color rgb="FFF8696B"/>
        <color rgb="FFFFEB84"/>
        <color rgb="FF63BE7B"/>
      </colorScale>
    </cfRule>
  </conditionalFormatting>
  <conditionalFormatting sqref="E25">
    <cfRule type="colorScale" priority="10911">
      <colorScale>
        <cfvo type="min"/>
        <cfvo type="percentile" val="50"/>
        <cfvo type="max"/>
        <color rgb="FFF8696B"/>
        <color rgb="FFFFEB84"/>
        <color rgb="FF63BE7B"/>
      </colorScale>
    </cfRule>
  </conditionalFormatting>
  <conditionalFormatting sqref="E25">
    <cfRule type="colorScale" priority="10910">
      <colorScale>
        <cfvo type="min"/>
        <cfvo type="percentile" val="50"/>
        <cfvo type="max"/>
        <color rgb="FFF8696B"/>
        <color rgb="FFFFEB84"/>
        <color rgb="FF63BE7B"/>
      </colorScale>
    </cfRule>
  </conditionalFormatting>
  <conditionalFormatting sqref="E25">
    <cfRule type="colorScale" priority="10909">
      <colorScale>
        <cfvo type="min"/>
        <cfvo type="percentile" val="50"/>
        <cfvo type="max"/>
        <color rgb="FFF8696B"/>
        <color rgb="FFFFEB84"/>
        <color rgb="FF63BE7B"/>
      </colorScale>
    </cfRule>
  </conditionalFormatting>
  <conditionalFormatting sqref="E25">
    <cfRule type="colorScale" priority="10908">
      <colorScale>
        <cfvo type="min"/>
        <cfvo type="percentile" val="50"/>
        <cfvo type="max"/>
        <color rgb="FFF8696B"/>
        <color rgb="FFFFEB84"/>
        <color rgb="FF63BE7B"/>
      </colorScale>
    </cfRule>
  </conditionalFormatting>
  <conditionalFormatting sqref="E25">
    <cfRule type="colorScale" priority="10907">
      <colorScale>
        <cfvo type="min"/>
        <cfvo type="percentile" val="50"/>
        <cfvo type="max"/>
        <color rgb="FFF8696B"/>
        <color rgb="FFFFEB84"/>
        <color rgb="FF63BE7B"/>
      </colorScale>
    </cfRule>
  </conditionalFormatting>
  <conditionalFormatting sqref="E25">
    <cfRule type="colorScale" priority="10906">
      <colorScale>
        <cfvo type="min"/>
        <cfvo type="percentile" val="50"/>
        <cfvo type="max"/>
        <color rgb="FFF8696B"/>
        <color rgb="FFFFEB84"/>
        <color rgb="FF63BE7B"/>
      </colorScale>
    </cfRule>
  </conditionalFormatting>
  <conditionalFormatting sqref="E25">
    <cfRule type="colorScale" priority="10905">
      <colorScale>
        <cfvo type="min"/>
        <cfvo type="percentile" val="50"/>
        <cfvo type="max"/>
        <color rgb="FFF8696B"/>
        <color rgb="FFFFEB84"/>
        <color rgb="FF63BE7B"/>
      </colorScale>
    </cfRule>
  </conditionalFormatting>
  <conditionalFormatting sqref="E25">
    <cfRule type="colorScale" priority="10904">
      <colorScale>
        <cfvo type="min"/>
        <cfvo type="percentile" val="50"/>
        <cfvo type="max"/>
        <color rgb="FFF8696B"/>
        <color rgb="FFFFEB84"/>
        <color rgb="FF63BE7B"/>
      </colorScale>
    </cfRule>
  </conditionalFormatting>
  <conditionalFormatting sqref="E25">
    <cfRule type="colorScale" priority="10903">
      <colorScale>
        <cfvo type="min"/>
        <cfvo type="percentile" val="50"/>
        <cfvo type="max"/>
        <color rgb="FFF8696B"/>
        <color rgb="FFFFEB84"/>
        <color rgb="FF63BE7B"/>
      </colorScale>
    </cfRule>
  </conditionalFormatting>
  <conditionalFormatting sqref="E25">
    <cfRule type="colorScale" priority="10902">
      <colorScale>
        <cfvo type="min"/>
        <cfvo type="percentile" val="50"/>
        <cfvo type="max"/>
        <color rgb="FFF8696B"/>
        <color rgb="FFFFEB84"/>
        <color rgb="FF63BE7B"/>
      </colorScale>
    </cfRule>
  </conditionalFormatting>
  <conditionalFormatting sqref="E25">
    <cfRule type="colorScale" priority="10901">
      <colorScale>
        <cfvo type="min"/>
        <cfvo type="percentile" val="50"/>
        <cfvo type="max"/>
        <color rgb="FFF8696B"/>
        <color rgb="FFFFEB84"/>
        <color rgb="FF63BE7B"/>
      </colorScale>
    </cfRule>
  </conditionalFormatting>
  <conditionalFormatting sqref="E25">
    <cfRule type="colorScale" priority="10900">
      <colorScale>
        <cfvo type="min"/>
        <cfvo type="percentile" val="50"/>
        <cfvo type="max"/>
        <color rgb="FFF8696B"/>
        <color rgb="FFFFEB84"/>
        <color rgb="FF63BE7B"/>
      </colorScale>
    </cfRule>
  </conditionalFormatting>
  <conditionalFormatting sqref="E25">
    <cfRule type="colorScale" priority="10899">
      <colorScale>
        <cfvo type="min"/>
        <cfvo type="percentile" val="50"/>
        <cfvo type="max"/>
        <color rgb="FFF8696B"/>
        <color rgb="FFFFEB84"/>
        <color rgb="FF63BE7B"/>
      </colorScale>
    </cfRule>
  </conditionalFormatting>
  <conditionalFormatting sqref="E25">
    <cfRule type="colorScale" priority="10898">
      <colorScale>
        <cfvo type="min"/>
        <cfvo type="percentile" val="50"/>
        <cfvo type="max"/>
        <color rgb="FFF8696B"/>
        <color rgb="FFFFEB84"/>
        <color rgb="FF63BE7B"/>
      </colorScale>
    </cfRule>
  </conditionalFormatting>
  <conditionalFormatting sqref="E25">
    <cfRule type="colorScale" priority="10897">
      <colorScale>
        <cfvo type="min"/>
        <cfvo type="percentile" val="50"/>
        <cfvo type="max"/>
        <color rgb="FFF8696B"/>
        <color rgb="FFFFEB84"/>
        <color rgb="FF63BE7B"/>
      </colorScale>
    </cfRule>
  </conditionalFormatting>
  <conditionalFormatting sqref="E25">
    <cfRule type="colorScale" priority="10896">
      <colorScale>
        <cfvo type="min"/>
        <cfvo type="percentile" val="50"/>
        <cfvo type="max"/>
        <color rgb="FFF8696B"/>
        <color rgb="FFFFEB84"/>
        <color rgb="FF63BE7B"/>
      </colorScale>
    </cfRule>
  </conditionalFormatting>
  <conditionalFormatting sqref="E25">
    <cfRule type="colorScale" priority="10895">
      <colorScale>
        <cfvo type="min"/>
        <cfvo type="percentile" val="50"/>
        <cfvo type="max"/>
        <color rgb="FFF8696B"/>
        <color rgb="FFFFEB84"/>
        <color rgb="FF63BE7B"/>
      </colorScale>
    </cfRule>
  </conditionalFormatting>
  <conditionalFormatting sqref="E25">
    <cfRule type="colorScale" priority="10894">
      <colorScale>
        <cfvo type="min"/>
        <cfvo type="percentile" val="50"/>
        <cfvo type="max"/>
        <color rgb="FFF8696B"/>
        <color rgb="FFFFEB84"/>
        <color rgb="FF63BE7B"/>
      </colorScale>
    </cfRule>
  </conditionalFormatting>
  <conditionalFormatting sqref="F10:F24">
    <cfRule type="colorScale" priority="10893">
      <colorScale>
        <cfvo type="min"/>
        <cfvo type="percentile" val="50"/>
        <cfvo type="max"/>
        <color rgb="FFF8696B"/>
        <color rgb="FFFFEB84"/>
        <color rgb="FF63BE7B"/>
      </colorScale>
    </cfRule>
  </conditionalFormatting>
  <conditionalFormatting sqref="F10:F24">
    <cfRule type="colorScale" priority="10892">
      <colorScale>
        <cfvo type="min"/>
        <cfvo type="percentile" val="50"/>
        <cfvo type="max"/>
        <color rgb="FFF8696B"/>
        <color rgb="FFFFEB84"/>
        <color rgb="FF63BE7B"/>
      </colorScale>
    </cfRule>
  </conditionalFormatting>
  <conditionalFormatting sqref="F10:F24">
    <cfRule type="colorScale" priority="10891">
      <colorScale>
        <cfvo type="min"/>
        <cfvo type="percentile" val="50"/>
        <cfvo type="max"/>
        <color rgb="FFF8696B"/>
        <color rgb="FFFFEB84"/>
        <color rgb="FF63BE7B"/>
      </colorScale>
    </cfRule>
  </conditionalFormatting>
  <conditionalFormatting sqref="F10:F24">
    <cfRule type="colorScale" priority="10890">
      <colorScale>
        <cfvo type="min"/>
        <cfvo type="percentile" val="50"/>
        <cfvo type="max"/>
        <color rgb="FFF8696B"/>
        <color rgb="FFFFEB84"/>
        <color rgb="FF63BE7B"/>
      </colorScale>
    </cfRule>
  </conditionalFormatting>
  <conditionalFormatting sqref="F10:F24">
    <cfRule type="colorScale" priority="10889">
      <colorScale>
        <cfvo type="min"/>
        <cfvo type="percentile" val="50"/>
        <cfvo type="max"/>
        <color rgb="FFF8696B"/>
        <color rgb="FFFFEB84"/>
        <color rgb="FF63BE7B"/>
      </colorScale>
    </cfRule>
  </conditionalFormatting>
  <conditionalFormatting sqref="F10:F24">
    <cfRule type="colorScale" priority="10888">
      <colorScale>
        <cfvo type="min"/>
        <cfvo type="percentile" val="50"/>
        <cfvo type="max"/>
        <color rgb="FFF8696B"/>
        <color rgb="FFFFEB84"/>
        <color rgb="FF63BE7B"/>
      </colorScale>
    </cfRule>
  </conditionalFormatting>
  <conditionalFormatting sqref="F10:F24">
    <cfRule type="colorScale" priority="10887">
      <colorScale>
        <cfvo type="min"/>
        <cfvo type="percentile" val="50"/>
        <cfvo type="max"/>
        <color rgb="FFF8696B"/>
        <color rgb="FFFFEB84"/>
        <color rgb="FF63BE7B"/>
      </colorScale>
    </cfRule>
  </conditionalFormatting>
  <conditionalFormatting sqref="F10:F24">
    <cfRule type="colorScale" priority="10886">
      <colorScale>
        <cfvo type="min"/>
        <cfvo type="percentile" val="50"/>
        <cfvo type="max"/>
        <color rgb="FFF8696B"/>
        <color rgb="FFFFEB84"/>
        <color rgb="FF63BE7B"/>
      </colorScale>
    </cfRule>
  </conditionalFormatting>
  <conditionalFormatting sqref="F10:F24">
    <cfRule type="colorScale" priority="10885">
      <colorScale>
        <cfvo type="min"/>
        <cfvo type="percentile" val="50"/>
        <cfvo type="max"/>
        <color rgb="FFF8696B"/>
        <color rgb="FFFFEB84"/>
        <color rgb="FF63BE7B"/>
      </colorScale>
    </cfRule>
  </conditionalFormatting>
  <conditionalFormatting sqref="F10:F24">
    <cfRule type="colorScale" priority="10884">
      <colorScale>
        <cfvo type="min"/>
        <cfvo type="percentile" val="50"/>
        <cfvo type="max"/>
        <color rgb="FFF8696B"/>
        <color rgb="FFFFEB84"/>
        <color rgb="FF63BE7B"/>
      </colorScale>
    </cfRule>
  </conditionalFormatting>
  <conditionalFormatting sqref="F10:F24">
    <cfRule type="colorScale" priority="10883">
      <colorScale>
        <cfvo type="min"/>
        <cfvo type="percentile" val="50"/>
        <cfvo type="max"/>
        <color rgb="FFF8696B"/>
        <color rgb="FFFFEB84"/>
        <color rgb="FF63BE7B"/>
      </colorScale>
    </cfRule>
  </conditionalFormatting>
  <conditionalFormatting sqref="F10:F24">
    <cfRule type="colorScale" priority="10882">
      <colorScale>
        <cfvo type="min"/>
        <cfvo type="percentile" val="50"/>
        <cfvo type="max"/>
        <color rgb="FFF8696B"/>
        <color rgb="FFFFEB84"/>
        <color rgb="FF63BE7B"/>
      </colorScale>
    </cfRule>
  </conditionalFormatting>
  <conditionalFormatting sqref="F10:F24">
    <cfRule type="colorScale" priority="10881">
      <colorScale>
        <cfvo type="min"/>
        <cfvo type="percentile" val="50"/>
        <cfvo type="max"/>
        <color rgb="FFF8696B"/>
        <color rgb="FFFFEB84"/>
        <color rgb="FF63BE7B"/>
      </colorScale>
    </cfRule>
  </conditionalFormatting>
  <conditionalFormatting sqref="F10:F24">
    <cfRule type="colorScale" priority="10880">
      <colorScale>
        <cfvo type="min"/>
        <cfvo type="percentile" val="50"/>
        <cfvo type="max"/>
        <color rgb="FFF8696B"/>
        <color rgb="FFFFEB84"/>
        <color rgb="FF63BE7B"/>
      </colorScale>
    </cfRule>
  </conditionalFormatting>
  <conditionalFormatting sqref="F10:F24">
    <cfRule type="colorScale" priority="10879">
      <colorScale>
        <cfvo type="min"/>
        <cfvo type="percentile" val="50"/>
        <cfvo type="max"/>
        <color rgb="FFF8696B"/>
        <color rgb="FFFFEB84"/>
        <color rgb="FF63BE7B"/>
      </colorScale>
    </cfRule>
  </conditionalFormatting>
  <conditionalFormatting sqref="F10:F24">
    <cfRule type="colorScale" priority="10878">
      <colorScale>
        <cfvo type="min"/>
        <cfvo type="percentile" val="50"/>
        <cfvo type="max"/>
        <color rgb="FFF8696B"/>
        <color rgb="FFFFEB84"/>
        <color rgb="FF63BE7B"/>
      </colorScale>
    </cfRule>
  </conditionalFormatting>
  <conditionalFormatting sqref="F10:F24">
    <cfRule type="colorScale" priority="10877">
      <colorScale>
        <cfvo type="min"/>
        <cfvo type="percentile" val="50"/>
        <cfvo type="max"/>
        <color rgb="FFF8696B"/>
        <color rgb="FFFFEB84"/>
        <color rgb="FF63BE7B"/>
      </colorScale>
    </cfRule>
  </conditionalFormatting>
  <conditionalFormatting sqref="F10:F24">
    <cfRule type="colorScale" priority="10876">
      <colorScale>
        <cfvo type="min"/>
        <cfvo type="percentile" val="50"/>
        <cfvo type="max"/>
        <color rgb="FFF8696B"/>
        <color rgb="FFFFEB84"/>
        <color rgb="FF63BE7B"/>
      </colorScale>
    </cfRule>
  </conditionalFormatting>
  <conditionalFormatting sqref="F10:F24">
    <cfRule type="colorScale" priority="10875">
      <colorScale>
        <cfvo type="min"/>
        <cfvo type="percentile" val="50"/>
        <cfvo type="max"/>
        <color rgb="FFF8696B"/>
        <color rgb="FFFFEB84"/>
        <color rgb="FF63BE7B"/>
      </colorScale>
    </cfRule>
  </conditionalFormatting>
  <conditionalFormatting sqref="F10:F24">
    <cfRule type="colorScale" priority="10874">
      <colorScale>
        <cfvo type="min"/>
        <cfvo type="percentile" val="50"/>
        <cfvo type="max"/>
        <color rgb="FFF8696B"/>
        <color rgb="FFFFEB84"/>
        <color rgb="FF63BE7B"/>
      </colorScale>
    </cfRule>
  </conditionalFormatting>
  <conditionalFormatting sqref="F10:F24">
    <cfRule type="colorScale" priority="10873">
      <colorScale>
        <cfvo type="min"/>
        <cfvo type="percentile" val="50"/>
        <cfvo type="max"/>
        <color rgb="FFF8696B"/>
        <color rgb="FFFFEB84"/>
        <color rgb="FF63BE7B"/>
      </colorScale>
    </cfRule>
  </conditionalFormatting>
  <conditionalFormatting sqref="F10:F24">
    <cfRule type="colorScale" priority="10872">
      <colorScale>
        <cfvo type="min"/>
        <cfvo type="percentile" val="50"/>
        <cfvo type="max"/>
        <color rgb="FFF8696B"/>
        <color rgb="FFFFEB84"/>
        <color rgb="FF63BE7B"/>
      </colorScale>
    </cfRule>
  </conditionalFormatting>
  <conditionalFormatting sqref="F10:F24">
    <cfRule type="colorScale" priority="10871">
      <colorScale>
        <cfvo type="min"/>
        <cfvo type="percentile" val="50"/>
        <cfvo type="max"/>
        <color rgb="FFF8696B"/>
        <color rgb="FFFFEB84"/>
        <color rgb="FF63BE7B"/>
      </colorScale>
    </cfRule>
  </conditionalFormatting>
  <conditionalFormatting sqref="F10:F24">
    <cfRule type="colorScale" priority="10870">
      <colorScale>
        <cfvo type="min"/>
        <cfvo type="percentile" val="50"/>
        <cfvo type="max"/>
        <color rgb="FFF8696B"/>
        <color rgb="FFFFEB84"/>
        <color rgb="FF63BE7B"/>
      </colorScale>
    </cfRule>
  </conditionalFormatting>
  <conditionalFormatting sqref="F10:F24">
    <cfRule type="colorScale" priority="10869">
      <colorScale>
        <cfvo type="min"/>
        <cfvo type="percentile" val="50"/>
        <cfvo type="max"/>
        <color rgb="FFF8696B"/>
        <color rgb="FFFFEB84"/>
        <color rgb="FF63BE7B"/>
      </colorScale>
    </cfRule>
  </conditionalFormatting>
  <conditionalFormatting sqref="F10:F24">
    <cfRule type="colorScale" priority="10868">
      <colorScale>
        <cfvo type="min"/>
        <cfvo type="percentile" val="50"/>
        <cfvo type="max"/>
        <color rgb="FFF8696B"/>
        <color rgb="FFFFEB84"/>
        <color rgb="FF63BE7B"/>
      </colorScale>
    </cfRule>
  </conditionalFormatting>
  <conditionalFormatting sqref="F10:F24">
    <cfRule type="colorScale" priority="10867">
      <colorScale>
        <cfvo type="min"/>
        <cfvo type="percentile" val="50"/>
        <cfvo type="max"/>
        <color rgb="FFF8696B"/>
        <color rgb="FFFFEB84"/>
        <color rgb="FF63BE7B"/>
      </colorScale>
    </cfRule>
  </conditionalFormatting>
  <conditionalFormatting sqref="F10:F24">
    <cfRule type="colorScale" priority="10866">
      <colorScale>
        <cfvo type="min"/>
        <cfvo type="percentile" val="50"/>
        <cfvo type="max"/>
        <color rgb="FFF8696B"/>
        <color rgb="FFFFEB84"/>
        <color rgb="FF63BE7B"/>
      </colorScale>
    </cfRule>
  </conditionalFormatting>
  <conditionalFormatting sqref="F10:F24">
    <cfRule type="colorScale" priority="10865">
      <colorScale>
        <cfvo type="min"/>
        <cfvo type="percentile" val="50"/>
        <cfvo type="max"/>
        <color rgb="FFF8696B"/>
        <color rgb="FFFFEB84"/>
        <color rgb="FF63BE7B"/>
      </colorScale>
    </cfRule>
  </conditionalFormatting>
  <conditionalFormatting sqref="F10:F24">
    <cfRule type="colorScale" priority="10864">
      <colorScale>
        <cfvo type="min"/>
        <cfvo type="percentile" val="50"/>
        <cfvo type="max"/>
        <color rgb="FFF8696B"/>
        <color rgb="FFFFEB84"/>
        <color rgb="FF63BE7B"/>
      </colorScale>
    </cfRule>
  </conditionalFormatting>
  <conditionalFormatting sqref="F10:F24">
    <cfRule type="colorScale" priority="10863">
      <colorScale>
        <cfvo type="min"/>
        <cfvo type="percentile" val="50"/>
        <cfvo type="max"/>
        <color rgb="FFF8696B"/>
        <color rgb="FFFFEB84"/>
        <color rgb="FF63BE7B"/>
      </colorScale>
    </cfRule>
  </conditionalFormatting>
  <conditionalFormatting sqref="F10:F24">
    <cfRule type="colorScale" priority="10862">
      <colorScale>
        <cfvo type="min"/>
        <cfvo type="percentile" val="50"/>
        <cfvo type="max"/>
        <color rgb="FFF8696B"/>
        <color rgb="FFFFEB84"/>
        <color rgb="FF63BE7B"/>
      </colorScale>
    </cfRule>
  </conditionalFormatting>
  <conditionalFormatting sqref="F10:F24">
    <cfRule type="colorScale" priority="10861">
      <colorScale>
        <cfvo type="min"/>
        <cfvo type="percentile" val="50"/>
        <cfvo type="max"/>
        <color rgb="FFF8696B"/>
        <color rgb="FFFFEB84"/>
        <color rgb="FF63BE7B"/>
      </colorScale>
    </cfRule>
  </conditionalFormatting>
  <conditionalFormatting sqref="F10:F24">
    <cfRule type="colorScale" priority="10860">
      <colorScale>
        <cfvo type="min"/>
        <cfvo type="percentile" val="50"/>
        <cfvo type="max"/>
        <color rgb="FFF8696B"/>
        <color rgb="FFFFEB84"/>
        <color rgb="FF63BE7B"/>
      </colorScale>
    </cfRule>
  </conditionalFormatting>
  <conditionalFormatting sqref="F10:F24">
    <cfRule type="colorScale" priority="10859">
      <colorScale>
        <cfvo type="min"/>
        <cfvo type="percentile" val="50"/>
        <cfvo type="max"/>
        <color rgb="FFF8696B"/>
        <color rgb="FFFFEB84"/>
        <color rgb="FF63BE7B"/>
      </colorScale>
    </cfRule>
  </conditionalFormatting>
  <conditionalFormatting sqref="F10:F24">
    <cfRule type="colorScale" priority="10858">
      <colorScale>
        <cfvo type="min"/>
        <cfvo type="percentile" val="50"/>
        <cfvo type="max"/>
        <color rgb="FFF8696B"/>
        <color rgb="FFFFEB84"/>
        <color rgb="FF63BE7B"/>
      </colorScale>
    </cfRule>
  </conditionalFormatting>
  <conditionalFormatting sqref="F10:F24">
    <cfRule type="colorScale" priority="10857">
      <colorScale>
        <cfvo type="min"/>
        <cfvo type="percentile" val="50"/>
        <cfvo type="max"/>
        <color rgb="FFF8696B"/>
        <color rgb="FFFFEB84"/>
        <color rgb="FF63BE7B"/>
      </colorScale>
    </cfRule>
  </conditionalFormatting>
  <conditionalFormatting sqref="F10:F24">
    <cfRule type="colorScale" priority="10856">
      <colorScale>
        <cfvo type="min"/>
        <cfvo type="percentile" val="50"/>
        <cfvo type="max"/>
        <color rgb="FFF8696B"/>
        <color rgb="FFFFEB84"/>
        <color rgb="FF63BE7B"/>
      </colorScale>
    </cfRule>
  </conditionalFormatting>
  <conditionalFormatting sqref="F10:F24">
    <cfRule type="colorScale" priority="10855">
      <colorScale>
        <cfvo type="min"/>
        <cfvo type="percentile" val="50"/>
        <cfvo type="max"/>
        <color rgb="FFF8696B"/>
        <color rgb="FFFFEB84"/>
        <color rgb="FF63BE7B"/>
      </colorScale>
    </cfRule>
  </conditionalFormatting>
  <conditionalFormatting sqref="F10:F24">
    <cfRule type="colorScale" priority="10854">
      <colorScale>
        <cfvo type="min"/>
        <cfvo type="percentile" val="50"/>
        <cfvo type="max"/>
        <color rgb="FFF8696B"/>
        <color rgb="FFFFEB84"/>
        <color rgb="FF63BE7B"/>
      </colorScale>
    </cfRule>
  </conditionalFormatting>
  <conditionalFormatting sqref="F10:F24">
    <cfRule type="colorScale" priority="10853">
      <colorScale>
        <cfvo type="min"/>
        <cfvo type="percentile" val="50"/>
        <cfvo type="max"/>
        <color rgb="FFF8696B"/>
        <color rgb="FFFFEB84"/>
        <color rgb="FF63BE7B"/>
      </colorScale>
    </cfRule>
  </conditionalFormatting>
  <conditionalFormatting sqref="F10:F24">
    <cfRule type="colorScale" priority="10852">
      <colorScale>
        <cfvo type="min"/>
        <cfvo type="percentile" val="50"/>
        <cfvo type="max"/>
        <color rgb="FFF8696B"/>
        <color rgb="FFFFEB84"/>
        <color rgb="FF63BE7B"/>
      </colorScale>
    </cfRule>
  </conditionalFormatting>
  <conditionalFormatting sqref="F10:F24">
    <cfRule type="colorScale" priority="10851">
      <colorScale>
        <cfvo type="min"/>
        <cfvo type="percentile" val="50"/>
        <cfvo type="max"/>
        <color rgb="FFF8696B"/>
        <color rgb="FFFFEB84"/>
        <color rgb="FF63BE7B"/>
      </colorScale>
    </cfRule>
  </conditionalFormatting>
  <conditionalFormatting sqref="F10:F24">
    <cfRule type="colorScale" priority="10850">
      <colorScale>
        <cfvo type="min"/>
        <cfvo type="percentile" val="50"/>
        <cfvo type="max"/>
        <color rgb="FFF8696B"/>
        <color rgb="FFFFEB84"/>
        <color rgb="FF63BE7B"/>
      </colorScale>
    </cfRule>
  </conditionalFormatting>
  <conditionalFormatting sqref="F10:F24">
    <cfRule type="colorScale" priority="10849">
      <colorScale>
        <cfvo type="min"/>
        <cfvo type="percentile" val="50"/>
        <cfvo type="max"/>
        <color rgb="FFF8696B"/>
        <color rgb="FFFFEB84"/>
        <color rgb="FF63BE7B"/>
      </colorScale>
    </cfRule>
  </conditionalFormatting>
  <conditionalFormatting sqref="F10:F24">
    <cfRule type="colorScale" priority="10848">
      <colorScale>
        <cfvo type="min"/>
        <cfvo type="percentile" val="50"/>
        <cfvo type="max"/>
        <color rgb="FFF8696B"/>
        <color rgb="FFFFEB84"/>
        <color rgb="FF63BE7B"/>
      </colorScale>
    </cfRule>
  </conditionalFormatting>
  <conditionalFormatting sqref="F10:F24">
    <cfRule type="colorScale" priority="10847">
      <colorScale>
        <cfvo type="min"/>
        <cfvo type="percentile" val="50"/>
        <cfvo type="max"/>
        <color rgb="FFF8696B"/>
        <color rgb="FFFFEB84"/>
        <color rgb="FF63BE7B"/>
      </colorScale>
    </cfRule>
  </conditionalFormatting>
  <conditionalFormatting sqref="F10:F24">
    <cfRule type="colorScale" priority="10846">
      <colorScale>
        <cfvo type="min"/>
        <cfvo type="percentile" val="50"/>
        <cfvo type="max"/>
        <color rgb="FFF8696B"/>
        <color rgb="FFFFEB84"/>
        <color rgb="FF63BE7B"/>
      </colorScale>
    </cfRule>
  </conditionalFormatting>
  <conditionalFormatting sqref="F10:F24">
    <cfRule type="colorScale" priority="10845">
      <colorScale>
        <cfvo type="min"/>
        <cfvo type="percentile" val="50"/>
        <cfvo type="max"/>
        <color rgb="FFF8696B"/>
        <color rgb="FFFFEB84"/>
        <color rgb="FF63BE7B"/>
      </colorScale>
    </cfRule>
  </conditionalFormatting>
  <conditionalFormatting sqref="F10:F24">
    <cfRule type="colorScale" priority="10844">
      <colorScale>
        <cfvo type="min"/>
        <cfvo type="percentile" val="50"/>
        <cfvo type="max"/>
        <color rgb="FFF8696B"/>
        <color rgb="FFFFEB84"/>
        <color rgb="FF63BE7B"/>
      </colorScale>
    </cfRule>
  </conditionalFormatting>
  <conditionalFormatting sqref="F10:F24">
    <cfRule type="colorScale" priority="10843">
      <colorScale>
        <cfvo type="min"/>
        <cfvo type="percentile" val="50"/>
        <cfvo type="max"/>
        <color rgb="FFF8696B"/>
        <color rgb="FFFFEB84"/>
        <color rgb="FF63BE7B"/>
      </colorScale>
    </cfRule>
  </conditionalFormatting>
  <conditionalFormatting sqref="F10:F24">
    <cfRule type="colorScale" priority="10842">
      <colorScale>
        <cfvo type="min"/>
        <cfvo type="percentile" val="50"/>
        <cfvo type="max"/>
        <color rgb="FFF8696B"/>
        <color rgb="FFFFEB84"/>
        <color rgb="FF63BE7B"/>
      </colorScale>
    </cfRule>
  </conditionalFormatting>
  <conditionalFormatting sqref="F10:F24">
    <cfRule type="colorScale" priority="10841">
      <colorScale>
        <cfvo type="min"/>
        <cfvo type="percentile" val="50"/>
        <cfvo type="max"/>
        <color rgb="FFF8696B"/>
        <color rgb="FFFFEB84"/>
        <color rgb="FF63BE7B"/>
      </colorScale>
    </cfRule>
  </conditionalFormatting>
  <conditionalFormatting sqref="F10:F24">
    <cfRule type="colorScale" priority="10840">
      <colorScale>
        <cfvo type="min"/>
        <cfvo type="percentile" val="50"/>
        <cfvo type="max"/>
        <color rgb="FFF8696B"/>
        <color rgb="FFFFEB84"/>
        <color rgb="FF63BE7B"/>
      </colorScale>
    </cfRule>
  </conditionalFormatting>
  <conditionalFormatting sqref="F10:F24">
    <cfRule type="colorScale" priority="10839">
      <colorScale>
        <cfvo type="min"/>
        <cfvo type="percentile" val="50"/>
        <cfvo type="max"/>
        <color rgb="FFF8696B"/>
        <color rgb="FFFFEB84"/>
        <color rgb="FF63BE7B"/>
      </colorScale>
    </cfRule>
  </conditionalFormatting>
  <conditionalFormatting sqref="F10:F24">
    <cfRule type="colorScale" priority="10838">
      <colorScale>
        <cfvo type="min"/>
        <cfvo type="percentile" val="50"/>
        <cfvo type="max"/>
        <color rgb="FFF8696B"/>
        <color rgb="FFFFEB84"/>
        <color rgb="FF63BE7B"/>
      </colorScale>
    </cfRule>
  </conditionalFormatting>
  <conditionalFormatting sqref="F10:F24">
    <cfRule type="colorScale" priority="10837">
      <colorScale>
        <cfvo type="min"/>
        <cfvo type="percentile" val="50"/>
        <cfvo type="max"/>
        <color rgb="FFF8696B"/>
        <color rgb="FFFFEB84"/>
        <color rgb="FF63BE7B"/>
      </colorScale>
    </cfRule>
  </conditionalFormatting>
  <conditionalFormatting sqref="F10:F24">
    <cfRule type="colorScale" priority="10836">
      <colorScale>
        <cfvo type="min"/>
        <cfvo type="percentile" val="50"/>
        <cfvo type="max"/>
        <color rgb="FFF8696B"/>
        <color rgb="FFFFEB84"/>
        <color rgb="FF63BE7B"/>
      </colorScale>
    </cfRule>
  </conditionalFormatting>
  <conditionalFormatting sqref="F10:F24">
    <cfRule type="colorScale" priority="10835">
      <colorScale>
        <cfvo type="min"/>
        <cfvo type="percentile" val="50"/>
        <cfvo type="max"/>
        <color rgb="FFF8696B"/>
        <color rgb="FFFFEB84"/>
        <color rgb="FF63BE7B"/>
      </colorScale>
    </cfRule>
  </conditionalFormatting>
  <conditionalFormatting sqref="F10:F24">
    <cfRule type="colorScale" priority="10834">
      <colorScale>
        <cfvo type="min"/>
        <cfvo type="percentile" val="50"/>
        <cfvo type="max"/>
        <color rgb="FFF8696B"/>
        <color rgb="FFFFEB84"/>
        <color rgb="FF63BE7B"/>
      </colorScale>
    </cfRule>
  </conditionalFormatting>
  <conditionalFormatting sqref="F10:F24">
    <cfRule type="colorScale" priority="10833">
      <colorScale>
        <cfvo type="min"/>
        <cfvo type="percentile" val="50"/>
        <cfvo type="max"/>
        <color rgb="FFF8696B"/>
        <color rgb="FFFFEB84"/>
        <color rgb="FF63BE7B"/>
      </colorScale>
    </cfRule>
  </conditionalFormatting>
  <conditionalFormatting sqref="F10:F24">
    <cfRule type="colorScale" priority="10832">
      <colorScale>
        <cfvo type="min"/>
        <cfvo type="percentile" val="50"/>
        <cfvo type="max"/>
        <color rgb="FFF8696B"/>
        <color rgb="FFFFEB84"/>
        <color rgb="FF63BE7B"/>
      </colorScale>
    </cfRule>
  </conditionalFormatting>
  <conditionalFormatting sqref="F10:F24">
    <cfRule type="colorScale" priority="10831">
      <colorScale>
        <cfvo type="min"/>
        <cfvo type="percentile" val="50"/>
        <cfvo type="max"/>
        <color rgb="FFF8696B"/>
        <color rgb="FFFFEB84"/>
        <color rgb="FF63BE7B"/>
      </colorScale>
    </cfRule>
  </conditionalFormatting>
  <conditionalFormatting sqref="F10:F24">
    <cfRule type="colorScale" priority="10830">
      <colorScale>
        <cfvo type="min"/>
        <cfvo type="percentile" val="50"/>
        <cfvo type="max"/>
        <color rgb="FFF8696B"/>
        <color rgb="FFFFEB84"/>
        <color rgb="FF63BE7B"/>
      </colorScale>
    </cfRule>
  </conditionalFormatting>
  <conditionalFormatting sqref="F10:F24">
    <cfRule type="colorScale" priority="10829">
      <colorScale>
        <cfvo type="min"/>
        <cfvo type="percentile" val="50"/>
        <cfvo type="max"/>
        <color rgb="FFF8696B"/>
        <color rgb="FFFFEB84"/>
        <color rgb="FF63BE7B"/>
      </colorScale>
    </cfRule>
  </conditionalFormatting>
  <conditionalFormatting sqref="F10:F24">
    <cfRule type="colorScale" priority="10828">
      <colorScale>
        <cfvo type="min"/>
        <cfvo type="percentile" val="50"/>
        <cfvo type="max"/>
        <color rgb="FFF8696B"/>
        <color rgb="FFFFEB84"/>
        <color rgb="FF63BE7B"/>
      </colorScale>
    </cfRule>
  </conditionalFormatting>
  <conditionalFormatting sqref="F10:F24">
    <cfRule type="colorScale" priority="10827">
      <colorScale>
        <cfvo type="min"/>
        <cfvo type="percentile" val="50"/>
        <cfvo type="max"/>
        <color rgb="FFF8696B"/>
        <color rgb="FFFFEB84"/>
        <color rgb="FF63BE7B"/>
      </colorScale>
    </cfRule>
  </conditionalFormatting>
  <conditionalFormatting sqref="F10:F24">
    <cfRule type="colorScale" priority="10826">
      <colorScale>
        <cfvo type="min"/>
        <cfvo type="percentile" val="50"/>
        <cfvo type="max"/>
        <color rgb="FFF8696B"/>
        <color rgb="FFFFEB84"/>
        <color rgb="FF63BE7B"/>
      </colorScale>
    </cfRule>
  </conditionalFormatting>
  <conditionalFormatting sqref="F10:F24">
    <cfRule type="colorScale" priority="10825">
      <colorScale>
        <cfvo type="min"/>
        <cfvo type="percentile" val="50"/>
        <cfvo type="max"/>
        <color rgb="FFF8696B"/>
        <color rgb="FFFFEB84"/>
        <color rgb="FF63BE7B"/>
      </colorScale>
    </cfRule>
  </conditionalFormatting>
  <conditionalFormatting sqref="F10:F24">
    <cfRule type="colorScale" priority="10824">
      <colorScale>
        <cfvo type="min"/>
        <cfvo type="percentile" val="50"/>
        <cfvo type="max"/>
        <color rgb="FFF8696B"/>
        <color rgb="FFFFEB84"/>
        <color rgb="FF63BE7B"/>
      </colorScale>
    </cfRule>
  </conditionalFormatting>
  <conditionalFormatting sqref="F10:F24">
    <cfRule type="colorScale" priority="10823">
      <colorScale>
        <cfvo type="min"/>
        <cfvo type="percentile" val="50"/>
        <cfvo type="max"/>
        <color rgb="FFF8696B"/>
        <color rgb="FFFFEB84"/>
        <color rgb="FF63BE7B"/>
      </colorScale>
    </cfRule>
  </conditionalFormatting>
  <conditionalFormatting sqref="F10:F24">
    <cfRule type="colorScale" priority="10822">
      <colorScale>
        <cfvo type="min"/>
        <cfvo type="percentile" val="50"/>
        <cfvo type="max"/>
        <color rgb="FFF8696B"/>
        <color rgb="FFFFEB84"/>
        <color rgb="FF63BE7B"/>
      </colorScale>
    </cfRule>
  </conditionalFormatting>
  <conditionalFormatting sqref="F10:F24">
    <cfRule type="colorScale" priority="10821">
      <colorScale>
        <cfvo type="min"/>
        <cfvo type="percentile" val="50"/>
        <cfvo type="max"/>
        <color rgb="FFF8696B"/>
        <color rgb="FFFFEB84"/>
        <color rgb="FF63BE7B"/>
      </colorScale>
    </cfRule>
  </conditionalFormatting>
  <conditionalFormatting sqref="F10:F24">
    <cfRule type="colorScale" priority="10820">
      <colorScale>
        <cfvo type="min"/>
        <cfvo type="percentile" val="50"/>
        <cfvo type="max"/>
        <color rgb="FFF8696B"/>
        <color rgb="FFFFEB84"/>
        <color rgb="FF63BE7B"/>
      </colorScale>
    </cfRule>
  </conditionalFormatting>
  <conditionalFormatting sqref="F10:F24">
    <cfRule type="colorScale" priority="10819">
      <colorScale>
        <cfvo type="min"/>
        <cfvo type="percentile" val="50"/>
        <cfvo type="max"/>
        <color rgb="FFF8696B"/>
        <color rgb="FFFFEB84"/>
        <color rgb="FF63BE7B"/>
      </colorScale>
    </cfRule>
  </conditionalFormatting>
  <conditionalFormatting sqref="F10:F24">
    <cfRule type="colorScale" priority="10818">
      <colorScale>
        <cfvo type="min"/>
        <cfvo type="percentile" val="50"/>
        <cfvo type="max"/>
        <color rgb="FFF8696B"/>
        <color rgb="FFFFEB84"/>
        <color rgb="FF63BE7B"/>
      </colorScale>
    </cfRule>
  </conditionalFormatting>
  <conditionalFormatting sqref="F10:F24">
    <cfRule type="colorScale" priority="10817">
      <colorScale>
        <cfvo type="min"/>
        <cfvo type="percentile" val="50"/>
        <cfvo type="max"/>
        <color rgb="FFF8696B"/>
        <color rgb="FFFFEB84"/>
        <color rgb="FF63BE7B"/>
      </colorScale>
    </cfRule>
  </conditionalFormatting>
  <conditionalFormatting sqref="F10:F24">
    <cfRule type="colorScale" priority="10816">
      <colorScale>
        <cfvo type="min"/>
        <cfvo type="percentile" val="50"/>
        <cfvo type="max"/>
        <color rgb="FFF8696B"/>
        <color rgb="FFFFEB84"/>
        <color rgb="FF63BE7B"/>
      </colorScale>
    </cfRule>
  </conditionalFormatting>
  <conditionalFormatting sqref="F10:F24">
    <cfRule type="colorScale" priority="10815">
      <colorScale>
        <cfvo type="min"/>
        <cfvo type="percentile" val="50"/>
        <cfvo type="max"/>
        <color rgb="FFF8696B"/>
        <color rgb="FFFFEB84"/>
        <color rgb="FF63BE7B"/>
      </colorScale>
    </cfRule>
  </conditionalFormatting>
  <conditionalFormatting sqref="F10:F24">
    <cfRule type="colorScale" priority="10814">
      <colorScale>
        <cfvo type="min"/>
        <cfvo type="percentile" val="50"/>
        <cfvo type="max"/>
        <color rgb="FFF8696B"/>
        <color rgb="FFFFEB84"/>
        <color rgb="FF63BE7B"/>
      </colorScale>
    </cfRule>
  </conditionalFormatting>
  <conditionalFormatting sqref="F10:F24">
    <cfRule type="colorScale" priority="10813">
      <colorScale>
        <cfvo type="min"/>
        <cfvo type="percentile" val="50"/>
        <cfvo type="max"/>
        <color rgb="FFF8696B"/>
        <color rgb="FFFFEB84"/>
        <color rgb="FF63BE7B"/>
      </colorScale>
    </cfRule>
  </conditionalFormatting>
  <conditionalFormatting sqref="F10:F24">
    <cfRule type="colorScale" priority="10812">
      <colorScale>
        <cfvo type="min"/>
        <cfvo type="percentile" val="50"/>
        <cfvo type="max"/>
        <color rgb="FFF8696B"/>
        <color rgb="FFFFEB84"/>
        <color rgb="FF63BE7B"/>
      </colorScale>
    </cfRule>
  </conditionalFormatting>
  <conditionalFormatting sqref="F10:F24">
    <cfRule type="colorScale" priority="10811">
      <colorScale>
        <cfvo type="min"/>
        <cfvo type="percentile" val="50"/>
        <cfvo type="max"/>
        <color rgb="FFF8696B"/>
        <color rgb="FFFFEB84"/>
        <color rgb="FF63BE7B"/>
      </colorScale>
    </cfRule>
  </conditionalFormatting>
  <conditionalFormatting sqref="F10:F24">
    <cfRule type="colorScale" priority="10810">
      <colorScale>
        <cfvo type="min"/>
        <cfvo type="percentile" val="50"/>
        <cfvo type="max"/>
        <color rgb="FFF8696B"/>
        <color rgb="FFFFEB84"/>
        <color rgb="FF63BE7B"/>
      </colorScale>
    </cfRule>
  </conditionalFormatting>
  <conditionalFormatting sqref="F10:F24">
    <cfRule type="colorScale" priority="10809">
      <colorScale>
        <cfvo type="min"/>
        <cfvo type="percentile" val="50"/>
        <cfvo type="max"/>
        <color rgb="FFF8696B"/>
        <color rgb="FFFFEB84"/>
        <color rgb="FF63BE7B"/>
      </colorScale>
    </cfRule>
  </conditionalFormatting>
  <conditionalFormatting sqref="F10:F24">
    <cfRule type="colorScale" priority="10808">
      <colorScale>
        <cfvo type="min"/>
        <cfvo type="percentile" val="50"/>
        <cfvo type="max"/>
        <color rgb="FFF8696B"/>
        <color rgb="FFFFEB84"/>
        <color rgb="FF63BE7B"/>
      </colorScale>
    </cfRule>
  </conditionalFormatting>
  <conditionalFormatting sqref="F10:F24">
    <cfRule type="colorScale" priority="10807">
      <colorScale>
        <cfvo type="min"/>
        <cfvo type="percentile" val="50"/>
        <cfvo type="max"/>
        <color rgb="FFF8696B"/>
        <color rgb="FFFFEB84"/>
        <color rgb="FF63BE7B"/>
      </colorScale>
    </cfRule>
  </conditionalFormatting>
  <conditionalFormatting sqref="F10:F24">
    <cfRule type="colorScale" priority="10806">
      <colorScale>
        <cfvo type="min"/>
        <cfvo type="percentile" val="50"/>
        <cfvo type="max"/>
        <color rgb="FFF8696B"/>
        <color rgb="FFFFEB84"/>
        <color rgb="FF63BE7B"/>
      </colorScale>
    </cfRule>
  </conditionalFormatting>
  <conditionalFormatting sqref="F10:F24">
    <cfRule type="colorScale" priority="10805">
      <colorScale>
        <cfvo type="min"/>
        <cfvo type="percentile" val="50"/>
        <cfvo type="max"/>
        <color rgb="FFF8696B"/>
        <color rgb="FFFFEB84"/>
        <color rgb="FF63BE7B"/>
      </colorScale>
    </cfRule>
  </conditionalFormatting>
  <conditionalFormatting sqref="F10:F24">
    <cfRule type="colorScale" priority="10804">
      <colorScale>
        <cfvo type="min"/>
        <cfvo type="percentile" val="50"/>
        <cfvo type="max"/>
        <color rgb="FFF8696B"/>
        <color rgb="FFFFEB84"/>
        <color rgb="FF63BE7B"/>
      </colorScale>
    </cfRule>
  </conditionalFormatting>
  <conditionalFormatting sqref="F10:F24">
    <cfRule type="colorScale" priority="10803">
      <colorScale>
        <cfvo type="min"/>
        <cfvo type="percentile" val="50"/>
        <cfvo type="max"/>
        <color rgb="FFF8696B"/>
        <color rgb="FFFFEB84"/>
        <color rgb="FF63BE7B"/>
      </colorScale>
    </cfRule>
  </conditionalFormatting>
  <conditionalFormatting sqref="F10:F24">
    <cfRule type="colorScale" priority="10802">
      <colorScale>
        <cfvo type="min"/>
        <cfvo type="percentile" val="50"/>
        <cfvo type="max"/>
        <color rgb="FFF8696B"/>
        <color rgb="FFFFEB84"/>
        <color rgb="FF63BE7B"/>
      </colorScale>
    </cfRule>
  </conditionalFormatting>
  <conditionalFormatting sqref="F10:F24">
    <cfRule type="colorScale" priority="10801">
      <colorScale>
        <cfvo type="min"/>
        <cfvo type="percentile" val="50"/>
        <cfvo type="max"/>
        <color rgb="FFF8696B"/>
        <color rgb="FFFFEB84"/>
        <color rgb="FF63BE7B"/>
      </colorScale>
    </cfRule>
  </conditionalFormatting>
  <conditionalFormatting sqref="F10:F24">
    <cfRule type="colorScale" priority="10800">
      <colorScale>
        <cfvo type="min"/>
        <cfvo type="percentile" val="50"/>
        <cfvo type="max"/>
        <color rgb="FFF8696B"/>
        <color rgb="FFFFEB84"/>
        <color rgb="FF63BE7B"/>
      </colorScale>
    </cfRule>
  </conditionalFormatting>
  <conditionalFormatting sqref="F10:F24">
    <cfRule type="colorScale" priority="10799">
      <colorScale>
        <cfvo type="min"/>
        <cfvo type="percentile" val="50"/>
        <cfvo type="max"/>
        <color rgb="FFF8696B"/>
        <color rgb="FFFFEB84"/>
        <color rgb="FF63BE7B"/>
      </colorScale>
    </cfRule>
  </conditionalFormatting>
  <conditionalFormatting sqref="F10:F24">
    <cfRule type="colorScale" priority="10798">
      <colorScale>
        <cfvo type="min"/>
        <cfvo type="percentile" val="50"/>
        <cfvo type="max"/>
        <color rgb="FFF8696B"/>
        <color rgb="FFFFEB84"/>
        <color rgb="FF63BE7B"/>
      </colorScale>
    </cfRule>
  </conditionalFormatting>
  <conditionalFormatting sqref="F10:F24">
    <cfRule type="colorScale" priority="10797">
      <colorScale>
        <cfvo type="min"/>
        <cfvo type="percentile" val="50"/>
        <cfvo type="max"/>
        <color rgb="FFF8696B"/>
        <color rgb="FFFFEB84"/>
        <color rgb="FF63BE7B"/>
      </colorScale>
    </cfRule>
  </conditionalFormatting>
  <conditionalFormatting sqref="F10:F24">
    <cfRule type="colorScale" priority="10796">
      <colorScale>
        <cfvo type="min"/>
        <cfvo type="percentile" val="50"/>
        <cfvo type="max"/>
        <color rgb="FFF8696B"/>
        <color rgb="FFFFEB84"/>
        <color rgb="FF63BE7B"/>
      </colorScale>
    </cfRule>
  </conditionalFormatting>
  <conditionalFormatting sqref="F10:F24">
    <cfRule type="colorScale" priority="10795">
      <colorScale>
        <cfvo type="min"/>
        <cfvo type="percentile" val="50"/>
        <cfvo type="max"/>
        <color rgb="FFF8696B"/>
        <color rgb="FFFFEB84"/>
        <color rgb="FF63BE7B"/>
      </colorScale>
    </cfRule>
  </conditionalFormatting>
  <conditionalFormatting sqref="F10:F24">
    <cfRule type="colorScale" priority="10794">
      <colorScale>
        <cfvo type="min"/>
        <cfvo type="percentile" val="50"/>
        <cfvo type="max"/>
        <color rgb="FFF8696B"/>
        <color rgb="FFFFEB84"/>
        <color rgb="FF63BE7B"/>
      </colorScale>
    </cfRule>
  </conditionalFormatting>
  <conditionalFormatting sqref="F10:F24">
    <cfRule type="colorScale" priority="10793">
      <colorScale>
        <cfvo type="min"/>
        <cfvo type="percentile" val="50"/>
        <cfvo type="max"/>
        <color rgb="FFF8696B"/>
        <color rgb="FFFFEB84"/>
        <color rgb="FF63BE7B"/>
      </colorScale>
    </cfRule>
  </conditionalFormatting>
  <conditionalFormatting sqref="F10:F24">
    <cfRule type="colorScale" priority="10792">
      <colorScale>
        <cfvo type="min"/>
        <cfvo type="percentile" val="50"/>
        <cfvo type="max"/>
        <color rgb="FFF8696B"/>
        <color rgb="FFFFEB84"/>
        <color rgb="FF63BE7B"/>
      </colorScale>
    </cfRule>
  </conditionalFormatting>
  <conditionalFormatting sqref="F10:F24">
    <cfRule type="colorScale" priority="10791">
      <colorScale>
        <cfvo type="min"/>
        <cfvo type="percentile" val="50"/>
        <cfvo type="max"/>
        <color rgb="FFF8696B"/>
        <color rgb="FFFFEB84"/>
        <color rgb="FF63BE7B"/>
      </colorScale>
    </cfRule>
  </conditionalFormatting>
  <conditionalFormatting sqref="F10:F24">
    <cfRule type="colorScale" priority="10790">
      <colorScale>
        <cfvo type="min"/>
        <cfvo type="percentile" val="50"/>
        <cfvo type="max"/>
        <color rgb="FFF8696B"/>
        <color rgb="FFFFEB84"/>
        <color rgb="FF63BE7B"/>
      </colorScale>
    </cfRule>
  </conditionalFormatting>
  <conditionalFormatting sqref="F10:F24">
    <cfRule type="colorScale" priority="10789">
      <colorScale>
        <cfvo type="min"/>
        <cfvo type="percentile" val="50"/>
        <cfvo type="max"/>
        <color rgb="FFF8696B"/>
        <color rgb="FFFFEB84"/>
        <color rgb="FF63BE7B"/>
      </colorScale>
    </cfRule>
  </conditionalFormatting>
  <conditionalFormatting sqref="F10:F24">
    <cfRule type="colorScale" priority="10788">
      <colorScale>
        <cfvo type="min"/>
        <cfvo type="percentile" val="50"/>
        <cfvo type="max"/>
        <color rgb="FFF8696B"/>
        <color rgb="FFFFEB84"/>
        <color rgb="FF63BE7B"/>
      </colorScale>
    </cfRule>
  </conditionalFormatting>
  <conditionalFormatting sqref="F10:F24">
    <cfRule type="colorScale" priority="10787">
      <colorScale>
        <cfvo type="min"/>
        <cfvo type="percentile" val="50"/>
        <cfvo type="max"/>
        <color rgb="FFF8696B"/>
        <color rgb="FFFFEB84"/>
        <color rgb="FF63BE7B"/>
      </colorScale>
    </cfRule>
  </conditionalFormatting>
  <conditionalFormatting sqref="F10:F24">
    <cfRule type="colorScale" priority="10786">
      <colorScale>
        <cfvo type="min"/>
        <cfvo type="percentile" val="50"/>
        <cfvo type="max"/>
        <color rgb="FFF8696B"/>
        <color rgb="FFFFEB84"/>
        <color rgb="FF63BE7B"/>
      </colorScale>
    </cfRule>
  </conditionalFormatting>
  <conditionalFormatting sqref="F10:F24">
    <cfRule type="colorScale" priority="10785">
      <colorScale>
        <cfvo type="min"/>
        <cfvo type="percentile" val="50"/>
        <cfvo type="max"/>
        <color rgb="FFF8696B"/>
        <color rgb="FFFFEB84"/>
        <color rgb="FF63BE7B"/>
      </colorScale>
    </cfRule>
  </conditionalFormatting>
  <conditionalFormatting sqref="F10:F24">
    <cfRule type="colorScale" priority="10784">
      <colorScale>
        <cfvo type="min"/>
        <cfvo type="percentile" val="50"/>
        <cfvo type="max"/>
        <color rgb="FFF8696B"/>
        <color rgb="FFFFEB84"/>
        <color rgb="FF63BE7B"/>
      </colorScale>
    </cfRule>
  </conditionalFormatting>
  <conditionalFormatting sqref="F10:F24">
    <cfRule type="colorScale" priority="10783">
      <colorScale>
        <cfvo type="min"/>
        <cfvo type="percentile" val="50"/>
        <cfvo type="max"/>
        <color rgb="FFF8696B"/>
        <color rgb="FFFFEB84"/>
        <color rgb="FF63BE7B"/>
      </colorScale>
    </cfRule>
  </conditionalFormatting>
  <conditionalFormatting sqref="F10:F24">
    <cfRule type="colorScale" priority="10782">
      <colorScale>
        <cfvo type="min"/>
        <cfvo type="percentile" val="50"/>
        <cfvo type="max"/>
        <color rgb="FFF8696B"/>
        <color rgb="FFFFEB84"/>
        <color rgb="FF63BE7B"/>
      </colorScale>
    </cfRule>
  </conditionalFormatting>
  <conditionalFormatting sqref="F10:F24">
    <cfRule type="colorScale" priority="10781">
      <colorScale>
        <cfvo type="min"/>
        <cfvo type="percentile" val="50"/>
        <cfvo type="max"/>
        <color rgb="FFF8696B"/>
        <color rgb="FFFFEB84"/>
        <color rgb="FF63BE7B"/>
      </colorScale>
    </cfRule>
  </conditionalFormatting>
  <conditionalFormatting sqref="F10:F24">
    <cfRule type="colorScale" priority="10780">
      <colorScale>
        <cfvo type="min"/>
        <cfvo type="percentile" val="50"/>
        <cfvo type="max"/>
        <color rgb="FFF8696B"/>
        <color rgb="FFFFEB84"/>
        <color rgb="FF63BE7B"/>
      </colorScale>
    </cfRule>
  </conditionalFormatting>
  <conditionalFormatting sqref="F10:F24">
    <cfRule type="colorScale" priority="10779">
      <colorScale>
        <cfvo type="min"/>
        <cfvo type="percentile" val="50"/>
        <cfvo type="max"/>
        <color rgb="FFF8696B"/>
        <color rgb="FFFFEB84"/>
        <color rgb="FF63BE7B"/>
      </colorScale>
    </cfRule>
  </conditionalFormatting>
  <conditionalFormatting sqref="F10:F24">
    <cfRule type="colorScale" priority="10778">
      <colorScale>
        <cfvo type="min"/>
        <cfvo type="percentile" val="50"/>
        <cfvo type="max"/>
        <color rgb="FFF8696B"/>
        <color rgb="FFFFEB84"/>
        <color rgb="FF63BE7B"/>
      </colorScale>
    </cfRule>
  </conditionalFormatting>
  <conditionalFormatting sqref="F10:F24">
    <cfRule type="colorScale" priority="10777">
      <colorScale>
        <cfvo type="min"/>
        <cfvo type="percentile" val="50"/>
        <cfvo type="max"/>
        <color rgb="FFF8696B"/>
        <color rgb="FFFFEB84"/>
        <color rgb="FF63BE7B"/>
      </colorScale>
    </cfRule>
  </conditionalFormatting>
  <conditionalFormatting sqref="F10:F24">
    <cfRule type="colorScale" priority="10776">
      <colorScale>
        <cfvo type="min"/>
        <cfvo type="percentile" val="50"/>
        <cfvo type="max"/>
        <color rgb="FFF8696B"/>
        <color rgb="FFFFEB84"/>
        <color rgb="FF63BE7B"/>
      </colorScale>
    </cfRule>
  </conditionalFormatting>
  <conditionalFormatting sqref="F10:F24">
    <cfRule type="colorScale" priority="10775">
      <colorScale>
        <cfvo type="min"/>
        <cfvo type="percentile" val="50"/>
        <cfvo type="max"/>
        <color rgb="FFF8696B"/>
        <color rgb="FFFFEB84"/>
        <color rgb="FF63BE7B"/>
      </colorScale>
    </cfRule>
  </conditionalFormatting>
  <conditionalFormatting sqref="F10:F24">
    <cfRule type="colorScale" priority="10774">
      <colorScale>
        <cfvo type="min"/>
        <cfvo type="percentile" val="50"/>
        <cfvo type="max"/>
        <color rgb="FFF8696B"/>
        <color rgb="FFFFEB84"/>
        <color rgb="FF63BE7B"/>
      </colorScale>
    </cfRule>
  </conditionalFormatting>
  <conditionalFormatting sqref="F10:F24">
    <cfRule type="colorScale" priority="10773">
      <colorScale>
        <cfvo type="min"/>
        <cfvo type="percentile" val="50"/>
        <cfvo type="max"/>
        <color rgb="FFF8696B"/>
        <color rgb="FFFFEB84"/>
        <color rgb="FF63BE7B"/>
      </colorScale>
    </cfRule>
  </conditionalFormatting>
  <conditionalFormatting sqref="F10:F24">
    <cfRule type="colorScale" priority="10772">
      <colorScale>
        <cfvo type="min"/>
        <cfvo type="percentile" val="50"/>
        <cfvo type="max"/>
        <color rgb="FFF8696B"/>
        <color rgb="FFFFEB84"/>
        <color rgb="FF63BE7B"/>
      </colorScale>
    </cfRule>
  </conditionalFormatting>
  <conditionalFormatting sqref="F10:F24">
    <cfRule type="colorScale" priority="10771">
      <colorScale>
        <cfvo type="min"/>
        <cfvo type="percentile" val="50"/>
        <cfvo type="max"/>
        <color rgb="FFF8696B"/>
        <color rgb="FFFFEB84"/>
        <color rgb="FF63BE7B"/>
      </colorScale>
    </cfRule>
  </conditionalFormatting>
  <conditionalFormatting sqref="F10:F24">
    <cfRule type="colorScale" priority="10770">
      <colorScale>
        <cfvo type="min"/>
        <cfvo type="percentile" val="50"/>
        <cfvo type="max"/>
        <color rgb="FFF8696B"/>
        <color rgb="FFFFEB84"/>
        <color rgb="FF63BE7B"/>
      </colorScale>
    </cfRule>
  </conditionalFormatting>
  <conditionalFormatting sqref="F10:F24">
    <cfRule type="colorScale" priority="10769">
      <colorScale>
        <cfvo type="min"/>
        <cfvo type="percentile" val="50"/>
        <cfvo type="max"/>
        <color rgb="FFF8696B"/>
        <color rgb="FFFFEB84"/>
        <color rgb="FF63BE7B"/>
      </colorScale>
    </cfRule>
  </conditionalFormatting>
  <conditionalFormatting sqref="F10:F24">
    <cfRule type="colorScale" priority="10768">
      <colorScale>
        <cfvo type="min"/>
        <cfvo type="percentile" val="50"/>
        <cfvo type="max"/>
        <color rgb="FFF8696B"/>
        <color rgb="FFFFEB84"/>
        <color rgb="FF63BE7B"/>
      </colorScale>
    </cfRule>
  </conditionalFormatting>
  <conditionalFormatting sqref="F10:F24">
    <cfRule type="colorScale" priority="10767">
      <colorScale>
        <cfvo type="min"/>
        <cfvo type="percentile" val="50"/>
        <cfvo type="max"/>
        <color rgb="FFF8696B"/>
        <color rgb="FFFFEB84"/>
        <color rgb="FF63BE7B"/>
      </colorScale>
    </cfRule>
  </conditionalFormatting>
  <conditionalFormatting sqref="F10:F25">
    <cfRule type="colorScale" priority="10766">
      <colorScale>
        <cfvo type="min"/>
        <cfvo type="percentile" val="50"/>
        <cfvo type="max"/>
        <color rgb="FFF8696B"/>
        <color rgb="FFFFEB84"/>
        <color rgb="FF63BE7B"/>
      </colorScale>
    </cfRule>
  </conditionalFormatting>
  <conditionalFormatting sqref="F10:F25">
    <cfRule type="colorScale" priority="10765">
      <colorScale>
        <cfvo type="min"/>
        <cfvo type="percentile" val="50"/>
        <cfvo type="max"/>
        <color rgb="FFF8696B"/>
        <color rgb="FFFFEB84"/>
        <color rgb="FF63BE7B"/>
      </colorScale>
    </cfRule>
  </conditionalFormatting>
  <conditionalFormatting sqref="F10:F24">
    <cfRule type="colorScale" priority="10764">
      <colorScale>
        <cfvo type="min"/>
        <cfvo type="percentile" val="50"/>
        <cfvo type="max"/>
        <color rgb="FFF8696B"/>
        <color rgb="FFFFEB84"/>
        <color rgb="FF63BE7B"/>
      </colorScale>
    </cfRule>
  </conditionalFormatting>
  <conditionalFormatting sqref="F10:F24">
    <cfRule type="colorScale" priority="10763">
      <colorScale>
        <cfvo type="min"/>
        <cfvo type="percentile" val="50"/>
        <cfvo type="max"/>
        <color rgb="FFF8696B"/>
        <color rgb="FFFFEB84"/>
        <color rgb="FF63BE7B"/>
      </colorScale>
    </cfRule>
  </conditionalFormatting>
  <conditionalFormatting sqref="F10:F24">
    <cfRule type="colorScale" priority="10762">
      <colorScale>
        <cfvo type="min"/>
        <cfvo type="percentile" val="50"/>
        <cfvo type="max"/>
        <color rgb="FFF8696B"/>
        <color rgb="FFFFEB84"/>
        <color rgb="FF63BE7B"/>
      </colorScale>
    </cfRule>
  </conditionalFormatting>
  <conditionalFormatting sqref="F10:F24">
    <cfRule type="colorScale" priority="10761">
      <colorScale>
        <cfvo type="min"/>
        <cfvo type="percentile" val="50"/>
        <cfvo type="max"/>
        <color rgb="FFF8696B"/>
        <color rgb="FFFFEB84"/>
        <color rgb="FF63BE7B"/>
      </colorScale>
    </cfRule>
  </conditionalFormatting>
  <conditionalFormatting sqref="F10:F21">
    <cfRule type="colorScale" priority="10760">
      <colorScale>
        <cfvo type="min"/>
        <cfvo type="percentile" val="50"/>
        <cfvo type="max"/>
        <color rgb="FFF8696B"/>
        <color rgb="FFFFEB84"/>
        <color rgb="FF63BE7B"/>
      </colorScale>
    </cfRule>
  </conditionalFormatting>
  <conditionalFormatting sqref="F10:F21">
    <cfRule type="colorScale" priority="10759">
      <colorScale>
        <cfvo type="min"/>
        <cfvo type="percentile" val="50"/>
        <cfvo type="max"/>
        <color rgb="FFF8696B"/>
        <color rgb="FFFFEB84"/>
        <color rgb="FF63BE7B"/>
      </colorScale>
    </cfRule>
  </conditionalFormatting>
  <conditionalFormatting sqref="F10:F24">
    <cfRule type="colorScale" priority="10758">
      <colorScale>
        <cfvo type="min"/>
        <cfvo type="percentile" val="50"/>
        <cfvo type="max"/>
        <color rgb="FFF8696B"/>
        <color rgb="FFFFEB84"/>
        <color rgb="FF63BE7B"/>
      </colorScale>
    </cfRule>
  </conditionalFormatting>
  <conditionalFormatting sqref="F10:F24">
    <cfRule type="colorScale" priority="10757">
      <colorScale>
        <cfvo type="min"/>
        <cfvo type="percentile" val="50"/>
        <cfvo type="max"/>
        <color rgb="FFF8696B"/>
        <color rgb="FFFFEB84"/>
        <color rgb="FF63BE7B"/>
      </colorScale>
    </cfRule>
  </conditionalFormatting>
  <conditionalFormatting sqref="F10:F24">
    <cfRule type="colorScale" priority="10756">
      <colorScale>
        <cfvo type="min"/>
        <cfvo type="percentile" val="50"/>
        <cfvo type="max"/>
        <color rgb="FFF8696B"/>
        <color rgb="FFFFEB84"/>
        <color rgb="FF63BE7B"/>
      </colorScale>
    </cfRule>
  </conditionalFormatting>
  <conditionalFormatting sqref="F10:F24">
    <cfRule type="colorScale" priority="10755">
      <colorScale>
        <cfvo type="min"/>
        <cfvo type="percentile" val="50"/>
        <cfvo type="max"/>
        <color rgb="FFF8696B"/>
        <color rgb="FFFFEB84"/>
        <color rgb="FF63BE7B"/>
      </colorScale>
    </cfRule>
  </conditionalFormatting>
  <conditionalFormatting sqref="F10:F24">
    <cfRule type="colorScale" priority="10754">
      <colorScale>
        <cfvo type="min"/>
        <cfvo type="percentile" val="50"/>
        <cfvo type="max"/>
        <color rgb="FFF8696B"/>
        <color rgb="FFFFEB84"/>
        <color rgb="FF63BE7B"/>
      </colorScale>
    </cfRule>
  </conditionalFormatting>
  <conditionalFormatting sqref="F10:F24">
    <cfRule type="colorScale" priority="10753">
      <colorScale>
        <cfvo type="min"/>
        <cfvo type="percentile" val="50"/>
        <cfvo type="max"/>
        <color rgb="FFF8696B"/>
        <color rgb="FFFFEB84"/>
        <color rgb="FF63BE7B"/>
      </colorScale>
    </cfRule>
  </conditionalFormatting>
  <conditionalFormatting sqref="F10:F24">
    <cfRule type="colorScale" priority="10752">
      <colorScale>
        <cfvo type="min"/>
        <cfvo type="percentile" val="50"/>
        <cfvo type="max"/>
        <color rgb="FFF8696B"/>
        <color rgb="FFFFEB84"/>
        <color rgb="FF63BE7B"/>
      </colorScale>
    </cfRule>
  </conditionalFormatting>
  <conditionalFormatting sqref="F10:F24">
    <cfRule type="colorScale" priority="10751">
      <colorScale>
        <cfvo type="min"/>
        <cfvo type="percentile" val="50"/>
        <cfvo type="max"/>
        <color rgb="FFF8696B"/>
        <color rgb="FFFFEB84"/>
        <color rgb="FF63BE7B"/>
      </colorScale>
    </cfRule>
  </conditionalFormatting>
  <conditionalFormatting sqref="F22:F24">
    <cfRule type="colorScale" priority="10750">
      <colorScale>
        <cfvo type="min"/>
        <cfvo type="percentile" val="50"/>
        <cfvo type="max"/>
        <color rgb="FFF8696B"/>
        <color rgb="FFFFEB84"/>
        <color rgb="FF63BE7B"/>
      </colorScale>
    </cfRule>
  </conditionalFormatting>
  <conditionalFormatting sqref="F22:F24">
    <cfRule type="colorScale" priority="10749">
      <colorScale>
        <cfvo type="min"/>
        <cfvo type="percentile" val="50"/>
        <cfvo type="max"/>
        <color rgb="FFF8696B"/>
        <color rgb="FFFFEB84"/>
        <color rgb="FF63BE7B"/>
      </colorScale>
    </cfRule>
  </conditionalFormatting>
  <conditionalFormatting sqref="F25">
    <cfRule type="colorScale" priority="10748">
      <colorScale>
        <cfvo type="min"/>
        <cfvo type="percentile" val="50"/>
        <cfvo type="max"/>
        <color rgb="FFF8696B"/>
        <color rgb="FFFFEB84"/>
        <color rgb="FF63BE7B"/>
      </colorScale>
    </cfRule>
  </conditionalFormatting>
  <conditionalFormatting sqref="F25">
    <cfRule type="colorScale" priority="10747">
      <colorScale>
        <cfvo type="min"/>
        <cfvo type="percentile" val="50"/>
        <cfvo type="max"/>
        <color rgb="FFF8696B"/>
        <color rgb="FFFFEB84"/>
        <color rgb="FF63BE7B"/>
      </colorScale>
    </cfRule>
  </conditionalFormatting>
  <conditionalFormatting sqref="F25">
    <cfRule type="colorScale" priority="10746">
      <colorScale>
        <cfvo type="min"/>
        <cfvo type="percentile" val="50"/>
        <cfvo type="max"/>
        <color rgb="FFF8696B"/>
        <color rgb="FFFFEB84"/>
        <color rgb="FF63BE7B"/>
      </colorScale>
    </cfRule>
  </conditionalFormatting>
  <conditionalFormatting sqref="F25">
    <cfRule type="colorScale" priority="10745">
      <colorScale>
        <cfvo type="min"/>
        <cfvo type="percentile" val="50"/>
        <cfvo type="max"/>
        <color rgb="FFF8696B"/>
        <color rgb="FFFFEB84"/>
        <color rgb="FF63BE7B"/>
      </colorScale>
    </cfRule>
  </conditionalFormatting>
  <conditionalFormatting sqref="F25">
    <cfRule type="colorScale" priority="10744">
      <colorScale>
        <cfvo type="min"/>
        <cfvo type="percentile" val="50"/>
        <cfvo type="max"/>
        <color rgb="FFF8696B"/>
        <color rgb="FFFFEB84"/>
        <color rgb="FF63BE7B"/>
      </colorScale>
    </cfRule>
  </conditionalFormatting>
  <conditionalFormatting sqref="F25">
    <cfRule type="colorScale" priority="10743">
      <colorScale>
        <cfvo type="min"/>
        <cfvo type="percentile" val="50"/>
        <cfvo type="max"/>
        <color rgb="FFF8696B"/>
        <color rgb="FFFFEB84"/>
        <color rgb="FF63BE7B"/>
      </colorScale>
    </cfRule>
  </conditionalFormatting>
  <conditionalFormatting sqref="F25">
    <cfRule type="colorScale" priority="10742">
      <colorScale>
        <cfvo type="min"/>
        <cfvo type="percentile" val="50"/>
        <cfvo type="max"/>
        <color rgb="FFF8696B"/>
        <color rgb="FFFFEB84"/>
        <color rgb="FF63BE7B"/>
      </colorScale>
    </cfRule>
  </conditionalFormatting>
  <conditionalFormatting sqref="F25">
    <cfRule type="colorScale" priority="10741">
      <colorScale>
        <cfvo type="min"/>
        <cfvo type="percentile" val="50"/>
        <cfvo type="max"/>
        <color rgb="FFF8696B"/>
        <color rgb="FFFFEB84"/>
        <color rgb="FF63BE7B"/>
      </colorScale>
    </cfRule>
  </conditionalFormatting>
  <conditionalFormatting sqref="F25">
    <cfRule type="colorScale" priority="10740">
      <colorScale>
        <cfvo type="min"/>
        <cfvo type="percentile" val="50"/>
        <cfvo type="max"/>
        <color rgb="FFF8696B"/>
        <color rgb="FFFFEB84"/>
        <color rgb="FF63BE7B"/>
      </colorScale>
    </cfRule>
  </conditionalFormatting>
  <conditionalFormatting sqref="F25">
    <cfRule type="colorScale" priority="10739">
      <colorScale>
        <cfvo type="min"/>
        <cfvo type="percentile" val="50"/>
        <cfvo type="max"/>
        <color rgb="FFF8696B"/>
        <color rgb="FFFFEB84"/>
        <color rgb="FF63BE7B"/>
      </colorScale>
    </cfRule>
  </conditionalFormatting>
  <conditionalFormatting sqref="F25">
    <cfRule type="colorScale" priority="10738">
      <colorScale>
        <cfvo type="min"/>
        <cfvo type="percentile" val="50"/>
        <cfvo type="max"/>
        <color rgb="FFF8696B"/>
        <color rgb="FFFFEB84"/>
        <color rgb="FF63BE7B"/>
      </colorScale>
    </cfRule>
  </conditionalFormatting>
  <conditionalFormatting sqref="F25">
    <cfRule type="colorScale" priority="10737">
      <colorScale>
        <cfvo type="min"/>
        <cfvo type="percentile" val="50"/>
        <cfvo type="max"/>
        <color rgb="FFF8696B"/>
        <color rgb="FFFFEB84"/>
        <color rgb="FF63BE7B"/>
      </colorScale>
    </cfRule>
  </conditionalFormatting>
  <conditionalFormatting sqref="F25">
    <cfRule type="colorScale" priority="10736">
      <colorScale>
        <cfvo type="min"/>
        <cfvo type="percentile" val="50"/>
        <cfvo type="max"/>
        <color rgb="FFF8696B"/>
        <color rgb="FFFFEB84"/>
        <color rgb="FF63BE7B"/>
      </colorScale>
    </cfRule>
  </conditionalFormatting>
  <conditionalFormatting sqref="F25">
    <cfRule type="colorScale" priority="10735">
      <colorScale>
        <cfvo type="min"/>
        <cfvo type="percentile" val="50"/>
        <cfvo type="max"/>
        <color rgb="FFF8696B"/>
        <color rgb="FFFFEB84"/>
        <color rgb="FF63BE7B"/>
      </colorScale>
    </cfRule>
  </conditionalFormatting>
  <conditionalFormatting sqref="F25">
    <cfRule type="colorScale" priority="10734">
      <colorScale>
        <cfvo type="min"/>
        <cfvo type="percentile" val="50"/>
        <cfvo type="max"/>
        <color rgb="FFF8696B"/>
        <color rgb="FFFFEB84"/>
        <color rgb="FF63BE7B"/>
      </colorScale>
    </cfRule>
  </conditionalFormatting>
  <conditionalFormatting sqref="F25">
    <cfRule type="colorScale" priority="10733">
      <colorScale>
        <cfvo type="min"/>
        <cfvo type="percentile" val="50"/>
        <cfvo type="max"/>
        <color rgb="FFF8696B"/>
        <color rgb="FFFFEB84"/>
        <color rgb="FF63BE7B"/>
      </colorScale>
    </cfRule>
  </conditionalFormatting>
  <conditionalFormatting sqref="F25">
    <cfRule type="colorScale" priority="10732">
      <colorScale>
        <cfvo type="min"/>
        <cfvo type="percentile" val="50"/>
        <cfvo type="max"/>
        <color rgb="FFF8696B"/>
        <color rgb="FFFFEB84"/>
        <color rgb="FF63BE7B"/>
      </colorScale>
    </cfRule>
  </conditionalFormatting>
  <conditionalFormatting sqref="F25">
    <cfRule type="colorScale" priority="10731">
      <colorScale>
        <cfvo type="min"/>
        <cfvo type="percentile" val="50"/>
        <cfvo type="max"/>
        <color rgb="FFF8696B"/>
        <color rgb="FFFFEB84"/>
        <color rgb="FF63BE7B"/>
      </colorScale>
    </cfRule>
  </conditionalFormatting>
  <conditionalFormatting sqref="F25">
    <cfRule type="colorScale" priority="10730">
      <colorScale>
        <cfvo type="min"/>
        <cfvo type="percentile" val="50"/>
        <cfvo type="max"/>
        <color rgb="FFF8696B"/>
        <color rgb="FFFFEB84"/>
        <color rgb="FF63BE7B"/>
      </colorScale>
    </cfRule>
  </conditionalFormatting>
  <conditionalFormatting sqref="F25">
    <cfRule type="colorScale" priority="10729">
      <colorScale>
        <cfvo type="min"/>
        <cfvo type="percentile" val="50"/>
        <cfvo type="max"/>
        <color rgb="FFF8696B"/>
        <color rgb="FFFFEB84"/>
        <color rgb="FF63BE7B"/>
      </colorScale>
    </cfRule>
  </conditionalFormatting>
  <conditionalFormatting sqref="F25">
    <cfRule type="colorScale" priority="10728">
      <colorScale>
        <cfvo type="min"/>
        <cfvo type="percentile" val="50"/>
        <cfvo type="max"/>
        <color rgb="FFF8696B"/>
        <color rgb="FFFFEB84"/>
        <color rgb="FF63BE7B"/>
      </colorScale>
    </cfRule>
  </conditionalFormatting>
  <conditionalFormatting sqref="F25">
    <cfRule type="colorScale" priority="10727">
      <colorScale>
        <cfvo type="min"/>
        <cfvo type="percentile" val="50"/>
        <cfvo type="max"/>
        <color rgb="FFF8696B"/>
        <color rgb="FFFFEB84"/>
        <color rgb="FF63BE7B"/>
      </colorScale>
    </cfRule>
  </conditionalFormatting>
  <conditionalFormatting sqref="F25">
    <cfRule type="colorScale" priority="10726">
      <colorScale>
        <cfvo type="min"/>
        <cfvo type="percentile" val="50"/>
        <cfvo type="max"/>
        <color rgb="FFF8696B"/>
        <color rgb="FFFFEB84"/>
        <color rgb="FF63BE7B"/>
      </colorScale>
    </cfRule>
  </conditionalFormatting>
  <conditionalFormatting sqref="F25">
    <cfRule type="colorScale" priority="10725">
      <colorScale>
        <cfvo type="min"/>
        <cfvo type="percentile" val="50"/>
        <cfvo type="max"/>
        <color rgb="FFF8696B"/>
        <color rgb="FFFFEB84"/>
        <color rgb="FF63BE7B"/>
      </colorScale>
    </cfRule>
  </conditionalFormatting>
  <conditionalFormatting sqref="F25">
    <cfRule type="colorScale" priority="10724">
      <colorScale>
        <cfvo type="min"/>
        <cfvo type="percentile" val="50"/>
        <cfvo type="max"/>
        <color rgb="FFF8696B"/>
        <color rgb="FFFFEB84"/>
        <color rgb="FF63BE7B"/>
      </colorScale>
    </cfRule>
  </conditionalFormatting>
  <conditionalFormatting sqref="F25">
    <cfRule type="colorScale" priority="10723">
      <colorScale>
        <cfvo type="min"/>
        <cfvo type="percentile" val="50"/>
        <cfvo type="max"/>
        <color rgb="FFF8696B"/>
        <color rgb="FFFFEB84"/>
        <color rgb="FF63BE7B"/>
      </colorScale>
    </cfRule>
  </conditionalFormatting>
  <conditionalFormatting sqref="F25">
    <cfRule type="colorScale" priority="10722">
      <colorScale>
        <cfvo type="min"/>
        <cfvo type="percentile" val="50"/>
        <cfvo type="max"/>
        <color rgb="FFF8696B"/>
        <color rgb="FFFFEB84"/>
        <color rgb="FF63BE7B"/>
      </colorScale>
    </cfRule>
  </conditionalFormatting>
  <conditionalFormatting sqref="F25">
    <cfRule type="colorScale" priority="10721">
      <colorScale>
        <cfvo type="min"/>
        <cfvo type="percentile" val="50"/>
        <cfvo type="max"/>
        <color rgb="FFF8696B"/>
        <color rgb="FFFFEB84"/>
        <color rgb="FF63BE7B"/>
      </colorScale>
    </cfRule>
  </conditionalFormatting>
  <conditionalFormatting sqref="F25">
    <cfRule type="colorScale" priority="10720">
      <colorScale>
        <cfvo type="min"/>
        <cfvo type="percentile" val="50"/>
        <cfvo type="max"/>
        <color rgb="FFF8696B"/>
        <color rgb="FFFFEB84"/>
        <color rgb="FF63BE7B"/>
      </colorScale>
    </cfRule>
  </conditionalFormatting>
  <conditionalFormatting sqref="F25">
    <cfRule type="colorScale" priority="10719">
      <colorScale>
        <cfvo type="min"/>
        <cfvo type="percentile" val="50"/>
        <cfvo type="max"/>
        <color rgb="FFF8696B"/>
        <color rgb="FFFFEB84"/>
        <color rgb="FF63BE7B"/>
      </colorScale>
    </cfRule>
  </conditionalFormatting>
  <conditionalFormatting sqref="F25">
    <cfRule type="colorScale" priority="10718">
      <colorScale>
        <cfvo type="min"/>
        <cfvo type="percentile" val="50"/>
        <cfvo type="max"/>
        <color rgb="FFF8696B"/>
        <color rgb="FFFFEB84"/>
        <color rgb="FF63BE7B"/>
      </colorScale>
    </cfRule>
  </conditionalFormatting>
  <conditionalFormatting sqref="F25">
    <cfRule type="colorScale" priority="10717">
      <colorScale>
        <cfvo type="min"/>
        <cfvo type="percentile" val="50"/>
        <cfvo type="max"/>
        <color rgb="FFF8696B"/>
        <color rgb="FFFFEB84"/>
        <color rgb="FF63BE7B"/>
      </colorScale>
    </cfRule>
  </conditionalFormatting>
  <conditionalFormatting sqref="F25">
    <cfRule type="colorScale" priority="10716">
      <colorScale>
        <cfvo type="min"/>
        <cfvo type="percentile" val="50"/>
        <cfvo type="max"/>
        <color rgb="FFF8696B"/>
        <color rgb="FFFFEB84"/>
        <color rgb="FF63BE7B"/>
      </colorScale>
    </cfRule>
  </conditionalFormatting>
  <conditionalFormatting sqref="F25">
    <cfRule type="colorScale" priority="10715">
      <colorScale>
        <cfvo type="min"/>
        <cfvo type="percentile" val="50"/>
        <cfvo type="max"/>
        <color rgb="FFF8696B"/>
        <color rgb="FFFFEB84"/>
        <color rgb="FF63BE7B"/>
      </colorScale>
    </cfRule>
  </conditionalFormatting>
  <conditionalFormatting sqref="F25">
    <cfRule type="colorScale" priority="10714">
      <colorScale>
        <cfvo type="min"/>
        <cfvo type="percentile" val="50"/>
        <cfvo type="max"/>
        <color rgb="FFF8696B"/>
        <color rgb="FFFFEB84"/>
        <color rgb="FF63BE7B"/>
      </colorScale>
    </cfRule>
  </conditionalFormatting>
  <conditionalFormatting sqref="F25">
    <cfRule type="colorScale" priority="10713">
      <colorScale>
        <cfvo type="min"/>
        <cfvo type="percentile" val="50"/>
        <cfvo type="max"/>
        <color rgb="FFF8696B"/>
        <color rgb="FFFFEB84"/>
        <color rgb="FF63BE7B"/>
      </colorScale>
    </cfRule>
  </conditionalFormatting>
  <conditionalFormatting sqref="F25">
    <cfRule type="colorScale" priority="10712">
      <colorScale>
        <cfvo type="min"/>
        <cfvo type="percentile" val="50"/>
        <cfvo type="max"/>
        <color rgb="FFF8696B"/>
        <color rgb="FFFFEB84"/>
        <color rgb="FF63BE7B"/>
      </colorScale>
    </cfRule>
  </conditionalFormatting>
  <conditionalFormatting sqref="F25">
    <cfRule type="colorScale" priority="10711">
      <colorScale>
        <cfvo type="min"/>
        <cfvo type="percentile" val="50"/>
        <cfvo type="max"/>
        <color rgb="FFF8696B"/>
        <color rgb="FFFFEB84"/>
        <color rgb="FF63BE7B"/>
      </colorScale>
    </cfRule>
  </conditionalFormatting>
  <conditionalFormatting sqref="F25">
    <cfRule type="colorScale" priority="10710">
      <colorScale>
        <cfvo type="min"/>
        <cfvo type="percentile" val="50"/>
        <cfvo type="max"/>
        <color rgb="FFF8696B"/>
        <color rgb="FFFFEB84"/>
        <color rgb="FF63BE7B"/>
      </colorScale>
    </cfRule>
  </conditionalFormatting>
  <conditionalFormatting sqref="F25">
    <cfRule type="colorScale" priority="10709">
      <colorScale>
        <cfvo type="min"/>
        <cfvo type="percentile" val="50"/>
        <cfvo type="max"/>
        <color rgb="FFF8696B"/>
        <color rgb="FFFFEB84"/>
        <color rgb="FF63BE7B"/>
      </colorScale>
    </cfRule>
  </conditionalFormatting>
  <conditionalFormatting sqref="F25">
    <cfRule type="colorScale" priority="10708">
      <colorScale>
        <cfvo type="min"/>
        <cfvo type="percentile" val="50"/>
        <cfvo type="max"/>
        <color rgb="FFF8696B"/>
        <color rgb="FFFFEB84"/>
        <color rgb="FF63BE7B"/>
      </colorScale>
    </cfRule>
  </conditionalFormatting>
  <conditionalFormatting sqref="F25">
    <cfRule type="colorScale" priority="10707">
      <colorScale>
        <cfvo type="min"/>
        <cfvo type="percentile" val="50"/>
        <cfvo type="max"/>
        <color rgb="FFF8696B"/>
        <color rgb="FFFFEB84"/>
        <color rgb="FF63BE7B"/>
      </colorScale>
    </cfRule>
  </conditionalFormatting>
  <conditionalFormatting sqref="F25">
    <cfRule type="colorScale" priority="10706">
      <colorScale>
        <cfvo type="min"/>
        <cfvo type="percentile" val="50"/>
        <cfvo type="max"/>
        <color rgb="FFF8696B"/>
        <color rgb="FFFFEB84"/>
        <color rgb="FF63BE7B"/>
      </colorScale>
    </cfRule>
  </conditionalFormatting>
  <conditionalFormatting sqref="F25">
    <cfRule type="colorScale" priority="10705">
      <colorScale>
        <cfvo type="min"/>
        <cfvo type="percentile" val="50"/>
        <cfvo type="max"/>
        <color rgb="FFF8696B"/>
        <color rgb="FFFFEB84"/>
        <color rgb="FF63BE7B"/>
      </colorScale>
    </cfRule>
  </conditionalFormatting>
  <conditionalFormatting sqref="F25">
    <cfRule type="colorScale" priority="10704">
      <colorScale>
        <cfvo type="min"/>
        <cfvo type="percentile" val="50"/>
        <cfvo type="max"/>
        <color rgb="FFF8696B"/>
        <color rgb="FFFFEB84"/>
        <color rgb="FF63BE7B"/>
      </colorScale>
    </cfRule>
  </conditionalFormatting>
  <conditionalFormatting sqref="F25">
    <cfRule type="colorScale" priority="10703">
      <colorScale>
        <cfvo type="min"/>
        <cfvo type="percentile" val="50"/>
        <cfvo type="max"/>
        <color rgb="FFF8696B"/>
        <color rgb="FFFFEB84"/>
        <color rgb="FF63BE7B"/>
      </colorScale>
    </cfRule>
  </conditionalFormatting>
  <conditionalFormatting sqref="F25">
    <cfRule type="colorScale" priority="10702">
      <colorScale>
        <cfvo type="min"/>
        <cfvo type="percentile" val="50"/>
        <cfvo type="max"/>
        <color rgb="FFF8696B"/>
        <color rgb="FFFFEB84"/>
        <color rgb="FF63BE7B"/>
      </colorScale>
    </cfRule>
  </conditionalFormatting>
  <conditionalFormatting sqref="F25">
    <cfRule type="colorScale" priority="10701">
      <colorScale>
        <cfvo type="min"/>
        <cfvo type="percentile" val="50"/>
        <cfvo type="max"/>
        <color rgb="FFF8696B"/>
        <color rgb="FFFFEB84"/>
        <color rgb="FF63BE7B"/>
      </colorScale>
    </cfRule>
  </conditionalFormatting>
  <conditionalFormatting sqref="F25">
    <cfRule type="colorScale" priority="10700">
      <colorScale>
        <cfvo type="min"/>
        <cfvo type="percentile" val="50"/>
        <cfvo type="max"/>
        <color rgb="FFF8696B"/>
        <color rgb="FFFFEB84"/>
        <color rgb="FF63BE7B"/>
      </colorScale>
    </cfRule>
  </conditionalFormatting>
  <conditionalFormatting sqref="F25">
    <cfRule type="colorScale" priority="10699">
      <colorScale>
        <cfvo type="min"/>
        <cfvo type="percentile" val="50"/>
        <cfvo type="max"/>
        <color rgb="FFF8696B"/>
        <color rgb="FFFFEB84"/>
        <color rgb="FF63BE7B"/>
      </colorScale>
    </cfRule>
  </conditionalFormatting>
  <conditionalFormatting sqref="F25">
    <cfRule type="colorScale" priority="10698">
      <colorScale>
        <cfvo type="min"/>
        <cfvo type="percentile" val="50"/>
        <cfvo type="max"/>
        <color rgb="FFF8696B"/>
        <color rgb="FFFFEB84"/>
        <color rgb="FF63BE7B"/>
      </colorScale>
    </cfRule>
  </conditionalFormatting>
  <conditionalFormatting sqref="F25">
    <cfRule type="colorScale" priority="10697">
      <colorScale>
        <cfvo type="min"/>
        <cfvo type="percentile" val="50"/>
        <cfvo type="max"/>
        <color rgb="FFF8696B"/>
        <color rgb="FFFFEB84"/>
        <color rgb="FF63BE7B"/>
      </colorScale>
    </cfRule>
  </conditionalFormatting>
  <conditionalFormatting sqref="F25">
    <cfRule type="colorScale" priority="10696">
      <colorScale>
        <cfvo type="min"/>
        <cfvo type="percentile" val="50"/>
        <cfvo type="max"/>
        <color rgb="FFF8696B"/>
        <color rgb="FFFFEB84"/>
        <color rgb="FF63BE7B"/>
      </colorScale>
    </cfRule>
  </conditionalFormatting>
  <conditionalFormatting sqref="F25">
    <cfRule type="colorScale" priority="10695">
      <colorScale>
        <cfvo type="min"/>
        <cfvo type="percentile" val="50"/>
        <cfvo type="max"/>
        <color rgb="FFF8696B"/>
        <color rgb="FFFFEB84"/>
        <color rgb="FF63BE7B"/>
      </colorScale>
    </cfRule>
  </conditionalFormatting>
  <conditionalFormatting sqref="F25">
    <cfRule type="colorScale" priority="10694">
      <colorScale>
        <cfvo type="min"/>
        <cfvo type="percentile" val="50"/>
        <cfvo type="max"/>
        <color rgb="FFF8696B"/>
        <color rgb="FFFFEB84"/>
        <color rgb="FF63BE7B"/>
      </colorScale>
    </cfRule>
  </conditionalFormatting>
  <conditionalFormatting sqref="F25">
    <cfRule type="colorScale" priority="10693">
      <colorScale>
        <cfvo type="min"/>
        <cfvo type="percentile" val="50"/>
        <cfvo type="max"/>
        <color rgb="FFF8696B"/>
        <color rgb="FFFFEB84"/>
        <color rgb="FF63BE7B"/>
      </colorScale>
    </cfRule>
  </conditionalFormatting>
  <conditionalFormatting sqref="F25">
    <cfRule type="colorScale" priority="10692">
      <colorScale>
        <cfvo type="min"/>
        <cfvo type="percentile" val="50"/>
        <cfvo type="max"/>
        <color rgb="FFF8696B"/>
        <color rgb="FFFFEB84"/>
        <color rgb="FF63BE7B"/>
      </colorScale>
    </cfRule>
  </conditionalFormatting>
  <conditionalFormatting sqref="F25">
    <cfRule type="colorScale" priority="10691">
      <colorScale>
        <cfvo type="min"/>
        <cfvo type="percentile" val="50"/>
        <cfvo type="max"/>
        <color rgb="FFF8696B"/>
        <color rgb="FFFFEB84"/>
        <color rgb="FF63BE7B"/>
      </colorScale>
    </cfRule>
  </conditionalFormatting>
  <conditionalFormatting sqref="F25">
    <cfRule type="colorScale" priority="10690">
      <colorScale>
        <cfvo type="min"/>
        <cfvo type="percentile" val="50"/>
        <cfvo type="max"/>
        <color rgb="FFF8696B"/>
        <color rgb="FFFFEB84"/>
        <color rgb="FF63BE7B"/>
      </colorScale>
    </cfRule>
  </conditionalFormatting>
  <conditionalFormatting sqref="F25">
    <cfRule type="colorScale" priority="10689">
      <colorScale>
        <cfvo type="min"/>
        <cfvo type="percentile" val="50"/>
        <cfvo type="max"/>
        <color rgb="FFF8696B"/>
        <color rgb="FFFFEB84"/>
        <color rgb="FF63BE7B"/>
      </colorScale>
    </cfRule>
  </conditionalFormatting>
  <conditionalFormatting sqref="F25">
    <cfRule type="colorScale" priority="10688">
      <colorScale>
        <cfvo type="min"/>
        <cfvo type="percentile" val="50"/>
        <cfvo type="max"/>
        <color rgb="FFF8696B"/>
        <color rgb="FFFFEB84"/>
        <color rgb="FF63BE7B"/>
      </colorScale>
    </cfRule>
  </conditionalFormatting>
  <conditionalFormatting sqref="F25">
    <cfRule type="colorScale" priority="10687">
      <colorScale>
        <cfvo type="min"/>
        <cfvo type="percentile" val="50"/>
        <cfvo type="max"/>
        <color rgb="FFF8696B"/>
        <color rgb="FFFFEB84"/>
        <color rgb="FF63BE7B"/>
      </colorScale>
    </cfRule>
  </conditionalFormatting>
  <conditionalFormatting sqref="F25">
    <cfRule type="colorScale" priority="10686">
      <colorScale>
        <cfvo type="min"/>
        <cfvo type="percentile" val="50"/>
        <cfvo type="max"/>
        <color rgb="FFF8696B"/>
        <color rgb="FFFFEB84"/>
        <color rgb="FF63BE7B"/>
      </colorScale>
    </cfRule>
  </conditionalFormatting>
  <conditionalFormatting sqref="F25">
    <cfRule type="colorScale" priority="10685">
      <colorScale>
        <cfvo type="min"/>
        <cfvo type="percentile" val="50"/>
        <cfvo type="max"/>
        <color rgb="FFF8696B"/>
        <color rgb="FFFFEB84"/>
        <color rgb="FF63BE7B"/>
      </colorScale>
    </cfRule>
  </conditionalFormatting>
  <conditionalFormatting sqref="F25">
    <cfRule type="colorScale" priority="10684">
      <colorScale>
        <cfvo type="min"/>
        <cfvo type="percentile" val="50"/>
        <cfvo type="max"/>
        <color rgb="FFF8696B"/>
        <color rgb="FFFFEB84"/>
        <color rgb="FF63BE7B"/>
      </colorScale>
    </cfRule>
  </conditionalFormatting>
  <conditionalFormatting sqref="F25">
    <cfRule type="colorScale" priority="10683">
      <colorScale>
        <cfvo type="min"/>
        <cfvo type="percentile" val="50"/>
        <cfvo type="max"/>
        <color rgb="FFF8696B"/>
        <color rgb="FFFFEB84"/>
        <color rgb="FF63BE7B"/>
      </colorScale>
    </cfRule>
  </conditionalFormatting>
  <conditionalFormatting sqref="F25">
    <cfRule type="colorScale" priority="10682">
      <colorScale>
        <cfvo type="min"/>
        <cfvo type="percentile" val="50"/>
        <cfvo type="max"/>
        <color rgb="FFF8696B"/>
        <color rgb="FFFFEB84"/>
        <color rgb="FF63BE7B"/>
      </colorScale>
    </cfRule>
  </conditionalFormatting>
  <conditionalFormatting sqref="F25">
    <cfRule type="colorScale" priority="10681">
      <colorScale>
        <cfvo type="min"/>
        <cfvo type="percentile" val="50"/>
        <cfvo type="max"/>
        <color rgb="FFF8696B"/>
        <color rgb="FFFFEB84"/>
        <color rgb="FF63BE7B"/>
      </colorScale>
    </cfRule>
  </conditionalFormatting>
  <conditionalFormatting sqref="F25">
    <cfRule type="colorScale" priority="10680">
      <colorScale>
        <cfvo type="min"/>
        <cfvo type="percentile" val="50"/>
        <cfvo type="max"/>
        <color rgb="FFF8696B"/>
        <color rgb="FFFFEB84"/>
        <color rgb="FF63BE7B"/>
      </colorScale>
    </cfRule>
  </conditionalFormatting>
  <conditionalFormatting sqref="F25">
    <cfRule type="colorScale" priority="10679">
      <colorScale>
        <cfvo type="min"/>
        <cfvo type="percentile" val="50"/>
        <cfvo type="max"/>
        <color rgb="FFF8696B"/>
        <color rgb="FFFFEB84"/>
        <color rgb="FF63BE7B"/>
      </colorScale>
    </cfRule>
  </conditionalFormatting>
  <conditionalFormatting sqref="F25">
    <cfRule type="colorScale" priority="10678">
      <colorScale>
        <cfvo type="min"/>
        <cfvo type="percentile" val="50"/>
        <cfvo type="max"/>
        <color rgb="FFF8696B"/>
        <color rgb="FFFFEB84"/>
        <color rgb="FF63BE7B"/>
      </colorScale>
    </cfRule>
  </conditionalFormatting>
  <conditionalFormatting sqref="F25">
    <cfRule type="colorScale" priority="10677">
      <colorScale>
        <cfvo type="min"/>
        <cfvo type="percentile" val="50"/>
        <cfvo type="max"/>
        <color rgb="FFF8696B"/>
        <color rgb="FFFFEB84"/>
        <color rgb="FF63BE7B"/>
      </colorScale>
    </cfRule>
  </conditionalFormatting>
  <conditionalFormatting sqref="F25">
    <cfRule type="colorScale" priority="10676">
      <colorScale>
        <cfvo type="min"/>
        <cfvo type="percentile" val="50"/>
        <cfvo type="max"/>
        <color rgb="FFF8696B"/>
        <color rgb="FFFFEB84"/>
        <color rgb="FF63BE7B"/>
      </colorScale>
    </cfRule>
  </conditionalFormatting>
  <conditionalFormatting sqref="F25">
    <cfRule type="colorScale" priority="10675">
      <colorScale>
        <cfvo type="min"/>
        <cfvo type="percentile" val="50"/>
        <cfvo type="max"/>
        <color rgb="FFF8696B"/>
        <color rgb="FFFFEB84"/>
        <color rgb="FF63BE7B"/>
      </colorScale>
    </cfRule>
  </conditionalFormatting>
  <conditionalFormatting sqref="F25">
    <cfRule type="colorScale" priority="10674">
      <colorScale>
        <cfvo type="min"/>
        <cfvo type="percentile" val="50"/>
        <cfvo type="max"/>
        <color rgb="FFF8696B"/>
        <color rgb="FFFFEB84"/>
        <color rgb="FF63BE7B"/>
      </colorScale>
    </cfRule>
  </conditionalFormatting>
  <conditionalFormatting sqref="F25">
    <cfRule type="colorScale" priority="10673">
      <colorScale>
        <cfvo type="min"/>
        <cfvo type="percentile" val="50"/>
        <cfvo type="max"/>
        <color rgb="FFF8696B"/>
        <color rgb="FFFFEB84"/>
        <color rgb="FF63BE7B"/>
      </colorScale>
    </cfRule>
  </conditionalFormatting>
  <conditionalFormatting sqref="F25">
    <cfRule type="colorScale" priority="10672">
      <colorScale>
        <cfvo type="min"/>
        <cfvo type="percentile" val="50"/>
        <cfvo type="max"/>
        <color rgb="FFF8696B"/>
        <color rgb="FFFFEB84"/>
        <color rgb="FF63BE7B"/>
      </colorScale>
    </cfRule>
  </conditionalFormatting>
  <conditionalFormatting sqref="F25">
    <cfRule type="colorScale" priority="10671">
      <colorScale>
        <cfvo type="min"/>
        <cfvo type="percentile" val="50"/>
        <cfvo type="max"/>
        <color rgb="FFF8696B"/>
        <color rgb="FFFFEB84"/>
        <color rgb="FF63BE7B"/>
      </colorScale>
    </cfRule>
  </conditionalFormatting>
  <conditionalFormatting sqref="F25">
    <cfRule type="colorScale" priority="10670">
      <colorScale>
        <cfvo type="min"/>
        <cfvo type="percentile" val="50"/>
        <cfvo type="max"/>
        <color rgb="FFF8696B"/>
        <color rgb="FFFFEB84"/>
        <color rgb="FF63BE7B"/>
      </colorScale>
    </cfRule>
  </conditionalFormatting>
  <conditionalFormatting sqref="F25">
    <cfRule type="colorScale" priority="10669">
      <colorScale>
        <cfvo type="min"/>
        <cfvo type="percentile" val="50"/>
        <cfvo type="max"/>
        <color rgb="FFF8696B"/>
        <color rgb="FFFFEB84"/>
        <color rgb="FF63BE7B"/>
      </colorScale>
    </cfRule>
  </conditionalFormatting>
  <conditionalFormatting sqref="F25">
    <cfRule type="colorScale" priority="10668">
      <colorScale>
        <cfvo type="min"/>
        <cfvo type="percentile" val="50"/>
        <cfvo type="max"/>
        <color rgb="FFF8696B"/>
        <color rgb="FFFFEB84"/>
        <color rgb="FF63BE7B"/>
      </colorScale>
    </cfRule>
  </conditionalFormatting>
  <conditionalFormatting sqref="F25">
    <cfRule type="colorScale" priority="10667">
      <colorScale>
        <cfvo type="min"/>
        <cfvo type="percentile" val="50"/>
        <cfvo type="max"/>
        <color rgb="FFF8696B"/>
        <color rgb="FFFFEB84"/>
        <color rgb="FF63BE7B"/>
      </colorScale>
    </cfRule>
  </conditionalFormatting>
  <conditionalFormatting sqref="F25">
    <cfRule type="colorScale" priority="10666">
      <colorScale>
        <cfvo type="min"/>
        <cfvo type="percentile" val="50"/>
        <cfvo type="max"/>
        <color rgb="FFF8696B"/>
        <color rgb="FFFFEB84"/>
        <color rgb="FF63BE7B"/>
      </colorScale>
    </cfRule>
  </conditionalFormatting>
  <conditionalFormatting sqref="F25">
    <cfRule type="colorScale" priority="10665">
      <colorScale>
        <cfvo type="min"/>
        <cfvo type="percentile" val="50"/>
        <cfvo type="max"/>
        <color rgb="FFF8696B"/>
        <color rgb="FFFFEB84"/>
        <color rgb="FF63BE7B"/>
      </colorScale>
    </cfRule>
  </conditionalFormatting>
  <conditionalFormatting sqref="F25">
    <cfRule type="colorScale" priority="10664">
      <colorScale>
        <cfvo type="min"/>
        <cfvo type="percentile" val="50"/>
        <cfvo type="max"/>
        <color rgb="FFF8696B"/>
        <color rgb="FFFFEB84"/>
        <color rgb="FF63BE7B"/>
      </colorScale>
    </cfRule>
  </conditionalFormatting>
  <conditionalFormatting sqref="F25">
    <cfRule type="colorScale" priority="10663">
      <colorScale>
        <cfvo type="min"/>
        <cfvo type="percentile" val="50"/>
        <cfvo type="max"/>
        <color rgb="FFF8696B"/>
        <color rgb="FFFFEB84"/>
        <color rgb="FF63BE7B"/>
      </colorScale>
    </cfRule>
  </conditionalFormatting>
  <conditionalFormatting sqref="F25">
    <cfRule type="colorScale" priority="10662">
      <colorScale>
        <cfvo type="min"/>
        <cfvo type="percentile" val="50"/>
        <cfvo type="max"/>
        <color rgb="FFF8696B"/>
        <color rgb="FFFFEB84"/>
        <color rgb="FF63BE7B"/>
      </colorScale>
    </cfRule>
  </conditionalFormatting>
  <conditionalFormatting sqref="F25">
    <cfRule type="colorScale" priority="10661">
      <colorScale>
        <cfvo type="min"/>
        <cfvo type="percentile" val="50"/>
        <cfvo type="max"/>
        <color rgb="FFF8696B"/>
        <color rgb="FFFFEB84"/>
        <color rgb="FF63BE7B"/>
      </colorScale>
    </cfRule>
  </conditionalFormatting>
  <conditionalFormatting sqref="F25">
    <cfRule type="colorScale" priority="10660">
      <colorScale>
        <cfvo type="min"/>
        <cfvo type="percentile" val="50"/>
        <cfvo type="max"/>
        <color rgb="FFF8696B"/>
        <color rgb="FFFFEB84"/>
        <color rgb="FF63BE7B"/>
      </colorScale>
    </cfRule>
  </conditionalFormatting>
  <conditionalFormatting sqref="F25">
    <cfRule type="colorScale" priority="10659">
      <colorScale>
        <cfvo type="min"/>
        <cfvo type="percentile" val="50"/>
        <cfvo type="max"/>
        <color rgb="FFF8696B"/>
        <color rgb="FFFFEB84"/>
        <color rgb="FF63BE7B"/>
      </colorScale>
    </cfRule>
  </conditionalFormatting>
  <conditionalFormatting sqref="F25">
    <cfRule type="colorScale" priority="10658">
      <colorScale>
        <cfvo type="min"/>
        <cfvo type="percentile" val="50"/>
        <cfvo type="max"/>
        <color rgb="FFF8696B"/>
        <color rgb="FFFFEB84"/>
        <color rgb="FF63BE7B"/>
      </colorScale>
    </cfRule>
  </conditionalFormatting>
  <conditionalFormatting sqref="F25">
    <cfRule type="colorScale" priority="10657">
      <colorScale>
        <cfvo type="min"/>
        <cfvo type="percentile" val="50"/>
        <cfvo type="max"/>
        <color rgb="FFF8696B"/>
        <color rgb="FFFFEB84"/>
        <color rgb="FF63BE7B"/>
      </colorScale>
    </cfRule>
  </conditionalFormatting>
  <conditionalFormatting sqref="F25">
    <cfRule type="colorScale" priority="10656">
      <colorScale>
        <cfvo type="min"/>
        <cfvo type="percentile" val="50"/>
        <cfvo type="max"/>
        <color rgb="FFF8696B"/>
        <color rgb="FFFFEB84"/>
        <color rgb="FF63BE7B"/>
      </colorScale>
    </cfRule>
  </conditionalFormatting>
  <conditionalFormatting sqref="F25">
    <cfRule type="colorScale" priority="10655">
      <colorScale>
        <cfvo type="min"/>
        <cfvo type="percentile" val="50"/>
        <cfvo type="max"/>
        <color rgb="FFF8696B"/>
        <color rgb="FFFFEB84"/>
        <color rgb="FF63BE7B"/>
      </colorScale>
    </cfRule>
  </conditionalFormatting>
  <conditionalFormatting sqref="F25">
    <cfRule type="colorScale" priority="10654">
      <colorScale>
        <cfvo type="min"/>
        <cfvo type="percentile" val="50"/>
        <cfvo type="max"/>
        <color rgb="FFF8696B"/>
        <color rgb="FFFFEB84"/>
        <color rgb="FF63BE7B"/>
      </colorScale>
    </cfRule>
  </conditionalFormatting>
  <conditionalFormatting sqref="F25">
    <cfRule type="colorScale" priority="10653">
      <colorScale>
        <cfvo type="min"/>
        <cfvo type="percentile" val="50"/>
        <cfvo type="max"/>
        <color rgb="FFF8696B"/>
        <color rgb="FFFFEB84"/>
        <color rgb="FF63BE7B"/>
      </colorScale>
    </cfRule>
  </conditionalFormatting>
  <conditionalFormatting sqref="F25">
    <cfRule type="colorScale" priority="10652">
      <colorScale>
        <cfvo type="min"/>
        <cfvo type="percentile" val="50"/>
        <cfvo type="max"/>
        <color rgb="FFF8696B"/>
        <color rgb="FFFFEB84"/>
        <color rgb="FF63BE7B"/>
      </colorScale>
    </cfRule>
  </conditionalFormatting>
  <conditionalFormatting sqref="F25">
    <cfRule type="colorScale" priority="10651">
      <colorScale>
        <cfvo type="min"/>
        <cfvo type="percentile" val="50"/>
        <cfvo type="max"/>
        <color rgb="FFF8696B"/>
        <color rgb="FFFFEB84"/>
        <color rgb="FF63BE7B"/>
      </colorScale>
    </cfRule>
  </conditionalFormatting>
  <conditionalFormatting sqref="F25">
    <cfRule type="colorScale" priority="10650">
      <colorScale>
        <cfvo type="min"/>
        <cfvo type="percentile" val="50"/>
        <cfvo type="max"/>
        <color rgb="FFF8696B"/>
        <color rgb="FFFFEB84"/>
        <color rgb="FF63BE7B"/>
      </colorScale>
    </cfRule>
  </conditionalFormatting>
  <conditionalFormatting sqref="F25">
    <cfRule type="colorScale" priority="10649">
      <colorScale>
        <cfvo type="min"/>
        <cfvo type="percentile" val="50"/>
        <cfvo type="max"/>
        <color rgb="FFF8696B"/>
        <color rgb="FFFFEB84"/>
        <color rgb="FF63BE7B"/>
      </colorScale>
    </cfRule>
  </conditionalFormatting>
  <conditionalFormatting sqref="F25">
    <cfRule type="colorScale" priority="10648">
      <colorScale>
        <cfvo type="min"/>
        <cfvo type="percentile" val="50"/>
        <cfvo type="max"/>
        <color rgb="FFF8696B"/>
        <color rgb="FFFFEB84"/>
        <color rgb="FF63BE7B"/>
      </colorScale>
    </cfRule>
  </conditionalFormatting>
  <conditionalFormatting sqref="F25">
    <cfRule type="colorScale" priority="10647">
      <colorScale>
        <cfvo type="min"/>
        <cfvo type="percentile" val="50"/>
        <cfvo type="max"/>
        <color rgb="FFF8696B"/>
        <color rgb="FFFFEB84"/>
        <color rgb="FF63BE7B"/>
      </colorScale>
    </cfRule>
  </conditionalFormatting>
  <conditionalFormatting sqref="F25">
    <cfRule type="colorScale" priority="10646">
      <colorScale>
        <cfvo type="min"/>
        <cfvo type="percentile" val="50"/>
        <cfvo type="max"/>
        <color rgb="FFF8696B"/>
        <color rgb="FFFFEB84"/>
        <color rgb="FF63BE7B"/>
      </colorScale>
    </cfRule>
  </conditionalFormatting>
  <conditionalFormatting sqref="F25">
    <cfRule type="colorScale" priority="10645">
      <colorScale>
        <cfvo type="min"/>
        <cfvo type="percentile" val="50"/>
        <cfvo type="max"/>
        <color rgb="FFF8696B"/>
        <color rgb="FFFFEB84"/>
        <color rgb="FF63BE7B"/>
      </colorScale>
    </cfRule>
  </conditionalFormatting>
  <conditionalFormatting sqref="F25">
    <cfRule type="colorScale" priority="10644">
      <colorScale>
        <cfvo type="min"/>
        <cfvo type="percentile" val="50"/>
        <cfvo type="max"/>
        <color rgb="FFF8696B"/>
        <color rgb="FFFFEB84"/>
        <color rgb="FF63BE7B"/>
      </colorScale>
    </cfRule>
  </conditionalFormatting>
  <conditionalFormatting sqref="F25">
    <cfRule type="colorScale" priority="10643">
      <colorScale>
        <cfvo type="min"/>
        <cfvo type="percentile" val="50"/>
        <cfvo type="max"/>
        <color rgb="FFF8696B"/>
        <color rgb="FFFFEB84"/>
        <color rgb="FF63BE7B"/>
      </colorScale>
    </cfRule>
  </conditionalFormatting>
  <conditionalFormatting sqref="F25">
    <cfRule type="colorScale" priority="10642">
      <colorScale>
        <cfvo type="min"/>
        <cfvo type="percentile" val="50"/>
        <cfvo type="max"/>
        <color rgb="FFF8696B"/>
        <color rgb="FFFFEB84"/>
        <color rgb="FF63BE7B"/>
      </colorScale>
    </cfRule>
  </conditionalFormatting>
  <conditionalFormatting sqref="F25">
    <cfRule type="colorScale" priority="10641">
      <colorScale>
        <cfvo type="min"/>
        <cfvo type="percentile" val="50"/>
        <cfvo type="max"/>
        <color rgb="FFF8696B"/>
        <color rgb="FFFFEB84"/>
        <color rgb="FF63BE7B"/>
      </colorScale>
    </cfRule>
  </conditionalFormatting>
  <conditionalFormatting sqref="F25">
    <cfRule type="colorScale" priority="10640">
      <colorScale>
        <cfvo type="min"/>
        <cfvo type="percentile" val="50"/>
        <cfvo type="max"/>
        <color rgb="FFF8696B"/>
        <color rgb="FFFFEB84"/>
        <color rgb="FF63BE7B"/>
      </colorScale>
    </cfRule>
  </conditionalFormatting>
  <conditionalFormatting sqref="F25">
    <cfRule type="colorScale" priority="10639">
      <colorScale>
        <cfvo type="min"/>
        <cfvo type="percentile" val="50"/>
        <cfvo type="max"/>
        <color rgb="FFF8696B"/>
        <color rgb="FFFFEB84"/>
        <color rgb="FF63BE7B"/>
      </colorScale>
    </cfRule>
  </conditionalFormatting>
  <conditionalFormatting sqref="F25">
    <cfRule type="colorScale" priority="10638">
      <colorScale>
        <cfvo type="min"/>
        <cfvo type="percentile" val="50"/>
        <cfvo type="max"/>
        <color rgb="FFF8696B"/>
        <color rgb="FFFFEB84"/>
        <color rgb="FF63BE7B"/>
      </colorScale>
    </cfRule>
  </conditionalFormatting>
  <conditionalFormatting sqref="F25">
    <cfRule type="colorScale" priority="10637">
      <colorScale>
        <cfvo type="min"/>
        <cfvo type="percentile" val="50"/>
        <cfvo type="max"/>
        <color rgb="FFF8696B"/>
        <color rgb="FFFFEB84"/>
        <color rgb="FF63BE7B"/>
      </colorScale>
    </cfRule>
  </conditionalFormatting>
  <conditionalFormatting sqref="F25">
    <cfRule type="colorScale" priority="10636">
      <colorScale>
        <cfvo type="min"/>
        <cfvo type="percentile" val="50"/>
        <cfvo type="max"/>
        <color rgb="FFF8696B"/>
        <color rgb="FFFFEB84"/>
        <color rgb="FF63BE7B"/>
      </colorScale>
    </cfRule>
  </conditionalFormatting>
  <conditionalFormatting sqref="F25">
    <cfRule type="colorScale" priority="10635">
      <colorScale>
        <cfvo type="min"/>
        <cfvo type="percentile" val="50"/>
        <cfvo type="max"/>
        <color rgb="FFF8696B"/>
        <color rgb="FFFFEB84"/>
        <color rgb="FF63BE7B"/>
      </colorScale>
    </cfRule>
  </conditionalFormatting>
  <conditionalFormatting sqref="F25">
    <cfRule type="colorScale" priority="10634">
      <colorScale>
        <cfvo type="min"/>
        <cfvo type="percentile" val="50"/>
        <cfvo type="max"/>
        <color rgb="FFF8696B"/>
        <color rgb="FFFFEB84"/>
        <color rgb="FF63BE7B"/>
      </colorScale>
    </cfRule>
  </conditionalFormatting>
  <conditionalFormatting sqref="F25">
    <cfRule type="colorScale" priority="10633">
      <colorScale>
        <cfvo type="min"/>
        <cfvo type="percentile" val="50"/>
        <cfvo type="max"/>
        <color rgb="FFF8696B"/>
        <color rgb="FFFFEB84"/>
        <color rgb="FF63BE7B"/>
      </colorScale>
    </cfRule>
  </conditionalFormatting>
  <conditionalFormatting sqref="F25">
    <cfRule type="colorScale" priority="10632">
      <colorScale>
        <cfvo type="min"/>
        <cfvo type="percentile" val="50"/>
        <cfvo type="max"/>
        <color rgb="FFF8696B"/>
        <color rgb="FFFFEB84"/>
        <color rgb="FF63BE7B"/>
      </colorScale>
    </cfRule>
  </conditionalFormatting>
  <conditionalFormatting sqref="F25">
    <cfRule type="colorScale" priority="10631">
      <colorScale>
        <cfvo type="min"/>
        <cfvo type="percentile" val="50"/>
        <cfvo type="max"/>
        <color rgb="FFF8696B"/>
        <color rgb="FFFFEB84"/>
        <color rgb="FF63BE7B"/>
      </colorScale>
    </cfRule>
  </conditionalFormatting>
  <conditionalFormatting sqref="F25">
    <cfRule type="colorScale" priority="10630">
      <colorScale>
        <cfvo type="min"/>
        <cfvo type="percentile" val="50"/>
        <cfvo type="max"/>
        <color rgb="FFF8696B"/>
        <color rgb="FFFFEB84"/>
        <color rgb="FF63BE7B"/>
      </colorScale>
    </cfRule>
  </conditionalFormatting>
  <conditionalFormatting sqref="F25">
    <cfRule type="colorScale" priority="10629">
      <colorScale>
        <cfvo type="min"/>
        <cfvo type="percentile" val="50"/>
        <cfvo type="max"/>
        <color rgb="FFF8696B"/>
        <color rgb="FFFFEB84"/>
        <color rgb="FF63BE7B"/>
      </colorScale>
    </cfRule>
  </conditionalFormatting>
  <conditionalFormatting sqref="F25">
    <cfRule type="colorScale" priority="10628">
      <colorScale>
        <cfvo type="min"/>
        <cfvo type="percentile" val="50"/>
        <cfvo type="max"/>
        <color rgb="FFF8696B"/>
        <color rgb="FFFFEB84"/>
        <color rgb="FF63BE7B"/>
      </colorScale>
    </cfRule>
  </conditionalFormatting>
  <conditionalFormatting sqref="F25">
    <cfRule type="colorScale" priority="10627">
      <colorScale>
        <cfvo type="min"/>
        <cfvo type="percentile" val="50"/>
        <cfvo type="max"/>
        <color rgb="FFF8696B"/>
        <color rgb="FFFFEB84"/>
        <color rgb="FF63BE7B"/>
      </colorScale>
    </cfRule>
  </conditionalFormatting>
  <conditionalFormatting sqref="F25">
    <cfRule type="colorScale" priority="10626">
      <colorScale>
        <cfvo type="min"/>
        <cfvo type="percentile" val="50"/>
        <cfvo type="max"/>
        <color rgb="FFF8696B"/>
        <color rgb="FFFFEB84"/>
        <color rgb="FF63BE7B"/>
      </colorScale>
    </cfRule>
  </conditionalFormatting>
  <conditionalFormatting sqref="F25">
    <cfRule type="colorScale" priority="10625">
      <colorScale>
        <cfvo type="min"/>
        <cfvo type="percentile" val="50"/>
        <cfvo type="max"/>
        <color rgb="FFF8696B"/>
        <color rgb="FFFFEB84"/>
        <color rgb="FF63BE7B"/>
      </colorScale>
    </cfRule>
  </conditionalFormatting>
  <conditionalFormatting sqref="F25">
    <cfRule type="colorScale" priority="10624">
      <colorScale>
        <cfvo type="min"/>
        <cfvo type="percentile" val="50"/>
        <cfvo type="max"/>
        <color rgb="FFF8696B"/>
        <color rgb="FFFFEB84"/>
        <color rgb="FF63BE7B"/>
      </colorScale>
    </cfRule>
  </conditionalFormatting>
  <conditionalFormatting sqref="F25">
    <cfRule type="colorScale" priority="10623">
      <colorScale>
        <cfvo type="min"/>
        <cfvo type="percentile" val="50"/>
        <cfvo type="max"/>
        <color rgb="FFF8696B"/>
        <color rgb="FFFFEB84"/>
        <color rgb="FF63BE7B"/>
      </colorScale>
    </cfRule>
  </conditionalFormatting>
  <conditionalFormatting sqref="F25">
    <cfRule type="colorScale" priority="10622">
      <colorScale>
        <cfvo type="min"/>
        <cfvo type="percentile" val="50"/>
        <cfvo type="max"/>
        <color rgb="FFF8696B"/>
        <color rgb="FFFFEB84"/>
        <color rgb="FF63BE7B"/>
      </colorScale>
    </cfRule>
  </conditionalFormatting>
  <conditionalFormatting sqref="F25">
    <cfRule type="colorScale" priority="10621">
      <colorScale>
        <cfvo type="min"/>
        <cfvo type="percentile" val="50"/>
        <cfvo type="max"/>
        <color rgb="FFF8696B"/>
        <color rgb="FFFFEB84"/>
        <color rgb="FF63BE7B"/>
      </colorScale>
    </cfRule>
  </conditionalFormatting>
  <conditionalFormatting sqref="F25">
    <cfRule type="colorScale" priority="10620">
      <colorScale>
        <cfvo type="min"/>
        <cfvo type="percentile" val="50"/>
        <cfvo type="max"/>
        <color rgb="FFF8696B"/>
        <color rgb="FFFFEB84"/>
        <color rgb="FF63BE7B"/>
      </colorScale>
    </cfRule>
  </conditionalFormatting>
  <conditionalFormatting sqref="F25">
    <cfRule type="colorScale" priority="10619">
      <colorScale>
        <cfvo type="min"/>
        <cfvo type="percentile" val="50"/>
        <cfvo type="max"/>
        <color rgb="FFF8696B"/>
        <color rgb="FFFFEB84"/>
        <color rgb="FF63BE7B"/>
      </colorScale>
    </cfRule>
  </conditionalFormatting>
  <conditionalFormatting sqref="F25">
    <cfRule type="colorScale" priority="10618">
      <colorScale>
        <cfvo type="min"/>
        <cfvo type="percentile" val="50"/>
        <cfvo type="max"/>
        <color rgb="FFF8696B"/>
        <color rgb="FFFFEB84"/>
        <color rgb="FF63BE7B"/>
      </colorScale>
    </cfRule>
  </conditionalFormatting>
  <conditionalFormatting sqref="F25">
    <cfRule type="colorScale" priority="10617">
      <colorScale>
        <cfvo type="min"/>
        <cfvo type="percentile" val="50"/>
        <cfvo type="max"/>
        <color rgb="FFF8696B"/>
        <color rgb="FFFFEB84"/>
        <color rgb="FF63BE7B"/>
      </colorScale>
    </cfRule>
  </conditionalFormatting>
  <conditionalFormatting sqref="F25">
    <cfRule type="colorScale" priority="10616">
      <colorScale>
        <cfvo type="min"/>
        <cfvo type="percentile" val="50"/>
        <cfvo type="max"/>
        <color rgb="FFF8696B"/>
        <color rgb="FFFFEB84"/>
        <color rgb="FF63BE7B"/>
      </colorScale>
    </cfRule>
  </conditionalFormatting>
  <conditionalFormatting sqref="F25">
    <cfRule type="colorScale" priority="10615">
      <colorScale>
        <cfvo type="min"/>
        <cfvo type="percentile" val="50"/>
        <cfvo type="max"/>
        <color rgb="FFF8696B"/>
        <color rgb="FFFFEB84"/>
        <color rgb="FF63BE7B"/>
      </colorScale>
    </cfRule>
  </conditionalFormatting>
  <conditionalFormatting sqref="F25">
    <cfRule type="colorScale" priority="10614">
      <colorScale>
        <cfvo type="min"/>
        <cfvo type="percentile" val="50"/>
        <cfvo type="max"/>
        <color rgb="FFF8696B"/>
        <color rgb="FFFFEB84"/>
        <color rgb="FF63BE7B"/>
      </colorScale>
    </cfRule>
  </conditionalFormatting>
  <conditionalFormatting sqref="F25">
    <cfRule type="colorScale" priority="10613">
      <colorScale>
        <cfvo type="min"/>
        <cfvo type="percentile" val="50"/>
        <cfvo type="max"/>
        <color rgb="FFF8696B"/>
        <color rgb="FFFFEB84"/>
        <color rgb="FF63BE7B"/>
      </colorScale>
    </cfRule>
  </conditionalFormatting>
  <conditionalFormatting sqref="F25">
    <cfRule type="colorScale" priority="10612">
      <colorScale>
        <cfvo type="min"/>
        <cfvo type="percentile" val="50"/>
        <cfvo type="max"/>
        <color rgb="FFF8696B"/>
        <color rgb="FFFFEB84"/>
        <color rgb="FF63BE7B"/>
      </colorScale>
    </cfRule>
  </conditionalFormatting>
  <conditionalFormatting sqref="F25">
    <cfRule type="colorScale" priority="10611">
      <colorScale>
        <cfvo type="min"/>
        <cfvo type="percentile" val="50"/>
        <cfvo type="max"/>
        <color rgb="FFF8696B"/>
        <color rgb="FFFFEB84"/>
        <color rgb="FF63BE7B"/>
      </colorScale>
    </cfRule>
  </conditionalFormatting>
  <conditionalFormatting sqref="F25">
    <cfRule type="colorScale" priority="10610">
      <colorScale>
        <cfvo type="min"/>
        <cfvo type="percentile" val="50"/>
        <cfvo type="max"/>
        <color rgb="FFF8696B"/>
        <color rgb="FFFFEB84"/>
        <color rgb="FF63BE7B"/>
      </colorScale>
    </cfRule>
  </conditionalFormatting>
  <conditionalFormatting sqref="F25">
    <cfRule type="colorScale" priority="10609">
      <colorScale>
        <cfvo type="min"/>
        <cfvo type="percentile" val="50"/>
        <cfvo type="max"/>
        <color rgb="FFF8696B"/>
        <color rgb="FFFFEB84"/>
        <color rgb="FF63BE7B"/>
      </colorScale>
    </cfRule>
  </conditionalFormatting>
  <conditionalFormatting sqref="F25">
    <cfRule type="colorScale" priority="10608">
      <colorScale>
        <cfvo type="min"/>
        <cfvo type="percentile" val="50"/>
        <cfvo type="max"/>
        <color rgb="FFF8696B"/>
        <color rgb="FFFFEB84"/>
        <color rgb="FF63BE7B"/>
      </colorScale>
    </cfRule>
  </conditionalFormatting>
  <conditionalFormatting sqref="F25">
    <cfRule type="colorScale" priority="10607">
      <colorScale>
        <cfvo type="min"/>
        <cfvo type="percentile" val="50"/>
        <cfvo type="max"/>
        <color rgb="FFF8696B"/>
        <color rgb="FFFFEB84"/>
        <color rgb="FF63BE7B"/>
      </colorScale>
    </cfRule>
  </conditionalFormatting>
  <conditionalFormatting sqref="F25">
    <cfRule type="colorScale" priority="10606">
      <colorScale>
        <cfvo type="min"/>
        <cfvo type="percentile" val="50"/>
        <cfvo type="max"/>
        <color rgb="FFF8696B"/>
        <color rgb="FFFFEB84"/>
        <color rgb="FF63BE7B"/>
      </colorScale>
    </cfRule>
  </conditionalFormatting>
  <conditionalFormatting sqref="F25">
    <cfRule type="colorScale" priority="10605">
      <colorScale>
        <cfvo type="min"/>
        <cfvo type="percentile" val="50"/>
        <cfvo type="max"/>
        <color rgb="FFF8696B"/>
        <color rgb="FFFFEB84"/>
        <color rgb="FF63BE7B"/>
      </colorScale>
    </cfRule>
  </conditionalFormatting>
  <conditionalFormatting sqref="F25">
    <cfRule type="colorScale" priority="10604">
      <colorScale>
        <cfvo type="min"/>
        <cfvo type="percentile" val="50"/>
        <cfvo type="max"/>
        <color rgb="FFF8696B"/>
        <color rgb="FFFFEB84"/>
        <color rgb="FF63BE7B"/>
      </colorScale>
    </cfRule>
  </conditionalFormatting>
  <conditionalFormatting sqref="E25:E27 E10:F25">
    <cfRule type="colorScale" priority="10603">
      <colorScale>
        <cfvo type="min"/>
        <cfvo type="percentile" val="50"/>
        <cfvo type="max"/>
        <color rgb="FFF8696B"/>
        <color rgb="FFFFEB84"/>
        <color rgb="FF63BE7B"/>
      </colorScale>
    </cfRule>
  </conditionalFormatting>
  <conditionalFormatting sqref="E10:E27">
    <cfRule type="colorScale" priority="10602">
      <colorScale>
        <cfvo type="min"/>
        <cfvo type="percentile" val="50"/>
        <cfvo type="max"/>
        <color rgb="FFF8696B"/>
        <color rgb="FFFFEB84"/>
        <color rgb="FF63BE7B"/>
      </colorScale>
    </cfRule>
  </conditionalFormatting>
  <conditionalFormatting sqref="E10:E27">
    <cfRule type="colorScale" priority="10601">
      <colorScale>
        <cfvo type="min"/>
        <cfvo type="percentile" val="50"/>
        <cfvo type="max"/>
        <color rgb="FFF8696B"/>
        <color rgb="FFFFEB84"/>
        <color rgb="FF63BE7B"/>
      </colorScale>
    </cfRule>
  </conditionalFormatting>
  <conditionalFormatting sqref="E10:E27">
    <cfRule type="colorScale" priority="10600">
      <colorScale>
        <cfvo type="min"/>
        <cfvo type="percentile" val="50"/>
        <cfvo type="max"/>
        <color rgb="FFF8696B"/>
        <color rgb="FFFFEB84"/>
        <color rgb="FF63BE7B"/>
      </colorScale>
    </cfRule>
  </conditionalFormatting>
  <conditionalFormatting sqref="E10:E27">
    <cfRule type="colorScale" priority="10599">
      <colorScale>
        <cfvo type="min"/>
        <cfvo type="percentile" val="50"/>
        <cfvo type="max"/>
        <color rgb="FFF8696B"/>
        <color rgb="FFFFEB84"/>
        <color rgb="FF63BE7B"/>
      </colorScale>
    </cfRule>
  </conditionalFormatting>
  <conditionalFormatting sqref="E10:E27">
    <cfRule type="colorScale" priority="10598">
      <colorScale>
        <cfvo type="min"/>
        <cfvo type="percentile" val="50"/>
        <cfvo type="max"/>
        <color rgb="FFF8696B"/>
        <color rgb="FFFFEB84"/>
        <color rgb="FF63BE7B"/>
      </colorScale>
    </cfRule>
  </conditionalFormatting>
  <conditionalFormatting sqref="E10:E27">
    <cfRule type="colorScale" priority="10597">
      <colorScale>
        <cfvo type="min"/>
        <cfvo type="percentile" val="50"/>
        <cfvo type="max"/>
        <color rgb="FFF8696B"/>
        <color rgb="FFFFEB84"/>
        <color rgb="FF63BE7B"/>
      </colorScale>
    </cfRule>
  </conditionalFormatting>
  <conditionalFormatting sqref="E10:E27">
    <cfRule type="colorScale" priority="10596">
      <colorScale>
        <cfvo type="min"/>
        <cfvo type="percentile" val="50"/>
        <cfvo type="max"/>
        <color rgb="FFF8696B"/>
        <color rgb="FFFFEB84"/>
        <color rgb="FF63BE7B"/>
      </colorScale>
    </cfRule>
  </conditionalFormatting>
  <conditionalFormatting sqref="E10:E27">
    <cfRule type="colorScale" priority="10595">
      <colorScale>
        <cfvo type="min"/>
        <cfvo type="percentile" val="50"/>
        <cfvo type="max"/>
        <color rgb="FFF8696B"/>
        <color rgb="FFFFEB84"/>
        <color rgb="FF63BE7B"/>
      </colorScale>
    </cfRule>
  </conditionalFormatting>
  <conditionalFormatting sqref="E10:E27">
    <cfRule type="colorScale" priority="10594">
      <colorScale>
        <cfvo type="min"/>
        <cfvo type="percentile" val="50"/>
        <cfvo type="max"/>
        <color rgb="FFF8696B"/>
        <color rgb="FFFFEB84"/>
        <color rgb="FF63BE7B"/>
      </colorScale>
    </cfRule>
  </conditionalFormatting>
  <conditionalFormatting sqref="E10:E27">
    <cfRule type="colorScale" priority="10593">
      <colorScale>
        <cfvo type="min"/>
        <cfvo type="percentile" val="50"/>
        <cfvo type="max"/>
        <color rgb="FFF8696B"/>
        <color rgb="FFFFEB84"/>
        <color rgb="FF63BE7B"/>
      </colorScale>
    </cfRule>
  </conditionalFormatting>
  <conditionalFormatting sqref="E10:E27">
    <cfRule type="colorScale" priority="10592">
      <colorScale>
        <cfvo type="min"/>
        <cfvo type="percentile" val="50"/>
        <cfvo type="max"/>
        <color rgb="FFF8696B"/>
        <color rgb="FFFFEB84"/>
        <color rgb="FF63BE7B"/>
      </colorScale>
    </cfRule>
  </conditionalFormatting>
  <conditionalFormatting sqref="E10:E27">
    <cfRule type="colorScale" priority="10591">
      <colorScale>
        <cfvo type="min"/>
        <cfvo type="percentile" val="50"/>
        <cfvo type="max"/>
        <color rgb="FFF8696B"/>
        <color rgb="FFFFEB84"/>
        <color rgb="FF63BE7B"/>
      </colorScale>
    </cfRule>
  </conditionalFormatting>
  <conditionalFormatting sqref="E10:E27">
    <cfRule type="colorScale" priority="10590">
      <colorScale>
        <cfvo type="min"/>
        <cfvo type="percentile" val="50"/>
        <cfvo type="max"/>
        <color rgb="FFF8696B"/>
        <color rgb="FFFFEB84"/>
        <color rgb="FF63BE7B"/>
      </colorScale>
    </cfRule>
  </conditionalFormatting>
  <conditionalFormatting sqref="E10:E27">
    <cfRule type="colorScale" priority="10589">
      <colorScale>
        <cfvo type="min"/>
        <cfvo type="percentile" val="50"/>
        <cfvo type="max"/>
        <color rgb="FFF8696B"/>
        <color rgb="FFFFEB84"/>
        <color rgb="FF63BE7B"/>
      </colorScale>
    </cfRule>
  </conditionalFormatting>
  <conditionalFormatting sqref="E10:E27">
    <cfRule type="colorScale" priority="10588">
      <colorScale>
        <cfvo type="min"/>
        <cfvo type="percentile" val="50"/>
        <cfvo type="max"/>
        <color rgb="FFF8696B"/>
        <color rgb="FFFFEB84"/>
        <color rgb="FF63BE7B"/>
      </colorScale>
    </cfRule>
  </conditionalFormatting>
  <conditionalFormatting sqref="E10:E27">
    <cfRule type="colorScale" priority="10587">
      <colorScale>
        <cfvo type="min"/>
        <cfvo type="percentile" val="50"/>
        <cfvo type="max"/>
        <color rgb="FFF8696B"/>
        <color rgb="FFFFEB84"/>
        <color rgb="FF63BE7B"/>
      </colorScale>
    </cfRule>
  </conditionalFormatting>
  <conditionalFormatting sqref="E10:E27">
    <cfRule type="colorScale" priority="10586">
      <colorScale>
        <cfvo type="min"/>
        <cfvo type="percentile" val="50"/>
        <cfvo type="max"/>
        <color rgb="FFF8696B"/>
        <color rgb="FFFFEB84"/>
        <color rgb="FF63BE7B"/>
      </colorScale>
    </cfRule>
  </conditionalFormatting>
  <conditionalFormatting sqref="E10:E27">
    <cfRule type="colorScale" priority="10585">
      <colorScale>
        <cfvo type="min"/>
        <cfvo type="percentile" val="50"/>
        <cfvo type="max"/>
        <color rgb="FFF8696B"/>
        <color rgb="FFFFEB84"/>
        <color rgb="FF63BE7B"/>
      </colorScale>
    </cfRule>
  </conditionalFormatting>
  <conditionalFormatting sqref="E10:E27">
    <cfRule type="colorScale" priority="10584">
      <colorScale>
        <cfvo type="min"/>
        <cfvo type="percentile" val="50"/>
        <cfvo type="max"/>
        <color rgb="FFF8696B"/>
        <color rgb="FFFFEB84"/>
        <color rgb="FF63BE7B"/>
      </colorScale>
    </cfRule>
  </conditionalFormatting>
  <conditionalFormatting sqref="E10:E27">
    <cfRule type="colorScale" priority="10583">
      <colorScale>
        <cfvo type="min"/>
        <cfvo type="percentile" val="50"/>
        <cfvo type="max"/>
        <color rgb="FFF8696B"/>
        <color rgb="FFFFEB84"/>
        <color rgb="FF63BE7B"/>
      </colorScale>
    </cfRule>
  </conditionalFormatting>
  <conditionalFormatting sqref="E10:E27">
    <cfRule type="colorScale" priority="10582">
      <colorScale>
        <cfvo type="min"/>
        <cfvo type="percentile" val="50"/>
        <cfvo type="max"/>
        <color rgb="FFF8696B"/>
        <color rgb="FFFFEB84"/>
        <color rgb="FF63BE7B"/>
      </colorScale>
    </cfRule>
  </conditionalFormatting>
  <conditionalFormatting sqref="E10:E27">
    <cfRule type="colorScale" priority="10581">
      <colorScale>
        <cfvo type="min"/>
        <cfvo type="percentile" val="50"/>
        <cfvo type="max"/>
        <color rgb="FFF8696B"/>
        <color rgb="FFFFEB84"/>
        <color rgb="FF63BE7B"/>
      </colorScale>
    </cfRule>
  </conditionalFormatting>
  <conditionalFormatting sqref="E10:E27">
    <cfRule type="colorScale" priority="10580">
      <colorScale>
        <cfvo type="min"/>
        <cfvo type="percentile" val="50"/>
        <cfvo type="max"/>
        <color rgb="FFF8696B"/>
        <color rgb="FFFFEB84"/>
        <color rgb="FF63BE7B"/>
      </colorScale>
    </cfRule>
  </conditionalFormatting>
  <conditionalFormatting sqref="E10:E27">
    <cfRule type="colorScale" priority="10579">
      <colorScale>
        <cfvo type="min"/>
        <cfvo type="percentile" val="50"/>
        <cfvo type="max"/>
        <color rgb="FFF8696B"/>
        <color rgb="FFFFEB84"/>
        <color rgb="FF63BE7B"/>
      </colorScale>
    </cfRule>
  </conditionalFormatting>
  <conditionalFormatting sqref="E10:E27">
    <cfRule type="colorScale" priority="10578">
      <colorScale>
        <cfvo type="min"/>
        <cfvo type="percentile" val="50"/>
        <cfvo type="max"/>
        <color rgb="FFF8696B"/>
        <color rgb="FFFFEB84"/>
        <color rgb="FF63BE7B"/>
      </colorScale>
    </cfRule>
  </conditionalFormatting>
  <conditionalFormatting sqref="E10:E27">
    <cfRule type="colorScale" priority="10577">
      <colorScale>
        <cfvo type="min"/>
        <cfvo type="percentile" val="50"/>
        <cfvo type="max"/>
        <color rgb="FFF8696B"/>
        <color rgb="FFFFEB84"/>
        <color rgb="FF63BE7B"/>
      </colorScale>
    </cfRule>
  </conditionalFormatting>
  <conditionalFormatting sqref="E10:E27">
    <cfRule type="colorScale" priority="10576">
      <colorScale>
        <cfvo type="min"/>
        <cfvo type="percentile" val="50"/>
        <cfvo type="max"/>
        <color rgb="FFF8696B"/>
        <color rgb="FFFFEB84"/>
        <color rgb="FF63BE7B"/>
      </colorScale>
    </cfRule>
  </conditionalFormatting>
  <conditionalFormatting sqref="E10:E27">
    <cfRule type="colorScale" priority="10575">
      <colorScale>
        <cfvo type="min"/>
        <cfvo type="percentile" val="50"/>
        <cfvo type="max"/>
        <color rgb="FFF8696B"/>
        <color rgb="FFFFEB84"/>
        <color rgb="FF63BE7B"/>
      </colorScale>
    </cfRule>
  </conditionalFormatting>
  <conditionalFormatting sqref="E10:E27">
    <cfRule type="colorScale" priority="10574">
      <colorScale>
        <cfvo type="min"/>
        <cfvo type="percentile" val="50"/>
        <cfvo type="max"/>
        <color rgb="FFF8696B"/>
        <color rgb="FFFFEB84"/>
        <color rgb="FF63BE7B"/>
      </colorScale>
    </cfRule>
  </conditionalFormatting>
  <conditionalFormatting sqref="E10:E27">
    <cfRule type="colorScale" priority="10573">
      <colorScale>
        <cfvo type="min"/>
        <cfvo type="percentile" val="50"/>
        <cfvo type="max"/>
        <color rgb="FFF8696B"/>
        <color rgb="FFFFEB84"/>
        <color rgb="FF63BE7B"/>
      </colorScale>
    </cfRule>
  </conditionalFormatting>
  <conditionalFormatting sqref="E10:E27">
    <cfRule type="colorScale" priority="10572">
      <colorScale>
        <cfvo type="min"/>
        <cfvo type="percentile" val="50"/>
        <cfvo type="max"/>
        <color rgb="FFF8696B"/>
        <color rgb="FFFFEB84"/>
        <color rgb="FF63BE7B"/>
      </colorScale>
    </cfRule>
  </conditionalFormatting>
  <conditionalFormatting sqref="E10:E27">
    <cfRule type="colorScale" priority="10571">
      <colorScale>
        <cfvo type="min"/>
        <cfvo type="percentile" val="50"/>
        <cfvo type="max"/>
        <color rgb="FFF8696B"/>
        <color rgb="FFFFEB84"/>
        <color rgb="FF63BE7B"/>
      </colorScale>
    </cfRule>
  </conditionalFormatting>
  <conditionalFormatting sqref="E10:E27">
    <cfRule type="colorScale" priority="10570">
      <colorScale>
        <cfvo type="min"/>
        <cfvo type="percentile" val="50"/>
        <cfvo type="max"/>
        <color rgb="FFF8696B"/>
        <color rgb="FFFFEB84"/>
        <color rgb="FF63BE7B"/>
      </colorScale>
    </cfRule>
  </conditionalFormatting>
  <conditionalFormatting sqref="E10:E27">
    <cfRule type="colorScale" priority="10569">
      <colorScale>
        <cfvo type="min"/>
        <cfvo type="percentile" val="50"/>
        <cfvo type="max"/>
        <color rgb="FFF8696B"/>
        <color rgb="FFFFEB84"/>
        <color rgb="FF63BE7B"/>
      </colorScale>
    </cfRule>
  </conditionalFormatting>
  <conditionalFormatting sqref="E10:E27">
    <cfRule type="colorScale" priority="10568">
      <colorScale>
        <cfvo type="min"/>
        <cfvo type="percentile" val="50"/>
        <cfvo type="max"/>
        <color rgb="FFF8696B"/>
        <color rgb="FFFFEB84"/>
        <color rgb="FF63BE7B"/>
      </colorScale>
    </cfRule>
  </conditionalFormatting>
  <conditionalFormatting sqref="E10:E27">
    <cfRule type="colorScale" priority="10567">
      <colorScale>
        <cfvo type="min"/>
        <cfvo type="percentile" val="50"/>
        <cfvo type="max"/>
        <color rgb="FFF8696B"/>
        <color rgb="FFFFEB84"/>
        <color rgb="FF63BE7B"/>
      </colorScale>
    </cfRule>
  </conditionalFormatting>
  <conditionalFormatting sqref="E10:E27">
    <cfRule type="colorScale" priority="10566">
      <colorScale>
        <cfvo type="min"/>
        <cfvo type="percentile" val="50"/>
        <cfvo type="max"/>
        <color rgb="FFF8696B"/>
        <color rgb="FFFFEB84"/>
        <color rgb="FF63BE7B"/>
      </colorScale>
    </cfRule>
  </conditionalFormatting>
  <conditionalFormatting sqref="E10:E27">
    <cfRule type="colorScale" priority="10565">
      <colorScale>
        <cfvo type="min"/>
        <cfvo type="percentile" val="50"/>
        <cfvo type="max"/>
        <color rgb="FFF8696B"/>
        <color rgb="FFFFEB84"/>
        <color rgb="FF63BE7B"/>
      </colorScale>
    </cfRule>
  </conditionalFormatting>
  <conditionalFormatting sqref="E10:E27">
    <cfRule type="colorScale" priority="10564">
      <colorScale>
        <cfvo type="min"/>
        <cfvo type="percentile" val="50"/>
        <cfvo type="max"/>
        <color rgb="FFF8696B"/>
        <color rgb="FFFFEB84"/>
        <color rgb="FF63BE7B"/>
      </colorScale>
    </cfRule>
  </conditionalFormatting>
  <conditionalFormatting sqref="E10:E27">
    <cfRule type="colorScale" priority="10563">
      <colorScale>
        <cfvo type="min"/>
        <cfvo type="percentile" val="50"/>
        <cfvo type="max"/>
        <color rgb="FFF8696B"/>
        <color rgb="FFFFEB84"/>
        <color rgb="FF63BE7B"/>
      </colorScale>
    </cfRule>
  </conditionalFormatting>
  <conditionalFormatting sqref="E10:E27">
    <cfRule type="colorScale" priority="10562">
      <colorScale>
        <cfvo type="min"/>
        <cfvo type="percentile" val="50"/>
        <cfvo type="max"/>
        <color rgb="FFF8696B"/>
        <color rgb="FFFFEB84"/>
        <color rgb="FF63BE7B"/>
      </colorScale>
    </cfRule>
  </conditionalFormatting>
  <conditionalFormatting sqref="E10:E27">
    <cfRule type="colorScale" priority="10561">
      <colorScale>
        <cfvo type="min"/>
        <cfvo type="percentile" val="50"/>
        <cfvo type="max"/>
        <color rgb="FFF8696B"/>
        <color rgb="FFFFEB84"/>
        <color rgb="FF63BE7B"/>
      </colorScale>
    </cfRule>
  </conditionalFormatting>
  <conditionalFormatting sqref="E10:E27">
    <cfRule type="colorScale" priority="10560">
      <colorScale>
        <cfvo type="min"/>
        <cfvo type="percentile" val="50"/>
        <cfvo type="max"/>
        <color rgb="FFF8696B"/>
        <color rgb="FFFFEB84"/>
        <color rgb="FF63BE7B"/>
      </colorScale>
    </cfRule>
  </conditionalFormatting>
  <conditionalFormatting sqref="E10:E27">
    <cfRule type="colorScale" priority="10559">
      <colorScale>
        <cfvo type="min"/>
        <cfvo type="percentile" val="50"/>
        <cfvo type="max"/>
        <color rgb="FFF8696B"/>
        <color rgb="FFFFEB84"/>
        <color rgb="FF63BE7B"/>
      </colorScale>
    </cfRule>
  </conditionalFormatting>
  <conditionalFormatting sqref="E10:E27">
    <cfRule type="colorScale" priority="10558">
      <colorScale>
        <cfvo type="min"/>
        <cfvo type="percentile" val="50"/>
        <cfvo type="max"/>
        <color rgb="FFF8696B"/>
        <color rgb="FFFFEB84"/>
        <color rgb="FF63BE7B"/>
      </colorScale>
    </cfRule>
  </conditionalFormatting>
  <conditionalFormatting sqref="E10:E27">
    <cfRule type="colorScale" priority="10557">
      <colorScale>
        <cfvo type="min"/>
        <cfvo type="percentile" val="50"/>
        <cfvo type="max"/>
        <color rgb="FFF8696B"/>
        <color rgb="FFFFEB84"/>
        <color rgb="FF63BE7B"/>
      </colorScale>
    </cfRule>
  </conditionalFormatting>
  <conditionalFormatting sqref="E10:E27">
    <cfRule type="colorScale" priority="10556">
      <colorScale>
        <cfvo type="min"/>
        <cfvo type="percentile" val="50"/>
        <cfvo type="max"/>
        <color rgb="FFF8696B"/>
        <color rgb="FFFFEB84"/>
        <color rgb="FF63BE7B"/>
      </colorScale>
    </cfRule>
  </conditionalFormatting>
  <conditionalFormatting sqref="E10:E27">
    <cfRule type="colorScale" priority="10555">
      <colorScale>
        <cfvo type="min"/>
        <cfvo type="percentile" val="50"/>
        <cfvo type="max"/>
        <color rgb="FFF8696B"/>
        <color rgb="FFFFEB84"/>
        <color rgb="FF63BE7B"/>
      </colorScale>
    </cfRule>
  </conditionalFormatting>
  <conditionalFormatting sqref="E10:E27">
    <cfRule type="colorScale" priority="10554">
      <colorScale>
        <cfvo type="min"/>
        <cfvo type="percentile" val="50"/>
        <cfvo type="max"/>
        <color rgb="FFF8696B"/>
        <color rgb="FFFFEB84"/>
        <color rgb="FF63BE7B"/>
      </colorScale>
    </cfRule>
  </conditionalFormatting>
  <conditionalFormatting sqref="E10:E27">
    <cfRule type="colorScale" priority="10553">
      <colorScale>
        <cfvo type="min"/>
        <cfvo type="percentile" val="50"/>
        <cfvo type="max"/>
        <color rgb="FFF8696B"/>
        <color rgb="FFFFEB84"/>
        <color rgb="FF63BE7B"/>
      </colorScale>
    </cfRule>
  </conditionalFormatting>
  <conditionalFormatting sqref="E10:E27">
    <cfRule type="colorScale" priority="10552">
      <colorScale>
        <cfvo type="min"/>
        <cfvo type="percentile" val="50"/>
        <cfvo type="max"/>
        <color rgb="FFF8696B"/>
        <color rgb="FFFFEB84"/>
        <color rgb="FF63BE7B"/>
      </colorScale>
    </cfRule>
  </conditionalFormatting>
  <conditionalFormatting sqref="E10:E27">
    <cfRule type="colorScale" priority="10551">
      <colorScale>
        <cfvo type="min"/>
        <cfvo type="percentile" val="50"/>
        <cfvo type="max"/>
        <color rgb="FFF8696B"/>
        <color rgb="FFFFEB84"/>
        <color rgb="FF63BE7B"/>
      </colorScale>
    </cfRule>
  </conditionalFormatting>
  <conditionalFormatting sqref="E10:E27">
    <cfRule type="colorScale" priority="10550">
      <colorScale>
        <cfvo type="min"/>
        <cfvo type="percentile" val="50"/>
        <cfvo type="max"/>
        <color rgb="FFF8696B"/>
        <color rgb="FFFFEB84"/>
        <color rgb="FF63BE7B"/>
      </colorScale>
    </cfRule>
  </conditionalFormatting>
  <conditionalFormatting sqref="E10:E27">
    <cfRule type="colorScale" priority="10549">
      <colorScale>
        <cfvo type="min"/>
        <cfvo type="percentile" val="50"/>
        <cfvo type="max"/>
        <color rgb="FFF8696B"/>
        <color rgb="FFFFEB84"/>
        <color rgb="FF63BE7B"/>
      </colorScale>
    </cfRule>
  </conditionalFormatting>
  <conditionalFormatting sqref="E10:E27">
    <cfRule type="colorScale" priority="10548">
      <colorScale>
        <cfvo type="min"/>
        <cfvo type="percentile" val="50"/>
        <cfvo type="max"/>
        <color rgb="FFF8696B"/>
        <color rgb="FFFFEB84"/>
        <color rgb="FF63BE7B"/>
      </colorScale>
    </cfRule>
  </conditionalFormatting>
  <conditionalFormatting sqref="E10:E27">
    <cfRule type="colorScale" priority="10547">
      <colorScale>
        <cfvo type="min"/>
        <cfvo type="percentile" val="50"/>
        <cfvo type="max"/>
        <color rgb="FFF8696B"/>
        <color rgb="FFFFEB84"/>
        <color rgb="FF63BE7B"/>
      </colorScale>
    </cfRule>
  </conditionalFormatting>
  <conditionalFormatting sqref="E10:E27">
    <cfRule type="colorScale" priority="10546">
      <colorScale>
        <cfvo type="min"/>
        <cfvo type="percentile" val="50"/>
        <cfvo type="max"/>
        <color rgb="FFF8696B"/>
        <color rgb="FFFFEB84"/>
        <color rgb="FF63BE7B"/>
      </colorScale>
    </cfRule>
  </conditionalFormatting>
  <conditionalFormatting sqref="E10:E27">
    <cfRule type="colorScale" priority="10545">
      <colorScale>
        <cfvo type="min"/>
        <cfvo type="percentile" val="50"/>
        <cfvo type="max"/>
        <color rgb="FFF8696B"/>
        <color rgb="FFFFEB84"/>
        <color rgb="FF63BE7B"/>
      </colorScale>
    </cfRule>
  </conditionalFormatting>
  <conditionalFormatting sqref="E10:E27">
    <cfRule type="colorScale" priority="10544">
      <colorScale>
        <cfvo type="min"/>
        <cfvo type="percentile" val="50"/>
        <cfvo type="max"/>
        <color rgb="FFF8696B"/>
        <color rgb="FFFFEB84"/>
        <color rgb="FF63BE7B"/>
      </colorScale>
    </cfRule>
  </conditionalFormatting>
  <conditionalFormatting sqref="E10:E27">
    <cfRule type="colorScale" priority="10543">
      <colorScale>
        <cfvo type="min"/>
        <cfvo type="percentile" val="50"/>
        <cfvo type="max"/>
        <color rgb="FFF8696B"/>
        <color rgb="FFFFEB84"/>
        <color rgb="FF63BE7B"/>
      </colorScale>
    </cfRule>
  </conditionalFormatting>
  <conditionalFormatting sqref="E10:E27">
    <cfRule type="colorScale" priority="10542">
      <colorScale>
        <cfvo type="min"/>
        <cfvo type="percentile" val="50"/>
        <cfvo type="max"/>
        <color rgb="FFF8696B"/>
        <color rgb="FFFFEB84"/>
        <color rgb="FF63BE7B"/>
      </colorScale>
    </cfRule>
  </conditionalFormatting>
  <conditionalFormatting sqref="E10:E27">
    <cfRule type="colorScale" priority="10541">
      <colorScale>
        <cfvo type="min"/>
        <cfvo type="percentile" val="50"/>
        <cfvo type="max"/>
        <color rgb="FFF8696B"/>
        <color rgb="FFFFEB84"/>
        <color rgb="FF63BE7B"/>
      </colorScale>
    </cfRule>
  </conditionalFormatting>
  <conditionalFormatting sqref="E10:E27">
    <cfRule type="colorScale" priority="10540">
      <colorScale>
        <cfvo type="min"/>
        <cfvo type="percentile" val="50"/>
        <cfvo type="max"/>
        <color rgb="FFF8696B"/>
        <color rgb="FFFFEB84"/>
        <color rgb="FF63BE7B"/>
      </colorScale>
    </cfRule>
  </conditionalFormatting>
  <conditionalFormatting sqref="E10:E27">
    <cfRule type="colorScale" priority="10539">
      <colorScale>
        <cfvo type="min"/>
        <cfvo type="percentile" val="50"/>
        <cfvo type="max"/>
        <color rgb="FFF8696B"/>
        <color rgb="FFFFEB84"/>
        <color rgb="FF63BE7B"/>
      </colorScale>
    </cfRule>
  </conditionalFormatting>
  <conditionalFormatting sqref="E10:E27">
    <cfRule type="colorScale" priority="10538">
      <colorScale>
        <cfvo type="min"/>
        <cfvo type="percentile" val="50"/>
        <cfvo type="max"/>
        <color rgb="FFF8696B"/>
        <color rgb="FFFFEB84"/>
        <color rgb="FF63BE7B"/>
      </colorScale>
    </cfRule>
  </conditionalFormatting>
  <conditionalFormatting sqref="E10:E27">
    <cfRule type="colorScale" priority="10537">
      <colorScale>
        <cfvo type="min"/>
        <cfvo type="percentile" val="50"/>
        <cfvo type="max"/>
        <color rgb="FFF8696B"/>
        <color rgb="FFFFEB84"/>
        <color rgb="FF63BE7B"/>
      </colorScale>
    </cfRule>
  </conditionalFormatting>
  <conditionalFormatting sqref="E10:E27">
    <cfRule type="colorScale" priority="10536">
      <colorScale>
        <cfvo type="min"/>
        <cfvo type="percentile" val="50"/>
        <cfvo type="max"/>
        <color rgb="FFF8696B"/>
        <color rgb="FFFFEB84"/>
        <color rgb="FF63BE7B"/>
      </colorScale>
    </cfRule>
  </conditionalFormatting>
  <conditionalFormatting sqref="E10:E27">
    <cfRule type="colorScale" priority="10535">
      <colorScale>
        <cfvo type="min"/>
        <cfvo type="percentile" val="50"/>
        <cfvo type="max"/>
        <color rgb="FFF8696B"/>
        <color rgb="FFFFEB84"/>
        <color rgb="FF63BE7B"/>
      </colorScale>
    </cfRule>
  </conditionalFormatting>
  <conditionalFormatting sqref="E10:E27">
    <cfRule type="colorScale" priority="10534">
      <colorScale>
        <cfvo type="min"/>
        <cfvo type="percentile" val="50"/>
        <cfvo type="max"/>
        <color rgb="FFF8696B"/>
        <color rgb="FFFFEB84"/>
        <color rgb="FF63BE7B"/>
      </colorScale>
    </cfRule>
  </conditionalFormatting>
  <conditionalFormatting sqref="E25:E27 E10:F25">
    <cfRule type="colorScale" priority="10533">
      <colorScale>
        <cfvo type="min"/>
        <cfvo type="percentile" val="50"/>
        <cfvo type="max"/>
        <color rgb="FFF8696B"/>
        <color rgb="FFFFEB84"/>
        <color rgb="FF63BE7B"/>
      </colorScale>
    </cfRule>
  </conditionalFormatting>
  <conditionalFormatting sqref="E25:E27 E10:F25">
    <cfRule type="colorScale" priority="10532">
      <colorScale>
        <cfvo type="min"/>
        <cfvo type="percentile" val="50"/>
        <cfvo type="max"/>
        <color rgb="FFF8696B"/>
        <color rgb="FFFFEB84"/>
        <color rgb="FF63BE7B"/>
      </colorScale>
    </cfRule>
  </conditionalFormatting>
  <conditionalFormatting sqref="E25:E27 E10:F24">
    <cfRule type="colorScale" priority="10531">
      <colorScale>
        <cfvo type="min"/>
        <cfvo type="percentile" val="50"/>
        <cfvo type="max"/>
        <color rgb="FFF8696B"/>
        <color rgb="FFFFEB84"/>
        <color rgb="FF63BE7B"/>
      </colorScale>
    </cfRule>
  </conditionalFormatting>
  <conditionalFormatting sqref="E25:E27 E10:F24">
    <cfRule type="colorScale" priority="10530">
      <colorScale>
        <cfvo type="min"/>
        <cfvo type="percentile" val="50"/>
        <cfvo type="max"/>
        <color rgb="FFF8696B"/>
        <color rgb="FFFFEB84"/>
        <color rgb="FF63BE7B"/>
      </colorScale>
    </cfRule>
  </conditionalFormatting>
  <conditionalFormatting sqref="E25:E27 E10:F24">
    <cfRule type="colorScale" priority="10529">
      <colorScale>
        <cfvo type="min"/>
        <cfvo type="percentile" val="50"/>
        <cfvo type="max"/>
        <color rgb="FFF8696B"/>
        <color rgb="FFFFEB84"/>
        <color rgb="FF63BE7B"/>
      </colorScale>
    </cfRule>
  </conditionalFormatting>
  <conditionalFormatting sqref="E25:E27 E10:F24">
    <cfRule type="colorScale" priority="10528">
      <colorScale>
        <cfvo type="min"/>
        <cfvo type="percentile" val="50"/>
        <cfvo type="max"/>
        <color rgb="FFF8696B"/>
        <color rgb="FFFFEB84"/>
        <color rgb="FF63BE7B"/>
      </colorScale>
    </cfRule>
  </conditionalFormatting>
  <conditionalFormatting sqref="E10:E27">
    <cfRule type="colorScale" priority="10527">
      <colorScale>
        <cfvo type="min"/>
        <cfvo type="percentile" val="50"/>
        <cfvo type="max"/>
        <color rgb="FFF8696B"/>
        <color rgb="FFFFEB84"/>
        <color rgb="FF63BE7B"/>
      </colorScale>
    </cfRule>
  </conditionalFormatting>
  <conditionalFormatting sqref="E10:E27">
    <cfRule type="colorScale" priority="10526">
      <colorScale>
        <cfvo type="min"/>
        <cfvo type="percentile" val="50"/>
        <cfvo type="max"/>
        <color rgb="FFF8696B"/>
        <color rgb="FFFFEB84"/>
        <color rgb="FF63BE7B"/>
      </colorScale>
    </cfRule>
  </conditionalFormatting>
  <conditionalFormatting sqref="E10:E27">
    <cfRule type="colorScale" priority="10525">
      <colorScale>
        <cfvo type="min"/>
        <cfvo type="percentile" val="50"/>
        <cfvo type="max"/>
        <color rgb="FFF8696B"/>
        <color rgb="FFFFEB84"/>
        <color rgb="FF63BE7B"/>
      </colorScale>
    </cfRule>
  </conditionalFormatting>
  <conditionalFormatting sqref="E10:E27">
    <cfRule type="colorScale" priority="10524">
      <colorScale>
        <cfvo type="min"/>
        <cfvo type="percentile" val="50"/>
        <cfvo type="max"/>
        <color rgb="FFF8696B"/>
        <color rgb="FFFFEB84"/>
        <color rgb="FF63BE7B"/>
      </colorScale>
    </cfRule>
  </conditionalFormatting>
  <conditionalFormatting sqref="E10:E27">
    <cfRule type="colorScale" priority="10523">
      <colorScale>
        <cfvo type="min"/>
        <cfvo type="percentile" val="50"/>
        <cfvo type="max"/>
        <color rgb="FFF8696B"/>
        <color rgb="FFFFEB84"/>
        <color rgb="FF63BE7B"/>
      </colorScale>
    </cfRule>
  </conditionalFormatting>
  <conditionalFormatting sqref="E10:E27">
    <cfRule type="colorScale" priority="10522">
      <colorScale>
        <cfvo type="min"/>
        <cfvo type="percentile" val="50"/>
        <cfvo type="max"/>
        <color rgb="FFF8696B"/>
        <color rgb="FFFFEB84"/>
        <color rgb="FF63BE7B"/>
      </colorScale>
    </cfRule>
  </conditionalFormatting>
  <conditionalFormatting sqref="E10:E27">
    <cfRule type="colorScale" priority="10521">
      <colorScale>
        <cfvo type="min"/>
        <cfvo type="percentile" val="50"/>
        <cfvo type="max"/>
        <color rgb="FFF8696B"/>
        <color rgb="FFFFEB84"/>
        <color rgb="FF63BE7B"/>
      </colorScale>
    </cfRule>
  </conditionalFormatting>
  <conditionalFormatting sqref="E10:E27">
    <cfRule type="colorScale" priority="10520">
      <colorScale>
        <cfvo type="min"/>
        <cfvo type="percentile" val="50"/>
        <cfvo type="max"/>
        <color rgb="FFF8696B"/>
        <color rgb="FFFFEB84"/>
        <color rgb="FF63BE7B"/>
      </colorScale>
    </cfRule>
  </conditionalFormatting>
  <conditionalFormatting sqref="E10:E27">
    <cfRule type="colorScale" priority="10519">
      <colorScale>
        <cfvo type="min"/>
        <cfvo type="percentile" val="50"/>
        <cfvo type="max"/>
        <color rgb="FFF8696B"/>
        <color rgb="FFFFEB84"/>
        <color rgb="FF63BE7B"/>
      </colorScale>
    </cfRule>
  </conditionalFormatting>
  <conditionalFormatting sqref="E10:E27">
    <cfRule type="colorScale" priority="10518">
      <colorScale>
        <cfvo type="min"/>
        <cfvo type="percentile" val="50"/>
        <cfvo type="max"/>
        <color rgb="FFF8696B"/>
        <color rgb="FFFFEB84"/>
        <color rgb="FF63BE7B"/>
      </colorScale>
    </cfRule>
  </conditionalFormatting>
  <conditionalFormatting sqref="E10:E27">
    <cfRule type="colorScale" priority="10517">
      <colorScale>
        <cfvo type="min"/>
        <cfvo type="percentile" val="50"/>
        <cfvo type="max"/>
        <color rgb="FFF8696B"/>
        <color rgb="FFFFEB84"/>
        <color rgb="FF63BE7B"/>
      </colorScale>
    </cfRule>
  </conditionalFormatting>
  <conditionalFormatting sqref="E10:E27">
    <cfRule type="colorScale" priority="10516">
      <colorScale>
        <cfvo type="min"/>
        <cfvo type="percentile" val="50"/>
        <cfvo type="max"/>
        <color rgb="FFF8696B"/>
        <color rgb="FFFFEB84"/>
        <color rgb="FF63BE7B"/>
      </colorScale>
    </cfRule>
  </conditionalFormatting>
  <conditionalFormatting sqref="E10:E27">
    <cfRule type="colorScale" priority="10515">
      <colorScale>
        <cfvo type="min"/>
        <cfvo type="percentile" val="50"/>
        <cfvo type="max"/>
        <color rgb="FFF8696B"/>
        <color rgb="FFFFEB84"/>
        <color rgb="FF63BE7B"/>
      </colorScale>
    </cfRule>
  </conditionalFormatting>
  <conditionalFormatting sqref="E10:E27">
    <cfRule type="colorScale" priority="10514">
      <colorScale>
        <cfvo type="min"/>
        <cfvo type="percentile" val="50"/>
        <cfvo type="max"/>
        <color rgb="FFF8696B"/>
        <color rgb="FFFFEB84"/>
        <color rgb="FF63BE7B"/>
      </colorScale>
    </cfRule>
  </conditionalFormatting>
  <conditionalFormatting sqref="E10:E27">
    <cfRule type="colorScale" priority="10513">
      <colorScale>
        <cfvo type="min"/>
        <cfvo type="percentile" val="50"/>
        <cfvo type="max"/>
        <color rgb="FFF8696B"/>
        <color rgb="FFFFEB84"/>
        <color rgb="FF63BE7B"/>
      </colorScale>
    </cfRule>
  </conditionalFormatting>
  <conditionalFormatting sqref="E10:E27">
    <cfRule type="colorScale" priority="10512">
      <colorScale>
        <cfvo type="min"/>
        <cfvo type="percentile" val="50"/>
        <cfvo type="max"/>
        <color rgb="FFF8696B"/>
        <color rgb="FFFFEB84"/>
        <color rgb="FF63BE7B"/>
      </colorScale>
    </cfRule>
  </conditionalFormatting>
  <conditionalFormatting sqref="E10:E27">
    <cfRule type="colorScale" priority="10511">
      <colorScale>
        <cfvo type="min"/>
        <cfvo type="percentile" val="50"/>
        <cfvo type="max"/>
        <color rgb="FFF8696B"/>
        <color rgb="FFFFEB84"/>
        <color rgb="FF63BE7B"/>
      </colorScale>
    </cfRule>
  </conditionalFormatting>
  <conditionalFormatting sqref="E10:E27">
    <cfRule type="colorScale" priority="10510">
      <colorScale>
        <cfvo type="min"/>
        <cfvo type="percentile" val="50"/>
        <cfvo type="max"/>
        <color rgb="FFF8696B"/>
        <color rgb="FFFFEB84"/>
        <color rgb="FF63BE7B"/>
      </colorScale>
    </cfRule>
  </conditionalFormatting>
  <conditionalFormatting sqref="E10:E27">
    <cfRule type="colorScale" priority="10509">
      <colorScale>
        <cfvo type="min"/>
        <cfvo type="percentile" val="50"/>
        <cfvo type="max"/>
        <color rgb="FFF8696B"/>
        <color rgb="FFFFEB84"/>
        <color rgb="FF63BE7B"/>
      </colorScale>
    </cfRule>
  </conditionalFormatting>
  <conditionalFormatting sqref="E10:E27">
    <cfRule type="colorScale" priority="10508">
      <colorScale>
        <cfvo type="min"/>
        <cfvo type="percentile" val="50"/>
        <cfvo type="max"/>
        <color rgb="FFF8696B"/>
        <color rgb="FFFFEB84"/>
        <color rgb="FF63BE7B"/>
      </colorScale>
    </cfRule>
  </conditionalFormatting>
  <conditionalFormatting sqref="E10:E27">
    <cfRule type="colorScale" priority="10507">
      <colorScale>
        <cfvo type="min"/>
        <cfvo type="percentile" val="50"/>
        <cfvo type="max"/>
        <color rgb="FFF8696B"/>
        <color rgb="FFFFEB84"/>
        <color rgb="FF63BE7B"/>
      </colorScale>
    </cfRule>
  </conditionalFormatting>
  <conditionalFormatting sqref="E10:E27">
    <cfRule type="colorScale" priority="10506">
      <colorScale>
        <cfvo type="min"/>
        <cfvo type="percentile" val="50"/>
        <cfvo type="max"/>
        <color rgb="FFF8696B"/>
        <color rgb="FFFFEB84"/>
        <color rgb="FF63BE7B"/>
      </colorScale>
    </cfRule>
  </conditionalFormatting>
  <conditionalFormatting sqref="E10:E27">
    <cfRule type="colorScale" priority="10505">
      <colorScale>
        <cfvo type="min"/>
        <cfvo type="percentile" val="50"/>
        <cfvo type="max"/>
        <color rgb="FFF8696B"/>
        <color rgb="FFFFEB84"/>
        <color rgb="FF63BE7B"/>
      </colorScale>
    </cfRule>
  </conditionalFormatting>
  <conditionalFormatting sqref="E10:E27">
    <cfRule type="colorScale" priority="10504">
      <colorScale>
        <cfvo type="min"/>
        <cfvo type="percentile" val="50"/>
        <cfvo type="max"/>
        <color rgb="FFF8696B"/>
        <color rgb="FFFFEB84"/>
        <color rgb="FF63BE7B"/>
      </colorScale>
    </cfRule>
  </conditionalFormatting>
  <conditionalFormatting sqref="E10:E27">
    <cfRule type="colorScale" priority="10503">
      <colorScale>
        <cfvo type="min"/>
        <cfvo type="percentile" val="50"/>
        <cfvo type="max"/>
        <color rgb="FFF8696B"/>
        <color rgb="FFFFEB84"/>
        <color rgb="FF63BE7B"/>
      </colorScale>
    </cfRule>
  </conditionalFormatting>
  <conditionalFormatting sqref="E10:E27">
    <cfRule type="colorScale" priority="10502">
      <colorScale>
        <cfvo type="min"/>
        <cfvo type="percentile" val="50"/>
        <cfvo type="max"/>
        <color rgb="FFF8696B"/>
        <color rgb="FFFFEB84"/>
        <color rgb="FF63BE7B"/>
      </colorScale>
    </cfRule>
  </conditionalFormatting>
  <conditionalFormatting sqref="E10:E27">
    <cfRule type="colorScale" priority="10501">
      <colorScale>
        <cfvo type="min"/>
        <cfvo type="percentile" val="50"/>
        <cfvo type="max"/>
        <color rgb="FFF8696B"/>
        <color rgb="FFFFEB84"/>
        <color rgb="FF63BE7B"/>
      </colorScale>
    </cfRule>
  </conditionalFormatting>
  <conditionalFormatting sqref="E10:E27">
    <cfRule type="colorScale" priority="10500">
      <colorScale>
        <cfvo type="min"/>
        <cfvo type="percentile" val="50"/>
        <cfvo type="max"/>
        <color rgb="FFF8696B"/>
        <color rgb="FFFFEB84"/>
        <color rgb="FF63BE7B"/>
      </colorScale>
    </cfRule>
  </conditionalFormatting>
  <conditionalFormatting sqref="E10:E27">
    <cfRule type="colorScale" priority="10499">
      <colorScale>
        <cfvo type="min"/>
        <cfvo type="percentile" val="50"/>
        <cfvo type="max"/>
        <color rgb="FFF8696B"/>
        <color rgb="FFFFEB84"/>
        <color rgb="FF63BE7B"/>
      </colorScale>
    </cfRule>
  </conditionalFormatting>
  <conditionalFormatting sqref="E10:E27">
    <cfRule type="colorScale" priority="10498">
      <colorScale>
        <cfvo type="min"/>
        <cfvo type="percentile" val="50"/>
        <cfvo type="max"/>
        <color rgb="FFF8696B"/>
        <color rgb="FFFFEB84"/>
        <color rgb="FF63BE7B"/>
      </colorScale>
    </cfRule>
  </conditionalFormatting>
  <conditionalFormatting sqref="E10:E27">
    <cfRule type="colorScale" priority="10497">
      <colorScale>
        <cfvo type="min"/>
        <cfvo type="percentile" val="50"/>
        <cfvo type="max"/>
        <color rgb="FFF8696B"/>
        <color rgb="FFFFEB84"/>
        <color rgb="FF63BE7B"/>
      </colorScale>
    </cfRule>
  </conditionalFormatting>
  <conditionalFormatting sqref="E10:E27">
    <cfRule type="colorScale" priority="10496">
      <colorScale>
        <cfvo type="min"/>
        <cfvo type="percentile" val="50"/>
        <cfvo type="max"/>
        <color rgb="FFF8696B"/>
        <color rgb="FFFFEB84"/>
        <color rgb="FF63BE7B"/>
      </colorScale>
    </cfRule>
  </conditionalFormatting>
  <conditionalFormatting sqref="E10:E27">
    <cfRule type="colorScale" priority="10495">
      <colorScale>
        <cfvo type="min"/>
        <cfvo type="percentile" val="50"/>
        <cfvo type="max"/>
        <color rgb="FFF8696B"/>
        <color rgb="FFFFEB84"/>
        <color rgb="FF63BE7B"/>
      </colorScale>
    </cfRule>
  </conditionalFormatting>
  <conditionalFormatting sqref="E10:E27">
    <cfRule type="colorScale" priority="10494">
      <colorScale>
        <cfvo type="min"/>
        <cfvo type="percentile" val="50"/>
        <cfvo type="max"/>
        <color rgb="FFF8696B"/>
        <color rgb="FFFFEB84"/>
        <color rgb="FF63BE7B"/>
      </colorScale>
    </cfRule>
  </conditionalFormatting>
  <conditionalFormatting sqref="E10:E27">
    <cfRule type="colorScale" priority="10493">
      <colorScale>
        <cfvo type="min"/>
        <cfvo type="percentile" val="50"/>
        <cfvo type="max"/>
        <color rgb="FFF8696B"/>
        <color rgb="FFFFEB84"/>
        <color rgb="FF63BE7B"/>
      </colorScale>
    </cfRule>
  </conditionalFormatting>
  <conditionalFormatting sqref="E10:E27">
    <cfRule type="colorScale" priority="10492">
      <colorScale>
        <cfvo type="min"/>
        <cfvo type="percentile" val="50"/>
        <cfvo type="max"/>
        <color rgb="FFF8696B"/>
        <color rgb="FFFFEB84"/>
        <color rgb="FF63BE7B"/>
      </colorScale>
    </cfRule>
  </conditionalFormatting>
  <conditionalFormatting sqref="E10:E27">
    <cfRule type="colorScale" priority="10491">
      <colorScale>
        <cfvo type="min"/>
        <cfvo type="percentile" val="50"/>
        <cfvo type="max"/>
        <color rgb="FFF8696B"/>
        <color rgb="FFFFEB84"/>
        <color rgb="FF63BE7B"/>
      </colorScale>
    </cfRule>
  </conditionalFormatting>
  <conditionalFormatting sqref="E10:E27">
    <cfRule type="colorScale" priority="10490">
      <colorScale>
        <cfvo type="min"/>
        <cfvo type="percentile" val="50"/>
        <cfvo type="max"/>
        <color rgb="FFF8696B"/>
        <color rgb="FFFFEB84"/>
        <color rgb="FF63BE7B"/>
      </colorScale>
    </cfRule>
  </conditionalFormatting>
  <conditionalFormatting sqref="E10:E27">
    <cfRule type="colorScale" priority="10489">
      <colorScale>
        <cfvo type="min"/>
        <cfvo type="percentile" val="50"/>
        <cfvo type="max"/>
        <color rgb="FFF8696B"/>
        <color rgb="FFFFEB84"/>
        <color rgb="FF63BE7B"/>
      </colorScale>
    </cfRule>
  </conditionalFormatting>
  <conditionalFormatting sqref="E10:E27">
    <cfRule type="colorScale" priority="10488">
      <colorScale>
        <cfvo type="min"/>
        <cfvo type="percentile" val="50"/>
        <cfvo type="max"/>
        <color rgb="FFF8696B"/>
        <color rgb="FFFFEB84"/>
        <color rgb="FF63BE7B"/>
      </colorScale>
    </cfRule>
  </conditionalFormatting>
  <conditionalFormatting sqref="E10:E27">
    <cfRule type="colorScale" priority="10487">
      <colorScale>
        <cfvo type="min"/>
        <cfvo type="percentile" val="50"/>
        <cfvo type="max"/>
        <color rgb="FFF8696B"/>
        <color rgb="FFFFEB84"/>
        <color rgb="FF63BE7B"/>
      </colorScale>
    </cfRule>
  </conditionalFormatting>
  <conditionalFormatting sqref="E10:E27">
    <cfRule type="colorScale" priority="10486">
      <colorScale>
        <cfvo type="min"/>
        <cfvo type="percentile" val="50"/>
        <cfvo type="max"/>
        <color rgb="FFF8696B"/>
        <color rgb="FFFFEB84"/>
        <color rgb="FF63BE7B"/>
      </colorScale>
    </cfRule>
  </conditionalFormatting>
  <conditionalFormatting sqref="E10:E27">
    <cfRule type="colorScale" priority="10485">
      <colorScale>
        <cfvo type="min"/>
        <cfvo type="percentile" val="50"/>
        <cfvo type="max"/>
        <color rgb="FFF8696B"/>
        <color rgb="FFFFEB84"/>
        <color rgb="FF63BE7B"/>
      </colorScale>
    </cfRule>
  </conditionalFormatting>
  <conditionalFormatting sqref="E10:E27">
    <cfRule type="colorScale" priority="10484">
      <colorScale>
        <cfvo type="min"/>
        <cfvo type="percentile" val="50"/>
        <cfvo type="max"/>
        <color rgb="FFF8696B"/>
        <color rgb="FFFFEB84"/>
        <color rgb="FF63BE7B"/>
      </colorScale>
    </cfRule>
  </conditionalFormatting>
  <conditionalFormatting sqref="E10:E27">
    <cfRule type="colorScale" priority="10483">
      <colorScale>
        <cfvo type="min"/>
        <cfvo type="percentile" val="50"/>
        <cfvo type="max"/>
        <color rgb="FFF8696B"/>
        <color rgb="FFFFEB84"/>
        <color rgb="FF63BE7B"/>
      </colorScale>
    </cfRule>
  </conditionalFormatting>
  <conditionalFormatting sqref="E10:E27">
    <cfRule type="colorScale" priority="10482">
      <colorScale>
        <cfvo type="min"/>
        <cfvo type="percentile" val="50"/>
        <cfvo type="max"/>
        <color rgb="FFF8696B"/>
        <color rgb="FFFFEB84"/>
        <color rgb="FF63BE7B"/>
      </colorScale>
    </cfRule>
  </conditionalFormatting>
  <conditionalFormatting sqref="E10:E27">
    <cfRule type="colorScale" priority="10481">
      <colorScale>
        <cfvo type="min"/>
        <cfvo type="percentile" val="50"/>
        <cfvo type="max"/>
        <color rgb="FFF8696B"/>
        <color rgb="FFFFEB84"/>
        <color rgb="FF63BE7B"/>
      </colorScale>
    </cfRule>
  </conditionalFormatting>
  <conditionalFormatting sqref="E10:E27">
    <cfRule type="colorScale" priority="10480">
      <colorScale>
        <cfvo type="min"/>
        <cfvo type="percentile" val="50"/>
        <cfvo type="max"/>
        <color rgb="FFF8696B"/>
        <color rgb="FFFFEB84"/>
        <color rgb="FF63BE7B"/>
      </colorScale>
    </cfRule>
  </conditionalFormatting>
  <conditionalFormatting sqref="E10:E27">
    <cfRule type="colorScale" priority="10479">
      <colorScale>
        <cfvo type="min"/>
        <cfvo type="percentile" val="50"/>
        <cfvo type="max"/>
        <color rgb="FFF8696B"/>
        <color rgb="FFFFEB84"/>
        <color rgb="FF63BE7B"/>
      </colorScale>
    </cfRule>
  </conditionalFormatting>
  <conditionalFormatting sqref="E10:E27">
    <cfRule type="colorScale" priority="10478">
      <colorScale>
        <cfvo type="min"/>
        <cfvo type="percentile" val="50"/>
        <cfvo type="max"/>
        <color rgb="FFF8696B"/>
        <color rgb="FFFFEB84"/>
        <color rgb="FF63BE7B"/>
      </colorScale>
    </cfRule>
  </conditionalFormatting>
  <conditionalFormatting sqref="E10:E27">
    <cfRule type="colorScale" priority="10477">
      <colorScale>
        <cfvo type="min"/>
        <cfvo type="percentile" val="50"/>
        <cfvo type="max"/>
        <color rgb="FFF8696B"/>
        <color rgb="FFFFEB84"/>
        <color rgb="FF63BE7B"/>
      </colorScale>
    </cfRule>
  </conditionalFormatting>
  <conditionalFormatting sqref="E10:E27">
    <cfRule type="colorScale" priority="10476">
      <colorScale>
        <cfvo type="min"/>
        <cfvo type="percentile" val="50"/>
        <cfvo type="max"/>
        <color rgb="FFF8696B"/>
        <color rgb="FFFFEB84"/>
        <color rgb="FF63BE7B"/>
      </colorScale>
    </cfRule>
  </conditionalFormatting>
  <conditionalFormatting sqref="E10:E27">
    <cfRule type="colorScale" priority="10475">
      <colorScale>
        <cfvo type="min"/>
        <cfvo type="percentile" val="50"/>
        <cfvo type="max"/>
        <color rgb="FFF8696B"/>
        <color rgb="FFFFEB84"/>
        <color rgb="FF63BE7B"/>
      </colorScale>
    </cfRule>
  </conditionalFormatting>
  <conditionalFormatting sqref="E10:E27">
    <cfRule type="colorScale" priority="10474">
      <colorScale>
        <cfvo type="min"/>
        <cfvo type="percentile" val="50"/>
        <cfvo type="max"/>
        <color rgb="FFF8696B"/>
        <color rgb="FFFFEB84"/>
        <color rgb="FF63BE7B"/>
      </colorScale>
    </cfRule>
  </conditionalFormatting>
  <conditionalFormatting sqref="E10:E27">
    <cfRule type="colorScale" priority="10473">
      <colorScale>
        <cfvo type="min"/>
        <cfvo type="percentile" val="50"/>
        <cfvo type="max"/>
        <color rgb="FFF8696B"/>
        <color rgb="FFFFEB84"/>
        <color rgb="FF63BE7B"/>
      </colorScale>
    </cfRule>
  </conditionalFormatting>
  <conditionalFormatting sqref="E10:E27">
    <cfRule type="colorScale" priority="10472">
      <colorScale>
        <cfvo type="min"/>
        <cfvo type="percentile" val="50"/>
        <cfvo type="max"/>
        <color rgb="FFF8696B"/>
        <color rgb="FFFFEB84"/>
        <color rgb="FF63BE7B"/>
      </colorScale>
    </cfRule>
  </conditionalFormatting>
  <conditionalFormatting sqref="E10:E27">
    <cfRule type="colorScale" priority="10471">
      <colorScale>
        <cfvo type="min"/>
        <cfvo type="percentile" val="50"/>
        <cfvo type="max"/>
        <color rgb="FFF8696B"/>
        <color rgb="FFFFEB84"/>
        <color rgb="FF63BE7B"/>
      </colorScale>
    </cfRule>
  </conditionalFormatting>
  <conditionalFormatting sqref="E10:E27">
    <cfRule type="colorScale" priority="10470">
      <colorScale>
        <cfvo type="min"/>
        <cfvo type="percentile" val="50"/>
        <cfvo type="max"/>
        <color rgb="FFF8696B"/>
        <color rgb="FFFFEB84"/>
        <color rgb="FF63BE7B"/>
      </colorScale>
    </cfRule>
  </conditionalFormatting>
  <conditionalFormatting sqref="E10:E27">
    <cfRule type="colorScale" priority="10469">
      <colorScale>
        <cfvo type="min"/>
        <cfvo type="percentile" val="50"/>
        <cfvo type="max"/>
        <color rgb="FFF8696B"/>
        <color rgb="FFFFEB84"/>
        <color rgb="FF63BE7B"/>
      </colorScale>
    </cfRule>
  </conditionalFormatting>
  <conditionalFormatting sqref="E10:E27">
    <cfRule type="colorScale" priority="10468">
      <colorScale>
        <cfvo type="min"/>
        <cfvo type="percentile" val="50"/>
        <cfvo type="max"/>
        <color rgb="FFF8696B"/>
        <color rgb="FFFFEB84"/>
        <color rgb="FF63BE7B"/>
      </colorScale>
    </cfRule>
  </conditionalFormatting>
  <conditionalFormatting sqref="E10:E27">
    <cfRule type="colorScale" priority="10467">
      <colorScale>
        <cfvo type="min"/>
        <cfvo type="percentile" val="50"/>
        <cfvo type="max"/>
        <color rgb="FFF8696B"/>
        <color rgb="FFFFEB84"/>
        <color rgb="FF63BE7B"/>
      </colorScale>
    </cfRule>
  </conditionalFormatting>
  <conditionalFormatting sqref="E10:E27">
    <cfRule type="colorScale" priority="10466">
      <colorScale>
        <cfvo type="min"/>
        <cfvo type="percentile" val="50"/>
        <cfvo type="max"/>
        <color rgb="FFF8696B"/>
        <color rgb="FFFFEB84"/>
        <color rgb="FF63BE7B"/>
      </colorScale>
    </cfRule>
  </conditionalFormatting>
  <conditionalFormatting sqref="E10:E27">
    <cfRule type="colorScale" priority="10465">
      <colorScale>
        <cfvo type="min"/>
        <cfvo type="percentile" val="50"/>
        <cfvo type="max"/>
        <color rgb="FFF8696B"/>
        <color rgb="FFFFEB84"/>
        <color rgb="FF63BE7B"/>
      </colorScale>
    </cfRule>
  </conditionalFormatting>
  <conditionalFormatting sqref="E10:E27">
    <cfRule type="colorScale" priority="10464">
      <colorScale>
        <cfvo type="min"/>
        <cfvo type="percentile" val="50"/>
        <cfvo type="max"/>
        <color rgb="FFF8696B"/>
        <color rgb="FFFFEB84"/>
        <color rgb="FF63BE7B"/>
      </colorScale>
    </cfRule>
  </conditionalFormatting>
  <conditionalFormatting sqref="E10:E27">
    <cfRule type="colorScale" priority="10463">
      <colorScale>
        <cfvo type="min"/>
        <cfvo type="percentile" val="50"/>
        <cfvo type="max"/>
        <color rgb="FFF8696B"/>
        <color rgb="FFFFEB84"/>
        <color rgb="FF63BE7B"/>
      </colorScale>
    </cfRule>
  </conditionalFormatting>
  <conditionalFormatting sqref="E10:E27">
    <cfRule type="colorScale" priority="10462">
      <colorScale>
        <cfvo type="min"/>
        <cfvo type="percentile" val="50"/>
        <cfvo type="max"/>
        <color rgb="FFF8696B"/>
        <color rgb="FFFFEB84"/>
        <color rgb="FF63BE7B"/>
      </colorScale>
    </cfRule>
  </conditionalFormatting>
  <conditionalFormatting sqref="E10:E27">
    <cfRule type="colorScale" priority="10461">
      <colorScale>
        <cfvo type="min"/>
        <cfvo type="percentile" val="50"/>
        <cfvo type="max"/>
        <color rgb="FFF8696B"/>
        <color rgb="FFFFEB84"/>
        <color rgb="FF63BE7B"/>
      </colorScale>
    </cfRule>
  </conditionalFormatting>
  <conditionalFormatting sqref="E10:E27">
    <cfRule type="colorScale" priority="10460">
      <colorScale>
        <cfvo type="min"/>
        <cfvo type="percentile" val="50"/>
        <cfvo type="max"/>
        <color rgb="FFF8696B"/>
        <color rgb="FFFFEB84"/>
        <color rgb="FF63BE7B"/>
      </colorScale>
    </cfRule>
  </conditionalFormatting>
  <conditionalFormatting sqref="E10:E27">
    <cfRule type="colorScale" priority="10459">
      <colorScale>
        <cfvo type="min"/>
        <cfvo type="percentile" val="50"/>
        <cfvo type="max"/>
        <color rgb="FFF8696B"/>
        <color rgb="FFFFEB84"/>
        <color rgb="FF63BE7B"/>
      </colorScale>
    </cfRule>
  </conditionalFormatting>
  <conditionalFormatting sqref="E10:E27">
    <cfRule type="colorScale" priority="10458">
      <colorScale>
        <cfvo type="min"/>
        <cfvo type="percentile" val="50"/>
        <cfvo type="max"/>
        <color rgb="FFF8696B"/>
        <color rgb="FFFFEB84"/>
        <color rgb="FF63BE7B"/>
      </colorScale>
    </cfRule>
  </conditionalFormatting>
  <conditionalFormatting sqref="E10:E27">
    <cfRule type="colorScale" priority="10457">
      <colorScale>
        <cfvo type="min"/>
        <cfvo type="percentile" val="50"/>
        <cfvo type="max"/>
        <color rgb="FFF8696B"/>
        <color rgb="FFFFEB84"/>
        <color rgb="FF63BE7B"/>
      </colorScale>
    </cfRule>
  </conditionalFormatting>
  <conditionalFormatting sqref="E10:E27">
    <cfRule type="colorScale" priority="10456">
      <colorScale>
        <cfvo type="min"/>
        <cfvo type="percentile" val="50"/>
        <cfvo type="max"/>
        <color rgb="FFF8696B"/>
        <color rgb="FFFFEB84"/>
        <color rgb="FF63BE7B"/>
      </colorScale>
    </cfRule>
  </conditionalFormatting>
  <conditionalFormatting sqref="E10:E27">
    <cfRule type="colorScale" priority="10455">
      <colorScale>
        <cfvo type="min"/>
        <cfvo type="percentile" val="50"/>
        <cfvo type="max"/>
        <color rgb="FFF8696B"/>
        <color rgb="FFFFEB84"/>
        <color rgb="FF63BE7B"/>
      </colorScale>
    </cfRule>
  </conditionalFormatting>
  <conditionalFormatting sqref="E10:E27">
    <cfRule type="colorScale" priority="10454">
      <colorScale>
        <cfvo type="min"/>
        <cfvo type="percentile" val="50"/>
        <cfvo type="max"/>
        <color rgb="FFF8696B"/>
        <color rgb="FFFFEB84"/>
        <color rgb="FF63BE7B"/>
      </colorScale>
    </cfRule>
  </conditionalFormatting>
  <conditionalFormatting sqref="E10:E21">
    <cfRule type="colorScale" priority="10453">
      <colorScale>
        <cfvo type="min"/>
        <cfvo type="percentile" val="50"/>
        <cfvo type="max"/>
        <color rgb="FFF8696B"/>
        <color rgb="FFFFEB84"/>
        <color rgb="FF63BE7B"/>
      </colorScale>
    </cfRule>
  </conditionalFormatting>
  <conditionalFormatting sqref="E10:E21">
    <cfRule type="colorScale" priority="10452">
      <colorScale>
        <cfvo type="min"/>
        <cfvo type="percentile" val="50"/>
        <cfvo type="max"/>
        <color rgb="FFF8696B"/>
        <color rgb="FFFFEB84"/>
        <color rgb="FF63BE7B"/>
      </colorScale>
    </cfRule>
  </conditionalFormatting>
  <conditionalFormatting sqref="E10:E27">
    <cfRule type="colorScale" priority="10451">
      <colorScale>
        <cfvo type="min"/>
        <cfvo type="percentile" val="50"/>
        <cfvo type="max"/>
        <color rgb="FFF8696B"/>
        <color rgb="FFFFEB84"/>
        <color rgb="FF63BE7B"/>
      </colorScale>
    </cfRule>
  </conditionalFormatting>
  <conditionalFormatting sqref="E10:E27">
    <cfRule type="colorScale" priority="10450">
      <colorScale>
        <cfvo type="min"/>
        <cfvo type="percentile" val="50"/>
        <cfvo type="max"/>
        <color rgb="FFF8696B"/>
        <color rgb="FFFFEB84"/>
        <color rgb="FF63BE7B"/>
      </colorScale>
    </cfRule>
  </conditionalFormatting>
  <conditionalFormatting sqref="E22:E27">
    <cfRule type="colorScale" priority="10449">
      <colorScale>
        <cfvo type="min"/>
        <cfvo type="percentile" val="50"/>
        <cfvo type="max"/>
        <color rgb="FFF8696B"/>
        <color rgb="FFFFEB84"/>
        <color rgb="FF63BE7B"/>
      </colorScale>
    </cfRule>
  </conditionalFormatting>
  <conditionalFormatting sqref="E22:E27">
    <cfRule type="colorScale" priority="10448">
      <colorScale>
        <cfvo type="min"/>
        <cfvo type="percentile" val="50"/>
        <cfvo type="max"/>
        <color rgb="FFF8696B"/>
        <color rgb="FFFFEB84"/>
        <color rgb="FF63BE7B"/>
      </colorScale>
    </cfRule>
  </conditionalFormatting>
  <conditionalFormatting sqref="E25">
    <cfRule type="colorScale" priority="10447">
      <colorScale>
        <cfvo type="min"/>
        <cfvo type="percentile" val="50"/>
        <cfvo type="max"/>
        <color rgb="FFF8696B"/>
        <color rgb="FFFFEB84"/>
        <color rgb="FF63BE7B"/>
      </colorScale>
    </cfRule>
  </conditionalFormatting>
  <conditionalFormatting sqref="E25">
    <cfRule type="colorScale" priority="10446">
      <colorScale>
        <cfvo type="min"/>
        <cfvo type="percentile" val="50"/>
        <cfvo type="max"/>
        <color rgb="FFF8696B"/>
        <color rgb="FFFFEB84"/>
        <color rgb="FF63BE7B"/>
      </colorScale>
    </cfRule>
  </conditionalFormatting>
  <conditionalFormatting sqref="E25">
    <cfRule type="colorScale" priority="10445">
      <colorScale>
        <cfvo type="min"/>
        <cfvo type="percentile" val="50"/>
        <cfvo type="max"/>
        <color rgb="FFF8696B"/>
        <color rgb="FFFFEB84"/>
        <color rgb="FF63BE7B"/>
      </colorScale>
    </cfRule>
  </conditionalFormatting>
  <conditionalFormatting sqref="E25">
    <cfRule type="colorScale" priority="10444">
      <colorScale>
        <cfvo type="min"/>
        <cfvo type="percentile" val="50"/>
        <cfvo type="max"/>
        <color rgb="FFF8696B"/>
        <color rgb="FFFFEB84"/>
        <color rgb="FF63BE7B"/>
      </colorScale>
    </cfRule>
  </conditionalFormatting>
  <conditionalFormatting sqref="E25">
    <cfRule type="colorScale" priority="10443">
      <colorScale>
        <cfvo type="min"/>
        <cfvo type="percentile" val="50"/>
        <cfvo type="max"/>
        <color rgb="FFF8696B"/>
        <color rgb="FFFFEB84"/>
        <color rgb="FF63BE7B"/>
      </colorScale>
    </cfRule>
  </conditionalFormatting>
  <conditionalFormatting sqref="E25">
    <cfRule type="colorScale" priority="10442">
      <colorScale>
        <cfvo type="min"/>
        <cfvo type="percentile" val="50"/>
        <cfvo type="max"/>
        <color rgb="FFF8696B"/>
        <color rgb="FFFFEB84"/>
        <color rgb="FF63BE7B"/>
      </colorScale>
    </cfRule>
  </conditionalFormatting>
  <conditionalFormatting sqref="E25">
    <cfRule type="colorScale" priority="10441">
      <colorScale>
        <cfvo type="min"/>
        <cfvo type="percentile" val="50"/>
        <cfvo type="max"/>
        <color rgb="FFF8696B"/>
        <color rgb="FFFFEB84"/>
        <color rgb="FF63BE7B"/>
      </colorScale>
    </cfRule>
  </conditionalFormatting>
  <conditionalFormatting sqref="E25">
    <cfRule type="colorScale" priority="10440">
      <colorScale>
        <cfvo type="min"/>
        <cfvo type="percentile" val="50"/>
        <cfvo type="max"/>
        <color rgb="FFF8696B"/>
        <color rgb="FFFFEB84"/>
        <color rgb="FF63BE7B"/>
      </colorScale>
    </cfRule>
  </conditionalFormatting>
  <conditionalFormatting sqref="E25">
    <cfRule type="colorScale" priority="10439">
      <colorScale>
        <cfvo type="min"/>
        <cfvo type="percentile" val="50"/>
        <cfvo type="max"/>
        <color rgb="FFF8696B"/>
        <color rgb="FFFFEB84"/>
        <color rgb="FF63BE7B"/>
      </colorScale>
    </cfRule>
  </conditionalFormatting>
  <conditionalFormatting sqref="E25">
    <cfRule type="colorScale" priority="10438">
      <colorScale>
        <cfvo type="min"/>
        <cfvo type="percentile" val="50"/>
        <cfvo type="max"/>
        <color rgb="FFF8696B"/>
        <color rgb="FFFFEB84"/>
        <color rgb="FF63BE7B"/>
      </colorScale>
    </cfRule>
  </conditionalFormatting>
  <conditionalFormatting sqref="E25">
    <cfRule type="colorScale" priority="10437">
      <colorScale>
        <cfvo type="min"/>
        <cfvo type="percentile" val="50"/>
        <cfvo type="max"/>
        <color rgb="FFF8696B"/>
        <color rgb="FFFFEB84"/>
        <color rgb="FF63BE7B"/>
      </colorScale>
    </cfRule>
  </conditionalFormatting>
  <conditionalFormatting sqref="E25">
    <cfRule type="colorScale" priority="10436">
      <colorScale>
        <cfvo type="min"/>
        <cfvo type="percentile" val="50"/>
        <cfvo type="max"/>
        <color rgb="FFF8696B"/>
        <color rgb="FFFFEB84"/>
        <color rgb="FF63BE7B"/>
      </colorScale>
    </cfRule>
  </conditionalFormatting>
  <conditionalFormatting sqref="E25">
    <cfRule type="colorScale" priority="10435">
      <colorScale>
        <cfvo type="min"/>
        <cfvo type="percentile" val="50"/>
        <cfvo type="max"/>
        <color rgb="FFF8696B"/>
        <color rgb="FFFFEB84"/>
        <color rgb="FF63BE7B"/>
      </colorScale>
    </cfRule>
  </conditionalFormatting>
  <conditionalFormatting sqref="E25">
    <cfRule type="colorScale" priority="10434">
      <colorScale>
        <cfvo type="min"/>
        <cfvo type="percentile" val="50"/>
        <cfvo type="max"/>
        <color rgb="FFF8696B"/>
        <color rgb="FFFFEB84"/>
        <color rgb="FF63BE7B"/>
      </colorScale>
    </cfRule>
  </conditionalFormatting>
  <conditionalFormatting sqref="E25">
    <cfRule type="colorScale" priority="10433">
      <colorScale>
        <cfvo type="min"/>
        <cfvo type="percentile" val="50"/>
        <cfvo type="max"/>
        <color rgb="FFF8696B"/>
        <color rgb="FFFFEB84"/>
        <color rgb="FF63BE7B"/>
      </colorScale>
    </cfRule>
  </conditionalFormatting>
  <conditionalFormatting sqref="E25">
    <cfRule type="colorScale" priority="10432">
      <colorScale>
        <cfvo type="min"/>
        <cfvo type="percentile" val="50"/>
        <cfvo type="max"/>
        <color rgb="FFF8696B"/>
        <color rgb="FFFFEB84"/>
        <color rgb="FF63BE7B"/>
      </colorScale>
    </cfRule>
  </conditionalFormatting>
  <conditionalFormatting sqref="E25">
    <cfRule type="colorScale" priority="10431">
      <colorScale>
        <cfvo type="min"/>
        <cfvo type="percentile" val="50"/>
        <cfvo type="max"/>
        <color rgb="FFF8696B"/>
        <color rgb="FFFFEB84"/>
        <color rgb="FF63BE7B"/>
      </colorScale>
    </cfRule>
  </conditionalFormatting>
  <conditionalFormatting sqref="E25">
    <cfRule type="colorScale" priority="10430">
      <colorScale>
        <cfvo type="min"/>
        <cfvo type="percentile" val="50"/>
        <cfvo type="max"/>
        <color rgb="FFF8696B"/>
        <color rgb="FFFFEB84"/>
        <color rgb="FF63BE7B"/>
      </colorScale>
    </cfRule>
  </conditionalFormatting>
  <conditionalFormatting sqref="E25">
    <cfRule type="colorScale" priority="10429">
      <colorScale>
        <cfvo type="min"/>
        <cfvo type="percentile" val="50"/>
        <cfvo type="max"/>
        <color rgb="FFF8696B"/>
        <color rgb="FFFFEB84"/>
        <color rgb="FF63BE7B"/>
      </colorScale>
    </cfRule>
  </conditionalFormatting>
  <conditionalFormatting sqref="E25">
    <cfRule type="colorScale" priority="10428">
      <colorScale>
        <cfvo type="min"/>
        <cfvo type="percentile" val="50"/>
        <cfvo type="max"/>
        <color rgb="FFF8696B"/>
        <color rgb="FFFFEB84"/>
        <color rgb="FF63BE7B"/>
      </colorScale>
    </cfRule>
  </conditionalFormatting>
  <conditionalFormatting sqref="E25">
    <cfRule type="colorScale" priority="10427">
      <colorScale>
        <cfvo type="min"/>
        <cfvo type="percentile" val="50"/>
        <cfvo type="max"/>
        <color rgb="FFF8696B"/>
        <color rgb="FFFFEB84"/>
        <color rgb="FF63BE7B"/>
      </colorScale>
    </cfRule>
  </conditionalFormatting>
  <conditionalFormatting sqref="E25">
    <cfRule type="colorScale" priority="10426">
      <colorScale>
        <cfvo type="min"/>
        <cfvo type="percentile" val="50"/>
        <cfvo type="max"/>
        <color rgb="FFF8696B"/>
        <color rgb="FFFFEB84"/>
        <color rgb="FF63BE7B"/>
      </colorScale>
    </cfRule>
  </conditionalFormatting>
  <conditionalFormatting sqref="E25">
    <cfRule type="colorScale" priority="10425">
      <colorScale>
        <cfvo type="min"/>
        <cfvo type="percentile" val="50"/>
        <cfvo type="max"/>
        <color rgb="FFF8696B"/>
        <color rgb="FFFFEB84"/>
        <color rgb="FF63BE7B"/>
      </colorScale>
    </cfRule>
  </conditionalFormatting>
  <conditionalFormatting sqref="E25">
    <cfRule type="colorScale" priority="10424">
      <colorScale>
        <cfvo type="min"/>
        <cfvo type="percentile" val="50"/>
        <cfvo type="max"/>
        <color rgb="FFF8696B"/>
        <color rgb="FFFFEB84"/>
        <color rgb="FF63BE7B"/>
      </colorScale>
    </cfRule>
  </conditionalFormatting>
  <conditionalFormatting sqref="E25">
    <cfRule type="colorScale" priority="10423">
      <colorScale>
        <cfvo type="min"/>
        <cfvo type="percentile" val="50"/>
        <cfvo type="max"/>
        <color rgb="FFF8696B"/>
        <color rgb="FFFFEB84"/>
        <color rgb="FF63BE7B"/>
      </colorScale>
    </cfRule>
  </conditionalFormatting>
  <conditionalFormatting sqref="E25">
    <cfRule type="colorScale" priority="10422">
      <colorScale>
        <cfvo type="min"/>
        <cfvo type="percentile" val="50"/>
        <cfvo type="max"/>
        <color rgb="FFF8696B"/>
        <color rgb="FFFFEB84"/>
        <color rgb="FF63BE7B"/>
      </colorScale>
    </cfRule>
  </conditionalFormatting>
  <conditionalFormatting sqref="E25">
    <cfRule type="colorScale" priority="10421">
      <colorScale>
        <cfvo type="min"/>
        <cfvo type="percentile" val="50"/>
        <cfvo type="max"/>
        <color rgb="FFF8696B"/>
        <color rgb="FFFFEB84"/>
        <color rgb="FF63BE7B"/>
      </colorScale>
    </cfRule>
  </conditionalFormatting>
  <conditionalFormatting sqref="E25">
    <cfRule type="colorScale" priority="10420">
      <colorScale>
        <cfvo type="min"/>
        <cfvo type="percentile" val="50"/>
        <cfvo type="max"/>
        <color rgb="FFF8696B"/>
        <color rgb="FFFFEB84"/>
        <color rgb="FF63BE7B"/>
      </colorScale>
    </cfRule>
  </conditionalFormatting>
  <conditionalFormatting sqref="E25">
    <cfRule type="colorScale" priority="10419">
      <colorScale>
        <cfvo type="min"/>
        <cfvo type="percentile" val="50"/>
        <cfvo type="max"/>
        <color rgb="FFF8696B"/>
        <color rgb="FFFFEB84"/>
        <color rgb="FF63BE7B"/>
      </colorScale>
    </cfRule>
  </conditionalFormatting>
  <conditionalFormatting sqref="E25">
    <cfRule type="colorScale" priority="10418">
      <colorScale>
        <cfvo type="min"/>
        <cfvo type="percentile" val="50"/>
        <cfvo type="max"/>
        <color rgb="FFF8696B"/>
        <color rgb="FFFFEB84"/>
        <color rgb="FF63BE7B"/>
      </colorScale>
    </cfRule>
  </conditionalFormatting>
  <conditionalFormatting sqref="E25">
    <cfRule type="colorScale" priority="10417">
      <colorScale>
        <cfvo type="min"/>
        <cfvo type="percentile" val="50"/>
        <cfvo type="max"/>
        <color rgb="FFF8696B"/>
        <color rgb="FFFFEB84"/>
        <color rgb="FF63BE7B"/>
      </colorScale>
    </cfRule>
  </conditionalFormatting>
  <conditionalFormatting sqref="E25">
    <cfRule type="colorScale" priority="10416">
      <colorScale>
        <cfvo type="min"/>
        <cfvo type="percentile" val="50"/>
        <cfvo type="max"/>
        <color rgb="FFF8696B"/>
        <color rgb="FFFFEB84"/>
        <color rgb="FF63BE7B"/>
      </colorScale>
    </cfRule>
  </conditionalFormatting>
  <conditionalFormatting sqref="E25">
    <cfRule type="colorScale" priority="10415">
      <colorScale>
        <cfvo type="min"/>
        <cfvo type="percentile" val="50"/>
        <cfvo type="max"/>
        <color rgb="FFF8696B"/>
        <color rgb="FFFFEB84"/>
        <color rgb="FF63BE7B"/>
      </colorScale>
    </cfRule>
  </conditionalFormatting>
  <conditionalFormatting sqref="E25">
    <cfRule type="colorScale" priority="10414">
      <colorScale>
        <cfvo type="min"/>
        <cfvo type="percentile" val="50"/>
        <cfvo type="max"/>
        <color rgb="FFF8696B"/>
        <color rgb="FFFFEB84"/>
        <color rgb="FF63BE7B"/>
      </colorScale>
    </cfRule>
  </conditionalFormatting>
  <conditionalFormatting sqref="E25">
    <cfRule type="colorScale" priority="10413">
      <colorScale>
        <cfvo type="min"/>
        <cfvo type="percentile" val="50"/>
        <cfvo type="max"/>
        <color rgb="FFF8696B"/>
        <color rgb="FFFFEB84"/>
        <color rgb="FF63BE7B"/>
      </colorScale>
    </cfRule>
  </conditionalFormatting>
  <conditionalFormatting sqref="E25">
    <cfRule type="colorScale" priority="10412">
      <colorScale>
        <cfvo type="min"/>
        <cfvo type="percentile" val="50"/>
        <cfvo type="max"/>
        <color rgb="FFF8696B"/>
        <color rgb="FFFFEB84"/>
        <color rgb="FF63BE7B"/>
      </colorScale>
    </cfRule>
  </conditionalFormatting>
  <conditionalFormatting sqref="E25">
    <cfRule type="colorScale" priority="10411">
      <colorScale>
        <cfvo type="min"/>
        <cfvo type="percentile" val="50"/>
        <cfvo type="max"/>
        <color rgb="FFF8696B"/>
        <color rgb="FFFFEB84"/>
        <color rgb="FF63BE7B"/>
      </colorScale>
    </cfRule>
  </conditionalFormatting>
  <conditionalFormatting sqref="E25">
    <cfRule type="colorScale" priority="10410">
      <colorScale>
        <cfvo type="min"/>
        <cfvo type="percentile" val="50"/>
        <cfvo type="max"/>
        <color rgb="FFF8696B"/>
        <color rgb="FFFFEB84"/>
        <color rgb="FF63BE7B"/>
      </colorScale>
    </cfRule>
  </conditionalFormatting>
  <conditionalFormatting sqref="E25">
    <cfRule type="colorScale" priority="10409">
      <colorScale>
        <cfvo type="min"/>
        <cfvo type="percentile" val="50"/>
        <cfvo type="max"/>
        <color rgb="FFF8696B"/>
        <color rgb="FFFFEB84"/>
        <color rgb="FF63BE7B"/>
      </colorScale>
    </cfRule>
  </conditionalFormatting>
  <conditionalFormatting sqref="E25">
    <cfRule type="colorScale" priority="10408">
      <colorScale>
        <cfvo type="min"/>
        <cfvo type="percentile" val="50"/>
        <cfvo type="max"/>
        <color rgb="FFF8696B"/>
        <color rgb="FFFFEB84"/>
        <color rgb="FF63BE7B"/>
      </colorScale>
    </cfRule>
  </conditionalFormatting>
  <conditionalFormatting sqref="E25">
    <cfRule type="colorScale" priority="10407">
      <colorScale>
        <cfvo type="min"/>
        <cfvo type="percentile" val="50"/>
        <cfvo type="max"/>
        <color rgb="FFF8696B"/>
        <color rgb="FFFFEB84"/>
        <color rgb="FF63BE7B"/>
      </colorScale>
    </cfRule>
  </conditionalFormatting>
  <conditionalFormatting sqref="E25">
    <cfRule type="colorScale" priority="10406">
      <colorScale>
        <cfvo type="min"/>
        <cfvo type="percentile" val="50"/>
        <cfvo type="max"/>
        <color rgb="FFF8696B"/>
        <color rgb="FFFFEB84"/>
        <color rgb="FF63BE7B"/>
      </colorScale>
    </cfRule>
  </conditionalFormatting>
  <conditionalFormatting sqref="E25">
    <cfRule type="colorScale" priority="10405">
      <colorScale>
        <cfvo type="min"/>
        <cfvo type="percentile" val="50"/>
        <cfvo type="max"/>
        <color rgb="FFF8696B"/>
        <color rgb="FFFFEB84"/>
        <color rgb="FF63BE7B"/>
      </colorScale>
    </cfRule>
  </conditionalFormatting>
  <conditionalFormatting sqref="E25">
    <cfRule type="colorScale" priority="10404">
      <colorScale>
        <cfvo type="min"/>
        <cfvo type="percentile" val="50"/>
        <cfvo type="max"/>
        <color rgb="FFF8696B"/>
        <color rgb="FFFFEB84"/>
        <color rgb="FF63BE7B"/>
      </colorScale>
    </cfRule>
  </conditionalFormatting>
  <conditionalFormatting sqref="E25">
    <cfRule type="colorScale" priority="10403">
      <colorScale>
        <cfvo type="min"/>
        <cfvo type="percentile" val="50"/>
        <cfvo type="max"/>
        <color rgb="FFF8696B"/>
        <color rgb="FFFFEB84"/>
        <color rgb="FF63BE7B"/>
      </colorScale>
    </cfRule>
  </conditionalFormatting>
  <conditionalFormatting sqref="E25">
    <cfRule type="colorScale" priority="10402">
      <colorScale>
        <cfvo type="min"/>
        <cfvo type="percentile" val="50"/>
        <cfvo type="max"/>
        <color rgb="FFF8696B"/>
        <color rgb="FFFFEB84"/>
        <color rgb="FF63BE7B"/>
      </colorScale>
    </cfRule>
  </conditionalFormatting>
  <conditionalFormatting sqref="E25">
    <cfRule type="colorScale" priority="10401">
      <colorScale>
        <cfvo type="min"/>
        <cfvo type="percentile" val="50"/>
        <cfvo type="max"/>
        <color rgb="FFF8696B"/>
        <color rgb="FFFFEB84"/>
        <color rgb="FF63BE7B"/>
      </colorScale>
    </cfRule>
  </conditionalFormatting>
  <conditionalFormatting sqref="E25">
    <cfRule type="colorScale" priority="10400">
      <colorScale>
        <cfvo type="min"/>
        <cfvo type="percentile" val="50"/>
        <cfvo type="max"/>
        <color rgb="FFF8696B"/>
        <color rgb="FFFFEB84"/>
        <color rgb="FF63BE7B"/>
      </colorScale>
    </cfRule>
  </conditionalFormatting>
  <conditionalFormatting sqref="E25">
    <cfRule type="colorScale" priority="10399">
      <colorScale>
        <cfvo type="min"/>
        <cfvo type="percentile" val="50"/>
        <cfvo type="max"/>
        <color rgb="FFF8696B"/>
        <color rgb="FFFFEB84"/>
        <color rgb="FF63BE7B"/>
      </colorScale>
    </cfRule>
  </conditionalFormatting>
  <conditionalFormatting sqref="E25">
    <cfRule type="colorScale" priority="10398">
      <colorScale>
        <cfvo type="min"/>
        <cfvo type="percentile" val="50"/>
        <cfvo type="max"/>
        <color rgb="FFF8696B"/>
        <color rgb="FFFFEB84"/>
        <color rgb="FF63BE7B"/>
      </colorScale>
    </cfRule>
  </conditionalFormatting>
  <conditionalFormatting sqref="E25">
    <cfRule type="colorScale" priority="10397">
      <colorScale>
        <cfvo type="min"/>
        <cfvo type="percentile" val="50"/>
        <cfvo type="max"/>
        <color rgb="FFF8696B"/>
        <color rgb="FFFFEB84"/>
        <color rgb="FF63BE7B"/>
      </colorScale>
    </cfRule>
  </conditionalFormatting>
  <conditionalFormatting sqref="E25">
    <cfRule type="colorScale" priority="10396">
      <colorScale>
        <cfvo type="min"/>
        <cfvo type="percentile" val="50"/>
        <cfvo type="max"/>
        <color rgb="FFF8696B"/>
        <color rgb="FFFFEB84"/>
        <color rgb="FF63BE7B"/>
      </colorScale>
    </cfRule>
  </conditionalFormatting>
  <conditionalFormatting sqref="E25">
    <cfRule type="colorScale" priority="10395">
      <colorScale>
        <cfvo type="min"/>
        <cfvo type="percentile" val="50"/>
        <cfvo type="max"/>
        <color rgb="FFF8696B"/>
        <color rgb="FFFFEB84"/>
        <color rgb="FF63BE7B"/>
      </colorScale>
    </cfRule>
  </conditionalFormatting>
  <conditionalFormatting sqref="E25">
    <cfRule type="colorScale" priority="10394">
      <colorScale>
        <cfvo type="min"/>
        <cfvo type="percentile" val="50"/>
        <cfvo type="max"/>
        <color rgb="FFF8696B"/>
        <color rgb="FFFFEB84"/>
        <color rgb="FF63BE7B"/>
      </colorScale>
    </cfRule>
  </conditionalFormatting>
  <conditionalFormatting sqref="E25">
    <cfRule type="colorScale" priority="10393">
      <colorScale>
        <cfvo type="min"/>
        <cfvo type="percentile" val="50"/>
        <cfvo type="max"/>
        <color rgb="FFF8696B"/>
        <color rgb="FFFFEB84"/>
        <color rgb="FF63BE7B"/>
      </colorScale>
    </cfRule>
  </conditionalFormatting>
  <conditionalFormatting sqref="E25">
    <cfRule type="colorScale" priority="10392">
      <colorScale>
        <cfvo type="min"/>
        <cfvo type="percentile" val="50"/>
        <cfvo type="max"/>
        <color rgb="FFF8696B"/>
        <color rgb="FFFFEB84"/>
        <color rgb="FF63BE7B"/>
      </colorScale>
    </cfRule>
  </conditionalFormatting>
  <conditionalFormatting sqref="E25">
    <cfRule type="colorScale" priority="10391">
      <colorScale>
        <cfvo type="min"/>
        <cfvo type="percentile" val="50"/>
        <cfvo type="max"/>
        <color rgb="FFF8696B"/>
        <color rgb="FFFFEB84"/>
        <color rgb="FF63BE7B"/>
      </colorScale>
    </cfRule>
  </conditionalFormatting>
  <conditionalFormatting sqref="E25">
    <cfRule type="colorScale" priority="10390">
      <colorScale>
        <cfvo type="min"/>
        <cfvo type="percentile" val="50"/>
        <cfvo type="max"/>
        <color rgb="FFF8696B"/>
        <color rgb="FFFFEB84"/>
        <color rgb="FF63BE7B"/>
      </colorScale>
    </cfRule>
  </conditionalFormatting>
  <conditionalFormatting sqref="E25">
    <cfRule type="colorScale" priority="10389">
      <colorScale>
        <cfvo type="min"/>
        <cfvo type="percentile" val="50"/>
        <cfvo type="max"/>
        <color rgb="FFF8696B"/>
        <color rgb="FFFFEB84"/>
        <color rgb="FF63BE7B"/>
      </colorScale>
    </cfRule>
  </conditionalFormatting>
  <conditionalFormatting sqref="E25">
    <cfRule type="colorScale" priority="10388">
      <colorScale>
        <cfvo type="min"/>
        <cfvo type="percentile" val="50"/>
        <cfvo type="max"/>
        <color rgb="FFF8696B"/>
        <color rgb="FFFFEB84"/>
        <color rgb="FF63BE7B"/>
      </colorScale>
    </cfRule>
  </conditionalFormatting>
  <conditionalFormatting sqref="E25">
    <cfRule type="colorScale" priority="10387">
      <colorScale>
        <cfvo type="min"/>
        <cfvo type="percentile" val="50"/>
        <cfvo type="max"/>
        <color rgb="FFF8696B"/>
        <color rgb="FFFFEB84"/>
        <color rgb="FF63BE7B"/>
      </colorScale>
    </cfRule>
  </conditionalFormatting>
  <conditionalFormatting sqref="E25">
    <cfRule type="colorScale" priority="10386">
      <colorScale>
        <cfvo type="min"/>
        <cfvo type="percentile" val="50"/>
        <cfvo type="max"/>
        <color rgb="FFF8696B"/>
        <color rgb="FFFFEB84"/>
        <color rgb="FF63BE7B"/>
      </colorScale>
    </cfRule>
  </conditionalFormatting>
  <conditionalFormatting sqref="E25">
    <cfRule type="colorScale" priority="10385">
      <colorScale>
        <cfvo type="min"/>
        <cfvo type="percentile" val="50"/>
        <cfvo type="max"/>
        <color rgb="FFF8696B"/>
        <color rgb="FFFFEB84"/>
        <color rgb="FF63BE7B"/>
      </colorScale>
    </cfRule>
  </conditionalFormatting>
  <conditionalFormatting sqref="E25">
    <cfRule type="colorScale" priority="10384">
      <colorScale>
        <cfvo type="min"/>
        <cfvo type="percentile" val="50"/>
        <cfvo type="max"/>
        <color rgb="FFF8696B"/>
        <color rgb="FFFFEB84"/>
        <color rgb="FF63BE7B"/>
      </colorScale>
    </cfRule>
  </conditionalFormatting>
  <conditionalFormatting sqref="E25">
    <cfRule type="colorScale" priority="10383">
      <colorScale>
        <cfvo type="min"/>
        <cfvo type="percentile" val="50"/>
        <cfvo type="max"/>
        <color rgb="FFF8696B"/>
        <color rgb="FFFFEB84"/>
        <color rgb="FF63BE7B"/>
      </colorScale>
    </cfRule>
  </conditionalFormatting>
  <conditionalFormatting sqref="E25">
    <cfRule type="colorScale" priority="10382">
      <colorScale>
        <cfvo type="min"/>
        <cfvo type="percentile" val="50"/>
        <cfvo type="max"/>
        <color rgb="FFF8696B"/>
        <color rgb="FFFFEB84"/>
        <color rgb="FF63BE7B"/>
      </colorScale>
    </cfRule>
  </conditionalFormatting>
  <conditionalFormatting sqref="E25">
    <cfRule type="colorScale" priority="10381">
      <colorScale>
        <cfvo type="min"/>
        <cfvo type="percentile" val="50"/>
        <cfvo type="max"/>
        <color rgb="FFF8696B"/>
        <color rgb="FFFFEB84"/>
        <color rgb="FF63BE7B"/>
      </colorScale>
    </cfRule>
  </conditionalFormatting>
  <conditionalFormatting sqref="E25">
    <cfRule type="colorScale" priority="10380">
      <colorScale>
        <cfvo type="min"/>
        <cfvo type="percentile" val="50"/>
        <cfvo type="max"/>
        <color rgb="FFF8696B"/>
        <color rgb="FFFFEB84"/>
        <color rgb="FF63BE7B"/>
      </colorScale>
    </cfRule>
  </conditionalFormatting>
  <conditionalFormatting sqref="E25">
    <cfRule type="colorScale" priority="10379">
      <colorScale>
        <cfvo type="min"/>
        <cfvo type="percentile" val="50"/>
        <cfvo type="max"/>
        <color rgb="FFF8696B"/>
        <color rgb="FFFFEB84"/>
        <color rgb="FF63BE7B"/>
      </colorScale>
    </cfRule>
  </conditionalFormatting>
  <conditionalFormatting sqref="E25">
    <cfRule type="colorScale" priority="10378">
      <colorScale>
        <cfvo type="min"/>
        <cfvo type="percentile" val="50"/>
        <cfvo type="max"/>
        <color rgb="FFF8696B"/>
        <color rgb="FFFFEB84"/>
        <color rgb="FF63BE7B"/>
      </colorScale>
    </cfRule>
  </conditionalFormatting>
  <conditionalFormatting sqref="E25">
    <cfRule type="colorScale" priority="10377">
      <colorScale>
        <cfvo type="min"/>
        <cfvo type="percentile" val="50"/>
        <cfvo type="max"/>
        <color rgb="FFF8696B"/>
        <color rgb="FFFFEB84"/>
        <color rgb="FF63BE7B"/>
      </colorScale>
    </cfRule>
  </conditionalFormatting>
  <conditionalFormatting sqref="E25">
    <cfRule type="colorScale" priority="10376">
      <colorScale>
        <cfvo type="min"/>
        <cfvo type="percentile" val="50"/>
        <cfvo type="max"/>
        <color rgb="FFF8696B"/>
        <color rgb="FFFFEB84"/>
        <color rgb="FF63BE7B"/>
      </colorScale>
    </cfRule>
  </conditionalFormatting>
  <conditionalFormatting sqref="E25">
    <cfRule type="colorScale" priority="10375">
      <colorScale>
        <cfvo type="min"/>
        <cfvo type="percentile" val="50"/>
        <cfvo type="max"/>
        <color rgb="FFF8696B"/>
        <color rgb="FFFFEB84"/>
        <color rgb="FF63BE7B"/>
      </colorScale>
    </cfRule>
  </conditionalFormatting>
  <conditionalFormatting sqref="E25">
    <cfRule type="colorScale" priority="10374">
      <colorScale>
        <cfvo type="min"/>
        <cfvo type="percentile" val="50"/>
        <cfvo type="max"/>
        <color rgb="FFF8696B"/>
        <color rgb="FFFFEB84"/>
        <color rgb="FF63BE7B"/>
      </colorScale>
    </cfRule>
  </conditionalFormatting>
  <conditionalFormatting sqref="E25">
    <cfRule type="colorScale" priority="10373">
      <colorScale>
        <cfvo type="min"/>
        <cfvo type="percentile" val="50"/>
        <cfvo type="max"/>
        <color rgb="FFF8696B"/>
        <color rgb="FFFFEB84"/>
        <color rgb="FF63BE7B"/>
      </colorScale>
    </cfRule>
  </conditionalFormatting>
  <conditionalFormatting sqref="E25">
    <cfRule type="colorScale" priority="10372">
      <colorScale>
        <cfvo type="min"/>
        <cfvo type="percentile" val="50"/>
        <cfvo type="max"/>
        <color rgb="FFF8696B"/>
        <color rgb="FFFFEB84"/>
        <color rgb="FF63BE7B"/>
      </colorScale>
    </cfRule>
  </conditionalFormatting>
  <conditionalFormatting sqref="E25">
    <cfRule type="colorScale" priority="10371">
      <colorScale>
        <cfvo type="min"/>
        <cfvo type="percentile" val="50"/>
        <cfvo type="max"/>
        <color rgb="FFF8696B"/>
        <color rgb="FFFFEB84"/>
        <color rgb="FF63BE7B"/>
      </colorScale>
    </cfRule>
  </conditionalFormatting>
  <conditionalFormatting sqref="E25">
    <cfRule type="colorScale" priority="10370">
      <colorScale>
        <cfvo type="min"/>
        <cfvo type="percentile" val="50"/>
        <cfvo type="max"/>
        <color rgb="FFF8696B"/>
        <color rgb="FFFFEB84"/>
        <color rgb="FF63BE7B"/>
      </colorScale>
    </cfRule>
  </conditionalFormatting>
  <conditionalFormatting sqref="E25">
    <cfRule type="colorScale" priority="10369">
      <colorScale>
        <cfvo type="min"/>
        <cfvo type="percentile" val="50"/>
        <cfvo type="max"/>
        <color rgb="FFF8696B"/>
        <color rgb="FFFFEB84"/>
        <color rgb="FF63BE7B"/>
      </colorScale>
    </cfRule>
  </conditionalFormatting>
  <conditionalFormatting sqref="E25">
    <cfRule type="colorScale" priority="10368">
      <colorScale>
        <cfvo type="min"/>
        <cfvo type="percentile" val="50"/>
        <cfvo type="max"/>
        <color rgb="FFF8696B"/>
        <color rgb="FFFFEB84"/>
        <color rgb="FF63BE7B"/>
      </colorScale>
    </cfRule>
  </conditionalFormatting>
  <conditionalFormatting sqref="E25">
    <cfRule type="colorScale" priority="10367">
      <colorScale>
        <cfvo type="min"/>
        <cfvo type="percentile" val="50"/>
        <cfvo type="max"/>
        <color rgb="FFF8696B"/>
        <color rgb="FFFFEB84"/>
        <color rgb="FF63BE7B"/>
      </colorScale>
    </cfRule>
  </conditionalFormatting>
  <conditionalFormatting sqref="E25">
    <cfRule type="colorScale" priority="10366">
      <colorScale>
        <cfvo type="min"/>
        <cfvo type="percentile" val="50"/>
        <cfvo type="max"/>
        <color rgb="FFF8696B"/>
        <color rgb="FFFFEB84"/>
        <color rgb="FF63BE7B"/>
      </colorScale>
    </cfRule>
  </conditionalFormatting>
  <conditionalFormatting sqref="E25">
    <cfRule type="colorScale" priority="10365">
      <colorScale>
        <cfvo type="min"/>
        <cfvo type="percentile" val="50"/>
        <cfvo type="max"/>
        <color rgb="FFF8696B"/>
        <color rgb="FFFFEB84"/>
        <color rgb="FF63BE7B"/>
      </colorScale>
    </cfRule>
  </conditionalFormatting>
  <conditionalFormatting sqref="E25">
    <cfRule type="colorScale" priority="10364">
      <colorScale>
        <cfvo type="min"/>
        <cfvo type="percentile" val="50"/>
        <cfvo type="max"/>
        <color rgb="FFF8696B"/>
        <color rgb="FFFFEB84"/>
        <color rgb="FF63BE7B"/>
      </colorScale>
    </cfRule>
  </conditionalFormatting>
  <conditionalFormatting sqref="E25">
    <cfRule type="colorScale" priority="10363">
      <colorScale>
        <cfvo type="min"/>
        <cfvo type="percentile" val="50"/>
        <cfvo type="max"/>
        <color rgb="FFF8696B"/>
        <color rgb="FFFFEB84"/>
        <color rgb="FF63BE7B"/>
      </colorScale>
    </cfRule>
  </conditionalFormatting>
  <conditionalFormatting sqref="E25">
    <cfRule type="colorScale" priority="10362">
      <colorScale>
        <cfvo type="min"/>
        <cfvo type="percentile" val="50"/>
        <cfvo type="max"/>
        <color rgb="FFF8696B"/>
        <color rgb="FFFFEB84"/>
        <color rgb="FF63BE7B"/>
      </colorScale>
    </cfRule>
  </conditionalFormatting>
  <conditionalFormatting sqref="E25">
    <cfRule type="colorScale" priority="10361">
      <colorScale>
        <cfvo type="min"/>
        <cfvo type="percentile" val="50"/>
        <cfvo type="max"/>
        <color rgb="FFF8696B"/>
        <color rgb="FFFFEB84"/>
        <color rgb="FF63BE7B"/>
      </colorScale>
    </cfRule>
  </conditionalFormatting>
  <conditionalFormatting sqref="E25">
    <cfRule type="colorScale" priority="10360">
      <colorScale>
        <cfvo type="min"/>
        <cfvo type="percentile" val="50"/>
        <cfvo type="max"/>
        <color rgb="FFF8696B"/>
        <color rgb="FFFFEB84"/>
        <color rgb="FF63BE7B"/>
      </colorScale>
    </cfRule>
  </conditionalFormatting>
  <conditionalFormatting sqref="E25">
    <cfRule type="colorScale" priority="10359">
      <colorScale>
        <cfvo type="min"/>
        <cfvo type="percentile" val="50"/>
        <cfvo type="max"/>
        <color rgb="FFF8696B"/>
        <color rgb="FFFFEB84"/>
        <color rgb="FF63BE7B"/>
      </colorScale>
    </cfRule>
  </conditionalFormatting>
  <conditionalFormatting sqref="E25">
    <cfRule type="colorScale" priority="10358">
      <colorScale>
        <cfvo type="min"/>
        <cfvo type="percentile" val="50"/>
        <cfvo type="max"/>
        <color rgb="FFF8696B"/>
        <color rgb="FFFFEB84"/>
        <color rgb="FF63BE7B"/>
      </colorScale>
    </cfRule>
  </conditionalFormatting>
  <conditionalFormatting sqref="E25">
    <cfRule type="colorScale" priority="10357">
      <colorScale>
        <cfvo type="min"/>
        <cfvo type="percentile" val="50"/>
        <cfvo type="max"/>
        <color rgb="FFF8696B"/>
        <color rgb="FFFFEB84"/>
        <color rgb="FF63BE7B"/>
      </colorScale>
    </cfRule>
  </conditionalFormatting>
  <conditionalFormatting sqref="E25">
    <cfRule type="colorScale" priority="10356">
      <colorScale>
        <cfvo type="min"/>
        <cfvo type="percentile" val="50"/>
        <cfvo type="max"/>
        <color rgb="FFF8696B"/>
        <color rgb="FFFFEB84"/>
        <color rgb="FF63BE7B"/>
      </colorScale>
    </cfRule>
  </conditionalFormatting>
  <conditionalFormatting sqref="E25">
    <cfRule type="colorScale" priority="10355">
      <colorScale>
        <cfvo type="min"/>
        <cfvo type="percentile" val="50"/>
        <cfvo type="max"/>
        <color rgb="FFF8696B"/>
        <color rgb="FFFFEB84"/>
        <color rgb="FF63BE7B"/>
      </colorScale>
    </cfRule>
  </conditionalFormatting>
  <conditionalFormatting sqref="E25">
    <cfRule type="colorScale" priority="10354">
      <colorScale>
        <cfvo type="min"/>
        <cfvo type="percentile" val="50"/>
        <cfvo type="max"/>
        <color rgb="FFF8696B"/>
        <color rgb="FFFFEB84"/>
        <color rgb="FF63BE7B"/>
      </colorScale>
    </cfRule>
  </conditionalFormatting>
  <conditionalFormatting sqref="E25">
    <cfRule type="colorScale" priority="10353">
      <colorScale>
        <cfvo type="min"/>
        <cfvo type="percentile" val="50"/>
        <cfvo type="max"/>
        <color rgb="FFF8696B"/>
        <color rgb="FFFFEB84"/>
        <color rgb="FF63BE7B"/>
      </colorScale>
    </cfRule>
  </conditionalFormatting>
  <conditionalFormatting sqref="E25">
    <cfRule type="colorScale" priority="10352">
      <colorScale>
        <cfvo type="min"/>
        <cfvo type="percentile" val="50"/>
        <cfvo type="max"/>
        <color rgb="FFF8696B"/>
        <color rgb="FFFFEB84"/>
        <color rgb="FF63BE7B"/>
      </colorScale>
    </cfRule>
  </conditionalFormatting>
  <conditionalFormatting sqref="E25">
    <cfRule type="colorScale" priority="10351">
      <colorScale>
        <cfvo type="min"/>
        <cfvo type="percentile" val="50"/>
        <cfvo type="max"/>
        <color rgb="FFF8696B"/>
        <color rgb="FFFFEB84"/>
        <color rgb="FF63BE7B"/>
      </colorScale>
    </cfRule>
  </conditionalFormatting>
  <conditionalFormatting sqref="E25">
    <cfRule type="colorScale" priority="10350">
      <colorScale>
        <cfvo type="min"/>
        <cfvo type="percentile" val="50"/>
        <cfvo type="max"/>
        <color rgb="FFF8696B"/>
        <color rgb="FFFFEB84"/>
        <color rgb="FF63BE7B"/>
      </colorScale>
    </cfRule>
  </conditionalFormatting>
  <conditionalFormatting sqref="E25">
    <cfRule type="colorScale" priority="10349">
      <colorScale>
        <cfvo type="min"/>
        <cfvo type="percentile" val="50"/>
        <cfvo type="max"/>
        <color rgb="FFF8696B"/>
        <color rgb="FFFFEB84"/>
        <color rgb="FF63BE7B"/>
      </colorScale>
    </cfRule>
  </conditionalFormatting>
  <conditionalFormatting sqref="E25">
    <cfRule type="colorScale" priority="10348">
      <colorScale>
        <cfvo type="min"/>
        <cfvo type="percentile" val="50"/>
        <cfvo type="max"/>
        <color rgb="FFF8696B"/>
        <color rgb="FFFFEB84"/>
        <color rgb="FF63BE7B"/>
      </colorScale>
    </cfRule>
  </conditionalFormatting>
  <conditionalFormatting sqref="E25">
    <cfRule type="colorScale" priority="10347">
      <colorScale>
        <cfvo type="min"/>
        <cfvo type="percentile" val="50"/>
        <cfvo type="max"/>
        <color rgb="FFF8696B"/>
        <color rgb="FFFFEB84"/>
        <color rgb="FF63BE7B"/>
      </colorScale>
    </cfRule>
  </conditionalFormatting>
  <conditionalFormatting sqref="E25">
    <cfRule type="colorScale" priority="10346">
      <colorScale>
        <cfvo type="min"/>
        <cfvo type="percentile" val="50"/>
        <cfvo type="max"/>
        <color rgb="FFF8696B"/>
        <color rgb="FFFFEB84"/>
        <color rgb="FF63BE7B"/>
      </colorScale>
    </cfRule>
  </conditionalFormatting>
  <conditionalFormatting sqref="E25">
    <cfRule type="colorScale" priority="10345">
      <colorScale>
        <cfvo type="min"/>
        <cfvo type="percentile" val="50"/>
        <cfvo type="max"/>
        <color rgb="FFF8696B"/>
        <color rgb="FFFFEB84"/>
        <color rgb="FF63BE7B"/>
      </colorScale>
    </cfRule>
  </conditionalFormatting>
  <conditionalFormatting sqref="E25">
    <cfRule type="colorScale" priority="10344">
      <colorScale>
        <cfvo type="min"/>
        <cfvo type="percentile" val="50"/>
        <cfvo type="max"/>
        <color rgb="FFF8696B"/>
        <color rgb="FFFFEB84"/>
        <color rgb="FF63BE7B"/>
      </colorScale>
    </cfRule>
  </conditionalFormatting>
  <conditionalFormatting sqref="E25">
    <cfRule type="colorScale" priority="10343">
      <colorScale>
        <cfvo type="min"/>
        <cfvo type="percentile" val="50"/>
        <cfvo type="max"/>
        <color rgb="FFF8696B"/>
        <color rgb="FFFFEB84"/>
        <color rgb="FF63BE7B"/>
      </colorScale>
    </cfRule>
  </conditionalFormatting>
  <conditionalFormatting sqref="E25">
    <cfRule type="colorScale" priority="10342">
      <colorScale>
        <cfvo type="min"/>
        <cfvo type="percentile" val="50"/>
        <cfvo type="max"/>
        <color rgb="FFF8696B"/>
        <color rgb="FFFFEB84"/>
        <color rgb="FF63BE7B"/>
      </colorScale>
    </cfRule>
  </conditionalFormatting>
  <conditionalFormatting sqref="E25">
    <cfRule type="colorScale" priority="10341">
      <colorScale>
        <cfvo type="min"/>
        <cfvo type="percentile" val="50"/>
        <cfvo type="max"/>
        <color rgb="FFF8696B"/>
        <color rgb="FFFFEB84"/>
        <color rgb="FF63BE7B"/>
      </colorScale>
    </cfRule>
  </conditionalFormatting>
  <conditionalFormatting sqref="E25">
    <cfRule type="colorScale" priority="10340">
      <colorScale>
        <cfvo type="min"/>
        <cfvo type="percentile" val="50"/>
        <cfvo type="max"/>
        <color rgb="FFF8696B"/>
        <color rgb="FFFFEB84"/>
        <color rgb="FF63BE7B"/>
      </colorScale>
    </cfRule>
  </conditionalFormatting>
  <conditionalFormatting sqref="E25">
    <cfRule type="colorScale" priority="10339">
      <colorScale>
        <cfvo type="min"/>
        <cfvo type="percentile" val="50"/>
        <cfvo type="max"/>
        <color rgb="FFF8696B"/>
        <color rgb="FFFFEB84"/>
        <color rgb="FF63BE7B"/>
      </colorScale>
    </cfRule>
  </conditionalFormatting>
  <conditionalFormatting sqref="E25">
    <cfRule type="colorScale" priority="10338">
      <colorScale>
        <cfvo type="min"/>
        <cfvo type="percentile" val="50"/>
        <cfvo type="max"/>
        <color rgb="FFF8696B"/>
        <color rgb="FFFFEB84"/>
        <color rgb="FF63BE7B"/>
      </colorScale>
    </cfRule>
  </conditionalFormatting>
  <conditionalFormatting sqref="E25">
    <cfRule type="colorScale" priority="10337">
      <colorScale>
        <cfvo type="min"/>
        <cfvo type="percentile" val="50"/>
        <cfvo type="max"/>
        <color rgb="FFF8696B"/>
        <color rgb="FFFFEB84"/>
        <color rgb="FF63BE7B"/>
      </colorScale>
    </cfRule>
  </conditionalFormatting>
  <conditionalFormatting sqref="E25">
    <cfRule type="colorScale" priority="10336">
      <colorScale>
        <cfvo type="min"/>
        <cfvo type="percentile" val="50"/>
        <cfvo type="max"/>
        <color rgb="FFF8696B"/>
        <color rgb="FFFFEB84"/>
        <color rgb="FF63BE7B"/>
      </colorScale>
    </cfRule>
  </conditionalFormatting>
  <conditionalFormatting sqref="E25">
    <cfRule type="colorScale" priority="10335">
      <colorScale>
        <cfvo type="min"/>
        <cfvo type="percentile" val="50"/>
        <cfvo type="max"/>
        <color rgb="FFF8696B"/>
        <color rgb="FFFFEB84"/>
        <color rgb="FF63BE7B"/>
      </colorScale>
    </cfRule>
  </conditionalFormatting>
  <conditionalFormatting sqref="E25">
    <cfRule type="colorScale" priority="10334">
      <colorScale>
        <cfvo type="min"/>
        <cfvo type="percentile" val="50"/>
        <cfvo type="max"/>
        <color rgb="FFF8696B"/>
        <color rgb="FFFFEB84"/>
        <color rgb="FF63BE7B"/>
      </colorScale>
    </cfRule>
  </conditionalFormatting>
  <conditionalFormatting sqref="E25">
    <cfRule type="colorScale" priority="10333">
      <colorScale>
        <cfvo type="min"/>
        <cfvo type="percentile" val="50"/>
        <cfvo type="max"/>
        <color rgb="FFF8696B"/>
        <color rgb="FFFFEB84"/>
        <color rgb="FF63BE7B"/>
      </colorScale>
    </cfRule>
  </conditionalFormatting>
  <conditionalFormatting sqref="E25">
    <cfRule type="colorScale" priority="10332">
      <colorScale>
        <cfvo type="min"/>
        <cfvo type="percentile" val="50"/>
        <cfvo type="max"/>
        <color rgb="FFF8696B"/>
        <color rgb="FFFFEB84"/>
        <color rgb="FF63BE7B"/>
      </colorScale>
    </cfRule>
  </conditionalFormatting>
  <conditionalFormatting sqref="E25">
    <cfRule type="colorScale" priority="10331">
      <colorScale>
        <cfvo type="min"/>
        <cfvo type="percentile" val="50"/>
        <cfvo type="max"/>
        <color rgb="FFF8696B"/>
        <color rgb="FFFFEB84"/>
        <color rgb="FF63BE7B"/>
      </colorScale>
    </cfRule>
  </conditionalFormatting>
  <conditionalFormatting sqref="E25">
    <cfRule type="colorScale" priority="10330">
      <colorScale>
        <cfvo type="min"/>
        <cfvo type="percentile" val="50"/>
        <cfvo type="max"/>
        <color rgb="FFF8696B"/>
        <color rgb="FFFFEB84"/>
        <color rgb="FF63BE7B"/>
      </colorScale>
    </cfRule>
  </conditionalFormatting>
  <conditionalFormatting sqref="E25">
    <cfRule type="colorScale" priority="10329">
      <colorScale>
        <cfvo type="min"/>
        <cfvo type="percentile" val="50"/>
        <cfvo type="max"/>
        <color rgb="FFF8696B"/>
        <color rgb="FFFFEB84"/>
        <color rgb="FF63BE7B"/>
      </colorScale>
    </cfRule>
  </conditionalFormatting>
  <conditionalFormatting sqref="E25">
    <cfRule type="colorScale" priority="10328">
      <colorScale>
        <cfvo type="min"/>
        <cfvo type="percentile" val="50"/>
        <cfvo type="max"/>
        <color rgb="FFF8696B"/>
        <color rgb="FFFFEB84"/>
        <color rgb="FF63BE7B"/>
      </colorScale>
    </cfRule>
  </conditionalFormatting>
  <conditionalFormatting sqref="E25">
    <cfRule type="colorScale" priority="10327">
      <colorScale>
        <cfvo type="min"/>
        <cfvo type="percentile" val="50"/>
        <cfvo type="max"/>
        <color rgb="FFF8696B"/>
        <color rgb="FFFFEB84"/>
        <color rgb="FF63BE7B"/>
      </colorScale>
    </cfRule>
  </conditionalFormatting>
  <conditionalFormatting sqref="E25">
    <cfRule type="colorScale" priority="10326">
      <colorScale>
        <cfvo type="min"/>
        <cfvo type="percentile" val="50"/>
        <cfvo type="max"/>
        <color rgb="FFF8696B"/>
        <color rgb="FFFFEB84"/>
        <color rgb="FF63BE7B"/>
      </colorScale>
    </cfRule>
  </conditionalFormatting>
  <conditionalFormatting sqref="E25">
    <cfRule type="colorScale" priority="10325">
      <colorScale>
        <cfvo type="min"/>
        <cfvo type="percentile" val="50"/>
        <cfvo type="max"/>
        <color rgb="FFF8696B"/>
        <color rgb="FFFFEB84"/>
        <color rgb="FF63BE7B"/>
      </colorScale>
    </cfRule>
  </conditionalFormatting>
  <conditionalFormatting sqref="E25">
    <cfRule type="colorScale" priority="10324">
      <colorScale>
        <cfvo type="min"/>
        <cfvo type="percentile" val="50"/>
        <cfvo type="max"/>
        <color rgb="FFF8696B"/>
        <color rgb="FFFFEB84"/>
        <color rgb="FF63BE7B"/>
      </colorScale>
    </cfRule>
  </conditionalFormatting>
  <conditionalFormatting sqref="E25">
    <cfRule type="colorScale" priority="10323">
      <colorScale>
        <cfvo type="min"/>
        <cfvo type="percentile" val="50"/>
        <cfvo type="max"/>
        <color rgb="FFF8696B"/>
        <color rgb="FFFFEB84"/>
        <color rgb="FF63BE7B"/>
      </colorScale>
    </cfRule>
  </conditionalFormatting>
  <conditionalFormatting sqref="E25">
    <cfRule type="colorScale" priority="10322">
      <colorScale>
        <cfvo type="min"/>
        <cfvo type="percentile" val="50"/>
        <cfvo type="max"/>
        <color rgb="FFF8696B"/>
        <color rgb="FFFFEB84"/>
        <color rgb="FF63BE7B"/>
      </colorScale>
    </cfRule>
  </conditionalFormatting>
  <conditionalFormatting sqref="E25">
    <cfRule type="colorScale" priority="10321">
      <colorScale>
        <cfvo type="min"/>
        <cfvo type="percentile" val="50"/>
        <cfvo type="max"/>
        <color rgb="FFF8696B"/>
        <color rgb="FFFFEB84"/>
        <color rgb="FF63BE7B"/>
      </colorScale>
    </cfRule>
  </conditionalFormatting>
  <conditionalFormatting sqref="E25">
    <cfRule type="colorScale" priority="10320">
      <colorScale>
        <cfvo type="min"/>
        <cfvo type="percentile" val="50"/>
        <cfvo type="max"/>
        <color rgb="FFF8696B"/>
        <color rgb="FFFFEB84"/>
        <color rgb="FF63BE7B"/>
      </colorScale>
    </cfRule>
  </conditionalFormatting>
  <conditionalFormatting sqref="E25">
    <cfRule type="colorScale" priority="10319">
      <colorScale>
        <cfvo type="min"/>
        <cfvo type="percentile" val="50"/>
        <cfvo type="max"/>
        <color rgb="FFF8696B"/>
        <color rgb="FFFFEB84"/>
        <color rgb="FF63BE7B"/>
      </colorScale>
    </cfRule>
  </conditionalFormatting>
  <conditionalFormatting sqref="E25">
    <cfRule type="colorScale" priority="10318">
      <colorScale>
        <cfvo type="min"/>
        <cfvo type="percentile" val="50"/>
        <cfvo type="max"/>
        <color rgb="FFF8696B"/>
        <color rgb="FFFFEB84"/>
        <color rgb="FF63BE7B"/>
      </colorScale>
    </cfRule>
  </conditionalFormatting>
  <conditionalFormatting sqref="E25">
    <cfRule type="colorScale" priority="10317">
      <colorScale>
        <cfvo type="min"/>
        <cfvo type="percentile" val="50"/>
        <cfvo type="max"/>
        <color rgb="FFF8696B"/>
        <color rgb="FFFFEB84"/>
        <color rgb="FF63BE7B"/>
      </colorScale>
    </cfRule>
  </conditionalFormatting>
  <conditionalFormatting sqref="E25">
    <cfRule type="colorScale" priority="10316">
      <colorScale>
        <cfvo type="min"/>
        <cfvo type="percentile" val="50"/>
        <cfvo type="max"/>
        <color rgb="FFF8696B"/>
        <color rgb="FFFFEB84"/>
        <color rgb="FF63BE7B"/>
      </colorScale>
    </cfRule>
  </conditionalFormatting>
  <conditionalFormatting sqref="E25">
    <cfRule type="colorScale" priority="10315">
      <colorScale>
        <cfvo type="min"/>
        <cfvo type="percentile" val="50"/>
        <cfvo type="max"/>
        <color rgb="FFF8696B"/>
        <color rgb="FFFFEB84"/>
        <color rgb="FF63BE7B"/>
      </colorScale>
    </cfRule>
  </conditionalFormatting>
  <conditionalFormatting sqref="E25">
    <cfRule type="colorScale" priority="10314">
      <colorScale>
        <cfvo type="min"/>
        <cfvo type="percentile" val="50"/>
        <cfvo type="max"/>
        <color rgb="FFF8696B"/>
        <color rgb="FFFFEB84"/>
        <color rgb="FF63BE7B"/>
      </colorScale>
    </cfRule>
  </conditionalFormatting>
  <conditionalFormatting sqref="E25">
    <cfRule type="colorScale" priority="10313">
      <colorScale>
        <cfvo type="min"/>
        <cfvo type="percentile" val="50"/>
        <cfvo type="max"/>
        <color rgb="FFF8696B"/>
        <color rgb="FFFFEB84"/>
        <color rgb="FF63BE7B"/>
      </colorScale>
    </cfRule>
  </conditionalFormatting>
  <conditionalFormatting sqref="E25">
    <cfRule type="colorScale" priority="10312">
      <colorScale>
        <cfvo type="min"/>
        <cfvo type="percentile" val="50"/>
        <cfvo type="max"/>
        <color rgb="FFF8696B"/>
        <color rgb="FFFFEB84"/>
        <color rgb="FF63BE7B"/>
      </colorScale>
    </cfRule>
  </conditionalFormatting>
  <conditionalFormatting sqref="E25">
    <cfRule type="colorScale" priority="10311">
      <colorScale>
        <cfvo type="min"/>
        <cfvo type="percentile" val="50"/>
        <cfvo type="max"/>
        <color rgb="FFF8696B"/>
        <color rgb="FFFFEB84"/>
        <color rgb="FF63BE7B"/>
      </colorScale>
    </cfRule>
  </conditionalFormatting>
  <conditionalFormatting sqref="E25">
    <cfRule type="colorScale" priority="10310">
      <colorScale>
        <cfvo type="min"/>
        <cfvo type="percentile" val="50"/>
        <cfvo type="max"/>
        <color rgb="FFF8696B"/>
        <color rgb="FFFFEB84"/>
        <color rgb="FF63BE7B"/>
      </colorScale>
    </cfRule>
  </conditionalFormatting>
  <conditionalFormatting sqref="E25">
    <cfRule type="colorScale" priority="10309">
      <colorScale>
        <cfvo type="min"/>
        <cfvo type="percentile" val="50"/>
        <cfvo type="max"/>
        <color rgb="FFF8696B"/>
        <color rgb="FFFFEB84"/>
        <color rgb="FF63BE7B"/>
      </colorScale>
    </cfRule>
  </conditionalFormatting>
  <conditionalFormatting sqref="E25">
    <cfRule type="colorScale" priority="10308">
      <colorScale>
        <cfvo type="min"/>
        <cfvo type="percentile" val="50"/>
        <cfvo type="max"/>
        <color rgb="FFF8696B"/>
        <color rgb="FFFFEB84"/>
        <color rgb="FF63BE7B"/>
      </colorScale>
    </cfRule>
  </conditionalFormatting>
  <conditionalFormatting sqref="E25">
    <cfRule type="colorScale" priority="10307">
      <colorScale>
        <cfvo type="min"/>
        <cfvo type="percentile" val="50"/>
        <cfvo type="max"/>
        <color rgb="FFF8696B"/>
        <color rgb="FFFFEB84"/>
        <color rgb="FF63BE7B"/>
      </colorScale>
    </cfRule>
  </conditionalFormatting>
  <conditionalFormatting sqref="E25">
    <cfRule type="colorScale" priority="10306">
      <colorScale>
        <cfvo type="min"/>
        <cfvo type="percentile" val="50"/>
        <cfvo type="max"/>
        <color rgb="FFF8696B"/>
        <color rgb="FFFFEB84"/>
        <color rgb="FF63BE7B"/>
      </colorScale>
    </cfRule>
  </conditionalFormatting>
  <conditionalFormatting sqref="E25">
    <cfRule type="colorScale" priority="10305">
      <colorScale>
        <cfvo type="min"/>
        <cfvo type="percentile" val="50"/>
        <cfvo type="max"/>
        <color rgb="FFF8696B"/>
        <color rgb="FFFFEB84"/>
        <color rgb="FF63BE7B"/>
      </colorScale>
    </cfRule>
  </conditionalFormatting>
  <conditionalFormatting sqref="E25">
    <cfRule type="colorScale" priority="10304">
      <colorScale>
        <cfvo type="min"/>
        <cfvo type="percentile" val="50"/>
        <cfvo type="max"/>
        <color rgb="FFF8696B"/>
        <color rgb="FFFFEB84"/>
        <color rgb="FF63BE7B"/>
      </colorScale>
    </cfRule>
  </conditionalFormatting>
  <conditionalFormatting sqref="E25">
    <cfRule type="colorScale" priority="10303">
      <colorScale>
        <cfvo type="min"/>
        <cfvo type="percentile" val="50"/>
        <cfvo type="max"/>
        <color rgb="FFF8696B"/>
        <color rgb="FFFFEB84"/>
        <color rgb="FF63BE7B"/>
      </colorScale>
    </cfRule>
  </conditionalFormatting>
  <conditionalFormatting sqref="F10:F24">
    <cfRule type="colorScale" priority="10302">
      <colorScale>
        <cfvo type="min"/>
        <cfvo type="percentile" val="50"/>
        <cfvo type="max"/>
        <color rgb="FFF8696B"/>
        <color rgb="FFFFEB84"/>
        <color rgb="FF63BE7B"/>
      </colorScale>
    </cfRule>
  </conditionalFormatting>
  <conditionalFormatting sqref="F10:F24">
    <cfRule type="colorScale" priority="10301">
      <colorScale>
        <cfvo type="min"/>
        <cfvo type="percentile" val="50"/>
        <cfvo type="max"/>
        <color rgb="FFF8696B"/>
        <color rgb="FFFFEB84"/>
        <color rgb="FF63BE7B"/>
      </colorScale>
    </cfRule>
  </conditionalFormatting>
  <conditionalFormatting sqref="F10:F24">
    <cfRule type="colorScale" priority="10300">
      <colorScale>
        <cfvo type="min"/>
        <cfvo type="percentile" val="50"/>
        <cfvo type="max"/>
        <color rgb="FFF8696B"/>
        <color rgb="FFFFEB84"/>
        <color rgb="FF63BE7B"/>
      </colorScale>
    </cfRule>
  </conditionalFormatting>
  <conditionalFormatting sqref="F10:F24">
    <cfRule type="colorScale" priority="10299">
      <colorScale>
        <cfvo type="min"/>
        <cfvo type="percentile" val="50"/>
        <cfvo type="max"/>
        <color rgb="FFF8696B"/>
        <color rgb="FFFFEB84"/>
        <color rgb="FF63BE7B"/>
      </colorScale>
    </cfRule>
  </conditionalFormatting>
  <conditionalFormatting sqref="F10:F24">
    <cfRule type="colorScale" priority="10298">
      <colorScale>
        <cfvo type="min"/>
        <cfvo type="percentile" val="50"/>
        <cfvo type="max"/>
        <color rgb="FFF8696B"/>
        <color rgb="FFFFEB84"/>
        <color rgb="FF63BE7B"/>
      </colorScale>
    </cfRule>
  </conditionalFormatting>
  <conditionalFormatting sqref="F10:F24">
    <cfRule type="colorScale" priority="10297">
      <colorScale>
        <cfvo type="min"/>
        <cfvo type="percentile" val="50"/>
        <cfvo type="max"/>
        <color rgb="FFF8696B"/>
        <color rgb="FFFFEB84"/>
        <color rgb="FF63BE7B"/>
      </colorScale>
    </cfRule>
  </conditionalFormatting>
  <conditionalFormatting sqref="F10:F24">
    <cfRule type="colorScale" priority="10296">
      <colorScale>
        <cfvo type="min"/>
        <cfvo type="percentile" val="50"/>
        <cfvo type="max"/>
        <color rgb="FFF8696B"/>
        <color rgb="FFFFEB84"/>
        <color rgb="FF63BE7B"/>
      </colorScale>
    </cfRule>
  </conditionalFormatting>
  <conditionalFormatting sqref="F10:F24">
    <cfRule type="colorScale" priority="10295">
      <colorScale>
        <cfvo type="min"/>
        <cfvo type="percentile" val="50"/>
        <cfvo type="max"/>
        <color rgb="FFF8696B"/>
        <color rgb="FFFFEB84"/>
        <color rgb="FF63BE7B"/>
      </colorScale>
    </cfRule>
  </conditionalFormatting>
  <conditionalFormatting sqref="F10:F24">
    <cfRule type="colorScale" priority="10294">
      <colorScale>
        <cfvo type="min"/>
        <cfvo type="percentile" val="50"/>
        <cfvo type="max"/>
        <color rgb="FFF8696B"/>
        <color rgb="FFFFEB84"/>
        <color rgb="FF63BE7B"/>
      </colorScale>
    </cfRule>
  </conditionalFormatting>
  <conditionalFormatting sqref="F10:F24">
    <cfRule type="colorScale" priority="10293">
      <colorScale>
        <cfvo type="min"/>
        <cfvo type="percentile" val="50"/>
        <cfvo type="max"/>
        <color rgb="FFF8696B"/>
        <color rgb="FFFFEB84"/>
        <color rgb="FF63BE7B"/>
      </colorScale>
    </cfRule>
  </conditionalFormatting>
  <conditionalFormatting sqref="F10:F24">
    <cfRule type="colorScale" priority="10292">
      <colorScale>
        <cfvo type="min"/>
        <cfvo type="percentile" val="50"/>
        <cfvo type="max"/>
        <color rgb="FFF8696B"/>
        <color rgb="FFFFEB84"/>
        <color rgb="FF63BE7B"/>
      </colorScale>
    </cfRule>
  </conditionalFormatting>
  <conditionalFormatting sqref="F10:F24">
    <cfRule type="colorScale" priority="10291">
      <colorScale>
        <cfvo type="min"/>
        <cfvo type="percentile" val="50"/>
        <cfvo type="max"/>
        <color rgb="FFF8696B"/>
        <color rgb="FFFFEB84"/>
        <color rgb="FF63BE7B"/>
      </colorScale>
    </cfRule>
  </conditionalFormatting>
  <conditionalFormatting sqref="F10:F24">
    <cfRule type="colorScale" priority="10290">
      <colorScale>
        <cfvo type="min"/>
        <cfvo type="percentile" val="50"/>
        <cfvo type="max"/>
        <color rgb="FFF8696B"/>
        <color rgb="FFFFEB84"/>
        <color rgb="FF63BE7B"/>
      </colorScale>
    </cfRule>
  </conditionalFormatting>
  <conditionalFormatting sqref="F10:F24">
    <cfRule type="colorScale" priority="10289">
      <colorScale>
        <cfvo type="min"/>
        <cfvo type="percentile" val="50"/>
        <cfvo type="max"/>
        <color rgb="FFF8696B"/>
        <color rgb="FFFFEB84"/>
        <color rgb="FF63BE7B"/>
      </colorScale>
    </cfRule>
  </conditionalFormatting>
  <conditionalFormatting sqref="F10:F24">
    <cfRule type="colorScale" priority="10288">
      <colorScale>
        <cfvo type="min"/>
        <cfvo type="percentile" val="50"/>
        <cfvo type="max"/>
        <color rgb="FFF8696B"/>
        <color rgb="FFFFEB84"/>
        <color rgb="FF63BE7B"/>
      </colorScale>
    </cfRule>
  </conditionalFormatting>
  <conditionalFormatting sqref="F10:F24">
    <cfRule type="colorScale" priority="10287">
      <colorScale>
        <cfvo type="min"/>
        <cfvo type="percentile" val="50"/>
        <cfvo type="max"/>
        <color rgb="FFF8696B"/>
        <color rgb="FFFFEB84"/>
        <color rgb="FF63BE7B"/>
      </colorScale>
    </cfRule>
  </conditionalFormatting>
  <conditionalFormatting sqref="F10:F24">
    <cfRule type="colorScale" priority="10286">
      <colorScale>
        <cfvo type="min"/>
        <cfvo type="percentile" val="50"/>
        <cfvo type="max"/>
        <color rgb="FFF8696B"/>
        <color rgb="FFFFEB84"/>
        <color rgb="FF63BE7B"/>
      </colorScale>
    </cfRule>
  </conditionalFormatting>
  <conditionalFormatting sqref="F10:F24">
    <cfRule type="colorScale" priority="10285">
      <colorScale>
        <cfvo type="min"/>
        <cfvo type="percentile" val="50"/>
        <cfvo type="max"/>
        <color rgb="FFF8696B"/>
        <color rgb="FFFFEB84"/>
        <color rgb="FF63BE7B"/>
      </colorScale>
    </cfRule>
  </conditionalFormatting>
  <conditionalFormatting sqref="F10:F24">
    <cfRule type="colorScale" priority="10284">
      <colorScale>
        <cfvo type="min"/>
        <cfvo type="percentile" val="50"/>
        <cfvo type="max"/>
        <color rgb="FFF8696B"/>
        <color rgb="FFFFEB84"/>
        <color rgb="FF63BE7B"/>
      </colorScale>
    </cfRule>
  </conditionalFormatting>
  <conditionalFormatting sqref="F10:F24">
    <cfRule type="colorScale" priority="10283">
      <colorScale>
        <cfvo type="min"/>
        <cfvo type="percentile" val="50"/>
        <cfvo type="max"/>
        <color rgb="FFF8696B"/>
        <color rgb="FFFFEB84"/>
        <color rgb="FF63BE7B"/>
      </colorScale>
    </cfRule>
  </conditionalFormatting>
  <conditionalFormatting sqref="F10:F24">
    <cfRule type="colorScale" priority="10282">
      <colorScale>
        <cfvo type="min"/>
        <cfvo type="percentile" val="50"/>
        <cfvo type="max"/>
        <color rgb="FFF8696B"/>
        <color rgb="FFFFEB84"/>
        <color rgb="FF63BE7B"/>
      </colorScale>
    </cfRule>
  </conditionalFormatting>
  <conditionalFormatting sqref="F10:F24">
    <cfRule type="colorScale" priority="10281">
      <colorScale>
        <cfvo type="min"/>
        <cfvo type="percentile" val="50"/>
        <cfvo type="max"/>
        <color rgb="FFF8696B"/>
        <color rgb="FFFFEB84"/>
        <color rgb="FF63BE7B"/>
      </colorScale>
    </cfRule>
  </conditionalFormatting>
  <conditionalFormatting sqref="F10:F24">
    <cfRule type="colorScale" priority="10280">
      <colorScale>
        <cfvo type="min"/>
        <cfvo type="percentile" val="50"/>
        <cfvo type="max"/>
        <color rgb="FFF8696B"/>
        <color rgb="FFFFEB84"/>
        <color rgb="FF63BE7B"/>
      </colorScale>
    </cfRule>
  </conditionalFormatting>
  <conditionalFormatting sqref="F10:F24">
    <cfRule type="colorScale" priority="10279">
      <colorScale>
        <cfvo type="min"/>
        <cfvo type="percentile" val="50"/>
        <cfvo type="max"/>
        <color rgb="FFF8696B"/>
        <color rgb="FFFFEB84"/>
        <color rgb="FF63BE7B"/>
      </colorScale>
    </cfRule>
  </conditionalFormatting>
  <conditionalFormatting sqref="F10:F24">
    <cfRule type="colorScale" priority="10278">
      <colorScale>
        <cfvo type="min"/>
        <cfvo type="percentile" val="50"/>
        <cfvo type="max"/>
        <color rgb="FFF8696B"/>
        <color rgb="FFFFEB84"/>
        <color rgb="FF63BE7B"/>
      </colorScale>
    </cfRule>
  </conditionalFormatting>
  <conditionalFormatting sqref="F10:F24">
    <cfRule type="colorScale" priority="10277">
      <colorScale>
        <cfvo type="min"/>
        <cfvo type="percentile" val="50"/>
        <cfvo type="max"/>
        <color rgb="FFF8696B"/>
        <color rgb="FFFFEB84"/>
        <color rgb="FF63BE7B"/>
      </colorScale>
    </cfRule>
  </conditionalFormatting>
  <conditionalFormatting sqref="F10:F24">
    <cfRule type="colorScale" priority="10276">
      <colorScale>
        <cfvo type="min"/>
        <cfvo type="percentile" val="50"/>
        <cfvo type="max"/>
        <color rgb="FFF8696B"/>
        <color rgb="FFFFEB84"/>
        <color rgb="FF63BE7B"/>
      </colorScale>
    </cfRule>
  </conditionalFormatting>
  <conditionalFormatting sqref="F10:F24">
    <cfRule type="colorScale" priority="10275">
      <colorScale>
        <cfvo type="min"/>
        <cfvo type="percentile" val="50"/>
        <cfvo type="max"/>
        <color rgb="FFF8696B"/>
        <color rgb="FFFFEB84"/>
        <color rgb="FF63BE7B"/>
      </colorScale>
    </cfRule>
  </conditionalFormatting>
  <conditionalFormatting sqref="F10:F24">
    <cfRule type="colorScale" priority="10274">
      <colorScale>
        <cfvo type="min"/>
        <cfvo type="percentile" val="50"/>
        <cfvo type="max"/>
        <color rgb="FFF8696B"/>
        <color rgb="FFFFEB84"/>
        <color rgb="FF63BE7B"/>
      </colorScale>
    </cfRule>
  </conditionalFormatting>
  <conditionalFormatting sqref="F10:F24">
    <cfRule type="colorScale" priority="10273">
      <colorScale>
        <cfvo type="min"/>
        <cfvo type="percentile" val="50"/>
        <cfvo type="max"/>
        <color rgb="FFF8696B"/>
        <color rgb="FFFFEB84"/>
        <color rgb="FF63BE7B"/>
      </colorScale>
    </cfRule>
  </conditionalFormatting>
  <conditionalFormatting sqref="F10:F24">
    <cfRule type="colorScale" priority="10272">
      <colorScale>
        <cfvo type="min"/>
        <cfvo type="percentile" val="50"/>
        <cfvo type="max"/>
        <color rgb="FFF8696B"/>
        <color rgb="FFFFEB84"/>
        <color rgb="FF63BE7B"/>
      </colorScale>
    </cfRule>
  </conditionalFormatting>
  <conditionalFormatting sqref="F10:F24">
    <cfRule type="colorScale" priority="10271">
      <colorScale>
        <cfvo type="min"/>
        <cfvo type="percentile" val="50"/>
        <cfvo type="max"/>
        <color rgb="FFF8696B"/>
        <color rgb="FFFFEB84"/>
        <color rgb="FF63BE7B"/>
      </colorScale>
    </cfRule>
  </conditionalFormatting>
  <conditionalFormatting sqref="F10:F24">
    <cfRule type="colorScale" priority="10270">
      <colorScale>
        <cfvo type="min"/>
        <cfvo type="percentile" val="50"/>
        <cfvo type="max"/>
        <color rgb="FFF8696B"/>
        <color rgb="FFFFEB84"/>
        <color rgb="FF63BE7B"/>
      </colorScale>
    </cfRule>
  </conditionalFormatting>
  <conditionalFormatting sqref="F10:F24">
    <cfRule type="colorScale" priority="10269">
      <colorScale>
        <cfvo type="min"/>
        <cfvo type="percentile" val="50"/>
        <cfvo type="max"/>
        <color rgb="FFF8696B"/>
        <color rgb="FFFFEB84"/>
        <color rgb="FF63BE7B"/>
      </colorScale>
    </cfRule>
  </conditionalFormatting>
  <conditionalFormatting sqref="F10:F24">
    <cfRule type="colorScale" priority="10268">
      <colorScale>
        <cfvo type="min"/>
        <cfvo type="percentile" val="50"/>
        <cfvo type="max"/>
        <color rgb="FFF8696B"/>
        <color rgb="FFFFEB84"/>
        <color rgb="FF63BE7B"/>
      </colorScale>
    </cfRule>
  </conditionalFormatting>
  <conditionalFormatting sqref="F10:F24">
    <cfRule type="colorScale" priority="10267">
      <colorScale>
        <cfvo type="min"/>
        <cfvo type="percentile" val="50"/>
        <cfvo type="max"/>
        <color rgb="FFF8696B"/>
        <color rgb="FFFFEB84"/>
        <color rgb="FF63BE7B"/>
      </colorScale>
    </cfRule>
  </conditionalFormatting>
  <conditionalFormatting sqref="F10:F24">
    <cfRule type="colorScale" priority="10266">
      <colorScale>
        <cfvo type="min"/>
        <cfvo type="percentile" val="50"/>
        <cfvo type="max"/>
        <color rgb="FFF8696B"/>
        <color rgb="FFFFEB84"/>
        <color rgb="FF63BE7B"/>
      </colorScale>
    </cfRule>
  </conditionalFormatting>
  <conditionalFormatting sqref="F10:F24">
    <cfRule type="colorScale" priority="10265">
      <colorScale>
        <cfvo type="min"/>
        <cfvo type="percentile" val="50"/>
        <cfvo type="max"/>
        <color rgb="FFF8696B"/>
        <color rgb="FFFFEB84"/>
        <color rgb="FF63BE7B"/>
      </colorScale>
    </cfRule>
  </conditionalFormatting>
  <conditionalFormatting sqref="F10:F24">
    <cfRule type="colorScale" priority="10264">
      <colorScale>
        <cfvo type="min"/>
        <cfvo type="percentile" val="50"/>
        <cfvo type="max"/>
        <color rgb="FFF8696B"/>
        <color rgb="FFFFEB84"/>
        <color rgb="FF63BE7B"/>
      </colorScale>
    </cfRule>
  </conditionalFormatting>
  <conditionalFormatting sqref="F10:F24">
    <cfRule type="colorScale" priority="10263">
      <colorScale>
        <cfvo type="min"/>
        <cfvo type="percentile" val="50"/>
        <cfvo type="max"/>
        <color rgb="FFF8696B"/>
        <color rgb="FFFFEB84"/>
        <color rgb="FF63BE7B"/>
      </colorScale>
    </cfRule>
  </conditionalFormatting>
  <conditionalFormatting sqref="F10:F24">
    <cfRule type="colorScale" priority="10262">
      <colorScale>
        <cfvo type="min"/>
        <cfvo type="percentile" val="50"/>
        <cfvo type="max"/>
        <color rgb="FFF8696B"/>
        <color rgb="FFFFEB84"/>
        <color rgb="FF63BE7B"/>
      </colorScale>
    </cfRule>
  </conditionalFormatting>
  <conditionalFormatting sqref="F10:F24">
    <cfRule type="colorScale" priority="10261">
      <colorScale>
        <cfvo type="min"/>
        <cfvo type="percentile" val="50"/>
        <cfvo type="max"/>
        <color rgb="FFF8696B"/>
        <color rgb="FFFFEB84"/>
        <color rgb="FF63BE7B"/>
      </colorScale>
    </cfRule>
  </conditionalFormatting>
  <conditionalFormatting sqref="F10:F24">
    <cfRule type="colorScale" priority="10260">
      <colorScale>
        <cfvo type="min"/>
        <cfvo type="percentile" val="50"/>
        <cfvo type="max"/>
        <color rgb="FFF8696B"/>
        <color rgb="FFFFEB84"/>
        <color rgb="FF63BE7B"/>
      </colorScale>
    </cfRule>
  </conditionalFormatting>
  <conditionalFormatting sqref="F10:F24">
    <cfRule type="colorScale" priority="10259">
      <colorScale>
        <cfvo type="min"/>
        <cfvo type="percentile" val="50"/>
        <cfvo type="max"/>
        <color rgb="FFF8696B"/>
        <color rgb="FFFFEB84"/>
        <color rgb="FF63BE7B"/>
      </colorScale>
    </cfRule>
  </conditionalFormatting>
  <conditionalFormatting sqref="F10:F24">
    <cfRule type="colorScale" priority="10258">
      <colorScale>
        <cfvo type="min"/>
        <cfvo type="percentile" val="50"/>
        <cfvo type="max"/>
        <color rgb="FFF8696B"/>
        <color rgb="FFFFEB84"/>
        <color rgb="FF63BE7B"/>
      </colorScale>
    </cfRule>
  </conditionalFormatting>
  <conditionalFormatting sqref="F10:F24">
    <cfRule type="colorScale" priority="10257">
      <colorScale>
        <cfvo type="min"/>
        <cfvo type="percentile" val="50"/>
        <cfvo type="max"/>
        <color rgb="FFF8696B"/>
        <color rgb="FFFFEB84"/>
        <color rgb="FF63BE7B"/>
      </colorScale>
    </cfRule>
  </conditionalFormatting>
  <conditionalFormatting sqref="F10:F24">
    <cfRule type="colorScale" priority="10256">
      <colorScale>
        <cfvo type="min"/>
        <cfvo type="percentile" val="50"/>
        <cfvo type="max"/>
        <color rgb="FFF8696B"/>
        <color rgb="FFFFEB84"/>
        <color rgb="FF63BE7B"/>
      </colorScale>
    </cfRule>
  </conditionalFormatting>
  <conditionalFormatting sqref="F10:F24">
    <cfRule type="colorScale" priority="10255">
      <colorScale>
        <cfvo type="min"/>
        <cfvo type="percentile" val="50"/>
        <cfvo type="max"/>
        <color rgb="FFF8696B"/>
        <color rgb="FFFFEB84"/>
        <color rgb="FF63BE7B"/>
      </colorScale>
    </cfRule>
  </conditionalFormatting>
  <conditionalFormatting sqref="F10:F24">
    <cfRule type="colorScale" priority="10254">
      <colorScale>
        <cfvo type="min"/>
        <cfvo type="percentile" val="50"/>
        <cfvo type="max"/>
        <color rgb="FFF8696B"/>
        <color rgb="FFFFEB84"/>
        <color rgb="FF63BE7B"/>
      </colorScale>
    </cfRule>
  </conditionalFormatting>
  <conditionalFormatting sqref="F10:F24">
    <cfRule type="colorScale" priority="10253">
      <colorScale>
        <cfvo type="min"/>
        <cfvo type="percentile" val="50"/>
        <cfvo type="max"/>
        <color rgb="FFF8696B"/>
        <color rgb="FFFFEB84"/>
        <color rgb="FF63BE7B"/>
      </colorScale>
    </cfRule>
  </conditionalFormatting>
  <conditionalFormatting sqref="F10:F24">
    <cfRule type="colorScale" priority="10252">
      <colorScale>
        <cfvo type="min"/>
        <cfvo type="percentile" val="50"/>
        <cfvo type="max"/>
        <color rgb="FFF8696B"/>
        <color rgb="FFFFEB84"/>
        <color rgb="FF63BE7B"/>
      </colorScale>
    </cfRule>
  </conditionalFormatting>
  <conditionalFormatting sqref="F10:F24">
    <cfRule type="colorScale" priority="10251">
      <colorScale>
        <cfvo type="min"/>
        <cfvo type="percentile" val="50"/>
        <cfvo type="max"/>
        <color rgb="FFF8696B"/>
        <color rgb="FFFFEB84"/>
        <color rgb="FF63BE7B"/>
      </colorScale>
    </cfRule>
  </conditionalFormatting>
  <conditionalFormatting sqref="F10:F24">
    <cfRule type="colorScale" priority="10250">
      <colorScale>
        <cfvo type="min"/>
        <cfvo type="percentile" val="50"/>
        <cfvo type="max"/>
        <color rgb="FFF8696B"/>
        <color rgb="FFFFEB84"/>
        <color rgb="FF63BE7B"/>
      </colorScale>
    </cfRule>
  </conditionalFormatting>
  <conditionalFormatting sqref="F10:F24">
    <cfRule type="colorScale" priority="10249">
      <colorScale>
        <cfvo type="min"/>
        <cfvo type="percentile" val="50"/>
        <cfvo type="max"/>
        <color rgb="FFF8696B"/>
        <color rgb="FFFFEB84"/>
        <color rgb="FF63BE7B"/>
      </colorScale>
    </cfRule>
  </conditionalFormatting>
  <conditionalFormatting sqref="F10:F24">
    <cfRule type="colorScale" priority="10248">
      <colorScale>
        <cfvo type="min"/>
        <cfvo type="percentile" val="50"/>
        <cfvo type="max"/>
        <color rgb="FFF8696B"/>
        <color rgb="FFFFEB84"/>
        <color rgb="FF63BE7B"/>
      </colorScale>
    </cfRule>
  </conditionalFormatting>
  <conditionalFormatting sqref="F10:F24">
    <cfRule type="colorScale" priority="10247">
      <colorScale>
        <cfvo type="min"/>
        <cfvo type="percentile" val="50"/>
        <cfvo type="max"/>
        <color rgb="FFF8696B"/>
        <color rgb="FFFFEB84"/>
        <color rgb="FF63BE7B"/>
      </colorScale>
    </cfRule>
  </conditionalFormatting>
  <conditionalFormatting sqref="F10:F24">
    <cfRule type="colorScale" priority="10246">
      <colorScale>
        <cfvo type="min"/>
        <cfvo type="percentile" val="50"/>
        <cfvo type="max"/>
        <color rgb="FFF8696B"/>
        <color rgb="FFFFEB84"/>
        <color rgb="FF63BE7B"/>
      </colorScale>
    </cfRule>
  </conditionalFormatting>
  <conditionalFormatting sqref="F10:F24">
    <cfRule type="colorScale" priority="10245">
      <colorScale>
        <cfvo type="min"/>
        <cfvo type="percentile" val="50"/>
        <cfvo type="max"/>
        <color rgb="FFF8696B"/>
        <color rgb="FFFFEB84"/>
        <color rgb="FF63BE7B"/>
      </colorScale>
    </cfRule>
  </conditionalFormatting>
  <conditionalFormatting sqref="F10:F24">
    <cfRule type="colorScale" priority="10244">
      <colorScale>
        <cfvo type="min"/>
        <cfvo type="percentile" val="50"/>
        <cfvo type="max"/>
        <color rgb="FFF8696B"/>
        <color rgb="FFFFEB84"/>
        <color rgb="FF63BE7B"/>
      </colorScale>
    </cfRule>
  </conditionalFormatting>
  <conditionalFormatting sqref="F10:F24">
    <cfRule type="colorScale" priority="10243">
      <colorScale>
        <cfvo type="min"/>
        <cfvo type="percentile" val="50"/>
        <cfvo type="max"/>
        <color rgb="FFF8696B"/>
        <color rgb="FFFFEB84"/>
        <color rgb="FF63BE7B"/>
      </colorScale>
    </cfRule>
  </conditionalFormatting>
  <conditionalFormatting sqref="F10:F24">
    <cfRule type="colorScale" priority="10242">
      <colorScale>
        <cfvo type="min"/>
        <cfvo type="percentile" val="50"/>
        <cfvo type="max"/>
        <color rgb="FFF8696B"/>
        <color rgb="FFFFEB84"/>
        <color rgb="FF63BE7B"/>
      </colorScale>
    </cfRule>
  </conditionalFormatting>
  <conditionalFormatting sqref="F10:F24">
    <cfRule type="colorScale" priority="10241">
      <colorScale>
        <cfvo type="min"/>
        <cfvo type="percentile" val="50"/>
        <cfvo type="max"/>
        <color rgb="FFF8696B"/>
        <color rgb="FFFFEB84"/>
        <color rgb="FF63BE7B"/>
      </colorScale>
    </cfRule>
  </conditionalFormatting>
  <conditionalFormatting sqref="F10:F24">
    <cfRule type="colorScale" priority="10240">
      <colorScale>
        <cfvo type="min"/>
        <cfvo type="percentile" val="50"/>
        <cfvo type="max"/>
        <color rgb="FFF8696B"/>
        <color rgb="FFFFEB84"/>
        <color rgb="FF63BE7B"/>
      </colorScale>
    </cfRule>
  </conditionalFormatting>
  <conditionalFormatting sqref="F10:F24">
    <cfRule type="colorScale" priority="10239">
      <colorScale>
        <cfvo type="min"/>
        <cfvo type="percentile" val="50"/>
        <cfvo type="max"/>
        <color rgb="FFF8696B"/>
        <color rgb="FFFFEB84"/>
        <color rgb="FF63BE7B"/>
      </colorScale>
    </cfRule>
  </conditionalFormatting>
  <conditionalFormatting sqref="F10:F24">
    <cfRule type="colorScale" priority="10238">
      <colorScale>
        <cfvo type="min"/>
        <cfvo type="percentile" val="50"/>
        <cfvo type="max"/>
        <color rgb="FFF8696B"/>
        <color rgb="FFFFEB84"/>
        <color rgb="FF63BE7B"/>
      </colorScale>
    </cfRule>
  </conditionalFormatting>
  <conditionalFormatting sqref="F10:F24">
    <cfRule type="colorScale" priority="10237">
      <colorScale>
        <cfvo type="min"/>
        <cfvo type="percentile" val="50"/>
        <cfvo type="max"/>
        <color rgb="FFF8696B"/>
        <color rgb="FFFFEB84"/>
        <color rgb="FF63BE7B"/>
      </colorScale>
    </cfRule>
  </conditionalFormatting>
  <conditionalFormatting sqref="F10:F24">
    <cfRule type="colorScale" priority="10236">
      <colorScale>
        <cfvo type="min"/>
        <cfvo type="percentile" val="50"/>
        <cfvo type="max"/>
        <color rgb="FFF8696B"/>
        <color rgb="FFFFEB84"/>
        <color rgb="FF63BE7B"/>
      </colorScale>
    </cfRule>
  </conditionalFormatting>
  <conditionalFormatting sqref="F10:F24">
    <cfRule type="colorScale" priority="10235">
      <colorScale>
        <cfvo type="min"/>
        <cfvo type="percentile" val="50"/>
        <cfvo type="max"/>
        <color rgb="FFF8696B"/>
        <color rgb="FFFFEB84"/>
        <color rgb="FF63BE7B"/>
      </colorScale>
    </cfRule>
  </conditionalFormatting>
  <conditionalFormatting sqref="F10:F24">
    <cfRule type="colorScale" priority="10234">
      <colorScale>
        <cfvo type="min"/>
        <cfvo type="percentile" val="50"/>
        <cfvo type="max"/>
        <color rgb="FFF8696B"/>
        <color rgb="FFFFEB84"/>
        <color rgb="FF63BE7B"/>
      </colorScale>
    </cfRule>
  </conditionalFormatting>
  <conditionalFormatting sqref="F10:F24">
    <cfRule type="colorScale" priority="10233">
      <colorScale>
        <cfvo type="min"/>
        <cfvo type="percentile" val="50"/>
        <cfvo type="max"/>
        <color rgb="FFF8696B"/>
        <color rgb="FFFFEB84"/>
        <color rgb="FF63BE7B"/>
      </colorScale>
    </cfRule>
  </conditionalFormatting>
  <conditionalFormatting sqref="F10:F24">
    <cfRule type="colorScale" priority="10232">
      <colorScale>
        <cfvo type="min"/>
        <cfvo type="percentile" val="50"/>
        <cfvo type="max"/>
        <color rgb="FFF8696B"/>
        <color rgb="FFFFEB84"/>
        <color rgb="FF63BE7B"/>
      </colorScale>
    </cfRule>
  </conditionalFormatting>
  <conditionalFormatting sqref="F10:F24">
    <cfRule type="colorScale" priority="10231">
      <colorScale>
        <cfvo type="min"/>
        <cfvo type="percentile" val="50"/>
        <cfvo type="max"/>
        <color rgb="FFF8696B"/>
        <color rgb="FFFFEB84"/>
        <color rgb="FF63BE7B"/>
      </colorScale>
    </cfRule>
  </conditionalFormatting>
  <conditionalFormatting sqref="F10:F24">
    <cfRule type="colorScale" priority="10230">
      <colorScale>
        <cfvo type="min"/>
        <cfvo type="percentile" val="50"/>
        <cfvo type="max"/>
        <color rgb="FFF8696B"/>
        <color rgb="FFFFEB84"/>
        <color rgb="FF63BE7B"/>
      </colorScale>
    </cfRule>
  </conditionalFormatting>
  <conditionalFormatting sqref="F10:F24">
    <cfRule type="colorScale" priority="10229">
      <colorScale>
        <cfvo type="min"/>
        <cfvo type="percentile" val="50"/>
        <cfvo type="max"/>
        <color rgb="FFF8696B"/>
        <color rgb="FFFFEB84"/>
        <color rgb="FF63BE7B"/>
      </colorScale>
    </cfRule>
  </conditionalFormatting>
  <conditionalFormatting sqref="F10:F24">
    <cfRule type="colorScale" priority="10228">
      <colorScale>
        <cfvo type="min"/>
        <cfvo type="percentile" val="50"/>
        <cfvo type="max"/>
        <color rgb="FFF8696B"/>
        <color rgb="FFFFEB84"/>
        <color rgb="FF63BE7B"/>
      </colorScale>
    </cfRule>
  </conditionalFormatting>
  <conditionalFormatting sqref="F10:F24">
    <cfRule type="colorScale" priority="10227">
      <colorScale>
        <cfvo type="min"/>
        <cfvo type="percentile" val="50"/>
        <cfvo type="max"/>
        <color rgb="FFF8696B"/>
        <color rgb="FFFFEB84"/>
        <color rgb="FF63BE7B"/>
      </colorScale>
    </cfRule>
  </conditionalFormatting>
  <conditionalFormatting sqref="F10:F24">
    <cfRule type="colorScale" priority="10226">
      <colorScale>
        <cfvo type="min"/>
        <cfvo type="percentile" val="50"/>
        <cfvo type="max"/>
        <color rgb="FFF8696B"/>
        <color rgb="FFFFEB84"/>
        <color rgb="FF63BE7B"/>
      </colorScale>
    </cfRule>
  </conditionalFormatting>
  <conditionalFormatting sqref="F10:F24">
    <cfRule type="colorScale" priority="10225">
      <colorScale>
        <cfvo type="min"/>
        <cfvo type="percentile" val="50"/>
        <cfvo type="max"/>
        <color rgb="FFF8696B"/>
        <color rgb="FFFFEB84"/>
        <color rgb="FF63BE7B"/>
      </colorScale>
    </cfRule>
  </conditionalFormatting>
  <conditionalFormatting sqref="F10:F24">
    <cfRule type="colorScale" priority="10224">
      <colorScale>
        <cfvo type="min"/>
        <cfvo type="percentile" val="50"/>
        <cfvo type="max"/>
        <color rgb="FFF8696B"/>
        <color rgb="FFFFEB84"/>
        <color rgb="FF63BE7B"/>
      </colorScale>
    </cfRule>
  </conditionalFormatting>
  <conditionalFormatting sqref="F10:F24">
    <cfRule type="colorScale" priority="10223">
      <colorScale>
        <cfvo type="min"/>
        <cfvo type="percentile" val="50"/>
        <cfvo type="max"/>
        <color rgb="FFF8696B"/>
        <color rgb="FFFFEB84"/>
        <color rgb="FF63BE7B"/>
      </colorScale>
    </cfRule>
  </conditionalFormatting>
  <conditionalFormatting sqref="F10:F24">
    <cfRule type="colorScale" priority="10222">
      <colorScale>
        <cfvo type="min"/>
        <cfvo type="percentile" val="50"/>
        <cfvo type="max"/>
        <color rgb="FFF8696B"/>
        <color rgb="FFFFEB84"/>
        <color rgb="FF63BE7B"/>
      </colorScale>
    </cfRule>
  </conditionalFormatting>
  <conditionalFormatting sqref="F10:F24">
    <cfRule type="colorScale" priority="10221">
      <colorScale>
        <cfvo type="min"/>
        <cfvo type="percentile" val="50"/>
        <cfvo type="max"/>
        <color rgb="FFF8696B"/>
        <color rgb="FFFFEB84"/>
        <color rgb="FF63BE7B"/>
      </colorScale>
    </cfRule>
  </conditionalFormatting>
  <conditionalFormatting sqref="F10:F24">
    <cfRule type="colorScale" priority="10220">
      <colorScale>
        <cfvo type="min"/>
        <cfvo type="percentile" val="50"/>
        <cfvo type="max"/>
        <color rgb="FFF8696B"/>
        <color rgb="FFFFEB84"/>
        <color rgb="FF63BE7B"/>
      </colorScale>
    </cfRule>
  </conditionalFormatting>
  <conditionalFormatting sqref="F10:F24">
    <cfRule type="colorScale" priority="10219">
      <colorScale>
        <cfvo type="min"/>
        <cfvo type="percentile" val="50"/>
        <cfvo type="max"/>
        <color rgb="FFF8696B"/>
        <color rgb="FFFFEB84"/>
        <color rgb="FF63BE7B"/>
      </colorScale>
    </cfRule>
  </conditionalFormatting>
  <conditionalFormatting sqref="F10:F24">
    <cfRule type="colorScale" priority="10218">
      <colorScale>
        <cfvo type="min"/>
        <cfvo type="percentile" val="50"/>
        <cfvo type="max"/>
        <color rgb="FFF8696B"/>
        <color rgb="FFFFEB84"/>
        <color rgb="FF63BE7B"/>
      </colorScale>
    </cfRule>
  </conditionalFormatting>
  <conditionalFormatting sqref="F10:F24">
    <cfRule type="colorScale" priority="10217">
      <colorScale>
        <cfvo type="min"/>
        <cfvo type="percentile" val="50"/>
        <cfvo type="max"/>
        <color rgb="FFF8696B"/>
        <color rgb="FFFFEB84"/>
        <color rgb="FF63BE7B"/>
      </colorScale>
    </cfRule>
  </conditionalFormatting>
  <conditionalFormatting sqref="F10:F24">
    <cfRule type="colorScale" priority="10216">
      <colorScale>
        <cfvo type="min"/>
        <cfvo type="percentile" val="50"/>
        <cfvo type="max"/>
        <color rgb="FFF8696B"/>
        <color rgb="FFFFEB84"/>
        <color rgb="FF63BE7B"/>
      </colorScale>
    </cfRule>
  </conditionalFormatting>
  <conditionalFormatting sqref="F10:F24">
    <cfRule type="colorScale" priority="10215">
      <colorScale>
        <cfvo type="min"/>
        <cfvo type="percentile" val="50"/>
        <cfvo type="max"/>
        <color rgb="FFF8696B"/>
        <color rgb="FFFFEB84"/>
        <color rgb="FF63BE7B"/>
      </colorScale>
    </cfRule>
  </conditionalFormatting>
  <conditionalFormatting sqref="F10:F24">
    <cfRule type="colorScale" priority="10214">
      <colorScale>
        <cfvo type="min"/>
        <cfvo type="percentile" val="50"/>
        <cfvo type="max"/>
        <color rgb="FFF8696B"/>
        <color rgb="FFFFEB84"/>
        <color rgb="FF63BE7B"/>
      </colorScale>
    </cfRule>
  </conditionalFormatting>
  <conditionalFormatting sqref="F10:F24">
    <cfRule type="colorScale" priority="10213">
      <colorScale>
        <cfvo type="min"/>
        <cfvo type="percentile" val="50"/>
        <cfvo type="max"/>
        <color rgb="FFF8696B"/>
        <color rgb="FFFFEB84"/>
        <color rgb="FF63BE7B"/>
      </colorScale>
    </cfRule>
  </conditionalFormatting>
  <conditionalFormatting sqref="F10:F24">
    <cfRule type="colorScale" priority="10212">
      <colorScale>
        <cfvo type="min"/>
        <cfvo type="percentile" val="50"/>
        <cfvo type="max"/>
        <color rgb="FFF8696B"/>
        <color rgb="FFFFEB84"/>
        <color rgb="FF63BE7B"/>
      </colorScale>
    </cfRule>
  </conditionalFormatting>
  <conditionalFormatting sqref="F10:F24">
    <cfRule type="colorScale" priority="10211">
      <colorScale>
        <cfvo type="min"/>
        <cfvo type="percentile" val="50"/>
        <cfvo type="max"/>
        <color rgb="FFF8696B"/>
        <color rgb="FFFFEB84"/>
        <color rgb="FF63BE7B"/>
      </colorScale>
    </cfRule>
  </conditionalFormatting>
  <conditionalFormatting sqref="F10:F24">
    <cfRule type="colorScale" priority="10210">
      <colorScale>
        <cfvo type="min"/>
        <cfvo type="percentile" val="50"/>
        <cfvo type="max"/>
        <color rgb="FFF8696B"/>
        <color rgb="FFFFEB84"/>
        <color rgb="FF63BE7B"/>
      </colorScale>
    </cfRule>
  </conditionalFormatting>
  <conditionalFormatting sqref="F10:F24">
    <cfRule type="colorScale" priority="10209">
      <colorScale>
        <cfvo type="min"/>
        <cfvo type="percentile" val="50"/>
        <cfvo type="max"/>
        <color rgb="FFF8696B"/>
        <color rgb="FFFFEB84"/>
        <color rgb="FF63BE7B"/>
      </colorScale>
    </cfRule>
  </conditionalFormatting>
  <conditionalFormatting sqref="F10:F24">
    <cfRule type="colorScale" priority="10208">
      <colorScale>
        <cfvo type="min"/>
        <cfvo type="percentile" val="50"/>
        <cfvo type="max"/>
        <color rgb="FFF8696B"/>
        <color rgb="FFFFEB84"/>
        <color rgb="FF63BE7B"/>
      </colorScale>
    </cfRule>
  </conditionalFormatting>
  <conditionalFormatting sqref="F10:F24">
    <cfRule type="colorScale" priority="10207">
      <colorScale>
        <cfvo type="min"/>
        <cfvo type="percentile" val="50"/>
        <cfvo type="max"/>
        <color rgb="FFF8696B"/>
        <color rgb="FFFFEB84"/>
        <color rgb="FF63BE7B"/>
      </colorScale>
    </cfRule>
  </conditionalFormatting>
  <conditionalFormatting sqref="F10:F24">
    <cfRule type="colorScale" priority="10206">
      <colorScale>
        <cfvo type="min"/>
        <cfvo type="percentile" val="50"/>
        <cfvo type="max"/>
        <color rgb="FFF8696B"/>
        <color rgb="FFFFEB84"/>
        <color rgb="FF63BE7B"/>
      </colorScale>
    </cfRule>
  </conditionalFormatting>
  <conditionalFormatting sqref="F10:F24">
    <cfRule type="colorScale" priority="10205">
      <colorScale>
        <cfvo type="min"/>
        <cfvo type="percentile" val="50"/>
        <cfvo type="max"/>
        <color rgb="FFF8696B"/>
        <color rgb="FFFFEB84"/>
        <color rgb="FF63BE7B"/>
      </colorScale>
    </cfRule>
  </conditionalFormatting>
  <conditionalFormatting sqref="F10:F24">
    <cfRule type="colorScale" priority="10204">
      <colorScale>
        <cfvo type="min"/>
        <cfvo type="percentile" val="50"/>
        <cfvo type="max"/>
        <color rgb="FFF8696B"/>
        <color rgb="FFFFEB84"/>
        <color rgb="FF63BE7B"/>
      </colorScale>
    </cfRule>
  </conditionalFormatting>
  <conditionalFormatting sqref="F10:F24">
    <cfRule type="colorScale" priority="10203">
      <colorScale>
        <cfvo type="min"/>
        <cfvo type="percentile" val="50"/>
        <cfvo type="max"/>
        <color rgb="FFF8696B"/>
        <color rgb="FFFFEB84"/>
        <color rgb="FF63BE7B"/>
      </colorScale>
    </cfRule>
  </conditionalFormatting>
  <conditionalFormatting sqref="F10:F24">
    <cfRule type="colorScale" priority="10202">
      <colorScale>
        <cfvo type="min"/>
        <cfvo type="percentile" val="50"/>
        <cfvo type="max"/>
        <color rgb="FFF8696B"/>
        <color rgb="FFFFEB84"/>
        <color rgb="FF63BE7B"/>
      </colorScale>
    </cfRule>
  </conditionalFormatting>
  <conditionalFormatting sqref="F10:F24">
    <cfRule type="colorScale" priority="10201">
      <colorScale>
        <cfvo type="min"/>
        <cfvo type="percentile" val="50"/>
        <cfvo type="max"/>
        <color rgb="FFF8696B"/>
        <color rgb="FFFFEB84"/>
        <color rgb="FF63BE7B"/>
      </colorScale>
    </cfRule>
  </conditionalFormatting>
  <conditionalFormatting sqref="F10:F24">
    <cfRule type="colorScale" priority="10200">
      <colorScale>
        <cfvo type="min"/>
        <cfvo type="percentile" val="50"/>
        <cfvo type="max"/>
        <color rgb="FFF8696B"/>
        <color rgb="FFFFEB84"/>
        <color rgb="FF63BE7B"/>
      </colorScale>
    </cfRule>
  </conditionalFormatting>
  <conditionalFormatting sqref="F10:F24">
    <cfRule type="colorScale" priority="10199">
      <colorScale>
        <cfvo type="min"/>
        <cfvo type="percentile" val="50"/>
        <cfvo type="max"/>
        <color rgb="FFF8696B"/>
        <color rgb="FFFFEB84"/>
        <color rgb="FF63BE7B"/>
      </colorScale>
    </cfRule>
  </conditionalFormatting>
  <conditionalFormatting sqref="F10:F24">
    <cfRule type="colorScale" priority="10198">
      <colorScale>
        <cfvo type="min"/>
        <cfvo type="percentile" val="50"/>
        <cfvo type="max"/>
        <color rgb="FFF8696B"/>
        <color rgb="FFFFEB84"/>
        <color rgb="FF63BE7B"/>
      </colorScale>
    </cfRule>
  </conditionalFormatting>
  <conditionalFormatting sqref="F10:F24">
    <cfRule type="colorScale" priority="10197">
      <colorScale>
        <cfvo type="min"/>
        <cfvo type="percentile" val="50"/>
        <cfvo type="max"/>
        <color rgb="FFF8696B"/>
        <color rgb="FFFFEB84"/>
        <color rgb="FF63BE7B"/>
      </colorScale>
    </cfRule>
  </conditionalFormatting>
  <conditionalFormatting sqref="F10:F24">
    <cfRule type="colorScale" priority="10196">
      <colorScale>
        <cfvo type="min"/>
        <cfvo type="percentile" val="50"/>
        <cfvo type="max"/>
        <color rgb="FFF8696B"/>
        <color rgb="FFFFEB84"/>
        <color rgb="FF63BE7B"/>
      </colorScale>
    </cfRule>
  </conditionalFormatting>
  <conditionalFormatting sqref="F10:F24">
    <cfRule type="colorScale" priority="10195">
      <colorScale>
        <cfvo type="min"/>
        <cfvo type="percentile" val="50"/>
        <cfvo type="max"/>
        <color rgb="FFF8696B"/>
        <color rgb="FFFFEB84"/>
        <color rgb="FF63BE7B"/>
      </colorScale>
    </cfRule>
  </conditionalFormatting>
  <conditionalFormatting sqref="F10:F24">
    <cfRule type="colorScale" priority="10194">
      <colorScale>
        <cfvo type="min"/>
        <cfvo type="percentile" val="50"/>
        <cfvo type="max"/>
        <color rgb="FFF8696B"/>
        <color rgb="FFFFEB84"/>
        <color rgb="FF63BE7B"/>
      </colorScale>
    </cfRule>
  </conditionalFormatting>
  <conditionalFormatting sqref="F10:F24">
    <cfRule type="colorScale" priority="10193">
      <colorScale>
        <cfvo type="min"/>
        <cfvo type="percentile" val="50"/>
        <cfvo type="max"/>
        <color rgb="FFF8696B"/>
        <color rgb="FFFFEB84"/>
        <color rgb="FF63BE7B"/>
      </colorScale>
    </cfRule>
  </conditionalFormatting>
  <conditionalFormatting sqref="F10:F24">
    <cfRule type="colorScale" priority="10192">
      <colorScale>
        <cfvo type="min"/>
        <cfvo type="percentile" val="50"/>
        <cfvo type="max"/>
        <color rgb="FFF8696B"/>
        <color rgb="FFFFEB84"/>
        <color rgb="FF63BE7B"/>
      </colorScale>
    </cfRule>
  </conditionalFormatting>
  <conditionalFormatting sqref="F10:F24">
    <cfRule type="colorScale" priority="10191">
      <colorScale>
        <cfvo type="min"/>
        <cfvo type="percentile" val="50"/>
        <cfvo type="max"/>
        <color rgb="FFF8696B"/>
        <color rgb="FFFFEB84"/>
        <color rgb="FF63BE7B"/>
      </colorScale>
    </cfRule>
  </conditionalFormatting>
  <conditionalFormatting sqref="F10:F24">
    <cfRule type="colorScale" priority="10190">
      <colorScale>
        <cfvo type="min"/>
        <cfvo type="percentile" val="50"/>
        <cfvo type="max"/>
        <color rgb="FFF8696B"/>
        <color rgb="FFFFEB84"/>
        <color rgb="FF63BE7B"/>
      </colorScale>
    </cfRule>
  </conditionalFormatting>
  <conditionalFormatting sqref="F10:F24">
    <cfRule type="colorScale" priority="10189">
      <colorScale>
        <cfvo type="min"/>
        <cfvo type="percentile" val="50"/>
        <cfvo type="max"/>
        <color rgb="FFF8696B"/>
        <color rgb="FFFFEB84"/>
        <color rgb="FF63BE7B"/>
      </colorScale>
    </cfRule>
  </conditionalFormatting>
  <conditionalFormatting sqref="F10:F24">
    <cfRule type="colorScale" priority="10188">
      <colorScale>
        <cfvo type="min"/>
        <cfvo type="percentile" val="50"/>
        <cfvo type="max"/>
        <color rgb="FFF8696B"/>
        <color rgb="FFFFEB84"/>
        <color rgb="FF63BE7B"/>
      </colorScale>
    </cfRule>
  </conditionalFormatting>
  <conditionalFormatting sqref="F10:F24">
    <cfRule type="colorScale" priority="10187">
      <colorScale>
        <cfvo type="min"/>
        <cfvo type="percentile" val="50"/>
        <cfvo type="max"/>
        <color rgb="FFF8696B"/>
        <color rgb="FFFFEB84"/>
        <color rgb="FF63BE7B"/>
      </colorScale>
    </cfRule>
  </conditionalFormatting>
  <conditionalFormatting sqref="F10:F24">
    <cfRule type="colorScale" priority="10186">
      <colorScale>
        <cfvo type="min"/>
        <cfvo type="percentile" val="50"/>
        <cfvo type="max"/>
        <color rgb="FFF8696B"/>
        <color rgb="FFFFEB84"/>
        <color rgb="FF63BE7B"/>
      </colorScale>
    </cfRule>
  </conditionalFormatting>
  <conditionalFormatting sqref="F10:F24">
    <cfRule type="colorScale" priority="10185">
      <colorScale>
        <cfvo type="min"/>
        <cfvo type="percentile" val="50"/>
        <cfvo type="max"/>
        <color rgb="FFF8696B"/>
        <color rgb="FFFFEB84"/>
        <color rgb="FF63BE7B"/>
      </colorScale>
    </cfRule>
  </conditionalFormatting>
  <conditionalFormatting sqref="F10:F24">
    <cfRule type="colorScale" priority="10184">
      <colorScale>
        <cfvo type="min"/>
        <cfvo type="percentile" val="50"/>
        <cfvo type="max"/>
        <color rgb="FFF8696B"/>
        <color rgb="FFFFEB84"/>
        <color rgb="FF63BE7B"/>
      </colorScale>
    </cfRule>
  </conditionalFormatting>
  <conditionalFormatting sqref="F10:F24">
    <cfRule type="colorScale" priority="10183">
      <colorScale>
        <cfvo type="min"/>
        <cfvo type="percentile" val="50"/>
        <cfvo type="max"/>
        <color rgb="FFF8696B"/>
        <color rgb="FFFFEB84"/>
        <color rgb="FF63BE7B"/>
      </colorScale>
    </cfRule>
  </conditionalFormatting>
  <conditionalFormatting sqref="F10:F24">
    <cfRule type="colorScale" priority="10182">
      <colorScale>
        <cfvo type="min"/>
        <cfvo type="percentile" val="50"/>
        <cfvo type="max"/>
        <color rgb="FFF8696B"/>
        <color rgb="FFFFEB84"/>
        <color rgb="FF63BE7B"/>
      </colorScale>
    </cfRule>
  </conditionalFormatting>
  <conditionalFormatting sqref="F10:F24">
    <cfRule type="colorScale" priority="10181">
      <colorScale>
        <cfvo type="min"/>
        <cfvo type="percentile" val="50"/>
        <cfvo type="max"/>
        <color rgb="FFF8696B"/>
        <color rgb="FFFFEB84"/>
        <color rgb="FF63BE7B"/>
      </colorScale>
    </cfRule>
  </conditionalFormatting>
  <conditionalFormatting sqref="F10:F24">
    <cfRule type="colorScale" priority="10180">
      <colorScale>
        <cfvo type="min"/>
        <cfvo type="percentile" val="50"/>
        <cfvo type="max"/>
        <color rgb="FFF8696B"/>
        <color rgb="FFFFEB84"/>
        <color rgb="FF63BE7B"/>
      </colorScale>
    </cfRule>
  </conditionalFormatting>
  <conditionalFormatting sqref="F10:F24">
    <cfRule type="colorScale" priority="10179">
      <colorScale>
        <cfvo type="min"/>
        <cfvo type="percentile" val="50"/>
        <cfvo type="max"/>
        <color rgb="FFF8696B"/>
        <color rgb="FFFFEB84"/>
        <color rgb="FF63BE7B"/>
      </colorScale>
    </cfRule>
  </conditionalFormatting>
  <conditionalFormatting sqref="F10:F24">
    <cfRule type="colorScale" priority="10178">
      <colorScale>
        <cfvo type="min"/>
        <cfvo type="percentile" val="50"/>
        <cfvo type="max"/>
        <color rgb="FFF8696B"/>
        <color rgb="FFFFEB84"/>
        <color rgb="FF63BE7B"/>
      </colorScale>
    </cfRule>
  </conditionalFormatting>
  <conditionalFormatting sqref="F10:F24">
    <cfRule type="colorScale" priority="10177">
      <colorScale>
        <cfvo type="min"/>
        <cfvo type="percentile" val="50"/>
        <cfvo type="max"/>
        <color rgb="FFF8696B"/>
        <color rgb="FFFFEB84"/>
        <color rgb="FF63BE7B"/>
      </colorScale>
    </cfRule>
  </conditionalFormatting>
  <conditionalFormatting sqref="F10:F24">
    <cfRule type="colorScale" priority="10176">
      <colorScale>
        <cfvo type="min"/>
        <cfvo type="percentile" val="50"/>
        <cfvo type="max"/>
        <color rgb="FFF8696B"/>
        <color rgb="FFFFEB84"/>
        <color rgb="FF63BE7B"/>
      </colorScale>
    </cfRule>
  </conditionalFormatting>
  <conditionalFormatting sqref="F10:F25">
    <cfRule type="colorScale" priority="10175">
      <colorScale>
        <cfvo type="min"/>
        <cfvo type="percentile" val="50"/>
        <cfvo type="max"/>
        <color rgb="FFF8696B"/>
        <color rgb="FFFFEB84"/>
        <color rgb="FF63BE7B"/>
      </colorScale>
    </cfRule>
  </conditionalFormatting>
  <conditionalFormatting sqref="F10:F25">
    <cfRule type="colorScale" priority="10174">
      <colorScale>
        <cfvo type="min"/>
        <cfvo type="percentile" val="50"/>
        <cfvo type="max"/>
        <color rgb="FFF8696B"/>
        <color rgb="FFFFEB84"/>
        <color rgb="FF63BE7B"/>
      </colorScale>
    </cfRule>
  </conditionalFormatting>
  <conditionalFormatting sqref="F10:F24">
    <cfRule type="colorScale" priority="10173">
      <colorScale>
        <cfvo type="min"/>
        <cfvo type="percentile" val="50"/>
        <cfvo type="max"/>
        <color rgb="FFF8696B"/>
        <color rgb="FFFFEB84"/>
        <color rgb="FF63BE7B"/>
      </colorScale>
    </cfRule>
  </conditionalFormatting>
  <conditionalFormatting sqref="F10:F24">
    <cfRule type="colorScale" priority="10172">
      <colorScale>
        <cfvo type="min"/>
        <cfvo type="percentile" val="50"/>
        <cfvo type="max"/>
        <color rgb="FFF8696B"/>
        <color rgb="FFFFEB84"/>
        <color rgb="FF63BE7B"/>
      </colorScale>
    </cfRule>
  </conditionalFormatting>
  <conditionalFormatting sqref="F10:F24">
    <cfRule type="colorScale" priority="10171">
      <colorScale>
        <cfvo type="min"/>
        <cfvo type="percentile" val="50"/>
        <cfvo type="max"/>
        <color rgb="FFF8696B"/>
        <color rgb="FFFFEB84"/>
        <color rgb="FF63BE7B"/>
      </colorScale>
    </cfRule>
  </conditionalFormatting>
  <conditionalFormatting sqref="F10:F24">
    <cfRule type="colorScale" priority="10170">
      <colorScale>
        <cfvo type="min"/>
        <cfvo type="percentile" val="50"/>
        <cfvo type="max"/>
        <color rgb="FFF8696B"/>
        <color rgb="FFFFEB84"/>
        <color rgb="FF63BE7B"/>
      </colorScale>
    </cfRule>
  </conditionalFormatting>
  <conditionalFormatting sqref="F10:F21">
    <cfRule type="colorScale" priority="10169">
      <colorScale>
        <cfvo type="min"/>
        <cfvo type="percentile" val="50"/>
        <cfvo type="max"/>
        <color rgb="FFF8696B"/>
        <color rgb="FFFFEB84"/>
        <color rgb="FF63BE7B"/>
      </colorScale>
    </cfRule>
  </conditionalFormatting>
  <conditionalFormatting sqref="F10:F21">
    <cfRule type="colorScale" priority="10168">
      <colorScale>
        <cfvo type="min"/>
        <cfvo type="percentile" val="50"/>
        <cfvo type="max"/>
        <color rgb="FFF8696B"/>
        <color rgb="FFFFEB84"/>
        <color rgb="FF63BE7B"/>
      </colorScale>
    </cfRule>
  </conditionalFormatting>
  <conditionalFormatting sqref="F10:F24">
    <cfRule type="colorScale" priority="10167">
      <colorScale>
        <cfvo type="min"/>
        <cfvo type="percentile" val="50"/>
        <cfvo type="max"/>
        <color rgb="FFF8696B"/>
        <color rgb="FFFFEB84"/>
        <color rgb="FF63BE7B"/>
      </colorScale>
    </cfRule>
  </conditionalFormatting>
  <conditionalFormatting sqref="F10:F24">
    <cfRule type="colorScale" priority="10166">
      <colorScale>
        <cfvo type="min"/>
        <cfvo type="percentile" val="50"/>
        <cfvo type="max"/>
        <color rgb="FFF8696B"/>
        <color rgb="FFFFEB84"/>
        <color rgb="FF63BE7B"/>
      </colorScale>
    </cfRule>
  </conditionalFormatting>
  <conditionalFormatting sqref="F10:F24">
    <cfRule type="colorScale" priority="10165">
      <colorScale>
        <cfvo type="min"/>
        <cfvo type="percentile" val="50"/>
        <cfvo type="max"/>
        <color rgb="FFF8696B"/>
        <color rgb="FFFFEB84"/>
        <color rgb="FF63BE7B"/>
      </colorScale>
    </cfRule>
  </conditionalFormatting>
  <conditionalFormatting sqref="F10:F24">
    <cfRule type="colorScale" priority="10164">
      <colorScale>
        <cfvo type="min"/>
        <cfvo type="percentile" val="50"/>
        <cfvo type="max"/>
        <color rgb="FFF8696B"/>
        <color rgb="FFFFEB84"/>
        <color rgb="FF63BE7B"/>
      </colorScale>
    </cfRule>
  </conditionalFormatting>
  <conditionalFormatting sqref="F10:F24">
    <cfRule type="colorScale" priority="10163">
      <colorScale>
        <cfvo type="min"/>
        <cfvo type="percentile" val="50"/>
        <cfvo type="max"/>
        <color rgb="FFF8696B"/>
        <color rgb="FFFFEB84"/>
        <color rgb="FF63BE7B"/>
      </colorScale>
    </cfRule>
  </conditionalFormatting>
  <conditionalFormatting sqref="F10:F24">
    <cfRule type="colorScale" priority="10162">
      <colorScale>
        <cfvo type="min"/>
        <cfvo type="percentile" val="50"/>
        <cfvo type="max"/>
        <color rgb="FFF8696B"/>
        <color rgb="FFFFEB84"/>
        <color rgb="FF63BE7B"/>
      </colorScale>
    </cfRule>
  </conditionalFormatting>
  <conditionalFormatting sqref="F10:F24">
    <cfRule type="colorScale" priority="10161">
      <colorScale>
        <cfvo type="min"/>
        <cfvo type="percentile" val="50"/>
        <cfvo type="max"/>
        <color rgb="FFF8696B"/>
        <color rgb="FFFFEB84"/>
        <color rgb="FF63BE7B"/>
      </colorScale>
    </cfRule>
  </conditionalFormatting>
  <conditionalFormatting sqref="F10:F24">
    <cfRule type="colorScale" priority="10160">
      <colorScale>
        <cfvo type="min"/>
        <cfvo type="percentile" val="50"/>
        <cfvo type="max"/>
        <color rgb="FFF8696B"/>
        <color rgb="FFFFEB84"/>
        <color rgb="FF63BE7B"/>
      </colorScale>
    </cfRule>
  </conditionalFormatting>
  <conditionalFormatting sqref="F22:F24">
    <cfRule type="colorScale" priority="10159">
      <colorScale>
        <cfvo type="min"/>
        <cfvo type="percentile" val="50"/>
        <cfvo type="max"/>
        <color rgb="FFF8696B"/>
        <color rgb="FFFFEB84"/>
        <color rgb="FF63BE7B"/>
      </colorScale>
    </cfRule>
  </conditionalFormatting>
  <conditionalFormatting sqref="F22:F24">
    <cfRule type="colorScale" priority="10158">
      <colorScale>
        <cfvo type="min"/>
        <cfvo type="percentile" val="50"/>
        <cfvo type="max"/>
        <color rgb="FFF8696B"/>
        <color rgb="FFFFEB84"/>
        <color rgb="FF63BE7B"/>
      </colorScale>
    </cfRule>
  </conditionalFormatting>
  <conditionalFormatting sqref="F25">
    <cfRule type="colorScale" priority="10157">
      <colorScale>
        <cfvo type="min"/>
        <cfvo type="percentile" val="50"/>
        <cfvo type="max"/>
        <color rgb="FFF8696B"/>
        <color rgb="FFFFEB84"/>
        <color rgb="FF63BE7B"/>
      </colorScale>
    </cfRule>
  </conditionalFormatting>
  <conditionalFormatting sqref="F25">
    <cfRule type="colorScale" priority="10156">
      <colorScale>
        <cfvo type="min"/>
        <cfvo type="percentile" val="50"/>
        <cfvo type="max"/>
        <color rgb="FFF8696B"/>
        <color rgb="FFFFEB84"/>
        <color rgb="FF63BE7B"/>
      </colorScale>
    </cfRule>
  </conditionalFormatting>
  <conditionalFormatting sqref="F25">
    <cfRule type="colorScale" priority="10155">
      <colorScale>
        <cfvo type="min"/>
        <cfvo type="percentile" val="50"/>
        <cfvo type="max"/>
        <color rgb="FFF8696B"/>
        <color rgb="FFFFEB84"/>
        <color rgb="FF63BE7B"/>
      </colorScale>
    </cfRule>
  </conditionalFormatting>
  <conditionalFormatting sqref="F25">
    <cfRule type="colorScale" priority="10154">
      <colorScale>
        <cfvo type="min"/>
        <cfvo type="percentile" val="50"/>
        <cfvo type="max"/>
        <color rgb="FFF8696B"/>
        <color rgb="FFFFEB84"/>
        <color rgb="FF63BE7B"/>
      </colorScale>
    </cfRule>
  </conditionalFormatting>
  <conditionalFormatting sqref="F25">
    <cfRule type="colorScale" priority="10153">
      <colorScale>
        <cfvo type="min"/>
        <cfvo type="percentile" val="50"/>
        <cfvo type="max"/>
        <color rgb="FFF8696B"/>
        <color rgb="FFFFEB84"/>
        <color rgb="FF63BE7B"/>
      </colorScale>
    </cfRule>
  </conditionalFormatting>
  <conditionalFormatting sqref="F25">
    <cfRule type="colorScale" priority="10152">
      <colorScale>
        <cfvo type="min"/>
        <cfvo type="percentile" val="50"/>
        <cfvo type="max"/>
        <color rgb="FFF8696B"/>
        <color rgb="FFFFEB84"/>
        <color rgb="FF63BE7B"/>
      </colorScale>
    </cfRule>
  </conditionalFormatting>
  <conditionalFormatting sqref="F25">
    <cfRule type="colorScale" priority="10151">
      <colorScale>
        <cfvo type="min"/>
        <cfvo type="percentile" val="50"/>
        <cfvo type="max"/>
        <color rgb="FFF8696B"/>
        <color rgb="FFFFEB84"/>
        <color rgb="FF63BE7B"/>
      </colorScale>
    </cfRule>
  </conditionalFormatting>
  <conditionalFormatting sqref="F25">
    <cfRule type="colorScale" priority="10150">
      <colorScale>
        <cfvo type="min"/>
        <cfvo type="percentile" val="50"/>
        <cfvo type="max"/>
        <color rgb="FFF8696B"/>
        <color rgb="FFFFEB84"/>
        <color rgb="FF63BE7B"/>
      </colorScale>
    </cfRule>
  </conditionalFormatting>
  <conditionalFormatting sqref="F25">
    <cfRule type="colorScale" priority="10149">
      <colorScale>
        <cfvo type="min"/>
        <cfvo type="percentile" val="50"/>
        <cfvo type="max"/>
        <color rgb="FFF8696B"/>
        <color rgb="FFFFEB84"/>
        <color rgb="FF63BE7B"/>
      </colorScale>
    </cfRule>
  </conditionalFormatting>
  <conditionalFormatting sqref="F25">
    <cfRule type="colorScale" priority="10148">
      <colorScale>
        <cfvo type="min"/>
        <cfvo type="percentile" val="50"/>
        <cfvo type="max"/>
        <color rgb="FFF8696B"/>
        <color rgb="FFFFEB84"/>
        <color rgb="FF63BE7B"/>
      </colorScale>
    </cfRule>
  </conditionalFormatting>
  <conditionalFormatting sqref="F25">
    <cfRule type="colorScale" priority="10147">
      <colorScale>
        <cfvo type="min"/>
        <cfvo type="percentile" val="50"/>
        <cfvo type="max"/>
        <color rgb="FFF8696B"/>
        <color rgb="FFFFEB84"/>
        <color rgb="FF63BE7B"/>
      </colorScale>
    </cfRule>
  </conditionalFormatting>
  <conditionalFormatting sqref="F25">
    <cfRule type="colorScale" priority="10146">
      <colorScale>
        <cfvo type="min"/>
        <cfvo type="percentile" val="50"/>
        <cfvo type="max"/>
        <color rgb="FFF8696B"/>
        <color rgb="FFFFEB84"/>
        <color rgb="FF63BE7B"/>
      </colorScale>
    </cfRule>
  </conditionalFormatting>
  <conditionalFormatting sqref="F25">
    <cfRule type="colorScale" priority="10145">
      <colorScale>
        <cfvo type="min"/>
        <cfvo type="percentile" val="50"/>
        <cfvo type="max"/>
        <color rgb="FFF8696B"/>
        <color rgb="FFFFEB84"/>
        <color rgb="FF63BE7B"/>
      </colorScale>
    </cfRule>
  </conditionalFormatting>
  <conditionalFormatting sqref="F25">
    <cfRule type="colorScale" priority="10144">
      <colorScale>
        <cfvo type="min"/>
        <cfvo type="percentile" val="50"/>
        <cfvo type="max"/>
        <color rgb="FFF8696B"/>
        <color rgb="FFFFEB84"/>
        <color rgb="FF63BE7B"/>
      </colorScale>
    </cfRule>
  </conditionalFormatting>
  <conditionalFormatting sqref="F25">
    <cfRule type="colorScale" priority="10143">
      <colorScale>
        <cfvo type="min"/>
        <cfvo type="percentile" val="50"/>
        <cfvo type="max"/>
        <color rgb="FFF8696B"/>
        <color rgb="FFFFEB84"/>
        <color rgb="FF63BE7B"/>
      </colorScale>
    </cfRule>
  </conditionalFormatting>
  <conditionalFormatting sqref="F25">
    <cfRule type="colorScale" priority="10142">
      <colorScale>
        <cfvo type="min"/>
        <cfvo type="percentile" val="50"/>
        <cfvo type="max"/>
        <color rgb="FFF8696B"/>
        <color rgb="FFFFEB84"/>
        <color rgb="FF63BE7B"/>
      </colorScale>
    </cfRule>
  </conditionalFormatting>
  <conditionalFormatting sqref="F25">
    <cfRule type="colorScale" priority="10141">
      <colorScale>
        <cfvo type="min"/>
        <cfvo type="percentile" val="50"/>
        <cfvo type="max"/>
        <color rgb="FFF8696B"/>
        <color rgb="FFFFEB84"/>
        <color rgb="FF63BE7B"/>
      </colorScale>
    </cfRule>
  </conditionalFormatting>
  <conditionalFormatting sqref="F25">
    <cfRule type="colorScale" priority="10140">
      <colorScale>
        <cfvo type="min"/>
        <cfvo type="percentile" val="50"/>
        <cfvo type="max"/>
        <color rgb="FFF8696B"/>
        <color rgb="FFFFEB84"/>
        <color rgb="FF63BE7B"/>
      </colorScale>
    </cfRule>
  </conditionalFormatting>
  <conditionalFormatting sqref="F25">
    <cfRule type="colorScale" priority="10139">
      <colorScale>
        <cfvo type="min"/>
        <cfvo type="percentile" val="50"/>
        <cfvo type="max"/>
        <color rgb="FFF8696B"/>
        <color rgb="FFFFEB84"/>
        <color rgb="FF63BE7B"/>
      </colorScale>
    </cfRule>
  </conditionalFormatting>
  <conditionalFormatting sqref="F25">
    <cfRule type="colorScale" priority="10138">
      <colorScale>
        <cfvo type="min"/>
        <cfvo type="percentile" val="50"/>
        <cfvo type="max"/>
        <color rgb="FFF8696B"/>
        <color rgb="FFFFEB84"/>
        <color rgb="FF63BE7B"/>
      </colorScale>
    </cfRule>
  </conditionalFormatting>
  <conditionalFormatting sqref="F25">
    <cfRule type="colorScale" priority="10137">
      <colorScale>
        <cfvo type="min"/>
        <cfvo type="percentile" val="50"/>
        <cfvo type="max"/>
        <color rgb="FFF8696B"/>
        <color rgb="FFFFEB84"/>
        <color rgb="FF63BE7B"/>
      </colorScale>
    </cfRule>
  </conditionalFormatting>
  <conditionalFormatting sqref="F25">
    <cfRule type="colorScale" priority="10136">
      <colorScale>
        <cfvo type="min"/>
        <cfvo type="percentile" val="50"/>
        <cfvo type="max"/>
        <color rgb="FFF8696B"/>
        <color rgb="FFFFEB84"/>
        <color rgb="FF63BE7B"/>
      </colorScale>
    </cfRule>
  </conditionalFormatting>
  <conditionalFormatting sqref="F25">
    <cfRule type="colorScale" priority="10135">
      <colorScale>
        <cfvo type="min"/>
        <cfvo type="percentile" val="50"/>
        <cfvo type="max"/>
        <color rgb="FFF8696B"/>
        <color rgb="FFFFEB84"/>
        <color rgb="FF63BE7B"/>
      </colorScale>
    </cfRule>
  </conditionalFormatting>
  <conditionalFormatting sqref="F25">
    <cfRule type="colorScale" priority="10134">
      <colorScale>
        <cfvo type="min"/>
        <cfvo type="percentile" val="50"/>
        <cfvo type="max"/>
        <color rgb="FFF8696B"/>
        <color rgb="FFFFEB84"/>
        <color rgb="FF63BE7B"/>
      </colorScale>
    </cfRule>
  </conditionalFormatting>
  <conditionalFormatting sqref="F25">
    <cfRule type="colorScale" priority="10133">
      <colorScale>
        <cfvo type="min"/>
        <cfvo type="percentile" val="50"/>
        <cfvo type="max"/>
        <color rgb="FFF8696B"/>
        <color rgb="FFFFEB84"/>
        <color rgb="FF63BE7B"/>
      </colorScale>
    </cfRule>
  </conditionalFormatting>
  <conditionalFormatting sqref="F25">
    <cfRule type="colorScale" priority="10132">
      <colorScale>
        <cfvo type="min"/>
        <cfvo type="percentile" val="50"/>
        <cfvo type="max"/>
        <color rgb="FFF8696B"/>
        <color rgb="FFFFEB84"/>
        <color rgb="FF63BE7B"/>
      </colorScale>
    </cfRule>
  </conditionalFormatting>
  <conditionalFormatting sqref="F25">
    <cfRule type="colorScale" priority="10131">
      <colorScale>
        <cfvo type="min"/>
        <cfvo type="percentile" val="50"/>
        <cfvo type="max"/>
        <color rgb="FFF8696B"/>
        <color rgb="FFFFEB84"/>
        <color rgb="FF63BE7B"/>
      </colorScale>
    </cfRule>
  </conditionalFormatting>
  <conditionalFormatting sqref="F25">
    <cfRule type="colorScale" priority="10130">
      <colorScale>
        <cfvo type="min"/>
        <cfvo type="percentile" val="50"/>
        <cfvo type="max"/>
        <color rgb="FFF8696B"/>
        <color rgb="FFFFEB84"/>
        <color rgb="FF63BE7B"/>
      </colorScale>
    </cfRule>
  </conditionalFormatting>
  <conditionalFormatting sqref="F25">
    <cfRule type="colorScale" priority="10129">
      <colorScale>
        <cfvo type="min"/>
        <cfvo type="percentile" val="50"/>
        <cfvo type="max"/>
        <color rgb="FFF8696B"/>
        <color rgb="FFFFEB84"/>
        <color rgb="FF63BE7B"/>
      </colorScale>
    </cfRule>
  </conditionalFormatting>
  <conditionalFormatting sqref="F25">
    <cfRule type="colorScale" priority="10128">
      <colorScale>
        <cfvo type="min"/>
        <cfvo type="percentile" val="50"/>
        <cfvo type="max"/>
        <color rgb="FFF8696B"/>
        <color rgb="FFFFEB84"/>
        <color rgb="FF63BE7B"/>
      </colorScale>
    </cfRule>
  </conditionalFormatting>
  <conditionalFormatting sqref="F25">
    <cfRule type="colorScale" priority="10127">
      <colorScale>
        <cfvo type="min"/>
        <cfvo type="percentile" val="50"/>
        <cfvo type="max"/>
        <color rgb="FFF8696B"/>
        <color rgb="FFFFEB84"/>
        <color rgb="FF63BE7B"/>
      </colorScale>
    </cfRule>
  </conditionalFormatting>
  <conditionalFormatting sqref="F25">
    <cfRule type="colorScale" priority="10126">
      <colorScale>
        <cfvo type="min"/>
        <cfvo type="percentile" val="50"/>
        <cfvo type="max"/>
        <color rgb="FFF8696B"/>
        <color rgb="FFFFEB84"/>
        <color rgb="FF63BE7B"/>
      </colorScale>
    </cfRule>
  </conditionalFormatting>
  <conditionalFormatting sqref="F25">
    <cfRule type="colorScale" priority="10125">
      <colorScale>
        <cfvo type="min"/>
        <cfvo type="percentile" val="50"/>
        <cfvo type="max"/>
        <color rgb="FFF8696B"/>
        <color rgb="FFFFEB84"/>
        <color rgb="FF63BE7B"/>
      </colorScale>
    </cfRule>
  </conditionalFormatting>
  <conditionalFormatting sqref="F25">
    <cfRule type="colorScale" priority="10124">
      <colorScale>
        <cfvo type="min"/>
        <cfvo type="percentile" val="50"/>
        <cfvo type="max"/>
        <color rgb="FFF8696B"/>
        <color rgb="FFFFEB84"/>
        <color rgb="FF63BE7B"/>
      </colorScale>
    </cfRule>
  </conditionalFormatting>
  <conditionalFormatting sqref="F25">
    <cfRule type="colorScale" priority="10123">
      <colorScale>
        <cfvo type="min"/>
        <cfvo type="percentile" val="50"/>
        <cfvo type="max"/>
        <color rgb="FFF8696B"/>
        <color rgb="FFFFEB84"/>
        <color rgb="FF63BE7B"/>
      </colorScale>
    </cfRule>
  </conditionalFormatting>
  <conditionalFormatting sqref="F25">
    <cfRule type="colorScale" priority="10122">
      <colorScale>
        <cfvo type="min"/>
        <cfvo type="percentile" val="50"/>
        <cfvo type="max"/>
        <color rgb="FFF8696B"/>
        <color rgb="FFFFEB84"/>
        <color rgb="FF63BE7B"/>
      </colorScale>
    </cfRule>
  </conditionalFormatting>
  <conditionalFormatting sqref="F25">
    <cfRule type="colorScale" priority="10121">
      <colorScale>
        <cfvo type="min"/>
        <cfvo type="percentile" val="50"/>
        <cfvo type="max"/>
        <color rgb="FFF8696B"/>
        <color rgb="FFFFEB84"/>
        <color rgb="FF63BE7B"/>
      </colorScale>
    </cfRule>
  </conditionalFormatting>
  <conditionalFormatting sqref="F25">
    <cfRule type="colorScale" priority="10120">
      <colorScale>
        <cfvo type="min"/>
        <cfvo type="percentile" val="50"/>
        <cfvo type="max"/>
        <color rgb="FFF8696B"/>
        <color rgb="FFFFEB84"/>
        <color rgb="FF63BE7B"/>
      </colorScale>
    </cfRule>
  </conditionalFormatting>
  <conditionalFormatting sqref="F25">
    <cfRule type="colorScale" priority="10119">
      <colorScale>
        <cfvo type="min"/>
        <cfvo type="percentile" val="50"/>
        <cfvo type="max"/>
        <color rgb="FFF8696B"/>
        <color rgb="FFFFEB84"/>
        <color rgb="FF63BE7B"/>
      </colorScale>
    </cfRule>
  </conditionalFormatting>
  <conditionalFormatting sqref="F25">
    <cfRule type="colorScale" priority="10118">
      <colorScale>
        <cfvo type="min"/>
        <cfvo type="percentile" val="50"/>
        <cfvo type="max"/>
        <color rgb="FFF8696B"/>
        <color rgb="FFFFEB84"/>
        <color rgb="FF63BE7B"/>
      </colorScale>
    </cfRule>
  </conditionalFormatting>
  <conditionalFormatting sqref="F25">
    <cfRule type="colorScale" priority="10117">
      <colorScale>
        <cfvo type="min"/>
        <cfvo type="percentile" val="50"/>
        <cfvo type="max"/>
        <color rgb="FFF8696B"/>
        <color rgb="FFFFEB84"/>
        <color rgb="FF63BE7B"/>
      </colorScale>
    </cfRule>
  </conditionalFormatting>
  <conditionalFormatting sqref="F25">
    <cfRule type="colorScale" priority="10116">
      <colorScale>
        <cfvo type="min"/>
        <cfvo type="percentile" val="50"/>
        <cfvo type="max"/>
        <color rgb="FFF8696B"/>
        <color rgb="FFFFEB84"/>
        <color rgb="FF63BE7B"/>
      </colorScale>
    </cfRule>
  </conditionalFormatting>
  <conditionalFormatting sqref="F25">
    <cfRule type="colorScale" priority="10115">
      <colorScale>
        <cfvo type="min"/>
        <cfvo type="percentile" val="50"/>
        <cfvo type="max"/>
        <color rgb="FFF8696B"/>
        <color rgb="FFFFEB84"/>
        <color rgb="FF63BE7B"/>
      </colorScale>
    </cfRule>
  </conditionalFormatting>
  <conditionalFormatting sqref="F25">
    <cfRule type="colorScale" priority="10114">
      <colorScale>
        <cfvo type="min"/>
        <cfvo type="percentile" val="50"/>
        <cfvo type="max"/>
        <color rgb="FFF8696B"/>
        <color rgb="FFFFEB84"/>
        <color rgb="FF63BE7B"/>
      </colorScale>
    </cfRule>
  </conditionalFormatting>
  <conditionalFormatting sqref="F25">
    <cfRule type="colorScale" priority="10113">
      <colorScale>
        <cfvo type="min"/>
        <cfvo type="percentile" val="50"/>
        <cfvo type="max"/>
        <color rgb="FFF8696B"/>
        <color rgb="FFFFEB84"/>
        <color rgb="FF63BE7B"/>
      </colorScale>
    </cfRule>
  </conditionalFormatting>
  <conditionalFormatting sqref="F25">
    <cfRule type="colorScale" priority="10112">
      <colorScale>
        <cfvo type="min"/>
        <cfvo type="percentile" val="50"/>
        <cfvo type="max"/>
        <color rgb="FFF8696B"/>
        <color rgb="FFFFEB84"/>
        <color rgb="FF63BE7B"/>
      </colorScale>
    </cfRule>
  </conditionalFormatting>
  <conditionalFormatting sqref="F25">
    <cfRule type="colorScale" priority="10111">
      <colorScale>
        <cfvo type="min"/>
        <cfvo type="percentile" val="50"/>
        <cfvo type="max"/>
        <color rgb="FFF8696B"/>
        <color rgb="FFFFEB84"/>
        <color rgb="FF63BE7B"/>
      </colorScale>
    </cfRule>
  </conditionalFormatting>
  <conditionalFormatting sqref="F25">
    <cfRule type="colorScale" priority="10110">
      <colorScale>
        <cfvo type="min"/>
        <cfvo type="percentile" val="50"/>
        <cfvo type="max"/>
        <color rgb="FFF8696B"/>
        <color rgb="FFFFEB84"/>
        <color rgb="FF63BE7B"/>
      </colorScale>
    </cfRule>
  </conditionalFormatting>
  <conditionalFormatting sqref="F25">
    <cfRule type="colorScale" priority="10109">
      <colorScale>
        <cfvo type="min"/>
        <cfvo type="percentile" val="50"/>
        <cfvo type="max"/>
        <color rgb="FFF8696B"/>
        <color rgb="FFFFEB84"/>
        <color rgb="FF63BE7B"/>
      </colorScale>
    </cfRule>
  </conditionalFormatting>
  <conditionalFormatting sqref="F25">
    <cfRule type="colorScale" priority="10108">
      <colorScale>
        <cfvo type="min"/>
        <cfvo type="percentile" val="50"/>
        <cfvo type="max"/>
        <color rgb="FFF8696B"/>
        <color rgb="FFFFEB84"/>
        <color rgb="FF63BE7B"/>
      </colorScale>
    </cfRule>
  </conditionalFormatting>
  <conditionalFormatting sqref="F25">
    <cfRule type="colorScale" priority="10107">
      <colorScale>
        <cfvo type="min"/>
        <cfvo type="percentile" val="50"/>
        <cfvo type="max"/>
        <color rgb="FFF8696B"/>
        <color rgb="FFFFEB84"/>
        <color rgb="FF63BE7B"/>
      </colorScale>
    </cfRule>
  </conditionalFormatting>
  <conditionalFormatting sqref="F25">
    <cfRule type="colorScale" priority="10106">
      <colorScale>
        <cfvo type="min"/>
        <cfvo type="percentile" val="50"/>
        <cfvo type="max"/>
        <color rgb="FFF8696B"/>
        <color rgb="FFFFEB84"/>
        <color rgb="FF63BE7B"/>
      </colorScale>
    </cfRule>
  </conditionalFormatting>
  <conditionalFormatting sqref="F25">
    <cfRule type="colorScale" priority="10105">
      <colorScale>
        <cfvo type="min"/>
        <cfvo type="percentile" val="50"/>
        <cfvo type="max"/>
        <color rgb="FFF8696B"/>
        <color rgb="FFFFEB84"/>
        <color rgb="FF63BE7B"/>
      </colorScale>
    </cfRule>
  </conditionalFormatting>
  <conditionalFormatting sqref="F25">
    <cfRule type="colorScale" priority="10104">
      <colorScale>
        <cfvo type="min"/>
        <cfvo type="percentile" val="50"/>
        <cfvo type="max"/>
        <color rgb="FFF8696B"/>
        <color rgb="FFFFEB84"/>
        <color rgb="FF63BE7B"/>
      </colorScale>
    </cfRule>
  </conditionalFormatting>
  <conditionalFormatting sqref="F25">
    <cfRule type="colorScale" priority="10103">
      <colorScale>
        <cfvo type="min"/>
        <cfvo type="percentile" val="50"/>
        <cfvo type="max"/>
        <color rgb="FFF8696B"/>
        <color rgb="FFFFEB84"/>
        <color rgb="FF63BE7B"/>
      </colorScale>
    </cfRule>
  </conditionalFormatting>
  <conditionalFormatting sqref="F25">
    <cfRule type="colorScale" priority="10102">
      <colorScale>
        <cfvo type="min"/>
        <cfvo type="percentile" val="50"/>
        <cfvo type="max"/>
        <color rgb="FFF8696B"/>
        <color rgb="FFFFEB84"/>
        <color rgb="FF63BE7B"/>
      </colorScale>
    </cfRule>
  </conditionalFormatting>
  <conditionalFormatting sqref="F25">
    <cfRule type="colorScale" priority="10101">
      <colorScale>
        <cfvo type="min"/>
        <cfvo type="percentile" val="50"/>
        <cfvo type="max"/>
        <color rgb="FFF8696B"/>
        <color rgb="FFFFEB84"/>
        <color rgb="FF63BE7B"/>
      </colorScale>
    </cfRule>
  </conditionalFormatting>
  <conditionalFormatting sqref="F25">
    <cfRule type="colorScale" priority="10100">
      <colorScale>
        <cfvo type="min"/>
        <cfvo type="percentile" val="50"/>
        <cfvo type="max"/>
        <color rgb="FFF8696B"/>
        <color rgb="FFFFEB84"/>
        <color rgb="FF63BE7B"/>
      </colorScale>
    </cfRule>
  </conditionalFormatting>
  <conditionalFormatting sqref="F25">
    <cfRule type="colorScale" priority="10099">
      <colorScale>
        <cfvo type="min"/>
        <cfvo type="percentile" val="50"/>
        <cfvo type="max"/>
        <color rgb="FFF8696B"/>
        <color rgb="FFFFEB84"/>
        <color rgb="FF63BE7B"/>
      </colorScale>
    </cfRule>
  </conditionalFormatting>
  <conditionalFormatting sqref="F25">
    <cfRule type="colorScale" priority="10098">
      <colorScale>
        <cfvo type="min"/>
        <cfvo type="percentile" val="50"/>
        <cfvo type="max"/>
        <color rgb="FFF8696B"/>
        <color rgb="FFFFEB84"/>
        <color rgb="FF63BE7B"/>
      </colorScale>
    </cfRule>
  </conditionalFormatting>
  <conditionalFormatting sqref="F25">
    <cfRule type="colorScale" priority="10097">
      <colorScale>
        <cfvo type="min"/>
        <cfvo type="percentile" val="50"/>
        <cfvo type="max"/>
        <color rgb="FFF8696B"/>
        <color rgb="FFFFEB84"/>
        <color rgb="FF63BE7B"/>
      </colorScale>
    </cfRule>
  </conditionalFormatting>
  <conditionalFormatting sqref="F25">
    <cfRule type="colorScale" priority="10096">
      <colorScale>
        <cfvo type="min"/>
        <cfvo type="percentile" val="50"/>
        <cfvo type="max"/>
        <color rgb="FFF8696B"/>
        <color rgb="FFFFEB84"/>
        <color rgb="FF63BE7B"/>
      </colorScale>
    </cfRule>
  </conditionalFormatting>
  <conditionalFormatting sqref="F25">
    <cfRule type="colorScale" priority="10095">
      <colorScale>
        <cfvo type="min"/>
        <cfvo type="percentile" val="50"/>
        <cfvo type="max"/>
        <color rgb="FFF8696B"/>
        <color rgb="FFFFEB84"/>
        <color rgb="FF63BE7B"/>
      </colorScale>
    </cfRule>
  </conditionalFormatting>
  <conditionalFormatting sqref="F25">
    <cfRule type="colorScale" priority="10094">
      <colorScale>
        <cfvo type="min"/>
        <cfvo type="percentile" val="50"/>
        <cfvo type="max"/>
        <color rgb="FFF8696B"/>
        <color rgb="FFFFEB84"/>
        <color rgb="FF63BE7B"/>
      </colorScale>
    </cfRule>
  </conditionalFormatting>
  <conditionalFormatting sqref="F25">
    <cfRule type="colorScale" priority="10093">
      <colorScale>
        <cfvo type="min"/>
        <cfvo type="percentile" val="50"/>
        <cfvo type="max"/>
        <color rgb="FFF8696B"/>
        <color rgb="FFFFEB84"/>
        <color rgb="FF63BE7B"/>
      </colorScale>
    </cfRule>
  </conditionalFormatting>
  <conditionalFormatting sqref="F25">
    <cfRule type="colorScale" priority="10092">
      <colorScale>
        <cfvo type="min"/>
        <cfvo type="percentile" val="50"/>
        <cfvo type="max"/>
        <color rgb="FFF8696B"/>
        <color rgb="FFFFEB84"/>
        <color rgb="FF63BE7B"/>
      </colorScale>
    </cfRule>
  </conditionalFormatting>
  <conditionalFormatting sqref="F25">
    <cfRule type="colorScale" priority="10091">
      <colorScale>
        <cfvo type="min"/>
        <cfvo type="percentile" val="50"/>
        <cfvo type="max"/>
        <color rgb="FFF8696B"/>
        <color rgb="FFFFEB84"/>
        <color rgb="FF63BE7B"/>
      </colorScale>
    </cfRule>
  </conditionalFormatting>
  <conditionalFormatting sqref="F25">
    <cfRule type="colorScale" priority="10090">
      <colorScale>
        <cfvo type="min"/>
        <cfvo type="percentile" val="50"/>
        <cfvo type="max"/>
        <color rgb="FFF8696B"/>
        <color rgb="FFFFEB84"/>
        <color rgb="FF63BE7B"/>
      </colorScale>
    </cfRule>
  </conditionalFormatting>
  <conditionalFormatting sqref="F25">
    <cfRule type="colorScale" priority="10089">
      <colorScale>
        <cfvo type="min"/>
        <cfvo type="percentile" val="50"/>
        <cfvo type="max"/>
        <color rgb="FFF8696B"/>
        <color rgb="FFFFEB84"/>
        <color rgb="FF63BE7B"/>
      </colorScale>
    </cfRule>
  </conditionalFormatting>
  <conditionalFormatting sqref="F25">
    <cfRule type="colorScale" priority="10088">
      <colorScale>
        <cfvo type="min"/>
        <cfvo type="percentile" val="50"/>
        <cfvo type="max"/>
        <color rgb="FFF8696B"/>
        <color rgb="FFFFEB84"/>
        <color rgb="FF63BE7B"/>
      </colorScale>
    </cfRule>
  </conditionalFormatting>
  <conditionalFormatting sqref="F25">
    <cfRule type="colorScale" priority="10087">
      <colorScale>
        <cfvo type="min"/>
        <cfvo type="percentile" val="50"/>
        <cfvo type="max"/>
        <color rgb="FFF8696B"/>
        <color rgb="FFFFEB84"/>
        <color rgb="FF63BE7B"/>
      </colorScale>
    </cfRule>
  </conditionalFormatting>
  <conditionalFormatting sqref="F25">
    <cfRule type="colorScale" priority="10086">
      <colorScale>
        <cfvo type="min"/>
        <cfvo type="percentile" val="50"/>
        <cfvo type="max"/>
        <color rgb="FFF8696B"/>
        <color rgb="FFFFEB84"/>
        <color rgb="FF63BE7B"/>
      </colorScale>
    </cfRule>
  </conditionalFormatting>
  <conditionalFormatting sqref="F25">
    <cfRule type="colorScale" priority="10085">
      <colorScale>
        <cfvo type="min"/>
        <cfvo type="percentile" val="50"/>
        <cfvo type="max"/>
        <color rgb="FFF8696B"/>
        <color rgb="FFFFEB84"/>
        <color rgb="FF63BE7B"/>
      </colorScale>
    </cfRule>
  </conditionalFormatting>
  <conditionalFormatting sqref="F25">
    <cfRule type="colorScale" priority="10084">
      <colorScale>
        <cfvo type="min"/>
        <cfvo type="percentile" val="50"/>
        <cfvo type="max"/>
        <color rgb="FFF8696B"/>
        <color rgb="FFFFEB84"/>
        <color rgb="FF63BE7B"/>
      </colorScale>
    </cfRule>
  </conditionalFormatting>
  <conditionalFormatting sqref="F25">
    <cfRule type="colorScale" priority="10083">
      <colorScale>
        <cfvo type="min"/>
        <cfvo type="percentile" val="50"/>
        <cfvo type="max"/>
        <color rgb="FFF8696B"/>
        <color rgb="FFFFEB84"/>
        <color rgb="FF63BE7B"/>
      </colorScale>
    </cfRule>
  </conditionalFormatting>
  <conditionalFormatting sqref="F25">
    <cfRule type="colorScale" priority="10082">
      <colorScale>
        <cfvo type="min"/>
        <cfvo type="percentile" val="50"/>
        <cfvo type="max"/>
        <color rgb="FFF8696B"/>
        <color rgb="FFFFEB84"/>
        <color rgb="FF63BE7B"/>
      </colorScale>
    </cfRule>
  </conditionalFormatting>
  <conditionalFormatting sqref="F25">
    <cfRule type="colorScale" priority="10081">
      <colorScale>
        <cfvo type="min"/>
        <cfvo type="percentile" val="50"/>
        <cfvo type="max"/>
        <color rgb="FFF8696B"/>
        <color rgb="FFFFEB84"/>
        <color rgb="FF63BE7B"/>
      </colorScale>
    </cfRule>
  </conditionalFormatting>
  <conditionalFormatting sqref="F25">
    <cfRule type="colorScale" priority="10080">
      <colorScale>
        <cfvo type="min"/>
        <cfvo type="percentile" val="50"/>
        <cfvo type="max"/>
        <color rgb="FFF8696B"/>
        <color rgb="FFFFEB84"/>
        <color rgb="FF63BE7B"/>
      </colorScale>
    </cfRule>
  </conditionalFormatting>
  <conditionalFormatting sqref="F25">
    <cfRule type="colorScale" priority="10079">
      <colorScale>
        <cfvo type="min"/>
        <cfvo type="percentile" val="50"/>
        <cfvo type="max"/>
        <color rgb="FFF8696B"/>
        <color rgb="FFFFEB84"/>
        <color rgb="FF63BE7B"/>
      </colorScale>
    </cfRule>
  </conditionalFormatting>
  <conditionalFormatting sqref="F25">
    <cfRule type="colorScale" priority="10078">
      <colorScale>
        <cfvo type="min"/>
        <cfvo type="percentile" val="50"/>
        <cfvo type="max"/>
        <color rgb="FFF8696B"/>
        <color rgb="FFFFEB84"/>
        <color rgb="FF63BE7B"/>
      </colorScale>
    </cfRule>
  </conditionalFormatting>
  <conditionalFormatting sqref="F25">
    <cfRule type="colorScale" priority="10077">
      <colorScale>
        <cfvo type="min"/>
        <cfvo type="percentile" val="50"/>
        <cfvo type="max"/>
        <color rgb="FFF8696B"/>
        <color rgb="FFFFEB84"/>
        <color rgb="FF63BE7B"/>
      </colorScale>
    </cfRule>
  </conditionalFormatting>
  <conditionalFormatting sqref="F25">
    <cfRule type="colorScale" priority="10076">
      <colorScale>
        <cfvo type="min"/>
        <cfvo type="percentile" val="50"/>
        <cfvo type="max"/>
        <color rgb="FFF8696B"/>
        <color rgb="FFFFEB84"/>
        <color rgb="FF63BE7B"/>
      </colorScale>
    </cfRule>
  </conditionalFormatting>
  <conditionalFormatting sqref="F25">
    <cfRule type="colorScale" priority="10075">
      <colorScale>
        <cfvo type="min"/>
        <cfvo type="percentile" val="50"/>
        <cfvo type="max"/>
        <color rgb="FFF8696B"/>
        <color rgb="FFFFEB84"/>
        <color rgb="FF63BE7B"/>
      </colorScale>
    </cfRule>
  </conditionalFormatting>
  <conditionalFormatting sqref="F25">
    <cfRule type="colorScale" priority="10074">
      <colorScale>
        <cfvo type="min"/>
        <cfvo type="percentile" val="50"/>
        <cfvo type="max"/>
        <color rgb="FFF8696B"/>
        <color rgb="FFFFEB84"/>
        <color rgb="FF63BE7B"/>
      </colorScale>
    </cfRule>
  </conditionalFormatting>
  <conditionalFormatting sqref="F25">
    <cfRule type="colorScale" priority="10073">
      <colorScale>
        <cfvo type="min"/>
        <cfvo type="percentile" val="50"/>
        <cfvo type="max"/>
        <color rgb="FFF8696B"/>
        <color rgb="FFFFEB84"/>
        <color rgb="FF63BE7B"/>
      </colorScale>
    </cfRule>
  </conditionalFormatting>
  <conditionalFormatting sqref="F25">
    <cfRule type="colorScale" priority="10072">
      <colorScale>
        <cfvo type="min"/>
        <cfvo type="percentile" val="50"/>
        <cfvo type="max"/>
        <color rgb="FFF8696B"/>
        <color rgb="FFFFEB84"/>
        <color rgb="FF63BE7B"/>
      </colorScale>
    </cfRule>
  </conditionalFormatting>
  <conditionalFormatting sqref="F25">
    <cfRule type="colorScale" priority="10071">
      <colorScale>
        <cfvo type="min"/>
        <cfvo type="percentile" val="50"/>
        <cfvo type="max"/>
        <color rgb="FFF8696B"/>
        <color rgb="FFFFEB84"/>
        <color rgb="FF63BE7B"/>
      </colorScale>
    </cfRule>
  </conditionalFormatting>
  <conditionalFormatting sqref="F25">
    <cfRule type="colorScale" priority="10070">
      <colorScale>
        <cfvo type="min"/>
        <cfvo type="percentile" val="50"/>
        <cfvo type="max"/>
        <color rgb="FFF8696B"/>
        <color rgb="FFFFEB84"/>
        <color rgb="FF63BE7B"/>
      </colorScale>
    </cfRule>
  </conditionalFormatting>
  <conditionalFormatting sqref="F25">
    <cfRule type="colorScale" priority="10069">
      <colorScale>
        <cfvo type="min"/>
        <cfvo type="percentile" val="50"/>
        <cfvo type="max"/>
        <color rgb="FFF8696B"/>
        <color rgb="FFFFEB84"/>
        <color rgb="FF63BE7B"/>
      </colorScale>
    </cfRule>
  </conditionalFormatting>
  <conditionalFormatting sqref="F25">
    <cfRule type="colorScale" priority="10068">
      <colorScale>
        <cfvo type="min"/>
        <cfvo type="percentile" val="50"/>
        <cfvo type="max"/>
        <color rgb="FFF8696B"/>
        <color rgb="FFFFEB84"/>
        <color rgb="FF63BE7B"/>
      </colorScale>
    </cfRule>
  </conditionalFormatting>
  <conditionalFormatting sqref="F25">
    <cfRule type="colorScale" priority="10067">
      <colorScale>
        <cfvo type="min"/>
        <cfvo type="percentile" val="50"/>
        <cfvo type="max"/>
        <color rgb="FFF8696B"/>
        <color rgb="FFFFEB84"/>
        <color rgb="FF63BE7B"/>
      </colorScale>
    </cfRule>
  </conditionalFormatting>
  <conditionalFormatting sqref="F25">
    <cfRule type="colorScale" priority="10066">
      <colorScale>
        <cfvo type="min"/>
        <cfvo type="percentile" val="50"/>
        <cfvo type="max"/>
        <color rgb="FFF8696B"/>
        <color rgb="FFFFEB84"/>
        <color rgb="FF63BE7B"/>
      </colorScale>
    </cfRule>
  </conditionalFormatting>
  <conditionalFormatting sqref="F25">
    <cfRule type="colorScale" priority="10065">
      <colorScale>
        <cfvo type="min"/>
        <cfvo type="percentile" val="50"/>
        <cfvo type="max"/>
        <color rgb="FFF8696B"/>
        <color rgb="FFFFEB84"/>
        <color rgb="FF63BE7B"/>
      </colorScale>
    </cfRule>
  </conditionalFormatting>
  <conditionalFormatting sqref="F25">
    <cfRule type="colorScale" priority="10064">
      <colorScale>
        <cfvo type="min"/>
        <cfvo type="percentile" val="50"/>
        <cfvo type="max"/>
        <color rgb="FFF8696B"/>
        <color rgb="FFFFEB84"/>
        <color rgb="FF63BE7B"/>
      </colorScale>
    </cfRule>
  </conditionalFormatting>
  <conditionalFormatting sqref="F25">
    <cfRule type="colorScale" priority="10063">
      <colorScale>
        <cfvo type="min"/>
        <cfvo type="percentile" val="50"/>
        <cfvo type="max"/>
        <color rgb="FFF8696B"/>
        <color rgb="FFFFEB84"/>
        <color rgb="FF63BE7B"/>
      </colorScale>
    </cfRule>
  </conditionalFormatting>
  <conditionalFormatting sqref="F25">
    <cfRule type="colorScale" priority="10062">
      <colorScale>
        <cfvo type="min"/>
        <cfvo type="percentile" val="50"/>
        <cfvo type="max"/>
        <color rgb="FFF8696B"/>
        <color rgb="FFFFEB84"/>
        <color rgb="FF63BE7B"/>
      </colorScale>
    </cfRule>
  </conditionalFormatting>
  <conditionalFormatting sqref="F25">
    <cfRule type="colorScale" priority="10061">
      <colorScale>
        <cfvo type="min"/>
        <cfvo type="percentile" val="50"/>
        <cfvo type="max"/>
        <color rgb="FFF8696B"/>
        <color rgb="FFFFEB84"/>
        <color rgb="FF63BE7B"/>
      </colorScale>
    </cfRule>
  </conditionalFormatting>
  <conditionalFormatting sqref="F25">
    <cfRule type="colorScale" priority="10060">
      <colorScale>
        <cfvo type="min"/>
        <cfvo type="percentile" val="50"/>
        <cfvo type="max"/>
        <color rgb="FFF8696B"/>
        <color rgb="FFFFEB84"/>
        <color rgb="FF63BE7B"/>
      </colorScale>
    </cfRule>
  </conditionalFormatting>
  <conditionalFormatting sqref="F25">
    <cfRule type="colorScale" priority="10059">
      <colorScale>
        <cfvo type="min"/>
        <cfvo type="percentile" val="50"/>
        <cfvo type="max"/>
        <color rgb="FFF8696B"/>
        <color rgb="FFFFEB84"/>
        <color rgb="FF63BE7B"/>
      </colorScale>
    </cfRule>
  </conditionalFormatting>
  <conditionalFormatting sqref="F25">
    <cfRule type="colorScale" priority="10058">
      <colorScale>
        <cfvo type="min"/>
        <cfvo type="percentile" val="50"/>
        <cfvo type="max"/>
        <color rgb="FFF8696B"/>
        <color rgb="FFFFEB84"/>
        <color rgb="FF63BE7B"/>
      </colorScale>
    </cfRule>
  </conditionalFormatting>
  <conditionalFormatting sqref="F25">
    <cfRule type="colorScale" priority="10057">
      <colorScale>
        <cfvo type="min"/>
        <cfvo type="percentile" val="50"/>
        <cfvo type="max"/>
        <color rgb="FFF8696B"/>
        <color rgb="FFFFEB84"/>
        <color rgb="FF63BE7B"/>
      </colorScale>
    </cfRule>
  </conditionalFormatting>
  <conditionalFormatting sqref="F25">
    <cfRule type="colorScale" priority="10056">
      <colorScale>
        <cfvo type="min"/>
        <cfvo type="percentile" val="50"/>
        <cfvo type="max"/>
        <color rgb="FFF8696B"/>
        <color rgb="FFFFEB84"/>
        <color rgb="FF63BE7B"/>
      </colorScale>
    </cfRule>
  </conditionalFormatting>
  <conditionalFormatting sqref="F25">
    <cfRule type="colorScale" priority="10055">
      <colorScale>
        <cfvo type="min"/>
        <cfvo type="percentile" val="50"/>
        <cfvo type="max"/>
        <color rgb="FFF8696B"/>
        <color rgb="FFFFEB84"/>
        <color rgb="FF63BE7B"/>
      </colorScale>
    </cfRule>
  </conditionalFormatting>
  <conditionalFormatting sqref="F25">
    <cfRule type="colorScale" priority="10054">
      <colorScale>
        <cfvo type="min"/>
        <cfvo type="percentile" val="50"/>
        <cfvo type="max"/>
        <color rgb="FFF8696B"/>
        <color rgb="FFFFEB84"/>
        <color rgb="FF63BE7B"/>
      </colorScale>
    </cfRule>
  </conditionalFormatting>
  <conditionalFormatting sqref="F25">
    <cfRule type="colorScale" priority="10053">
      <colorScale>
        <cfvo type="min"/>
        <cfvo type="percentile" val="50"/>
        <cfvo type="max"/>
        <color rgb="FFF8696B"/>
        <color rgb="FFFFEB84"/>
        <color rgb="FF63BE7B"/>
      </colorScale>
    </cfRule>
  </conditionalFormatting>
  <conditionalFormatting sqref="F25">
    <cfRule type="colorScale" priority="10052">
      <colorScale>
        <cfvo type="min"/>
        <cfvo type="percentile" val="50"/>
        <cfvo type="max"/>
        <color rgb="FFF8696B"/>
        <color rgb="FFFFEB84"/>
        <color rgb="FF63BE7B"/>
      </colorScale>
    </cfRule>
  </conditionalFormatting>
  <conditionalFormatting sqref="F25">
    <cfRule type="colorScale" priority="10051">
      <colorScale>
        <cfvo type="min"/>
        <cfvo type="percentile" val="50"/>
        <cfvo type="max"/>
        <color rgb="FFF8696B"/>
        <color rgb="FFFFEB84"/>
        <color rgb="FF63BE7B"/>
      </colorScale>
    </cfRule>
  </conditionalFormatting>
  <conditionalFormatting sqref="F25">
    <cfRule type="colorScale" priority="10050">
      <colorScale>
        <cfvo type="min"/>
        <cfvo type="percentile" val="50"/>
        <cfvo type="max"/>
        <color rgb="FFF8696B"/>
        <color rgb="FFFFEB84"/>
        <color rgb="FF63BE7B"/>
      </colorScale>
    </cfRule>
  </conditionalFormatting>
  <conditionalFormatting sqref="F25">
    <cfRule type="colorScale" priority="10049">
      <colorScale>
        <cfvo type="min"/>
        <cfvo type="percentile" val="50"/>
        <cfvo type="max"/>
        <color rgb="FFF8696B"/>
        <color rgb="FFFFEB84"/>
        <color rgb="FF63BE7B"/>
      </colorScale>
    </cfRule>
  </conditionalFormatting>
  <conditionalFormatting sqref="F25">
    <cfRule type="colorScale" priority="10048">
      <colorScale>
        <cfvo type="min"/>
        <cfvo type="percentile" val="50"/>
        <cfvo type="max"/>
        <color rgb="FFF8696B"/>
        <color rgb="FFFFEB84"/>
        <color rgb="FF63BE7B"/>
      </colorScale>
    </cfRule>
  </conditionalFormatting>
  <conditionalFormatting sqref="F25">
    <cfRule type="colorScale" priority="10047">
      <colorScale>
        <cfvo type="min"/>
        <cfvo type="percentile" val="50"/>
        <cfvo type="max"/>
        <color rgb="FFF8696B"/>
        <color rgb="FFFFEB84"/>
        <color rgb="FF63BE7B"/>
      </colorScale>
    </cfRule>
  </conditionalFormatting>
  <conditionalFormatting sqref="F25">
    <cfRule type="colorScale" priority="10046">
      <colorScale>
        <cfvo type="min"/>
        <cfvo type="percentile" val="50"/>
        <cfvo type="max"/>
        <color rgb="FFF8696B"/>
        <color rgb="FFFFEB84"/>
        <color rgb="FF63BE7B"/>
      </colorScale>
    </cfRule>
  </conditionalFormatting>
  <conditionalFormatting sqref="F25">
    <cfRule type="colorScale" priority="10045">
      <colorScale>
        <cfvo type="min"/>
        <cfvo type="percentile" val="50"/>
        <cfvo type="max"/>
        <color rgb="FFF8696B"/>
        <color rgb="FFFFEB84"/>
        <color rgb="FF63BE7B"/>
      </colorScale>
    </cfRule>
  </conditionalFormatting>
  <conditionalFormatting sqref="F25">
    <cfRule type="colorScale" priority="10044">
      <colorScale>
        <cfvo type="min"/>
        <cfvo type="percentile" val="50"/>
        <cfvo type="max"/>
        <color rgb="FFF8696B"/>
        <color rgb="FFFFEB84"/>
        <color rgb="FF63BE7B"/>
      </colorScale>
    </cfRule>
  </conditionalFormatting>
  <conditionalFormatting sqref="F25">
    <cfRule type="colorScale" priority="10043">
      <colorScale>
        <cfvo type="min"/>
        <cfvo type="percentile" val="50"/>
        <cfvo type="max"/>
        <color rgb="FFF8696B"/>
        <color rgb="FFFFEB84"/>
        <color rgb="FF63BE7B"/>
      </colorScale>
    </cfRule>
  </conditionalFormatting>
  <conditionalFormatting sqref="F25">
    <cfRule type="colorScale" priority="10042">
      <colorScale>
        <cfvo type="min"/>
        <cfvo type="percentile" val="50"/>
        <cfvo type="max"/>
        <color rgb="FFF8696B"/>
        <color rgb="FFFFEB84"/>
        <color rgb="FF63BE7B"/>
      </colorScale>
    </cfRule>
  </conditionalFormatting>
  <conditionalFormatting sqref="F25">
    <cfRule type="colorScale" priority="10041">
      <colorScale>
        <cfvo type="min"/>
        <cfvo type="percentile" val="50"/>
        <cfvo type="max"/>
        <color rgb="FFF8696B"/>
        <color rgb="FFFFEB84"/>
        <color rgb="FF63BE7B"/>
      </colorScale>
    </cfRule>
  </conditionalFormatting>
  <conditionalFormatting sqref="F25">
    <cfRule type="colorScale" priority="10040">
      <colorScale>
        <cfvo type="min"/>
        <cfvo type="percentile" val="50"/>
        <cfvo type="max"/>
        <color rgb="FFF8696B"/>
        <color rgb="FFFFEB84"/>
        <color rgb="FF63BE7B"/>
      </colorScale>
    </cfRule>
  </conditionalFormatting>
  <conditionalFormatting sqref="F25">
    <cfRule type="colorScale" priority="10039">
      <colorScale>
        <cfvo type="min"/>
        <cfvo type="percentile" val="50"/>
        <cfvo type="max"/>
        <color rgb="FFF8696B"/>
        <color rgb="FFFFEB84"/>
        <color rgb="FF63BE7B"/>
      </colorScale>
    </cfRule>
  </conditionalFormatting>
  <conditionalFormatting sqref="F25">
    <cfRule type="colorScale" priority="10038">
      <colorScale>
        <cfvo type="min"/>
        <cfvo type="percentile" val="50"/>
        <cfvo type="max"/>
        <color rgb="FFF8696B"/>
        <color rgb="FFFFEB84"/>
        <color rgb="FF63BE7B"/>
      </colorScale>
    </cfRule>
  </conditionalFormatting>
  <conditionalFormatting sqref="F25">
    <cfRule type="colorScale" priority="10037">
      <colorScale>
        <cfvo type="min"/>
        <cfvo type="percentile" val="50"/>
        <cfvo type="max"/>
        <color rgb="FFF8696B"/>
        <color rgb="FFFFEB84"/>
        <color rgb="FF63BE7B"/>
      </colorScale>
    </cfRule>
  </conditionalFormatting>
  <conditionalFormatting sqref="F25">
    <cfRule type="colorScale" priority="10036">
      <colorScale>
        <cfvo type="min"/>
        <cfvo type="percentile" val="50"/>
        <cfvo type="max"/>
        <color rgb="FFF8696B"/>
        <color rgb="FFFFEB84"/>
        <color rgb="FF63BE7B"/>
      </colorScale>
    </cfRule>
  </conditionalFormatting>
  <conditionalFormatting sqref="F25">
    <cfRule type="colorScale" priority="10035">
      <colorScale>
        <cfvo type="min"/>
        <cfvo type="percentile" val="50"/>
        <cfvo type="max"/>
        <color rgb="FFF8696B"/>
        <color rgb="FFFFEB84"/>
        <color rgb="FF63BE7B"/>
      </colorScale>
    </cfRule>
  </conditionalFormatting>
  <conditionalFormatting sqref="F25">
    <cfRule type="colorScale" priority="10034">
      <colorScale>
        <cfvo type="min"/>
        <cfvo type="percentile" val="50"/>
        <cfvo type="max"/>
        <color rgb="FFF8696B"/>
        <color rgb="FFFFEB84"/>
        <color rgb="FF63BE7B"/>
      </colorScale>
    </cfRule>
  </conditionalFormatting>
  <conditionalFormatting sqref="F25">
    <cfRule type="colorScale" priority="10033">
      <colorScale>
        <cfvo type="min"/>
        <cfvo type="percentile" val="50"/>
        <cfvo type="max"/>
        <color rgb="FFF8696B"/>
        <color rgb="FFFFEB84"/>
        <color rgb="FF63BE7B"/>
      </colorScale>
    </cfRule>
  </conditionalFormatting>
  <conditionalFormatting sqref="F25">
    <cfRule type="colorScale" priority="10032">
      <colorScale>
        <cfvo type="min"/>
        <cfvo type="percentile" val="50"/>
        <cfvo type="max"/>
        <color rgb="FFF8696B"/>
        <color rgb="FFFFEB84"/>
        <color rgb="FF63BE7B"/>
      </colorScale>
    </cfRule>
  </conditionalFormatting>
  <conditionalFormatting sqref="F25">
    <cfRule type="colorScale" priority="10031">
      <colorScale>
        <cfvo type="min"/>
        <cfvo type="percentile" val="50"/>
        <cfvo type="max"/>
        <color rgb="FFF8696B"/>
        <color rgb="FFFFEB84"/>
        <color rgb="FF63BE7B"/>
      </colorScale>
    </cfRule>
  </conditionalFormatting>
  <conditionalFormatting sqref="F25">
    <cfRule type="colorScale" priority="10030">
      <colorScale>
        <cfvo type="min"/>
        <cfvo type="percentile" val="50"/>
        <cfvo type="max"/>
        <color rgb="FFF8696B"/>
        <color rgb="FFFFEB84"/>
        <color rgb="FF63BE7B"/>
      </colorScale>
    </cfRule>
  </conditionalFormatting>
  <conditionalFormatting sqref="F25">
    <cfRule type="colorScale" priority="10029">
      <colorScale>
        <cfvo type="min"/>
        <cfvo type="percentile" val="50"/>
        <cfvo type="max"/>
        <color rgb="FFF8696B"/>
        <color rgb="FFFFEB84"/>
        <color rgb="FF63BE7B"/>
      </colorScale>
    </cfRule>
  </conditionalFormatting>
  <conditionalFormatting sqref="F25">
    <cfRule type="colorScale" priority="10028">
      <colorScale>
        <cfvo type="min"/>
        <cfvo type="percentile" val="50"/>
        <cfvo type="max"/>
        <color rgb="FFF8696B"/>
        <color rgb="FFFFEB84"/>
        <color rgb="FF63BE7B"/>
      </colorScale>
    </cfRule>
  </conditionalFormatting>
  <conditionalFormatting sqref="F25">
    <cfRule type="colorScale" priority="10027">
      <colorScale>
        <cfvo type="min"/>
        <cfvo type="percentile" val="50"/>
        <cfvo type="max"/>
        <color rgb="FFF8696B"/>
        <color rgb="FFFFEB84"/>
        <color rgb="FF63BE7B"/>
      </colorScale>
    </cfRule>
  </conditionalFormatting>
  <conditionalFormatting sqref="F25">
    <cfRule type="colorScale" priority="10026">
      <colorScale>
        <cfvo type="min"/>
        <cfvo type="percentile" val="50"/>
        <cfvo type="max"/>
        <color rgb="FFF8696B"/>
        <color rgb="FFFFEB84"/>
        <color rgb="FF63BE7B"/>
      </colorScale>
    </cfRule>
  </conditionalFormatting>
  <conditionalFormatting sqref="F25">
    <cfRule type="colorScale" priority="10025">
      <colorScale>
        <cfvo type="min"/>
        <cfvo type="percentile" val="50"/>
        <cfvo type="max"/>
        <color rgb="FFF8696B"/>
        <color rgb="FFFFEB84"/>
        <color rgb="FF63BE7B"/>
      </colorScale>
    </cfRule>
  </conditionalFormatting>
  <conditionalFormatting sqref="F25">
    <cfRule type="colorScale" priority="10024">
      <colorScale>
        <cfvo type="min"/>
        <cfvo type="percentile" val="50"/>
        <cfvo type="max"/>
        <color rgb="FFF8696B"/>
        <color rgb="FFFFEB84"/>
        <color rgb="FF63BE7B"/>
      </colorScale>
    </cfRule>
  </conditionalFormatting>
  <conditionalFormatting sqref="F25">
    <cfRule type="colorScale" priority="10023">
      <colorScale>
        <cfvo type="min"/>
        <cfvo type="percentile" val="50"/>
        <cfvo type="max"/>
        <color rgb="FFF8696B"/>
        <color rgb="FFFFEB84"/>
        <color rgb="FF63BE7B"/>
      </colorScale>
    </cfRule>
  </conditionalFormatting>
  <conditionalFormatting sqref="F25">
    <cfRule type="colorScale" priority="10022">
      <colorScale>
        <cfvo type="min"/>
        <cfvo type="percentile" val="50"/>
        <cfvo type="max"/>
        <color rgb="FFF8696B"/>
        <color rgb="FFFFEB84"/>
        <color rgb="FF63BE7B"/>
      </colorScale>
    </cfRule>
  </conditionalFormatting>
  <conditionalFormatting sqref="F25">
    <cfRule type="colorScale" priority="10021">
      <colorScale>
        <cfvo type="min"/>
        <cfvo type="percentile" val="50"/>
        <cfvo type="max"/>
        <color rgb="FFF8696B"/>
        <color rgb="FFFFEB84"/>
        <color rgb="FF63BE7B"/>
      </colorScale>
    </cfRule>
  </conditionalFormatting>
  <conditionalFormatting sqref="F25">
    <cfRule type="colorScale" priority="10020">
      <colorScale>
        <cfvo type="min"/>
        <cfvo type="percentile" val="50"/>
        <cfvo type="max"/>
        <color rgb="FFF8696B"/>
        <color rgb="FFFFEB84"/>
        <color rgb="FF63BE7B"/>
      </colorScale>
    </cfRule>
  </conditionalFormatting>
  <conditionalFormatting sqref="F25">
    <cfRule type="colorScale" priority="10019">
      <colorScale>
        <cfvo type="min"/>
        <cfvo type="percentile" val="50"/>
        <cfvo type="max"/>
        <color rgb="FFF8696B"/>
        <color rgb="FFFFEB84"/>
        <color rgb="FF63BE7B"/>
      </colorScale>
    </cfRule>
  </conditionalFormatting>
  <conditionalFormatting sqref="F25">
    <cfRule type="colorScale" priority="10018">
      <colorScale>
        <cfvo type="min"/>
        <cfvo type="percentile" val="50"/>
        <cfvo type="max"/>
        <color rgb="FFF8696B"/>
        <color rgb="FFFFEB84"/>
        <color rgb="FF63BE7B"/>
      </colorScale>
    </cfRule>
  </conditionalFormatting>
  <conditionalFormatting sqref="F25">
    <cfRule type="colorScale" priority="10017">
      <colorScale>
        <cfvo type="min"/>
        <cfvo type="percentile" val="50"/>
        <cfvo type="max"/>
        <color rgb="FFF8696B"/>
        <color rgb="FFFFEB84"/>
        <color rgb="FF63BE7B"/>
      </colorScale>
    </cfRule>
  </conditionalFormatting>
  <conditionalFormatting sqref="F25">
    <cfRule type="colorScale" priority="10016">
      <colorScale>
        <cfvo type="min"/>
        <cfvo type="percentile" val="50"/>
        <cfvo type="max"/>
        <color rgb="FFF8696B"/>
        <color rgb="FFFFEB84"/>
        <color rgb="FF63BE7B"/>
      </colorScale>
    </cfRule>
  </conditionalFormatting>
  <conditionalFormatting sqref="F25">
    <cfRule type="colorScale" priority="10015">
      <colorScale>
        <cfvo type="min"/>
        <cfvo type="percentile" val="50"/>
        <cfvo type="max"/>
        <color rgb="FFF8696B"/>
        <color rgb="FFFFEB84"/>
        <color rgb="FF63BE7B"/>
      </colorScale>
    </cfRule>
  </conditionalFormatting>
  <conditionalFormatting sqref="F25">
    <cfRule type="colorScale" priority="10014">
      <colorScale>
        <cfvo type="min"/>
        <cfvo type="percentile" val="50"/>
        <cfvo type="max"/>
        <color rgb="FFF8696B"/>
        <color rgb="FFFFEB84"/>
        <color rgb="FF63BE7B"/>
      </colorScale>
    </cfRule>
  </conditionalFormatting>
  <conditionalFormatting sqref="F25">
    <cfRule type="colorScale" priority="10013">
      <colorScale>
        <cfvo type="min"/>
        <cfvo type="percentile" val="50"/>
        <cfvo type="max"/>
        <color rgb="FFF8696B"/>
        <color rgb="FFFFEB84"/>
        <color rgb="FF63BE7B"/>
      </colorScale>
    </cfRule>
  </conditionalFormatting>
  <conditionalFormatting sqref="F10:F13">
    <cfRule type="colorScale" priority="10012">
      <colorScale>
        <cfvo type="min"/>
        <cfvo type="percentile" val="50"/>
        <cfvo type="max"/>
        <color rgb="FFF8696B"/>
        <color rgb="FFFFEB84"/>
        <color rgb="FF63BE7B"/>
      </colorScale>
    </cfRule>
  </conditionalFormatting>
  <conditionalFormatting sqref="F10:F13">
    <cfRule type="colorScale" priority="10011">
      <colorScale>
        <cfvo type="min"/>
        <cfvo type="percentile" val="50"/>
        <cfvo type="max"/>
        <color rgb="FFF8696B"/>
        <color rgb="FFFFEB84"/>
        <color rgb="FF63BE7B"/>
      </colorScale>
    </cfRule>
  </conditionalFormatting>
  <conditionalFormatting sqref="F10:F13">
    <cfRule type="colorScale" priority="10010">
      <colorScale>
        <cfvo type="min"/>
        <cfvo type="percentile" val="50"/>
        <cfvo type="max"/>
        <color rgb="FFF8696B"/>
        <color rgb="FFFFEB84"/>
        <color rgb="FF63BE7B"/>
      </colorScale>
    </cfRule>
  </conditionalFormatting>
  <conditionalFormatting sqref="F10:F13">
    <cfRule type="colorScale" priority="10009">
      <colorScale>
        <cfvo type="min"/>
        <cfvo type="percentile" val="50"/>
        <cfvo type="max"/>
        <color rgb="FFF8696B"/>
        <color rgb="FFFFEB84"/>
        <color rgb="FF63BE7B"/>
      </colorScale>
    </cfRule>
  </conditionalFormatting>
  <conditionalFormatting sqref="F10:F13">
    <cfRule type="colorScale" priority="10008">
      <colorScale>
        <cfvo type="min"/>
        <cfvo type="percentile" val="50"/>
        <cfvo type="max"/>
        <color rgb="FFF8696B"/>
        <color rgb="FFFFEB84"/>
        <color rgb="FF63BE7B"/>
      </colorScale>
    </cfRule>
  </conditionalFormatting>
  <conditionalFormatting sqref="F10:F13">
    <cfRule type="colorScale" priority="10007">
      <colorScale>
        <cfvo type="min"/>
        <cfvo type="percentile" val="50"/>
        <cfvo type="max"/>
        <color rgb="FFF8696B"/>
        <color rgb="FFFFEB84"/>
        <color rgb="FF63BE7B"/>
      </colorScale>
    </cfRule>
  </conditionalFormatting>
  <conditionalFormatting sqref="F10:F13">
    <cfRule type="colorScale" priority="10006">
      <colorScale>
        <cfvo type="min"/>
        <cfvo type="percentile" val="50"/>
        <cfvo type="max"/>
        <color rgb="FFF8696B"/>
        <color rgb="FFFFEB84"/>
        <color rgb="FF63BE7B"/>
      </colorScale>
    </cfRule>
  </conditionalFormatting>
  <conditionalFormatting sqref="F10:F13">
    <cfRule type="colorScale" priority="10005">
      <colorScale>
        <cfvo type="min"/>
        <cfvo type="percentile" val="50"/>
        <cfvo type="max"/>
        <color rgb="FFF8696B"/>
        <color rgb="FFFFEB84"/>
        <color rgb="FF63BE7B"/>
      </colorScale>
    </cfRule>
  </conditionalFormatting>
  <conditionalFormatting sqref="F10:F13">
    <cfRule type="colorScale" priority="10004">
      <colorScale>
        <cfvo type="min"/>
        <cfvo type="percentile" val="50"/>
        <cfvo type="max"/>
        <color rgb="FFF8696B"/>
        <color rgb="FFFFEB84"/>
        <color rgb="FF63BE7B"/>
      </colorScale>
    </cfRule>
  </conditionalFormatting>
  <conditionalFormatting sqref="F10:F13">
    <cfRule type="colorScale" priority="10003">
      <colorScale>
        <cfvo type="min"/>
        <cfvo type="percentile" val="50"/>
        <cfvo type="max"/>
        <color rgb="FFF8696B"/>
        <color rgb="FFFFEB84"/>
        <color rgb="FF63BE7B"/>
      </colorScale>
    </cfRule>
  </conditionalFormatting>
  <conditionalFormatting sqref="F10:F13">
    <cfRule type="colorScale" priority="10002">
      <colorScale>
        <cfvo type="min"/>
        <cfvo type="percentile" val="50"/>
        <cfvo type="max"/>
        <color rgb="FFF8696B"/>
        <color rgb="FFFFEB84"/>
        <color rgb="FF63BE7B"/>
      </colorScale>
    </cfRule>
  </conditionalFormatting>
  <conditionalFormatting sqref="F10:F13">
    <cfRule type="colorScale" priority="10001">
      <colorScale>
        <cfvo type="min"/>
        <cfvo type="percentile" val="50"/>
        <cfvo type="max"/>
        <color rgb="FFF8696B"/>
        <color rgb="FFFFEB84"/>
        <color rgb="FF63BE7B"/>
      </colorScale>
    </cfRule>
  </conditionalFormatting>
  <conditionalFormatting sqref="F10:F13">
    <cfRule type="colorScale" priority="10000">
      <colorScale>
        <cfvo type="min"/>
        <cfvo type="percentile" val="50"/>
        <cfvo type="max"/>
        <color rgb="FFF8696B"/>
        <color rgb="FFFFEB84"/>
        <color rgb="FF63BE7B"/>
      </colorScale>
    </cfRule>
  </conditionalFormatting>
  <conditionalFormatting sqref="F10:F13">
    <cfRule type="colorScale" priority="9999">
      <colorScale>
        <cfvo type="min"/>
        <cfvo type="percentile" val="50"/>
        <cfvo type="max"/>
        <color rgb="FFF8696B"/>
        <color rgb="FFFFEB84"/>
        <color rgb="FF63BE7B"/>
      </colorScale>
    </cfRule>
  </conditionalFormatting>
  <conditionalFormatting sqref="F10:F13">
    <cfRule type="colorScale" priority="9998">
      <colorScale>
        <cfvo type="min"/>
        <cfvo type="percentile" val="50"/>
        <cfvo type="max"/>
        <color rgb="FFF8696B"/>
        <color rgb="FFFFEB84"/>
        <color rgb="FF63BE7B"/>
      </colorScale>
    </cfRule>
  </conditionalFormatting>
  <conditionalFormatting sqref="F10:F13">
    <cfRule type="colorScale" priority="9997">
      <colorScale>
        <cfvo type="min"/>
        <cfvo type="percentile" val="50"/>
        <cfvo type="max"/>
        <color rgb="FFF8696B"/>
        <color rgb="FFFFEB84"/>
        <color rgb="FF63BE7B"/>
      </colorScale>
    </cfRule>
  </conditionalFormatting>
  <conditionalFormatting sqref="F10:F13">
    <cfRule type="colorScale" priority="9996">
      <colorScale>
        <cfvo type="min"/>
        <cfvo type="percentile" val="50"/>
        <cfvo type="max"/>
        <color rgb="FFF8696B"/>
        <color rgb="FFFFEB84"/>
        <color rgb="FF63BE7B"/>
      </colorScale>
    </cfRule>
  </conditionalFormatting>
  <conditionalFormatting sqref="F10:F13">
    <cfRule type="colorScale" priority="9995">
      <colorScale>
        <cfvo type="min"/>
        <cfvo type="percentile" val="50"/>
        <cfvo type="max"/>
        <color rgb="FFF8696B"/>
        <color rgb="FFFFEB84"/>
        <color rgb="FF63BE7B"/>
      </colorScale>
    </cfRule>
  </conditionalFormatting>
  <conditionalFormatting sqref="F10:F13">
    <cfRule type="colorScale" priority="9994">
      <colorScale>
        <cfvo type="min"/>
        <cfvo type="percentile" val="50"/>
        <cfvo type="max"/>
        <color rgb="FFF8696B"/>
        <color rgb="FFFFEB84"/>
        <color rgb="FF63BE7B"/>
      </colorScale>
    </cfRule>
  </conditionalFormatting>
  <conditionalFormatting sqref="F10:F13">
    <cfRule type="colorScale" priority="9993">
      <colorScale>
        <cfvo type="min"/>
        <cfvo type="percentile" val="50"/>
        <cfvo type="max"/>
        <color rgb="FFF8696B"/>
        <color rgb="FFFFEB84"/>
        <color rgb="FF63BE7B"/>
      </colorScale>
    </cfRule>
  </conditionalFormatting>
  <conditionalFormatting sqref="F10:F13">
    <cfRule type="colorScale" priority="9992">
      <colorScale>
        <cfvo type="min"/>
        <cfvo type="percentile" val="50"/>
        <cfvo type="max"/>
        <color rgb="FFF8696B"/>
        <color rgb="FFFFEB84"/>
        <color rgb="FF63BE7B"/>
      </colorScale>
    </cfRule>
  </conditionalFormatting>
  <conditionalFormatting sqref="F10:F13">
    <cfRule type="colorScale" priority="9991">
      <colorScale>
        <cfvo type="min"/>
        <cfvo type="percentile" val="50"/>
        <cfvo type="max"/>
        <color rgb="FFF8696B"/>
        <color rgb="FFFFEB84"/>
        <color rgb="FF63BE7B"/>
      </colorScale>
    </cfRule>
  </conditionalFormatting>
  <conditionalFormatting sqref="F10:F13">
    <cfRule type="colorScale" priority="9990">
      <colorScale>
        <cfvo type="min"/>
        <cfvo type="percentile" val="50"/>
        <cfvo type="max"/>
        <color rgb="FFF8696B"/>
        <color rgb="FFFFEB84"/>
        <color rgb="FF63BE7B"/>
      </colorScale>
    </cfRule>
  </conditionalFormatting>
  <conditionalFormatting sqref="F10:F13">
    <cfRule type="colorScale" priority="9989">
      <colorScale>
        <cfvo type="min"/>
        <cfvo type="percentile" val="50"/>
        <cfvo type="max"/>
        <color rgb="FFF8696B"/>
        <color rgb="FFFFEB84"/>
        <color rgb="FF63BE7B"/>
      </colorScale>
    </cfRule>
  </conditionalFormatting>
  <conditionalFormatting sqref="F10:F13">
    <cfRule type="colorScale" priority="9988">
      <colorScale>
        <cfvo type="min"/>
        <cfvo type="percentile" val="50"/>
        <cfvo type="max"/>
        <color rgb="FFF8696B"/>
        <color rgb="FFFFEB84"/>
        <color rgb="FF63BE7B"/>
      </colorScale>
    </cfRule>
  </conditionalFormatting>
  <conditionalFormatting sqref="F10:F13">
    <cfRule type="colorScale" priority="9987">
      <colorScale>
        <cfvo type="min"/>
        <cfvo type="percentile" val="50"/>
        <cfvo type="max"/>
        <color rgb="FFF8696B"/>
        <color rgb="FFFFEB84"/>
        <color rgb="FF63BE7B"/>
      </colorScale>
    </cfRule>
  </conditionalFormatting>
  <conditionalFormatting sqref="F10:F13">
    <cfRule type="colorScale" priority="9986">
      <colorScale>
        <cfvo type="min"/>
        <cfvo type="percentile" val="50"/>
        <cfvo type="max"/>
        <color rgb="FFF8696B"/>
        <color rgb="FFFFEB84"/>
        <color rgb="FF63BE7B"/>
      </colorScale>
    </cfRule>
  </conditionalFormatting>
  <conditionalFormatting sqref="F10:F13">
    <cfRule type="colorScale" priority="9985">
      <colorScale>
        <cfvo type="min"/>
        <cfvo type="percentile" val="50"/>
        <cfvo type="max"/>
        <color rgb="FFF8696B"/>
        <color rgb="FFFFEB84"/>
        <color rgb="FF63BE7B"/>
      </colorScale>
    </cfRule>
  </conditionalFormatting>
  <conditionalFormatting sqref="F10:F13">
    <cfRule type="colorScale" priority="9984">
      <colorScale>
        <cfvo type="min"/>
        <cfvo type="percentile" val="50"/>
        <cfvo type="max"/>
        <color rgb="FFF8696B"/>
        <color rgb="FFFFEB84"/>
        <color rgb="FF63BE7B"/>
      </colorScale>
    </cfRule>
  </conditionalFormatting>
  <conditionalFormatting sqref="F10:F13">
    <cfRule type="colorScale" priority="9983">
      <colorScale>
        <cfvo type="min"/>
        <cfvo type="percentile" val="50"/>
        <cfvo type="max"/>
        <color rgb="FFF8696B"/>
        <color rgb="FFFFEB84"/>
        <color rgb="FF63BE7B"/>
      </colorScale>
    </cfRule>
  </conditionalFormatting>
  <conditionalFormatting sqref="F10:F13">
    <cfRule type="colorScale" priority="9982">
      <colorScale>
        <cfvo type="min"/>
        <cfvo type="percentile" val="50"/>
        <cfvo type="max"/>
        <color rgb="FFF8696B"/>
        <color rgb="FFFFEB84"/>
        <color rgb="FF63BE7B"/>
      </colorScale>
    </cfRule>
  </conditionalFormatting>
  <conditionalFormatting sqref="F10:F13">
    <cfRule type="colorScale" priority="9981">
      <colorScale>
        <cfvo type="min"/>
        <cfvo type="percentile" val="50"/>
        <cfvo type="max"/>
        <color rgb="FFF8696B"/>
        <color rgb="FFFFEB84"/>
        <color rgb="FF63BE7B"/>
      </colorScale>
    </cfRule>
  </conditionalFormatting>
  <conditionalFormatting sqref="F10:F13">
    <cfRule type="colorScale" priority="9980">
      <colorScale>
        <cfvo type="min"/>
        <cfvo type="percentile" val="50"/>
        <cfvo type="max"/>
        <color rgb="FFF8696B"/>
        <color rgb="FFFFEB84"/>
        <color rgb="FF63BE7B"/>
      </colorScale>
    </cfRule>
  </conditionalFormatting>
  <conditionalFormatting sqref="F10:F13">
    <cfRule type="colorScale" priority="9979">
      <colorScale>
        <cfvo type="min"/>
        <cfvo type="percentile" val="50"/>
        <cfvo type="max"/>
        <color rgb="FFF8696B"/>
        <color rgb="FFFFEB84"/>
        <color rgb="FF63BE7B"/>
      </colorScale>
    </cfRule>
  </conditionalFormatting>
  <conditionalFormatting sqref="F10:F13">
    <cfRule type="colorScale" priority="9978">
      <colorScale>
        <cfvo type="min"/>
        <cfvo type="percentile" val="50"/>
        <cfvo type="max"/>
        <color rgb="FFF8696B"/>
        <color rgb="FFFFEB84"/>
        <color rgb="FF63BE7B"/>
      </colorScale>
    </cfRule>
  </conditionalFormatting>
  <conditionalFormatting sqref="F10:F13">
    <cfRule type="colorScale" priority="9977">
      <colorScale>
        <cfvo type="min"/>
        <cfvo type="percentile" val="50"/>
        <cfvo type="max"/>
        <color rgb="FFF8696B"/>
        <color rgb="FFFFEB84"/>
        <color rgb="FF63BE7B"/>
      </colorScale>
    </cfRule>
  </conditionalFormatting>
  <conditionalFormatting sqref="F10:F13">
    <cfRule type="colorScale" priority="9976">
      <colorScale>
        <cfvo type="min"/>
        <cfvo type="percentile" val="50"/>
        <cfvo type="max"/>
        <color rgb="FFF8696B"/>
        <color rgb="FFFFEB84"/>
        <color rgb="FF63BE7B"/>
      </colorScale>
    </cfRule>
  </conditionalFormatting>
  <conditionalFormatting sqref="F10:F13">
    <cfRule type="colorScale" priority="9975">
      <colorScale>
        <cfvo type="min"/>
        <cfvo type="percentile" val="50"/>
        <cfvo type="max"/>
        <color rgb="FFF8696B"/>
        <color rgb="FFFFEB84"/>
        <color rgb="FF63BE7B"/>
      </colorScale>
    </cfRule>
  </conditionalFormatting>
  <conditionalFormatting sqref="F10:F13">
    <cfRule type="colorScale" priority="9974">
      <colorScale>
        <cfvo type="min"/>
        <cfvo type="percentile" val="50"/>
        <cfvo type="max"/>
        <color rgb="FFF8696B"/>
        <color rgb="FFFFEB84"/>
        <color rgb="FF63BE7B"/>
      </colorScale>
    </cfRule>
  </conditionalFormatting>
  <conditionalFormatting sqref="F10:F13">
    <cfRule type="colorScale" priority="9973">
      <colorScale>
        <cfvo type="min"/>
        <cfvo type="percentile" val="50"/>
        <cfvo type="max"/>
        <color rgb="FFF8696B"/>
        <color rgb="FFFFEB84"/>
        <color rgb="FF63BE7B"/>
      </colorScale>
    </cfRule>
  </conditionalFormatting>
  <conditionalFormatting sqref="F10:F13">
    <cfRule type="colorScale" priority="9972">
      <colorScale>
        <cfvo type="min"/>
        <cfvo type="percentile" val="50"/>
        <cfvo type="max"/>
        <color rgb="FFF8696B"/>
        <color rgb="FFFFEB84"/>
        <color rgb="FF63BE7B"/>
      </colorScale>
    </cfRule>
  </conditionalFormatting>
  <conditionalFormatting sqref="F10:F13">
    <cfRule type="colorScale" priority="9971">
      <colorScale>
        <cfvo type="min"/>
        <cfvo type="percentile" val="50"/>
        <cfvo type="max"/>
        <color rgb="FFF8696B"/>
        <color rgb="FFFFEB84"/>
        <color rgb="FF63BE7B"/>
      </colorScale>
    </cfRule>
  </conditionalFormatting>
  <conditionalFormatting sqref="F10:F13">
    <cfRule type="colorScale" priority="9970">
      <colorScale>
        <cfvo type="min"/>
        <cfvo type="percentile" val="50"/>
        <cfvo type="max"/>
        <color rgb="FFF8696B"/>
        <color rgb="FFFFEB84"/>
        <color rgb="FF63BE7B"/>
      </colorScale>
    </cfRule>
  </conditionalFormatting>
  <conditionalFormatting sqref="F10:F13">
    <cfRule type="colorScale" priority="9969">
      <colorScale>
        <cfvo type="min"/>
        <cfvo type="percentile" val="50"/>
        <cfvo type="max"/>
        <color rgb="FFF8696B"/>
        <color rgb="FFFFEB84"/>
        <color rgb="FF63BE7B"/>
      </colorScale>
    </cfRule>
  </conditionalFormatting>
  <conditionalFormatting sqref="F10:F13">
    <cfRule type="colorScale" priority="9968">
      <colorScale>
        <cfvo type="min"/>
        <cfvo type="percentile" val="50"/>
        <cfvo type="max"/>
        <color rgb="FFF8696B"/>
        <color rgb="FFFFEB84"/>
        <color rgb="FF63BE7B"/>
      </colorScale>
    </cfRule>
  </conditionalFormatting>
  <conditionalFormatting sqref="F10:F13">
    <cfRule type="colorScale" priority="9967">
      <colorScale>
        <cfvo type="min"/>
        <cfvo type="percentile" val="50"/>
        <cfvo type="max"/>
        <color rgb="FFF8696B"/>
        <color rgb="FFFFEB84"/>
        <color rgb="FF63BE7B"/>
      </colorScale>
    </cfRule>
  </conditionalFormatting>
  <conditionalFormatting sqref="F10:F13">
    <cfRule type="colorScale" priority="9966">
      <colorScale>
        <cfvo type="min"/>
        <cfvo type="percentile" val="50"/>
        <cfvo type="max"/>
        <color rgb="FFF8696B"/>
        <color rgb="FFFFEB84"/>
        <color rgb="FF63BE7B"/>
      </colorScale>
    </cfRule>
  </conditionalFormatting>
  <conditionalFormatting sqref="F10:F13">
    <cfRule type="colorScale" priority="9965">
      <colorScale>
        <cfvo type="min"/>
        <cfvo type="percentile" val="50"/>
        <cfvo type="max"/>
        <color rgb="FFF8696B"/>
        <color rgb="FFFFEB84"/>
        <color rgb="FF63BE7B"/>
      </colorScale>
    </cfRule>
  </conditionalFormatting>
  <conditionalFormatting sqref="F10:F13">
    <cfRule type="colorScale" priority="9964">
      <colorScale>
        <cfvo type="min"/>
        <cfvo type="percentile" val="50"/>
        <cfvo type="max"/>
        <color rgb="FFF8696B"/>
        <color rgb="FFFFEB84"/>
        <color rgb="FF63BE7B"/>
      </colorScale>
    </cfRule>
  </conditionalFormatting>
  <conditionalFormatting sqref="F10:F13">
    <cfRule type="colorScale" priority="9963">
      <colorScale>
        <cfvo type="min"/>
        <cfvo type="percentile" val="50"/>
        <cfvo type="max"/>
        <color rgb="FFF8696B"/>
        <color rgb="FFFFEB84"/>
        <color rgb="FF63BE7B"/>
      </colorScale>
    </cfRule>
  </conditionalFormatting>
  <conditionalFormatting sqref="F10:F13">
    <cfRule type="colorScale" priority="9962">
      <colorScale>
        <cfvo type="min"/>
        <cfvo type="percentile" val="50"/>
        <cfvo type="max"/>
        <color rgb="FFF8696B"/>
        <color rgb="FFFFEB84"/>
        <color rgb="FF63BE7B"/>
      </colorScale>
    </cfRule>
  </conditionalFormatting>
  <conditionalFormatting sqref="F10:F13">
    <cfRule type="colorScale" priority="9961">
      <colorScale>
        <cfvo type="min"/>
        <cfvo type="percentile" val="50"/>
        <cfvo type="max"/>
        <color rgb="FFF8696B"/>
        <color rgb="FFFFEB84"/>
        <color rgb="FF63BE7B"/>
      </colorScale>
    </cfRule>
  </conditionalFormatting>
  <conditionalFormatting sqref="F10:F13">
    <cfRule type="colorScale" priority="9960">
      <colorScale>
        <cfvo type="min"/>
        <cfvo type="percentile" val="50"/>
        <cfvo type="max"/>
        <color rgb="FFF8696B"/>
        <color rgb="FFFFEB84"/>
        <color rgb="FF63BE7B"/>
      </colorScale>
    </cfRule>
  </conditionalFormatting>
  <conditionalFormatting sqref="F10:F13">
    <cfRule type="colorScale" priority="9959">
      <colorScale>
        <cfvo type="min"/>
        <cfvo type="percentile" val="50"/>
        <cfvo type="max"/>
        <color rgb="FFF8696B"/>
        <color rgb="FFFFEB84"/>
        <color rgb="FF63BE7B"/>
      </colorScale>
    </cfRule>
  </conditionalFormatting>
  <conditionalFormatting sqref="F10:F13">
    <cfRule type="colorScale" priority="9958">
      <colorScale>
        <cfvo type="min"/>
        <cfvo type="percentile" val="50"/>
        <cfvo type="max"/>
        <color rgb="FFF8696B"/>
        <color rgb="FFFFEB84"/>
        <color rgb="FF63BE7B"/>
      </colorScale>
    </cfRule>
  </conditionalFormatting>
  <conditionalFormatting sqref="F10:F13">
    <cfRule type="colorScale" priority="9957">
      <colorScale>
        <cfvo type="min"/>
        <cfvo type="percentile" val="50"/>
        <cfvo type="max"/>
        <color rgb="FFF8696B"/>
        <color rgb="FFFFEB84"/>
        <color rgb="FF63BE7B"/>
      </colorScale>
    </cfRule>
  </conditionalFormatting>
  <conditionalFormatting sqref="F10:F13">
    <cfRule type="colorScale" priority="9956">
      <colorScale>
        <cfvo type="min"/>
        <cfvo type="percentile" val="50"/>
        <cfvo type="max"/>
        <color rgb="FFF8696B"/>
        <color rgb="FFFFEB84"/>
        <color rgb="FF63BE7B"/>
      </colorScale>
    </cfRule>
  </conditionalFormatting>
  <conditionalFormatting sqref="F10:F13">
    <cfRule type="colorScale" priority="9955">
      <colorScale>
        <cfvo type="min"/>
        <cfvo type="percentile" val="50"/>
        <cfvo type="max"/>
        <color rgb="FFF8696B"/>
        <color rgb="FFFFEB84"/>
        <color rgb="FF63BE7B"/>
      </colorScale>
    </cfRule>
  </conditionalFormatting>
  <conditionalFormatting sqref="F10:F13">
    <cfRule type="colorScale" priority="9954">
      <colorScale>
        <cfvo type="min"/>
        <cfvo type="percentile" val="50"/>
        <cfvo type="max"/>
        <color rgb="FFF8696B"/>
        <color rgb="FFFFEB84"/>
        <color rgb="FF63BE7B"/>
      </colorScale>
    </cfRule>
  </conditionalFormatting>
  <conditionalFormatting sqref="F10:F13">
    <cfRule type="colorScale" priority="9953">
      <colorScale>
        <cfvo type="min"/>
        <cfvo type="percentile" val="50"/>
        <cfvo type="max"/>
        <color rgb="FFF8696B"/>
        <color rgb="FFFFEB84"/>
        <color rgb="FF63BE7B"/>
      </colorScale>
    </cfRule>
  </conditionalFormatting>
  <conditionalFormatting sqref="F10:F13">
    <cfRule type="colorScale" priority="9952">
      <colorScale>
        <cfvo type="min"/>
        <cfvo type="percentile" val="50"/>
        <cfvo type="max"/>
        <color rgb="FFF8696B"/>
        <color rgb="FFFFEB84"/>
        <color rgb="FF63BE7B"/>
      </colorScale>
    </cfRule>
  </conditionalFormatting>
  <conditionalFormatting sqref="F10:F13">
    <cfRule type="colorScale" priority="9951">
      <colorScale>
        <cfvo type="min"/>
        <cfvo type="percentile" val="50"/>
        <cfvo type="max"/>
        <color rgb="FFF8696B"/>
        <color rgb="FFFFEB84"/>
        <color rgb="FF63BE7B"/>
      </colorScale>
    </cfRule>
  </conditionalFormatting>
  <conditionalFormatting sqref="F10:F13">
    <cfRule type="colorScale" priority="9950">
      <colorScale>
        <cfvo type="min"/>
        <cfvo type="percentile" val="50"/>
        <cfvo type="max"/>
        <color rgb="FFF8696B"/>
        <color rgb="FFFFEB84"/>
        <color rgb="FF63BE7B"/>
      </colorScale>
    </cfRule>
  </conditionalFormatting>
  <conditionalFormatting sqref="F10:F13">
    <cfRule type="colorScale" priority="9949">
      <colorScale>
        <cfvo type="min"/>
        <cfvo type="percentile" val="50"/>
        <cfvo type="max"/>
        <color rgb="FFF8696B"/>
        <color rgb="FFFFEB84"/>
        <color rgb="FF63BE7B"/>
      </colorScale>
    </cfRule>
  </conditionalFormatting>
  <conditionalFormatting sqref="F10:F13">
    <cfRule type="colorScale" priority="9948">
      <colorScale>
        <cfvo type="min"/>
        <cfvo type="percentile" val="50"/>
        <cfvo type="max"/>
        <color rgb="FFF8696B"/>
        <color rgb="FFFFEB84"/>
        <color rgb="FF63BE7B"/>
      </colorScale>
    </cfRule>
  </conditionalFormatting>
  <conditionalFormatting sqref="F10:F13">
    <cfRule type="colorScale" priority="9947">
      <colorScale>
        <cfvo type="min"/>
        <cfvo type="percentile" val="50"/>
        <cfvo type="max"/>
        <color rgb="FFF8696B"/>
        <color rgb="FFFFEB84"/>
        <color rgb="FF63BE7B"/>
      </colorScale>
    </cfRule>
  </conditionalFormatting>
  <conditionalFormatting sqref="F10:F13">
    <cfRule type="colorScale" priority="9946">
      <colorScale>
        <cfvo type="min"/>
        <cfvo type="percentile" val="50"/>
        <cfvo type="max"/>
        <color rgb="FFF8696B"/>
        <color rgb="FFFFEB84"/>
        <color rgb="FF63BE7B"/>
      </colorScale>
    </cfRule>
  </conditionalFormatting>
  <conditionalFormatting sqref="F10:F13">
    <cfRule type="colorScale" priority="9945">
      <colorScale>
        <cfvo type="min"/>
        <cfvo type="percentile" val="50"/>
        <cfvo type="max"/>
        <color rgb="FFF8696B"/>
        <color rgb="FFFFEB84"/>
        <color rgb="FF63BE7B"/>
      </colorScale>
    </cfRule>
  </conditionalFormatting>
  <conditionalFormatting sqref="F10:F13">
    <cfRule type="colorScale" priority="9944">
      <colorScale>
        <cfvo type="min"/>
        <cfvo type="percentile" val="50"/>
        <cfvo type="max"/>
        <color rgb="FFF8696B"/>
        <color rgb="FFFFEB84"/>
        <color rgb="FF63BE7B"/>
      </colorScale>
    </cfRule>
  </conditionalFormatting>
  <conditionalFormatting sqref="F10:F13">
    <cfRule type="colorScale" priority="9943">
      <colorScale>
        <cfvo type="min"/>
        <cfvo type="percentile" val="50"/>
        <cfvo type="max"/>
        <color rgb="FFF8696B"/>
        <color rgb="FFFFEB84"/>
        <color rgb="FF63BE7B"/>
      </colorScale>
    </cfRule>
  </conditionalFormatting>
  <conditionalFormatting sqref="F10:F13">
    <cfRule type="colorScale" priority="9942">
      <colorScale>
        <cfvo type="min"/>
        <cfvo type="percentile" val="50"/>
        <cfvo type="max"/>
        <color rgb="FFF8696B"/>
        <color rgb="FFFFEB84"/>
        <color rgb="FF63BE7B"/>
      </colorScale>
    </cfRule>
  </conditionalFormatting>
  <conditionalFormatting sqref="F10:F13">
    <cfRule type="colorScale" priority="9941">
      <colorScale>
        <cfvo type="min"/>
        <cfvo type="percentile" val="50"/>
        <cfvo type="max"/>
        <color rgb="FFF8696B"/>
        <color rgb="FFFFEB84"/>
        <color rgb="FF63BE7B"/>
      </colorScale>
    </cfRule>
  </conditionalFormatting>
  <conditionalFormatting sqref="F10:F13">
    <cfRule type="colorScale" priority="9940">
      <colorScale>
        <cfvo type="min"/>
        <cfvo type="percentile" val="50"/>
        <cfvo type="max"/>
        <color rgb="FFF8696B"/>
        <color rgb="FFFFEB84"/>
        <color rgb="FF63BE7B"/>
      </colorScale>
    </cfRule>
  </conditionalFormatting>
  <conditionalFormatting sqref="F10:F13">
    <cfRule type="colorScale" priority="9939">
      <colorScale>
        <cfvo type="min"/>
        <cfvo type="percentile" val="50"/>
        <cfvo type="max"/>
        <color rgb="FFF8696B"/>
        <color rgb="FFFFEB84"/>
        <color rgb="FF63BE7B"/>
      </colorScale>
    </cfRule>
  </conditionalFormatting>
  <conditionalFormatting sqref="F10:F13">
    <cfRule type="colorScale" priority="9938">
      <colorScale>
        <cfvo type="min"/>
        <cfvo type="percentile" val="50"/>
        <cfvo type="max"/>
        <color rgb="FFF8696B"/>
        <color rgb="FFFFEB84"/>
        <color rgb="FF63BE7B"/>
      </colorScale>
    </cfRule>
  </conditionalFormatting>
  <conditionalFormatting sqref="F10:F13">
    <cfRule type="colorScale" priority="9937">
      <colorScale>
        <cfvo type="min"/>
        <cfvo type="percentile" val="50"/>
        <cfvo type="max"/>
        <color rgb="FFF8696B"/>
        <color rgb="FFFFEB84"/>
        <color rgb="FF63BE7B"/>
      </colorScale>
    </cfRule>
  </conditionalFormatting>
  <conditionalFormatting sqref="F10:F13">
    <cfRule type="colorScale" priority="9936">
      <colorScale>
        <cfvo type="min"/>
        <cfvo type="percentile" val="50"/>
        <cfvo type="max"/>
        <color rgb="FFF8696B"/>
        <color rgb="FFFFEB84"/>
        <color rgb="FF63BE7B"/>
      </colorScale>
    </cfRule>
  </conditionalFormatting>
  <conditionalFormatting sqref="F10:F13">
    <cfRule type="colorScale" priority="9935">
      <colorScale>
        <cfvo type="min"/>
        <cfvo type="percentile" val="50"/>
        <cfvo type="max"/>
        <color rgb="FFF8696B"/>
        <color rgb="FFFFEB84"/>
        <color rgb="FF63BE7B"/>
      </colorScale>
    </cfRule>
  </conditionalFormatting>
  <conditionalFormatting sqref="F10:F13">
    <cfRule type="colorScale" priority="9934">
      <colorScale>
        <cfvo type="min"/>
        <cfvo type="percentile" val="50"/>
        <cfvo type="max"/>
        <color rgb="FFF8696B"/>
        <color rgb="FFFFEB84"/>
        <color rgb="FF63BE7B"/>
      </colorScale>
    </cfRule>
  </conditionalFormatting>
  <conditionalFormatting sqref="F10:F13">
    <cfRule type="colorScale" priority="9933">
      <colorScale>
        <cfvo type="min"/>
        <cfvo type="percentile" val="50"/>
        <cfvo type="max"/>
        <color rgb="FFF8696B"/>
        <color rgb="FFFFEB84"/>
        <color rgb="FF63BE7B"/>
      </colorScale>
    </cfRule>
  </conditionalFormatting>
  <conditionalFormatting sqref="F10:F13">
    <cfRule type="colorScale" priority="9932">
      <colorScale>
        <cfvo type="min"/>
        <cfvo type="percentile" val="50"/>
        <cfvo type="max"/>
        <color rgb="FFF8696B"/>
        <color rgb="FFFFEB84"/>
        <color rgb="FF63BE7B"/>
      </colorScale>
    </cfRule>
  </conditionalFormatting>
  <conditionalFormatting sqref="F10:F13">
    <cfRule type="colorScale" priority="9931">
      <colorScale>
        <cfvo type="min"/>
        <cfvo type="percentile" val="50"/>
        <cfvo type="max"/>
        <color rgb="FFF8696B"/>
        <color rgb="FFFFEB84"/>
        <color rgb="FF63BE7B"/>
      </colorScale>
    </cfRule>
  </conditionalFormatting>
  <conditionalFormatting sqref="F10:F13">
    <cfRule type="colorScale" priority="9930">
      <colorScale>
        <cfvo type="min"/>
        <cfvo type="percentile" val="50"/>
        <cfvo type="max"/>
        <color rgb="FFF8696B"/>
        <color rgb="FFFFEB84"/>
        <color rgb="FF63BE7B"/>
      </colorScale>
    </cfRule>
  </conditionalFormatting>
  <conditionalFormatting sqref="F10:F13">
    <cfRule type="colorScale" priority="9929">
      <colorScale>
        <cfvo type="min"/>
        <cfvo type="percentile" val="50"/>
        <cfvo type="max"/>
        <color rgb="FFF8696B"/>
        <color rgb="FFFFEB84"/>
        <color rgb="FF63BE7B"/>
      </colorScale>
    </cfRule>
  </conditionalFormatting>
  <conditionalFormatting sqref="F10:F13">
    <cfRule type="colorScale" priority="9928">
      <colorScale>
        <cfvo type="min"/>
        <cfvo type="percentile" val="50"/>
        <cfvo type="max"/>
        <color rgb="FFF8696B"/>
        <color rgb="FFFFEB84"/>
        <color rgb="FF63BE7B"/>
      </colorScale>
    </cfRule>
  </conditionalFormatting>
  <conditionalFormatting sqref="F10:F13">
    <cfRule type="colorScale" priority="9927">
      <colorScale>
        <cfvo type="min"/>
        <cfvo type="percentile" val="50"/>
        <cfvo type="max"/>
        <color rgb="FFF8696B"/>
        <color rgb="FFFFEB84"/>
        <color rgb="FF63BE7B"/>
      </colorScale>
    </cfRule>
  </conditionalFormatting>
  <conditionalFormatting sqref="F10:F13">
    <cfRule type="colorScale" priority="9926">
      <colorScale>
        <cfvo type="min"/>
        <cfvo type="percentile" val="50"/>
        <cfvo type="max"/>
        <color rgb="FFF8696B"/>
        <color rgb="FFFFEB84"/>
        <color rgb="FF63BE7B"/>
      </colorScale>
    </cfRule>
  </conditionalFormatting>
  <conditionalFormatting sqref="F10:F13">
    <cfRule type="colorScale" priority="9925">
      <colorScale>
        <cfvo type="min"/>
        <cfvo type="percentile" val="50"/>
        <cfvo type="max"/>
        <color rgb="FFF8696B"/>
        <color rgb="FFFFEB84"/>
        <color rgb="FF63BE7B"/>
      </colorScale>
    </cfRule>
  </conditionalFormatting>
  <conditionalFormatting sqref="F10:F13">
    <cfRule type="colorScale" priority="9924">
      <colorScale>
        <cfvo type="min"/>
        <cfvo type="percentile" val="50"/>
        <cfvo type="max"/>
        <color rgb="FFF8696B"/>
        <color rgb="FFFFEB84"/>
        <color rgb="FF63BE7B"/>
      </colorScale>
    </cfRule>
  </conditionalFormatting>
  <conditionalFormatting sqref="F10:F13">
    <cfRule type="colorScale" priority="9923">
      <colorScale>
        <cfvo type="min"/>
        <cfvo type="percentile" val="50"/>
        <cfvo type="max"/>
        <color rgb="FFF8696B"/>
        <color rgb="FFFFEB84"/>
        <color rgb="FF63BE7B"/>
      </colorScale>
    </cfRule>
  </conditionalFormatting>
  <conditionalFormatting sqref="F10:F13">
    <cfRule type="colorScale" priority="9922">
      <colorScale>
        <cfvo type="min"/>
        <cfvo type="percentile" val="50"/>
        <cfvo type="max"/>
        <color rgb="FFF8696B"/>
        <color rgb="FFFFEB84"/>
        <color rgb="FF63BE7B"/>
      </colorScale>
    </cfRule>
  </conditionalFormatting>
  <conditionalFormatting sqref="F10:F13">
    <cfRule type="colorScale" priority="9921">
      <colorScale>
        <cfvo type="min"/>
        <cfvo type="percentile" val="50"/>
        <cfvo type="max"/>
        <color rgb="FFF8696B"/>
        <color rgb="FFFFEB84"/>
        <color rgb="FF63BE7B"/>
      </colorScale>
    </cfRule>
  </conditionalFormatting>
  <conditionalFormatting sqref="F10:F13">
    <cfRule type="colorScale" priority="9920">
      <colorScale>
        <cfvo type="min"/>
        <cfvo type="percentile" val="50"/>
        <cfvo type="max"/>
        <color rgb="FFF8696B"/>
        <color rgb="FFFFEB84"/>
        <color rgb="FF63BE7B"/>
      </colorScale>
    </cfRule>
  </conditionalFormatting>
  <conditionalFormatting sqref="F10:F13">
    <cfRule type="colorScale" priority="9919">
      <colorScale>
        <cfvo type="min"/>
        <cfvo type="percentile" val="50"/>
        <cfvo type="max"/>
        <color rgb="FFF8696B"/>
        <color rgb="FFFFEB84"/>
        <color rgb="FF63BE7B"/>
      </colorScale>
    </cfRule>
  </conditionalFormatting>
  <conditionalFormatting sqref="F10:F13">
    <cfRule type="colorScale" priority="9918">
      <colorScale>
        <cfvo type="min"/>
        <cfvo type="percentile" val="50"/>
        <cfvo type="max"/>
        <color rgb="FFF8696B"/>
        <color rgb="FFFFEB84"/>
        <color rgb="FF63BE7B"/>
      </colorScale>
    </cfRule>
  </conditionalFormatting>
  <conditionalFormatting sqref="F10:F13">
    <cfRule type="colorScale" priority="9917">
      <colorScale>
        <cfvo type="min"/>
        <cfvo type="percentile" val="50"/>
        <cfvo type="max"/>
        <color rgb="FFF8696B"/>
        <color rgb="FFFFEB84"/>
        <color rgb="FF63BE7B"/>
      </colorScale>
    </cfRule>
  </conditionalFormatting>
  <conditionalFormatting sqref="F10:F13">
    <cfRule type="colorScale" priority="9916">
      <colorScale>
        <cfvo type="min"/>
        <cfvo type="percentile" val="50"/>
        <cfvo type="max"/>
        <color rgb="FFF8696B"/>
        <color rgb="FFFFEB84"/>
        <color rgb="FF63BE7B"/>
      </colorScale>
    </cfRule>
  </conditionalFormatting>
  <conditionalFormatting sqref="F10:F13">
    <cfRule type="colorScale" priority="9915">
      <colorScale>
        <cfvo type="min"/>
        <cfvo type="percentile" val="50"/>
        <cfvo type="max"/>
        <color rgb="FFF8696B"/>
        <color rgb="FFFFEB84"/>
        <color rgb="FF63BE7B"/>
      </colorScale>
    </cfRule>
  </conditionalFormatting>
  <conditionalFormatting sqref="F10:F13">
    <cfRule type="colorScale" priority="9914">
      <colorScale>
        <cfvo type="min"/>
        <cfvo type="percentile" val="50"/>
        <cfvo type="max"/>
        <color rgb="FFF8696B"/>
        <color rgb="FFFFEB84"/>
        <color rgb="FF63BE7B"/>
      </colorScale>
    </cfRule>
  </conditionalFormatting>
  <conditionalFormatting sqref="F10:F13">
    <cfRule type="colorScale" priority="9913">
      <colorScale>
        <cfvo type="min"/>
        <cfvo type="percentile" val="50"/>
        <cfvo type="max"/>
        <color rgb="FFF8696B"/>
        <color rgb="FFFFEB84"/>
        <color rgb="FF63BE7B"/>
      </colorScale>
    </cfRule>
  </conditionalFormatting>
  <conditionalFormatting sqref="F10:F13">
    <cfRule type="colorScale" priority="9912">
      <colorScale>
        <cfvo type="min"/>
        <cfvo type="percentile" val="50"/>
        <cfvo type="max"/>
        <color rgb="FFF8696B"/>
        <color rgb="FFFFEB84"/>
        <color rgb="FF63BE7B"/>
      </colorScale>
    </cfRule>
  </conditionalFormatting>
  <conditionalFormatting sqref="F10:F13">
    <cfRule type="colorScale" priority="9911">
      <colorScale>
        <cfvo type="min"/>
        <cfvo type="percentile" val="50"/>
        <cfvo type="max"/>
        <color rgb="FFF8696B"/>
        <color rgb="FFFFEB84"/>
        <color rgb="FF63BE7B"/>
      </colorScale>
    </cfRule>
  </conditionalFormatting>
  <conditionalFormatting sqref="F10:F13">
    <cfRule type="colorScale" priority="9910">
      <colorScale>
        <cfvo type="min"/>
        <cfvo type="percentile" val="50"/>
        <cfvo type="max"/>
        <color rgb="FFF8696B"/>
        <color rgb="FFFFEB84"/>
        <color rgb="FF63BE7B"/>
      </colorScale>
    </cfRule>
  </conditionalFormatting>
  <conditionalFormatting sqref="F10:F13">
    <cfRule type="colorScale" priority="9909">
      <colorScale>
        <cfvo type="min"/>
        <cfvo type="percentile" val="50"/>
        <cfvo type="max"/>
        <color rgb="FFF8696B"/>
        <color rgb="FFFFEB84"/>
        <color rgb="FF63BE7B"/>
      </colorScale>
    </cfRule>
  </conditionalFormatting>
  <conditionalFormatting sqref="F10:F13">
    <cfRule type="colorScale" priority="9908">
      <colorScale>
        <cfvo type="min"/>
        <cfvo type="percentile" val="50"/>
        <cfvo type="max"/>
        <color rgb="FFF8696B"/>
        <color rgb="FFFFEB84"/>
        <color rgb="FF63BE7B"/>
      </colorScale>
    </cfRule>
  </conditionalFormatting>
  <conditionalFormatting sqref="F10:F13">
    <cfRule type="colorScale" priority="9907">
      <colorScale>
        <cfvo type="min"/>
        <cfvo type="percentile" val="50"/>
        <cfvo type="max"/>
        <color rgb="FFF8696B"/>
        <color rgb="FFFFEB84"/>
        <color rgb="FF63BE7B"/>
      </colorScale>
    </cfRule>
  </conditionalFormatting>
  <conditionalFormatting sqref="F10:F13">
    <cfRule type="colorScale" priority="9906">
      <colorScale>
        <cfvo type="min"/>
        <cfvo type="percentile" val="50"/>
        <cfvo type="max"/>
        <color rgb="FFF8696B"/>
        <color rgb="FFFFEB84"/>
        <color rgb="FF63BE7B"/>
      </colorScale>
    </cfRule>
  </conditionalFormatting>
  <conditionalFormatting sqref="F10:F13">
    <cfRule type="colorScale" priority="9905">
      <colorScale>
        <cfvo type="min"/>
        <cfvo type="percentile" val="50"/>
        <cfvo type="max"/>
        <color rgb="FFF8696B"/>
        <color rgb="FFFFEB84"/>
        <color rgb="FF63BE7B"/>
      </colorScale>
    </cfRule>
  </conditionalFormatting>
  <conditionalFormatting sqref="F10:F13">
    <cfRule type="colorScale" priority="9904">
      <colorScale>
        <cfvo type="min"/>
        <cfvo type="percentile" val="50"/>
        <cfvo type="max"/>
        <color rgb="FFF8696B"/>
        <color rgb="FFFFEB84"/>
        <color rgb="FF63BE7B"/>
      </colorScale>
    </cfRule>
  </conditionalFormatting>
  <conditionalFormatting sqref="F10:F13">
    <cfRule type="colorScale" priority="9903">
      <colorScale>
        <cfvo type="min"/>
        <cfvo type="percentile" val="50"/>
        <cfvo type="max"/>
        <color rgb="FFF8696B"/>
        <color rgb="FFFFEB84"/>
        <color rgb="FF63BE7B"/>
      </colorScale>
    </cfRule>
  </conditionalFormatting>
  <conditionalFormatting sqref="F10:F13">
    <cfRule type="colorScale" priority="9902">
      <colorScale>
        <cfvo type="min"/>
        <cfvo type="percentile" val="50"/>
        <cfvo type="max"/>
        <color rgb="FFF8696B"/>
        <color rgb="FFFFEB84"/>
        <color rgb="FF63BE7B"/>
      </colorScale>
    </cfRule>
  </conditionalFormatting>
  <conditionalFormatting sqref="F10:F13">
    <cfRule type="colorScale" priority="9901">
      <colorScale>
        <cfvo type="min"/>
        <cfvo type="percentile" val="50"/>
        <cfvo type="max"/>
        <color rgb="FFF8696B"/>
        <color rgb="FFFFEB84"/>
        <color rgb="FF63BE7B"/>
      </colorScale>
    </cfRule>
  </conditionalFormatting>
  <conditionalFormatting sqref="F10:F13">
    <cfRule type="colorScale" priority="9900">
      <colorScale>
        <cfvo type="min"/>
        <cfvo type="percentile" val="50"/>
        <cfvo type="max"/>
        <color rgb="FFF8696B"/>
        <color rgb="FFFFEB84"/>
        <color rgb="FF63BE7B"/>
      </colorScale>
    </cfRule>
  </conditionalFormatting>
  <conditionalFormatting sqref="F10:F13">
    <cfRule type="colorScale" priority="9899">
      <colorScale>
        <cfvo type="min"/>
        <cfvo type="percentile" val="50"/>
        <cfvo type="max"/>
        <color rgb="FFF8696B"/>
        <color rgb="FFFFEB84"/>
        <color rgb="FF63BE7B"/>
      </colorScale>
    </cfRule>
  </conditionalFormatting>
  <conditionalFormatting sqref="F10:F13">
    <cfRule type="colorScale" priority="9898">
      <colorScale>
        <cfvo type="min"/>
        <cfvo type="percentile" val="50"/>
        <cfvo type="max"/>
        <color rgb="FFF8696B"/>
        <color rgb="FFFFEB84"/>
        <color rgb="FF63BE7B"/>
      </colorScale>
    </cfRule>
  </conditionalFormatting>
  <conditionalFormatting sqref="F10:F13">
    <cfRule type="colorScale" priority="9897">
      <colorScale>
        <cfvo type="min"/>
        <cfvo type="percentile" val="50"/>
        <cfvo type="max"/>
        <color rgb="FFF8696B"/>
        <color rgb="FFFFEB84"/>
        <color rgb="FF63BE7B"/>
      </colorScale>
    </cfRule>
  </conditionalFormatting>
  <conditionalFormatting sqref="F10:F13">
    <cfRule type="colorScale" priority="9896">
      <colorScale>
        <cfvo type="min"/>
        <cfvo type="percentile" val="50"/>
        <cfvo type="max"/>
        <color rgb="FFF8696B"/>
        <color rgb="FFFFEB84"/>
        <color rgb="FF63BE7B"/>
      </colorScale>
    </cfRule>
  </conditionalFormatting>
  <conditionalFormatting sqref="F10:F13">
    <cfRule type="colorScale" priority="9895">
      <colorScale>
        <cfvo type="min"/>
        <cfvo type="percentile" val="50"/>
        <cfvo type="max"/>
        <color rgb="FFF8696B"/>
        <color rgb="FFFFEB84"/>
        <color rgb="FF63BE7B"/>
      </colorScale>
    </cfRule>
  </conditionalFormatting>
  <conditionalFormatting sqref="F10:F13">
    <cfRule type="colorScale" priority="9894">
      <colorScale>
        <cfvo type="min"/>
        <cfvo type="percentile" val="50"/>
        <cfvo type="max"/>
        <color rgb="FFF8696B"/>
        <color rgb="FFFFEB84"/>
        <color rgb="FF63BE7B"/>
      </colorScale>
    </cfRule>
  </conditionalFormatting>
  <conditionalFormatting sqref="F10:F13">
    <cfRule type="colorScale" priority="9893">
      <colorScale>
        <cfvo type="min"/>
        <cfvo type="percentile" val="50"/>
        <cfvo type="max"/>
        <color rgb="FFF8696B"/>
        <color rgb="FFFFEB84"/>
        <color rgb="FF63BE7B"/>
      </colorScale>
    </cfRule>
  </conditionalFormatting>
  <conditionalFormatting sqref="F10:F13">
    <cfRule type="colorScale" priority="9892">
      <colorScale>
        <cfvo type="min"/>
        <cfvo type="percentile" val="50"/>
        <cfvo type="max"/>
        <color rgb="FFF8696B"/>
        <color rgb="FFFFEB84"/>
        <color rgb="FF63BE7B"/>
      </colorScale>
    </cfRule>
  </conditionalFormatting>
  <conditionalFormatting sqref="F10:F13">
    <cfRule type="colorScale" priority="9891">
      <colorScale>
        <cfvo type="min"/>
        <cfvo type="percentile" val="50"/>
        <cfvo type="max"/>
        <color rgb="FFF8696B"/>
        <color rgb="FFFFEB84"/>
        <color rgb="FF63BE7B"/>
      </colorScale>
    </cfRule>
  </conditionalFormatting>
  <conditionalFormatting sqref="F10:F13">
    <cfRule type="colorScale" priority="9890">
      <colorScale>
        <cfvo type="min"/>
        <cfvo type="percentile" val="50"/>
        <cfvo type="max"/>
        <color rgb="FFF8696B"/>
        <color rgb="FFFFEB84"/>
        <color rgb="FF63BE7B"/>
      </colorScale>
    </cfRule>
  </conditionalFormatting>
  <conditionalFormatting sqref="F10:F13">
    <cfRule type="colorScale" priority="9889">
      <colorScale>
        <cfvo type="min"/>
        <cfvo type="percentile" val="50"/>
        <cfvo type="max"/>
        <color rgb="FFF8696B"/>
        <color rgb="FFFFEB84"/>
        <color rgb="FF63BE7B"/>
      </colorScale>
    </cfRule>
  </conditionalFormatting>
  <conditionalFormatting sqref="F10:F13">
    <cfRule type="colorScale" priority="9888">
      <colorScale>
        <cfvo type="min"/>
        <cfvo type="percentile" val="50"/>
        <cfvo type="max"/>
        <color rgb="FFF8696B"/>
        <color rgb="FFFFEB84"/>
        <color rgb="FF63BE7B"/>
      </colorScale>
    </cfRule>
  </conditionalFormatting>
  <conditionalFormatting sqref="F10:F13">
    <cfRule type="colorScale" priority="9887">
      <colorScale>
        <cfvo type="min"/>
        <cfvo type="percentile" val="50"/>
        <cfvo type="max"/>
        <color rgb="FFF8696B"/>
        <color rgb="FFFFEB84"/>
        <color rgb="FF63BE7B"/>
      </colorScale>
    </cfRule>
  </conditionalFormatting>
  <conditionalFormatting sqref="F10:F13">
    <cfRule type="colorScale" priority="9886">
      <colorScale>
        <cfvo type="min"/>
        <cfvo type="percentile" val="50"/>
        <cfvo type="max"/>
        <color rgb="FFF8696B"/>
        <color rgb="FFFFEB84"/>
        <color rgb="FF63BE7B"/>
      </colorScale>
    </cfRule>
  </conditionalFormatting>
  <conditionalFormatting sqref="F10:F13">
    <cfRule type="colorScale" priority="9885">
      <colorScale>
        <cfvo type="min"/>
        <cfvo type="percentile" val="50"/>
        <cfvo type="max"/>
        <color rgb="FFF8696B"/>
        <color rgb="FFFFEB84"/>
        <color rgb="FF63BE7B"/>
      </colorScale>
    </cfRule>
  </conditionalFormatting>
  <conditionalFormatting sqref="F10:F13">
    <cfRule type="colorScale" priority="9884">
      <colorScale>
        <cfvo type="min"/>
        <cfvo type="percentile" val="50"/>
        <cfvo type="max"/>
        <color rgb="FFF8696B"/>
        <color rgb="FFFFEB84"/>
        <color rgb="FF63BE7B"/>
      </colorScale>
    </cfRule>
  </conditionalFormatting>
  <conditionalFormatting sqref="F10:F13">
    <cfRule type="colorScale" priority="9883">
      <colorScale>
        <cfvo type="min"/>
        <cfvo type="percentile" val="50"/>
        <cfvo type="max"/>
        <color rgb="FFF8696B"/>
        <color rgb="FFFFEB84"/>
        <color rgb="FF63BE7B"/>
      </colorScale>
    </cfRule>
  </conditionalFormatting>
  <conditionalFormatting sqref="F10:F13">
    <cfRule type="colorScale" priority="9882">
      <colorScale>
        <cfvo type="min"/>
        <cfvo type="percentile" val="50"/>
        <cfvo type="max"/>
        <color rgb="FFF8696B"/>
        <color rgb="FFFFEB84"/>
        <color rgb="FF63BE7B"/>
      </colorScale>
    </cfRule>
  </conditionalFormatting>
  <conditionalFormatting sqref="F10:F13">
    <cfRule type="colorScale" priority="9881">
      <colorScale>
        <cfvo type="min"/>
        <cfvo type="percentile" val="50"/>
        <cfvo type="max"/>
        <color rgb="FFF8696B"/>
        <color rgb="FFFFEB84"/>
        <color rgb="FF63BE7B"/>
      </colorScale>
    </cfRule>
  </conditionalFormatting>
  <conditionalFormatting sqref="F10:F13">
    <cfRule type="colorScale" priority="9880">
      <colorScale>
        <cfvo type="min"/>
        <cfvo type="percentile" val="50"/>
        <cfvo type="max"/>
        <color rgb="FFF8696B"/>
        <color rgb="FFFFEB84"/>
        <color rgb="FF63BE7B"/>
      </colorScale>
    </cfRule>
  </conditionalFormatting>
  <conditionalFormatting sqref="F10:F13">
    <cfRule type="colorScale" priority="9879">
      <colorScale>
        <cfvo type="min"/>
        <cfvo type="percentile" val="50"/>
        <cfvo type="max"/>
        <color rgb="FFF8696B"/>
        <color rgb="FFFFEB84"/>
        <color rgb="FF63BE7B"/>
      </colorScale>
    </cfRule>
  </conditionalFormatting>
  <conditionalFormatting sqref="F10:F13">
    <cfRule type="colorScale" priority="9878">
      <colorScale>
        <cfvo type="min"/>
        <cfvo type="percentile" val="50"/>
        <cfvo type="max"/>
        <color rgb="FFF8696B"/>
        <color rgb="FFFFEB84"/>
        <color rgb="FF63BE7B"/>
      </colorScale>
    </cfRule>
  </conditionalFormatting>
  <conditionalFormatting sqref="F10:F13">
    <cfRule type="colorScale" priority="9877">
      <colorScale>
        <cfvo type="min"/>
        <cfvo type="percentile" val="50"/>
        <cfvo type="max"/>
        <color rgb="FFF8696B"/>
        <color rgb="FFFFEB84"/>
        <color rgb="FF63BE7B"/>
      </colorScale>
    </cfRule>
  </conditionalFormatting>
  <conditionalFormatting sqref="F10:F13">
    <cfRule type="colorScale" priority="9876">
      <colorScale>
        <cfvo type="min"/>
        <cfvo type="percentile" val="50"/>
        <cfvo type="max"/>
        <color rgb="FFF8696B"/>
        <color rgb="FFFFEB84"/>
        <color rgb="FF63BE7B"/>
      </colorScale>
    </cfRule>
  </conditionalFormatting>
  <conditionalFormatting sqref="F10:F13">
    <cfRule type="colorScale" priority="9875">
      <colorScale>
        <cfvo type="min"/>
        <cfvo type="percentile" val="50"/>
        <cfvo type="max"/>
        <color rgb="FFF8696B"/>
        <color rgb="FFFFEB84"/>
        <color rgb="FF63BE7B"/>
      </colorScale>
    </cfRule>
  </conditionalFormatting>
  <conditionalFormatting sqref="F10:F13">
    <cfRule type="colorScale" priority="9874">
      <colorScale>
        <cfvo type="min"/>
        <cfvo type="percentile" val="50"/>
        <cfvo type="max"/>
        <color rgb="FFF8696B"/>
        <color rgb="FFFFEB84"/>
        <color rgb="FF63BE7B"/>
      </colorScale>
    </cfRule>
  </conditionalFormatting>
  <conditionalFormatting sqref="F10:F13">
    <cfRule type="colorScale" priority="9873">
      <colorScale>
        <cfvo type="min"/>
        <cfvo type="percentile" val="50"/>
        <cfvo type="max"/>
        <color rgb="FFF8696B"/>
        <color rgb="FFFFEB84"/>
        <color rgb="FF63BE7B"/>
      </colorScale>
    </cfRule>
  </conditionalFormatting>
  <conditionalFormatting sqref="F10:F13">
    <cfRule type="colorScale" priority="9872">
      <colorScale>
        <cfvo type="min"/>
        <cfvo type="percentile" val="50"/>
        <cfvo type="max"/>
        <color rgb="FFF8696B"/>
        <color rgb="FFFFEB84"/>
        <color rgb="FF63BE7B"/>
      </colorScale>
    </cfRule>
  </conditionalFormatting>
  <conditionalFormatting sqref="F10:F13">
    <cfRule type="colorScale" priority="9871">
      <colorScale>
        <cfvo type="min"/>
        <cfvo type="percentile" val="50"/>
        <cfvo type="max"/>
        <color rgb="FFF8696B"/>
        <color rgb="FFFFEB84"/>
        <color rgb="FF63BE7B"/>
      </colorScale>
    </cfRule>
  </conditionalFormatting>
  <conditionalFormatting sqref="F10:F13">
    <cfRule type="colorScale" priority="9870">
      <colorScale>
        <cfvo type="min"/>
        <cfvo type="percentile" val="50"/>
        <cfvo type="max"/>
        <color rgb="FFF8696B"/>
        <color rgb="FFFFEB84"/>
        <color rgb="FF63BE7B"/>
      </colorScale>
    </cfRule>
  </conditionalFormatting>
  <conditionalFormatting sqref="F10:F13">
    <cfRule type="colorScale" priority="9869">
      <colorScale>
        <cfvo type="min"/>
        <cfvo type="percentile" val="50"/>
        <cfvo type="max"/>
        <color rgb="FFF8696B"/>
        <color rgb="FFFFEB84"/>
        <color rgb="FF63BE7B"/>
      </colorScale>
    </cfRule>
  </conditionalFormatting>
  <conditionalFormatting sqref="F10:F13">
    <cfRule type="colorScale" priority="9868">
      <colorScale>
        <cfvo type="min"/>
        <cfvo type="percentile" val="50"/>
        <cfvo type="max"/>
        <color rgb="FFF8696B"/>
        <color rgb="FFFFEB84"/>
        <color rgb="FF63BE7B"/>
      </colorScale>
    </cfRule>
  </conditionalFormatting>
  <conditionalFormatting sqref="F10:F13">
    <cfRule type="colorScale" priority="9867">
      <colorScale>
        <cfvo type="min"/>
        <cfvo type="percentile" val="50"/>
        <cfvo type="max"/>
        <color rgb="FFF8696B"/>
        <color rgb="FFFFEB84"/>
        <color rgb="FF63BE7B"/>
      </colorScale>
    </cfRule>
  </conditionalFormatting>
  <conditionalFormatting sqref="F10:F13">
    <cfRule type="colorScale" priority="9866">
      <colorScale>
        <cfvo type="min"/>
        <cfvo type="percentile" val="50"/>
        <cfvo type="max"/>
        <color rgb="FFF8696B"/>
        <color rgb="FFFFEB84"/>
        <color rgb="FF63BE7B"/>
      </colorScale>
    </cfRule>
  </conditionalFormatting>
  <conditionalFormatting sqref="F10:F13">
    <cfRule type="colorScale" priority="9865">
      <colorScale>
        <cfvo type="min"/>
        <cfvo type="percentile" val="50"/>
        <cfvo type="max"/>
        <color rgb="FFF8696B"/>
        <color rgb="FFFFEB84"/>
        <color rgb="FF63BE7B"/>
      </colorScale>
    </cfRule>
  </conditionalFormatting>
  <conditionalFormatting sqref="F10:F13">
    <cfRule type="colorScale" priority="9864">
      <colorScale>
        <cfvo type="min"/>
        <cfvo type="percentile" val="50"/>
        <cfvo type="max"/>
        <color rgb="FFF8696B"/>
        <color rgb="FFFFEB84"/>
        <color rgb="FF63BE7B"/>
      </colorScale>
    </cfRule>
  </conditionalFormatting>
  <conditionalFormatting sqref="F14:F21">
    <cfRule type="colorScale" priority="9863">
      <colorScale>
        <cfvo type="min"/>
        <cfvo type="percentile" val="50"/>
        <cfvo type="max"/>
        <color rgb="FFF8696B"/>
        <color rgb="FFFFEB84"/>
        <color rgb="FF63BE7B"/>
      </colorScale>
    </cfRule>
  </conditionalFormatting>
  <conditionalFormatting sqref="F14:F21">
    <cfRule type="colorScale" priority="9862">
      <colorScale>
        <cfvo type="min"/>
        <cfvo type="percentile" val="50"/>
        <cfvo type="max"/>
        <color rgb="FFF8696B"/>
        <color rgb="FFFFEB84"/>
        <color rgb="FF63BE7B"/>
      </colorScale>
    </cfRule>
  </conditionalFormatting>
  <conditionalFormatting sqref="F14:F21">
    <cfRule type="colorScale" priority="9861">
      <colorScale>
        <cfvo type="min"/>
        <cfvo type="percentile" val="50"/>
        <cfvo type="max"/>
        <color rgb="FFF8696B"/>
        <color rgb="FFFFEB84"/>
        <color rgb="FF63BE7B"/>
      </colorScale>
    </cfRule>
  </conditionalFormatting>
  <conditionalFormatting sqref="F14:F21">
    <cfRule type="colorScale" priority="9860">
      <colorScale>
        <cfvo type="min"/>
        <cfvo type="percentile" val="50"/>
        <cfvo type="max"/>
        <color rgb="FFF8696B"/>
        <color rgb="FFFFEB84"/>
        <color rgb="FF63BE7B"/>
      </colorScale>
    </cfRule>
  </conditionalFormatting>
  <conditionalFormatting sqref="F14:F21">
    <cfRule type="colorScale" priority="9859">
      <colorScale>
        <cfvo type="min"/>
        <cfvo type="percentile" val="50"/>
        <cfvo type="max"/>
        <color rgb="FFF8696B"/>
        <color rgb="FFFFEB84"/>
        <color rgb="FF63BE7B"/>
      </colorScale>
    </cfRule>
  </conditionalFormatting>
  <conditionalFormatting sqref="F14:F21">
    <cfRule type="colorScale" priority="9858">
      <colorScale>
        <cfvo type="min"/>
        <cfvo type="percentile" val="50"/>
        <cfvo type="max"/>
        <color rgb="FFF8696B"/>
        <color rgb="FFFFEB84"/>
        <color rgb="FF63BE7B"/>
      </colorScale>
    </cfRule>
  </conditionalFormatting>
  <conditionalFormatting sqref="F14:F21">
    <cfRule type="colorScale" priority="9857">
      <colorScale>
        <cfvo type="min"/>
        <cfvo type="percentile" val="50"/>
        <cfvo type="max"/>
        <color rgb="FFF8696B"/>
        <color rgb="FFFFEB84"/>
        <color rgb="FF63BE7B"/>
      </colorScale>
    </cfRule>
  </conditionalFormatting>
  <conditionalFormatting sqref="F14:F21">
    <cfRule type="colorScale" priority="9856">
      <colorScale>
        <cfvo type="min"/>
        <cfvo type="percentile" val="50"/>
        <cfvo type="max"/>
        <color rgb="FFF8696B"/>
        <color rgb="FFFFEB84"/>
        <color rgb="FF63BE7B"/>
      </colorScale>
    </cfRule>
  </conditionalFormatting>
  <conditionalFormatting sqref="F14:F21">
    <cfRule type="colorScale" priority="9855">
      <colorScale>
        <cfvo type="min"/>
        <cfvo type="percentile" val="50"/>
        <cfvo type="max"/>
        <color rgb="FFF8696B"/>
        <color rgb="FFFFEB84"/>
        <color rgb="FF63BE7B"/>
      </colorScale>
    </cfRule>
  </conditionalFormatting>
  <conditionalFormatting sqref="F14:F21">
    <cfRule type="colorScale" priority="9854">
      <colorScale>
        <cfvo type="min"/>
        <cfvo type="percentile" val="50"/>
        <cfvo type="max"/>
        <color rgb="FFF8696B"/>
        <color rgb="FFFFEB84"/>
        <color rgb="FF63BE7B"/>
      </colorScale>
    </cfRule>
  </conditionalFormatting>
  <conditionalFormatting sqref="F14:F21">
    <cfRule type="colorScale" priority="9853">
      <colorScale>
        <cfvo type="min"/>
        <cfvo type="percentile" val="50"/>
        <cfvo type="max"/>
        <color rgb="FFF8696B"/>
        <color rgb="FFFFEB84"/>
        <color rgb="FF63BE7B"/>
      </colorScale>
    </cfRule>
  </conditionalFormatting>
  <conditionalFormatting sqref="F14:F21">
    <cfRule type="colorScale" priority="9852">
      <colorScale>
        <cfvo type="min"/>
        <cfvo type="percentile" val="50"/>
        <cfvo type="max"/>
        <color rgb="FFF8696B"/>
        <color rgb="FFFFEB84"/>
        <color rgb="FF63BE7B"/>
      </colorScale>
    </cfRule>
  </conditionalFormatting>
  <conditionalFormatting sqref="F14:F21">
    <cfRule type="colorScale" priority="9851">
      <colorScale>
        <cfvo type="min"/>
        <cfvo type="percentile" val="50"/>
        <cfvo type="max"/>
        <color rgb="FFF8696B"/>
        <color rgb="FFFFEB84"/>
        <color rgb="FF63BE7B"/>
      </colorScale>
    </cfRule>
  </conditionalFormatting>
  <conditionalFormatting sqref="F14:F21">
    <cfRule type="colorScale" priority="9850">
      <colorScale>
        <cfvo type="min"/>
        <cfvo type="percentile" val="50"/>
        <cfvo type="max"/>
        <color rgb="FFF8696B"/>
        <color rgb="FFFFEB84"/>
        <color rgb="FF63BE7B"/>
      </colorScale>
    </cfRule>
  </conditionalFormatting>
  <conditionalFormatting sqref="F14:F21">
    <cfRule type="colorScale" priority="9849">
      <colorScale>
        <cfvo type="min"/>
        <cfvo type="percentile" val="50"/>
        <cfvo type="max"/>
        <color rgb="FFF8696B"/>
        <color rgb="FFFFEB84"/>
        <color rgb="FF63BE7B"/>
      </colorScale>
    </cfRule>
  </conditionalFormatting>
  <conditionalFormatting sqref="F14:F21">
    <cfRule type="colorScale" priority="9848">
      <colorScale>
        <cfvo type="min"/>
        <cfvo type="percentile" val="50"/>
        <cfvo type="max"/>
        <color rgb="FFF8696B"/>
        <color rgb="FFFFEB84"/>
        <color rgb="FF63BE7B"/>
      </colorScale>
    </cfRule>
  </conditionalFormatting>
  <conditionalFormatting sqref="F14:F21">
    <cfRule type="colorScale" priority="9847">
      <colorScale>
        <cfvo type="min"/>
        <cfvo type="percentile" val="50"/>
        <cfvo type="max"/>
        <color rgb="FFF8696B"/>
        <color rgb="FFFFEB84"/>
        <color rgb="FF63BE7B"/>
      </colorScale>
    </cfRule>
  </conditionalFormatting>
  <conditionalFormatting sqref="F14:F21">
    <cfRule type="colorScale" priority="9846">
      <colorScale>
        <cfvo type="min"/>
        <cfvo type="percentile" val="50"/>
        <cfvo type="max"/>
        <color rgb="FFF8696B"/>
        <color rgb="FFFFEB84"/>
        <color rgb="FF63BE7B"/>
      </colorScale>
    </cfRule>
  </conditionalFormatting>
  <conditionalFormatting sqref="F14:F21">
    <cfRule type="colorScale" priority="9845">
      <colorScale>
        <cfvo type="min"/>
        <cfvo type="percentile" val="50"/>
        <cfvo type="max"/>
        <color rgb="FFF8696B"/>
        <color rgb="FFFFEB84"/>
        <color rgb="FF63BE7B"/>
      </colorScale>
    </cfRule>
  </conditionalFormatting>
  <conditionalFormatting sqref="F14:F21">
    <cfRule type="colorScale" priority="9844">
      <colorScale>
        <cfvo type="min"/>
        <cfvo type="percentile" val="50"/>
        <cfvo type="max"/>
        <color rgb="FFF8696B"/>
        <color rgb="FFFFEB84"/>
        <color rgb="FF63BE7B"/>
      </colorScale>
    </cfRule>
  </conditionalFormatting>
  <conditionalFormatting sqref="F14:F21">
    <cfRule type="colorScale" priority="9843">
      <colorScale>
        <cfvo type="min"/>
        <cfvo type="percentile" val="50"/>
        <cfvo type="max"/>
        <color rgb="FFF8696B"/>
        <color rgb="FFFFEB84"/>
        <color rgb="FF63BE7B"/>
      </colorScale>
    </cfRule>
  </conditionalFormatting>
  <conditionalFormatting sqref="F14:F21">
    <cfRule type="colorScale" priority="9842">
      <colorScale>
        <cfvo type="min"/>
        <cfvo type="percentile" val="50"/>
        <cfvo type="max"/>
        <color rgb="FFF8696B"/>
        <color rgb="FFFFEB84"/>
        <color rgb="FF63BE7B"/>
      </colorScale>
    </cfRule>
  </conditionalFormatting>
  <conditionalFormatting sqref="F14:F21">
    <cfRule type="colorScale" priority="9841">
      <colorScale>
        <cfvo type="min"/>
        <cfvo type="percentile" val="50"/>
        <cfvo type="max"/>
        <color rgb="FFF8696B"/>
        <color rgb="FFFFEB84"/>
        <color rgb="FF63BE7B"/>
      </colorScale>
    </cfRule>
  </conditionalFormatting>
  <conditionalFormatting sqref="F14:F21">
    <cfRule type="colorScale" priority="9840">
      <colorScale>
        <cfvo type="min"/>
        <cfvo type="percentile" val="50"/>
        <cfvo type="max"/>
        <color rgb="FFF8696B"/>
        <color rgb="FFFFEB84"/>
        <color rgb="FF63BE7B"/>
      </colorScale>
    </cfRule>
  </conditionalFormatting>
  <conditionalFormatting sqref="F14:F21">
    <cfRule type="colorScale" priority="9839">
      <colorScale>
        <cfvo type="min"/>
        <cfvo type="percentile" val="50"/>
        <cfvo type="max"/>
        <color rgb="FFF8696B"/>
        <color rgb="FFFFEB84"/>
        <color rgb="FF63BE7B"/>
      </colorScale>
    </cfRule>
  </conditionalFormatting>
  <conditionalFormatting sqref="F14:F21">
    <cfRule type="colorScale" priority="9838">
      <colorScale>
        <cfvo type="min"/>
        <cfvo type="percentile" val="50"/>
        <cfvo type="max"/>
        <color rgb="FFF8696B"/>
        <color rgb="FFFFEB84"/>
        <color rgb="FF63BE7B"/>
      </colorScale>
    </cfRule>
  </conditionalFormatting>
  <conditionalFormatting sqref="F14:F21">
    <cfRule type="colorScale" priority="9837">
      <colorScale>
        <cfvo type="min"/>
        <cfvo type="percentile" val="50"/>
        <cfvo type="max"/>
        <color rgb="FFF8696B"/>
        <color rgb="FFFFEB84"/>
        <color rgb="FF63BE7B"/>
      </colorScale>
    </cfRule>
  </conditionalFormatting>
  <conditionalFormatting sqref="F14:F21">
    <cfRule type="colorScale" priority="9836">
      <colorScale>
        <cfvo type="min"/>
        <cfvo type="percentile" val="50"/>
        <cfvo type="max"/>
        <color rgb="FFF8696B"/>
        <color rgb="FFFFEB84"/>
        <color rgb="FF63BE7B"/>
      </colorScale>
    </cfRule>
  </conditionalFormatting>
  <conditionalFormatting sqref="F14:F21">
    <cfRule type="colorScale" priority="9835">
      <colorScale>
        <cfvo type="min"/>
        <cfvo type="percentile" val="50"/>
        <cfvo type="max"/>
        <color rgb="FFF8696B"/>
        <color rgb="FFFFEB84"/>
        <color rgb="FF63BE7B"/>
      </colorScale>
    </cfRule>
  </conditionalFormatting>
  <conditionalFormatting sqref="F14:F21">
    <cfRule type="colorScale" priority="9834">
      <colorScale>
        <cfvo type="min"/>
        <cfvo type="percentile" val="50"/>
        <cfvo type="max"/>
        <color rgb="FFF8696B"/>
        <color rgb="FFFFEB84"/>
        <color rgb="FF63BE7B"/>
      </colorScale>
    </cfRule>
  </conditionalFormatting>
  <conditionalFormatting sqref="F14:F21">
    <cfRule type="colorScale" priority="9833">
      <colorScale>
        <cfvo type="min"/>
        <cfvo type="percentile" val="50"/>
        <cfvo type="max"/>
        <color rgb="FFF8696B"/>
        <color rgb="FFFFEB84"/>
        <color rgb="FF63BE7B"/>
      </colorScale>
    </cfRule>
  </conditionalFormatting>
  <conditionalFormatting sqref="F14:F21">
    <cfRule type="colorScale" priority="9832">
      <colorScale>
        <cfvo type="min"/>
        <cfvo type="percentile" val="50"/>
        <cfvo type="max"/>
        <color rgb="FFF8696B"/>
        <color rgb="FFFFEB84"/>
        <color rgb="FF63BE7B"/>
      </colorScale>
    </cfRule>
  </conditionalFormatting>
  <conditionalFormatting sqref="F14:F21">
    <cfRule type="colorScale" priority="9831">
      <colorScale>
        <cfvo type="min"/>
        <cfvo type="percentile" val="50"/>
        <cfvo type="max"/>
        <color rgb="FFF8696B"/>
        <color rgb="FFFFEB84"/>
        <color rgb="FF63BE7B"/>
      </colorScale>
    </cfRule>
  </conditionalFormatting>
  <conditionalFormatting sqref="F14:F21">
    <cfRule type="colorScale" priority="9830">
      <colorScale>
        <cfvo type="min"/>
        <cfvo type="percentile" val="50"/>
        <cfvo type="max"/>
        <color rgb="FFF8696B"/>
        <color rgb="FFFFEB84"/>
        <color rgb="FF63BE7B"/>
      </colorScale>
    </cfRule>
  </conditionalFormatting>
  <conditionalFormatting sqref="F14:F21">
    <cfRule type="colorScale" priority="9829">
      <colorScale>
        <cfvo type="min"/>
        <cfvo type="percentile" val="50"/>
        <cfvo type="max"/>
        <color rgb="FFF8696B"/>
        <color rgb="FFFFEB84"/>
        <color rgb="FF63BE7B"/>
      </colorScale>
    </cfRule>
  </conditionalFormatting>
  <conditionalFormatting sqref="F14:F21">
    <cfRule type="colorScale" priority="9828">
      <colorScale>
        <cfvo type="min"/>
        <cfvo type="percentile" val="50"/>
        <cfvo type="max"/>
        <color rgb="FFF8696B"/>
        <color rgb="FFFFEB84"/>
        <color rgb="FF63BE7B"/>
      </colorScale>
    </cfRule>
  </conditionalFormatting>
  <conditionalFormatting sqref="F14:F21">
    <cfRule type="colorScale" priority="9827">
      <colorScale>
        <cfvo type="min"/>
        <cfvo type="percentile" val="50"/>
        <cfvo type="max"/>
        <color rgb="FFF8696B"/>
        <color rgb="FFFFEB84"/>
        <color rgb="FF63BE7B"/>
      </colorScale>
    </cfRule>
  </conditionalFormatting>
  <conditionalFormatting sqref="F14:F21">
    <cfRule type="colorScale" priority="9826">
      <colorScale>
        <cfvo type="min"/>
        <cfvo type="percentile" val="50"/>
        <cfvo type="max"/>
        <color rgb="FFF8696B"/>
        <color rgb="FFFFEB84"/>
        <color rgb="FF63BE7B"/>
      </colorScale>
    </cfRule>
  </conditionalFormatting>
  <conditionalFormatting sqref="F14:F21">
    <cfRule type="colorScale" priority="9825">
      <colorScale>
        <cfvo type="min"/>
        <cfvo type="percentile" val="50"/>
        <cfvo type="max"/>
        <color rgb="FFF8696B"/>
        <color rgb="FFFFEB84"/>
        <color rgb="FF63BE7B"/>
      </colorScale>
    </cfRule>
  </conditionalFormatting>
  <conditionalFormatting sqref="F14:F21">
    <cfRule type="colorScale" priority="9824">
      <colorScale>
        <cfvo type="min"/>
        <cfvo type="percentile" val="50"/>
        <cfvo type="max"/>
        <color rgb="FFF8696B"/>
        <color rgb="FFFFEB84"/>
        <color rgb="FF63BE7B"/>
      </colorScale>
    </cfRule>
  </conditionalFormatting>
  <conditionalFormatting sqref="F14:F21">
    <cfRule type="colorScale" priority="9823">
      <colorScale>
        <cfvo type="min"/>
        <cfvo type="percentile" val="50"/>
        <cfvo type="max"/>
        <color rgb="FFF8696B"/>
        <color rgb="FFFFEB84"/>
        <color rgb="FF63BE7B"/>
      </colorScale>
    </cfRule>
  </conditionalFormatting>
  <conditionalFormatting sqref="F14:F21">
    <cfRule type="colorScale" priority="9822">
      <colorScale>
        <cfvo type="min"/>
        <cfvo type="percentile" val="50"/>
        <cfvo type="max"/>
        <color rgb="FFF8696B"/>
        <color rgb="FFFFEB84"/>
        <color rgb="FF63BE7B"/>
      </colorScale>
    </cfRule>
  </conditionalFormatting>
  <conditionalFormatting sqref="F14:F21">
    <cfRule type="colorScale" priority="9821">
      <colorScale>
        <cfvo type="min"/>
        <cfvo type="percentile" val="50"/>
        <cfvo type="max"/>
        <color rgb="FFF8696B"/>
        <color rgb="FFFFEB84"/>
        <color rgb="FF63BE7B"/>
      </colorScale>
    </cfRule>
  </conditionalFormatting>
  <conditionalFormatting sqref="F14:F21">
    <cfRule type="colorScale" priority="9820">
      <colorScale>
        <cfvo type="min"/>
        <cfvo type="percentile" val="50"/>
        <cfvo type="max"/>
        <color rgb="FFF8696B"/>
        <color rgb="FFFFEB84"/>
        <color rgb="FF63BE7B"/>
      </colorScale>
    </cfRule>
  </conditionalFormatting>
  <conditionalFormatting sqref="F14:F21">
    <cfRule type="colorScale" priority="9819">
      <colorScale>
        <cfvo type="min"/>
        <cfvo type="percentile" val="50"/>
        <cfvo type="max"/>
        <color rgb="FFF8696B"/>
        <color rgb="FFFFEB84"/>
        <color rgb="FF63BE7B"/>
      </colorScale>
    </cfRule>
  </conditionalFormatting>
  <conditionalFormatting sqref="F14:F21">
    <cfRule type="colorScale" priority="9818">
      <colorScale>
        <cfvo type="min"/>
        <cfvo type="percentile" val="50"/>
        <cfvo type="max"/>
        <color rgb="FFF8696B"/>
        <color rgb="FFFFEB84"/>
        <color rgb="FF63BE7B"/>
      </colorScale>
    </cfRule>
  </conditionalFormatting>
  <conditionalFormatting sqref="F14:F21">
    <cfRule type="colorScale" priority="9817">
      <colorScale>
        <cfvo type="min"/>
        <cfvo type="percentile" val="50"/>
        <cfvo type="max"/>
        <color rgb="FFF8696B"/>
        <color rgb="FFFFEB84"/>
        <color rgb="FF63BE7B"/>
      </colorScale>
    </cfRule>
  </conditionalFormatting>
  <conditionalFormatting sqref="F14:F21">
    <cfRule type="colorScale" priority="9816">
      <colorScale>
        <cfvo type="min"/>
        <cfvo type="percentile" val="50"/>
        <cfvo type="max"/>
        <color rgb="FFF8696B"/>
        <color rgb="FFFFEB84"/>
        <color rgb="FF63BE7B"/>
      </colorScale>
    </cfRule>
  </conditionalFormatting>
  <conditionalFormatting sqref="F14:F21">
    <cfRule type="colorScale" priority="9815">
      <colorScale>
        <cfvo type="min"/>
        <cfvo type="percentile" val="50"/>
        <cfvo type="max"/>
        <color rgb="FFF8696B"/>
        <color rgb="FFFFEB84"/>
        <color rgb="FF63BE7B"/>
      </colorScale>
    </cfRule>
  </conditionalFormatting>
  <conditionalFormatting sqref="F14:F21">
    <cfRule type="colorScale" priority="9814">
      <colorScale>
        <cfvo type="min"/>
        <cfvo type="percentile" val="50"/>
        <cfvo type="max"/>
        <color rgb="FFF8696B"/>
        <color rgb="FFFFEB84"/>
        <color rgb="FF63BE7B"/>
      </colorScale>
    </cfRule>
  </conditionalFormatting>
  <conditionalFormatting sqref="F14:F21">
    <cfRule type="colorScale" priority="9813">
      <colorScale>
        <cfvo type="min"/>
        <cfvo type="percentile" val="50"/>
        <cfvo type="max"/>
        <color rgb="FFF8696B"/>
        <color rgb="FFFFEB84"/>
        <color rgb="FF63BE7B"/>
      </colorScale>
    </cfRule>
  </conditionalFormatting>
  <conditionalFormatting sqref="F14:F21">
    <cfRule type="colorScale" priority="9812">
      <colorScale>
        <cfvo type="min"/>
        <cfvo type="percentile" val="50"/>
        <cfvo type="max"/>
        <color rgb="FFF8696B"/>
        <color rgb="FFFFEB84"/>
        <color rgb="FF63BE7B"/>
      </colorScale>
    </cfRule>
  </conditionalFormatting>
  <conditionalFormatting sqref="F14:F21">
    <cfRule type="colorScale" priority="9811">
      <colorScale>
        <cfvo type="min"/>
        <cfvo type="percentile" val="50"/>
        <cfvo type="max"/>
        <color rgb="FFF8696B"/>
        <color rgb="FFFFEB84"/>
        <color rgb="FF63BE7B"/>
      </colorScale>
    </cfRule>
  </conditionalFormatting>
  <conditionalFormatting sqref="F14:F21">
    <cfRule type="colorScale" priority="9810">
      <colorScale>
        <cfvo type="min"/>
        <cfvo type="percentile" val="50"/>
        <cfvo type="max"/>
        <color rgb="FFF8696B"/>
        <color rgb="FFFFEB84"/>
        <color rgb="FF63BE7B"/>
      </colorScale>
    </cfRule>
  </conditionalFormatting>
  <conditionalFormatting sqref="F14:F21">
    <cfRule type="colorScale" priority="9809">
      <colorScale>
        <cfvo type="min"/>
        <cfvo type="percentile" val="50"/>
        <cfvo type="max"/>
        <color rgb="FFF8696B"/>
        <color rgb="FFFFEB84"/>
        <color rgb="FF63BE7B"/>
      </colorScale>
    </cfRule>
  </conditionalFormatting>
  <conditionalFormatting sqref="F14:F21">
    <cfRule type="colorScale" priority="9808">
      <colorScale>
        <cfvo type="min"/>
        <cfvo type="percentile" val="50"/>
        <cfvo type="max"/>
        <color rgb="FFF8696B"/>
        <color rgb="FFFFEB84"/>
        <color rgb="FF63BE7B"/>
      </colorScale>
    </cfRule>
  </conditionalFormatting>
  <conditionalFormatting sqref="F14:F21">
    <cfRule type="colorScale" priority="9807">
      <colorScale>
        <cfvo type="min"/>
        <cfvo type="percentile" val="50"/>
        <cfvo type="max"/>
        <color rgb="FFF8696B"/>
        <color rgb="FFFFEB84"/>
        <color rgb="FF63BE7B"/>
      </colorScale>
    </cfRule>
  </conditionalFormatting>
  <conditionalFormatting sqref="F14:F21">
    <cfRule type="colorScale" priority="9806">
      <colorScale>
        <cfvo type="min"/>
        <cfvo type="percentile" val="50"/>
        <cfvo type="max"/>
        <color rgb="FFF8696B"/>
        <color rgb="FFFFEB84"/>
        <color rgb="FF63BE7B"/>
      </colorScale>
    </cfRule>
  </conditionalFormatting>
  <conditionalFormatting sqref="F14:F21">
    <cfRule type="colorScale" priority="9805">
      <colorScale>
        <cfvo type="min"/>
        <cfvo type="percentile" val="50"/>
        <cfvo type="max"/>
        <color rgb="FFF8696B"/>
        <color rgb="FFFFEB84"/>
        <color rgb="FF63BE7B"/>
      </colorScale>
    </cfRule>
  </conditionalFormatting>
  <conditionalFormatting sqref="F14:F21">
    <cfRule type="colorScale" priority="9804">
      <colorScale>
        <cfvo type="min"/>
        <cfvo type="percentile" val="50"/>
        <cfvo type="max"/>
        <color rgb="FFF8696B"/>
        <color rgb="FFFFEB84"/>
        <color rgb="FF63BE7B"/>
      </colorScale>
    </cfRule>
  </conditionalFormatting>
  <conditionalFormatting sqref="F14:F21">
    <cfRule type="colorScale" priority="9803">
      <colorScale>
        <cfvo type="min"/>
        <cfvo type="percentile" val="50"/>
        <cfvo type="max"/>
        <color rgb="FFF8696B"/>
        <color rgb="FFFFEB84"/>
        <color rgb="FF63BE7B"/>
      </colorScale>
    </cfRule>
  </conditionalFormatting>
  <conditionalFormatting sqref="F14:F21">
    <cfRule type="colorScale" priority="9802">
      <colorScale>
        <cfvo type="min"/>
        <cfvo type="percentile" val="50"/>
        <cfvo type="max"/>
        <color rgb="FFF8696B"/>
        <color rgb="FFFFEB84"/>
        <color rgb="FF63BE7B"/>
      </colorScale>
    </cfRule>
  </conditionalFormatting>
  <conditionalFormatting sqref="F14:F21">
    <cfRule type="colorScale" priority="9801">
      <colorScale>
        <cfvo type="min"/>
        <cfvo type="percentile" val="50"/>
        <cfvo type="max"/>
        <color rgb="FFF8696B"/>
        <color rgb="FFFFEB84"/>
        <color rgb="FF63BE7B"/>
      </colorScale>
    </cfRule>
  </conditionalFormatting>
  <conditionalFormatting sqref="F14:F21">
    <cfRule type="colorScale" priority="9800">
      <colorScale>
        <cfvo type="min"/>
        <cfvo type="percentile" val="50"/>
        <cfvo type="max"/>
        <color rgb="FFF8696B"/>
        <color rgb="FFFFEB84"/>
        <color rgb="FF63BE7B"/>
      </colorScale>
    </cfRule>
  </conditionalFormatting>
  <conditionalFormatting sqref="F14:F21">
    <cfRule type="colorScale" priority="9799">
      <colorScale>
        <cfvo type="min"/>
        <cfvo type="percentile" val="50"/>
        <cfvo type="max"/>
        <color rgb="FFF8696B"/>
        <color rgb="FFFFEB84"/>
        <color rgb="FF63BE7B"/>
      </colorScale>
    </cfRule>
  </conditionalFormatting>
  <conditionalFormatting sqref="F14:F21">
    <cfRule type="colorScale" priority="9798">
      <colorScale>
        <cfvo type="min"/>
        <cfvo type="percentile" val="50"/>
        <cfvo type="max"/>
        <color rgb="FFF8696B"/>
        <color rgb="FFFFEB84"/>
        <color rgb="FF63BE7B"/>
      </colorScale>
    </cfRule>
  </conditionalFormatting>
  <conditionalFormatting sqref="F14:F21">
    <cfRule type="colorScale" priority="9797">
      <colorScale>
        <cfvo type="min"/>
        <cfvo type="percentile" val="50"/>
        <cfvo type="max"/>
        <color rgb="FFF8696B"/>
        <color rgb="FFFFEB84"/>
        <color rgb="FF63BE7B"/>
      </colorScale>
    </cfRule>
  </conditionalFormatting>
  <conditionalFormatting sqref="F14:F21">
    <cfRule type="colorScale" priority="9796">
      <colorScale>
        <cfvo type="min"/>
        <cfvo type="percentile" val="50"/>
        <cfvo type="max"/>
        <color rgb="FFF8696B"/>
        <color rgb="FFFFEB84"/>
        <color rgb="FF63BE7B"/>
      </colorScale>
    </cfRule>
  </conditionalFormatting>
  <conditionalFormatting sqref="F14:F21">
    <cfRule type="colorScale" priority="9795">
      <colorScale>
        <cfvo type="min"/>
        <cfvo type="percentile" val="50"/>
        <cfvo type="max"/>
        <color rgb="FFF8696B"/>
        <color rgb="FFFFEB84"/>
        <color rgb="FF63BE7B"/>
      </colorScale>
    </cfRule>
  </conditionalFormatting>
  <conditionalFormatting sqref="F14:F21">
    <cfRule type="colorScale" priority="9794">
      <colorScale>
        <cfvo type="min"/>
        <cfvo type="percentile" val="50"/>
        <cfvo type="max"/>
        <color rgb="FFF8696B"/>
        <color rgb="FFFFEB84"/>
        <color rgb="FF63BE7B"/>
      </colorScale>
    </cfRule>
  </conditionalFormatting>
  <conditionalFormatting sqref="F14:F21">
    <cfRule type="colorScale" priority="9793">
      <colorScale>
        <cfvo type="min"/>
        <cfvo type="percentile" val="50"/>
        <cfvo type="max"/>
        <color rgb="FFF8696B"/>
        <color rgb="FFFFEB84"/>
        <color rgb="FF63BE7B"/>
      </colorScale>
    </cfRule>
  </conditionalFormatting>
  <conditionalFormatting sqref="F14:F21">
    <cfRule type="colorScale" priority="9792">
      <colorScale>
        <cfvo type="min"/>
        <cfvo type="percentile" val="50"/>
        <cfvo type="max"/>
        <color rgb="FFF8696B"/>
        <color rgb="FFFFEB84"/>
        <color rgb="FF63BE7B"/>
      </colorScale>
    </cfRule>
  </conditionalFormatting>
  <conditionalFormatting sqref="F14:F21">
    <cfRule type="colorScale" priority="9791">
      <colorScale>
        <cfvo type="min"/>
        <cfvo type="percentile" val="50"/>
        <cfvo type="max"/>
        <color rgb="FFF8696B"/>
        <color rgb="FFFFEB84"/>
        <color rgb="FF63BE7B"/>
      </colorScale>
    </cfRule>
  </conditionalFormatting>
  <conditionalFormatting sqref="F14:F21">
    <cfRule type="colorScale" priority="9790">
      <colorScale>
        <cfvo type="min"/>
        <cfvo type="percentile" val="50"/>
        <cfvo type="max"/>
        <color rgb="FFF8696B"/>
        <color rgb="FFFFEB84"/>
        <color rgb="FF63BE7B"/>
      </colorScale>
    </cfRule>
  </conditionalFormatting>
  <conditionalFormatting sqref="F14:F21">
    <cfRule type="colorScale" priority="9789">
      <colorScale>
        <cfvo type="min"/>
        <cfvo type="percentile" val="50"/>
        <cfvo type="max"/>
        <color rgb="FFF8696B"/>
        <color rgb="FFFFEB84"/>
        <color rgb="FF63BE7B"/>
      </colorScale>
    </cfRule>
  </conditionalFormatting>
  <conditionalFormatting sqref="F14:F21">
    <cfRule type="colorScale" priority="9788">
      <colorScale>
        <cfvo type="min"/>
        <cfvo type="percentile" val="50"/>
        <cfvo type="max"/>
        <color rgb="FFF8696B"/>
        <color rgb="FFFFEB84"/>
        <color rgb="FF63BE7B"/>
      </colorScale>
    </cfRule>
  </conditionalFormatting>
  <conditionalFormatting sqref="F14:F21">
    <cfRule type="colorScale" priority="9787">
      <colorScale>
        <cfvo type="min"/>
        <cfvo type="percentile" val="50"/>
        <cfvo type="max"/>
        <color rgb="FFF8696B"/>
        <color rgb="FFFFEB84"/>
        <color rgb="FF63BE7B"/>
      </colorScale>
    </cfRule>
  </conditionalFormatting>
  <conditionalFormatting sqref="F14:F21">
    <cfRule type="colorScale" priority="9786">
      <colorScale>
        <cfvo type="min"/>
        <cfvo type="percentile" val="50"/>
        <cfvo type="max"/>
        <color rgb="FFF8696B"/>
        <color rgb="FFFFEB84"/>
        <color rgb="FF63BE7B"/>
      </colorScale>
    </cfRule>
  </conditionalFormatting>
  <conditionalFormatting sqref="F14:F21">
    <cfRule type="colorScale" priority="9785">
      <colorScale>
        <cfvo type="min"/>
        <cfvo type="percentile" val="50"/>
        <cfvo type="max"/>
        <color rgb="FFF8696B"/>
        <color rgb="FFFFEB84"/>
        <color rgb="FF63BE7B"/>
      </colorScale>
    </cfRule>
  </conditionalFormatting>
  <conditionalFormatting sqref="F14:F21">
    <cfRule type="colorScale" priority="9784">
      <colorScale>
        <cfvo type="min"/>
        <cfvo type="percentile" val="50"/>
        <cfvo type="max"/>
        <color rgb="FFF8696B"/>
        <color rgb="FFFFEB84"/>
        <color rgb="FF63BE7B"/>
      </colorScale>
    </cfRule>
  </conditionalFormatting>
  <conditionalFormatting sqref="F14:F21">
    <cfRule type="colorScale" priority="9783">
      <colorScale>
        <cfvo type="min"/>
        <cfvo type="percentile" val="50"/>
        <cfvo type="max"/>
        <color rgb="FFF8696B"/>
        <color rgb="FFFFEB84"/>
        <color rgb="FF63BE7B"/>
      </colorScale>
    </cfRule>
  </conditionalFormatting>
  <conditionalFormatting sqref="F14:F21">
    <cfRule type="colorScale" priority="9782">
      <colorScale>
        <cfvo type="min"/>
        <cfvo type="percentile" val="50"/>
        <cfvo type="max"/>
        <color rgb="FFF8696B"/>
        <color rgb="FFFFEB84"/>
        <color rgb="FF63BE7B"/>
      </colorScale>
    </cfRule>
  </conditionalFormatting>
  <conditionalFormatting sqref="F14:F21">
    <cfRule type="colorScale" priority="9781">
      <colorScale>
        <cfvo type="min"/>
        <cfvo type="percentile" val="50"/>
        <cfvo type="max"/>
        <color rgb="FFF8696B"/>
        <color rgb="FFFFEB84"/>
        <color rgb="FF63BE7B"/>
      </colorScale>
    </cfRule>
  </conditionalFormatting>
  <conditionalFormatting sqref="F14:F21">
    <cfRule type="colorScale" priority="9780">
      <colorScale>
        <cfvo type="min"/>
        <cfvo type="percentile" val="50"/>
        <cfvo type="max"/>
        <color rgb="FFF8696B"/>
        <color rgb="FFFFEB84"/>
        <color rgb="FF63BE7B"/>
      </colorScale>
    </cfRule>
  </conditionalFormatting>
  <conditionalFormatting sqref="F14:F21">
    <cfRule type="colorScale" priority="9779">
      <colorScale>
        <cfvo type="min"/>
        <cfvo type="percentile" val="50"/>
        <cfvo type="max"/>
        <color rgb="FFF8696B"/>
        <color rgb="FFFFEB84"/>
        <color rgb="FF63BE7B"/>
      </colorScale>
    </cfRule>
  </conditionalFormatting>
  <conditionalFormatting sqref="F14:F21">
    <cfRule type="colorScale" priority="9778">
      <colorScale>
        <cfvo type="min"/>
        <cfvo type="percentile" val="50"/>
        <cfvo type="max"/>
        <color rgb="FFF8696B"/>
        <color rgb="FFFFEB84"/>
        <color rgb="FF63BE7B"/>
      </colorScale>
    </cfRule>
  </conditionalFormatting>
  <conditionalFormatting sqref="F14:F21">
    <cfRule type="colorScale" priority="9777">
      <colorScale>
        <cfvo type="min"/>
        <cfvo type="percentile" val="50"/>
        <cfvo type="max"/>
        <color rgb="FFF8696B"/>
        <color rgb="FFFFEB84"/>
        <color rgb="FF63BE7B"/>
      </colorScale>
    </cfRule>
  </conditionalFormatting>
  <conditionalFormatting sqref="F14:F21">
    <cfRule type="colorScale" priority="9776">
      <colorScale>
        <cfvo type="min"/>
        <cfvo type="percentile" val="50"/>
        <cfvo type="max"/>
        <color rgb="FFF8696B"/>
        <color rgb="FFFFEB84"/>
        <color rgb="FF63BE7B"/>
      </colorScale>
    </cfRule>
  </conditionalFormatting>
  <conditionalFormatting sqref="F14:F21">
    <cfRule type="colorScale" priority="9775">
      <colorScale>
        <cfvo type="min"/>
        <cfvo type="percentile" val="50"/>
        <cfvo type="max"/>
        <color rgb="FFF8696B"/>
        <color rgb="FFFFEB84"/>
        <color rgb="FF63BE7B"/>
      </colorScale>
    </cfRule>
  </conditionalFormatting>
  <conditionalFormatting sqref="F14:F21">
    <cfRule type="colorScale" priority="9774">
      <colorScale>
        <cfvo type="min"/>
        <cfvo type="percentile" val="50"/>
        <cfvo type="max"/>
        <color rgb="FFF8696B"/>
        <color rgb="FFFFEB84"/>
        <color rgb="FF63BE7B"/>
      </colorScale>
    </cfRule>
  </conditionalFormatting>
  <conditionalFormatting sqref="F14:F21">
    <cfRule type="colorScale" priority="9773">
      <colorScale>
        <cfvo type="min"/>
        <cfvo type="percentile" val="50"/>
        <cfvo type="max"/>
        <color rgb="FFF8696B"/>
        <color rgb="FFFFEB84"/>
        <color rgb="FF63BE7B"/>
      </colorScale>
    </cfRule>
  </conditionalFormatting>
  <conditionalFormatting sqref="F14:F21">
    <cfRule type="colorScale" priority="9772">
      <colorScale>
        <cfvo type="min"/>
        <cfvo type="percentile" val="50"/>
        <cfvo type="max"/>
        <color rgb="FFF8696B"/>
        <color rgb="FFFFEB84"/>
        <color rgb="FF63BE7B"/>
      </colorScale>
    </cfRule>
  </conditionalFormatting>
  <conditionalFormatting sqref="F14:F21">
    <cfRule type="colorScale" priority="9771">
      <colorScale>
        <cfvo type="min"/>
        <cfvo type="percentile" val="50"/>
        <cfvo type="max"/>
        <color rgb="FFF8696B"/>
        <color rgb="FFFFEB84"/>
        <color rgb="FF63BE7B"/>
      </colorScale>
    </cfRule>
  </conditionalFormatting>
  <conditionalFormatting sqref="F14:F21">
    <cfRule type="colorScale" priority="9770">
      <colorScale>
        <cfvo type="min"/>
        <cfvo type="percentile" val="50"/>
        <cfvo type="max"/>
        <color rgb="FFF8696B"/>
        <color rgb="FFFFEB84"/>
        <color rgb="FF63BE7B"/>
      </colorScale>
    </cfRule>
  </conditionalFormatting>
  <conditionalFormatting sqref="F14:F21">
    <cfRule type="colorScale" priority="9769">
      <colorScale>
        <cfvo type="min"/>
        <cfvo type="percentile" val="50"/>
        <cfvo type="max"/>
        <color rgb="FFF8696B"/>
        <color rgb="FFFFEB84"/>
        <color rgb="FF63BE7B"/>
      </colorScale>
    </cfRule>
  </conditionalFormatting>
  <conditionalFormatting sqref="F14:F21">
    <cfRule type="colorScale" priority="9768">
      <colorScale>
        <cfvo type="min"/>
        <cfvo type="percentile" val="50"/>
        <cfvo type="max"/>
        <color rgb="FFF8696B"/>
        <color rgb="FFFFEB84"/>
        <color rgb="FF63BE7B"/>
      </colorScale>
    </cfRule>
  </conditionalFormatting>
  <conditionalFormatting sqref="F14:F21">
    <cfRule type="colorScale" priority="9767">
      <colorScale>
        <cfvo type="min"/>
        <cfvo type="percentile" val="50"/>
        <cfvo type="max"/>
        <color rgb="FFF8696B"/>
        <color rgb="FFFFEB84"/>
        <color rgb="FF63BE7B"/>
      </colorScale>
    </cfRule>
  </conditionalFormatting>
  <conditionalFormatting sqref="F14:F21">
    <cfRule type="colorScale" priority="9766">
      <colorScale>
        <cfvo type="min"/>
        <cfvo type="percentile" val="50"/>
        <cfvo type="max"/>
        <color rgb="FFF8696B"/>
        <color rgb="FFFFEB84"/>
        <color rgb="FF63BE7B"/>
      </colorScale>
    </cfRule>
  </conditionalFormatting>
  <conditionalFormatting sqref="F14:F21">
    <cfRule type="colorScale" priority="9765">
      <colorScale>
        <cfvo type="min"/>
        <cfvo type="percentile" val="50"/>
        <cfvo type="max"/>
        <color rgb="FFF8696B"/>
        <color rgb="FFFFEB84"/>
        <color rgb="FF63BE7B"/>
      </colorScale>
    </cfRule>
  </conditionalFormatting>
  <conditionalFormatting sqref="F14:F21">
    <cfRule type="colorScale" priority="9764">
      <colorScale>
        <cfvo type="min"/>
        <cfvo type="percentile" val="50"/>
        <cfvo type="max"/>
        <color rgb="FFF8696B"/>
        <color rgb="FFFFEB84"/>
        <color rgb="FF63BE7B"/>
      </colorScale>
    </cfRule>
  </conditionalFormatting>
  <conditionalFormatting sqref="F14:F21">
    <cfRule type="colorScale" priority="9763">
      <colorScale>
        <cfvo type="min"/>
        <cfvo type="percentile" val="50"/>
        <cfvo type="max"/>
        <color rgb="FFF8696B"/>
        <color rgb="FFFFEB84"/>
        <color rgb="FF63BE7B"/>
      </colorScale>
    </cfRule>
  </conditionalFormatting>
  <conditionalFormatting sqref="F14:F21">
    <cfRule type="colorScale" priority="9762">
      <colorScale>
        <cfvo type="min"/>
        <cfvo type="percentile" val="50"/>
        <cfvo type="max"/>
        <color rgb="FFF8696B"/>
        <color rgb="FFFFEB84"/>
        <color rgb="FF63BE7B"/>
      </colorScale>
    </cfRule>
  </conditionalFormatting>
  <conditionalFormatting sqref="F14:F21">
    <cfRule type="colorScale" priority="9761">
      <colorScale>
        <cfvo type="min"/>
        <cfvo type="percentile" val="50"/>
        <cfvo type="max"/>
        <color rgb="FFF8696B"/>
        <color rgb="FFFFEB84"/>
        <color rgb="FF63BE7B"/>
      </colorScale>
    </cfRule>
  </conditionalFormatting>
  <conditionalFormatting sqref="F14:F21">
    <cfRule type="colorScale" priority="9760">
      <colorScale>
        <cfvo type="min"/>
        <cfvo type="percentile" val="50"/>
        <cfvo type="max"/>
        <color rgb="FFF8696B"/>
        <color rgb="FFFFEB84"/>
        <color rgb="FF63BE7B"/>
      </colorScale>
    </cfRule>
  </conditionalFormatting>
  <conditionalFormatting sqref="F14:F21">
    <cfRule type="colorScale" priority="9759">
      <colorScale>
        <cfvo type="min"/>
        <cfvo type="percentile" val="50"/>
        <cfvo type="max"/>
        <color rgb="FFF8696B"/>
        <color rgb="FFFFEB84"/>
        <color rgb="FF63BE7B"/>
      </colorScale>
    </cfRule>
  </conditionalFormatting>
  <conditionalFormatting sqref="F14:F21">
    <cfRule type="colorScale" priority="9758">
      <colorScale>
        <cfvo type="min"/>
        <cfvo type="percentile" val="50"/>
        <cfvo type="max"/>
        <color rgb="FFF8696B"/>
        <color rgb="FFFFEB84"/>
        <color rgb="FF63BE7B"/>
      </colorScale>
    </cfRule>
  </conditionalFormatting>
  <conditionalFormatting sqref="F14:F21">
    <cfRule type="colorScale" priority="9757">
      <colorScale>
        <cfvo type="min"/>
        <cfvo type="percentile" val="50"/>
        <cfvo type="max"/>
        <color rgb="FFF8696B"/>
        <color rgb="FFFFEB84"/>
        <color rgb="FF63BE7B"/>
      </colorScale>
    </cfRule>
  </conditionalFormatting>
  <conditionalFormatting sqref="F14:F21">
    <cfRule type="colorScale" priority="9756">
      <colorScale>
        <cfvo type="min"/>
        <cfvo type="percentile" val="50"/>
        <cfvo type="max"/>
        <color rgb="FFF8696B"/>
        <color rgb="FFFFEB84"/>
        <color rgb="FF63BE7B"/>
      </colorScale>
    </cfRule>
  </conditionalFormatting>
  <conditionalFormatting sqref="F14:F21">
    <cfRule type="colorScale" priority="9755">
      <colorScale>
        <cfvo type="min"/>
        <cfvo type="percentile" val="50"/>
        <cfvo type="max"/>
        <color rgb="FFF8696B"/>
        <color rgb="FFFFEB84"/>
        <color rgb="FF63BE7B"/>
      </colorScale>
    </cfRule>
  </conditionalFormatting>
  <conditionalFormatting sqref="F14:F21">
    <cfRule type="colorScale" priority="9754">
      <colorScale>
        <cfvo type="min"/>
        <cfvo type="percentile" val="50"/>
        <cfvo type="max"/>
        <color rgb="FFF8696B"/>
        <color rgb="FFFFEB84"/>
        <color rgb="FF63BE7B"/>
      </colorScale>
    </cfRule>
  </conditionalFormatting>
  <conditionalFormatting sqref="F14:F21">
    <cfRule type="colorScale" priority="9753">
      <colorScale>
        <cfvo type="min"/>
        <cfvo type="percentile" val="50"/>
        <cfvo type="max"/>
        <color rgb="FFF8696B"/>
        <color rgb="FFFFEB84"/>
        <color rgb="FF63BE7B"/>
      </colorScale>
    </cfRule>
  </conditionalFormatting>
  <conditionalFormatting sqref="F14:F21">
    <cfRule type="colorScale" priority="9752">
      <colorScale>
        <cfvo type="min"/>
        <cfvo type="percentile" val="50"/>
        <cfvo type="max"/>
        <color rgb="FFF8696B"/>
        <color rgb="FFFFEB84"/>
        <color rgb="FF63BE7B"/>
      </colorScale>
    </cfRule>
  </conditionalFormatting>
  <conditionalFormatting sqref="F14:F21">
    <cfRule type="colorScale" priority="9751">
      <colorScale>
        <cfvo type="min"/>
        <cfvo type="percentile" val="50"/>
        <cfvo type="max"/>
        <color rgb="FFF8696B"/>
        <color rgb="FFFFEB84"/>
        <color rgb="FF63BE7B"/>
      </colorScale>
    </cfRule>
  </conditionalFormatting>
  <conditionalFormatting sqref="F14:F21">
    <cfRule type="colorScale" priority="9750">
      <colorScale>
        <cfvo type="min"/>
        <cfvo type="percentile" val="50"/>
        <cfvo type="max"/>
        <color rgb="FFF8696B"/>
        <color rgb="FFFFEB84"/>
        <color rgb="FF63BE7B"/>
      </colorScale>
    </cfRule>
  </conditionalFormatting>
  <conditionalFormatting sqref="F14:F21">
    <cfRule type="colorScale" priority="9749">
      <colorScale>
        <cfvo type="min"/>
        <cfvo type="percentile" val="50"/>
        <cfvo type="max"/>
        <color rgb="FFF8696B"/>
        <color rgb="FFFFEB84"/>
        <color rgb="FF63BE7B"/>
      </colorScale>
    </cfRule>
  </conditionalFormatting>
  <conditionalFormatting sqref="F14:F21">
    <cfRule type="colorScale" priority="9748">
      <colorScale>
        <cfvo type="min"/>
        <cfvo type="percentile" val="50"/>
        <cfvo type="max"/>
        <color rgb="FFF8696B"/>
        <color rgb="FFFFEB84"/>
        <color rgb="FF63BE7B"/>
      </colorScale>
    </cfRule>
  </conditionalFormatting>
  <conditionalFormatting sqref="F14:F21">
    <cfRule type="colorScale" priority="9747">
      <colorScale>
        <cfvo type="min"/>
        <cfvo type="percentile" val="50"/>
        <cfvo type="max"/>
        <color rgb="FFF8696B"/>
        <color rgb="FFFFEB84"/>
        <color rgb="FF63BE7B"/>
      </colorScale>
    </cfRule>
  </conditionalFormatting>
  <conditionalFormatting sqref="F14:F21">
    <cfRule type="colorScale" priority="9746">
      <colorScale>
        <cfvo type="min"/>
        <cfvo type="percentile" val="50"/>
        <cfvo type="max"/>
        <color rgb="FFF8696B"/>
        <color rgb="FFFFEB84"/>
        <color rgb="FF63BE7B"/>
      </colorScale>
    </cfRule>
  </conditionalFormatting>
  <conditionalFormatting sqref="F14:F21">
    <cfRule type="colorScale" priority="9745">
      <colorScale>
        <cfvo type="min"/>
        <cfvo type="percentile" val="50"/>
        <cfvo type="max"/>
        <color rgb="FFF8696B"/>
        <color rgb="FFFFEB84"/>
        <color rgb="FF63BE7B"/>
      </colorScale>
    </cfRule>
  </conditionalFormatting>
  <conditionalFormatting sqref="F14:F21">
    <cfRule type="colorScale" priority="9744">
      <colorScale>
        <cfvo type="min"/>
        <cfvo type="percentile" val="50"/>
        <cfvo type="max"/>
        <color rgb="FFF8696B"/>
        <color rgb="FFFFEB84"/>
        <color rgb="FF63BE7B"/>
      </colorScale>
    </cfRule>
  </conditionalFormatting>
  <conditionalFormatting sqref="F14:F21">
    <cfRule type="colorScale" priority="9743">
      <colorScale>
        <cfvo type="min"/>
        <cfvo type="percentile" val="50"/>
        <cfvo type="max"/>
        <color rgb="FFF8696B"/>
        <color rgb="FFFFEB84"/>
        <color rgb="FF63BE7B"/>
      </colorScale>
    </cfRule>
  </conditionalFormatting>
  <conditionalFormatting sqref="F14:F21">
    <cfRule type="colorScale" priority="9742">
      <colorScale>
        <cfvo type="min"/>
        <cfvo type="percentile" val="50"/>
        <cfvo type="max"/>
        <color rgb="FFF8696B"/>
        <color rgb="FFFFEB84"/>
        <color rgb="FF63BE7B"/>
      </colorScale>
    </cfRule>
  </conditionalFormatting>
  <conditionalFormatting sqref="F14:F21">
    <cfRule type="colorScale" priority="9741">
      <colorScale>
        <cfvo type="min"/>
        <cfvo type="percentile" val="50"/>
        <cfvo type="max"/>
        <color rgb="FFF8696B"/>
        <color rgb="FFFFEB84"/>
        <color rgb="FF63BE7B"/>
      </colorScale>
    </cfRule>
  </conditionalFormatting>
  <conditionalFormatting sqref="F14:F21">
    <cfRule type="colorScale" priority="9740">
      <colorScale>
        <cfvo type="min"/>
        <cfvo type="percentile" val="50"/>
        <cfvo type="max"/>
        <color rgb="FFF8696B"/>
        <color rgb="FFFFEB84"/>
        <color rgb="FF63BE7B"/>
      </colorScale>
    </cfRule>
  </conditionalFormatting>
  <conditionalFormatting sqref="F14:F21">
    <cfRule type="colorScale" priority="9739">
      <colorScale>
        <cfvo type="min"/>
        <cfvo type="percentile" val="50"/>
        <cfvo type="max"/>
        <color rgb="FFF8696B"/>
        <color rgb="FFFFEB84"/>
        <color rgb="FF63BE7B"/>
      </colorScale>
    </cfRule>
  </conditionalFormatting>
  <conditionalFormatting sqref="F14:F21">
    <cfRule type="colorScale" priority="9738">
      <colorScale>
        <cfvo type="min"/>
        <cfvo type="percentile" val="50"/>
        <cfvo type="max"/>
        <color rgb="FFF8696B"/>
        <color rgb="FFFFEB84"/>
        <color rgb="FF63BE7B"/>
      </colorScale>
    </cfRule>
  </conditionalFormatting>
  <conditionalFormatting sqref="F14:F21">
    <cfRule type="colorScale" priority="9737">
      <colorScale>
        <cfvo type="min"/>
        <cfvo type="percentile" val="50"/>
        <cfvo type="max"/>
        <color rgb="FFF8696B"/>
        <color rgb="FFFFEB84"/>
        <color rgb="FF63BE7B"/>
      </colorScale>
    </cfRule>
  </conditionalFormatting>
  <conditionalFormatting sqref="F14:F21">
    <cfRule type="colorScale" priority="9736">
      <colorScale>
        <cfvo type="min"/>
        <cfvo type="percentile" val="50"/>
        <cfvo type="max"/>
        <color rgb="FFF8696B"/>
        <color rgb="FFFFEB84"/>
        <color rgb="FF63BE7B"/>
      </colorScale>
    </cfRule>
  </conditionalFormatting>
  <conditionalFormatting sqref="F14:F21">
    <cfRule type="colorScale" priority="9735">
      <colorScale>
        <cfvo type="min"/>
        <cfvo type="percentile" val="50"/>
        <cfvo type="max"/>
        <color rgb="FFF8696B"/>
        <color rgb="FFFFEB84"/>
        <color rgb="FF63BE7B"/>
      </colorScale>
    </cfRule>
  </conditionalFormatting>
  <conditionalFormatting sqref="F14:F21">
    <cfRule type="colorScale" priority="9734">
      <colorScale>
        <cfvo type="min"/>
        <cfvo type="percentile" val="50"/>
        <cfvo type="max"/>
        <color rgb="FFF8696B"/>
        <color rgb="FFFFEB84"/>
        <color rgb="FF63BE7B"/>
      </colorScale>
    </cfRule>
  </conditionalFormatting>
  <conditionalFormatting sqref="F14:F21">
    <cfRule type="colorScale" priority="9733">
      <colorScale>
        <cfvo type="min"/>
        <cfvo type="percentile" val="50"/>
        <cfvo type="max"/>
        <color rgb="FFF8696B"/>
        <color rgb="FFFFEB84"/>
        <color rgb="FF63BE7B"/>
      </colorScale>
    </cfRule>
  </conditionalFormatting>
  <conditionalFormatting sqref="F14:F21">
    <cfRule type="colorScale" priority="9732">
      <colorScale>
        <cfvo type="min"/>
        <cfvo type="percentile" val="50"/>
        <cfvo type="max"/>
        <color rgb="FFF8696B"/>
        <color rgb="FFFFEB84"/>
        <color rgb="FF63BE7B"/>
      </colorScale>
    </cfRule>
  </conditionalFormatting>
  <conditionalFormatting sqref="F14:F21">
    <cfRule type="colorScale" priority="9731">
      <colorScale>
        <cfvo type="min"/>
        <cfvo type="percentile" val="50"/>
        <cfvo type="max"/>
        <color rgb="FFF8696B"/>
        <color rgb="FFFFEB84"/>
        <color rgb="FF63BE7B"/>
      </colorScale>
    </cfRule>
  </conditionalFormatting>
  <conditionalFormatting sqref="F14:F21">
    <cfRule type="colorScale" priority="9730">
      <colorScale>
        <cfvo type="min"/>
        <cfvo type="percentile" val="50"/>
        <cfvo type="max"/>
        <color rgb="FFF8696B"/>
        <color rgb="FFFFEB84"/>
        <color rgb="FF63BE7B"/>
      </colorScale>
    </cfRule>
  </conditionalFormatting>
  <conditionalFormatting sqref="F14:F21">
    <cfRule type="colorScale" priority="9729">
      <colorScale>
        <cfvo type="min"/>
        <cfvo type="percentile" val="50"/>
        <cfvo type="max"/>
        <color rgb="FFF8696B"/>
        <color rgb="FFFFEB84"/>
        <color rgb="FF63BE7B"/>
      </colorScale>
    </cfRule>
  </conditionalFormatting>
  <conditionalFormatting sqref="F14:F21">
    <cfRule type="colorScale" priority="9728">
      <colorScale>
        <cfvo type="min"/>
        <cfvo type="percentile" val="50"/>
        <cfvo type="max"/>
        <color rgb="FFF8696B"/>
        <color rgb="FFFFEB84"/>
        <color rgb="FF63BE7B"/>
      </colorScale>
    </cfRule>
  </conditionalFormatting>
  <conditionalFormatting sqref="F14:F21">
    <cfRule type="colorScale" priority="9727">
      <colorScale>
        <cfvo type="min"/>
        <cfvo type="percentile" val="50"/>
        <cfvo type="max"/>
        <color rgb="FFF8696B"/>
        <color rgb="FFFFEB84"/>
        <color rgb="FF63BE7B"/>
      </colorScale>
    </cfRule>
  </conditionalFormatting>
  <conditionalFormatting sqref="F14:F21">
    <cfRule type="colorScale" priority="9726">
      <colorScale>
        <cfvo type="min"/>
        <cfvo type="percentile" val="50"/>
        <cfvo type="max"/>
        <color rgb="FFF8696B"/>
        <color rgb="FFFFEB84"/>
        <color rgb="FF63BE7B"/>
      </colorScale>
    </cfRule>
  </conditionalFormatting>
  <conditionalFormatting sqref="F14:F21">
    <cfRule type="colorScale" priority="9725">
      <colorScale>
        <cfvo type="min"/>
        <cfvo type="percentile" val="50"/>
        <cfvo type="max"/>
        <color rgb="FFF8696B"/>
        <color rgb="FFFFEB84"/>
        <color rgb="FF63BE7B"/>
      </colorScale>
    </cfRule>
  </conditionalFormatting>
  <conditionalFormatting sqref="F14:F21">
    <cfRule type="colorScale" priority="9724">
      <colorScale>
        <cfvo type="min"/>
        <cfvo type="percentile" val="50"/>
        <cfvo type="max"/>
        <color rgb="FFF8696B"/>
        <color rgb="FFFFEB84"/>
        <color rgb="FF63BE7B"/>
      </colorScale>
    </cfRule>
  </conditionalFormatting>
  <conditionalFormatting sqref="F14:F21">
    <cfRule type="colorScale" priority="9723">
      <colorScale>
        <cfvo type="min"/>
        <cfvo type="percentile" val="50"/>
        <cfvo type="max"/>
        <color rgb="FFF8696B"/>
        <color rgb="FFFFEB84"/>
        <color rgb="FF63BE7B"/>
      </colorScale>
    </cfRule>
  </conditionalFormatting>
  <conditionalFormatting sqref="F14:F21">
    <cfRule type="colorScale" priority="9722">
      <colorScale>
        <cfvo type="min"/>
        <cfvo type="percentile" val="50"/>
        <cfvo type="max"/>
        <color rgb="FFF8696B"/>
        <color rgb="FFFFEB84"/>
        <color rgb="FF63BE7B"/>
      </colorScale>
    </cfRule>
  </conditionalFormatting>
  <conditionalFormatting sqref="F14:F21">
    <cfRule type="colorScale" priority="9721">
      <colorScale>
        <cfvo type="min"/>
        <cfvo type="percentile" val="50"/>
        <cfvo type="max"/>
        <color rgb="FFF8696B"/>
        <color rgb="FFFFEB84"/>
        <color rgb="FF63BE7B"/>
      </colorScale>
    </cfRule>
  </conditionalFormatting>
  <conditionalFormatting sqref="F14:F21">
    <cfRule type="colorScale" priority="9720">
      <colorScale>
        <cfvo type="min"/>
        <cfvo type="percentile" val="50"/>
        <cfvo type="max"/>
        <color rgb="FFF8696B"/>
        <color rgb="FFFFEB84"/>
        <color rgb="FF63BE7B"/>
      </colorScale>
    </cfRule>
  </conditionalFormatting>
  <conditionalFormatting sqref="F14:F21">
    <cfRule type="colorScale" priority="9719">
      <colorScale>
        <cfvo type="min"/>
        <cfvo type="percentile" val="50"/>
        <cfvo type="max"/>
        <color rgb="FFF8696B"/>
        <color rgb="FFFFEB84"/>
        <color rgb="FF63BE7B"/>
      </colorScale>
    </cfRule>
  </conditionalFormatting>
  <conditionalFormatting sqref="F14:F21">
    <cfRule type="colorScale" priority="9718">
      <colorScale>
        <cfvo type="min"/>
        <cfvo type="percentile" val="50"/>
        <cfvo type="max"/>
        <color rgb="FFF8696B"/>
        <color rgb="FFFFEB84"/>
        <color rgb="FF63BE7B"/>
      </colorScale>
    </cfRule>
  </conditionalFormatting>
  <conditionalFormatting sqref="F14:F21">
    <cfRule type="colorScale" priority="9717">
      <colorScale>
        <cfvo type="min"/>
        <cfvo type="percentile" val="50"/>
        <cfvo type="max"/>
        <color rgb="FFF8696B"/>
        <color rgb="FFFFEB84"/>
        <color rgb="FF63BE7B"/>
      </colorScale>
    </cfRule>
  </conditionalFormatting>
  <conditionalFormatting sqref="F14:F21">
    <cfRule type="colorScale" priority="9716">
      <colorScale>
        <cfvo type="min"/>
        <cfvo type="percentile" val="50"/>
        <cfvo type="max"/>
        <color rgb="FFF8696B"/>
        <color rgb="FFFFEB84"/>
        <color rgb="FF63BE7B"/>
      </colorScale>
    </cfRule>
  </conditionalFormatting>
  <conditionalFormatting sqref="F14:F21">
    <cfRule type="colorScale" priority="9715">
      <colorScale>
        <cfvo type="min"/>
        <cfvo type="percentile" val="50"/>
        <cfvo type="max"/>
        <color rgb="FFF8696B"/>
        <color rgb="FFFFEB84"/>
        <color rgb="FF63BE7B"/>
      </colorScale>
    </cfRule>
  </conditionalFormatting>
  <conditionalFormatting sqref="F22:F25">
    <cfRule type="colorScale" priority="9714">
      <colorScale>
        <cfvo type="min"/>
        <cfvo type="percentile" val="50"/>
        <cfvo type="max"/>
        <color rgb="FFF8696B"/>
        <color rgb="FFFFEB84"/>
        <color rgb="FF63BE7B"/>
      </colorScale>
    </cfRule>
  </conditionalFormatting>
  <conditionalFormatting sqref="F22:F25">
    <cfRule type="colorScale" priority="9713">
      <colorScale>
        <cfvo type="min"/>
        <cfvo type="percentile" val="50"/>
        <cfvo type="max"/>
        <color rgb="FFF8696B"/>
        <color rgb="FFFFEB84"/>
        <color rgb="FF63BE7B"/>
      </colorScale>
    </cfRule>
  </conditionalFormatting>
  <conditionalFormatting sqref="F22:F25">
    <cfRule type="colorScale" priority="9712">
      <colorScale>
        <cfvo type="min"/>
        <cfvo type="percentile" val="50"/>
        <cfvo type="max"/>
        <color rgb="FFF8696B"/>
        <color rgb="FFFFEB84"/>
        <color rgb="FF63BE7B"/>
      </colorScale>
    </cfRule>
  </conditionalFormatting>
  <conditionalFormatting sqref="F22:F25">
    <cfRule type="colorScale" priority="9711">
      <colorScale>
        <cfvo type="min"/>
        <cfvo type="percentile" val="50"/>
        <cfvo type="max"/>
        <color rgb="FFF8696B"/>
        <color rgb="FFFFEB84"/>
        <color rgb="FF63BE7B"/>
      </colorScale>
    </cfRule>
  </conditionalFormatting>
  <conditionalFormatting sqref="F22:F25">
    <cfRule type="colorScale" priority="9710">
      <colorScale>
        <cfvo type="min"/>
        <cfvo type="percentile" val="50"/>
        <cfvo type="max"/>
        <color rgb="FFF8696B"/>
        <color rgb="FFFFEB84"/>
        <color rgb="FF63BE7B"/>
      </colorScale>
    </cfRule>
  </conditionalFormatting>
  <conditionalFormatting sqref="F22:F25">
    <cfRule type="colorScale" priority="9709">
      <colorScale>
        <cfvo type="min"/>
        <cfvo type="percentile" val="50"/>
        <cfvo type="max"/>
        <color rgb="FFF8696B"/>
        <color rgb="FFFFEB84"/>
        <color rgb="FF63BE7B"/>
      </colorScale>
    </cfRule>
  </conditionalFormatting>
  <conditionalFormatting sqref="F22:F25">
    <cfRule type="colorScale" priority="9708">
      <colorScale>
        <cfvo type="min"/>
        <cfvo type="percentile" val="50"/>
        <cfvo type="max"/>
        <color rgb="FFF8696B"/>
        <color rgb="FFFFEB84"/>
        <color rgb="FF63BE7B"/>
      </colorScale>
    </cfRule>
  </conditionalFormatting>
  <conditionalFormatting sqref="F22:F25">
    <cfRule type="colorScale" priority="9707">
      <colorScale>
        <cfvo type="min"/>
        <cfvo type="percentile" val="50"/>
        <cfvo type="max"/>
        <color rgb="FFF8696B"/>
        <color rgb="FFFFEB84"/>
        <color rgb="FF63BE7B"/>
      </colorScale>
    </cfRule>
  </conditionalFormatting>
  <conditionalFormatting sqref="F22:F25">
    <cfRule type="colorScale" priority="9706">
      <colorScale>
        <cfvo type="min"/>
        <cfvo type="percentile" val="50"/>
        <cfvo type="max"/>
        <color rgb="FFF8696B"/>
        <color rgb="FFFFEB84"/>
        <color rgb="FF63BE7B"/>
      </colorScale>
    </cfRule>
  </conditionalFormatting>
  <conditionalFormatting sqref="F22:F25">
    <cfRule type="colorScale" priority="9705">
      <colorScale>
        <cfvo type="min"/>
        <cfvo type="percentile" val="50"/>
        <cfvo type="max"/>
        <color rgb="FFF8696B"/>
        <color rgb="FFFFEB84"/>
        <color rgb="FF63BE7B"/>
      </colorScale>
    </cfRule>
  </conditionalFormatting>
  <conditionalFormatting sqref="F22:F25">
    <cfRule type="colorScale" priority="9704">
      <colorScale>
        <cfvo type="min"/>
        <cfvo type="percentile" val="50"/>
        <cfvo type="max"/>
        <color rgb="FFF8696B"/>
        <color rgb="FFFFEB84"/>
        <color rgb="FF63BE7B"/>
      </colorScale>
    </cfRule>
  </conditionalFormatting>
  <conditionalFormatting sqref="F22:F25">
    <cfRule type="colorScale" priority="9703">
      <colorScale>
        <cfvo type="min"/>
        <cfvo type="percentile" val="50"/>
        <cfvo type="max"/>
        <color rgb="FFF8696B"/>
        <color rgb="FFFFEB84"/>
        <color rgb="FF63BE7B"/>
      </colorScale>
    </cfRule>
  </conditionalFormatting>
  <conditionalFormatting sqref="F22:F25">
    <cfRule type="colorScale" priority="9702">
      <colorScale>
        <cfvo type="min"/>
        <cfvo type="percentile" val="50"/>
        <cfvo type="max"/>
        <color rgb="FFF8696B"/>
        <color rgb="FFFFEB84"/>
        <color rgb="FF63BE7B"/>
      </colorScale>
    </cfRule>
  </conditionalFormatting>
  <conditionalFormatting sqref="F22:F25">
    <cfRule type="colorScale" priority="9701">
      <colorScale>
        <cfvo type="min"/>
        <cfvo type="percentile" val="50"/>
        <cfvo type="max"/>
        <color rgb="FFF8696B"/>
        <color rgb="FFFFEB84"/>
        <color rgb="FF63BE7B"/>
      </colorScale>
    </cfRule>
  </conditionalFormatting>
  <conditionalFormatting sqref="F22:F25">
    <cfRule type="colorScale" priority="9700">
      <colorScale>
        <cfvo type="min"/>
        <cfvo type="percentile" val="50"/>
        <cfvo type="max"/>
        <color rgb="FFF8696B"/>
        <color rgb="FFFFEB84"/>
        <color rgb="FF63BE7B"/>
      </colorScale>
    </cfRule>
  </conditionalFormatting>
  <conditionalFormatting sqref="F22:F25">
    <cfRule type="colorScale" priority="9699">
      <colorScale>
        <cfvo type="min"/>
        <cfvo type="percentile" val="50"/>
        <cfvo type="max"/>
        <color rgb="FFF8696B"/>
        <color rgb="FFFFEB84"/>
        <color rgb="FF63BE7B"/>
      </colorScale>
    </cfRule>
  </conditionalFormatting>
  <conditionalFormatting sqref="F22:F25">
    <cfRule type="colorScale" priority="9698">
      <colorScale>
        <cfvo type="min"/>
        <cfvo type="percentile" val="50"/>
        <cfvo type="max"/>
        <color rgb="FFF8696B"/>
        <color rgb="FFFFEB84"/>
        <color rgb="FF63BE7B"/>
      </colorScale>
    </cfRule>
  </conditionalFormatting>
  <conditionalFormatting sqref="F22:F25">
    <cfRule type="colorScale" priority="9697">
      <colorScale>
        <cfvo type="min"/>
        <cfvo type="percentile" val="50"/>
        <cfvo type="max"/>
        <color rgb="FFF8696B"/>
        <color rgb="FFFFEB84"/>
        <color rgb="FF63BE7B"/>
      </colorScale>
    </cfRule>
  </conditionalFormatting>
  <conditionalFormatting sqref="F22:F25">
    <cfRule type="colorScale" priority="9696">
      <colorScale>
        <cfvo type="min"/>
        <cfvo type="percentile" val="50"/>
        <cfvo type="max"/>
        <color rgb="FFF8696B"/>
        <color rgb="FFFFEB84"/>
        <color rgb="FF63BE7B"/>
      </colorScale>
    </cfRule>
  </conditionalFormatting>
  <conditionalFormatting sqref="F22:F25">
    <cfRule type="colorScale" priority="9695">
      <colorScale>
        <cfvo type="min"/>
        <cfvo type="percentile" val="50"/>
        <cfvo type="max"/>
        <color rgb="FFF8696B"/>
        <color rgb="FFFFEB84"/>
        <color rgb="FF63BE7B"/>
      </colorScale>
    </cfRule>
  </conditionalFormatting>
  <conditionalFormatting sqref="F22:F25">
    <cfRule type="colorScale" priority="9694">
      <colorScale>
        <cfvo type="min"/>
        <cfvo type="percentile" val="50"/>
        <cfvo type="max"/>
        <color rgb="FFF8696B"/>
        <color rgb="FFFFEB84"/>
        <color rgb="FF63BE7B"/>
      </colorScale>
    </cfRule>
  </conditionalFormatting>
  <conditionalFormatting sqref="F22:F25">
    <cfRule type="colorScale" priority="9693">
      <colorScale>
        <cfvo type="min"/>
        <cfvo type="percentile" val="50"/>
        <cfvo type="max"/>
        <color rgb="FFF8696B"/>
        <color rgb="FFFFEB84"/>
        <color rgb="FF63BE7B"/>
      </colorScale>
    </cfRule>
  </conditionalFormatting>
  <conditionalFormatting sqref="F22:F25">
    <cfRule type="colorScale" priority="9692">
      <colorScale>
        <cfvo type="min"/>
        <cfvo type="percentile" val="50"/>
        <cfvo type="max"/>
        <color rgb="FFF8696B"/>
        <color rgb="FFFFEB84"/>
        <color rgb="FF63BE7B"/>
      </colorScale>
    </cfRule>
  </conditionalFormatting>
  <conditionalFormatting sqref="F22:F25">
    <cfRule type="colorScale" priority="9691">
      <colorScale>
        <cfvo type="min"/>
        <cfvo type="percentile" val="50"/>
        <cfvo type="max"/>
        <color rgb="FFF8696B"/>
        <color rgb="FFFFEB84"/>
        <color rgb="FF63BE7B"/>
      </colorScale>
    </cfRule>
  </conditionalFormatting>
  <conditionalFormatting sqref="F22:F25">
    <cfRule type="colorScale" priority="9690">
      <colorScale>
        <cfvo type="min"/>
        <cfvo type="percentile" val="50"/>
        <cfvo type="max"/>
        <color rgb="FFF8696B"/>
        <color rgb="FFFFEB84"/>
        <color rgb="FF63BE7B"/>
      </colorScale>
    </cfRule>
  </conditionalFormatting>
  <conditionalFormatting sqref="F22:F25">
    <cfRule type="colorScale" priority="9689">
      <colorScale>
        <cfvo type="min"/>
        <cfvo type="percentile" val="50"/>
        <cfvo type="max"/>
        <color rgb="FFF8696B"/>
        <color rgb="FFFFEB84"/>
        <color rgb="FF63BE7B"/>
      </colorScale>
    </cfRule>
  </conditionalFormatting>
  <conditionalFormatting sqref="F22:F25">
    <cfRule type="colorScale" priority="9688">
      <colorScale>
        <cfvo type="min"/>
        <cfvo type="percentile" val="50"/>
        <cfvo type="max"/>
        <color rgb="FFF8696B"/>
        <color rgb="FFFFEB84"/>
        <color rgb="FF63BE7B"/>
      </colorScale>
    </cfRule>
  </conditionalFormatting>
  <conditionalFormatting sqref="F22:F25">
    <cfRule type="colorScale" priority="9687">
      <colorScale>
        <cfvo type="min"/>
        <cfvo type="percentile" val="50"/>
        <cfvo type="max"/>
        <color rgb="FFF8696B"/>
        <color rgb="FFFFEB84"/>
        <color rgb="FF63BE7B"/>
      </colorScale>
    </cfRule>
  </conditionalFormatting>
  <conditionalFormatting sqref="F22:F25">
    <cfRule type="colorScale" priority="9686">
      <colorScale>
        <cfvo type="min"/>
        <cfvo type="percentile" val="50"/>
        <cfvo type="max"/>
        <color rgb="FFF8696B"/>
        <color rgb="FFFFEB84"/>
        <color rgb="FF63BE7B"/>
      </colorScale>
    </cfRule>
  </conditionalFormatting>
  <conditionalFormatting sqref="F22:F25">
    <cfRule type="colorScale" priority="9685">
      <colorScale>
        <cfvo type="min"/>
        <cfvo type="percentile" val="50"/>
        <cfvo type="max"/>
        <color rgb="FFF8696B"/>
        <color rgb="FFFFEB84"/>
        <color rgb="FF63BE7B"/>
      </colorScale>
    </cfRule>
  </conditionalFormatting>
  <conditionalFormatting sqref="F22:F25">
    <cfRule type="colorScale" priority="9684">
      <colorScale>
        <cfvo type="min"/>
        <cfvo type="percentile" val="50"/>
        <cfvo type="max"/>
        <color rgb="FFF8696B"/>
        <color rgb="FFFFEB84"/>
        <color rgb="FF63BE7B"/>
      </colorScale>
    </cfRule>
  </conditionalFormatting>
  <conditionalFormatting sqref="F22:F25">
    <cfRule type="colorScale" priority="9683">
      <colorScale>
        <cfvo type="min"/>
        <cfvo type="percentile" val="50"/>
        <cfvo type="max"/>
        <color rgb="FFF8696B"/>
        <color rgb="FFFFEB84"/>
        <color rgb="FF63BE7B"/>
      </colorScale>
    </cfRule>
  </conditionalFormatting>
  <conditionalFormatting sqref="F22:F25">
    <cfRule type="colorScale" priority="9682">
      <colorScale>
        <cfvo type="min"/>
        <cfvo type="percentile" val="50"/>
        <cfvo type="max"/>
        <color rgb="FFF8696B"/>
        <color rgb="FFFFEB84"/>
        <color rgb="FF63BE7B"/>
      </colorScale>
    </cfRule>
  </conditionalFormatting>
  <conditionalFormatting sqref="F22:F25">
    <cfRule type="colorScale" priority="9681">
      <colorScale>
        <cfvo type="min"/>
        <cfvo type="percentile" val="50"/>
        <cfvo type="max"/>
        <color rgb="FFF8696B"/>
        <color rgb="FFFFEB84"/>
        <color rgb="FF63BE7B"/>
      </colorScale>
    </cfRule>
  </conditionalFormatting>
  <conditionalFormatting sqref="F22:F25">
    <cfRule type="colorScale" priority="9680">
      <colorScale>
        <cfvo type="min"/>
        <cfvo type="percentile" val="50"/>
        <cfvo type="max"/>
        <color rgb="FFF8696B"/>
        <color rgb="FFFFEB84"/>
        <color rgb="FF63BE7B"/>
      </colorScale>
    </cfRule>
  </conditionalFormatting>
  <conditionalFormatting sqref="F22:F25">
    <cfRule type="colorScale" priority="9679">
      <colorScale>
        <cfvo type="min"/>
        <cfvo type="percentile" val="50"/>
        <cfvo type="max"/>
        <color rgb="FFF8696B"/>
        <color rgb="FFFFEB84"/>
        <color rgb="FF63BE7B"/>
      </colorScale>
    </cfRule>
  </conditionalFormatting>
  <conditionalFormatting sqref="F22:F25">
    <cfRule type="colorScale" priority="9678">
      <colorScale>
        <cfvo type="min"/>
        <cfvo type="percentile" val="50"/>
        <cfvo type="max"/>
        <color rgb="FFF8696B"/>
        <color rgb="FFFFEB84"/>
        <color rgb="FF63BE7B"/>
      </colorScale>
    </cfRule>
  </conditionalFormatting>
  <conditionalFormatting sqref="F22:F25">
    <cfRule type="colorScale" priority="9677">
      <colorScale>
        <cfvo type="min"/>
        <cfvo type="percentile" val="50"/>
        <cfvo type="max"/>
        <color rgb="FFF8696B"/>
        <color rgb="FFFFEB84"/>
        <color rgb="FF63BE7B"/>
      </colorScale>
    </cfRule>
  </conditionalFormatting>
  <conditionalFormatting sqref="F22:F25">
    <cfRule type="colorScale" priority="9676">
      <colorScale>
        <cfvo type="min"/>
        <cfvo type="percentile" val="50"/>
        <cfvo type="max"/>
        <color rgb="FFF8696B"/>
        <color rgb="FFFFEB84"/>
        <color rgb="FF63BE7B"/>
      </colorScale>
    </cfRule>
  </conditionalFormatting>
  <conditionalFormatting sqref="F22:F25">
    <cfRule type="colorScale" priority="9675">
      <colorScale>
        <cfvo type="min"/>
        <cfvo type="percentile" val="50"/>
        <cfvo type="max"/>
        <color rgb="FFF8696B"/>
        <color rgb="FFFFEB84"/>
        <color rgb="FF63BE7B"/>
      </colorScale>
    </cfRule>
  </conditionalFormatting>
  <conditionalFormatting sqref="F22:F25">
    <cfRule type="colorScale" priority="9674">
      <colorScale>
        <cfvo type="min"/>
        <cfvo type="percentile" val="50"/>
        <cfvo type="max"/>
        <color rgb="FFF8696B"/>
        <color rgb="FFFFEB84"/>
        <color rgb="FF63BE7B"/>
      </colorScale>
    </cfRule>
  </conditionalFormatting>
  <conditionalFormatting sqref="F22:F25">
    <cfRule type="colorScale" priority="9673">
      <colorScale>
        <cfvo type="min"/>
        <cfvo type="percentile" val="50"/>
        <cfvo type="max"/>
        <color rgb="FFF8696B"/>
        <color rgb="FFFFEB84"/>
        <color rgb="FF63BE7B"/>
      </colorScale>
    </cfRule>
  </conditionalFormatting>
  <conditionalFormatting sqref="F22:F25">
    <cfRule type="colorScale" priority="9672">
      <colorScale>
        <cfvo type="min"/>
        <cfvo type="percentile" val="50"/>
        <cfvo type="max"/>
        <color rgb="FFF8696B"/>
        <color rgb="FFFFEB84"/>
        <color rgb="FF63BE7B"/>
      </colorScale>
    </cfRule>
  </conditionalFormatting>
  <conditionalFormatting sqref="F22:F25">
    <cfRule type="colorScale" priority="9671">
      <colorScale>
        <cfvo type="min"/>
        <cfvo type="percentile" val="50"/>
        <cfvo type="max"/>
        <color rgb="FFF8696B"/>
        <color rgb="FFFFEB84"/>
        <color rgb="FF63BE7B"/>
      </colorScale>
    </cfRule>
  </conditionalFormatting>
  <conditionalFormatting sqref="F22:F25">
    <cfRule type="colorScale" priority="9670">
      <colorScale>
        <cfvo type="min"/>
        <cfvo type="percentile" val="50"/>
        <cfvo type="max"/>
        <color rgb="FFF8696B"/>
        <color rgb="FFFFEB84"/>
        <color rgb="FF63BE7B"/>
      </colorScale>
    </cfRule>
  </conditionalFormatting>
  <conditionalFormatting sqref="F22:F25">
    <cfRule type="colorScale" priority="9669">
      <colorScale>
        <cfvo type="min"/>
        <cfvo type="percentile" val="50"/>
        <cfvo type="max"/>
        <color rgb="FFF8696B"/>
        <color rgb="FFFFEB84"/>
        <color rgb="FF63BE7B"/>
      </colorScale>
    </cfRule>
  </conditionalFormatting>
  <conditionalFormatting sqref="F22:F25">
    <cfRule type="colorScale" priority="9668">
      <colorScale>
        <cfvo type="min"/>
        <cfvo type="percentile" val="50"/>
        <cfvo type="max"/>
        <color rgb="FFF8696B"/>
        <color rgb="FFFFEB84"/>
        <color rgb="FF63BE7B"/>
      </colorScale>
    </cfRule>
  </conditionalFormatting>
  <conditionalFormatting sqref="F22:F25">
    <cfRule type="colorScale" priority="9667">
      <colorScale>
        <cfvo type="min"/>
        <cfvo type="percentile" val="50"/>
        <cfvo type="max"/>
        <color rgb="FFF8696B"/>
        <color rgb="FFFFEB84"/>
        <color rgb="FF63BE7B"/>
      </colorScale>
    </cfRule>
  </conditionalFormatting>
  <conditionalFormatting sqref="F22:F25">
    <cfRule type="colorScale" priority="9666">
      <colorScale>
        <cfvo type="min"/>
        <cfvo type="percentile" val="50"/>
        <cfvo type="max"/>
        <color rgb="FFF8696B"/>
        <color rgb="FFFFEB84"/>
        <color rgb="FF63BE7B"/>
      </colorScale>
    </cfRule>
  </conditionalFormatting>
  <conditionalFormatting sqref="F22:F25">
    <cfRule type="colorScale" priority="9665">
      <colorScale>
        <cfvo type="min"/>
        <cfvo type="percentile" val="50"/>
        <cfvo type="max"/>
        <color rgb="FFF8696B"/>
        <color rgb="FFFFEB84"/>
        <color rgb="FF63BE7B"/>
      </colorScale>
    </cfRule>
  </conditionalFormatting>
  <conditionalFormatting sqref="F22:F25">
    <cfRule type="colorScale" priority="9664">
      <colorScale>
        <cfvo type="min"/>
        <cfvo type="percentile" val="50"/>
        <cfvo type="max"/>
        <color rgb="FFF8696B"/>
        <color rgb="FFFFEB84"/>
        <color rgb="FF63BE7B"/>
      </colorScale>
    </cfRule>
  </conditionalFormatting>
  <conditionalFormatting sqref="F22:F25">
    <cfRule type="colorScale" priority="9663">
      <colorScale>
        <cfvo type="min"/>
        <cfvo type="percentile" val="50"/>
        <cfvo type="max"/>
        <color rgb="FFF8696B"/>
        <color rgb="FFFFEB84"/>
        <color rgb="FF63BE7B"/>
      </colorScale>
    </cfRule>
  </conditionalFormatting>
  <conditionalFormatting sqref="F22:F25">
    <cfRule type="colorScale" priority="9662">
      <colorScale>
        <cfvo type="min"/>
        <cfvo type="percentile" val="50"/>
        <cfvo type="max"/>
        <color rgb="FFF8696B"/>
        <color rgb="FFFFEB84"/>
        <color rgb="FF63BE7B"/>
      </colorScale>
    </cfRule>
  </conditionalFormatting>
  <conditionalFormatting sqref="F22:F25">
    <cfRule type="colorScale" priority="9661">
      <colorScale>
        <cfvo type="min"/>
        <cfvo type="percentile" val="50"/>
        <cfvo type="max"/>
        <color rgb="FFF8696B"/>
        <color rgb="FFFFEB84"/>
        <color rgb="FF63BE7B"/>
      </colorScale>
    </cfRule>
  </conditionalFormatting>
  <conditionalFormatting sqref="F22:F25">
    <cfRule type="colorScale" priority="9660">
      <colorScale>
        <cfvo type="min"/>
        <cfvo type="percentile" val="50"/>
        <cfvo type="max"/>
        <color rgb="FFF8696B"/>
        <color rgb="FFFFEB84"/>
        <color rgb="FF63BE7B"/>
      </colorScale>
    </cfRule>
  </conditionalFormatting>
  <conditionalFormatting sqref="F22:F25">
    <cfRule type="colorScale" priority="9659">
      <colorScale>
        <cfvo type="min"/>
        <cfvo type="percentile" val="50"/>
        <cfvo type="max"/>
        <color rgb="FFF8696B"/>
        <color rgb="FFFFEB84"/>
        <color rgb="FF63BE7B"/>
      </colorScale>
    </cfRule>
  </conditionalFormatting>
  <conditionalFormatting sqref="F22:F25">
    <cfRule type="colorScale" priority="9658">
      <colorScale>
        <cfvo type="min"/>
        <cfvo type="percentile" val="50"/>
        <cfvo type="max"/>
        <color rgb="FFF8696B"/>
        <color rgb="FFFFEB84"/>
        <color rgb="FF63BE7B"/>
      </colorScale>
    </cfRule>
  </conditionalFormatting>
  <conditionalFormatting sqref="F22:F25">
    <cfRule type="colorScale" priority="9657">
      <colorScale>
        <cfvo type="min"/>
        <cfvo type="percentile" val="50"/>
        <cfvo type="max"/>
        <color rgb="FFF8696B"/>
        <color rgb="FFFFEB84"/>
        <color rgb="FF63BE7B"/>
      </colorScale>
    </cfRule>
  </conditionalFormatting>
  <conditionalFormatting sqref="F22:F25">
    <cfRule type="colorScale" priority="9656">
      <colorScale>
        <cfvo type="min"/>
        <cfvo type="percentile" val="50"/>
        <cfvo type="max"/>
        <color rgb="FFF8696B"/>
        <color rgb="FFFFEB84"/>
        <color rgb="FF63BE7B"/>
      </colorScale>
    </cfRule>
  </conditionalFormatting>
  <conditionalFormatting sqref="F22:F25">
    <cfRule type="colorScale" priority="9655">
      <colorScale>
        <cfvo type="min"/>
        <cfvo type="percentile" val="50"/>
        <cfvo type="max"/>
        <color rgb="FFF8696B"/>
        <color rgb="FFFFEB84"/>
        <color rgb="FF63BE7B"/>
      </colorScale>
    </cfRule>
  </conditionalFormatting>
  <conditionalFormatting sqref="F22:F25">
    <cfRule type="colorScale" priority="9654">
      <colorScale>
        <cfvo type="min"/>
        <cfvo type="percentile" val="50"/>
        <cfvo type="max"/>
        <color rgb="FFF8696B"/>
        <color rgb="FFFFEB84"/>
        <color rgb="FF63BE7B"/>
      </colorScale>
    </cfRule>
  </conditionalFormatting>
  <conditionalFormatting sqref="F22:F25">
    <cfRule type="colorScale" priority="9653">
      <colorScale>
        <cfvo type="min"/>
        <cfvo type="percentile" val="50"/>
        <cfvo type="max"/>
        <color rgb="FFF8696B"/>
        <color rgb="FFFFEB84"/>
        <color rgb="FF63BE7B"/>
      </colorScale>
    </cfRule>
  </conditionalFormatting>
  <conditionalFormatting sqref="F22:F25">
    <cfRule type="colorScale" priority="9652">
      <colorScale>
        <cfvo type="min"/>
        <cfvo type="percentile" val="50"/>
        <cfvo type="max"/>
        <color rgb="FFF8696B"/>
        <color rgb="FFFFEB84"/>
        <color rgb="FF63BE7B"/>
      </colorScale>
    </cfRule>
  </conditionalFormatting>
  <conditionalFormatting sqref="F22:F25">
    <cfRule type="colorScale" priority="9651">
      <colorScale>
        <cfvo type="min"/>
        <cfvo type="percentile" val="50"/>
        <cfvo type="max"/>
        <color rgb="FFF8696B"/>
        <color rgb="FFFFEB84"/>
        <color rgb="FF63BE7B"/>
      </colorScale>
    </cfRule>
  </conditionalFormatting>
  <conditionalFormatting sqref="F22:F25">
    <cfRule type="colorScale" priority="9650">
      <colorScale>
        <cfvo type="min"/>
        <cfvo type="percentile" val="50"/>
        <cfvo type="max"/>
        <color rgb="FFF8696B"/>
        <color rgb="FFFFEB84"/>
        <color rgb="FF63BE7B"/>
      </colorScale>
    </cfRule>
  </conditionalFormatting>
  <conditionalFormatting sqref="F22:F25">
    <cfRule type="colorScale" priority="9649">
      <colorScale>
        <cfvo type="min"/>
        <cfvo type="percentile" val="50"/>
        <cfvo type="max"/>
        <color rgb="FFF8696B"/>
        <color rgb="FFFFEB84"/>
        <color rgb="FF63BE7B"/>
      </colorScale>
    </cfRule>
  </conditionalFormatting>
  <conditionalFormatting sqref="F22:F25">
    <cfRule type="colorScale" priority="9648">
      <colorScale>
        <cfvo type="min"/>
        <cfvo type="percentile" val="50"/>
        <cfvo type="max"/>
        <color rgb="FFF8696B"/>
        <color rgb="FFFFEB84"/>
        <color rgb="FF63BE7B"/>
      </colorScale>
    </cfRule>
  </conditionalFormatting>
  <conditionalFormatting sqref="F22:F25">
    <cfRule type="colorScale" priority="9647">
      <colorScale>
        <cfvo type="min"/>
        <cfvo type="percentile" val="50"/>
        <cfvo type="max"/>
        <color rgb="FFF8696B"/>
        <color rgb="FFFFEB84"/>
        <color rgb="FF63BE7B"/>
      </colorScale>
    </cfRule>
  </conditionalFormatting>
  <conditionalFormatting sqref="F22:F25">
    <cfRule type="colorScale" priority="9646">
      <colorScale>
        <cfvo type="min"/>
        <cfvo type="percentile" val="50"/>
        <cfvo type="max"/>
        <color rgb="FFF8696B"/>
        <color rgb="FFFFEB84"/>
        <color rgb="FF63BE7B"/>
      </colorScale>
    </cfRule>
  </conditionalFormatting>
  <conditionalFormatting sqref="F22:F25">
    <cfRule type="colorScale" priority="9645">
      <colorScale>
        <cfvo type="min"/>
        <cfvo type="percentile" val="50"/>
        <cfvo type="max"/>
        <color rgb="FFF8696B"/>
        <color rgb="FFFFEB84"/>
        <color rgb="FF63BE7B"/>
      </colorScale>
    </cfRule>
  </conditionalFormatting>
  <conditionalFormatting sqref="F22:F25">
    <cfRule type="colorScale" priority="9644">
      <colorScale>
        <cfvo type="min"/>
        <cfvo type="percentile" val="50"/>
        <cfvo type="max"/>
        <color rgb="FFF8696B"/>
        <color rgb="FFFFEB84"/>
        <color rgb="FF63BE7B"/>
      </colorScale>
    </cfRule>
  </conditionalFormatting>
  <conditionalFormatting sqref="F22:F25">
    <cfRule type="colorScale" priority="9643">
      <colorScale>
        <cfvo type="min"/>
        <cfvo type="percentile" val="50"/>
        <cfvo type="max"/>
        <color rgb="FFF8696B"/>
        <color rgb="FFFFEB84"/>
        <color rgb="FF63BE7B"/>
      </colorScale>
    </cfRule>
  </conditionalFormatting>
  <conditionalFormatting sqref="F22:F25">
    <cfRule type="colorScale" priority="9642">
      <colorScale>
        <cfvo type="min"/>
        <cfvo type="percentile" val="50"/>
        <cfvo type="max"/>
        <color rgb="FFF8696B"/>
        <color rgb="FFFFEB84"/>
        <color rgb="FF63BE7B"/>
      </colorScale>
    </cfRule>
  </conditionalFormatting>
  <conditionalFormatting sqref="F22:F25">
    <cfRule type="colorScale" priority="9641">
      <colorScale>
        <cfvo type="min"/>
        <cfvo type="percentile" val="50"/>
        <cfvo type="max"/>
        <color rgb="FFF8696B"/>
        <color rgb="FFFFEB84"/>
        <color rgb="FF63BE7B"/>
      </colorScale>
    </cfRule>
  </conditionalFormatting>
  <conditionalFormatting sqref="F22:F25">
    <cfRule type="colorScale" priority="9640">
      <colorScale>
        <cfvo type="min"/>
        <cfvo type="percentile" val="50"/>
        <cfvo type="max"/>
        <color rgb="FFF8696B"/>
        <color rgb="FFFFEB84"/>
        <color rgb="FF63BE7B"/>
      </colorScale>
    </cfRule>
  </conditionalFormatting>
  <conditionalFormatting sqref="F22:F25">
    <cfRule type="colorScale" priority="9639">
      <colorScale>
        <cfvo type="min"/>
        <cfvo type="percentile" val="50"/>
        <cfvo type="max"/>
        <color rgb="FFF8696B"/>
        <color rgb="FFFFEB84"/>
        <color rgb="FF63BE7B"/>
      </colorScale>
    </cfRule>
  </conditionalFormatting>
  <conditionalFormatting sqref="F22:F25">
    <cfRule type="colorScale" priority="9638">
      <colorScale>
        <cfvo type="min"/>
        <cfvo type="percentile" val="50"/>
        <cfvo type="max"/>
        <color rgb="FFF8696B"/>
        <color rgb="FFFFEB84"/>
        <color rgb="FF63BE7B"/>
      </colorScale>
    </cfRule>
  </conditionalFormatting>
  <conditionalFormatting sqref="F22:F25">
    <cfRule type="colorScale" priority="9637">
      <colorScale>
        <cfvo type="min"/>
        <cfvo type="percentile" val="50"/>
        <cfvo type="max"/>
        <color rgb="FFF8696B"/>
        <color rgb="FFFFEB84"/>
        <color rgb="FF63BE7B"/>
      </colorScale>
    </cfRule>
  </conditionalFormatting>
  <conditionalFormatting sqref="F22:F25">
    <cfRule type="colorScale" priority="9636">
      <colorScale>
        <cfvo type="min"/>
        <cfvo type="percentile" val="50"/>
        <cfvo type="max"/>
        <color rgb="FFF8696B"/>
        <color rgb="FFFFEB84"/>
        <color rgb="FF63BE7B"/>
      </colorScale>
    </cfRule>
  </conditionalFormatting>
  <conditionalFormatting sqref="F22:F25">
    <cfRule type="colorScale" priority="9635">
      <colorScale>
        <cfvo type="min"/>
        <cfvo type="percentile" val="50"/>
        <cfvo type="max"/>
        <color rgb="FFF8696B"/>
        <color rgb="FFFFEB84"/>
        <color rgb="FF63BE7B"/>
      </colorScale>
    </cfRule>
  </conditionalFormatting>
  <conditionalFormatting sqref="F22:F25">
    <cfRule type="colorScale" priority="9634">
      <colorScale>
        <cfvo type="min"/>
        <cfvo type="percentile" val="50"/>
        <cfvo type="max"/>
        <color rgb="FFF8696B"/>
        <color rgb="FFFFEB84"/>
        <color rgb="FF63BE7B"/>
      </colorScale>
    </cfRule>
  </conditionalFormatting>
  <conditionalFormatting sqref="F22:F25">
    <cfRule type="colorScale" priority="9633">
      <colorScale>
        <cfvo type="min"/>
        <cfvo type="percentile" val="50"/>
        <cfvo type="max"/>
        <color rgb="FFF8696B"/>
        <color rgb="FFFFEB84"/>
        <color rgb="FF63BE7B"/>
      </colorScale>
    </cfRule>
  </conditionalFormatting>
  <conditionalFormatting sqref="F22:F25">
    <cfRule type="colorScale" priority="9632">
      <colorScale>
        <cfvo type="min"/>
        <cfvo type="percentile" val="50"/>
        <cfvo type="max"/>
        <color rgb="FFF8696B"/>
        <color rgb="FFFFEB84"/>
        <color rgb="FF63BE7B"/>
      </colorScale>
    </cfRule>
  </conditionalFormatting>
  <conditionalFormatting sqref="F22:F25">
    <cfRule type="colorScale" priority="9631">
      <colorScale>
        <cfvo type="min"/>
        <cfvo type="percentile" val="50"/>
        <cfvo type="max"/>
        <color rgb="FFF8696B"/>
        <color rgb="FFFFEB84"/>
        <color rgb="FF63BE7B"/>
      </colorScale>
    </cfRule>
  </conditionalFormatting>
  <conditionalFormatting sqref="F22:F25">
    <cfRule type="colorScale" priority="9630">
      <colorScale>
        <cfvo type="min"/>
        <cfvo type="percentile" val="50"/>
        <cfvo type="max"/>
        <color rgb="FFF8696B"/>
        <color rgb="FFFFEB84"/>
        <color rgb="FF63BE7B"/>
      </colorScale>
    </cfRule>
  </conditionalFormatting>
  <conditionalFormatting sqref="F22:F25">
    <cfRule type="colorScale" priority="9629">
      <colorScale>
        <cfvo type="min"/>
        <cfvo type="percentile" val="50"/>
        <cfvo type="max"/>
        <color rgb="FFF8696B"/>
        <color rgb="FFFFEB84"/>
        <color rgb="FF63BE7B"/>
      </colorScale>
    </cfRule>
  </conditionalFormatting>
  <conditionalFormatting sqref="F22:F25">
    <cfRule type="colorScale" priority="9628">
      <colorScale>
        <cfvo type="min"/>
        <cfvo type="percentile" val="50"/>
        <cfvo type="max"/>
        <color rgb="FFF8696B"/>
        <color rgb="FFFFEB84"/>
        <color rgb="FF63BE7B"/>
      </colorScale>
    </cfRule>
  </conditionalFormatting>
  <conditionalFormatting sqref="F22:F25">
    <cfRule type="colorScale" priority="9627">
      <colorScale>
        <cfvo type="min"/>
        <cfvo type="percentile" val="50"/>
        <cfvo type="max"/>
        <color rgb="FFF8696B"/>
        <color rgb="FFFFEB84"/>
        <color rgb="FF63BE7B"/>
      </colorScale>
    </cfRule>
  </conditionalFormatting>
  <conditionalFormatting sqref="F22:F25">
    <cfRule type="colorScale" priority="9626">
      <colorScale>
        <cfvo type="min"/>
        <cfvo type="percentile" val="50"/>
        <cfvo type="max"/>
        <color rgb="FFF8696B"/>
        <color rgb="FFFFEB84"/>
        <color rgb="FF63BE7B"/>
      </colorScale>
    </cfRule>
  </conditionalFormatting>
  <conditionalFormatting sqref="F22:F25">
    <cfRule type="colorScale" priority="9625">
      <colorScale>
        <cfvo type="min"/>
        <cfvo type="percentile" val="50"/>
        <cfvo type="max"/>
        <color rgb="FFF8696B"/>
        <color rgb="FFFFEB84"/>
        <color rgb="FF63BE7B"/>
      </colorScale>
    </cfRule>
  </conditionalFormatting>
  <conditionalFormatting sqref="F22:F25">
    <cfRule type="colorScale" priority="9624">
      <colorScale>
        <cfvo type="min"/>
        <cfvo type="percentile" val="50"/>
        <cfvo type="max"/>
        <color rgb="FFF8696B"/>
        <color rgb="FFFFEB84"/>
        <color rgb="FF63BE7B"/>
      </colorScale>
    </cfRule>
  </conditionalFormatting>
  <conditionalFormatting sqref="F22:F25">
    <cfRule type="colorScale" priority="9623">
      <colorScale>
        <cfvo type="min"/>
        <cfvo type="percentile" val="50"/>
        <cfvo type="max"/>
        <color rgb="FFF8696B"/>
        <color rgb="FFFFEB84"/>
        <color rgb="FF63BE7B"/>
      </colorScale>
    </cfRule>
  </conditionalFormatting>
  <conditionalFormatting sqref="F22:F25">
    <cfRule type="colorScale" priority="9622">
      <colorScale>
        <cfvo type="min"/>
        <cfvo type="percentile" val="50"/>
        <cfvo type="max"/>
        <color rgb="FFF8696B"/>
        <color rgb="FFFFEB84"/>
        <color rgb="FF63BE7B"/>
      </colorScale>
    </cfRule>
  </conditionalFormatting>
  <conditionalFormatting sqref="F22:F25">
    <cfRule type="colorScale" priority="9621">
      <colorScale>
        <cfvo type="min"/>
        <cfvo type="percentile" val="50"/>
        <cfvo type="max"/>
        <color rgb="FFF8696B"/>
        <color rgb="FFFFEB84"/>
        <color rgb="FF63BE7B"/>
      </colorScale>
    </cfRule>
  </conditionalFormatting>
  <conditionalFormatting sqref="F22:F25">
    <cfRule type="colorScale" priority="9620">
      <colorScale>
        <cfvo type="min"/>
        <cfvo type="percentile" val="50"/>
        <cfvo type="max"/>
        <color rgb="FFF8696B"/>
        <color rgb="FFFFEB84"/>
        <color rgb="FF63BE7B"/>
      </colorScale>
    </cfRule>
  </conditionalFormatting>
  <conditionalFormatting sqref="F22:F25">
    <cfRule type="colorScale" priority="9619">
      <colorScale>
        <cfvo type="min"/>
        <cfvo type="percentile" val="50"/>
        <cfvo type="max"/>
        <color rgb="FFF8696B"/>
        <color rgb="FFFFEB84"/>
        <color rgb="FF63BE7B"/>
      </colorScale>
    </cfRule>
  </conditionalFormatting>
  <conditionalFormatting sqref="F22:F25">
    <cfRule type="colorScale" priority="9618">
      <colorScale>
        <cfvo type="min"/>
        <cfvo type="percentile" val="50"/>
        <cfvo type="max"/>
        <color rgb="FFF8696B"/>
        <color rgb="FFFFEB84"/>
        <color rgb="FF63BE7B"/>
      </colorScale>
    </cfRule>
  </conditionalFormatting>
  <conditionalFormatting sqref="F22:F25">
    <cfRule type="colorScale" priority="9617">
      <colorScale>
        <cfvo type="min"/>
        <cfvo type="percentile" val="50"/>
        <cfvo type="max"/>
        <color rgb="FFF8696B"/>
        <color rgb="FFFFEB84"/>
        <color rgb="FF63BE7B"/>
      </colorScale>
    </cfRule>
  </conditionalFormatting>
  <conditionalFormatting sqref="F22:F25">
    <cfRule type="colorScale" priority="9616">
      <colorScale>
        <cfvo type="min"/>
        <cfvo type="percentile" val="50"/>
        <cfvo type="max"/>
        <color rgb="FFF8696B"/>
        <color rgb="FFFFEB84"/>
        <color rgb="FF63BE7B"/>
      </colorScale>
    </cfRule>
  </conditionalFormatting>
  <conditionalFormatting sqref="F22:F25">
    <cfRule type="colorScale" priority="9615">
      <colorScale>
        <cfvo type="min"/>
        <cfvo type="percentile" val="50"/>
        <cfvo type="max"/>
        <color rgb="FFF8696B"/>
        <color rgb="FFFFEB84"/>
        <color rgb="FF63BE7B"/>
      </colorScale>
    </cfRule>
  </conditionalFormatting>
  <conditionalFormatting sqref="F22:F25">
    <cfRule type="colorScale" priority="9614">
      <colorScale>
        <cfvo type="min"/>
        <cfvo type="percentile" val="50"/>
        <cfvo type="max"/>
        <color rgb="FFF8696B"/>
        <color rgb="FFFFEB84"/>
        <color rgb="FF63BE7B"/>
      </colorScale>
    </cfRule>
  </conditionalFormatting>
  <conditionalFormatting sqref="F22:F25">
    <cfRule type="colorScale" priority="9613">
      <colorScale>
        <cfvo type="min"/>
        <cfvo type="percentile" val="50"/>
        <cfvo type="max"/>
        <color rgb="FFF8696B"/>
        <color rgb="FFFFEB84"/>
        <color rgb="FF63BE7B"/>
      </colorScale>
    </cfRule>
  </conditionalFormatting>
  <conditionalFormatting sqref="F22:F25">
    <cfRule type="colorScale" priority="9612">
      <colorScale>
        <cfvo type="min"/>
        <cfvo type="percentile" val="50"/>
        <cfvo type="max"/>
        <color rgb="FFF8696B"/>
        <color rgb="FFFFEB84"/>
        <color rgb="FF63BE7B"/>
      </colorScale>
    </cfRule>
  </conditionalFormatting>
  <conditionalFormatting sqref="F22:F25">
    <cfRule type="colorScale" priority="9611">
      <colorScale>
        <cfvo type="min"/>
        <cfvo type="percentile" val="50"/>
        <cfvo type="max"/>
        <color rgb="FFF8696B"/>
        <color rgb="FFFFEB84"/>
        <color rgb="FF63BE7B"/>
      </colorScale>
    </cfRule>
  </conditionalFormatting>
  <conditionalFormatting sqref="F22:F25">
    <cfRule type="colorScale" priority="9610">
      <colorScale>
        <cfvo type="min"/>
        <cfvo type="percentile" val="50"/>
        <cfvo type="max"/>
        <color rgb="FFF8696B"/>
        <color rgb="FFFFEB84"/>
        <color rgb="FF63BE7B"/>
      </colorScale>
    </cfRule>
  </conditionalFormatting>
  <conditionalFormatting sqref="F22:F25">
    <cfRule type="colorScale" priority="9609">
      <colorScale>
        <cfvo type="min"/>
        <cfvo type="percentile" val="50"/>
        <cfvo type="max"/>
        <color rgb="FFF8696B"/>
        <color rgb="FFFFEB84"/>
        <color rgb="FF63BE7B"/>
      </colorScale>
    </cfRule>
  </conditionalFormatting>
  <conditionalFormatting sqref="F22:F25">
    <cfRule type="colorScale" priority="9608">
      <colorScale>
        <cfvo type="min"/>
        <cfvo type="percentile" val="50"/>
        <cfvo type="max"/>
        <color rgb="FFF8696B"/>
        <color rgb="FFFFEB84"/>
        <color rgb="FF63BE7B"/>
      </colorScale>
    </cfRule>
  </conditionalFormatting>
  <conditionalFormatting sqref="F22:F25">
    <cfRule type="colorScale" priority="9607">
      <colorScale>
        <cfvo type="min"/>
        <cfvo type="percentile" val="50"/>
        <cfvo type="max"/>
        <color rgb="FFF8696B"/>
        <color rgb="FFFFEB84"/>
        <color rgb="FF63BE7B"/>
      </colorScale>
    </cfRule>
  </conditionalFormatting>
  <conditionalFormatting sqref="F22:F25">
    <cfRule type="colorScale" priority="9606">
      <colorScale>
        <cfvo type="min"/>
        <cfvo type="percentile" val="50"/>
        <cfvo type="max"/>
        <color rgb="FFF8696B"/>
        <color rgb="FFFFEB84"/>
        <color rgb="FF63BE7B"/>
      </colorScale>
    </cfRule>
  </conditionalFormatting>
  <conditionalFormatting sqref="F22:F25">
    <cfRule type="colorScale" priority="9605">
      <colorScale>
        <cfvo type="min"/>
        <cfvo type="percentile" val="50"/>
        <cfvo type="max"/>
        <color rgb="FFF8696B"/>
        <color rgb="FFFFEB84"/>
        <color rgb="FF63BE7B"/>
      </colorScale>
    </cfRule>
  </conditionalFormatting>
  <conditionalFormatting sqref="F22:F25">
    <cfRule type="colorScale" priority="9604">
      <colorScale>
        <cfvo type="min"/>
        <cfvo type="percentile" val="50"/>
        <cfvo type="max"/>
        <color rgb="FFF8696B"/>
        <color rgb="FFFFEB84"/>
        <color rgb="FF63BE7B"/>
      </colorScale>
    </cfRule>
  </conditionalFormatting>
  <conditionalFormatting sqref="F22:F25">
    <cfRule type="colorScale" priority="9603">
      <colorScale>
        <cfvo type="min"/>
        <cfvo type="percentile" val="50"/>
        <cfvo type="max"/>
        <color rgb="FFF8696B"/>
        <color rgb="FFFFEB84"/>
        <color rgb="FF63BE7B"/>
      </colorScale>
    </cfRule>
  </conditionalFormatting>
  <conditionalFormatting sqref="F22:F25">
    <cfRule type="colorScale" priority="9602">
      <colorScale>
        <cfvo type="min"/>
        <cfvo type="percentile" val="50"/>
        <cfvo type="max"/>
        <color rgb="FFF8696B"/>
        <color rgb="FFFFEB84"/>
        <color rgb="FF63BE7B"/>
      </colorScale>
    </cfRule>
  </conditionalFormatting>
  <conditionalFormatting sqref="F22:F25">
    <cfRule type="colorScale" priority="9601">
      <colorScale>
        <cfvo type="min"/>
        <cfvo type="percentile" val="50"/>
        <cfvo type="max"/>
        <color rgb="FFF8696B"/>
        <color rgb="FFFFEB84"/>
        <color rgb="FF63BE7B"/>
      </colorScale>
    </cfRule>
  </conditionalFormatting>
  <conditionalFormatting sqref="F22:F25">
    <cfRule type="colorScale" priority="9600">
      <colorScale>
        <cfvo type="min"/>
        <cfvo type="percentile" val="50"/>
        <cfvo type="max"/>
        <color rgb="FFF8696B"/>
        <color rgb="FFFFEB84"/>
        <color rgb="FF63BE7B"/>
      </colorScale>
    </cfRule>
  </conditionalFormatting>
  <conditionalFormatting sqref="F22:F25">
    <cfRule type="colorScale" priority="9599">
      <colorScale>
        <cfvo type="min"/>
        <cfvo type="percentile" val="50"/>
        <cfvo type="max"/>
        <color rgb="FFF8696B"/>
        <color rgb="FFFFEB84"/>
        <color rgb="FF63BE7B"/>
      </colorScale>
    </cfRule>
  </conditionalFormatting>
  <conditionalFormatting sqref="F22:F25">
    <cfRule type="colorScale" priority="9598">
      <colorScale>
        <cfvo type="min"/>
        <cfvo type="percentile" val="50"/>
        <cfvo type="max"/>
        <color rgb="FFF8696B"/>
        <color rgb="FFFFEB84"/>
        <color rgb="FF63BE7B"/>
      </colorScale>
    </cfRule>
  </conditionalFormatting>
  <conditionalFormatting sqref="F22:F25">
    <cfRule type="colorScale" priority="9597">
      <colorScale>
        <cfvo type="min"/>
        <cfvo type="percentile" val="50"/>
        <cfvo type="max"/>
        <color rgb="FFF8696B"/>
        <color rgb="FFFFEB84"/>
        <color rgb="FF63BE7B"/>
      </colorScale>
    </cfRule>
  </conditionalFormatting>
  <conditionalFormatting sqref="F22:F25">
    <cfRule type="colorScale" priority="9596">
      <colorScale>
        <cfvo type="min"/>
        <cfvo type="percentile" val="50"/>
        <cfvo type="max"/>
        <color rgb="FFF8696B"/>
        <color rgb="FFFFEB84"/>
        <color rgb="FF63BE7B"/>
      </colorScale>
    </cfRule>
  </conditionalFormatting>
  <conditionalFormatting sqref="F22:F25">
    <cfRule type="colorScale" priority="9595">
      <colorScale>
        <cfvo type="min"/>
        <cfvo type="percentile" val="50"/>
        <cfvo type="max"/>
        <color rgb="FFF8696B"/>
        <color rgb="FFFFEB84"/>
        <color rgb="FF63BE7B"/>
      </colorScale>
    </cfRule>
  </conditionalFormatting>
  <conditionalFormatting sqref="F22:F25">
    <cfRule type="colorScale" priority="9594">
      <colorScale>
        <cfvo type="min"/>
        <cfvo type="percentile" val="50"/>
        <cfvo type="max"/>
        <color rgb="FFF8696B"/>
        <color rgb="FFFFEB84"/>
        <color rgb="FF63BE7B"/>
      </colorScale>
    </cfRule>
  </conditionalFormatting>
  <conditionalFormatting sqref="F22:F25">
    <cfRule type="colorScale" priority="9593">
      <colorScale>
        <cfvo type="min"/>
        <cfvo type="percentile" val="50"/>
        <cfvo type="max"/>
        <color rgb="FFF8696B"/>
        <color rgb="FFFFEB84"/>
        <color rgb="FF63BE7B"/>
      </colorScale>
    </cfRule>
  </conditionalFormatting>
  <conditionalFormatting sqref="F22:F25">
    <cfRule type="colorScale" priority="9592">
      <colorScale>
        <cfvo type="min"/>
        <cfvo type="percentile" val="50"/>
        <cfvo type="max"/>
        <color rgb="FFF8696B"/>
        <color rgb="FFFFEB84"/>
        <color rgb="FF63BE7B"/>
      </colorScale>
    </cfRule>
  </conditionalFormatting>
  <conditionalFormatting sqref="F22:F25">
    <cfRule type="colorScale" priority="9591">
      <colorScale>
        <cfvo type="min"/>
        <cfvo type="percentile" val="50"/>
        <cfvo type="max"/>
        <color rgb="FFF8696B"/>
        <color rgb="FFFFEB84"/>
        <color rgb="FF63BE7B"/>
      </colorScale>
    </cfRule>
  </conditionalFormatting>
  <conditionalFormatting sqref="F22:F25">
    <cfRule type="colorScale" priority="9590">
      <colorScale>
        <cfvo type="min"/>
        <cfvo type="percentile" val="50"/>
        <cfvo type="max"/>
        <color rgb="FFF8696B"/>
        <color rgb="FFFFEB84"/>
        <color rgb="FF63BE7B"/>
      </colorScale>
    </cfRule>
  </conditionalFormatting>
  <conditionalFormatting sqref="F22:F25">
    <cfRule type="colorScale" priority="9589">
      <colorScale>
        <cfvo type="min"/>
        <cfvo type="percentile" val="50"/>
        <cfvo type="max"/>
        <color rgb="FFF8696B"/>
        <color rgb="FFFFEB84"/>
        <color rgb="FF63BE7B"/>
      </colorScale>
    </cfRule>
  </conditionalFormatting>
  <conditionalFormatting sqref="F22:F25">
    <cfRule type="colorScale" priority="9588">
      <colorScale>
        <cfvo type="min"/>
        <cfvo type="percentile" val="50"/>
        <cfvo type="max"/>
        <color rgb="FFF8696B"/>
        <color rgb="FFFFEB84"/>
        <color rgb="FF63BE7B"/>
      </colorScale>
    </cfRule>
  </conditionalFormatting>
  <conditionalFormatting sqref="F22:F25">
    <cfRule type="colorScale" priority="9587">
      <colorScale>
        <cfvo type="min"/>
        <cfvo type="percentile" val="50"/>
        <cfvo type="max"/>
        <color rgb="FFF8696B"/>
        <color rgb="FFFFEB84"/>
        <color rgb="FF63BE7B"/>
      </colorScale>
    </cfRule>
  </conditionalFormatting>
  <conditionalFormatting sqref="F22:F25">
    <cfRule type="colorScale" priority="9586">
      <colorScale>
        <cfvo type="min"/>
        <cfvo type="percentile" val="50"/>
        <cfvo type="max"/>
        <color rgb="FFF8696B"/>
        <color rgb="FFFFEB84"/>
        <color rgb="FF63BE7B"/>
      </colorScale>
    </cfRule>
  </conditionalFormatting>
  <conditionalFormatting sqref="F22:F25">
    <cfRule type="colorScale" priority="9585">
      <colorScale>
        <cfvo type="min"/>
        <cfvo type="percentile" val="50"/>
        <cfvo type="max"/>
        <color rgb="FFF8696B"/>
        <color rgb="FFFFEB84"/>
        <color rgb="FF63BE7B"/>
      </colorScale>
    </cfRule>
  </conditionalFormatting>
  <conditionalFormatting sqref="F22:F25">
    <cfRule type="colorScale" priority="9584">
      <colorScale>
        <cfvo type="min"/>
        <cfvo type="percentile" val="50"/>
        <cfvo type="max"/>
        <color rgb="FFF8696B"/>
        <color rgb="FFFFEB84"/>
        <color rgb="FF63BE7B"/>
      </colorScale>
    </cfRule>
  </conditionalFormatting>
  <conditionalFormatting sqref="F22:F25">
    <cfRule type="colorScale" priority="9583">
      <colorScale>
        <cfvo type="min"/>
        <cfvo type="percentile" val="50"/>
        <cfvo type="max"/>
        <color rgb="FFF8696B"/>
        <color rgb="FFFFEB84"/>
        <color rgb="FF63BE7B"/>
      </colorScale>
    </cfRule>
  </conditionalFormatting>
  <conditionalFormatting sqref="F22:F25">
    <cfRule type="colorScale" priority="9582">
      <colorScale>
        <cfvo type="min"/>
        <cfvo type="percentile" val="50"/>
        <cfvo type="max"/>
        <color rgb="FFF8696B"/>
        <color rgb="FFFFEB84"/>
        <color rgb="FF63BE7B"/>
      </colorScale>
    </cfRule>
  </conditionalFormatting>
  <conditionalFormatting sqref="F22:F25">
    <cfRule type="colorScale" priority="9581">
      <colorScale>
        <cfvo type="min"/>
        <cfvo type="percentile" val="50"/>
        <cfvo type="max"/>
        <color rgb="FFF8696B"/>
        <color rgb="FFFFEB84"/>
        <color rgb="FF63BE7B"/>
      </colorScale>
    </cfRule>
  </conditionalFormatting>
  <conditionalFormatting sqref="F22:F25">
    <cfRule type="colorScale" priority="9580">
      <colorScale>
        <cfvo type="min"/>
        <cfvo type="percentile" val="50"/>
        <cfvo type="max"/>
        <color rgb="FFF8696B"/>
        <color rgb="FFFFEB84"/>
        <color rgb="FF63BE7B"/>
      </colorScale>
    </cfRule>
  </conditionalFormatting>
  <conditionalFormatting sqref="F22:F25">
    <cfRule type="colorScale" priority="9579">
      <colorScale>
        <cfvo type="min"/>
        <cfvo type="percentile" val="50"/>
        <cfvo type="max"/>
        <color rgb="FFF8696B"/>
        <color rgb="FFFFEB84"/>
        <color rgb="FF63BE7B"/>
      </colorScale>
    </cfRule>
  </conditionalFormatting>
  <conditionalFormatting sqref="F22:F25">
    <cfRule type="colorScale" priority="9578">
      <colorScale>
        <cfvo type="min"/>
        <cfvo type="percentile" val="50"/>
        <cfvo type="max"/>
        <color rgb="FFF8696B"/>
        <color rgb="FFFFEB84"/>
        <color rgb="FF63BE7B"/>
      </colorScale>
    </cfRule>
  </conditionalFormatting>
  <conditionalFormatting sqref="F22:F25">
    <cfRule type="colorScale" priority="9577">
      <colorScale>
        <cfvo type="min"/>
        <cfvo type="percentile" val="50"/>
        <cfvo type="max"/>
        <color rgb="FFF8696B"/>
        <color rgb="FFFFEB84"/>
        <color rgb="FF63BE7B"/>
      </colorScale>
    </cfRule>
  </conditionalFormatting>
  <conditionalFormatting sqref="F22:F25">
    <cfRule type="colorScale" priority="9576">
      <colorScale>
        <cfvo type="min"/>
        <cfvo type="percentile" val="50"/>
        <cfvo type="max"/>
        <color rgb="FFF8696B"/>
        <color rgb="FFFFEB84"/>
        <color rgb="FF63BE7B"/>
      </colorScale>
    </cfRule>
  </conditionalFormatting>
  <conditionalFormatting sqref="F22:F25">
    <cfRule type="colorScale" priority="9575">
      <colorScale>
        <cfvo type="min"/>
        <cfvo type="percentile" val="50"/>
        <cfvo type="max"/>
        <color rgb="FFF8696B"/>
        <color rgb="FFFFEB84"/>
        <color rgb="FF63BE7B"/>
      </colorScale>
    </cfRule>
  </conditionalFormatting>
  <conditionalFormatting sqref="F22:F25">
    <cfRule type="colorScale" priority="9574">
      <colorScale>
        <cfvo type="min"/>
        <cfvo type="percentile" val="50"/>
        <cfvo type="max"/>
        <color rgb="FFF8696B"/>
        <color rgb="FFFFEB84"/>
        <color rgb="FF63BE7B"/>
      </colorScale>
    </cfRule>
  </conditionalFormatting>
  <conditionalFormatting sqref="F22:F25">
    <cfRule type="colorScale" priority="9573">
      <colorScale>
        <cfvo type="min"/>
        <cfvo type="percentile" val="50"/>
        <cfvo type="max"/>
        <color rgb="FFF8696B"/>
        <color rgb="FFFFEB84"/>
        <color rgb="FF63BE7B"/>
      </colorScale>
    </cfRule>
  </conditionalFormatting>
  <conditionalFormatting sqref="F22:F25">
    <cfRule type="colorScale" priority="9572">
      <colorScale>
        <cfvo type="min"/>
        <cfvo type="percentile" val="50"/>
        <cfvo type="max"/>
        <color rgb="FFF8696B"/>
        <color rgb="FFFFEB84"/>
        <color rgb="FF63BE7B"/>
      </colorScale>
    </cfRule>
  </conditionalFormatting>
  <conditionalFormatting sqref="F22:F25">
    <cfRule type="colorScale" priority="9571">
      <colorScale>
        <cfvo type="min"/>
        <cfvo type="percentile" val="50"/>
        <cfvo type="max"/>
        <color rgb="FFF8696B"/>
        <color rgb="FFFFEB84"/>
        <color rgb="FF63BE7B"/>
      </colorScale>
    </cfRule>
  </conditionalFormatting>
  <conditionalFormatting sqref="F22:F25">
    <cfRule type="colorScale" priority="9570">
      <colorScale>
        <cfvo type="min"/>
        <cfvo type="percentile" val="50"/>
        <cfvo type="max"/>
        <color rgb="FFF8696B"/>
        <color rgb="FFFFEB84"/>
        <color rgb="FF63BE7B"/>
      </colorScale>
    </cfRule>
  </conditionalFormatting>
  <conditionalFormatting sqref="F22:F25">
    <cfRule type="colorScale" priority="9569">
      <colorScale>
        <cfvo type="min"/>
        <cfvo type="percentile" val="50"/>
        <cfvo type="max"/>
        <color rgb="FFF8696B"/>
        <color rgb="FFFFEB84"/>
        <color rgb="FF63BE7B"/>
      </colorScale>
    </cfRule>
  </conditionalFormatting>
  <conditionalFormatting sqref="F22:F25">
    <cfRule type="colorScale" priority="9568">
      <colorScale>
        <cfvo type="min"/>
        <cfvo type="percentile" val="50"/>
        <cfvo type="max"/>
        <color rgb="FFF8696B"/>
        <color rgb="FFFFEB84"/>
        <color rgb="FF63BE7B"/>
      </colorScale>
    </cfRule>
  </conditionalFormatting>
  <conditionalFormatting sqref="F22:F25">
    <cfRule type="colorScale" priority="9567">
      <colorScale>
        <cfvo type="min"/>
        <cfvo type="percentile" val="50"/>
        <cfvo type="max"/>
        <color rgb="FFF8696B"/>
        <color rgb="FFFFEB84"/>
        <color rgb="FF63BE7B"/>
      </colorScale>
    </cfRule>
  </conditionalFormatting>
  <conditionalFormatting sqref="F22:F25">
    <cfRule type="colorScale" priority="9566">
      <colorScale>
        <cfvo type="min"/>
        <cfvo type="percentile" val="50"/>
        <cfvo type="max"/>
        <color rgb="FFF8696B"/>
        <color rgb="FFFFEB84"/>
        <color rgb="FF63BE7B"/>
      </colorScale>
    </cfRule>
  </conditionalFormatting>
  <conditionalFormatting sqref="E10:E27">
    <cfRule type="colorScale" priority="9565">
      <colorScale>
        <cfvo type="min"/>
        <cfvo type="percentile" val="50"/>
        <cfvo type="max"/>
        <color rgb="FFF8696B"/>
        <color rgb="FFFFEB84"/>
        <color rgb="FF63BE7B"/>
      </colorScale>
    </cfRule>
  </conditionalFormatting>
  <conditionalFormatting sqref="E10:E27">
    <cfRule type="colorScale" priority="9564">
      <colorScale>
        <cfvo type="min"/>
        <cfvo type="percentile" val="50"/>
        <cfvo type="max"/>
        <color rgb="FFF8696B"/>
        <color rgb="FFFFEB84"/>
        <color rgb="FF63BE7B"/>
      </colorScale>
    </cfRule>
  </conditionalFormatting>
  <conditionalFormatting sqref="E10:E27">
    <cfRule type="colorScale" priority="9563">
      <colorScale>
        <cfvo type="min"/>
        <cfvo type="percentile" val="50"/>
        <cfvo type="max"/>
        <color rgb="FFF8696B"/>
        <color rgb="FFFFEB84"/>
        <color rgb="FF63BE7B"/>
      </colorScale>
    </cfRule>
  </conditionalFormatting>
  <conditionalFormatting sqref="E10:E27">
    <cfRule type="colorScale" priority="9562">
      <colorScale>
        <cfvo type="min"/>
        <cfvo type="percentile" val="50"/>
        <cfvo type="max"/>
        <color rgb="FFF8696B"/>
        <color rgb="FFFFEB84"/>
        <color rgb="FF63BE7B"/>
      </colorScale>
    </cfRule>
  </conditionalFormatting>
  <conditionalFormatting sqref="E10:E27">
    <cfRule type="colorScale" priority="9561">
      <colorScale>
        <cfvo type="min"/>
        <cfvo type="percentile" val="50"/>
        <cfvo type="max"/>
        <color rgb="FFF8696B"/>
        <color rgb="FFFFEB84"/>
        <color rgb="FF63BE7B"/>
      </colorScale>
    </cfRule>
  </conditionalFormatting>
  <conditionalFormatting sqref="E10:E27">
    <cfRule type="colorScale" priority="9560">
      <colorScale>
        <cfvo type="min"/>
        <cfvo type="percentile" val="50"/>
        <cfvo type="max"/>
        <color rgb="FFF8696B"/>
        <color rgb="FFFFEB84"/>
        <color rgb="FF63BE7B"/>
      </colorScale>
    </cfRule>
  </conditionalFormatting>
  <conditionalFormatting sqref="E10:E27">
    <cfRule type="colorScale" priority="9559">
      <colorScale>
        <cfvo type="min"/>
        <cfvo type="percentile" val="50"/>
        <cfvo type="max"/>
        <color rgb="FFF8696B"/>
        <color rgb="FFFFEB84"/>
        <color rgb="FF63BE7B"/>
      </colorScale>
    </cfRule>
  </conditionalFormatting>
  <conditionalFormatting sqref="E10:E27">
    <cfRule type="colorScale" priority="9558">
      <colorScale>
        <cfvo type="min"/>
        <cfvo type="percentile" val="50"/>
        <cfvo type="max"/>
        <color rgb="FFF8696B"/>
        <color rgb="FFFFEB84"/>
        <color rgb="FF63BE7B"/>
      </colorScale>
    </cfRule>
  </conditionalFormatting>
  <conditionalFormatting sqref="E10:E27">
    <cfRule type="colorScale" priority="9557">
      <colorScale>
        <cfvo type="min"/>
        <cfvo type="percentile" val="50"/>
        <cfvo type="max"/>
        <color rgb="FFF8696B"/>
        <color rgb="FFFFEB84"/>
        <color rgb="FF63BE7B"/>
      </colorScale>
    </cfRule>
  </conditionalFormatting>
  <conditionalFormatting sqref="E10:E27">
    <cfRule type="colorScale" priority="9556">
      <colorScale>
        <cfvo type="min"/>
        <cfvo type="percentile" val="50"/>
        <cfvo type="max"/>
        <color rgb="FFF8696B"/>
        <color rgb="FFFFEB84"/>
        <color rgb="FF63BE7B"/>
      </colorScale>
    </cfRule>
  </conditionalFormatting>
  <conditionalFormatting sqref="E10:E27">
    <cfRule type="colorScale" priority="9555">
      <colorScale>
        <cfvo type="min"/>
        <cfvo type="percentile" val="50"/>
        <cfvo type="max"/>
        <color rgb="FFF8696B"/>
        <color rgb="FFFFEB84"/>
        <color rgb="FF63BE7B"/>
      </colorScale>
    </cfRule>
  </conditionalFormatting>
  <conditionalFormatting sqref="E10:E27">
    <cfRule type="colorScale" priority="9554">
      <colorScale>
        <cfvo type="min"/>
        <cfvo type="percentile" val="50"/>
        <cfvo type="max"/>
        <color rgb="FFF8696B"/>
        <color rgb="FFFFEB84"/>
        <color rgb="FF63BE7B"/>
      </colorScale>
    </cfRule>
  </conditionalFormatting>
  <conditionalFormatting sqref="E10:E27">
    <cfRule type="colorScale" priority="9553">
      <colorScale>
        <cfvo type="min"/>
        <cfvo type="percentile" val="50"/>
        <cfvo type="max"/>
        <color rgb="FFF8696B"/>
        <color rgb="FFFFEB84"/>
        <color rgb="FF63BE7B"/>
      </colorScale>
    </cfRule>
  </conditionalFormatting>
  <conditionalFormatting sqref="E10:E27">
    <cfRule type="colorScale" priority="9552">
      <colorScale>
        <cfvo type="min"/>
        <cfvo type="percentile" val="50"/>
        <cfvo type="max"/>
        <color rgb="FFF8696B"/>
        <color rgb="FFFFEB84"/>
        <color rgb="FF63BE7B"/>
      </colorScale>
    </cfRule>
  </conditionalFormatting>
  <conditionalFormatting sqref="E10:E27">
    <cfRule type="colorScale" priority="9551">
      <colorScale>
        <cfvo type="min"/>
        <cfvo type="percentile" val="50"/>
        <cfvo type="max"/>
        <color rgb="FFF8696B"/>
        <color rgb="FFFFEB84"/>
        <color rgb="FF63BE7B"/>
      </colorScale>
    </cfRule>
  </conditionalFormatting>
  <conditionalFormatting sqref="E10:E27">
    <cfRule type="colorScale" priority="9550">
      <colorScale>
        <cfvo type="min"/>
        <cfvo type="percentile" val="50"/>
        <cfvo type="max"/>
        <color rgb="FFF8696B"/>
        <color rgb="FFFFEB84"/>
        <color rgb="FF63BE7B"/>
      </colorScale>
    </cfRule>
  </conditionalFormatting>
  <conditionalFormatting sqref="E10:E27">
    <cfRule type="colorScale" priority="9549">
      <colorScale>
        <cfvo type="min"/>
        <cfvo type="percentile" val="50"/>
        <cfvo type="max"/>
        <color rgb="FFF8696B"/>
        <color rgb="FFFFEB84"/>
        <color rgb="FF63BE7B"/>
      </colorScale>
    </cfRule>
  </conditionalFormatting>
  <conditionalFormatting sqref="E10:E27">
    <cfRule type="colorScale" priority="9548">
      <colorScale>
        <cfvo type="min"/>
        <cfvo type="percentile" val="50"/>
        <cfvo type="max"/>
        <color rgb="FFF8696B"/>
        <color rgb="FFFFEB84"/>
        <color rgb="FF63BE7B"/>
      </colorScale>
    </cfRule>
  </conditionalFormatting>
  <conditionalFormatting sqref="E10:E27">
    <cfRule type="colorScale" priority="9547">
      <colorScale>
        <cfvo type="min"/>
        <cfvo type="percentile" val="50"/>
        <cfvo type="max"/>
        <color rgb="FFF8696B"/>
        <color rgb="FFFFEB84"/>
        <color rgb="FF63BE7B"/>
      </colorScale>
    </cfRule>
  </conditionalFormatting>
  <conditionalFormatting sqref="E10:E27">
    <cfRule type="colorScale" priority="9546">
      <colorScale>
        <cfvo type="min"/>
        <cfvo type="percentile" val="50"/>
        <cfvo type="max"/>
        <color rgb="FFF8696B"/>
        <color rgb="FFFFEB84"/>
        <color rgb="FF63BE7B"/>
      </colorScale>
    </cfRule>
  </conditionalFormatting>
  <conditionalFormatting sqref="E10:E27">
    <cfRule type="colorScale" priority="9545">
      <colorScale>
        <cfvo type="min"/>
        <cfvo type="percentile" val="50"/>
        <cfvo type="max"/>
        <color rgb="FFF8696B"/>
        <color rgb="FFFFEB84"/>
        <color rgb="FF63BE7B"/>
      </colorScale>
    </cfRule>
  </conditionalFormatting>
  <conditionalFormatting sqref="E10:E27">
    <cfRule type="colorScale" priority="9544">
      <colorScale>
        <cfvo type="min"/>
        <cfvo type="percentile" val="50"/>
        <cfvo type="max"/>
        <color rgb="FFF8696B"/>
        <color rgb="FFFFEB84"/>
        <color rgb="FF63BE7B"/>
      </colorScale>
    </cfRule>
  </conditionalFormatting>
  <conditionalFormatting sqref="E10:E27">
    <cfRule type="colorScale" priority="9543">
      <colorScale>
        <cfvo type="min"/>
        <cfvo type="percentile" val="50"/>
        <cfvo type="max"/>
        <color rgb="FFF8696B"/>
        <color rgb="FFFFEB84"/>
        <color rgb="FF63BE7B"/>
      </colorScale>
    </cfRule>
  </conditionalFormatting>
  <conditionalFormatting sqref="E10:E27">
    <cfRule type="colorScale" priority="9542">
      <colorScale>
        <cfvo type="min"/>
        <cfvo type="percentile" val="50"/>
        <cfvo type="max"/>
        <color rgb="FFF8696B"/>
        <color rgb="FFFFEB84"/>
        <color rgb="FF63BE7B"/>
      </colorScale>
    </cfRule>
  </conditionalFormatting>
  <conditionalFormatting sqref="E10:E27">
    <cfRule type="colorScale" priority="9541">
      <colorScale>
        <cfvo type="min"/>
        <cfvo type="percentile" val="50"/>
        <cfvo type="max"/>
        <color rgb="FFF8696B"/>
        <color rgb="FFFFEB84"/>
        <color rgb="FF63BE7B"/>
      </colorScale>
    </cfRule>
  </conditionalFormatting>
  <conditionalFormatting sqref="E10:E27">
    <cfRule type="colorScale" priority="9540">
      <colorScale>
        <cfvo type="min"/>
        <cfvo type="percentile" val="50"/>
        <cfvo type="max"/>
        <color rgb="FFF8696B"/>
        <color rgb="FFFFEB84"/>
        <color rgb="FF63BE7B"/>
      </colorScale>
    </cfRule>
  </conditionalFormatting>
  <conditionalFormatting sqref="E10:E27">
    <cfRule type="colorScale" priority="9539">
      <colorScale>
        <cfvo type="min"/>
        <cfvo type="percentile" val="50"/>
        <cfvo type="max"/>
        <color rgb="FFF8696B"/>
        <color rgb="FFFFEB84"/>
        <color rgb="FF63BE7B"/>
      </colorScale>
    </cfRule>
  </conditionalFormatting>
  <conditionalFormatting sqref="E10:E27">
    <cfRule type="colorScale" priority="9538">
      <colorScale>
        <cfvo type="min"/>
        <cfvo type="percentile" val="50"/>
        <cfvo type="max"/>
        <color rgb="FFF8696B"/>
        <color rgb="FFFFEB84"/>
        <color rgb="FF63BE7B"/>
      </colorScale>
    </cfRule>
  </conditionalFormatting>
  <conditionalFormatting sqref="E10:E27">
    <cfRule type="colorScale" priority="9537">
      <colorScale>
        <cfvo type="min"/>
        <cfvo type="percentile" val="50"/>
        <cfvo type="max"/>
        <color rgb="FFF8696B"/>
        <color rgb="FFFFEB84"/>
        <color rgb="FF63BE7B"/>
      </colorScale>
    </cfRule>
  </conditionalFormatting>
  <conditionalFormatting sqref="E10:E27">
    <cfRule type="colorScale" priority="9536">
      <colorScale>
        <cfvo type="min"/>
        <cfvo type="percentile" val="50"/>
        <cfvo type="max"/>
        <color rgb="FFF8696B"/>
        <color rgb="FFFFEB84"/>
        <color rgb="FF63BE7B"/>
      </colorScale>
    </cfRule>
  </conditionalFormatting>
  <conditionalFormatting sqref="E10:E27">
    <cfRule type="colorScale" priority="9535">
      <colorScale>
        <cfvo type="min"/>
        <cfvo type="percentile" val="50"/>
        <cfvo type="max"/>
        <color rgb="FFF8696B"/>
        <color rgb="FFFFEB84"/>
        <color rgb="FF63BE7B"/>
      </colorScale>
    </cfRule>
  </conditionalFormatting>
  <conditionalFormatting sqref="E10:E27">
    <cfRule type="colorScale" priority="9534">
      <colorScale>
        <cfvo type="min"/>
        <cfvo type="percentile" val="50"/>
        <cfvo type="max"/>
        <color rgb="FFF8696B"/>
        <color rgb="FFFFEB84"/>
        <color rgb="FF63BE7B"/>
      </colorScale>
    </cfRule>
  </conditionalFormatting>
  <conditionalFormatting sqref="E10:E27">
    <cfRule type="colorScale" priority="9533">
      <colorScale>
        <cfvo type="min"/>
        <cfvo type="percentile" val="50"/>
        <cfvo type="max"/>
        <color rgb="FFF8696B"/>
        <color rgb="FFFFEB84"/>
        <color rgb="FF63BE7B"/>
      </colorScale>
    </cfRule>
  </conditionalFormatting>
  <conditionalFormatting sqref="E10:E27">
    <cfRule type="colorScale" priority="9532">
      <colorScale>
        <cfvo type="min"/>
        <cfvo type="percentile" val="50"/>
        <cfvo type="max"/>
        <color rgb="FFF8696B"/>
        <color rgb="FFFFEB84"/>
        <color rgb="FF63BE7B"/>
      </colorScale>
    </cfRule>
  </conditionalFormatting>
  <conditionalFormatting sqref="E10:E27">
    <cfRule type="colorScale" priority="9531">
      <colorScale>
        <cfvo type="min"/>
        <cfvo type="percentile" val="50"/>
        <cfvo type="max"/>
        <color rgb="FFF8696B"/>
        <color rgb="FFFFEB84"/>
        <color rgb="FF63BE7B"/>
      </colorScale>
    </cfRule>
  </conditionalFormatting>
  <conditionalFormatting sqref="E10:E27">
    <cfRule type="colorScale" priority="9530">
      <colorScale>
        <cfvo type="min"/>
        <cfvo type="percentile" val="50"/>
        <cfvo type="max"/>
        <color rgb="FFF8696B"/>
        <color rgb="FFFFEB84"/>
        <color rgb="FF63BE7B"/>
      </colorScale>
    </cfRule>
  </conditionalFormatting>
  <conditionalFormatting sqref="E10:E27">
    <cfRule type="colorScale" priority="9529">
      <colorScale>
        <cfvo type="min"/>
        <cfvo type="percentile" val="50"/>
        <cfvo type="max"/>
        <color rgb="FFF8696B"/>
        <color rgb="FFFFEB84"/>
        <color rgb="FF63BE7B"/>
      </colorScale>
    </cfRule>
  </conditionalFormatting>
  <conditionalFormatting sqref="E10:E27">
    <cfRule type="colorScale" priority="9528">
      <colorScale>
        <cfvo type="min"/>
        <cfvo type="percentile" val="50"/>
        <cfvo type="max"/>
        <color rgb="FFF8696B"/>
        <color rgb="FFFFEB84"/>
        <color rgb="FF63BE7B"/>
      </colorScale>
    </cfRule>
  </conditionalFormatting>
  <conditionalFormatting sqref="E10:E27">
    <cfRule type="colorScale" priority="9527">
      <colorScale>
        <cfvo type="min"/>
        <cfvo type="percentile" val="50"/>
        <cfvo type="max"/>
        <color rgb="FFF8696B"/>
        <color rgb="FFFFEB84"/>
        <color rgb="FF63BE7B"/>
      </colorScale>
    </cfRule>
  </conditionalFormatting>
  <conditionalFormatting sqref="E10:E27">
    <cfRule type="colorScale" priority="9526">
      <colorScale>
        <cfvo type="min"/>
        <cfvo type="percentile" val="50"/>
        <cfvo type="max"/>
        <color rgb="FFF8696B"/>
        <color rgb="FFFFEB84"/>
        <color rgb="FF63BE7B"/>
      </colorScale>
    </cfRule>
  </conditionalFormatting>
  <conditionalFormatting sqref="E10:E27">
    <cfRule type="colorScale" priority="9525">
      <colorScale>
        <cfvo type="min"/>
        <cfvo type="percentile" val="50"/>
        <cfvo type="max"/>
        <color rgb="FFF8696B"/>
        <color rgb="FFFFEB84"/>
        <color rgb="FF63BE7B"/>
      </colorScale>
    </cfRule>
  </conditionalFormatting>
  <conditionalFormatting sqref="E10:E27">
    <cfRule type="colorScale" priority="9524">
      <colorScale>
        <cfvo type="min"/>
        <cfvo type="percentile" val="50"/>
        <cfvo type="max"/>
        <color rgb="FFF8696B"/>
        <color rgb="FFFFEB84"/>
        <color rgb="FF63BE7B"/>
      </colorScale>
    </cfRule>
  </conditionalFormatting>
  <conditionalFormatting sqref="E10:E27">
    <cfRule type="colorScale" priority="9523">
      <colorScale>
        <cfvo type="min"/>
        <cfvo type="percentile" val="50"/>
        <cfvo type="max"/>
        <color rgb="FFF8696B"/>
        <color rgb="FFFFEB84"/>
        <color rgb="FF63BE7B"/>
      </colorScale>
    </cfRule>
  </conditionalFormatting>
  <conditionalFormatting sqref="E10:E27">
    <cfRule type="colorScale" priority="9522">
      <colorScale>
        <cfvo type="min"/>
        <cfvo type="percentile" val="50"/>
        <cfvo type="max"/>
        <color rgb="FFF8696B"/>
        <color rgb="FFFFEB84"/>
        <color rgb="FF63BE7B"/>
      </colorScale>
    </cfRule>
  </conditionalFormatting>
  <conditionalFormatting sqref="E10:E27">
    <cfRule type="colorScale" priority="9521">
      <colorScale>
        <cfvo type="min"/>
        <cfvo type="percentile" val="50"/>
        <cfvo type="max"/>
        <color rgb="FFF8696B"/>
        <color rgb="FFFFEB84"/>
        <color rgb="FF63BE7B"/>
      </colorScale>
    </cfRule>
  </conditionalFormatting>
  <conditionalFormatting sqref="E10:E27">
    <cfRule type="colorScale" priority="9520">
      <colorScale>
        <cfvo type="min"/>
        <cfvo type="percentile" val="50"/>
        <cfvo type="max"/>
        <color rgb="FFF8696B"/>
        <color rgb="FFFFEB84"/>
        <color rgb="FF63BE7B"/>
      </colorScale>
    </cfRule>
  </conditionalFormatting>
  <conditionalFormatting sqref="E10:E27">
    <cfRule type="colorScale" priority="9519">
      <colorScale>
        <cfvo type="min"/>
        <cfvo type="percentile" val="50"/>
        <cfvo type="max"/>
        <color rgb="FFF8696B"/>
        <color rgb="FFFFEB84"/>
        <color rgb="FF63BE7B"/>
      </colorScale>
    </cfRule>
  </conditionalFormatting>
  <conditionalFormatting sqref="E10:E27">
    <cfRule type="colorScale" priority="9518">
      <colorScale>
        <cfvo type="min"/>
        <cfvo type="percentile" val="50"/>
        <cfvo type="max"/>
        <color rgb="FFF8696B"/>
        <color rgb="FFFFEB84"/>
        <color rgb="FF63BE7B"/>
      </colorScale>
    </cfRule>
  </conditionalFormatting>
  <conditionalFormatting sqref="E10:E27">
    <cfRule type="colorScale" priority="9517">
      <colorScale>
        <cfvo type="min"/>
        <cfvo type="percentile" val="50"/>
        <cfvo type="max"/>
        <color rgb="FFF8696B"/>
        <color rgb="FFFFEB84"/>
        <color rgb="FF63BE7B"/>
      </colorScale>
    </cfRule>
  </conditionalFormatting>
  <conditionalFormatting sqref="E10:E27">
    <cfRule type="colorScale" priority="9516">
      <colorScale>
        <cfvo type="min"/>
        <cfvo type="percentile" val="50"/>
        <cfvo type="max"/>
        <color rgb="FFF8696B"/>
        <color rgb="FFFFEB84"/>
        <color rgb="FF63BE7B"/>
      </colorScale>
    </cfRule>
  </conditionalFormatting>
  <conditionalFormatting sqref="E10:E27">
    <cfRule type="colorScale" priority="9515">
      <colorScale>
        <cfvo type="min"/>
        <cfvo type="percentile" val="50"/>
        <cfvo type="max"/>
        <color rgb="FFF8696B"/>
        <color rgb="FFFFEB84"/>
        <color rgb="FF63BE7B"/>
      </colorScale>
    </cfRule>
  </conditionalFormatting>
  <conditionalFormatting sqref="E10:E27">
    <cfRule type="colorScale" priority="9514">
      <colorScale>
        <cfvo type="min"/>
        <cfvo type="percentile" val="50"/>
        <cfvo type="max"/>
        <color rgb="FFF8696B"/>
        <color rgb="FFFFEB84"/>
        <color rgb="FF63BE7B"/>
      </colorScale>
    </cfRule>
  </conditionalFormatting>
  <conditionalFormatting sqref="E10:E27">
    <cfRule type="colorScale" priority="9513">
      <colorScale>
        <cfvo type="min"/>
        <cfvo type="percentile" val="50"/>
        <cfvo type="max"/>
        <color rgb="FFF8696B"/>
        <color rgb="FFFFEB84"/>
        <color rgb="FF63BE7B"/>
      </colorScale>
    </cfRule>
  </conditionalFormatting>
  <conditionalFormatting sqref="E10:E27">
    <cfRule type="colorScale" priority="9512">
      <colorScale>
        <cfvo type="min"/>
        <cfvo type="percentile" val="50"/>
        <cfvo type="max"/>
        <color rgb="FFF8696B"/>
        <color rgb="FFFFEB84"/>
        <color rgb="FF63BE7B"/>
      </colorScale>
    </cfRule>
  </conditionalFormatting>
  <conditionalFormatting sqref="E10:E27">
    <cfRule type="colorScale" priority="9511">
      <colorScale>
        <cfvo type="min"/>
        <cfvo type="percentile" val="50"/>
        <cfvo type="max"/>
        <color rgb="FFF8696B"/>
        <color rgb="FFFFEB84"/>
        <color rgb="FF63BE7B"/>
      </colorScale>
    </cfRule>
  </conditionalFormatting>
  <conditionalFormatting sqref="E10:E27">
    <cfRule type="colorScale" priority="9510">
      <colorScale>
        <cfvo type="min"/>
        <cfvo type="percentile" val="50"/>
        <cfvo type="max"/>
        <color rgb="FFF8696B"/>
        <color rgb="FFFFEB84"/>
        <color rgb="FF63BE7B"/>
      </colorScale>
    </cfRule>
  </conditionalFormatting>
  <conditionalFormatting sqref="E10:E27">
    <cfRule type="colorScale" priority="9509">
      <colorScale>
        <cfvo type="min"/>
        <cfvo type="percentile" val="50"/>
        <cfvo type="max"/>
        <color rgb="FFF8696B"/>
        <color rgb="FFFFEB84"/>
        <color rgb="FF63BE7B"/>
      </colorScale>
    </cfRule>
  </conditionalFormatting>
  <conditionalFormatting sqref="E10:E27">
    <cfRule type="colorScale" priority="9508">
      <colorScale>
        <cfvo type="min"/>
        <cfvo type="percentile" val="50"/>
        <cfvo type="max"/>
        <color rgb="FFF8696B"/>
        <color rgb="FFFFEB84"/>
        <color rgb="FF63BE7B"/>
      </colorScale>
    </cfRule>
  </conditionalFormatting>
  <conditionalFormatting sqref="E10:E27">
    <cfRule type="colorScale" priority="9507">
      <colorScale>
        <cfvo type="min"/>
        <cfvo type="percentile" val="50"/>
        <cfvo type="max"/>
        <color rgb="FFF8696B"/>
        <color rgb="FFFFEB84"/>
        <color rgb="FF63BE7B"/>
      </colorScale>
    </cfRule>
  </conditionalFormatting>
  <conditionalFormatting sqref="E10:E27">
    <cfRule type="colorScale" priority="9506">
      <colorScale>
        <cfvo type="min"/>
        <cfvo type="percentile" val="50"/>
        <cfvo type="max"/>
        <color rgb="FFF8696B"/>
        <color rgb="FFFFEB84"/>
        <color rgb="FF63BE7B"/>
      </colorScale>
    </cfRule>
  </conditionalFormatting>
  <conditionalFormatting sqref="E10:E27">
    <cfRule type="colorScale" priority="9505">
      <colorScale>
        <cfvo type="min"/>
        <cfvo type="percentile" val="50"/>
        <cfvo type="max"/>
        <color rgb="FFF8696B"/>
        <color rgb="FFFFEB84"/>
        <color rgb="FF63BE7B"/>
      </colorScale>
    </cfRule>
  </conditionalFormatting>
  <conditionalFormatting sqref="E10:E27">
    <cfRule type="colorScale" priority="9504">
      <colorScale>
        <cfvo type="min"/>
        <cfvo type="percentile" val="50"/>
        <cfvo type="max"/>
        <color rgb="FFF8696B"/>
        <color rgb="FFFFEB84"/>
        <color rgb="FF63BE7B"/>
      </colorScale>
    </cfRule>
  </conditionalFormatting>
  <conditionalFormatting sqref="E10:E27">
    <cfRule type="colorScale" priority="9503">
      <colorScale>
        <cfvo type="min"/>
        <cfvo type="percentile" val="50"/>
        <cfvo type="max"/>
        <color rgb="FFF8696B"/>
        <color rgb="FFFFEB84"/>
        <color rgb="FF63BE7B"/>
      </colorScale>
    </cfRule>
  </conditionalFormatting>
  <conditionalFormatting sqref="E10:E27">
    <cfRule type="colorScale" priority="9502">
      <colorScale>
        <cfvo type="min"/>
        <cfvo type="percentile" val="50"/>
        <cfvo type="max"/>
        <color rgb="FFF8696B"/>
        <color rgb="FFFFEB84"/>
        <color rgb="FF63BE7B"/>
      </colorScale>
    </cfRule>
  </conditionalFormatting>
  <conditionalFormatting sqref="E10:E27">
    <cfRule type="colorScale" priority="9501">
      <colorScale>
        <cfvo type="min"/>
        <cfvo type="percentile" val="50"/>
        <cfvo type="max"/>
        <color rgb="FFF8696B"/>
        <color rgb="FFFFEB84"/>
        <color rgb="FF63BE7B"/>
      </colorScale>
    </cfRule>
  </conditionalFormatting>
  <conditionalFormatting sqref="E10:E27">
    <cfRule type="colorScale" priority="9500">
      <colorScale>
        <cfvo type="min"/>
        <cfvo type="percentile" val="50"/>
        <cfvo type="max"/>
        <color rgb="FFF8696B"/>
        <color rgb="FFFFEB84"/>
        <color rgb="FF63BE7B"/>
      </colorScale>
    </cfRule>
  </conditionalFormatting>
  <conditionalFormatting sqref="E10:E27">
    <cfRule type="colorScale" priority="9499">
      <colorScale>
        <cfvo type="min"/>
        <cfvo type="percentile" val="50"/>
        <cfvo type="max"/>
        <color rgb="FFF8696B"/>
        <color rgb="FFFFEB84"/>
        <color rgb="FF63BE7B"/>
      </colorScale>
    </cfRule>
  </conditionalFormatting>
  <conditionalFormatting sqref="E10:E27">
    <cfRule type="colorScale" priority="9498">
      <colorScale>
        <cfvo type="min"/>
        <cfvo type="percentile" val="50"/>
        <cfvo type="max"/>
        <color rgb="FFF8696B"/>
        <color rgb="FFFFEB84"/>
        <color rgb="FF63BE7B"/>
      </colorScale>
    </cfRule>
  </conditionalFormatting>
  <conditionalFormatting sqref="E10:E27">
    <cfRule type="colorScale" priority="9497">
      <colorScale>
        <cfvo type="min"/>
        <cfvo type="percentile" val="50"/>
        <cfvo type="max"/>
        <color rgb="FFF8696B"/>
        <color rgb="FFFFEB84"/>
        <color rgb="FF63BE7B"/>
      </colorScale>
    </cfRule>
  </conditionalFormatting>
  <conditionalFormatting sqref="E10:E27">
    <cfRule type="colorScale" priority="9496">
      <colorScale>
        <cfvo type="min"/>
        <cfvo type="percentile" val="50"/>
        <cfvo type="max"/>
        <color rgb="FFF8696B"/>
        <color rgb="FFFFEB84"/>
        <color rgb="FF63BE7B"/>
      </colorScale>
    </cfRule>
  </conditionalFormatting>
  <conditionalFormatting sqref="E10:E27">
    <cfRule type="colorScale" priority="9495">
      <colorScale>
        <cfvo type="min"/>
        <cfvo type="percentile" val="50"/>
        <cfvo type="max"/>
        <color rgb="FFF8696B"/>
        <color rgb="FFFFEB84"/>
        <color rgb="FF63BE7B"/>
      </colorScale>
    </cfRule>
  </conditionalFormatting>
  <conditionalFormatting sqref="E10:E27">
    <cfRule type="colorScale" priority="9494">
      <colorScale>
        <cfvo type="min"/>
        <cfvo type="percentile" val="50"/>
        <cfvo type="max"/>
        <color rgb="FFF8696B"/>
        <color rgb="FFFFEB84"/>
        <color rgb="FF63BE7B"/>
      </colorScale>
    </cfRule>
  </conditionalFormatting>
  <conditionalFormatting sqref="E10:E27">
    <cfRule type="colorScale" priority="9493">
      <colorScale>
        <cfvo type="min"/>
        <cfvo type="percentile" val="50"/>
        <cfvo type="max"/>
        <color rgb="FFF8696B"/>
        <color rgb="FFFFEB84"/>
        <color rgb="FF63BE7B"/>
      </colorScale>
    </cfRule>
  </conditionalFormatting>
  <conditionalFormatting sqref="E10:E27">
    <cfRule type="colorScale" priority="9492">
      <colorScale>
        <cfvo type="min"/>
        <cfvo type="percentile" val="50"/>
        <cfvo type="max"/>
        <color rgb="FFF8696B"/>
        <color rgb="FFFFEB84"/>
        <color rgb="FF63BE7B"/>
      </colorScale>
    </cfRule>
  </conditionalFormatting>
  <conditionalFormatting sqref="E10:E27">
    <cfRule type="colorScale" priority="9491">
      <colorScale>
        <cfvo type="min"/>
        <cfvo type="percentile" val="50"/>
        <cfvo type="max"/>
        <color rgb="FFF8696B"/>
        <color rgb="FFFFEB84"/>
        <color rgb="FF63BE7B"/>
      </colorScale>
    </cfRule>
  </conditionalFormatting>
  <conditionalFormatting sqref="E10:E27">
    <cfRule type="colorScale" priority="9490">
      <colorScale>
        <cfvo type="min"/>
        <cfvo type="percentile" val="50"/>
        <cfvo type="max"/>
        <color rgb="FFF8696B"/>
        <color rgb="FFFFEB84"/>
        <color rgb="FF63BE7B"/>
      </colorScale>
    </cfRule>
  </conditionalFormatting>
  <conditionalFormatting sqref="E10:E27">
    <cfRule type="colorScale" priority="9489">
      <colorScale>
        <cfvo type="min"/>
        <cfvo type="percentile" val="50"/>
        <cfvo type="max"/>
        <color rgb="FFF8696B"/>
        <color rgb="FFFFEB84"/>
        <color rgb="FF63BE7B"/>
      </colorScale>
    </cfRule>
  </conditionalFormatting>
  <conditionalFormatting sqref="E10:E27">
    <cfRule type="colorScale" priority="9488">
      <colorScale>
        <cfvo type="min"/>
        <cfvo type="percentile" val="50"/>
        <cfvo type="max"/>
        <color rgb="FFF8696B"/>
        <color rgb="FFFFEB84"/>
        <color rgb="FF63BE7B"/>
      </colorScale>
    </cfRule>
  </conditionalFormatting>
  <conditionalFormatting sqref="E10:E27">
    <cfRule type="colorScale" priority="9487">
      <colorScale>
        <cfvo type="min"/>
        <cfvo type="percentile" val="50"/>
        <cfvo type="max"/>
        <color rgb="FFF8696B"/>
        <color rgb="FFFFEB84"/>
        <color rgb="FF63BE7B"/>
      </colorScale>
    </cfRule>
  </conditionalFormatting>
  <conditionalFormatting sqref="E10:E27">
    <cfRule type="colorScale" priority="9486">
      <colorScale>
        <cfvo type="min"/>
        <cfvo type="percentile" val="50"/>
        <cfvo type="max"/>
        <color rgb="FFF8696B"/>
        <color rgb="FFFFEB84"/>
        <color rgb="FF63BE7B"/>
      </colorScale>
    </cfRule>
  </conditionalFormatting>
  <conditionalFormatting sqref="E10:E27">
    <cfRule type="colorScale" priority="9485">
      <colorScale>
        <cfvo type="min"/>
        <cfvo type="percentile" val="50"/>
        <cfvo type="max"/>
        <color rgb="FFF8696B"/>
        <color rgb="FFFFEB84"/>
        <color rgb="FF63BE7B"/>
      </colorScale>
    </cfRule>
  </conditionalFormatting>
  <conditionalFormatting sqref="E10:E27">
    <cfRule type="colorScale" priority="9484">
      <colorScale>
        <cfvo type="min"/>
        <cfvo type="percentile" val="50"/>
        <cfvo type="max"/>
        <color rgb="FFF8696B"/>
        <color rgb="FFFFEB84"/>
        <color rgb="FF63BE7B"/>
      </colorScale>
    </cfRule>
  </conditionalFormatting>
  <conditionalFormatting sqref="E10:E27">
    <cfRule type="colorScale" priority="9483">
      <colorScale>
        <cfvo type="min"/>
        <cfvo type="percentile" val="50"/>
        <cfvo type="max"/>
        <color rgb="FFF8696B"/>
        <color rgb="FFFFEB84"/>
        <color rgb="FF63BE7B"/>
      </colorScale>
    </cfRule>
  </conditionalFormatting>
  <conditionalFormatting sqref="E10:E27">
    <cfRule type="colorScale" priority="9482">
      <colorScale>
        <cfvo type="min"/>
        <cfvo type="percentile" val="50"/>
        <cfvo type="max"/>
        <color rgb="FFF8696B"/>
        <color rgb="FFFFEB84"/>
        <color rgb="FF63BE7B"/>
      </colorScale>
    </cfRule>
  </conditionalFormatting>
  <conditionalFormatting sqref="E10:E27">
    <cfRule type="colorScale" priority="9481">
      <colorScale>
        <cfvo type="min"/>
        <cfvo type="percentile" val="50"/>
        <cfvo type="max"/>
        <color rgb="FFF8696B"/>
        <color rgb="FFFFEB84"/>
        <color rgb="FF63BE7B"/>
      </colorScale>
    </cfRule>
  </conditionalFormatting>
  <conditionalFormatting sqref="E10:E27">
    <cfRule type="colorScale" priority="9480">
      <colorScale>
        <cfvo type="min"/>
        <cfvo type="percentile" val="50"/>
        <cfvo type="max"/>
        <color rgb="FFF8696B"/>
        <color rgb="FFFFEB84"/>
        <color rgb="FF63BE7B"/>
      </colorScale>
    </cfRule>
  </conditionalFormatting>
  <conditionalFormatting sqref="E10:E27">
    <cfRule type="colorScale" priority="9479">
      <colorScale>
        <cfvo type="min"/>
        <cfvo type="percentile" val="50"/>
        <cfvo type="max"/>
        <color rgb="FFF8696B"/>
        <color rgb="FFFFEB84"/>
        <color rgb="FF63BE7B"/>
      </colorScale>
    </cfRule>
  </conditionalFormatting>
  <conditionalFormatting sqref="E10:E27">
    <cfRule type="colorScale" priority="9478">
      <colorScale>
        <cfvo type="min"/>
        <cfvo type="percentile" val="50"/>
        <cfvo type="max"/>
        <color rgb="FFF8696B"/>
        <color rgb="FFFFEB84"/>
        <color rgb="FF63BE7B"/>
      </colorScale>
    </cfRule>
  </conditionalFormatting>
  <conditionalFormatting sqref="E10:E27">
    <cfRule type="colorScale" priority="9477">
      <colorScale>
        <cfvo type="min"/>
        <cfvo type="percentile" val="50"/>
        <cfvo type="max"/>
        <color rgb="FFF8696B"/>
        <color rgb="FFFFEB84"/>
        <color rgb="FF63BE7B"/>
      </colorScale>
    </cfRule>
  </conditionalFormatting>
  <conditionalFormatting sqref="E10:E27">
    <cfRule type="colorScale" priority="9476">
      <colorScale>
        <cfvo type="min"/>
        <cfvo type="percentile" val="50"/>
        <cfvo type="max"/>
        <color rgb="FFF8696B"/>
        <color rgb="FFFFEB84"/>
        <color rgb="FF63BE7B"/>
      </colorScale>
    </cfRule>
  </conditionalFormatting>
  <conditionalFormatting sqref="E10:E27">
    <cfRule type="colorScale" priority="9475">
      <colorScale>
        <cfvo type="min"/>
        <cfvo type="percentile" val="50"/>
        <cfvo type="max"/>
        <color rgb="FFF8696B"/>
        <color rgb="FFFFEB84"/>
        <color rgb="FF63BE7B"/>
      </colorScale>
    </cfRule>
  </conditionalFormatting>
  <conditionalFormatting sqref="E10:E27">
    <cfRule type="colorScale" priority="9474">
      <colorScale>
        <cfvo type="min"/>
        <cfvo type="percentile" val="50"/>
        <cfvo type="max"/>
        <color rgb="FFF8696B"/>
        <color rgb="FFFFEB84"/>
        <color rgb="FF63BE7B"/>
      </colorScale>
    </cfRule>
  </conditionalFormatting>
  <conditionalFormatting sqref="E10:E27">
    <cfRule type="colorScale" priority="9473">
      <colorScale>
        <cfvo type="min"/>
        <cfvo type="percentile" val="50"/>
        <cfvo type="max"/>
        <color rgb="FFF8696B"/>
        <color rgb="FFFFEB84"/>
        <color rgb="FF63BE7B"/>
      </colorScale>
    </cfRule>
  </conditionalFormatting>
  <conditionalFormatting sqref="E10:E27">
    <cfRule type="colorScale" priority="9472">
      <colorScale>
        <cfvo type="min"/>
        <cfvo type="percentile" val="50"/>
        <cfvo type="max"/>
        <color rgb="FFF8696B"/>
        <color rgb="FFFFEB84"/>
        <color rgb="FF63BE7B"/>
      </colorScale>
    </cfRule>
  </conditionalFormatting>
  <conditionalFormatting sqref="E10:E27">
    <cfRule type="colorScale" priority="9471">
      <colorScale>
        <cfvo type="min"/>
        <cfvo type="percentile" val="50"/>
        <cfvo type="max"/>
        <color rgb="FFF8696B"/>
        <color rgb="FFFFEB84"/>
        <color rgb="FF63BE7B"/>
      </colorScale>
    </cfRule>
  </conditionalFormatting>
  <conditionalFormatting sqref="E10:E27">
    <cfRule type="colorScale" priority="9470">
      <colorScale>
        <cfvo type="min"/>
        <cfvo type="percentile" val="50"/>
        <cfvo type="max"/>
        <color rgb="FFF8696B"/>
        <color rgb="FFFFEB84"/>
        <color rgb="FF63BE7B"/>
      </colorScale>
    </cfRule>
  </conditionalFormatting>
  <conditionalFormatting sqref="E10:E27">
    <cfRule type="colorScale" priority="9469">
      <colorScale>
        <cfvo type="min"/>
        <cfvo type="percentile" val="50"/>
        <cfvo type="max"/>
        <color rgb="FFF8696B"/>
        <color rgb="FFFFEB84"/>
        <color rgb="FF63BE7B"/>
      </colorScale>
    </cfRule>
  </conditionalFormatting>
  <conditionalFormatting sqref="E10:E27">
    <cfRule type="colorScale" priority="9468">
      <colorScale>
        <cfvo type="min"/>
        <cfvo type="percentile" val="50"/>
        <cfvo type="max"/>
        <color rgb="FFF8696B"/>
        <color rgb="FFFFEB84"/>
        <color rgb="FF63BE7B"/>
      </colorScale>
    </cfRule>
  </conditionalFormatting>
  <conditionalFormatting sqref="E10:E27">
    <cfRule type="colorScale" priority="9467">
      <colorScale>
        <cfvo type="min"/>
        <cfvo type="percentile" val="50"/>
        <cfvo type="max"/>
        <color rgb="FFF8696B"/>
        <color rgb="FFFFEB84"/>
        <color rgb="FF63BE7B"/>
      </colorScale>
    </cfRule>
  </conditionalFormatting>
  <conditionalFormatting sqref="E10:E27">
    <cfRule type="colorScale" priority="9466">
      <colorScale>
        <cfvo type="min"/>
        <cfvo type="percentile" val="50"/>
        <cfvo type="max"/>
        <color rgb="FFF8696B"/>
        <color rgb="FFFFEB84"/>
        <color rgb="FF63BE7B"/>
      </colorScale>
    </cfRule>
  </conditionalFormatting>
  <conditionalFormatting sqref="E10:E27">
    <cfRule type="colorScale" priority="9465">
      <colorScale>
        <cfvo type="min"/>
        <cfvo type="percentile" val="50"/>
        <cfvo type="max"/>
        <color rgb="FFF8696B"/>
        <color rgb="FFFFEB84"/>
        <color rgb="FF63BE7B"/>
      </colorScale>
    </cfRule>
  </conditionalFormatting>
  <conditionalFormatting sqref="E10:E27">
    <cfRule type="colorScale" priority="9464">
      <colorScale>
        <cfvo type="min"/>
        <cfvo type="percentile" val="50"/>
        <cfvo type="max"/>
        <color rgb="FFF8696B"/>
        <color rgb="FFFFEB84"/>
        <color rgb="FF63BE7B"/>
      </colorScale>
    </cfRule>
  </conditionalFormatting>
  <conditionalFormatting sqref="E10:E27">
    <cfRule type="colorScale" priority="9463">
      <colorScale>
        <cfvo type="min"/>
        <cfvo type="percentile" val="50"/>
        <cfvo type="max"/>
        <color rgb="FFF8696B"/>
        <color rgb="FFFFEB84"/>
        <color rgb="FF63BE7B"/>
      </colorScale>
    </cfRule>
  </conditionalFormatting>
  <conditionalFormatting sqref="E10:E27">
    <cfRule type="colorScale" priority="9462">
      <colorScale>
        <cfvo type="min"/>
        <cfvo type="percentile" val="50"/>
        <cfvo type="max"/>
        <color rgb="FFF8696B"/>
        <color rgb="FFFFEB84"/>
        <color rgb="FF63BE7B"/>
      </colorScale>
    </cfRule>
  </conditionalFormatting>
  <conditionalFormatting sqref="E10:E27">
    <cfRule type="colorScale" priority="9461">
      <colorScale>
        <cfvo type="min"/>
        <cfvo type="percentile" val="50"/>
        <cfvo type="max"/>
        <color rgb="FFF8696B"/>
        <color rgb="FFFFEB84"/>
        <color rgb="FF63BE7B"/>
      </colorScale>
    </cfRule>
  </conditionalFormatting>
  <conditionalFormatting sqref="E10:E27">
    <cfRule type="colorScale" priority="9460">
      <colorScale>
        <cfvo type="min"/>
        <cfvo type="percentile" val="50"/>
        <cfvo type="max"/>
        <color rgb="FFF8696B"/>
        <color rgb="FFFFEB84"/>
        <color rgb="FF63BE7B"/>
      </colorScale>
    </cfRule>
  </conditionalFormatting>
  <conditionalFormatting sqref="E10:E27">
    <cfRule type="colorScale" priority="9459">
      <colorScale>
        <cfvo type="min"/>
        <cfvo type="percentile" val="50"/>
        <cfvo type="max"/>
        <color rgb="FFF8696B"/>
        <color rgb="FFFFEB84"/>
        <color rgb="FF63BE7B"/>
      </colorScale>
    </cfRule>
  </conditionalFormatting>
  <conditionalFormatting sqref="E10:E27">
    <cfRule type="colorScale" priority="9458">
      <colorScale>
        <cfvo type="min"/>
        <cfvo type="percentile" val="50"/>
        <cfvo type="max"/>
        <color rgb="FFF8696B"/>
        <color rgb="FFFFEB84"/>
        <color rgb="FF63BE7B"/>
      </colorScale>
    </cfRule>
  </conditionalFormatting>
  <conditionalFormatting sqref="E10:E27">
    <cfRule type="colorScale" priority="9457">
      <colorScale>
        <cfvo type="min"/>
        <cfvo type="percentile" val="50"/>
        <cfvo type="max"/>
        <color rgb="FFF8696B"/>
        <color rgb="FFFFEB84"/>
        <color rgb="FF63BE7B"/>
      </colorScale>
    </cfRule>
  </conditionalFormatting>
  <conditionalFormatting sqref="E10:E27">
    <cfRule type="colorScale" priority="9456">
      <colorScale>
        <cfvo type="min"/>
        <cfvo type="percentile" val="50"/>
        <cfvo type="max"/>
        <color rgb="FFF8696B"/>
        <color rgb="FFFFEB84"/>
        <color rgb="FF63BE7B"/>
      </colorScale>
    </cfRule>
  </conditionalFormatting>
  <conditionalFormatting sqref="E10:E27">
    <cfRule type="colorScale" priority="9455">
      <colorScale>
        <cfvo type="min"/>
        <cfvo type="percentile" val="50"/>
        <cfvo type="max"/>
        <color rgb="FFF8696B"/>
        <color rgb="FFFFEB84"/>
        <color rgb="FF63BE7B"/>
      </colorScale>
    </cfRule>
  </conditionalFormatting>
  <conditionalFormatting sqref="E10:E27">
    <cfRule type="colorScale" priority="9454">
      <colorScale>
        <cfvo type="min"/>
        <cfvo type="percentile" val="50"/>
        <cfvo type="max"/>
        <color rgb="FFF8696B"/>
        <color rgb="FFFFEB84"/>
        <color rgb="FF63BE7B"/>
      </colorScale>
    </cfRule>
  </conditionalFormatting>
  <conditionalFormatting sqref="E10:E27">
    <cfRule type="colorScale" priority="9453">
      <colorScale>
        <cfvo type="min"/>
        <cfvo type="percentile" val="50"/>
        <cfvo type="max"/>
        <color rgb="FFF8696B"/>
        <color rgb="FFFFEB84"/>
        <color rgb="FF63BE7B"/>
      </colorScale>
    </cfRule>
  </conditionalFormatting>
  <conditionalFormatting sqref="E10:E27">
    <cfRule type="colorScale" priority="9452">
      <colorScale>
        <cfvo type="min"/>
        <cfvo type="percentile" val="50"/>
        <cfvo type="max"/>
        <color rgb="FFF8696B"/>
        <color rgb="FFFFEB84"/>
        <color rgb="FF63BE7B"/>
      </colorScale>
    </cfRule>
  </conditionalFormatting>
  <conditionalFormatting sqref="E10:E27">
    <cfRule type="colorScale" priority="9451">
      <colorScale>
        <cfvo type="min"/>
        <cfvo type="percentile" val="50"/>
        <cfvo type="max"/>
        <color rgb="FFF8696B"/>
        <color rgb="FFFFEB84"/>
        <color rgb="FF63BE7B"/>
      </colorScale>
    </cfRule>
  </conditionalFormatting>
  <conditionalFormatting sqref="E10:E27">
    <cfRule type="colorScale" priority="9450">
      <colorScale>
        <cfvo type="min"/>
        <cfvo type="percentile" val="50"/>
        <cfvo type="max"/>
        <color rgb="FFF8696B"/>
        <color rgb="FFFFEB84"/>
        <color rgb="FF63BE7B"/>
      </colorScale>
    </cfRule>
  </conditionalFormatting>
  <conditionalFormatting sqref="E10:E27">
    <cfRule type="colorScale" priority="9449">
      <colorScale>
        <cfvo type="min"/>
        <cfvo type="percentile" val="50"/>
        <cfvo type="max"/>
        <color rgb="FFF8696B"/>
        <color rgb="FFFFEB84"/>
        <color rgb="FF63BE7B"/>
      </colorScale>
    </cfRule>
  </conditionalFormatting>
  <conditionalFormatting sqref="E10:E27">
    <cfRule type="colorScale" priority="9448">
      <colorScale>
        <cfvo type="min"/>
        <cfvo type="percentile" val="50"/>
        <cfvo type="max"/>
        <color rgb="FFF8696B"/>
        <color rgb="FFFFEB84"/>
        <color rgb="FF63BE7B"/>
      </colorScale>
    </cfRule>
  </conditionalFormatting>
  <conditionalFormatting sqref="E10:E27">
    <cfRule type="colorScale" priority="9447">
      <colorScale>
        <cfvo type="min"/>
        <cfvo type="percentile" val="50"/>
        <cfvo type="max"/>
        <color rgb="FFF8696B"/>
        <color rgb="FFFFEB84"/>
        <color rgb="FF63BE7B"/>
      </colorScale>
    </cfRule>
  </conditionalFormatting>
  <conditionalFormatting sqref="E10:E27">
    <cfRule type="colorScale" priority="9446">
      <colorScale>
        <cfvo type="min"/>
        <cfvo type="percentile" val="50"/>
        <cfvo type="max"/>
        <color rgb="FFF8696B"/>
        <color rgb="FFFFEB84"/>
        <color rgb="FF63BE7B"/>
      </colorScale>
    </cfRule>
  </conditionalFormatting>
  <conditionalFormatting sqref="E10:E27">
    <cfRule type="colorScale" priority="9445">
      <colorScale>
        <cfvo type="min"/>
        <cfvo type="percentile" val="50"/>
        <cfvo type="max"/>
        <color rgb="FFF8696B"/>
        <color rgb="FFFFEB84"/>
        <color rgb="FF63BE7B"/>
      </colorScale>
    </cfRule>
  </conditionalFormatting>
  <conditionalFormatting sqref="E10:E27">
    <cfRule type="colorScale" priority="9444">
      <colorScale>
        <cfvo type="min"/>
        <cfvo type="percentile" val="50"/>
        <cfvo type="max"/>
        <color rgb="FFF8696B"/>
        <color rgb="FFFFEB84"/>
        <color rgb="FF63BE7B"/>
      </colorScale>
    </cfRule>
  </conditionalFormatting>
  <conditionalFormatting sqref="E10:E27">
    <cfRule type="colorScale" priority="9443">
      <colorScale>
        <cfvo type="min"/>
        <cfvo type="percentile" val="50"/>
        <cfvo type="max"/>
        <color rgb="FFF8696B"/>
        <color rgb="FFFFEB84"/>
        <color rgb="FF63BE7B"/>
      </colorScale>
    </cfRule>
  </conditionalFormatting>
  <conditionalFormatting sqref="E10:E27">
    <cfRule type="colorScale" priority="9442">
      <colorScale>
        <cfvo type="min"/>
        <cfvo type="percentile" val="50"/>
        <cfvo type="max"/>
        <color rgb="FFF8696B"/>
        <color rgb="FFFFEB84"/>
        <color rgb="FF63BE7B"/>
      </colorScale>
    </cfRule>
  </conditionalFormatting>
  <conditionalFormatting sqref="E10:E27">
    <cfRule type="colorScale" priority="9441">
      <colorScale>
        <cfvo type="min"/>
        <cfvo type="percentile" val="50"/>
        <cfvo type="max"/>
        <color rgb="FFF8696B"/>
        <color rgb="FFFFEB84"/>
        <color rgb="FF63BE7B"/>
      </colorScale>
    </cfRule>
  </conditionalFormatting>
  <conditionalFormatting sqref="E10:E27">
    <cfRule type="colorScale" priority="9440">
      <colorScale>
        <cfvo type="min"/>
        <cfvo type="percentile" val="50"/>
        <cfvo type="max"/>
        <color rgb="FFF8696B"/>
        <color rgb="FFFFEB84"/>
        <color rgb="FF63BE7B"/>
      </colorScale>
    </cfRule>
  </conditionalFormatting>
  <conditionalFormatting sqref="E10:E27">
    <cfRule type="colorScale" priority="9439">
      <colorScale>
        <cfvo type="min"/>
        <cfvo type="percentile" val="50"/>
        <cfvo type="max"/>
        <color rgb="FFF8696B"/>
        <color rgb="FFFFEB84"/>
        <color rgb="FF63BE7B"/>
      </colorScale>
    </cfRule>
  </conditionalFormatting>
  <conditionalFormatting sqref="E10:E27">
    <cfRule type="colorScale" priority="9438">
      <colorScale>
        <cfvo type="min"/>
        <cfvo type="percentile" val="50"/>
        <cfvo type="max"/>
        <color rgb="FFF8696B"/>
        <color rgb="FFFFEB84"/>
        <color rgb="FF63BE7B"/>
      </colorScale>
    </cfRule>
  </conditionalFormatting>
  <conditionalFormatting sqref="E10:E27">
    <cfRule type="colorScale" priority="9437">
      <colorScale>
        <cfvo type="min"/>
        <cfvo type="percentile" val="50"/>
        <cfvo type="max"/>
        <color rgb="FFF8696B"/>
        <color rgb="FFFFEB84"/>
        <color rgb="FF63BE7B"/>
      </colorScale>
    </cfRule>
  </conditionalFormatting>
  <conditionalFormatting sqref="E10:E27">
    <cfRule type="colorScale" priority="9436">
      <colorScale>
        <cfvo type="min"/>
        <cfvo type="percentile" val="50"/>
        <cfvo type="max"/>
        <color rgb="FFF8696B"/>
        <color rgb="FFFFEB84"/>
        <color rgb="FF63BE7B"/>
      </colorScale>
    </cfRule>
  </conditionalFormatting>
  <conditionalFormatting sqref="E10:E27">
    <cfRule type="colorScale" priority="9435">
      <colorScale>
        <cfvo type="min"/>
        <cfvo type="percentile" val="50"/>
        <cfvo type="max"/>
        <color rgb="FFF8696B"/>
        <color rgb="FFFFEB84"/>
        <color rgb="FF63BE7B"/>
      </colorScale>
    </cfRule>
  </conditionalFormatting>
  <conditionalFormatting sqref="E10:E27">
    <cfRule type="colorScale" priority="9434">
      <colorScale>
        <cfvo type="min"/>
        <cfvo type="percentile" val="50"/>
        <cfvo type="max"/>
        <color rgb="FFF8696B"/>
        <color rgb="FFFFEB84"/>
        <color rgb="FF63BE7B"/>
      </colorScale>
    </cfRule>
  </conditionalFormatting>
  <conditionalFormatting sqref="E10:E27">
    <cfRule type="colorScale" priority="9433">
      <colorScale>
        <cfvo type="min"/>
        <cfvo type="percentile" val="50"/>
        <cfvo type="max"/>
        <color rgb="FFF8696B"/>
        <color rgb="FFFFEB84"/>
        <color rgb="FF63BE7B"/>
      </colorScale>
    </cfRule>
  </conditionalFormatting>
  <conditionalFormatting sqref="E10:E21">
    <cfRule type="colorScale" priority="9432">
      <colorScale>
        <cfvo type="min"/>
        <cfvo type="percentile" val="50"/>
        <cfvo type="max"/>
        <color rgb="FFF8696B"/>
        <color rgb="FFFFEB84"/>
        <color rgb="FF63BE7B"/>
      </colorScale>
    </cfRule>
  </conditionalFormatting>
  <conditionalFormatting sqref="E10:E21">
    <cfRule type="colorScale" priority="9431">
      <colorScale>
        <cfvo type="min"/>
        <cfvo type="percentile" val="50"/>
        <cfvo type="max"/>
        <color rgb="FFF8696B"/>
        <color rgb="FFFFEB84"/>
        <color rgb="FF63BE7B"/>
      </colorScale>
    </cfRule>
  </conditionalFormatting>
  <conditionalFormatting sqref="E10:E27">
    <cfRule type="colorScale" priority="9430">
      <colorScale>
        <cfvo type="min"/>
        <cfvo type="percentile" val="50"/>
        <cfvo type="max"/>
        <color rgb="FFF8696B"/>
        <color rgb="FFFFEB84"/>
        <color rgb="FF63BE7B"/>
      </colorScale>
    </cfRule>
  </conditionalFormatting>
  <conditionalFormatting sqref="E10:E27">
    <cfRule type="colorScale" priority="9429">
      <colorScale>
        <cfvo type="min"/>
        <cfvo type="percentile" val="50"/>
        <cfvo type="max"/>
        <color rgb="FFF8696B"/>
        <color rgb="FFFFEB84"/>
        <color rgb="FF63BE7B"/>
      </colorScale>
    </cfRule>
  </conditionalFormatting>
  <conditionalFormatting sqref="E10:E27">
    <cfRule type="colorScale" priority="9428">
      <colorScale>
        <cfvo type="min"/>
        <cfvo type="percentile" val="50"/>
        <cfvo type="max"/>
        <color rgb="FFF8696B"/>
        <color rgb="FFFFEB84"/>
        <color rgb="FF63BE7B"/>
      </colorScale>
    </cfRule>
  </conditionalFormatting>
  <conditionalFormatting sqref="E10:E27">
    <cfRule type="colorScale" priority="9427">
      <colorScale>
        <cfvo type="min"/>
        <cfvo type="percentile" val="50"/>
        <cfvo type="max"/>
        <color rgb="FFF8696B"/>
        <color rgb="FFFFEB84"/>
        <color rgb="FF63BE7B"/>
      </colorScale>
    </cfRule>
  </conditionalFormatting>
  <conditionalFormatting sqref="E10:E27">
    <cfRule type="colorScale" priority="9426">
      <colorScale>
        <cfvo type="min"/>
        <cfvo type="percentile" val="50"/>
        <cfvo type="max"/>
        <color rgb="FFF8696B"/>
        <color rgb="FFFFEB84"/>
        <color rgb="FF63BE7B"/>
      </colorScale>
    </cfRule>
  </conditionalFormatting>
  <conditionalFormatting sqref="E10:E27">
    <cfRule type="colorScale" priority="9425">
      <colorScale>
        <cfvo type="min"/>
        <cfvo type="percentile" val="50"/>
        <cfvo type="max"/>
        <color rgb="FFF8696B"/>
        <color rgb="FFFFEB84"/>
        <color rgb="FF63BE7B"/>
      </colorScale>
    </cfRule>
  </conditionalFormatting>
  <conditionalFormatting sqref="E10:E27">
    <cfRule type="colorScale" priority="9424">
      <colorScale>
        <cfvo type="min"/>
        <cfvo type="percentile" val="50"/>
        <cfvo type="max"/>
        <color rgb="FFF8696B"/>
        <color rgb="FFFFEB84"/>
        <color rgb="FF63BE7B"/>
      </colorScale>
    </cfRule>
  </conditionalFormatting>
  <conditionalFormatting sqref="E10:E27">
    <cfRule type="colorScale" priority="9423">
      <colorScale>
        <cfvo type="min"/>
        <cfvo type="percentile" val="50"/>
        <cfvo type="max"/>
        <color rgb="FFF8696B"/>
        <color rgb="FFFFEB84"/>
        <color rgb="FF63BE7B"/>
      </colorScale>
    </cfRule>
  </conditionalFormatting>
  <conditionalFormatting sqref="E22:E27">
    <cfRule type="colorScale" priority="9422">
      <colorScale>
        <cfvo type="min"/>
        <cfvo type="percentile" val="50"/>
        <cfvo type="max"/>
        <color rgb="FFF8696B"/>
        <color rgb="FFFFEB84"/>
        <color rgb="FF63BE7B"/>
      </colorScale>
    </cfRule>
  </conditionalFormatting>
  <conditionalFormatting sqref="E22:E27">
    <cfRule type="colorScale" priority="9421">
      <colorScale>
        <cfvo type="min"/>
        <cfvo type="percentile" val="50"/>
        <cfvo type="max"/>
        <color rgb="FFF8696B"/>
        <color rgb="FFFFEB84"/>
        <color rgb="FF63BE7B"/>
      </colorScale>
    </cfRule>
  </conditionalFormatting>
  <conditionalFormatting sqref="E25">
    <cfRule type="colorScale" priority="9420">
      <colorScale>
        <cfvo type="min"/>
        <cfvo type="percentile" val="50"/>
        <cfvo type="max"/>
        <color rgb="FFF8696B"/>
        <color rgb="FFFFEB84"/>
        <color rgb="FF63BE7B"/>
      </colorScale>
    </cfRule>
  </conditionalFormatting>
  <conditionalFormatting sqref="E25">
    <cfRule type="colorScale" priority="9419">
      <colorScale>
        <cfvo type="min"/>
        <cfvo type="percentile" val="50"/>
        <cfvo type="max"/>
        <color rgb="FFF8696B"/>
        <color rgb="FFFFEB84"/>
        <color rgb="FF63BE7B"/>
      </colorScale>
    </cfRule>
  </conditionalFormatting>
  <conditionalFormatting sqref="E25">
    <cfRule type="colorScale" priority="9418">
      <colorScale>
        <cfvo type="min"/>
        <cfvo type="percentile" val="50"/>
        <cfvo type="max"/>
        <color rgb="FFF8696B"/>
        <color rgb="FFFFEB84"/>
        <color rgb="FF63BE7B"/>
      </colorScale>
    </cfRule>
  </conditionalFormatting>
  <conditionalFormatting sqref="E25">
    <cfRule type="colorScale" priority="9417">
      <colorScale>
        <cfvo type="min"/>
        <cfvo type="percentile" val="50"/>
        <cfvo type="max"/>
        <color rgb="FFF8696B"/>
        <color rgb="FFFFEB84"/>
        <color rgb="FF63BE7B"/>
      </colorScale>
    </cfRule>
  </conditionalFormatting>
  <conditionalFormatting sqref="E25">
    <cfRule type="colorScale" priority="9416">
      <colorScale>
        <cfvo type="min"/>
        <cfvo type="percentile" val="50"/>
        <cfvo type="max"/>
        <color rgb="FFF8696B"/>
        <color rgb="FFFFEB84"/>
        <color rgb="FF63BE7B"/>
      </colorScale>
    </cfRule>
  </conditionalFormatting>
  <conditionalFormatting sqref="E25">
    <cfRule type="colorScale" priority="9415">
      <colorScale>
        <cfvo type="min"/>
        <cfvo type="percentile" val="50"/>
        <cfvo type="max"/>
        <color rgb="FFF8696B"/>
        <color rgb="FFFFEB84"/>
        <color rgb="FF63BE7B"/>
      </colorScale>
    </cfRule>
  </conditionalFormatting>
  <conditionalFormatting sqref="E25">
    <cfRule type="colorScale" priority="9414">
      <colorScale>
        <cfvo type="min"/>
        <cfvo type="percentile" val="50"/>
        <cfvo type="max"/>
        <color rgb="FFF8696B"/>
        <color rgb="FFFFEB84"/>
        <color rgb="FF63BE7B"/>
      </colorScale>
    </cfRule>
  </conditionalFormatting>
  <conditionalFormatting sqref="E25">
    <cfRule type="colorScale" priority="9413">
      <colorScale>
        <cfvo type="min"/>
        <cfvo type="percentile" val="50"/>
        <cfvo type="max"/>
        <color rgb="FFF8696B"/>
        <color rgb="FFFFEB84"/>
        <color rgb="FF63BE7B"/>
      </colorScale>
    </cfRule>
  </conditionalFormatting>
  <conditionalFormatting sqref="E25">
    <cfRule type="colorScale" priority="9412">
      <colorScale>
        <cfvo type="min"/>
        <cfvo type="percentile" val="50"/>
        <cfvo type="max"/>
        <color rgb="FFF8696B"/>
        <color rgb="FFFFEB84"/>
        <color rgb="FF63BE7B"/>
      </colorScale>
    </cfRule>
  </conditionalFormatting>
  <conditionalFormatting sqref="E25">
    <cfRule type="colorScale" priority="9411">
      <colorScale>
        <cfvo type="min"/>
        <cfvo type="percentile" val="50"/>
        <cfvo type="max"/>
        <color rgb="FFF8696B"/>
        <color rgb="FFFFEB84"/>
        <color rgb="FF63BE7B"/>
      </colorScale>
    </cfRule>
  </conditionalFormatting>
  <conditionalFormatting sqref="E25">
    <cfRule type="colorScale" priority="9410">
      <colorScale>
        <cfvo type="min"/>
        <cfvo type="percentile" val="50"/>
        <cfvo type="max"/>
        <color rgb="FFF8696B"/>
        <color rgb="FFFFEB84"/>
        <color rgb="FF63BE7B"/>
      </colorScale>
    </cfRule>
  </conditionalFormatting>
  <conditionalFormatting sqref="E25">
    <cfRule type="colorScale" priority="9409">
      <colorScale>
        <cfvo type="min"/>
        <cfvo type="percentile" val="50"/>
        <cfvo type="max"/>
        <color rgb="FFF8696B"/>
        <color rgb="FFFFEB84"/>
        <color rgb="FF63BE7B"/>
      </colorScale>
    </cfRule>
  </conditionalFormatting>
  <conditionalFormatting sqref="E25">
    <cfRule type="colorScale" priority="9408">
      <colorScale>
        <cfvo type="min"/>
        <cfvo type="percentile" val="50"/>
        <cfvo type="max"/>
        <color rgb="FFF8696B"/>
        <color rgb="FFFFEB84"/>
        <color rgb="FF63BE7B"/>
      </colorScale>
    </cfRule>
  </conditionalFormatting>
  <conditionalFormatting sqref="E25">
    <cfRule type="colorScale" priority="9407">
      <colorScale>
        <cfvo type="min"/>
        <cfvo type="percentile" val="50"/>
        <cfvo type="max"/>
        <color rgb="FFF8696B"/>
        <color rgb="FFFFEB84"/>
        <color rgb="FF63BE7B"/>
      </colorScale>
    </cfRule>
  </conditionalFormatting>
  <conditionalFormatting sqref="E25">
    <cfRule type="colorScale" priority="9406">
      <colorScale>
        <cfvo type="min"/>
        <cfvo type="percentile" val="50"/>
        <cfvo type="max"/>
        <color rgb="FFF8696B"/>
        <color rgb="FFFFEB84"/>
        <color rgb="FF63BE7B"/>
      </colorScale>
    </cfRule>
  </conditionalFormatting>
  <conditionalFormatting sqref="E25">
    <cfRule type="colorScale" priority="9405">
      <colorScale>
        <cfvo type="min"/>
        <cfvo type="percentile" val="50"/>
        <cfvo type="max"/>
        <color rgb="FFF8696B"/>
        <color rgb="FFFFEB84"/>
        <color rgb="FF63BE7B"/>
      </colorScale>
    </cfRule>
  </conditionalFormatting>
  <conditionalFormatting sqref="E25">
    <cfRule type="colorScale" priority="9404">
      <colorScale>
        <cfvo type="min"/>
        <cfvo type="percentile" val="50"/>
        <cfvo type="max"/>
        <color rgb="FFF8696B"/>
        <color rgb="FFFFEB84"/>
        <color rgb="FF63BE7B"/>
      </colorScale>
    </cfRule>
  </conditionalFormatting>
  <conditionalFormatting sqref="E25">
    <cfRule type="colorScale" priority="9403">
      <colorScale>
        <cfvo type="min"/>
        <cfvo type="percentile" val="50"/>
        <cfvo type="max"/>
        <color rgb="FFF8696B"/>
        <color rgb="FFFFEB84"/>
        <color rgb="FF63BE7B"/>
      </colorScale>
    </cfRule>
  </conditionalFormatting>
  <conditionalFormatting sqref="E25">
    <cfRule type="colorScale" priority="9402">
      <colorScale>
        <cfvo type="min"/>
        <cfvo type="percentile" val="50"/>
        <cfvo type="max"/>
        <color rgb="FFF8696B"/>
        <color rgb="FFFFEB84"/>
        <color rgb="FF63BE7B"/>
      </colorScale>
    </cfRule>
  </conditionalFormatting>
  <conditionalFormatting sqref="E25">
    <cfRule type="colorScale" priority="9401">
      <colorScale>
        <cfvo type="min"/>
        <cfvo type="percentile" val="50"/>
        <cfvo type="max"/>
        <color rgb="FFF8696B"/>
        <color rgb="FFFFEB84"/>
        <color rgb="FF63BE7B"/>
      </colorScale>
    </cfRule>
  </conditionalFormatting>
  <conditionalFormatting sqref="E25">
    <cfRule type="colorScale" priority="9400">
      <colorScale>
        <cfvo type="min"/>
        <cfvo type="percentile" val="50"/>
        <cfvo type="max"/>
        <color rgb="FFF8696B"/>
        <color rgb="FFFFEB84"/>
        <color rgb="FF63BE7B"/>
      </colorScale>
    </cfRule>
  </conditionalFormatting>
  <conditionalFormatting sqref="E25">
    <cfRule type="colorScale" priority="9399">
      <colorScale>
        <cfvo type="min"/>
        <cfvo type="percentile" val="50"/>
        <cfvo type="max"/>
        <color rgb="FFF8696B"/>
        <color rgb="FFFFEB84"/>
        <color rgb="FF63BE7B"/>
      </colorScale>
    </cfRule>
  </conditionalFormatting>
  <conditionalFormatting sqref="E25">
    <cfRule type="colorScale" priority="9398">
      <colorScale>
        <cfvo type="min"/>
        <cfvo type="percentile" val="50"/>
        <cfvo type="max"/>
        <color rgb="FFF8696B"/>
        <color rgb="FFFFEB84"/>
        <color rgb="FF63BE7B"/>
      </colorScale>
    </cfRule>
  </conditionalFormatting>
  <conditionalFormatting sqref="E25">
    <cfRule type="colorScale" priority="9397">
      <colorScale>
        <cfvo type="min"/>
        <cfvo type="percentile" val="50"/>
        <cfvo type="max"/>
        <color rgb="FFF8696B"/>
        <color rgb="FFFFEB84"/>
        <color rgb="FF63BE7B"/>
      </colorScale>
    </cfRule>
  </conditionalFormatting>
  <conditionalFormatting sqref="E25">
    <cfRule type="colorScale" priority="9396">
      <colorScale>
        <cfvo type="min"/>
        <cfvo type="percentile" val="50"/>
        <cfvo type="max"/>
        <color rgb="FFF8696B"/>
        <color rgb="FFFFEB84"/>
        <color rgb="FF63BE7B"/>
      </colorScale>
    </cfRule>
  </conditionalFormatting>
  <conditionalFormatting sqref="E25">
    <cfRule type="colorScale" priority="9395">
      <colorScale>
        <cfvo type="min"/>
        <cfvo type="percentile" val="50"/>
        <cfvo type="max"/>
        <color rgb="FFF8696B"/>
        <color rgb="FFFFEB84"/>
        <color rgb="FF63BE7B"/>
      </colorScale>
    </cfRule>
  </conditionalFormatting>
  <conditionalFormatting sqref="E25">
    <cfRule type="colorScale" priority="9394">
      <colorScale>
        <cfvo type="min"/>
        <cfvo type="percentile" val="50"/>
        <cfvo type="max"/>
        <color rgb="FFF8696B"/>
        <color rgb="FFFFEB84"/>
        <color rgb="FF63BE7B"/>
      </colorScale>
    </cfRule>
  </conditionalFormatting>
  <conditionalFormatting sqref="E25">
    <cfRule type="colorScale" priority="9393">
      <colorScale>
        <cfvo type="min"/>
        <cfvo type="percentile" val="50"/>
        <cfvo type="max"/>
        <color rgb="FFF8696B"/>
        <color rgb="FFFFEB84"/>
        <color rgb="FF63BE7B"/>
      </colorScale>
    </cfRule>
  </conditionalFormatting>
  <conditionalFormatting sqref="E25">
    <cfRule type="colorScale" priority="9392">
      <colorScale>
        <cfvo type="min"/>
        <cfvo type="percentile" val="50"/>
        <cfvo type="max"/>
        <color rgb="FFF8696B"/>
        <color rgb="FFFFEB84"/>
        <color rgb="FF63BE7B"/>
      </colorScale>
    </cfRule>
  </conditionalFormatting>
  <conditionalFormatting sqref="E25">
    <cfRule type="colorScale" priority="9391">
      <colorScale>
        <cfvo type="min"/>
        <cfvo type="percentile" val="50"/>
        <cfvo type="max"/>
        <color rgb="FFF8696B"/>
        <color rgb="FFFFEB84"/>
        <color rgb="FF63BE7B"/>
      </colorScale>
    </cfRule>
  </conditionalFormatting>
  <conditionalFormatting sqref="E25">
    <cfRule type="colorScale" priority="9390">
      <colorScale>
        <cfvo type="min"/>
        <cfvo type="percentile" val="50"/>
        <cfvo type="max"/>
        <color rgb="FFF8696B"/>
        <color rgb="FFFFEB84"/>
        <color rgb="FF63BE7B"/>
      </colorScale>
    </cfRule>
  </conditionalFormatting>
  <conditionalFormatting sqref="E25">
    <cfRule type="colorScale" priority="9389">
      <colorScale>
        <cfvo type="min"/>
        <cfvo type="percentile" val="50"/>
        <cfvo type="max"/>
        <color rgb="FFF8696B"/>
        <color rgb="FFFFEB84"/>
        <color rgb="FF63BE7B"/>
      </colorScale>
    </cfRule>
  </conditionalFormatting>
  <conditionalFormatting sqref="E25">
    <cfRule type="colorScale" priority="9388">
      <colorScale>
        <cfvo type="min"/>
        <cfvo type="percentile" val="50"/>
        <cfvo type="max"/>
        <color rgb="FFF8696B"/>
        <color rgb="FFFFEB84"/>
        <color rgb="FF63BE7B"/>
      </colorScale>
    </cfRule>
  </conditionalFormatting>
  <conditionalFormatting sqref="E25">
    <cfRule type="colorScale" priority="9387">
      <colorScale>
        <cfvo type="min"/>
        <cfvo type="percentile" val="50"/>
        <cfvo type="max"/>
        <color rgb="FFF8696B"/>
        <color rgb="FFFFEB84"/>
        <color rgb="FF63BE7B"/>
      </colorScale>
    </cfRule>
  </conditionalFormatting>
  <conditionalFormatting sqref="E25">
    <cfRule type="colorScale" priority="9386">
      <colorScale>
        <cfvo type="min"/>
        <cfvo type="percentile" val="50"/>
        <cfvo type="max"/>
        <color rgb="FFF8696B"/>
        <color rgb="FFFFEB84"/>
        <color rgb="FF63BE7B"/>
      </colorScale>
    </cfRule>
  </conditionalFormatting>
  <conditionalFormatting sqref="E25">
    <cfRule type="colorScale" priority="9385">
      <colorScale>
        <cfvo type="min"/>
        <cfvo type="percentile" val="50"/>
        <cfvo type="max"/>
        <color rgb="FFF8696B"/>
        <color rgb="FFFFEB84"/>
        <color rgb="FF63BE7B"/>
      </colorScale>
    </cfRule>
  </conditionalFormatting>
  <conditionalFormatting sqref="E25">
    <cfRule type="colorScale" priority="9384">
      <colorScale>
        <cfvo type="min"/>
        <cfvo type="percentile" val="50"/>
        <cfvo type="max"/>
        <color rgb="FFF8696B"/>
        <color rgb="FFFFEB84"/>
        <color rgb="FF63BE7B"/>
      </colorScale>
    </cfRule>
  </conditionalFormatting>
  <conditionalFormatting sqref="E25">
    <cfRule type="colorScale" priority="9383">
      <colorScale>
        <cfvo type="min"/>
        <cfvo type="percentile" val="50"/>
        <cfvo type="max"/>
        <color rgb="FFF8696B"/>
        <color rgb="FFFFEB84"/>
        <color rgb="FF63BE7B"/>
      </colorScale>
    </cfRule>
  </conditionalFormatting>
  <conditionalFormatting sqref="E25">
    <cfRule type="colorScale" priority="9382">
      <colorScale>
        <cfvo type="min"/>
        <cfvo type="percentile" val="50"/>
        <cfvo type="max"/>
        <color rgb="FFF8696B"/>
        <color rgb="FFFFEB84"/>
        <color rgb="FF63BE7B"/>
      </colorScale>
    </cfRule>
  </conditionalFormatting>
  <conditionalFormatting sqref="E25">
    <cfRule type="colorScale" priority="9381">
      <colorScale>
        <cfvo type="min"/>
        <cfvo type="percentile" val="50"/>
        <cfvo type="max"/>
        <color rgb="FFF8696B"/>
        <color rgb="FFFFEB84"/>
        <color rgb="FF63BE7B"/>
      </colorScale>
    </cfRule>
  </conditionalFormatting>
  <conditionalFormatting sqref="E25">
    <cfRule type="colorScale" priority="9380">
      <colorScale>
        <cfvo type="min"/>
        <cfvo type="percentile" val="50"/>
        <cfvo type="max"/>
        <color rgb="FFF8696B"/>
        <color rgb="FFFFEB84"/>
        <color rgb="FF63BE7B"/>
      </colorScale>
    </cfRule>
  </conditionalFormatting>
  <conditionalFormatting sqref="E25">
    <cfRule type="colorScale" priority="9379">
      <colorScale>
        <cfvo type="min"/>
        <cfvo type="percentile" val="50"/>
        <cfvo type="max"/>
        <color rgb="FFF8696B"/>
        <color rgb="FFFFEB84"/>
        <color rgb="FF63BE7B"/>
      </colorScale>
    </cfRule>
  </conditionalFormatting>
  <conditionalFormatting sqref="E25">
    <cfRule type="colorScale" priority="9378">
      <colorScale>
        <cfvo type="min"/>
        <cfvo type="percentile" val="50"/>
        <cfvo type="max"/>
        <color rgb="FFF8696B"/>
        <color rgb="FFFFEB84"/>
        <color rgb="FF63BE7B"/>
      </colorScale>
    </cfRule>
  </conditionalFormatting>
  <conditionalFormatting sqref="E25">
    <cfRule type="colorScale" priority="9377">
      <colorScale>
        <cfvo type="min"/>
        <cfvo type="percentile" val="50"/>
        <cfvo type="max"/>
        <color rgb="FFF8696B"/>
        <color rgb="FFFFEB84"/>
        <color rgb="FF63BE7B"/>
      </colorScale>
    </cfRule>
  </conditionalFormatting>
  <conditionalFormatting sqref="E25">
    <cfRule type="colorScale" priority="9376">
      <colorScale>
        <cfvo type="min"/>
        <cfvo type="percentile" val="50"/>
        <cfvo type="max"/>
        <color rgb="FFF8696B"/>
        <color rgb="FFFFEB84"/>
        <color rgb="FF63BE7B"/>
      </colorScale>
    </cfRule>
  </conditionalFormatting>
  <conditionalFormatting sqref="E25">
    <cfRule type="colorScale" priority="9375">
      <colorScale>
        <cfvo type="min"/>
        <cfvo type="percentile" val="50"/>
        <cfvo type="max"/>
        <color rgb="FFF8696B"/>
        <color rgb="FFFFEB84"/>
        <color rgb="FF63BE7B"/>
      </colorScale>
    </cfRule>
  </conditionalFormatting>
  <conditionalFormatting sqref="E25">
    <cfRule type="colorScale" priority="9374">
      <colorScale>
        <cfvo type="min"/>
        <cfvo type="percentile" val="50"/>
        <cfvo type="max"/>
        <color rgb="FFF8696B"/>
        <color rgb="FFFFEB84"/>
        <color rgb="FF63BE7B"/>
      </colorScale>
    </cfRule>
  </conditionalFormatting>
  <conditionalFormatting sqref="E25">
    <cfRule type="colorScale" priority="9373">
      <colorScale>
        <cfvo type="min"/>
        <cfvo type="percentile" val="50"/>
        <cfvo type="max"/>
        <color rgb="FFF8696B"/>
        <color rgb="FFFFEB84"/>
        <color rgb="FF63BE7B"/>
      </colorScale>
    </cfRule>
  </conditionalFormatting>
  <conditionalFormatting sqref="E25">
    <cfRule type="colorScale" priority="9372">
      <colorScale>
        <cfvo type="min"/>
        <cfvo type="percentile" val="50"/>
        <cfvo type="max"/>
        <color rgb="FFF8696B"/>
        <color rgb="FFFFEB84"/>
        <color rgb="FF63BE7B"/>
      </colorScale>
    </cfRule>
  </conditionalFormatting>
  <conditionalFormatting sqref="E25">
    <cfRule type="colorScale" priority="9371">
      <colorScale>
        <cfvo type="min"/>
        <cfvo type="percentile" val="50"/>
        <cfvo type="max"/>
        <color rgb="FFF8696B"/>
        <color rgb="FFFFEB84"/>
        <color rgb="FF63BE7B"/>
      </colorScale>
    </cfRule>
  </conditionalFormatting>
  <conditionalFormatting sqref="E25">
    <cfRule type="colorScale" priority="9370">
      <colorScale>
        <cfvo type="min"/>
        <cfvo type="percentile" val="50"/>
        <cfvo type="max"/>
        <color rgb="FFF8696B"/>
        <color rgb="FFFFEB84"/>
        <color rgb="FF63BE7B"/>
      </colorScale>
    </cfRule>
  </conditionalFormatting>
  <conditionalFormatting sqref="E25">
    <cfRule type="colorScale" priority="9369">
      <colorScale>
        <cfvo type="min"/>
        <cfvo type="percentile" val="50"/>
        <cfvo type="max"/>
        <color rgb="FFF8696B"/>
        <color rgb="FFFFEB84"/>
        <color rgb="FF63BE7B"/>
      </colorScale>
    </cfRule>
  </conditionalFormatting>
  <conditionalFormatting sqref="E25">
    <cfRule type="colorScale" priority="9368">
      <colorScale>
        <cfvo type="min"/>
        <cfvo type="percentile" val="50"/>
        <cfvo type="max"/>
        <color rgb="FFF8696B"/>
        <color rgb="FFFFEB84"/>
        <color rgb="FF63BE7B"/>
      </colorScale>
    </cfRule>
  </conditionalFormatting>
  <conditionalFormatting sqref="E25">
    <cfRule type="colorScale" priority="9367">
      <colorScale>
        <cfvo type="min"/>
        <cfvo type="percentile" val="50"/>
        <cfvo type="max"/>
        <color rgb="FFF8696B"/>
        <color rgb="FFFFEB84"/>
        <color rgb="FF63BE7B"/>
      </colorScale>
    </cfRule>
  </conditionalFormatting>
  <conditionalFormatting sqref="E25">
    <cfRule type="colorScale" priority="9366">
      <colorScale>
        <cfvo type="min"/>
        <cfvo type="percentile" val="50"/>
        <cfvo type="max"/>
        <color rgb="FFF8696B"/>
        <color rgb="FFFFEB84"/>
        <color rgb="FF63BE7B"/>
      </colorScale>
    </cfRule>
  </conditionalFormatting>
  <conditionalFormatting sqref="E25">
    <cfRule type="colorScale" priority="9365">
      <colorScale>
        <cfvo type="min"/>
        <cfvo type="percentile" val="50"/>
        <cfvo type="max"/>
        <color rgb="FFF8696B"/>
        <color rgb="FFFFEB84"/>
        <color rgb="FF63BE7B"/>
      </colorScale>
    </cfRule>
  </conditionalFormatting>
  <conditionalFormatting sqref="E25">
    <cfRule type="colorScale" priority="9364">
      <colorScale>
        <cfvo type="min"/>
        <cfvo type="percentile" val="50"/>
        <cfvo type="max"/>
        <color rgb="FFF8696B"/>
        <color rgb="FFFFEB84"/>
        <color rgb="FF63BE7B"/>
      </colorScale>
    </cfRule>
  </conditionalFormatting>
  <conditionalFormatting sqref="E25">
    <cfRule type="colorScale" priority="9363">
      <colorScale>
        <cfvo type="min"/>
        <cfvo type="percentile" val="50"/>
        <cfvo type="max"/>
        <color rgb="FFF8696B"/>
        <color rgb="FFFFEB84"/>
        <color rgb="FF63BE7B"/>
      </colorScale>
    </cfRule>
  </conditionalFormatting>
  <conditionalFormatting sqref="E25">
    <cfRule type="colorScale" priority="9362">
      <colorScale>
        <cfvo type="min"/>
        <cfvo type="percentile" val="50"/>
        <cfvo type="max"/>
        <color rgb="FFF8696B"/>
        <color rgb="FFFFEB84"/>
        <color rgb="FF63BE7B"/>
      </colorScale>
    </cfRule>
  </conditionalFormatting>
  <conditionalFormatting sqref="E25">
    <cfRule type="colorScale" priority="9361">
      <colorScale>
        <cfvo type="min"/>
        <cfvo type="percentile" val="50"/>
        <cfvo type="max"/>
        <color rgb="FFF8696B"/>
        <color rgb="FFFFEB84"/>
        <color rgb="FF63BE7B"/>
      </colorScale>
    </cfRule>
  </conditionalFormatting>
  <conditionalFormatting sqref="E25">
    <cfRule type="colorScale" priority="9360">
      <colorScale>
        <cfvo type="min"/>
        <cfvo type="percentile" val="50"/>
        <cfvo type="max"/>
        <color rgb="FFF8696B"/>
        <color rgb="FFFFEB84"/>
        <color rgb="FF63BE7B"/>
      </colorScale>
    </cfRule>
  </conditionalFormatting>
  <conditionalFormatting sqref="E25">
    <cfRule type="colorScale" priority="9359">
      <colorScale>
        <cfvo type="min"/>
        <cfvo type="percentile" val="50"/>
        <cfvo type="max"/>
        <color rgb="FFF8696B"/>
        <color rgb="FFFFEB84"/>
        <color rgb="FF63BE7B"/>
      </colorScale>
    </cfRule>
  </conditionalFormatting>
  <conditionalFormatting sqref="E25">
    <cfRule type="colorScale" priority="9358">
      <colorScale>
        <cfvo type="min"/>
        <cfvo type="percentile" val="50"/>
        <cfvo type="max"/>
        <color rgb="FFF8696B"/>
        <color rgb="FFFFEB84"/>
        <color rgb="FF63BE7B"/>
      </colorScale>
    </cfRule>
  </conditionalFormatting>
  <conditionalFormatting sqref="E25">
    <cfRule type="colorScale" priority="9357">
      <colorScale>
        <cfvo type="min"/>
        <cfvo type="percentile" val="50"/>
        <cfvo type="max"/>
        <color rgb="FFF8696B"/>
        <color rgb="FFFFEB84"/>
        <color rgb="FF63BE7B"/>
      </colorScale>
    </cfRule>
  </conditionalFormatting>
  <conditionalFormatting sqref="E25">
    <cfRule type="colorScale" priority="9356">
      <colorScale>
        <cfvo type="min"/>
        <cfvo type="percentile" val="50"/>
        <cfvo type="max"/>
        <color rgb="FFF8696B"/>
        <color rgb="FFFFEB84"/>
        <color rgb="FF63BE7B"/>
      </colorScale>
    </cfRule>
  </conditionalFormatting>
  <conditionalFormatting sqref="E25">
    <cfRule type="colorScale" priority="9355">
      <colorScale>
        <cfvo type="min"/>
        <cfvo type="percentile" val="50"/>
        <cfvo type="max"/>
        <color rgb="FFF8696B"/>
        <color rgb="FFFFEB84"/>
        <color rgb="FF63BE7B"/>
      </colorScale>
    </cfRule>
  </conditionalFormatting>
  <conditionalFormatting sqref="E25">
    <cfRule type="colorScale" priority="9354">
      <colorScale>
        <cfvo type="min"/>
        <cfvo type="percentile" val="50"/>
        <cfvo type="max"/>
        <color rgb="FFF8696B"/>
        <color rgb="FFFFEB84"/>
        <color rgb="FF63BE7B"/>
      </colorScale>
    </cfRule>
  </conditionalFormatting>
  <conditionalFormatting sqref="E25">
    <cfRule type="colorScale" priority="9353">
      <colorScale>
        <cfvo type="min"/>
        <cfvo type="percentile" val="50"/>
        <cfvo type="max"/>
        <color rgb="FFF8696B"/>
        <color rgb="FFFFEB84"/>
        <color rgb="FF63BE7B"/>
      </colorScale>
    </cfRule>
  </conditionalFormatting>
  <conditionalFormatting sqref="E25">
    <cfRule type="colorScale" priority="9352">
      <colorScale>
        <cfvo type="min"/>
        <cfvo type="percentile" val="50"/>
        <cfvo type="max"/>
        <color rgb="FFF8696B"/>
        <color rgb="FFFFEB84"/>
        <color rgb="FF63BE7B"/>
      </colorScale>
    </cfRule>
  </conditionalFormatting>
  <conditionalFormatting sqref="E25">
    <cfRule type="colorScale" priority="9351">
      <colorScale>
        <cfvo type="min"/>
        <cfvo type="percentile" val="50"/>
        <cfvo type="max"/>
        <color rgb="FFF8696B"/>
        <color rgb="FFFFEB84"/>
        <color rgb="FF63BE7B"/>
      </colorScale>
    </cfRule>
  </conditionalFormatting>
  <conditionalFormatting sqref="E25">
    <cfRule type="colorScale" priority="9350">
      <colorScale>
        <cfvo type="min"/>
        <cfvo type="percentile" val="50"/>
        <cfvo type="max"/>
        <color rgb="FFF8696B"/>
        <color rgb="FFFFEB84"/>
        <color rgb="FF63BE7B"/>
      </colorScale>
    </cfRule>
  </conditionalFormatting>
  <conditionalFormatting sqref="E25">
    <cfRule type="colorScale" priority="9349">
      <colorScale>
        <cfvo type="min"/>
        <cfvo type="percentile" val="50"/>
        <cfvo type="max"/>
        <color rgb="FFF8696B"/>
        <color rgb="FFFFEB84"/>
        <color rgb="FF63BE7B"/>
      </colorScale>
    </cfRule>
  </conditionalFormatting>
  <conditionalFormatting sqref="E25">
    <cfRule type="colorScale" priority="9348">
      <colorScale>
        <cfvo type="min"/>
        <cfvo type="percentile" val="50"/>
        <cfvo type="max"/>
        <color rgb="FFF8696B"/>
        <color rgb="FFFFEB84"/>
        <color rgb="FF63BE7B"/>
      </colorScale>
    </cfRule>
  </conditionalFormatting>
  <conditionalFormatting sqref="E25">
    <cfRule type="colorScale" priority="9347">
      <colorScale>
        <cfvo type="min"/>
        <cfvo type="percentile" val="50"/>
        <cfvo type="max"/>
        <color rgb="FFF8696B"/>
        <color rgb="FFFFEB84"/>
        <color rgb="FF63BE7B"/>
      </colorScale>
    </cfRule>
  </conditionalFormatting>
  <conditionalFormatting sqref="E25">
    <cfRule type="colorScale" priority="9346">
      <colorScale>
        <cfvo type="min"/>
        <cfvo type="percentile" val="50"/>
        <cfvo type="max"/>
        <color rgb="FFF8696B"/>
        <color rgb="FFFFEB84"/>
        <color rgb="FF63BE7B"/>
      </colorScale>
    </cfRule>
  </conditionalFormatting>
  <conditionalFormatting sqref="E25">
    <cfRule type="colorScale" priority="9345">
      <colorScale>
        <cfvo type="min"/>
        <cfvo type="percentile" val="50"/>
        <cfvo type="max"/>
        <color rgb="FFF8696B"/>
        <color rgb="FFFFEB84"/>
        <color rgb="FF63BE7B"/>
      </colorScale>
    </cfRule>
  </conditionalFormatting>
  <conditionalFormatting sqref="E25">
    <cfRule type="colorScale" priority="9344">
      <colorScale>
        <cfvo type="min"/>
        <cfvo type="percentile" val="50"/>
        <cfvo type="max"/>
        <color rgb="FFF8696B"/>
        <color rgb="FFFFEB84"/>
        <color rgb="FF63BE7B"/>
      </colorScale>
    </cfRule>
  </conditionalFormatting>
  <conditionalFormatting sqref="E25">
    <cfRule type="colorScale" priority="9343">
      <colorScale>
        <cfvo type="min"/>
        <cfvo type="percentile" val="50"/>
        <cfvo type="max"/>
        <color rgb="FFF8696B"/>
        <color rgb="FFFFEB84"/>
        <color rgb="FF63BE7B"/>
      </colorScale>
    </cfRule>
  </conditionalFormatting>
  <conditionalFormatting sqref="E25">
    <cfRule type="colorScale" priority="9342">
      <colorScale>
        <cfvo type="min"/>
        <cfvo type="percentile" val="50"/>
        <cfvo type="max"/>
        <color rgb="FFF8696B"/>
        <color rgb="FFFFEB84"/>
        <color rgb="FF63BE7B"/>
      </colorScale>
    </cfRule>
  </conditionalFormatting>
  <conditionalFormatting sqref="E25">
    <cfRule type="colorScale" priority="9341">
      <colorScale>
        <cfvo type="min"/>
        <cfvo type="percentile" val="50"/>
        <cfvo type="max"/>
        <color rgb="FFF8696B"/>
        <color rgb="FFFFEB84"/>
        <color rgb="FF63BE7B"/>
      </colorScale>
    </cfRule>
  </conditionalFormatting>
  <conditionalFormatting sqref="E25">
    <cfRule type="colorScale" priority="9340">
      <colorScale>
        <cfvo type="min"/>
        <cfvo type="percentile" val="50"/>
        <cfvo type="max"/>
        <color rgb="FFF8696B"/>
        <color rgb="FFFFEB84"/>
        <color rgb="FF63BE7B"/>
      </colorScale>
    </cfRule>
  </conditionalFormatting>
  <conditionalFormatting sqref="E25">
    <cfRule type="colorScale" priority="9339">
      <colorScale>
        <cfvo type="min"/>
        <cfvo type="percentile" val="50"/>
        <cfvo type="max"/>
        <color rgb="FFF8696B"/>
        <color rgb="FFFFEB84"/>
        <color rgb="FF63BE7B"/>
      </colorScale>
    </cfRule>
  </conditionalFormatting>
  <conditionalFormatting sqref="E25">
    <cfRule type="colorScale" priority="9338">
      <colorScale>
        <cfvo type="min"/>
        <cfvo type="percentile" val="50"/>
        <cfvo type="max"/>
        <color rgb="FFF8696B"/>
        <color rgb="FFFFEB84"/>
        <color rgb="FF63BE7B"/>
      </colorScale>
    </cfRule>
  </conditionalFormatting>
  <conditionalFormatting sqref="E25">
    <cfRule type="colorScale" priority="9337">
      <colorScale>
        <cfvo type="min"/>
        <cfvo type="percentile" val="50"/>
        <cfvo type="max"/>
        <color rgb="FFF8696B"/>
        <color rgb="FFFFEB84"/>
        <color rgb="FF63BE7B"/>
      </colorScale>
    </cfRule>
  </conditionalFormatting>
  <conditionalFormatting sqref="E25">
    <cfRule type="colorScale" priority="9336">
      <colorScale>
        <cfvo type="min"/>
        <cfvo type="percentile" val="50"/>
        <cfvo type="max"/>
        <color rgb="FFF8696B"/>
        <color rgb="FFFFEB84"/>
        <color rgb="FF63BE7B"/>
      </colorScale>
    </cfRule>
  </conditionalFormatting>
  <conditionalFormatting sqref="E25">
    <cfRule type="colorScale" priority="9335">
      <colorScale>
        <cfvo type="min"/>
        <cfvo type="percentile" val="50"/>
        <cfvo type="max"/>
        <color rgb="FFF8696B"/>
        <color rgb="FFFFEB84"/>
        <color rgb="FF63BE7B"/>
      </colorScale>
    </cfRule>
  </conditionalFormatting>
  <conditionalFormatting sqref="E25">
    <cfRule type="colorScale" priority="9334">
      <colorScale>
        <cfvo type="min"/>
        <cfvo type="percentile" val="50"/>
        <cfvo type="max"/>
        <color rgb="FFF8696B"/>
        <color rgb="FFFFEB84"/>
        <color rgb="FF63BE7B"/>
      </colorScale>
    </cfRule>
  </conditionalFormatting>
  <conditionalFormatting sqref="E25">
    <cfRule type="colorScale" priority="9333">
      <colorScale>
        <cfvo type="min"/>
        <cfvo type="percentile" val="50"/>
        <cfvo type="max"/>
        <color rgb="FFF8696B"/>
        <color rgb="FFFFEB84"/>
        <color rgb="FF63BE7B"/>
      </colorScale>
    </cfRule>
  </conditionalFormatting>
  <conditionalFormatting sqref="E25">
    <cfRule type="colorScale" priority="9332">
      <colorScale>
        <cfvo type="min"/>
        <cfvo type="percentile" val="50"/>
        <cfvo type="max"/>
        <color rgb="FFF8696B"/>
        <color rgb="FFFFEB84"/>
        <color rgb="FF63BE7B"/>
      </colorScale>
    </cfRule>
  </conditionalFormatting>
  <conditionalFormatting sqref="E25">
    <cfRule type="colorScale" priority="9331">
      <colorScale>
        <cfvo type="min"/>
        <cfvo type="percentile" val="50"/>
        <cfvo type="max"/>
        <color rgb="FFF8696B"/>
        <color rgb="FFFFEB84"/>
        <color rgb="FF63BE7B"/>
      </colorScale>
    </cfRule>
  </conditionalFormatting>
  <conditionalFormatting sqref="E25">
    <cfRule type="colorScale" priority="9330">
      <colorScale>
        <cfvo type="min"/>
        <cfvo type="percentile" val="50"/>
        <cfvo type="max"/>
        <color rgb="FFF8696B"/>
        <color rgb="FFFFEB84"/>
        <color rgb="FF63BE7B"/>
      </colorScale>
    </cfRule>
  </conditionalFormatting>
  <conditionalFormatting sqref="E25">
    <cfRule type="colorScale" priority="9329">
      <colorScale>
        <cfvo type="min"/>
        <cfvo type="percentile" val="50"/>
        <cfvo type="max"/>
        <color rgb="FFF8696B"/>
        <color rgb="FFFFEB84"/>
        <color rgb="FF63BE7B"/>
      </colorScale>
    </cfRule>
  </conditionalFormatting>
  <conditionalFormatting sqref="E25">
    <cfRule type="colorScale" priority="9328">
      <colorScale>
        <cfvo type="min"/>
        <cfvo type="percentile" val="50"/>
        <cfvo type="max"/>
        <color rgb="FFF8696B"/>
        <color rgb="FFFFEB84"/>
        <color rgb="FF63BE7B"/>
      </colorScale>
    </cfRule>
  </conditionalFormatting>
  <conditionalFormatting sqref="E25">
    <cfRule type="colorScale" priority="9327">
      <colorScale>
        <cfvo type="min"/>
        <cfvo type="percentile" val="50"/>
        <cfvo type="max"/>
        <color rgb="FFF8696B"/>
        <color rgb="FFFFEB84"/>
        <color rgb="FF63BE7B"/>
      </colorScale>
    </cfRule>
  </conditionalFormatting>
  <conditionalFormatting sqref="E25">
    <cfRule type="colorScale" priority="9326">
      <colorScale>
        <cfvo type="min"/>
        <cfvo type="percentile" val="50"/>
        <cfvo type="max"/>
        <color rgb="FFF8696B"/>
        <color rgb="FFFFEB84"/>
        <color rgb="FF63BE7B"/>
      </colorScale>
    </cfRule>
  </conditionalFormatting>
  <conditionalFormatting sqref="E25">
    <cfRule type="colorScale" priority="9325">
      <colorScale>
        <cfvo type="min"/>
        <cfvo type="percentile" val="50"/>
        <cfvo type="max"/>
        <color rgb="FFF8696B"/>
        <color rgb="FFFFEB84"/>
        <color rgb="FF63BE7B"/>
      </colorScale>
    </cfRule>
  </conditionalFormatting>
  <conditionalFormatting sqref="E25">
    <cfRule type="colorScale" priority="9324">
      <colorScale>
        <cfvo type="min"/>
        <cfvo type="percentile" val="50"/>
        <cfvo type="max"/>
        <color rgb="FFF8696B"/>
        <color rgb="FFFFEB84"/>
        <color rgb="FF63BE7B"/>
      </colorScale>
    </cfRule>
  </conditionalFormatting>
  <conditionalFormatting sqref="E25">
    <cfRule type="colorScale" priority="9323">
      <colorScale>
        <cfvo type="min"/>
        <cfvo type="percentile" val="50"/>
        <cfvo type="max"/>
        <color rgb="FFF8696B"/>
        <color rgb="FFFFEB84"/>
        <color rgb="FF63BE7B"/>
      </colorScale>
    </cfRule>
  </conditionalFormatting>
  <conditionalFormatting sqref="E25">
    <cfRule type="colorScale" priority="9322">
      <colorScale>
        <cfvo type="min"/>
        <cfvo type="percentile" val="50"/>
        <cfvo type="max"/>
        <color rgb="FFF8696B"/>
        <color rgb="FFFFEB84"/>
        <color rgb="FF63BE7B"/>
      </colorScale>
    </cfRule>
  </conditionalFormatting>
  <conditionalFormatting sqref="E25">
    <cfRule type="colorScale" priority="9321">
      <colorScale>
        <cfvo type="min"/>
        <cfvo type="percentile" val="50"/>
        <cfvo type="max"/>
        <color rgb="FFF8696B"/>
        <color rgb="FFFFEB84"/>
        <color rgb="FF63BE7B"/>
      </colorScale>
    </cfRule>
  </conditionalFormatting>
  <conditionalFormatting sqref="E25">
    <cfRule type="colorScale" priority="9320">
      <colorScale>
        <cfvo type="min"/>
        <cfvo type="percentile" val="50"/>
        <cfvo type="max"/>
        <color rgb="FFF8696B"/>
        <color rgb="FFFFEB84"/>
        <color rgb="FF63BE7B"/>
      </colorScale>
    </cfRule>
  </conditionalFormatting>
  <conditionalFormatting sqref="E25">
    <cfRule type="colorScale" priority="9319">
      <colorScale>
        <cfvo type="min"/>
        <cfvo type="percentile" val="50"/>
        <cfvo type="max"/>
        <color rgb="FFF8696B"/>
        <color rgb="FFFFEB84"/>
        <color rgb="FF63BE7B"/>
      </colorScale>
    </cfRule>
  </conditionalFormatting>
  <conditionalFormatting sqref="E25">
    <cfRule type="colorScale" priority="9318">
      <colorScale>
        <cfvo type="min"/>
        <cfvo type="percentile" val="50"/>
        <cfvo type="max"/>
        <color rgb="FFF8696B"/>
        <color rgb="FFFFEB84"/>
        <color rgb="FF63BE7B"/>
      </colorScale>
    </cfRule>
  </conditionalFormatting>
  <conditionalFormatting sqref="E25">
    <cfRule type="colorScale" priority="9317">
      <colorScale>
        <cfvo type="min"/>
        <cfvo type="percentile" val="50"/>
        <cfvo type="max"/>
        <color rgb="FFF8696B"/>
        <color rgb="FFFFEB84"/>
        <color rgb="FF63BE7B"/>
      </colorScale>
    </cfRule>
  </conditionalFormatting>
  <conditionalFormatting sqref="E25">
    <cfRule type="colorScale" priority="9316">
      <colorScale>
        <cfvo type="min"/>
        <cfvo type="percentile" val="50"/>
        <cfvo type="max"/>
        <color rgb="FFF8696B"/>
        <color rgb="FFFFEB84"/>
        <color rgb="FF63BE7B"/>
      </colorScale>
    </cfRule>
  </conditionalFormatting>
  <conditionalFormatting sqref="E25">
    <cfRule type="colorScale" priority="9315">
      <colorScale>
        <cfvo type="min"/>
        <cfvo type="percentile" val="50"/>
        <cfvo type="max"/>
        <color rgb="FFF8696B"/>
        <color rgb="FFFFEB84"/>
        <color rgb="FF63BE7B"/>
      </colorScale>
    </cfRule>
  </conditionalFormatting>
  <conditionalFormatting sqref="E25">
    <cfRule type="colorScale" priority="9314">
      <colorScale>
        <cfvo type="min"/>
        <cfvo type="percentile" val="50"/>
        <cfvo type="max"/>
        <color rgb="FFF8696B"/>
        <color rgb="FFFFEB84"/>
        <color rgb="FF63BE7B"/>
      </colorScale>
    </cfRule>
  </conditionalFormatting>
  <conditionalFormatting sqref="E25">
    <cfRule type="colorScale" priority="9313">
      <colorScale>
        <cfvo type="min"/>
        <cfvo type="percentile" val="50"/>
        <cfvo type="max"/>
        <color rgb="FFF8696B"/>
        <color rgb="FFFFEB84"/>
        <color rgb="FF63BE7B"/>
      </colorScale>
    </cfRule>
  </conditionalFormatting>
  <conditionalFormatting sqref="E25">
    <cfRule type="colorScale" priority="9312">
      <colorScale>
        <cfvo type="min"/>
        <cfvo type="percentile" val="50"/>
        <cfvo type="max"/>
        <color rgb="FFF8696B"/>
        <color rgb="FFFFEB84"/>
        <color rgb="FF63BE7B"/>
      </colorScale>
    </cfRule>
  </conditionalFormatting>
  <conditionalFormatting sqref="E25">
    <cfRule type="colorScale" priority="9311">
      <colorScale>
        <cfvo type="min"/>
        <cfvo type="percentile" val="50"/>
        <cfvo type="max"/>
        <color rgb="FFF8696B"/>
        <color rgb="FFFFEB84"/>
        <color rgb="FF63BE7B"/>
      </colorScale>
    </cfRule>
  </conditionalFormatting>
  <conditionalFormatting sqref="E25">
    <cfRule type="colorScale" priority="9310">
      <colorScale>
        <cfvo type="min"/>
        <cfvo type="percentile" val="50"/>
        <cfvo type="max"/>
        <color rgb="FFF8696B"/>
        <color rgb="FFFFEB84"/>
        <color rgb="FF63BE7B"/>
      </colorScale>
    </cfRule>
  </conditionalFormatting>
  <conditionalFormatting sqref="E25">
    <cfRule type="colorScale" priority="9309">
      <colorScale>
        <cfvo type="min"/>
        <cfvo type="percentile" val="50"/>
        <cfvo type="max"/>
        <color rgb="FFF8696B"/>
        <color rgb="FFFFEB84"/>
        <color rgb="FF63BE7B"/>
      </colorScale>
    </cfRule>
  </conditionalFormatting>
  <conditionalFormatting sqref="E25">
    <cfRule type="colorScale" priority="9308">
      <colorScale>
        <cfvo type="min"/>
        <cfvo type="percentile" val="50"/>
        <cfvo type="max"/>
        <color rgb="FFF8696B"/>
        <color rgb="FFFFEB84"/>
        <color rgb="FF63BE7B"/>
      </colorScale>
    </cfRule>
  </conditionalFormatting>
  <conditionalFormatting sqref="E25">
    <cfRule type="colorScale" priority="9307">
      <colorScale>
        <cfvo type="min"/>
        <cfvo type="percentile" val="50"/>
        <cfvo type="max"/>
        <color rgb="FFF8696B"/>
        <color rgb="FFFFEB84"/>
        <color rgb="FF63BE7B"/>
      </colorScale>
    </cfRule>
  </conditionalFormatting>
  <conditionalFormatting sqref="E25">
    <cfRule type="colorScale" priority="9306">
      <colorScale>
        <cfvo type="min"/>
        <cfvo type="percentile" val="50"/>
        <cfvo type="max"/>
        <color rgb="FFF8696B"/>
        <color rgb="FFFFEB84"/>
        <color rgb="FF63BE7B"/>
      </colorScale>
    </cfRule>
  </conditionalFormatting>
  <conditionalFormatting sqref="E25">
    <cfRule type="colorScale" priority="9305">
      <colorScale>
        <cfvo type="min"/>
        <cfvo type="percentile" val="50"/>
        <cfvo type="max"/>
        <color rgb="FFF8696B"/>
        <color rgb="FFFFEB84"/>
        <color rgb="FF63BE7B"/>
      </colorScale>
    </cfRule>
  </conditionalFormatting>
  <conditionalFormatting sqref="E25">
    <cfRule type="colorScale" priority="9304">
      <colorScale>
        <cfvo type="min"/>
        <cfvo type="percentile" val="50"/>
        <cfvo type="max"/>
        <color rgb="FFF8696B"/>
        <color rgb="FFFFEB84"/>
        <color rgb="FF63BE7B"/>
      </colorScale>
    </cfRule>
  </conditionalFormatting>
  <conditionalFormatting sqref="E25">
    <cfRule type="colorScale" priority="9303">
      <colorScale>
        <cfvo type="min"/>
        <cfvo type="percentile" val="50"/>
        <cfvo type="max"/>
        <color rgb="FFF8696B"/>
        <color rgb="FFFFEB84"/>
        <color rgb="FF63BE7B"/>
      </colorScale>
    </cfRule>
  </conditionalFormatting>
  <conditionalFormatting sqref="E25">
    <cfRule type="colorScale" priority="9302">
      <colorScale>
        <cfvo type="min"/>
        <cfvo type="percentile" val="50"/>
        <cfvo type="max"/>
        <color rgb="FFF8696B"/>
        <color rgb="FFFFEB84"/>
        <color rgb="FF63BE7B"/>
      </colorScale>
    </cfRule>
  </conditionalFormatting>
  <conditionalFormatting sqref="E25">
    <cfRule type="colorScale" priority="9301">
      <colorScale>
        <cfvo type="min"/>
        <cfvo type="percentile" val="50"/>
        <cfvo type="max"/>
        <color rgb="FFF8696B"/>
        <color rgb="FFFFEB84"/>
        <color rgb="FF63BE7B"/>
      </colorScale>
    </cfRule>
  </conditionalFormatting>
  <conditionalFormatting sqref="E25">
    <cfRule type="colorScale" priority="9300">
      <colorScale>
        <cfvo type="min"/>
        <cfvo type="percentile" val="50"/>
        <cfvo type="max"/>
        <color rgb="FFF8696B"/>
        <color rgb="FFFFEB84"/>
        <color rgb="FF63BE7B"/>
      </colorScale>
    </cfRule>
  </conditionalFormatting>
  <conditionalFormatting sqref="E25">
    <cfRule type="colorScale" priority="9299">
      <colorScale>
        <cfvo type="min"/>
        <cfvo type="percentile" val="50"/>
        <cfvo type="max"/>
        <color rgb="FFF8696B"/>
        <color rgb="FFFFEB84"/>
        <color rgb="FF63BE7B"/>
      </colorScale>
    </cfRule>
  </conditionalFormatting>
  <conditionalFormatting sqref="E25">
    <cfRule type="colorScale" priority="9298">
      <colorScale>
        <cfvo type="min"/>
        <cfvo type="percentile" val="50"/>
        <cfvo type="max"/>
        <color rgb="FFF8696B"/>
        <color rgb="FFFFEB84"/>
        <color rgb="FF63BE7B"/>
      </colorScale>
    </cfRule>
  </conditionalFormatting>
  <conditionalFormatting sqref="E25">
    <cfRule type="colorScale" priority="9297">
      <colorScale>
        <cfvo type="min"/>
        <cfvo type="percentile" val="50"/>
        <cfvo type="max"/>
        <color rgb="FFF8696B"/>
        <color rgb="FFFFEB84"/>
        <color rgb="FF63BE7B"/>
      </colorScale>
    </cfRule>
  </conditionalFormatting>
  <conditionalFormatting sqref="E25">
    <cfRule type="colorScale" priority="9296">
      <colorScale>
        <cfvo type="min"/>
        <cfvo type="percentile" val="50"/>
        <cfvo type="max"/>
        <color rgb="FFF8696B"/>
        <color rgb="FFFFEB84"/>
        <color rgb="FF63BE7B"/>
      </colorScale>
    </cfRule>
  </conditionalFormatting>
  <conditionalFormatting sqref="E25">
    <cfRule type="colorScale" priority="9295">
      <colorScale>
        <cfvo type="min"/>
        <cfvo type="percentile" val="50"/>
        <cfvo type="max"/>
        <color rgb="FFF8696B"/>
        <color rgb="FFFFEB84"/>
        <color rgb="FF63BE7B"/>
      </colorScale>
    </cfRule>
  </conditionalFormatting>
  <conditionalFormatting sqref="E25">
    <cfRule type="colorScale" priority="9294">
      <colorScale>
        <cfvo type="min"/>
        <cfvo type="percentile" val="50"/>
        <cfvo type="max"/>
        <color rgb="FFF8696B"/>
        <color rgb="FFFFEB84"/>
        <color rgb="FF63BE7B"/>
      </colorScale>
    </cfRule>
  </conditionalFormatting>
  <conditionalFormatting sqref="E25">
    <cfRule type="colorScale" priority="9293">
      <colorScale>
        <cfvo type="min"/>
        <cfvo type="percentile" val="50"/>
        <cfvo type="max"/>
        <color rgb="FFF8696B"/>
        <color rgb="FFFFEB84"/>
        <color rgb="FF63BE7B"/>
      </colorScale>
    </cfRule>
  </conditionalFormatting>
  <conditionalFormatting sqref="E25">
    <cfRule type="colorScale" priority="9292">
      <colorScale>
        <cfvo type="min"/>
        <cfvo type="percentile" val="50"/>
        <cfvo type="max"/>
        <color rgb="FFF8696B"/>
        <color rgb="FFFFEB84"/>
        <color rgb="FF63BE7B"/>
      </colorScale>
    </cfRule>
  </conditionalFormatting>
  <conditionalFormatting sqref="E25">
    <cfRule type="colorScale" priority="9291">
      <colorScale>
        <cfvo type="min"/>
        <cfvo type="percentile" val="50"/>
        <cfvo type="max"/>
        <color rgb="FFF8696B"/>
        <color rgb="FFFFEB84"/>
        <color rgb="FF63BE7B"/>
      </colorScale>
    </cfRule>
  </conditionalFormatting>
  <conditionalFormatting sqref="E25">
    <cfRule type="colorScale" priority="9290">
      <colorScale>
        <cfvo type="min"/>
        <cfvo type="percentile" val="50"/>
        <cfvo type="max"/>
        <color rgb="FFF8696B"/>
        <color rgb="FFFFEB84"/>
        <color rgb="FF63BE7B"/>
      </colorScale>
    </cfRule>
  </conditionalFormatting>
  <conditionalFormatting sqref="E25">
    <cfRule type="colorScale" priority="9289">
      <colorScale>
        <cfvo type="min"/>
        <cfvo type="percentile" val="50"/>
        <cfvo type="max"/>
        <color rgb="FFF8696B"/>
        <color rgb="FFFFEB84"/>
        <color rgb="FF63BE7B"/>
      </colorScale>
    </cfRule>
  </conditionalFormatting>
  <conditionalFormatting sqref="E25">
    <cfRule type="colorScale" priority="9288">
      <colorScale>
        <cfvo type="min"/>
        <cfvo type="percentile" val="50"/>
        <cfvo type="max"/>
        <color rgb="FFF8696B"/>
        <color rgb="FFFFEB84"/>
        <color rgb="FF63BE7B"/>
      </colorScale>
    </cfRule>
  </conditionalFormatting>
  <conditionalFormatting sqref="E25">
    <cfRule type="colorScale" priority="9287">
      <colorScale>
        <cfvo type="min"/>
        <cfvo type="percentile" val="50"/>
        <cfvo type="max"/>
        <color rgb="FFF8696B"/>
        <color rgb="FFFFEB84"/>
        <color rgb="FF63BE7B"/>
      </colorScale>
    </cfRule>
  </conditionalFormatting>
  <conditionalFormatting sqref="E25">
    <cfRule type="colorScale" priority="9286">
      <colorScale>
        <cfvo type="min"/>
        <cfvo type="percentile" val="50"/>
        <cfvo type="max"/>
        <color rgb="FFF8696B"/>
        <color rgb="FFFFEB84"/>
        <color rgb="FF63BE7B"/>
      </colorScale>
    </cfRule>
  </conditionalFormatting>
  <conditionalFormatting sqref="E25">
    <cfRule type="colorScale" priority="9285">
      <colorScale>
        <cfvo type="min"/>
        <cfvo type="percentile" val="50"/>
        <cfvo type="max"/>
        <color rgb="FFF8696B"/>
        <color rgb="FFFFEB84"/>
        <color rgb="FF63BE7B"/>
      </colorScale>
    </cfRule>
  </conditionalFormatting>
  <conditionalFormatting sqref="E25">
    <cfRule type="colorScale" priority="9284">
      <colorScale>
        <cfvo type="min"/>
        <cfvo type="percentile" val="50"/>
        <cfvo type="max"/>
        <color rgb="FFF8696B"/>
        <color rgb="FFFFEB84"/>
        <color rgb="FF63BE7B"/>
      </colorScale>
    </cfRule>
  </conditionalFormatting>
  <conditionalFormatting sqref="E25">
    <cfRule type="colorScale" priority="9283">
      <colorScale>
        <cfvo type="min"/>
        <cfvo type="percentile" val="50"/>
        <cfvo type="max"/>
        <color rgb="FFF8696B"/>
        <color rgb="FFFFEB84"/>
        <color rgb="FF63BE7B"/>
      </colorScale>
    </cfRule>
  </conditionalFormatting>
  <conditionalFormatting sqref="E25">
    <cfRule type="colorScale" priority="9282">
      <colorScale>
        <cfvo type="min"/>
        <cfvo type="percentile" val="50"/>
        <cfvo type="max"/>
        <color rgb="FFF8696B"/>
        <color rgb="FFFFEB84"/>
        <color rgb="FF63BE7B"/>
      </colorScale>
    </cfRule>
  </conditionalFormatting>
  <conditionalFormatting sqref="E25">
    <cfRule type="colorScale" priority="9281">
      <colorScale>
        <cfvo type="min"/>
        <cfvo type="percentile" val="50"/>
        <cfvo type="max"/>
        <color rgb="FFF8696B"/>
        <color rgb="FFFFEB84"/>
        <color rgb="FF63BE7B"/>
      </colorScale>
    </cfRule>
  </conditionalFormatting>
  <conditionalFormatting sqref="E25">
    <cfRule type="colorScale" priority="9280">
      <colorScale>
        <cfvo type="min"/>
        <cfvo type="percentile" val="50"/>
        <cfvo type="max"/>
        <color rgb="FFF8696B"/>
        <color rgb="FFFFEB84"/>
        <color rgb="FF63BE7B"/>
      </colorScale>
    </cfRule>
  </conditionalFormatting>
  <conditionalFormatting sqref="E25">
    <cfRule type="colorScale" priority="9279">
      <colorScale>
        <cfvo type="min"/>
        <cfvo type="percentile" val="50"/>
        <cfvo type="max"/>
        <color rgb="FFF8696B"/>
        <color rgb="FFFFEB84"/>
        <color rgb="FF63BE7B"/>
      </colorScale>
    </cfRule>
  </conditionalFormatting>
  <conditionalFormatting sqref="E25">
    <cfRule type="colorScale" priority="9278">
      <colorScale>
        <cfvo type="min"/>
        <cfvo type="percentile" val="50"/>
        <cfvo type="max"/>
        <color rgb="FFF8696B"/>
        <color rgb="FFFFEB84"/>
        <color rgb="FF63BE7B"/>
      </colorScale>
    </cfRule>
  </conditionalFormatting>
  <conditionalFormatting sqref="E25">
    <cfRule type="colorScale" priority="9277">
      <colorScale>
        <cfvo type="min"/>
        <cfvo type="percentile" val="50"/>
        <cfvo type="max"/>
        <color rgb="FFF8696B"/>
        <color rgb="FFFFEB84"/>
        <color rgb="FF63BE7B"/>
      </colorScale>
    </cfRule>
  </conditionalFormatting>
  <conditionalFormatting sqref="E25">
    <cfRule type="colorScale" priority="9276">
      <colorScale>
        <cfvo type="min"/>
        <cfvo type="percentile" val="50"/>
        <cfvo type="max"/>
        <color rgb="FFF8696B"/>
        <color rgb="FFFFEB84"/>
        <color rgb="FF63BE7B"/>
      </colorScale>
    </cfRule>
  </conditionalFormatting>
  <conditionalFormatting sqref="F10:F24">
    <cfRule type="colorScale" priority="9275">
      <colorScale>
        <cfvo type="min"/>
        <cfvo type="percentile" val="50"/>
        <cfvo type="max"/>
        <color rgb="FFF8696B"/>
        <color rgb="FFFFEB84"/>
        <color rgb="FF63BE7B"/>
      </colorScale>
    </cfRule>
  </conditionalFormatting>
  <conditionalFormatting sqref="F10:F24">
    <cfRule type="colorScale" priority="9274">
      <colorScale>
        <cfvo type="min"/>
        <cfvo type="percentile" val="50"/>
        <cfvo type="max"/>
        <color rgb="FFF8696B"/>
        <color rgb="FFFFEB84"/>
        <color rgb="FF63BE7B"/>
      </colorScale>
    </cfRule>
  </conditionalFormatting>
  <conditionalFormatting sqref="F10:F24">
    <cfRule type="colorScale" priority="9273">
      <colorScale>
        <cfvo type="min"/>
        <cfvo type="percentile" val="50"/>
        <cfvo type="max"/>
        <color rgb="FFF8696B"/>
        <color rgb="FFFFEB84"/>
        <color rgb="FF63BE7B"/>
      </colorScale>
    </cfRule>
  </conditionalFormatting>
  <conditionalFormatting sqref="F10:F24">
    <cfRule type="colorScale" priority="9272">
      <colorScale>
        <cfvo type="min"/>
        <cfvo type="percentile" val="50"/>
        <cfvo type="max"/>
        <color rgb="FFF8696B"/>
        <color rgb="FFFFEB84"/>
        <color rgb="FF63BE7B"/>
      </colorScale>
    </cfRule>
  </conditionalFormatting>
  <conditionalFormatting sqref="F10:F24">
    <cfRule type="colorScale" priority="9271">
      <colorScale>
        <cfvo type="min"/>
        <cfvo type="percentile" val="50"/>
        <cfvo type="max"/>
        <color rgb="FFF8696B"/>
        <color rgb="FFFFEB84"/>
        <color rgb="FF63BE7B"/>
      </colorScale>
    </cfRule>
  </conditionalFormatting>
  <conditionalFormatting sqref="F10:F24">
    <cfRule type="colorScale" priority="9270">
      <colorScale>
        <cfvo type="min"/>
        <cfvo type="percentile" val="50"/>
        <cfvo type="max"/>
        <color rgb="FFF8696B"/>
        <color rgb="FFFFEB84"/>
        <color rgb="FF63BE7B"/>
      </colorScale>
    </cfRule>
  </conditionalFormatting>
  <conditionalFormatting sqref="F10:F24">
    <cfRule type="colorScale" priority="9269">
      <colorScale>
        <cfvo type="min"/>
        <cfvo type="percentile" val="50"/>
        <cfvo type="max"/>
        <color rgb="FFF8696B"/>
        <color rgb="FFFFEB84"/>
        <color rgb="FF63BE7B"/>
      </colorScale>
    </cfRule>
  </conditionalFormatting>
  <conditionalFormatting sqref="F10:F24">
    <cfRule type="colorScale" priority="9268">
      <colorScale>
        <cfvo type="min"/>
        <cfvo type="percentile" val="50"/>
        <cfvo type="max"/>
        <color rgb="FFF8696B"/>
        <color rgb="FFFFEB84"/>
        <color rgb="FF63BE7B"/>
      </colorScale>
    </cfRule>
  </conditionalFormatting>
  <conditionalFormatting sqref="F10:F24">
    <cfRule type="colorScale" priority="9267">
      <colorScale>
        <cfvo type="min"/>
        <cfvo type="percentile" val="50"/>
        <cfvo type="max"/>
        <color rgb="FFF8696B"/>
        <color rgb="FFFFEB84"/>
        <color rgb="FF63BE7B"/>
      </colorScale>
    </cfRule>
  </conditionalFormatting>
  <conditionalFormatting sqref="F10:F24">
    <cfRule type="colorScale" priority="9266">
      <colorScale>
        <cfvo type="min"/>
        <cfvo type="percentile" val="50"/>
        <cfvo type="max"/>
        <color rgb="FFF8696B"/>
        <color rgb="FFFFEB84"/>
        <color rgb="FF63BE7B"/>
      </colorScale>
    </cfRule>
  </conditionalFormatting>
  <conditionalFormatting sqref="F10:F24">
    <cfRule type="colorScale" priority="9265">
      <colorScale>
        <cfvo type="min"/>
        <cfvo type="percentile" val="50"/>
        <cfvo type="max"/>
        <color rgb="FFF8696B"/>
        <color rgb="FFFFEB84"/>
        <color rgb="FF63BE7B"/>
      </colorScale>
    </cfRule>
  </conditionalFormatting>
  <conditionalFormatting sqref="F10:F24">
    <cfRule type="colorScale" priority="9264">
      <colorScale>
        <cfvo type="min"/>
        <cfvo type="percentile" val="50"/>
        <cfvo type="max"/>
        <color rgb="FFF8696B"/>
        <color rgb="FFFFEB84"/>
        <color rgb="FF63BE7B"/>
      </colorScale>
    </cfRule>
  </conditionalFormatting>
  <conditionalFormatting sqref="F10:F24">
    <cfRule type="colorScale" priority="9263">
      <colorScale>
        <cfvo type="min"/>
        <cfvo type="percentile" val="50"/>
        <cfvo type="max"/>
        <color rgb="FFF8696B"/>
        <color rgb="FFFFEB84"/>
        <color rgb="FF63BE7B"/>
      </colorScale>
    </cfRule>
  </conditionalFormatting>
  <conditionalFormatting sqref="F10:F24">
    <cfRule type="colorScale" priority="9262">
      <colorScale>
        <cfvo type="min"/>
        <cfvo type="percentile" val="50"/>
        <cfvo type="max"/>
        <color rgb="FFF8696B"/>
        <color rgb="FFFFEB84"/>
        <color rgb="FF63BE7B"/>
      </colorScale>
    </cfRule>
  </conditionalFormatting>
  <conditionalFormatting sqref="F10:F24">
    <cfRule type="colorScale" priority="9261">
      <colorScale>
        <cfvo type="min"/>
        <cfvo type="percentile" val="50"/>
        <cfvo type="max"/>
        <color rgb="FFF8696B"/>
        <color rgb="FFFFEB84"/>
        <color rgb="FF63BE7B"/>
      </colorScale>
    </cfRule>
  </conditionalFormatting>
  <conditionalFormatting sqref="F10:F24">
    <cfRule type="colorScale" priority="9260">
      <colorScale>
        <cfvo type="min"/>
        <cfvo type="percentile" val="50"/>
        <cfvo type="max"/>
        <color rgb="FFF8696B"/>
        <color rgb="FFFFEB84"/>
        <color rgb="FF63BE7B"/>
      </colorScale>
    </cfRule>
  </conditionalFormatting>
  <conditionalFormatting sqref="F10:F24">
    <cfRule type="colorScale" priority="9259">
      <colorScale>
        <cfvo type="min"/>
        <cfvo type="percentile" val="50"/>
        <cfvo type="max"/>
        <color rgb="FFF8696B"/>
        <color rgb="FFFFEB84"/>
        <color rgb="FF63BE7B"/>
      </colorScale>
    </cfRule>
  </conditionalFormatting>
  <conditionalFormatting sqref="F10:F24">
    <cfRule type="colorScale" priority="9258">
      <colorScale>
        <cfvo type="min"/>
        <cfvo type="percentile" val="50"/>
        <cfvo type="max"/>
        <color rgb="FFF8696B"/>
        <color rgb="FFFFEB84"/>
        <color rgb="FF63BE7B"/>
      </colorScale>
    </cfRule>
  </conditionalFormatting>
  <conditionalFormatting sqref="F10:F24">
    <cfRule type="colorScale" priority="9257">
      <colorScale>
        <cfvo type="min"/>
        <cfvo type="percentile" val="50"/>
        <cfvo type="max"/>
        <color rgb="FFF8696B"/>
        <color rgb="FFFFEB84"/>
        <color rgb="FF63BE7B"/>
      </colorScale>
    </cfRule>
  </conditionalFormatting>
  <conditionalFormatting sqref="F10:F24">
    <cfRule type="colorScale" priority="9256">
      <colorScale>
        <cfvo type="min"/>
        <cfvo type="percentile" val="50"/>
        <cfvo type="max"/>
        <color rgb="FFF8696B"/>
        <color rgb="FFFFEB84"/>
        <color rgb="FF63BE7B"/>
      </colorScale>
    </cfRule>
  </conditionalFormatting>
  <conditionalFormatting sqref="F10:F24">
    <cfRule type="colorScale" priority="9255">
      <colorScale>
        <cfvo type="min"/>
        <cfvo type="percentile" val="50"/>
        <cfvo type="max"/>
        <color rgb="FFF8696B"/>
        <color rgb="FFFFEB84"/>
        <color rgb="FF63BE7B"/>
      </colorScale>
    </cfRule>
  </conditionalFormatting>
  <conditionalFormatting sqref="F10:F24">
    <cfRule type="colorScale" priority="9254">
      <colorScale>
        <cfvo type="min"/>
        <cfvo type="percentile" val="50"/>
        <cfvo type="max"/>
        <color rgb="FFF8696B"/>
        <color rgb="FFFFEB84"/>
        <color rgb="FF63BE7B"/>
      </colorScale>
    </cfRule>
  </conditionalFormatting>
  <conditionalFormatting sqref="F10:F24">
    <cfRule type="colorScale" priority="9253">
      <colorScale>
        <cfvo type="min"/>
        <cfvo type="percentile" val="50"/>
        <cfvo type="max"/>
        <color rgb="FFF8696B"/>
        <color rgb="FFFFEB84"/>
        <color rgb="FF63BE7B"/>
      </colorScale>
    </cfRule>
  </conditionalFormatting>
  <conditionalFormatting sqref="F10:F24">
    <cfRule type="colorScale" priority="9252">
      <colorScale>
        <cfvo type="min"/>
        <cfvo type="percentile" val="50"/>
        <cfvo type="max"/>
        <color rgb="FFF8696B"/>
        <color rgb="FFFFEB84"/>
        <color rgb="FF63BE7B"/>
      </colorScale>
    </cfRule>
  </conditionalFormatting>
  <conditionalFormatting sqref="F10:F24">
    <cfRule type="colorScale" priority="9251">
      <colorScale>
        <cfvo type="min"/>
        <cfvo type="percentile" val="50"/>
        <cfvo type="max"/>
        <color rgb="FFF8696B"/>
        <color rgb="FFFFEB84"/>
        <color rgb="FF63BE7B"/>
      </colorScale>
    </cfRule>
  </conditionalFormatting>
  <conditionalFormatting sqref="F10:F24">
    <cfRule type="colorScale" priority="9250">
      <colorScale>
        <cfvo type="min"/>
        <cfvo type="percentile" val="50"/>
        <cfvo type="max"/>
        <color rgb="FFF8696B"/>
        <color rgb="FFFFEB84"/>
        <color rgb="FF63BE7B"/>
      </colorScale>
    </cfRule>
  </conditionalFormatting>
  <conditionalFormatting sqref="F10:F24">
    <cfRule type="colorScale" priority="9249">
      <colorScale>
        <cfvo type="min"/>
        <cfvo type="percentile" val="50"/>
        <cfvo type="max"/>
        <color rgb="FFF8696B"/>
        <color rgb="FFFFEB84"/>
        <color rgb="FF63BE7B"/>
      </colorScale>
    </cfRule>
  </conditionalFormatting>
  <conditionalFormatting sqref="F10:F24">
    <cfRule type="colorScale" priority="9248">
      <colorScale>
        <cfvo type="min"/>
        <cfvo type="percentile" val="50"/>
        <cfvo type="max"/>
        <color rgb="FFF8696B"/>
        <color rgb="FFFFEB84"/>
        <color rgb="FF63BE7B"/>
      </colorScale>
    </cfRule>
  </conditionalFormatting>
  <conditionalFormatting sqref="F10:F24">
    <cfRule type="colorScale" priority="9247">
      <colorScale>
        <cfvo type="min"/>
        <cfvo type="percentile" val="50"/>
        <cfvo type="max"/>
        <color rgb="FFF8696B"/>
        <color rgb="FFFFEB84"/>
        <color rgb="FF63BE7B"/>
      </colorScale>
    </cfRule>
  </conditionalFormatting>
  <conditionalFormatting sqref="F10:F24">
    <cfRule type="colorScale" priority="9246">
      <colorScale>
        <cfvo type="min"/>
        <cfvo type="percentile" val="50"/>
        <cfvo type="max"/>
        <color rgb="FFF8696B"/>
        <color rgb="FFFFEB84"/>
        <color rgb="FF63BE7B"/>
      </colorScale>
    </cfRule>
  </conditionalFormatting>
  <conditionalFormatting sqref="F10:F24">
    <cfRule type="colorScale" priority="9245">
      <colorScale>
        <cfvo type="min"/>
        <cfvo type="percentile" val="50"/>
        <cfvo type="max"/>
        <color rgb="FFF8696B"/>
        <color rgb="FFFFEB84"/>
        <color rgb="FF63BE7B"/>
      </colorScale>
    </cfRule>
  </conditionalFormatting>
  <conditionalFormatting sqref="F10:F24">
    <cfRule type="colorScale" priority="9244">
      <colorScale>
        <cfvo type="min"/>
        <cfvo type="percentile" val="50"/>
        <cfvo type="max"/>
        <color rgb="FFF8696B"/>
        <color rgb="FFFFEB84"/>
        <color rgb="FF63BE7B"/>
      </colorScale>
    </cfRule>
  </conditionalFormatting>
  <conditionalFormatting sqref="F10:F24">
    <cfRule type="colorScale" priority="9243">
      <colorScale>
        <cfvo type="min"/>
        <cfvo type="percentile" val="50"/>
        <cfvo type="max"/>
        <color rgb="FFF8696B"/>
        <color rgb="FFFFEB84"/>
        <color rgb="FF63BE7B"/>
      </colorScale>
    </cfRule>
  </conditionalFormatting>
  <conditionalFormatting sqref="F10:F24">
    <cfRule type="colorScale" priority="9242">
      <colorScale>
        <cfvo type="min"/>
        <cfvo type="percentile" val="50"/>
        <cfvo type="max"/>
        <color rgb="FFF8696B"/>
        <color rgb="FFFFEB84"/>
        <color rgb="FF63BE7B"/>
      </colorScale>
    </cfRule>
  </conditionalFormatting>
  <conditionalFormatting sqref="F10:F24">
    <cfRule type="colorScale" priority="9241">
      <colorScale>
        <cfvo type="min"/>
        <cfvo type="percentile" val="50"/>
        <cfvo type="max"/>
        <color rgb="FFF8696B"/>
        <color rgb="FFFFEB84"/>
        <color rgb="FF63BE7B"/>
      </colorScale>
    </cfRule>
  </conditionalFormatting>
  <conditionalFormatting sqref="F10:F24">
    <cfRule type="colorScale" priority="9240">
      <colorScale>
        <cfvo type="min"/>
        <cfvo type="percentile" val="50"/>
        <cfvo type="max"/>
        <color rgb="FFF8696B"/>
        <color rgb="FFFFEB84"/>
        <color rgb="FF63BE7B"/>
      </colorScale>
    </cfRule>
  </conditionalFormatting>
  <conditionalFormatting sqref="F10:F24">
    <cfRule type="colorScale" priority="9239">
      <colorScale>
        <cfvo type="min"/>
        <cfvo type="percentile" val="50"/>
        <cfvo type="max"/>
        <color rgb="FFF8696B"/>
        <color rgb="FFFFEB84"/>
        <color rgb="FF63BE7B"/>
      </colorScale>
    </cfRule>
  </conditionalFormatting>
  <conditionalFormatting sqref="F10:F24">
    <cfRule type="colorScale" priority="9238">
      <colorScale>
        <cfvo type="min"/>
        <cfvo type="percentile" val="50"/>
        <cfvo type="max"/>
        <color rgb="FFF8696B"/>
        <color rgb="FFFFEB84"/>
        <color rgb="FF63BE7B"/>
      </colorScale>
    </cfRule>
  </conditionalFormatting>
  <conditionalFormatting sqref="F10:F24">
    <cfRule type="colorScale" priority="9237">
      <colorScale>
        <cfvo type="min"/>
        <cfvo type="percentile" val="50"/>
        <cfvo type="max"/>
        <color rgb="FFF8696B"/>
        <color rgb="FFFFEB84"/>
        <color rgb="FF63BE7B"/>
      </colorScale>
    </cfRule>
  </conditionalFormatting>
  <conditionalFormatting sqref="F10:F24">
    <cfRule type="colorScale" priority="9236">
      <colorScale>
        <cfvo type="min"/>
        <cfvo type="percentile" val="50"/>
        <cfvo type="max"/>
        <color rgb="FFF8696B"/>
        <color rgb="FFFFEB84"/>
        <color rgb="FF63BE7B"/>
      </colorScale>
    </cfRule>
  </conditionalFormatting>
  <conditionalFormatting sqref="F10:F24">
    <cfRule type="colorScale" priority="9235">
      <colorScale>
        <cfvo type="min"/>
        <cfvo type="percentile" val="50"/>
        <cfvo type="max"/>
        <color rgb="FFF8696B"/>
        <color rgb="FFFFEB84"/>
        <color rgb="FF63BE7B"/>
      </colorScale>
    </cfRule>
  </conditionalFormatting>
  <conditionalFormatting sqref="F10:F24">
    <cfRule type="colorScale" priority="9234">
      <colorScale>
        <cfvo type="min"/>
        <cfvo type="percentile" val="50"/>
        <cfvo type="max"/>
        <color rgb="FFF8696B"/>
        <color rgb="FFFFEB84"/>
        <color rgb="FF63BE7B"/>
      </colorScale>
    </cfRule>
  </conditionalFormatting>
  <conditionalFormatting sqref="F10:F24">
    <cfRule type="colorScale" priority="9233">
      <colorScale>
        <cfvo type="min"/>
        <cfvo type="percentile" val="50"/>
        <cfvo type="max"/>
        <color rgb="FFF8696B"/>
        <color rgb="FFFFEB84"/>
        <color rgb="FF63BE7B"/>
      </colorScale>
    </cfRule>
  </conditionalFormatting>
  <conditionalFormatting sqref="F10:F24">
    <cfRule type="colorScale" priority="9232">
      <colorScale>
        <cfvo type="min"/>
        <cfvo type="percentile" val="50"/>
        <cfvo type="max"/>
        <color rgb="FFF8696B"/>
        <color rgb="FFFFEB84"/>
        <color rgb="FF63BE7B"/>
      </colorScale>
    </cfRule>
  </conditionalFormatting>
  <conditionalFormatting sqref="F10:F24">
    <cfRule type="colorScale" priority="9231">
      <colorScale>
        <cfvo type="min"/>
        <cfvo type="percentile" val="50"/>
        <cfvo type="max"/>
        <color rgb="FFF8696B"/>
        <color rgb="FFFFEB84"/>
        <color rgb="FF63BE7B"/>
      </colorScale>
    </cfRule>
  </conditionalFormatting>
  <conditionalFormatting sqref="F10:F24">
    <cfRule type="colorScale" priority="9230">
      <colorScale>
        <cfvo type="min"/>
        <cfvo type="percentile" val="50"/>
        <cfvo type="max"/>
        <color rgb="FFF8696B"/>
        <color rgb="FFFFEB84"/>
        <color rgb="FF63BE7B"/>
      </colorScale>
    </cfRule>
  </conditionalFormatting>
  <conditionalFormatting sqref="F10:F24">
    <cfRule type="colorScale" priority="9229">
      <colorScale>
        <cfvo type="min"/>
        <cfvo type="percentile" val="50"/>
        <cfvo type="max"/>
        <color rgb="FFF8696B"/>
        <color rgb="FFFFEB84"/>
        <color rgb="FF63BE7B"/>
      </colorScale>
    </cfRule>
  </conditionalFormatting>
  <conditionalFormatting sqref="F10:F24">
    <cfRule type="colorScale" priority="9228">
      <colorScale>
        <cfvo type="min"/>
        <cfvo type="percentile" val="50"/>
        <cfvo type="max"/>
        <color rgb="FFF8696B"/>
        <color rgb="FFFFEB84"/>
        <color rgb="FF63BE7B"/>
      </colorScale>
    </cfRule>
  </conditionalFormatting>
  <conditionalFormatting sqref="F10:F24">
    <cfRule type="colorScale" priority="9227">
      <colorScale>
        <cfvo type="min"/>
        <cfvo type="percentile" val="50"/>
        <cfvo type="max"/>
        <color rgb="FFF8696B"/>
        <color rgb="FFFFEB84"/>
        <color rgb="FF63BE7B"/>
      </colorScale>
    </cfRule>
  </conditionalFormatting>
  <conditionalFormatting sqref="F10:F24">
    <cfRule type="colorScale" priority="9226">
      <colorScale>
        <cfvo type="min"/>
        <cfvo type="percentile" val="50"/>
        <cfvo type="max"/>
        <color rgb="FFF8696B"/>
        <color rgb="FFFFEB84"/>
        <color rgb="FF63BE7B"/>
      </colorScale>
    </cfRule>
  </conditionalFormatting>
  <conditionalFormatting sqref="F10:F24">
    <cfRule type="colorScale" priority="9225">
      <colorScale>
        <cfvo type="min"/>
        <cfvo type="percentile" val="50"/>
        <cfvo type="max"/>
        <color rgb="FFF8696B"/>
        <color rgb="FFFFEB84"/>
        <color rgb="FF63BE7B"/>
      </colorScale>
    </cfRule>
  </conditionalFormatting>
  <conditionalFormatting sqref="F10:F24">
    <cfRule type="colorScale" priority="9224">
      <colorScale>
        <cfvo type="min"/>
        <cfvo type="percentile" val="50"/>
        <cfvo type="max"/>
        <color rgb="FFF8696B"/>
        <color rgb="FFFFEB84"/>
        <color rgb="FF63BE7B"/>
      </colorScale>
    </cfRule>
  </conditionalFormatting>
  <conditionalFormatting sqref="F10:F24">
    <cfRule type="colorScale" priority="9223">
      <colorScale>
        <cfvo type="min"/>
        <cfvo type="percentile" val="50"/>
        <cfvo type="max"/>
        <color rgb="FFF8696B"/>
        <color rgb="FFFFEB84"/>
        <color rgb="FF63BE7B"/>
      </colorScale>
    </cfRule>
  </conditionalFormatting>
  <conditionalFormatting sqref="F10:F24">
    <cfRule type="colorScale" priority="9222">
      <colorScale>
        <cfvo type="min"/>
        <cfvo type="percentile" val="50"/>
        <cfvo type="max"/>
        <color rgb="FFF8696B"/>
        <color rgb="FFFFEB84"/>
        <color rgb="FF63BE7B"/>
      </colorScale>
    </cfRule>
  </conditionalFormatting>
  <conditionalFormatting sqref="F10:F24">
    <cfRule type="colorScale" priority="9221">
      <colorScale>
        <cfvo type="min"/>
        <cfvo type="percentile" val="50"/>
        <cfvo type="max"/>
        <color rgb="FFF8696B"/>
        <color rgb="FFFFEB84"/>
        <color rgb="FF63BE7B"/>
      </colorScale>
    </cfRule>
  </conditionalFormatting>
  <conditionalFormatting sqref="F10:F24">
    <cfRule type="colorScale" priority="9220">
      <colorScale>
        <cfvo type="min"/>
        <cfvo type="percentile" val="50"/>
        <cfvo type="max"/>
        <color rgb="FFF8696B"/>
        <color rgb="FFFFEB84"/>
        <color rgb="FF63BE7B"/>
      </colorScale>
    </cfRule>
  </conditionalFormatting>
  <conditionalFormatting sqref="F10:F24">
    <cfRule type="colorScale" priority="9219">
      <colorScale>
        <cfvo type="min"/>
        <cfvo type="percentile" val="50"/>
        <cfvo type="max"/>
        <color rgb="FFF8696B"/>
        <color rgb="FFFFEB84"/>
        <color rgb="FF63BE7B"/>
      </colorScale>
    </cfRule>
  </conditionalFormatting>
  <conditionalFormatting sqref="F10:F24">
    <cfRule type="colorScale" priority="9218">
      <colorScale>
        <cfvo type="min"/>
        <cfvo type="percentile" val="50"/>
        <cfvo type="max"/>
        <color rgb="FFF8696B"/>
        <color rgb="FFFFEB84"/>
        <color rgb="FF63BE7B"/>
      </colorScale>
    </cfRule>
  </conditionalFormatting>
  <conditionalFormatting sqref="F10:F24">
    <cfRule type="colorScale" priority="9217">
      <colorScale>
        <cfvo type="min"/>
        <cfvo type="percentile" val="50"/>
        <cfvo type="max"/>
        <color rgb="FFF8696B"/>
        <color rgb="FFFFEB84"/>
        <color rgb="FF63BE7B"/>
      </colorScale>
    </cfRule>
  </conditionalFormatting>
  <conditionalFormatting sqref="F10:F24">
    <cfRule type="colorScale" priority="9216">
      <colorScale>
        <cfvo type="min"/>
        <cfvo type="percentile" val="50"/>
        <cfvo type="max"/>
        <color rgb="FFF8696B"/>
        <color rgb="FFFFEB84"/>
        <color rgb="FF63BE7B"/>
      </colorScale>
    </cfRule>
  </conditionalFormatting>
  <conditionalFormatting sqref="F10:F24">
    <cfRule type="colorScale" priority="9215">
      <colorScale>
        <cfvo type="min"/>
        <cfvo type="percentile" val="50"/>
        <cfvo type="max"/>
        <color rgb="FFF8696B"/>
        <color rgb="FFFFEB84"/>
        <color rgb="FF63BE7B"/>
      </colorScale>
    </cfRule>
  </conditionalFormatting>
  <conditionalFormatting sqref="F10:F24">
    <cfRule type="colorScale" priority="9214">
      <colorScale>
        <cfvo type="min"/>
        <cfvo type="percentile" val="50"/>
        <cfvo type="max"/>
        <color rgb="FFF8696B"/>
        <color rgb="FFFFEB84"/>
        <color rgb="FF63BE7B"/>
      </colorScale>
    </cfRule>
  </conditionalFormatting>
  <conditionalFormatting sqref="F10:F24">
    <cfRule type="colorScale" priority="9213">
      <colorScale>
        <cfvo type="min"/>
        <cfvo type="percentile" val="50"/>
        <cfvo type="max"/>
        <color rgb="FFF8696B"/>
        <color rgb="FFFFEB84"/>
        <color rgb="FF63BE7B"/>
      </colorScale>
    </cfRule>
  </conditionalFormatting>
  <conditionalFormatting sqref="F10:F24">
    <cfRule type="colorScale" priority="9212">
      <colorScale>
        <cfvo type="min"/>
        <cfvo type="percentile" val="50"/>
        <cfvo type="max"/>
        <color rgb="FFF8696B"/>
        <color rgb="FFFFEB84"/>
        <color rgb="FF63BE7B"/>
      </colorScale>
    </cfRule>
  </conditionalFormatting>
  <conditionalFormatting sqref="F10:F24">
    <cfRule type="colorScale" priority="9211">
      <colorScale>
        <cfvo type="min"/>
        <cfvo type="percentile" val="50"/>
        <cfvo type="max"/>
        <color rgb="FFF8696B"/>
        <color rgb="FFFFEB84"/>
        <color rgb="FF63BE7B"/>
      </colorScale>
    </cfRule>
  </conditionalFormatting>
  <conditionalFormatting sqref="F10:F24">
    <cfRule type="colorScale" priority="9210">
      <colorScale>
        <cfvo type="min"/>
        <cfvo type="percentile" val="50"/>
        <cfvo type="max"/>
        <color rgb="FFF8696B"/>
        <color rgb="FFFFEB84"/>
        <color rgb="FF63BE7B"/>
      </colorScale>
    </cfRule>
  </conditionalFormatting>
  <conditionalFormatting sqref="F10:F24">
    <cfRule type="colorScale" priority="9209">
      <colorScale>
        <cfvo type="min"/>
        <cfvo type="percentile" val="50"/>
        <cfvo type="max"/>
        <color rgb="FFF8696B"/>
        <color rgb="FFFFEB84"/>
        <color rgb="FF63BE7B"/>
      </colorScale>
    </cfRule>
  </conditionalFormatting>
  <conditionalFormatting sqref="F10:F24">
    <cfRule type="colorScale" priority="9208">
      <colorScale>
        <cfvo type="min"/>
        <cfvo type="percentile" val="50"/>
        <cfvo type="max"/>
        <color rgb="FFF8696B"/>
        <color rgb="FFFFEB84"/>
        <color rgb="FF63BE7B"/>
      </colorScale>
    </cfRule>
  </conditionalFormatting>
  <conditionalFormatting sqref="F10:F24">
    <cfRule type="colorScale" priority="9207">
      <colorScale>
        <cfvo type="min"/>
        <cfvo type="percentile" val="50"/>
        <cfvo type="max"/>
        <color rgb="FFF8696B"/>
        <color rgb="FFFFEB84"/>
        <color rgb="FF63BE7B"/>
      </colorScale>
    </cfRule>
  </conditionalFormatting>
  <conditionalFormatting sqref="F10:F24">
    <cfRule type="colorScale" priority="9206">
      <colorScale>
        <cfvo type="min"/>
        <cfvo type="percentile" val="50"/>
        <cfvo type="max"/>
        <color rgb="FFF8696B"/>
        <color rgb="FFFFEB84"/>
        <color rgb="FF63BE7B"/>
      </colorScale>
    </cfRule>
  </conditionalFormatting>
  <conditionalFormatting sqref="F10:F24">
    <cfRule type="colorScale" priority="9205">
      <colorScale>
        <cfvo type="min"/>
        <cfvo type="percentile" val="50"/>
        <cfvo type="max"/>
        <color rgb="FFF8696B"/>
        <color rgb="FFFFEB84"/>
        <color rgb="FF63BE7B"/>
      </colorScale>
    </cfRule>
  </conditionalFormatting>
  <conditionalFormatting sqref="F10:F24">
    <cfRule type="colorScale" priority="9204">
      <colorScale>
        <cfvo type="min"/>
        <cfvo type="percentile" val="50"/>
        <cfvo type="max"/>
        <color rgb="FFF8696B"/>
        <color rgb="FFFFEB84"/>
        <color rgb="FF63BE7B"/>
      </colorScale>
    </cfRule>
  </conditionalFormatting>
  <conditionalFormatting sqref="F10:F24">
    <cfRule type="colorScale" priority="9203">
      <colorScale>
        <cfvo type="min"/>
        <cfvo type="percentile" val="50"/>
        <cfvo type="max"/>
        <color rgb="FFF8696B"/>
        <color rgb="FFFFEB84"/>
        <color rgb="FF63BE7B"/>
      </colorScale>
    </cfRule>
  </conditionalFormatting>
  <conditionalFormatting sqref="F10:F24">
    <cfRule type="colorScale" priority="9202">
      <colorScale>
        <cfvo type="min"/>
        <cfvo type="percentile" val="50"/>
        <cfvo type="max"/>
        <color rgb="FFF8696B"/>
        <color rgb="FFFFEB84"/>
        <color rgb="FF63BE7B"/>
      </colorScale>
    </cfRule>
  </conditionalFormatting>
  <conditionalFormatting sqref="F10:F24">
    <cfRule type="colorScale" priority="9201">
      <colorScale>
        <cfvo type="min"/>
        <cfvo type="percentile" val="50"/>
        <cfvo type="max"/>
        <color rgb="FFF8696B"/>
        <color rgb="FFFFEB84"/>
        <color rgb="FF63BE7B"/>
      </colorScale>
    </cfRule>
  </conditionalFormatting>
  <conditionalFormatting sqref="F10:F24">
    <cfRule type="colorScale" priority="9200">
      <colorScale>
        <cfvo type="min"/>
        <cfvo type="percentile" val="50"/>
        <cfvo type="max"/>
        <color rgb="FFF8696B"/>
        <color rgb="FFFFEB84"/>
        <color rgb="FF63BE7B"/>
      </colorScale>
    </cfRule>
  </conditionalFormatting>
  <conditionalFormatting sqref="F10:F24">
    <cfRule type="colorScale" priority="9199">
      <colorScale>
        <cfvo type="min"/>
        <cfvo type="percentile" val="50"/>
        <cfvo type="max"/>
        <color rgb="FFF8696B"/>
        <color rgb="FFFFEB84"/>
        <color rgb="FF63BE7B"/>
      </colorScale>
    </cfRule>
  </conditionalFormatting>
  <conditionalFormatting sqref="F10:F24">
    <cfRule type="colorScale" priority="9198">
      <colorScale>
        <cfvo type="min"/>
        <cfvo type="percentile" val="50"/>
        <cfvo type="max"/>
        <color rgb="FFF8696B"/>
        <color rgb="FFFFEB84"/>
        <color rgb="FF63BE7B"/>
      </colorScale>
    </cfRule>
  </conditionalFormatting>
  <conditionalFormatting sqref="F10:F24">
    <cfRule type="colorScale" priority="9197">
      <colorScale>
        <cfvo type="min"/>
        <cfvo type="percentile" val="50"/>
        <cfvo type="max"/>
        <color rgb="FFF8696B"/>
        <color rgb="FFFFEB84"/>
        <color rgb="FF63BE7B"/>
      </colorScale>
    </cfRule>
  </conditionalFormatting>
  <conditionalFormatting sqref="F10:F24">
    <cfRule type="colorScale" priority="9196">
      <colorScale>
        <cfvo type="min"/>
        <cfvo type="percentile" val="50"/>
        <cfvo type="max"/>
        <color rgb="FFF8696B"/>
        <color rgb="FFFFEB84"/>
        <color rgb="FF63BE7B"/>
      </colorScale>
    </cfRule>
  </conditionalFormatting>
  <conditionalFormatting sqref="F10:F24">
    <cfRule type="colorScale" priority="9195">
      <colorScale>
        <cfvo type="min"/>
        <cfvo type="percentile" val="50"/>
        <cfvo type="max"/>
        <color rgb="FFF8696B"/>
        <color rgb="FFFFEB84"/>
        <color rgb="FF63BE7B"/>
      </colorScale>
    </cfRule>
  </conditionalFormatting>
  <conditionalFormatting sqref="F10:F24">
    <cfRule type="colorScale" priority="9194">
      <colorScale>
        <cfvo type="min"/>
        <cfvo type="percentile" val="50"/>
        <cfvo type="max"/>
        <color rgb="FFF8696B"/>
        <color rgb="FFFFEB84"/>
        <color rgb="FF63BE7B"/>
      </colorScale>
    </cfRule>
  </conditionalFormatting>
  <conditionalFormatting sqref="F10:F24">
    <cfRule type="colorScale" priority="9193">
      <colorScale>
        <cfvo type="min"/>
        <cfvo type="percentile" val="50"/>
        <cfvo type="max"/>
        <color rgb="FFF8696B"/>
        <color rgb="FFFFEB84"/>
        <color rgb="FF63BE7B"/>
      </colorScale>
    </cfRule>
  </conditionalFormatting>
  <conditionalFormatting sqref="F10:F24">
    <cfRule type="colorScale" priority="9192">
      <colorScale>
        <cfvo type="min"/>
        <cfvo type="percentile" val="50"/>
        <cfvo type="max"/>
        <color rgb="FFF8696B"/>
        <color rgb="FFFFEB84"/>
        <color rgb="FF63BE7B"/>
      </colorScale>
    </cfRule>
  </conditionalFormatting>
  <conditionalFormatting sqref="F10:F24">
    <cfRule type="colorScale" priority="9191">
      <colorScale>
        <cfvo type="min"/>
        <cfvo type="percentile" val="50"/>
        <cfvo type="max"/>
        <color rgb="FFF8696B"/>
        <color rgb="FFFFEB84"/>
        <color rgb="FF63BE7B"/>
      </colorScale>
    </cfRule>
  </conditionalFormatting>
  <conditionalFormatting sqref="F10:F24">
    <cfRule type="colorScale" priority="9190">
      <colorScale>
        <cfvo type="min"/>
        <cfvo type="percentile" val="50"/>
        <cfvo type="max"/>
        <color rgb="FFF8696B"/>
        <color rgb="FFFFEB84"/>
        <color rgb="FF63BE7B"/>
      </colorScale>
    </cfRule>
  </conditionalFormatting>
  <conditionalFormatting sqref="F10:F24">
    <cfRule type="colorScale" priority="9189">
      <colorScale>
        <cfvo type="min"/>
        <cfvo type="percentile" val="50"/>
        <cfvo type="max"/>
        <color rgb="FFF8696B"/>
        <color rgb="FFFFEB84"/>
        <color rgb="FF63BE7B"/>
      </colorScale>
    </cfRule>
  </conditionalFormatting>
  <conditionalFormatting sqref="F10:F24">
    <cfRule type="colorScale" priority="9188">
      <colorScale>
        <cfvo type="min"/>
        <cfvo type="percentile" val="50"/>
        <cfvo type="max"/>
        <color rgb="FFF8696B"/>
        <color rgb="FFFFEB84"/>
        <color rgb="FF63BE7B"/>
      </colorScale>
    </cfRule>
  </conditionalFormatting>
  <conditionalFormatting sqref="F10:F24">
    <cfRule type="colorScale" priority="9187">
      <colorScale>
        <cfvo type="min"/>
        <cfvo type="percentile" val="50"/>
        <cfvo type="max"/>
        <color rgb="FFF8696B"/>
        <color rgb="FFFFEB84"/>
        <color rgb="FF63BE7B"/>
      </colorScale>
    </cfRule>
  </conditionalFormatting>
  <conditionalFormatting sqref="F10:F24">
    <cfRule type="colorScale" priority="9186">
      <colorScale>
        <cfvo type="min"/>
        <cfvo type="percentile" val="50"/>
        <cfvo type="max"/>
        <color rgb="FFF8696B"/>
        <color rgb="FFFFEB84"/>
        <color rgb="FF63BE7B"/>
      </colorScale>
    </cfRule>
  </conditionalFormatting>
  <conditionalFormatting sqref="F10:F24">
    <cfRule type="colorScale" priority="9185">
      <colorScale>
        <cfvo type="min"/>
        <cfvo type="percentile" val="50"/>
        <cfvo type="max"/>
        <color rgb="FFF8696B"/>
        <color rgb="FFFFEB84"/>
        <color rgb="FF63BE7B"/>
      </colorScale>
    </cfRule>
  </conditionalFormatting>
  <conditionalFormatting sqref="F10:F24">
    <cfRule type="colorScale" priority="9184">
      <colorScale>
        <cfvo type="min"/>
        <cfvo type="percentile" val="50"/>
        <cfvo type="max"/>
        <color rgb="FFF8696B"/>
        <color rgb="FFFFEB84"/>
        <color rgb="FF63BE7B"/>
      </colorScale>
    </cfRule>
  </conditionalFormatting>
  <conditionalFormatting sqref="F10:F24">
    <cfRule type="colorScale" priority="9183">
      <colorScale>
        <cfvo type="min"/>
        <cfvo type="percentile" val="50"/>
        <cfvo type="max"/>
        <color rgb="FFF8696B"/>
        <color rgb="FFFFEB84"/>
        <color rgb="FF63BE7B"/>
      </colorScale>
    </cfRule>
  </conditionalFormatting>
  <conditionalFormatting sqref="F10:F24">
    <cfRule type="colorScale" priority="9182">
      <colorScale>
        <cfvo type="min"/>
        <cfvo type="percentile" val="50"/>
        <cfvo type="max"/>
        <color rgb="FFF8696B"/>
        <color rgb="FFFFEB84"/>
        <color rgb="FF63BE7B"/>
      </colorScale>
    </cfRule>
  </conditionalFormatting>
  <conditionalFormatting sqref="F10:F24">
    <cfRule type="colorScale" priority="9181">
      <colorScale>
        <cfvo type="min"/>
        <cfvo type="percentile" val="50"/>
        <cfvo type="max"/>
        <color rgb="FFF8696B"/>
        <color rgb="FFFFEB84"/>
        <color rgb="FF63BE7B"/>
      </colorScale>
    </cfRule>
  </conditionalFormatting>
  <conditionalFormatting sqref="F10:F24">
    <cfRule type="colorScale" priority="9180">
      <colorScale>
        <cfvo type="min"/>
        <cfvo type="percentile" val="50"/>
        <cfvo type="max"/>
        <color rgb="FFF8696B"/>
        <color rgb="FFFFEB84"/>
        <color rgb="FF63BE7B"/>
      </colorScale>
    </cfRule>
  </conditionalFormatting>
  <conditionalFormatting sqref="F10:F24">
    <cfRule type="colorScale" priority="9179">
      <colorScale>
        <cfvo type="min"/>
        <cfvo type="percentile" val="50"/>
        <cfvo type="max"/>
        <color rgb="FFF8696B"/>
        <color rgb="FFFFEB84"/>
        <color rgb="FF63BE7B"/>
      </colorScale>
    </cfRule>
  </conditionalFormatting>
  <conditionalFormatting sqref="F10:F24">
    <cfRule type="colorScale" priority="9178">
      <colorScale>
        <cfvo type="min"/>
        <cfvo type="percentile" val="50"/>
        <cfvo type="max"/>
        <color rgb="FFF8696B"/>
        <color rgb="FFFFEB84"/>
        <color rgb="FF63BE7B"/>
      </colorScale>
    </cfRule>
  </conditionalFormatting>
  <conditionalFormatting sqref="F10:F24">
    <cfRule type="colorScale" priority="9177">
      <colorScale>
        <cfvo type="min"/>
        <cfvo type="percentile" val="50"/>
        <cfvo type="max"/>
        <color rgb="FFF8696B"/>
        <color rgb="FFFFEB84"/>
        <color rgb="FF63BE7B"/>
      </colorScale>
    </cfRule>
  </conditionalFormatting>
  <conditionalFormatting sqref="F10:F24">
    <cfRule type="colorScale" priority="9176">
      <colorScale>
        <cfvo type="min"/>
        <cfvo type="percentile" val="50"/>
        <cfvo type="max"/>
        <color rgb="FFF8696B"/>
        <color rgb="FFFFEB84"/>
        <color rgb="FF63BE7B"/>
      </colorScale>
    </cfRule>
  </conditionalFormatting>
  <conditionalFormatting sqref="F10:F24">
    <cfRule type="colorScale" priority="9175">
      <colorScale>
        <cfvo type="min"/>
        <cfvo type="percentile" val="50"/>
        <cfvo type="max"/>
        <color rgb="FFF8696B"/>
        <color rgb="FFFFEB84"/>
        <color rgb="FF63BE7B"/>
      </colorScale>
    </cfRule>
  </conditionalFormatting>
  <conditionalFormatting sqref="F10:F24">
    <cfRule type="colorScale" priority="9174">
      <colorScale>
        <cfvo type="min"/>
        <cfvo type="percentile" val="50"/>
        <cfvo type="max"/>
        <color rgb="FFF8696B"/>
        <color rgb="FFFFEB84"/>
        <color rgb="FF63BE7B"/>
      </colorScale>
    </cfRule>
  </conditionalFormatting>
  <conditionalFormatting sqref="F10:F24">
    <cfRule type="colorScale" priority="9173">
      <colorScale>
        <cfvo type="min"/>
        <cfvo type="percentile" val="50"/>
        <cfvo type="max"/>
        <color rgb="FFF8696B"/>
        <color rgb="FFFFEB84"/>
        <color rgb="FF63BE7B"/>
      </colorScale>
    </cfRule>
  </conditionalFormatting>
  <conditionalFormatting sqref="F10:F24">
    <cfRule type="colorScale" priority="9172">
      <colorScale>
        <cfvo type="min"/>
        <cfvo type="percentile" val="50"/>
        <cfvo type="max"/>
        <color rgb="FFF8696B"/>
        <color rgb="FFFFEB84"/>
        <color rgb="FF63BE7B"/>
      </colorScale>
    </cfRule>
  </conditionalFormatting>
  <conditionalFormatting sqref="F10:F24">
    <cfRule type="colorScale" priority="9171">
      <colorScale>
        <cfvo type="min"/>
        <cfvo type="percentile" val="50"/>
        <cfvo type="max"/>
        <color rgb="FFF8696B"/>
        <color rgb="FFFFEB84"/>
        <color rgb="FF63BE7B"/>
      </colorScale>
    </cfRule>
  </conditionalFormatting>
  <conditionalFormatting sqref="F10:F24">
    <cfRule type="colorScale" priority="9170">
      <colorScale>
        <cfvo type="min"/>
        <cfvo type="percentile" val="50"/>
        <cfvo type="max"/>
        <color rgb="FFF8696B"/>
        <color rgb="FFFFEB84"/>
        <color rgb="FF63BE7B"/>
      </colorScale>
    </cfRule>
  </conditionalFormatting>
  <conditionalFormatting sqref="F10:F24">
    <cfRule type="colorScale" priority="9169">
      <colorScale>
        <cfvo type="min"/>
        <cfvo type="percentile" val="50"/>
        <cfvo type="max"/>
        <color rgb="FFF8696B"/>
        <color rgb="FFFFEB84"/>
        <color rgb="FF63BE7B"/>
      </colorScale>
    </cfRule>
  </conditionalFormatting>
  <conditionalFormatting sqref="F10:F24">
    <cfRule type="colorScale" priority="9168">
      <colorScale>
        <cfvo type="min"/>
        <cfvo type="percentile" val="50"/>
        <cfvo type="max"/>
        <color rgb="FFF8696B"/>
        <color rgb="FFFFEB84"/>
        <color rgb="FF63BE7B"/>
      </colorScale>
    </cfRule>
  </conditionalFormatting>
  <conditionalFormatting sqref="F10:F24">
    <cfRule type="colorScale" priority="9167">
      <colorScale>
        <cfvo type="min"/>
        <cfvo type="percentile" val="50"/>
        <cfvo type="max"/>
        <color rgb="FFF8696B"/>
        <color rgb="FFFFEB84"/>
        <color rgb="FF63BE7B"/>
      </colorScale>
    </cfRule>
  </conditionalFormatting>
  <conditionalFormatting sqref="F10:F24">
    <cfRule type="colorScale" priority="9166">
      <colorScale>
        <cfvo type="min"/>
        <cfvo type="percentile" val="50"/>
        <cfvo type="max"/>
        <color rgb="FFF8696B"/>
        <color rgb="FFFFEB84"/>
        <color rgb="FF63BE7B"/>
      </colorScale>
    </cfRule>
  </conditionalFormatting>
  <conditionalFormatting sqref="F10:F24">
    <cfRule type="colorScale" priority="9165">
      <colorScale>
        <cfvo type="min"/>
        <cfvo type="percentile" val="50"/>
        <cfvo type="max"/>
        <color rgb="FFF8696B"/>
        <color rgb="FFFFEB84"/>
        <color rgb="FF63BE7B"/>
      </colorScale>
    </cfRule>
  </conditionalFormatting>
  <conditionalFormatting sqref="F10:F24">
    <cfRule type="colorScale" priority="9164">
      <colorScale>
        <cfvo type="min"/>
        <cfvo type="percentile" val="50"/>
        <cfvo type="max"/>
        <color rgb="FFF8696B"/>
        <color rgb="FFFFEB84"/>
        <color rgb="FF63BE7B"/>
      </colorScale>
    </cfRule>
  </conditionalFormatting>
  <conditionalFormatting sqref="F10:F24">
    <cfRule type="colorScale" priority="9163">
      <colorScale>
        <cfvo type="min"/>
        <cfvo type="percentile" val="50"/>
        <cfvo type="max"/>
        <color rgb="FFF8696B"/>
        <color rgb="FFFFEB84"/>
        <color rgb="FF63BE7B"/>
      </colorScale>
    </cfRule>
  </conditionalFormatting>
  <conditionalFormatting sqref="F10:F24">
    <cfRule type="colorScale" priority="9162">
      <colorScale>
        <cfvo type="min"/>
        <cfvo type="percentile" val="50"/>
        <cfvo type="max"/>
        <color rgb="FFF8696B"/>
        <color rgb="FFFFEB84"/>
        <color rgb="FF63BE7B"/>
      </colorScale>
    </cfRule>
  </conditionalFormatting>
  <conditionalFormatting sqref="F10:F24">
    <cfRule type="colorScale" priority="9161">
      <colorScale>
        <cfvo type="min"/>
        <cfvo type="percentile" val="50"/>
        <cfvo type="max"/>
        <color rgb="FFF8696B"/>
        <color rgb="FFFFEB84"/>
        <color rgb="FF63BE7B"/>
      </colorScale>
    </cfRule>
  </conditionalFormatting>
  <conditionalFormatting sqref="F10:F24">
    <cfRule type="colorScale" priority="9160">
      <colorScale>
        <cfvo type="min"/>
        <cfvo type="percentile" val="50"/>
        <cfvo type="max"/>
        <color rgb="FFF8696B"/>
        <color rgb="FFFFEB84"/>
        <color rgb="FF63BE7B"/>
      </colorScale>
    </cfRule>
  </conditionalFormatting>
  <conditionalFormatting sqref="F10:F24">
    <cfRule type="colorScale" priority="9159">
      <colorScale>
        <cfvo type="min"/>
        <cfvo type="percentile" val="50"/>
        <cfvo type="max"/>
        <color rgb="FFF8696B"/>
        <color rgb="FFFFEB84"/>
        <color rgb="FF63BE7B"/>
      </colorScale>
    </cfRule>
  </conditionalFormatting>
  <conditionalFormatting sqref="F10:F24">
    <cfRule type="colorScale" priority="9158">
      <colorScale>
        <cfvo type="min"/>
        <cfvo type="percentile" val="50"/>
        <cfvo type="max"/>
        <color rgb="FFF8696B"/>
        <color rgb="FFFFEB84"/>
        <color rgb="FF63BE7B"/>
      </colorScale>
    </cfRule>
  </conditionalFormatting>
  <conditionalFormatting sqref="F10:F24">
    <cfRule type="colorScale" priority="9157">
      <colorScale>
        <cfvo type="min"/>
        <cfvo type="percentile" val="50"/>
        <cfvo type="max"/>
        <color rgb="FFF8696B"/>
        <color rgb="FFFFEB84"/>
        <color rgb="FF63BE7B"/>
      </colorScale>
    </cfRule>
  </conditionalFormatting>
  <conditionalFormatting sqref="F10:F24">
    <cfRule type="colorScale" priority="9156">
      <colorScale>
        <cfvo type="min"/>
        <cfvo type="percentile" val="50"/>
        <cfvo type="max"/>
        <color rgb="FFF8696B"/>
        <color rgb="FFFFEB84"/>
        <color rgb="FF63BE7B"/>
      </colorScale>
    </cfRule>
  </conditionalFormatting>
  <conditionalFormatting sqref="F10:F24">
    <cfRule type="colorScale" priority="9155">
      <colorScale>
        <cfvo type="min"/>
        <cfvo type="percentile" val="50"/>
        <cfvo type="max"/>
        <color rgb="FFF8696B"/>
        <color rgb="FFFFEB84"/>
        <color rgb="FF63BE7B"/>
      </colorScale>
    </cfRule>
  </conditionalFormatting>
  <conditionalFormatting sqref="F10:F24">
    <cfRule type="colorScale" priority="9154">
      <colorScale>
        <cfvo type="min"/>
        <cfvo type="percentile" val="50"/>
        <cfvo type="max"/>
        <color rgb="FFF8696B"/>
        <color rgb="FFFFEB84"/>
        <color rgb="FF63BE7B"/>
      </colorScale>
    </cfRule>
  </conditionalFormatting>
  <conditionalFormatting sqref="F10:F24">
    <cfRule type="colorScale" priority="9153">
      <colorScale>
        <cfvo type="min"/>
        <cfvo type="percentile" val="50"/>
        <cfvo type="max"/>
        <color rgb="FFF8696B"/>
        <color rgb="FFFFEB84"/>
        <color rgb="FF63BE7B"/>
      </colorScale>
    </cfRule>
  </conditionalFormatting>
  <conditionalFormatting sqref="F10:F24">
    <cfRule type="colorScale" priority="9152">
      <colorScale>
        <cfvo type="min"/>
        <cfvo type="percentile" val="50"/>
        <cfvo type="max"/>
        <color rgb="FFF8696B"/>
        <color rgb="FFFFEB84"/>
        <color rgb="FF63BE7B"/>
      </colorScale>
    </cfRule>
  </conditionalFormatting>
  <conditionalFormatting sqref="F10:F24">
    <cfRule type="colorScale" priority="9151">
      <colorScale>
        <cfvo type="min"/>
        <cfvo type="percentile" val="50"/>
        <cfvo type="max"/>
        <color rgb="FFF8696B"/>
        <color rgb="FFFFEB84"/>
        <color rgb="FF63BE7B"/>
      </colorScale>
    </cfRule>
  </conditionalFormatting>
  <conditionalFormatting sqref="F10:F24">
    <cfRule type="colorScale" priority="9150">
      <colorScale>
        <cfvo type="min"/>
        <cfvo type="percentile" val="50"/>
        <cfvo type="max"/>
        <color rgb="FFF8696B"/>
        <color rgb="FFFFEB84"/>
        <color rgb="FF63BE7B"/>
      </colorScale>
    </cfRule>
  </conditionalFormatting>
  <conditionalFormatting sqref="F10:F24">
    <cfRule type="colorScale" priority="9149">
      <colorScale>
        <cfvo type="min"/>
        <cfvo type="percentile" val="50"/>
        <cfvo type="max"/>
        <color rgb="FFF8696B"/>
        <color rgb="FFFFEB84"/>
        <color rgb="FF63BE7B"/>
      </colorScale>
    </cfRule>
  </conditionalFormatting>
  <conditionalFormatting sqref="F10:F25">
    <cfRule type="colorScale" priority="9148">
      <colorScale>
        <cfvo type="min"/>
        <cfvo type="percentile" val="50"/>
        <cfvo type="max"/>
        <color rgb="FFF8696B"/>
        <color rgb="FFFFEB84"/>
        <color rgb="FF63BE7B"/>
      </colorScale>
    </cfRule>
  </conditionalFormatting>
  <conditionalFormatting sqref="F10:F25">
    <cfRule type="colorScale" priority="9147">
      <colorScale>
        <cfvo type="min"/>
        <cfvo type="percentile" val="50"/>
        <cfvo type="max"/>
        <color rgb="FFF8696B"/>
        <color rgb="FFFFEB84"/>
        <color rgb="FF63BE7B"/>
      </colorScale>
    </cfRule>
  </conditionalFormatting>
  <conditionalFormatting sqref="F10:F24">
    <cfRule type="colorScale" priority="9146">
      <colorScale>
        <cfvo type="min"/>
        <cfvo type="percentile" val="50"/>
        <cfvo type="max"/>
        <color rgb="FFF8696B"/>
        <color rgb="FFFFEB84"/>
        <color rgb="FF63BE7B"/>
      </colorScale>
    </cfRule>
  </conditionalFormatting>
  <conditionalFormatting sqref="F10:F24">
    <cfRule type="colorScale" priority="9145">
      <colorScale>
        <cfvo type="min"/>
        <cfvo type="percentile" val="50"/>
        <cfvo type="max"/>
        <color rgb="FFF8696B"/>
        <color rgb="FFFFEB84"/>
        <color rgb="FF63BE7B"/>
      </colorScale>
    </cfRule>
  </conditionalFormatting>
  <conditionalFormatting sqref="F10:F24">
    <cfRule type="colorScale" priority="9144">
      <colorScale>
        <cfvo type="min"/>
        <cfvo type="percentile" val="50"/>
        <cfvo type="max"/>
        <color rgb="FFF8696B"/>
        <color rgb="FFFFEB84"/>
        <color rgb="FF63BE7B"/>
      </colorScale>
    </cfRule>
  </conditionalFormatting>
  <conditionalFormatting sqref="F10:F24">
    <cfRule type="colorScale" priority="9143">
      <colorScale>
        <cfvo type="min"/>
        <cfvo type="percentile" val="50"/>
        <cfvo type="max"/>
        <color rgb="FFF8696B"/>
        <color rgb="FFFFEB84"/>
        <color rgb="FF63BE7B"/>
      </colorScale>
    </cfRule>
  </conditionalFormatting>
  <conditionalFormatting sqref="F10:F21">
    <cfRule type="colorScale" priority="9142">
      <colorScale>
        <cfvo type="min"/>
        <cfvo type="percentile" val="50"/>
        <cfvo type="max"/>
        <color rgb="FFF8696B"/>
        <color rgb="FFFFEB84"/>
        <color rgb="FF63BE7B"/>
      </colorScale>
    </cfRule>
  </conditionalFormatting>
  <conditionalFormatting sqref="F10:F21">
    <cfRule type="colorScale" priority="9141">
      <colorScale>
        <cfvo type="min"/>
        <cfvo type="percentile" val="50"/>
        <cfvo type="max"/>
        <color rgb="FFF8696B"/>
        <color rgb="FFFFEB84"/>
        <color rgb="FF63BE7B"/>
      </colorScale>
    </cfRule>
  </conditionalFormatting>
  <conditionalFormatting sqref="F10:F24">
    <cfRule type="colorScale" priority="9140">
      <colorScale>
        <cfvo type="min"/>
        <cfvo type="percentile" val="50"/>
        <cfvo type="max"/>
        <color rgb="FFF8696B"/>
        <color rgb="FFFFEB84"/>
        <color rgb="FF63BE7B"/>
      </colorScale>
    </cfRule>
  </conditionalFormatting>
  <conditionalFormatting sqref="F10:F24">
    <cfRule type="colorScale" priority="9139">
      <colorScale>
        <cfvo type="min"/>
        <cfvo type="percentile" val="50"/>
        <cfvo type="max"/>
        <color rgb="FFF8696B"/>
        <color rgb="FFFFEB84"/>
        <color rgb="FF63BE7B"/>
      </colorScale>
    </cfRule>
  </conditionalFormatting>
  <conditionalFormatting sqref="F10:F25">
    <cfRule type="colorScale" priority="9138">
      <colorScale>
        <cfvo type="min"/>
        <cfvo type="percentile" val="50"/>
        <cfvo type="max"/>
        <color rgb="FFF8696B"/>
        <color rgb="FFFFEB84"/>
        <color rgb="FF63BE7B"/>
      </colorScale>
    </cfRule>
  </conditionalFormatting>
  <conditionalFormatting sqref="F10:F25">
    <cfRule type="colorScale" priority="9137">
      <colorScale>
        <cfvo type="min"/>
        <cfvo type="percentile" val="50"/>
        <cfvo type="max"/>
        <color rgb="FFF8696B"/>
        <color rgb="FFFFEB84"/>
        <color rgb="FF63BE7B"/>
      </colorScale>
    </cfRule>
  </conditionalFormatting>
  <conditionalFormatting sqref="F10:F24">
    <cfRule type="colorScale" priority="9136">
      <colorScale>
        <cfvo type="min"/>
        <cfvo type="percentile" val="50"/>
        <cfvo type="max"/>
        <color rgb="FFF8696B"/>
        <color rgb="FFFFEB84"/>
        <color rgb="FF63BE7B"/>
      </colorScale>
    </cfRule>
  </conditionalFormatting>
  <conditionalFormatting sqref="F10:F24">
    <cfRule type="colorScale" priority="9135">
      <colorScale>
        <cfvo type="min"/>
        <cfvo type="percentile" val="50"/>
        <cfvo type="max"/>
        <color rgb="FFF8696B"/>
        <color rgb="FFFFEB84"/>
        <color rgb="FF63BE7B"/>
      </colorScale>
    </cfRule>
  </conditionalFormatting>
  <conditionalFormatting sqref="F10:F24">
    <cfRule type="colorScale" priority="9134">
      <colorScale>
        <cfvo type="min"/>
        <cfvo type="percentile" val="50"/>
        <cfvo type="max"/>
        <color rgb="FFF8696B"/>
        <color rgb="FFFFEB84"/>
        <color rgb="FF63BE7B"/>
      </colorScale>
    </cfRule>
  </conditionalFormatting>
  <conditionalFormatting sqref="F10:F24">
    <cfRule type="colorScale" priority="9133">
      <colorScale>
        <cfvo type="min"/>
        <cfvo type="percentile" val="50"/>
        <cfvo type="max"/>
        <color rgb="FFF8696B"/>
        <color rgb="FFFFEB84"/>
        <color rgb="FF63BE7B"/>
      </colorScale>
    </cfRule>
  </conditionalFormatting>
  <conditionalFormatting sqref="F10:F24">
    <cfRule type="colorScale" priority="9132">
      <colorScale>
        <cfvo type="min"/>
        <cfvo type="percentile" val="50"/>
        <cfvo type="max"/>
        <color rgb="FFF8696B"/>
        <color rgb="FFFFEB84"/>
        <color rgb="FF63BE7B"/>
      </colorScale>
    </cfRule>
  </conditionalFormatting>
  <conditionalFormatting sqref="F10:F24">
    <cfRule type="colorScale" priority="9131">
      <colorScale>
        <cfvo type="min"/>
        <cfvo type="percentile" val="50"/>
        <cfvo type="max"/>
        <color rgb="FFF8696B"/>
        <color rgb="FFFFEB84"/>
        <color rgb="FF63BE7B"/>
      </colorScale>
    </cfRule>
  </conditionalFormatting>
  <conditionalFormatting sqref="F10:F24">
    <cfRule type="colorScale" priority="9130">
      <colorScale>
        <cfvo type="min"/>
        <cfvo type="percentile" val="50"/>
        <cfvo type="max"/>
        <color rgb="FFF8696B"/>
        <color rgb="FFFFEB84"/>
        <color rgb="FF63BE7B"/>
      </colorScale>
    </cfRule>
  </conditionalFormatting>
  <conditionalFormatting sqref="F10:F24">
    <cfRule type="colorScale" priority="9129">
      <colorScale>
        <cfvo type="min"/>
        <cfvo type="percentile" val="50"/>
        <cfvo type="max"/>
        <color rgb="FFF8696B"/>
        <color rgb="FFFFEB84"/>
        <color rgb="FF63BE7B"/>
      </colorScale>
    </cfRule>
  </conditionalFormatting>
  <conditionalFormatting sqref="F10:F24">
    <cfRule type="colorScale" priority="9128">
      <colorScale>
        <cfvo type="min"/>
        <cfvo type="percentile" val="50"/>
        <cfvo type="max"/>
        <color rgb="FFF8696B"/>
        <color rgb="FFFFEB84"/>
        <color rgb="FF63BE7B"/>
      </colorScale>
    </cfRule>
  </conditionalFormatting>
  <conditionalFormatting sqref="F10:F24">
    <cfRule type="colorScale" priority="9127">
      <colorScale>
        <cfvo type="min"/>
        <cfvo type="percentile" val="50"/>
        <cfvo type="max"/>
        <color rgb="FFF8696B"/>
        <color rgb="FFFFEB84"/>
        <color rgb="FF63BE7B"/>
      </colorScale>
    </cfRule>
  </conditionalFormatting>
  <conditionalFormatting sqref="F22:F24">
    <cfRule type="colorScale" priority="9126">
      <colorScale>
        <cfvo type="min"/>
        <cfvo type="percentile" val="50"/>
        <cfvo type="max"/>
        <color rgb="FFF8696B"/>
        <color rgb="FFFFEB84"/>
        <color rgb="FF63BE7B"/>
      </colorScale>
    </cfRule>
  </conditionalFormatting>
  <conditionalFormatting sqref="F22:F24">
    <cfRule type="colorScale" priority="9125">
      <colorScale>
        <cfvo type="min"/>
        <cfvo type="percentile" val="50"/>
        <cfvo type="max"/>
        <color rgb="FFF8696B"/>
        <color rgb="FFFFEB84"/>
        <color rgb="FF63BE7B"/>
      </colorScale>
    </cfRule>
  </conditionalFormatting>
  <conditionalFormatting sqref="F25">
    <cfRule type="colorScale" priority="9124">
      <colorScale>
        <cfvo type="min"/>
        <cfvo type="percentile" val="50"/>
        <cfvo type="max"/>
        <color rgb="FFF8696B"/>
        <color rgb="FFFFEB84"/>
        <color rgb="FF63BE7B"/>
      </colorScale>
    </cfRule>
  </conditionalFormatting>
  <conditionalFormatting sqref="F25">
    <cfRule type="colorScale" priority="9123">
      <colorScale>
        <cfvo type="min"/>
        <cfvo type="percentile" val="50"/>
        <cfvo type="max"/>
        <color rgb="FFF8696B"/>
        <color rgb="FFFFEB84"/>
        <color rgb="FF63BE7B"/>
      </colorScale>
    </cfRule>
  </conditionalFormatting>
  <conditionalFormatting sqref="F25">
    <cfRule type="colorScale" priority="9122">
      <colorScale>
        <cfvo type="min"/>
        <cfvo type="percentile" val="50"/>
        <cfvo type="max"/>
        <color rgb="FFF8696B"/>
        <color rgb="FFFFEB84"/>
        <color rgb="FF63BE7B"/>
      </colorScale>
    </cfRule>
  </conditionalFormatting>
  <conditionalFormatting sqref="F25">
    <cfRule type="colorScale" priority="9121">
      <colorScale>
        <cfvo type="min"/>
        <cfvo type="percentile" val="50"/>
        <cfvo type="max"/>
        <color rgb="FFF8696B"/>
        <color rgb="FFFFEB84"/>
        <color rgb="FF63BE7B"/>
      </colorScale>
    </cfRule>
  </conditionalFormatting>
  <conditionalFormatting sqref="F25">
    <cfRule type="colorScale" priority="9120">
      <colorScale>
        <cfvo type="min"/>
        <cfvo type="percentile" val="50"/>
        <cfvo type="max"/>
        <color rgb="FFF8696B"/>
        <color rgb="FFFFEB84"/>
        <color rgb="FF63BE7B"/>
      </colorScale>
    </cfRule>
  </conditionalFormatting>
  <conditionalFormatting sqref="F25">
    <cfRule type="colorScale" priority="9119">
      <colorScale>
        <cfvo type="min"/>
        <cfvo type="percentile" val="50"/>
        <cfvo type="max"/>
        <color rgb="FFF8696B"/>
        <color rgb="FFFFEB84"/>
        <color rgb="FF63BE7B"/>
      </colorScale>
    </cfRule>
  </conditionalFormatting>
  <conditionalFormatting sqref="F25">
    <cfRule type="colorScale" priority="9118">
      <colorScale>
        <cfvo type="min"/>
        <cfvo type="percentile" val="50"/>
        <cfvo type="max"/>
        <color rgb="FFF8696B"/>
        <color rgb="FFFFEB84"/>
        <color rgb="FF63BE7B"/>
      </colorScale>
    </cfRule>
  </conditionalFormatting>
  <conditionalFormatting sqref="F25">
    <cfRule type="colorScale" priority="9117">
      <colorScale>
        <cfvo type="min"/>
        <cfvo type="percentile" val="50"/>
        <cfvo type="max"/>
        <color rgb="FFF8696B"/>
        <color rgb="FFFFEB84"/>
        <color rgb="FF63BE7B"/>
      </colorScale>
    </cfRule>
  </conditionalFormatting>
  <conditionalFormatting sqref="F25">
    <cfRule type="colorScale" priority="9116">
      <colorScale>
        <cfvo type="min"/>
        <cfvo type="percentile" val="50"/>
        <cfvo type="max"/>
        <color rgb="FFF8696B"/>
        <color rgb="FFFFEB84"/>
        <color rgb="FF63BE7B"/>
      </colorScale>
    </cfRule>
  </conditionalFormatting>
  <conditionalFormatting sqref="F25">
    <cfRule type="colorScale" priority="9115">
      <colorScale>
        <cfvo type="min"/>
        <cfvo type="percentile" val="50"/>
        <cfvo type="max"/>
        <color rgb="FFF8696B"/>
        <color rgb="FFFFEB84"/>
        <color rgb="FF63BE7B"/>
      </colorScale>
    </cfRule>
  </conditionalFormatting>
  <conditionalFormatting sqref="F25">
    <cfRule type="colorScale" priority="9114">
      <colorScale>
        <cfvo type="min"/>
        <cfvo type="percentile" val="50"/>
        <cfvo type="max"/>
        <color rgb="FFF8696B"/>
        <color rgb="FFFFEB84"/>
        <color rgb="FF63BE7B"/>
      </colorScale>
    </cfRule>
  </conditionalFormatting>
  <conditionalFormatting sqref="F25">
    <cfRule type="colorScale" priority="9113">
      <colorScale>
        <cfvo type="min"/>
        <cfvo type="percentile" val="50"/>
        <cfvo type="max"/>
        <color rgb="FFF8696B"/>
        <color rgb="FFFFEB84"/>
        <color rgb="FF63BE7B"/>
      </colorScale>
    </cfRule>
  </conditionalFormatting>
  <conditionalFormatting sqref="F25">
    <cfRule type="colorScale" priority="9112">
      <colorScale>
        <cfvo type="min"/>
        <cfvo type="percentile" val="50"/>
        <cfvo type="max"/>
        <color rgb="FFF8696B"/>
        <color rgb="FFFFEB84"/>
        <color rgb="FF63BE7B"/>
      </colorScale>
    </cfRule>
  </conditionalFormatting>
  <conditionalFormatting sqref="F25">
    <cfRule type="colorScale" priority="9111">
      <colorScale>
        <cfvo type="min"/>
        <cfvo type="percentile" val="50"/>
        <cfvo type="max"/>
        <color rgb="FFF8696B"/>
        <color rgb="FFFFEB84"/>
        <color rgb="FF63BE7B"/>
      </colorScale>
    </cfRule>
  </conditionalFormatting>
  <conditionalFormatting sqref="F25">
    <cfRule type="colorScale" priority="9110">
      <colorScale>
        <cfvo type="min"/>
        <cfvo type="percentile" val="50"/>
        <cfvo type="max"/>
        <color rgb="FFF8696B"/>
        <color rgb="FFFFEB84"/>
        <color rgb="FF63BE7B"/>
      </colorScale>
    </cfRule>
  </conditionalFormatting>
  <conditionalFormatting sqref="F25">
    <cfRule type="colorScale" priority="9109">
      <colorScale>
        <cfvo type="min"/>
        <cfvo type="percentile" val="50"/>
        <cfvo type="max"/>
        <color rgb="FFF8696B"/>
        <color rgb="FFFFEB84"/>
        <color rgb="FF63BE7B"/>
      </colorScale>
    </cfRule>
  </conditionalFormatting>
  <conditionalFormatting sqref="F25">
    <cfRule type="colorScale" priority="9108">
      <colorScale>
        <cfvo type="min"/>
        <cfvo type="percentile" val="50"/>
        <cfvo type="max"/>
        <color rgb="FFF8696B"/>
        <color rgb="FFFFEB84"/>
        <color rgb="FF63BE7B"/>
      </colorScale>
    </cfRule>
  </conditionalFormatting>
  <conditionalFormatting sqref="F25">
    <cfRule type="colorScale" priority="9107">
      <colorScale>
        <cfvo type="min"/>
        <cfvo type="percentile" val="50"/>
        <cfvo type="max"/>
        <color rgb="FFF8696B"/>
        <color rgb="FFFFEB84"/>
        <color rgb="FF63BE7B"/>
      </colorScale>
    </cfRule>
  </conditionalFormatting>
  <conditionalFormatting sqref="F25">
    <cfRule type="colorScale" priority="9106">
      <colorScale>
        <cfvo type="min"/>
        <cfvo type="percentile" val="50"/>
        <cfvo type="max"/>
        <color rgb="FFF8696B"/>
        <color rgb="FFFFEB84"/>
        <color rgb="FF63BE7B"/>
      </colorScale>
    </cfRule>
  </conditionalFormatting>
  <conditionalFormatting sqref="F25">
    <cfRule type="colorScale" priority="9105">
      <colorScale>
        <cfvo type="min"/>
        <cfvo type="percentile" val="50"/>
        <cfvo type="max"/>
        <color rgb="FFF8696B"/>
        <color rgb="FFFFEB84"/>
        <color rgb="FF63BE7B"/>
      </colorScale>
    </cfRule>
  </conditionalFormatting>
  <conditionalFormatting sqref="F25">
    <cfRule type="colorScale" priority="9104">
      <colorScale>
        <cfvo type="min"/>
        <cfvo type="percentile" val="50"/>
        <cfvo type="max"/>
        <color rgb="FFF8696B"/>
        <color rgb="FFFFEB84"/>
        <color rgb="FF63BE7B"/>
      </colorScale>
    </cfRule>
  </conditionalFormatting>
  <conditionalFormatting sqref="F25">
    <cfRule type="colorScale" priority="9103">
      <colorScale>
        <cfvo type="min"/>
        <cfvo type="percentile" val="50"/>
        <cfvo type="max"/>
        <color rgb="FFF8696B"/>
        <color rgb="FFFFEB84"/>
        <color rgb="FF63BE7B"/>
      </colorScale>
    </cfRule>
  </conditionalFormatting>
  <conditionalFormatting sqref="F25">
    <cfRule type="colorScale" priority="9102">
      <colorScale>
        <cfvo type="min"/>
        <cfvo type="percentile" val="50"/>
        <cfvo type="max"/>
        <color rgb="FFF8696B"/>
        <color rgb="FFFFEB84"/>
        <color rgb="FF63BE7B"/>
      </colorScale>
    </cfRule>
  </conditionalFormatting>
  <conditionalFormatting sqref="F25">
    <cfRule type="colorScale" priority="9101">
      <colorScale>
        <cfvo type="min"/>
        <cfvo type="percentile" val="50"/>
        <cfvo type="max"/>
        <color rgb="FFF8696B"/>
        <color rgb="FFFFEB84"/>
        <color rgb="FF63BE7B"/>
      </colorScale>
    </cfRule>
  </conditionalFormatting>
  <conditionalFormatting sqref="F25">
    <cfRule type="colorScale" priority="9100">
      <colorScale>
        <cfvo type="min"/>
        <cfvo type="percentile" val="50"/>
        <cfvo type="max"/>
        <color rgb="FFF8696B"/>
        <color rgb="FFFFEB84"/>
        <color rgb="FF63BE7B"/>
      </colorScale>
    </cfRule>
  </conditionalFormatting>
  <conditionalFormatting sqref="F25">
    <cfRule type="colorScale" priority="9099">
      <colorScale>
        <cfvo type="min"/>
        <cfvo type="percentile" val="50"/>
        <cfvo type="max"/>
        <color rgb="FFF8696B"/>
        <color rgb="FFFFEB84"/>
        <color rgb="FF63BE7B"/>
      </colorScale>
    </cfRule>
  </conditionalFormatting>
  <conditionalFormatting sqref="F25">
    <cfRule type="colorScale" priority="9098">
      <colorScale>
        <cfvo type="min"/>
        <cfvo type="percentile" val="50"/>
        <cfvo type="max"/>
        <color rgb="FFF8696B"/>
        <color rgb="FFFFEB84"/>
        <color rgb="FF63BE7B"/>
      </colorScale>
    </cfRule>
  </conditionalFormatting>
  <conditionalFormatting sqref="F25">
    <cfRule type="colorScale" priority="9097">
      <colorScale>
        <cfvo type="min"/>
        <cfvo type="percentile" val="50"/>
        <cfvo type="max"/>
        <color rgb="FFF8696B"/>
        <color rgb="FFFFEB84"/>
        <color rgb="FF63BE7B"/>
      </colorScale>
    </cfRule>
  </conditionalFormatting>
  <conditionalFormatting sqref="F25">
    <cfRule type="colorScale" priority="9096">
      <colorScale>
        <cfvo type="min"/>
        <cfvo type="percentile" val="50"/>
        <cfvo type="max"/>
        <color rgb="FFF8696B"/>
        <color rgb="FFFFEB84"/>
        <color rgb="FF63BE7B"/>
      </colorScale>
    </cfRule>
  </conditionalFormatting>
  <conditionalFormatting sqref="F25">
    <cfRule type="colorScale" priority="9095">
      <colorScale>
        <cfvo type="min"/>
        <cfvo type="percentile" val="50"/>
        <cfvo type="max"/>
        <color rgb="FFF8696B"/>
        <color rgb="FFFFEB84"/>
        <color rgb="FF63BE7B"/>
      </colorScale>
    </cfRule>
  </conditionalFormatting>
  <conditionalFormatting sqref="F25">
    <cfRule type="colorScale" priority="9094">
      <colorScale>
        <cfvo type="min"/>
        <cfvo type="percentile" val="50"/>
        <cfvo type="max"/>
        <color rgb="FFF8696B"/>
        <color rgb="FFFFEB84"/>
        <color rgb="FF63BE7B"/>
      </colorScale>
    </cfRule>
  </conditionalFormatting>
  <conditionalFormatting sqref="F25">
    <cfRule type="colorScale" priority="9093">
      <colorScale>
        <cfvo type="min"/>
        <cfvo type="percentile" val="50"/>
        <cfvo type="max"/>
        <color rgb="FFF8696B"/>
        <color rgb="FFFFEB84"/>
        <color rgb="FF63BE7B"/>
      </colorScale>
    </cfRule>
  </conditionalFormatting>
  <conditionalFormatting sqref="F25">
    <cfRule type="colorScale" priority="9092">
      <colorScale>
        <cfvo type="min"/>
        <cfvo type="percentile" val="50"/>
        <cfvo type="max"/>
        <color rgb="FFF8696B"/>
        <color rgb="FFFFEB84"/>
        <color rgb="FF63BE7B"/>
      </colorScale>
    </cfRule>
  </conditionalFormatting>
  <conditionalFormatting sqref="F25">
    <cfRule type="colorScale" priority="9091">
      <colorScale>
        <cfvo type="min"/>
        <cfvo type="percentile" val="50"/>
        <cfvo type="max"/>
        <color rgb="FFF8696B"/>
        <color rgb="FFFFEB84"/>
        <color rgb="FF63BE7B"/>
      </colorScale>
    </cfRule>
  </conditionalFormatting>
  <conditionalFormatting sqref="F25">
    <cfRule type="colorScale" priority="9090">
      <colorScale>
        <cfvo type="min"/>
        <cfvo type="percentile" val="50"/>
        <cfvo type="max"/>
        <color rgb="FFF8696B"/>
        <color rgb="FFFFEB84"/>
        <color rgb="FF63BE7B"/>
      </colorScale>
    </cfRule>
  </conditionalFormatting>
  <conditionalFormatting sqref="F25">
    <cfRule type="colorScale" priority="9089">
      <colorScale>
        <cfvo type="min"/>
        <cfvo type="percentile" val="50"/>
        <cfvo type="max"/>
        <color rgb="FFF8696B"/>
        <color rgb="FFFFEB84"/>
        <color rgb="FF63BE7B"/>
      </colorScale>
    </cfRule>
  </conditionalFormatting>
  <conditionalFormatting sqref="F25">
    <cfRule type="colorScale" priority="9088">
      <colorScale>
        <cfvo type="min"/>
        <cfvo type="percentile" val="50"/>
        <cfvo type="max"/>
        <color rgb="FFF8696B"/>
        <color rgb="FFFFEB84"/>
        <color rgb="FF63BE7B"/>
      </colorScale>
    </cfRule>
  </conditionalFormatting>
  <conditionalFormatting sqref="F25">
    <cfRule type="colorScale" priority="9087">
      <colorScale>
        <cfvo type="min"/>
        <cfvo type="percentile" val="50"/>
        <cfvo type="max"/>
        <color rgb="FFF8696B"/>
        <color rgb="FFFFEB84"/>
        <color rgb="FF63BE7B"/>
      </colorScale>
    </cfRule>
  </conditionalFormatting>
  <conditionalFormatting sqref="F25">
    <cfRule type="colorScale" priority="9086">
      <colorScale>
        <cfvo type="min"/>
        <cfvo type="percentile" val="50"/>
        <cfvo type="max"/>
        <color rgb="FFF8696B"/>
        <color rgb="FFFFEB84"/>
        <color rgb="FF63BE7B"/>
      </colorScale>
    </cfRule>
  </conditionalFormatting>
  <conditionalFormatting sqref="F25">
    <cfRule type="colorScale" priority="9085">
      <colorScale>
        <cfvo type="min"/>
        <cfvo type="percentile" val="50"/>
        <cfvo type="max"/>
        <color rgb="FFF8696B"/>
        <color rgb="FFFFEB84"/>
        <color rgb="FF63BE7B"/>
      </colorScale>
    </cfRule>
  </conditionalFormatting>
  <conditionalFormatting sqref="F25">
    <cfRule type="colorScale" priority="9084">
      <colorScale>
        <cfvo type="min"/>
        <cfvo type="percentile" val="50"/>
        <cfvo type="max"/>
        <color rgb="FFF8696B"/>
        <color rgb="FFFFEB84"/>
        <color rgb="FF63BE7B"/>
      </colorScale>
    </cfRule>
  </conditionalFormatting>
  <conditionalFormatting sqref="F25">
    <cfRule type="colorScale" priority="9083">
      <colorScale>
        <cfvo type="min"/>
        <cfvo type="percentile" val="50"/>
        <cfvo type="max"/>
        <color rgb="FFF8696B"/>
        <color rgb="FFFFEB84"/>
        <color rgb="FF63BE7B"/>
      </colorScale>
    </cfRule>
  </conditionalFormatting>
  <conditionalFormatting sqref="F25">
    <cfRule type="colorScale" priority="9082">
      <colorScale>
        <cfvo type="min"/>
        <cfvo type="percentile" val="50"/>
        <cfvo type="max"/>
        <color rgb="FFF8696B"/>
        <color rgb="FFFFEB84"/>
        <color rgb="FF63BE7B"/>
      </colorScale>
    </cfRule>
  </conditionalFormatting>
  <conditionalFormatting sqref="F25">
    <cfRule type="colorScale" priority="9081">
      <colorScale>
        <cfvo type="min"/>
        <cfvo type="percentile" val="50"/>
        <cfvo type="max"/>
        <color rgb="FFF8696B"/>
        <color rgb="FFFFEB84"/>
        <color rgb="FF63BE7B"/>
      </colorScale>
    </cfRule>
  </conditionalFormatting>
  <conditionalFormatting sqref="F25">
    <cfRule type="colorScale" priority="9080">
      <colorScale>
        <cfvo type="min"/>
        <cfvo type="percentile" val="50"/>
        <cfvo type="max"/>
        <color rgb="FFF8696B"/>
        <color rgb="FFFFEB84"/>
        <color rgb="FF63BE7B"/>
      </colorScale>
    </cfRule>
  </conditionalFormatting>
  <conditionalFormatting sqref="F25">
    <cfRule type="colorScale" priority="9079">
      <colorScale>
        <cfvo type="min"/>
        <cfvo type="percentile" val="50"/>
        <cfvo type="max"/>
        <color rgb="FFF8696B"/>
        <color rgb="FFFFEB84"/>
        <color rgb="FF63BE7B"/>
      </colorScale>
    </cfRule>
  </conditionalFormatting>
  <conditionalFormatting sqref="F25">
    <cfRule type="colorScale" priority="9078">
      <colorScale>
        <cfvo type="min"/>
        <cfvo type="percentile" val="50"/>
        <cfvo type="max"/>
        <color rgb="FFF8696B"/>
        <color rgb="FFFFEB84"/>
        <color rgb="FF63BE7B"/>
      </colorScale>
    </cfRule>
  </conditionalFormatting>
  <conditionalFormatting sqref="F25">
    <cfRule type="colorScale" priority="9077">
      <colorScale>
        <cfvo type="min"/>
        <cfvo type="percentile" val="50"/>
        <cfvo type="max"/>
        <color rgb="FFF8696B"/>
        <color rgb="FFFFEB84"/>
        <color rgb="FF63BE7B"/>
      </colorScale>
    </cfRule>
  </conditionalFormatting>
  <conditionalFormatting sqref="F25">
    <cfRule type="colorScale" priority="9076">
      <colorScale>
        <cfvo type="min"/>
        <cfvo type="percentile" val="50"/>
        <cfvo type="max"/>
        <color rgb="FFF8696B"/>
        <color rgb="FFFFEB84"/>
        <color rgb="FF63BE7B"/>
      </colorScale>
    </cfRule>
  </conditionalFormatting>
  <conditionalFormatting sqref="F25">
    <cfRule type="colorScale" priority="9075">
      <colorScale>
        <cfvo type="min"/>
        <cfvo type="percentile" val="50"/>
        <cfvo type="max"/>
        <color rgb="FFF8696B"/>
        <color rgb="FFFFEB84"/>
        <color rgb="FF63BE7B"/>
      </colorScale>
    </cfRule>
  </conditionalFormatting>
  <conditionalFormatting sqref="F25">
    <cfRule type="colorScale" priority="9074">
      <colorScale>
        <cfvo type="min"/>
        <cfvo type="percentile" val="50"/>
        <cfvo type="max"/>
        <color rgb="FFF8696B"/>
        <color rgb="FFFFEB84"/>
        <color rgb="FF63BE7B"/>
      </colorScale>
    </cfRule>
  </conditionalFormatting>
  <conditionalFormatting sqref="F25">
    <cfRule type="colorScale" priority="9073">
      <colorScale>
        <cfvo type="min"/>
        <cfvo type="percentile" val="50"/>
        <cfvo type="max"/>
        <color rgb="FFF8696B"/>
        <color rgb="FFFFEB84"/>
        <color rgb="FF63BE7B"/>
      </colorScale>
    </cfRule>
  </conditionalFormatting>
  <conditionalFormatting sqref="F25">
    <cfRule type="colorScale" priority="9072">
      <colorScale>
        <cfvo type="min"/>
        <cfvo type="percentile" val="50"/>
        <cfvo type="max"/>
        <color rgb="FFF8696B"/>
        <color rgb="FFFFEB84"/>
        <color rgb="FF63BE7B"/>
      </colorScale>
    </cfRule>
  </conditionalFormatting>
  <conditionalFormatting sqref="F25">
    <cfRule type="colorScale" priority="9071">
      <colorScale>
        <cfvo type="min"/>
        <cfvo type="percentile" val="50"/>
        <cfvo type="max"/>
        <color rgb="FFF8696B"/>
        <color rgb="FFFFEB84"/>
        <color rgb="FF63BE7B"/>
      </colorScale>
    </cfRule>
  </conditionalFormatting>
  <conditionalFormatting sqref="F25">
    <cfRule type="colorScale" priority="9070">
      <colorScale>
        <cfvo type="min"/>
        <cfvo type="percentile" val="50"/>
        <cfvo type="max"/>
        <color rgb="FFF8696B"/>
        <color rgb="FFFFEB84"/>
        <color rgb="FF63BE7B"/>
      </colorScale>
    </cfRule>
  </conditionalFormatting>
  <conditionalFormatting sqref="F25">
    <cfRule type="colorScale" priority="9069">
      <colorScale>
        <cfvo type="min"/>
        <cfvo type="percentile" val="50"/>
        <cfvo type="max"/>
        <color rgb="FFF8696B"/>
        <color rgb="FFFFEB84"/>
        <color rgb="FF63BE7B"/>
      </colorScale>
    </cfRule>
  </conditionalFormatting>
  <conditionalFormatting sqref="F25">
    <cfRule type="colorScale" priority="9068">
      <colorScale>
        <cfvo type="min"/>
        <cfvo type="percentile" val="50"/>
        <cfvo type="max"/>
        <color rgb="FFF8696B"/>
        <color rgb="FFFFEB84"/>
        <color rgb="FF63BE7B"/>
      </colorScale>
    </cfRule>
  </conditionalFormatting>
  <conditionalFormatting sqref="F25">
    <cfRule type="colorScale" priority="9067">
      <colorScale>
        <cfvo type="min"/>
        <cfvo type="percentile" val="50"/>
        <cfvo type="max"/>
        <color rgb="FFF8696B"/>
        <color rgb="FFFFEB84"/>
        <color rgb="FF63BE7B"/>
      </colorScale>
    </cfRule>
  </conditionalFormatting>
  <conditionalFormatting sqref="F25">
    <cfRule type="colorScale" priority="9066">
      <colorScale>
        <cfvo type="min"/>
        <cfvo type="percentile" val="50"/>
        <cfvo type="max"/>
        <color rgb="FFF8696B"/>
        <color rgb="FFFFEB84"/>
        <color rgb="FF63BE7B"/>
      </colorScale>
    </cfRule>
  </conditionalFormatting>
  <conditionalFormatting sqref="F25">
    <cfRule type="colorScale" priority="9065">
      <colorScale>
        <cfvo type="min"/>
        <cfvo type="percentile" val="50"/>
        <cfvo type="max"/>
        <color rgb="FFF8696B"/>
        <color rgb="FFFFEB84"/>
        <color rgb="FF63BE7B"/>
      </colorScale>
    </cfRule>
  </conditionalFormatting>
  <conditionalFormatting sqref="F25">
    <cfRule type="colorScale" priority="9064">
      <colorScale>
        <cfvo type="min"/>
        <cfvo type="percentile" val="50"/>
        <cfvo type="max"/>
        <color rgb="FFF8696B"/>
        <color rgb="FFFFEB84"/>
        <color rgb="FF63BE7B"/>
      </colorScale>
    </cfRule>
  </conditionalFormatting>
  <conditionalFormatting sqref="F25">
    <cfRule type="colorScale" priority="9063">
      <colorScale>
        <cfvo type="min"/>
        <cfvo type="percentile" val="50"/>
        <cfvo type="max"/>
        <color rgb="FFF8696B"/>
        <color rgb="FFFFEB84"/>
        <color rgb="FF63BE7B"/>
      </colorScale>
    </cfRule>
  </conditionalFormatting>
  <conditionalFormatting sqref="F25">
    <cfRule type="colorScale" priority="9062">
      <colorScale>
        <cfvo type="min"/>
        <cfvo type="percentile" val="50"/>
        <cfvo type="max"/>
        <color rgb="FFF8696B"/>
        <color rgb="FFFFEB84"/>
        <color rgb="FF63BE7B"/>
      </colorScale>
    </cfRule>
  </conditionalFormatting>
  <conditionalFormatting sqref="F25">
    <cfRule type="colorScale" priority="9061">
      <colorScale>
        <cfvo type="min"/>
        <cfvo type="percentile" val="50"/>
        <cfvo type="max"/>
        <color rgb="FFF8696B"/>
        <color rgb="FFFFEB84"/>
        <color rgb="FF63BE7B"/>
      </colorScale>
    </cfRule>
  </conditionalFormatting>
  <conditionalFormatting sqref="F25">
    <cfRule type="colorScale" priority="9060">
      <colorScale>
        <cfvo type="min"/>
        <cfvo type="percentile" val="50"/>
        <cfvo type="max"/>
        <color rgb="FFF8696B"/>
        <color rgb="FFFFEB84"/>
        <color rgb="FF63BE7B"/>
      </colorScale>
    </cfRule>
  </conditionalFormatting>
  <conditionalFormatting sqref="F25">
    <cfRule type="colorScale" priority="9059">
      <colorScale>
        <cfvo type="min"/>
        <cfvo type="percentile" val="50"/>
        <cfvo type="max"/>
        <color rgb="FFF8696B"/>
        <color rgb="FFFFEB84"/>
        <color rgb="FF63BE7B"/>
      </colorScale>
    </cfRule>
  </conditionalFormatting>
  <conditionalFormatting sqref="F25">
    <cfRule type="colorScale" priority="9058">
      <colorScale>
        <cfvo type="min"/>
        <cfvo type="percentile" val="50"/>
        <cfvo type="max"/>
        <color rgb="FFF8696B"/>
        <color rgb="FFFFEB84"/>
        <color rgb="FF63BE7B"/>
      </colorScale>
    </cfRule>
  </conditionalFormatting>
  <conditionalFormatting sqref="F25">
    <cfRule type="colorScale" priority="9057">
      <colorScale>
        <cfvo type="min"/>
        <cfvo type="percentile" val="50"/>
        <cfvo type="max"/>
        <color rgb="FFF8696B"/>
        <color rgb="FFFFEB84"/>
        <color rgb="FF63BE7B"/>
      </colorScale>
    </cfRule>
  </conditionalFormatting>
  <conditionalFormatting sqref="F25">
    <cfRule type="colorScale" priority="9056">
      <colorScale>
        <cfvo type="min"/>
        <cfvo type="percentile" val="50"/>
        <cfvo type="max"/>
        <color rgb="FFF8696B"/>
        <color rgb="FFFFEB84"/>
        <color rgb="FF63BE7B"/>
      </colorScale>
    </cfRule>
  </conditionalFormatting>
  <conditionalFormatting sqref="F25">
    <cfRule type="colorScale" priority="9055">
      <colorScale>
        <cfvo type="min"/>
        <cfvo type="percentile" val="50"/>
        <cfvo type="max"/>
        <color rgb="FFF8696B"/>
        <color rgb="FFFFEB84"/>
        <color rgb="FF63BE7B"/>
      </colorScale>
    </cfRule>
  </conditionalFormatting>
  <conditionalFormatting sqref="F25">
    <cfRule type="colorScale" priority="9054">
      <colorScale>
        <cfvo type="min"/>
        <cfvo type="percentile" val="50"/>
        <cfvo type="max"/>
        <color rgb="FFF8696B"/>
        <color rgb="FFFFEB84"/>
        <color rgb="FF63BE7B"/>
      </colorScale>
    </cfRule>
  </conditionalFormatting>
  <conditionalFormatting sqref="F25">
    <cfRule type="colorScale" priority="9053">
      <colorScale>
        <cfvo type="min"/>
        <cfvo type="percentile" val="50"/>
        <cfvo type="max"/>
        <color rgb="FFF8696B"/>
        <color rgb="FFFFEB84"/>
        <color rgb="FF63BE7B"/>
      </colorScale>
    </cfRule>
  </conditionalFormatting>
  <conditionalFormatting sqref="F25">
    <cfRule type="colorScale" priority="9052">
      <colorScale>
        <cfvo type="min"/>
        <cfvo type="percentile" val="50"/>
        <cfvo type="max"/>
        <color rgb="FFF8696B"/>
        <color rgb="FFFFEB84"/>
        <color rgb="FF63BE7B"/>
      </colorScale>
    </cfRule>
  </conditionalFormatting>
  <conditionalFormatting sqref="F25">
    <cfRule type="colorScale" priority="9051">
      <colorScale>
        <cfvo type="min"/>
        <cfvo type="percentile" val="50"/>
        <cfvo type="max"/>
        <color rgb="FFF8696B"/>
        <color rgb="FFFFEB84"/>
        <color rgb="FF63BE7B"/>
      </colorScale>
    </cfRule>
  </conditionalFormatting>
  <conditionalFormatting sqref="F25">
    <cfRule type="colorScale" priority="9050">
      <colorScale>
        <cfvo type="min"/>
        <cfvo type="percentile" val="50"/>
        <cfvo type="max"/>
        <color rgb="FFF8696B"/>
        <color rgb="FFFFEB84"/>
        <color rgb="FF63BE7B"/>
      </colorScale>
    </cfRule>
  </conditionalFormatting>
  <conditionalFormatting sqref="F25">
    <cfRule type="colorScale" priority="9049">
      <colorScale>
        <cfvo type="min"/>
        <cfvo type="percentile" val="50"/>
        <cfvo type="max"/>
        <color rgb="FFF8696B"/>
        <color rgb="FFFFEB84"/>
        <color rgb="FF63BE7B"/>
      </colorScale>
    </cfRule>
  </conditionalFormatting>
  <conditionalFormatting sqref="F25">
    <cfRule type="colorScale" priority="9048">
      <colorScale>
        <cfvo type="min"/>
        <cfvo type="percentile" val="50"/>
        <cfvo type="max"/>
        <color rgb="FFF8696B"/>
        <color rgb="FFFFEB84"/>
        <color rgb="FF63BE7B"/>
      </colorScale>
    </cfRule>
  </conditionalFormatting>
  <conditionalFormatting sqref="F25">
    <cfRule type="colorScale" priority="9047">
      <colorScale>
        <cfvo type="min"/>
        <cfvo type="percentile" val="50"/>
        <cfvo type="max"/>
        <color rgb="FFF8696B"/>
        <color rgb="FFFFEB84"/>
        <color rgb="FF63BE7B"/>
      </colorScale>
    </cfRule>
  </conditionalFormatting>
  <conditionalFormatting sqref="F25">
    <cfRule type="colorScale" priority="9046">
      <colorScale>
        <cfvo type="min"/>
        <cfvo type="percentile" val="50"/>
        <cfvo type="max"/>
        <color rgb="FFF8696B"/>
        <color rgb="FFFFEB84"/>
        <color rgb="FF63BE7B"/>
      </colorScale>
    </cfRule>
  </conditionalFormatting>
  <conditionalFormatting sqref="F25">
    <cfRule type="colorScale" priority="9045">
      <colorScale>
        <cfvo type="min"/>
        <cfvo type="percentile" val="50"/>
        <cfvo type="max"/>
        <color rgb="FFF8696B"/>
        <color rgb="FFFFEB84"/>
        <color rgb="FF63BE7B"/>
      </colorScale>
    </cfRule>
  </conditionalFormatting>
  <conditionalFormatting sqref="F25">
    <cfRule type="colorScale" priority="9044">
      <colorScale>
        <cfvo type="min"/>
        <cfvo type="percentile" val="50"/>
        <cfvo type="max"/>
        <color rgb="FFF8696B"/>
        <color rgb="FFFFEB84"/>
        <color rgb="FF63BE7B"/>
      </colorScale>
    </cfRule>
  </conditionalFormatting>
  <conditionalFormatting sqref="F25">
    <cfRule type="colorScale" priority="9043">
      <colorScale>
        <cfvo type="min"/>
        <cfvo type="percentile" val="50"/>
        <cfvo type="max"/>
        <color rgb="FFF8696B"/>
        <color rgb="FFFFEB84"/>
        <color rgb="FF63BE7B"/>
      </colorScale>
    </cfRule>
  </conditionalFormatting>
  <conditionalFormatting sqref="F25">
    <cfRule type="colorScale" priority="9042">
      <colorScale>
        <cfvo type="min"/>
        <cfvo type="percentile" val="50"/>
        <cfvo type="max"/>
        <color rgb="FFF8696B"/>
        <color rgb="FFFFEB84"/>
        <color rgb="FF63BE7B"/>
      </colorScale>
    </cfRule>
  </conditionalFormatting>
  <conditionalFormatting sqref="F25">
    <cfRule type="colorScale" priority="9041">
      <colorScale>
        <cfvo type="min"/>
        <cfvo type="percentile" val="50"/>
        <cfvo type="max"/>
        <color rgb="FFF8696B"/>
        <color rgb="FFFFEB84"/>
        <color rgb="FF63BE7B"/>
      </colorScale>
    </cfRule>
  </conditionalFormatting>
  <conditionalFormatting sqref="F25">
    <cfRule type="colorScale" priority="9040">
      <colorScale>
        <cfvo type="min"/>
        <cfvo type="percentile" val="50"/>
        <cfvo type="max"/>
        <color rgb="FFF8696B"/>
        <color rgb="FFFFEB84"/>
        <color rgb="FF63BE7B"/>
      </colorScale>
    </cfRule>
  </conditionalFormatting>
  <conditionalFormatting sqref="F25">
    <cfRule type="colorScale" priority="9039">
      <colorScale>
        <cfvo type="min"/>
        <cfvo type="percentile" val="50"/>
        <cfvo type="max"/>
        <color rgb="FFF8696B"/>
        <color rgb="FFFFEB84"/>
        <color rgb="FF63BE7B"/>
      </colorScale>
    </cfRule>
  </conditionalFormatting>
  <conditionalFormatting sqref="F25">
    <cfRule type="colorScale" priority="9038">
      <colorScale>
        <cfvo type="min"/>
        <cfvo type="percentile" val="50"/>
        <cfvo type="max"/>
        <color rgb="FFF8696B"/>
        <color rgb="FFFFEB84"/>
        <color rgb="FF63BE7B"/>
      </colorScale>
    </cfRule>
  </conditionalFormatting>
  <conditionalFormatting sqref="F25">
    <cfRule type="colorScale" priority="9037">
      <colorScale>
        <cfvo type="min"/>
        <cfvo type="percentile" val="50"/>
        <cfvo type="max"/>
        <color rgb="FFF8696B"/>
        <color rgb="FFFFEB84"/>
        <color rgb="FF63BE7B"/>
      </colorScale>
    </cfRule>
  </conditionalFormatting>
  <conditionalFormatting sqref="F25">
    <cfRule type="colorScale" priority="9036">
      <colorScale>
        <cfvo type="min"/>
        <cfvo type="percentile" val="50"/>
        <cfvo type="max"/>
        <color rgb="FFF8696B"/>
        <color rgb="FFFFEB84"/>
        <color rgb="FF63BE7B"/>
      </colorScale>
    </cfRule>
  </conditionalFormatting>
  <conditionalFormatting sqref="F25">
    <cfRule type="colorScale" priority="9035">
      <colorScale>
        <cfvo type="min"/>
        <cfvo type="percentile" val="50"/>
        <cfvo type="max"/>
        <color rgb="FFF8696B"/>
        <color rgb="FFFFEB84"/>
        <color rgb="FF63BE7B"/>
      </colorScale>
    </cfRule>
  </conditionalFormatting>
  <conditionalFormatting sqref="F25">
    <cfRule type="colorScale" priority="9034">
      <colorScale>
        <cfvo type="min"/>
        <cfvo type="percentile" val="50"/>
        <cfvo type="max"/>
        <color rgb="FFF8696B"/>
        <color rgb="FFFFEB84"/>
        <color rgb="FF63BE7B"/>
      </colorScale>
    </cfRule>
  </conditionalFormatting>
  <conditionalFormatting sqref="F25">
    <cfRule type="colorScale" priority="9033">
      <colorScale>
        <cfvo type="min"/>
        <cfvo type="percentile" val="50"/>
        <cfvo type="max"/>
        <color rgb="FFF8696B"/>
        <color rgb="FFFFEB84"/>
        <color rgb="FF63BE7B"/>
      </colorScale>
    </cfRule>
  </conditionalFormatting>
  <conditionalFormatting sqref="F25">
    <cfRule type="colorScale" priority="9032">
      <colorScale>
        <cfvo type="min"/>
        <cfvo type="percentile" val="50"/>
        <cfvo type="max"/>
        <color rgb="FFF8696B"/>
        <color rgb="FFFFEB84"/>
        <color rgb="FF63BE7B"/>
      </colorScale>
    </cfRule>
  </conditionalFormatting>
  <conditionalFormatting sqref="F25">
    <cfRule type="colorScale" priority="9031">
      <colorScale>
        <cfvo type="min"/>
        <cfvo type="percentile" val="50"/>
        <cfvo type="max"/>
        <color rgb="FFF8696B"/>
        <color rgb="FFFFEB84"/>
        <color rgb="FF63BE7B"/>
      </colorScale>
    </cfRule>
  </conditionalFormatting>
  <conditionalFormatting sqref="F25">
    <cfRule type="colorScale" priority="9030">
      <colorScale>
        <cfvo type="min"/>
        <cfvo type="percentile" val="50"/>
        <cfvo type="max"/>
        <color rgb="FFF8696B"/>
        <color rgb="FFFFEB84"/>
        <color rgb="FF63BE7B"/>
      </colorScale>
    </cfRule>
  </conditionalFormatting>
  <conditionalFormatting sqref="F25">
    <cfRule type="colorScale" priority="9029">
      <colorScale>
        <cfvo type="min"/>
        <cfvo type="percentile" val="50"/>
        <cfvo type="max"/>
        <color rgb="FFF8696B"/>
        <color rgb="FFFFEB84"/>
        <color rgb="FF63BE7B"/>
      </colorScale>
    </cfRule>
  </conditionalFormatting>
  <conditionalFormatting sqref="F25">
    <cfRule type="colorScale" priority="9028">
      <colorScale>
        <cfvo type="min"/>
        <cfvo type="percentile" val="50"/>
        <cfvo type="max"/>
        <color rgb="FFF8696B"/>
        <color rgb="FFFFEB84"/>
        <color rgb="FF63BE7B"/>
      </colorScale>
    </cfRule>
  </conditionalFormatting>
  <conditionalFormatting sqref="F25">
    <cfRule type="colorScale" priority="9027">
      <colorScale>
        <cfvo type="min"/>
        <cfvo type="percentile" val="50"/>
        <cfvo type="max"/>
        <color rgb="FFF8696B"/>
        <color rgb="FFFFEB84"/>
        <color rgb="FF63BE7B"/>
      </colorScale>
    </cfRule>
  </conditionalFormatting>
  <conditionalFormatting sqref="F25">
    <cfRule type="colorScale" priority="9026">
      <colorScale>
        <cfvo type="min"/>
        <cfvo type="percentile" val="50"/>
        <cfvo type="max"/>
        <color rgb="FFF8696B"/>
        <color rgb="FFFFEB84"/>
        <color rgb="FF63BE7B"/>
      </colorScale>
    </cfRule>
  </conditionalFormatting>
  <conditionalFormatting sqref="F25">
    <cfRule type="colorScale" priority="9025">
      <colorScale>
        <cfvo type="min"/>
        <cfvo type="percentile" val="50"/>
        <cfvo type="max"/>
        <color rgb="FFF8696B"/>
        <color rgb="FFFFEB84"/>
        <color rgb="FF63BE7B"/>
      </colorScale>
    </cfRule>
  </conditionalFormatting>
  <conditionalFormatting sqref="F25">
    <cfRule type="colorScale" priority="9024">
      <colorScale>
        <cfvo type="min"/>
        <cfvo type="percentile" val="50"/>
        <cfvo type="max"/>
        <color rgb="FFF8696B"/>
        <color rgb="FFFFEB84"/>
        <color rgb="FF63BE7B"/>
      </colorScale>
    </cfRule>
  </conditionalFormatting>
  <conditionalFormatting sqref="F25">
    <cfRule type="colorScale" priority="9023">
      <colorScale>
        <cfvo type="min"/>
        <cfvo type="percentile" val="50"/>
        <cfvo type="max"/>
        <color rgb="FFF8696B"/>
        <color rgb="FFFFEB84"/>
        <color rgb="FF63BE7B"/>
      </colorScale>
    </cfRule>
  </conditionalFormatting>
  <conditionalFormatting sqref="F25">
    <cfRule type="colorScale" priority="9022">
      <colorScale>
        <cfvo type="min"/>
        <cfvo type="percentile" val="50"/>
        <cfvo type="max"/>
        <color rgb="FFF8696B"/>
        <color rgb="FFFFEB84"/>
        <color rgb="FF63BE7B"/>
      </colorScale>
    </cfRule>
  </conditionalFormatting>
  <conditionalFormatting sqref="F25">
    <cfRule type="colorScale" priority="9021">
      <colorScale>
        <cfvo type="min"/>
        <cfvo type="percentile" val="50"/>
        <cfvo type="max"/>
        <color rgb="FFF8696B"/>
        <color rgb="FFFFEB84"/>
        <color rgb="FF63BE7B"/>
      </colorScale>
    </cfRule>
  </conditionalFormatting>
  <conditionalFormatting sqref="F25">
    <cfRule type="colorScale" priority="9020">
      <colorScale>
        <cfvo type="min"/>
        <cfvo type="percentile" val="50"/>
        <cfvo type="max"/>
        <color rgb="FFF8696B"/>
        <color rgb="FFFFEB84"/>
        <color rgb="FF63BE7B"/>
      </colorScale>
    </cfRule>
  </conditionalFormatting>
  <conditionalFormatting sqref="F25">
    <cfRule type="colorScale" priority="9019">
      <colorScale>
        <cfvo type="min"/>
        <cfvo type="percentile" val="50"/>
        <cfvo type="max"/>
        <color rgb="FFF8696B"/>
        <color rgb="FFFFEB84"/>
        <color rgb="FF63BE7B"/>
      </colorScale>
    </cfRule>
  </conditionalFormatting>
  <conditionalFormatting sqref="F25">
    <cfRule type="colorScale" priority="9018">
      <colorScale>
        <cfvo type="min"/>
        <cfvo type="percentile" val="50"/>
        <cfvo type="max"/>
        <color rgb="FFF8696B"/>
        <color rgb="FFFFEB84"/>
        <color rgb="FF63BE7B"/>
      </colorScale>
    </cfRule>
  </conditionalFormatting>
  <conditionalFormatting sqref="F25">
    <cfRule type="colorScale" priority="9017">
      <colorScale>
        <cfvo type="min"/>
        <cfvo type="percentile" val="50"/>
        <cfvo type="max"/>
        <color rgb="FFF8696B"/>
        <color rgb="FFFFEB84"/>
        <color rgb="FF63BE7B"/>
      </colorScale>
    </cfRule>
  </conditionalFormatting>
  <conditionalFormatting sqref="F25">
    <cfRule type="colorScale" priority="9016">
      <colorScale>
        <cfvo type="min"/>
        <cfvo type="percentile" val="50"/>
        <cfvo type="max"/>
        <color rgb="FFF8696B"/>
        <color rgb="FFFFEB84"/>
        <color rgb="FF63BE7B"/>
      </colorScale>
    </cfRule>
  </conditionalFormatting>
  <conditionalFormatting sqref="F25">
    <cfRule type="colorScale" priority="9015">
      <colorScale>
        <cfvo type="min"/>
        <cfvo type="percentile" val="50"/>
        <cfvo type="max"/>
        <color rgb="FFF8696B"/>
        <color rgb="FFFFEB84"/>
        <color rgb="FF63BE7B"/>
      </colorScale>
    </cfRule>
  </conditionalFormatting>
  <conditionalFormatting sqref="F25">
    <cfRule type="colorScale" priority="9014">
      <colorScale>
        <cfvo type="min"/>
        <cfvo type="percentile" val="50"/>
        <cfvo type="max"/>
        <color rgb="FFF8696B"/>
        <color rgb="FFFFEB84"/>
        <color rgb="FF63BE7B"/>
      </colorScale>
    </cfRule>
  </conditionalFormatting>
  <conditionalFormatting sqref="F25">
    <cfRule type="colorScale" priority="9013">
      <colorScale>
        <cfvo type="min"/>
        <cfvo type="percentile" val="50"/>
        <cfvo type="max"/>
        <color rgb="FFF8696B"/>
        <color rgb="FFFFEB84"/>
        <color rgb="FF63BE7B"/>
      </colorScale>
    </cfRule>
  </conditionalFormatting>
  <conditionalFormatting sqref="F25">
    <cfRule type="colorScale" priority="9012">
      <colorScale>
        <cfvo type="min"/>
        <cfvo type="percentile" val="50"/>
        <cfvo type="max"/>
        <color rgb="FFF8696B"/>
        <color rgb="FFFFEB84"/>
        <color rgb="FF63BE7B"/>
      </colorScale>
    </cfRule>
  </conditionalFormatting>
  <conditionalFormatting sqref="F25">
    <cfRule type="colorScale" priority="9011">
      <colorScale>
        <cfvo type="min"/>
        <cfvo type="percentile" val="50"/>
        <cfvo type="max"/>
        <color rgb="FFF8696B"/>
        <color rgb="FFFFEB84"/>
        <color rgb="FF63BE7B"/>
      </colorScale>
    </cfRule>
  </conditionalFormatting>
  <conditionalFormatting sqref="F25">
    <cfRule type="colorScale" priority="9010">
      <colorScale>
        <cfvo type="min"/>
        <cfvo type="percentile" val="50"/>
        <cfvo type="max"/>
        <color rgb="FFF8696B"/>
        <color rgb="FFFFEB84"/>
        <color rgb="FF63BE7B"/>
      </colorScale>
    </cfRule>
  </conditionalFormatting>
  <conditionalFormatting sqref="F25">
    <cfRule type="colorScale" priority="9009">
      <colorScale>
        <cfvo type="min"/>
        <cfvo type="percentile" val="50"/>
        <cfvo type="max"/>
        <color rgb="FFF8696B"/>
        <color rgb="FFFFEB84"/>
        <color rgb="FF63BE7B"/>
      </colorScale>
    </cfRule>
  </conditionalFormatting>
  <conditionalFormatting sqref="F25">
    <cfRule type="colorScale" priority="9008">
      <colorScale>
        <cfvo type="min"/>
        <cfvo type="percentile" val="50"/>
        <cfvo type="max"/>
        <color rgb="FFF8696B"/>
        <color rgb="FFFFEB84"/>
        <color rgb="FF63BE7B"/>
      </colorScale>
    </cfRule>
  </conditionalFormatting>
  <conditionalFormatting sqref="F25">
    <cfRule type="colorScale" priority="9007">
      <colorScale>
        <cfvo type="min"/>
        <cfvo type="percentile" val="50"/>
        <cfvo type="max"/>
        <color rgb="FFF8696B"/>
        <color rgb="FFFFEB84"/>
        <color rgb="FF63BE7B"/>
      </colorScale>
    </cfRule>
  </conditionalFormatting>
  <conditionalFormatting sqref="F25">
    <cfRule type="colorScale" priority="9006">
      <colorScale>
        <cfvo type="min"/>
        <cfvo type="percentile" val="50"/>
        <cfvo type="max"/>
        <color rgb="FFF8696B"/>
        <color rgb="FFFFEB84"/>
        <color rgb="FF63BE7B"/>
      </colorScale>
    </cfRule>
  </conditionalFormatting>
  <conditionalFormatting sqref="F25">
    <cfRule type="colorScale" priority="9005">
      <colorScale>
        <cfvo type="min"/>
        <cfvo type="percentile" val="50"/>
        <cfvo type="max"/>
        <color rgb="FFF8696B"/>
        <color rgb="FFFFEB84"/>
        <color rgb="FF63BE7B"/>
      </colorScale>
    </cfRule>
  </conditionalFormatting>
  <conditionalFormatting sqref="F25">
    <cfRule type="colorScale" priority="9004">
      <colorScale>
        <cfvo type="min"/>
        <cfvo type="percentile" val="50"/>
        <cfvo type="max"/>
        <color rgb="FFF8696B"/>
        <color rgb="FFFFEB84"/>
        <color rgb="FF63BE7B"/>
      </colorScale>
    </cfRule>
  </conditionalFormatting>
  <conditionalFormatting sqref="F25">
    <cfRule type="colorScale" priority="9003">
      <colorScale>
        <cfvo type="min"/>
        <cfvo type="percentile" val="50"/>
        <cfvo type="max"/>
        <color rgb="FFF8696B"/>
        <color rgb="FFFFEB84"/>
        <color rgb="FF63BE7B"/>
      </colorScale>
    </cfRule>
  </conditionalFormatting>
  <conditionalFormatting sqref="F25">
    <cfRule type="colorScale" priority="9002">
      <colorScale>
        <cfvo type="min"/>
        <cfvo type="percentile" val="50"/>
        <cfvo type="max"/>
        <color rgb="FFF8696B"/>
        <color rgb="FFFFEB84"/>
        <color rgb="FF63BE7B"/>
      </colorScale>
    </cfRule>
  </conditionalFormatting>
  <conditionalFormatting sqref="F25">
    <cfRule type="colorScale" priority="9001">
      <colorScale>
        <cfvo type="min"/>
        <cfvo type="percentile" val="50"/>
        <cfvo type="max"/>
        <color rgb="FFF8696B"/>
        <color rgb="FFFFEB84"/>
        <color rgb="FF63BE7B"/>
      </colorScale>
    </cfRule>
  </conditionalFormatting>
  <conditionalFormatting sqref="F25">
    <cfRule type="colorScale" priority="9000">
      <colorScale>
        <cfvo type="min"/>
        <cfvo type="percentile" val="50"/>
        <cfvo type="max"/>
        <color rgb="FFF8696B"/>
        <color rgb="FFFFEB84"/>
        <color rgb="FF63BE7B"/>
      </colorScale>
    </cfRule>
  </conditionalFormatting>
  <conditionalFormatting sqref="F25">
    <cfRule type="colorScale" priority="8999">
      <colorScale>
        <cfvo type="min"/>
        <cfvo type="percentile" val="50"/>
        <cfvo type="max"/>
        <color rgb="FFF8696B"/>
        <color rgb="FFFFEB84"/>
        <color rgb="FF63BE7B"/>
      </colorScale>
    </cfRule>
  </conditionalFormatting>
  <conditionalFormatting sqref="F25">
    <cfRule type="colorScale" priority="8998">
      <colorScale>
        <cfvo type="min"/>
        <cfvo type="percentile" val="50"/>
        <cfvo type="max"/>
        <color rgb="FFF8696B"/>
        <color rgb="FFFFEB84"/>
        <color rgb="FF63BE7B"/>
      </colorScale>
    </cfRule>
  </conditionalFormatting>
  <conditionalFormatting sqref="F25">
    <cfRule type="colorScale" priority="8997">
      <colorScale>
        <cfvo type="min"/>
        <cfvo type="percentile" val="50"/>
        <cfvo type="max"/>
        <color rgb="FFF8696B"/>
        <color rgb="FFFFEB84"/>
        <color rgb="FF63BE7B"/>
      </colorScale>
    </cfRule>
  </conditionalFormatting>
  <conditionalFormatting sqref="F25">
    <cfRule type="colorScale" priority="8996">
      <colorScale>
        <cfvo type="min"/>
        <cfvo type="percentile" val="50"/>
        <cfvo type="max"/>
        <color rgb="FFF8696B"/>
        <color rgb="FFFFEB84"/>
        <color rgb="FF63BE7B"/>
      </colorScale>
    </cfRule>
  </conditionalFormatting>
  <conditionalFormatting sqref="F25">
    <cfRule type="colorScale" priority="8995">
      <colorScale>
        <cfvo type="min"/>
        <cfvo type="percentile" val="50"/>
        <cfvo type="max"/>
        <color rgb="FFF8696B"/>
        <color rgb="FFFFEB84"/>
        <color rgb="FF63BE7B"/>
      </colorScale>
    </cfRule>
  </conditionalFormatting>
  <conditionalFormatting sqref="F25">
    <cfRule type="colorScale" priority="8994">
      <colorScale>
        <cfvo type="min"/>
        <cfvo type="percentile" val="50"/>
        <cfvo type="max"/>
        <color rgb="FFF8696B"/>
        <color rgb="FFFFEB84"/>
        <color rgb="FF63BE7B"/>
      </colorScale>
    </cfRule>
  </conditionalFormatting>
  <conditionalFormatting sqref="F25">
    <cfRule type="colorScale" priority="8993">
      <colorScale>
        <cfvo type="min"/>
        <cfvo type="percentile" val="50"/>
        <cfvo type="max"/>
        <color rgb="FFF8696B"/>
        <color rgb="FFFFEB84"/>
        <color rgb="FF63BE7B"/>
      </colorScale>
    </cfRule>
  </conditionalFormatting>
  <conditionalFormatting sqref="F25">
    <cfRule type="colorScale" priority="8992">
      <colorScale>
        <cfvo type="min"/>
        <cfvo type="percentile" val="50"/>
        <cfvo type="max"/>
        <color rgb="FFF8696B"/>
        <color rgb="FFFFEB84"/>
        <color rgb="FF63BE7B"/>
      </colorScale>
    </cfRule>
  </conditionalFormatting>
  <conditionalFormatting sqref="F25">
    <cfRule type="colorScale" priority="8991">
      <colorScale>
        <cfvo type="min"/>
        <cfvo type="percentile" val="50"/>
        <cfvo type="max"/>
        <color rgb="FFF8696B"/>
        <color rgb="FFFFEB84"/>
        <color rgb="FF63BE7B"/>
      </colorScale>
    </cfRule>
  </conditionalFormatting>
  <conditionalFormatting sqref="F25">
    <cfRule type="colorScale" priority="8990">
      <colorScale>
        <cfvo type="min"/>
        <cfvo type="percentile" val="50"/>
        <cfvo type="max"/>
        <color rgb="FFF8696B"/>
        <color rgb="FFFFEB84"/>
        <color rgb="FF63BE7B"/>
      </colorScale>
    </cfRule>
  </conditionalFormatting>
  <conditionalFormatting sqref="F25">
    <cfRule type="colorScale" priority="8989">
      <colorScale>
        <cfvo type="min"/>
        <cfvo type="percentile" val="50"/>
        <cfvo type="max"/>
        <color rgb="FFF8696B"/>
        <color rgb="FFFFEB84"/>
        <color rgb="FF63BE7B"/>
      </colorScale>
    </cfRule>
  </conditionalFormatting>
  <conditionalFormatting sqref="F25">
    <cfRule type="colorScale" priority="8988">
      <colorScale>
        <cfvo type="min"/>
        <cfvo type="percentile" val="50"/>
        <cfvo type="max"/>
        <color rgb="FFF8696B"/>
        <color rgb="FFFFEB84"/>
        <color rgb="FF63BE7B"/>
      </colorScale>
    </cfRule>
  </conditionalFormatting>
  <conditionalFormatting sqref="F25">
    <cfRule type="colorScale" priority="8987">
      <colorScale>
        <cfvo type="min"/>
        <cfvo type="percentile" val="50"/>
        <cfvo type="max"/>
        <color rgb="FFF8696B"/>
        <color rgb="FFFFEB84"/>
        <color rgb="FF63BE7B"/>
      </colorScale>
    </cfRule>
  </conditionalFormatting>
  <conditionalFormatting sqref="F25">
    <cfRule type="colorScale" priority="8986">
      <colorScale>
        <cfvo type="min"/>
        <cfvo type="percentile" val="50"/>
        <cfvo type="max"/>
        <color rgb="FFF8696B"/>
        <color rgb="FFFFEB84"/>
        <color rgb="FF63BE7B"/>
      </colorScale>
    </cfRule>
  </conditionalFormatting>
  <conditionalFormatting sqref="F25">
    <cfRule type="colorScale" priority="8985">
      <colorScale>
        <cfvo type="min"/>
        <cfvo type="percentile" val="50"/>
        <cfvo type="max"/>
        <color rgb="FFF8696B"/>
        <color rgb="FFFFEB84"/>
        <color rgb="FF63BE7B"/>
      </colorScale>
    </cfRule>
  </conditionalFormatting>
  <conditionalFormatting sqref="F25">
    <cfRule type="colorScale" priority="8984">
      <colorScale>
        <cfvo type="min"/>
        <cfvo type="percentile" val="50"/>
        <cfvo type="max"/>
        <color rgb="FFF8696B"/>
        <color rgb="FFFFEB84"/>
        <color rgb="FF63BE7B"/>
      </colorScale>
    </cfRule>
  </conditionalFormatting>
  <conditionalFormatting sqref="F25">
    <cfRule type="colorScale" priority="8983">
      <colorScale>
        <cfvo type="min"/>
        <cfvo type="percentile" val="50"/>
        <cfvo type="max"/>
        <color rgb="FFF8696B"/>
        <color rgb="FFFFEB84"/>
        <color rgb="FF63BE7B"/>
      </colorScale>
    </cfRule>
  </conditionalFormatting>
  <conditionalFormatting sqref="F25">
    <cfRule type="colorScale" priority="8982">
      <colorScale>
        <cfvo type="min"/>
        <cfvo type="percentile" val="50"/>
        <cfvo type="max"/>
        <color rgb="FFF8696B"/>
        <color rgb="FFFFEB84"/>
        <color rgb="FF63BE7B"/>
      </colorScale>
    </cfRule>
  </conditionalFormatting>
  <conditionalFormatting sqref="F25">
    <cfRule type="colorScale" priority="8981">
      <colorScale>
        <cfvo type="min"/>
        <cfvo type="percentile" val="50"/>
        <cfvo type="max"/>
        <color rgb="FFF8696B"/>
        <color rgb="FFFFEB84"/>
        <color rgb="FF63BE7B"/>
      </colorScale>
    </cfRule>
  </conditionalFormatting>
  <conditionalFormatting sqref="F25">
    <cfRule type="colorScale" priority="8980">
      <colorScale>
        <cfvo type="min"/>
        <cfvo type="percentile" val="50"/>
        <cfvo type="max"/>
        <color rgb="FFF8696B"/>
        <color rgb="FFFFEB84"/>
        <color rgb="FF63BE7B"/>
      </colorScale>
    </cfRule>
  </conditionalFormatting>
  <conditionalFormatting sqref="F10:F13">
    <cfRule type="colorScale" priority="8979">
      <colorScale>
        <cfvo type="min"/>
        <cfvo type="percentile" val="50"/>
        <cfvo type="max"/>
        <color rgb="FFF8696B"/>
        <color rgb="FFFFEB84"/>
        <color rgb="FF63BE7B"/>
      </colorScale>
    </cfRule>
  </conditionalFormatting>
  <conditionalFormatting sqref="F10:F13">
    <cfRule type="colorScale" priority="8978">
      <colorScale>
        <cfvo type="min"/>
        <cfvo type="percentile" val="50"/>
        <cfvo type="max"/>
        <color rgb="FFF8696B"/>
        <color rgb="FFFFEB84"/>
        <color rgb="FF63BE7B"/>
      </colorScale>
    </cfRule>
  </conditionalFormatting>
  <conditionalFormatting sqref="F10:F13">
    <cfRule type="colorScale" priority="8977">
      <colorScale>
        <cfvo type="min"/>
        <cfvo type="percentile" val="50"/>
        <cfvo type="max"/>
        <color rgb="FFF8696B"/>
        <color rgb="FFFFEB84"/>
        <color rgb="FF63BE7B"/>
      </colorScale>
    </cfRule>
  </conditionalFormatting>
  <conditionalFormatting sqref="F10:F13">
    <cfRule type="colorScale" priority="8976">
      <colorScale>
        <cfvo type="min"/>
        <cfvo type="percentile" val="50"/>
        <cfvo type="max"/>
        <color rgb="FFF8696B"/>
        <color rgb="FFFFEB84"/>
        <color rgb="FF63BE7B"/>
      </colorScale>
    </cfRule>
  </conditionalFormatting>
  <conditionalFormatting sqref="F10:F13">
    <cfRule type="colorScale" priority="8975">
      <colorScale>
        <cfvo type="min"/>
        <cfvo type="percentile" val="50"/>
        <cfvo type="max"/>
        <color rgb="FFF8696B"/>
        <color rgb="FFFFEB84"/>
        <color rgb="FF63BE7B"/>
      </colorScale>
    </cfRule>
  </conditionalFormatting>
  <conditionalFormatting sqref="F10:F13">
    <cfRule type="colorScale" priority="8974">
      <colorScale>
        <cfvo type="min"/>
        <cfvo type="percentile" val="50"/>
        <cfvo type="max"/>
        <color rgb="FFF8696B"/>
        <color rgb="FFFFEB84"/>
        <color rgb="FF63BE7B"/>
      </colorScale>
    </cfRule>
  </conditionalFormatting>
  <conditionalFormatting sqref="F10:F13">
    <cfRule type="colorScale" priority="8973">
      <colorScale>
        <cfvo type="min"/>
        <cfvo type="percentile" val="50"/>
        <cfvo type="max"/>
        <color rgb="FFF8696B"/>
        <color rgb="FFFFEB84"/>
        <color rgb="FF63BE7B"/>
      </colorScale>
    </cfRule>
  </conditionalFormatting>
  <conditionalFormatting sqref="F10:F13">
    <cfRule type="colorScale" priority="8972">
      <colorScale>
        <cfvo type="min"/>
        <cfvo type="percentile" val="50"/>
        <cfvo type="max"/>
        <color rgb="FFF8696B"/>
        <color rgb="FFFFEB84"/>
        <color rgb="FF63BE7B"/>
      </colorScale>
    </cfRule>
  </conditionalFormatting>
  <conditionalFormatting sqref="F10:F13">
    <cfRule type="colorScale" priority="8971">
      <colorScale>
        <cfvo type="min"/>
        <cfvo type="percentile" val="50"/>
        <cfvo type="max"/>
        <color rgb="FFF8696B"/>
        <color rgb="FFFFEB84"/>
        <color rgb="FF63BE7B"/>
      </colorScale>
    </cfRule>
  </conditionalFormatting>
  <conditionalFormatting sqref="F10:F13">
    <cfRule type="colorScale" priority="8970">
      <colorScale>
        <cfvo type="min"/>
        <cfvo type="percentile" val="50"/>
        <cfvo type="max"/>
        <color rgb="FFF8696B"/>
        <color rgb="FFFFEB84"/>
        <color rgb="FF63BE7B"/>
      </colorScale>
    </cfRule>
  </conditionalFormatting>
  <conditionalFormatting sqref="F10:F13">
    <cfRule type="colorScale" priority="8969">
      <colorScale>
        <cfvo type="min"/>
        <cfvo type="percentile" val="50"/>
        <cfvo type="max"/>
        <color rgb="FFF8696B"/>
        <color rgb="FFFFEB84"/>
        <color rgb="FF63BE7B"/>
      </colorScale>
    </cfRule>
  </conditionalFormatting>
  <conditionalFormatting sqref="F10:F13">
    <cfRule type="colorScale" priority="8968">
      <colorScale>
        <cfvo type="min"/>
        <cfvo type="percentile" val="50"/>
        <cfvo type="max"/>
        <color rgb="FFF8696B"/>
        <color rgb="FFFFEB84"/>
        <color rgb="FF63BE7B"/>
      </colorScale>
    </cfRule>
  </conditionalFormatting>
  <conditionalFormatting sqref="F10:F13">
    <cfRule type="colorScale" priority="8967">
      <colorScale>
        <cfvo type="min"/>
        <cfvo type="percentile" val="50"/>
        <cfvo type="max"/>
        <color rgb="FFF8696B"/>
        <color rgb="FFFFEB84"/>
        <color rgb="FF63BE7B"/>
      </colorScale>
    </cfRule>
  </conditionalFormatting>
  <conditionalFormatting sqref="F10:F13">
    <cfRule type="colorScale" priority="8966">
      <colorScale>
        <cfvo type="min"/>
        <cfvo type="percentile" val="50"/>
        <cfvo type="max"/>
        <color rgb="FFF8696B"/>
        <color rgb="FFFFEB84"/>
        <color rgb="FF63BE7B"/>
      </colorScale>
    </cfRule>
  </conditionalFormatting>
  <conditionalFormatting sqref="F10:F13">
    <cfRule type="colorScale" priority="8965">
      <colorScale>
        <cfvo type="min"/>
        <cfvo type="percentile" val="50"/>
        <cfvo type="max"/>
        <color rgb="FFF8696B"/>
        <color rgb="FFFFEB84"/>
        <color rgb="FF63BE7B"/>
      </colorScale>
    </cfRule>
  </conditionalFormatting>
  <conditionalFormatting sqref="F10:F13">
    <cfRule type="colorScale" priority="8964">
      <colorScale>
        <cfvo type="min"/>
        <cfvo type="percentile" val="50"/>
        <cfvo type="max"/>
        <color rgb="FFF8696B"/>
        <color rgb="FFFFEB84"/>
        <color rgb="FF63BE7B"/>
      </colorScale>
    </cfRule>
  </conditionalFormatting>
  <conditionalFormatting sqref="F10:F13">
    <cfRule type="colorScale" priority="8963">
      <colorScale>
        <cfvo type="min"/>
        <cfvo type="percentile" val="50"/>
        <cfvo type="max"/>
        <color rgb="FFF8696B"/>
        <color rgb="FFFFEB84"/>
        <color rgb="FF63BE7B"/>
      </colorScale>
    </cfRule>
  </conditionalFormatting>
  <conditionalFormatting sqref="F10:F13">
    <cfRule type="colorScale" priority="8962">
      <colorScale>
        <cfvo type="min"/>
        <cfvo type="percentile" val="50"/>
        <cfvo type="max"/>
        <color rgb="FFF8696B"/>
        <color rgb="FFFFEB84"/>
        <color rgb="FF63BE7B"/>
      </colorScale>
    </cfRule>
  </conditionalFormatting>
  <conditionalFormatting sqref="F10:F13">
    <cfRule type="colorScale" priority="8961">
      <colorScale>
        <cfvo type="min"/>
        <cfvo type="percentile" val="50"/>
        <cfvo type="max"/>
        <color rgb="FFF8696B"/>
        <color rgb="FFFFEB84"/>
        <color rgb="FF63BE7B"/>
      </colorScale>
    </cfRule>
  </conditionalFormatting>
  <conditionalFormatting sqref="F10:F13">
    <cfRule type="colorScale" priority="8960">
      <colorScale>
        <cfvo type="min"/>
        <cfvo type="percentile" val="50"/>
        <cfvo type="max"/>
        <color rgb="FFF8696B"/>
        <color rgb="FFFFEB84"/>
        <color rgb="FF63BE7B"/>
      </colorScale>
    </cfRule>
  </conditionalFormatting>
  <conditionalFormatting sqref="F10:F13">
    <cfRule type="colorScale" priority="8959">
      <colorScale>
        <cfvo type="min"/>
        <cfvo type="percentile" val="50"/>
        <cfvo type="max"/>
        <color rgb="FFF8696B"/>
        <color rgb="FFFFEB84"/>
        <color rgb="FF63BE7B"/>
      </colorScale>
    </cfRule>
  </conditionalFormatting>
  <conditionalFormatting sqref="F10:F13">
    <cfRule type="colorScale" priority="8958">
      <colorScale>
        <cfvo type="min"/>
        <cfvo type="percentile" val="50"/>
        <cfvo type="max"/>
        <color rgb="FFF8696B"/>
        <color rgb="FFFFEB84"/>
        <color rgb="FF63BE7B"/>
      </colorScale>
    </cfRule>
  </conditionalFormatting>
  <conditionalFormatting sqref="F10:F13">
    <cfRule type="colorScale" priority="8957">
      <colorScale>
        <cfvo type="min"/>
        <cfvo type="percentile" val="50"/>
        <cfvo type="max"/>
        <color rgb="FFF8696B"/>
        <color rgb="FFFFEB84"/>
        <color rgb="FF63BE7B"/>
      </colorScale>
    </cfRule>
  </conditionalFormatting>
  <conditionalFormatting sqref="F10:F13">
    <cfRule type="colorScale" priority="8956">
      <colorScale>
        <cfvo type="min"/>
        <cfvo type="percentile" val="50"/>
        <cfvo type="max"/>
        <color rgb="FFF8696B"/>
        <color rgb="FFFFEB84"/>
        <color rgb="FF63BE7B"/>
      </colorScale>
    </cfRule>
  </conditionalFormatting>
  <conditionalFormatting sqref="F10:F13">
    <cfRule type="colorScale" priority="8955">
      <colorScale>
        <cfvo type="min"/>
        <cfvo type="percentile" val="50"/>
        <cfvo type="max"/>
        <color rgb="FFF8696B"/>
        <color rgb="FFFFEB84"/>
        <color rgb="FF63BE7B"/>
      </colorScale>
    </cfRule>
  </conditionalFormatting>
  <conditionalFormatting sqref="F10:F13">
    <cfRule type="colorScale" priority="8954">
      <colorScale>
        <cfvo type="min"/>
        <cfvo type="percentile" val="50"/>
        <cfvo type="max"/>
        <color rgb="FFF8696B"/>
        <color rgb="FFFFEB84"/>
        <color rgb="FF63BE7B"/>
      </colorScale>
    </cfRule>
  </conditionalFormatting>
  <conditionalFormatting sqref="F10:F13">
    <cfRule type="colorScale" priority="8953">
      <colorScale>
        <cfvo type="min"/>
        <cfvo type="percentile" val="50"/>
        <cfvo type="max"/>
        <color rgb="FFF8696B"/>
        <color rgb="FFFFEB84"/>
        <color rgb="FF63BE7B"/>
      </colorScale>
    </cfRule>
  </conditionalFormatting>
  <conditionalFormatting sqref="F10:F13">
    <cfRule type="colorScale" priority="8952">
      <colorScale>
        <cfvo type="min"/>
        <cfvo type="percentile" val="50"/>
        <cfvo type="max"/>
        <color rgb="FFF8696B"/>
        <color rgb="FFFFEB84"/>
        <color rgb="FF63BE7B"/>
      </colorScale>
    </cfRule>
  </conditionalFormatting>
  <conditionalFormatting sqref="F10:F13">
    <cfRule type="colorScale" priority="8951">
      <colorScale>
        <cfvo type="min"/>
        <cfvo type="percentile" val="50"/>
        <cfvo type="max"/>
        <color rgb="FFF8696B"/>
        <color rgb="FFFFEB84"/>
        <color rgb="FF63BE7B"/>
      </colorScale>
    </cfRule>
  </conditionalFormatting>
  <conditionalFormatting sqref="F10:F13">
    <cfRule type="colorScale" priority="8950">
      <colorScale>
        <cfvo type="min"/>
        <cfvo type="percentile" val="50"/>
        <cfvo type="max"/>
        <color rgb="FFF8696B"/>
        <color rgb="FFFFEB84"/>
        <color rgb="FF63BE7B"/>
      </colorScale>
    </cfRule>
  </conditionalFormatting>
  <conditionalFormatting sqref="F10:F13">
    <cfRule type="colorScale" priority="8949">
      <colorScale>
        <cfvo type="min"/>
        <cfvo type="percentile" val="50"/>
        <cfvo type="max"/>
        <color rgb="FFF8696B"/>
        <color rgb="FFFFEB84"/>
        <color rgb="FF63BE7B"/>
      </colorScale>
    </cfRule>
  </conditionalFormatting>
  <conditionalFormatting sqref="F10:F13">
    <cfRule type="colorScale" priority="8948">
      <colorScale>
        <cfvo type="min"/>
        <cfvo type="percentile" val="50"/>
        <cfvo type="max"/>
        <color rgb="FFF8696B"/>
        <color rgb="FFFFEB84"/>
        <color rgb="FF63BE7B"/>
      </colorScale>
    </cfRule>
  </conditionalFormatting>
  <conditionalFormatting sqref="F10:F13">
    <cfRule type="colorScale" priority="8947">
      <colorScale>
        <cfvo type="min"/>
        <cfvo type="percentile" val="50"/>
        <cfvo type="max"/>
        <color rgb="FFF8696B"/>
        <color rgb="FFFFEB84"/>
        <color rgb="FF63BE7B"/>
      </colorScale>
    </cfRule>
  </conditionalFormatting>
  <conditionalFormatting sqref="F10:F13">
    <cfRule type="colorScale" priority="8946">
      <colorScale>
        <cfvo type="min"/>
        <cfvo type="percentile" val="50"/>
        <cfvo type="max"/>
        <color rgb="FFF8696B"/>
        <color rgb="FFFFEB84"/>
        <color rgb="FF63BE7B"/>
      </colorScale>
    </cfRule>
  </conditionalFormatting>
  <conditionalFormatting sqref="F10:F13">
    <cfRule type="colorScale" priority="8945">
      <colorScale>
        <cfvo type="min"/>
        <cfvo type="percentile" val="50"/>
        <cfvo type="max"/>
        <color rgb="FFF8696B"/>
        <color rgb="FFFFEB84"/>
        <color rgb="FF63BE7B"/>
      </colorScale>
    </cfRule>
  </conditionalFormatting>
  <conditionalFormatting sqref="F10:F13">
    <cfRule type="colorScale" priority="8944">
      <colorScale>
        <cfvo type="min"/>
        <cfvo type="percentile" val="50"/>
        <cfvo type="max"/>
        <color rgb="FFF8696B"/>
        <color rgb="FFFFEB84"/>
        <color rgb="FF63BE7B"/>
      </colorScale>
    </cfRule>
  </conditionalFormatting>
  <conditionalFormatting sqref="F10:F13">
    <cfRule type="colorScale" priority="8943">
      <colorScale>
        <cfvo type="min"/>
        <cfvo type="percentile" val="50"/>
        <cfvo type="max"/>
        <color rgb="FFF8696B"/>
        <color rgb="FFFFEB84"/>
        <color rgb="FF63BE7B"/>
      </colorScale>
    </cfRule>
  </conditionalFormatting>
  <conditionalFormatting sqref="F10:F13">
    <cfRule type="colorScale" priority="8942">
      <colorScale>
        <cfvo type="min"/>
        <cfvo type="percentile" val="50"/>
        <cfvo type="max"/>
        <color rgb="FFF8696B"/>
        <color rgb="FFFFEB84"/>
        <color rgb="FF63BE7B"/>
      </colorScale>
    </cfRule>
  </conditionalFormatting>
  <conditionalFormatting sqref="F10:F13">
    <cfRule type="colorScale" priority="8941">
      <colorScale>
        <cfvo type="min"/>
        <cfvo type="percentile" val="50"/>
        <cfvo type="max"/>
        <color rgb="FFF8696B"/>
        <color rgb="FFFFEB84"/>
        <color rgb="FF63BE7B"/>
      </colorScale>
    </cfRule>
  </conditionalFormatting>
  <conditionalFormatting sqref="F10:F13">
    <cfRule type="colorScale" priority="8940">
      <colorScale>
        <cfvo type="min"/>
        <cfvo type="percentile" val="50"/>
        <cfvo type="max"/>
        <color rgb="FFF8696B"/>
        <color rgb="FFFFEB84"/>
        <color rgb="FF63BE7B"/>
      </colorScale>
    </cfRule>
  </conditionalFormatting>
  <conditionalFormatting sqref="F10:F13">
    <cfRule type="colorScale" priority="8939">
      <colorScale>
        <cfvo type="min"/>
        <cfvo type="percentile" val="50"/>
        <cfvo type="max"/>
        <color rgb="FFF8696B"/>
        <color rgb="FFFFEB84"/>
        <color rgb="FF63BE7B"/>
      </colorScale>
    </cfRule>
  </conditionalFormatting>
  <conditionalFormatting sqref="F10:F13">
    <cfRule type="colorScale" priority="8938">
      <colorScale>
        <cfvo type="min"/>
        <cfvo type="percentile" val="50"/>
        <cfvo type="max"/>
        <color rgb="FFF8696B"/>
        <color rgb="FFFFEB84"/>
        <color rgb="FF63BE7B"/>
      </colorScale>
    </cfRule>
  </conditionalFormatting>
  <conditionalFormatting sqref="F10:F13">
    <cfRule type="colorScale" priority="8937">
      <colorScale>
        <cfvo type="min"/>
        <cfvo type="percentile" val="50"/>
        <cfvo type="max"/>
        <color rgb="FFF8696B"/>
        <color rgb="FFFFEB84"/>
        <color rgb="FF63BE7B"/>
      </colorScale>
    </cfRule>
  </conditionalFormatting>
  <conditionalFormatting sqref="F10:F13">
    <cfRule type="colorScale" priority="8936">
      <colorScale>
        <cfvo type="min"/>
        <cfvo type="percentile" val="50"/>
        <cfvo type="max"/>
        <color rgb="FFF8696B"/>
        <color rgb="FFFFEB84"/>
        <color rgb="FF63BE7B"/>
      </colorScale>
    </cfRule>
  </conditionalFormatting>
  <conditionalFormatting sqref="F10:F13">
    <cfRule type="colorScale" priority="8935">
      <colorScale>
        <cfvo type="min"/>
        <cfvo type="percentile" val="50"/>
        <cfvo type="max"/>
        <color rgb="FFF8696B"/>
        <color rgb="FFFFEB84"/>
        <color rgb="FF63BE7B"/>
      </colorScale>
    </cfRule>
  </conditionalFormatting>
  <conditionalFormatting sqref="F10:F13">
    <cfRule type="colorScale" priority="8934">
      <colorScale>
        <cfvo type="min"/>
        <cfvo type="percentile" val="50"/>
        <cfvo type="max"/>
        <color rgb="FFF8696B"/>
        <color rgb="FFFFEB84"/>
        <color rgb="FF63BE7B"/>
      </colorScale>
    </cfRule>
  </conditionalFormatting>
  <conditionalFormatting sqref="F10:F13">
    <cfRule type="colorScale" priority="8933">
      <colorScale>
        <cfvo type="min"/>
        <cfvo type="percentile" val="50"/>
        <cfvo type="max"/>
        <color rgb="FFF8696B"/>
        <color rgb="FFFFEB84"/>
        <color rgb="FF63BE7B"/>
      </colorScale>
    </cfRule>
  </conditionalFormatting>
  <conditionalFormatting sqref="F10:F13">
    <cfRule type="colorScale" priority="8932">
      <colorScale>
        <cfvo type="min"/>
        <cfvo type="percentile" val="50"/>
        <cfvo type="max"/>
        <color rgb="FFF8696B"/>
        <color rgb="FFFFEB84"/>
        <color rgb="FF63BE7B"/>
      </colorScale>
    </cfRule>
  </conditionalFormatting>
  <conditionalFormatting sqref="F10:F13">
    <cfRule type="colorScale" priority="8931">
      <colorScale>
        <cfvo type="min"/>
        <cfvo type="percentile" val="50"/>
        <cfvo type="max"/>
        <color rgb="FFF8696B"/>
        <color rgb="FFFFEB84"/>
        <color rgb="FF63BE7B"/>
      </colorScale>
    </cfRule>
  </conditionalFormatting>
  <conditionalFormatting sqref="F10:F13">
    <cfRule type="colorScale" priority="8930">
      <colorScale>
        <cfvo type="min"/>
        <cfvo type="percentile" val="50"/>
        <cfvo type="max"/>
        <color rgb="FFF8696B"/>
        <color rgb="FFFFEB84"/>
        <color rgb="FF63BE7B"/>
      </colorScale>
    </cfRule>
  </conditionalFormatting>
  <conditionalFormatting sqref="F10:F13">
    <cfRule type="colorScale" priority="8929">
      <colorScale>
        <cfvo type="min"/>
        <cfvo type="percentile" val="50"/>
        <cfvo type="max"/>
        <color rgb="FFF8696B"/>
        <color rgb="FFFFEB84"/>
        <color rgb="FF63BE7B"/>
      </colorScale>
    </cfRule>
  </conditionalFormatting>
  <conditionalFormatting sqref="F10:F13">
    <cfRule type="colorScale" priority="8928">
      <colorScale>
        <cfvo type="min"/>
        <cfvo type="percentile" val="50"/>
        <cfvo type="max"/>
        <color rgb="FFF8696B"/>
        <color rgb="FFFFEB84"/>
        <color rgb="FF63BE7B"/>
      </colorScale>
    </cfRule>
  </conditionalFormatting>
  <conditionalFormatting sqref="F10:F13">
    <cfRule type="colorScale" priority="8927">
      <colorScale>
        <cfvo type="min"/>
        <cfvo type="percentile" val="50"/>
        <cfvo type="max"/>
        <color rgb="FFF8696B"/>
        <color rgb="FFFFEB84"/>
        <color rgb="FF63BE7B"/>
      </colorScale>
    </cfRule>
  </conditionalFormatting>
  <conditionalFormatting sqref="F10:F13">
    <cfRule type="colorScale" priority="8926">
      <colorScale>
        <cfvo type="min"/>
        <cfvo type="percentile" val="50"/>
        <cfvo type="max"/>
        <color rgb="FFF8696B"/>
        <color rgb="FFFFEB84"/>
        <color rgb="FF63BE7B"/>
      </colorScale>
    </cfRule>
  </conditionalFormatting>
  <conditionalFormatting sqref="F10:F13">
    <cfRule type="colorScale" priority="8925">
      <colorScale>
        <cfvo type="min"/>
        <cfvo type="percentile" val="50"/>
        <cfvo type="max"/>
        <color rgb="FFF8696B"/>
        <color rgb="FFFFEB84"/>
        <color rgb="FF63BE7B"/>
      </colorScale>
    </cfRule>
  </conditionalFormatting>
  <conditionalFormatting sqref="F10:F13">
    <cfRule type="colorScale" priority="8924">
      <colorScale>
        <cfvo type="min"/>
        <cfvo type="percentile" val="50"/>
        <cfvo type="max"/>
        <color rgb="FFF8696B"/>
        <color rgb="FFFFEB84"/>
        <color rgb="FF63BE7B"/>
      </colorScale>
    </cfRule>
  </conditionalFormatting>
  <conditionalFormatting sqref="F10:F13">
    <cfRule type="colorScale" priority="8923">
      <colorScale>
        <cfvo type="min"/>
        <cfvo type="percentile" val="50"/>
        <cfvo type="max"/>
        <color rgb="FFF8696B"/>
        <color rgb="FFFFEB84"/>
        <color rgb="FF63BE7B"/>
      </colorScale>
    </cfRule>
  </conditionalFormatting>
  <conditionalFormatting sqref="F10:F13">
    <cfRule type="colorScale" priority="8922">
      <colorScale>
        <cfvo type="min"/>
        <cfvo type="percentile" val="50"/>
        <cfvo type="max"/>
        <color rgb="FFF8696B"/>
        <color rgb="FFFFEB84"/>
        <color rgb="FF63BE7B"/>
      </colorScale>
    </cfRule>
  </conditionalFormatting>
  <conditionalFormatting sqref="F10:F13">
    <cfRule type="colorScale" priority="8921">
      <colorScale>
        <cfvo type="min"/>
        <cfvo type="percentile" val="50"/>
        <cfvo type="max"/>
        <color rgb="FFF8696B"/>
        <color rgb="FFFFEB84"/>
        <color rgb="FF63BE7B"/>
      </colorScale>
    </cfRule>
  </conditionalFormatting>
  <conditionalFormatting sqref="F10:F13">
    <cfRule type="colorScale" priority="8920">
      <colorScale>
        <cfvo type="min"/>
        <cfvo type="percentile" val="50"/>
        <cfvo type="max"/>
        <color rgb="FFF8696B"/>
        <color rgb="FFFFEB84"/>
        <color rgb="FF63BE7B"/>
      </colorScale>
    </cfRule>
  </conditionalFormatting>
  <conditionalFormatting sqref="F10:F13">
    <cfRule type="colorScale" priority="8919">
      <colorScale>
        <cfvo type="min"/>
        <cfvo type="percentile" val="50"/>
        <cfvo type="max"/>
        <color rgb="FFF8696B"/>
        <color rgb="FFFFEB84"/>
        <color rgb="FF63BE7B"/>
      </colorScale>
    </cfRule>
  </conditionalFormatting>
  <conditionalFormatting sqref="F10:F13">
    <cfRule type="colorScale" priority="8918">
      <colorScale>
        <cfvo type="min"/>
        <cfvo type="percentile" val="50"/>
        <cfvo type="max"/>
        <color rgb="FFF8696B"/>
        <color rgb="FFFFEB84"/>
        <color rgb="FF63BE7B"/>
      </colorScale>
    </cfRule>
  </conditionalFormatting>
  <conditionalFormatting sqref="F10:F13">
    <cfRule type="colorScale" priority="8917">
      <colorScale>
        <cfvo type="min"/>
        <cfvo type="percentile" val="50"/>
        <cfvo type="max"/>
        <color rgb="FFF8696B"/>
        <color rgb="FFFFEB84"/>
        <color rgb="FF63BE7B"/>
      </colorScale>
    </cfRule>
  </conditionalFormatting>
  <conditionalFormatting sqref="F10:F13">
    <cfRule type="colorScale" priority="8916">
      <colorScale>
        <cfvo type="min"/>
        <cfvo type="percentile" val="50"/>
        <cfvo type="max"/>
        <color rgb="FFF8696B"/>
        <color rgb="FFFFEB84"/>
        <color rgb="FF63BE7B"/>
      </colorScale>
    </cfRule>
  </conditionalFormatting>
  <conditionalFormatting sqref="F10:F13">
    <cfRule type="colorScale" priority="8915">
      <colorScale>
        <cfvo type="min"/>
        <cfvo type="percentile" val="50"/>
        <cfvo type="max"/>
        <color rgb="FFF8696B"/>
        <color rgb="FFFFEB84"/>
        <color rgb="FF63BE7B"/>
      </colorScale>
    </cfRule>
  </conditionalFormatting>
  <conditionalFormatting sqref="F10:F13">
    <cfRule type="colorScale" priority="8914">
      <colorScale>
        <cfvo type="min"/>
        <cfvo type="percentile" val="50"/>
        <cfvo type="max"/>
        <color rgb="FFF8696B"/>
        <color rgb="FFFFEB84"/>
        <color rgb="FF63BE7B"/>
      </colorScale>
    </cfRule>
  </conditionalFormatting>
  <conditionalFormatting sqref="F10:F13">
    <cfRule type="colorScale" priority="8913">
      <colorScale>
        <cfvo type="min"/>
        <cfvo type="percentile" val="50"/>
        <cfvo type="max"/>
        <color rgb="FFF8696B"/>
        <color rgb="FFFFEB84"/>
        <color rgb="FF63BE7B"/>
      </colorScale>
    </cfRule>
  </conditionalFormatting>
  <conditionalFormatting sqref="F10:F13">
    <cfRule type="colorScale" priority="8912">
      <colorScale>
        <cfvo type="min"/>
        <cfvo type="percentile" val="50"/>
        <cfvo type="max"/>
        <color rgb="FFF8696B"/>
        <color rgb="FFFFEB84"/>
        <color rgb="FF63BE7B"/>
      </colorScale>
    </cfRule>
  </conditionalFormatting>
  <conditionalFormatting sqref="F10:F13">
    <cfRule type="colorScale" priority="8911">
      <colorScale>
        <cfvo type="min"/>
        <cfvo type="percentile" val="50"/>
        <cfvo type="max"/>
        <color rgb="FFF8696B"/>
        <color rgb="FFFFEB84"/>
        <color rgb="FF63BE7B"/>
      </colorScale>
    </cfRule>
  </conditionalFormatting>
  <conditionalFormatting sqref="F10:F13">
    <cfRule type="colorScale" priority="8910">
      <colorScale>
        <cfvo type="min"/>
        <cfvo type="percentile" val="50"/>
        <cfvo type="max"/>
        <color rgb="FFF8696B"/>
        <color rgb="FFFFEB84"/>
        <color rgb="FF63BE7B"/>
      </colorScale>
    </cfRule>
  </conditionalFormatting>
  <conditionalFormatting sqref="F10:F13">
    <cfRule type="colorScale" priority="8909">
      <colorScale>
        <cfvo type="min"/>
        <cfvo type="percentile" val="50"/>
        <cfvo type="max"/>
        <color rgb="FFF8696B"/>
        <color rgb="FFFFEB84"/>
        <color rgb="FF63BE7B"/>
      </colorScale>
    </cfRule>
  </conditionalFormatting>
  <conditionalFormatting sqref="F10:F13">
    <cfRule type="colorScale" priority="8908">
      <colorScale>
        <cfvo type="min"/>
        <cfvo type="percentile" val="50"/>
        <cfvo type="max"/>
        <color rgb="FFF8696B"/>
        <color rgb="FFFFEB84"/>
        <color rgb="FF63BE7B"/>
      </colorScale>
    </cfRule>
  </conditionalFormatting>
  <conditionalFormatting sqref="F10:F13">
    <cfRule type="colorScale" priority="8907">
      <colorScale>
        <cfvo type="min"/>
        <cfvo type="percentile" val="50"/>
        <cfvo type="max"/>
        <color rgb="FFF8696B"/>
        <color rgb="FFFFEB84"/>
        <color rgb="FF63BE7B"/>
      </colorScale>
    </cfRule>
  </conditionalFormatting>
  <conditionalFormatting sqref="F10:F13">
    <cfRule type="colorScale" priority="8906">
      <colorScale>
        <cfvo type="min"/>
        <cfvo type="percentile" val="50"/>
        <cfvo type="max"/>
        <color rgb="FFF8696B"/>
        <color rgb="FFFFEB84"/>
        <color rgb="FF63BE7B"/>
      </colorScale>
    </cfRule>
  </conditionalFormatting>
  <conditionalFormatting sqref="F10:F13">
    <cfRule type="colorScale" priority="8905">
      <colorScale>
        <cfvo type="min"/>
        <cfvo type="percentile" val="50"/>
        <cfvo type="max"/>
        <color rgb="FFF8696B"/>
        <color rgb="FFFFEB84"/>
        <color rgb="FF63BE7B"/>
      </colorScale>
    </cfRule>
  </conditionalFormatting>
  <conditionalFormatting sqref="F10:F13">
    <cfRule type="colorScale" priority="8904">
      <colorScale>
        <cfvo type="min"/>
        <cfvo type="percentile" val="50"/>
        <cfvo type="max"/>
        <color rgb="FFF8696B"/>
        <color rgb="FFFFEB84"/>
        <color rgb="FF63BE7B"/>
      </colorScale>
    </cfRule>
  </conditionalFormatting>
  <conditionalFormatting sqref="F10:F13">
    <cfRule type="colorScale" priority="8903">
      <colorScale>
        <cfvo type="min"/>
        <cfvo type="percentile" val="50"/>
        <cfvo type="max"/>
        <color rgb="FFF8696B"/>
        <color rgb="FFFFEB84"/>
        <color rgb="FF63BE7B"/>
      </colorScale>
    </cfRule>
  </conditionalFormatting>
  <conditionalFormatting sqref="F10:F13">
    <cfRule type="colorScale" priority="8902">
      <colorScale>
        <cfvo type="min"/>
        <cfvo type="percentile" val="50"/>
        <cfvo type="max"/>
        <color rgb="FFF8696B"/>
        <color rgb="FFFFEB84"/>
        <color rgb="FF63BE7B"/>
      </colorScale>
    </cfRule>
  </conditionalFormatting>
  <conditionalFormatting sqref="F10:F13">
    <cfRule type="colorScale" priority="8901">
      <colorScale>
        <cfvo type="min"/>
        <cfvo type="percentile" val="50"/>
        <cfvo type="max"/>
        <color rgb="FFF8696B"/>
        <color rgb="FFFFEB84"/>
        <color rgb="FF63BE7B"/>
      </colorScale>
    </cfRule>
  </conditionalFormatting>
  <conditionalFormatting sqref="F10:F13">
    <cfRule type="colorScale" priority="8900">
      <colorScale>
        <cfvo type="min"/>
        <cfvo type="percentile" val="50"/>
        <cfvo type="max"/>
        <color rgb="FFF8696B"/>
        <color rgb="FFFFEB84"/>
        <color rgb="FF63BE7B"/>
      </colorScale>
    </cfRule>
  </conditionalFormatting>
  <conditionalFormatting sqref="F10:F13">
    <cfRule type="colorScale" priority="8899">
      <colorScale>
        <cfvo type="min"/>
        <cfvo type="percentile" val="50"/>
        <cfvo type="max"/>
        <color rgb="FFF8696B"/>
        <color rgb="FFFFEB84"/>
        <color rgb="FF63BE7B"/>
      </colorScale>
    </cfRule>
  </conditionalFormatting>
  <conditionalFormatting sqref="F10:F13">
    <cfRule type="colorScale" priority="8898">
      <colorScale>
        <cfvo type="min"/>
        <cfvo type="percentile" val="50"/>
        <cfvo type="max"/>
        <color rgb="FFF8696B"/>
        <color rgb="FFFFEB84"/>
        <color rgb="FF63BE7B"/>
      </colorScale>
    </cfRule>
  </conditionalFormatting>
  <conditionalFormatting sqref="F10:F13">
    <cfRule type="colorScale" priority="8897">
      <colorScale>
        <cfvo type="min"/>
        <cfvo type="percentile" val="50"/>
        <cfvo type="max"/>
        <color rgb="FFF8696B"/>
        <color rgb="FFFFEB84"/>
        <color rgb="FF63BE7B"/>
      </colorScale>
    </cfRule>
  </conditionalFormatting>
  <conditionalFormatting sqref="F10:F13">
    <cfRule type="colorScale" priority="8896">
      <colorScale>
        <cfvo type="min"/>
        <cfvo type="percentile" val="50"/>
        <cfvo type="max"/>
        <color rgb="FFF8696B"/>
        <color rgb="FFFFEB84"/>
        <color rgb="FF63BE7B"/>
      </colorScale>
    </cfRule>
  </conditionalFormatting>
  <conditionalFormatting sqref="F10:F13">
    <cfRule type="colorScale" priority="8895">
      <colorScale>
        <cfvo type="min"/>
        <cfvo type="percentile" val="50"/>
        <cfvo type="max"/>
        <color rgb="FFF8696B"/>
        <color rgb="FFFFEB84"/>
        <color rgb="FF63BE7B"/>
      </colorScale>
    </cfRule>
  </conditionalFormatting>
  <conditionalFormatting sqref="F10:F13">
    <cfRule type="colorScale" priority="8894">
      <colorScale>
        <cfvo type="min"/>
        <cfvo type="percentile" val="50"/>
        <cfvo type="max"/>
        <color rgb="FFF8696B"/>
        <color rgb="FFFFEB84"/>
        <color rgb="FF63BE7B"/>
      </colorScale>
    </cfRule>
  </conditionalFormatting>
  <conditionalFormatting sqref="F10:F13">
    <cfRule type="colorScale" priority="8893">
      <colorScale>
        <cfvo type="min"/>
        <cfvo type="percentile" val="50"/>
        <cfvo type="max"/>
        <color rgb="FFF8696B"/>
        <color rgb="FFFFEB84"/>
        <color rgb="FF63BE7B"/>
      </colorScale>
    </cfRule>
  </conditionalFormatting>
  <conditionalFormatting sqref="F10:F13">
    <cfRule type="colorScale" priority="8892">
      <colorScale>
        <cfvo type="min"/>
        <cfvo type="percentile" val="50"/>
        <cfvo type="max"/>
        <color rgb="FFF8696B"/>
        <color rgb="FFFFEB84"/>
        <color rgb="FF63BE7B"/>
      </colorScale>
    </cfRule>
  </conditionalFormatting>
  <conditionalFormatting sqref="F10:F13">
    <cfRule type="colorScale" priority="8891">
      <colorScale>
        <cfvo type="min"/>
        <cfvo type="percentile" val="50"/>
        <cfvo type="max"/>
        <color rgb="FFF8696B"/>
        <color rgb="FFFFEB84"/>
        <color rgb="FF63BE7B"/>
      </colorScale>
    </cfRule>
  </conditionalFormatting>
  <conditionalFormatting sqref="F10:F13">
    <cfRule type="colorScale" priority="8890">
      <colorScale>
        <cfvo type="min"/>
        <cfvo type="percentile" val="50"/>
        <cfvo type="max"/>
        <color rgb="FFF8696B"/>
        <color rgb="FFFFEB84"/>
        <color rgb="FF63BE7B"/>
      </colorScale>
    </cfRule>
  </conditionalFormatting>
  <conditionalFormatting sqref="F10:F13">
    <cfRule type="colorScale" priority="8889">
      <colorScale>
        <cfvo type="min"/>
        <cfvo type="percentile" val="50"/>
        <cfvo type="max"/>
        <color rgb="FFF8696B"/>
        <color rgb="FFFFEB84"/>
        <color rgb="FF63BE7B"/>
      </colorScale>
    </cfRule>
  </conditionalFormatting>
  <conditionalFormatting sqref="F10:F13">
    <cfRule type="colorScale" priority="8888">
      <colorScale>
        <cfvo type="min"/>
        <cfvo type="percentile" val="50"/>
        <cfvo type="max"/>
        <color rgb="FFF8696B"/>
        <color rgb="FFFFEB84"/>
        <color rgb="FF63BE7B"/>
      </colorScale>
    </cfRule>
  </conditionalFormatting>
  <conditionalFormatting sqref="F10:F13">
    <cfRule type="colorScale" priority="8887">
      <colorScale>
        <cfvo type="min"/>
        <cfvo type="percentile" val="50"/>
        <cfvo type="max"/>
        <color rgb="FFF8696B"/>
        <color rgb="FFFFEB84"/>
        <color rgb="FF63BE7B"/>
      </colorScale>
    </cfRule>
  </conditionalFormatting>
  <conditionalFormatting sqref="F10:F13">
    <cfRule type="colorScale" priority="8886">
      <colorScale>
        <cfvo type="min"/>
        <cfvo type="percentile" val="50"/>
        <cfvo type="max"/>
        <color rgb="FFF8696B"/>
        <color rgb="FFFFEB84"/>
        <color rgb="FF63BE7B"/>
      </colorScale>
    </cfRule>
  </conditionalFormatting>
  <conditionalFormatting sqref="F10:F13">
    <cfRule type="colorScale" priority="8885">
      <colorScale>
        <cfvo type="min"/>
        <cfvo type="percentile" val="50"/>
        <cfvo type="max"/>
        <color rgb="FFF8696B"/>
        <color rgb="FFFFEB84"/>
        <color rgb="FF63BE7B"/>
      </colorScale>
    </cfRule>
  </conditionalFormatting>
  <conditionalFormatting sqref="F10:F13">
    <cfRule type="colorScale" priority="8884">
      <colorScale>
        <cfvo type="min"/>
        <cfvo type="percentile" val="50"/>
        <cfvo type="max"/>
        <color rgb="FFF8696B"/>
        <color rgb="FFFFEB84"/>
        <color rgb="FF63BE7B"/>
      </colorScale>
    </cfRule>
  </conditionalFormatting>
  <conditionalFormatting sqref="F10:F13">
    <cfRule type="colorScale" priority="8883">
      <colorScale>
        <cfvo type="min"/>
        <cfvo type="percentile" val="50"/>
        <cfvo type="max"/>
        <color rgb="FFF8696B"/>
        <color rgb="FFFFEB84"/>
        <color rgb="FF63BE7B"/>
      </colorScale>
    </cfRule>
  </conditionalFormatting>
  <conditionalFormatting sqref="F10:F13">
    <cfRule type="colorScale" priority="8882">
      <colorScale>
        <cfvo type="min"/>
        <cfvo type="percentile" val="50"/>
        <cfvo type="max"/>
        <color rgb="FFF8696B"/>
        <color rgb="FFFFEB84"/>
        <color rgb="FF63BE7B"/>
      </colorScale>
    </cfRule>
  </conditionalFormatting>
  <conditionalFormatting sqref="F10:F13">
    <cfRule type="colorScale" priority="8881">
      <colorScale>
        <cfvo type="min"/>
        <cfvo type="percentile" val="50"/>
        <cfvo type="max"/>
        <color rgb="FFF8696B"/>
        <color rgb="FFFFEB84"/>
        <color rgb="FF63BE7B"/>
      </colorScale>
    </cfRule>
  </conditionalFormatting>
  <conditionalFormatting sqref="F10:F13">
    <cfRule type="colorScale" priority="8880">
      <colorScale>
        <cfvo type="min"/>
        <cfvo type="percentile" val="50"/>
        <cfvo type="max"/>
        <color rgb="FFF8696B"/>
        <color rgb="FFFFEB84"/>
        <color rgb="FF63BE7B"/>
      </colorScale>
    </cfRule>
  </conditionalFormatting>
  <conditionalFormatting sqref="F10:F13">
    <cfRule type="colorScale" priority="8879">
      <colorScale>
        <cfvo type="min"/>
        <cfvo type="percentile" val="50"/>
        <cfvo type="max"/>
        <color rgb="FFF8696B"/>
        <color rgb="FFFFEB84"/>
        <color rgb="FF63BE7B"/>
      </colorScale>
    </cfRule>
  </conditionalFormatting>
  <conditionalFormatting sqref="F10:F13">
    <cfRule type="colorScale" priority="8878">
      <colorScale>
        <cfvo type="min"/>
        <cfvo type="percentile" val="50"/>
        <cfvo type="max"/>
        <color rgb="FFF8696B"/>
        <color rgb="FFFFEB84"/>
        <color rgb="FF63BE7B"/>
      </colorScale>
    </cfRule>
  </conditionalFormatting>
  <conditionalFormatting sqref="F10:F13">
    <cfRule type="colorScale" priority="8877">
      <colorScale>
        <cfvo type="min"/>
        <cfvo type="percentile" val="50"/>
        <cfvo type="max"/>
        <color rgb="FFF8696B"/>
        <color rgb="FFFFEB84"/>
        <color rgb="FF63BE7B"/>
      </colorScale>
    </cfRule>
  </conditionalFormatting>
  <conditionalFormatting sqref="F10:F13">
    <cfRule type="colorScale" priority="8876">
      <colorScale>
        <cfvo type="min"/>
        <cfvo type="percentile" val="50"/>
        <cfvo type="max"/>
        <color rgb="FFF8696B"/>
        <color rgb="FFFFEB84"/>
        <color rgb="FF63BE7B"/>
      </colorScale>
    </cfRule>
  </conditionalFormatting>
  <conditionalFormatting sqref="F10:F13">
    <cfRule type="colorScale" priority="8875">
      <colorScale>
        <cfvo type="min"/>
        <cfvo type="percentile" val="50"/>
        <cfvo type="max"/>
        <color rgb="FFF8696B"/>
        <color rgb="FFFFEB84"/>
        <color rgb="FF63BE7B"/>
      </colorScale>
    </cfRule>
  </conditionalFormatting>
  <conditionalFormatting sqref="F10:F13">
    <cfRule type="colorScale" priority="8874">
      <colorScale>
        <cfvo type="min"/>
        <cfvo type="percentile" val="50"/>
        <cfvo type="max"/>
        <color rgb="FFF8696B"/>
        <color rgb="FFFFEB84"/>
        <color rgb="FF63BE7B"/>
      </colorScale>
    </cfRule>
  </conditionalFormatting>
  <conditionalFormatting sqref="F10:F13">
    <cfRule type="colorScale" priority="8873">
      <colorScale>
        <cfvo type="min"/>
        <cfvo type="percentile" val="50"/>
        <cfvo type="max"/>
        <color rgb="FFF8696B"/>
        <color rgb="FFFFEB84"/>
        <color rgb="FF63BE7B"/>
      </colorScale>
    </cfRule>
  </conditionalFormatting>
  <conditionalFormatting sqref="F10:F13">
    <cfRule type="colorScale" priority="8872">
      <colorScale>
        <cfvo type="min"/>
        <cfvo type="percentile" val="50"/>
        <cfvo type="max"/>
        <color rgb="FFF8696B"/>
        <color rgb="FFFFEB84"/>
        <color rgb="FF63BE7B"/>
      </colorScale>
    </cfRule>
  </conditionalFormatting>
  <conditionalFormatting sqref="F10:F13">
    <cfRule type="colorScale" priority="8871">
      <colorScale>
        <cfvo type="min"/>
        <cfvo type="percentile" val="50"/>
        <cfvo type="max"/>
        <color rgb="FFF8696B"/>
        <color rgb="FFFFEB84"/>
        <color rgb="FF63BE7B"/>
      </colorScale>
    </cfRule>
  </conditionalFormatting>
  <conditionalFormatting sqref="F10:F13">
    <cfRule type="colorScale" priority="8870">
      <colorScale>
        <cfvo type="min"/>
        <cfvo type="percentile" val="50"/>
        <cfvo type="max"/>
        <color rgb="FFF8696B"/>
        <color rgb="FFFFEB84"/>
        <color rgb="FF63BE7B"/>
      </colorScale>
    </cfRule>
  </conditionalFormatting>
  <conditionalFormatting sqref="F10:F13">
    <cfRule type="colorScale" priority="8869">
      <colorScale>
        <cfvo type="min"/>
        <cfvo type="percentile" val="50"/>
        <cfvo type="max"/>
        <color rgb="FFF8696B"/>
        <color rgb="FFFFEB84"/>
        <color rgb="FF63BE7B"/>
      </colorScale>
    </cfRule>
  </conditionalFormatting>
  <conditionalFormatting sqref="F10:F13">
    <cfRule type="colorScale" priority="8868">
      <colorScale>
        <cfvo type="min"/>
        <cfvo type="percentile" val="50"/>
        <cfvo type="max"/>
        <color rgb="FFF8696B"/>
        <color rgb="FFFFEB84"/>
        <color rgb="FF63BE7B"/>
      </colorScale>
    </cfRule>
  </conditionalFormatting>
  <conditionalFormatting sqref="F10:F13">
    <cfRule type="colorScale" priority="8867">
      <colorScale>
        <cfvo type="min"/>
        <cfvo type="percentile" val="50"/>
        <cfvo type="max"/>
        <color rgb="FFF8696B"/>
        <color rgb="FFFFEB84"/>
        <color rgb="FF63BE7B"/>
      </colorScale>
    </cfRule>
  </conditionalFormatting>
  <conditionalFormatting sqref="F10:F13">
    <cfRule type="colorScale" priority="8866">
      <colorScale>
        <cfvo type="min"/>
        <cfvo type="percentile" val="50"/>
        <cfvo type="max"/>
        <color rgb="FFF8696B"/>
        <color rgb="FFFFEB84"/>
        <color rgb="FF63BE7B"/>
      </colorScale>
    </cfRule>
  </conditionalFormatting>
  <conditionalFormatting sqref="F10:F13">
    <cfRule type="colorScale" priority="8865">
      <colorScale>
        <cfvo type="min"/>
        <cfvo type="percentile" val="50"/>
        <cfvo type="max"/>
        <color rgb="FFF8696B"/>
        <color rgb="FFFFEB84"/>
        <color rgb="FF63BE7B"/>
      </colorScale>
    </cfRule>
  </conditionalFormatting>
  <conditionalFormatting sqref="F10:F13">
    <cfRule type="colorScale" priority="8864">
      <colorScale>
        <cfvo type="min"/>
        <cfvo type="percentile" val="50"/>
        <cfvo type="max"/>
        <color rgb="FFF8696B"/>
        <color rgb="FFFFEB84"/>
        <color rgb="FF63BE7B"/>
      </colorScale>
    </cfRule>
  </conditionalFormatting>
  <conditionalFormatting sqref="F10:F13">
    <cfRule type="colorScale" priority="8863">
      <colorScale>
        <cfvo type="min"/>
        <cfvo type="percentile" val="50"/>
        <cfvo type="max"/>
        <color rgb="FFF8696B"/>
        <color rgb="FFFFEB84"/>
        <color rgb="FF63BE7B"/>
      </colorScale>
    </cfRule>
  </conditionalFormatting>
  <conditionalFormatting sqref="F10:F13">
    <cfRule type="colorScale" priority="8862">
      <colorScale>
        <cfvo type="min"/>
        <cfvo type="percentile" val="50"/>
        <cfvo type="max"/>
        <color rgb="FFF8696B"/>
        <color rgb="FFFFEB84"/>
        <color rgb="FF63BE7B"/>
      </colorScale>
    </cfRule>
  </conditionalFormatting>
  <conditionalFormatting sqref="F10:F13">
    <cfRule type="colorScale" priority="8861">
      <colorScale>
        <cfvo type="min"/>
        <cfvo type="percentile" val="50"/>
        <cfvo type="max"/>
        <color rgb="FFF8696B"/>
        <color rgb="FFFFEB84"/>
        <color rgb="FF63BE7B"/>
      </colorScale>
    </cfRule>
  </conditionalFormatting>
  <conditionalFormatting sqref="F10:F13">
    <cfRule type="colorScale" priority="8860">
      <colorScale>
        <cfvo type="min"/>
        <cfvo type="percentile" val="50"/>
        <cfvo type="max"/>
        <color rgb="FFF8696B"/>
        <color rgb="FFFFEB84"/>
        <color rgb="FF63BE7B"/>
      </colorScale>
    </cfRule>
  </conditionalFormatting>
  <conditionalFormatting sqref="F10:F13">
    <cfRule type="colorScale" priority="8859">
      <colorScale>
        <cfvo type="min"/>
        <cfvo type="percentile" val="50"/>
        <cfvo type="max"/>
        <color rgb="FFF8696B"/>
        <color rgb="FFFFEB84"/>
        <color rgb="FF63BE7B"/>
      </colorScale>
    </cfRule>
  </conditionalFormatting>
  <conditionalFormatting sqref="F10:F13">
    <cfRule type="colorScale" priority="8858">
      <colorScale>
        <cfvo type="min"/>
        <cfvo type="percentile" val="50"/>
        <cfvo type="max"/>
        <color rgb="FFF8696B"/>
        <color rgb="FFFFEB84"/>
        <color rgb="FF63BE7B"/>
      </colorScale>
    </cfRule>
  </conditionalFormatting>
  <conditionalFormatting sqref="F10:F13">
    <cfRule type="colorScale" priority="8857">
      <colorScale>
        <cfvo type="min"/>
        <cfvo type="percentile" val="50"/>
        <cfvo type="max"/>
        <color rgb="FFF8696B"/>
        <color rgb="FFFFEB84"/>
        <color rgb="FF63BE7B"/>
      </colorScale>
    </cfRule>
  </conditionalFormatting>
  <conditionalFormatting sqref="F10:F13">
    <cfRule type="colorScale" priority="8856">
      <colorScale>
        <cfvo type="min"/>
        <cfvo type="percentile" val="50"/>
        <cfvo type="max"/>
        <color rgb="FFF8696B"/>
        <color rgb="FFFFEB84"/>
        <color rgb="FF63BE7B"/>
      </colorScale>
    </cfRule>
  </conditionalFormatting>
  <conditionalFormatting sqref="F10:F13">
    <cfRule type="colorScale" priority="8855">
      <colorScale>
        <cfvo type="min"/>
        <cfvo type="percentile" val="50"/>
        <cfvo type="max"/>
        <color rgb="FFF8696B"/>
        <color rgb="FFFFEB84"/>
        <color rgb="FF63BE7B"/>
      </colorScale>
    </cfRule>
  </conditionalFormatting>
  <conditionalFormatting sqref="F10:F13">
    <cfRule type="colorScale" priority="8854">
      <colorScale>
        <cfvo type="min"/>
        <cfvo type="percentile" val="50"/>
        <cfvo type="max"/>
        <color rgb="FFF8696B"/>
        <color rgb="FFFFEB84"/>
        <color rgb="FF63BE7B"/>
      </colorScale>
    </cfRule>
  </conditionalFormatting>
  <conditionalFormatting sqref="F10:F13">
    <cfRule type="colorScale" priority="8853">
      <colorScale>
        <cfvo type="min"/>
        <cfvo type="percentile" val="50"/>
        <cfvo type="max"/>
        <color rgb="FFF8696B"/>
        <color rgb="FFFFEB84"/>
        <color rgb="FF63BE7B"/>
      </colorScale>
    </cfRule>
  </conditionalFormatting>
  <conditionalFormatting sqref="F10:F13">
    <cfRule type="colorScale" priority="8852">
      <colorScale>
        <cfvo type="min"/>
        <cfvo type="percentile" val="50"/>
        <cfvo type="max"/>
        <color rgb="FFF8696B"/>
        <color rgb="FFFFEB84"/>
        <color rgb="FF63BE7B"/>
      </colorScale>
    </cfRule>
  </conditionalFormatting>
  <conditionalFormatting sqref="F10:F13">
    <cfRule type="colorScale" priority="8851">
      <colorScale>
        <cfvo type="min"/>
        <cfvo type="percentile" val="50"/>
        <cfvo type="max"/>
        <color rgb="FFF8696B"/>
        <color rgb="FFFFEB84"/>
        <color rgb="FF63BE7B"/>
      </colorScale>
    </cfRule>
  </conditionalFormatting>
  <conditionalFormatting sqref="F10:F13">
    <cfRule type="colorScale" priority="8850">
      <colorScale>
        <cfvo type="min"/>
        <cfvo type="percentile" val="50"/>
        <cfvo type="max"/>
        <color rgb="FFF8696B"/>
        <color rgb="FFFFEB84"/>
        <color rgb="FF63BE7B"/>
      </colorScale>
    </cfRule>
  </conditionalFormatting>
  <conditionalFormatting sqref="F10:F13">
    <cfRule type="colorScale" priority="8849">
      <colorScale>
        <cfvo type="min"/>
        <cfvo type="percentile" val="50"/>
        <cfvo type="max"/>
        <color rgb="FFF8696B"/>
        <color rgb="FFFFEB84"/>
        <color rgb="FF63BE7B"/>
      </colorScale>
    </cfRule>
  </conditionalFormatting>
  <conditionalFormatting sqref="F10:F13">
    <cfRule type="colorScale" priority="8848">
      <colorScale>
        <cfvo type="min"/>
        <cfvo type="percentile" val="50"/>
        <cfvo type="max"/>
        <color rgb="FFF8696B"/>
        <color rgb="FFFFEB84"/>
        <color rgb="FF63BE7B"/>
      </colorScale>
    </cfRule>
  </conditionalFormatting>
  <conditionalFormatting sqref="F10:F13">
    <cfRule type="colorScale" priority="8847">
      <colorScale>
        <cfvo type="min"/>
        <cfvo type="percentile" val="50"/>
        <cfvo type="max"/>
        <color rgb="FFF8696B"/>
        <color rgb="FFFFEB84"/>
        <color rgb="FF63BE7B"/>
      </colorScale>
    </cfRule>
  </conditionalFormatting>
  <conditionalFormatting sqref="F10:F13">
    <cfRule type="colorScale" priority="8846">
      <colorScale>
        <cfvo type="min"/>
        <cfvo type="percentile" val="50"/>
        <cfvo type="max"/>
        <color rgb="FFF8696B"/>
        <color rgb="FFFFEB84"/>
        <color rgb="FF63BE7B"/>
      </colorScale>
    </cfRule>
  </conditionalFormatting>
  <conditionalFormatting sqref="F10:F13">
    <cfRule type="colorScale" priority="8845">
      <colorScale>
        <cfvo type="min"/>
        <cfvo type="percentile" val="50"/>
        <cfvo type="max"/>
        <color rgb="FFF8696B"/>
        <color rgb="FFFFEB84"/>
        <color rgb="FF63BE7B"/>
      </colorScale>
    </cfRule>
  </conditionalFormatting>
  <conditionalFormatting sqref="F10:F13">
    <cfRule type="colorScale" priority="8844">
      <colorScale>
        <cfvo type="min"/>
        <cfvo type="percentile" val="50"/>
        <cfvo type="max"/>
        <color rgb="FFF8696B"/>
        <color rgb="FFFFEB84"/>
        <color rgb="FF63BE7B"/>
      </colorScale>
    </cfRule>
  </conditionalFormatting>
  <conditionalFormatting sqref="F10:F13">
    <cfRule type="colorScale" priority="8843">
      <colorScale>
        <cfvo type="min"/>
        <cfvo type="percentile" val="50"/>
        <cfvo type="max"/>
        <color rgb="FFF8696B"/>
        <color rgb="FFFFEB84"/>
        <color rgb="FF63BE7B"/>
      </colorScale>
    </cfRule>
  </conditionalFormatting>
  <conditionalFormatting sqref="F10:F13">
    <cfRule type="colorScale" priority="8842">
      <colorScale>
        <cfvo type="min"/>
        <cfvo type="percentile" val="50"/>
        <cfvo type="max"/>
        <color rgb="FFF8696B"/>
        <color rgb="FFFFEB84"/>
        <color rgb="FF63BE7B"/>
      </colorScale>
    </cfRule>
  </conditionalFormatting>
  <conditionalFormatting sqref="F10:F13">
    <cfRule type="colorScale" priority="8841">
      <colorScale>
        <cfvo type="min"/>
        <cfvo type="percentile" val="50"/>
        <cfvo type="max"/>
        <color rgb="FFF8696B"/>
        <color rgb="FFFFEB84"/>
        <color rgb="FF63BE7B"/>
      </colorScale>
    </cfRule>
  </conditionalFormatting>
  <conditionalFormatting sqref="F10:F13">
    <cfRule type="colorScale" priority="8840">
      <colorScale>
        <cfvo type="min"/>
        <cfvo type="percentile" val="50"/>
        <cfvo type="max"/>
        <color rgb="FFF8696B"/>
        <color rgb="FFFFEB84"/>
        <color rgb="FF63BE7B"/>
      </colorScale>
    </cfRule>
  </conditionalFormatting>
  <conditionalFormatting sqref="F10:F13">
    <cfRule type="colorScale" priority="8839">
      <colorScale>
        <cfvo type="min"/>
        <cfvo type="percentile" val="50"/>
        <cfvo type="max"/>
        <color rgb="FFF8696B"/>
        <color rgb="FFFFEB84"/>
        <color rgb="FF63BE7B"/>
      </colorScale>
    </cfRule>
  </conditionalFormatting>
  <conditionalFormatting sqref="F10:F13">
    <cfRule type="colorScale" priority="8838">
      <colorScale>
        <cfvo type="min"/>
        <cfvo type="percentile" val="50"/>
        <cfvo type="max"/>
        <color rgb="FFF8696B"/>
        <color rgb="FFFFEB84"/>
        <color rgb="FF63BE7B"/>
      </colorScale>
    </cfRule>
  </conditionalFormatting>
  <conditionalFormatting sqref="F10:F13">
    <cfRule type="colorScale" priority="8837">
      <colorScale>
        <cfvo type="min"/>
        <cfvo type="percentile" val="50"/>
        <cfvo type="max"/>
        <color rgb="FFF8696B"/>
        <color rgb="FFFFEB84"/>
        <color rgb="FF63BE7B"/>
      </colorScale>
    </cfRule>
  </conditionalFormatting>
  <conditionalFormatting sqref="F10:F13">
    <cfRule type="colorScale" priority="8836">
      <colorScale>
        <cfvo type="min"/>
        <cfvo type="percentile" val="50"/>
        <cfvo type="max"/>
        <color rgb="FFF8696B"/>
        <color rgb="FFFFEB84"/>
        <color rgb="FF63BE7B"/>
      </colorScale>
    </cfRule>
  </conditionalFormatting>
  <conditionalFormatting sqref="F10:F13">
    <cfRule type="colorScale" priority="8835">
      <colorScale>
        <cfvo type="min"/>
        <cfvo type="percentile" val="50"/>
        <cfvo type="max"/>
        <color rgb="FFF8696B"/>
        <color rgb="FFFFEB84"/>
        <color rgb="FF63BE7B"/>
      </colorScale>
    </cfRule>
  </conditionalFormatting>
  <conditionalFormatting sqref="F10:F13">
    <cfRule type="colorScale" priority="8834">
      <colorScale>
        <cfvo type="min"/>
        <cfvo type="percentile" val="50"/>
        <cfvo type="max"/>
        <color rgb="FFF8696B"/>
        <color rgb="FFFFEB84"/>
        <color rgb="FF63BE7B"/>
      </colorScale>
    </cfRule>
  </conditionalFormatting>
  <conditionalFormatting sqref="F10:F13">
    <cfRule type="colorScale" priority="8833">
      <colorScale>
        <cfvo type="min"/>
        <cfvo type="percentile" val="50"/>
        <cfvo type="max"/>
        <color rgb="FFF8696B"/>
        <color rgb="FFFFEB84"/>
        <color rgb="FF63BE7B"/>
      </colorScale>
    </cfRule>
  </conditionalFormatting>
  <conditionalFormatting sqref="F10:F13">
    <cfRule type="colorScale" priority="8832">
      <colorScale>
        <cfvo type="min"/>
        <cfvo type="percentile" val="50"/>
        <cfvo type="max"/>
        <color rgb="FFF8696B"/>
        <color rgb="FFFFEB84"/>
        <color rgb="FF63BE7B"/>
      </colorScale>
    </cfRule>
  </conditionalFormatting>
  <conditionalFormatting sqref="F10:F13">
    <cfRule type="colorScale" priority="8831">
      <colorScale>
        <cfvo type="min"/>
        <cfvo type="percentile" val="50"/>
        <cfvo type="max"/>
        <color rgb="FFF8696B"/>
        <color rgb="FFFFEB84"/>
        <color rgb="FF63BE7B"/>
      </colorScale>
    </cfRule>
  </conditionalFormatting>
  <conditionalFormatting sqref="F14:F21">
    <cfRule type="colorScale" priority="8830">
      <colorScale>
        <cfvo type="min"/>
        <cfvo type="percentile" val="50"/>
        <cfvo type="max"/>
        <color rgb="FFF8696B"/>
        <color rgb="FFFFEB84"/>
        <color rgb="FF63BE7B"/>
      </colorScale>
    </cfRule>
  </conditionalFormatting>
  <conditionalFormatting sqref="F14:F21">
    <cfRule type="colorScale" priority="8829">
      <colorScale>
        <cfvo type="min"/>
        <cfvo type="percentile" val="50"/>
        <cfvo type="max"/>
        <color rgb="FFF8696B"/>
        <color rgb="FFFFEB84"/>
        <color rgb="FF63BE7B"/>
      </colorScale>
    </cfRule>
  </conditionalFormatting>
  <conditionalFormatting sqref="F14:F21">
    <cfRule type="colorScale" priority="8828">
      <colorScale>
        <cfvo type="min"/>
        <cfvo type="percentile" val="50"/>
        <cfvo type="max"/>
        <color rgb="FFF8696B"/>
        <color rgb="FFFFEB84"/>
        <color rgb="FF63BE7B"/>
      </colorScale>
    </cfRule>
  </conditionalFormatting>
  <conditionalFormatting sqref="F14:F21">
    <cfRule type="colorScale" priority="8827">
      <colorScale>
        <cfvo type="min"/>
        <cfvo type="percentile" val="50"/>
        <cfvo type="max"/>
        <color rgb="FFF8696B"/>
        <color rgb="FFFFEB84"/>
        <color rgb="FF63BE7B"/>
      </colorScale>
    </cfRule>
  </conditionalFormatting>
  <conditionalFormatting sqref="F14:F21">
    <cfRule type="colorScale" priority="8826">
      <colorScale>
        <cfvo type="min"/>
        <cfvo type="percentile" val="50"/>
        <cfvo type="max"/>
        <color rgb="FFF8696B"/>
        <color rgb="FFFFEB84"/>
        <color rgb="FF63BE7B"/>
      </colorScale>
    </cfRule>
  </conditionalFormatting>
  <conditionalFormatting sqref="F14:F21">
    <cfRule type="colorScale" priority="8825">
      <colorScale>
        <cfvo type="min"/>
        <cfvo type="percentile" val="50"/>
        <cfvo type="max"/>
        <color rgb="FFF8696B"/>
        <color rgb="FFFFEB84"/>
        <color rgb="FF63BE7B"/>
      </colorScale>
    </cfRule>
  </conditionalFormatting>
  <conditionalFormatting sqref="F14:F21">
    <cfRule type="colorScale" priority="8824">
      <colorScale>
        <cfvo type="min"/>
        <cfvo type="percentile" val="50"/>
        <cfvo type="max"/>
        <color rgb="FFF8696B"/>
        <color rgb="FFFFEB84"/>
        <color rgb="FF63BE7B"/>
      </colorScale>
    </cfRule>
  </conditionalFormatting>
  <conditionalFormatting sqref="F14:F21">
    <cfRule type="colorScale" priority="8823">
      <colorScale>
        <cfvo type="min"/>
        <cfvo type="percentile" val="50"/>
        <cfvo type="max"/>
        <color rgb="FFF8696B"/>
        <color rgb="FFFFEB84"/>
        <color rgb="FF63BE7B"/>
      </colorScale>
    </cfRule>
  </conditionalFormatting>
  <conditionalFormatting sqref="F14:F21">
    <cfRule type="colorScale" priority="8822">
      <colorScale>
        <cfvo type="min"/>
        <cfvo type="percentile" val="50"/>
        <cfvo type="max"/>
        <color rgb="FFF8696B"/>
        <color rgb="FFFFEB84"/>
        <color rgb="FF63BE7B"/>
      </colorScale>
    </cfRule>
  </conditionalFormatting>
  <conditionalFormatting sqref="F14:F21">
    <cfRule type="colorScale" priority="8821">
      <colorScale>
        <cfvo type="min"/>
        <cfvo type="percentile" val="50"/>
        <cfvo type="max"/>
        <color rgb="FFF8696B"/>
        <color rgb="FFFFEB84"/>
        <color rgb="FF63BE7B"/>
      </colorScale>
    </cfRule>
  </conditionalFormatting>
  <conditionalFormatting sqref="F14:F21">
    <cfRule type="colorScale" priority="8820">
      <colorScale>
        <cfvo type="min"/>
        <cfvo type="percentile" val="50"/>
        <cfvo type="max"/>
        <color rgb="FFF8696B"/>
        <color rgb="FFFFEB84"/>
        <color rgb="FF63BE7B"/>
      </colorScale>
    </cfRule>
  </conditionalFormatting>
  <conditionalFormatting sqref="F14:F21">
    <cfRule type="colorScale" priority="8819">
      <colorScale>
        <cfvo type="min"/>
        <cfvo type="percentile" val="50"/>
        <cfvo type="max"/>
        <color rgb="FFF8696B"/>
        <color rgb="FFFFEB84"/>
        <color rgb="FF63BE7B"/>
      </colorScale>
    </cfRule>
  </conditionalFormatting>
  <conditionalFormatting sqref="F14:F21">
    <cfRule type="colorScale" priority="8818">
      <colorScale>
        <cfvo type="min"/>
        <cfvo type="percentile" val="50"/>
        <cfvo type="max"/>
        <color rgb="FFF8696B"/>
        <color rgb="FFFFEB84"/>
        <color rgb="FF63BE7B"/>
      </colorScale>
    </cfRule>
  </conditionalFormatting>
  <conditionalFormatting sqref="F14:F21">
    <cfRule type="colorScale" priority="8817">
      <colorScale>
        <cfvo type="min"/>
        <cfvo type="percentile" val="50"/>
        <cfvo type="max"/>
        <color rgb="FFF8696B"/>
        <color rgb="FFFFEB84"/>
        <color rgb="FF63BE7B"/>
      </colorScale>
    </cfRule>
  </conditionalFormatting>
  <conditionalFormatting sqref="F14:F21">
    <cfRule type="colorScale" priority="8816">
      <colorScale>
        <cfvo type="min"/>
        <cfvo type="percentile" val="50"/>
        <cfvo type="max"/>
        <color rgb="FFF8696B"/>
        <color rgb="FFFFEB84"/>
        <color rgb="FF63BE7B"/>
      </colorScale>
    </cfRule>
  </conditionalFormatting>
  <conditionalFormatting sqref="F14:F21">
    <cfRule type="colorScale" priority="8815">
      <colorScale>
        <cfvo type="min"/>
        <cfvo type="percentile" val="50"/>
        <cfvo type="max"/>
        <color rgb="FFF8696B"/>
        <color rgb="FFFFEB84"/>
        <color rgb="FF63BE7B"/>
      </colorScale>
    </cfRule>
  </conditionalFormatting>
  <conditionalFormatting sqref="F14:F21">
    <cfRule type="colorScale" priority="8814">
      <colorScale>
        <cfvo type="min"/>
        <cfvo type="percentile" val="50"/>
        <cfvo type="max"/>
        <color rgb="FFF8696B"/>
        <color rgb="FFFFEB84"/>
        <color rgb="FF63BE7B"/>
      </colorScale>
    </cfRule>
  </conditionalFormatting>
  <conditionalFormatting sqref="F14:F21">
    <cfRule type="colorScale" priority="8813">
      <colorScale>
        <cfvo type="min"/>
        <cfvo type="percentile" val="50"/>
        <cfvo type="max"/>
        <color rgb="FFF8696B"/>
        <color rgb="FFFFEB84"/>
        <color rgb="FF63BE7B"/>
      </colorScale>
    </cfRule>
  </conditionalFormatting>
  <conditionalFormatting sqref="F14:F21">
    <cfRule type="colorScale" priority="8812">
      <colorScale>
        <cfvo type="min"/>
        <cfvo type="percentile" val="50"/>
        <cfvo type="max"/>
        <color rgb="FFF8696B"/>
        <color rgb="FFFFEB84"/>
        <color rgb="FF63BE7B"/>
      </colorScale>
    </cfRule>
  </conditionalFormatting>
  <conditionalFormatting sqref="F14:F21">
    <cfRule type="colorScale" priority="8811">
      <colorScale>
        <cfvo type="min"/>
        <cfvo type="percentile" val="50"/>
        <cfvo type="max"/>
        <color rgb="FFF8696B"/>
        <color rgb="FFFFEB84"/>
        <color rgb="FF63BE7B"/>
      </colorScale>
    </cfRule>
  </conditionalFormatting>
  <conditionalFormatting sqref="F14:F21">
    <cfRule type="colorScale" priority="8810">
      <colorScale>
        <cfvo type="min"/>
        <cfvo type="percentile" val="50"/>
        <cfvo type="max"/>
        <color rgb="FFF8696B"/>
        <color rgb="FFFFEB84"/>
        <color rgb="FF63BE7B"/>
      </colorScale>
    </cfRule>
  </conditionalFormatting>
  <conditionalFormatting sqref="F14:F21">
    <cfRule type="colorScale" priority="8809">
      <colorScale>
        <cfvo type="min"/>
        <cfvo type="percentile" val="50"/>
        <cfvo type="max"/>
        <color rgb="FFF8696B"/>
        <color rgb="FFFFEB84"/>
        <color rgb="FF63BE7B"/>
      </colorScale>
    </cfRule>
  </conditionalFormatting>
  <conditionalFormatting sqref="F14:F21">
    <cfRule type="colorScale" priority="8808">
      <colorScale>
        <cfvo type="min"/>
        <cfvo type="percentile" val="50"/>
        <cfvo type="max"/>
        <color rgb="FFF8696B"/>
        <color rgb="FFFFEB84"/>
        <color rgb="FF63BE7B"/>
      </colorScale>
    </cfRule>
  </conditionalFormatting>
  <conditionalFormatting sqref="F14:F21">
    <cfRule type="colorScale" priority="8807">
      <colorScale>
        <cfvo type="min"/>
        <cfvo type="percentile" val="50"/>
        <cfvo type="max"/>
        <color rgb="FFF8696B"/>
        <color rgb="FFFFEB84"/>
        <color rgb="FF63BE7B"/>
      </colorScale>
    </cfRule>
  </conditionalFormatting>
  <conditionalFormatting sqref="F14:F21">
    <cfRule type="colorScale" priority="8806">
      <colorScale>
        <cfvo type="min"/>
        <cfvo type="percentile" val="50"/>
        <cfvo type="max"/>
        <color rgb="FFF8696B"/>
        <color rgb="FFFFEB84"/>
        <color rgb="FF63BE7B"/>
      </colorScale>
    </cfRule>
  </conditionalFormatting>
  <conditionalFormatting sqref="F14:F21">
    <cfRule type="colorScale" priority="8805">
      <colorScale>
        <cfvo type="min"/>
        <cfvo type="percentile" val="50"/>
        <cfvo type="max"/>
        <color rgb="FFF8696B"/>
        <color rgb="FFFFEB84"/>
        <color rgb="FF63BE7B"/>
      </colorScale>
    </cfRule>
  </conditionalFormatting>
  <conditionalFormatting sqref="F14:F21">
    <cfRule type="colorScale" priority="8804">
      <colorScale>
        <cfvo type="min"/>
        <cfvo type="percentile" val="50"/>
        <cfvo type="max"/>
        <color rgb="FFF8696B"/>
        <color rgb="FFFFEB84"/>
        <color rgb="FF63BE7B"/>
      </colorScale>
    </cfRule>
  </conditionalFormatting>
  <conditionalFormatting sqref="F14:F21">
    <cfRule type="colorScale" priority="8803">
      <colorScale>
        <cfvo type="min"/>
        <cfvo type="percentile" val="50"/>
        <cfvo type="max"/>
        <color rgb="FFF8696B"/>
        <color rgb="FFFFEB84"/>
        <color rgb="FF63BE7B"/>
      </colorScale>
    </cfRule>
  </conditionalFormatting>
  <conditionalFormatting sqref="F14:F21">
    <cfRule type="colorScale" priority="8802">
      <colorScale>
        <cfvo type="min"/>
        <cfvo type="percentile" val="50"/>
        <cfvo type="max"/>
        <color rgb="FFF8696B"/>
        <color rgb="FFFFEB84"/>
        <color rgb="FF63BE7B"/>
      </colorScale>
    </cfRule>
  </conditionalFormatting>
  <conditionalFormatting sqref="F14:F21">
    <cfRule type="colorScale" priority="8801">
      <colorScale>
        <cfvo type="min"/>
        <cfvo type="percentile" val="50"/>
        <cfvo type="max"/>
        <color rgb="FFF8696B"/>
        <color rgb="FFFFEB84"/>
        <color rgb="FF63BE7B"/>
      </colorScale>
    </cfRule>
  </conditionalFormatting>
  <conditionalFormatting sqref="F14:F21">
    <cfRule type="colorScale" priority="8800">
      <colorScale>
        <cfvo type="min"/>
        <cfvo type="percentile" val="50"/>
        <cfvo type="max"/>
        <color rgb="FFF8696B"/>
        <color rgb="FFFFEB84"/>
        <color rgb="FF63BE7B"/>
      </colorScale>
    </cfRule>
  </conditionalFormatting>
  <conditionalFormatting sqref="F14:F21">
    <cfRule type="colorScale" priority="8799">
      <colorScale>
        <cfvo type="min"/>
        <cfvo type="percentile" val="50"/>
        <cfvo type="max"/>
        <color rgb="FFF8696B"/>
        <color rgb="FFFFEB84"/>
        <color rgb="FF63BE7B"/>
      </colorScale>
    </cfRule>
  </conditionalFormatting>
  <conditionalFormatting sqref="F14:F21">
    <cfRule type="colorScale" priority="8798">
      <colorScale>
        <cfvo type="min"/>
        <cfvo type="percentile" val="50"/>
        <cfvo type="max"/>
        <color rgb="FFF8696B"/>
        <color rgb="FFFFEB84"/>
        <color rgb="FF63BE7B"/>
      </colorScale>
    </cfRule>
  </conditionalFormatting>
  <conditionalFormatting sqref="F14:F21">
    <cfRule type="colorScale" priority="8797">
      <colorScale>
        <cfvo type="min"/>
        <cfvo type="percentile" val="50"/>
        <cfvo type="max"/>
        <color rgb="FFF8696B"/>
        <color rgb="FFFFEB84"/>
        <color rgb="FF63BE7B"/>
      </colorScale>
    </cfRule>
  </conditionalFormatting>
  <conditionalFormatting sqref="F14:F21">
    <cfRule type="colorScale" priority="8796">
      <colorScale>
        <cfvo type="min"/>
        <cfvo type="percentile" val="50"/>
        <cfvo type="max"/>
        <color rgb="FFF8696B"/>
        <color rgb="FFFFEB84"/>
        <color rgb="FF63BE7B"/>
      </colorScale>
    </cfRule>
  </conditionalFormatting>
  <conditionalFormatting sqref="F14:F21">
    <cfRule type="colorScale" priority="8795">
      <colorScale>
        <cfvo type="min"/>
        <cfvo type="percentile" val="50"/>
        <cfvo type="max"/>
        <color rgb="FFF8696B"/>
        <color rgb="FFFFEB84"/>
        <color rgb="FF63BE7B"/>
      </colorScale>
    </cfRule>
  </conditionalFormatting>
  <conditionalFormatting sqref="F14:F21">
    <cfRule type="colorScale" priority="8794">
      <colorScale>
        <cfvo type="min"/>
        <cfvo type="percentile" val="50"/>
        <cfvo type="max"/>
        <color rgb="FFF8696B"/>
        <color rgb="FFFFEB84"/>
        <color rgb="FF63BE7B"/>
      </colorScale>
    </cfRule>
  </conditionalFormatting>
  <conditionalFormatting sqref="F14:F21">
    <cfRule type="colorScale" priority="8793">
      <colorScale>
        <cfvo type="min"/>
        <cfvo type="percentile" val="50"/>
        <cfvo type="max"/>
        <color rgb="FFF8696B"/>
        <color rgb="FFFFEB84"/>
        <color rgb="FF63BE7B"/>
      </colorScale>
    </cfRule>
  </conditionalFormatting>
  <conditionalFormatting sqref="F14:F21">
    <cfRule type="colorScale" priority="8792">
      <colorScale>
        <cfvo type="min"/>
        <cfvo type="percentile" val="50"/>
        <cfvo type="max"/>
        <color rgb="FFF8696B"/>
        <color rgb="FFFFEB84"/>
        <color rgb="FF63BE7B"/>
      </colorScale>
    </cfRule>
  </conditionalFormatting>
  <conditionalFormatting sqref="F14:F21">
    <cfRule type="colorScale" priority="8791">
      <colorScale>
        <cfvo type="min"/>
        <cfvo type="percentile" val="50"/>
        <cfvo type="max"/>
        <color rgb="FFF8696B"/>
        <color rgb="FFFFEB84"/>
        <color rgb="FF63BE7B"/>
      </colorScale>
    </cfRule>
  </conditionalFormatting>
  <conditionalFormatting sqref="F14:F21">
    <cfRule type="colorScale" priority="8790">
      <colorScale>
        <cfvo type="min"/>
        <cfvo type="percentile" val="50"/>
        <cfvo type="max"/>
        <color rgb="FFF8696B"/>
        <color rgb="FFFFEB84"/>
        <color rgb="FF63BE7B"/>
      </colorScale>
    </cfRule>
  </conditionalFormatting>
  <conditionalFormatting sqref="F14:F21">
    <cfRule type="colorScale" priority="8789">
      <colorScale>
        <cfvo type="min"/>
        <cfvo type="percentile" val="50"/>
        <cfvo type="max"/>
        <color rgb="FFF8696B"/>
        <color rgb="FFFFEB84"/>
        <color rgb="FF63BE7B"/>
      </colorScale>
    </cfRule>
  </conditionalFormatting>
  <conditionalFormatting sqref="F14:F21">
    <cfRule type="colorScale" priority="8788">
      <colorScale>
        <cfvo type="min"/>
        <cfvo type="percentile" val="50"/>
        <cfvo type="max"/>
        <color rgb="FFF8696B"/>
        <color rgb="FFFFEB84"/>
        <color rgb="FF63BE7B"/>
      </colorScale>
    </cfRule>
  </conditionalFormatting>
  <conditionalFormatting sqref="F14:F21">
    <cfRule type="colorScale" priority="8787">
      <colorScale>
        <cfvo type="min"/>
        <cfvo type="percentile" val="50"/>
        <cfvo type="max"/>
        <color rgb="FFF8696B"/>
        <color rgb="FFFFEB84"/>
        <color rgb="FF63BE7B"/>
      </colorScale>
    </cfRule>
  </conditionalFormatting>
  <conditionalFormatting sqref="F14:F21">
    <cfRule type="colorScale" priority="8786">
      <colorScale>
        <cfvo type="min"/>
        <cfvo type="percentile" val="50"/>
        <cfvo type="max"/>
        <color rgb="FFF8696B"/>
        <color rgb="FFFFEB84"/>
        <color rgb="FF63BE7B"/>
      </colorScale>
    </cfRule>
  </conditionalFormatting>
  <conditionalFormatting sqref="F14:F21">
    <cfRule type="colorScale" priority="8785">
      <colorScale>
        <cfvo type="min"/>
        <cfvo type="percentile" val="50"/>
        <cfvo type="max"/>
        <color rgb="FFF8696B"/>
        <color rgb="FFFFEB84"/>
        <color rgb="FF63BE7B"/>
      </colorScale>
    </cfRule>
  </conditionalFormatting>
  <conditionalFormatting sqref="F14:F21">
    <cfRule type="colorScale" priority="8784">
      <colorScale>
        <cfvo type="min"/>
        <cfvo type="percentile" val="50"/>
        <cfvo type="max"/>
        <color rgb="FFF8696B"/>
        <color rgb="FFFFEB84"/>
        <color rgb="FF63BE7B"/>
      </colorScale>
    </cfRule>
  </conditionalFormatting>
  <conditionalFormatting sqref="F14:F21">
    <cfRule type="colorScale" priority="8783">
      <colorScale>
        <cfvo type="min"/>
        <cfvo type="percentile" val="50"/>
        <cfvo type="max"/>
        <color rgb="FFF8696B"/>
        <color rgb="FFFFEB84"/>
        <color rgb="FF63BE7B"/>
      </colorScale>
    </cfRule>
  </conditionalFormatting>
  <conditionalFormatting sqref="F14:F21">
    <cfRule type="colorScale" priority="8782">
      <colorScale>
        <cfvo type="min"/>
        <cfvo type="percentile" val="50"/>
        <cfvo type="max"/>
        <color rgb="FFF8696B"/>
        <color rgb="FFFFEB84"/>
        <color rgb="FF63BE7B"/>
      </colorScale>
    </cfRule>
  </conditionalFormatting>
  <conditionalFormatting sqref="F14:F21">
    <cfRule type="colorScale" priority="8781">
      <colorScale>
        <cfvo type="min"/>
        <cfvo type="percentile" val="50"/>
        <cfvo type="max"/>
        <color rgb="FFF8696B"/>
        <color rgb="FFFFEB84"/>
        <color rgb="FF63BE7B"/>
      </colorScale>
    </cfRule>
  </conditionalFormatting>
  <conditionalFormatting sqref="F14:F21">
    <cfRule type="colorScale" priority="8780">
      <colorScale>
        <cfvo type="min"/>
        <cfvo type="percentile" val="50"/>
        <cfvo type="max"/>
        <color rgb="FFF8696B"/>
        <color rgb="FFFFEB84"/>
        <color rgb="FF63BE7B"/>
      </colorScale>
    </cfRule>
  </conditionalFormatting>
  <conditionalFormatting sqref="F14:F21">
    <cfRule type="colorScale" priority="8779">
      <colorScale>
        <cfvo type="min"/>
        <cfvo type="percentile" val="50"/>
        <cfvo type="max"/>
        <color rgb="FFF8696B"/>
        <color rgb="FFFFEB84"/>
        <color rgb="FF63BE7B"/>
      </colorScale>
    </cfRule>
  </conditionalFormatting>
  <conditionalFormatting sqref="F14:F21">
    <cfRule type="colorScale" priority="8778">
      <colorScale>
        <cfvo type="min"/>
        <cfvo type="percentile" val="50"/>
        <cfvo type="max"/>
        <color rgb="FFF8696B"/>
        <color rgb="FFFFEB84"/>
        <color rgb="FF63BE7B"/>
      </colorScale>
    </cfRule>
  </conditionalFormatting>
  <conditionalFormatting sqref="F14:F21">
    <cfRule type="colorScale" priority="8777">
      <colorScale>
        <cfvo type="min"/>
        <cfvo type="percentile" val="50"/>
        <cfvo type="max"/>
        <color rgb="FFF8696B"/>
        <color rgb="FFFFEB84"/>
        <color rgb="FF63BE7B"/>
      </colorScale>
    </cfRule>
  </conditionalFormatting>
  <conditionalFormatting sqref="F14:F21">
    <cfRule type="colorScale" priority="8776">
      <colorScale>
        <cfvo type="min"/>
        <cfvo type="percentile" val="50"/>
        <cfvo type="max"/>
        <color rgb="FFF8696B"/>
        <color rgb="FFFFEB84"/>
        <color rgb="FF63BE7B"/>
      </colorScale>
    </cfRule>
  </conditionalFormatting>
  <conditionalFormatting sqref="F14:F21">
    <cfRule type="colorScale" priority="8775">
      <colorScale>
        <cfvo type="min"/>
        <cfvo type="percentile" val="50"/>
        <cfvo type="max"/>
        <color rgb="FFF8696B"/>
        <color rgb="FFFFEB84"/>
        <color rgb="FF63BE7B"/>
      </colorScale>
    </cfRule>
  </conditionalFormatting>
  <conditionalFormatting sqref="F14:F21">
    <cfRule type="colorScale" priority="8774">
      <colorScale>
        <cfvo type="min"/>
        <cfvo type="percentile" val="50"/>
        <cfvo type="max"/>
        <color rgb="FFF8696B"/>
        <color rgb="FFFFEB84"/>
        <color rgb="FF63BE7B"/>
      </colorScale>
    </cfRule>
  </conditionalFormatting>
  <conditionalFormatting sqref="F14:F21">
    <cfRule type="colorScale" priority="8773">
      <colorScale>
        <cfvo type="min"/>
        <cfvo type="percentile" val="50"/>
        <cfvo type="max"/>
        <color rgb="FFF8696B"/>
        <color rgb="FFFFEB84"/>
        <color rgb="FF63BE7B"/>
      </colorScale>
    </cfRule>
  </conditionalFormatting>
  <conditionalFormatting sqref="F14:F21">
    <cfRule type="colorScale" priority="8772">
      <colorScale>
        <cfvo type="min"/>
        <cfvo type="percentile" val="50"/>
        <cfvo type="max"/>
        <color rgb="FFF8696B"/>
        <color rgb="FFFFEB84"/>
        <color rgb="FF63BE7B"/>
      </colorScale>
    </cfRule>
  </conditionalFormatting>
  <conditionalFormatting sqref="F14:F21">
    <cfRule type="colorScale" priority="8771">
      <colorScale>
        <cfvo type="min"/>
        <cfvo type="percentile" val="50"/>
        <cfvo type="max"/>
        <color rgb="FFF8696B"/>
        <color rgb="FFFFEB84"/>
        <color rgb="FF63BE7B"/>
      </colorScale>
    </cfRule>
  </conditionalFormatting>
  <conditionalFormatting sqref="F14:F21">
    <cfRule type="colorScale" priority="8770">
      <colorScale>
        <cfvo type="min"/>
        <cfvo type="percentile" val="50"/>
        <cfvo type="max"/>
        <color rgb="FFF8696B"/>
        <color rgb="FFFFEB84"/>
        <color rgb="FF63BE7B"/>
      </colorScale>
    </cfRule>
  </conditionalFormatting>
  <conditionalFormatting sqref="F14:F21">
    <cfRule type="colorScale" priority="8769">
      <colorScale>
        <cfvo type="min"/>
        <cfvo type="percentile" val="50"/>
        <cfvo type="max"/>
        <color rgb="FFF8696B"/>
        <color rgb="FFFFEB84"/>
        <color rgb="FF63BE7B"/>
      </colorScale>
    </cfRule>
  </conditionalFormatting>
  <conditionalFormatting sqref="F14:F21">
    <cfRule type="colorScale" priority="8768">
      <colorScale>
        <cfvo type="min"/>
        <cfvo type="percentile" val="50"/>
        <cfvo type="max"/>
        <color rgb="FFF8696B"/>
        <color rgb="FFFFEB84"/>
        <color rgb="FF63BE7B"/>
      </colorScale>
    </cfRule>
  </conditionalFormatting>
  <conditionalFormatting sqref="F14:F21">
    <cfRule type="colorScale" priority="8767">
      <colorScale>
        <cfvo type="min"/>
        <cfvo type="percentile" val="50"/>
        <cfvo type="max"/>
        <color rgb="FFF8696B"/>
        <color rgb="FFFFEB84"/>
        <color rgb="FF63BE7B"/>
      </colorScale>
    </cfRule>
  </conditionalFormatting>
  <conditionalFormatting sqref="F14:F21">
    <cfRule type="colorScale" priority="8766">
      <colorScale>
        <cfvo type="min"/>
        <cfvo type="percentile" val="50"/>
        <cfvo type="max"/>
        <color rgb="FFF8696B"/>
        <color rgb="FFFFEB84"/>
        <color rgb="FF63BE7B"/>
      </colorScale>
    </cfRule>
  </conditionalFormatting>
  <conditionalFormatting sqref="F14:F21">
    <cfRule type="colorScale" priority="8765">
      <colorScale>
        <cfvo type="min"/>
        <cfvo type="percentile" val="50"/>
        <cfvo type="max"/>
        <color rgb="FFF8696B"/>
        <color rgb="FFFFEB84"/>
        <color rgb="FF63BE7B"/>
      </colorScale>
    </cfRule>
  </conditionalFormatting>
  <conditionalFormatting sqref="F14:F21">
    <cfRule type="colorScale" priority="8764">
      <colorScale>
        <cfvo type="min"/>
        <cfvo type="percentile" val="50"/>
        <cfvo type="max"/>
        <color rgb="FFF8696B"/>
        <color rgb="FFFFEB84"/>
        <color rgb="FF63BE7B"/>
      </colorScale>
    </cfRule>
  </conditionalFormatting>
  <conditionalFormatting sqref="F14:F21">
    <cfRule type="colorScale" priority="8763">
      <colorScale>
        <cfvo type="min"/>
        <cfvo type="percentile" val="50"/>
        <cfvo type="max"/>
        <color rgb="FFF8696B"/>
        <color rgb="FFFFEB84"/>
        <color rgb="FF63BE7B"/>
      </colorScale>
    </cfRule>
  </conditionalFormatting>
  <conditionalFormatting sqref="F14:F21">
    <cfRule type="colorScale" priority="8762">
      <colorScale>
        <cfvo type="min"/>
        <cfvo type="percentile" val="50"/>
        <cfvo type="max"/>
        <color rgb="FFF8696B"/>
        <color rgb="FFFFEB84"/>
        <color rgb="FF63BE7B"/>
      </colorScale>
    </cfRule>
  </conditionalFormatting>
  <conditionalFormatting sqref="F14:F21">
    <cfRule type="colorScale" priority="8761">
      <colorScale>
        <cfvo type="min"/>
        <cfvo type="percentile" val="50"/>
        <cfvo type="max"/>
        <color rgb="FFF8696B"/>
        <color rgb="FFFFEB84"/>
        <color rgb="FF63BE7B"/>
      </colorScale>
    </cfRule>
  </conditionalFormatting>
  <conditionalFormatting sqref="F14:F21">
    <cfRule type="colorScale" priority="8760">
      <colorScale>
        <cfvo type="min"/>
        <cfvo type="percentile" val="50"/>
        <cfvo type="max"/>
        <color rgb="FFF8696B"/>
        <color rgb="FFFFEB84"/>
        <color rgb="FF63BE7B"/>
      </colorScale>
    </cfRule>
  </conditionalFormatting>
  <conditionalFormatting sqref="F14:F21">
    <cfRule type="colorScale" priority="8759">
      <colorScale>
        <cfvo type="min"/>
        <cfvo type="percentile" val="50"/>
        <cfvo type="max"/>
        <color rgb="FFF8696B"/>
        <color rgb="FFFFEB84"/>
        <color rgb="FF63BE7B"/>
      </colorScale>
    </cfRule>
  </conditionalFormatting>
  <conditionalFormatting sqref="F14:F21">
    <cfRule type="colorScale" priority="8758">
      <colorScale>
        <cfvo type="min"/>
        <cfvo type="percentile" val="50"/>
        <cfvo type="max"/>
        <color rgb="FFF8696B"/>
        <color rgb="FFFFEB84"/>
        <color rgb="FF63BE7B"/>
      </colorScale>
    </cfRule>
  </conditionalFormatting>
  <conditionalFormatting sqref="F14:F21">
    <cfRule type="colorScale" priority="8757">
      <colorScale>
        <cfvo type="min"/>
        <cfvo type="percentile" val="50"/>
        <cfvo type="max"/>
        <color rgb="FFF8696B"/>
        <color rgb="FFFFEB84"/>
        <color rgb="FF63BE7B"/>
      </colorScale>
    </cfRule>
  </conditionalFormatting>
  <conditionalFormatting sqref="F14:F21">
    <cfRule type="colorScale" priority="8756">
      <colorScale>
        <cfvo type="min"/>
        <cfvo type="percentile" val="50"/>
        <cfvo type="max"/>
        <color rgb="FFF8696B"/>
        <color rgb="FFFFEB84"/>
        <color rgb="FF63BE7B"/>
      </colorScale>
    </cfRule>
  </conditionalFormatting>
  <conditionalFormatting sqref="F14:F21">
    <cfRule type="colorScale" priority="8755">
      <colorScale>
        <cfvo type="min"/>
        <cfvo type="percentile" val="50"/>
        <cfvo type="max"/>
        <color rgb="FFF8696B"/>
        <color rgb="FFFFEB84"/>
        <color rgb="FF63BE7B"/>
      </colorScale>
    </cfRule>
  </conditionalFormatting>
  <conditionalFormatting sqref="F14:F21">
    <cfRule type="colorScale" priority="8754">
      <colorScale>
        <cfvo type="min"/>
        <cfvo type="percentile" val="50"/>
        <cfvo type="max"/>
        <color rgb="FFF8696B"/>
        <color rgb="FFFFEB84"/>
        <color rgb="FF63BE7B"/>
      </colorScale>
    </cfRule>
  </conditionalFormatting>
  <conditionalFormatting sqref="F14:F21">
    <cfRule type="colorScale" priority="8753">
      <colorScale>
        <cfvo type="min"/>
        <cfvo type="percentile" val="50"/>
        <cfvo type="max"/>
        <color rgb="FFF8696B"/>
        <color rgb="FFFFEB84"/>
        <color rgb="FF63BE7B"/>
      </colorScale>
    </cfRule>
  </conditionalFormatting>
  <conditionalFormatting sqref="F14:F21">
    <cfRule type="colorScale" priority="8752">
      <colorScale>
        <cfvo type="min"/>
        <cfvo type="percentile" val="50"/>
        <cfvo type="max"/>
        <color rgb="FFF8696B"/>
        <color rgb="FFFFEB84"/>
        <color rgb="FF63BE7B"/>
      </colorScale>
    </cfRule>
  </conditionalFormatting>
  <conditionalFormatting sqref="F14:F21">
    <cfRule type="colorScale" priority="8751">
      <colorScale>
        <cfvo type="min"/>
        <cfvo type="percentile" val="50"/>
        <cfvo type="max"/>
        <color rgb="FFF8696B"/>
        <color rgb="FFFFEB84"/>
        <color rgb="FF63BE7B"/>
      </colorScale>
    </cfRule>
  </conditionalFormatting>
  <conditionalFormatting sqref="F14:F21">
    <cfRule type="colorScale" priority="8750">
      <colorScale>
        <cfvo type="min"/>
        <cfvo type="percentile" val="50"/>
        <cfvo type="max"/>
        <color rgb="FFF8696B"/>
        <color rgb="FFFFEB84"/>
        <color rgb="FF63BE7B"/>
      </colorScale>
    </cfRule>
  </conditionalFormatting>
  <conditionalFormatting sqref="F14:F21">
    <cfRule type="colorScale" priority="8749">
      <colorScale>
        <cfvo type="min"/>
        <cfvo type="percentile" val="50"/>
        <cfvo type="max"/>
        <color rgb="FFF8696B"/>
        <color rgb="FFFFEB84"/>
        <color rgb="FF63BE7B"/>
      </colorScale>
    </cfRule>
  </conditionalFormatting>
  <conditionalFormatting sqref="F14:F21">
    <cfRule type="colorScale" priority="8748">
      <colorScale>
        <cfvo type="min"/>
        <cfvo type="percentile" val="50"/>
        <cfvo type="max"/>
        <color rgb="FFF8696B"/>
        <color rgb="FFFFEB84"/>
        <color rgb="FF63BE7B"/>
      </colorScale>
    </cfRule>
  </conditionalFormatting>
  <conditionalFormatting sqref="F14:F21">
    <cfRule type="colorScale" priority="8747">
      <colorScale>
        <cfvo type="min"/>
        <cfvo type="percentile" val="50"/>
        <cfvo type="max"/>
        <color rgb="FFF8696B"/>
        <color rgb="FFFFEB84"/>
        <color rgb="FF63BE7B"/>
      </colorScale>
    </cfRule>
  </conditionalFormatting>
  <conditionalFormatting sqref="F14:F21">
    <cfRule type="colorScale" priority="8746">
      <colorScale>
        <cfvo type="min"/>
        <cfvo type="percentile" val="50"/>
        <cfvo type="max"/>
        <color rgb="FFF8696B"/>
        <color rgb="FFFFEB84"/>
        <color rgb="FF63BE7B"/>
      </colorScale>
    </cfRule>
  </conditionalFormatting>
  <conditionalFormatting sqref="F14:F21">
    <cfRule type="colorScale" priority="8745">
      <colorScale>
        <cfvo type="min"/>
        <cfvo type="percentile" val="50"/>
        <cfvo type="max"/>
        <color rgb="FFF8696B"/>
        <color rgb="FFFFEB84"/>
        <color rgb="FF63BE7B"/>
      </colorScale>
    </cfRule>
  </conditionalFormatting>
  <conditionalFormatting sqref="F14:F21">
    <cfRule type="colorScale" priority="8744">
      <colorScale>
        <cfvo type="min"/>
        <cfvo type="percentile" val="50"/>
        <cfvo type="max"/>
        <color rgb="FFF8696B"/>
        <color rgb="FFFFEB84"/>
        <color rgb="FF63BE7B"/>
      </colorScale>
    </cfRule>
  </conditionalFormatting>
  <conditionalFormatting sqref="F14:F21">
    <cfRule type="colorScale" priority="8743">
      <colorScale>
        <cfvo type="min"/>
        <cfvo type="percentile" val="50"/>
        <cfvo type="max"/>
        <color rgb="FFF8696B"/>
        <color rgb="FFFFEB84"/>
        <color rgb="FF63BE7B"/>
      </colorScale>
    </cfRule>
  </conditionalFormatting>
  <conditionalFormatting sqref="F14:F21">
    <cfRule type="colorScale" priority="8742">
      <colorScale>
        <cfvo type="min"/>
        <cfvo type="percentile" val="50"/>
        <cfvo type="max"/>
        <color rgb="FFF8696B"/>
        <color rgb="FFFFEB84"/>
        <color rgb="FF63BE7B"/>
      </colorScale>
    </cfRule>
  </conditionalFormatting>
  <conditionalFormatting sqref="F14:F21">
    <cfRule type="colorScale" priority="8741">
      <colorScale>
        <cfvo type="min"/>
        <cfvo type="percentile" val="50"/>
        <cfvo type="max"/>
        <color rgb="FFF8696B"/>
        <color rgb="FFFFEB84"/>
        <color rgb="FF63BE7B"/>
      </colorScale>
    </cfRule>
  </conditionalFormatting>
  <conditionalFormatting sqref="F14:F21">
    <cfRule type="colorScale" priority="8740">
      <colorScale>
        <cfvo type="min"/>
        <cfvo type="percentile" val="50"/>
        <cfvo type="max"/>
        <color rgb="FFF8696B"/>
        <color rgb="FFFFEB84"/>
        <color rgb="FF63BE7B"/>
      </colorScale>
    </cfRule>
  </conditionalFormatting>
  <conditionalFormatting sqref="F14:F21">
    <cfRule type="colorScale" priority="8739">
      <colorScale>
        <cfvo type="min"/>
        <cfvo type="percentile" val="50"/>
        <cfvo type="max"/>
        <color rgb="FFF8696B"/>
        <color rgb="FFFFEB84"/>
        <color rgb="FF63BE7B"/>
      </colorScale>
    </cfRule>
  </conditionalFormatting>
  <conditionalFormatting sqref="F14:F21">
    <cfRule type="colorScale" priority="8738">
      <colorScale>
        <cfvo type="min"/>
        <cfvo type="percentile" val="50"/>
        <cfvo type="max"/>
        <color rgb="FFF8696B"/>
        <color rgb="FFFFEB84"/>
        <color rgb="FF63BE7B"/>
      </colorScale>
    </cfRule>
  </conditionalFormatting>
  <conditionalFormatting sqref="F14:F21">
    <cfRule type="colorScale" priority="8737">
      <colorScale>
        <cfvo type="min"/>
        <cfvo type="percentile" val="50"/>
        <cfvo type="max"/>
        <color rgb="FFF8696B"/>
        <color rgb="FFFFEB84"/>
        <color rgb="FF63BE7B"/>
      </colorScale>
    </cfRule>
  </conditionalFormatting>
  <conditionalFormatting sqref="F14:F21">
    <cfRule type="colorScale" priority="8736">
      <colorScale>
        <cfvo type="min"/>
        <cfvo type="percentile" val="50"/>
        <cfvo type="max"/>
        <color rgb="FFF8696B"/>
        <color rgb="FFFFEB84"/>
        <color rgb="FF63BE7B"/>
      </colorScale>
    </cfRule>
  </conditionalFormatting>
  <conditionalFormatting sqref="F14:F21">
    <cfRule type="colorScale" priority="8735">
      <colorScale>
        <cfvo type="min"/>
        <cfvo type="percentile" val="50"/>
        <cfvo type="max"/>
        <color rgb="FFF8696B"/>
        <color rgb="FFFFEB84"/>
        <color rgb="FF63BE7B"/>
      </colorScale>
    </cfRule>
  </conditionalFormatting>
  <conditionalFormatting sqref="F14:F21">
    <cfRule type="colorScale" priority="8734">
      <colorScale>
        <cfvo type="min"/>
        <cfvo type="percentile" val="50"/>
        <cfvo type="max"/>
        <color rgb="FFF8696B"/>
        <color rgb="FFFFEB84"/>
        <color rgb="FF63BE7B"/>
      </colorScale>
    </cfRule>
  </conditionalFormatting>
  <conditionalFormatting sqref="F14:F21">
    <cfRule type="colorScale" priority="8733">
      <colorScale>
        <cfvo type="min"/>
        <cfvo type="percentile" val="50"/>
        <cfvo type="max"/>
        <color rgb="FFF8696B"/>
        <color rgb="FFFFEB84"/>
        <color rgb="FF63BE7B"/>
      </colorScale>
    </cfRule>
  </conditionalFormatting>
  <conditionalFormatting sqref="F14:F21">
    <cfRule type="colorScale" priority="8732">
      <colorScale>
        <cfvo type="min"/>
        <cfvo type="percentile" val="50"/>
        <cfvo type="max"/>
        <color rgb="FFF8696B"/>
        <color rgb="FFFFEB84"/>
        <color rgb="FF63BE7B"/>
      </colorScale>
    </cfRule>
  </conditionalFormatting>
  <conditionalFormatting sqref="F14:F21">
    <cfRule type="colorScale" priority="8731">
      <colorScale>
        <cfvo type="min"/>
        <cfvo type="percentile" val="50"/>
        <cfvo type="max"/>
        <color rgb="FFF8696B"/>
        <color rgb="FFFFEB84"/>
        <color rgb="FF63BE7B"/>
      </colorScale>
    </cfRule>
  </conditionalFormatting>
  <conditionalFormatting sqref="F14:F21">
    <cfRule type="colorScale" priority="8730">
      <colorScale>
        <cfvo type="min"/>
        <cfvo type="percentile" val="50"/>
        <cfvo type="max"/>
        <color rgb="FFF8696B"/>
        <color rgb="FFFFEB84"/>
        <color rgb="FF63BE7B"/>
      </colorScale>
    </cfRule>
  </conditionalFormatting>
  <conditionalFormatting sqref="F14:F21">
    <cfRule type="colorScale" priority="8729">
      <colorScale>
        <cfvo type="min"/>
        <cfvo type="percentile" val="50"/>
        <cfvo type="max"/>
        <color rgb="FFF8696B"/>
        <color rgb="FFFFEB84"/>
        <color rgb="FF63BE7B"/>
      </colorScale>
    </cfRule>
  </conditionalFormatting>
  <conditionalFormatting sqref="F14:F21">
    <cfRule type="colorScale" priority="8728">
      <colorScale>
        <cfvo type="min"/>
        <cfvo type="percentile" val="50"/>
        <cfvo type="max"/>
        <color rgb="FFF8696B"/>
        <color rgb="FFFFEB84"/>
        <color rgb="FF63BE7B"/>
      </colorScale>
    </cfRule>
  </conditionalFormatting>
  <conditionalFormatting sqref="F14:F21">
    <cfRule type="colorScale" priority="8727">
      <colorScale>
        <cfvo type="min"/>
        <cfvo type="percentile" val="50"/>
        <cfvo type="max"/>
        <color rgb="FFF8696B"/>
        <color rgb="FFFFEB84"/>
        <color rgb="FF63BE7B"/>
      </colorScale>
    </cfRule>
  </conditionalFormatting>
  <conditionalFormatting sqref="F14:F21">
    <cfRule type="colorScale" priority="8726">
      <colorScale>
        <cfvo type="min"/>
        <cfvo type="percentile" val="50"/>
        <cfvo type="max"/>
        <color rgb="FFF8696B"/>
        <color rgb="FFFFEB84"/>
        <color rgb="FF63BE7B"/>
      </colorScale>
    </cfRule>
  </conditionalFormatting>
  <conditionalFormatting sqref="F14:F21">
    <cfRule type="colorScale" priority="8725">
      <colorScale>
        <cfvo type="min"/>
        <cfvo type="percentile" val="50"/>
        <cfvo type="max"/>
        <color rgb="FFF8696B"/>
        <color rgb="FFFFEB84"/>
        <color rgb="FF63BE7B"/>
      </colorScale>
    </cfRule>
  </conditionalFormatting>
  <conditionalFormatting sqref="F14:F21">
    <cfRule type="colorScale" priority="8724">
      <colorScale>
        <cfvo type="min"/>
        <cfvo type="percentile" val="50"/>
        <cfvo type="max"/>
        <color rgb="FFF8696B"/>
        <color rgb="FFFFEB84"/>
        <color rgb="FF63BE7B"/>
      </colorScale>
    </cfRule>
  </conditionalFormatting>
  <conditionalFormatting sqref="F14:F21">
    <cfRule type="colorScale" priority="8723">
      <colorScale>
        <cfvo type="min"/>
        <cfvo type="percentile" val="50"/>
        <cfvo type="max"/>
        <color rgb="FFF8696B"/>
        <color rgb="FFFFEB84"/>
        <color rgb="FF63BE7B"/>
      </colorScale>
    </cfRule>
  </conditionalFormatting>
  <conditionalFormatting sqref="F14:F21">
    <cfRule type="colorScale" priority="8722">
      <colorScale>
        <cfvo type="min"/>
        <cfvo type="percentile" val="50"/>
        <cfvo type="max"/>
        <color rgb="FFF8696B"/>
        <color rgb="FFFFEB84"/>
        <color rgb="FF63BE7B"/>
      </colorScale>
    </cfRule>
  </conditionalFormatting>
  <conditionalFormatting sqref="F14:F21">
    <cfRule type="colorScale" priority="8721">
      <colorScale>
        <cfvo type="min"/>
        <cfvo type="percentile" val="50"/>
        <cfvo type="max"/>
        <color rgb="FFF8696B"/>
        <color rgb="FFFFEB84"/>
        <color rgb="FF63BE7B"/>
      </colorScale>
    </cfRule>
  </conditionalFormatting>
  <conditionalFormatting sqref="F14:F21">
    <cfRule type="colorScale" priority="8720">
      <colorScale>
        <cfvo type="min"/>
        <cfvo type="percentile" val="50"/>
        <cfvo type="max"/>
        <color rgb="FFF8696B"/>
        <color rgb="FFFFEB84"/>
        <color rgb="FF63BE7B"/>
      </colorScale>
    </cfRule>
  </conditionalFormatting>
  <conditionalFormatting sqref="F14:F21">
    <cfRule type="colorScale" priority="8719">
      <colorScale>
        <cfvo type="min"/>
        <cfvo type="percentile" val="50"/>
        <cfvo type="max"/>
        <color rgb="FFF8696B"/>
        <color rgb="FFFFEB84"/>
        <color rgb="FF63BE7B"/>
      </colorScale>
    </cfRule>
  </conditionalFormatting>
  <conditionalFormatting sqref="F14:F21">
    <cfRule type="colorScale" priority="8718">
      <colorScale>
        <cfvo type="min"/>
        <cfvo type="percentile" val="50"/>
        <cfvo type="max"/>
        <color rgb="FFF8696B"/>
        <color rgb="FFFFEB84"/>
        <color rgb="FF63BE7B"/>
      </colorScale>
    </cfRule>
  </conditionalFormatting>
  <conditionalFormatting sqref="F14:F21">
    <cfRule type="colorScale" priority="8717">
      <colorScale>
        <cfvo type="min"/>
        <cfvo type="percentile" val="50"/>
        <cfvo type="max"/>
        <color rgb="FFF8696B"/>
        <color rgb="FFFFEB84"/>
        <color rgb="FF63BE7B"/>
      </colorScale>
    </cfRule>
  </conditionalFormatting>
  <conditionalFormatting sqref="F14:F21">
    <cfRule type="colorScale" priority="8716">
      <colorScale>
        <cfvo type="min"/>
        <cfvo type="percentile" val="50"/>
        <cfvo type="max"/>
        <color rgb="FFF8696B"/>
        <color rgb="FFFFEB84"/>
        <color rgb="FF63BE7B"/>
      </colorScale>
    </cfRule>
  </conditionalFormatting>
  <conditionalFormatting sqref="F14:F21">
    <cfRule type="colorScale" priority="8715">
      <colorScale>
        <cfvo type="min"/>
        <cfvo type="percentile" val="50"/>
        <cfvo type="max"/>
        <color rgb="FFF8696B"/>
        <color rgb="FFFFEB84"/>
        <color rgb="FF63BE7B"/>
      </colorScale>
    </cfRule>
  </conditionalFormatting>
  <conditionalFormatting sqref="F14:F21">
    <cfRule type="colorScale" priority="8714">
      <colorScale>
        <cfvo type="min"/>
        <cfvo type="percentile" val="50"/>
        <cfvo type="max"/>
        <color rgb="FFF8696B"/>
        <color rgb="FFFFEB84"/>
        <color rgb="FF63BE7B"/>
      </colorScale>
    </cfRule>
  </conditionalFormatting>
  <conditionalFormatting sqref="F14:F21">
    <cfRule type="colorScale" priority="8713">
      <colorScale>
        <cfvo type="min"/>
        <cfvo type="percentile" val="50"/>
        <cfvo type="max"/>
        <color rgb="FFF8696B"/>
        <color rgb="FFFFEB84"/>
        <color rgb="FF63BE7B"/>
      </colorScale>
    </cfRule>
  </conditionalFormatting>
  <conditionalFormatting sqref="F14:F21">
    <cfRule type="colorScale" priority="8712">
      <colorScale>
        <cfvo type="min"/>
        <cfvo type="percentile" val="50"/>
        <cfvo type="max"/>
        <color rgb="FFF8696B"/>
        <color rgb="FFFFEB84"/>
        <color rgb="FF63BE7B"/>
      </colorScale>
    </cfRule>
  </conditionalFormatting>
  <conditionalFormatting sqref="F14:F21">
    <cfRule type="colorScale" priority="8711">
      <colorScale>
        <cfvo type="min"/>
        <cfvo type="percentile" val="50"/>
        <cfvo type="max"/>
        <color rgb="FFF8696B"/>
        <color rgb="FFFFEB84"/>
        <color rgb="FF63BE7B"/>
      </colorScale>
    </cfRule>
  </conditionalFormatting>
  <conditionalFormatting sqref="F14:F21">
    <cfRule type="colorScale" priority="8710">
      <colorScale>
        <cfvo type="min"/>
        <cfvo type="percentile" val="50"/>
        <cfvo type="max"/>
        <color rgb="FFF8696B"/>
        <color rgb="FFFFEB84"/>
        <color rgb="FF63BE7B"/>
      </colorScale>
    </cfRule>
  </conditionalFormatting>
  <conditionalFormatting sqref="F14:F21">
    <cfRule type="colorScale" priority="8709">
      <colorScale>
        <cfvo type="min"/>
        <cfvo type="percentile" val="50"/>
        <cfvo type="max"/>
        <color rgb="FFF8696B"/>
        <color rgb="FFFFEB84"/>
        <color rgb="FF63BE7B"/>
      </colorScale>
    </cfRule>
  </conditionalFormatting>
  <conditionalFormatting sqref="F14:F21">
    <cfRule type="colorScale" priority="8708">
      <colorScale>
        <cfvo type="min"/>
        <cfvo type="percentile" val="50"/>
        <cfvo type="max"/>
        <color rgb="FFF8696B"/>
        <color rgb="FFFFEB84"/>
        <color rgb="FF63BE7B"/>
      </colorScale>
    </cfRule>
  </conditionalFormatting>
  <conditionalFormatting sqref="F14:F21">
    <cfRule type="colorScale" priority="8707">
      <colorScale>
        <cfvo type="min"/>
        <cfvo type="percentile" val="50"/>
        <cfvo type="max"/>
        <color rgb="FFF8696B"/>
        <color rgb="FFFFEB84"/>
        <color rgb="FF63BE7B"/>
      </colorScale>
    </cfRule>
  </conditionalFormatting>
  <conditionalFormatting sqref="F14:F21">
    <cfRule type="colorScale" priority="8706">
      <colorScale>
        <cfvo type="min"/>
        <cfvo type="percentile" val="50"/>
        <cfvo type="max"/>
        <color rgb="FFF8696B"/>
        <color rgb="FFFFEB84"/>
        <color rgb="FF63BE7B"/>
      </colorScale>
    </cfRule>
  </conditionalFormatting>
  <conditionalFormatting sqref="F14:F21">
    <cfRule type="colorScale" priority="8705">
      <colorScale>
        <cfvo type="min"/>
        <cfvo type="percentile" val="50"/>
        <cfvo type="max"/>
        <color rgb="FFF8696B"/>
        <color rgb="FFFFEB84"/>
        <color rgb="FF63BE7B"/>
      </colorScale>
    </cfRule>
  </conditionalFormatting>
  <conditionalFormatting sqref="F14:F21">
    <cfRule type="colorScale" priority="8704">
      <colorScale>
        <cfvo type="min"/>
        <cfvo type="percentile" val="50"/>
        <cfvo type="max"/>
        <color rgb="FFF8696B"/>
        <color rgb="FFFFEB84"/>
        <color rgb="FF63BE7B"/>
      </colorScale>
    </cfRule>
  </conditionalFormatting>
  <conditionalFormatting sqref="F14:F21">
    <cfRule type="colorScale" priority="8703">
      <colorScale>
        <cfvo type="min"/>
        <cfvo type="percentile" val="50"/>
        <cfvo type="max"/>
        <color rgb="FFF8696B"/>
        <color rgb="FFFFEB84"/>
        <color rgb="FF63BE7B"/>
      </colorScale>
    </cfRule>
  </conditionalFormatting>
  <conditionalFormatting sqref="F14:F21">
    <cfRule type="colorScale" priority="8702">
      <colorScale>
        <cfvo type="min"/>
        <cfvo type="percentile" val="50"/>
        <cfvo type="max"/>
        <color rgb="FFF8696B"/>
        <color rgb="FFFFEB84"/>
        <color rgb="FF63BE7B"/>
      </colorScale>
    </cfRule>
  </conditionalFormatting>
  <conditionalFormatting sqref="F14:F21">
    <cfRule type="colorScale" priority="8701">
      <colorScale>
        <cfvo type="min"/>
        <cfvo type="percentile" val="50"/>
        <cfvo type="max"/>
        <color rgb="FFF8696B"/>
        <color rgb="FFFFEB84"/>
        <color rgb="FF63BE7B"/>
      </colorScale>
    </cfRule>
  </conditionalFormatting>
  <conditionalFormatting sqref="F14:F21">
    <cfRule type="colorScale" priority="8700">
      <colorScale>
        <cfvo type="min"/>
        <cfvo type="percentile" val="50"/>
        <cfvo type="max"/>
        <color rgb="FFF8696B"/>
        <color rgb="FFFFEB84"/>
        <color rgb="FF63BE7B"/>
      </colorScale>
    </cfRule>
  </conditionalFormatting>
  <conditionalFormatting sqref="F14:F21">
    <cfRule type="colorScale" priority="8699">
      <colorScale>
        <cfvo type="min"/>
        <cfvo type="percentile" val="50"/>
        <cfvo type="max"/>
        <color rgb="FFF8696B"/>
        <color rgb="FFFFEB84"/>
        <color rgb="FF63BE7B"/>
      </colorScale>
    </cfRule>
  </conditionalFormatting>
  <conditionalFormatting sqref="F14:F21">
    <cfRule type="colorScale" priority="8698">
      <colorScale>
        <cfvo type="min"/>
        <cfvo type="percentile" val="50"/>
        <cfvo type="max"/>
        <color rgb="FFF8696B"/>
        <color rgb="FFFFEB84"/>
        <color rgb="FF63BE7B"/>
      </colorScale>
    </cfRule>
  </conditionalFormatting>
  <conditionalFormatting sqref="F14:F21">
    <cfRule type="colorScale" priority="8697">
      <colorScale>
        <cfvo type="min"/>
        <cfvo type="percentile" val="50"/>
        <cfvo type="max"/>
        <color rgb="FFF8696B"/>
        <color rgb="FFFFEB84"/>
        <color rgb="FF63BE7B"/>
      </colorScale>
    </cfRule>
  </conditionalFormatting>
  <conditionalFormatting sqref="F14:F21">
    <cfRule type="colorScale" priority="8696">
      <colorScale>
        <cfvo type="min"/>
        <cfvo type="percentile" val="50"/>
        <cfvo type="max"/>
        <color rgb="FFF8696B"/>
        <color rgb="FFFFEB84"/>
        <color rgb="FF63BE7B"/>
      </colorScale>
    </cfRule>
  </conditionalFormatting>
  <conditionalFormatting sqref="F14:F21">
    <cfRule type="colorScale" priority="8695">
      <colorScale>
        <cfvo type="min"/>
        <cfvo type="percentile" val="50"/>
        <cfvo type="max"/>
        <color rgb="FFF8696B"/>
        <color rgb="FFFFEB84"/>
        <color rgb="FF63BE7B"/>
      </colorScale>
    </cfRule>
  </conditionalFormatting>
  <conditionalFormatting sqref="F14:F21">
    <cfRule type="colorScale" priority="8694">
      <colorScale>
        <cfvo type="min"/>
        <cfvo type="percentile" val="50"/>
        <cfvo type="max"/>
        <color rgb="FFF8696B"/>
        <color rgb="FFFFEB84"/>
        <color rgb="FF63BE7B"/>
      </colorScale>
    </cfRule>
  </conditionalFormatting>
  <conditionalFormatting sqref="F14:F21">
    <cfRule type="colorScale" priority="8693">
      <colorScale>
        <cfvo type="min"/>
        <cfvo type="percentile" val="50"/>
        <cfvo type="max"/>
        <color rgb="FFF8696B"/>
        <color rgb="FFFFEB84"/>
        <color rgb="FF63BE7B"/>
      </colorScale>
    </cfRule>
  </conditionalFormatting>
  <conditionalFormatting sqref="F14:F21">
    <cfRule type="colorScale" priority="8692">
      <colorScale>
        <cfvo type="min"/>
        <cfvo type="percentile" val="50"/>
        <cfvo type="max"/>
        <color rgb="FFF8696B"/>
        <color rgb="FFFFEB84"/>
        <color rgb="FF63BE7B"/>
      </colorScale>
    </cfRule>
  </conditionalFormatting>
  <conditionalFormatting sqref="F14:F21">
    <cfRule type="colorScale" priority="8691">
      <colorScale>
        <cfvo type="min"/>
        <cfvo type="percentile" val="50"/>
        <cfvo type="max"/>
        <color rgb="FFF8696B"/>
        <color rgb="FFFFEB84"/>
        <color rgb="FF63BE7B"/>
      </colorScale>
    </cfRule>
  </conditionalFormatting>
  <conditionalFormatting sqref="F14:F21">
    <cfRule type="colorScale" priority="8690">
      <colorScale>
        <cfvo type="min"/>
        <cfvo type="percentile" val="50"/>
        <cfvo type="max"/>
        <color rgb="FFF8696B"/>
        <color rgb="FFFFEB84"/>
        <color rgb="FF63BE7B"/>
      </colorScale>
    </cfRule>
  </conditionalFormatting>
  <conditionalFormatting sqref="F14:F21">
    <cfRule type="colorScale" priority="8689">
      <colorScale>
        <cfvo type="min"/>
        <cfvo type="percentile" val="50"/>
        <cfvo type="max"/>
        <color rgb="FFF8696B"/>
        <color rgb="FFFFEB84"/>
        <color rgb="FF63BE7B"/>
      </colorScale>
    </cfRule>
  </conditionalFormatting>
  <conditionalFormatting sqref="F14:F21">
    <cfRule type="colorScale" priority="8688">
      <colorScale>
        <cfvo type="min"/>
        <cfvo type="percentile" val="50"/>
        <cfvo type="max"/>
        <color rgb="FFF8696B"/>
        <color rgb="FFFFEB84"/>
        <color rgb="FF63BE7B"/>
      </colorScale>
    </cfRule>
  </conditionalFormatting>
  <conditionalFormatting sqref="F14:F21">
    <cfRule type="colorScale" priority="8687">
      <colorScale>
        <cfvo type="min"/>
        <cfvo type="percentile" val="50"/>
        <cfvo type="max"/>
        <color rgb="FFF8696B"/>
        <color rgb="FFFFEB84"/>
        <color rgb="FF63BE7B"/>
      </colorScale>
    </cfRule>
  </conditionalFormatting>
  <conditionalFormatting sqref="F14:F21">
    <cfRule type="colorScale" priority="8686">
      <colorScale>
        <cfvo type="min"/>
        <cfvo type="percentile" val="50"/>
        <cfvo type="max"/>
        <color rgb="FFF8696B"/>
        <color rgb="FFFFEB84"/>
        <color rgb="FF63BE7B"/>
      </colorScale>
    </cfRule>
  </conditionalFormatting>
  <conditionalFormatting sqref="F14:F21">
    <cfRule type="colorScale" priority="8685">
      <colorScale>
        <cfvo type="min"/>
        <cfvo type="percentile" val="50"/>
        <cfvo type="max"/>
        <color rgb="FFF8696B"/>
        <color rgb="FFFFEB84"/>
        <color rgb="FF63BE7B"/>
      </colorScale>
    </cfRule>
  </conditionalFormatting>
  <conditionalFormatting sqref="F14:F21">
    <cfRule type="colorScale" priority="8684">
      <colorScale>
        <cfvo type="min"/>
        <cfvo type="percentile" val="50"/>
        <cfvo type="max"/>
        <color rgb="FFF8696B"/>
        <color rgb="FFFFEB84"/>
        <color rgb="FF63BE7B"/>
      </colorScale>
    </cfRule>
  </conditionalFormatting>
  <conditionalFormatting sqref="F14:F21">
    <cfRule type="colorScale" priority="8683">
      <colorScale>
        <cfvo type="min"/>
        <cfvo type="percentile" val="50"/>
        <cfvo type="max"/>
        <color rgb="FFF8696B"/>
        <color rgb="FFFFEB84"/>
        <color rgb="FF63BE7B"/>
      </colorScale>
    </cfRule>
  </conditionalFormatting>
  <conditionalFormatting sqref="F14:F21">
    <cfRule type="colorScale" priority="8682">
      <colorScale>
        <cfvo type="min"/>
        <cfvo type="percentile" val="50"/>
        <cfvo type="max"/>
        <color rgb="FFF8696B"/>
        <color rgb="FFFFEB84"/>
        <color rgb="FF63BE7B"/>
      </colorScale>
    </cfRule>
  </conditionalFormatting>
  <conditionalFormatting sqref="F22:F25">
    <cfRule type="colorScale" priority="8681">
      <colorScale>
        <cfvo type="min"/>
        <cfvo type="percentile" val="50"/>
        <cfvo type="max"/>
        <color rgb="FFF8696B"/>
        <color rgb="FFFFEB84"/>
        <color rgb="FF63BE7B"/>
      </colorScale>
    </cfRule>
  </conditionalFormatting>
  <conditionalFormatting sqref="F22:F25">
    <cfRule type="colorScale" priority="8680">
      <colorScale>
        <cfvo type="min"/>
        <cfvo type="percentile" val="50"/>
        <cfvo type="max"/>
        <color rgb="FFF8696B"/>
        <color rgb="FFFFEB84"/>
        <color rgb="FF63BE7B"/>
      </colorScale>
    </cfRule>
  </conditionalFormatting>
  <conditionalFormatting sqref="F22:F25">
    <cfRule type="colorScale" priority="8679">
      <colorScale>
        <cfvo type="min"/>
        <cfvo type="percentile" val="50"/>
        <cfvo type="max"/>
        <color rgb="FFF8696B"/>
        <color rgb="FFFFEB84"/>
        <color rgb="FF63BE7B"/>
      </colorScale>
    </cfRule>
  </conditionalFormatting>
  <conditionalFormatting sqref="F22:F25">
    <cfRule type="colorScale" priority="8678">
      <colorScale>
        <cfvo type="min"/>
        <cfvo type="percentile" val="50"/>
        <cfvo type="max"/>
        <color rgb="FFF8696B"/>
        <color rgb="FFFFEB84"/>
        <color rgb="FF63BE7B"/>
      </colorScale>
    </cfRule>
  </conditionalFormatting>
  <conditionalFormatting sqref="F22:F25">
    <cfRule type="colorScale" priority="8677">
      <colorScale>
        <cfvo type="min"/>
        <cfvo type="percentile" val="50"/>
        <cfvo type="max"/>
        <color rgb="FFF8696B"/>
        <color rgb="FFFFEB84"/>
        <color rgb="FF63BE7B"/>
      </colorScale>
    </cfRule>
  </conditionalFormatting>
  <conditionalFormatting sqref="F22:F25">
    <cfRule type="colorScale" priority="8676">
      <colorScale>
        <cfvo type="min"/>
        <cfvo type="percentile" val="50"/>
        <cfvo type="max"/>
        <color rgb="FFF8696B"/>
        <color rgb="FFFFEB84"/>
        <color rgb="FF63BE7B"/>
      </colorScale>
    </cfRule>
  </conditionalFormatting>
  <conditionalFormatting sqref="F22:F25">
    <cfRule type="colorScale" priority="8675">
      <colorScale>
        <cfvo type="min"/>
        <cfvo type="percentile" val="50"/>
        <cfvo type="max"/>
        <color rgb="FFF8696B"/>
        <color rgb="FFFFEB84"/>
        <color rgb="FF63BE7B"/>
      </colorScale>
    </cfRule>
  </conditionalFormatting>
  <conditionalFormatting sqref="F22:F25">
    <cfRule type="colorScale" priority="8674">
      <colorScale>
        <cfvo type="min"/>
        <cfvo type="percentile" val="50"/>
        <cfvo type="max"/>
        <color rgb="FFF8696B"/>
        <color rgb="FFFFEB84"/>
        <color rgb="FF63BE7B"/>
      </colorScale>
    </cfRule>
  </conditionalFormatting>
  <conditionalFormatting sqref="F22:F25">
    <cfRule type="colorScale" priority="8673">
      <colorScale>
        <cfvo type="min"/>
        <cfvo type="percentile" val="50"/>
        <cfvo type="max"/>
        <color rgb="FFF8696B"/>
        <color rgb="FFFFEB84"/>
        <color rgb="FF63BE7B"/>
      </colorScale>
    </cfRule>
  </conditionalFormatting>
  <conditionalFormatting sqref="F22:F25">
    <cfRule type="colorScale" priority="8672">
      <colorScale>
        <cfvo type="min"/>
        <cfvo type="percentile" val="50"/>
        <cfvo type="max"/>
        <color rgb="FFF8696B"/>
        <color rgb="FFFFEB84"/>
        <color rgb="FF63BE7B"/>
      </colorScale>
    </cfRule>
  </conditionalFormatting>
  <conditionalFormatting sqref="F22:F25">
    <cfRule type="colorScale" priority="8671">
      <colorScale>
        <cfvo type="min"/>
        <cfvo type="percentile" val="50"/>
        <cfvo type="max"/>
        <color rgb="FFF8696B"/>
        <color rgb="FFFFEB84"/>
        <color rgb="FF63BE7B"/>
      </colorScale>
    </cfRule>
  </conditionalFormatting>
  <conditionalFormatting sqref="F22:F25">
    <cfRule type="colorScale" priority="8670">
      <colorScale>
        <cfvo type="min"/>
        <cfvo type="percentile" val="50"/>
        <cfvo type="max"/>
        <color rgb="FFF8696B"/>
        <color rgb="FFFFEB84"/>
        <color rgb="FF63BE7B"/>
      </colorScale>
    </cfRule>
  </conditionalFormatting>
  <conditionalFormatting sqref="F22:F25">
    <cfRule type="colorScale" priority="8669">
      <colorScale>
        <cfvo type="min"/>
        <cfvo type="percentile" val="50"/>
        <cfvo type="max"/>
        <color rgb="FFF8696B"/>
        <color rgb="FFFFEB84"/>
        <color rgb="FF63BE7B"/>
      </colorScale>
    </cfRule>
  </conditionalFormatting>
  <conditionalFormatting sqref="F22:F25">
    <cfRule type="colorScale" priority="8668">
      <colorScale>
        <cfvo type="min"/>
        <cfvo type="percentile" val="50"/>
        <cfvo type="max"/>
        <color rgb="FFF8696B"/>
        <color rgb="FFFFEB84"/>
        <color rgb="FF63BE7B"/>
      </colorScale>
    </cfRule>
  </conditionalFormatting>
  <conditionalFormatting sqref="F22:F25">
    <cfRule type="colorScale" priority="8667">
      <colorScale>
        <cfvo type="min"/>
        <cfvo type="percentile" val="50"/>
        <cfvo type="max"/>
        <color rgb="FFF8696B"/>
        <color rgb="FFFFEB84"/>
        <color rgb="FF63BE7B"/>
      </colorScale>
    </cfRule>
  </conditionalFormatting>
  <conditionalFormatting sqref="F22:F25">
    <cfRule type="colorScale" priority="8666">
      <colorScale>
        <cfvo type="min"/>
        <cfvo type="percentile" val="50"/>
        <cfvo type="max"/>
        <color rgb="FFF8696B"/>
        <color rgb="FFFFEB84"/>
        <color rgb="FF63BE7B"/>
      </colorScale>
    </cfRule>
  </conditionalFormatting>
  <conditionalFormatting sqref="F22:F25">
    <cfRule type="colorScale" priority="8665">
      <colorScale>
        <cfvo type="min"/>
        <cfvo type="percentile" val="50"/>
        <cfvo type="max"/>
        <color rgb="FFF8696B"/>
        <color rgb="FFFFEB84"/>
        <color rgb="FF63BE7B"/>
      </colorScale>
    </cfRule>
  </conditionalFormatting>
  <conditionalFormatting sqref="F22:F25">
    <cfRule type="colorScale" priority="8664">
      <colorScale>
        <cfvo type="min"/>
        <cfvo type="percentile" val="50"/>
        <cfvo type="max"/>
        <color rgb="FFF8696B"/>
        <color rgb="FFFFEB84"/>
        <color rgb="FF63BE7B"/>
      </colorScale>
    </cfRule>
  </conditionalFormatting>
  <conditionalFormatting sqref="F22:F25">
    <cfRule type="colorScale" priority="8663">
      <colorScale>
        <cfvo type="min"/>
        <cfvo type="percentile" val="50"/>
        <cfvo type="max"/>
        <color rgb="FFF8696B"/>
        <color rgb="FFFFEB84"/>
        <color rgb="FF63BE7B"/>
      </colorScale>
    </cfRule>
  </conditionalFormatting>
  <conditionalFormatting sqref="F22:F25">
    <cfRule type="colorScale" priority="8662">
      <colorScale>
        <cfvo type="min"/>
        <cfvo type="percentile" val="50"/>
        <cfvo type="max"/>
        <color rgb="FFF8696B"/>
        <color rgb="FFFFEB84"/>
        <color rgb="FF63BE7B"/>
      </colorScale>
    </cfRule>
  </conditionalFormatting>
  <conditionalFormatting sqref="F22:F25">
    <cfRule type="colorScale" priority="8661">
      <colorScale>
        <cfvo type="min"/>
        <cfvo type="percentile" val="50"/>
        <cfvo type="max"/>
        <color rgb="FFF8696B"/>
        <color rgb="FFFFEB84"/>
        <color rgb="FF63BE7B"/>
      </colorScale>
    </cfRule>
  </conditionalFormatting>
  <conditionalFormatting sqref="F22:F25">
    <cfRule type="colorScale" priority="8660">
      <colorScale>
        <cfvo type="min"/>
        <cfvo type="percentile" val="50"/>
        <cfvo type="max"/>
        <color rgb="FFF8696B"/>
        <color rgb="FFFFEB84"/>
        <color rgb="FF63BE7B"/>
      </colorScale>
    </cfRule>
  </conditionalFormatting>
  <conditionalFormatting sqref="F22:F25">
    <cfRule type="colorScale" priority="8659">
      <colorScale>
        <cfvo type="min"/>
        <cfvo type="percentile" val="50"/>
        <cfvo type="max"/>
        <color rgb="FFF8696B"/>
        <color rgb="FFFFEB84"/>
        <color rgb="FF63BE7B"/>
      </colorScale>
    </cfRule>
  </conditionalFormatting>
  <conditionalFormatting sqref="F22:F25">
    <cfRule type="colorScale" priority="8658">
      <colorScale>
        <cfvo type="min"/>
        <cfvo type="percentile" val="50"/>
        <cfvo type="max"/>
        <color rgb="FFF8696B"/>
        <color rgb="FFFFEB84"/>
        <color rgb="FF63BE7B"/>
      </colorScale>
    </cfRule>
  </conditionalFormatting>
  <conditionalFormatting sqref="F22:F25">
    <cfRule type="colorScale" priority="8657">
      <colorScale>
        <cfvo type="min"/>
        <cfvo type="percentile" val="50"/>
        <cfvo type="max"/>
        <color rgb="FFF8696B"/>
        <color rgb="FFFFEB84"/>
        <color rgb="FF63BE7B"/>
      </colorScale>
    </cfRule>
  </conditionalFormatting>
  <conditionalFormatting sqref="F22:F25">
    <cfRule type="colorScale" priority="8656">
      <colorScale>
        <cfvo type="min"/>
        <cfvo type="percentile" val="50"/>
        <cfvo type="max"/>
        <color rgb="FFF8696B"/>
        <color rgb="FFFFEB84"/>
        <color rgb="FF63BE7B"/>
      </colorScale>
    </cfRule>
  </conditionalFormatting>
  <conditionalFormatting sqref="F22:F25">
    <cfRule type="colorScale" priority="8655">
      <colorScale>
        <cfvo type="min"/>
        <cfvo type="percentile" val="50"/>
        <cfvo type="max"/>
        <color rgb="FFF8696B"/>
        <color rgb="FFFFEB84"/>
        <color rgb="FF63BE7B"/>
      </colorScale>
    </cfRule>
  </conditionalFormatting>
  <conditionalFormatting sqref="F22:F25">
    <cfRule type="colorScale" priority="8654">
      <colorScale>
        <cfvo type="min"/>
        <cfvo type="percentile" val="50"/>
        <cfvo type="max"/>
        <color rgb="FFF8696B"/>
        <color rgb="FFFFEB84"/>
        <color rgb="FF63BE7B"/>
      </colorScale>
    </cfRule>
  </conditionalFormatting>
  <conditionalFormatting sqref="F22:F25">
    <cfRule type="colorScale" priority="8653">
      <colorScale>
        <cfvo type="min"/>
        <cfvo type="percentile" val="50"/>
        <cfvo type="max"/>
        <color rgb="FFF8696B"/>
        <color rgb="FFFFEB84"/>
        <color rgb="FF63BE7B"/>
      </colorScale>
    </cfRule>
  </conditionalFormatting>
  <conditionalFormatting sqref="F22:F25">
    <cfRule type="colorScale" priority="8652">
      <colorScale>
        <cfvo type="min"/>
        <cfvo type="percentile" val="50"/>
        <cfvo type="max"/>
        <color rgb="FFF8696B"/>
        <color rgb="FFFFEB84"/>
        <color rgb="FF63BE7B"/>
      </colorScale>
    </cfRule>
  </conditionalFormatting>
  <conditionalFormatting sqref="F22:F25">
    <cfRule type="colorScale" priority="8651">
      <colorScale>
        <cfvo type="min"/>
        <cfvo type="percentile" val="50"/>
        <cfvo type="max"/>
        <color rgb="FFF8696B"/>
        <color rgb="FFFFEB84"/>
        <color rgb="FF63BE7B"/>
      </colorScale>
    </cfRule>
  </conditionalFormatting>
  <conditionalFormatting sqref="F22:F25">
    <cfRule type="colorScale" priority="8650">
      <colorScale>
        <cfvo type="min"/>
        <cfvo type="percentile" val="50"/>
        <cfvo type="max"/>
        <color rgb="FFF8696B"/>
        <color rgb="FFFFEB84"/>
        <color rgb="FF63BE7B"/>
      </colorScale>
    </cfRule>
  </conditionalFormatting>
  <conditionalFormatting sqref="F22:F25">
    <cfRule type="colorScale" priority="8649">
      <colorScale>
        <cfvo type="min"/>
        <cfvo type="percentile" val="50"/>
        <cfvo type="max"/>
        <color rgb="FFF8696B"/>
        <color rgb="FFFFEB84"/>
        <color rgb="FF63BE7B"/>
      </colorScale>
    </cfRule>
  </conditionalFormatting>
  <conditionalFormatting sqref="F22:F25">
    <cfRule type="colorScale" priority="8648">
      <colorScale>
        <cfvo type="min"/>
        <cfvo type="percentile" val="50"/>
        <cfvo type="max"/>
        <color rgb="FFF8696B"/>
        <color rgb="FFFFEB84"/>
        <color rgb="FF63BE7B"/>
      </colorScale>
    </cfRule>
  </conditionalFormatting>
  <conditionalFormatting sqref="F22:F25">
    <cfRule type="colorScale" priority="8647">
      <colorScale>
        <cfvo type="min"/>
        <cfvo type="percentile" val="50"/>
        <cfvo type="max"/>
        <color rgb="FFF8696B"/>
        <color rgb="FFFFEB84"/>
        <color rgb="FF63BE7B"/>
      </colorScale>
    </cfRule>
  </conditionalFormatting>
  <conditionalFormatting sqref="F22:F25">
    <cfRule type="colorScale" priority="8646">
      <colorScale>
        <cfvo type="min"/>
        <cfvo type="percentile" val="50"/>
        <cfvo type="max"/>
        <color rgb="FFF8696B"/>
        <color rgb="FFFFEB84"/>
        <color rgb="FF63BE7B"/>
      </colorScale>
    </cfRule>
  </conditionalFormatting>
  <conditionalFormatting sqref="F22:F25">
    <cfRule type="colorScale" priority="8645">
      <colorScale>
        <cfvo type="min"/>
        <cfvo type="percentile" val="50"/>
        <cfvo type="max"/>
        <color rgb="FFF8696B"/>
        <color rgb="FFFFEB84"/>
        <color rgb="FF63BE7B"/>
      </colorScale>
    </cfRule>
  </conditionalFormatting>
  <conditionalFormatting sqref="F22:F25">
    <cfRule type="colorScale" priority="8644">
      <colorScale>
        <cfvo type="min"/>
        <cfvo type="percentile" val="50"/>
        <cfvo type="max"/>
        <color rgb="FFF8696B"/>
        <color rgb="FFFFEB84"/>
        <color rgb="FF63BE7B"/>
      </colorScale>
    </cfRule>
  </conditionalFormatting>
  <conditionalFormatting sqref="F22:F25">
    <cfRule type="colorScale" priority="8643">
      <colorScale>
        <cfvo type="min"/>
        <cfvo type="percentile" val="50"/>
        <cfvo type="max"/>
        <color rgb="FFF8696B"/>
        <color rgb="FFFFEB84"/>
        <color rgb="FF63BE7B"/>
      </colorScale>
    </cfRule>
  </conditionalFormatting>
  <conditionalFormatting sqref="F22:F25">
    <cfRule type="colorScale" priority="8642">
      <colorScale>
        <cfvo type="min"/>
        <cfvo type="percentile" val="50"/>
        <cfvo type="max"/>
        <color rgb="FFF8696B"/>
        <color rgb="FFFFEB84"/>
        <color rgb="FF63BE7B"/>
      </colorScale>
    </cfRule>
  </conditionalFormatting>
  <conditionalFormatting sqref="F22:F25">
    <cfRule type="colorScale" priority="8641">
      <colorScale>
        <cfvo type="min"/>
        <cfvo type="percentile" val="50"/>
        <cfvo type="max"/>
        <color rgb="FFF8696B"/>
        <color rgb="FFFFEB84"/>
        <color rgb="FF63BE7B"/>
      </colorScale>
    </cfRule>
  </conditionalFormatting>
  <conditionalFormatting sqref="F22:F25">
    <cfRule type="colorScale" priority="8640">
      <colorScale>
        <cfvo type="min"/>
        <cfvo type="percentile" val="50"/>
        <cfvo type="max"/>
        <color rgb="FFF8696B"/>
        <color rgb="FFFFEB84"/>
        <color rgb="FF63BE7B"/>
      </colorScale>
    </cfRule>
  </conditionalFormatting>
  <conditionalFormatting sqref="F22:F25">
    <cfRule type="colorScale" priority="8639">
      <colorScale>
        <cfvo type="min"/>
        <cfvo type="percentile" val="50"/>
        <cfvo type="max"/>
        <color rgb="FFF8696B"/>
        <color rgb="FFFFEB84"/>
        <color rgb="FF63BE7B"/>
      </colorScale>
    </cfRule>
  </conditionalFormatting>
  <conditionalFormatting sqref="F22:F25">
    <cfRule type="colorScale" priority="8638">
      <colorScale>
        <cfvo type="min"/>
        <cfvo type="percentile" val="50"/>
        <cfvo type="max"/>
        <color rgb="FFF8696B"/>
        <color rgb="FFFFEB84"/>
        <color rgb="FF63BE7B"/>
      </colorScale>
    </cfRule>
  </conditionalFormatting>
  <conditionalFormatting sqref="F22:F25">
    <cfRule type="colorScale" priority="8637">
      <colorScale>
        <cfvo type="min"/>
        <cfvo type="percentile" val="50"/>
        <cfvo type="max"/>
        <color rgb="FFF8696B"/>
        <color rgb="FFFFEB84"/>
        <color rgb="FF63BE7B"/>
      </colorScale>
    </cfRule>
  </conditionalFormatting>
  <conditionalFormatting sqref="F22:F25">
    <cfRule type="colorScale" priority="8636">
      <colorScale>
        <cfvo type="min"/>
        <cfvo type="percentile" val="50"/>
        <cfvo type="max"/>
        <color rgb="FFF8696B"/>
        <color rgb="FFFFEB84"/>
        <color rgb="FF63BE7B"/>
      </colorScale>
    </cfRule>
  </conditionalFormatting>
  <conditionalFormatting sqref="F22:F25">
    <cfRule type="colorScale" priority="8635">
      <colorScale>
        <cfvo type="min"/>
        <cfvo type="percentile" val="50"/>
        <cfvo type="max"/>
        <color rgb="FFF8696B"/>
        <color rgb="FFFFEB84"/>
        <color rgb="FF63BE7B"/>
      </colorScale>
    </cfRule>
  </conditionalFormatting>
  <conditionalFormatting sqref="F22:F25">
    <cfRule type="colorScale" priority="8634">
      <colorScale>
        <cfvo type="min"/>
        <cfvo type="percentile" val="50"/>
        <cfvo type="max"/>
        <color rgb="FFF8696B"/>
        <color rgb="FFFFEB84"/>
        <color rgb="FF63BE7B"/>
      </colorScale>
    </cfRule>
  </conditionalFormatting>
  <conditionalFormatting sqref="F22:F25">
    <cfRule type="colorScale" priority="8633">
      <colorScale>
        <cfvo type="min"/>
        <cfvo type="percentile" val="50"/>
        <cfvo type="max"/>
        <color rgb="FFF8696B"/>
        <color rgb="FFFFEB84"/>
        <color rgb="FF63BE7B"/>
      </colorScale>
    </cfRule>
  </conditionalFormatting>
  <conditionalFormatting sqref="F22:F25">
    <cfRule type="colorScale" priority="8632">
      <colorScale>
        <cfvo type="min"/>
        <cfvo type="percentile" val="50"/>
        <cfvo type="max"/>
        <color rgb="FFF8696B"/>
        <color rgb="FFFFEB84"/>
        <color rgb="FF63BE7B"/>
      </colorScale>
    </cfRule>
  </conditionalFormatting>
  <conditionalFormatting sqref="F22:F25">
    <cfRule type="colorScale" priority="8631">
      <colorScale>
        <cfvo type="min"/>
        <cfvo type="percentile" val="50"/>
        <cfvo type="max"/>
        <color rgb="FFF8696B"/>
        <color rgb="FFFFEB84"/>
        <color rgb="FF63BE7B"/>
      </colorScale>
    </cfRule>
  </conditionalFormatting>
  <conditionalFormatting sqref="F22:F25">
    <cfRule type="colorScale" priority="8630">
      <colorScale>
        <cfvo type="min"/>
        <cfvo type="percentile" val="50"/>
        <cfvo type="max"/>
        <color rgb="FFF8696B"/>
        <color rgb="FFFFEB84"/>
        <color rgb="FF63BE7B"/>
      </colorScale>
    </cfRule>
  </conditionalFormatting>
  <conditionalFormatting sqref="F22:F25">
    <cfRule type="colorScale" priority="8629">
      <colorScale>
        <cfvo type="min"/>
        <cfvo type="percentile" val="50"/>
        <cfvo type="max"/>
        <color rgb="FFF8696B"/>
        <color rgb="FFFFEB84"/>
        <color rgb="FF63BE7B"/>
      </colorScale>
    </cfRule>
  </conditionalFormatting>
  <conditionalFormatting sqref="F22:F25">
    <cfRule type="colorScale" priority="8628">
      <colorScale>
        <cfvo type="min"/>
        <cfvo type="percentile" val="50"/>
        <cfvo type="max"/>
        <color rgb="FFF8696B"/>
        <color rgb="FFFFEB84"/>
        <color rgb="FF63BE7B"/>
      </colorScale>
    </cfRule>
  </conditionalFormatting>
  <conditionalFormatting sqref="F22:F25">
    <cfRule type="colorScale" priority="8627">
      <colorScale>
        <cfvo type="min"/>
        <cfvo type="percentile" val="50"/>
        <cfvo type="max"/>
        <color rgb="FFF8696B"/>
        <color rgb="FFFFEB84"/>
        <color rgb="FF63BE7B"/>
      </colorScale>
    </cfRule>
  </conditionalFormatting>
  <conditionalFormatting sqref="F22:F25">
    <cfRule type="colorScale" priority="8626">
      <colorScale>
        <cfvo type="min"/>
        <cfvo type="percentile" val="50"/>
        <cfvo type="max"/>
        <color rgb="FFF8696B"/>
        <color rgb="FFFFEB84"/>
        <color rgb="FF63BE7B"/>
      </colorScale>
    </cfRule>
  </conditionalFormatting>
  <conditionalFormatting sqref="F22:F25">
    <cfRule type="colorScale" priority="8625">
      <colorScale>
        <cfvo type="min"/>
        <cfvo type="percentile" val="50"/>
        <cfvo type="max"/>
        <color rgb="FFF8696B"/>
        <color rgb="FFFFEB84"/>
        <color rgb="FF63BE7B"/>
      </colorScale>
    </cfRule>
  </conditionalFormatting>
  <conditionalFormatting sqref="F22:F25">
    <cfRule type="colorScale" priority="8624">
      <colorScale>
        <cfvo type="min"/>
        <cfvo type="percentile" val="50"/>
        <cfvo type="max"/>
        <color rgb="FFF8696B"/>
        <color rgb="FFFFEB84"/>
        <color rgb="FF63BE7B"/>
      </colorScale>
    </cfRule>
  </conditionalFormatting>
  <conditionalFormatting sqref="F22:F25">
    <cfRule type="colorScale" priority="8623">
      <colorScale>
        <cfvo type="min"/>
        <cfvo type="percentile" val="50"/>
        <cfvo type="max"/>
        <color rgb="FFF8696B"/>
        <color rgb="FFFFEB84"/>
        <color rgb="FF63BE7B"/>
      </colorScale>
    </cfRule>
  </conditionalFormatting>
  <conditionalFormatting sqref="F22:F25">
    <cfRule type="colorScale" priority="8622">
      <colorScale>
        <cfvo type="min"/>
        <cfvo type="percentile" val="50"/>
        <cfvo type="max"/>
        <color rgb="FFF8696B"/>
        <color rgb="FFFFEB84"/>
        <color rgb="FF63BE7B"/>
      </colorScale>
    </cfRule>
  </conditionalFormatting>
  <conditionalFormatting sqref="F22:F25">
    <cfRule type="colorScale" priority="8621">
      <colorScale>
        <cfvo type="min"/>
        <cfvo type="percentile" val="50"/>
        <cfvo type="max"/>
        <color rgb="FFF8696B"/>
        <color rgb="FFFFEB84"/>
        <color rgb="FF63BE7B"/>
      </colorScale>
    </cfRule>
  </conditionalFormatting>
  <conditionalFormatting sqref="F22:F25">
    <cfRule type="colorScale" priority="8620">
      <colorScale>
        <cfvo type="min"/>
        <cfvo type="percentile" val="50"/>
        <cfvo type="max"/>
        <color rgb="FFF8696B"/>
        <color rgb="FFFFEB84"/>
        <color rgb="FF63BE7B"/>
      </colorScale>
    </cfRule>
  </conditionalFormatting>
  <conditionalFormatting sqref="F22:F25">
    <cfRule type="colorScale" priority="8619">
      <colorScale>
        <cfvo type="min"/>
        <cfvo type="percentile" val="50"/>
        <cfvo type="max"/>
        <color rgb="FFF8696B"/>
        <color rgb="FFFFEB84"/>
        <color rgb="FF63BE7B"/>
      </colorScale>
    </cfRule>
  </conditionalFormatting>
  <conditionalFormatting sqref="F22:F25">
    <cfRule type="colorScale" priority="8618">
      <colorScale>
        <cfvo type="min"/>
        <cfvo type="percentile" val="50"/>
        <cfvo type="max"/>
        <color rgb="FFF8696B"/>
        <color rgb="FFFFEB84"/>
        <color rgb="FF63BE7B"/>
      </colorScale>
    </cfRule>
  </conditionalFormatting>
  <conditionalFormatting sqref="F22:F25">
    <cfRule type="colorScale" priority="8617">
      <colorScale>
        <cfvo type="min"/>
        <cfvo type="percentile" val="50"/>
        <cfvo type="max"/>
        <color rgb="FFF8696B"/>
        <color rgb="FFFFEB84"/>
        <color rgb="FF63BE7B"/>
      </colorScale>
    </cfRule>
  </conditionalFormatting>
  <conditionalFormatting sqref="F22:F25">
    <cfRule type="colorScale" priority="8616">
      <colorScale>
        <cfvo type="min"/>
        <cfvo type="percentile" val="50"/>
        <cfvo type="max"/>
        <color rgb="FFF8696B"/>
        <color rgb="FFFFEB84"/>
        <color rgb="FF63BE7B"/>
      </colorScale>
    </cfRule>
  </conditionalFormatting>
  <conditionalFormatting sqref="F22:F25">
    <cfRule type="colorScale" priority="8615">
      <colorScale>
        <cfvo type="min"/>
        <cfvo type="percentile" val="50"/>
        <cfvo type="max"/>
        <color rgb="FFF8696B"/>
        <color rgb="FFFFEB84"/>
        <color rgb="FF63BE7B"/>
      </colorScale>
    </cfRule>
  </conditionalFormatting>
  <conditionalFormatting sqref="F22:F25">
    <cfRule type="colorScale" priority="8614">
      <colorScale>
        <cfvo type="min"/>
        <cfvo type="percentile" val="50"/>
        <cfvo type="max"/>
        <color rgb="FFF8696B"/>
        <color rgb="FFFFEB84"/>
        <color rgb="FF63BE7B"/>
      </colorScale>
    </cfRule>
  </conditionalFormatting>
  <conditionalFormatting sqref="F22:F25">
    <cfRule type="colorScale" priority="8613">
      <colorScale>
        <cfvo type="min"/>
        <cfvo type="percentile" val="50"/>
        <cfvo type="max"/>
        <color rgb="FFF8696B"/>
        <color rgb="FFFFEB84"/>
        <color rgb="FF63BE7B"/>
      </colorScale>
    </cfRule>
  </conditionalFormatting>
  <conditionalFormatting sqref="F22:F25">
    <cfRule type="colorScale" priority="8612">
      <colorScale>
        <cfvo type="min"/>
        <cfvo type="percentile" val="50"/>
        <cfvo type="max"/>
        <color rgb="FFF8696B"/>
        <color rgb="FFFFEB84"/>
        <color rgb="FF63BE7B"/>
      </colorScale>
    </cfRule>
  </conditionalFormatting>
  <conditionalFormatting sqref="F22:F25">
    <cfRule type="colorScale" priority="8611">
      <colorScale>
        <cfvo type="min"/>
        <cfvo type="percentile" val="50"/>
        <cfvo type="max"/>
        <color rgb="FFF8696B"/>
        <color rgb="FFFFEB84"/>
        <color rgb="FF63BE7B"/>
      </colorScale>
    </cfRule>
  </conditionalFormatting>
  <conditionalFormatting sqref="F22:F25">
    <cfRule type="colorScale" priority="8610">
      <colorScale>
        <cfvo type="min"/>
        <cfvo type="percentile" val="50"/>
        <cfvo type="max"/>
        <color rgb="FFF8696B"/>
        <color rgb="FFFFEB84"/>
        <color rgb="FF63BE7B"/>
      </colorScale>
    </cfRule>
  </conditionalFormatting>
  <conditionalFormatting sqref="F22:F25">
    <cfRule type="colorScale" priority="8609">
      <colorScale>
        <cfvo type="min"/>
        <cfvo type="percentile" val="50"/>
        <cfvo type="max"/>
        <color rgb="FFF8696B"/>
        <color rgb="FFFFEB84"/>
        <color rgb="FF63BE7B"/>
      </colorScale>
    </cfRule>
  </conditionalFormatting>
  <conditionalFormatting sqref="F22:F25">
    <cfRule type="colorScale" priority="8608">
      <colorScale>
        <cfvo type="min"/>
        <cfvo type="percentile" val="50"/>
        <cfvo type="max"/>
        <color rgb="FFF8696B"/>
        <color rgb="FFFFEB84"/>
        <color rgb="FF63BE7B"/>
      </colorScale>
    </cfRule>
  </conditionalFormatting>
  <conditionalFormatting sqref="F22:F25">
    <cfRule type="colorScale" priority="8607">
      <colorScale>
        <cfvo type="min"/>
        <cfvo type="percentile" val="50"/>
        <cfvo type="max"/>
        <color rgb="FFF8696B"/>
        <color rgb="FFFFEB84"/>
        <color rgb="FF63BE7B"/>
      </colorScale>
    </cfRule>
  </conditionalFormatting>
  <conditionalFormatting sqref="F22:F25">
    <cfRule type="colorScale" priority="8606">
      <colorScale>
        <cfvo type="min"/>
        <cfvo type="percentile" val="50"/>
        <cfvo type="max"/>
        <color rgb="FFF8696B"/>
        <color rgb="FFFFEB84"/>
        <color rgb="FF63BE7B"/>
      </colorScale>
    </cfRule>
  </conditionalFormatting>
  <conditionalFormatting sqref="F22:F25">
    <cfRule type="colorScale" priority="8605">
      <colorScale>
        <cfvo type="min"/>
        <cfvo type="percentile" val="50"/>
        <cfvo type="max"/>
        <color rgb="FFF8696B"/>
        <color rgb="FFFFEB84"/>
        <color rgb="FF63BE7B"/>
      </colorScale>
    </cfRule>
  </conditionalFormatting>
  <conditionalFormatting sqref="F22:F25">
    <cfRule type="colorScale" priority="8604">
      <colorScale>
        <cfvo type="min"/>
        <cfvo type="percentile" val="50"/>
        <cfvo type="max"/>
        <color rgb="FFF8696B"/>
        <color rgb="FFFFEB84"/>
        <color rgb="FF63BE7B"/>
      </colorScale>
    </cfRule>
  </conditionalFormatting>
  <conditionalFormatting sqref="F22:F25">
    <cfRule type="colorScale" priority="8603">
      <colorScale>
        <cfvo type="min"/>
        <cfvo type="percentile" val="50"/>
        <cfvo type="max"/>
        <color rgb="FFF8696B"/>
        <color rgb="FFFFEB84"/>
        <color rgb="FF63BE7B"/>
      </colorScale>
    </cfRule>
  </conditionalFormatting>
  <conditionalFormatting sqref="F22:F25">
    <cfRule type="colorScale" priority="8602">
      <colorScale>
        <cfvo type="min"/>
        <cfvo type="percentile" val="50"/>
        <cfvo type="max"/>
        <color rgb="FFF8696B"/>
        <color rgb="FFFFEB84"/>
        <color rgb="FF63BE7B"/>
      </colorScale>
    </cfRule>
  </conditionalFormatting>
  <conditionalFormatting sqref="F22:F25">
    <cfRule type="colorScale" priority="8601">
      <colorScale>
        <cfvo type="min"/>
        <cfvo type="percentile" val="50"/>
        <cfvo type="max"/>
        <color rgb="FFF8696B"/>
        <color rgb="FFFFEB84"/>
        <color rgb="FF63BE7B"/>
      </colorScale>
    </cfRule>
  </conditionalFormatting>
  <conditionalFormatting sqref="F22:F25">
    <cfRule type="colorScale" priority="8600">
      <colorScale>
        <cfvo type="min"/>
        <cfvo type="percentile" val="50"/>
        <cfvo type="max"/>
        <color rgb="FFF8696B"/>
        <color rgb="FFFFEB84"/>
        <color rgb="FF63BE7B"/>
      </colorScale>
    </cfRule>
  </conditionalFormatting>
  <conditionalFormatting sqref="F22:F25">
    <cfRule type="colorScale" priority="8599">
      <colorScale>
        <cfvo type="min"/>
        <cfvo type="percentile" val="50"/>
        <cfvo type="max"/>
        <color rgb="FFF8696B"/>
        <color rgb="FFFFEB84"/>
        <color rgb="FF63BE7B"/>
      </colorScale>
    </cfRule>
  </conditionalFormatting>
  <conditionalFormatting sqref="F22:F25">
    <cfRule type="colorScale" priority="8598">
      <colorScale>
        <cfvo type="min"/>
        <cfvo type="percentile" val="50"/>
        <cfvo type="max"/>
        <color rgb="FFF8696B"/>
        <color rgb="FFFFEB84"/>
        <color rgb="FF63BE7B"/>
      </colorScale>
    </cfRule>
  </conditionalFormatting>
  <conditionalFormatting sqref="F22:F25">
    <cfRule type="colorScale" priority="8597">
      <colorScale>
        <cfvo type="min"/>
        <cfvo type="percentile" val="50"/>
        <cfvo type="max"/>
        <color rgb="FFF8696B"/>
        <color rgb="FFFFEB84"/>
        <color rgb="FF63BE7B"/>
      </colorScale>
    </cfRule>
  </conditionalFormatting>
  <conditionalFormatting sqref="F22:F25">
    <cfRule type="colorScale" priority="8596">
      <colorScale>
        <cfvo type="min"/>
        <cfvo type="percentile" val="50"/>
        <cfvo type="max"/>
        <color rgb="FFF8696B"/>
        <color rgb="FFFFEB84"/>
        <color rgb="FF63BE7B"/>
      </colorScale>
    </cfRule>
  </conditionalFormatting>
  <conditionalFormatting sqref="F22:F25">
    <cfRule type="colorScale" priority="8595">
      <colorScale>
        <cfvo type="min"/>
        <cfvo type="percentile" val="50"/>
        <cfvo type="max"/>
        <color rgb="FFF8696B"/>
        <color rgb="FFFFEB84"/>
        <color rgb="FF63BE7B"/>
      </colorScale>
    </cfRule>
  </conditionalFormatting>
  <conditionalFormatting sqref="F22:F25">
    <cfRule type="colorScale" priority="8594">
      <colorScale>
        <cfvo type="min"/>
        <cfvo type="percentile" val="50"/>
        <cfvo type="max"/>
        <color rgb="FFF8696B"/>
        <color rgb="FFFFEB84"/>
        <color rgb="FF63BE7B"/>
      </colorScale>
    </cfRule>
  </conditionalFormatting>
  <conditionalFormatting sqref="F22:F25">
    <cfRule type="colorScale" priority="8593">
      <colorScale>
        <cfvo type="min"/>
        <cfvo type="percentile" val="50"/>
        <cfvo type="max"/>
        <color rgb="FFF8696B"/>
        <color rgb="FFFFEB84"/>
        <color rgb="FF63BE7B"/>
      </colorScale>
    </cfRule>
  </conditionalFormatting>
  <conditionalFormatting sqref="F22:F25">
    <cfRule type="colorScale" priority="8592">
      <colorScale>
        <cfvo type="min"/>
        <cfvo type="percentile" val="50"/>
        <cfvo type="max"/>
        <color rgb="FFF8696B"/>
        <color rgb="FFFFEB84"/>
        <color rgb="FF63BE7B"/>
      </colorScale>
    </cfRule>
  </conditionalFormatting>
  <conditionalFormatting sqref="F22:F25">
    <cfRule type="colorScale" priority="8591">
      <colorScale>
        <cfvo type="min"/>
        <cfvo type="percentile" val="50"/>
        <cfvo type="max"/>
        <color rgb="FFF8696B"/>
        <color rgb="FFFFEB84"/>
        <color rgb="FF63BE7B"/>
      </colorScale>
    </cfRule>
  </conditionalFormatting>
  <conditionalFormatting sqref="F22:F25">
    <cfRule type="colorScale" priority="8590">
      <colorScale>
        <cfvo type="min"/>
        <cfvo type="percentile" val="50"/>
        <cfvo type="max"/>
        <color rgb="FFF8696B"/>
        <color rgb="FFFFEB84"/>
        <color rgb="FF63BE7B"/>
      </colorScale>
    </cfRule>
  </conditionalFormatting>
  <conditionalFormatting sqref="F22:F25">
    <cfRule type="colorScale" priority="8589">
      <colorScale>
        <cfvo type="min"/>
        <cfvo type="percentile" val="50"/>
        <cfvo type="max"/>
        <color rgb="FFF8696B"/>
        <color rgb="FFFFEB84"/>
        <color rgb="FF63BE7B"/>
      </colorScale>
    </cfRule>
  </conditionalFormatting>
  <conditionalFormatting sqref="F22:F25">
    <cfRule type="colorScale" priority="8588">
      <colorScale>
        <cfvo type="min"/>
        <cfvo type="percentile" val="50"/>
        <cfvo type="max"/>
        <color rgb="FFF8696B"/>
        <color rgb="FFFFEB84"/>
        <color rgb="FF63BE7B"/>
      </colorScale>
    </cfRule>
  </conditionalFormatting>
  <conditionalFormatting sqref="F22:F25">
    <cfRule type="colorScale" priority="8587">
      <colorScale>
        <cfvo type="min"/>
        <cfvo type="percentile" val="50"/>
        <cfvo type="max"/>
        <color rgb="FFF8696B"/>
        <color rgb="FFFFEB84"/>
        <color rgb="FF63BE7B"/>
      </colorScale>
    </cfRule>
  </conditionalFormatting>
  <conditionalFormatting sqref="F22:F25">
    <cfRule type="colorScale" priority="8586">
      <colorScale>
        <cfvo type="min"/>
        <cfvo type="percentile" val="50"/>
        <cfvo type="max"/>
        <color rgb="FFF8696B"/>
        <color rgb="FFFFEB84"/>
        <color rgb="FF63BE7B"/>
      </colorScale>
    </cfRule>
  </conditionalFormatting>
  <conditionalFormatting sqref="F22:F25">
    <cfRule type="colorScale" priority="8585">
      <colorScale>
        <cfvo type="min"/>
        <cfvo type="percentile" val="50"/>
        <cfvo type="max"/>
        <color rgb="FFF8696B"/>
        <color rgb="FFFFEB84"/>
        <color rgb="FF63BE7B"/>
      </colorScale>
    </cfRule>
  </conditionalFormatting>
  <conditionalFormatting sqref="F22:F25">
    <cfRule type="colorScale" priority="8584">
      <colorScale>
        <cfvo type="min"/>
        <cfvo type="percentile" val="50"/>
        <cfvo type="max"/>
        <color rgb="FFF8696B"/>
        <color rgb="FFFFEB84"/>
        <color rgb="FF63BE7B"/>
      </colorScale>
    </cfRule>
  </conditionalFormatting>
  <conditionalFormatting sqref="F22:F25">
    <cfRule type="colorScale" priority="8583">
      <colorScale>
        <cfvo type="min"/>
        <cfvo type="percentile" val="50"/>
        <cfvo type="max"/>
        <color rgb="FFF8696B"/>
        <color rgb="FFFFEB84"/>
        <color rgb="FF63BE7B"/>
      </colorScale>
    </cfRule>
  </conditionalFormatting>
  <conditionalFormatting sqref="F22:F25">
    <cfRule type="colorScale" priority="8582">
      <colorScale>
        <cfvo type="min"/>
        <cfvo type="percentile" val="50"/>
        <cfvo type="max"/>
        <color rgb="FFF8696B"/>
        <color rgb="FFFFEB84"/>
        <color rgb="FF63BE7B"/>
      </colorScale>
    </cfRule>
  </conditionalFormatting>
  <conditionalFormatting sqref="F22:F25">
    <cfRule type="colorScale" priority="8581">
      <colorScale>
        <cfvo type="min"/>
        <cfvo type="percentile" val="50"/>
        <cfvo type="max"/>
        <color rgb="FFF8696B"/>
        <color rgb="FFFFEB84"/>
        <color rgb="FF63BE7B"/>
      </colorScale>
    </cfRule>
  </conditionalFormatting>
  <conditionalFormatting sqref="F22:F25">
    <cfRule type="colorScale" priority="8580">
      <colorScale>
        <cfvo type="min"/>
        <cfvo type="percentile" val="50"/>
        <cfvo type="max"/>
        <color rgb="FFF8696B"/>
        <color rgb="FFFFEB84"/>
        <color rgb="FF63BE7B"/>
      </colorScale>
    </cfRule>
  </conditionalFormatting>
  <conditionalFormatting sqref="F22:F25">
    <cfRule type="colorScale" priority="8579">
      <colorScale>
        <cfvo type="min"/>
        <cfvo type="percentile" val="50"/>
        <cfvo type="max"/>
        <color rgb="FFF8696B"/>
        <color rgb="FFFFEB84"/>
        <color rgb="FF63BE7B"/>
      </colorScale>
    </cfRule>
  </conditionalFormatting>
  <conditionalFormatting sqref="F22:F25">
    <cfRule type="colorScale" priority="8578">
      <colorScale>
        <cfvo type="min"/>
        <cfvo type="percentile" val="50"/>
        <cfvo type="max"/>
        <color rgb="FFF8696B"/>
        <color rgb="FFFFEB84"/>
        <color rgb="FF63BE7B"/>
      </colorScale>
    </cfRule>
  </conditionalFormatting>
  <conditionalFormatting sqref="F22:F25">
    <cfRule type="colorScale" priority="8577">
      <colorScale>
        <cfvo type="min"/>
        <cfvo type="percentile" val="50"/>
        <cfvo type="max"/>
        <color rgb="FFF8696B"/>
        <color rgb="FFFFEB84"/>
        <color rgb="FF63BE7B"/>
      </colorScale>
    </cfRule>
  </conditionalFormatting>
  <conditionalFormatting sqref="F22:F25">
    <cfRule type="colorScale" priority="8576">
      <colorScale>
        <cfvo type="min"/>
        <cfvo type="percentile" val="50"/>
        <cfvo type="max"/>
        <color rgb="FFF8696B"/>
        <color rgb="FFFFEB84"/>
        <color rgb="FF63BE7B"/>
      </colorScale>
    </cfRule>
  </conditionalFormatting>
  <conditionalFormatting sqref="F22:F25">
    <cfRule type="colorScale" priority="8575">
      <colorScale>
        <cfvo type="min"/>
        <cfvo type="percentile" val="50"/>
        <cfvo type="max"/>
        <color rgb="FFF8696B"/>
        <color rgb="FFFFEB84"/>
        <color rgb="FF63BE7B"/>
      </colorScale>
    </cfRule>
  </conditionalFormatting>
  <conditionalFormatting sqref="F22:F25">
    <cfRule type="colorScale" priority="8574">
      <colorScale>
        <cfvo type="min"/>
        <cfvo type="percentile" val="50"/>
        <cfvo type="max"/>
        <color rgb="FFF8696B"/>
        <color rgb="FFFFEB84"/>
        <color rgb="FF63BE7B"/>
      </colorScale>
    </cfRule>
  </conditionalFormatting>
  <conditionalFormatting sqref="F22:F25">
    <cfRule type="colorScale" priority="8573">
      <colorScale>
        <cfvo type="min"/>
        <cfvo type="percentile" val="50"/>
        <cfvo type="max"/>
        <color rgb="FFF8696B"/>
        <color rgb="FFFFEB84"/>
        <color rgb="FF63BE7B"/>
      </colorScale>
    </cfRule>
  </conditionalFormatting>
  <conditionalFormatting sqref="F22:F25">
    <cfRule type="colorScale" priority="8572">
      <colorScale>
        <cfvo type="min"/>
        <cfvo type="percentile" val="50"/>
        <cfvo type="max"/>
        <color rgb="FFF8696B"/>
        <color rgb="FFFFEB84"/>
        <color rgb="FF63BE7B"/>
      </colorScale>
    </cfRule>
  </conditionalFormatting>
  <conditionalFormatting sqref="F22:F25">
    <cfRule type="colorScale" priority="8571">
      <colorScale>
        <cfvo type="min"/>
        <cfvo type="percentile" val="50"/>
        <cfvo type="max"/>
        <color rgb="FFF8696B"/>
        <color rgb="FFFFEB84"/>
        <color rgb="FF63BE7B"/>
      </colorScale>
    </cfRule>
  </conditionalFormatting>
  <conditionalFormatting sqref="F22:F25">
    <cfRule type="colorScale" priority="8570">
      <colorScale>
        <cfvo type="min"/>
        <cfvo type="percentile" val="50"/>
        <cfvo type="max"/>
        <color rgb="FFF8696B"/>
        <color rgb="FFFFEB84"/>
        <color rgb="FF63BE7B"/>
      </colorScale>
    </cfRule>
  </conditionalFormatting>
  <conditionalFormatting sqref="F22:F25">
    <cfRule type="colorScale" priority="8569">
      <colorScale>
        <cfvo type="min"/>
        <cfvo type="percentile" val="50"/>
        <cfvo type="max"/>
        <color rgb="FFF8696B"/>
        <color rgb="FFFFEB84"/>
        <color rgb="FF63BE7B"/>
      </colorScale>
    </cfRule>
  </conditionalFormatting>
  <conditionalFormatting sqref="F22:F25">
    <cfRule type="colorScale" priority="8568">
      <colorScale>
        <cfvo type="min"/>
        <cfvo type="percentile" val="50"/>
        <cfvo type="max"/>
        <color rgb="FFF8696B"/>
        <color rgb="FFFFEB84"/>
        <color rgb="FF63BE7B"/>
      </colorScale>
    </cfRule>
  </conditionalFormatting>
  <conditionalFormatting sqref="F22:F25">
    <cfRule type="colorScale" priority="8567">
      <colorScale>
        <cfvo type="min"/>
        <cfvo type="percentile" val="50"/>
        <cfvo type="max"/>
        <color rgb="FFF8696B"/>
        <color rgb="FFFFEB84"/>
        <color rgb="FF63BE7B"/>
      </colorScale>
    </cfRule>
  </conditionalFormatting>
  <conditionalFormatting sqref="F22:F25">
    <cfRule type="colorScale" priority="8566">
      <colorScale>
        <cfvo type="min"/>
        <cfvo type="percentile" val="50"/>
        <cfvo type="max"/>
        <color rgb="FFF8696B"/>
        <color rgb="FFFFEB84"/>
        <color rgb="FF63BE7B"/>
      </colorScale>
    </cfRule>
  </conditionalFormatting>
  <conditionalFormatting sqref="F22:F25">
    <cfRule type="colorScale" priority="8565">
      <colorScale>
        <cfvo type="min"/>
        <cfvo type="percentile" val="50"/>
        <cfvo type="max"/>
        <color rgb="FFF8696B"/>
        <color rgb="FFFFEB84"/>
        <color rgb="FF63BE7B"/>
      </colorScale>
    </cfRule>
  </conditionalFormatting>
  <conditionalFormatting sqref="F22:F25">
    <cfRule type="colorScale" priority="8564">
      <colorScale>
        <cfvo type="min"/>
        <cfvo type="percentile" val="50"/>
        <cfvo type="max"/>
        <color rgb="FFF8696B"/>
        <color rgb="FFFFEB84"/>
        <color rgb="FF63BE7B"/>
      </colorScale>
    </cfRule>
  </conditionalFormatting>
  <conditionalFormatting sqref="F22:F25">
    <cfRule type="colorScale" priority="8563">
      <colorScale>
        <cfvo type="min"/>
        <cfvo type="percentile" val="50"/>
        <cfvo type="max"/>
        <color rgb="FFF8696B"/>
        <color rgb="FFFFEB84"/>
        <color rgb="FF63BE7B"/>
      </colorScale>
    </cfRule>
  </conditionalFormatting>
  <conditionalFormatting sqref="F22:F25">
    <cfRule type="colorScale" priority="8562">
      <colorScale>
        <cfvo type="min"/>
        <cfvo type="percentile" val="50"/>
        <cfvo type="max"/>
        <color rgb="FFF8696B"/>
        <color rgb="FFFFEB84"/>
        <color rgb="FF63BE7B"/>
      </colorScale>
    </cfRule>
  </conditionalFormatting>
  <conditionalFormatting sqref="F22:F25">
    <cfRule type="colorScale" priority="8561">
      <colorScale>
        <cfvo type="min"/>
        <cfvo type="percentile" val="50"/>
        <cfvo type="max"/>
        <color rgb="FFF8696B"/>
        <color rgb="FFFFEB84"/>
        <color rgb="FF63BE7B"/>
      </colorScale>
    </cfRule>
  </conditionalFormatting>
  <conditionalFormatting sqref="F22:F25">
    <cfRule type="colorScale" priority="8560">
      <colorScale>
        <cfvo type="min"/>
        <cfvo type="percentile" val="50"/>
        <cfvo type="max"/>
        <color rgb="FFF8696B"/>
        <color rgb="FFFFEB84"/>
        <color rgb="FF63BE7B"/>
      </colorScale>
    </cfRule>
  </conditionalFormatting>
  <conditionalFormatting sqref="F22:F25">
    <cfRule type="colorScale" priority="8559">
      <colorScale>
        <cfvo type="min"/>
        <cfvo type="percentile" val="50"/>
        <cfvo type="max"/>
        <color rgb="FFF8696B"/>
        <color rgb="FFFFEB84"/>
        <color rgb="FF63BE7B"/>
      </colorScale>
    </cfRule>
  </conditionalFormatting>
  <conditionalFormatting sqref="F22:F25">
    <cfRule type="colorScale" priority="8558">
      <colorScale>
        <cfvo type="min"/>
        <cfvo type="percentile" val="50"/>
        <cfvo type="max"/>
        <color rgb="FFF8696B"/>
        <color rgb="FFFFEB84"/>
        <color rgb="FF63BE7B"/>
      </colorScale>
    </cfRule>
  </conditionalFormatting>
  <conditionalFormatting sqref="F22:F25">
    <cfRule type="colorScale" priority="8557">
      <colorScale>
        <cfvo type="min"/>
        <cfvo type="percentile" val="50"/>
        <cfvo type="max"/>
        <color rgb="FFF8696B"/>
        <color rgb="FFFFEB84"/>
        <color rgb="FF63BE7B"/>
      </colorScale>
    </cfRule>
  </conditionalFormatting>
  <conditionalFormatting sqref="F22:F25">
    <cfRule type="colorScale" priority="8556">
      <colorScale>
        <cfvo type="min"/>
        <cfvo type="percentile" val="50"/>
        <cfvo type="max"/>
        <color rgb="FFF8696B"/>
        <color rgb="FFFFEB84"/>
        <color rgb="FF63BE7B"/>
      </colorScale>
    </cfRule>
  </conditionalFormatting>
  <conditionalFormatting sqref="F22:F25">
    <cfRule type="colorScale" priority="8555">
      <colorScale>
        <cfvo type="min"/>
        <cfvo type="percentile" val="50"/>
        <cfvo type="max"/>
        <color rgb="FFF8696B"/>
        <color rgb="FFFFEB84"/>
        <color rgb="FF63BE7B"/>
      </colorScale>
    </cfRule>
  </conditionalFormatting>
  <conditionalFormatting sqref="F22:F25">
    <cfRule type="colorScale" priority="8554">
      <colorScale>
        <cfvo type="min"/>
        <cfvo type="percentile" val="50"/>
        <cfvo type="max"/>
        <color rgb="FFF8696B"/>
        <color rgb="FFFFEB84"/>
        <color rgb="FF63BE7B"/>
      </colorScale>
    </cfRule>
  </conditionalFormatting>
  <conditionalFormatting sqref="F22:F25">
    <cfRule type="colorScale" priority="8553">
      <colorScale>
        <cfvo type="min"/>
        <cfvo type="percentile" val="50"/>
        <cfvo type="max"/>
        <color rgb="FFF8696B"/>
        <color rgb="FFFFEB84"/>
        <color rgb="FF63BE7B"/>
      </colorScale>
    </cfRule>
  </conditionalFormatting>
  <conditionalFormatting sqref="F22:F25">
    <cfRule type="colorScale" priority="8552">
      <colorScale>
        <cfvo type="min"/>
        <cfvo type="percentile" val="50"/>
        <cfvo type="max"/>
        <color rgb="FFF8696B"/>
        <color rgb="FFFFEB84"/>
        <color rgb="FF63BE7B"/>
      </colorScale>
    </cfRule>
  </conditionalFormatting>
  <conditionalFormatting sqref="F22:F25">
    <cfRule type="colorScale" priority="8551">
      <colorScale>
        <cfvo type="min"/>
        <cfvo type="percentile" val="50"/>
        <cfvo type="max"/>
        <color rgb="FFF8696B"/>
        <color rgb="FFFFEB84"/>
        <color rgb="FF63BE7B"/>
      </colorScale>
    </cfRule>
  </conditionalFormatting>
  <conditionalFormatting sqref="F22:F25">
    <cfRule type="colorScale" priority="8550">
      <colorScale>
        <cfvo type="min"/>
        <cfvo type="percentile" val="50"/>
        <cfvo type="max"/>
        <color rgb="FFF8696B"/>
        <color rgb="FFFFEB84"/>
        <color rgb="FF63BE7B"/>
      </colorScale>
    </cfRule>
  </conditionalFormatting>
  <conditionalFormatting sqref="F22:F25">
    <cfRule type="colorScale" priority="8549">
      <colorScale>
        <cfvo type="min"/>
        <cfvo type="percentile" val="50"/>
        <cfvo type="max"/>
        <color rgb="FFF8696B"/>
        <color rgb="FFFFEB84"/>
        <color rgb="FF63BE7B"/>
      </colorScale>
    </cfRule>
  </conditionalFormatting>
  <conditionalFormatting sqref="F22:F25">
    <cfRule type="colorScale" priority="8548">
      <colorScale>
        <cfvo type="min"/>
        <cfvo type="percentile" val="50"/>
        <cfvo type="max"/>
        <color rgb="FFF8696B"/>
        <color rgb="FFFFEB84"/>
        <color rgb="FF63BE7B"/>
      </colorScale>
    </cfRule>
  </conditionalFormatting>
  <conditionalFormatting sqref="F22:F25">
    <cfRule type="colorScale" priority="8547">
      <colorScale>
        <cfvo type="min"/>
        <cfvo type="percentile" val="50"/>
        <cfvo type="max"/>
        <color rgb="FFF8696B"/>
        <color rgb="FFFFEB84"/>
        <color rgb="FF63BE7B"/>
      </colorScale>
    </cfRule>
  </conditionalFormatting>
  <conditionalFormatting sqref="F22:F25">
    <cfRule type="colorScale" priority="8546">
      <colorScale>
        <cfvo type="min"/>
        <cfvo type="percentile" val="50"/>
        <cfvo type="max"/>
        <color rgb="FFF8696B"/>
        <color rgb="FFFFEB84"/>
        <color rgb="FF63BE7B"/>
      </colorScale>
    </cfRule>
  </conditionalFormatting>
  <conditionalFormatting sqref="F22:F25">
    <cfRule type="colorScale" priority="8545">
      <colorScale>
        <cfvo type="min"/>
        <cfvo type="percentile" val="50"/>
        <cfvo type="max"/>
        <color rgb="FFF8696B"/>
        <color rgb="FFFFEB84"/>
        <color rgb="FF63BE7B"/>
      </colorScale>
    </cfRule>
  </conditionalFormatting>
  <conditionalFormatting sqref="F22:F25">
    <cfRule type="colorScale" priority="8544">
      <colorScale>
        <cfvo type="min"/>
        <cfvo type="percentile" val="50"/>
        <cfvo type="max"/>
        <color rgb="FFF8696B"/>
        <color rgb="FFFFEB84"/>
        <color rgb="FF63BE7B"/>
      </colorScale>
    </cfRule>
  </conditionalFormatting>
  <conditionalFormatting sqref="F22:F25">
    <cfRule type="colorScale" priority="8543">
      <colorScale>
        <cfvo type="min"/>
        <cfvo type="percentile" val="50"/>
        <cfvo type="max"/>
        <color rgb="FFF8696B"/>
        <color rgb="FFFFEB84"/>
        <color rgb="FF63BE7B"/>
      </colorScale>
    </cfRule>
  </conditionalFormatting>
  <conditionalFormatting sqref="F22:F25">
    <cfRule type="colorScale" priority="8542">
      <colorScale>
        <cfvo type="min"/>
        <cfvo type="percentile" val="50"/>
        <cfvo type="max"/>
        <color rgb="FFF8696B"/>
        <color rgb="FFFFEB84"/>
        <color rgb="FF63BE7B"/>
      </colorScale>
    </cfRule>
  </conditionalFormatting>
  <conditionalFormatting sqref="F22:F25">
    <cfRule type="colorScale" priority="8541">
      <colorScale>
        <cfvo type="min"/>
        <cfvo type="percentile" val="50"/>
        <cfvo type="max"/>
        <color rgb="FFF8696B"/>
        <color rgb="FFFFEB84"/>
        <color rgb="FF63BE7B"/>
      </colorScale>
    </cfRule>
  </conditionalFormatting>
  <conditionalFormatting sqref="F22:F25">
    <cfRule type="colorScale" priority="8540">
      <colorScale>
        <cfvo type="min"/>
        <cfvo type="percentile" val="50"/>
        <cfvo type="max"/>
        <color rgb="FFF8696B"/>
        <color rgb="FFFFEB84"/>
        <color rgb="FF63BE7B"/>
      </colorScale>
    </cfRule>
  </conditionalFormatting>
  <conditionalFormatting sqref="F22:F25">
    <cfRule type="colorScale" priority="8539">
      <colorScale>
        <cfvo type="min"/>
        <cfvo type="percentile" val="50"/>
        <cfvo type="max"/>
        <color rgb="FFF8696B"/>
        <color rgb="FFFFEB84"/>
        <color rgb="FF63BE7B"/>
      </colorScale>
    </cfRule>
  </conditionalFormatting>
  <conditionalFormatting sqref="F22:F25">
    <cfRule type="colorScale" priority="8538">
      <colorScale>
        <cfvo type="min"/>
        <cfvo type="percentile" val="50"/>
        <cfvo type="max"/>
        <color rgb="FFF8696B"/>
        <color rgb="FFFFEB84"/>
        <color rgb="FF63BE7B"/>
      </colorScale>
    </cfRule>
  </conditionalFormatting>
  <conditionalFormatting sqref="F22:F25">
    <cfRule type="colorScale" priority="8537">
      <colorScale>
        <cfvo type="min"/>
        <cfvo type="percentile" val="50"/>
        <cfvo type="max"/>
        <color rgb="FFF8696B"/>
        <color rgb="FFFFEB84"/>
        <color rgb="FF63BE7B"/>
      </colorScale>
    </cfRule>
  </conditionalFormatting>
  <conditionalFormatting sqref="F22:F25">
    <cfRule type="colorScale" priority="8536">
      <colorScale>
        <cfvo type="min"/>
        <cfvo type="percentile" val="50"/>
        <cfvo type="max"/>
        <color rgb="FFF8696B"/>
        <color rgb="FFFFEB84"/>
        <color rgb="FF63BE7B"/>
      </colorScale>
    </cfRule>
  </conditionalFormatting>
  <conditionalFormatting sqref="F22:F25">
    <cfRule type="colorScale" priority="8535">
      <colorScale>
        <cfvo type="min"/>
        <cfvo type="percentile" val="50"/>
        <cfvo type="max"/>
        <color rgb="FFF8696B"/>
        <color rgb="FFFFEB84"/>
        <color rgb="FF63BE7B"/>
      </colorScale>
    </cfRule>
  </conditionalFormatting>
  <conditionalFormatting sqref="F22:F25">
    <cfRule type="colorScale" priority="8534">
      <colorScale>
        <cfvo type="min"/>
        <cfvo type="percentile" val="50"/>
        <cfvo type="max"/>
        <color rgb="FFF8696B"/>
        <color rgb="FFFFEB84"/>
        <color rgb="FF63BE7B"/>
      </colorScale>
    </cfRule>
  </conditionalFormatting>
  <conditionalFormatting sqref="F22:F25">
    <cfRule type="colorScale" priority="8533">
      <colorScale>
        <cfvo type="min"/>
        <cfvo type="percentile" val="50"/>
        <cfvo type="max"/>
        <color rgb="FFF8696B"/>
        <color rgb="FFFFEB84"/>
        <color rgb="FF63BE7B"/>
      </colorScale>
    </cfRule>
  </conditionalFormatting>
  <conditionalFormatting sqref="E10:E27">
    <cfRule type="colorScale" priority="8532">
      <colorScale>
        <cfvo type="min"/>
        <cfvo type="percentile" val="50"/>
        <cfvo type="max"/>
        <color rgb="FFF8696B"/>
        <color rgb="FFFFEB84"/>
        <color rgb="FF63BE7B"/>
      </colorScale>
    </cfRule>
  </conditionalFormatting>
  <conditionalFormatting sqref="E10:E27">
    <cfRule type="colorScale" priority="8531">
      <colorScale>
        <cfvo type="min"/>
        <cfvo type="percentile" val="50"/>
        <cfvo type="max"/>
        <color rgb="FFF8696B"/>
        <color rgb="FFFFEB84"/>
        <color rgb="FF63BE7B"/>
      </colorScale>
    </cfRule>
  </conditionalFormatting>
  <conditionalFormatting sqref="E10:E27">
    <cfRule type="colorScale" priority="8530">
      <colorScale>
        <cfvo type="min"/>
        <cfvo type="percentile" val="50"/>
        <cfvo type="max"/>
        <color rgb="FFF8696B"/>
        <color rgb="FFFFEB84"/>
        <color rgb="FF63BE7B"/>
      </colorScale>
    </cfRule>
  </conditionalFormatting>
  <conditionalFormatting sqref="E10:E27">
    <cfRule type="colorScale" priority="8529">
      <colorScale>
        <cfvo type="min"/>
        <cfvo type="percentile" val="50"/>
        <cfvo type="max"/>
        <color rgb="FFF8696B"/>
        <color rgb="FFFFEB84"/>
        <color rgb="FF63BE7B"/>
      </colorScale>
    </cfRule>
  </conditionalFormatting>
  <conditionalFormatting sqref="E10:E27">
    <cfRule type="colorScale" priority="8528">
      <colorScale>
        <cfvo type="min"/>
        <cfvo type="percentile" val="50"/>
        <cfvo type="max"/>
        <color rgb="FFF8696B"/>
        <color rgb="FFFFEB84"/>
        <color rgb="FF63BE7B"/>
      </colorScale>
    </cfRule>
  </conditionalFormatting>
  <conditionalFormatting sqref="E10:E27">
    <cfRule type="colorScale" priority="8527">
      <colorScale>
        <cfvo type="min"/>
        <cfvo type="percentile" val="50"/>
        <cfvo type="max"/>
        <color rgb="FFF8696B"/>
        <color rgb="FFFFEB84"/>
        <color rgb="FF63BE7B"/>
      </colorScale>
    </cfRule>
  </conditionalFormatting>
  <conditionalFormatting sqref="E10:E27">
    <cfRule type="colorScale" priority="8526">
      <colorScale>
        <cfvo type="min"/>
        <cfvo type="percentile" val="50"/>
        <cfvo type="max"/>
        <color rgb="FFF8696B"/>
        <color rgb="FFFFEB84"/>
        <color rgb="FF63BE7B"/>
      </colorScale>
    </cfRule>
  </conditionalFormatting>
  <conditionalFormatting sqref="E10:E27">
    <cfRule type="colorScale" priority="8525">
      <colorScale>
        <cfvo type="min"/>
        <cfvo type="percentile" val="50"/>
        <cfvo type="max"/>
        <color rgb="FFF8696B"/>
        <color rgb="FFFFEB84"/>
        <color rgb="FF63BE7B"/>
      </colorScale>
    </cfRule>
  </conditionalFormatting>
  <conditionalFormatting sqref="E10:E27">
    <cfRule type="colorScale" priority="8524">
      <colorScale>
        <cfvo type="min"/>
        <cfvo type="percentile" val="50"/>
        <cfvo type="max"/>
        <color rgb="FFF8696B"/>
        <color rgb="FFFFEB84"/>
        <color rgb="FF63BE7B"/>
      </colorScale>
    </cfRule>
  </conditionalFormatting>
  <conditionalFormatting sqref="E10:E27">
    <cfRule type="colorScale" priority="8523">
      <colorScale>
        <cfvo type="min"/>
        <cfvo type="percentile" val="50"/>
        <cfvo type="max"/>
        <color rgb="FFF8696B"/>
        <color rgb="FFFFEB84"/>
        <color rgb="FF63BE7B"/>
      </colorScale>
    </cfRule>
  </conditionalFormatting>
  <conditionalFormatting sqref="E10:E27">
    <cfRule type="colorScale" priority="8522">
      <colorScale>
        <cfvo type="min"/>
        <cfvo type="percentile" val="50"/>
        <cfvo type="max"/>
        <color rgb="FFF8696B"/>
        <color rgb="FFFFEB84"/>
        <color rgb="FF63BE7B"/>
      </colorScale>
    </cfRule>
  </conditionalFormatting>
  <conditionalFormatting sqref="E10:E27">
    <cfRule type="colorScale" priority="8521">
      <colorScale>
        <cfvo type="min"/>
        <cfvo type="percentile" val="50"/>
        <cfvo type="max"/>
        <color rgb="FFF8696B"/>
        <color rgb="FFFFEB84"/>
        <color rgb="FF63BE7B"/>
      </colorScale>
    </cfRule>
  </conditionalFormatting>
  <conditionalFormatting sqref="E10:E27">
    <cfRule type="colorScale" priority="8520">
      <colorScale>
        <cfvo type="min"/>
        <cfvo type="percentile" val="50"/>
        <cfvo type="max"/>
        <color rgb="FFF8696B"/>
        <color rgb="FFFFEB84"/>
        <color rgb="FF63BE7B"/>
      </colorScale>
    </cfRule>
  </conditionalFormatting>
  <conditionalFormatting sqref="E10:E27">
    <cfRule type="colorScale" priority="8519">
      <colorScale>
        <cfvo type="min"/>
        <cfvo type="percentile" val="50"/>
        <cfvo type="max"/>
        <color rgb="FFF8696B"/>
        <color rgb="FFFFEB84"/>
        <color rgb="FF63BE7B"/>
      </colorScale>
    </cfRule>
  </conditionalFormatting>
  <conditionalFormatting sqref="E10:E27">
    <cfRule type="colorScale" priority="8518">
      <colorScale>
        <cfvo type="min"/>
        <cfvo type="percentile" val="50"/>
        <cfvo type="max"/>
        <color rgb="FFF8696B"/>
        <color rgb="FFFFEB84"/>
        <color rgb="FF63BE7B"/>
      </colorScale>
    </cfRule>
  </conditionalFormatting>
  <conditionalFormatting sqref="E10:E27">
    <cfRule type="colorScale" priority="8517">
      <colorScale>
        <cfvo type="min"/>
        <cfvo type="percentile" val="50"/>
        <cfvo type="max"/>
        <color rgb="FFF8696B"/>
        <color rgb="FFFFEB84"/>
        <color rgb="FF63BE7B"/>
      </colorScale>
    </cfRule>
  </conditionalFormatting>
  <conditionalFormatting sqref="E10:E27">
    <cfRule type="colorScale" priority="8516">
      <colorScale>
        <cfvo type="min"/>
        <cfvo type="percentile" val="50"/>
        <cfvo type="max"/>
        <color rgb="FFF8696B"/>
        <color rgb="FFFFEB84"/>
        <color rgb="FF63BE7B"/>
      </colorScale>
    </cfRule>
  </conditionalFormatting>
  <conditionalFormatting sqref="E10:E27">
    <cfRule type="colorScale" priority="8515">
      <colorScale>
        <cfvo type="min"/>
        <cfvo type="percentile" val="50"/>
        <cfvo type="max"/>
        <color rgb="FFF8696B"/>
        <color rgb="FFFFEB84"/>
        <color rgb="FF63BE7B"/>
      </colorScale>
    </cfRule>
  </conditionalFormatting>
  <conditionalFormatting sqref="E10:E27">
    <cfRule type="colorScale" priority="8514">
      <colorScale>
        <cfvo type="min"/>
        <cfvo type="percentile" val="50"/>
        <cfvo type="max"/>
        <color rgb="FFF8696B"/>
        <color rgb="FFFFEB84"/>
        <color rgb="FF63BE7B"/>
      </colorScale>
    </cfRule>
  </conditionalFormatting>
  <conditionalFormatting sqref="E10:E27">
    <cfRule type="colorScale" priority="8513">
      <colorScale>
        <cfvo type="min"/>
        <cfvo type="percentile" val="50"/>
        <cfvo type="max"/>
        <color rgb="FFF8696B"/>
        <color rgb="FFFFEB84"/>
        <color rgb="FF63BE7B"/>
      </colorScale>
    </cfRule>
  </conditionalFormatting>
  <conditionalFormatting sqref="E10:E27">
    <cfRule type="colorScale" priority="8512">
      <colorScale>
        <cfvo type="min"/>
        <cfvo type="percentile" val="50"/>
        <cfvo type="max"/>
        <color rgb="FFF8696B"/>
        <color rgb="FFFFEB84"/>
        <color rgb="FF63BE7B"/>
      </colorScale>
    </cfRule>
  </conditionalFormatting>
  <conditionalFormatting sqref="E10:E27">
    <cfRule type="colorScale" priority="8511">
      <colorScale>
        <cfvo type="min"/>
        <cfvo type="percentile" val="50"/>
        <cfvo type="max"/>
        <color rgb="FFF8696B"/>
        <color rgb="FFFFEB84"/>
        <color rgb="FF63BE7B"/>
      </colorScale>
    </cfRule>
  </conditionalFormatting>
  <conditionalFormatting sqref="E10:E27">
    <cfRule type="colorScale" priority="8510">
      <colorScale>
        <cfvo type="min"/>
        <cfvo type="percentile" val="50"/>
        <cfvo type="max"/>
        <color rgb="FFF8696B"/>
        <color rgb="FFFFEB84"/>
        <color rgb="FF63BE7B"/>
      </colorScale>
    </cfRule>
  </conditionalFormatting>
  <conditionalFormatting sqref="E10:E27">
    <cfRule type="colorScale" priority="8509">
      <colorScale>
        <cfvo type="min"/>
        <cfvo type="percentile" val="50"/>
        <cfvo type="max"/>
        <color rgb="FFF8696B"/>
        <color rgb="FFFFEB84"/>
        <color rgb="FF63BE7B"/>
      </colorScale>
    </cfRule>
  </conditionalFormatting>
  <conditionalFormatting sqref="E10:E27">
    <cfRule type="colorScale" priority="8508">
      <colorScale>
        <cfvo type="min"/>
        <cfvo type="percentile" val="50"/>
        <cfvo type="max"/>
        <color rgb="FFF8696B"/>
        <color rgb="FFFFEB84"/>
        <color rgb="FF63BE7B"/>
      </colorScale>
    </cfRule>
  </conditionalFormatting>
  <conditionalFormatting sqref="E10:E27">
    <cfRule type="colorScale" priority="8507">
      <colorScale>
        <cfvo type="min"/>
        <cfvo type="percentile" val="50"/>
        <cfvo type="max"/>
        <color rgb="FFF8696B"/>
        <color rgb="FFFFEB84"/>
        <color rgb="FF63BE7B"/>
      </colorScale>
    </cfRule>
  </conditionalFormatting>
  <conditionalFormatting sqref="E10:E27">
    <cfRule type="colorScale" priority="8506">
      <colorScale>
        <cfvo type="min"/>
        <cfvo type="percentile" val="50"/>
        <cfvo type="max"/>
        <color rgb="FFF8696B"/>
        <color rgb="FFFFEB84"/>
        <color rgb="FF63BE7B"/>
      </colorScale>
    </cfRule>
  </conditionalFormatting>
  <conditionalFormatting sqref="E10:E27">
    <cfRule type="colorScale" priority="8505">
      <colorScale>
        <cfvo type="min"/>
        <cfvo type="percentile" val="50"/>
        <cfvo type="max"/>
        <color rgb="FFF8696B"/>
        <color rgb="FFFFEB84"/>
        <color rgb="FF63BE7B"/>
      </colorScale>
    </cfRule>
  </conditionalFormatting>
  <conditionalFormatting sqref="E10:E27">
    <cfRule type="colorScale" priority="8504">
      <colorScale>
        <cfvo type="min"/>
        <cfvo type="percentile" val="50"/>
        <cfvo type="max"/>
        <color rgb="FFF8696B"/>
        <color rgb="FFFFEB84"/>
        <color rgb="FF63BE7B"/>
      </colorScale>
    </cfRule>
  </conditionalFormatting>
  <conditionalFormatting sqref="E10:E27">
    <cfRule type="colorScale" priority="8503">
      <colorScale>
        <cfvo type="min"/>
        <cfvo type="percentile" val="50"/>
        <cfvo type="max"/>
        <color rgb="FFF8696B"/>
        <color rgb="FFFFEB84"/>
        <color rgb="FF63BE7B"/>
      </colorScale>
    </cfRule>
  </conditionalFormatting>
  <conditionalFormatting sqref="E10:E27">
    <cfRule type="colorScale" priority="8502">
      <colorScale>
        <cfvo type="min"/>
        <cfvo type="percentile" val="50"/>
        <cfvo type="max"/>
        <color rgb="FFF8696B"/>
        <color rgb="FFFFEB84"/>
        <color rgb="FF63BE7B"/>
      </colorScale>
    </cfRule>
  </conditionalFormatting>
  <conditionalFormatting sqref="E10:E27">
    <cfRule type="colorScale" priority="8501">
      <colorScale>
        <cfvo type="min"/>
        <cfvo type="percentile" val="50"/>
        <cfvo type="max"/>
        <color rgb="FFF8696B"/>
        <color rgb="FFFFEB84"/>
        <color rgb="FF63BE7B"/>
      </colorScale>
    </cfRule>
  </conditionalFormatting>
  <conditionalFormatting sqref="E10:E27">
    <cfRule type="colorScale" priority="8500">
      <colorScale>
        <cfvo type="min"/>
        <cfvo type="percentile" val="50"/>
        <cfvo type="max"/>
        <color rgb="FFF8696B"/>
        <color rgb="FFFFEB84"/>
        <color rgb="FF63BE7B"/>
      </colorScale>
    </cfRule>
  </conditionalFormatting>
  <conditionalFormatting sqref="E10:E27">
    <cfRule type="colorScale" priority="8499">
      <colorScale>
        <cfvo type="min"/>
        <cfvo type="percentile" val="50"/>
        <cfvo type="max"/>
        <color rgb="FFF8696B"/>
        <color rgb="FFFFEB84"/>
        <color rgb="FF63BE7B"/>
      </colorScale>
    </cfRule>
  </conditionalFormatting>
  <conditionalFormatting sqref="E10:E27">
    <cfRule type="colorScale" priority="8498">
      <colorScale>
        <cfvo type="min"/>
        <cfvo type="percentile" val="50"/>
        <cfvo type="max"/>
        <color rgb="FFF8696B"/>
        <color rgb="FFFFEB84"/>
        <color rgb="FF63BE7B"/>
      </colorScale>
    </cfRule>
  </conditionalFormatting>
  <conditionalFormatting sqref="E10:E27">
    <cfRule type="colorScale" priority="8497">
      <colorScale>
        <cfvo type="min"/>
        <cfvo type="percentile" val="50"/>
        <cfvo type="max"/>
        <color rgb="FFF8696B"/>
        <color rgb="FFFFEB84"/>
        <color rgb="FF63BE7B"/>
      </colorScale>
    </cfRule>
  </conditionalFormatting>
  <conditionalFormatting sqref="E10:E27">
    <cfRule type="colorScale" priority="8496">
      <colorScale>
        <cfvo type="min"/>
        <cfvo type="percentile" val="50"/>
        <cfvo type="max"/>
        <color rgb="FFF8696B"/>
        <color rgb="FFFFEB84"/>
        <color rgb="FF63BE7B"/>
      </colorScale>
    </cfRule>
  </conditionalFormatting>
  <conditionalFormatting sqref="E10:E27">
    <cfRule type="colorScale" priority="8495">
      <colorScale>
        <cfvo type="min"/>
        <cfvo type="percentile" val="50"/>
        <cfvo type="max"/>
        <color rgb="FFF8696B"/>
        <color rgb="FFFFEB84"/>
        <color rgb="FF63BE7B"/>
      </colorScale>
    </cfRule>
  </conditionalFormatting>
  <conditionalFormatting sqref="E10:E27">
    <cfRule type="colorScale" priority="8494">
      <colorScale>
        <cfvo type="min"/>
        <cfvo type="percentile" val="50"/>
        <cfvo type="max"/>
        <color rgb="FFF8696B"/>
        <color rgb="FFFFEB84"/>
        <color rgb="FF63BE7B"/>
      </colorScale>
    </cfRule>
  </conditionalFormatting>
  <conditionalFormatting sqref="E10:E27">
    <cfRule type="colorScale" priority="8493">
      <colorScale>
        <cfvo type="min"/>
        <cfvo type="percentile" val="50"/>
        <cfvo type="max"/>
        <color rgb="FFF8696B"/>
        <color rgb="FFFFEB84"/>
        <color rgb="FF63BE7B"/>
      </colorScale>
    </cfRule>
  </conditionalFormatting>
  <conditionalFormatting sqref="E10:E27">
    <cfRule type="colorScale" priority="8492">
      <colorScale>
        <cfvo type="min"/>
        <cfvo type="percentile" val="50"/>
        <cfvo type="max"/>
        <color rgb="FFF8696B"/>
        <color rgb="FFFFEB84"/>
        <color rgb="FF63BE7B"/>
      </colorScale>
    </cfRule>
  </conditionalFormatting>
  <conditionalFormatting sqref="E10:E27">
    <cfRule type="colorScale" priority="8491">
      <colorScale>
        <cfvo type="min"/>
        <cfvo type="percentile" val="50"/>
        <cfvo type="max"/>
        <color rgb="FFF8696B"/>
        <color rgb="FFFFEB84"/>
        <color rgb="FF63BE7B"/>
      </colorScale>
    </cfRule>
  </conditionalFormatting>
  <conditionalFormatting sqref="E10:E27">
    <cfRule type="colorScale" priority="8490">
      <colorScale>
        <cfvo type="min"/>
        <cfvo type="percentile" val="50"/>
        <cfvo type="max"/>
        <color rgb="FFF8696B"/>
        <color rgb="FFFFEB84"/>
        <color rgb="FF63BE7B"/>
      </colorScale>
    </cfRule>
  </conditionalFormatting>
  <conditionalFormatting sqref="E10:E27">
    <cfRule type="colorScale" priority="8489">
      <colorScale>
        <cfvo type="min"/>
        <cfvo type="percentile" val="50"/>
        <cfvo type="max"/>
        <color rgb="FFF8696B"/>
        <color rgb="FFFFEB84"/>
        <color rgb="FF63BE7B"/>
      </colorScale>
    </cfRule>
  </conditionalFormatting>
  <conditionalFormatting sqref="E10:E27">
    <cfRule type="colorScale" priority="8488">
      <colorScale>
        <cfvo type="min"/>
        <cfvo type="percentile" val="50"/>
        <cfvo type="max"/>
        <color rgb="FFF8696B"/>
        <color rgb="FFFFEB84"/>
        <color rgb="FF63BE7B"/>
      </colorScale>
    </cfRule>
  </conditionalFormatting>
  <conditionalFormatting sqref="E10:E27">
    <cfRule type="colorScale" priority="8487">
      <colorScale>
        <cfvo type="min"/>
        <cfvo type="percentile" val="50"/>
        <cfvo type="max"/>
        <color rgb="FFF8696B"/>
        <color rgb="FFFFEB84"/>
        <color rgb="FF63BE7B"/>
      </colorScale>
    </cfRule>
  </conditionalFormatting>
  <conditionalFormatting sqref="E10:E27">
    <cfRule type="colorScale" priority="8486">
      <colorScale>
        <cfvo type="min"/>
        <cfvo type="percentile" val="50"/>
        <cfvo type="max"/>
        <color rgb="FFF8696B"/>
        <color rgb="FFFFEB84"/>
        <color rgb="FF63BE7B"/>
      </colorScale>
    </cfRule>
  </conditionalFormatting>
  <conditionalFormatting sqref="E10:E27">
    <cfRule type="colorScale" priority="8485">
      <colorScale>
        <cfvo type="min"/>
        <cfvo type="percentile" val="50"/>
        <cfvo type="max"/>
        <color rgb="FFF8696B"/>
        <color rgb="FFFFEB84"/>
        <color rgb="FF63BE7B"/>
      </colorScale>
    </cfRule>
  </conditionalFormatting>
  <conditionalFormatting sqref="E10:E27">
    <cfRule type="colorScale" priority="8484">
      <colorScale>
        <cfvo type="min"/>
        <cfvo type="percentile" val="50"/>
        <cfvo type="max"/>
        <color rgb="FFF8696B"/>
        <color rgb="FFFFEB84"/>
        <color rgb="FF63BE7B"/>
      </colorScale>
    </cfRule>
  </conditionalFormatting>
  <conditionalFormatting sqref="E10:E27">
    <cfRule type="colorScale" priority="8483">
      <colorScale>
        <cfvo type="min"/>
        <cfvo type="percentile" val="50"/>
        <cfvo type="max"/>
        <color rgb="FFF8696B"/>
        <color rgb="FFFFEB84"/>
        <color rgb="FF63BE7B"/>
      </colorScale>
    </cfRule>
  </conditionalFormatting>
  <conditionalFormatting sqref="E10:E27">
    <cfRule type="colorScale" priority="8482">
      <colorScale>
        <cfvo type="min"/>
        <cfvo type="percentile" val="50"/>
        <cfvo type="max"/>
        <color rgb="FFF8696B"/>
        <color rgb="FFFFEB84"/>
        <color rgb="FF63BE7B"/>
      </colorScale>
    </cfRule>
  </conditionalFormatting>
  <conditionalFormatting sqref="E10:E27">
    <cfRule type="colorScale" priority="8481">
      <colorScale>
        <cfvo type="min"/>
        <cfvo type="percentile" val="50"/>
        <cfvo type="max"/>
        <color rgb="FFF8696B"/>
        <color rgb="FFFFEB84"/>
        <color rgb="FF63BE7B"/>
      </colorScale>
    </cfRule>
  </conditionalFormatting>
  <conditionalFormatting sqref="E10:E27">
    <cfRule type="colorScale" priority="8480">
      <colorScale>
        <cfvo type="min"/>
        <cfvo type="percentile" val="50"/>
        <cfvo type="max"/>
        <color rgb="FFF8696B"/>
        <color rgb="FFFFEB84"/>
        <color rgb="FF63BE7B"/>
      </colorScale>
    </cfRule>
  </conditionalFormatting>
  <conditionalFormatting sqref="E10:E27">
    <cfRule type="colorScale" priority="8479">
      <colorScale>
        <cfvo type="min"/>
        <cfvo type="percentile" val="50"/>
        <cfvo type="max"/>
        <color rgb="FFF8696B"/>
        <color rgb="FFFFEB84"/>
        <color rgb="FF63BE7B"/>
      </colorScale>
    </cfRule>
  </conditionalFormatting>
  <conditionalFormatting sqref="E10:E27">
    <cfRule type="colorScale" priority="8478">
      <colorScale>
        <cfvo type="min"/>
        <cfvo type="percentile" val="50"/>
        <cfvo type="max"/>
        <color rgb="FFF8696B"/>
        <color rgb="FFFFEB84"/>
        <color rgb="FF63BE7B"/>
      </colorScale>
    </cfRule>
  </conditionalFormatting>
  <conditionalFormatting sqref="E10:E27">
    <cfRule type="colorScale" priority="8477">
      <colorScale>
        <cfvo type="min"/>
        <cfvo type="percentile" val="50"/>
        <cfvo type="max"/>
        <color rgb="FFF8696B"/>
        <color rgb="FFFFEB84"/>
        <color rgb="FF63BE7B"/>
      </colorScale>
    </cfRule>
  </conditionalFormatting>
  <conditionalFormatting sqref="E10:E27">
    <cfRule type="colorScale" priority="8476">
      <colorScale>
        <cfvo type="min"/>
        <cfvo type="percentile" val="50"/>
        <cfvo type="max"/>
        <color rgb="FFF8696B"/>
        <color rgb="FFFFEB84"/>
        <color rgb="FF63BE7B"/>
      </colorScale>
    </cfRule>
  </conditionalFormatting>
  <conditionalFormatting sqref="E10:E27">
    <cfRule type="colorScale" priority="8475">
      <colorScale>
        <cfvo type="min"/>
        <cfvo type="percentile" val="50"/>
        <cfvo type="max"/>
        <color rgb="FFF8696B"/>
        <color rgb="FFFFEB84"/>
        <color rgb="FF63BE7B"/>
      </colorScale>
    </cfRule>
  </conditionalFormatting>
  <conditionalFormatting sqref="E10:E27">
    <cfRule type="colorScale" priority="8474">
      <colorScale>
        <cfvo type="min"/>
        <cfvo type="percentile" val="50"/>
        <cfvo type="max"/>
        <color rgb="FFF8696B"/>
        <color rgb="FFFFEB84"/>
        <color rgb="FF63BE7B"/>
      </colorScale>
    </cfRule>
  </conditionalFormatting>
  <conditionalFormatting sqref="E10:E27">
    <cfRule type="colorScale" priority="8473">
      <colorScale>
        <cfvo type="min"/>
        <cfvo type="percentile" val="50"/>
        <cfvo type="max"/>
        <color rgb="FFF8696B"/>
        <color rgb="FFFFEB84"/>
        <color rgb="FF63BE7B"/>
      </colorScale>
    </cfRule>
  </conditionalFormatting>
  <conditionalFormatting sqref="E10:E27">
    <cfRule type="colorScale" priority="8472">
      <colorScale>
        <cfvo type="min"/>
        <cfvo type="percentile" val="50"/>
        <cfvo type="max"/>
        <color rgb="FFF8696B"/>
        <color rgb="FFFFEB84"/>
        <color rgb="FF63BE7B"/>
      </colorScale>
    </cfRule>
  </conditionalFormatting>
  <conditionalFormatting sqref="E10:E27">
    <cfRule type="colorScale" priority="8471">
      <colorScale>
        <cfvo type="min"/>
        <cfvo type="percentile" val="50"/>
        <cfvo type="max"/>
        <color rgb="FFF8696B"/>
        <color rgb="FFFFEB84"/>
        <color rgb="FF63BE7B"/>
      </colorScale>
    </cfRule>
  </conditionalFormatting>
  <conditionalFormatting sqref="E10:E27">
    <cfRule type="colorScale" priority="8470">
      <colorScale>
        <cfvo type="min"/>
        <cfvo type="percentile" val="50"/>
        <cfvo type="max"/>
        <color rgb="FFF8696B"/>
        <color rgb="FFFFEB84"/>
        <color rgb="FF63BE7B"/>
      </colorScale>
    </cfRule>
  </conditionalFormatting>
  <conditionalFormatting sqref="E10:E27">
    <cfRule type="colorScale" priority="8469">
      <colorScale>
        <cfvo type="min"/>
        <cfvo type="percentile" val="50"/>
        <cfvo type="max"/>
        <color rgb="FFF8696B"/>
        <color rgb="FFFFEB84"/>
        <color rgb="FF63BE7B"/>
      </colorScale>
    </cfRule>
  </conditionalFormatting>
  <conditionalFormatting sqref="E10:E27">
    <cfRule type="colorScale" priority="8468">
      <colorScale>
        <cfvo type="min"/>
        <cfvo type="percentile" val="50"/>
        <cfvo type="max"/>
        <color rgb="FFF8696B"/>
        <color rgb="FFFFEB84"/>
        <color rgb="FF63BE7B"/>
      </colorScale>
    </cfRule>
  </conditionalFormatting>
  <conditionalFormatting sqref="E10:E27">
    <cfRule type="colorScale" priority="8467">
      <colorScale>
        <cfvo type="min"/>
        <cfvo type="percentile" val="50"/>
        <cfvo type="max"/>
        <color rgb="FFF8696B"/>
        <color rgb="FFFFEB84"/>
        <color rgb="FF63BE7B"/>
      </colorScale>
    </cfRule>
  </conditionalFormatting>
  <conditionalFormatting sqref="E10:E27">
    <cfRule type="colorScale" priority="8466">
      <colorScale>
        <cfvo type="min"/>
        <cfvo type="percentile" val="50"/>
        <cfvo type="max"/>
        <color rgb="FFF8696B"/>
        <color rgb="FFFFEB84"/>
        <color rgb="FF63BE7B"/>
      </colorScale>
    </cfRule>
  </conditionalFormatting>
  <conditionalFormatting sqref="E10:E27">
    <cfRule type="colorScale" priority="8465">
      <colorScale>
        <cfvo type="min"/>
        <cfvo type="percentile" val="50"/>
        <cfvo type="max"/>
        <color rgb="FFF8696B"/>
        <color rgb="FFFFEB84"/>
        <color rgb="FF63BE7B"/>
      </colorScale>
    </cfRule>
  </conditionalFormatting>
  <conditionalFormatting sqref="E10:E27">
    <cfRule type="colorScale" priority="8464">
      <colorScale>
        <cfvo type="min"/>
        <cfvo type="percentile" val="50"/>
        <cfvo type="max"/>
        <color rgb="FFF8696B"/>
        <color rgb="FFFFEB84"/>
        <color rgb="FF63BE7B"/>
      </colorScale>
    </cfRule>
  </conditionalFormatting>
  <conditionalFormatting sqref="E10:E27">
    <cfRule type="colorScale" priority="8463">
      <colorScale>
        <cfvo type="min"/>
        <cfvo type="percentile" val="50"/>
        <cfvo type="max"/>
        <color rgb="FFF8696B"/>
        <color rgb="FFFFEB84"/>
        <color rgb="FF63BE7B"/>
      </colorScale>
    </cfRule>
  </conditionalFormatting>
  <conditionalFormatting sqref="E10:E27">
    <cfRule type="colorScale" priority="8462">
      <colorScale>
        <cfvo type="min"/>
        <cfvo type="percentile" val="50"/>
        <cfvo type="max"/>
        <color rgb="FFF8696B"/>
        <color rgb="FFFFEB84"/>
        <color rgb="FF63BE7B"/>
      </colorScale>
    </cfRule>
  </conditionalFormatting>
  <conditionalFormatting sqref="E10:E27">
    <cfRule type="colorScale" priority="8461">
      <colorScale>
        <cfvo type="min"/>
        <cfvo type="percentile" val="50"/>
        <cfvo type="max"/>
        <color rgb="FFF8696B"/>
        <color rgb="FFFFEB84"/>
        <color rgb="FF63BE7B"/>
      </colorScale>
    </cfRule>
  </conditionalFormatting>
  <conditionalFormatting sqref="E10:E27">
    <cfRule type="colorScale" priority="8460">
      <colorScale>
        <cfvo type="min"/>
        <cfvo type="percentile" val="50"/>
        <cfvo type="max"/>
        <color rgb="FFF8696B"/>
        <color rgb="FFFFEB84"/>
        <color rgb="FF63BE7B"/>
      </colorScale>
    </cfRule>
  </conditionalFormatting>
  <conditionalFormatting sqref="E10:E27">
    <cfRule type="colorScale" priority="8459">
      <colorScale>
        <cfvo type="min"/>
        <cfvo type="percentile" val="50"/>
        <cfvo type="max"/>
        <color rgb="FFF8696B"/>
        <color rgb="FFFFEB84"/>
        <color rgb="FF63BE7B"/>
      </colorScale>
    </cfRule>
  </conditionalFormatting>
  <conditionalFormatting sqref="E10:E27">
    <cfRule type="colorScale" priority="8458">
      <colorScale>
        <cfvo type="min"/>
        <cfvo type="percentile" val="50"/>
        <cfvo type="max"/>
        <color rgb="FFF8696B"/>
        <color rgb="FFFFEB84"/>
        <color rgb="FF63BE7B"/>
      </colorScale>
    </cfRule>
  </conditionalFormatting>
  <conditionalFormatting sqref="E10:E27">
    <cfRule type="colorScale" priority="8457">
      <colorScale>
        <cfvo type="min"/>
        <cfvo type="percentile" val="50"/>
        <cfvo type="max"/>
        <color rgb="FFF8696B"/>
        <color rgb="FFFFEB84"/>
        <color rgb="FF63BE7B"/>
      </colorScale>
    </cfRule>
  </conditionalFormatting>
  <conditionalFormatting sqref="E10:E27">
    <cfRule type="colorScale" priority="8456">
      <colorScale>
        <cfvo type="min"/>
        <cfvo type="percentile" val="50"/>
        <cfvo type="max"/>
        <color rgb="FFF8696B"/>
        <color rgb="FFFFEB84"/>
        <color rgb="FF63BE7B"/>
      </colorScale>
    </cfRule>
  </conditionalFormatting>
  <conditionalFormatting sqref="E10:E27">
    <cfRule type="colorScale" priority="8455">
      <colorScale>
        <cfvo type="min"/>
        <cfvo type="percentile" val="50"/>
        <cfvo type="max"/>
        <color rgb="FFF8696B"/>
        <color rgb="FFFFEB84"/>
        <color rgb="FF63BE7B"/>
      </colorScale>
    </cfRule>
  </conditionalFormatting>
  <conditionalFormatting sqref="E10:E27">
    <cfRule type="colorScale" priority="8454">
      <colorScale>
        <cfvo type="min"/>
        <cfvo type="percentile" val="50"/>
        <cfvo type="max"/>
        <color rgb="FFF8696B"/>
        <color rgb="FFFFEB84"/>
        <color rgb="FF63BE7B"/>
      </colorScale>
    </cfRule>
  </conditionalFormatting>
  <conditionalFormatting sqref="E10:E27">
    <cfRule type="colorScale" priority="8453">
      <colorScale>
        <cfvo type="min"/>
        <cfvo type="percentile" val="50"/>
        <cfvo type="max"/>
        <color rgb="FFF8696B"/>
        <color rgb="FFFFEB84"/>
        <color rgb="FF63BE7B"/>
      </colorScale>
    </cfRule>
  </conditionalFormatting>
  <conditionalFormatting sqref="E10:E27">
    <cfRule type="colorScale" priority="8452">
      <colorScale>
        <cfvo type="min"/>
        <cfvo type="percentile" val="50"/>
        <cfvo type="max"/>
        <color rgb="FFF8696B"/>
        <color rgb="FFFFEB84"/>
        <color rgb="FF63BE7B"/>
      </colorScale>
    </cfRule>
  </conditionalFormatting>
  <conditionalFormatting sqref="E10:E27">
    <cfRule type="colorScale" priority="8451">
      <colorScale>
        <cfvo type="min"/>
        <cfvo type="percentile" val="50"/>
        <cfvo type="max"/>
        <color rgb="FFF8696B"/>
        <color rgb="FFFFEB84"/>
        <color rgb="FF63BE7B"/>
      </colorScale>
    </cfRule>
  </conditionalFormatting>
  <conditionalFormatting sqref="E10:E27">
    <cfRule type="colorScale" priority="8450">
      <colorScale>
        <cfvo type="min"/>
        <cfvo type="percentile" val="50"/>
        <cfvo type="max"/>
        <color rgb="FFF8696B"/>
        <color rgb="FFFFEB84"/>
        <color rgb="FF63BE7B"/>
      </colorScale>
    </cfRule>
  </conditionalFormatting>
  <conditionalFormatting sqref="E10:E27">
    <cfRule type="colorScale" priority="8449">
      <colorScale>
        <cfvo type="min"/>
        <cfvo type="percentile" val="50"/>
        <cfvo type="max"/>
        <color rgb="FFF8696B"/>
        <color rgb="FFFFEB84"/>
        <color rgb="FF63BE7B"/>
      </colorScale>
    </cfRule>
  </conditionalFormatting>
  <conditionalFormatting sqref="E10:E27">
    <cfRule type="colorScale" priority="8448">
      <colorScale>
        <cfvo type="min"/>
        <cfvo type="percentile" val="50"/>
        <cfvo type="max"/>
        <color rgb="FFF8696B"/>
        <color rgb="FFFFEB84"/>
        <color rgb="FF63BE7B"/>
      </colorScale>
    </cfRule>
  </conditionalFormatting>
  <conditionalFormatting sqref="E10:E27">
    <cfRule type="colorScale" priority="8447">
      <colorScale>
        <cfvo type="min"/>
        <cfvo type="percentile" val="50"/>
        <cfvo type="max"/>
        <color rgb="FFF8696B"/>
        <color rgb="FFFFEB84"/>
        <color rgb="FF63BE7B"/>
      </colorScale>
    </cfRule>
  </conditionalFormatting>
  <conditionalFormatting sqref="E10:E27">
    <cfRule type="colorScale" priority="8446">
      <colorScale>
        <cfvo type="min"/>
        <cfvo type="percentile" val="50"/>
        <cfvo type="max"/>
        <color rgb="FFF8696B"/>
        <color rgb="FFFFEB84"/>
        <color rgb="FF63BE7B"/>
      </colorScale>
    </cfRule>
  </conditionalFormatting>
  <conditionalFormatting sqref="E10:E27">
    <cfRule type="colorScale" priority="8445">
      <colorScale>
        <cfvo type="min"/>
        <cfvo type="percentile" val="50"/>
        <cfvo type="max"/>
        <color rgb="FFF8696B"/>
        <color rgb="FFFFEB84"/>
        <color rgb="FF63BE7B"/>
      </colorScale>
    </cfRule>
  </conditionalFormatting>
  <conditionalFormatting sqref="E10:E27">
    <cfRule type="colorScale" priority="8444">
      <colorScale>
        <cfvo type="min"/>
        <cfvo type="percentile" val="50"/>
        <cfvo type="max"/>
        <color rgb="FFF8696B"/>
        <color rgb="FFFFEB84"/>
        <color rgb="FF63BE7B"/>
      </colorScale>
    </cfRule>
  </conditionalFormatting>
  <conditionalFormatting sqref="E10:E27">
    <cfRule type="colorScale" priority="8443">
      <colorScale>
        <cfvo type="min"/>
        <cfvo type="percentile" val="50"/>
        <cfvo type="max"/>
        <color rgb="FFF8696B"/>
        <color rgb="FFFFEB84"/>
        <color rgb="FF63BE7B"/>
      </colorScale>
    </cfRule>
  </conditionalFormatting>
  <conditionalFormatting sqref="E10:E27">
    <cfRule type="colorScale" priority="8442">
      <colorScale>
        <cfvo type="min"/>
        <cfvo type="percentile" val="50"/>
        <cfvo type="max"/>
        <color rgb="FFF8696B"/>
        <color rgb="FFFFEB84"/>
        <color rgb="FF63BE7B"/>
      </colorScale>
    </cfRule>
  </conditionalFormatting>
  <conditionalFormatting sqref="E10:E27">
    <cfRule type="colorScale" priority="8441">
      <colorScale>
        <cfvo type="min"/>
        <cfvo type="percentile" val="50"/>
        <cfvo type="max"/>
        <color rgb="FFF8696B"/>
        <color rgb="FFFFEB84"/>
        <color rgb="FF63BE7B"/>
      </colorScale>
    </cfRule>
  </conditionalFormatting>
  <conditionalFormatting sqref="E10:E27">
    <cfRule type="colorScale" priority="8440">
      <colorScale>
        <cfvo type="min"/>
        <cfvo type="percentile" val="50"/>
        <cfvo type="max"/>
        <color rgb="FFF8696B"/>
        <color rgb="FFFFEB84"/>
        <color rgb="FF63BE7B"/>
      </colorScale>
    </cfRule>
  </conditionalFormatting>
  <conditionalFormatting sqref="E10:E27">
    <cfRule type="colorScale" priority="8439">
      <colorScale>
        <cfvo type="min"/>
        <cfvo type="percentile" val="50"/>
        <cfvo type="max"/>
        <color rgb="FFF8696B"/>
        <color rgb="FFFFEB84"/>
        <color rgb="FF63BE7B"/>
      </colorScale>
    </cfRule>
  </conditionalFormatting>
  <conditionalFormatting sqref="E10:E27">
    <cfRule type="colorScale" priority="8438">
      <colorScale>
        <cfvo type="min"/>
        <cfvo type="percentile" val="50"/>
        <cfvo type="max"/>
        <color rgb="FFF8696B"/>
        <color rgb="FFFFEB84"/>
        <color rgb="FF63BE7B"/>
      </colorScale>
    </cfRule>
  </conditionalFormatting>
  <conditionalFormatting sqref="E10:E27">
    <cfRule type="colorScale" priority="8437">
      <colorScale>
        <cfvo type="min"/>
        <cfvo type="percentile" val="50"/>
        <cfvo type="max"/>
        <color rgb="FFF8696B"/>
        <color rgb="FFFFEB84"/>
        <color rgb="FF63BE7B"/>
      </colorScale>
    </cfRule>
  </conditionalFormatting>
  <conditionalFormatting sqref="E10:E27">
    <cfRule type="colorScale" priority="8436">
      <colorScale>
        <cfvo type="min"/>
        <cfvo type="percentile" val="50"/>
        <cfvo type="max"/>
        <color rgb="FFF8696B"/>
        <color rgb="FFFFEB84"/>
        <color rgb="FF63BE7B"/>
      </colorScale>
    </cfRule>
  </conditionalFormatting>
  <conditionalFormatting sqref="E10:E27">
    <cfRule type="colorScale" priority="8435">
      <colorScale>
        <cfvo type="min"/>
        <cfvo type="percentile" val="50"/>
        <cfvo type="max"/>
        <color rgb="FFF8696B"/>
        <color rgb="FFFFEB84"/>
        <color rgb="FF63BE7B"/>
      </colorScale>
    </cfRule>
  </conditionalFormatting>
  <conditionalFormatting sqref="E10:E27">
    <cfRule type="colorScale" priority="8434">
      <colorScale>
        <cfvo type="min"/>
        <cfvo type="percentile" val="50"/>
        <cfvo type="max"/>
        <color rgb="FFF8696B"/>
        <color rgb="FFFFEB84"/>
        <color rgb="FF63BE7B"/>
      </colorScale>
    </cfRule>
  </conditionalFormatting>
  <conditionalFormatting sqref="E10:E27">
    <cfRule type="colorScale" priority="8433">
      <colorScale>
        <cfvo type="min"/>
        <cfvo type="percentile" val="50"/>
        <cfvo type="max"/>
        <color rgb="FFF8696B"/>
        <color rgb="FFFFEB84"/>
        <color rgb="FF63BE7B"/>
      </colorScale>
    </cfRule>
  </conditionalFormatting>
  <conditionalFormatting sqref="E10:E27">
    <cfRule type="colorScale" priority="8432">
      <colorScale>
        <cfvo type="min"/>
        <cfvo type="percentile" val="50"/>
        <cfvo type="max"/>
        <color rgb="FFF8696B"/>
        <color rgb="FFFFEB84"/>
        <color rgb="FF63BE7B"/>
      </colorScale>
    </cfRule>
  </conditionalFormatting>
  <conditionalFormatting sqref="E10:E27">
    <cfRule type="colorScale" priority="8431">
      <colorScale>
        <cfvo type="min"/>
        <cfvo type="percentile" val="50"/>
        <cfvo type="max"/>
        <color rgb="FFF8696B"/>
        <color rgb="FFFFEB84"/>
        <color rgb="FF63BE7B"/>
      </colorScale>
    </cfRule>
  </conditionalFormatting>
  <conditionalFormatting sqref="E10:E27">
    <cfRule type="colorScale" priority="8430">
      <colorScale>
        <cfvo type="min"/>
        <cfvo type="percentile" val="50"/>
        <cfvo type="max"/>
        <color rgb="FFF8696B"/>
        <color rgb="FFFFEB84"/>
        <color rgb="FF63BE7B"/>
      </colorScale>
    </cfRule>
  </conditionalFormatting>
  <conditionalFormatting sqref="E10:E27">
    <cfRule type="colorScale" priority="8429">
      <colorScale>
        <cfvo type="min"/>
        <cfvo type="percentile" val="50"/>
        <cfvo type="max"/>
        <color rgb="FFF8696B"/>
        <color rgb="FFFFEB84"/>
        <color rgb="FF63BE7B"/>
      </colorScale>
    </cfRule>
  </conditionalFormatting>
  <conditionalFormatting sqref="E10:E27">
    <cfRule type="colorScale" priority="8428">
      <colorScale>
        <cfvo type="min"/>
        <cfvo type="percentile" val="50"/>
        <cfvo type="max"/>
        <color rgb="FFF8696B"/>
        <color rgb="FFFFEB84"/>
        <color rgb="FF63BE7B"/>
      </colorScale>
    </cfRule>
  </conditionalFormatting>
  <conditionalFormatting sqref="E10:E27">
    <cfRule type="colorScale" priority="8427">
      <colorScale>
        <cfvo type="min"/>
        <cfvo type="percentile" val="50"/>
        <cfvo type="max"/>
        <color rgb="FFF8696B"/>
        <color rgb="FFFFEB84"/>
        <color rgb="FF63BE7B"/>
      </colorScale>
    </cfRule>
  </conditionalFormatting>
  <conditionalFormatting sqref="E10:E27">
    <cfRule type="colorScale" priority="8426">
      <colorScale>
        <cfvo type="min"/>
        <cfvo type="percentile" val="50"/>
        <cfvo type="max"/>
        <color rgb="FFF8696B"/>
        <color rgb="FFFFEB84"/>
        <color rgb="FF63BE7B"/>
      </colorScale>
    </cfRule>
  </conditionalFormatting>
  <conditionalFormatting sqref="E10:E27">
    <cfRule type="colorScale" priority="8425">
      <colorScale>
        <cfvo type="min"/>
        <cfvo type="percentile" val="50"/>
        <cfvo type="max"/>
        <color rgb="FFF8696B"/>
        <color rgb="FFFFEB84"/>
        <color rgb="FF63BE7B"/>
      </colorScale>
    </cfRule>
  </conditionalFormatting>
  <conditionalFormatting sqref="E10:E27">
    <cfRule type="colorScale" priority="8424">
      <colorScale>
        <cfvo type="min"/>
        <cfvo type="percentile" val="50"/>
        <cfvo type="max"/>
        <color rgb="FFF8696B"/>
        <color rgb="FFFFEB84"/>
        <color rgb="FF63BE7B"/>
      </colorScale>
    </cfRule>
  </conditionalFormatting>
  <conditionalFormatting sqref="E10:E27">
    <cfRule type="colorScale" priority="8423">
      <colorScale>
        <cfvo type="min"/>
        <cfvo type="percentile" val="50"/>
        <cfvo type="max"/>
        <color rgb="FFF8696B"/>
        <color rgb="FFFFEB84"/>
        <color rgb="FF63BE7B"/>
      </colorScale>
    </cfRule>
  </conditionalFormatting>
  <conditionalFormatting sqref="E10:E27">
    <cfRule type="colorScale" priority="8422">
      <colorScale>
        <cfvo type="min"/>
        <cfvo type="percentile" val="50"/>
        <cfvo type="max"/>
        <color rgb="FFF8696B"/>
        <color rgb="FFFFEB84"/>
        <color rgb="FF63BE7B"/>
      </colorScale>
    </cfRule>
  </conditionalFormatting>
  <conditionalFormatting sqref="E10:E27">
    <cfRule type="colorScale" priority="8421">
      <colorScale>
        <cfvo type="min"/>
        <cfvo type="percentile" val="50"/>
        <cfvo type="max"/>
        <color rgb="FFF8696B"/>
        <color rgb="FFFFEB84"/>
        <color rgb="FF63BE7B"/>
      </colorScale>
    </cfRule>
  </conditionalFormatting>
  <conditionalFormatting sqref="E10:E27">
    <cfRule type="colorScale" priority="8420">
      <colorScale>
        <cfvo type="min"/>
        <cfvo type="percentile" val="50"/>
        <cfvo type="max"/>
        <color rgb="FFF8696B"/>
        <color rgb="FFFFEB84"/>
        <color rgb="FF63BE7B"/>
      </colorScale>
    </cfRule>
  </conditionalFormatting>
  <conditionalFormatting sqref="E10:E27">
    <cfRule type="colorScale" priority="8419">
      <colorScale>
        <cfvo type="min"/>
        <cfvo type="percentile" val="50"/>
        <cfvo type="max"/>
        <color rgb="FFF8696B"/>
        <color rgb="FFFFEB84"/>
        <color rgb="FF63BE7B"/>
      </colorScale>
    </cfRule>
  </conditionalFormatting>
  <conditionalFormatting sqref="E10:E27">
    <cfRule type="colorScale" priority="8418">
      <colorScale>
        <cfvo type="min"/>
        <cfvo type="percentile" val="50"/>
        <cfvo type="max"/>
        <color rgb="FFF8696B"/>
        <color rgb="FFFFEB84"/>
        <color rgb="FF63BE7B"/>
      </colorScale>
    </cfRule>
  </conditionalFormatting>
  <conditionalFormatting sqref="E10:E27">
    <cfRule type="colorScale" priority="8417">
      <colorScale>
        <cfvo type="min"/>
        <cfvo type="percentile" val="50"/>
        <cfvo type="max"/>
        <color rgb="FFF8696B"/>
        <color rgb="FFFFEB84"/>
        <color rgb="FF63BE7B"/>
      </colorScale>
    </cfRule>
  </conditionalFormatting>
  <conditionalFormatting sqref="E10:E27">
    <cfRule type="colorScale" priority="8416">
      <colorScale>
        <cfvo type="min"/>
        <cfvo type="percentile" val="50"/>
        <cfvo type="max"/>
        <color rgb="FFF8696B"/>
        <color rgb="FFFFEB84"/>
        <color rgb="FF63BE7B"/>
      </colorScale>
    </cfRule>
  </conditionalFormatting>
  <conditionalFormatting sqref="E10:E27">
    <cfRule type="colorScale" priority="8415">
      <colorScale>
        <cfvo type="min"/>
        <cfvo type="percentile" val="50"/>
        <cfvo type="max"/>
        <color rgb="FFF8696B"/>
        <color rgb="FFFFEB84"/>
        <color rgb="FF63BE7B"/>
      </colorScale>
    </cfRule>
  </conditionalFormatting>
  <conditionalFormatting sqref="E10:E27">
    <cfRule type="colorScale" priority="8414">
      <colorScale>
        <cfvo type="min"/>
        <cfvo type="percentile" val="50"/>
        <cfvo type="max"/>
        <color rgb="FFF8696B"/>
        <color rgb="FFFFEB84"/>
        <color rgb="FF63BE7B"/>
      </colorScale>
    </cfRule>
  </conditionalFormatting>
  <conditionalFormatting sqref="E10:E27">
    <cfRule type="colorScale" priority="8413">
      <colorScale>
        <cfvo type="min"/>
        <cfvo type="percentile" val="50"/>
        <cfvo type="max"/>
        <color rgb="FFF8696B"/>
        <color rgb="FFFFEB84"/>
        <color rgb="FF63BE7B"/>
      </colorScale>
    </cfRule>
  </conditionalFormatting>
  <conditionalFormatting sqref="E10:E27">
    <cfRule type="colorScale" priority="8412">
      <colorScale>
        <cfvo type="min"/>
        <cfvo type="percentile" val="50"/>
        <cfvo type="max"/>
        <color rgb="FFF8696B"/>
        <color rgb="FFFFEB84"/>
        <color rgb="FF63BE7B"/>
      </colorScale>
    </cfRule>
  </conditionalFormatting>
  <conditionalFormatting sqref="E10:E27">
    <cfRule type="colorScale" priority="8411">
      <colorScale>
        <cfvo type="min"/>
        <cfvo type="percentile" val="50"/>
        <cfvo type="max"/>
        <color rgb="FFF8696B"/>
        <color rgb="FFFFEB84"/>
        <color rgb="FF63BE7B"/>
      </colorScale>
    </cfRule>
  </conditionalFormatting>
  <conditionalFormatting sqref="E10:E27">
    <cfRule type="colorScale" priority="8410">
      <colorScale>
        <cfvo type="min"/>
        <cfvo type="percentile" val="50"/>
        <cfvo type="max"/>
        <color rgb="FFF8696B"/>
        <color rgb="FFFFEB84"/>
        <color rgb="FF63BE7B"/>
      </colorScale>
    </cfRule>
  </conditionalFormatting>
  <conditionalFormatting sqref="E10:E27">
    <cfRule type="colorScale" priority="8409">
      <colorScale>
        <cfvo type="min"/>
        <cfvo type="percentile" val="50"/>
        <cfvo type="max"/>
        <color rgb="FFF8696B"/>
        <color rgb="FFFFEB84"/>
        <color rgb="FF63BE7B"/>
      </colorScale>
    </cfRule>
  </conditionalFormatting>
  <conditionalFormatting sqref="E10:E27">
    <cfRule type="colorScale" priority="8408">
      <colorScale>
        <cfvo type="min"/>
        <cfvo type="percentile" val="50"/>
        <cfvo type="max"/>
        <color rgb="FFF8696B"/>
        <color rgb="FFFFEB84"/>
        <color rgb="FF63BE7B"/>
      </colorScale>
    </cfRule>
  </conditionalFormatting>
  <conditionalFormatting sqref="E10:E27">
    <cfRule type="colorScale" priority="8407">
      <colorScale>
        <cfvo type="min"/>
        <cfvo type="percentile" val="50"/>
        <cfvo type="max"/>
        <color rgb="FFF8696B"/>
        <color rgb="FFFFEB84"/>
        <color rgb="FF63BE7B"/>
      </colorScale>
    </cfRule>
  </conditionalFormatting>
  <conditionalFormatting sqref="E10:E27">
    <cfRule type="colorScale" priority="8406">
      <colorScale>
        <cfvo type="min"/>
        <cfvo type="percentile" val="50"/>
        <cfvo type="max"/>
        <color rgb="FFF8696B"/>
        <color rgb="FFFFEB84"/>
        <color rgb="FF63BE7B"/>
      </colorScale>
    </cfRule>
  </conditionalFormatting>
  <conditionalFormatting sqref="E10:E27">
    <cfRule type="colorScale" priority="8405">
      <colorScale>
        <cfvo type="min"/>
        <cfvo type="percentile" val="50"/>
        <cfvo type="max"/>
        <color rgb="FFF8696B"/>
        <color rgb="FFFFEB84"/>
        <color rgb="FF63BE7B"/>
      </colorScale>
    </cfRule>
  </conditionalFormatting>
  <conditionalFormatting sqref="E10:E27">
    <cfRule type="colorScale" priority="8404">
      <colorScale>
        <cfvo type="min"/>
        <cfvo type="percentile" val="50"/>
        <cfvo type="max"/>
        <color rgb="FFF8696B"/>
        <color rgb="FFFFEB84"/>
        <color rgb="FF63BE7B"/>
      </colorScale>
    </cfRule>
  </conditionalFormatting>
  <conditionalFormatting sqref="E10:E27">
    <cfRule type="colorScale" priority="8403">
      <colorScale>
        <cfvo type="min"/>
        <cfvo type="percentile" val="50"/>
        <cfvo type="max"/>
        <color rgb="FFF8696B"/>
        <color rgb="FFFFEB84"/>
        <color rgb="FF63BE7B"/>
      </colorScale>
    </cfRule>
  </conditionalFormatting>
  <conditionalFormatting sqref="E10:E27">
    <cfRule type="colorScale" priority="8402">
      <colorScale>
        <cfvo type="min"/>
        <cfvo type="percentile" val="50"/>
        <cfvo type="max"/>
        <color rgb="FFF8696B"/>
        <color rgb="FFFFEB84"/>
        <color rgb="FF63BE7B"/>
      </colorScale>
    </cfRule>
  </conditionalFormatting>
  <conditionalFormatting sqref="E10:E27">
    <cfRule type="colorScale" priority="8401">
      <colorScale>
        <cfvo type="min"/>
        <cfvo type="percentile" val="50"/>
        <cfvo type="max"/>
        <color rgb="FFF8696B"/>
        <color rgb="FFFFEB84"/>
        <color rgb="FF63BE7B"/>
      </colorScale>
    </cfRule>
  </conditionalFormatting>
  <conditionalFormatting sqref="E10:E27">
    <cfRule type="colorScale" priority="8400">
      <colorScale>
        <cfvo type="min"/>
        <cfvo type="percentile" val="50"/>
        <cfvo type="max"/>
        <color rgb="FFF8696B"/>
        <color rgb="FFFFEB84"/>
        <color rgb="FF63BE7B"/>
      </colorScale>
    </cfRule>
  </conditionalFormatting>
  <conditionalFormatting sqref="E10:E21">
    <cfRule type="colorScale" priority="8399">
      <colorScale>
        <cfvo type="min"/>
        <cfvo type="percentile" val="50"/>
        <cfvo type="max"/>
        <color rgb="FFF8696B"/>
        <color rgb="FFFFEB84"/>
        <color rgb="FF63BE7B"/>
      </colorScale>
    </cfRule>
  </conditionalFormatting>
  <conditionalFormatting sqref="E10:E21">
    <cfRule type="colorScale" priority="8398">
      <colorScale>
        <cfvo type="min"/>
        <cfvo type="percentile" val="50"/>
        <cfvo type="max"/>
        <color rgb="FFF8696B"/>
        <color rgb="FFFFEB84"/>
        <color rgb="FF63BE7B"/>
      </colorScale>
    </cfRule>
  </conditionalFormatting>
  <conditionalFormatting sqref="E10:E27">
    <cfRule type="colorScale" priority="8397">
      <colorScale>
        <cfvo type="min"/>
        <cfvo type="percentile" val="50"/>
        <cfvo type="max"/>
        <color rgb="FFF8696B"/>
        <color rgb="FFFFEB84"/>
        <color rgb="FF63BE7B"/>
      </colorScale>
    </cfRule>
  </conditionalFormatting>
  <conditionalFormatting sqref="E10:E27">
    <cfRule type="colorScale" priority="8396">
      <colorScale>
        <cfvo type="min"/>
        <cfvo type="percentile" val="50"/>
        <cfvo type="max"/>
        <color rgb="FFF8696B"/>
        <color rgb="FFFFEB84"/>
        <color rgb="FF63BE7B"/>
      </colorScale>
    </cfRule>
  </conditionalFormatting>
  <conditionalFormatting sqref="E10:E27">
    <cfRule type="colorScale" priority="8395">
      <colorScale>
        <cfvo type="min"/>
        <cfvo type="percentile" val="50"/>
        <cfvo type="max"/>
        <color rgb="FFF8696B"/>
        <color rgb="FFFFEB84"/>
        <color rgb="FF63BE7B"/>
      </colorScale>
    </cfRule>
  </conditionalFormatting>
  <conditionalFormatting sqref="E10:E27">
    <cfRule type="colorScale" priority="8394">
      <colorScale>
        <cfvo type="min"/>
        <cfvo type="percentile" val="50"/>
        <cfvo type="max"/>
        <color rgb="FFF8696B"/>
        <color rgb="FFFFEB84"/>
        <color rgb="FF63BE7B"/>
      </colorScale>
    </cfRule>
  </conditionalFormatting>
  <conditionalFormatting sqref="E10:E27">
    <cfRule type="colorScale" priority="8393">
      <colorScale>
        <cfvo type="min"/>
        <cfvo type="percentile" val="50"/>
        <cfvo type="max"/>
        <color rgb="FFF8696B"/>
        <color rgb="FFFFEB84"/>
        <color rgb="FF63BE7B"/>
      </colorScale>
    </cfRule>
  </conditionalFormatting>
  <conditionalFormatting sqref="E10:E27">
    <cfRule type="colorScale" priority="8392">
      <colorScale>
        <cfvo type="min"/>
        <cfvo type="percentile" val="50"/>
        <cfvo type="max"/>
        <color rgb="FFF8696B"/>
        <color rgb="FFFFEB84"/>
        <color rgb="FF63BE7B"/>
      </colorScale>
    </cfRule>
  </conditionalFormatting>
  <conditionalFormatting sqref="E10:E27">
    <cfRule type="colorScale" priority="8391">
      <colorScale>
        <cfvo type="min"/>
        <cfvo type="percentile" val="50"/>
        <cfvo type="max"/>
        <color rgb="FFF8696B"/>
        <color rgb="FFFFEB84"/>
        <color rgb="FF63BE7B"/>
      </colorScale>
    </cfRule>
  </conditionalFormatting>
  <conditionalFormatting sqref="E10:E27">
    <cfRule type="colorScale" priority="8390">
      <colorScale>
        <cfvo type="min"/>
        <cfvo type="percentile" val="50"/>
        <cfvo type="max"/>
        <color rgb="FFF8696B"/>
        <color rgb="FFFFEB84"/>
        <color rgb="FF63BE7B"/>
      </colorScale>
    </cfRule>
  </conditionalFormatting>
  <conditionalFormatting sqref="E22:E27">
    <cfRule type="colorScale" priority="8389">
      <colorScale>
        <cfvo type="min"/>
        <cfvo type="percentile" val="50"/>
        <cfvo type="max"/>
        <color rgb="FFF8696B"/>
        <color rgb="FFFFEB84"/>
        <color rgb="FF63BE7B"/>
      </colorScale>
    </cfRule>
  </conditionalFormatting>
  <conditionalFormatting sqref="E22:E27">
    <cfRule type="colorScale" priority="8388">
      <colorScale>
        <cfvo type="min"/>
        <cfvo type="percentile" val="50"/>
        <cfvo type="max"/>
        <color rgb="FFF8696B"/>
        <color rgb="FFFFEB84"/>
        <color rgb="FF63BE7B"/>
      </colorScale>
    </cfRule>
  </conditionalFormatting>
  <conditionalFormatting sqref="E25">
    <cfRule type="colorScale" priority="8387">
      <colorScale>
        <cfvo type="min"/>
        <cfvo type="percentile" val="50"/>
        <cfvo type="max"/>
        <color rgb="FFF8696B"/>
        <color rgb="FFFFEB84"/>
        <color rgb="FF63BE7B"/>
      </colorScale>
    </cfRule>
  </conditionalFormatting>
  <conditionalFormatting sqref="E25">
    <cfRule type="colorScale" priority="8386">
      <colorScale>
        <cfvo type="min"/>
        <cfvo type="percentile" val="50"/>
        <cfvo type="max"/>
        <color rgb="FFF8696B"/>
        <color rgb="FFFFEB84"/>
        <color rgb="FF63BE7B"/>
      </colorScale>
    </cfRule>
  </conditionalFormatting>
  <conditionalFormatting sqref="E25">
    <cfRule type="colorScale" priority="8385">
      <colorScale>
        <cfvo type="min"/>
        <cfvo type="percentile" val="50"/>
        <cfvo type="max"/>
        <color rgb="FFF8696B"/>
        <color rgb="FFFFEB84"/>
        <color rgb="FF63BE7B"/>
      </colorScale>
    </cfRule>
  </conditionalFormatting>
  <conditionalFormatting sqref="E25">
    <cfRule type="colorScale" priority="8384">
      <colorScale>
        <cfvo type="min"/>
        <cfvo type="percentile" val="50"/>
        <cfvo type="max"/>
        <color rgb="FFF8696B"/>
        <color rgb="FFFFEB84"/>
        <color rgb="FF63BE7B"/>
      </colorScale>
    </cfRule>
  </conditionalFormatting>
  <conditionalFormatting sqref="E25">
    <cfRule type="colorScale" priority="8383">
      <colorScale>
        <cfvo type="min"/>
        <cfvo type="percentile" val="50"/>
        <cfvo type="max"/>
        <color rgb="FFF8696B"/>
        <color rgb="FFFFEB84"/>
        <color rgb="FF63BE7B"/>
      </colorScale>
    </cfRule>
  </conditionalFormatting>
  <conditionalFormatting sqref="E25">
    <cfRule type="colorScale" priority="8382">
      <colorScale>
        <cfvo type="min"/>
        <cfvo type="percentile" val="50"/>
        <cfvo type="max"/>
        <color rgb="FFF8696B"/>
        <color rgb="FFFFEB84"/>
        <color rgb="FF63BE7B"/>
      </colorScale>
    </cfRule>
  </conditionalFormatting>
  <conditionalFormatting sqref="E25">
    <cfRule type="colorScale" priority="8381">
      <colorScale>
        <cfvo type="min"/>
        <cfvo type="percentile" val="50"/>
        <cfvo type="max"/>
        <color rgb="FFF8696B"/>
        <color rgb="FFFFEB84"/>
        <color rgb="FF63BE7B"/>
      </colorScale>
    </cfRule>
  </conditionalFormatting>
  <conditionalFormatting sqref="E25">
    <cfRule type="colorScale" priority="8380">
      <colorScale>
        <cfvo type="min"/>
        <cfvo type="percentile" val="50"/>
        <cfvo type="max"/>
        <color rgb="FFF8696B"/>
        <color rgb="FFFFEB84"/>
        <color rgb="FF63BE7B"/>
      </colorScale>
    </cfRule>
  </conditionalFormatting>
  <conditionalFormatting sqref="E25">
    <cfRule type="colorScale" priority="8379">
      <colorScale>
        <cfvo type="min"/>
        <cfvo type="percentile" val="50"/>
        <cfvo type="max"/>
        <color rgb="FFF8696B"/>
        <color rgb="FFFFEB84"/>
        <color rgb="FF63BE7B"/>
      </colorScale>
    </cfRule>
  </conditionalFormatting>
  <conditionalFormatting sqref="E25">
    <cfRule type="colorScale" priority="8378">
      <colorScale>
        <cfvo type="min"/>
        <cfvo type="percentile" val="50"/>
        <cfvo type="max"/>
        <color rgb="FFF8696B"/>
        <color rgb="FFFFEB84"/>
        <color rgb="FF63BE7B"/>
      </colorScale>
    </cfRule>
  </conditionalFormatting>
  <conditionalFormatting sqref="E25">
    <cfRule type="colorScale" priority="8377">
      <colorScale>
        <cfvo type="min"/>
        <cfvo type="percentile" val="50"/>
        <cfvo type="max"/>
        <color rgb="FFF8696B"/>
        <color rgb="FFFFEB84"/>
        <color rgb="FF63BE7B"/>
      </colorScale>
    </cfRule>
  </conditionalFormatting>
  <conditionalFormatting sqref="E25">
    <cfRule type="colorScale" priority="8376">
      <colorScale>
        <cfvo type="min"/>
        <cfvo type="percentile" val="50"/>
        <cfvo type="max"/>
        <color rgb="FFF8696B"/>
        <color rgb="FFFFEB84"/>
        <color rgb="FF63BE7B"/>
      </colorScale>
    </cfRule>
  </conditionalFormatting>
  <conditionalFormatting sqref="E25">
    <cfRule type="colorScale" priority="8375">
      <colorScale>
        <cfvo type="min"/>
        <cfvo type="percentile" val="50"/>
        <cfvo type="max"/>
        <color rgb="FFF8696B"/>
        <color rgb="FFFFEB84"/>
        <color rgb="FF63BE7B"/>
      </colorScale>
    </cfRule>
  </conditionalFormatting>
  <conditionalFormatting sqref="E25">
    <cfRule type="colorScale" priority="8374">
      <colorScale>
        <cfvo type="min"/>
        <cfvo type="percentile" val="50"/>
        <cfvo type="max"/>
        <color rgb="FFF8696B"/>
        <color rgb="FFFFEB84"/>
        <color rgb="FF63BE7B"/>
      </colorScale>
    </cfRule>
  </conditionalFormatting>
  <conditionalFormatting sqref="E25">
    <cfRule type="colorScale" priority="8373">
      <colorScale>
        <cfvo type="min"/>
        <cfvo type="percentile" val="50"/>
        <cfvo type="max"/>
        <color rgb="FFF8696B"/>
        <color rgb="FFFFEB84"/>
        <color rgb="FF63BE7B"/>
      </colorScale>
    </cfRule>
  </conditionalFormatting>
  <conditionalFormatting sqref="E25">
    <cfRule type="colorScale" priority="8372">
      <colorScale>
        <cfvo type="min"/>
        <cfvo type="percentile" val="50"/>
        <cfvo type="max"/>
        <color rgb="FFF8696B"/>
        <color rgb="FFFFEB84"/>
        <color rgb="FF63BE7B"/>
      </colorScale>
    </cfRule>
  </conditionalFormatting>
  <conditionalFormatting sqref="E25">
    <cfRule type="colorScale" priority="8371">
      <colorScale>
        <cfvo type="min"/>
        <cfvo type="percentile" val="50"/>
        <cfvo type="max"/>
        <color rgb="FFF8696B"/>
        <color rgb="FFFFEB84"/>
        <color rgb="FF63BE7B"/>
      </colorScale>
    </cfRule>
  </conditionalFormatting>
  <conditionalFormatting sqref="E25">
    <cfRule type="colorScale" priority="8370">
      <colorScale>
        <cfvo type="min"/>
        <cfvo type="percentile" val="50"/>
        <cfvo type="max"/>
        <color rgb="FFF8696B"/>
        <color rgb="FFFFEB84"/>
        <color rgb="FF63BE7B"/>
      </colorScale>
    </cfRule>
  </conditionalFormatting>
  <conditionalFormatting sqref="E25">
    <cfRule type="colorScale" priority="8369">
      <colorScale>
        <cfvo type="min"/>
        <cfvo type="percentile" val="50"/>
        <cfvo type="max"/>
        <color rgb="FFF8696B"/>
        <color rgb="FFFFEB84"/>
        <color rgb="FF63BE7B"/>
      </colorScale>
    </cfRule>
  </conditionalFormatting>
  <conditionalFormatting sqref="E25">
    <cfRule type="colorScale" priority="8368">
      <colorScale>
        <cfvo type="min"/>
        <cfvo type="percentile" val="50"/>
        <cfvo type="max"/>
        <color rgb="FFF8696B"/>
        <color rgb="FFFFEB84"/>
        <color rgb="FF63BE7B"/>
      </colorScale>
    </cfRule>
  </conditionalFormatting>
  <conditionalFormatting sqref="E25">
    <cfRule type="colorScale" priority="8367">
      <colorScale>
        <cfvo type="min"/>
        <cfvo type="percentile" val="50"/>
        <cfvo type="max"/>
        <color rgb="FFF8696B"/>
        <color rgb="FFFFEB84"/>
        <color rgb="FF63BE7B"/>
      </colorScale>
    </cfRule>
  </conditionalFormatting>
  <conditionalFormatting sqref="E25">
    <cfRule type="colorScale" priority="8366">
      <colorScale>
        <cfvo type="min"/>
        <cfvo type="percentile" val="50"/>
        <cfvo type="max"/>
        <color rgb="FFF8696B"/>
        <color rgb="FFFFEB84"/>
        <color rgb="FF63BE7B"/>
      </colorScale>
    </cfRule>
  </conditionalFormatting>
  <conditionalFormatting sqref="E25">
    <cfRule type="colorScale" priority="8365">
      <colorScale>
        <cfvo type="min"/>
        <cfvo type="percentile" val="50"/>
        <cfvo type="max"/>
        <color rgb="FFF8696B"/>
        <color rgb="FFFFEB84"/>
        <color rgb="FF63BE7B"/>
      </colorScale>
    </cfRule>
  </conditionalFormatting>
  <conditionalFormatting sqref="E25">
    <cfRule type="colorScale" priority="8364">
      <colorScale>
        <cfvo type="min"/>
        <cfvo type="percentile" val="50"/>
        <cfvo type="max"/>
        <color rgb="FFF8696B"/>
        <color rgb="FFFFEB84"/>
        <color rgb="FF63BE7B"/>
      </colorScale>
    </cfRule>
  </conditionalFormatting>
  <conditionalFormatting sqref="E25">
    <cfRule type="colorScale" priority="8363">
      <colorScale>
        <cfvo type="min"/>
        <cfvo type="percentile" val="50"/>
        <cfvo type="max"/>
        <color rgb="FFF8696B"/>
        <color rgb="FFFFEB84"/>
        <color rgb="FF63BE7B"/>
      </colorScale>
    </cfRule>
  </conditionalFormatting>
  <conditionalFormatting sqref="E25">
    <cfRule type="colorScale" priority="8362">
      <colorScale>
        <cfvo type="min"/>
        <cfvo type="percentile" val="50"/>
        <cfvo type="max"/>
        <color rgb="FFF8696B"/>
        <color rgb="FFFFEB84"/>
        <color rgb="FF63BE7B"/>
      </colorScale>
    </cfRule>
  </conditionalFormatting>
  <conditionalFormatting sqref="E25">
    <cfRule type="colorScale" priority="8361">
      <colorScale>
        <cfvo type="min"/>
        <cfvo type="percentile" val="50"/>
        <cfvo type="max"/>
        <color rgb="FFF8696B"/>
        <color rgb="FFFFEB84"/>
        <color rgb="FF63BE7B"/>
      </colorScale>
    </cfRule>
  </conditionalFormatting>
  <conditionalFormatting sqref="E25">
    <cfRule type="colorScale" priority="8360">
      <colorScale>
        <cfvo type="min"/>
        <cfvo type="percentile" val="50"/>
        <cfvo type="max"/>
        <color rgb="FFF8696B"/>
        <color rgb="FFFFEB84"/>
        <color rgb="FF63BE7B"/>
      </colorScale>
    </cfRule>
  </conditionalFormatting>
  <conditionalFormatting sqref="E25">
    <cfRule type="colorScale" priority="8359">
      <colorScale>
        <cfvo type="min"/>
        <cfvo type="percentile" val="50"/>
        <cfvo type="max"/>
        <color rgb="FFF8696B"/>
        <color rgb="FFFFEB84"/>
        <color rgb="FF63BE7B"/>
      </colorScale>
    </cfRule>
  </conditionalFormatting>
  <conditionalFormatting sqref="E25">
    <cfRule type="colorScale" priority="8358">
      <colorScale>
        <cfvo type="min"/>
        <cfvo type="percentile" val="50"/>
        <cfvo type="max"/>
        <color rgb="FFF8696B"/>
        <color rgb="FFFFEB84"/>
        <color rgb="FF63BE7B"/>
      </colorScale>
    </cfRule>
  </conditionalFormatting>
  <conditionalFormatting sqref="E25">
    <cfRule type="colorScale" priority="8357">
      <colorScale>
        <cfvo type="min"/>
        <cfvo type="percentile" val="50"/>
        <cfvo type="max"/>
        <color rgb="FFF8696B"/>
        <color rgb="FFFFEB84"/>
        <color rgb="FF63BE7B"/>
      </colorScale>
    </cfRule>
  </conditionalFormatting>
  <conditionalFormatting sqref="E25">
    <cfRule type="colorScale" priority="8356">
      <colorScale>
        <cfvo type="min"/>
        <cfvo type="percentile" val="50"/>
        <cfvo type="max"/>
        <color rgb="FFF8696B"/>
        <color rgb="FFFFEB84"/>
        <color rgb="FF63BE7B"/>
      </colorScale>
    </cfRule>
  </conditionalFormatting>
  <conditionalFormatting sqref="E25">
    <cfRule type="colorScale" priority="8355">
      <colorScale>
        <cfvo type="min"/>
        <cfvo type="percentile" val="50"/>
        <cfvo type="max"/>
        <color rgb="FFF8696B"/>
        <color rgb="FFFFEB84"/>
        <color rgb="FF63BE7B"/>
      </colorScale>
    </cfRule>
  </conditionalFormatting>
  <conditionalFormatting sqref="E25">
    <cfRule type="colorScale" priority="8354">
      <colorScale>
        <cfvo type="min"/>
        <cfvo type="percentile" val="50"/>
        <cfvo type="max"/>
        <color rgb="FFF8696B"/>
        <color rgb="FFFFEB84"/>
        <color rgb="FF63BE7B"/>
      </colorScale>
    </cfRule>
  </conditionalFormatting>
  <conditionalFormatting sqref="E25">
    <cfRule type="colorScale" priority="8353">
      <colorScale>
        <cfvo type="min"/>
        <cfvo type="percentile" val="50"/>
        <cfvo type="max"/>
        <color rgb="FFF8696B"/>
        <color rgb="FFFFEB84"/>
        <color rgb="FF63BE7B"/>
      </colorScale>
    </cfRule>
  </conditionalFormatting>
  <conditionalFormatting sqref="E25">
    <cfRule type="colorScale" priority="8352">
      <colorScale>
        <cfvo type="min"/>
        <cfvo type="percentile" val="50"/>
        <cfvo type="max"/>
        <color rgb="FFF8696B"/>
        <color rgb="FFFFEB84"/>
        <color rgb="FF63BE7B"/>
      </colorScale>
    </cfRule>
  </conditionalFormatting>
  <conditionalFormatting sqref="E25">
    <cfRule type="colorScale" priority="8351">
      <colorScale>
        <cfvo type="min"/>
        <cfvo type="percentile" val="50"/>
        <cfvo type="max"/>
        <color rgb="FFF8696B"/>
        <color rgb="FFFFEB84"/>
        <color rgb="FF63BE7B"/>
      </colorScale>
    </cfRule>
  </conditionalFormatting>
  <conditionalFormatting sqref="E25">
    <cfRule type="colorScale" priority="8350">
      <colorScale>
        <cfvo type="min"/>
        <cfvo type="percentile" val="50"/>
        <cfvo type="max"/>
        <color rgb="FFF8696B"/>
        <color rgb="FFFFEB84"/>
        <color rgb="FF63BE7B"/>
      </colorScale>
    </cfRule>
  </conditionalFormatting>
  <conditionalFormatting sqref="E25">
    <cfRule type="colorScale" priority="8349">
      <colorScale>
        <cfvo type="min"/>
        <cfvo type="percentile" val="50"/>
        <cfvo type="max"/>
        <color rgb="FFF8696B"/>
        <color rgb="FFFFEB84"/>
        <color rgb="FF63BE7B"/>
      </colorScale>
    </cfRule>
  </conditionalFormatting>
  <conditionalFormatting sqref="E25">
    <cfRule type="colorScale" priority="8348">
      <colorScale>
        <cfvo type="min"/>
        <cfvo type="percentile" val="50"/>
        <cfvo type="max"/>
        <color rgb="FFF8696B"/>
        <color rgb="FFFFEB84"/>
        <color rgb="FF63BE7B"/>
      </colorScale>
    </cfRule>
  </conditionalFormatting>
  <conditionalFormatting sqref="E25">
    <cfRule type="colorScale" priority="8347">
      <colorScale>
        <cfvo type="min"/>
        <cfvo type="percentile" val="50"/>
        <cfvo type="max"/>
        <color rgb="FFF8696B"/>
        <color rgb="FFFFEB84"/>
        <color rgb="FF63BE7B"/>
      </colorScale>
    </cfRule>
  </conditionalFormatting>
  <conditionalFormatting sqref="E25">
    <cfRule type="colorScale" priority="8346">
      <colorScale>
        <cfvo type="min"/>
        <cfvo type="percentile" val="50"/>
        <cfvo type="max"/>
        <color rgb="FFF8696B"/>
        <color rgb="FFFFEB84"/>
        <color rgb="FF63BE7B"/>
      </colorScale>
    </cfRule>
  </conditionalFormatting>
  <conditionalFormatting sqref="E25">
    <cfRule type="colorScale" priority="8345">
      <colorScale>
        <cfvo type="min"/>
        <cfvo type="percentile" val="50"/>
        <cfvo type="max"/>
        <color rgb="FFF8696B"/>
        <color rgb="FFFFEB84"/>
        <color rgb="FF63BE7B"/>
      </colorScale>
    </cfRule>
  </conditionalFormatting>
  <conditionalFormatting sqref="E25">
    <cfRule type="colorScale" priority="8344">
      <colorScale>
        <cfvo type="min"/>
        <cfvo type="percentile" val="50"/>
        <cfvo type="max"/>
        <color rgb="FFF8696B"/>
        <color rgb="FFFFEB84"/>
        <color rgb="FF63BE7B"/>
      </colorScale>
    </cfRule>
  </conditionalFormatting>
  <conditionalFormatting sqref="E25">
    <cfRule type="colorScale" priority="8343">
      <colorScale>
        <cfvo type="min"/>
        <cfvo type="percentile" val="50"/>
        <cfvo type="max"/>
        <color rgb="FFF8696B"/>
        <color rgb="FFFFEB84"/>
        <color rgb="FF63BE7B"/>
      </colorScale>
    </cfRule>
  </conditionalFormatting>
  <conditionalFormatting sqref="E25">
    <cfRule type="colorScale" priority="8342">
      <colorScale>
        <cfvo type="min"/>
        <cfvo type="percentile" val="50"/>
        <cfvo type="max"/>
        <color rgb="FFF8696B"/>
        <color rgb="FFFFEB84"/>
        <color rgb="FF63BE7B"/>
      </colorScale>
    </cfRule>
  </conditionalFormatting>
  <conditionalFormatting sqref="E25">
    <cfRule type="colorScale" priority="8341">
      <colorScale>
        <cfvo type="min"/>
        <cfvo type="percentile" val="50"/>
        <cfvo type="max"/>
        <color rgb="FFF8696B"/>
        <color rgb="FFFFEB84"/>
        <color rgb="FF63BE7B"/>
      </colorScale>
    </cfRule>
  </conditionalFormatting>
  <conditionalFormatting sqref="E25">
    <cfRule type="colorScale" priority="8340">
      <colorScale>
        <cfvo type="min"/>
        <cfvo type="percentile" val="50"/>
        <cfvo type="max"/>
        <color rgb="FFF8696B"/>
        <color rgb="FFFFEB84"/>
        <color rgb="FF63BE7B"/>
      </colorScale>
    </cfRule>
  </conditionalFormatting>
  <conditionalFormatting sqref="E25">
    <cfRule type="colorScale" priority="8339">
      <colorScale>
        <cfvo type="min"/>
        <cfvo type="percentile" val="50"/>
        <cfvo type="max"/>
        <color rgb="FFF8696B"/>
        <color rgb="FFFFEB84"/>
        <color rgb="FF63BE7B"/>
      </colorScale>
    </cfRule>
  </conditionalFormatting>
  <conditionalFormatting sqref="E25">
    <cfRule type="colorScale" priority="8338">
      <colorScale>
        <cfvo type="min"/>
        <cfvo type="percentile" val="50"/>
        <cfvo type="max"/>
        <color rgb="FFF8696B"/>
        <color rgb="FFFFEB84"/>
        <color rgb="FF63BE7B"/>
      </colorScale>
    </cfRule>
  </conditionalFormatting>
  <conditionalFormatting sqref="E25">
    <cfRule type="colorScale" priority="8337">
      <colorScale>
        <cfvo type="min"/>
        <cfvo type="percentile" val="50"/>
        <cfvo type="max"/>
        <color rgb="FFF8696B"/>
        <color rgb="FFFFEB84"/>
        <color rgb="FF63BE7B"/>
      </colorScale>
    </cfRule>
  </conditionalFormatting>
  <conditionalFormatting sqref="E25">
    <cfRule type="colorScale" priority="8336">
      <colorScale>
        <cfvo type="min"/>
        <cfvo type="percentile" val="50"/>
        <cfvo type="max"/>
        <color rgb="FFF8696B"/>
        <color rgb="FFFFEB84"/>
        <color rgb="FF63BE7B"/>
      </colorScale>
    </cfRule>
  </conditionalFormatting>
  <conditionalFormatting sqref="E25">
    <cfRule type="colorScale" priority="8335">
      <colorScale>
        <cfvo type="min"/>
        <cfvo type="percentile" val="50"/>
        <cfvo type="max"/>
        <color rgb="FFF8696B"/>
        <color rgb="FFFFEB84"/>
        <color rgb="FF63BE7B"/>
      </colorScale>
    </cfRule>
  </conditionalFormatting>
  <conditionalFormatting sqref="E25">
    <cfRule type="colorScale" priority="8334">
      <colorScale>
        <cfvo type="min"/>
        <cfvo type="percentile" val="50"/>
        <cfvo type="max"/>
        <color rgb="FFF8696B"/>
        <color rgb="FFFFEB84"/>
        <color rgb="FF63BE7B"/>
      </colorScale>
    </cfRule>
  </conditionalFormatting>
  <conditionalFormatting sqref="E25">
    <cfRule type="colorScale" priority="8333">
      <colorScale>
        <cfvo type="min"/>
        <cfvo type="percentile" val="50"/>
        <cfvo type="max"/>
        <color rgb="FFF8696B"/>
        <color rgb="FFFFEB84"/>
        <color rgb="FF63BE7B"/>
      </colorScale>
    </cfRule>
  </conditionalFormatting>
  <conditionalFormatting sqref="E25">
    <cfRule type="colorScale" priority="8332">
      <colorScale>
        <cfvo type="min"/>
        <cfvo type="percentile" val="50"/>
        <cfvo type="max"/>
        <color rgb="FFF8696B"/>
        <color rgb="FFFFEB84"/>
        <color rgb="FF63BE7B"/>
      </colorScale>
    </cfRule>
  </conditionalFormatting>
  <conditionalFormatting sqref="E25">
    <cfRule type="colorScale" priority="8331">
      <colorScale>
        <cfvo type="min"/>
        <cfvo type="percentile" val="50"/>
        <cfvo type="max"/>
        <color rgb="FFF8696B"/>
        <color rgb="FFFFEB84"/>
        <color rgb="FF63BE7B"/>
      </colorScale>
    </cfRule>
  </conditionalFormatting>
  <conditionalFormatting sqref="E25">
    <cfRule type="colorScale" priority="8330">
      <colorScale>
        <cfvo type="min"/>
        <cfvo type="percentile" val="50"/>
        <cfvo type="max"/>
        <color rgb="FFF8696B"/>
        <color rgb="FFFFEB84"/>
        <color rgb="FF63BE7B"/>
      </colorScale>
    </cfRule>
  </conditionalFormatting>
  <conditionalFormatting sqref="E25">
    <cfRule type="colorScale" priority="8329">
      <colorScale>
        <cfvo type="min"/>
        <cfvo type="percentile" val="50"/>
        <cfvo type="max"/>
        <color rgb="FFF8696B"/>
        <color rgb="FFFFEB84"/>
        <color rgb="FF63BE7B"/>
      </colorScale>
    </cfRule>
  </conditionalFormatting>
  <conditionalFormatting sqref="E25">
    <cfRule type="colorScale" priority="8328">
      <colorScale>
        <cfvo type="min"/>
        <cfvo type="percentile" val="50"/>
        <cfvo type="max"/>
        <color rgb="FFF8696B"/>
        <color rgb="FFFFEB84"/>
        <color rgb="FF63BE7B"/>
      </colorScale>
    </cfRule>
  </conditionalFormatting>
  <conditionalFormatting sqref="E25">
    <cfRule type="colorScale" priority="8327">
      <colorScale>
        <cfvo type="min"/>
        <cfvo type="percentile" val="50"/>
        <cfvo type="max"/>
        <color rgb="FFF8696B"/>
        <color rgb="FFFFEB84"/>
        <color rgb="FF63BE7B"/>
      </colorScale>
    </cfRule>
  </conditionalFormatting>
  <conditionalFormatting sqref="E25">
    <cfRule type="colorScale" priority="8326">
      <colorScale>
        <cfvo type="min"/>
        <cfvo type="percentile" val="50"/>
        <cfvo type="max"/>
        <color rgb="FFF8696B"/>
        <color rgb="FFFFEB84"/>
        <color rgb="FF63BE7B"/>
      </colorScale>
    </cfRule>
  </conditionalFormatting>
  <conditionalFormatting sqref="E25">
    <cfRule type="colorScale" priority="8325">
      <colorScale>
        <cfvo type="min"/>
        <cfvo type="percentile" val="50"/>
        <cfvo type="max"/>
        <color rgb="FFF8696B"/>
        <color rgb="FFFFEB84"/>
        <color rgb="FF63BE7B"/>
      </colorScale>
    </cfRule>
  </conditionalFormatting>
  <conditionalFormatting sqref="E25">
    <cfRule type="colorScale" priority="8324">
      <colorScale>
        <cfvo type="min"/>
        <cfvo type="percentile" val="50"/>
        <cfvo type="max"/>
        <color rgb="FFF8696B"/>
        <color rgb="FFFFEB84"/>
        <color rgb="FF63BE7B"/>
      </colorScale>
    </cfRule>
  </conditionalFormatting>
  <conditionalFormatting sqref="E25">
    <cfRule type="colorScale" priority="8323">
      <colorScale>
        <cfvo type="min"/>
        <cfvo type="percentile" val="50"/>
        <cfvo type="max"/>
        <color rgb="FFF8696B"/>
        <color rgb="FFFFEB84"/>
        <color rgb="FF63BE7B"/>
      </colorScale>
    </cfRule>
  </conditionalFormatting>
  <conditionalFormatting sqref="E25">
    <cfRule type="colorScale" priority="8322">
      <colorScale>
        <cfvo type="min"/>
        <cfvo type="percentile" val="50"/>
        <cfvo type="max"/>
        <color rgb="FFF8696B"/>
        <color rgb="FFFFEB84"/>
        <color rgb="FF63BE7B"/>
      </colorScale>
    </cfRule>
  </conditionalFormatting>
  <conditionalFormatting sqref="E25">
    <cfRule type="colorScale" priority="8321">
      <colorScale>
        <cfvo type="min"/>
        <cfvo type="percentile" val="50"/>
        <cfvo type="max"/>
        <color rgb="FFF8696B"/>
        <color rgb="FFFFEB84"/>
        <color rgb="FF63BE7B"/>
      </colorScale>
    </cfRule>
  </conditionalFormatting>
  <conditionalFormatting sqref="E25">
    <cfRule type="colorScale" priority="8320">
      <colorScale>
        <cfvo type="min"/>
        <cfvo type="percentile" val="50"/>
        <cfvo type="max"/>
        <color rgb="FFF8696B"/>
        <color rgb="FFFFEB84"/>
        <color rgb="FF63BE7B"/>
      </colorScale>
    </cfRule>
  </conditionalFormatting>
  <conditionalFormatting sqref="E25">
    <cfRule type="colorScale" priority="8319">
      <colorScale>
        <cfvo type="min"/>
        <cfvo type="percentile" val="50"/>
        <cfvo type="max"/>
        <color rgb="FFF8696B"/>
        <color rgb="FFFFEB84"/>
        <color rgb="FF63BE7B"/>
      </colorScale>
    </cfRule>
  </conditionalFormatting>
  <conditionalFormatting sqref="E25">
    <cfRule type="colorScale" priority="8318">
      <colorScale>
        <cfvo type="min"/>
        <cfvo type="percentile" val="50"/>
        <cfvo type="max"/>
        <color rgb="FFF8696B"/>
        <color rgb="FFFFEB84"/>
        <color rgb="FF63BE7B"/>
      </colorScale>
    </cfRule>
  </conditionalFormatting>
  <conditionalFormatting sqref="E25">
    <cfRule type="colorScale" priority="8317">
      <colorScale>
        <cfvo type="min"/>
        <cfvo type="percentile" val="50"/>
        <cfvo type="max"/>
        <color rgb="FFF8696B"/>
        <color rgb="FFFFEB84"/>
        <color rgb="FF63BE7B"/>
      </colorScale>
    </cfRule>
  </conditionalFormatting>
  <conditionalFormatting sqref="E25">
    <cfRule type="colorScale" priority="8316">
      <colorScale>
        <cfvo type="min"/>
        <cfvo type="percentile" val="50"/>
        <cfvo type="max"/>
        <color rgb="FFF8696B"/>
        <color rgb="FFFFEB84"/>
        <color rgb="FF63BE7B"/>
      </colorScale>
    </cfRule>
  </conditionalFormatting>
  <conditionalFormatting sqref="E25">
    <cfRule type="colorScale" priority="8315">
      <colorScale>
        <cfvo type="min"/>
        <cfvo type="percentile" val="50"/>
        <cfvo type="max"/>
        <color rgb="FFF8696B"/>
        <color rgb="FFFFEB84"/>
        <color rgb="FF63BE7B"/>
      </colorScale>
    </cfRule>
  </conditionalFormatting>
  <conditionalFormatting sqref="E25">
    <cfRule type="colorScale" priority="8314">
      <colorScale>
        <cfvo type="min"/>
        <cfvo type="percentile" val="50"/>
        <cfvo type="max"/>
        <color rgb="FFF8696B"/>
        <color rgb="FFFFEB84"/>
        <color rgb="FF63BE7B"/>
      </colorScale>
    </cfRule>
  </conditionalFormatting>
  <conditionalFormatting sqref="E25">
    <cfRule type="colorScale" priority="8313">
      <colorScale>
        <cfvo type="min"/>
        <cfvo type="percentile" val="50"/>
        <cfvo type="max"/>
        <color rgb="FFF8696B"/>
        <color rgb="FFFFEB84"/>
        <color rgb="FF63BE7B"/>
      </colorScale>
    </cfRule>
  </conditionalFormatting>
  <conditionalFormatting sqref="E25">
    <cfRule type="colorScale" priority="8312">
      <colorScale>
        <cfvo type="min"/>
        <cfvo type="percentile" val="50"/>
        <cfvo type="max"/>
        <color rgb="FFF8696B"/>
        <color rgb="FFFFEB84"/>
        <color rgb="FF63BE7B"/>
      </colorScale>
    </cfRule>
  </conditionalFormatting>
  <conditionalFormatting sqref="E25">
    <cfRule type="colorScale" priority="8311">
      <colorScale>
        <cfvo type="min"/>
        <cfvo type="percentile" val="50"/>
        <cfvo type="max"/>
        <color rgb="FFF8696B"/>
        <color rgb="FFFFEB84"/>
        <color rgb="FF63BE7B"/>
      </colorScale>
    </cfRule>
  </conditionalFormatting>
  <conditionalFormatting sqref="E25">
    <cfRule type="colorScale" priority="8310">
      <colorScale>
        <cfvo type="min"/>
        <cfvo type="percentile" val="50"/>
        <cfvo type="max"/>
        <color rgb="FFF8696B"/>
        <color rgb="FFFFEB84"/>
        <color rgb="FF63BE7B"/>
      </colorScale>
    </cfRule>
  </conditionalFormatting>
  <conditionalFormatting sqref="E25">
    <cfRule type="colorScale" priority="8309">
      <colorScale>
        <cfvo type="min"/>
        <cfvo type="percentile" val="50"/>
        <cfvo type="max"/>
        <color rgb="FFF8696B"/>
        <color rgb="FFFFEB84"/>
        <color rgb="FF63BE7B"/>
      </colorScale>
    </cfRule>
  </conditionalFormatting>
  <conditionalFormatting sqref="E25">
    <cfRule type="colorScale" priority="8308">
      <colorScale>
        <cfvo type="min"/>
        <cfvo type="percentile" val="50"/>
        <cfvo type="max"/>
        <color rgb="FFF8696B"/>
        <color rgb="FFFFEB84"/>
        <color rgb="FF63BE7B"/>
      </colorScale>
    </cfRule>
  </conditionalFormatting>
  <conditionalFormatting sqref="E25">
    <cfRule type="colorScale" priority="8307">
      <colorScale>
        <cfvo type="min"/>
        <cfvo type="percentile" val="50"/>
        <cfvo type="max"/>
        <color rgb="FFF8696B"/>
        <color rgb="FFFFEB84"/>
        <color rgb="FF63BE7B"/>
      </colorScale>
    </cfRule>
  </conditionalFormatting>
  <conditionalFormatting sqref="E25">
    <cfRule type="colorScale" priority="8306">
      <colorScale>
        <cfvo type="min"/>
        <cfvo type="percentile" val="50"/>
        <cfvo type="max"/>
        <color rgb="FFF8696B"/>
        <color rgb="FFFFEB84"/>
        <color rgb="FF63BE7B"/>
      </colorScale>
    </cfRule>
  </conditionalFormatting>
  <conditionalFormatting sqref="E25">
    <cfRule type="colorScale" priority="8305">
      <colorScale>
        <cfvo type="min"/>
        <cfvo type="percentile" val="50"/>
        <cfvo type="max"/>
        <color rgb="FFF8696B"/>
        <color rgb="FFFFEB84"/>
        <color rgb="FF63BE7B"/>
      </colorScale>
    </cfRule>
  </conditionalFormatting>
  <conditionalFormatting sqref="E25">
    <cfRule type="colorScale" priority="8304">
      <colorScale>
        <cfvo type="min"/>
        <cfvo type="percentile" val="50"/>
        <cfvo type="max"/>
        <color rgb="FFF8696B"/>
        <color rgb="FFFFEB84"/>
        <color rgb="FF63BE7B"/>
      </colorScale>
    </cfRule>
  </conditionalFormatting>
  <conditionalFormatting sqref="E25">
    <cfRule type="colorScale" priority="8303">
      <colorScale>
        <cfvo type="min"/>
        <cfvo type="percentile" val="50"/>
        <cfvo type="max"/>
        <color rgb="FFF8696B"/>
        <color rgb="FFFFEB84"/>
        <color rgb="FF63BE7B"/>
      </colorScale>
    </cfRule>
  </conditionalFormatting>
  <conditionalFormatting sqref="E25">
    <cfRule type="colorScale" priority="8302">
      <colorScale>
        <cfvo type="min"/>
        <cfvo type="percentile" val="50"/>
        <cfvo type="max"/>
        <color rgb="FFF8696B"/>
        <color rgb="FFFFEB84"/>
        <color rgb="FF63BE7B"/>
      </colorScale>
    </cfRule>
  </conditionalFormatting>
  <conditionalFormatting sqref="E25">
    <cfRule type="colorScale" priority="8301">
      <colorScale>
        <cfvo type="min"/>
        <cfvo type="percentile" val="50"/>
        <cfvo type="max"/>
        <color rgb="FFF8696B"/>
        <color rgb="FFFFEB84"/>
        <color rgb="FF63BE7B"/>
      </colorScale>
    </cfRule>
  </conditionalFormatting>
  <conditionalFormatting sqref="E25">
    <cfRule type="colorScale" priority="8300">
      <colorScale>
        <cfvo type="min"/>
        <cfvo type="percentile" val="50"/>
        <cfvo type="max"/>
        <color rgb="FFF8696B"/>
        <color rgb="FFFFEB84"/>
        <color rgb="FF63BE7B"/>
      </colorScale>
    </cfRule>
  </conditionalFormatting>
  <conditionalFormatting sqref="E25">
    <cfRule type="colorScale" priority="8299">
      <colorScale>
        <cfvo type="min"/>
        <cfvo type="percentile" val="50"/>
        <cfvo type="max"/>
        <color rgb="FFF8696B"/>
        <color rgb="FFFFEB84"/>
        <color rgb="FF63BE7B"/>
      </colorScale>
    </cfRule>
  </conditionalFormatting>
  <conditionalFormatting sqref="E25">
    <cfRule type="colorScale" priority="8298">
      <colorScale>
        <cfvo type="min"/>
        <cfvo type="percentile" val="50"/>
        <cfvo type="max"/>
        <color rgb="FFF8696B"/>
        <color rgb="FFFFEB84"/>
        <color rgb="FF63BE7B"/>
      </colorScale>
    </cfRule>
  </conditionalFormatting>
  <conditionalFormatting sqref="E25">
    <cfRule type="colorScale" priority="8297">
      <colorScale>
        <cfvo type="min"/>
        <cfvo type="percentile" val="50"/>
        <cfvo type="max"/>
        <color rgb="FFF8696B"/>
        <color rgb="FFFFEB84"/>
        <color rgb="FF63BE7B"/>
      </colorScale>
    </cfRule>
  </conditionalFormatting>
  <conditionalFormatting sqref="E25">
    <cfRule type="colorScale" priority="8296">
      <colorScale>
        <cfvo type="min"/>
        <cfvo type="percentile" val="50"/>
        <cfvo type="max"/>
        <color rgb="FFF8696B"/>
        <color rgb="FFFFEB84"/>
        <color rgb="FF63BE7B"/>
      </colorScale>
    </cfRule>
  </conditionalFormatting>
  <conditionalFormatting sqref="E25">
    <cfRule type="colorScale" priority="8295">
      <colorScale>
        <cfvo type="min"/>
        <cfvo type="percentile" val="50"/>
        <cfvo type="max"/>
        <color rgb="FFF8696B"/>
        <color rgb="FFFFEB84"/>
        <color rgb="FF63BE7B"/>
      </colorScale>
    </cfRule>
  </conditionalFormatting>
  <conditionalFormatting sqref="E25">
    <cfRule type="colorScale" priority="8294">
      <colorScale>
        <cfvo type="min"/>
        <cfvo type="percentile" val="50"/>
        <cfvo type="max"/>
        <color rgb="FFF8696B"/>
        <color rgb="FFFFEB84"/>
        <color rgb="FF63BE7B"/>
      </colorScale>
    </cfRule>
  </conditionalFormatting>
  <conditionalFormatting sqref="E25">
    <cfRule type="colorScale" priority="8293">
      <colorScale>
        <cfvo type="min"/>
        <cfvo type="percentile" val="50"/>
        <cfvo type="max"/>
        <color rgb="FFF8696B"/>
        <color rgb="FFFFEB84"/>
        <color rgb="FF63BE7B"/>
      </colorScale>
    </cfRule>
  </conditionalFormatting>
  <conditionalFormatting sqref="E25">
    <cfRule type="colorScale" priority="8292">
      <colorScale>
        <cfvo type="min"/>
        <cfvo type="percentile" val="50"/>
        <cfvo type="max"/>
        <color rgb="FFF8696B"/>
        <color rgb="FFFFEB84"/>
        <color rgb="FF63BE7B"/>
      </colorScale>
    </cfRule>
  </conditionalFormatting>
  <conditionalFormatting sqref="E25">
    <cfRule type="colorScale" priority="8291">
      <colorScale>
        <cfvo type="min"/>
        <cfvo type="percentile" val="50"/>
        <cfvo type="max"/>
        <color rgb="FFF8696B"/>
        <color rgb="FFFFEB84"/>
        <color rgb="FF63BE7B"/>
      </colorScale>
    </cfRule>
  </conditionalFormatting>
  <conditionalFormatting sqref="E25">
    <cfRule type="colorScale" priority="8290">
      <colorScale>
        <cfvo type="min"/>
        <cfvo type="percentile" val="50"/>
        <cfvo type="max"/>
        <color rgb="FFF8696B"/>
        <color rgb="FFFFEB84"/>
        <color rgb="FF63BE7B"/>
      </colorScale>
    </cfRule>
  </conditionalFormatting>
  <conditionalFormatting sqref="E25">
    <cfRule type="colorScale" priority="8289">
      <colorScale>
        <cfvo type="min"/>
        <cfvo type="percentile" val="50"/>
        <cfvo type="max"/>
        <color rgb="FFF8696B"/>
        <color rgb="FFFFEB84"/>
        <color rgb="FF63BE7B"/>
      </colorScale>
    </cfRule>
  </conditionalFormatting>
  <conditionalFormatting sqref="E25">
    <cfRule type="colorScale" priority="8288">
      <colorScale>
        <cfvo type="min"/>
        <cfvo type="percentile" val="50"/>
        <cfvo type="max"/>
        <color rgb="FFF8696B"/>
        <color rgb="FFFFEB84"/>
        <color rgb="FF63BE7B"/>
      </colorScale>
    </cfRule>
  </conditionalFormatting>
  <conditionalFormatting sqref="E25">
    <cfRule type="colorScale" priority="8287">
      <colorScale>
        <cfvo type="min"/>
        <cfvo type="percentile" val="50"/>
        <cfvo type="max"/>
        <color rgb="FFF8696B"/>
        <color rgb="FFFFEB84"/>
        <color rgb="FF63BE7B"/>
      </colorScale>
    </cfRule>
  </conditionalFormatting>
  <conditionalFormatting sqref="E25">
    <cfRule type="colorScale" priority="8286">
      <colorScale>
        <cfvo type="min"/>
        <cfvo type="percentile" val="50"/>
        <cfvo type="max"/>
        <color rgb="FFF8696B"/>
        <color rgb="FFFFEB84"/>
        <color rgb="FF63BE7B"/>
      </colorScale>
    </cfRule>
  </conditionalFormatting>
  <conditionalFormatting sqref="E25">
    <cfRule type="colorScale" priority="8285">
      <colorScale>
        <cfvo type="min"/>
        <cfvo type="percentile" val="50"/>
        <cfvo type="max"/>
        <color rgb="FFF8696B"/>
        <color rgb="FFFFEB84"/>
        <color rgb="FF63BE7B"/>
      </colorScale>
    </cfRule>
  </conditionalFormatting>
  <conditionalFormatting sqref="E25">
    <cfRule type="colorScale" priority="8284">
      <colorScale>
        <cfvo type="min"/>
        <cfvo type="percentile" val="50"/>
        <cfvo type="max"/>
        <color rgb="FFF8696B"/>
        <color rgb="FFFFEB84"/>
        <color rgb="FF63BE7B"/>
      </colorScale>
    </cfRule>
  </conditionalFormatting>
  <conditionalFormatting sqref="E25">
    <cfRule type="colorScale" priority="8283">
      <colorScale>
        <cfvo type="min"/>
        <cfvo type="percentile" val="50"/>
        <cfvo type="max"/>
        <color rgb="FFF8696B"/>
        <color rgb="FFFFEB84"/>
        <color rgb="FF63BE7B"/>
      </colorScale>
    </cfRule>
  </conditionalFormatting>
  <conditionalFormatting sqref="E25">
    <cfRule type="colorScale" priority="8282">
      <colorScale>
        <cfvo type="min"/>
        <cfvo type="percentile" val="50"/>
        <cfvo type="max"/>
        <color rgb="FFF8696B"/>
        <color rgb="FFFFEB84"/>
        <color rgb="FF63BE7B"/>
      </colorScale>
    </cfRule>
  </conditionalFormatting>
  <conditionalFormatting sqref="E25">
    <cfRule type="colorScale" priority="8281">
      <colorScale>
        <cfvo type="min"/>
        <cfvo type="percentile" val="50"/>
        <cfvo type="max"/>
        <color rgb="FFF8696B"/>
        <color rgb="FFFFEB84"/>
        <color rgb="FF63BE7B"/>
      </colorScale>
    </cfRule>
  </conditionalFormatting>
  <conditionalFormatting sqref="E25">
    <cfRule type="colorScale" priority="8280">
      <colorScale>
        <cfvo type="min"/>
        <cfvo type="percentile" val="50"/>
        <cfvo type="max"/>
        <color rgb="FFF8696B"/>
        <color rgb="FFFFEB84"/>
        <color rgb="FF63BE7B"/>
      </colorScale>
    </cfRule>
  </conditionalFormatting>
  <conditionalFormatting sqref="E25">
    <cfRule type="colorScale" priority="8279">
      <colorScale>
        <cfvo type="min"/>
        <cfvo type="percentile" val="50"/>
        <cfvo type="max"/>
        <color rgb="FFF8696B"/>
        <color rgb="FFFFEB84"/>
        <color rgb="FF63BE7B"/>
      </colorScale>
    </cfRule>
  </conditionalFormatting>
  <conditionalFormatting sqref="E25">
    <cfRule type="colorScale" priority="8278">
      <colorScale>
        <cfvo type="min"/>
        <cfvo type="percentile" val="50"/>
        <cfvo type="max"/>
        <color rgb="FFF8696B"/>
        <color rgb="FFFFEB84"/>
        <color rgb="FF63BE7B"/>
      </colorScale>
    </cfRule>
  </conditionalFormatting>
  <conditionalFormatting sqref="E25">
    <cfRule type="colorScale" priority="8277">
      <colorScale>
        <cfvo type="min"/>
        <cfvo type="percentile" val="50"/>
        <cfvo type="max"/>
        <color rgb="FFF8696B"/>
        <color rgb="FFFFEB84"/>
        <color rgb="FF63BE7B"/>
      </colorScale>
    </cfRule>
  </conditionalFormatting>
  <conditionalFormatting sqref="E25">
    <cfRule type="colorScale" priority="8276">
      <colorScale>
        <cfvo type="min"/>
        <cfvo type="percentile" val="50"/>
        <cfvo type="max"/>
        <color rgb="FFF8696B"/>
        <color rgb="FFFFEB84"/>
        <color rgb="FF63BE7B"/>
      </colorScale>
    </cfRule>
  </conditionalFormatting>
  <conditionalFormatting sqref="E25">
    <cfRule type="colorScale" priority="8275">
      <colorScale>
        <cfvo type="min"/>
        <cfvo type="percentile" val="50"/>
        <cfvo type="max"/>
        <color rgb="FFF8696B"/>
        <color rgb="FFFFEB84"/>
        <color rgb="FF63BE7B"/>
      </colorScale>
    </cfRule>
  </conditionalFormatting>
  <conditionalFormatting sqref="E25">
    <cfRule type="colorScale" priority="8274">
      <colorScale>
        <cfvo type="min"/>
        <cfvo type="percentile" val="50"/>
        <cfvo type="max"/>
        <color rgb="FFF8696B"/>
        <color rgb="FFFFEB84"/>
        <color rgb="FF63BE7B"/>
      </colorScale>
    </cfRule>
  </conditionalFormatting>
  <conditionalFormatting sqref="E25">
    <cfRule type="colorScale" priority="8273">
      <colorScale>
        <cfvo type="min"/>
        <cfvo type="percentile" val="50"/>
        <cfvo type="max"/>
        <color rgb="FFF8696B"/>
        <color rgb="FFFFEB84"/>
        <color rgb="FF63BE7B"/>
      </colorScale>
    </cfRule>
  </conditionalFormatting>
  <conditionalFormatting sqref="E25">
    <cfRule type="colorScale" priority="8272">
      <colorScale>
        <cfvo type="min"/>
        <cfvo type="percentile" val="50"/>
        <cfvo type="max"/>
        <color rgb="FFF8696B"/>
        <color rgb="FFFFEB84"/>
        <color rgb="FF63BE7B"/>
      </colorScale>
    </cfRule>
  </conditionalFormatting>
  <conditionalFormatting sqref="E25">
    <cfRule type="colorScale" priority="8271">
      <colorScale>
        <cfvo type="min"/>
        <cfvo type="percentile" val="50"/>
        <cfvo type="max"/>
        <color rgb="FFF8696B"/>
        <color rgb="FFFFEB84"/>
        <color rgb="FF63BE7B"/>
      </colorScale>
    </cfRule>
  </conditionalFormatting>
  <conditionalFormatting sqref="E25">
    <cfRule type="colorScale" priority="8270">
      <colorScale>
        <cfvo type="min"/>
        <cfvo type="percentile" val="50"/>
        <cfvo type="max"/>
        <color rgb="FFF8696B"/>
        <color rgb="FFFFEB84"/>
        <color rgb="FF63BE7B"/>
      </colorScale>
    </cfRule>
  </conditionalFormatting>
  <conditionalFormatting sqref="E25">
    <cfRule type="colorScale" priority="8269">
      <colorScale>
        <cfvo type="min"/>
        <cfvo type="percentile" val="50"/>
        <cfvo type="max"/>
        <color rgb="FFF8696B"/>
        <color rgb="FFFFEB84"/>
        <color rgb="FF63BE7B"/>
      </colorScale>
    </cfRule>
  </conditionalFormatting>
  <conditionalFormatting sqref="E25">
    <cfRule type="colorScale" priority="8268">
      <colorScale>
        <cfvo type="min"/>
        <cfvo type="percentile" val="50"/>
        <cfvo type="max"/>
        <color rgb="FFF8696B"/>
        <color rgb="FFFFEB84"/>
        <color rgb="FF63BE7B"/>
      </colorScale>
    </cfRule>
  </conditionalFormatting>
  <conditionalFormatting sqref="E25">
    <cfRule type="colorScale" priority="8267">
      <colorScale>
        <cfvo type="min"/>
        <cfvo type="percentile" val="50"/>
        <cfvo type="max"/>
        <color rgb="FFF8696B"/>
        <color rgb="FFFFEB84"/>
        <color rgb="FF63BE7B"/>
      </colorScale>
    </cfRule>
  </conditionalFormatting>
  <conditionalFormatting sqref="E25">
    <cfRule type="colorScale" priority="8266">
      <colorScale>
        <cfvo type="min"/>
        <cfvo type="percentile" val="50"/>
        <cfvo type="max"/>
        <color rgb="FFF8696B"/>
        <color rgb="FFFFEB84"/>
        <color rgb="FF63BE7B"/>
      </colorScale>
    </cfRule>
  </conditionalFormatting>
  <conditionalFormatting sqref="E25">
    <cfRule type="colorScale" priority="8265">
      <colorScale>
        <cfvo type="min"/>
        <cfvo type="percentile" val="50"/>
        <cfvo type="max"/>
        <color rgb="FFF8696B"/>
        <color rgb="FFFFEB84"/>
        <color rgb="FF63BE7B"/>
      </colorScale>
    </cfRule>
  </conditionalFormatting>
  <conditionalFormatting sqref="E25">
    <cfRule type="colorScale" priority="8264">
      <colorScale>
        <cfvo type="min"/>
        <cfvo type="percentile" val="50"/>
        <cfvo type="max"/>
        <color rgb="FFF8696B"/>
        <color rgb="FFFFEB84"/>
        <color rgb="FF63BE7B"/>
      </colorScale>
    </cfRule>
  </conditionalFormatting>
  <conditionalFormatting sqref="E25">
    <cfRule type="colorScale" priority="8263">
      <colorScale>
        <cfvo type="min"/>
        <cfvo type="percentile" val="50"/>
        <cfvo type="max"/>
        <color rgb="FFF8696B"/>
        <color rgb="FFFFEB84"/>
        <color rgb="FF63BE7B"/>
      </colorScale>
    </cfRule>
  </conditionalFormatting>
  <conditionalFormatting sqref="E25">
    <cfRule type="colorScale" priority="8262">
      <colorScale>
        <cfvo type="min"/>
        <cfvo type="percentile" val="50"/>
        <cfvo type="max"/>
        <color rgb="FFF8696B"/>
        <color rgb="FFFFEB84"/>
        <color rgb="FF63BE7B"/>
      </colorScale>
    </cfRule>
  </conditionalFormatting>
  <conditionalFormatting sqref="E25">
    <cfRule type="colorScale" priority="8261">
      <colorScale>
        <cfvo type="min"/>
        <cfvo type="percentile" val="50"/>
        <cfvo type="max"/>
        <color rgb="FFF8696B"/>
        <color rgb="FFFFEB84"/>
        <color rgb="FF63BE7B"/>
      </colorScale>
    </cfRule>
  </conditionalFormatting>
  <conditionalFormatting sqref="E25">
    <cfRule type="colorScale" priority="8260">
      <colorScale>
        <cfvo type="min"/>
        <cfvo type="percentile" val="50"/>
        <cfvo type="max"/>
        <color rgb="FFF8696B"/>
        <color rgb="FFFFEB84"/>
        <color rgb="FF63BE7B"/>
      </colorScale>
    </cfRule>
  </conditionalFormatting>
  <conditionalFormatting sqref="E25">
    <cfRule type="colorScale" priority="8259">
      <colorScale>
        <cfvo type="min"/>
        <cfvo type="percentile" val="50"/>
        <cfvo type="max"/>
        <color rgb="FFF8696B"/>
        <color rgb="FFFFEB84"/>
        <color rgb="FF63BE7B"/>
      </colorScale>
    </cfRule>
  </conditionalFormatting>
  <conditionalFormatting sqref="E25">
    <cfRule type="colorScale" priority="8258">
      <colorScale>
        <cfvo type="min"/>
        <cfvo type="percentile" val="50"/>
        <cfvo type="max"/>
        <color rgb="FFF8696B"/>
        <color rgb="FFFFEB84"/>
        <color rgb="FF63BE7B"/>
      </colorScale>
    </cfRule>
  </conditionalFormatting>
  <conditionalFormatting sqref="E25">
    <cfRule type="colorScale" priority="8257">
      <colorScale>
        <cfvo type="min"/>
        <cfvo type="percentile" val="50"/>
        <cfvo type="max"/>
        <color rgb="FFF8696B"/>
        <color rgb="FFFFEB84"/>
        <color rgb="FF63BE7B"/>
      </colorScale>
    </cfRule>
  </conditionalFormatting>
  <conditionalFormatting sqref="E25">
    <cfRule type="colorScale" priority="8256">
      <colorScale>
        <cfvo type="min"/>
        <cfvo type="percentile" val="50"/>
        <cfvo type="max"/>
        <color rgb="FFF8696B"/>
        <color rgb="FFFFEB84"/>
        <color rgb="FF63BE7B"/>
      </colorScale>
    </cfRule>
  </conditionalFormatting>
  <conditionalFormatting sqref="E25">
    <cfRule type="colorScale" priority="8255">
      <colorScale>
        <cfvo type="min"/>
        <cfvo type="percentile" val="50"/>
        <cfvo type="max"/>
        <color rgb="FFF8696B"/>
        <color rgb="FFFFEB84"/>
        <color rgb="FF63BE7B"/>
      </colorScale>
    </cfRule>
  </conditionalFormatting>
  <conditionalFormatting sqref="E25">
    <cfRule type="colorScale" priority="8254">
      <colorScale>
        <cfvo type="min"/>
        <cfvo type="percentile" val="50"/>
        <cfvo type="max"/>
        <color rgb="FFF8696B"/>
        <color rgb="FFFFEB84"/>
        <color rgb="FF63BE7B"/>
      </colorScale>
    </cfRule>
  </conditionalFormatting>
  <conditionalFormatting sqref="E25">
    <cfRule type="colorScale" priority="8253">
      <colorScale>
        <cfvo type="min"/>
        <cfvo type="percentile" val="50"/>
        <cfvo type="max"/>
        <color rgb="FFF8696B"/>
        <color rgb="FFFFEB84"/>
        <color rgb="FF63BE7B"/>
      </colorScale>
    </cfRule>
  </conditionalFormatting>
  <conditionalFormatting sqref="E25">
    <cfRule type="colorScale" priority="8252">
      <colorScale>
        <cfvo type="min"/>
        <cfvo type="percentile" val="50"/>
        <cfvo type="max"/>
        <color rgb="FFF8696B"/>
        <color rgb="FFFFEB84"/>
        <color rgb="FF63BE7B"/>
      </colorScale>
    </cfRule>
  </conditionalFormatting>
  <conditionalFormatting sqref="E25">
    <cfRule type="colorScale" priority="8251">
      <colorScale>
        <cfvo type="min"/>
        <cfvo type="percentile" val="50"/>
        <cfvo type="max"/>
        <color rgb="FFF8696B"/>
        <color rgb="FFFFEB84"/>
        <color rgb="FF63BE7B"/>
      </colorScale>
    </cfRule>
  </conditionalFormatting>
  <conditionalFormatting sqref="E25">
    <cfRule type="colorScale" priority="8250">
      <colorScale>
        <cfvo type="min"/>
        <cfvo type="percentile" val="50"/>
        <cfvo type="max"/>
        <color rgb="FFF8696B"/>
        <color rgb="FFFFEB84"/>
        <color rgb="FF63BE7B"/>
      </colorScale>
    </cfRule>
  </conditionalFormatting>
  <conditionalFormatting sqref="E25">
    <cfRule type="colorScale" priority="8249">
      <colorScale>
        <cfvo type="min"/>
        <cfvo type="percentile" val="50"/>
        <cfvo type="max"/>
        <color rgb="FFF8696B"/>
        <color rgb="FFFFEB84"/>
        <color rgb="FF63BE7B"/>
      </colorScale>
    </cfRule>
  </conditionalFormatting>
  <conditionalFormatting sqref="E25">
    <cfRule type="colorScale" priority="8248">
      <colorScale>
        <cfvo type="min"/>
        <cfvo type="percentile" val="50"/>
        <cfvo type="max"/>
        <color rgb="FFF8696B"/>
        <color rgb="FFFFEB84"/>
        <color rgb="FF63BE7B"/>
      </colorScale>
    </cfRule>
  </conditionalFormatting>
  <conditionalFormatting sqref="E25">
    <cfRule type="colorScale" priority="8247">
      <colorScale>
        <cfvo type="min"/>
        <cfvo type="percentile" val="50"/>
        <cfvo type="max"/>
        <color rgb="FFF8696B"/>
        <color rgb="FFFFEB84"/>
        <color rgb="FF63BE7B"/>
      </colorScale>
    </cfRule>
  </conditionalFormatting>
  <conditionalFormatting sqref="E25">
    <cfRule type="colorScale" priority="8246">
      <colorScale>
        <cfvo type="min"/>
        <cfvo type="percentile" val="50"/>
        <cfvo type="max"/>
        <color rgb="FFF8696B"/>
        <color rgb="FFFFEB84"/>
        <color rgb="FF63BE7B"/>
      </colorScale>
    </cfRule>
  </conditionalFormatting>
  <conditionalFormatting sqref="E25">
    <cfRule type="colorScale" priority="8245">
      <colorScale>
        <cfvo type="min"/>
        <cfvo type="percentile" val="50"/>
        <cfvo type="max"/>
        <color rgb="FFF8696B"/>
        <color rgb="FFFFEB84"/>
        <color rgb="FF63BE7B"/>
      </colorScale>
    </cfRule>
  </conditionalFormatting>
  <conditionalFormatting sqref="E25">
    <cfRule type="colorScale" priority="8244">
      <colorScale>
        <cfvo type="min"/>
        <cfvo type="percentile" val="50"/>
        <cfvo type="max"/>
        <color rgb="FFF8696B"/>
        <color rgb="FFFFEB84"/>
        <color rgb="FF63BE7B"/>
      </colorScale>
    </cfRule>
  </conditionalFormatting>
  <conditionalFormatting sqref="E25">
    <cfRule type="colorScale" priority="8243">
      <colorScale>
        <cfvo type="min"/>
        <cfvo type="percentile" val="50"/>
        <cfvo type="max"/>
        <color rgb="FFF8696B"/>
        <color rgb="FFFFEB84"/>
        <color rgb="FF63BE7B"/>
      </colorScale>
    </cfRule>
  </conditionalFormatting>
  <conditionalFormatting sqref="F10:F24">
    <cfRule type="colorScale" priority="8242">
      <colorScale>
        <cfvo type="min"/>
        <cfvo type="percentile" val="50"/>
        <cfvo type="max"/>
        <color rgb="FFF8696B"/>
        <color rgb="FFFFEB84"/>
        <color rgb="FF63BE7B"/>
      </colorScale>
    </cfRule>
  </conditionalFormatting>
  <conditionalFormatting sqref="F10:F24">
    <cfRule type="colorScale" priority="8241">
      <colorScale>
        <cfvo type="min"/>
        <cfvo type="percentile" val="50"/>
        <cfvo type="max"/>
        <color rgb="FFF8696B"/>
        <color rgb="FFFFEB84"/>
        <color rgb="FF63BE7B"/>
      </colorScale>
    </cfRule>
  </conditionalFormatting>
  <conditionalFormatting sqref="F10:F24">
    <cfRule type="colorScale" priority="8240">
      <colorScale>
        <cfvo type="min"/>
        <cfvo type="percentile" val="50"/>
        <cfvo type="max"/>
        <color rgb="FFF8696B"/>
        <color rgb="FFFFEB84"/>
        <color rgb="FF63BE7B"/>
      </colorScale>
    </cfRule>
  </conditionalFormatting>
  <conditionalFormatting sqref="F10:F24">
    <cfRule type="colorScale" priority="8239">
      <colorScale>
        <cfvo type="min"/>
        <cfvo type="percentile" val="50"/>
        <cfvo type="max"/>
        <color rgb="FFF8696B"/>
        <color rgb="FFFFEB84"/>
        <color rgb="FF63BE7B"/>
      </colorScale>
    </cfRule>
  </conditionalFormatting>
  <conditionalFormatting sqref="F10:F24">
    <cfRule type="colorScale" priority="8238">
      <colorScale>
        <cfvo type="min"/>
        <cfvo type="percentile" val="50"/>
        <cfvo type="max"/>
        <color rgb="FFF8696B"/>
        <color rgb="FFFFEB84"/>
        <color rgb="FF63BE7B"/>
      </colorScale>
    </cfRule>
  </conditionalFormatting>
  <conditionalFormatting sqref="F10:F24">
    <cfRule type="colorScale" priority="8237">
      <colorScale>
        <cfvo type="min"/>
        <cfvo type="percentile" val="50"/>
        <cfvo type="max"/>
        <color rgb="FFF8696B"/>
        <color rgb="FFFFEB84"/>
        <color rgb="FF63BE7B"/>
      </colorScale>
    </cfRule>
  </conditionalFormatting>
  <conditionalFormatting sqref="F10:F24">
    <cfRule type="colorScale" priority="8236">
      <colorScale>
        <cfvo type="min"/>
        <cfvo type="percentile" val="50"/>
        <cfvo type="max"/>
        <color rgb="FFF8696B"/>
        <color rgb="FFFFEB84"/>
        <color rgb="FF63BE7B"/>
      </colorScale>
    </cfRule>
  </conditionalFormatting>
  <conditionalFormatting sqref="F10:F24">
    <cfRule type="colorScale" priority="8235">
      <colorScale>
        <cfvo type="min"/>
        <cfvo type="percentile" val="50"/>
        <cfvo type="max"/>
        <color rgb="FFF8696B"/>
        <color rgb="FFFFEB84"/>
        <color rgb="FF63BE7B"/>
      </colorScale>
    </cfRule>
  </conditionalFormatting>
  <conditionalFormatting sqref="F10:F24">
    <cfRule type="colorScale" priority="8234">
      <colorScale>
        <cfvo type="min"/>
        <cfvo type="percentile" val="50"/>
        <cfvo type="max"/>
        <color rgb="FFF8696B"/>
        <color rgb="FFFFEB84"/>
        <color rgb="FF63BE7B"/>
      </colorScale>
    </cfRule>
  </conditionalFormatting>
  <conditionalFormatting sqref="F10:F24">
    <cfRule type="colorScale" priority="8233">
      <colorScale>
        <cfvo type="min"/>
        <cfvo type="percentile" val="50"/>
        <cfvo type="max"/>
        <color rgb="FFF8696B"/>
        <color rgb="FFFFEB84"/>
        <color rgb="FF63BE7B"/>
      </colorScale>
    </cfRule>
  </conditionalFormatting>
  <conditionalFormatting sqref="F10:F24">
    <cfRule type="colorScale" priority="8232">
      <colorScale>
        <cfvo type="min"/>
        <cfvo type="percentile" val="50"/>
        <cfvo type="max"/>
        <color rgb="FFF8696B"/>
        <color rgb="FFFFEB84"/>
        <color rgb="FF63BE7B"/>
      </colorScale>
    </cfRule>
  </conditionalFormatting>
  <conditionalFormatting sqref="F10:F24">
    <cfRule type="colorScale" priority="8231">
      <colorScale>
        <cfvo type="min"/>
        <cfvo type="percentile" val="50"/>
        <cfvo type="max"/>
        <color rgb="FFF8696B"/>
        <color rgb="FFFFEB84"/>
        <color rgb="FF63BE7B"/>
      </colorScale>
    </cfRule>
  </conditionalFormatting>
  <conditionalFormatting sqref="F10:F24">
    <cfRule type="colorScale" priority="8230">
      <colorScale>
        <cfvo type="min"/>
        <cfvo type="percentile" val="50"/>
        <cfvo type="max"/>
        <color rgb="FFF8696B"/>
        <color rgb="FFFFEB84"/>
        <color rgb="FF63BE7B"/>
      </colorScale>
    </cfRule>
  </conditionalFormatting>
  <conditionalFormatting sqref="F10:F24">
    <cfRule type="colorScale" priority="8229">
      <colorScale>
        <cfvo type="min"/>
        <cfvo type="percentile" val="50"/>
        <cfvo type="max"/>
        <color rgb="FFF8696B"/>
        <color rgb="FFFFEB84"/>
        <color rgb="FF63BE7B"/>
      </colorScale>
    </cfRule>
  </conditionalFormatting>
  <conditionalFormatting sqref="F10:F24">
    <cfRule type="colorScale" priority="8228">
      <colorScale>
        <cfvo type="min"/>
        <cfvo type="percentile" val="50"/>
        <cfvo type="max"/>
        <color rgb="FFF8696B"/>
        <color rgb="FFFFEB84"/>
        <color rgb="FF63BE7B"/>
      </colorScale>
    </cfRule>
  </conditionalFormatting>
  <conditionalFormatting sqref="F10:F24">
    <cfRule type="colorScale" priority="8227">
      <colorScale>
        <cfvo type="min"/>
        <cfvo type="percentile" val="50"/>
        <cfvo type="max"/>
        <color rgb="FFF8696B"/>
        <color rgb="FFFFEB84"/>
        <color rgb="FF63BE7B"/>
      </colorScale>
    </cfRule>
  </conditionalFormatting>
  <conditionalFormatting sqref="F10:F24">
    <cfRule type="colorScale" priority="8226">
      <colorScale>
        <cfvo type="min"/>
        <cfvo type="percentile" val="50"/>
        <cfvo type="max"/>
        <color rgb="FFF8696B"/>
        <color rgb="FFFFEB84"/>
        <color rgb="FF63BE7B"/>
      </colorScale>
    </cfRule>
  </conditionalFormatting>
  <conditionalFormatting sqref="F10:F24">
    <cfRule type="colorScale" priority="8225">
      <colorScale>
        <cfvo type="min"/>
        <cfvo type="percentile" val="50"/>
        <cfvo type="max"/>
        <color rgb="FFF8696B"/>
        <color rgb="FFFFEB84"/>
        <color rgb="FF63BE7B"/>
      </colorScale>
    </cfRule>
  </conditionalFormatting>
  <conditionalFormatting sqref="F10:F24">
    <cfRule type="colorScale" priority="8224">
      <colorScale>
        <cfvo type="min"/>
        <cfvo type="percentile" val="50"/>
        <cfvo type="max"/>
        <color rgb="FFF8696B"/>
        <color rgb="FFFFEB84"/>
        <color rgb="FF63BE7B"/>
      </colorScale>
    </cfRule>
  </conditionalFormatting>
  <conditionalFormatting sqref="F10:F24">
    <cfRule type="colorScale" priority="8223">
      <colorScale>
        <cfvo type="min"/>
        <cfvo type="percentile" val="50"/>
        <cfvo type="max"/>
        <color rgb="FFF8696B"/>
        <color rgb="FFFFEB84"/>
        <color rgb="FF63BE7B"/>
      </colorScale>
    </cfRule>
  </conditionalFormatting>
  <conditionalFormatting sqref="F10:F24">
    <cfRule type="colorScale" priority="8222">
      <colorScale>
        <cfvo type="min"/>
        <cfvo type="percentile" val="50"/>
        <cfvo type="max"/>
        <color rgb="FFF8696B"/>
        <color rgb="FFFFEB84"/>
        <color rgb="FF63BE7B"/>
      </colorScale>
    </cfRule>
  </conditionalFormatting>
  <conditionalFormatting sqref="F10:F24">
    <cfRule type="colorScale" priority="8221">
      <colorScale>
        <cfvo type="min"/>
        <cfvo type="percentile" val="50"/>
        <cfvo type="max"/>
        <color rgb="FFF8696B"/>
        <color rgb="FFFFEB84"/>
        <color rgb="FF63BE7B"/>
      </colorScale>
    </cfRule>
  </conditionalFormatting>
  <conditionalFormatting sqref="F10:F24">
    <cfRule type="colorScale" priority="8220">
      <colorScale>
        <cfvo type="min"/>
        <cfvo type="percentile" val="50"/>
        <cfvo type="max"/>
        <color rgb="FFF8696B"/>
        <color rgb="FFFFEB84"/>
        <color rgb="FF63BE7B"/>
      </colorScale>
    </cfRule>
  </conditionalFormatting>
  <conditionalFormatting sqref="F10:F24">
    <cfRule type="colorScale" priority="8219">
      <colorScale>
        <cfvo type="min"/>
        <cfvo type="percentile" val="50"/>
        <cfvo type="max"/>
        <color rgb="FFF8696B"/>
        <color rgb="FFFFEB84"/>
        <color rgb="FF63BE7B"/>
      </colorScale>
    </cfRule>
  </conditionalFormatting>
  <conditionalFormatting sqref="F10:F24">
    <cfRule type="colorScale" priority="8218">
      <colorScale>
        <cfvo type="min"/>
        <cfvo type="percentile" val="50"/>
        <cfvo type="max"/>
        <color rgb="FFF8696B"/>
        <color rgb="FFFFEB84"/>
        <color rgb="FF63BE7B"/>
      </colorScale>
    </cfRule>
  </conditionalFormatting>
  <conditionalFormatting sqref="F10:F24">
    <cfRule type="colorScale" priority="8217">
      <colorScale>
        <cfvo type="min"/>
        <cfvo type="percentile" val="50"/>
        <cfvo type="max"/>
        <color rgb="FFF8696B"/>
        <color rgb="FFFFEB84"/>
        <color rgb="FF63BE7B"/>
      </colorScale>
    </cfRule>
  </conditionalFormatting>
  <conditionalFormatting sqref="F10:F24">
    <cfRule type="colorScale" priority="8216">
      <colorScale>
        <cfvo type="min"/>
        <cfvo type="percentile" val="50"/>
        <cfvo type="max"/>
        <color rgb="FFF8696B"/>
        <color rgb="FFFFEB84"/>
        <color rgb="FF63BE7B"/>
      </colorScale>
    </cfRule>
  </conditionalFormatting>
  <conditionalFormatting sqref="F10:F24">
    <cfRule type="colorScale" priority="8215">
      <colorScale>
        <cfvo type="min"/>
        <cfvo type="percentile" val="50"/>
        <cfvo type="max"/>
        <color rgb="FFF8696B"/>
        <color rgb="FFFFEB84"/>
        <color rgb="FF63BE7B"/>
      </colorScale>
    </cfRule>
  </conditionalFormatting>
  <conditionalFormatting sqref="F10:F24">
    <cfRule type="colorScale" priority="8214">
      <colorScale>
        <cfvo type="min"/>
        <cfvo type="percentile" val="50"/>
        <cfvo type="max"/>
        <color rgb="FFF8696B"/>
        <color rgb="FFFFEB84"/>
        <color rgb="FF63BE7B"/>
      </colorScale>
    </cfRule>
  </conditionalFormatting>
  <conditionalFormatting sqref="F10:F24">
    <cfRule type="colorScale" priority="8213">
      <colorScale>
        <cfvo type="min"/>
        <cfvo type="percentile" val="50"/>
        <cfvo type="max"/>
        <color rgb="FFF8696B"/>
        <color rgb="FFFFEB84"/>
        <color rgb="FF63BE7B"/>
      </colorScale>
    </cfRule>
  </conditionalFormatting>
  <conditionalFormatting sqref="F10:F24">
    <cfRule type="colorScale" priority="8212">
      <colorScale>
        <cfvo type="min"/>
        <cfvo type="percentile" val="50"/>
        <cfvo type="max"/>
        <color rgb="FFF8696B"/>
        <color rgb="FFFFEB84"/>
        <color rgb="FF63BE7B"/>
      </colorScale>
    </cfRule>
  </conditionalFormatting>
  <conditionalFormatting sqref="F10:F24">
    <cfRule type="colorScale" priority="8211">
      <colorScale>
        <cfvo type="min"/>
        <cfvo type="percentile" val="50"/>
        <cfvo type="max"/>
        <color rgb="FFF8696B"/>
        <color rgb="FFFFEB84"/>
        <color rgb="FF63BE7B"/>
      </colorScale>
    </cfRule>
  </conditionalFormatting>
  <conditionalFormatting sqref="F10:F24">
    <cfRule type="colorScale" priority="8210">
      <colorScale>
        <cfvo type="min"/>
        <cfvo type="percentile" val="50"/>
        <cfvo type="max"/>
        <color rgb="FFF8696B"/>
        <color rgb="FFFFEB84"/>
        <color rgb="FF63BE7B"/>
      </colorScale>
    </cfRule>
  </conditionalFormatting>
  <conditionalFormatting sqref="F10:F24">
    <cfRule type="colorScale" priority="8209">
      <colorScale>
        <cfvo type="min"/>
        <cfvo type="percentile" val="50"/>
        <cfvo type="max"/>
        <color rgb="FFF8696B"/>
        <color rgb="FFFFEB84"/>
        <color rgb="FF63BE7B"/>
      </colorScale>
    </cfRule>
  </conditionalFormatting>
  <conditionalFormatting sqref="F10:F24">
    <cfRule type="colorScale" priority="8208">
      <colorScale>
        <cfvo type="min"/>
        <cfvo type="percentile" val="50"/>
        <cfvo type="max"/>
        <color rgb="FFF8696B"/>
        <color rgb="FFFFEB84"/>
        <color rgb="FF63BE7B"/>
      </colorScale>
    </cfRule>
  </conditionalFormatting>
  <conditionalFormatting sqref="F10:F24">
    <cfRule type="colorScale" priority="8207">
      <colorScale>
        <cfvo type="min"/>
        <cfvo type="percentile" val="50"/>
        <cfvo type="max"/>
        <color rgb="FFF8696B"/>
        <color rgb="FFFFEB84"/>
        <color rgb="FF63BE7B"/>
      </colorScale>
    </cfRule>
  </conditionalFormatting>
  <conditionalFormatting sqref="F10:F24">
    <cfRule type="colorScale" priority="8206">
      <colorScale>
        <cfvo type="min"/>
        <cfvo type="percentile" val="50"/>
        <cfvo type="max"/>
        <color rgb="FFF8696B"/>
        <color rgb="FFFFEB84"/>
        <color rgb="FF63BE7B"/>
      </colorScale>
    </cfRule>
  </conditionalFormatting>
  <conditionalFormatting sqref="F10:F24">
    <cfRule type="colorScale" priority="8205">
      <colorScale>
        <cfvo type="min"/>
        <cfvo type="percentile" val="50"/>
        <cfvo type="max"/>
        <color rgb="FFF8696B"/>
        <color rgb="FFFFEB84"/>
        <color rgb="FF63BE7B"/>
      </colorScale>
    </cfRule>
  </conditionalFormatting>
  <conditionalFormatting sqref="F10:F24">
    <cfRule type="colorScale" priority="8204">
      <colorScale>
        <cfvo type="min"/>
        <cfvo type="percentile" val="50"/>
        <cfvo type="max"/>
        <color rgb="FFF8696B"/>
        <color rgb="FFFFEB84"/>
        <color rgb="FF63BE7B"/>
      </colorScale>
    </cfRule>
  </conditionalFormatting>
  <conditionalFormatting sqref="F10:F24">
    <cfRule type="colorScale" priority="8203">
      <colorScale>
        <cfvo type="min"/>
        <cfvo type="percentile" val="50"/>
        <cfvo type="max"/>
        <color rgb="FFF8696B"/>
        <color rgb="FFFFEB84"/>
        <color rgb="FF63BE7B"/>
      </colorScale>
    </cfRule>
  </conditionalFormatting>
  <conditionalFormatting sqref="F10:F24">
    <cfRule type="colorScale" priority="8202">
      <colorScale>
        <cfvo type="min"/>
        <cfvo type="percentile" val="50"/>
        <cfvo type="max"/>
        <color rgb="FFF8696B"/>
        <color rgb="FFFFEB84"/>
        <color rgb="FF63BE7B"/>
      </colorScale>
    </cfRule>
  </conditionalFormatting>
  <conditionalFormatting sqref="F10:F24">
    <cfRule type="colorScale" priority="8201">
      <colorScale>
        <cfvo type="min"/>
        <cfvo type="percentile" val="50"/>
        <cfvo type="max"/>
        <color rgb="FFF8696B"/>
        <color rgb="FFFFEB84"/>
        <color rgb="FF63BE7B"/>
      </colorScale>
    </cfRule>
  </conditionalFormatting>
  <conditionalFormatting sqref="F10:F24">
    <cfRule type="colorScale" priority="8200">
      <colorScale>
        <cfvo type="min"/>
        <cfvo type="percentile" val="50"/>
        <cfvo type="max"/>
        <color rgb="FFF8696B"/>
        <color rgb="FFFFEB84"/>
        <color rgb="FF63BE7B"/>
      </colorScale>
    </cfRule>
  </conditionalFormatting>
  <conditionalFormatting sqref="F10:F24">
    <cfRule type="colorScale" priority="8199">
      <colorScale>
        <cfvo type="min"/>
        <cfvo type="percentile" val="50"/>
        <cfvo type="max"/>
        <color rgb="FFF8696B"/>
        <color rgb="FFFFEB84"/>
        <color rgb="FF63BE7B"/>
      </colorScale>
    </cfRule>
  </conditionalFormatting>
  <conditionalFormatting sqref="F10:F24">
    <cfRule type="colorScale" priority="8198">
      <colorScale>
        <cfvo type="min"/>
        <cfvo type="percentile" val="50"/>
        <cfvo type="max"/>
        <color rgb="FFF8696B"/>
        <color rgb="FFFFEB84"/>
        <color rgb="FF63BE7B"/>
      </colorScale>
    </cfRule>
  </conditionalFormatting>
  <conditionalFormatting sqref="F10:F24">
    <cfRule type="colorScale" priority="8197">
      <colorScale>
        <cfvo type="min"/>
        <cfvo type="percentile" val="50"/>
        <cfvo type="max"/>
        <color rgb="FFF8696B"/>
        <color rgb="FFFFEB84"/>
        <color rgb="FF63BE7B"/>
      </colorScale>
    </cfRule>
  </conditionalFormatting>
  <conditionalFormatting sqref="F10:F24">
    <cfRule type="colorScale" priority="8196">
      <colorScale>
        <cfvo type="min"/>
        <cfvo type="percentile" val="50"/>
        <cfvo type="max"/>
        <color rgb="FFF8696B"/>
        <color rgb="FFFFEB84"/>
        <color rgb="FF63BE7B"/>
      </colorScale>
    </cfRule>
  </conditionalFormatting>
  <conditionalFormatting sqref="F10:F24">
    <cfRule type="colorScale" priority="8195">
      <colorScale>
        <cfvo type="min"/>
        <cfvo type="percentile" val="50"/>
        <cfvo type="max"/>
        <color rgb="FFF8696B"/>
        <color rgb="FFFFEB84"/>
        <color rgb="FF63BE7B"/>
      </colorScale>
    </cfRule>
  </conditionalFormatting>
  <conditionalFormatting sqref="F10:F24">
    <cfRule type="colorScale" priority="8194">
      <colorScale>
        <cfvo type="min"/>
        <cfvo type="percentile" val="50"/>
        <cfvo type="max"/>
        <color rgb="FFF8696B"/>
        <color rgb="FFFFEB84"/>
        <color rgb="FF63BE7B"/>
      </colorScale>
    </cfRule>
  </conditionalFormatting>
  <conditionalFormatting sqref="F10:F24">
    <cfRule type="colorScale" priority="8193">
      <colorScale>
        <cfvo type="min"/>
        <cfvo type="percentile" val="50"/>
        <cfvo type="max"/>
        <color rgb="FFF8696B"/>
        <color rgb="FFFFEB84"/>
        <color rgb="FF63BE7B"/>
      </colorScale>
    </cfRule>
  </conditionalFormatting>
  <conditionalFormatting sqref="F10:F24">
    <cfRule type="colorScale" priority="8192">
      <colorScale>
        <cfvo type="min"/>
        <cfvo type="percentile" val="50"/>
        <cfvo type="max"/>
        <color rgb="FFF8696B"/>
        <color rgb="FFFFEB84"/>
        <color rgb="FF63BE7B"/>
      </colorScale>
    </cfRule>
  </conditionalFormatting>
  <conditionalFormatting sqref="F10:F24">
    <cfRule type="colorScale" priority="8191">
      <colorScale>
        <cfvo type="min"/>
        <cfvo type="percentile" val="50"/>
        <cfvo type="max"/>
        <color rgb="FFF8696B"/>
        <color rgb="FFFFEB84"/>
        <color rgb="FF63BE7B"/>
      </colorScale>
    </cfRule>
  </conditionalFormatting>
  <conditionalFormatting sqref="F10:F24">
    <cfRule type="colorScale" priority="8190">
      <colorScale>
        <cfvo type="min"/>
        <cfvo type="percentile" val="50"/>
        <cfvo type="max"/>
        <color rgb="FFF8696B"/>
        <color rgb="FFFFEB84"/>
        <color rgb="FF63BE7B"/>
      </colorScale>
    </cfRule>
  </conditionalFormatting>
  <conditionalFormatting sqref="F10:F24">
    <cfRule type="colorScale" priority="8189">
      <colorScale>
        <cfvo type="min"/>
        <cfvo type="percentile" val="50"/>
        <cfvo type="max"/>
        <color rgb="FFF8696B"/>
        <color rgb="FFFFEB84"/>
        <color rgb="FF63BE7B"/>
      </colorScale>
    </cfRule>
  </conditionalFormatting>
  <conditionalFormatting sqref="F10:F24">
    <cfRule type="colorScale" priority="8188">
      <colorScale>
        <cfvo type="min"/>
        <cfvo type="percentile" val="50"/>
        <cfvo type="max"/>
        <color rgb="FFF8696B"/>
        <color rgb="FFFFEB84"/>
        <color rgb="FF63BE7B"/>
      </colorScale>
    </cfRule>
  </conditionalFormatting>
  <conditionalFormatting sqref="F10:F24">
    <cfRule type="colorScale" priority="8187">
      <colorScale>
        <cfvo type="min"/>
        <cfvo type="percentile" val="50"/>
        <cfvo type="max"/>
        <color rgb="FFF8696B"/>
        <color rgb="FFFFEB84"/>
        <color rgb="FF63BE7B"/>
      </colorScale>
    </cfRule>
  </conditionalFormatting>
  <conditionalFormatting sqref="F10:F24">
    <cfRule type="colorScale" priority="8186">
      <colorScale>
        <cfvo type="min"/>
        <cfvo type="percentile" val="50"/>
        <cfvo type="max"/>
        <color rgb="FFF8696B"/>
        <color rgb="FFFFEB84"/>
        <color rgb="FF63BE7B"/>
      </colorScale>
    </cfRule>
  </conditionalFormatting>
  <conditionalFormatting sqref="F10:F24">
    <cfRule type="colorScale" priority="8185">
      <colorScale>
        <cfvo type="min"/>
        <cfvo type="percentile" val="50"/>
        <cfvo type="max"/>
        <color rgb="FFF8696B"/>
        <color rgb="FFFFEB84"/>
        <color rgb="FF63BE7B"/>
      </colorScale>
    </cfRule>
  </conditionalFormatting>
  <conditionalFormatting sqref="F10:F24">
    <cfRule type="colorScale" priority="8184">
      <colorScale>
        <cfvo type="min"/>
        <cfvo type="percentile" val="50"/>
        <cfvo type="max"/>
        <color rgb="FFF8696B"/>
        <color rgb="FFFFEB84"/>
        <color rgb="FF63BE7B"/>
      </colorScale>
    </cfRule>
  </conditionalFormatting>
  <conditionalFormatting sqref="F10:F24">
    <cfRule type="colorScale" priority="8183">
      <colorScale>
        <cfvo type="min"/>
        <cfvo type="percentile" val="50"/>
        <cfvo type="max"/>
        <color rgb="FFF8696B"/>
        <color rgb="FFFFEB84"/>
        <color rgb="FF63BE7B"/>
      </colorScale>
    </cfRule>
  </conditionalFormatting>
  <conditionalFormatting sqref="F10:F24">
    <cfRule type="colorScale" priority="8182">
      <colorScale>
        <cfvo type="min"/>
        <cfvo type="percentile" val="50"/>
        <cfvo type="max"/>
        <color rgb="FFF8696B"/>
        <color rgb="FFFFEB84"/>
        <color rgb="FF63BE7B"/>
      </colorScale>
    </cfRule>
  </conditionalFormatting>
  <conditionalFormatting sqref="F10:F24">
    <cfRule type="colorScale" priority="8181">
      <colorScale>
        <cfvo type="min"/>
        <cfvo type="percentile" val="50"/>
        <cfvo type="max"/>
        <color rgb="FFF8696B"/>
        <color rgb="FFFFEB84"/>
        <color rgb="FF63BE7B"/>
      </colorScale>
    </cfRule>
  </conditionalFormatting>
  <conditionalFormatting sqref="F10:F24">
    <cfRule type="colorScale" priority="8180">
      <colorScale>
        <cfvo type="min"/>
        <cfvo type="percentile" val="50"/>
        <cfvo type="max"/>
        <color rgb="FFF8696B"/>
        <color rgb="FFFFEB84"/>
        <color rgb="FF63BE7B"/>
      </colorScale>
    </cfRule>
  </conditionalFormatting>
  <conditionalFormatting sqref="F10:F24">
    <cfRule type="colorScale" priority="8179">
      <colorScale>
        <cfvo type="min"/>
        <cfvo type="percentile" val="50"/>
        <cfvo type="max"/>
        <color rgb="FFF8696B"/>
        <color rgb="FFFFEB84"/>
        <color rgb="FF63BE7B"/>
      </colorScale>
    </cfRule>
  </conditionalFormatting>
  <conditionalFormatting sqref="F10:F24">
    <cfRule type="colorScale" priority="8178">
      <colorScale>
        <cfvo type="min"/>
        <cfvo type="percentile" val="50"/>
        <cfvo type="max"/>
        <color rgb="FFF8696B"/>
        <color rgb="FFFFEB84"/>
        <color rgb="FF63BE7B"/>
      </colorScale>
    </cfRule>
  </conditionalFormatting>
  <conditionalFormatting sqref="F10:F24">
    <cfRule type="colorScale" priority="8177">
      <colorScale>
        <cfvo type="min"/>
        <cfvo type="percentile" val="50"/>
        <cfvo type="max"/>
        <color rgb="FFF8696B"/>
        <color rgb="FFFFEB84"/>
        <color rgb="FF63BE7B"/>
      </colorScale>
    </cfRule>
  </conditionalFormatting>
  <conditionalFormatting sqref="F10:F24">
    <cfRule type="colorScale" priority="8176">
      <colorScale>
        <cfvo type="min"/>
        <cfvo type="percentile" val="50"/>
        <cfvo type="max"/>
        <color rgb="FFF8696B"/>
        <color rgb="FFFFEB84"/>
        <color rgb="FF63BE7B"/>
      </colorScale>
    </cfRule>
  </conditionalFormatting>
  <conditionalFormatting sqref="F10:F24">
    <cfRule type="colorScale" priority="8175">
      <colorScale>
        <cfvo type="min"/>
        <cfvo type="percentile" val="50"/>
        <cfvo type="max"/>
        <color rgb="FFF8696B"/>
        <color rgb="FFFFEB84"/>
        <color rgb="FF63BE7B"/>
      </colorScale>
    </cfRule>
  </conditionalFormatting>
  <conditionalFormatting sqref="F10:F24">
    <cfRule type="colorScale" priority="8174">
      <colorScale>
        <cfvo type="min"/>
        <cfvo type="percentile" val="50"/>
        <cfvo type="max"/>
        <color rgb="FFF8696B"/>
        <color rgb="FFFFEB84"/>
        <color rgb="FF63BE7B"/>
      </colorScale>
    </cfRule>
  </conditionalFormatting>
  <conditionalFormatting sqref="F10:F24">
    <cfRule type="colorScale" priority="8173">
      <colorScale>
        <cfvo type="min"/>
        <cfvo type="percentile" val="50"/>
        <cfvo type="max"/>
        <color rgb="FFF8696B"/>
        <color rgb="FFFFEB84"/>
        <color rgb="FF63BE7B"/>
      </colorScale>
    </cfRule>
  </conditionalFormatting>
  <conditionalFormatting sqref="F10:F24">
    <cfRule type="colorScale" priority="8172">
      <colorScale>
        <cfvo type="min"/>
        <cfvo type="percentile" val="50"/>
        <cfvo type="max"/>
        <color rgb="FFF8696B"/>
        <color rgb="FFFFEB84"/>
        <color rgb="FF63BE7B"/>
      </colorScale>
    </cfRule>
  </conditionalFormatting>
  <conditionalFormatting sqref="F10:F24">
    <cfRule type="colorScale" priority="8171">
      <colorScale>
        <cfvo type="min"/>
        <cfvo type="percentile" val="50"/>
        <cfvo type="max"/>
        <color rgb="FFF8696B"/>
        <color rgb="FFFFEB84"/>
        <color rgb="FF63BE7B"/>
      </colorScale>
    </cfRule>
  </conditionalFormatting>
  <conditionalFormatting sqref="F10:F24">
    <cfRule type="colorScale" priority="8170">
      <colorScale>
        <cfvo type="min"/>
        <cfvo type="percentile" val="50"/>
        <cfvo type="max"/>
        <color rgb="FFF8696B"/>
        <color rgb="FFFFEB84"/>
        <color rgb="FF63BE7B"/>
      </colorScale>
    </cfRule>
  </conditionalFormatting>
  <conditionalFormatting sqref="F10:F24">
    <cfRule type="colorScale" priority="8169">
      <colorScale>
        <cfvo type="min"/>
        <cfvo type="percentile" val="50"/>
        <cfvo type="max"/>
        <color rgb="FFF8696B"/>
        <color rgb="FFFFEB84"/>
        <color rgb="FF63BE7B"/>
      </colorScale>
    </cfRule>
  </conditionalFormatting>
  <conditionalFormatting sqref="F10:F24">
    <cfRule type="colorScale" priority="8168">
      <colorScale>
        <cfvo type="min"/>
        <cfvo type="percentile" val="50"/>
        <cfvo type="max"/>
        <color rgb="FFF8696B"/>
        <color rgb="FFFFEB84"/>
        <color rgb="FF63BE7B"/>
      </colorScale>
    </cfRule>
  </conditionalFormatting>
  <conditionalFormatting sqref="F10:F24">
    <cfRule type="colorScale" priority="8167">
      <colorScale>
        <cfvo type="min"/>
        <cfvo type="percentile" val="50"/>
        <cfvo type="max"/>
        <color rgb="FFF8696B"/>
        <color rgb="FFFFEB84"/>
        <color rgb="FF63BE7B"/>
      </colorScale>
    </cfRule>
  </conditionalFormatting>
  <conditionalFormatting sqref="F10:F24">
    <cfRule type="colorScale" priority="8166">
      <colorScale>
        <cfvo type="min"/>
        <cfvo type="percentile" val="50"/>
        <cfvo type="max"/>
        <color rgb="FFF8696B"/>
        <color rgb="FFFFEB84"/>
        <color rgb="FF63BE7B"/>
      </colorScale>
    </cfRule>
  </conditionalFormatting>
  <conditionalFormatting sqref="F10:F24">
    <cfRule type="colorScale" priority="8165">
      <colorScale>
        <cfvo type="min"/>
        <cfvo type="percentile" val="50"/>
        <cfvo type="max"/>
        <color rgb="FFF8696B"/>
        <color rgb="FFFFEB84"/>
        <color rgb="FF63BE7B"/>
      </colorScale>
    </cfRule>
  </conditionalFormatting>
  <conditionalFormatting sqref="F10:F24">
    <cfRule type="colorScale" priority="8164">
      <colorScale>
        <cfvo type="min"/>
        <cfvo type="percentile" val="50"/>
        <cfvo type="max"/>
        <color rgb="FFF8696B"/>
        <color rgb="FFFFEB84"/>
        <color rgb="FF63BE7B"/>
      </colorScale>
    </cfRule>
  </conditionalFormatting>
  <conditionalFormatting sqref="F10:F24">
    <cfRule type="colorScale" priority="8163">
      <colorScale>
        <cfvo type="min"/>
        <cfvo type="percentile" val="50"/>
        <cfvo type="max"/>
        <color rgb="FFF8696B"/>
        <color rgb="FFFFEB84"/>
        <color rgb="FF63BE7B"/>
      </colorScale>
    </cfRule>
  </conditionalFormatting>
  <conditionalFormatting sqref="F10:F24">
    <cfRule type="colorScale" priority="8162">
      <colorScale>
        <cfvo type="min"/>
        <cfvo type="percentile" val="50"/>
        <cfvo type="max"/>
        <color rgb="FFF8696B"/>
        <color rgb="FFFFEB84"/>
        <color rgb="FF63BE7B"/>
      </colorScale>
    </cfRule>
  </conditionalFormatting>
  <conditionalFormatting sqref="F10:F24">
    <cfRule type="colorScale" priority="8161">
      <colorScale>
        <cfvo type="min"/>
        <cfvo type="percentile" val="50"/>
        <cfvo type="max"/>
        <color rgb="FFF8696B"/>
        <color rgb="FFFFEB84"/>
        <color rgb="FF63BE7B"/>
      </colorScale>
    </cfRule>
  </conditionalFormatting>
  <conditionalFormatting sqref="F10:F24">
    <cfRule type="colorScale" priority="8160">
      <colorScale>
        <cfvo type="min"/>
        <cfvo type="percentile" val="50"/>
        <cfvo type="max"/>
        <color rgb="FFF8696B"/>
        <color rgb="FFFFEB84"/>
        <color rgb="FF63BE7B"/>
      </colorScale>
    </cfRule>
  </conditionalFormatting>
  <conditionalFormatting sqref="F10:F24">
    <cfRule type="colorScale" priority="8159">
      <colorScale>
        <cfvo type="min"/>
        <cfvo type="percentile" val="50"/>
        <cfvo type="max"/>
        <color rgb="FFF8696B"/>
        <color rgb="FFFFEB84"/>
        <color rgb="FF63BE7B"/>
      </colorScale>
    </cfRule>
  </conditionalFormatting>
  <conditionalFormatting sqref="F10:F24">
    <cfRule type="colorScale" priority="8158">
      <colorScale>
        <cfvo type="min"/>
        <cfvo type="percentile" val="50"/>
        <cfvo type="max"/>
        <color rgb="FFF8696B"/>
        <color rgb="FFFFEB84"/>
        <color rgb="FF63BE7B"/>
      </colorScale>
    </cfRule>
  </conditionalFormatting>
  <conditionalFormatting sqref="F10:F24">
    <cfRule type="colorScale" priority="8157">
      <colorScale>
        <cfvo type="min"/>
        <cfvo type="percentile" val="50"/>
        <cfvo type="max"/>
        <color rgb="FFF8696B"/>
        <color rgb="FFFFEB84"/>
        <color rgb="FF63BE7B"/>
      </colorScale>
    </cfRule>
  </conditionalFormatting>
  <conditionalFormatting sqref="F10:F24">
    <cfRule type="colorScale" priority="8156">
      <colorScale>
        <cfvo type="min"/>
        <cfvo type="percentile" val="50"/>
        <cfvo type="max"/>
        <color rgb="FFF8696B"/>
        <color rgb="FFFFEB84"/>
        <color rgb="FF63BE7B"/>
      </colorScale>
    </cfRule>
  </conditionalFormatting>
  <conditionalFormatting sqref="F10:F24">
    <cfRule type="colorScale" priority="8155">
      <colorScale>
        <cfvo type="min"/>
        <cfvo type="percentile" val="50"/>
        <cfvo type="max"/>
        <color rgb="FFF8696B"/>
        <color rgb="FFFFEB84"/>
        <color rgb="FF63BE7B"/>
      </colorScale>
    </cfRule>
  </conditionalFormatting>
  <conditionalFormatting sqref="F10:F24">
    <cfRule type="colorScale" priority="8154">
      <colorScale>
        <cfvo type="min"/>
        <cfvo type="percentile" val="50"/>
        <cfvo type="max"/>
        <color rgb="FFF8696B"/>
        <color rgb="FFFFEB84"/>
        <color rgb="FF63BE7B"/>
      </colorScale>
    </cfRule>
  </conditionalFormatting>
  <conditionalFormatting sqref="F10:F24">
    <cfRule type="colorScale" priority="8153">
      <colorScale>
        <cfvo type="min"/>
        <cfvo type="percentile" val="50"/>
        <cfvo type="max"/>
        <color rgb="FFF8696B"/>
        <color rgb="FFFFEB84"/>
        <color rgb="FF63BE7B"/>
      </colorScale>
    </cfRule>
  </conditionalFormatting>
  <conditionalFormatting sqref="F10:F24">
    <cfRule type="colorScale" priority="8152">
      <colorScale>
        <cfvo type="min"/>
        <cfvo type="percentile" val="50"/>
        <cfvo type="max"/>
        <color rgb="FFF8696B"/>
        <color rgb="FFFFEB84"/>
        <color rgb="FF63BE7B"/>
      </colorScale>
    </cfRule>
  </conditionalFormatting>
  <conditionalFormatting sqref="F10:F24">
    <cfRule type="colorScale" priority="8151">
      <colorScale>
        <cfvo type="min"/>
        <cfvo type="percentile" val="50"/>
        <cfvo type="max"/>
        <color rgb="FFF8696B"/>
        <color rgb="FFFFEB84"/>
        <color rgb="FF63BE7B"/>
      </colorScale>
    </cfRule>
  </conditionalFormatting>
  <conditionalFormatting sqref="F10:F24">
    <cfRule type="colorScale" priority="8150">
      <colorScale>
        <cfvo type="min"/>
        <cfvo type="percentile" val="50"/>
        <cfvo type="max"/>
        <color rgb="FFF8696B"/>
        <color rgb="FFFFEB84"/>
        <color rgb="FF63BE7B"/>
      </colorScale>
    </cfRule>
  </conditionalFormatting>
  <conditionalFormatting sqref="F10:F24">
    <cfRule type="colorScale" priority="8149">
      <colorScale>
        <cfvo type="min"/>
        <cfvo type="percentile" val="50"/>
        <cfvo type="max"/>
        <color rgb="FFF8696B"/>
        <color rgb="FFFFEB84"/>
        <color rgb="FF63BE7B"/>
      </colorScale>
    </cfRule>
  </conditionalFormatting>
  <conditionalFormatting sqref="F10:F24">
    <cfRule type="colorScale" priority="8148">
      <colorScale>
        <cfvo type="min"/>
        <cfvo type="percentile" val="50"/>
        <cfvo type="max"/>
        <color rgb="FFF8696B"/>
        <color rgb="FFFFEB84"/>
        <color rgb="FF63BE7B"/>
      </colorScale>
    </cfRule>
  </conditionalFormatting>
  <conditionalFormatting sqref="F10:F24">
    <cfRule type="colorScale" priority="8147">
      <colorScale>
        <cfvo type="min"/>
        <cfvo type="percentile" val="50"/>
        <cfvo type="max"/>
        <color rgb="FFF8696B"/>
        <color rgb="FFFFEB84"/>
        <color rgb="FF63BE7B"/>
      </colorScale>
    </cfRule>
  </conditionalFormatting>
  <conditionalFormatting sqref="F10:F24">
    <cfRule type="colorScale" priority="8146">
      <colorScale>
        <cfvo type="min"/>
        <cfvo type="percentile" val="50"/>
        <cfvo type="max"/>
        <color rgb="FFF8696B"/>
        <color rgb="FFFFEB84"/>
        <color rgb="FF63BE7B"/>
      </colorScale>
    </cfRule>
  </conditionalFormatting>
  <conditionalFormatting sqref="F10:F24">
    <cfRule type="colorScale" priority="8145">
      <colorScale>
        <cfvo type="min"/>
        <cfvo type="percentile" val="50"/>
        <cfvo type="max"/>
        <color rgb="FFF8696B"/>
        <color rgb="FFFFEB84"/>
        <color rgb="FF63BE7B"/>
      </colorScale>
    </cfRule>
  </conditionalFormatting>
  <conditionalFormatting sqref="F10:F24">
    <cfRule type="colorScale" priority="8144">
      <colorScale>
        <cfvo type="min"/>
        <cfvo type="percentile" val="50"/>
        <cfvo type="max"/>
        <color rgb="FFF8696B"/>
        <color rgb="FFFFEB84"/>
        <color rgb="FF63BE7B"/>
      </colorScale>
    </cfRule>
  </conditionalFormatting>
  <conditionalFormatting sqref="F10:F24">
    <cfRule type="colorScale" priority="8143">
      <colorScale>
        <cfvo type="min"/>
        <cfvo type="percentile" val="50"/>
        <cfvo type="max"/>
        <color rgb="FFF8696B"/>
        <color rgb="FFFFEB84"/>
        <color rgb="FF63BE7B"/>
      </colorScale>
    </cfRule>
  </conditionalFormatting>
  <conditionalFormatting sqref="F10:F24">
    <cfRule type="colorScale" priority="8142">
      <colorScale>
        <cfvo type="min"/>
        <cfvo type="percentile" val="50"/>
        <cfvo type="max"/>
        <color rgb="FFF8696B"/>
        <color rgb="FFFFEB84"/>
        <color rgb="FF63BE7B"/>
      </colorScale>
    </cfRule>
  </conditionalFormatting>
  <conditionalFormatting sqref="F10:F24">
    <cfRule type="colorScale" priority="8141">
      <colorScale>
        <cfvo type="min"/>
        <cfvo type="percentile" val="50"/>
        <cfvo type="max"/>
        <color rgb="FFF8696B"/>
        <color rgb="FFFFEB84"/>
        <color rgb="FF63BE7B"/>
      </colorScale>
    </cfRule>
  </conditionalFormatting>
  <conditionalFormatting sqref="F10:F24">
    <cfRule type="colorScale" priority="8140">
      <colorScale>
        <cfvo type="min"/>
        <cfvo type="percentile" val="50"/>
        <cfvo type="max"/>
        <color rgb="FFF8696B"/>
        <color rgb="FFFFEB84"/>
        <color rgb="FF63BE7B"/>
      </colorScale>
    </cfRule>
  </conditionalFormatting>
  <conditionalFormatting sqref="F10:F24">
    <cfRule type="colorScale" priority="8139">
      <colorScale>
        <cfvo type="min"/>
        <cfvo type="percentile" val="50"/>
        <cfvo type="max"/>
        <color rgb="FFF8696B"/>
        <color rgb="FFFFEB84"/>
        <color rgb="FF63BE7B"/>
      </colorScale>
    </cfRule>
  </conditionalFormatting>
  <conditionalFormatting sqref="F10:F24">
    <cfRule type="colorScale" priority="8138">
      <colorScale>
        <cfvo type="min"/>
        <cfvo type="percentile" val="50"/>
        <cfvo type="max"/>
        <color rgb="FFF8696B"/>
        <color rgb="FFFFEB84"/>
        <color rgb="FF63BE7B"/>
      </colorScale>
    </cfRule>
  </conditionalFormatting>
  <conditionalFormatting sqref="F10:F24">
    <cfRule type="colorScale" priority="8137">
      <colorScale>
        <cfvo type="min"/>
        <cfvo type="percentile" val="50"/>
        <cfvo type="max"/>
        <color rgb="FFF8696B"/>
        <color rgb="FFFFEB84"/>
        <color rgb="FF63BE7B"/>
      </colorScale>
    </cfRule>
  </conditionalFormatting>
  <conditionalFormatting sqref="F10:F24">
    <cfRule type="colorScale" priority="8136">
      <colorScale>
        <cfvo type="min"/>
        <cfvo type="percentile" val="50"/>
        <cfvo type="max"/>
        <color rgb="FFF8696B"/>
        <color rgb="FFFFEB84"/>
        <color rgb="FF63BE7B"/>
      </colorScale>
    </cfRule>
  </conditionalFormatting>
  <conditionalFormatting sqref="F10:F24">
    <cfRule type="colorScale" priority="8135">
      <colorScale>
        <cfvo type="min"/>
        <cfvo type="percentile" val="50"/>
        <cfvo type="max"/>
        <color rgb="FFF8696B"/>
        <color rgb="FFFFEB84"/>
        <color rgb="FF63BE7B"/>
      </colorScale>
    </cfRule>
  </conditionalFormatting>
  <conditionalFormatting sqref="F10:F24">
    <cfRule type="colorScale" priority="8134">
      <colorScale>
        <cfvo type="min"/>
        <cfvo type="percentile" val="50"/>
        <cfvo type="max"/>
        <color rgb="FFF8696B"/>
        <color rgb="FFFFEB84"/>
        <color rgb="FF63BE7B"/>
      </colorScale>
    </cfRule>
  </conditionalFormatting>
  <conditionalFormatting sqref="F10:F24">
    <cfRule type="colorScale" priority="8133">
      <colorScale>
        <cfvo type="min"/>
        <cfvo type="percentile" val="50"/>
        <cfvo type="max"/>
        <color rgb="FFF8696B"/>
        <color rgb="FFFFEB84"/>
        <color rgb="FF63BE7B"/>
      </colorScale>
    </cfRule>
  </conditionalFormatting>
  <conditionalFormatting sqref="F10:F24">
    <cfRule type="colorScale" priority="8132">
      <colorScale>
        <cfvo type="min"/>
        <cfvo type="percentile" val="50"/>
        <cfvo type="max"/>
        <color rgb="FFF8696B"/>
        <color rgb="FFFFEB84"/>
        <color rgb="FF63BE7B"/>
      </colorScale>
    </cfRule>
  </conditionalFormatting>
  <conditionalFormatting sqref="F10:F24">
    <cfRule type="colorScale" priority="8131">
      <colorScale>
        <cfvo type="min"/>
        <cfvo type="percentile" val="50"/>
        <cfvo type="max"/>
        <color rgb="FFF8696B"/>
        <color rgb="FFFFEB84"/>
        <color rgb="FF63BE7B"/>
      </colorScale>
    </cfRule>
  </conditionalFormatting>
  <conditionalFormatting sqref="F10:F24">
    <cfRule type="colorScale" priority="8130">
      <colorScale>
        <cfvo type="min"/>
        <cfvo type="percentile" val="50"/>
        <cfvo type="max"/>
        <color rgb="FFF8696B"/>
        <color rgb="FFFFEB84"/>
        <color rgb="FF63BE7B"/>
      </colorScale>
    </cfRule>
  </conditionalFormatting>
  <conditionalFormatting sqref="F10:F24">
    <cfRule type="colorScale" priority="8129">
      <colorScale>
        <cfvo type="min"/>
        <cfvo type="percentile" val="50"/>
        <cfvo type="max"/>
        <color rgb="FFF8696B"/>
        <color rgb="FFFFEB84"/>
        <color rgb="FF63BE7B"/>
      </colorScale>
    </cfRule>
  </conditionalFormatting>
  <conditionalFormatting sqref="F10:F24">
    <cfRule type="colorScale" priority="8128">
      <colorScale>
        <cfvo type="min"/>
        <cfvo type="percentile" val="50"/>
        <cfvo type="max"/>
        <color rgb="FFF8696B"/>
        <color rgb="FFFFEB84"/>
        <color rgb="FF63BE7B"/>
      </colorScale>
    </cfRule>
  </conditionalFormatting>
  <conditionalFormatting sqref="F10:F24">
    <cfRule type="colorScale" priority="8127">
      <colorScale>
        <cfvo type="min"/>
        <cfvo type="percentile" val="50"/>
        <cfvo type="max"/>
        <color rgb="FFF8696B"/>
        <color rgb="FFFFEB84"/>
        <color rgb="FF63BE7B"/>
      </colorScale>
    </cfRule>
  </conditionalFormatting>
  <conditionalFormatting sqref="F10:F24">
    <cfRule type="colorScale" priority="8126">
      <colorScale>
        <cfvo type="min"/>
        <cfvo type="percentile" val="50"/>
        <cfvo type="max"/>
        <color rgb="FFF8696B"/>
        <color rgb="FFFFEB84"/>
        <color rgb="FF63BE7B"/>
      </colorScale>
    </cfRule>
  </conditionalFormatting>
  <conditionalFormatting sqref="F10:F24">
    <cfRule type="colorScale" priority="8125">
      <colorScale>
        <cfvo type="min"/>
        <cfvo type="percentile" val="50"/>
        <cfvo type="max"/>
        <color rgb="FFF8696B"/>
        <color rgb="FFFFEB84"/>
        <color rgb="FF63BE7B"/>
      </colorScale>
    </cfRule>
  </conditionalFormatting>
  <conditionalFormatting sqref="F10:F24">
    <cfRule type="colorScale" priority="8124">
      <colorScale>
        <cfvo type="min"/>
        <cfvo type="percentile" val="50"/>
        <cfvo type="max"/>
        <color rgb="FFF8696B"/>
        <color rgb="FFFFEB84"/>
        <color rgb="FF63BE7B"/>
      </colorScale>
    </cfRule>
  </conditionalFormatting>
  <conditionalFormatting sqref="F10:F24">
    <cfRule type="colorScale" priority="8123">
      <colorScale>
        <cfvo type="min"/>
        <cfvo type="percentile" val="50"/>
        <cfvo type="max"/>
        <color rgb="FFF8696B"/>
        <color rgb="FFFFEB84"/>
        <color rgb="FF63BE7B"/>
      </colorScale>
    </cfRule>
  </conditionalFormatting>
  <conditionalFormatting sqref="F10:F24">
    <cfRule type="colorScale" priority="8122">
      <colorScale>
        <cfvo type="min"/>
        <cfvo type="percentile" val="50"/>
        <cfvo type="max"/>
        <color rgb="FFF8696B"/>
        <color rgb="FFFFEB84"/>
        <color rgb="FF63BE7B"/>
      </colorScale>
    </cfRule>
  </conditionalFormatting>
  <conditionalFormatting sqref="F10:F24">
    <cfRule type="colorScale" priority="8121">
      <colorScale>
        <cfvo type="min"/>
        <cfvo type="percentile" val="50"/>
        <cfvo type="max"/>
        <color rgb="FFF8696B"/>
        <color rgb="FFFFEB84"/>
        <color rgb="FF63BE7B"/>
      </colorScale>
    </cfRule>
  </conditionalFormatting>
  <conditionalFormatting sqref="F10:F24">
    <cfRule type="colorScale" priority="8120">
      <colorScale>
        <cfvo type="min"/>
        <cfvo type="percentile" val="50"/>
        <cfvo type="max"/>
        <color rgb="FFF8696B"/>
        <color rgb="FFFFEB84"/>
        <color rgb="FF63BE7B"/>
      </colorScale>
    </cfRule>
  </conditionalFormatting>
  <conditionalFormatting sqref="F10:F24">
    <cfRule type="colorScale" priority="8119">
      <colorScale>
        <cfvo type="min"/>
        <cfvo type="percentile" val="50"/>
        <cfvo type="max"/>
        <color rgb="FFF8696B"/>
        <color rgb="FFFFEB84"/>
        <color rgb="FF63BE7B"/>
      </colorScale>
    </cfRule>
  </conditionalFormatting>
  <conditionalFormatting sqref="F10:F24">
    <cfRule type="colorScale" priority="8118">
      <colorScale>
        <cfvo type="min"/>
        <cfvo type="percentile" val="50"/>
        <cfvo type="max"/>
        <color rgb="FFF8696B"/>
        <color rgb="FFFFEB84"/>
        <color rgb="FF63BE7B"/>
      </colorScale>
    </cfRule>
  </conditionalFormatting>
  <conditionalFormatting sqref="F10:F24">
    <cfRule type="colorScale" priority="8117">
      <colorScale>
        <cfvo type="min"/>
        <cfvo type="percentile" val="50"/>
        <cfvo type="max"/>
        <color rgb="FFF8696B"/>
        <color rgb="FFFFEB84"/>
        <color rgb="FF63BE7B"/>
      </colorScale>
    </cfRule>
  </conditionalFormatting>
  <conditionalFormatting sqref="F10:F24">
    <cfRule type="colorScale" priority="8116">
      <colorScale>
        <cfvo type="min"/>
        <cfvo type="percentile" val="50"/>
        <cfvo type="max"/>
        <color rgb="FFF8696B"/>
        <color rgb="FFFFEB84"/>
        <color rgb="FF63BE7B"/>
      </colorScale>
    </cfRule>
  </conditionalFormatting>
  <conditionalFormatting sqref="F10:F25">
    <cfRule type="colorScale" priority="8115">
      <colorScale>
        <cfvo type="min"/>
        <cfvo type="percentile" val="50"/>
        <cfvo type="max"/>
        <color rgb="FFF8696B"/>
        <color rgb="FFFFEB84"/>
        <color rgb="FF63BE7B"/>
      </colorScale>
    </cfRule>
  </conditionalFormatting>
  <conditionalFormatting sqref="F10:F25">
    <cfRule type="colorScale" priority="8114">
      <colorScale>
        <cfvo type="min"/>
        <cfvo type="percentile" val="50"/>
        <cfvo type="max"/>
        <color rgb="FFF8696B"/>
        <color rgb="FFFFEB84"/>
        <color rgb="FF63BE7B"/>
      </colorScale>
    </cfRule>
  </conditionalFormatting>
  <conditionalFormatting sqref="F10:F24">
    <cfRule type="colorScale" priority="8113">
      <colorScale>
        <cfvo type="min"/>
        <cfvo type="percentile" val="50"/>
        <cfvo type="max"/>
        <color rgb="FFF8696B"/>
        <color rgb="FFFFEB84"/>
        <color rgb="FF63BE7B"/>
      </colorScale>
    </cfRule>
  </conditionalFormatting>
  <conditionalFormatting sqref="F10:F24">
    <cfRule type="colorScale" priority="8112">
      <colorScale>
        <cfvo type="min"/>
        <cfvo type="percentile" val="50"/>
        <cfvo type="max"/>
        <color rgb="FFF8696B"/>
        <color rgb="FFFFEB84"/>
        <color rgb="FF63BE7B"/>
      </colorScale>
    </cfRule>
  </conditionalFormatting>
  <conditionalFormatting sqref="F10:F24">
    <cfRule type="colorScale" priority="8111">
      <colorScale>
        <cfvo type="min"/>
        <cfvo type="percentile" val="50"/>
        <cfvo type="max"/>
        <color rgb="FFF8696B"/>
        <color rgb="FFFFEB84"/>
        <color rgb="FF63BE7B"/>
      </colorScale>
    </cfRule>
  </conditionalFormatting>
  <conditionalFormatting sqref="F10:F24">
    <cfRule type="colorScale" priority="8110">
      <colorScale>
        <cfvo type="min"/>
        <cfvo type="percentile" val="50"/>
        <cfvo type="max"/>
        <color rgb="FFF8696B"/>
        <color rgb="FFFFEB84"/>
        <color rgb="FF63BE7B"/>
      </colorScale>
    </cfRule>
  </conditionalFormatting>
  <conditionalFormatting sqref="F10:F21">
    <cfRule type="colorScale" priority="8109">
      <colorScale>
        <cfvo type="min"/>
        <cfvo type="percentile" val="50"/>
        <cfvo type="max"/>
        <color rgb="FFF8696B"/>
        <color rgb="FFFFEB84"/>
        <color rgb="FF63BE7B"/>
      </colorScale>
    </cfRule>
  </conditionalFormatting>
  <conditionalFormatting sqref="F10:F21">
    <cfRule type="colorScale" priority="8108">
      <colorScale>
        <cfvo type="min"/>
        <cfvo type="percentile" val="50"/>
        <cfvo type="max"/>
        <color rgb="FFF8696B"/>
        <color rgb="FFFFEB84"/>
        <color rgb="FF63BE7B"/>
      </colorScale>
    </cfRule>
  </conditionalFormatting>
  <conditionalFormatting sqref="F10:F24">
    <cfRule type="colorScale" priority="8107">
      <colorScale>
        <cfvo type="min"/>
        <cfvo type="percentile" val="50"/>
        <cfvo type="max"/>
        <color rgb="FFF8696B"/>
        <color rgb="FFFFEB84"/>
        <color rgb="FF63BE7B"/>
      </colorScale>
    </cfRule>
  </conditionalFormatting>
  <conditionalFormatting sqref="F10:F24">
    <cfRule type="colorScale" priority="8106">
      <colorScale>
        <cfvo type="min"/>
        <cfvo type="percentile" val="50"/>
        <cfvo type="max"/>
        <color rgb="FFF8696B"/>
        <color rgb="FFFFEB84"/>
        <color rgb="FF63BE7B"/>
      </colorScale>
    </cfRule>
  </conditionalFormatting>
  <conditionalFormatting sqref="F10:F25">
    <cfRule type="colorScale" priority="8105">
      <colorScale>
        <cfvo type="min"/>
        <cfvo type="percentile" val="50"/>
        <cfvo type="max"/>
        <color rgb="FFF8696B"/>
        <color rgb="FFFFEB84"/>
        <color rgb="FF63BE7B"/>
      </colorScale>
    </cfRule>
  </conditionalFormatting>
  <conditionalFormatting sqref="F10:F25">
    <cfRule type="colorScale" priority="8104">
      <colorScale>
        <cfvo type="min"/>
        <cfvo type="percentile" val="50"/>
        <cfvo type="max"/>
        <color rgb="FFF8696B"/>
        <color rgb="FFFFEB84"/>
        <color rgb="FF63BE7B"/>
      </colorScale>
    </cfRule>
  </conditionalFormatting>
  <conditionalFormatting sqref="F10:F24">
    <cfRule type="colorScale" priority="8103">
      <colorScale>
        <cfvo type="min"/>
        <cfvo type="percentile" val="50"/>
        <cfvo type="max"/>
        <color rgb="FFF8696B"/>
        <color rgb="FFFFEB84"/>
        <color rgb="FF63BE7B"/>
      </colorScale>
    </cfRule>
  </conditionalFormatting>
  <conditionalFormatting sqref="F10:F24">
    <cfRule type="colorScale" priority="8102">
      <colorScale>
        <cfvo type="min"/>
        <cfvo type="percentile" val="50"/>
        <cfvo type="max"/>
        <color rgb="FFF8696B"/>
        <color rgb="FFFFEB84"/>
        <color rgb="FF63BE7B"/>
      </colorScale>
    </cfRule>
  </conditionalFormatting>
  <conditionalFormatting sqref="F10:F24">
    <cfRule type="colorScale" priority="8101">
      <colorScale>
        <cfvo type="min"/>
        <cfvo type="percentile" val="50"/>
        <cfvo type="max"/>
        <color rgb="FFF8696B"/>
        <color rgb="FFFFEB84"/>
        <color rgb="FF63BE7B"/>
      </colorScale>
    </cfRule>
  </conditionalFormatting>
  <conditionalFormatting sqref="F10:F24">
    <cfRule type="colorScale" priority="8100">
      <colorScale>
        <cfvo type="min"/>
        <cfvo type="percentile" val="50"/>
        <cfvo type="max"/>
        <color rgb="FFF8696B"/>
        <color rgb="FFFFEB84"/>
        <color rgb="FF63BE7B"/>
      </colorScale>
    </cfRule>
  </conditionalFormatting>
  <conditionalFormatting sqref="F10:F24">
    <cfRule type="colorScale" priority="8099">
      <colorScale>
        <cfvo type="min"/>
        <cfvo type="percentile" val="50"/>
        <cfvo type="max"/>
        <color rgb="FFF8696B"/>
        <color rgb="FFFFEB84"/>
        <color rgb="FF63BE7B"/>
      </colorScale>
    </cfRule>
  </conditionalFormatting>
  <conditionalFormatting sqref="F10:F24">
    <cfRule type="colorScale" priority="8098">
      <colorScale>
        <cfvo type="min"/>
        <cfvo type="percentile" val="50"/>
        <cfvo type="max"/>
        <color rgb="FFF8696B"/>
        <color rgb="FFFFEB84"/>
        <color rgb="FF63BE7B"/>
      </colorScale>
    </cfRule>
  </conditionalFormatting>
  <conditionalFormatting sqref="F10:F24">
    <cfRule type="colorScale" priority="8097">
      <colorScale>
        <cfvo type="min"/>
        <cfvo type="percentile" val="50"/>
        <cfvo type="max"/>
        <color rgb="FFF8696B"/>
        <color rgb="FFFFEB84"/>
        <color rgb="FF63BE7B"/>
      </colorScale>
    </cfRule>
  </conditionalFormatting>
  <conditionalFormatting sqref="F10:F24">
    <cfRule type="colorScale" priority="8096">
      <colorScale>
        <cfvo type="min"/>
        <cfvo type="percentile" val="50"/>
        <cfvo type="max"/>
        <color rgb="FFF8696B"/>
        <color rgb="FFFFEB84"/>
        <color rgb="FF63BE7B"/>
      </colorScale>
    </cfRule>
  </conditionalFormatting>
  <conditionalFormatting sqref="F10:F24">
    <cfRule type="colorScale" priority="8095">
      <colorScale>
        <cfvo type="min"/>
        <cfvo type="percentile" val="50"/>
        <cfvo type="max"/>
        <color rgb="FFF8696B"/>
        <color rgb="FFFFEB84"/>
        <color rgb="FF63BE7B"/>
      </colorScale>
    </cfRule>
  </conditionalFormatting>
  <conditionalFormatting sqref="F10:F24">
    <cfRule type="colorScale" priority="8094">
      <colorScale>
        <cfvo type="min"/>
        <cfvo type="percentile" val="50"/>
        <cfvo type="max"/>
        <color rgb="FFF8696B"/>
        <color rgb="FFFFEB84"/>
        <color rgb="FF63BE7B"/>
      </colorScale>
    </cfRule>
  </conditionalFormatting>
  <conditionalFormatting sqref="F22:F24">
    <cfRule type="colorScale" priority="8093">
      <colorScale>
        <cfvo type="min"/>
        <cfvo type="percentile" val="50"/>
        <cfvo type="max"/>
        <color rgb="FFF8696B"/>
        <color rgb="FFFFEB84"/>
        <color rgb="FF63BE7B"/>
      </colorScale>
    </cfRule>
  </conditionalFormatting>
  <conditionalFormatting sqref="F22:F24">
    <cfRule type="colorScale" priority="8092">
      <colorScale>
        <cfvo type="min"/>
        <cfvo type="percentile" val="50"/>
        <cfvo type="max"/>
        <color rgb="FFF8696B"/>
        <color rgb="FFFFEB84"/>
        <color rgb="FF63BE7B"/>
      </colorScale>
    </cfRule>
  </conditionalFormatting>
  <conditionalFormatting sqref="F25">
    <cfRule type="colorScale" priority="8091">
      <colorScale>
        <cfvo type="min"/>
        <cfvo type="percentile" val="50"/>
        <cfvo type="max"/>
        <color rgb="FFF8696B"/>
        <color rgb="FFFFEB84"/>
        <color rgb="FF63BE7B"/>
      </colorScale>
    </cfRule>
  </conditionalFormatting>
  <conditionalFormatting sqref="F25">
    <cfRule type="colorScale" priority="8090">
      <colorScale>
        <cfvo type="min"/>
        <cfvo type="percentile" val="50"/>
        <cfvo type="max"/>
        <color rgb="FFF8696B"/>
        <color rgb="FFFFEB84"/>
        <color rgb="FF63BE7B"/>
      </colorScale>
    </cfRule>
  </conditionalFormatting>
  <conditionalFormatting sqref="F25">
    <cfRule type="colorScale" priority="8089">
      <colorScale>
        <cfvo type="min"/>
        <cfvo type="percentile" val="50"/>
        <cfvo type="max"/>
        <color rgb="FFF8696B"/>
        <color rgb="FFFFEB84"/>
        <color rgb="FF63BE7B"/>
      </colorScale>
    </cfRule>
  </conditionalFormatting>
  <conditionalFormatting sqref="F25">
    <cfRule type="colorScale" priority="8088">
      <colorScale>
        <cfvo type="min"/>
        <cfvo type="percentile" val="50"/>
        <cfvo type="max"/>
        <color rgb="FFF8696B"/>
        <color rgb="FFFFEB84"/>
        <color rgb="FF63BE7B"/>
      </colorScale>
    </cfRule>
  </conditionalFormatting>
  <conditionalFormatting sqref="F25">
    <cfRule type="colorScale" priority="8087">
      <colorScale>
        <cfvo type="min"/>
        <cfvo type="percentile" val="50"/>
        <cfvo type="max"/>
        <color rgb="FFF8696B"/>
        <color rgb="FFFFEB84"/>
        <color rgb="FF63BE7B"/>
      </colorScale>
    </cfRule>
  </conditionalFormatting>
  <conditionalFormatting sqref="F25">
    <cfRule type="colorScale" priority="8086">
      <colorScale>
        <cfvo type="min"/>
        <cfvo type="percentile" val="50"/>
        <cfvo type="max"/>
        <color rgb="FFF8696B"/>
        <color rgb="FFFFEB84"/>
        <color rgb="FF63BE7B"/>
      </colorScale>
    </cfRule>
  </conditionalFormatting>
  <conditionalFormatting sqref="F25">
    <cfRule type="colorScale" priority="8085">
      <colorScale>
        <cfvo type="min"/>
        <cfvo type="percentile" val="50"/>
        <cfvo type="max"/>
        <color rgb="FFF8696B"/>
        <color rgb="FFFFEB84"/>
        <color rgb="FF63BE7B"/>
      </colorScale>
    </cfRule>
  </conditionalFormatting>
  <conditionalFormatting sqref="F25">
    <cfRule type="colorScale" priority="8084">
      <colorScale>
        <cfvo type="min"/>
        <cfvo type="percentile" val="50"/>
        <cfvo type="max"/>
        <color rgb="FFF8696B"/>
        <color rgb="FFFFEB84"/>
        <color rgb="FF63BE7B"/>
      </colorScale>
    </cfRule>
  </conditionalFormatting>
  <conditionalFormatting sqref="F25">
    <cfRule type="colorScale" priority="8083">
      <colorScale>
        <cfvo type="min"/>
        <cfvo type="percentile" val="50"/>
        <cfvo type="max"/>
        <color rgb="FFF8696B"/>
        <color rgb="FFFFEB84"/>
        <color rgb="FF63BE7B"/>
      </colorScale>
    </cfRule>
  </conditionalFormatting>
  <conditionalFormatting sqref="F25">
    <cfRule type="colorScale" priority="8082">
      <colorScale>
        <cfvo type="min"/>
        <cfvo type="percentile" val="50"/>
        <cfvo type="max"/>
        <color rgb="FFF8696B"/>
        <color rgb="FFFFEB84"/>
        <color rgb="FF63BE7B"/>
      </colorScale>
    </cfRule>
  </conditionalFormatting>
  <conditionalFormatting sqref="F25">
    <cfRule type="colorScale" priority="8081">
      <colorScale>
        <cfvo type="min"/>
        <cfvo type="percentile" val="50"/>
        <cfvo type="max"/>
        <color rgb="FFF8696B"/>
        <color rgb="FFFFEB84"/>
        <color rgb="FF63BE7B"/>
      </colorScale>
    </cfRule>
  </conditionalFormatting>
  <conditionalFormatting sqref="F25">
    <cfRule type="colorScale" priority="8080">
      <colorScale>
        <cfvo type="min"/>
        <cfvo type="percentile" val="50"/>
        <cfvo type="max"/>
        <color rgb="FFF8696B"/>
        <color rgb="FFFFEB84"/>
        <color rgb="FF63BE7B"/>
      </colorScale>
    </cfRule>
  </conditionalFormatting>
  <conditionalFormatting sqref="F25">
    <cfRule type="colorScale" priority="8079">
      <colorScale>
        <cfvo type="min"/>
        <cfvo type="percentile" val="50"/>
        <cfvo type="max"/>
        <color rgb="FFF8696B"/>
        <color rgb="FFFFEB84"/>
        <color rgb="FF63BE7B"/>
      </colorScale>
    </cfRule>
  </conditionalFormatting>
  <conditionalFormatting sqref="F25">
    <cfRule type="colorScale" priority="8078">
      <colorScale>
        <cfvo type="min"/>
        <cfvo type="percentile" val="50"/>
        <cfvo type="max"/>
        <color rgb="FFF8696B"/>
        <color rgb="FFFFEB84"/>
        <color rgb="FF63BE7B"/>
      </colorScale>
    </cfRule>
  </conditionalFormatting>
  <conditionalFormatting sqref="F25">
    <cfRule type="colorScale" priority="8077">
      <colorScale>
        <cfvo type="min"/>
        <cfvo type="percentile" val="50"/>
        <cfvo type="max"/>
        <color rgb="FFF8696B"/>
        <color rgb="FFFFEB84"/>
        <color rgb="FF63BE7B"/>
      </colorScale>
    </cfRule>
  </conditionalFormatting>
  <conditionalFormatting sqref="F25">
    <cfRule type="colorScale" priority="8076">
      <colorScale>
        <cfvo type="min"/>
        <cfvo type="percentile" val="50"/>
        <cfvo type="max"/>
        <color rgb="FFF8696B"/>
        <color rgb="FFFFEB84"/>
        <color rgb="FF63BE7B"/>
      </colorScale>
    </cfRule>
  </conditionalFormatting>
  <conditionalFormatting sqref="F25">
    <cfRule type="colorScale" priority="8075">
      <colorScale>
        <cfvo type="min"/>
        <cfvo type="percentile" val="50"/>
        <cfvo type="max"/>
        <color rgb="FFF8696B"/>
        <color rgb="FFFFEB84"/>
        <color rgb="FF63BE7B"/>
      </colorScale>
    </cfRule>
  </conditionalFormatting>
  <conditionalFormatting sqref="F25">
    <cfRule type="colorScale" priority="8074">
      <colorScale>
        <cfvo type="min"/>
        <cfvo type="percentile" val="50"/>
        <cfvo type="max"/>
        <color rgb="FFF8696B"/>
        <color rgb="FFFFEB84"/>
        <color rgb="FF63BE7B"/>
      </colorScale>
    </cfRule>
  </conditionalFormatting>
  <conditionalFormatting sqref="F25">
    <cfRule type="colorScale" priority="8073">
      <colorScale>
        <cfvo type="min"/>
        <cfvo type="percentile" val="50"/>
        <cfvo type="max"/>
        <color rgb="FFF8696B"/>
        <color rgb="FFFFEB84"/>
        <color rgb="FF63BE7B"/>
      </colorScale>
    </cfRule>
  </conditionalFormatting>
  <conditionalFormatting sqref="F25">
    <cfRule type="colorScale" priority="8072">
      <colorScale>
        <cfvo type="min"/>
        <cfvo type="percentile" val="50"/>
        <cfvo type="max"/>
        <color rgb="FFF8696B"/>
        <color rgb="FFFFEB84"/>
        <color rgb="FF63BE7B"/>
      </colorScale>
    </cfRule>
  </conditionalFormatting>
  <conditionalFormatting sqref="F25">
    <cfRule type="colorScale" priority="8071">
      <colorScale>
        <cfvo type="min"/>
        <cfvo type="percentile" val="50"/>
        <cfvo type="max"/>
        <color rgb="FFF8696B"/>
        <color rgb="FFFFEB84"/>
        <color rgb="FF63BE7B"/>
      </colorScale>
    </cfRule>
  </conditionalFormatting>
  <conditionalFormatting sqref="F25">
    <cfRule type="colorScale" priority="8070">
      <colorScale>
        <cfvo type="min"/>
        <cfvo type="percentile" val="50"/>
        <cfvo type="max"/>
        <color rgb="FFF8696B"/>
        <color rgb="FFFFEB84"/>
        <color rgb="FF63BE7B"/>
      </colorScale>
    </cfRule>
  </conditionalFormatting>
  <conditionalFormatting sqref="F25">
    <cfRule type="colorScale" priority="8069">
      <colorScale>
        <cfvo type="min"/>
        <cfvo type="percentile" val="50"/>
        <cfvo type="max"/>
        <color rgb="FFF8696B"/>
        <color rgb="FFFFEB84"/>
        <color rgb="FF63BE7B"/>
      </colorScale>
    </cfRule>
  </conditionalFormatting>
  <conditionalFormatting sqref="F25">
    <cfRule type="colorScale" priority="8068">
      <colorScale>
        <cfvo type="min"/>
        <cfvo type="percentile" val="50"/>
        <cfvo type="max"/>
        <color rgb="FFF8696B"/>
        <color rgb="FFFFEB84"/>
        <color rgb="FF63BE7B"/>
      </colorScale>
    </cfRule>
  </conditionalFormatting>
  <conditionalFormatting sqref="F25">
    <cfRule type="colorScale" priority="8067">
      <colorScale>
        <cfvo type="min"/>
        <cfvo type="percentile" val="50"/>
        <cfvo type="max"/>
        <color rgb="FFF8696B"/>
        <color rgb="FFFFEB84"/>
        <color rgb="FF63BE7B"/>
      </colorScale>
    </cfRule>
  </conditionalFormatting>
  <conditionalFormatting sqref="F25">
    <cfRule type="colorScale" priority="8066">
      <colorScale>
        <cfvo type="min"/>
        <cfvo type="percentile" val="50"/>
        <cfvo type="max"/>
        <color rgb="FFF8696B"/>
        <color rgb="FFFFEB84"/>
        <color rgb="FF63BE7B"/>
      </colorScale>
    </cfRule>
  </conditionalFormatting>
  <conditionalFormatting sqref="F25">
    <cfRule type="colorScale" priority="8065">
      <colorScale>
        <cfvo type="min"/>
        <cfvo type="percentile" val="50"/>
        <cfvo type="max"/>
        <color rgb="FFF8696B"/>
        <color rgb="FFFFEB84"/>
        <color rgb="FF63BE7B"/>
      </colorScale>
    </cfRule>
  </conditionalFormatting>
  <conditionalFormatting sqref="F25">
    <cfRule type="colorScale" priority="8064">
      <colorScale>
        <cfvo type="min"/>
        <cfvo type="percentile" val="50"/>
        <cfvo type="max"/>
        <color rgb="FFF8696B"/>
        <color rgb="FFFFEB84"/>
        <color rgb="FF63BE7B"/>
      </colorScale>
    </cfRule>
  </conditionalFormatting>
  <conditionalFormatting sqref="F25">
    <cfRule type="colorScale" priority="8063">
      <colorScale>
        <cfvo type="min"/>
        <cfvo type="percentile" val="50"/>
        <cfvo type="max"/>
        <color rgb="FFF8696B"/>
        <color rgb="FFFFEB84"/>
        <color rgb="FF63BE7B"/>
      </colorScale>
    </cfRule>
  </conditionalFormatting>
  <conditionalFormatting sqref="F25">
    <cfRule type="colorScale" priority="8062">
      <colorScale>
        <cfvo type="min"/>
        <cfvo type="percentile" val="50"/>
        <cfvo type="max"/>
        <color rgb="FFF8696B"/>
        <color rgb="FFFFEB84"/>
        <color rgb="FF63BE7B"/>
      </colorScale>
    </cfRule>
  </conditionalFormatting>
  <conditionalFormatting sqref="F25">
    <cfRule type="colorScale" priority="8061">
      <colorScale>
        <cfvo type="min"/>
        <cfvo type="percentile" val="50"/>
        <cfvo type="max"/>
        <color rgb="FFF8696B"/>
        <color rgb="FFFFEB84"/>
        <color rgb="FF63BE7B"/>
      </colorScale>
    </cfRule>
  </conditionalFormatting>
  <conditionalFormatting sqref="F25">
    <cfRule type="colorScale" priority="8060">
      <colorScale>
        <cfvo type="min"/>
        <cfvo type="percentile" val="50"/>
        <cfvo type="max"/>
        <color rgb="FFF8696B"/>
        <color rgb="FFFFEB84"/>
        <color rgb="FF63BE7B"/>
      </colorScale>
    </cfRule>
  </conditionalFormatting>
  <conditionalFormatting sqref="F25">
    <cfRule type="colorScale" priority="8059">
      <colorScale>
        <cfvo type="min"/>
        <cfvo type="percentile" val="50"/>
        <cfvo type="max"/>
        <color rgb="FFF8696B"/>
        <color rgb="FFFFEB84"/>
        <color rgb="FF63BE7B"/>
      </colorScale>
    </cfRule>
  </conditionalFormatting>
  <conditionalFormatting sqref="F25">
    <cfRule type="colorScale" priority="8058">
      <colorScale>
        <cfvo type="min"/>
        <cfvo type="percentile" val="50"/>
        <cfvo type="max"/>
        <color rgb="FFF8696B"/>
        <color rgb="FFFFEB84"/>
        <color rgb="FF63BE7B"/>
      </colorScale>
    </cfRule>
  </conditionalFormatting>
  <conditionalFormatting sqref="F25">
    <cfRule type="colorScale" priority="8057">
      <colorScale>
        <cfvo type="min"/>
        <cfvo type="percentile" val="50"/>
        <cfvo type="max"/>
        <color rgb="FFF8696B"/>
        <color rgb="FFFFEB84"/>
        <color rgb="FF63BE7B"/>
      </colorScale>
    </cfRule>
  </conditionalFormatting>
  <conditionalFormatting sqref="F25">
    <cfRule type="colorScale" priority="8056">
      <colorScale>
        <cfvo type="min"/>
        <cfvo type="percentile" val="50"/>
        <cfvo type="max"/>
        <color rgb="FFF8696B"/>
        <color rgb="FFFFEB84"/>
        <color rgb="FF63BE7B"/>
      </colorScale>
    </cfRule>
  </conditionalFormatting>
  <conditionalFormatting sqref="F25">
    <cfRule type="colorScale" priority="8055">
      <colorScale>
        <cfvo type="min"/>
        <cfvo type="percentile" val="50"/>
        <cfvo type="max"/>
        <color rgb="FFF8696B"/>
        <color rgb="FFFFEB84"/>
        <color rgb="FF63BE7B"/>
      </colorScale>
    </cfRule>
  </conditionalFormatting>
  <conditionalFormatting sqref="F25">
    <cfRule type="colorScale" priority="8054">
      <colorScale>
        <cfvo type="min"/>
        <cfvo type="percentile" val="50"/>
        <cfvo type="max"/>
        <color rgb="FFF8696B"/>
        <color rgb="FFFFEB84"/>
        <color rgb="FF63BE7B"/>
      </colorScale>
    </cfRule>
  </conditionalFormatting>
  <conditionalFormatting sqref="F25">
    <cfRule type="colorScale" priority="8053">
      <colorScale>
        <cfvo type="min"/>
        <cfvo type="percentile" val="50"/>
        <cfvo type="max"/>
        <color rgb="FFF8696B"/>
        <color rgb="FFFFEB84"/>
        <color rgb="FF63BE7B"/>
      </colorScale>
    </cfRule>
  </conditionalFormatting>
  <conditionalFormatting sqref="F25">
    <cfRule type="colorScale" priority="8052">
      <colorScale>
        <cfvo type="min"/>
        <cfvo type="percentile" val="50"/>
        <cfvo type="max"/>
        <color rgb="FFF8696B"/>
        <color rgb="FFFFEB84"/>
        <color rgb="FF63BE7B"/>
      </colorScale>
    </cfRule>
  </conditionalFormatting>
  <conditionalFormatting sqref="F25">
    <cfRule type="colorScale" priority="8051">
      <colorScale>
        <cfvo type="min"/>
        <cfvo type="percentile" val="50"/>
        <cfvo type="max"/>
        <color rgb="FFF8696B"/>
        <color rgb="FFFFEB84"/>
        <color rgb="FF63BE7B"/>
      </colorScale>
    </cfRule>
  </conditionalFormatting>
  <conditionalFormatting sqref="F25">
    <cfRule type="colorScale" priority="8050">
      <colorScale>
        <cfvo type="min"/>
        <cfvo type="percentile" val="50"/>
        <cfvo type="max"/>
        <color rgb="FFF8696B"/>
        <color rgb="FFFFEB84"/>
        <color rgb="FF63BE7B"/>
      </colorScale>
    </cfRule>
  </conditionalFormatting>
  <conditionalFormatting sqref="F25">
    <cfRule type="colorScale" priority="8049">
      <colorScale>
        <cfvo type="min"/>
        <cfvo type="percentile" val="50"/>
        <cfvo type="max"/>
        <color rgb="FFF8696B"/>
        <color rgb="FFFFEB84"/>
        <color rgb="FF63BE7B"/>
      </colorScale>
    </cfRule>
  </conditionalFormatting>
  <conditionalFormatting sqref="F25">
    <cfRule type="colorScale" priority="8048">
      <colorScale>
        <cfvo type="min"/>
        <cfvo type="percentile" val="50"/>
        <cfvo type="max"/>
        <color rgb="FFF8696B"/>
        <color rgb="FFFFEB84"/>
        <color rgb="FF63BE7B"/>
      </colorScale>
    </cfRule>
  </conditionalFormatting>
  <conditionalFormatting sqref="F25">
    <cfRule type="colorScale" priority="8047">
      <colorScale>
        <cfvo type="min"/>
        <cfvo type="percentile" val="50"/>
        <cfvo type="max"/>
        <color rgb="FFF8696B"/>
        <color rgb="FFFFEB84"/>
        <color rgb="FF63BE7B"/>
      </colorScale>
    </cfRule>
  </conditionalFormatting>
  <conditionalFormatting sqref="F25">
    <cfRule type="colorScale" priority="8046">
      <colorScale>
        <cfvo type="min"/>
        <cfvo type="percentile" val="50"/>
        <cfvo type="max"/>
        <color rgb="FFF8696B"/>
        <color rgb="FFFFEB84"/>
        <color rgb="FF63BE7B"/>
      </colorScale>
    </cfRule>
  </conditionalFormatting>
  <conditionalFormatting sqref="F25">
    <cfRule type="colorScale" priority="8045">
      <colorScale>
        <cfvo type="min"/>
        <cfvo type="percentile" val="50"/>
        <cfvo type="max"/>
        <color rgb="FFF8696B"/>
        <color rgb="FFFFEB84"/>
        <color rgb="FF63BE7B"/>
      </colorScale>
    </cfRule>
  </conditionalFormatting>
  <conditionalFormatting sqref="F25">
    <cfRule type="colorScale" priority="8044">
      <colorScale>
        <cfvo type="min"/>
        <cfvo type="percentile" val="50"/>
        <cfvo type="max"/>
        <color rgb="FFF8696B"/>
        <color rgb="FFFFEB84"/>
        <color rgb="FF63BE7B"/>
      </colorScale>
    </cfRule>
  </conditionalFormatting>
  <conditionalFormatting sqref="F25">
    <cfRule type="colorScale" priority="8043">
      <colorScale>
        <cfvo type="min"/>
        <cfvo type="percentile" val="50"/>
        <cfvo type="max"/>
        <color rgb="FFF8696B"/>
        <color rgb="FFFFEB84"/>
        <color rgb="FF63BE7B"/>
      </colorScale>
    </cfRule>
  </conditionalFormatting>
  <conditionalFormatting sqref="F25">
    <cfRule type="colorScale" priority="8042">
      <colorScale>
        <cfvo type="min"/>
        <cfvo type="percentile" val="50"/>
        <cfvo type="max"/>
        <color rgb="FFF8696B"/>
        <color rgb="FFFFEB84"/>
        <color rgb="FF63BE7B"/>
      </colorScale>
    </cfRule>
  </conditionalFormatting>
  <conditionalFormatting sqref="F25">
    <cfRule type="colorScale" priority="8041">
      <colorScale>
        <cfvo type="min"/>
        <cfvo type="percentile" val="50"/>
        <cfvo type="max"/>
        <color rgb="FFF8696B"/>
        <color rgb="FFFFEB84"/>
        <color rgb="FF63BE7B"/>
      </colorScale>
    </cfRule>
  </conditionalFormatting>
  <conditionalFormatting sqref="F25">
    <cfRule type="colorScale" priority="8040">
      <colorScale>
        <cfvo type="min"/>
        <cfvo type="percentile" val="50"/>
        <cfvo type="max"/>
        <color rgb="FFF8696B"/>
        <color rgb="FFFFEB84"/>
        <color rgb="FF63BE7B"/>
      </colorScale>
    </cfRule>
  </conditionalFormatting>
  <conditionalFormatting sqref="F25">
    <cfRule type="colorScale" priority="8039">
      <colorScale>
        <cfvo type="min"/>
        <cfvo type="percentile" val="50"/>
        <cfvo type="max"/>
        <color rgb="FFF8696B"/>
        <color rgb="FFFFEB84"/>
        <color rgb="FF63BE7B"/>
      </colorScale>
    </cfRule>
  </conditionalFormatting>
  <conditionalFormatting sqref="F25">
    <cfRule type="colorScale" priority="8038">
      <colorScale>
        <cfvo type="min"/>
        <cfvo type="percentile" val="50"/>
        <cfvo type="max"/>
        <color rgb="FFF8696B"/>
        <color rgb="FFFFEB84"/>
        <color rgb="FF63BE7B"/>
      </colorScale>
    </cfRule>
  </conditionalFormatting>
  <conditionalFormatting sqref="F25">
    <cfRule type="colorScale" priority="8037">
      <colorScale>
        <cfvo type="min"/>
        <cfvo type="percentile" val="50"/>
        <cfvo type="max"/>
        <color rgb="FFF8696B"/>
        <color rgb="FFFFEB84"/>
        <color rgb="FF63BE7B"/>
      </colorScale>
    </cfRule>
  </conditionalFormatting>
  <conditionalFormatting sqref="F25">
    <cfRule type="colorScale" priority="8036">
      <colorScale>
        <cfvo type="min"/>
        <cfvo type="percentile" val="50"/>
        <cfvo type="max"/>
        <color rgb="FFF8696B"/>
        <color rgb="FFFFEB84"/>
        <color rgb="FF63BE7B"/>
      </colorScale>
    </cfRule>
  </conditionalFormatting>
  <conditionalFormatting sqref="F25">
    <cfRule type="colorScale" priority="8035">
      <colorScale>
        <cfvo type="min"/>
        <cfvo type="percentile" val="50"/>
        <cfvo type="max"/>
        <color rgb="FFF8696B"/>
        <color rgb="FFFFEB84"/>
        <color rgb="FF63BE7B"/>
      </colorScale>
    </cfRule>
  </conditionalFormatting>
  <conditionalFormatting sqref="F25">
    <cfRule type="colorScale" priority="8034">
      <colorScale>
        <cfvo type="min"/>
        <cfvo type="percentile" val="50"/>
        <cfvo type="max"/>
        <color rgb="FFF8696B"/>
        <color rgb="FFFFEB84"/>
        <color rgb="FF63BE7B"/>
      </colorScale>
    </cfRule>
  </conditionalFormatting>
  <conditionalFormatting sqref="F25">
    <cfRule type="colorScale" priority="8033">
      <colorScale>
        <cfvo type="min"/>
        <cfvo type="percentile" val="50"/>
        <cfvo type="max"/>
        <color rgb="FFF8696B"/>
        <color rgb="FFFFEB84"/>
        <color rgb="FF63BE7B"/>
      </colorScale>
    </cfRule>
  </conditionalFormatting>
  <conditionalFormatting sqref="F25">
    <cfRule type="colorScale" priority="8032">
      <colorScale>
        <cfvo type="min"/>
        <cfvo type="percentile" val="50"/>
        <cfvo type="max"/>
        <color rgb="FFF8696B"/>
        <color rgb="FFFFEB84"/>
        <color rgb="FF63BE7B"/>
      </colorScale>
    </cfRule>
  </conditionalFormatting>
  <conditionalFormatting sqref="F25">
    <cfRule type="colorScale" priority="8031">
      <colorScale>
        <cfvo type="min"/>
        <cfvo type="percentile" val="50"/>
        <cfvo type="max"/>
        <color rgb="FFF8696B"/>
        <color rgb="FFFFEB84"/>
        <color rgb="FF63BE7B"/>
      </colorScale>
    </cfRule>
  </conditionalFormatting>
  <conditionalFormatting sqref="F25">
    <cfRule type="colorScale" priority="8030">
      <colorScale>
        <cfvo type="min"/>
        <cfvo type="percentile" val="50"/>
        <cfvo type="max"/>
        <color rgb="FFF8696B"/>
        <color rgb="FFFFEB84"/>
        <color rgb="FF63BE7B"/>
      </colorScale>
    </cfRule>
  </conditionalFormatting>
  <conditionalFormatting sqref="F25">
    <cfRule type="colorScale" priority="8029">
      <colorScale>
        <cfvo type="min"/>
        <cfvo type="percentile" val="50"/>
        <cfvo type="max"/>
        <color rgb="FFF8696B"/>
        <color rgb="FFFFEB84"/>
        <color rgb="FF63BE7B"/>
      </colorScale>
    </cfRule>
  </conditionalFormatting>
  <conditionalFormatting sqref="F25">
    <cfRule type="colorScale" priority="8028">
      <colorScale>
        <cfvo type="min"/>
        <cfvo type="percentile" val="50"/>
        <cfvo type="max"/>
        <color rgb="FFF8696B"/>
        <color rgb="FFFFEB84"/>
        <color rgb="FF63BE7B"/>
      </colorScale>
    </cfRule>
  </conditionalFormatting>
  <conditionalFormatting sqref="F25">
    <cfRule type="colorScale" priority="8027">
      <colorScale>
        <cfvo type="min"/>
        <cfvo type="percentile" val="50"/>
        <cfvo type="max"/>
        <color rgb="FFF8696B"/>
        <color rgb="FFFFEB84"/>
        <color rgb="FF63BE7B"/>
      </colorScale>
    </cfRule>
  </conditionalFormatting>
  <conditionalFormatting sqref="F25">
    <cfRule type="colorScale" priority="8026">
      <colorScale>
        <cfvo type="min"/>
        <cfvo type="percentile" val="50"/>
        <cfvo type="max"/>
        <color rgb="FFF8696B"/>
        <color rgb="FFFFEB84"/>
        <color rgb="FF63BE7B"/>
      </colorScale>
    </cfRule>
  </conditionalFormatting>
  <conditionalFormatting sqref="F25">
    <cfRule type="colorScale" priority="8025">
      <colorScale>
        <cfvo type="min"/>
        <cfvo type="percentile" val="50"/>
        <cfvo type="max"/>
        <color rgb="FFF8696B"/>
        <color rgb="FFFFEB84"/>
        <color rgb="FF63BE7B"/>
      </colorScale>
    </cfRule>
  </conditionalFormatting>
  <conditionalFormatting sqref="F25">
    <cfRule type="colorScale" priority="8024">
      <colorScale>
        <cfvo type="min"/>
        <cfvo type="percentile" val="50"/>
        <cfvo type="max"/>
        <color rgb="FFF8696B"/>
        <color rgb="FFFFEB84"/>
        <color rgb="FF63BE7B"/>
      </colorScale>
    </cfRule>
  </conditionalFormatting>
  <conditionalFormatting sqref="F25">
    <cfRule type="colorScale" priority="8023">
      <colorScale>
        <cfvo type="min"/>
        <cfvo type="percentile" val="50"/>
        <cfvo type="max"/>
        <color rgb="FFF8696B"/>
        <color rgb="FFFFEB84"/>
        <color rgb="FF63BE7B"/>
      </colorScale>
    </cfRule>
  </conditionalFormatting>
  <conditionalFormatting sqref="F25">
    <cfRule type="colorScale" priority="8022">
      <colorScale>
        <cfvo type="min"/>
        <cfvo type="percentile" val="50"/>
        <cfvo type="max"/>
        <color rgb="FFF8696B"/>
        <color rgb="FFFFEB84"/>
        <color rgb="FF63BE7B"/>
      </colorScale>
    </cfRule>
  </conditionalFormatting>
  <conditionalFormatting sqref="F25">
    <cfRule type="colorScale" priority="8021">
      <colorScale>
        <cfvo type="min"/>
        <cfvo type="percentile" val="50"/>
        <cfvo type="max"/>
        <color rgb="FFF8696B"/>
        <color rgb="FFFFEB84"/>
        <color rgb="FF63BE7B"/>
      </colorScale>
    </cfRule>
  </conditionalFormatting>
  <conditionalFormatting sqref="F25">
    <cfRule type="colorScale" priority="8020">
      <colorScale>
        <cfvo type="min"/>
        <cfvo type="percentile" val="50"/>
        <cfvo type="max"/>
        <color rgb="FFF8696B"/>
        <color rgb="FFFFEB84"/>
        <color rgb="FF63BE7B"/>
      </colorScale>
    </cfRule>
  </conditionalFormatting>
  <conditionalFormatting sqref="F25">
    <cfRule type="colorScale" priority="8019">
      <colorScale>
        <cfvo type="min"/>
        <cfvo type="percentile" val="50"/>
        <cfvo type="max"/>
        <color rgb="FFF8696B"/>
        <color rgb="FFFFEB84"/>
        <color rgb="FF63BE7B"/>
      </colorScale>
    </cfRule>
  </conditionalFormatting>
  <conditionalFormatting sqref="F25">
    <cfRule type="colorScale" priority="8018">
      <colorScale>
        <cfvo type="min"/>
        <cfvo type="percentile" val="50"/>
        <cfvo type="max"/>
        <color rgb="FFF8696B"/>
        <color rgb="FFFFEB84"/>
        <color rgb="FF63BE7B"/>
      </colorScale>
    </cfRule>
  </conditionalFormatting>
  <conditionalFormatting sqref="F25">
    <cfRule type="colorScale" priority="8017">
      <colorScale>
        <cfvo type="min"/>
        <cfvo type="percentile" val="50"/>
        <cfvo type="max"/>
        <color rgb="FFF8696B"/>
        <color rgb="FFFFEB84"/>
        <color rgb="FF63BE7B"/>
      </colorScale>
    </cfRule>
  </conditionalFormatting>
  <conditionalFormatting sqref="F25">
    <cfRule type="colorScale" priority="8016">
      <colorScale>
        <cfvo type="min"/>
        <cfvo type="percentile" val="50"/>
        <cfvo type="max"/>
        <color rgb="FFF8696B"/>
        <color rgb="FFFFEB84"/>
        <color rgb="FF63BE7B"/>
      </colorScale>
    </cfRule>
  </conditionalFormatting>
  <conditionalFormatting sqref="F25">
    <cfRule type="colorScale" priority="8015">
      <colorScale>
        <cfvo type="min"/>
        <cfvo type="percentile" val="50"/>
        <cfvo type="max"/>
        <color rgb="FFF8696B"/>
        <color rgb="FFFFEB84"/>
        <color rgb="FF63BE7B"/>
      </colorScale>
    </cfRule>
  </conditionalFormatting>
  <conditionalFormatting sqref="F25">
    <cfRule type="colorScale" priority="8014">
      <colorScale>
        <cfvo type="min"/>
        <cfvo type="percentile" val="50"/>
        <cfvo type="max"/>
        <color rgb="FFF8696B"/>
        <color rgb="FFFFEB84"/>
        <color rgb="FF63BE7B"/>
      </colorScale>
    </cfRule>
  </conditionalFormatting>
  <conditionalFormatting sqref="F25">
    <cfRule type="colorScale" priority="8013">
      <colorScale>
        <cfvo type="min"/>
        <cfvo type="percentile" val="50"/>
        <cfvo type="max"/>
        <color rgb="FFF8696B"/>
        <color rgb="FFFFEB84"/>
        <color rgb="FF63BE7B"/>
      </colorScale>
    </cfRule>
  </conditionalFormatting>
  <conditionalFormatting sqref="F25">
    <cfRule type="colorScale" priority="8012">
      <colorScale>
        <cfvo type="min"/>
        <cfvo type="percentile" val="50"/>
        <cfvo type="max"/>
        <color rgb="FFF8696B"/>
        <color rgb="FFFFEB84"/>
        <color rgb="FF63BE7B"/>
      </colorScale>
    </cfRule>
  </conditionalFormatting>
  <conditionalFormatting sqref="F25">
    <cfRule type="colorScale" priority="8011">
      <colorScale>
        <cfvo type="min"/>
        <cfvo type="percentile" val="50"/>
        <cfvo type="max"/>
        <color rgb="FFF8696B"/>
        <color rgb="FFFFEB84"/>
        <color rgb="FF63BE7B"/>
      </colorScale>
    </cfRule>
  </conditionalFormatting>
  <conditionalFormatting sqref="F25">
    <cfRule type="colorScale" priority="8010">
      <colorScale>
        <cfvo type="min"/>
        <cfvo type="percentile" val="50"/>
        <cfvo type="max"/>
        <color rgb="FFF8696B"/>
        <color rgb="FFFFEB84"/>
        <color rgb="FF63BE7B"/>
      </colorScale>
    </cfRule>
  </conditionalFormatting>
  <conditionalFormatting sqref="F25">
    <cfRule type="colorScale" priority="8009">
      <colorScale>
        <cfvo type="min"/>
        <cfvo type="percentile" val="50"/>
        <cfvo type="max"/>
        <color rgb="FFF8696B"/>
        <color rgb="FFFFEB84"/>
        <color rgb="FF63BE7B"/>
      </colorScale>
    </cfRule>
  </conditionalFormatting>
  <conditionalFormatting sqref="F25">
    <cfRule type="colorScale" priority="8008">
      <colorScale>
        <cfvo type="min"/>
        <cfvo type="percentile" val="50"/>
        <cfvo type="max"/>
        <color rgb="FFF8696B"/>
        <color rgb="FFFFEB84"/>
        <color rgb="FF63BE7B"/>
      </colorScale>
    </cfRule>
  </conditionalFormatting>
  <conditionalFormatting sqref="F25">
    <cfRule type="colorScale" priority="8007">
      <colorScale>
        <cfvo type="min"/>
        <cfvo type="percentile" val="50"/>
        <cfvo type="max"/>
        <color rgb="FFF8696B"/>
        <color rgb="FFFFEB84"/>
        <color rgb="FF63BE7B"/>
      </colorScale>
    </cfRule>
  </conditionalFormatting>
  <conditionalFormatting sqref="F25">
    <cfRule type="colorScale" priority="8006">
      <colorScale>
        <cfvo type="min"/>
        <cfvo type="percentile" val="50"/>
        <cfvo type="max"/>
        <color rgb="FFF8696B"/>
        <color rgb="FFFFEB84"/>
        <color rgb="FF63BE7B"/>
      </colorScale>
    </cfRule>
  </conditionalFormatting>
  <conditionalFormatting sqref="F25">
    <cfRule type="colorScale" priority="8005">
      <colorScale>
        <cfvo type="min"/>
        <cfvo type="percentile" val="50"/>
        <cfvo type="max"/>
        <color rgb="FFF8696B"/>
        <color rgb="FFFFEB84"/>
        <color rgb="FF63BE7B"/>
      </colorScale>
    </cfRule>
  </conditionalFormatting>
  <conditionalFormatting sqref="F25">
    <cfRule type="colorScale" priority="8004">
      <colorScale>
        <cfvo type="min"/>
        <cfvo type="percentile" val="50"/>
        <cfvo type="max"/>
        <color rgb="FFF8696B"/>
        <color rgb="FFFFEB84"/>
        <color rgb="FF63BE7B"/>
      </colorScale>
    </cfRule>
  </conditionalFormatting>
  <conditionalFormatting sqref="F25">
    <cfRule type="colorScale" priority="8003">
      <colorScale>
        <cfvo type="min"/>
        <cfvo type="percentile" val="50"/>
        <cfvo type="max"/>
        <color rgb="FFF8696B"/>
        <color rgb="FFFFEB84"/>
        <color rgb="FF63BE7B"/>
      </colorScale>
    </cfRule>
  </conditionalFormatting>
  <conditionalFormatting sqref="F25">
    <cfRule type="colorScale" priority="8002">
      <colorScale>
        <cfvo type="min"/>
        <cfvo type="percentile" val="50"/>
        <cfvo type="max"/>
        <color rgb="FFF8696B"/>
        <color rgb="FFFFEB84"/>
        <color rgb="FF63BE7B"/>
      </colorScale>
    </cfRule>
  </conditionalFormatting>
  <conditionalFormatting sqref="F25">
    <cfRule type="colorScale" priority="8001">
      <colorScale>
        <cfvo type="min"/>
        <cfvo type="percentile" val="50"/>
        <cfvo type="max"/>
        <color rgb="FFF8696B"/>
        <color rgb="FFFFEB84"/>
        <color rgb="FF63BE7B"/>
      </colorScale>
    </cfRule>
  </conditionalFormatting>
  <conditionalFormatting sqref="F25">
    <cfRule type="colorScale" priority="8000">
      <colorScale>
        <cfvo type="min"/>
        <cfvo type="percentile" val="50"/>
        <cfvo type="max"/>
        <color rgb="FFF8696B"/>
        <color rgb="FFFFEB84"/>
        <color rgb="FF63BE7B"/>
      </colorScale>
    </cfRule>
  </conditionalFormatting>
  <conditionalFormatting sqref="F25">
    <cfRule type="colorScale" priority="7999">
      <colorScale>
        <cfvo type="min"/>
        <cfvo type="percentile" val="50"/>
        <cfvo type="max"/>
        <color rgb="FFF8696B"/>
        <color rgb="FFFFEB84"/>
        <color rgb="FF63BE7B"/>
      </colorScale>
    </cfRule>
  </conditionalFormatting>
  <conditionalFormatting sqref="F25">
    <cfRule type="colorScale" priority="7998">
      <colorScale>
        <cfvo type="min"/>
        <cfvo type="percentile" val="50"/>
        <cfvo type="max"/>
        <color rgb="FFF8696B"/>
        <color rgb="FFFFEB84"/>
        <color rgb="FF63BE7B"/>
      </colorScale>
    </cfRule>
  </conditionalFormatting>
  <conditionalFormatting sqref="F25">
    <cfRule type="colorScale" priority="7997">
      <colorScale>
        <cfvo type="min"/>
        <cfvo type="percentile" val="50"/>
        <cfvo type="max"/>
        <color rgb="FFF8696B"/>
        <color rgb="FFFFEB84"/>
        <color rgb="FF63BE7B"/>
      </colorScale>
    </cfRule>
  </conditionalFormatting>
  <conditionalFormatting sqref="F25">
    <cfRule type="colorScale" priority="7996">
      <colorScale>
        <cfvo type="min"/>
        <cfvo type="percentile" val="50"/>
        <cfvo type="max"/>
        <color rgb="FFF8696B"/>
        <color rgb="FFFFEB84"/>
        <color rgb="FF63BE7B"/>
      </colorScale>
    </cfRule>
  </conditionalFormatting>
  <conditionalFormatting sqref="F25">
    <cfRule type="colorScale" priority="7995">
      <colorScale>
        <cfvo type="min"/>
        <cfvo type="percentile" val="50"/>
        <cfvo type="max"/>
        <color rgb="FFF8696B"/>
        <color rgb="FFFFEB84"/>
        <color rgb="FF63BE7B"/>
      </colorScale>
    </cfRule>
  </conditionalFormatting>
  <conditionalFormatting sqref="F25">
    <cfRule type="colorScale" priority="7994">
      <colorScale>
        <cfvo type="min"/>
        <cfvo type="percentile" val="50"/>
        <cfvo type="max"/>
        <color rgb="FFF8696B"/>
        <color rgb="FFFFEB84"/>
        <color rgb="FF63BE7B"/>
      </colorScale>
    </cfRule>
  </conditionalFormatting>
  <conditionalFormatting sqref="F25">
    <cfRule type="colorScale" priority="7993">
      <colorScale>
        <cfvo type="min"/>
        <cfvo type="percentile" val="50"/>
        <cfvo type="max"/>
        <color rgb="FFF8696B"/>
        <color rgb="FFFFEB84"/>
        <color rgb="FF63BE7B"/>
      </colorScale>
    </cfRule>
  </conditionalFormatting>
  <conditionalFormatting sqref="F25">
    <cfRule type="colorScale" priority="7992">
      <colorScale>
        <cfvo type="min"/>
        <cfvo type="percentile" val="50"/>
        <cfvo type="max"/>
        <color rgb="FFF8696B"/>
        <color rgb="FFFFEB84"/>
        <color rgb="FF63BE7B"/>
      </colorScale>
    </cfRule>
  </conditionalFormatting>
  <conditionalFormatting sqref="F25">
    <cfRule type="colorScale" priority="7991">
      <colorScale>
        <cfvo type="min"/>
        <cfvo type="percentile" val="50"/>
        <cfvo type="max"/>
        <color rgb="FFF8696B"/>
        <color rgb="FFFFEB84"/>
        <color rgb="FF63BE7B"/>
      </colorScale>
    </cfRule>
  </conditionalFormatting>
  <conditionalFormatting sqref="F25">
    <cfRule type="colorScale" priority="7990">
      <colorScale>
        <cfvo type="min"/>
        <cfvo type="percentile" val="50"/>
        <cfvo type="max"/>
        <color rgb="FFF8696B"/>
        <color rgb="FFFFEB84"/>
        <color rgb="FF63BE7B"/>
      </colorScale>
    </cfRule>
  </conditionalFormatting>
  <conditionalFormatting sqref="F25">
    <cfRule type="colorScale" priority="7989">
      <colorScale>
        <cfvo type="min"/>
        <cfvo type="percentile" val="50"/>
        <cfvo type="max"/>
        <color rgb="FFF8696B"/>
        <color rgb="FFFFEB84"/>
        <color rgb="FF63BE7B"/>
      </colorScale>
    </cfRule>
  </conditionalFormatting>
  <conditionalFormatting sqref="F25">
    <cfRule type="colorScale" priority="7988">
      <colorScale>
        <cfvo type="min"/>
        <cfvo type="percentile" val="50"/>
        <cfvo type="max"/>
        <color rgb="FFF8696B"/>
        <color rgb="FFFFEB84"/>
        <color rgb="FF63BE7B"/>
      </colorScale>
    </cfRule>
  </conditionalFormatting>
  <conditionalFormatting sqref="F25">
    <cfRule type="colorScale" priority="7987">
      <colorScale>
        <cfvo type="min"/>
        <cfvo type="percentile" val="50"/>
        <cfvo type="max"/>
        <color rgb="FFF8696B"/>
        <color rgb="FFFFEB84"/>
        <color rgb="FF63BE7B"/>
      </colorScale>
    </cfRule>
  </conditionalFormatting>
  <conditionalFormatting sqref="F25">
    <cfRule type="colorScale" priority="7986">
      <colorScale>
        <cfvo type="min"/>
        <cfvo type="percentile" val="50"/>
        <cfvo type="max"/>
        <color rgb="FFF8696B"/>
        <color rgb="FFFFEB84"/>
        <color rgb="FF63BE7B"/>
      </colorScale>
    </cfRule>
  </conditionalFormatting>
  <conditionalFormatting sqref="F25">
    <cfRule type="colorScale" priority="7985">
      <colorScale>
        <cfvo type="min"/>
        <cfvo type="percentile" val="50"/>
        <cfvo type="max"/>
        <color rgb="FFF8696B"/>
        <color rgb="FFFFEB84"/>
        <color rgb="FF63BE7B"/>
      </colorScale>
    </cfRule>
  </conditionalFormatting>
  <conditionalFormatting sqref="F25">
    <cfRule type="colorScale" priority="7984">
      <colorScale>
        <cfvo type="min"/>
        <cfvo type="percentile" val="50"/>
        <cfvo type="max"/>
        <color rgb="FFF8696B"/>
        <color rgb="FFFFEB84"/>
        <color rgb="FF63BE7B"/>
      </colorScale>
    </cfRule>
  </conditionalFormatting>
  <conditionalFormatting sqref="F25">
    <cfRule type="colorScale" priority="7983">
      <colorScale>
        <cfvo type="min"/>
        <cfvo type="percentile" val="50"/>
        <cfvo type="max"/>
        <color rgb="FFF8696B"/>
        <color rgb="FFFFEB84"/>
        <color rgb="FF63BE7B"/>
      </colorScale>
    </cfRule>
  </conditionalFormatting>
  <conditionalFormatting sqref="F25">
    <cfRule type="colorScale" priority="7982">
      <colorScale>
        <cfvo type="min"/>
        <cfvo type="percentile" val="50"/>
        <cfvo type="max"/>
        <color rgb="FFF8696B"/>
        <color rgb="FFFFEB84"/>
        <color rgb="FF63BE7B"/>
      </colorScale>
    </cfRule>
  </conditionalFormatting>
  <conditionalFormatting sqref="F25">
    <cfRule type="colorScale" priority="7981">
      <colorScale>
        <cfvo type="min"/>
        <cfvo type="percentile" val="50"/>
        <cfvo type="max"/>
        <color rgb="FFF8696B"/>
        <color rgb="FFFFEB84"/>
        <color rgb="FF63BE7B"/>
      </colorScale>
    </cfRule>
  </conditionalFormatting>
  <conditionalFormatting sqref="F25">
    <cfRule type="colorScale" priority="7980">
      <colorScale>
        <cfvo type="min"/>
        <cfvo type="percentile" val="50"/>
        <cfvo type="max"/>
        <color rgb="FFF8696B"/>
        <color rgb="FFFFEB84"/>
        <color rgb="FF63BE7B"/>
      </colorScale>
    </cfRule>
  </conditionalFormatting>
  <conditionalFormatting sqref="F25">
    <cfRule type="colorScale" priority="7979">
      <colorScale>
        <cfvo type="min"/>
        <cfvo type="percentile" val="50"/>
        <cfvo type="max"/>
        <color rgb="FFF8696B"/>
        <color rgb="FFFFEB84"/>
        <color rgb="FF63BE7B"/>
      </colorScale>
    </cfRule>
  </conditionalFormatting>
  <conditionalFormatting sqref="F25">
    <cfRule type="colorScale" priority="7978">
      <colorScale>
        <cfvo type="min"/>
        <cfvo type="percentile" val="50"/>
        <cfvo type="max"/>
        <color rgb="FFF8696B"/>
        <color rgb="FFFFEB84"/>
        <color rgb="FF63BE7B"/>
      </colorScale>
    </cfRule>
  </conditionalFormatting>
  <conditionalFormatting sqref="F25">
    <cfRule type="colorScale" priority="7977">
      <colorScale>
        <cfvo type="min"/>
        <cfvo type="percentile" val="50"/>
        <cfvo type="max"/>
        <color rgb="FFF8696B"/>
        <color rgb="FFFFEB84"/>
        <color rgb="FF63BE7B"/>
      </colorScale>
    </cfRule>
  </conditionalFormatting>
  <conditionalFormatting sqref="F25">
    <cfRule type="colorScale" priority="7976">
      <colorScale>
        <cfvo type="min"/>
        <cfvo type="percentile" val="50"/>
        <cfvo type="max"/>
        <color rgb="FFF8696B"/>
        <color rgb="FFFFEB84"/>
        <color rgb="FF63BE7B"/>
      </colorScale>
    </cfRule>
  </conditionalFormatting>
  <conditionalFormatting sqref="F25">
    <cfRule type="colorScale" priority="7975">
      <colorScale>
        <cfvo type="min"/>
        <cfvo type="percentile" val="50"/>
        <cfvo type="max"/>
        <color rgb="FFF8696B"/>
        <color rgb="FFFFEB84"/>
        <color rgb="FF63BE7B"/>
      </colorScale>
    </cfRule>
  </conditionalFormatting>
  <conditionalFormatting sqref="F25">
    <cfRule type="colorScale" priority="7974">
      <colorScale>
        <cfvo type="min"/>
        <cfvo type="percentile" val="50"/>
        <cfvo type="max"/>
        <color rgb="FFF8696B"/>
        <color rgb="FFFFEB84"/>
        <color rgb="FF63BE7B"/>
      </colorScale>
    </cfRule>
  </conditionalFormatting>
  <conditionalFormatting sqref="F25">
    <cfRule type="colorScale" priority="7973">
      <colorScale>
        <cfvo type="min"/>
        <cfvo type="percentile" val="50"/>
        <cfvo type="max"/>
        <color rgb="FFF8696B"/>
        <color rgb="FFFFEB84"/>
        <color rgb="FF63BE7B"/>
      </colorScale>
    </cfRule>
  </conditionalFormatting>
  <conditionalFormatting sqref="F25">
    <cfRule type="colorScale" priority="7972">
      <colorScale>
        <cfvo type="min"/>
        <cfvo type="percentile" val="50"/>
        <cfvo type="max"/>
        <color rgb="FFF8696B"/>
        <color rgb="FFFFEB84"/>
        <color rgb="FF63BE7B"/>
      </colorScale>
    </cfRule>
  </conditionalFormatting>
  <conditionalFormatting sqref="F25">
    <cfRule type="colorScale" priority="7971">
      <colorScale>
        <cfvo type="min"/>
        <cfvo type="percentile" val="50"/>
        <cfvo type="max"/>
        <color rgb="FFF8696B"/>
        <color rgb="FFFFEB84"/>
        <color rgb="FF63BE7B"/>
      </colorScale>
    </cfRule>
  </conditionalFormatting>
  <conditionalFormatting sqref="F25">
    <cfRule type="colorScale" priority="7970">
      <colorScale>
        <cfvo type="min"/>
        <cfvo type="percentile" val="50"/>
        <cfvo type="max"/>
        <color rgb="FFF8696B"/>
        <color rgb="FFFFEB84"/>
        <color rgb="FF63BE7B"/>
      </colorScale>
    </cfRule>
  </conditionalFormatting>
  <conditionalFormatting sqref="F25">
    <cfRule type="colorScale" priority="7969">
      <colorScale>
        <cfvo type="min"/>
        <cfvo type="percentile" val="50"/>
        <cfvo type="max"/>
        <color rgb="FFF8696B"/>
        <color rgb="FFFFEB84"/>
        <color rgb="FF63BE7B"/>
      </colorScale>
    </cfRule>
  </conditionalFormatting>
  <conditionalFormatting sqref="F25">
    <cfRule type="colorScale" priority="7968">
      <colorScale>
        <cfvo type="min"/>
        <cfvo type="percentile" val="50"/>
        <cfvo type="max"/>
        <color rgb="FFF8696B"/>
        <color rgb="FFFFEB84"/>
        <color rgb="FF63BE7B"/>
      </colorScale>
    </cfRule>
  </conditionalFormatting>
  <conditionalFormatting sqref="F25">
    <cfRule type="colorScale" priority="7967">
      <colorScale>
        <cfvo type="min"/>
        <cfvo type="percentile" val="50"/>
        <cfvo type="max"/>
        <color rgb="FFF8696B"/>
        <color rgb="FFFFEB84"/>
        <color rgb="FF63BE7B"/>
      </colorScale>
    </cfRule>
  </conditionalFormatting>
  <conditionalFormatting sqref="F25">
    <cfRule type="colorScale" priority="7966">
      <colorScale>
        <cfvo type="min"/>
        <cfvo type="percentile" val="50"/>
        <cfvo type="max"/>
        <color rgb="FFF8696B"/>
        <color rgb="FFFFEB84"/>
        <color rgb="FF63BE7B"/>
      </colorScale>
    </cfRule>
  </conditionalFormatting>
  <conditionalFormatting sqref="F25">
    <cfRule type="colorScale" priority="7965">
      <colorScale>
        <cfvo type="min"/>
        <cfvo type="percentile" val="50"/>
        <cfvo type="max"/>
        <color rgb="FFF8696B"/>
        <color rgb="FFFFEB84"/>
        <color rgb="FF63BE7B"/>
      </colorScale>
    </cfRule>
  </conditionalFormatting>
  <conditionalFormatting sqref="F25">
    <cfRule type="colorScale" priority="7964">
      <colorScale>
        <cfvo type="min"/>
        <cfvo type="percentile" val="50"/>
        <cfvo type="max"/>
        <color rgb="FFF8696B"/>
        <color rgb="FFFFEB84"/>
        <color rgb="FF63BE7B"/>
      </colorScale>
    </cfRule>
  </conditionalFormatting>
  <conditionalFormatting sqref="F25">
    <cfRule type="colorScale" priority="7963">
      <colorScale>
        <cfvo type="min"/>
        <cfvo type="percentile" val="50"/>
        <cfvo type="max"/>
        <color rgb="FFF8696B"/>
        <color rgb="FFFFEB84"/>
        <color rgb="FF63BE7B"/>
      </colorScale>
    </cfRule>
  </conditionalFormatting>
  <conditionalFormatting sqref="F25">
    <cfRule type="colorScale" priority="7962">
      <colorScale>
        <cfvo type="min"/>
        <cfvo type="percentile" val="50"/>
        <cfvo type="max"/>
        <color rgb="FFF8696B"/>
        <color rgb="FFFFEB84"/>
        <color rgb="FF63BE7B"/>
      </colorScale>
    </cfRule>
  </conditionalFormatting>
  <conditionalFormatting sqref="F25">
    <cfRule type="colorScale" priority="7961">
      <colorScale>
        <cfvo type="min"/>
        <cfvo type="percentile" val="50"/>
        <cfvo type="max"/>
        <color rgb="FFF8696B"/>
        <color rgb="FFFFEB84"/>
        <color rgb="FF63BE7B"/>
      </colorScale>
    </cfRule>
  </conditionalFormatting>
  <conditionalFormatting sqref="F25">
    <cfRule type="colorScale" priority="7960">
      <colorScale>
        <cfvo type="min"/>
        <cfvo type="percentile" val="50"/>
        <cfvo type="max"/>
        <color rgb="FFF8696B"/>
        <color rgb="FFFFEB84"/>
        <color rgb="FF63BE7B"/>
      </colorScale>
    </cfRule>
  </conditionalFormatting>
  <conditionalFormatting sqref="F25">
    <cfRule type="colorScale" priority="7959">
      <colorScale>
        <cfvo type="min"/>
        <cfvo type="percentile" val="50"/>
        <cfvo type="max"/>
        <color rgb="FFF8696B"/>
        <color rgb="FFFFEB84"/>
        <color rgb="FF63BE7B"/>
      </colorScale>
    </cfRule>
  </conditionalFormatting>
  <conditionalFormatting sqref="F25">
    <cfRule type="colorScale" priority="7958">
      <colorScale>
        <cfvo type="min"/>
        <cfvo type="percentile" val="50"/>
        <cfvo type="max"/>
        <color rgb="FFF8696B"/>
        <color rgb="FFFFEB84"/>
        <color rgb="FF63BE7B"/>
      </colorScale>
    </cfRule>
  </conditionalFormatting>
  <conditionalFormatting sqref="F25">
    <cfRule type="colorScale" priority="7957">
      <colorScale>
        <cfvo type="min"/>
        <cfvo type="percentile" val="50"/>
        <cfvo type="max"/>
        <color rgb="FFF8696B"/>
        <color rgb="FFFFEB84"/>
        <color rgb="FF63BE7B"/>
      </colorScale>
    </cfRule>
  </conditionalFormatting>
  <conditionalFormatting sqref="F25">
    <cfRule type="colorScale" priority="7956">
      <colorScale>
        <cfvo type="min"/>
        <cfvo type="percentile" val="50"/>
        <cfvo type="max"/>
        <color rgb="FFF8696B"/>
        <color rgb="FFFFEB84"/>
        <color rgb="FF63BE7B"/>
      </colorScale>
    </cfRule>
  </conditionalFormatting>
  <conditionalFormatting sqref="F25">
    <cfRule type="colorScale" priority="7955">
      <colorScale>
        <cfvo type="min"/>
        <cfvo type="percentile" val="50"/>
        <cfvo type="max"/>
        <color rgb="FFF8696B"/>
        <color rgb="FFFFEB84"/>
        <color rgb="FF63BE7B"/>
      </colorScale>
    </cfRule>
  </conditionalFormatting>
  <conditionalFormatting sqref="F25">
    <cfRule type="colorScale" priority="7954">
      <colorScale>
        <cfvo type="min"/>
        <cfvo type="percentile" val="50"/>
        <cfvo type="max"/>
        <color rgb="FFF8696B"/>
        <color rgb="FFFFEB84"/>
        <color rgb="FF63BE7B"/>
      </colorScale>
    </cfRule>
  </conditionalFormatting>
  <conditionalFormatting sqref="F25">
    <cfRule type="colorScale" priority="7953">
      <colorScale>
        <cfvo type="min"/>
        <cfvo type="percentile" val="50"/>
        <cfvo type="max"/>
        <color rgb="FFF8696B"/>
        <color rgb="FFFFEB84"/>
        <color rgb="FF63BE7B"/>
      </colorScale>
    </cfRule>
  </conditionalFormatting>
  <conditionalFormatting sqref="F25">
    <cfRule type="colorScale" priority="7952">
      <colorScale>
        <cfvo type="min"/>
        <cfvo type="percentile" val="50"/>
        <cfvo type="max"/>
        <color rgb="FFF8696B"/>
        <color rgb="FFFFEB84"/>
        <color rgb="FF63BE7B"/>
      </colorScale>
    </cfRule>
  </conditionalFormatting>
  <conditionalFormatting sqref="F25">
    <cfRule type="colorScale" priority="7951">
      <colorScale>
        <cfvo type="min"/>
        <cfvo type="percentile" val="50"/>
        <cfvo type="max"/>
        <color rgb="FFF8696B"/>
        <color rgb="FFFFEB84"/>
        <color rgb="FF63BE7B"/>
      </colorScale>
    </cfRule>
  </conditionalFormatting>
  <conditionalFormatting sqref="F25">
    <cfRule type="colorScale" priority="7950">
      <colorScale>
        <cfvo type="min"/>
        <cfvo type="percentile" val="50"/>
        <cfvo type="max"/>
        <color rgb="FFF8696B"/>
        <color rgb="FFFFEB84"/>
        <color rgb="FF63BE7B"/>
      </colorScale>
    </cfRule>
  </conditionalFormatting>
  <conditionalFormatting sqref="F25">
    <cfRule type="colorScale" priority="7949">
      <colorScale>
        <cfvo type="min"/>
        <cfvo type="percentile" val="50"/>
        <cfvo type="max"/>
        <color rgb="FFF8696B"/>
        <color rgb="FFFFEB84"/>
        <color rgb="FF63BE7B"/>
      </colorScale>
    </cfRule>
  </conditionalFormatting>
  <conditionalFormatting sqref="F25">
    <cfRule type="colorScale" priority="7948">
      <colorScale>
        <cfvo type="min"/>
        <cfvo type="percentile" val="50"/>
        <cfvo type="max"/>
        <color rgb="FFF8696B"/>
        <color rgb="FFFFEB84"/>
        <color rgb="FF63BE7B"/>
      </colorScale>
    </cfRule>
  </conditionalFormatting>
  <conditionalFormatting sqref="F25">
    <cfRule type="colorScale" priority="7947">
      <colorScale>
        <cfvo type="min"/>
        <cfvo type="percentile" val="50"/>
        <cfvo type="max"/>
        <color rgb="FFF8696B"/>
        <color rgb="FFFFEB84"/>
        <color rgb="FF63BE7B"/>
      </colorScale>
    </cfRule>
  </conditionalFormatting>
  <conditionalFormatting sqref="D10:D32">
    <cfRule type="colorScale" priority="7946">
      <colorScale>
        <cfvo type="min"/>
        <cfvo type="percentile" val="50"/>
        <cfvo type="max"/>
        <color rgb="FFF8696B"/>
        <color rgb="FFFFEB84"/>
        <color rgb="FF63BE7B"/>
      </colorScale>
    </cfRule>
  </conditionalFormatting>
  <conditionalFormatting sqref="D10:D31">
    <cfRule type="colorScale" priority="7945">
      <colorScale>
        <cfvo type="min"/>
        <cfvo type="percentile" val="50"/>
        <cfvo type="max"/>
        <color rgb="FFF8696B"/>
        <color rgb="FFFFEB84"/>
        <color rgb="FF63BE7B"/>
      </colorScale>
    </cfRule>
  </conditionalFormatting>
  <conditionalFormatting sqref="D10:D31">
    <cfRule type="colorScale" priority="7944">
      <colorScale>
        <cfvo type="min"/>
        <cfvo type="percentile" val="50"/>
        <cfvo type="max"/>
        <color rgb="FFF8696B"/>
        <color rgb="FFFFEB84"/>
        <color rgb="FF63BE7B"/>
      </colorScale>
    </cfRule>
  </conditionalFormatting>
  <conditionalFormatting sqref="D10:D29">
    <cfRule type="colorScale" priority="7943">
      <colorScale>
        <cfvo type="min"/>
        <cfvo type="percentile" val="50"/>
        <cfvo type="max"/>
        <color rgb="FFF8696B"/>
        <color rgb="FFFFEB84"/>
        <color rgb="FF63BE7B"/>
      </colorScale>
    </cfRule>
  </conditionalFormatting>
  <conditionalFormatting sqref="D10:D21">
    <cfRule type="colorScale" priority="7942">
      <colorScale>
        <cfvo type="min"/>
        <cfvo type="percentile" val="50"/>
        <cfvo type="max"/>
        <color rgb="FFF8696B"/>
        <color rgb="FFFFEB84"/>
        <color rgb="FF63BE7B"/>
      </colorScale>
    </cfRule>
  </conditionalFormatting>
  <conditionalFormatting sqref="D10:D21">
    <cfRule type="colorScale" priority="7941">
      <colorScale>
        <cfvo type="min"/>
        <cfvo type="percentile" val="50"/>
        <cfvo type="max"/>
        <color rgb="FFF8696B"/>
        <color rgb="FFFFEB84"/>
        <color rgb="FF63BE7B"/>
      </colorScale>
    </cfRule>
  </conditionalFormatting>
  <conditionalFormatting sqref="D10:D21">
    <cfRule type="colorScale" priority="7940">
      <colorScale>
        <cfvo type="min"/>
        <cfvo type="percentile" val="50"/>
        <cfvo type="max"/>
        <color rgb="FFF8696B"/>
        <color rgb="FFFFEB84"/>
        <color rgb="FF63BE7B"/>
      </colorScale>
    </cfRule>
  </conditionalFormatting>
  <conditionalFormatting sqref="D10:D32">
    <cfRule type="colorScale" priority="7939">
      <colorScale>
        <cfvo type="min"/>
        <cfvo type="percentile" val="50"/>
        <cfvo type="max"/>
        <color rgb="FFF8696B"/>
        <color rgb="FFFFEB84"/>
        <color rgb="FF63BE7B"/>
      </colorScale>
    </cfRule>
  </conditionalFormatting>
  <conditionalFormatting sqref="D10:D32">
    <cfRule type="colorScale" priority="7938">
      <colorScale>
        <cfvo type="min"/>
        <cfvo type="percentile" val="50"/>
        <cfvo type="max"/>
        <color rgb="FFF8696B"/>
        <color rgb="FFFFEB84"/>
        <color rgb="FF63BE7B"/>
      </colorScale>
    </cfRule>
  </conditionalFormatting>
  <conditionalFormatting sqref="D10:D29">
    <cfRule type="colorScale" priority="7937">
      <colorScale>
        <cfvo type="min"/>
        <cfvo type="percentile" val="50"/>
        <cfvo type="max"/>
        <color rgb="FFF8696B"/>
        <color rgb="FFFFEB84"/>
        <color rgb="FF63BE7B"/>
      </colorScale>
    </cfRule>
  </conditionalFormatting>
  <conditionalFormatting sqref="D29:D31">
    <cfRule type="colorScale" priority="7936">
      <colorScale>
        <cfvo type="min"/>
        <cfvo type="percentile" val="50"/>
        <cfvo type="max"/>
        <color rgb="FFF8696B"/>
        <color rgb="FFFFEB84"/>
        <color rgb="FF63BE7B"/>
      </colorScale>
    </cfRule>
  </conditionalFormatting>
  <conditionalFormatting sqref="D32">
    <cfRule type="colorScale" priority="7935">
      <colorScale>
        <cfvo type="min"/>
        <cfvo type="percentile" val="50"/>
        <cfvo type="max"/>
        <color rgb="FFF8696B"/>
        <color rgb="FFFFEB84"/>
        <color rgb="FF63BE7B"/>
      </colorScale>
    </cfRule>
  </conditionalFormatting>
  <conditionalFormatting sqref="D11:D31">
    <cfRule type="colorScale" priority="7934">
      <colorScale>
        <cfvo type="min"/>
        <cfvo type="percentile" val="50"/>
        <cfvo type="max"/>
        <color rgb="FFF8696B"/>
        <color rgb="FFFFEB84"/>
        <color rgb="FF63BE7B"/>
      </colorScale>
    </cfRule>
  </conditionalFormatting>
  <conditionalFormatting sqref="D11:D29">
    <cfRule type="colorScale" priority="7933">
      <colorScale>
        <cfvo type="min"/>
        <cfvo type="percentile" val="50"/>
        <cfvo type="max"/>
        <color rgb="FFF8696B"/>
        <color rgb="FFFFEB84"/>
        <color rgb="FF63BE7B"/>
      </colorScale>
    </cfRule>
  </conditionalFormatting>
  <conditionalFormatting sqref="D10:D32">
    <cfRule type="colorScale" priority="7932">
      <colorScale>
        <cfvo type="min"/>
        <cfvo type="percentile" val="50"/>
        <cfvo type="max"/>
        <color rgb="FFF8696B"/>
        <color rgb="FFFFEB84"/>
        <color rgb="FF63BE7B"/>
      </colorScale>
    </cfRule>
  </conditionalFormatting>
  <conditionalFormatting sqref="D10:D31">
    <cfRule type="colorScale" priority="7931">
      <colorScale>
        <cfvo type="min"/>
        <cfvo type="percentile" val="50"/>
        <cfvo type="max"/>
        <color rgb="FFF8696B"/>
        <color rgb="FFFFEB84"/>
        <color rgb="FF63BE7B"/>
      </colorScale>
    </cfRule>
  </conditionalFormatting>
  <conditionalFormatting sqref="D10:D21">
    <cfRule type="colorScale" priority="7930">
      <colorScale>
        <cfvo type="min"/>
        <cfvo type="percentile" val="50"/>
        <cfvo type="max"/>
        <color rgb="FFF8696B"/>
        <color rgb="FFFFEB84"/>
        <color rgb="FF63BE7B"/>
      </colorScale>
    </cfRule>
  </conditionalFormatting>
  <conditionalFormatting sqref="D10:D32">
    <cfRule type="colorScale" priority="7929">
      <colorScale>
        <cfvo type="min"/>
        <cfvo type="percentile" val="50"/>
        <cfvo type="max"/>
        <color rgb="FFF8696B"/>
        <color rgb="FFFFEB84"/>
        <color rgb="FF63BE7B"/>
      </colorScale>
    </cfRule>
  </conditionalFormatting>
  <conditionalFormatting sqref="D10:D32">
    <cfRule type="colorScale" priority="7928">
      <colorScale>
        <cfvo type="min"/>
        <cfvo type="percentile" val="50"/>
        <cfvo type="max"/>
        <color rgb="FFF8696B"/>
        <color rgb="FFFFEB84"/>
        <color rgb="FF63BE7B"/>
      </colorScale>
    </cfRule>
  </conditionalFormatting>
  <conditionalFormatting sqref="D10:D32">
    <cfRule type="colorScale" priority="7927">
      <colorScale>
        <cfvo type="min"/>
        <cfvo type="percentile" val="50"/>
        <cfvo type="max"/>
        <color rgb="FFF8696B"/>
        <color rgb="FFFFEB84"/>
        <color rgb="FF63BE7B"/>
      </colorScale>
    </cfRule>
  </conditionalFormatting>
  <conditionalFormatting sqref="E10:E32">
    <cfRule type="colorScale" priority="7926">
      <colorScale>
        <cfvo type="min"/>
        <cfvo type="percentile" val="50"/>
        <cfvo type="max"/>
        <color rgb="FFF8696B"/>
        <color rgb="FFFFEB84"/>
        <color rgb="FF63BE7B"/>
      </colorScale>
    </cfRule>
  </conditionalFormatting>
  <conditionalFormatting sqref="E10:E31">
    <cfRule type="colorScale" priority="7925">
      <colorScale>
        <cfvo type="min"/>
        <cfvo type="percentile" val="50"/>
        <cfvo type="max"/>
        <color rgb="FFF8696B"/>
        <color rgb="FFFFEB84"/>
        <color rgb="FF63BE7B"/>
      </colorScale>
    </cfRule>
  </conditionalFormatting>
  <conditionalFormatting sqref="E10:E31">
    <cfRule type="colorScale" priority="7924">
      <colorScale>
        <cfvo type="min"/>
        <cfvo type="percentile" val="50"/>
        <cfvo type="max"/>
        <color rgb="FFF8696B"/>
        <color rgb="FFFFEB84"/>
        <color rgb="FF63BE7B"/>
      </colorScale>
    </cfRule>
  </conditionalFormatting>
  <conditionalFormatting sqref="E10:E21">
    <cfRule type="colorScale" priority="7923">
      <colorScale>
        <cfvo type="min"/>
        <cfvo type="percentile" val="50"/>
        <cfvo type="max"/>
        <color rgb="FFF8696B"/>
        <color rgb="FFFFEB84"/>
        <color rgb="FF63BE7B"/>
      </colorScale>
    </cfRule>
  </conditionalFormatting>
  <conditionalFormatting sqref="E10:E21">
    <cfRule type="colorScale" priority="7922">
      <colorScale>
        <cfvo type="min"/>
        <cfvo type="percentile" val="50"/>
        <cfvo type="max"/>
        <color rgb="FFF8696B"/>
        <color rgb="FFFFEB84"/>
        <color rgb="FF63BE7B"/>
      </colorScale>
    </cfRule>
  </conditionalFormatting>
  <conditionalFormatting sqref="E10:E32">
    <cfRule type="colorScale" priority="7921">
      <colorScale>
        <cfvo type="min"/>
        <cfvo type="percentile" val="50"/>
        <cfvo type="max"/>
        <color rgb="FFF8696B"/>
        <color rgb="FFFFEB84"/>
        <color rgb="FF63BE7B"/>
      </colorScale>
    </cfRule>
  </conditionalFormatting>
  <conditionalFormatting sqref="E10:E27">
    <cfRule type="colorScale" priority="7920">
      <colorScale>
        <cfvo type="min"/>
        <cfvo type="percentile" val="50"/>
        <cfvo type="max"/>
        <color rgb="FFF8696B"/>
        <color rgb="FFFFEB84"/>
        <color rgb="FF63BE7B"/>
      </colorScale>
    </cfRule>
  </conditionalFormatting>
  <conditionalFormatting sqref="E10:E27">
    <cfRule type="colorScale" priority="7919">
      <colorScale>
        <cfvo type="min"/>
        <cfvo type="percentile" val="50"/>
        <cfvo type="max"/>
        <color rgb="FFF8696B"/>
        <color rgb="FFFFEB84"/>
        <color rgb="FF63BE7B"/>
      </colorScale>
    </cfRule>
  </conditionalFormatting>
  <conditionalFormatting sqref="E22:E27">
    <cfRule type="colorScale" priority="7918">
      <colorScale>
        <cfvo type="min"/>
        <cfvo type="percentile" val="50"/>
        <cfvo type="max"/>
        <color rgb="FFF8696B"/>
        <color rgb="FFFFEB84"/>
        <color rgb="FF63BE7B"/>
      </colorScale>
    </cfRule>
  </conditionalFormatting>
  <conditionalFormatting sqref="E25">
    <cfRule type="colorScale" priority="7917">
      <colorScale>
        <cfvo type="min"/>
        <cfvo type="percentile" val="50"/>
        <cfvo type="max"/>
        <color rgb="FFF8696B"/>
        <color rgb="FFFFEB84"/>
        <color rgb="FF63BE7B"/>
      </colorScale>
    </cfRule>
  </conditionalFormatting>
  <conditionalFormatting sqref="E11:E31">
    <cfRule type="colorScale" priority="7916">
      <colorScale>
        <cfvo type="min"/>
        <cfvo type="percentile" val="50"/>
        <cfvo type="max"/>
        <color rgb="FFF8696B"/>
        <color rgb="FFFFEB84"/>
        <color rgb="FF63BE7B"/>
      </colorScale>
    </cfRule>
  </conditionalFormatting>
  <conditionalFormatting sqref="E11:E28">
    <cfRule type="colorScale" priority="7915">
      <colorScale>
        <cfvo type="min"/>
        <cfvo type="percentile" val="50"/>
        <cfvo type="max"/>
        <color rgb="FFF8696B"/>
        <color rgb="FFFFEB84"/>
        <color rgb="FF63BE7B"/>
      </colorScale>
    </cfRule>
  </conditionalFormatting>
  <conditionalFormatting sqref="E29:E31">
    <cfRule type="colorScale" priority="7914">
      <colorScale>
        <cfvo type="min"/>
        <cfvo type="percentile" val="50"/>
        <cfvo type="max"/>
        <color rgb="FFF8696B"/>
        <color rgb="FFFFEB84"/>
        <color rgb="FF63BE7B"/>
      </colorScale>
    </cfRule>
  </conditionalFormatting>
  <conditionalFormatting sqref="E32">
    <cfRule type="colorScale" priority="7913">
      <colorScale>
        <cfvo type="min"/>
        <cfvo type="percentile" val="50"/>
        <cfvo type="max"/>
        <color rgb="FFF8696B"/>
        <color rgb="FFFFEB84"/>
        <color rgb="FF63BE7B"/>
      </colorScale>
    </cfRule>
  </conditionalFormatting>
  <conditionalFormatting sqref="E10:E32">
    <cfRule type="colorScale" priority="7912">
      <colorScale>
        <cfvo type="min"/>
        <cfvo type="percentile" val="50"/>
        <cfvo type="max"/>
        <color rgb="FFF8696B"/>
        <color rgb="FFFFEB84"/>
        <color rgb="FF63BE7B"/>
      </colorScale>
    </cfRule>
  </conditionalFormatting>
  <conditionalFormatting sqref="E10:E31">
    <cfRule type="colorScale" priority="7911">
      <colorScale>
        <cfvo type="min"/>
        <cfvo type="percentile" val="50"/>
        <cfvo type="max"/>
        <color rgb="FFF8696B"/>
        <color rgb="FFFFEB84"/>
        <color rgb="FF63BE7B"/>
      </colorScale>
    </cfRule>
  </conditionalFormatting>
  <conditionalFormatting sqref="E10:E21">
    <cfRule type="colorScale" priority="7910">
      <colorScale>
        <cfvo type="min"/>
        <cfvo type="percentile" val="50"/>
        <cfvo type="max"/>
        <color rgb="FFF8696B"/>
        <color rgb="FFFFEB84"/>
        <color rgb="FF63BE7B"/>
      </colorScale>
    </cfRule>
  </conditionalFormatting>
  <conditionalFormatting sqref="E10:E32">
    <cfRule type="colorScale" priority="7909">
      <colorScale>
        <cfvo type="min"/>
        <cfvo type="percentile" val="50"/>
        <cfvo type="max"/>
        <color rgb="FFF8696B"/>
        <color rgb="FFFFEB84"/>
        <color rgb="FF63BE7B"/>
      </colorScale>
    </cfRule>
  </conditionalFormatting>
  <conditionalFormatting sqref="E10:E32">
    <cfRule type="colorScale" priority="7908">
      <colorScale>
        <cfvo type="min"/>
        <cfvo type="percentile" val="50"/>
        <cfvo type="max"/>
        <color rgb="FFF8696B"/>
        <color rgb="FFFFEB84"/>
        <color rgb="FF63BE7B"/>
      </colorScale>
    </cfRule>
  </conditionalFormatting>
  <conditionalFormatting sqref="E10:E32">
    <cfRule type="colorScale" priority="7907">
      <colorScale>
        <cfvo type="min"/>
        <cfvo type="percentile" val="50"/>
        <cfvo type="max"/>
        <color rgb="FFF8696B"/>
        <color rgb="FFFFEB84"/>
        <color rgb="FF63BE7B"/>
      </colorScale>
    </cfRule>
  </conditionalFormatting>
  <conditionalFormatting sqref="D10:D32">
    <cfRule type="colorScale" priority="7906">
      <colorScale>
        <cfvo type="min"/>
        <cfvo type="percentile" val="50"/>
        <cfvo type="max"/>
        <color rgb="FFF8696B"/>
        <color rgb="FFFFEB84"/>
        <color rgb="FF63BE7B"/>
      </colorScale>
    </cfRule>
  </conditionalFormatting>
  <conditionalFormatting sqref="D10:D31">
    <cfRule type="colorScale" priority="7905">
      <colorScale>
        <cfvo type="min"/>
        <cfvo type="percentile" val="50"/>
        <cfvo type="max"/>
        <color rgb="FFF8696B"/>
        <color rgb="FFFFEB84"/>
        <color rgb="FF63BE7B"/>
      </colorScale>
    </cfRule>
  </conditionalFormatting>
  <conditionalFormatting sqref="D10:D31">
    <cfRule type="colorScale" priority="7904">
      <colorScale>
        <cfvo type="min"/>
        <cfvo type="percentile" val="50"/>
        <cfvo type="max"/>
        <color rgb="FFF8696B"/>
        <color rgb="FFFFEB84"/>
        <color rgb="FF63BE7B"/>
      </colorScale>
    </cfRule>
  </conditionalFormatting>
  <conditionalFormatting sqref="D10:D29">
    <cfRule type="colorScale" priority="7903">
      <colorScale>
        <cfvo type="min"/>
        <cfvo type="percentile" val="50"/>
        <cfvo type="max"/>
        <color rgb="FFF8696B"/>
        <color rgb="FFFFEB84"/>
        <color rgb="FF63BE7B"/>
      </colorScale>
    </cfRule>
  </conditionalFormatting>
  <conditionalFormatting sqref="D10:D21">
    <cfRule type="colorScale" priority="7902">
      <colorScale>
        <cfvo type="min"/>
        <cfvo type="percentile" val="50"/>
        <cfvo type="max"/>
        <color rgb="FFF8696B"/>
        <color rgb="FFFFEB84"/>
        <color rgb="FF63BE7B"/>
      </colorScale>
    </cfRule>
  </conditionalFormatting>
  <conditionalFormatting sqref="D10:D21">
    <cfRule type="colorScale" priority="7901">
      <colorScale>
        <cfvo type="min"/>
        <cfvo type="percentile" val="50"/>
        <cfvo type="max"/>
        <color rgb="FFF8696B"/>
        <color rgb="FFFFEB84"/>
        <color rgb="FF63BE7B"/>
      </colorScale>
    </cfRule>
  </conditionalFormatting>
  <conditionalFormatting sqref="D10:D21">
    <cfRule type="colorScale" priority="7900">
      <colorScale>
        <cfvo type="min"/>
        <cfvo type="percentile" val="50"/>
        <cfvo type="max"/>
        <color rgb="FFF8696B"/>
        <color rgb="FFFFEB84"/>
        <color rgb="FF63BE7B"/>
      </colorScale>
    </cfRule>
  </conditionalFormatting>
  <conditionalFormatting sqref="D10:D32">
    <cfRule type="colorScale" priority="7899">
      <colorScale>
        <cfvo type="min"/>
        <cfvo type="percentile" val="50"/>
        <cfvo type="max"/>
        <color rgb="FFF8696B"/>
        <color rgb="FFFFEB84"/>
        <color rgb="FF63BE7B"/>
      </colorScale>
    </cfRule>
  </conditionalFormatting>
  <conditionalFormatting sqref="D10:D32">
    <cfRule type="colorScale" priority="7898">
      <colorScale>
        <cfvo type="min"/>
        <cfvo type="percentile" val="50"/>
        <cfvo type="max"/>
        <color rgb="FFF8696B"/>
        <color rgb="FFFFEB84"/>
        <color rgb="FF63BE7B"/>
      </colorScale>
    </cfRule>
  </conditionalFormatting>
  <conditionalFormatting sqref="D10:D29">
    <cfRule type="colorScale" priority="7897">
      <colorScale>
        <cfvo type="min"/>
        <cfvo type="percentile" val="50"/>
        <cfvo type="max"/>
        <color rgb="FFF8696B"/>
        <color rgb="FFFFEB84"/>
        <color rgb="FF63BE7B"/>
      </colorScale>
    </cfRule>
  </conditionalFormatting>
  <conditionalFormatting sqref="D29:D31">
    <cfRule type="colorScale" priority="7896">
      <colorScale>
        <cfvo type="min"/>
        <cfvo type="percentile" val="50"/>
        <cfvo type="max"/>
        <color rgb="FFF8696B"/>
        <color rgb="FFFFEB84"/>
        <color rgb="FF63BE7B"/>
      </colorScale>
    </cfRule>
  </conditionalFormatting>
  <conditionalFormatting sqref="D32">
    <cfRule type="colorScale" priority="7895">
      <colorScale>
        <cfvo type="min"/>
        <cfvo type="percentile" val="50"/>
        <cfvo type="max"/>
        <color rgb="FFF8696B"/>
        <color rgb="FFFFEB84"/>
        <color rgb="FF63BE7B"/>
      </colorScale>
    </cfRule>
  </conditionalFormatting>
  <conditionalFormatting sqref="D11:D31">
    <cfRule type="colorScale" priority="7894">
      <colorScale>
        <cfvo type="min"/>
        <cfvo type="percentile" val="50"/>
        <cfvo type="max"/>
        <color rgb="FFF8696B"/>
        <color rgb="FFFFEB84"/>
        <color rgb="FF63BE7B"/>
      </colorScale>
    </cfRule>
  </conditionalFormatting>
  <conditionalFormatting sqref="D11:D29">
    <cfRule type="colorScale" priority="7893">
      <colorScale>
        <cfvo type="min"/>
        <cfvo type="percentile" val="50"/>
        <cfvo type="max"/>
        <color rgb="FFF8696B"/>
        <color rgb="FFFFEB84"/>
        <color rgb="FF63BE7B"/>
      </colorScale>
    </cfRule>
  </conditionalFormatting>
  <conditionalFormatting sqref="D10:D32">
    <cfRule type="colorScale" priority="7892">
      <colorScale>
        <cfvo type="min"/>
        <cfvo type="percentile" val="50"/>
        <cfvo type="max"/>
        <color rgb="FFF8696B"/>
        <color rgb="FFFFEB84"/>
        <color rgb="FF63BE7B"/>
      </colorScale>
    </cfRule>
  </conditionalFormatting>
  <conditionalFormatting sqref="D10:D31">
    <cfRule type="colorScale" priority="7891">
      <colorScale>
        <cfvo type="min"/>
        <cfvo type="percentile" val="50"/>
        <cfvo type="max"/>
        <color rgb="FFF8696B"/>
        <color rgb="FFFFEB84"/>
        <color rgb="FF63BE7B"/>
      </colorScale>
    </cfRule>
  </conditionalFormatting>
  <conditionalFormatting sqref="D10:D21">
    <cfRule type="colorScale" priority="7890">
      <colorScale>
        <cfvo type="min"/>
        <cfvo type="percentile" val="50"/>
        <cfvo type="max"/>
        <color rgb="FFF8696B"/>
        <color rgb="FFFFEB84"/>
        <color rgb="FF63BE7B"/>
      </colorScale>
    </cfRule>
  </conditionalFormatting>
  <conditionalFormatting sqref="D10:D32">
    <cfRule type="colorScale" priority="7889">
      <colorScale>
        <cfvo type="min"/>
        <cfvo type="percentile" val="50"/>
        <cfvo type="max"/>
        <color rgb="FFF8696B"/>
        <color rgb="FFFFEB84"/>
        <color rgb="FF63BE7B"/>
      </colorScale>
    </cfRule>
  </conditionalFormatting>
  <conditionalFormatting sqref="D10:D32">
    <cfRule type="colorScale" priority="7888">
      <colorScale>
        <cfvo type="min"/>
        <cfvo type="percentile" val="50"/>
        <cfvo type="max"/>
        <color rgb="FFF8696B"/>
        <color rgb="FFFFEB84"/>
        <color rgb="FF63BE7B"/>
      </colorScale>
    </cfRule>
  </conditionalFormatting>
  <conditionalFormatting sqref="D10:D32">
    <cfRule type="colorScale" priority="7887">
      <colorScale>
        <cfvo type="min"/>
        <cfvo type="percentile" val="50"/>
        <cfvo type="max"/>
        <color rgb="FFF8696B"/>
        <color rgb="FFFFEB84"/>
        <color rgb="FF63BE7B"/>
      </colorScale>
    </cfRule>
  </conditionalFormatting>
  <conditionalFormatting sqref="E10:E32">
    <cfRule type="colorScale" priority="7886">
      <colorScale>
        <cfvo type="min"/>
        <cfvo type="percentile" val="50"/>
        <cfvo type="max"/>
        <color rgb="FFF8696B"/>
        <color rgb="FFFFEB84"/>
        <color rgb="FF63BE7B"/>
      </colorScale>
    </cfRule>
  </conditionalFormatting>
  <conditionalFormatting sqref="E10:E31">
    <cfRule type="colorScale" priority="7885">
      <colorScale>
        <cfvo type="min"/>
        <cfvo type="percentile" val="50"/>
        <cfvo type="max"/>
        <color rgb="FFF8696B"/>
        <color rgb="FFFFEB84"/>
        <color rgb="FF63BE7B"/>
      </colorScale>
    </cfRule>
  </conditionalFormatting>
  <conditionalFormatting sqref="E10:E31">
    <cfRule type="colorScale" priority="7884">
      <colorScale>
        <cfvo type="min"/>
        <cfvo type="percentile" val="50"/>
        <cfvo type="max"/>
        <color rgb="FFF8696B"/>
        <color rgb="FFFFEB84"/>
        <color rgb="FF63BE7B"/>
      </colorScale>
    </cfRule>
  </conditionalFormatting>
  <conditionalFormatting sqref="E10:E21">
    <cfRule type="colorScale" priority="7883">
      <colorScale>
        <cfvo type="min"/>
        <cfvo type="percentile" val="50"/>
        <cfvo type="max"/>
        <color rgb="FFF8696B"/>
        <color rgb="FFFFEB84"/>
        <color rgb="FF63BE7B"/>
      </colorScale>
    </cfRule>
  </conditionalFormatting>
  <conditionalFormatting sqref="E10:E21">
    <cfRule type="colorScale" priority="7882">
      <colorScale>
        <cfvo type="min"/>
        <cfvo type="percentile" val="50"/>
        <cfvo type="max"/>
        <color rgb="FFF8696B"/>
        <color rgb="FFFFEB84"/>
        <color rgb="FF63BE7B"/>
      </colorScale>
    </cfRule>
  </conditionalFormatting>
  <conditionalFormatting sqref="E10:E32">
    <cfRule type="colorScale" priority="7881">
      <colorScale>
        <cfvo type="min"/>
        <cfvo type="percentile" val="50"/>
        <cfvo type="max"/>
        <color rgb="FFF8696B"/>
        <color rgb="FFFFEB84"/>
        <color rgb="FF63BE7B"/>
      </colorScale>
    </cfRule>
  </conditionalFormatting>
  <conditionalFormatting sqref="E10:E27">
    <cfRule type="colorScale" priority="7880">
      <colorScale>
        <cfvo type="min"/>
        <cfvo type="percentile" val="50"/>
        <cfvo type="max"/>
        <color rgb="FFF8696B"/>
        <color rgb="FFFFEB84"/>
        <color rgb="FF63BE7B"/>
      </colorScale>
    </cfRule>
  </conditionalFormatting>
  <conditionalFormatting sqref="E10:E27">
    <cfRule type="colorScale" priority="7879">
      <colorScale>
        <cfvo type="min"/>
        <cfvo type="percentile" val="50"/>
        <cfvo type="max"/>
        <color rgb="FFF8696B"/>
        <color rgb="FFFFEB84"/>
        <color rgb="FF63BE7B"/>
      </colorScale>
    </cfRule>
  </conditionalFormatting>
  <conditionalFormatting sqref="E22:E27">
    <cfRule type="colorScale" priority="7878">
      <colorScale>
        <cfvo type="min"/>
        <cfvo type="percentile" val="50"/>
        <cfvo type="max"/>
        <color rgb="FFF8696B"/>
        <color rgb="FFFFEB84"/>
        <color rgb="FF63BE7B"/>
      </colorScale>
    </cfRule>
  </conditionalFormatting>
  <conditionalFormatting sqref="E25">
    <cfRule type="colorScale" priority="7877">
      <colorScale>
        <cfvo type="min"/>
        <cfvo type="percentile" val="50"/>
        <cfvo type="max"/>
        <color rgb="FFF8696B"/>
        <color rgb="FFFFEB84"/>
        <color rgb="FF63BE7B"/>
      </colorScale>
    </cfRule>
  </conditionalFormatting>
  <conditionalFormatting sqref="E11:E31">
    <cfRule type="colorScale" priority="7876">
      <colorScale>
        <cfvo type="min"/>
        <cfvo type="percentile" val="50"/>
        <cfvo type="max"/>
        <color rgb="FFF8696B"/>
        <color rgb="FFFFEB84"/>
        <color rgb="FF63BE7B"/>
      </colorScale>
    </cfRule>
  </conditionalFormatting>
  <conditionalFormatting sqref="E11:E28">
    <cfRule type="colorScale" priority="7875">
      <colorScale>
        <cfvo type="min"/>
        <cfvo type="percentile" val="50"/>
        <cfvo type="max"/>
        <color rgb="FFF8696B"/>
        <color rgb="FFFFEB84"/>
        <color rgb="FF63BE7B"/>
      </colorScale>
    </cfRule>
  </conditionalFormatting>
  <conditionalFormatting sqref="E29:E31">
    <cfRule type="colorScale" priority="7874">
      <colorScale>
        <cfvo type="min"/>
        <cfvo type="percentile" val="50"/>
        <cfvo type="max"/>
        <color rgb="FFF8696B"/>
        <color rgb="FFFFEB84"/>
        <color rgb="FF63BE7B"/>
      </colorScale>
    </cfRule>
  </conditionalFormatting>
  <conditionalFormatting sqref="E32">
    <cfRule type="colorScale" priority="7873">
      <colorScale>
        <cfvo type="min"/>
        <cfvo type="percentile" val="50"/>
        <cfvo type="max"/>
        <color rgb="FFF8696B"/>
        <color rgb="FFFFEB84"/>
        <color rgb="FF63BE7B"/>
      </colorScale>
    </cfRule>
  </conditionalFormatting>
  <conditionalFormatting sqref="E10:E32">
    <cfRule type="colorScale" priority="7872">
      <colorScale>
        <cfvo type="min"/>
        <cfvo type="percentile" val="50"/>
        <cfvo type="max"/>
        <color rgb="FFF8696B"/>
        <color rgb="FFFFEB84"/>
        <color rgb="FF63BE7B"/>
      </colorScale>
    </cfRule>
  </conditionalFormatting>
  <conditionalFormatting sqref="E10:E31">
    <cfRule type="colorScale" priority="7871">
      <colorScale>
        <cfvo type="min"/>
        <cfvo type="percentile" val="50"/>
        <cfvo type="max"/>
        <color rgb="FFF8696B"/>
        <color rgb="FFFFEB84"/>
        <color rgb="FF63BE7B"/>
      </colorScale>
    </cfRule>
  </conditionalFormatting>
  <conditionalFormatting sqref="E10:E21">
    <cfRule type="colorScale" priority="7870">
      <colorScale>
        <cfvo type="min"/>
        <cfvo type="percentile" val="50"/>
        <cfvo type="max"/>
        <color rgb="FFF8696B"/>
        <color rgb="FFFFEB84"/>
        <color rgb="FF63BE7B"/>
      </colorScale>
    </cfRule>
  </conditionalFormatting>
  <conditionalFormatting sqref="E10:E32">
    <cfRule type="colorScale" priority="7869">
      <colorScale>
        <cfvo type="min"/>
        <cfvo type="percentile" val="50"/>
        <cfvo type="max"/>
        <color rgb="FFF8696B"/>
        <color rgb="FFFFEB84"/>
        <color rgb="FF63BE7B"/>
      </colorScale>
    </cfRule>
  </conditionalFormatting>
  <conditionalFormatting sqref="E10:E32">
    <cfRule type="colorScale" priority="7868">
      <colorScale>
        <cfvo type="min"/>
        <cfvo type="percentile" val="50"/>
        <cfvo type="max"/>
        <color rgb="FFF8696B"/>
        <color rgb="FFFFEB84"/>
        <color rgb="FF63BE7B"/>
      </colorScale>
    </cfRule>
  </conditionalFormatting>
  <conditionalFormatting sqref="E10:E32">
    <cfRule type="colorScale" priority="7867">
      <colorScale>
        <cfvo type="min"/>
        <cfvo type="percentile" val="50"/>
        <cfvo type="max"/>
        <color rgb="FFF8696B"/>
        <color rgb="FFFFEB84"/>
        <color rgb="FF63BE7B"/>
      </colorScale>
    </cfRule>
  </conditionalFormatting>
  <conditionalFormatting sqref="F10:F32">
    <cfRule type="colorScale" priority="7866">
      <colorScale>
        <cfvo type="min"/>
        <cfvo type="percentile" val="50"/>
        <cfvo type="max"/>
        <color rgb="FFF8696B"/>
        <color rgb="FFFFEB84"/>
        <color rgb="FF63BE7B"/>
      </colorScale>
    </cfRule>
  </conditionalFormatting>
  <conditionalFormatting sqref="F13:F20">
    <cfRule type="colorScale" priority="7865">
      <colorScale>
        <cfvo type="min"/>
        <cfvo type="percentile" val="50"/>
        <cfvo type="max"/>
        <color rgb="FFF8696B"/>
        <color rgb="FFFFEB84"/>
        <color rgb="FF63BE7B"/>
      </colorScale>
    </cfRule>
  </conditionalFormatting>
  <conditionalFormatting sqref="F13:F20">
    <cfRule type="colorScale" priority="7864">
      <colorScale>
        <cfvo type="min"/>
        <cfvo type="percentile" val="50"/>
        <cfvo type="max"/>
        <color rgb="FFF8696B"/>
        <color rgb="FFFFEB84"/>
        <color rgb="FF63BE7B"/>
      </colorScale>
    </cfRule>
  </conditionalFormatting>
  <conditionalFormatting sqref="F13:F20">
    <cfRule type="colorScale" priority="7863">
      <colorScale>
        <cfvo type="min"/>
        <cfvo type="percentile" val="50"/>
        <cfvo type="max"/>
        <color rgb="FFF8696B"/>
        <color rgb="FFFFEB84"/>
        <color rgb="FF63BE7B"/>
      </colorScale>
    </cfRule>
  </conditionalFormatting>
  <conditionalFormatting sqref="F13:F20">
    <cfRule type="colorScale" priority="7862">
      <colorScale>
        <cfvo type="min"/>
        <cfvo type="percentile" val="50"/>
        <cfvo type="max"/>
        <color rgb="FFF8696B"/>
        <color rgb="FFFFEB84"/>
        <color rgb="FF63BE7B"/>
      </colorScale>
    </cfRule>
  </conditionalFormatting>
  <conditionalFormatting sqref="F13:F20">
    <cfRule type="colorScale" priority="7861">
      <colorScale>
        <cfvo type="min"/>
        <cfvo type="percentile" val="50"/>
        <cfvo type="max"/>
        <color rgb="FFF8696B"/>
        <color rgb="FFFFEB84"/>
        <color rgb="FF63BE7B"/>
      </colorScale>
    </cfRule>
  </conditionalFormatting>
  <conditionalFormatting sqref="F13:F20">
    <cfRule type="colorScale" priority="7860">
      <colorScale>
        <cfvo type="min"/>
        <cfvo type="percentile" val="50"/>
        <cfvo type="max"/>
        <color rgb="FFF8696B"/>
        <color rgb="FFFFEB84"/>
        <color rgb="FF63BE7B"/>
      </colorScale>
    </cfRule>
  </conditionalFormatting>
  <conditionalFormatting sqref="F13:F20">
    <cfRule type="colorScale" priority="7859">
      <colorScale>
        <cfvo type="min"/>
        <cfvo type="percentile" val="50"/>
        <cfvo type="max"/>
        <color rgb="FFF8696B"/>
        <color rgb="FFFFEB84"/>
        <color rgb="FF63BE7B"/>
      </colorScale>
    </cfRule>
  </conditionalFormatting>
  <conditionalFormatting sqref="F13:F20">
    <cfRule type="colorScale" priority="7858">
      <colorScale>
        <cfvo type="min"/>
        <cfvo type="percentile" val="50"/>
        <cfvo type="max"/>
        <color rgb="FFF8696B"/>
        <color rgb="FFFFEB84"/>
        <color rgb="FF63BE7B"/>
      </colorScale>
    </cfRule>
  </conditionalFormatting>
  <conditionalFormatting sqref="F13:F20">
    <cfRule type="colorScale" priority="7857">
      <colorScale>
        <cfvo type="min"/>
        <cfvo type="percentile" val="50"/>
        <cfvo type="max"/>
        <color rgb="FFF8696B"/>
        <color rgb="FFFFEB84"/>
        <color rgb="FF63BE7B"/>
      </colorScale>
    </cfRule>
  </conditionalFormatting>
  <conditionalFormatting sqref="F13:F20">
    <cfRule type="colorScale" priority="7856">
      <colorScale>
        <cfvo type="min"/>
        <cfvo type="percentile" val="50"/>
        <cfvo type="max"/>
        <color rgb="FFF8696B"/>
        <color rgb="FFFFEB84"/>
        <color rgb="FF63BE7B"/>
      </colorScale>
    </cfRule>
  </conditionalFormatting>
  <conditionalFormatting sqref="F13:F20">
    <cfRule type="colorScale" priority="7855">
      <colorScale>
        <cfvo type="min"/>
        <cfvo type="percentile" val="50"/>
        <cfvo type="max"/>
        <color rgb="FFF8696B"/>
        <color rgb="FFFFEB84"/>
        <color rgb="FF63BE7B"/>
      </colorScale>
    </cfRule>
  </conditionalFormatting>
  <conditionalFormatting sqref="F13:F20">
    <cfRule type="colorScale" priority="7854">
      <colorScale>
        <cfvo type="min"/>
        <cfvo type="percentile" val="50"/>
        <cfvo type="max"/>
        <color rgb="FFF8696B"/>
        <color rgb="FFFFEB84"/>
        <color rgb="FF63BE7B"/>
      </colorScale>
    </cfRule>
  </conditionalFormatting>
  <conditionalFormatting sqref="F13:F20">
    <cfRule type="colorScale" priority="7853">
      <colorScale>
        <cfvo type="min"/>
        <cfvo type="percentile" val="50"/>
        <cfvo type="max"/>
        <color rgb="FFF8696B"/>
        <color rgb="FFFFEB84"/>
        <color rgb="FF63BE7B"/>
      </colorScale>
    </cfRule>
  </conditionalFormatting>
  <conditionalFormatting sqref="F13:F20">
    <cfRule type="colorScale" priority="7852">
      <colorScale>
        <cfvo type="min"/>
        <cfvo type="percentile" val="50"/>
        <cfvo type="max"/>
        <color rgb="FFF8696B"/>
        <color rgb="FFFFEB84"/>
        <color rgb="FF63BE7B"/>
      </colorScale>
    </cfRule>
  </conditionalFormatting>
  <conditionalFormatting sqref="F13:F20">
    <cfRule type="colorScale" priority="7851">
      <colorScale>
        <cfvo type="min"/>
        <cfvo type="percentile" val="50"/>
        <cfvo type="max"/>
        <color rgb="FFF8696B"/>
        <color rgb="FFFFEB84"/>
        <color rgb="FF63BE7B"/>
      </colorScale>
    </cfRule>
  </conditionalFormatting>
  <conditionalFormatting sqref="F13:F20">
    <cfRule type="colorScale" priority="7850">
      <colorScale>
        <cfvo type="min"/>
        <cfvo type="percentile" val="50"/>
        <cfvo type="max"/>
        <color rgb="FFF8696B"/>
        <color rgb="FFFFEB84"/>
        <color rgb="FF63BE7B"/>
      </colorScale>
    </cfRule>
  </conditionalFormatting>
  <conditionalFormatting sqref="F13:F20">
    <cfRule type="colorScale" priority="7849">
      <colorScale>
        <cfvo type="min"/>
        <cfvo type="percentile" val="50"/>
        <cfvo type="max"/>
        <color rgb="FFF8696B"/>
        <color rgb="FFFFEB84"/>
        <color rgb="FF63BE7B"/>
      </colorScale>
    </cfRule>
  </conditionalFormatting>
  <conditionalFormatting sqref="F13:F20">
    <cfRule type="colorScale" priority="7848">
      <colorScale>
        <cfvo type="min"/>
        <cfvo type="percentile" val="50"/>
        <cfvo type="max"/>
        <color rgb="FFF8696B"/>
        <color rgb="FFFFEB84"/>
        <color rgb="FF63BE7B"/>
      </colorScale>
    </cfRule>
  </conditionalFormatting>
  <conditionalFormatting sqref="F13:F20">
    <cfRule type="colorScale" priority="7847">
      <colorScale>
        <cfvo type="min"/>
        <cfvo type="percentile" val="50"/>
        <cfvo type="max"/>
        <color rgb="FFF8696B"/>
        <color rgb="FFFFEB84"/>
        <color rgb="FF63BE7B"/>
      </colorScale>
    </cfRule>
  </conditionalFormatting>
  <conditionalFormatting sqref="F13:F20">
    <cfRule type="colorScale" priority="7846">
      <colorScale>
        <cfvo type="min"/>
        <cfvo type="percentile" val="50"/>
        <cfvo type="max"/>
        <color rgb="FFF8696B"/>
        <color rgb="FFFFEB84"/>
        <color rgb="FF63BE7B"/>
      </colorScale>
    </cfRule>
  </conditionalFormatting>
  <conditionalFormatting sqref="F13:F20">
    <cfRule type="colorScale" priority="7845">
      <colorScale>
        <cfvo type="min"/>
        <cfvo type="percentile" val="50"/>
        <cfvo type="max"/>
        <color rgb="FFF8696B"/>
        <color rgb="FFFFEB84"/>
        <color rgb="FF63BE7B"/>
      </colorScale>
    </cfRule>
  </conditionalFormatting>
  <conditionalFormatting sqref="F13:F20">
    <cfRule type="colorScale" priority="7844">
      <colorScale>
        <cfvo type="min"/>
        <cfvo type="percentile" val="50"/>
        <cfvo type="max"/>
        <color rgb="FFF8696B"/>
        <color rgb="FFFFEB84"/>
        <color rgb="FF63BE7B"/>
      </colorScale>
    </cfRule>
  </conditionalFormatting>
  <conditionalFormatting sqref="F13:F20">
    <cfRule type="colorScale" priority="7843">
      <colorScale>
        <cfvo type="min"/>
        <cfvo type="percentile" val="50"/>
        <cfvo type="max"/>
        <color rgb="FFF8696B"/>
        <color rgb="FFFFEB84"/>
        <color rgb="FF63BE7B"/>
      </colorScale>
    </cfRule>
  </conditionalFormatting>
  <conditionalFormatting sqref="F13:F20">
    <cfRule type="colorScale" priority="7842">
      <colorScale>
        <cfvo type="min"/>
        <cfvo type="percentile" val="50"/>
        <cfvo type="max"/>
        <color rgb="FFF8696B"/>
        <color rgb="FFFFEB84"/>
        <color rgb="FF63BE7B"/>
      </colorScale>
    </cfRule>
  </conditionalFormatting>
  <conditionalFormatting sqref="F13:F20">
    <cfRule type="colorScale" priority="7841">
      <colorScale>
        <cfvo type="min"/>
        <cfvo type="percentile" val="50"/>
        <cfvo type="max"/>
        <color rgb="FFF8696B"/>
        <color rgb="FFFFEB84"/>
        <color rgb="FF63BE7B"/>
      </colorScale>
    </cfRule>
  </conditionalFormatting>
  <conditionalFormatting sqref="F13:F20">
    <cfRule type="colorScale" priority="7840">
      <colorScale>
        <cfvo type="min"/>
        <cfvo type="percentile" val="50"/>
        <cfvo type="max"/>
        <color rgb="FFF8696B"/>
        <color rgb="FFFFEB84"/>
        <color rgb="FF63BE7B"/>
      </colorScale>
    </cfRule>
  </conditionalFormatting>
  <conditionalFormatting sqref="F13:F20">
    <cfRule type="colorScale" priority="7839">
      <colorScale>
        <cfvo type="min"/>
        <cfvo type="percentile" val="50"/>
        <cfvo type="max"/>
        <color rgb="FFF8696B"/>
        <color rgb="FFFFEB84"/>
        <color rgb="FF63BE7B"/>
      </colorScale>
    </cfRule>
  </conditionalFormatting>
  <conditionalFormatting sqref="F13:F20">
    <cfRule type="colorScale" priority="7838">
      <colorScale>
        <cfvo type="min"/>
        <cfvo type="percentile" val="50"/>
        <cfvo type="max"/>
        <color rgb="FFF8696B"/>
        <color rgb="FFFFEB84"/>
        <color rgb="FF63BE7B"/>
      </colorScale>
    </cfRule>
  </conditionalFormatting>
  <conditionalFormatting sqref="F13:F20">
    <cfRule type="colorScale" priority="7837">
      <colorScale>
        <cfvo type="min"/>
        <cfvo type="percentile" val="50"/>
        <cfvo type="max"/>
        <color rgb="FFF8696B"/>
        <color rgb="FFFFEB84"/>
        <color rgb="FF63BE7B"/>
      </colorScale>
    </cfRule>
  </conditionalFormatting>
  <conditionalFormatting sqref="F13:F20">
    <cfRule type="colorScale" priority="7836">
      <colorScale>
        <cfvo type="min"/>
        <cfvo type="percentile" val="50"/>
        <cfvo type="max"/>
        <color rgb="FFF8696B"/>
        <color rgb="FFFFEB84"/>
        <color rgb="FF63BE7B"/>
      </colorScale>
    </cfRule>
  </conditionalFormatting>
  <conditionalFormatting sqref="F13:F20">
    <cfRule type="colorScale" priority="7835">
      <colorScale>
        <cfvo type="min"/>
        <cfvo type="percentile" val="50"/>
        <cfvo type="max"/>
        <color rgb="FFF8696B"/>
        <color rgb="FFFFEB84"/>
        <color rgb="FF63BE7B"/>
      </colorScale>
    </cfRule>
  </conditionalFormatting>
  <conditionalFormatting sqref="F13:F20">
    <cfRule type="colorScale" priority="7834">
      <colorScale>
        <cfvo type="min"/>
        <cfvo type="percentile" val="50"/>
        <cfvo type="max"/>
        <color rgb="FFF8696B"/>
        <color rgb="FFFFEB84"/>
        <color rgb="FF63BE7B"/>
      </colorScale>
    </cfRule>
  </conditionalFormatting>
  <conditionalFormatting sqref="F13:F20">
    <cfRule type="colorScale" priority="7833">
      <colorScale>
        <cfvo type="min"/>
        <cfvo type="percentile" val="50"/>
        <cfvo type="max"/>
        <color rgb="FFF8696B"/>
        <color rgb="FFFFEB84"/>
        <color rgb="FF63BE7B"/>
      </colorScale>
    </cfRule>
  </conditionalFormatting>
  <conditionalFormatting sqref="F13:F20">
    <cfRule type="colorScale" priority="7832">
      <colorScale>
        <cfvo type="min"/>
        <cfvo type="percentile" val="50"/>
        <cfvo type="max"/>
        <color rgb="FFF8696B"/>
        <color rgb="FFFFEB84"/>
        <color rgb="FF63BE7B"/>
      </colorScale>
    </cfRule>
  </conditionalFormatting>
  <conditionalFormatting sqref="F13:F20">
    <cfRule type="colorScale" priority="7831">
      <colorScale>
        <cfvo type="min"/>
        <cfvo type="percentile" val="50"/>
        <cfvo type="max"/>
        <color rgb="FFF8696B"/>
        <color rgb="FFFFEB84"/>
        <color rgb="FF63BE7B"/>
      </colorScale>
    </cfRule>
  </conditionalFormatting>
  <conditionalFormatting sqref="F13:F20">
    <cfRule type="colorScale" priority="7830">
      <colorScale>
        <cfvo type="min"/>
        <cfvo type="percentile" val="50"/>
        <cfvo type="max"/>
        <color rgb="FFF8696B"/>
        <color rgb="FFFFEB84"/>
        <color rgb="FF63BE7B"/>
      </colorScale>
    </cfRule>
  </conditionalFormatting>
  <conditionalFormatting sqref="F13:F20">
    <cfRule type="colorScale" priority="7829">
      <colorScale>
        <cfvo type="min"/>
        <cfvo type="percentile" val="50"/>
        <cfvo type="max"/>
        <color rgb="FFF8696B"/>
        <color rgb="FFFFEB84"/>
        <color rgb="FF63BE7B"/>
      </colorScale>
    </cfRule>
  </conditionalFormatting>
  <conditionalFormatting sqref="F13:F20">
    <cfRule type="colorScale" priority="7828">
      <colorScale>
        <cfvo type="min"/>
        <cfvo type="percentile" val="50"/>
        <cfvo type="max"/>
        <color rgb="FFF8696B"/>
        <color rgb="FFFFEB84"/>
        <color rgb="FF63BE7B"/>
      </colorScale>
    </cfRule>
  </conditionalFormatting>
  <conditionalFormatting sqref="F13:F20">
    <cfRule type="colorScale" priority="7827">
      <colorScale>
        <cfvo type="min"/>
        <cfvo type="percentile" val="50"/>
        <cfvo type="max"/>
        <color rgb="FFF8696B"/>
        <color rgb="FFFFEB84"/>
        <color rgb="FF63BE7B"/>
      </colorScale>
    </cfRule>
  </conditionalFormatting>
  <conditionalFormatting sqref="F13:F20">
    <cfRule type="colorScale" priority="7826">
      <colorScale>
        <cfvo type="min"/>
        <cfvo type="percentile" val="50"/>
        <cfvo type="max"/>
        <color rgb="FFF8696B"/>
        <color rgb="FFFFEB84"/>
        <color rgb="FF63BE7B"/>
      </colorScale>
    </cfRule>
  </conditionalFormatting>
  <conditionalFormatting sqref="F13:F20">
    <cfRule type="colorScale" priority="7825">
      <colorScale>
        <cfvo type="min"/>
        <cfvo type="percentile" val="50"/>
        <cfvo type="max"/>
        <color rgb="FFF8696B"/>
        <color rgb="FFFFEB84"/>
        <color rgb="FF63BE7B"/>
      </colorScale>
    </cfRule>
  </conditionalFormatting>
  <conditionalFormatting sqref="F13:F20">
    <cfRule type="colorScale" priority="7824">
      <colorScale>
        <cfvo type="min"/>
        <cfvo type="percentile" val="50"/>
        <cfvo type="max"/>
        <color rgb="FFF8696B"/>
        <color rgb="FFFFEB84"/>
        <color rgb="FF63BE7B"/>
      </colorScale>
    </cfRule>
  </conditionalFormatting>
  <conditionalFormatting sqref="F13:F20">
    <cfRule type="colorScale" priority="7823">
      <colorScale>
        <cfvo type="min"/>
        <cfvo type="percentile" val="50"/>
        <cfvo type="max"/>
        <color rgb="FFF8696B"/>
        <color rgb="FFFFEB84"/>
        <color rgb="FF63BE7B"/>
      </colorScale>
    </cfRule>
  </conditionalFormatting>
  <conditionalFormatting sqref="F13:F20">
    <cfRule type="colorScale" priority="7822">
      <colorScale>
        <cfvo type="min"/>
        <cfvo type="percentile" val="50"/>
        <cfvo type="max"/>
        <color rgb="FFF8696B"/>
        <color rgb="FFFFEB84"/>
        <color rgb="FF63BE7B"/>
      </colorScale>
    </cfRule>
  </conditionalFormatting>
  <conditionalFormatting sqref="F13:F20">
    <cfRule type="colorScale" priority="7821">
      <colorScale>
        <cfvo type="min"/>
        <cfvo type="percentile" val="50"/>
        <cfvo type="max"/>
        <color rgb="FFF8696B"/>
        <color rgb="FFFFEB84"/>
        <color rgb="FF63BE7B"/>
      </colorScale>
    </cfRule>
  </conditionalFormatting>
  <conditionalFormatting sqref="F13:F20">
    <cfRule type="colorScale" priority="7820">
      <colorScale>
        <cfvo type="min"/>
        <cfvo type="percentile" val="50"/>
        <cfvo type="max"/>
        <color rgb="FFF8696B"/>
        <color rgb="FFFFEB84"/>
        <color rgb="FF63BE7B"/>
      </colorScale>
    </cfRule>
  </conditionalFormatting>
  <conditionalFormatting sqref="F13:F20">
    <cfRule type="colorScale" priority="7819">
      <colorScale>
        <cfvo type="min"/>
        <cfvo type="percentile" val="50"/>
        <cfvo type="max"/>
        <color rgb="FFF8696B"/>
        <color rgb="FFFFEB84"/>
        <color rgb="FF63BE7B"/>
      </colorScale>
    </cfRule>
  </conditionalFormatting>
  <conditionalFormatting sqref="F13:F20">
    <cfRule type="colorScale" priority="7818">
      <colorScale>
        <cfvo type="min"/>
        <cfvo type="percentile" val="50"/>
        <cfvo type="max"/>
        <color rgb="FFF8696B"/>
        <color rgb="FFFFEB84"/>
        <color rgb="FF63BE7B"/>
      </colorScale>
    </cfRule>
  </conditionalFormatting>
  <conditionalFormatting sqref="F13:F20">
    <cfRule type="colorScale" priority="7817">
      <colorScale>
        <cfvo type="min"/>
        <cfvo type="percentile" val="50"/>
        <cfvo type="max"/>
        <color rgb="FFF8696B"/>
        <color rgb="FFFFEB84"/>
        <color rgb="FF63BE7B"/>
      </colorScale>
    </cfRule>
  </conditionalFormatting>
  <conditionalFormatting sqref="F13:F20">
    <cfRule type="colorScale" priority="7816">
      <colorScale>
        <cfvo type="min"/>
        <cfvo type="percentile" val="50"/>
        <cfvo type="max"/>
        <color rgb="FFF8696B"/>
        <color rgb="FFFFEB84"/>
        <color rgb="FF63BE7B"/>
      </colorScale>
    </cfRule>
  </conditionalFormatting>
  <conditionalFormatting sqref="F13:F20">
    <cfRule type="colorScale" priority="7815">
      <colorScale>
        <cfvo type="min"/>
        <cfvo type="percentile" val="50"/>
        <cfvo type="max"/>
        <color rgb="FFF8696B"/>
        <color rgb="FFFFEB84"/>
        <color rgb="FF63BE7B"/>
      </colorScale>
    </cfRule>
  </conditionalFormatting>
  <conditionalFormatting sqref="F13:F20">
    <cfRule type="colorScale" priority="7814">
      <colorScale>
        <cfvo type="min"/>
        <cfvo type="percentile" val="50"/>
        <cfvo type="max"/>
        <color rgb="FFF8696B"/>
        <color rgb="FFFFEB84"/>
        <color rgb="FF63BE7B"/>
      </colorScale>
    </cfRule>
  </conditionalFormatting>
  <conditionalFormatting sqref="F13:F20">
    <cfRule type="colorScale" priority="7813">
      <colorScale>
        <cfvo type="min"/>
        <cfvo type="percentile" val="50"/>
        <cfvo type="max"/>
        <color rgb="FFF8696B"/>
        <color rgb="FFFFEB84"/>
        <color rgb="FF63BE7B"/>
      </colorScale>
    </cfRule>
  </conditionalFormatting>
  <conditionalFormatting sqref="F13:F20">
    <cfRule type="colorScale" priority="7812">
      <colorScale>
        <cfvo type="min"/>
        <cfvo type="percentile" val="50"/>
        <cfvo type="max"/>
        <color rgb="FFF8696B"/>
        <color rgb="FFFFEB84"/>
        <color rgb="FF63BE7B"/>
      </colorScale>
    </cfRule>
  </conditionalFormatting>
  <conditionalFormatting sqref="F13:F20">
    <cfRule type="colorScale" priority="7811">
      <colorScale>
        <cfvo type="min"/>
        <cfvo type="percentile" val="50"/>
        <cfvo type="max"/>
        <color rgb="FFF8696B"/>
        <color rgb="FFFFEB84"/>
        <color rgb="FF63BE7B"/>
      </colorScale>
    </cfRule>
  </conditionalFormatting>
  <conditionalFormatting sqref="F13:F20">
    <cfRule type="colorScale" priority="7810">
      <colorScale>
        <cfvo type="min"/>
        <cfvo type="percentile" val="50"/>
        <cfvo type="max"/>
        <color rgb="FFF8696B"/>
        <color rgb="FFFFEB84"/>
        <color rgb="FF63BE7B"/>
      </colorScale>
    </cfRule>
  </conditionalFormatting>
  <conditionalFormatting sqref="F13:F20">
    <cfRule type="colorScale" priority="7809">
      <colorScale>
        <cfvo type="min"/>
        <cfvo type="percentile" val="50"/>
        <cfvo type="max"/>
        <color rgb="FFF8696B"/>
        <color rgb="FFFFEB84"/>
        <color rgb="FF63BE7B"/>
      </colorScale>
    </cfRule>
  </conditionalFormatting>
  <conditionalFormatting sqref="F13:F20">
    <cfRule type="colorScale" priority="7808">
      <colorScale>
        <cfvo type="min"/>
        <cfvo type="percentile" val="50"/>
        <cfvo type="max"/>
        <color rgb="FFF8696B"/>
        <color rgb="FFFFEB84"/>
        <color rgb="FF63BE7B"/>
      </colorScale>
    </cfRule>
  </conditionalFormatting>
  <conditionalFormatting sqref="F13:F20">
    <cfRule type="colorScale" priority="7807">
      <colorScale>
        <cfvo type="min"/>
        <cfvo type="percentile" val="50"/>
        <cfvo type="max"/>
        <color rgb="FFF8696B"/>
        <color rgb="FFFFEB84"/>
        <color rgb="FF63BE7B"/>
      </colorScale>
    </cfRule>
  </conditionalFormatting>
  <conditionalFormatting sqref="F13:F20">
    <cfRule type="colorScale" priority="7806">
      <colorScale>
        <cfvo type="min"/>
        <cfvo type="percentile" val="50"/>
        <cfvo type="max"/>
        <color rgb="FFF8696B"/>
        <color rgb="FFFFEB84"/>
        <color rgb="FF63BE7B"/>
      </colorScale>
    </cfRule>
  </conditionalFormatting>
  <conditionalFormatting sqref="F13:F20">
    <cfRule type="colorScale" priority="7805">
      <colorScale>
        <cfvo type="min"/>
        <cfvo type="percentile" val="50"/>
        <cfvo type="max"/>
        <color rgb="FFF8696B"/>
        <color rgb="FFFFEB84"/>
        <color rgb="FF63BE7B"/>
      </colorScale>
    </cfRule>
  </conditionalFormatting>
  <conditionalFormatting sqref="F13:F20">
    <cfRule type="colorScale" priority="7804">
      <colorScale>
        <cfvo type="min"/>
        <cfvo type="percentile" val="50"/>
        <cfvo type="max"/>
        <color rgb="FFF8696B"/>
        <color rgb="FFFFEB84"/>
        <color rgb="FF63BE7B"/>
      </colorScale>
    </cfRule>
  </conditionalFormatting>
  <conditionalFormatting sqref="F13:F20">
    <cfRule type="colorScale" priority="7803">
      <colorScale>
        <cfvo type="min"/>
        <cfvo type="percentile" val="50"/>
        <cfvo type="max"/>
        <color rgb="FFF8696B"/>
        <color rgb="FFFFEB84"/>
        <color rgb="FF63BE7B"/>
      </colorScale>
    </cfRule>
  </conditionalFormatting>
  <conditionalFormatting sqref="F13:F20">
    <cfRule type="colorScale" priority="7802">
      <colorScale>
        <cfvo type="min"/>
        <cfvo type="percentile" val="50"/>
        <cfvo type="max"/>
        <color rgb="FFF8696B"/>
        <color rgb="FFFFEB84"/>
        <color rgb="FF63BE7B"/>
      </colorScale>
    </cfRule>
  </conditionalFormatting>
  <conditionalFormatting sqref="F13:F20">
    <cfRule type="colorScale" priority="7801">
      <colorScale>
        <cfvo type="min"/>
        <cfvo type="percentile" val="50"/>
        <cfvo type="max"/>
        <color rgb="FFF8696B"/>
        <color rgb="FFFFEB84"/>
        <color rgb="FF63BE7B"/>
      </colorScale>
    </cfRule>
  </conditionalFormatting>
  <conditionalFormatting sqref="F13:F20">
    <cfRule type="colorScale" priority="7800">
      <colorScale>
        <cfvo type="min"/>
        <cfvo type="percentile" val="50"/>
        <cfvo type="max"/>
        <color rgb="FFF8696B"/>
        <color rgb="FFFFEB84"/>
        <color rgb="FF63BE7B"/>
      </colorScale>
    </cfRule>
  </conditionalFormatting>
  <conditionalFormatting sqref="F13:F20">
    <cfRule type="colorScale" priority="7799">
      <colorScale>
        <cfvo type="min"/>
        <cfvo type="percentile" val="50"/>
        <cfvo type="max"/>
        <color rgb="FFF8696B"/>
        <color rgb="FFFFEB84"/>
        <color rgb="FF63BE7B"/>
      </colorScale>
    </cfRule>
  </conditionalFormatting>
  <conditionalFormatting sqref="F13:F20">
    <cfRule type="colorScale" priority="7798">
      <colorScale>
        <cfvo type="min"/>
        <cfvo type="percentile" val="50"/>
        <cfvo type="max"/>
        <color rgb="FFF8696B"/>
        <color rgb="FFFFEB84"/>
        <color rgb="FF63BE7B"/>
      </colorScale>
    </cfRule>
  </conditionalFormatting>
  <conditionalFormatting sqref="F13:F20">
    <cfRule type="colorScale" priority="7797">
      <colorScale>
        <cfvo type="min"/>
        <cfvo type="percentile" val="50"/>
        <cfvo type="max"/>
        <color rgb="FFF8696B"/>
        <color rgb="FFFFEB84"/>
        <color rgb="FF63BE7B"/>
      </colorScale>
    </cfRule>
  </conditionalFormatting>
  <conditionalFormatting sqref="F13:F20">
    <cfRule type="colorScale" priority="7796">
      <colorScale>
        <cfvo type="min"/>
        <cfvo type="percentile" val="50"/>
        <cfvo type="max"/>
        <color rgb="FFF8696B"/>
        <color rgb="FFFFEB84"/>
        <color rgb="FF63BE7B"/>
      </colorScale>
    </cfRule>
  </conditionalFormatting>
  <conditionalFormatting sqref="F13:F20">
    <cfRule type="colorScale" priority="7795">
      <colorScale>
        <cfvo type="min"/>
        <cfvo type="percentile" val="50"/>
        <cfvo type="max"/>
        <color rgb="FFF8696B"/>
        <color rgb="FFFFEB84"/>
        <color rgb="FF63BE7B"/>
      </colorScale>
    </cfRule>
  </conditionalFormatting>
  <conditionalFormatting sqref="F13:F20">
    <cfRule type="colorScale" priority="7794">
      <colorScale>
        <cfvo type="min"/>
        <cfvo type="percentile" val="50"/>
        <cfvo type="max"/>
        <color rgb="FFF8696B"/>
        <color rgb="FFFFEB84"/>
        <color rgb="FF63BE7B"/>
      </colorScale>
    </cfRule>
  </conditionalFormatting>
  <conditionalFormatting sqref="F13:F20">
    <cfRule type="colorScale" priority="7793">
      <colorScale>
        <cfvo type="min"/>
        <cfvo type="percentile" val="50"/>
        <cfvo type="max"/>
        <color rgb="FFF8696B"/>
        <color rgb="FFFFEB84"/>
        <color rgb="FF63BE7B"/>
      </colorScale>
    </cfRule>
  </conditionalFormatting>
  <conditionalFormatting sqref="F13:F20">
    <cfRule type="colorScale" priority="7792">
      <colorScale>
        <cfvo type="min"/>
        <cfvo type="percentile" val="50"/>
        <cfvo type="max"/>
        <color rgb="FFF8696B"/>
        <color rgb="FFFFEB84"/>
        <color rgb="FF63BE7B"/>
      </colorScale>
    </cfRule>
  </conditionalFormatting>
  <conditionalFormatting sqref="F13:F20">
    <cfRule type="colorScale" priority="7791">
      <colorScale>
        <cfvo type="min"/>
        <cfvo type="percentile" val="50"/>
        <cfvo type="max"/>
        <color rgb="FFF8696B"/>
        <color rgb="FFFFEB84"/>
        <color rgb="FF63BE7B"/>
      </colorScale>
    </cfRule>
  </conditionalFormatting>
  <conditionalFormatting sqref="F13:F20">
    <cfRule type="colorScale" priority="7790">
      <colorScale>
        <cfvo type="min"/>
        <cfvo type="percentile" val="50"/>
        <cfvo type="max"/>
        <color rgb="FFF8696B"/>
        <color rgb="FFFFEB84"/>
        <color rgb="FF63BE7B"/>
      </colorScale>
    </cfRule>
  </conditionalFormatting>
  <conditionalFormatting sqref="F13:F20">
    <cfRule type="colorScale" priority="7789">
      <colorScale>
        <cfvo type="min"/>
        <cfvo type="percentile" val="50"/>
        <cfvo type="max"/>
        <color rgb="FFF8696B"/>
        <color rgb="FFFFEB84"/>
        <color rgb="FF63BE7B"/>
      </colorScale>
    </cfRule>
  </conditionalFormatting>
  <conditionalFormatting sqref="F13:F20">
    <cfRule type="colorScale" priority="7788">
      <colorScale>
        <cfvo type="min"/>
        <cfvo type="percentile" val="50"/>
        <cfvo type="max"/>
        <color rgb="FFF8696B"/>
        <color rgb="FFFFEB84"/>
        <color rgb="FF63BE7B"/>
      </colorScale>
    </cfRule>
  </conditionalFormatting>
  <conditionalFormatting sqref="F13:F20">
    <cfRule type="colorScale" priority="7787">
      <colorScale>
        <cfvo type="min"/>
        <cfvo type="percentile" val="50"/>
        <cfvo type="max"/>
        <color rgb="FFF8696B"/>
        <color rgb="FFFFEB84"/>
        <color rgb="FF63BE7B"/>
      </colorScale>
    </cfRule>
  </conditionalFormatting>
  <conditionalFormatting sqref="F13:F20">
    <cfRule type="colorScale" priority="7786">
      <colorScale>
        <cfvo type="min"/>
        <cfvo type="percentile" val="50"/>
        <cfvo type="max"/>
        <color rgb="FFF8696B"/>
        <color rgb="FFFFEB84"/>
        <color rgb="FF63BE7B"/>
      </colorScale>
    </cfRule>
  </conditionalFormatting>
  <conditionalFormatting sqref="F13:F20">
    <cfRule type="colorScale" priority="7785">
      <colorScale>
        <cfvo type="min"/>
        <cfvo type="percentile" val="50"/>
        <cfvo type="max"/>
        <color rgb="FFF8696B"/>
        <color rgb="FFFFEB84"/>
        <color rgb="FF63BE7B"/>
      </colorScale>
    </cfRule>
  </conditionalFormatting>
  <conditionalFormatting sqref="F13:F20">
    <cfRule type="colorScale" priority="7784">
      <colorScale>
        <cfvo type="min"/>
        <cfvo type="percentile" val="50"/>
        <cfvo type="max"/>
        <color rgb="FFF8696B"/>
        <color rgb="FFFFEB84"/>
        <color rgb="FF63BE7B"/>
      </colorScale>
    </cfRule>
  </conditionalFormatting>
  <conditionalFormatting sqref="F13:F20">
    <cfRule type="colorScale" priority="7783">
      <colorScale>
        <cfvo type="min"/>
        <cfvo type="percentile" val="50"/>
        <cfvo type="max"/>
        <color rgb="FFF8696B"/>
        <color rgb="FFFFEB84"/>
        <color rgb="FF63BE7B"/>
      </colorScale>
    </cfRule>
  </conditionalFormatting>
  <conditionalFormatting sqref="F13:F20">
    <cfRule type="colorScale" priority="7782">
      <colorScale>
        <cfvo type="min"/>
        <cfvo type="percentile" val="50"/>
        <cfvo type="max"/>
        <color rgb="FFF8696B"/>
        <color rgb="FFFFEB84"/>
        <color rgb="FF63BE7B"/>
      </colorScale>
    </cfRule>
  </conditionalFormatting>
  <conditionalFormatting sqref="F13:F20">
    <cfRule type="colorScale" priority="7781">
      <colorScale>
        <cfvo type="min"/>
        <cfvo type="percentile" val="50"/>
        <cfvo type="max"/>
        <color rgb="FFF8696B"/>
        <color rgb="FFFFEB84"/>
        <color rgb="FF63BE7B"/>
      </colorScale>
    </cfRule>
  </conditionalFormatting>
  <conditionalFormatting sqref="F13:F20">
    <cfRule type="colorScale" priority="7780">
      <colorScale>
        <cfvo type="min"/>
        <cfvo type="percentile" val="50"/>
        <cfvo type="max"/>
        <color rgb="FFF8696B"/>
        <color rgb="FFFFEB84"/>
        <color rgb="FF63BE7B"/>
      </colorScale>
    </cfRule>
  </conditionalFormatting>
  <conditionalFormatting sqref="F13:F20">
    <cfRule type="colorScale" priority="7779">
      <colorScale>
        <cfvo type="min"/>
        <cfvo type="percentile" val="50"/>
        <cfvo type="max"/>
        <color rgb="FFF8696B"/>
        <color rgb="FFFFEB84"/>
        <color rgb="FF63BE7B"/>
      </colorScale>
    </cfRule>
  </conditionalFormatting>
  <conditionalFormatting sqref="F13:F20">
    <cfRule type="colorScale" priority="7778">
      <colorScale>
        <cfvo type="min"/>
        <cfvo type="percentile" val="50"/>
        <cfvo type="max"/>
        <color rgb="FFF8696B"/>
        <color rgb="FFFFEB84"/>
        <color rgb="FF63BE7B"/>
      </colorScale>
    </cfRule>
  </conditionalFormatting>
  <conditionalFormatting sqref="F13:F20">
    <cfRule type="colorScale" priority="7777">
      <colorScale>
        <cfvo type="min"/>
        <cfvo type="percentile" val="50"/>
        <cfvo type="max"/>
        <color rgb="FFF8696B"/>
        <color rgb="FFFFEB84"/>
        <color rgb="FF63BE7B"/>
      </colorScale>
    </cfRule>
  </conditionalFormatting>
  <conditionalFormatting sqref="F13:F20">
    <cfRule type="colorScale" priority="7776">
      <colorScale>
        <cfvo type="min"/>
        <cfvo type="percentile" val="50"/>
        <cfvo type="max"/>
        <color rgb="FFF8696B"/>
        <color rgb="FFFFEB84"/>
        <color rgb="FF63BE7B"/>
      </colorScale>
    </cfRule>
  </conditionalFormatting>
  <conditionalFormatting sqref="F13:F20">
    <cfRule type="colorScale" priority="7775">
      <colorScale>
        <cfvo type="min"/>
        <cfvo type="percentile" val="50"/>
        <cfvo type="max"/>
        <color rgb="FFF8696B"/>
        <color rgb="FFFFEB84"/>
        <color rgb="FF63BE7B"/>
      </colorScale>
    </cfRule>
  </conditionalFormatting>
  <conditionalFormatting sqref="F13:F20">
    <cfRule type="colorScale" priority="7774">
      <colorScale>
        <cfvo type="min"/>
        <cfvo type="percentile" val="50"/>
        <cfvo type="max"/>
        <color rgb="FFF8696B"/>
        <color rgb="FFFFEB84"/>
        <color rgb="FF63BE7B"/>
      </colorScale>
    </cfRule>
  </conditionalFormatting>
  <conditionalFormatting sqref="F13:F20">
    <cfRule type="colorScale" priority="7773">
      <colorScale>
        <cfvo type="min"/>
        <cfvo type="percentile" val="50"/>
        <cfvo type="max"/>
        <color rgb="FFF8696B"/>
        <color rgb="FFFFEB84"/>
        <color rgb="FF63BE7B"/>
      </colorScale>
    </cfRule>
  </conditionalFormatting>
  <conditionalFormatting sqref="F13:F20">
    <cfRule type="colorScale" priority="7772">
      <colorScale>
        <cfvo type="min"/>
        <cfvo type="percentile" val="50"/>
        <cfvo type="max"/>
        <color rgb="FFF8696B"/>
        <color rgb="FFFFEB84"/>
        <color rgb="FF63BE7B"/>
      </colorScale>
    </cfRule>
  </conditionalFormatting>
  <conditionalFormatting sqref="F13:F20">
    <cfRule type="colorScale" priority="7771">
      <colorScale>
        <cfvo type="min"/>
        <cfvo type="percentile" val="50"/>
        <cfvo type="max"/>
        <color rgb="FFF8696B"/>
        <color rgb="FFFFEB84"/>
        <color rgb="FF63BE7B"/>
      </colorScale>
    </cfRule>
  </conditionalFormatting>
  <conditionalFormatting sqref="F13:F20">
    <cfRule type="colorScale" priority="7770">
      <colorScale>
        <cfvo type="min"/>
        <cfvo type="percentile" val="50"/>
        <cfvo type="max"/>
        <color rgb="FFF8696B"/>
        <color rgb="FFFFEB84"/>
        <color rgb="FF63BE7B"/>
      </colorScale>
    </cfRule>
  </conditionalFormatting>
  <conditionalFormatting sqref="F13:F20">
    <cfRule type="colorScale" priority="7769">
      <colorScale>
        <cfvo type="min"/>
        <cfvo type="percentile" val="50"/>
        <cfvo type="max"/>
        <color rgb="FFF8696B"/>
        <color rgb="FFFFEB84"/>
        <color rgb="FF63BE7B"/>
      </colorScale>
    </cfRule>
  </conditionalFormatting>
  <conditionalFormatting sqref="F13:F20">
    <cfRule type="colorScale" priority="7768">
      <colorScale>
        <cfvo type="min"/>
        <cfvo type="percentile" val="50"/>
        <cfvo type="max"/>
        <color rgb="FFF8696B"/>
        <color rgb="FFFFEB84"/>
        <color rgb="FF63BE7B"/>
      </colorScale>
    </cfRule>
  </conditionalFormatting>
  <conditionalFormatting sqref="F13:F20">
    <cfRule type="colorScale" priority="7767">
      <colorScale>
        <cfvo type="min"/>
        <cfvo type="percentile" val="50"/>
        <cfvo type="max"/>
        <color rgb="FFF8696B"/>
        <color rgb="FFFFEB84"/>
        <color rgb="FF63BE7B"/>
      </colorScale>
    </cfRule>
  </conditionalFormatting>
  <conditionalFormatting sqref="F13:F20">
    <cfRule type="colorScale" priority="7766">
      <colorScale>
        <cfvo type="min"/>
        <cfvo type="percentile" val="50"/>
        <cfvo type="max"/>
        <color rgb="FFF8696B"/>
        <color rgb="FFFFEB84"/>
        <color rgb="FF63BE7B"/>
      </colorScale>
    </cfRule>
  </conditionalFormatting>
  <conditionalFormatting sqref="F13:F20">
    <cfRule type="colorScale" priority="7765">
      <colorScale>
        <cfvo type="min"/>
        <cfvo type="percentile" val="50"/>
        <cfvo type="max"/>
        <color rgb="FFF8696B"/>
        <color rgb="FFFFEB84"/>
        <color rgb="FF63BE7B"/>
      </colorScale>
    </cfRule>
  </conditionalFormatting>
  <conditionalFormatting sqref="F13:F20">
    <cfRule type="colorScale" priority="7764">
      <colorScale>
        <cfvo type="min"/>
        <cfvo type="percentile" val="50"/>
        <cfvo type="max"/>
        <color rgb="FFF8696B"/>
        <color rgb="FFFFEB84"/>
        <color rgb="FF63BE7B"/>
      </colorScale>
    </cfRule>
  </conditionalFormatting>
  <conditionalFormatting sqref="F13:F20">
    <cfRule type="colorScale" priority="7763">
      <colorScale>
        <cfvo type="min"/>
        <cfvo type="percentile" val="50"/>
        <cfvo type="max"/>
        <color rgb="FFF8696B"/>
        <color rgb="FFFFEB84"/>
        <color rgb="FF63BE7B"/>
      </colorScale>
    </cfRule>
  </conditionalFormatting>
  <conditionalFormatting sqref="F13:F20">
    <cfRule type="colorScale" priority="7762">
      <colorScale>
        <cfvo type="min"/>
        <cfvo type="percentile" val="50"/>
        <cfvo type="max"/>
        <color rgb="FFF8696B"/>
        <color rgb="FFFFEB84"/>
        <color rgb="FF63BE7B"/>
      </colorScale>
    </cfRule>
  </conditionalFormatting>
  <conditionalFormatting sqref="F13:F20">
    <cfRule type="colorScale" priority="7761">
      <colorScale>
        <cfvo type="min"/>
        <cfvo type="percentile" val="50"/>
        <cfvo type="max"/>
        <color rgb="FFF8696B"/>
        <color rgb="FFFFEB84"/>
        <color rgb="FF63BE7B"/>
      </colorScale>
    </cfRule>
  </conditionalFormatting>
  <conditionalFormatting sqref="F13:F20">
    <cfRule type="colorScale" priority="7760">
      <colorScale>
        <cfvo type="min"/>
        <cfvo type="percentile" val="50"/>
        <cfvo type="max"/>
        <color rgb="FFF8696B"/>
        <color rgb="FFFFEB84"/>
        <color rgb="FF63BE7B"/>
      </colorScale>
    </cfRule>
  </conditionalFormatting>
  <conditionalFormatting sqref="F13:F20">
    <cfRule type="colorScale" priority="7759">
      <colorScale>
        <cfvo type="min"/>
        <cfvo type="percentile" val="50"/>
        <cfvo type="max"/>
        <color rgb="FFF8696B"/>
        <color rgb="FFFFEB84"/>
        <color rgb="FF63BE7B"/>
      </colorScale>
    </cfRule>
  </conditionalFormatting>
  <conditionalFormatting sqref="F13:F20">
    <cfRule type="colorScale" priority="7758">
      <colorScale>
        <cfvo type="min"/>
        <cfvo type="percentile" val="50"/>
        <cfvo type="max"/>
        <color rgb="FFF8696B"/>
        <color rgb="FFFFEB84"/>
        <color rgb="FF63BE7B"/>
      </colorScale>
    </cfRule>
  </conditionalFormatting>
  <conditionalFormatting sqref="F13:F20">
    <cfRule type="colorScale" priority="7757">
      <colorScale>
        <cfvo type="min"/>
        <cfvo type="percentile" val="50"/>
        <cfvo type="max"/>
        <color rgb="FFF8696B"/>
        <color rgb="FFFFEB84"/>
        <color rgb="FF63BE7B"/>
      </colorScale>
    </cfRule>
  </conditionalFormatting>
  <conditionalFormatting sqref="F13:F20">
    <cfRule type="colorScale" priority="7756">
      <colorScale>
        <cfvo type="min"/>
        <cfvo type="percentile" val="50"/>
        <cfvo type="max"/>
        <color rgb="FFF8696B"/>
        <color rgb="FFFFEB84"/>
        <color rgb="FF63BE7B"/>
      </colorScale>
    </cfRule>
  </conditionalFormatting>
  <conditionalFormatting sqref="F13:F20">
    <cfRule type="colorScale" priority="7755">
      <colorScale>
        <cfvo type="min"/>
        <cfvo type="percentile" val="50"/>
        <cfvo type="max"/>
        <color rgb="FFF8696B"/>
        <color rgb="FFFFEB84"/>
        <color rgb="FF63BE7B"/>
      </colorScale>
    </cfRule>
  </conditionalFormatting>
  <conditionalFormatting sqref="F13:F20">
    <cfRule type="colorScale" priority="7754">
      <colorScale>
        <cfvo type="min"/>
        <cfvo type="percentile" val="50"/>
        <cfvo type="max"/>
        <color rgb="FFF8696B"/>
        <color rgb="FFFFEB84"/>
        <color rgb="FF63BE7B"/>
      </colorScale>
    </cfRule>
  </conditionalFormatting>
  <conditionalFormatting sqref="F13:F20">
    <cfRule type="colorScale" priority="7753">
      <colorScale>
        <cfvo type="min"/>
        <cfvo type="percentile" val="50"/>
        <cfvo type="max"/>
        <color rgb="FFF8696B"/>
        <color rgb="FFFFEB84"/>
        <color rgb="FF63BE7B"/>
      </colorScale>
    </cfRule>
  </conditionalFormatting>
  <conditionalFormatting sqref="F13:F20">
    <cfRule type="colorScale" priority="7752">
      <colorScale>
        <cfvo type="min"/>
        <cfvo type="percentile" val="50"/>
        <cfvo type="max"/>
        <color rgb="FFF8696B"/>
        <color rgb="FFFFEB84"/>
        <color rgb="FF63BE7B"/>
      </colorScale>
    </cfRule>
  </conditionalFormatting>
  <conditionalFormatting sqref="F13:F20">
    <cfRule type="colorScale" priority="7751">
      <colorScale>
        <cfvo type="min"/>
        <cfvo type="percentile" val="50"/>
        <cfvo type="max"/>
        <color rgb="FFF8696B"/>
        <color rgb="FFFFEB84"/>
        <color rgb="FF63BE7B"/>
      </colorScale>
    </cfRule>
  </conditionalFormatting>
  <conditionalFormatting sqref="F13:F20">
    <cfRule type="colorScale" priority="7750">
      <colorScale>
        <cfvo type="min"/>
        <cfvo type="percentile" val="50"/>
        <cfvo type="max"/>
        <color rgb="FFF8696B"/>
        <color rgb="FFFFEB84"/>
        <color rgb="FF63BE7B"/>
      </colorScale>
    </cfRule>
  </conditionalFormatting>
  <conditionalFormatting sqref="F13:F20">
    <cfRule type="colorScale" priority="7749">
      <colorScale>
        <cfvo type="min"/>
        <cfvo type="percentile" val="50"/>
        <cfvo type="max"/>
        <color rgb="FFF8696B"/>
        <color rgb="FFFFEB84"/>
        <color rgb="FF63BE7B"/>
      </colorScale>
    </cfRule>
  </conditionalFormatting>
  <conditionalFormatting sqref="F13:F20">
    <cfRule type="colorScale" priority="7748">
      <colorScale>
        <cfvo type="min"/>
        <cfvo type="percentile" val="50"/>
        <cfvo type="max"/>
        <color rgb="FFF8696B"/>
        <color rgb="FFFFEB84"/>
        <color rgb="FF63BE7B"/>
      </colorScale>
    </cfRule>
  </conditionalFormatting>
  <conditionalFormatting sqref="F13:F20">
    <cfRule type="colorScale" priority="7747">
      <colorScale>
        <cfvo type="min"/>
        <cfvo type="percentile" val="50"/>
        <cfvo type="max"/>
        <color rgb="FFF8696B"/>
        <color rgb="FFFFEB84"/>
        <color rgb="FF63BE7B"/>
      </colorScale>
    </cfRule>
  </conditionalFormatting>
  <conditionalFormatting sqref="F13:F20">
    <cfRule type="colorScale" priority="7746">
      <colorScale>
        <cfvo type="min"/>
        <cfvo type="percentile" val="50"/>
        <cfvo type="max"/>
        <color rgb="FFF8696B"/>
        <color rgb="FFFFEB84"/>
        <color rgb="FF63BE7B"/>
      </colorScale>
    </cfRule>
  </conditionalFormatting>
  <conditionalFormatting sqref="F13:F20">
    <cfRule type="colorScale" priority="7745">
      <colorScale>
        <cfvo type="min"/>
        <cfvo type="percentile" val="50"/>
        <cfvo type="max"/>
        <color rgb="FFF8696B"/>
        <color rgb="FFFFEB84"/>
        <color rgb="FF63BE7B"/>
      </colorScale>
    </cfRule>
  </conditionalFormatting>
  <conditionalFormatting sqref="F13:F20">
    <cfRule type="colorScale" priority="7744">
      <colorScale>
        <cfvo type="min"/>
        <cfvo type="percentile" val="50"/>
        <cfvo type="max"/>
        <color rgb="FFF8696B"/>
        <color rgb="FFFFEB84"/>
        <color rgb="FF63BE7B"/>
      </colorScale>
    </cfRule>
  </conditionalFormatting>
  <conditionalFormatting sqref="F13:F20">
    <cfRule type="colorScale" priority="7743">
      <colorScale>
        <cfvo type="min"/>
        <cfvo type="percentile" val="50"/>
        <cfvo type="max"/>
        <color rgb="FFF8696B"/>
        <color rgb="FFFFEB84"/>
        <color rgb="FF63BE7B"/>
      </colorScale>
    </cfRule>
  </conditionalFormatting>
  <conditionalFormatting sqref="F13:F20">
    <cfRule type="colorScale" priority="7742">
      <colorScale>
        <cfvo type="min"/>
        <cfvo type="percentile" val="50"/>
        <cfvo type="max"/>
        <color rgb="FFF8696B"/>
        <color rgb="FFFFEB84"/>
        <color rgb="FF63BE7B"/>
      </colorScale>
    </cfRule>
  </conditionalFormatting>
  <conditionalFormatting sqref="F13:F20">
    <cfRule type="colorScale" priority="7741">
      <colorScale>
        <cfvo type="min"/>
        <cfvo type="percentile" val="50"/>
        <cfvo type="max"/>
        <color rgb="FFF8696B"/>
        <color rgb="FFFFEB84"/>
        <color rgb="FF63BE7B"/>
      </colorScale>
    </cfRule>
  </conditionalFormatting>
  <conditionalFormatting sqref="F13:F20">
    <cfRule type="colorScale" priority="7740">
      <colorScale>
        <cfvo type="min"/>
        <cfvo type="percentile" val="50"/>
        <cfvo type="max"/>
        <color rgb="FFF8696B"/>
        <color rgb="FFFFEB84"/>
        <color rgb="FF63BE7B"/>
      </colorScale>
    </cfRule>
  </conditionalFormatting>
  <conditionalFormatting sqref="F13:F20">
    <cfRule type="colorScale" priority="7739">
      <colorScale>
        <cfvo type="min"/>
        <cfvo type="percentile" val="50"/>
        <cfvo type="max"/>
        <color rgb="FFF8696B"/>
        <color rgb="FFFFEB84"/>
        <color rgb="FF63BE7B"/>
      </colorScale>
    </cfRule>
  </conditionalFormatting>
  <conditionalFormatting sqref="F13:F20">
    <cfRule type="colorScale" priority="7738">
      <colorScale>
        <cfvo type="min"/>
        <cfvo type="percentile" val="50"/>
        <cfvo type="max"/>
        <color rgb="FFF8696B"/>
        <color rgb="FFFFEB84"/>
        <color rgb="FF63BE7B"/>
      </colorScale>
    </cfRule>
  </conditionalFormatting>
  <conditionalFormatting sqref="F13:F20">
    <cfRule type="colorScale" priority="7737">
      <colorScale>
        <cfvo type="min"/>
        <cfvo type="percentile" val="50"/>
        <cfvo type="max"/>
        <color rgb="FFF8696B"/>
        <color rgb="FFFFEB84"/>
        <color rgb="FF63BE7B"/>
      </colorScale>
    </cfRule>
  </conditionalFormatting>
  <conditionalFormatting sqref="F13:F20">
    <cfRule type="colorScale" priority="7736">
      <colorScale>
        <cfvo type="min"/>
        <cfvo type="percentile" val="50"/>
        <cfvo type="max"/>
        <color rgb="FFF8696B"/>
        <color rgb="FFFFEB84"/>
        <color rgb="FF63BE7B"/>
      </colorScale>
    </cfRule>
  </conditionalFormatting>
  <conditionalFormatting sqref="F13:F20">
    <cfRule type="colorScale" priority="7735">
      <colorScale>
        <cfvo type="min"/>
        <cfvo type="percentile" val="50"/>
        <cfvo type="max"/>
        <color rgb="FFF8696B"/>
        <color rgb="FFFFEB84"/>
        <color rgb="FF63BE7B"/>
      </colorScale>
    </cfRule>
  </conditionalFormatting>
  <conditionalFormatting sqref="F13:F20">
    <cfRule type="colorScale" priority="7734">
      <colorScale>
        <cfvo type="min"/>
        <cfvo type="percentile" val="50"/>
        <cfvo type="max"/>
        <color rgb="FFF8696B"/>
        <color rgb="FFFFEB84"/>
        <color rgb="FF63BE7B"/>
      </colorScale>
    </cfRule>
  </conditionalFormatting>
  <conditionalFormatting sqref="F13:F20">
    <cfRule type="colorScale" priority="7733">
      <colorScale>
        <cfvo type="min"/>
        <cfvo type="percentile" val="50"/>
        <cfvo type="max"/>
        <color rgb="FFF8696B"/>
        <color rgb="FFFFEB84"/>
        <color rgb="FF63BE7B"/>
      </colorScale>
    </cfRule>
  </conditionalFormatting>
  <conditionalFormatting sqref="F13:F20">
    <cfRule type="colorScale" priority="7732">
      <colorScale>
        <cfvo type="min"/>
        <cfvo type="percentile" val="50"/>
        <cfvo type="max"/>
        <color rgb="FFF8696B"/>
        <color rgb="FFFFEB84"/>
        <color rgb="FF63BE7B"/>
      </colorScale>
    </cfRule>
  </conditionalFormatting>
  <conditionalFormatting sqref="F13:F20">
    <cfRule type="colorScale" priority="7731">
      <colorScale>
        <cfvo type="min"/>
        <cfvo type="percentile" val="50"/>
        <cfvo type="max"/>
        <color rgb="FFF8696B"/>
        <color rgb="FFFFEB84"/>
        <color rgb="FF63BE7B"/>
      </colorScale>
    </cfRule>
  </conditionalFormatting>
  <conditionalFormatting sqref="F13:F20">
    <cfRule type="colorScale" priority="7730">
      <colorScale>
        <cfvo type="min"/>
        <cfvo type="percentile" val="50"/>
        <cfvo type="max"/>
        <color rgb="FFF8696B"/>
        <color rgb="FFFFEB84"/>
        <color rgb="FF63BE7B"/>
      </colorScale>
    </cfRule>
  </conditionalFormatting>
  <conditionalFormatting sqref="F13:F20">
    <cfRule type="colorScale" priority="7729">
      <colorScale>
        <cfvo type="min"/>
        <cfvo type="percentile" val="50"/>
        <cfvo type="max"/>
        <color rgb="FFF8696B"/>
        <color rgb="FFFFEB84"/>
        <color rgb="FF63BE7B"/>
      </colorScale>
    </cfRule>
  </conditionalFormatting>
  <conditionalFormatting sqref="F13:F20">
    <cfRule type="colorScale" priority="7728">
      <colorScale>
        <cfvo type="min"/>
        <cfvo type="percentile" val="50"/>
        <cfvo type="max"/>
        <color rgb="FFF8696B"/>
        <color rgb="FFFFEB84"/>
        <color rgb="FF63BE7B"/>
      </colorScale>
    </cfRule>
  </conditionalFormatting>
  <conditionalFormatting sqref="F13:F20">
    <cfRule type="colorScale" priority="7727">
      <colorScale>
        <cfvo type="min"/>
        <cfvo type="percentile" val="50"/>
        <cfvo type="max"/>
        <color rgb="FFF8696B"/>
        <color rgb="FFFFEB84"/>
        <color rgb="FF63BE7B"/>
      </colorScale>
    </cfRule>
  </conditionalFormatting>
  <conditionalFormatting sqref="F13:F20">
    <cfRule type="colorScale" priority="7726">
      <colorScale>
        <cfvo type="min"/>
        <cfvo type="percentile" val="50"/>
        <cfvo type="max"/>
        <color rgb="FFF8696B"/>
        <color rgb="FFFFEB84"/>
        <color rgb="FF63BE7B"/>
      </colorScale>
    </cfRule>
  </conditionalFormatting>
  <conditionalFormatting sqref="F13:F20">
    <cfRule type="colorScale" priority="7725">
      <colorScale>
        <cfvo type="min"/>
        <cfvo type="percentile" val="50"/>
        <cfvo type="max"/>
        <color rgb="FFF8696B"/>
        <color rgb="FFFFEB84"/>
        <color rgb="FF63BE7B"/>
      </colorScale>
    </cfRule>
  </conditionalFormatting>
  <conditionalFormatting sqref="F13:F20">
    <cfRule type="colorScale" priority="7724">
      <colorScale>
        <cfvo type="min"/>
        <cfvo type="percentile" val="50"/>
        <cfvo type="max"/>
        <color rgb="FFF8696B"/>
        <color rgb="FFFFEB84"/>
        <color rgb="FF63BE7B"/>
      </colorScale>
    </cfRule>
  </conditionalFormatting>
  <conditionalFormatting sqref="F13:F20">
    <cfRule type="colorScale" priority="7723">
      <colorScale>
        <cfvo type="min"/>
        <cfvo type="percentile" val="50"/>
        <cfvo type="max"/>
        <color rgb="FFF8696B"/>
        <color rgb="FFFFEB84"/>
        <color rgb="FF63BE7B"/>
      </colorScale>
    </cfRule>
  </conditionalFormatting>
  <conditionalFormatting sqref="F13:F20">
    <cfRule type="colorScale" priority="7722">
      <colorScale>
        <cfvo type="min"/>
        <cfvo type="percentile" val="50"/>
        <cfvo type="max"/>
        <color rgb="FFF8696B"/>
        <color rgb="FFFFEB84"/>
        <color rgb="FF63BE7B"/>
      </colorScale>
    </cfRule>
  </conditionalFormatting>
  <conditionalFormatting sqref="F13:F20">
    <cfRule type="colorScale" priority="7721">
      <colorScale>
        <cfvo type="min"/>
        <cfvo type="percentile" val="50"/>
        <cfvo type="max"/>
        <color rgb="FFF8696B"/>
        <color rgb="FFFFEB84"/>
        <color rgb="FF63BE7B"/>
      </colorScale>
    </cfRule>
  </conditionalFormatting>
  <conditionalFormatting sqref="F13:F20">
    <cfRule type="colorScale" priority="7720">
      <colorScale>
        <cfvo type="min"/>
        <cfvo type="percentile" val="50"/>
        <cfvo type="max"/>
        <color rgb="FFF8696B"/>
        <color rgb="FFFFEB84"/>
        <color rgb="FF63BE7B"/>
      </colorScale>
    </cfRule>
  </conditionalFormatting>
  <conditionalFormatting sqref="F13:F20">
    <cfRule type="colorScale" priority="7719">
      <colorScale>
        <cfvo type="min"/>
        <cfvo type="percentile" val="50"/>
        <cfvo type="max"/>
        <color rgb="FFF8696B"/>
        <color rgb="FFFFEB84"/>
        <color rgb="FF63BE7B"/>
      </colorScale>
    </cfRule>
  </conditionalFormatting>
  <conditionalFormatting sqref="F13:F20">
    <cfRule type="colorScale" priority="7718">
      <colorScale>
        <cfvo type="min"/>
        <cfvo type="percentile" val="50"/>
        <cfvo type="max"/>
        <color rgb="FFF8696B"/>
        <color rgb="FFFFEB84"/>
        <color rgb="FF63BE7B"/>
      </colorScale>
    </cfRule>
  </conditionalFormatting>
  <conditionalFormatting sqref="F13:F20">
    <cfRule type="colorScale" priority="7717">
      <colorScale>
        <cfvo type="min"/>
        <cfvo type="percentile" val="50"/>
        <cfvo type="max"/>
        <color rgb="FFF8696B"/>
        <color rgb="FFFFEB84"/>
        <color rgb="FF63BE7B"/>
      </colorScale>
    </cfRule>
  </conditionalFormatting>
  <conditionalFormatting sqref="F21:F28">
    <cfRule type="colorScale" priority="7716">
      <colorScale>
        <cfvo type="min"/>
        <cfvo type="percentile" val="50"/>
        <cfvo type="max"/>
        <color rgb="FFF8696B"/>
        <color rgb="FFFFEB84"/>
        <color rgb="FF63BE7B"/>
      </colorScale>
    </cfRule>
  </conditionalFormatting>
  <conditionalFormatting sqref="F21:F28">
    <cfRule type="colorScale" priority="7715">
      <colorScale>
        <cfvo type="min"/>
        <cfvo type="percentile" val="50"/>
        <cfvo type="max"/>
        <color rgb="FFF8696B"/>
        <color rgb="FFFFEB84"/>
        <color rgb="FF63BE7B"/>
      </colorScale>
    </cfRule>
  </conditionalFormatting>
  <conditionalFormatting sqref="F21:F28">
    <cfRule type="colorScale" priority="7714">
      <colorScale>
        <cfvo type="min"/>
        <cfvo type="percentile" val="50"/>
        <cfvo type="max"/>
        <color rgb="FFF8696B"/>
        <color rgb="FFFFEB84"/>
        <color rgb="FF63BE7B"/>
      </colorScale>
    </cfRule>
  </conditionalFormatting>
  <conditionalFormatting sqref="F21:F28">
    <cfRule type="colorScale" priority="7713">
      <colorScale>
        <cfvo type="min"/>
        <cfvo type="percentile" val="50"/>
        <cfvo type="max"/>
        <color rgb="FFF8696B"/>
        <color rgb="FFFFEB84"/>
        <color rgb="FF63BE7B"/>
      </colorScale>
    </cfRule>
  </conditionalFormatting>
  <conditionalFormatting sqref="F21:F28">
    <cfRule type="colorScale" priority="7712">
      <colorScale>
        <cfvo type="min"/>
        <cfvo type="percentile" val="50"/>
        <cfvo type="max"/>
        <color rgb="FFF8696B"/>
        <color rgb="FFFFEB84"/>
        <color rgb="FF63BE7B"/>
      </colorScale>
    </cfRule>
  </conditionalFormatting>
  <conditionalFormatting sqref="F21:F28">
    <cfRule type="colorScale" priority="7711">
      <colorScale>
        <cfvo type="min"/>
        <cfvo type="percentile" val="50"/>
        <cfvo type="max"/>
        <color rgb="FFF8696B"/>
        <color rgb="FFFFEB84"/>
        <color rgb="FF63BE7B"/>
      </colorScale>
    </cfRule>
  </conditionalFormatting>
  <conditionalFormatting sqref="F21:F28">
    <cfRule type="colorScale" priority="7710">
      <colorScale>
        <cfvo type="min"/>
        <cfvo type="percentile" val="50"/>
        <cfvo type="max"/>
        <color rgb="FFF8696B"/>
        <color rgb="FFFFEB84"/>
        <color rgb="FF63BE7B"/>
      </colorScale>
    </cfRule>
  </conditionalFormatting>
  <conditionalFormatting sqref="F21:F28">
    <cfRule type="colorScale" priority="7709">
      <colorScale>
        <cfvo type="min"/>
        <cfvo type="percentile" val="50"/>
        <cfvo type="max"/>
        <color rgb="FFF8696B"/>
        <color rgb="FFFFEB84"/>
        <color rgb="FF63BE7B"/>
      </colorScale>
    </cfRule>
  </conditionalFormatting>
  <conditionalFormatting sqref="F21:F28">
    <cfRule type="colorScale" priority="7708">
      <colorScale>
        <cfvo type="min"/>
        <cfvo type="percentile" val="50"/>
        <cfvo type="max"/>
        <color rgb="FFF8696B"/>
        <color rgb="FFFFEB84"/>
        <color rgb="FF63BE7B"/>
      </colorScale>
    </cfRule>
  </conditionalFormatting>
  <conditionalFormatting sqref="F21:F28">
    <cfRule type="colorScale" priority="7707">
      <colorScale>
        <cfvo type="min"/>
        <cfvo type="percentile" val="50"/>
        <cfvo type="max"/>
        <color rgb="FFF8696B"/>
        <color rgb="FFFFEB84"/>
        <color rgb="FF63BE7B"/>
      </colorScale>
    </cfRule>
  </conditionalFormatting>
  <conditionalFormatting sqref="F21:F28">
    <cfRule type="colorScale" priority="7706">
      <colorScale>
        <cfvo type="min"/>
        <cfvo type="percentile" val="50"/>
        <cfvo type="max"/>
        <color rgb="FFF8696B"/>
        <color rgb="FFFFEB84"/>
        <color rgb="FF63BE7B"/>
      </colorScale>
    </cfRule>
  </conditionalFormatting>
  <conditionalFormatting sqref="F21:F28">
    <cfRule type="colorScale" priority="7705">
      <colorScale>
        <cfvo type="min"/>
        <cfvo type="percentile" val="50"/>
        <cfvo type="max"/>
        <color rgb="FFF8696B"/>
        <color rgb="FFFFEB84"/>
        <color rgb="FF63BE7B"/>
      </colorScale>
    </cfRule>
  </conditionalFormatting>
  <conditionalFormatting sqref="F21:F28">
    <cfRule type="colorScale" priority="7704">
      <colorScale>
        <cfvo type="min"/>
        <cfvo type="percentile" val="50"/>
        <cfvo type="max"/>
        <color rgb="FFF8696B"/>
        <color rgb="FFFFEB84"/>
        <color rgb="FF63BE7B"/>
      </colorScale>
    </cfRule>
  </conditionalFormatting>
  <conditionalFormatting sqref="F21:F28">
    <cfRule type="colorScale" priority="7703">
      <colorScale>
        <cfvo type="min"/>
        <cfvo type="percentile" val="50"/>
        <cfvo type="max"/>
        <color rgb="FFF8696B"/>
        <color rgb="FFFFEB84"/>
        <color rgb="FF63BE7B"/>
      </colorScale>
    </cfRule>
  </conditionalFormatting>
  <conditionalFormatting sqref="F21:F28">
    <cfRule type="colorScale" priority="7702">
      <colorScale>
        <cfvo type="min"/>
        <cfvo type="percentile" val="50"/>
        <cfvo type="max"/>
        <color rgb="FFF8696B"/>
        <color rgb="FFFFEB84"/>
        <color rgb="FF63BE7B"/>
      </colorScale>
    </cfRule>
  </conditionalFormatting>
  <conditionalFormatting sqref="F21:F28">
    <cfRule type="colorScale" priority="7701">
      <colorScale>
        <cfvo type="min"/>
        <cfvo type="percentile" val="50"/>
        <cfvo type="max"/>
        <color rgb="FFF8696B"/>
        <color rgb="FFFFEB84"/>
        <color rgb="FF63BE7B"/>
      </colorScale>
    </cfRule>
  </conditionalFormatting>
  <conditionalFormatting sqref="F21:F28">
    <cfRule type="colorScale" priority="7700">
      <colorScale>
        <cfvo type="min"/>
        <cfvo type="percentile" val="50"/>
        <cfvo type="max"/>
        <color rgb="FFF8696B"/>
        <color rgb="FFFFEB84"/>
        <color rgb="FF63BE7B"/>
      </colorScale>
    </cfRule>
  </conditionalFormatting>
  <conditionalFormatting sqref="F21:F28">
    <cfRule type="colorScale" priority="7699">
      <colorScale>
        <cfvo type="min"/>
        <cfvo type="percentile" val="50"/>
        <cfvo type="max"/>
        <color rgb="FFF8696B"/>
        <color rgb="FFFFEB84"/>
        <color rgb="FF63BE7B"/>
      </colorScale>
    </cfRule>
  </conditionalFormatting>
  <conditionalFormatting sqref="F21:F28">
    <cfRule type="colorScale" priority="7698">
      <colorScale>
        <cfvo type="min"/>
        <cfvo type="percentile" val="50"/>
        <cfvo type="max"/>
        <color rgb="FFF8696B"/>
        <color rgb="FFFFEB84"/>
        <color rgb="FF63BE7B"/>
      </colorScale>
    </cfRule>
  </conditionalFormatting>
  <conditionalFormatting sqref="F21:F28">
    <cfRule type="colorScale" priority="7697">
      <colorScale>
        <cfvo type="min"/>
        <cfvo type="percentile" val="50"/>
        <cfvo type="max"/>
        <color rgb="FFF8696B"/>
        <color rgb="FFFFEB84"/>
        <color rgb="FF63BE7B"/>
      </colorScale>
    </cfRule>
  </conditionalFormatting>
  <conditionalFormatting sqref="F21:F28">
    <cfRule type="colorScale" priority="7696">
      <colorScale>
        <cfvo type="min"/>
        <cfvo type="percentile" val="50"/>
        <cfvo type="max"/>
        <color rgb="FFF8696B"/>
        <color rgb="FFFFEB84"/>
        <color rgb="FF63BE7B"/>
      </colorScale>
    </cfRule>
  </conditionalFormatting>
  <conditionalFormatting sqref="F21:F28">
    <cfRule type="colorScale" priority="7695">
      <colorScale>
        <cfvo type="min"/>
        <cfvo type="percentile" val="50"/>
        <cfvo type="max"/>
        <color rgb="FFF8696B"/>
        <color rgb="FFFFEB84"/>
        <color rgb="FF63BE7B"/>
      </colorScale>
    </cfRule>
  </conditionalFormatting>
  <conditionalFormatting sqref="F21:F28">
    <cfRule type="colorScale" priority="7694">
      <colorScale>
        <cfvo type="min"/>
        <cfvo type="percentile" val="50"/>
        <cfvo type="max"/>
        <color rgb="FFF8696B"/>
        <color rgb="FFFFEB84"/>
        <color rgb="FF63BE7B"/>
      </colorScale>
    </cfRule>
  </conditionalFormatting>
  <conditionalFormatting sqref="F21:F28">
    <cfRule type="colorScale" priority="7693">
      <colorScale>
        <cfvo type="min"/>
        <cfvo type="percentile" val="50"/>
        <cfvo type="max"/>
        <color rgb="FFF8696B"/>
        <color rgb="FFFFEB84"/>
        <color rgb="FF63BE7B"/>
      </colorScale>
    </cfRule>
  </conditionalFormatting>
  <conditionalFormatting sqref="F21:F28">
    <cfRule type="colorScale" priority="7692">
      <colorScale>
        <cfvo type="min"/>
        <cfvo type="percentile" val="50"/>
        <cfvo type="max"/>
        <color rgb="FFF8696B"/>
        <color rgb="FFFFEB84"/>
        <color rgb="FF63BE7B"/>
      </colorScale>
    </cfRule>
  </conditionalFormatting>
  <conditionalFormatting sqref="F21:F28">
    <cfRule type="colorScale" priority="7691">
      <colorScale>
        <cfvo type="min"/>
        <cfvo type="percentile" val="50"/>
        <cfvo type="max"/>
        <color rgb="FFF8696B"/>
        <color rgb="FFFFEB84"/>
        <color rgb="FF63BE7B"/>
      </colorScale>
    </cfRule>
  </conditionalFormatting>
  <conditionalFormatting sqref="F21:F28">
    <cfRule type="colorScale" priority="7690">
      <colorScale>
        <cfvo type="min"/>
        <cfvo type="percentile" val="50"/>
        <cfvo type="max"/>
        <color rgb="FFF8696B"/>
        <color rgb="FFFFEB84"/>
        <color rgb="FF63BE7B"/>
      </colorScale>
    </cfRule>
  </conditionalFormatting>
  <conditionalFormatting sqref="F21:F28">
    <cfRule type="colorScale" priority="7689">
      <colorScale>
        <cfvo type="min"/>
        <cfvo type="percentile" val="50"/>
        <cfvo type="max"/>
        <color rgb="FFF8696B"/>
        <color rgb="FFFFEB84"/>
        <color rgb="FF63BE7B"/>
      </colorScale>
    </cfRule>
  </conditionalFormatting>
  <conditionalFormatting sqref="F21:F28">
    <cfRule type="colorScale" priority="7688">
      <colorScale>
        <cfvo type="min"/>
        <cfvo type="percentile" val="50"/>
        <cfvo type="max"/>
        <color rgb="FFF8696B"/>
        <color rgb="FFFFEB84"/>
        <color rgb="FF63BE7B"/>
      </colorScale>
    </cfRule>
  </conditionalFormatting>
  <conditionalFormatting sqref="F21:F28">
    <cfRule type="colorScale" priority="7687">
      <colorScale>
        <cfvo type="min"/>
        <cfvo type="percentile" val="50"/>
        <cfvo type="max"/>
        <color rgb="FFF8696B"/>
        <color rgb="FFFFEB84"/>
        <color rgb="FF63BE7B"/>
      </colorScale>
    </cfRule>
  </conditionalFormatting>
  <conditionalFormatting sqref="F21:F28">
    <cfRule type="colorScale" priority="7686">
      <colorScale>
        <cfvo type="min"/>
        <cfvo type="percentile" val="50"/>
        <cfvo type="max"/>
        <color rgb="FFF8696B"/>
        <color rgb="FFFFEB84"/>
        <color rgb="FF63BE7B"/>
      </colorScale>
    </cfRule>
  </conditionalFormatting>
  <conditionalFormatting sqref="F21:F28">
    <cfRule type="colorScale" priority="7685">
      <colorScale>
        <cfvo type="min"/>
        <cfvo type="percentile" val="50"/>
        <cfvo type="max"/>
        <color rgb="FFF8696B"/>
        <color rgb="FFFFEB84"/>
        <color rgb="FF63BE7B"/>
      </colorScale>
    </cfRule>
  </conditionalFormatting>
  <conditionalFormatting sqref="F21:F28">
    <cfRule type="colorScale" priority="7684">
      <colorScale>
        <cfvo type="min"/>
        <cfvo type="percentile" val="50"/>
        <cfvo type="max"/>
        <color rgb="FFF8696B"/>
        <color rgb="FFFFEB84"/>
        <color rgb="FF63BE7B"/>
      </colorScale>
    </cfRule>
  </conditionalFormatting>
  <conditionalFormatting sqref="F21:F28">
    <cfRule type="colorScale" priority="7683">
      <colorScale>
        <cfvo type="min"/>
        <cfvo type="percentile" val="50"/>
        <cfvo type="max"/>
        <color rgb="FFF8696B"/>
        <color rgb="FFFFEB84"/>
        <color rgb="FF63BE7B"/>
      </colorScale>
    </cfRule>
  </conditionalFormatting>
  <conditionalFormatting sqref="F21:F28">
    <cfRule type="colorScale" priority="7682">
      <colorScale>
        <cfvo type="min"/>
        <cfvo type="percentile" val="50"/>
        <cfvo type="max"/>
        <color rgb="FFF8696B"/>
        <color rgb="FFFFEB84"/>
        <color rgb="FF63BE7B"/>
      </colorScale>
    </cfRule>
  </conditionalFormatting>
  <conditionalFormatting sqref="F21:F28">
    <cfRule type="colorScale" priority="7681">
      <colorScale>
        <cfvo type="min"/>
        <cfvo type="percentile" val="50"/>
        <cfvo type="max"/>
        <color rgb="FFF8696B"/>
        <color rgb="FFFFEB84"/>
        <color rgb="FF63BE7B"/>
      </colorScale>
    </cfRule>
  </conditionalFormatting>
  <conditionalFormatting sqref="F21:F28">
    <cfRule type="colorScale" priority="7680">
      <colorScale>
        <cfvo type="min"/>
        <cfvo type="percentile" val="50"/>
        <cfvo type="max"/>
        <color rgb="FFF8696B"/>
        <color rgb="FFFFEB84"/>
        <color rgb="FF63BE7B"/>
      </colorScale>
    </cfRule>
  </conditionalFormatting>
  <conditionalFormatting sqref="F21:F28">
    <cfRule type="colorScale" priority="7679">
      <colorScale>
        <cfvo type="min"/>
        <cfvo type="percentile" val="50"/>
        <cfvo type="max"/>
        <color rgb="FFF8696B"/>
        <color rgb="FFFFEB84"/>
        <color rgb="FF63BE7B"/>
      </colorScale>
    </cfRule>
  </conditionalFormatting>
  <conditionalFormatting sqref="F21:F28">
    <cfRule type="colorScale" priority="7678">
      <colorScale>
        <cfvo type="min"/>
        <cfvo type="percentile" val="50"/>
        <cfvo type="max"/>
        <color rgb="FFF8696B"/>
        <color rgb="FFFFEB84"/>
        <color rgb="FF63BE7B"/>
      </colorScale>
    </cfRule>
  </conditionalFormatting>
  <conditionalFormatting sqref="F21:F28">
    <cfRule type="colorScale" priority="7677">
      <colorScale>
        <cfvo type="min"/>
        <cfvo type="percentile" val="50"/>
        <cfvo type="max"/>
        <color rgb="FFF8696B"/>
        <color rgb="FFFFEB84"/>
        <color rgb="FF63BE7B"/>
      </colorScale>
    </cfRule>
  </conditionalFormatting>
  <conditionalFormatting sqref="F21:F28">
    <cfRule type="colorScale" priority="7676">
      <colorScale>
        <cfvo type="min"/>
        <cfvo type="percentile" val="50"/>
        <cfvo type="max"/>
        <color rgb="FFF8696B"/>
        <color rgb="FFFFEB84"/>
        <color rgb="FF63BE7B"/>
      </colorScale>
    </cfRule>
  </conditionalFormatting>
  <conditionalFormatting sqref="F21:F28">
    <cfRule type="colorScale" priority="7675">
      <colorScale>
        <cfvo type="min"/>
        <cfvo type="percentile" val="50"/>
        <cfvo type="max"/>
        <color rgb="FFF8696B"/>
        <color rgb="FFFFEB84"/>
        <color rgb="FF63BE7B"/>
      </colorScale>
    </cfRule>
  </conditionalFormatting>
  <conditionalFormatting sqref="F21:F28">
    <cfRule type="colorScale" priority="7674">
      <colorScale>
        <cfvo type="min"/>
        <cfvo type="percentile" val="50"/>
        <cfvo type="max"/>
        <color rgb="FFF8696B"/>
        <color rgb="FFFFEB84"/>
        <color rgb="FF63BE7B"/>
      </colorScale>
    </cfRule>
  </conditionalFormatting>
  <conditionalFormatting sqref="F21:F28">
    <cfRule type="colorScale" priority="7673">
      <colorScale>
        <cfvo type="min"/>
        <cfvo type="percentile" val="50"/>
        <cfvo type="max"/>
        <color rgb="FFF8696B"/>
        <color rgb="FFFFEB84"/>
        <color rgb="FF63BE7B"/>
      </colorScale>
    </cfRule>
  </conditionalFormatting>
  <conditionalFormatting sqref="F21:F28">
    <cfRule type="colorScale" priority="7672">
      <colorScale>
        <cfvo type="min"/>
        <cfvo type="percentile" val="50"/>
        <cfvo type="max"/>
        <color rgb="FFF8696B"/>
        <color rgb="FFFFEB84"/>
        <color rgb="FF63BE7B"/>
      </colorScale>
    </cfRule>
  </conditionalFormatting>
  <conditionalFormatting sqref="F21:F28">
    <cfRule type="colorScale" priority="7671">
      <colorScale>
        <cfvo type="min"/>
        <cfvo type="percentile" val="50"/>
        <cfvo type="max"/>
        <color rgb="FFF8696B"/>
        <color rgb="FFFFEB84"/>
        <color rgb="FF63BE7B"/>
      </colorScale>
    </cfRule>
  </conditionalFormatting>
  <conditionalFormatting sqref="F21:F28">
    <cfRule type="colorScale" priority="7670">
      <colorScale>
        <cfvo type="min"/>
        <cfvo type="percentile" val="50"/>
        <cfvo type="max"/>
        <color rgb="FFF8696B"/>
        <color rgb="FFFFEB84"/>
        <color rgb="FF63BE7B"/>
      </colorScale>
    </cfRule>
  </conditionalFormatting>
  <conditionalFormatting sqref="F21:F28">
    <cfRule type="colorScale" priority="7669">
      <colorScale>
        <cfvo type="min"/>
        <cfvo type="percentile" val="50"/>
        <cfvo type="max"/>
        <color rgb="FFF8696B"/>
        <color rgb="FFFFEB84"/>
        <color rgb="FF63BE7B"/>
      </colorScale>
    </cfRule>
  </conditionalFormatting>
  <conditionalFormatting sqref="F21:F28">
    <cfRule type="colorScale" priority="7668">
      <colorScale>
        <cfvo type="min"/>
        <cfvo type="percentile" val="50"/>
        <cfvo type="max"/>
        <color rgb="FFF8696B"/>
        <color rgb="FFFFEB84"/>
        <color rgb="FF63BE7B"/>
      </colorScale>
    </cfRule>
  </conditionalFormatting>
  <conditionalFormatting sqref="F21:F28">
    <cfRule type="colorScale" priority="7667">
      <colorScale>
        <cfvo type="min"/>
        <cfvo type="percentile" val="50"/>
        <cfvo type="max"/>
        <color rgb="FFF8696B"/>
        <color rgb="FFFFEB84"/>
        <color rgb="FF63BE7B"/>
      </colorScale>
    </cfRule>
  </conditionalFormatting>
  <conditionalFormatting sqref="F21:F28">
    <cfRule type="colorScale" priority="7666">
      <colorScale>
        <cfvo type="min"/>
        <cfvo type="percentile" val="50"/>
        <cfvo type="max"/>
        <color rgb="FFF8696B"/>
        <color rgb="FFFFEB84"/>
        <color rgb="FF63BE7B"/>
      </colorScale>
    </cfRule>
  </conditionalFormatting>
  <conditionalFormatting sqref="F21:F28">
    <cfRule type="colorScale" priority="7665">
      <colorScale>
        <cfvo type="min"/>
        <cfvo type="percentile" val="50"/>
        <cfvo type="max"/>
        <color rgb="FFF8696B"/>
        <color rgb="FFFFEB84"/>
        <color rgb="FF63BE7B"/>
      </colorScale>
    </cfRule>
  </conditionalFormatting>
  <conditionalFormatting sqref="F21:F28">
    <cfRule type="colorScale" priority="7664">
      <colorScale>
        <cfvo type="min"/>
        <cfvo type="percentile" val="50"/>
        <cfvo type="max"/>
        <color rgb="FFF8696B"/>
        <color rgb="FFFFEB84"/>
        <color rgb="FF63BE7B"/>
      </colorScale>
    </cfRule>
  </conditionalFormatting>
  <conditionalFormatting sqref="F21:F28">
    <cfRule type="colorScale" priority="7663">
      <colorScale>
        <cfvo type="min"/>
        <cfvo type="percentile" val="50"/>
        <cfvo type="max"/>
        <color rgb="FFF8696B"/>
        <color rgb="FFFFEB84"/>
        <color rgb="FF63BE7B"/>
      </colorScale>
    </cfRule>
  </conditionalFormatting>
  <conditionalFormatting sqref="F21:F28">
    <cfRule type="colorScale" priority="7662">
      <colorScale>
        <cfvo type="min"/>
        <cfvo type="percentile" val="50"/>
        <cfvo type="max"/>
        <color rgb="FFF8696B"/>
        <color rgb="FFFFEB84"/>
        <color rgb="FF63BE7B"/>
      </colorScale>
    </cfRule>
  </conditionalFormatting>
  <conditionalFormatting sqref="F21:F28">
    <cfRule type="colorScale" priority="7661">
      <colorScale>
        <cfvo type="min"/>
        <cfvo type="percentile" val="50"/>
        <cfvo type="max"/>
        <color rgb="FFF8696B"/>
        <color rgb="FFFFEB84"/>
        <color rgb="FF63BE7B"/>
      </colorScale>
    </cfRule>
  </conditionalFormatting>
  <conditionalFormatting sqref="F21:F28">
    <cfRule type="colorScale" priority="7660">
      <colorScale>
        <cfvo type="min"/>
        <cfvo type="percentile" val="50"/>
        <cfvo type="max"/>
        <color rgb="FFF8696B"/>
        <color rgb="FFFFEB84"/>
        <color rgb="FF63BE7B"/>
      </colorScale>
    </cfRule>
  </conditionalFormatting>
  <conditionalFormatting sqref="F21:F28">
    <cfRule type="colorScale" priority="7659">
      <colorScale>
        <cfvo type="min"/>
        <cfvo type="percentile" val="50"/>
        <cfvo type="max"/>
        <color rgb="FFF8696B"/>
        <color rgb="FFFFEB84"/>
        <color rgb="FF63BE7B"/>
      </colorScale>
    </cfRule>
  </conditionalFormatting>
  <conditionalFormatting sqref="F21:F28">
    <cfRule type="colorScale" priority="7658">
      <colorScale>
        <cfvo type="min"/>
        <cfvo type="percentile" val="50"/>
        <cfvo type="max"/>
        <color rgb="FFF8696B"/>
        <color rgb="FFFFEB84"/>
        <color rgb="FF63BE7B"/>
      </colorScale>
    </cfRule>
  </conditionalFormatting>
  <conditionalFormatting sqref="F21:F28">
    <cfRule type="colorScale" priority="7657">
      <colorScale>
        <cfvo type="min"/>
        <cfvo type="percentile" val="50"/>
        <cfvo type="max"/>
        <color rgb="FFF8696B"/>
        <color rgb="FFFFEB84"/>
        <color rgb="FF63BE7B"/>
      </colorScale>
    </cfRule>
  </conditionalFormatting>
  <conditionalFormatting sqref="F21:F28">
    <cfRule type="colorScale" priority="7656">
      <colorScale>
        <cfvo type="min"/>
        <cfvo type="percentile" val="50"/>
        <cfvo type="max"/>
        <color rgb="FFF8696B"/>
        <color rgb="FFFFEB84"/>
        <color rgb="FF63BE7B"/>
      </colorScale>
    </cfRule>
  </conditionalFormatting>
  <conditionalFormatting sqref="F21:F28">
    <cfRule type="colorScale" priority="7655">
      <colorScale>
        <cfvo type="min"/>
        <cfvo type="percentile" val="50"/>
        <cfvo type="max"/>
        <color rgb="FFF8696B"/>
        <color rgb="FFFFEB84"/>
        <color rgb="FF63BE7B"/>
      </colorScale>
    </cfRule>
  </conditionalFormatting>
  <conditionalFormatting sqref="F21:F28">
    <cfRule type="colorScale" priority="7654">
      <colorScale>
        <cfvo type="min"/>
        <cfvo type="percentile" val="50"/>
        <cfvo type="max"/>
        <color rgb="FFF8696B"/>
        <color rgb="FFFFEB84"/>
        <color rgb="FF63BE7B"/>
      </colorScale>
    </cfRule>
  </conditionalFormatting>
  <conditionalFormatting sqref="F21:F28">
    <cfRule type="colorScale" priority="7653">
      <colorScale>
        <cfvo type="min"/>
        <cfvo type="percentile" val="50"/>
        <cfvo type="max"/>
        <color rgb="FFF8696B"/>
        <color rgb="FFFFEB84"/>
        <color rgb="FF63BE7B"/>
      </colorScale>
    </cfRule>
  </conditionalFormatting>
  <conditionalFormatting sqref="F21:F28">
    <cfRule type="colorScale" priority="7652">
      <colorScale>
        <cfvo type="min"/>
        <cfvo type="percentile" val="50"/>
        <cfvo type="max"/>
        <color rgb="FFF8696B"/>
        <color rgb="FFFFEB84"/>
        <color rgb="FF63BE7B"/>
      </colorScale>
    </cfRule>
  </conditionalFormatting>
  <conditionalFormatting sqref="F21:F28">
    <cfRule type="colorScale" priority="7651">
      <colorScale>
        <cfvo type="min"/>
        <cfvo type="percentile" val="50"/>
        <cfvo type="max"/>
        <color rgb="FFF8696B"/>
        <color rgb="FFFFEB84"/>
        <color rgb="FF63BE7B"/>
      </colorScale>
    </cfRule>
  </conditionalFormatting>
  <conditionalFormatting sqref="F21:F28">
    <cfRule type="colorScale" priority="7650">
      <colorScale>
        <cfvo type="min"/>
        <cfvo type="percentile" val="50"/>
        <cfvo type="max"/>
        <color rgb="FFF8696B"/>
        <color rgb="FFFFEB84"/>
        <color rgb="FF63BE7B"/>
      </colorScale>
    </cfRule>
  </conditionalFormatting>
  <conditionalFormatting sqref="F21:F28">
    <cfRule type="colorScale" priority="7649">
      <colorScale>
        <cfvo type="min"/>
        <cfvo type="percentile" val="50"/>
        <cfvo type="max"/>
        <color rgb="FFF8696B"/>
        <color rgb="FFFFEB84"/>
        <color rgb="FF63BE7B"/>
      </colorScale>
    </cfRule>
  </conditionalFormatting>
  <conditionalFormatting sqref="F21:F28">
    <cfRule type="colorScale" priority="7648">
      <colorScale>
        <cfvo type="min"/>
        <cfvo type="percentile" val="50"/>
        <cfvo type="max"/>
        <color rgb="FFF8696B"/>
        <color rgb="FFFFEB84"/>
        <color rgb="FF63BE7B"/>
      </colorScale>
    </cfRule>
  </conditionalFormatting>
  <conditionalFormatting sqref="F21:F28">
    <cfRule type="colorScale" priority="7647">
      <colorScale>
        <cfvo type="min"/>
        <cfvo type="percentile" val="50"/>
        <cfvo type="max"/>
        <color rgb="FFF8696B"/>
        <color rgb="FFFFEB84"/>
        <color rgb="FF63BE7B"/>
      </colorScale>
    </cfRule>
  </conditionalFormatting>
  <conditionalFormatting sqref="F21:F28">
    <cfRule type="colorScale" priority="7646">
      <colorScale>
        <cfvo type="min"/>
        <cfvo type="percentile" val="50"/>
        <cfvo type="max"/>
        <color rgb="FFF8696B"/>
        <color rgb="FFFFEB84"/>
        <color rgb="FF63BE7B"/>
      </colorScale>
    </cfRule>
  </conditionalFormatting>
  <conditionalFormatting sqref="F21:F28">
    <cfRule type="colorScale" priority="7645">
      <colorScale>
        <cfvo type="min"/>
        <cfvo type="percentile" val="50"/>
        <cfvo type="max"/>
        <color rgb="FFF8696B"/>
        <color rgb="FFFFEB84"/>
        <color rgb="FF63BE7B"/>
      </colorScale>
    </cfRule>
  </conditionalFormatting>
  <conditionalFormatting sqref="F21:F28">
    <cfRule type="colorScale" priority="7644">
      <colorScale>
        <cfvo type="min"/>
        <cfvo type="percentile" val="50"/>
        <cfvo type="max"/>
        <color rgb="FFF8696B"/>
        <color rgb="FFFFEB84"/>
        <color rgb="FF63BE7B"/>
      </colorScale>
    </cfRule>
  </conditionalFormatting>
  <conditionalFormatting sqref="F21:F28">
    <cfRule type="colorScale" priority="7643">
      <colorScale>
        <cfvo type="min"/>
        <cfvo type="percentile" val="50"/>
        <cfvo type="max"/>
        <color rgb="FFF8696B"/>
        <color rgb="FFFFEB84"/>
        <color rgb="FF63BE7B"/>
      </colorScale>
    </cfRule>
  </conditionalFormatting>
  <conditionalFormatting sqref="F21:F28">
    <cfRule type="colorScale" priority="7642">
      <colorScale>
        <cfvo type="min"/>
        <cfvo type="percentile" val="50"/>
        <cfvo type="max"/>
        <color rgb="FFF8696B"/>
        <color rgb="FFFFEB84"/>
        <color rgb="FF63BE7B"/>
      </colorScale>
    </cfRule>
  </conditionalFormatting>
  <conditionalFormatting sqref="F21:F28">
    <cfRule type="colorScale" priority="7641">
      <colorScale>
        <cfvo type="min"/>
        <cfvo type="percentile" val="50"/>
        <cfvo type="max"/>
        <color rgb="FFF8696B"/>
        <color rgb="FFFFEB84"/>
        <color rgb="FF63BE7B"/>
      </colorScale>
    </cfRule>
  </conditionalFormatting>
  <conditionalFormatting sqref="F21:F28">
    <cfRule type="colorScale" priority="7640">
      <colorScale>
        <cfvo type="min"/>
        <cfvo type="percentile" val="50"/>
        <cfvo type="max"/>
        <color rgb="FFF8696B"/>
        <color rgb="FFFFEB84"/>
        <color rgb="FF63BE7B"/>
      </colorScale>
    </cfRule>
  </conditionalFormatting>
  <conditionalFormatting sqref="F21:F28">
    <cfRule type="colorScale" priority="7639">
      <colorScale>
        <cfvo type="min"/>
        <cfvo type="percentile" val="50"/>
        <cfvo type="max"/>
        <color rgb="FFF8696B"/>
        <color rgb="FFFFEB84"/>
        <color rgb="FF63BE7B"/>
      </colorScale>
    </cfRule>
  </conditionalFormatting>
  <conditionalFormatting sqref="F21:F28">
    <cfRule type="colorScale" priority="7638">
      <colorScale>
        <cfvo type="min"/>
        <cfvo type="percentile" val="50"/>
        <cfvo type="max"/>
        <color rgb="FFF8696B"/>
        <color rgb="FFFFEB84"/>
        <color rgb="FF63BE7B"/>
      </colorScale>
    </cfRule>
  </conditionalFormatting>
  <conditionalFormatting sqref="F21:F28">
    <cfRule type="colorScale" priority="7637">
      <colorScale>
        <cfvo type="min"/>
        <cfvo type="percentile" val="50"/>
        <cfvo type="max"/>
        <color rgb="FFF8696B"/>
        <color rgb="FFFFEB84"/>
        <color rgb="FF63BE7B"/>
      </colorScale>
    </cfRule>
  </conditionalFormatting>
  <conditionalFormatting sqref="F21:F28">
    <cfRule type="colorScale" priority="7636">
      <colorScale>
        <cfvo type="min"/>
        <cfvo type="percentile" val="50"/>
        <cfvo type="max"/>
        <color rgb="FFF8696B"/>
        <color rgb="FFFFEB84"/>
        <color rgb="FF63BE7B"/>
      </colorScale>
    </cfRule>
  </conditionalFormatting>
  <conditionalFormatting sqref="F21:F28">
    <cfRule type="colorScale" priority="7635">
      <colorScale>
        <cfvo type="min"/>
        <cfvo type="percentile" val="50"/>
        <cfvo type="max"/>
        <color rgb="FFF8696B"/>
        <color rgb="FFFFEB84"/>
        <color rgb="FF63BE7B"/>
      </colorScale>
    </cfRule>
  </conditionalFormatting>
  <conditionalFormatting sqref="F21:F28">
    <cfRule type="colorScale" priority="7634">
      <colorScale>
        <cfvo type="min"/>
        <cfvo type="percentile" val="50"/>
        <cfvo type="max"/>
        <color rgb="FFF8696B"/>
        <color rgb="FFFFEB84"/>
        <color rgb="FF63BE7B"/>
      </colorScale>
    </cfRule>
  </conditionalFormatting>
  <conditionalFormatting sqref="F21:F28">
    <cfRule type="colorScale" priority="7633">
      <colorScale>
        <cfvo type="min"/>
        <cfvo type="percentile" val="50"/>
        <cfvo type="max"/>
        <color rgb="FFF8696B"/>
        <color rgb="FFFFEB84"/>
        <color rgb="FF63BE7B"/>
      </colorScale>
    </cfRule>
  </conditionalFormatting>
  <conditionalFormatting sqref="F21:F28">
    <cfRule type="colorScale" priority="7632">
      <colorScale>
        <cfvo type="min"/>
        <cfvo type="percentile" val="50"/>
        <cfvo type="max"/>
        <color rgb="FFF8696B"/>
        <color rgb="FFFFEB84"/>
        <color rgb="FF63BE7B"/>
      </colorScale>
    </cfRule>
  </conditionalFormatting>
  <conditionalFormatting sqref="F21:F28">
    <cfRule type="colorScale" priority="7631">
      <colorScale>
        <cfvo type="min"/>
        <cfvo type="percentile" val="50"/>
        <cfvo type="max"/>
        <color rgb="FFF8696B"/>
        <color rgb="FFFFEB84"/>
        <color rgb="FF63BE7B"/>
      </colorScale>
    </cfRule>
  </conditionalFormatting>
  <conditionalFormatting sqref="F21:F28">
    <cfRule type="colorScale" priority="7630">
      <colorScale>
        <cfvo type="min"/>
        <cfvo type="percentile" val="50"/>
        <cfvo type="max"/>
        <color rgb="FFF8696B"/>
        <color rgb="FFFFEB84"/>
        <color rgb="FF63BE7B"/>
      </colorScale>
    </cfRule>
  </conditionalFormatting>
  <conditionalFormatting sqref="F21:F28">
    <cfRule type="colorScale" priority="7629">
      <colorScale>
        <cfvo type="min"/>
        <cfvo type="percentile" val="50"/>
        <cfvo type="max"/>
        <color rgb="FFF8696B"/>
        <color rgb="FFFFEB84"/>
        <color rgb="FF63BE7B"/>
      </colorScale>
    </cfRule>
  </conditionalFormatting>
  <conditionalFormatting sqref="F21:F28">
    <cfRule type="colorScale" priority="7628">
      <colorScale>
        <cfvo type="min"/>
        <cfvo type="percentile" val="50"/>
        <cfvo type="max"/>
        <color rgb="FFF8696B"/>
        <color rgb="FFFFEB84"/>
        <color rgb="FF63BE7B"/>
      </colorScale>
    </cfRule>
  </conditionalFormatting>
  <conditionalFormatting sqref="F21:F28">
    <cfRule type="colorScale" priority="7627">
      <colorScale>
        <cfvo type="min"/>
        <cfvo type="percentile" val="50"/>
        <cfvo type="max"/>
        <color rgb="FFF8696B"/>
        <color rgb="FFFFEB84"/>
        <color rgb="FF63BE7B"/>
      </colorScale>
    </cfRule>
  </conditionalFormatting>
  <conditionalFormatting sqref="F21:F28">
    <cfRule type="colorScale" priority="7626">
      <colorScale>
        <cfvo type="min"/>
        <cfvo type="percentile" val="50"/>
        <cfvo type="max"/>
        <color rgb="FFF8696B"/>
        <color rgb="FFFFEB84"/>
        <color rgb="FF63BE7B"/>
      </colorScale>
    </cfRule>
  </conditionalFormatting>
  <conditionalFormatting sqref="F21:F28">
    <cfRule type="colorScale" priority="7625">
      <colorScale>
        <cfvo type="min"/>
        <cfvo type="percentile" val="50"/>
        <cfvo type="max"/>
        <color rgb="FFF8696B"/>
        <color rgb="FFFFEB84"/>
        <color rgb="FF63BE7B"/>
      </colorScale>
    </cfRule>
  </conditionalFormatting>
  <conditionalFormatting sqref="F21:F28">
    <cfRule type="colorScale" priority="7624">
      <colorScale>
        <cfvo type="min"/>
        <cfvo type="percentile" val="50"/>
        <cfvo type="max"/>
        <color rgb="FFF8696B"/>
        <color rgb="FFFFEB84"/>
        <color rgb="FF63BE7B"/>
      </colorScale>
    </cfRule>
  </conditionalFormatting>
  <conditionalFormatting sqref="F21:F28">
    <cfRule type="colorScale" priority="7623">
      <colorScale>
        <cfvo type="min"/>
        <cfvo type="percentile" val="50"/>
        <cfvo type="max"/>
        <color rgb="FFF8696B"/>
        <color rgb="FFFFEB84"/>
        <color rgb="FF63BE7B"/>
      </colorScale>
    </cfRule>
  </conditionalFormatting>
  <conditionalFormatting sqref="F21:F28">
    <cfRule type="colorScale" priority="7622">
      <colorScale>
        <cfvo type="min"/>
        <cfvo type="percentile" val="50"/>
        <cfvo type="max"/>
        <color rgb="FFF8696B"/>
        <color rgb="FFFFEB84"/>
        <color rgb="FF63BE7B"/>
      </colorScale>
    </cfRule>
  </conditionalFormatting>
  <conditionalFormatting sqref="F21:F28">
    <cfRule type="colorScale" priority="7621">
      <colorScale>
        <cfvo type="min"/>
        <cfvo type="percentile" val="50"/>
        <cfvo type="max"/>
        <color rgb="FFF8696B"/>
        <color rgb="FFFFEB84"/>
        <color rgb="FF63BE7B"/>
      </colorScale>
    </cfRule>
  </conditionalFormatting>
  <conditionalFormatting sqref="F21:F28">
    <cfRule type="colorScale" priority="7620">
      <colorScale>
        <cfvo type="min"/>
        <cfvo type="percentile" val="50"/>
        <cfvo type="max"/>
        <color rgb="FFF8696B"/>
        <color rgb="FFFFEB84"/>
        <color rgb="FF63BE7B"/>
      </colorScale>
    </cfRule>
  </conditionalFormatting>
  <conditionalFormatting sqref="F21:F28">
    <cfRule type="colorScale" priority="7619">
      <colorScale>
        <cfvo type="min"/>
        <cfvo type="percentile" val="50"/>
        <cfvo type="max"/>
        <color rgb="FFF8696B"/>
        <color rgb="FFFFEB84"/>
        <color rgb="FF63BE7B"/>
      </colorScale>
    </cfRule>
  </conditionalFormatting>
  <conditionalFormatting sqref="F21:F28">
    <cfRule type="colorScale" priority="7618">
      <colorScale>
        <cfvo type="min"/>
        <cfvo type="percentile" val="50"/>
        <cfvo type="max"/>
        <color rgb="FFF8696B"/>
        <color rgb="FFFFEB84"/>
        <color rgb="FF63BE7B"/>
      </colorScale>
    </cfRule>
  </conditionalFormatting>
  <conditionalFormatting sqref="F21:F28">
    <cfRule type="colorScale" priority="7617">
      <colorScale>
        <cfvo type="min"/>
        <cfvo type="percentile" val="50"/>
        <cfvo type="max"/>
        <color rgb="FFF8696B"/>
        <color rgb="FFFFEB84"/>
        <color rgb="FF63BE7B"/>
      </colorScale>
    </cfRule>
  </conditionalFormatting>
  <conditionalFormatting sqref="F21:F28">
    <cfRule type="colorScale" priority="7616">
      <colorScale>
        <cfvo type="min"/>
        <cfvo type="percentile" val="50"/>
        <cfvo type="max"/>
        <color rgb="FFF8696B"/>
        <color rgb="FFFFEB84"/>
        <color rgb="FF63BE7B"/>
      </colorScale>
    </cfRule>
  </conditionalFormatting>
  <conditionalFormatting sqref="F21:F28">
    <cfRule type="colorScale" priority="7615">
      <colorScale>
        <cfvo type="min"/>
        <cfvo type="percentile" val="50"/>
        <cfvo type="max"/>
        <color rgb="FFF8696B"/>
        <color rgb="FFFFEB84"/>
        <color rgb="FF63BE7B"/>
      </colorScale>
    </cfRule>
  </conditionalFormatting>
  <conditionalFormatting sqref="F21:F28">
    <cfRule type="colorScale" priority="7614">
      <colorScale>
        <cfvo type="min"/>
        <cfvo type="percentile" val="50"/>
        <cfvo type="max"/>
        <color rgb="FFF8696B"/>
        <color rgb="FFFFEB84"/>
        <color rgb="FF63BE7B"/>
      </colorScale>
    </cfRule>
  </conditionalFormatting>
  <conditionalFormatting sqref="F21:F28">
    <cfRule type="colorScale" priority="7613">
      <colorScale>
        <cfvo type="min"/>
        <cfvo type="percentile" val="50"/>
        <cfvo type="max"/>
        <color rgb="FFF8696B"/>
        <color rgb="FFFFEB84"/>
        <color rgb="FF63BE7B"/>
      </colorScale>
    </cfRule>
  </conditionalFormatting>
  <conditionalFormatting sqref="F21:F28">
    <cfRule type="colorScale" priority="7612">
      <colorScale>
        <cfvo type="min"/>
        <cfvo type="percentile" val="50"/>
        <cfvo type="max"/>
        <color rgb="FFF8696B"/>
        <color rgb="FFFFEB84"/>
        <color rgb="FF63BE7B"/>
      </colorScale>
    </cfRule>
  </conditionalFormatting>
  <conditionalFormatting sqref="F21:F28">
    <cfRule type="colorScale" priority="7611">
      <colorScale>
        <cfvo type="min"/>
        <cfvo type="percentile" val="50"/>
        <cfvo type="max"/>
        <color rgb="FFF8696B"/>
        <color rgb="FFFFEB84"/>
        <color rgb="FF63BE7B"/>
      </colorScale>
    </cfRule>
  </conditionalFormatting>
  <conditionalFormatting sqref="F21:F28">
    <cfRule type="colorScale" priority="7610">
      <colorScale>
        <cfvo type="min"/>
        <cfvo type="percentile" val="50"/>
        <cfvo type="max"/>
        <color rgb="FFF8696B"/>
        <color rgb="FFFFEB84"/>
        <color rgb="FF63BE7B"/>
      </colorScale>
    </cfRule>
  </conditionalFormatting>
  <conditionalFormatting sqref="F21:F28">
    <cfRule type="colorScale" priority="7609">
      <colorScale>
        <cfvo type="min"/>
        <cfvo type="percentile" val="50"/>
        <cfvo type="max"/>
        <color rgb="FFF8696B"/>
        <color rgb="FFFFEB84"/>
        <color rgb="FF63BE7B"/>
      </colorScale>
    </cfRule>
  </conditionalFormatting>
  <conditionalFormatting sqref="F21:F28">
    <cfRule type="colorScale" priority="7608">
      <colorScale>
        <cfvo type="min"/>
        <cfvo type="percentile" val="50"/>
        <cfvo type="max"/>
        <color rgb="FFF8696B"/>
        <color rgb="FFFFEB84"/>
        <color rgb="FF63BE7B"/>
      </colorScale>
    </cfRule>
  </conditionalFormatting>
  <conditionalFormatting sqref="F21:F28">
    <cfRule type="colorScale" priority="7607">
      <colorScale>
        <cfvo type="min"/>
        <cfvo type="percentile" val="50"/>
        <cfvo type="max"/>
        <color rgb="FFF8696B"/>
        <color rgb="FFFFEB84"/>
        <color rgb="FF63BE7B"/>
      </colorScale>
    </cfRule>
  </conditionalFormatting>
  <conditionalFormatting sqref="F21:F28">
    <cfRule type="colorScale" priority="7606">
      <colorScale>
        <cfvo type="min"/>
        <cfvo type="percentile" val="50"/>
        <cfvo type="max"/>
        <color rgb="FFF8696B"/>
        <color rgb="FFFFEB84"/>
        <color rgb="FF63BE7B"/>
      </colorScale>
    </cfRule>
  </conditionalFormatting>
  <conditionalFormatting sqref="F21:F28">
    <cfRule type="colorScale" priority="7605">
      <colorScale>
        <cfvo type="min"/>
        <cfvo type="percentile" val="50"/>
        <cfvo type="max"/>
        <color rgb="FFF8696B"/>
        <color rgb="FFFFEB84"/>
        <color rgb="FF63BE7B"/>
      </colorScale>
    </cfRule>
  </conditionalFormatting>
  <conditionalFormatting sqref="F21:F28">
    <cfRule type="colorScale" priority="7604">
      <colorScale>
        <cfvo type="min"/>
        <cfvo type="percentile" val="50"/>
        <cfvo type="max"/>
        <color rgb="FFF8696B"/>
        <color rgb="FFFFEB84"/>
        <color rgb="FF63BE7B"/>
      </colorScale>
    </cfRule>
  </conditionalFormatting>
  <conditionalFormatting sqref="F21:F28">
    <cfRule type="colorScale" priority="7603">
      <colorScale>
        <cfvo type="min"/>
        <cfvo type="percentile" val="50"/>
        <cfvo type="max"/>
        <color rgb="FFF8696B"/>
        <color rgb="FFFFEB84"/>
        <color rgb="FF63BE7B"/>
      </colorScale>
    </cfRule>
  </conditionalFormatting>
  <conditionalFormatting sqref="F21:F28">
    <cfRule type="colorScale" priority="7602">
      <colorScale>
        <cfvo type="min"/>
        <cfvo type="percentile" val="50"/>
        <cfvo type="max"/>
        <color rgb="FFF8696B"/>
        <color rgb="FFFFEB84"/>
        <color rgb="FF63BE7B"/>
      </colorScale>
    </cfRule>
  </conditionalFormatting>
  <conditionalFormatting sqref="F21:F28">
    <cfRule type="colorScale" priority="7601">
      <colorScale>
        <cfvo type="min"/>
        <cfvo type="percentile" val="50"/>
        <cfvo type="max"/>
        <color rgb="FFF8696B"/>
        <color rgb="FFFFEB84"/>
        <color rgb="FF63BE7B"/>
      </colorScale>
    </cfRule>
  </conditionalFormatting>
  <conditionalFormatting sqref="F21:F28">
    <cfRule type="colorScale" priority="7600">
      <colorScale>
        <cfvo type="min"/>
        <cfvo type="percentile" val="50"/>
        <cfvo type="max"/>
        <color rgb="FFF8696B"/>
        <color rgb="FFFFEB84"/>
        <color rgb="FF63BE7B"/>
      </colorScale>
    </cfRule>
  </conditionalFormatting>
  <conditionalFormatting sqref="F21:F28">
    <cfRule type="colorScale" priority="7599">
      <colorScale>
        <cfvo type="min"/>
        <cfvo type="percentile" val="50"/>
        <cfvo type="max"/>
        <color rgb="FFF8696B"/>
        <color rgb="FFFFEB84"/>
        <color rgb="FF63BE7B"/>
      </colorScale>
    </cfRule>
  </conditionalFormatting>
  <conditionalFormatting sqref="F21:F28">
    <cfRule type="colorScale" priority="7598">
      <colorScale>
        <cfvo type="min"/>
        <cfvo type="percentile" val="50"/>
        <cfvo type="max"/>
        <color rgb="FFF8696B"/>
        <color rgb="FFFFEB84"/>
        <color rgb="FF63BE7B"/>
      </colorScale>
    </cfRule>
  </conditionalFormatting>
  <conditionalFormatting sqref="F21:F28">
    <cfRule type="colorScale" priority="7597">
      <colorScale>
        <cfvo type="min"/>
        <cfvo type="percentile" val="50"/>
        <cfvo type="max"/>
        <color rgb="FFF8696B"/>
        <color rgb="FFFFEB84"/>
        <color rgb="FF63BE7B"/>
      </colorScale>
    </cfRule>
  </conditionalFormatting>
  <conditionalFormatting sqref="F21:F28">
    <cfRule type="colorScale" priority="7596">
      <colorScale>
        <cfvo type="min"/>
        <cfvo type="percentile" val="50"/>
        <cfvo type="max"/>
        <color rgb="FFF8696B"/>
        <color rgb="FFFFEB84"/>
        <color rgb="FF63BE7B"/>
      </colorScale>
    </cfRule>
  </conditionalFormatting>
  <conditionalFormatting sqref="F21:F28">
    <cfRule type="colorScale" priority="7595">
      <colorScale>
        <cfvo type="min"/>
        <cfvo type="percentile" val="50"/>
        <cfvo type="max"/>
        <color rgb="FFF8696B"/>
        <color rgb="FFFFEB84"/>
        <color rgb="FF63BE7B"/>
      </colorScale>
    </cfRule>
  </conditionalFormatting>
  <conditionalFormatting sqref="F21:F28">
    <cfRule type="colorScale" priority="7594">
      <colorScale>
        <cfvo type="min"/>
        <cfvo type="percentile" val="50"/>
        <cfvo type="max"/>
        <color rgb="FFF8696B"/>
        <color rgb="FFFFEB84"/>
        <color rgb="FF63BE7B"/>
      </colorScale>
    </cfRule>
  </conditionalFormatting>
  <conditionalFormatting sqref="F21:F28">
    <cfRule type="colorScale" priority="7593">
      <colorScale>
        <cfvo type="min"/>
        <cfvo type="percentile" val="50"/>
        <cfvo type="max"/>
        <color rgb="FFF8696B"/>
        <color rgb="FFFFEB84"/>
        <color rgb="FF63BE7B"/>
      </colorScale>
    </cfRule>
  </conditionalFormatting>
  <conditionalFormatting sqref="F21:F28">
    <cfRule type="colorScale" priority="7592">
      <colorScale>
        <cfvo type="min"/>
        <cfvo type="percentile" val="50"/>
        <cfvo type="max"/>
        <color rgb="FFF8696B"/>
        <color rgb="FFFFEB84"/>
        <color rgb="FF63BE7B"/>
      </colorScale>
    </cfRule>
  </conditionalFormatting>
  <conditionalFormatting sqref="F21:F28">
    <cfRule type="colorScale" priority="7591">
      <colorScale>
        <cfvo type="min"/>
        <cfvo type="percentile" val="50"/>
        <cfvo type="max"/>
        <color rgb="FFF8696B"/>
        <color rgb="FFFFEB84"/>
        <color rgb="FF63BE7B"/>
      </colorScale>
    </cfRule>
  </conditionalFormatting>
  <conditionalFormatting sqref="F21:F28">
    <cfRule type="colorScale" priority="7590">
      <colorScale>
        <cfvo type="min"/>
        <cfvo type="percentile" val="50"/>
        <cfvo type="max"/>
        <color rgb="FFF8696B"/>
        <color rgb="FFFFEB84"/>
        <color rgb="FF63BE7B"/>
      </colorScale>
    </cfRule>
  </conditionalFormatting>
  <conditionalFormatting sqref="F21:F28">
    <cfRule type="colorScale" priority="7589">
      <colorScale>
        <cfvo type="min"/>
        <cfvo type="percentile" val="50"/>
        <cfvo type="max"/>
        <color rgb="FFF8696B"/>
        <color rgb="FFFFEB84"/>
        <color rgb="FF63BE7B"/>
      </colorScale>
    </cfRule>
  </conditionalFormatting>
  <conditionalFormatting sqref="F21:F28">
    <cfRule type="colorScale" priority="7588">
      <colorScale>
        <cfvo type="min"/>
        <cfvo type="percentile" val="50"/>
        <cfvo type="max"/>
        <color rgb="FFF8696B"/>
        <color rgb="FFFFEB84"/>
        <color rgb="FF63BE7B"/>
      </colorScale>
    </cfRule>
  </conditionalFormatting>
  <conditionalFormatting sqref="F21:F28">
    <cfRule type="colorScale" priority="7587">
      <colorScale>
        <cfvo type="min"/>
        <cfvo type="percentile" val="50"/>
        <cfvo type="max"/>
        <color rgb="FFF8696B"/>
        <color rgb="FFFFEB84"/>
        <color rgb="FF63BE7B"/>
      </colorScale>
    </cfRule>
  </conditionalFormatting>
  <conditionalFormatting sqref="F21:F28">
    <cfRule type="colorScale" priority="7586">
      <colorScale>
        <cfvo type="min"/>
        <cfvo type="percentile" val="50"/>
        <cfvo type="max"/>
        <color rgb="FFF8696B"/>
        <color rgb="FFFFEB84"/>
        <color rgb="FF63BE7B"/>
      </colorScale>
    </cfRule>
  </conditionalFormatting>
  <conditionalFormatting sqref="F21:F28">
    <cfRule type="colorScale" priority="7585">
      <colorScale>
        <cfvo type="min"/>
        <cfvo type="percentile" val="50"/>
        <cfvo type="max"/>
        <color rgb="FFF8696B"/>
        <color rgb="FFFFEB84"/>
        <color rgb="FF63BE7B"/>
      </colorScale>
    </cfRule>
  </conditionalFormatting>
  <conditionalFormatting sqref="F21:F28">
    <cfRule type="colorScale" priority="7584">
      <colorScale>
        <cfvo type="min"/>
        <cfvo type="percentile" val="50"/>
        <cfvo type="max"/>
        <color rgb="FFF8696B"/>
        <color rgb="FFFFEB84"/>
        <color rgb="FF63BE7B"/>
      </colorScale>
    </cfRule>
  </conditionalFormatting>
  <conditionalFormatting sqref="F21:F28">
    <cfRule type="colorScale" priority="7583">
      <colorScale>
        <cfvo type="min"/>
        <cfvo type="percentile" val="50"/>
        <cfvo type="max"/>
        <color rgb="FFF8696B"/>
        <color rgb="FFFFEB84"/>
        <color rgb="FF63BE7B"/>
      </colorScale>
    </cfRule>
  </conditionalFormatting>
  <conditionalFormatting sqref="F21:F28">
    <cfRule type="colorScale" priority="7582">
      <colorScale>
        <cfvo type="min"/>
        <cfvo type="percentile" val="50"/>
        <cfvo type="max"/>
        <color rgb="FFF8696B"/>
        <color rgb="FFFFEB84"/>
        <color rgb="FF63BE7B"/>
      </colorScale>
    </cfRule>
  </conditionalFormatting>
  <conditionalFormatting sqref="F21:F28">
    <cfRule type="colorScale" priority="7581">
      <colorScale>
        <cfvo type="min"/>
        <cfvo type="percentile" val="50"/>
        <cfvo type="max"/>
        <color rgb="FFF8696B"/>
        <color rgb="FFFFEB84"/>
        <color rgb="FF63BE7B"/>
      </colorScale>
    </cfRule>
  </conditionalFormatting>
  <conditionalFormatting sqref="F21:F28">
    <cfRule type="colorScale" priority="7580">
      <colorScale>
        <cfvo type="min"/>
        <cfvo type="percentile" val="50"/>
        <cfvo type="max"/>
        <color rgb="FFF8696B"/>
        <color rgb="FFFFEB84"/>
        <color rgb="FF63BE7B"/>
      </colorScale>
    </cfRule>
  </conditionalFormatting>
  <conditionalFormatting sqref="F21:F28">
    <cfRule type="colorScale" priority="7579">
      <colorScale>
        <cfvo type="min"/>
        <cfvo type="percentile" val="50"/>
        <cfvo type="max"/>
        <color rgb="FFF8696B"/>
        <color rgb="FFFFEB84"/>
        <color rgb="FF63BE7B"/>
      </colorScale>
    </cfRule>
  </conditionalFormatting>
  <conditionalFormatting sqref="F21:F28">
    <cfRule type="colorScale" priority="7578">
      <colorScale>
        <cfvo type="min"/>
        <cfvo type="percentile" val="50"/>
        <cfvo type="max"/>
        <color rgb="FFF8696B"/>
        <color rgb="FFFFEB84"/>
        <color rgb="FF63BE7B"/>
      </colorScale>
    </cfRule>
  </conditionalFormatting>
  <conditionalFormatting sqref="F21:F28">
    <cfRule type="colorScale" priority="7577">
      <colorScale>
        <cfvo type="min"/>
        <cfvo type="percentile" val="50"/>
        <cfvo type="max"/>
        <color rgb="FFF8696B"/>
        <color rgb="FFFFEB84"/>
        <color rgb="FF63BE7B"/>
      </colorScale>
    </cfRule>
  </conditionalFormatting>
  <conditionalFormatting sqref="F21:F28">
    <cfRule type="colorScale" priority="7576">
      <colorScale>
        <cfvo type="min"/>
        <cfvo type="percentile" val="50"/>
        <cfvo type="max"/>
        <color rgb="FFF8696B"/>
        <color rgb="FFFFEB84"/>
        <color rgb="FF63BE7B"/>
      </colorScale>
    </cfRule>
  </conditionalFormatting>
  <conditionalFormatting sqref="F21:F28">
    <cfRule type="colorScale" priority="7575">
      <colorScale>
        <cfvo type="min"/>
        <cfvo type="percentile" val="50"/>
        <cfvo type="max"/>
        <color rgb="FFF8696B"/>
        <color rgb="FFFFEB84"/>
        <color rgb="FF63BE7B"/>
      </colorScale>
    </cfRule>
  </conditionalFormatting>
  <conditionalFormatting sqref="F21:F28">
    <cfRule type="colorScale" priority="7574">
      <colorScale>
        <cfvo type="min"/>
        <cfvo type="percentile" val="50"/>
        <cfvo type="max"/>
        <color rgb="FFF8696B"/>
        <color rgb="FFFFEB84"/>
        <color rgb="FF63BE7B"/>
      </colorScale>
    </cfRule>
  </conditionalFormatting>
  <conditionalFormatting sqref="F21:F28">
    <cfRule type="colorScale" priority="7573">
      <colorScale>
        <cfvo type="min"/>
        <cfvo type="percentile" val="50"/>
        <cfvo type="max"/>
        <color rgb="FFF8696B"/>
        <color rgb="FFFFEB84"/>
        <color rgb="FF63BE7B"/>
      </colorScale>
    </cfRule>
  </conditionalFormatting>
  <conditionalFormatting sqref="F21:F28">
    <cfRule type="colorScale" priority="7572">
      <colorScale>
        <cfvo type="min"/>
        <cfvo type="percentile" val="50"/>
        <cfvo type="max"/>
        <color rgb="FFF8696B"/>
        <color rgb="FFFFEB84"/>
        <color rgb="FF63BE7B"/>
      </colorScale>
    </cfRule>
  </conditionalFormatting>
  <conditionalFormatting sqref="F21:F28">
    <cfRule type="colorScale" priority="7571">
      <colorScale>
        <cfvo type="min"/>
        <cfvo type="percentile" val="50"/>
        <cfvo type="max"/>
        <color rgb="FFF8696B"/>
        <color rgb="FFFFEB84"/>
        <color rgb="FF63BE7B"/>
      </colorScale>
    </cfRule>
  </conditionalFormatting>
  <conditionalFormatting sqref="F21:F28">
    <cfRule type="colorScale" priority="7570">
      <colorScale>
        <cfvo type="min"/>
        <cfvo type="percentile" val="50"/>
        <cfvo type="max"/>
        <color rgb="FFF8696B"/>
        <color rgb="FFFFEB84"/>
        <color rgb="FF63BE7B"/>
      </colorScale>
    </cfRule>
  </conditionalFormatting>
  <conditionalFormatting sqref="F21:F28">
    <cfRule type="colorScale" priority="7569">
      <colorScale>
        <cfvo type="min"/>
        <cfvo type="percentile" val="50"/>
        <cfvo type="max"/>
        <color rgb="FFF8696B"/>
        <color rgb="FFFFEB84"/>
        <color rgb="FF63BE7B"/>
      </colorScale>
    </cfRule>
  </conditionalFormatting>
  <conditionalFormatting sqref="F21:F28">
    <cfRule type="colorScale" priority="7568">
      <colorScale>
        <cfvo type="min"/>
        <cfvo type="percentile" val="50"/>
        <cfvo type="max"/>
        <color rgb="FFF8696B"/>
        <color rgb="FFFFEB84"/>
        <color rgb="FF63BE7B"/>
      </colorScale>
    </cfRule>
  </conditionalFormatting>
  <conditionalFormatting sqref="F29:F32">
    <cfRule type="colorScale" priority="7567">
      <colorScale>
        <cfvo type="min"/>
        <cfvo type="percentile" val="50"/>
        <cfvo type="max"/>
        <color rgb="FFF8696B"/>
        <color rgb="FFFFEB84"/>
        <color rgb="FF63BE7B"/>
      </colorScale>
    </cfRule>
  </conditionalFormatting>
  <conditionalFormatting sqref="F29:F32">
    <cfRule type="colorScale" priority="7566">
      <colorScale>
        <cfvo type="min"/>
        <cfvo type="percentile" val="50"/>
        <cfvo type="max"/>
        <color rgb="FFF8696B"/>
        <color rgb="FFFFEB84"/>
        <color rgb="FF63BE7B"/>
      </colorScale>
    </cfRule>
  </conditionalFormatting>
  <conditionalFormatting sqref="F29:F32">
    <cfRule type="colorScale" priority="7565">
      <colorScale>
        <cfvo type="min"/>
        <cfvo type="percentile" val="50"/>
        <cfvo type="max"/>
        <color rgb="FFF8696B"/>
        <color rgb="FFFFEB84"/>
        <color rgb="FF63BE7B"/>
      </colorScale>
    </cfRule>
  </conditionalFormatting>
  <conditionalFormatting sqref="F29:F32">
    <cfRule type="colorScale" priority="7564">
      <colorScale>
        <cfvo type="min"/>
        <cfvo type="percentile" val="50"/>
        <cfvo type="max"/>
        <color rgb="FFF8696B"/>
        <color rgb="FFFFEB84"/>
        <color rgb="FF63BE7B"/>
      </colorScale>
    </cfRule>
  </conditionalFormatting>
  <conditionalFormatting sqref="F29:F32">
    <cfRule type="colorScale" priority="7563">
      <colorScale>
        <cfvo type="min"/>
        <cfvo type="percentile" val="50"/>
        <cfvo type="max"/>
        <color rgb="FFF8696B"/>
        <color rgb="FFFFEB84"/>
        <color rgb="FF63BE7B"/>
      </colorScale>
    </cfRule>
  </conditionalFormatting>
  <conditionalFormatting sqref="F29:F32">
    <cfRule type="colorScale" priority="7562">
      <colorScale>
        <cfvo type="min"/>
        <cfvo type="percentile" val="50"/>
        <cfvo type="max"/>
        <color rgb="FFF8696B"/>
        <color rgb="FFFFEB84"/>
        <color rgb="FF63BE7B"/>
      </colorScale>
    </cfRule>
  </conditionalFormatting>
  <conditionalFormatting sqref="F29:F32">
    <cfRule type="colorScale" priority="7561">
      <colorScale>
        <cfvo type="min"/>
        <cfvo type="percentile" val="50"/>
        <cfvo type="max"/>
        <color rgb="FFF8696B"/>
        <color rgb="FFFFEB84"/>
        <color rgb="FF63BE7B"/>
      </colorScale>
    </cfRule>
  </conditionalFormatting>
  <conditionalFormatting sqref="F29:F32">
    <cfRule type="colorScale" priority="7560">
      <colorScale>
        <cfvo type="min"/>
        <cfvo type="percentile" val="50"/>
        <cfvo type="max"/>
        <color rgb="FFF8696B"/>
        <color rgb="FFFFEB84"/>
        <color rgb="FF63BE7B"/>
      </colorScale>
    </cfRule>
  </conditionalFormatting>
  <conditionalFormatting sqref="F29:F32">
    <cfRule type="colorScale" priority="7559">
      <colorScale>
        <cfvo type="min"/>
        <cfvo type="percentile" val="50"/>
        <cfvo type="max"/>
        <color rgb="FFF8696B"/>
        <color rgb="FFFFEB84"/>
        <color rgb="FF63BE7B"/>
      </colorScale>
    </cfRule>
  </conditionalFormatting>
  <conditionalFormatting sqref="F29:F32">
    <cfRule type="colorScale" priority="7558">
      <colorScale>
        <cfvo type="min"/>
        <cfvo type="percentile" val="50"/>
        <cfvo type="max"/>
        <color rgb="FFF8696B"/>
        <color rgb="FFFFEB84"/>
        <color rgb="FF63BE7B"/>
      </colorScale>
    </cfRule>
  </conditionalFormatting>
  <conditionalFormatting sqref="F29:F32">
    <cfRule type="colorScale" priority="7557">
      <colorScale>
        <cfvo type="min"/>
        <cfvo type="percentile" val="50"/>
        <cfvo type="max"/>
        <color rgb="FFF8696B"/>
        <color rgb="FFFFEB84"/>
        <color rgb="FF63BE7B"/>
      </colorScale>
    </cfRule>
  </conditionalFormatting>
  <conditionalFormatting sqref="F29:F32">
    <cfRule type="colorScale" priority="7556">
      <colorScale>
        <cfvo type="min"/>
        <cfvo type="percentile" val="50"/>
        <cfvo type="max"/>
        <color rgb="FFF8696B"/>
        <color rgb="FFFFEB84"/>
        <color rgb="FF63BE7B"/>
      </colorScale>
    </cfRule>
  </conditionalFormatting>
  <conditionalFormatting sqref="F29:F32">
    <cfRule type="colorScale" priority="7555">
      <colorScale>
        <cfvo type="min"/>
        <cfvo type="percentile" val="50"/>
        <cfvo type="max"/>
        <color rgb="FFF8696B"/>
        <color rgb="FFFFEB84"/>
        <color rgb="FF63BE7B"/>
      </colorScale>
    </cfRule>
  </conditionalFormatting>
  <conditionalFormatting sqref="F29:F32">
    <cfRule type="colorScale" priority="7554">
      <colorScale>
        <cfvo type="min"/>
        <cfvo type="percentile" val="50"/>
        <cfvo type="max"/>
        <color rgb="FFF8696B"/>
        <color rgb="FFFFEB84"/>
        <color rgb="FF63BE7B"/>
      </colorScale>
    </cfRule>
  </conditionalFormatting>
  <conditionalFormatting sqref="F29:F32">
    <cfRule type="colorScale" priority="7553">
      <colorScale>
        <cfvo type="min"/>
        <cfvo type="percentile" val="50"/>
        <cfvo type="max"/>
        <color rgb="FFF8696B"/>
        <color rgb="FFFFEB84"/>
        <color rgb="FF63BE7B"/>
      </colorScale>
    </cfRule>
  </conditionalFormatting>
  <conditionalFormatting sqref="F29:F32">
    <cfRule type="colorScale" priority="7552">
      <colorScale>
        <cfvo type="min"/>
        <cfvo type="percentile" val="50"/>
        <cfvo type="max"/>
        <color rgb="FFF8696B"/>
        <color rgb="FFFFEB84"/>
        <color rgb="FF63BE7B"/>
      </colorScale>
    </cfRule>
  </conditionalFormatting>
  <conditionalFormatting sqref="F29:F32">
    <cfRule type="colorScale" priority="7551">
      <colorScale>
        <cfvo type="min"/>
        <cfvo type="percentile" val="50"/>
        <cfvo type="max"/>
        <color rgb="FFF8696B"/>
        <color rgb="FFFFEB84"/>
        <color rgb="FF63BE7B"/>
      </colorScale>
    </cfRule>
  </conditionalFormatting>
  <conditionalFormatting sqref="F29:F32">
    <cfRule type="colorScale" priority="7550">
      <colorScale>
        <cfvo type="min"/>
        <cfvo type="percentile" val="50"/>
        <cfvo type="max"/>
        <color rgb="FFF8696B"/>
        <color rgb="FFFFEB84"/>
        <color rgb="FF63BE7B"/>
      </colorScale>
    </cfRule>
  </conditionalFormatting>
  <conditionalFormatting sqref="F29:F32">
    <cfRule type="colorScale" priority="7549">
      <colorScale>
        <cfvo type="min"/>
        <cfvo type="percentile" val="50"/>
        <cfvo type="max"/>
        <color rgb="FFF8696B"/>
        <color rgb="FFFFEB84"/>
        <color rgb="FF63BE7B"/>
      </colorScale>
    </cfRule>
  </conditionalFormatting>
  <conditionalFormatting sqref="F29:F32">
    <cfRule type="colorScale" priority="7548">
      <colorScale>
        <cfvo type="min"/>
        <cfvo type="percentile" val="50"/>
        <cfvo type="max"/>
        <color rgb="FFF8696B"/>
        <color rgb="FFFFEB84"/>
        <color rgb="FF63BE7B"/>
      </colorScale>
    </cfRule>
  </conditionalFormatting>
  <conditionalFormatting sqref="F29:F32">
    <cfRule type="colorScale" priority="7547">
      <colorScale>
        <cfvo type="min"/>
        <cfvo type="percentile" val="50"/>
        <cfvo type="max"/>
        <color rgb="FFF8696B"/>
        <color rgb="FFFFEB84"/>
        <color rgb="FF63BE7B"/>
      </colorScale>
    </cfRule>
  </conditionalFormatting>
  <conditionalFormatting sqref="F29:F32">
    <cfRule type="colorScale" priority="7546">
      <colorScale>
        <cfvo type="min"/>
        <cfvo type="percentile" val="50"/>
        <cfvo type="max"/>
        <color rgb="FFF8696B"/>
        <color rgb="FFFFEB84"/>
        <color rgb="FF63BE7B"/>
      </colorScale>
    </cfRule>
  </conditionalFormatting>
  <conditionalFormatting sqref="F29:F32">
    <cfRule type="colorScale" priority="7545">
      <colorScale>
        <cfvo type="min"/>
        <cfvo type="percentile" val="50"/>
        <cfvo type="max"/>
        <color rgb="FFF8696B"/>
        <color rgb="FFFFEB84"/>
        <color rgb="FF63BE7B"/>
      </colorScale>
    </cfRule>
  </conditionalFormatting>
  <conditionalFormatting sqref="F29:F32">
    <cfRule type="colorScale" priority="7544">
      <colorScale>
        <cfvo type="min"/>
        <cfvo type="percentile" val="50"/>
        <cfvo type="max"/>
        <color rgb="FFF8696B"/>
        <color rgb="FFFFEB84"/>
        <color rgb="FF63BE7B"/>
      </colorScale>
    </cfRule>
  </conditionalFormatting>
  <conditionalFormatting sqref="F29:F32">
    <cfRule type="colorScale" priority="7543">
      <colorScale>
        <cfvo type="min"/>
        <cfvo type="percentile" val="50"/>
        <cfvo type="max"/>
        <color rgb="FFF8696B"/>
        <color rgb="FFFFEB84"/>
        <color rgb="FF63BE7B"/>
      </colorScale>
    </cfRule>
  </conditionalFormatting>
  <conditionalFormatting sqref="F29:F32">
    <cfRule type="colorScale" priority="7542">
      <colorScale>
        <cfvo type="min"/>
        <cfvo type="percentile" val="50"/>
        <cfvo type="max"/>
        <color rgb="FFF8696B"/>
        <color rgb="FFFFEB84"/>
        <color rgb="FF63BE7B"/>
      </colorScale>
    </cfRule>
  </conditionalFormatting>
  <conditionalFormatting sqref="F29:F32">
    <cfRule type="colorScale" priority="7541">
      <colorScale>
        <cfvo type="min"/>
        <cfvo type="percentile" val="50"/>
        <cfvo type="max"/>
        <color rgb="FFF8696B"/>
        <color rgb="FFFFEB84"/>
        <color rgb="FF63BE7B"/>
      </colorScale>
    </cfRule>
  </conditionalFormatting>
  <conditionalFormatting sqref="F29:F32">
    <cfRule type="colorScale" priority="7540">
      <colorScale>
        <cfvo type="min"/>
        <cfvo type="percentile" val="50"/>
        <cfvo type="max"/>
        <color rgb="FFF8696B"/>
        <color rgb="FFFFEB84"/>
        <color rgb="FF63BE7B"/>
      </colorScale>
    </cfRule>
  </conditionalFormatting>
  <conditionalFormatting sqref="F29:F32">
    <cfRule type="colorScale" priority="7539">
      <colorScale>
        <cfvo type="min"/>
        <cfvo type="percentile" val="50"/>
        <cfvo type="max"/>
        <color rgb="FFF8696B"/>
        <color rgb="FFFFEB84"/>
        <color rgb="FF63BE7B"/>
      </colorScale>
    </cfRule>
  </conditionalFormatting>
  <conditionalFormatting sqref="F29:F32">
    <cfRule type="colorScale" priority="7538">
      <colorScale>
        <cfvo type="min"/>
        <cfvo type="percentile" val="50"/>
        <cfvo type="max"/>
        <color rgb="FFF8696B"/>
        <color rgb="FFFFEB84"/>
        <color rgb="FF63BE7B"/>
      </colorScale>
    </cfRule>
  </conditionalFormatting>
  <conditionalFormatting sqref="F29:F32">
    <cfRule type="colorScale" priority="7537">
      <colorScale>
        <cfvo type="min"/>
        <cfvo type="percentile" val="50"/>
        <cfvo type="max"/>
        <color rgb="FFF8696B"/>
        <color rgb="FFFFEB84"/>
        <color rgb="FF63BE7B"/>
      </colorScale>
    </cfRule>
  </conditionalFormatting>
  <conditionalFormatting sqref="F29:F32">
    <cfRule type="colorScale" priority="7536">
      <colorScale>
        <cfvo type="min"/>
        <cfvo type="percentile" val="50"/>
        <cfvo type="max"/>
        <color rgb="FFF8696B"/>
        <color rgb="FFFFEB84"/>
        <color rgb="FF63BE7B"/>
      </colorScale>
    </cfRule>
  </conditionalFormatting>
  <conditionalFormatting sqref="F29:F32">
    <cfRule type="colorScale" priority="7535">
      <colorScale>
        <cfvo type="min"/>
        <cfvo type="percentile" val="50"/>
        <cfvo type="max"/>
        <color rgb="FFF8696B"/>
        <color rgb="FFFFEB84"/>
        <color rgb="FF63BE7B"/>
      </colorScale>
    </cfRule>
  </conditionalFormatting>
  <conditionalFormatting sqref="F29:F32">
    <cfRule type="colorScale" priority="7534">
      <colorScale>
        <cfvo type="min"/>
        <cfvo type="percentile" val="50"/>
        <cfvo type="max"/>
        <color rgb="FFF8696B"/>
        <color rgb="FFFFEB84"/>
        <color rgb="FF63BE7B"/>
      </colorScale>
    </cfRule>
  </conditionalFormatting>
  <conditionalFormatting sqref="F29:F32">
    <cfRule type="colorScale" priority="7533">
      <colorScale>
        <cfvo type="min"/>
        <cfvo type="percentile" val="50"/>
        <cfvo type="max"/>
        <color rgb="FFF8696B"/>
        <color rgb="FFFFEB84"/>
        <color rgb="FF63BE7B"/>
      </colorScale>
    </cfRule>
  </conditionalFormatting>
  <conditionalFormatting sqref="F29:F32">
    <cfRule type="colorScale" priority="7532">
      <colorScale>
        <cfvo type="min"/>
        <cfvo type="percentile" val="50"/>
        <cfvo type="max"/>
        <color rgb="FFF8696B"/>
        <color rgb="FFFFEB84"/>
        <color rgb="FF63BE7B"/>
      </colorScale>
    </cfRule>
  </conditionalFormatting>
  <conditionalFormatting sqref="F29:F32">
    <cfRule type="colorScale" priority="7531">
      <colorScale>
        <cfvo type="min"/>
        <cfvo type="percentile" val="50"/>
        <cfvo type="max"/>
        <color rgb="FFF8696B"/>
        <color rgb="FFFFEB84"/>
        <color rgb="FF63BE7B"/>
      </colorScale>
    </cfRule>
  </conditionalFormatting>
  <conditionalFormatting sqref="F29:F32">
    <cfRule type="colorScale" priority="7530">
      <colorScale>
        <cfvo type="min"/>
        <cfvo type="percentile" val="50"/>
        <cfvo type="max"/>
        <color rgb="FFF8696B"/>
        <color rgb="FFFFEB84"/>
        <color rgb="FF63BE7B"/>
      </colorScale>
    </cfRule>
  </conditionalFormatting>
  <conditionalFormatting sqref="F29:F32">
    <cfRule type="colorScale" priority="7529">
      <colorScale>
        <cfvo type="min"/>
        <cfvo type="percentile" val="50"/>
        <cfvo type="max"/>
        <color rgb="FFF8696B"/>
        <color rgb="FFFFEB84"/>
        <color rgb="FF63BE7B"/>
      </colorScale>
    </cfRule>
  </conditionalFormatting>
  <conditionalFormatting sqref="F29:F32">
    <cfRule type="colorScale" priority="7528">
      <colorScale>
        <cfvo type="min"/>
        <cfvo type="percentile" val="50"/>
        <cfvo type="max"/>
        <color rgb="FFF8696B"/>
        <color rgb="FFFFEB84"/>
        <color rgb="FF63BE7B"/>
      </colorScale>
    </cfRule>
  </conditionalFormatting>
  <conditionalFormatting sqref="F29:F32">
    <cfRule type="colorScale" priority="7527">
      <colorScale>
        <cfvo type="min"/>
        <cfvo type="percentile" val="50"/>
        <cfvo type="max"/>
        <color rgb="FFF8696B"/>
        <color rgb="FFFFEB84"/>
        <color rgb="FF63BE7B"/>
      </colorScale>
    </cfRule>
  </conditionalFormatting>
  <conditionalFormatting sqref="F29:F32">
    <cfRule type="colorScale" priority="7526">
      <colorScale>
        <cfvo type="min"/>
        <cfvo type="percentile" val="50"/>
        <cfvo type="max"/>
        <color rgb="FFF8696B"/>
        <color rgb="FFFFEB84"/>
        <color rgb="FF63BE7B"/>
      </colorScale>
    </cfRule>
  </conditionalFormatting>
  <conditionalFormatting sqref="F29:F32">
    <cfRule type="colorScale" priority="7525">
      <colorScale>
        <cfvo type="min"/>
        <cfvo type="percentile" val="50"/>
        <cfvo type="max"/>
        <color rgb="FFF8696B"/>
        <color rgb="FFFFEB84"/>
        <color rgb="FF63BE7B"/>
      </colorScale>
    </cfRule>
  </conditionalFormatting>
  <conditionalFormatting sqref="F29:F32">
    <cfRule type="colorScale" priority="7524">
      <colorScale>
        <cfvo type="min"/>
        <cfvo type="percentile" val="50"/>
        <cfvo type="max"/>
        <color rgb="FFF8696B"/>
        <color rgb="FFFFEB84"/>
        <color rgb="FF63BE7B"/>
      </colorScale>
    </cfRule>
  </conditionalFormatting>
  <conditionalFormatting sqref="F29:F32">
    <cfRule type="colorScale" priority="7523">
      <colorScale>
        <cfvo type="min"/>
        <cfvo type="percentile" val="50"/>
        <cfvo type="max"/>
        <color rgb="FFF8696B"/>
        <color rgb="FFFFEB84"/>
        <color rgb="FF63BE7B"/>
      </colorScale>
    </cfRule>
  </conditionalFormatting>
  <conditionalFormatting sqref="F29:F32">
    <cfRule type="colorScale" priority="7522">
      <colorScale>
        <cfvo type="min"/>
        <cfvo type="percentile" val="50"/>
        <cfvo type="max"/>
        <color rgb="FFF8696B"/>
        <color rgb="FFFFEB84"/>
        <color rgb="FF63BE7B"/>
      </colorScale>
    </cfRule>
  </conditionalFormatting>
  <conditionalFormatting sqref="F29:F32">
    <cfRule type="colorScale" priority="7521">
      <colorScale>
        <cfvo type="min"/>
        <cfvo type="percentile" val="50"/>
        <cfvo type="max"/>
        <color rgb="FFF8696B"/>
        <color rgb="FFFFEB84"/>
        <color rgb="FF63BE7B"/>
      </colorScale>
    </cfRule>
  </conditionalFormatting>
  <conditionalFormatting sqref="F29:F32">
    <cfRule type="colorScale" priority="7520">
      <colorScale>
        <cfvo type="min"/>
        <cfvo type="percentile" val="50"/>
        <cfvo type="max"/>
        <color rgb="FFF8696B"/>
        <color rgb="FFFFEB84"/>
        <color rgb="FF63BE7B"/>
      </colorScale>
    </cfRule>
  </conditionalFormatting>
  <conditionalFormatting sqref="F29:F32">
    <cfRule type="colorScale" priority="7519">
      <colorScale>
        <cfvo type="min"/>
        <cfvo type="percentile" val="50"/>
        <cfvo type="max"/>
        <color rgb="FFF8696B"/>
        <color rgb="FFFFEB84"/>
        <color rgb="FF63BE7B"/>
      </colorScale>
    </cfRule>
  </conditionalFormatting>
  <conditionalFormatting sqref="F29:F32">
    <cfRule type="colorScale" priority="7518">
      <colorScale>
        <cfvo type="min"/>
        <cfvo type="percentile" val="50"/>
        <cfvo type="max"/>
        <color rgb="FFF8696B"/>
        <color rgb="FFFFEB84"/>
        <color rgb="FF63BE7B"/>
      </colorScale>
    </cfRule>
  </conditionalFormatting>
  <conditionalFormatting sqref="F29:F32">
    <cfRule type="colorScale" priority="7517">
      <colorScale>
        <cfvo type="min"/>
        <cfvo type="percentile" val="50"/>
        <cfvo type="max"/>
        <color rgb="FFF8696B"/>
        <color rgb="FFFFEB84"/>
        <color rgb="FF63BE7B"/>
      </colorScale>
    </cfRule>
  </conditionalFormatting>
  <conditionalFormatting sqref="F29:F32">
    <cfRule type="colorScale" priority="7516">
      <colorScale>
        <cfvo type="min"/>
        <cfvo type="percentile" val="50"/>
        <cfvo type="max"/>
        <color rgb="FFF8696B"/>
        <color rgb="FFFFEB84"/>
        <color rgb="FF63BE7B"/>
      </colorScale>
    </cfRule>
  </conditionalFormatting>
  <conditionalFormatting sqref="F29:F32">
    <cfRule type="colorScale" priority="7515">
      <colorScale>
        <cfvo type="min"/>
        <cfvo type="percentile" val="50"/>
        <cfvo type="max"/>
        <color rgb="FFF8696B"/>
        <color rgb="FFFFEB84"/>
        <color rgb="FF63BE7B"/>
      </colorScale>
    </cfRule>
  </conditionalFormatting>
  <conditionalFormatting sqref="F29:F32">
    <cfRule type="colorScale" priority="7514">
      <colorScale>
        <cfvo type="min"/>
        <cfvo type="percentile" val="50"/>
        <cfvo type="max"/>
        <color rgb="FFF8696B"/>
        <color rgb="FFFFEB84"/>
        <color rgb="FF63BE7B"/>
      </colorScale>
    </cfRule>
  </conditionalFormatting>
  <conditionalFormatting sqref="F29:F32">
    <cfRule type="colorScale" priority="7513">
      <colorScale>
        <cfvo type="min"/>
        <cfvo type="percentile" val="50"/>
        <cfvo type="max"/>
        <color rgb="FFF8696B"/>
        <color rgb="FFFFEB84"/>
        <color rgb="FF63BE7B"/>
      </colorScale>
    </cfRule>
  </conditionalFormatting>
  <conditionalFormatting sqref="F29:F32">
    <cfRule type="colorScale" priority="7512">
      <colorScale>
        <cfvo type="min"/>
        <cfvo type="percentile" val="50"/>
        <cfvo type="max"/>
        <color rgb="FFF8696B"/>
        <color rgb="FFFFEB84"/>
        <color rgb="FF63BE7B"/>
      </colorScale>
    </cfRule>
  </conditionalFormatting>
  <conditionalFormatting sqref="F29:F32">
    <cfRule type="colorScale" priority="7511">
      <colorScale>
        <cfvo type="min"/>
        <cfvo type="percentile" val="50"/>
        <cfvo type="max"/>
        <color rgb="FFF8696B"/>
        <color rgb="FFFFEB84"/>
        <color rgb="FF63BE7B"/>
      </colorScale>
    </cfRule>
  </conditionalFormatting>
  <conditionalFormatting sqref="F29:F32">
    <cfRule type="colorScale" priority="7510">
      <colorScale>
        <cfvo type="min"/>
        <cfvo type="percentile" val="50"/>
        <cfvo type="max"/>
        <color rgb="FFF8696B"/>
        <color rgb="FFFFEB84"/>
        <color rgb="FF63BE7B"/>
      </colorScale>
    </cfRule>
  </conditionalFormatting>
  <conditionalFormatting sqref="F29:F32">
    <cfRule type="colorScale" priority="7509">
      <colorScale>
        <cfvo type="min"/>
        <cfvo type="percentile" val="50"/>
        <cfvo type="max"/>
        <color rgb="FFF8696B"/>
        <color rgb="FFFFEB84"/>
        <color rgb="FF63BE7B"/>
      </colorScale>
    </cfRule>
  </conditionalFormatting>
  <conditionalFormatting sqref="F29:F32">
    <cfRule type="colorScale" priority="7508">
      <colorScale>
        <cfvo type="min"/>
        <cfvo type="percentile" val="50"/>
        <cfvo type="max"/>
        <color rgb="FFF8696B"/>
        <color rgb="FFFFEB84"/>
        <color rgb="FF63BE7B"/>
      </colorScale>
    </cfRule>
  </conditionalFormatting>
  <conditionalFormatting sqref="F29:F32">
    <cfRule type="colorScale" priority="7507">
      <colorScale>
        <cfvo type="min"/>
        <cfvo type="percentile" val="50"/>
        <cfvo type="max"/>
        <color rgb="FFF8696B"/>
        <color rgb="FFFFEB84"/>
        <color rgb="FF63BE7B"/>
      </colorScale>
    </cfRule>
  </conditionalFormatting>
  <conditionalFormatting sqref="F29:F32">
    <cfRule type="colorScale" priority="7506">
      <colorScale>
        <cfvo type="min"/>
        <cfvo type="percentile" val="50"/>
        <cfvo type="max"/>
        <color rgb="FFF8696B"/>
        <color rgb="FFFFEB84"/>
        <color rgb="FF63BE7B"/>
      </colorScale>
    </cfRule>
  </conditionalFormatting>
  <conditionalFormatting sqref="F29:F32">
    <cfRule type="colorScale" priority="7505">
      <colorScale>
        <cfvo type="min"/>
        <cfvo type="percentile" val="50"/>
        <cfvo type="max"/>
        <color rgb="FFF8696B"/>
        <color rgb="FFFFEB84"/>
        <color rgb="FF63BE7B"/>
      </colorScale>
    </cfRule>
  </conditionalFormatting>
  <conditionalFormatting sqref="F29:F32">
    <cfRule type="colorScale" priority="7504">
      <colorScale>
        <cfvo type="min"/>
        <cfvo type="percentile" val="50"/>
        <cfvo type="max"/>
        <color rgb="FFF8696B"/>
        <color rgb="FFFFEB84"/>
        <color rgb="FF63BE7B"/>
      </colorScale>
    </cfRule>
  </conditionalFormatting>
  <conditionalFormatting sqref="F29:F32">
    <cfRule type="colorScale" priority="7503">
      <colorScale>
        <cfvo type="min"/>
        <cfvo type="percentile" val="50"/>
        <cfvo type="max"/>
        <color rgb="FFF8696B"/>
        <color rgb="FFFFEB84"/>
        <color rgb="FF63BE7B"/>
      </colorScale>
    </cfRule>
  </conditionalFormatting>
  <conditionalFormatting sqref="F29:F32">
    <cfRule type="colorScale" priority="7502">
      <colorScale>
        <cfvo type="min"/>
        <cfvo type="percentile" val="50"/>
        <cfvo type="max"/>
        <color rgb="FFF8696B"/>
        <color rgb="FFFFEB84"/>
        <color rgb="FF63BE7B"/>
      </colorScale>
    </cfRule>
  </conditionalFormatting>
  <conditionalFormatting sqref="F29:F32">
    <cfRule type="colorScale" priority="7501">
      <colorScale>
        <cfvo type="min"/>
        <cfvo type="percentile" val="50"/>
        <cfvo type="max"/>
        <color rgb="FFF8696B"/>
        <color rgb="FFFFEB84"/>
        <color rgb="FF63BE7B"/>
      </colorScale>
    </cfRule>
  </conditionalFormatting>
  <conditionalFormatting sqref="F29:F32">
    <cfRule type="colorScale" priority="7500">
      <colorScale>
        <cfvo type="min"/>
        <cfvo type="percentile" val="50"/>
        <cfvo type="max"/>
        <color rgb="FFF8696B"/>
        <color rgb="FFFFEB84"/>
        <color rgb="FF63BE7B"/>
      </colorScale>
    </cfRule>
  </conditionalFormatting>
  <conditionalFormatting sqref="F29:F32">
    <cfRule type="colorScale" priority="7499">
      <colorScale>
        <cfvo type="min"/>
        <cfvo type="percentile" val="50"/>
        <cfvo type="max"/>
        <color rgb="FFF8696B"/>
        <color rgb="FFFFEB84"/>
        <color rgb="FF63BE7B"/>
      </colorScale>
    </cfRule>
  </conditionalFormatting>
  <conditionalFormatting sqref="F29:F32">
    <cfRule type="colorScale" priority="7498">
      <colorScale>
        <cfvo type="min"/>
        <cfvo type="percentile" val="50"/>
        <cfvo type="max"/>
        <color rgb="FFF8696B"/>
        <color rgb="FFFFEB84"/>
        <color rgb="FF63BE7B"/>
      </colorScale>
    </cfRule>
  </conditionalFormatting>
  <conditionalFormatting sqref="F29:F32">
    <cfRule type="colorScale" priority="7497">
      <colorScale>
        <cfvo type="min"/>
        <cfvo type="percentile" val="50"/>
        <cfvo type="max"/>
        <color rgb="FFF8696B"/>
        <color rgb="FFFFEB84"/>
        <color rgb="FF63BE7B"/>
      </colorScale>
    </cfRule>
  </conditionalFormatting>
  <conditionalFormatting sqref="F29:F32">
    <cfRule type="colorScale" priority="7496">
      <colorScale>
        <cfvo type="min"/>
        <cfvo type="percentile" val="50"/>
        <cfvo type="max"/>
        <color rgb="FFF8696B"/>
        <color rgb="FFFFEB84"/>
        <color rgb="FF63BE7B"/>
      </colorScale>
    </cfRule>
  </conditionalFormatting>
  <conditionalFormatting sqref="F29:F32">
    <cfRule type="colorScale" priority="7495">
      <colorScale>
        <cfvo type="min"/>
        <cfvo type="percentile" val="50"/>
        <cfvo type="max"/>
        <color rgb="FFF8696B"/>
        <color rgb="FFFFEB84"/>
        <color rgb="FF63BE7B"/>
      </colorScale>
    </cfRule>
  </conditionalFormatting>
  <conditionalFormatting sqref="F29:F32">
    <cfRule type="colorScale" priority="7494">
      <colorScale>
        <cfvo type="min"/>
        <cfvo type="percentile" val="50"/>
        <cfvo type="max"/>
        <color rgb="FFF8696B"/>
        <color rgb="FFFFEB84"/>
        <color rgb="FF63BE7B"/>
      </colorScale>
    </cfRule>
  </conditionalFormatting>
  <conditionalFormatting sqref="F29:F32">
    <cfRule type="colorScale" priority="7493">
      <colorScale>
        <cfvo type="min"/>
        <cfvo type="percentile" val="50"/>
        <cfvo type="max"/>
        <color rgb="FFF8696B"/>
        <color rgb="FFFFEB84"/>
        <color rgb="FF63BE7B"/>
      </colorScale>
    </cfRule>
  </conditionalFormatting>
  <conditionalFormatting sqref="F29:F32">
    <cfRule type="colorScale" priority="7492">
      <colorScale>
        <cfvo type="min"/>
        <cfvo type="percentile" val="50"/>
        <cfvo type="max"/>
        <color rgb="FFF8696B"/>
        <color rgb="FFFFEB84"/>
        <color rgb="FF63BE7B"/>
      </colorScale>
    </cfRule>
  </conditionalFormatting>
  <conditionalFormatting sqref="F29:F32">
    <cfRule type="colorScale" priority="7491">
      <colorScale>
        <cfvo type="min"/>
        <cfvo type="percentile" val="50"/>
        <cfvo type="max"/>
        <color rgb="FFF8696B"/>
        <color rgb="FFFFEB84"/>
        <color rgb="FF63BE7B"/>
      </colorScale>
    </cfRule>
  </conditionalFormatting>
  <conditionalFormatting sqref="F29:F32">
    <cfRule type="colorScale" priority="7490">
      <colorScale>
        <cfvo type="min"/>
        <cfvo type="percentile" val="50"/>
        <cfvo type="max"/>
        <color rgb="FFF8696B"/>
        <color rgb="FFFFEB84"/>
        <color rgb="FF63BE7B"/>
      </colorScale>
    </cfRule>
  </conditionalFormatting>
  <conditionalFormatting sqref="F29:F32">
    <cfRule type="colorScale" priority="7489">
      <colorScale>
        <cfvo type="min"/>
        <cfvo type="percentile" val="50"/>
        <cfvo type="max"/>
        <color rgb="FFF8696B"/>
        <color rgb="FFFFEB84"/>
        <color rgb="FF63BE7B"/>
      </colorScale>
    </cfRule>
  </conditionalFormatting>
  <conditionalFormatting sqref="F29:F32">
    <cfRule type="colorScale" priority="7488">
      <colorScale>
        <cfvo type="min"/>
        <cfvo type="percentile" val="50"/>
        <cfvo type="max"/>
        <color rgb="FFF8696B"/>
        <color rgb="FFFFEB84"/>
        <color rgb="FF63BE7B"/>
      </colorScale>
    </cfRule>
  </conditionalFormatting>
  <conditionalFormatting sqref="F29:F32">
    <cfRule type="colorScale" priority="7487">
      <colorScale>
        <cfvo type="min"/>
        <cfvo type="percentile" val="50"/>
        <cfvo type="max"/>
        <color rgb="FFF8696B"/>
        <color rgb="FFFFEB84"/>
        <color rgb="FF63BE7B"/>
      </colorScale>
    </cfRule>
  </conditionalFormatting>
  <conditionalFormatting sqref="F29:F32">
    <cfRule type="colorScale" priority="7486">
      <colorScale>
        <cfvo type="min"/>
        <cfvo type="percentile" val="50"/>
        <cfvo type="max"/>
        <color rgb="FFF8696B"/>
        <color rgb="FFFFEB84"/>
        <color rgb="FF63BE7B"/>
      </colorScale>
    </cfRule>
  </conditionalFormatting>
  <conditionalFormatting sqref="F29:F32">
    <cfRule type="colorScale" priority="7485">
      <colorScale>
        <cfvo type="min"/>
        <cfvo type="percentile" val="50"/>
        <cfvo type="max"/>
        <color rgb="FFF8696B"/>
        <color rgb="FFFFEB84"/>
        <color rgb="FF63BE7B"/>
      </colorScale>
    </cfRule>
  </conditionalFormatting>
  <conditionalFormatting sqref="F29:F32">
    <cfRule type="colorScale" priority="7484">
      <colorScale>
        <cfvo type="min"/>
        <cfvo type="percentile" val="50"/>
        <cfvo type="max"/>
        <color rgb="FFF8696B"/>
        <color rgb="FFFFEB84"/>
        <color rgb="FF63BE7B"/>
      </colorScale>
    </cfRule>
  </conditionalFormatting>
  <conditionalFormatting sqref="F29:F32">
    <cfRule type="colorScale" priority="7483">
      <colorScale>
        <cfvo type="min"/>
        <cfvo type="percentile" val="50"/>
        <cfvo type="max"/>
        <color rgb="FFF8696B"/>
        <color rgb="FFFFEB84"/>
        <color rgb="FF63BE7B"/>
      </colorScale>
    </cfRule>
  </conditionalFormatting>
  <conditionalFormatting sqref="F29:F32">
    <cfRule type="colorScale" priority="7482">
      <colorScale>
        <cfvo type="min"/>
        <cfvo type="percentile" val="50"/>
        <cfvo type="max"/>
        <color rgb="FFF8696B"/>
        <color rgb="FFFFEB84"/>
        <color rgb="FF63BE7B"/>
      </colorScale>
    </cfRule>
  </conditionalFormatting>
  <conditionalFormatting sqref="F29:F32">
    <cfRule type="colorScale" priority="7481">
      <colorScale>
        <cfvo type="min"/>
        <cfvo type="percentile" val="50"/>
        <cfvo type="max"/>
        <color rgb="FFF8696B"/>
        <color rgb="FFFFEB84"/>
        <color rgb="FF63BE7B"/>
      </colorScale>
    </cfRule>
  </conditionalFormatting>
  <conditionalFormatting sqref="F29:F32">
    <cfRule type="colorScale" priority="7480">
      <colorScale>
        <cfvo type="min"/>
        <cfvo type="percentile" val="50"/>
        <cfvo type="max"/>
        <color rgb="FFF8696B"/>
        <color rgb="FFFFEB84"/>
        <color rgb="FF63BE7B"/>
      </colorScale>
    </cfRule>
  </conditionalFormatting>
  <conditionalFormatting sqref="F29:F32">
    <cfRule type="colorScale" priority="7479">
      <colorScale>
        <cfvo type="min"/>
        <cfvo type="percentile" val="50"/>
        <cfvo type="max"/>
        <color rgb="FFF8696B"/>
        <color rgb="FFFFEB84"/>
        <color rgb="FF63BE7B"/>
      </colorScale>
    </cfRule>
  </conditionalFormatting>
  <conditionalFormatting sqref="F29:F32">
    <cfRule type="colorScale" priority="7478">
      <colorScale>
        <cfvo type="min"/>
        <cfvo type="percentile" val="50"/>
        <cfvo type="max"/>
        <color rgb="FFF8696B"/>
        <color rgb="FFFFEB84"/>
        <color rgb="FF63BE7B"/>
      </colorScale>
    </cfRule>
  </conditionalFormatting>
  <conditionalFormatting sqref="F29:F32">
    <cfRule type="colorScale" priority="7477">
      <colorScale>
        <cfvo type="min"/>
        <cfvo type="percentile" val="50"/>
        <cfvo type="max"/>
        <color rgb="FFF8696B"/>
        <color rgb="FFFFEB84"/>
        <color rgb="FF63BE7B"/>
      </colorScale>
    </cfRule>
  </conditionalFormatting>
  <conditionalFormatting sqref="F29:F32">
    <cfRule type="colorScale" priority="7476">
      <colorScale>
        <cfvo type="min"/>
        <cfvo type="percentile" val="50"/>
        <cfvo type="max"/>
        <color rgb="FFF8696B"/>
        <color rgb="FFFFEB84"/>
        <color rgb="FF63BE7B"/>
      </colorScale>
    </cfRule>
  </conditionalFormatting>
  <conditionalFormatting sqref="F29:F32">
    <cfRule type="colorScale" priority="7475">
      <colorScale>
        <cfvo type="min"/>
        <cfvo type="percentile" val="50"/>
        <cfvo type="max"/>
        <color rgb="FFF8696B"/>
        <color rgb="FFFFEB84"/>
        <color rgb="FF63BE7B"/>
      </colorScale>
    </cfRule>
  </conditionalFormatting>
  <conditionalFormatting sqref="F29:F32">
    <cfRule type="colorScale" priority="7474">
      <colorScale>
        <cfvo type="min"/>
        <cfvo type="percentile" val="50"/>
        <cfvo type="max"/>
        <color rgb="FFF8696B"/>
        <color rgb="FFFFEB84"/>
        <color rgb="FF63BE7B"/>
      </colorScale>
    </cfRule>
  </conditionalFormatting>
  <conditionalFormatting sqref="F29:F32">
    <cfRule type="colorScale" priority="7473">
      <colorScale>
        <cfvo type="min"/>
        <cfvo type="percentile" val="50"/>
        <cfvo type="max"/>
        <color rgb="FFF8696B"/>
        <color rgb="FFFFEB84"/>
        <color rgb="FF63BE7B"/>
      </colorScale>
    </cfRule>
  </conditionalFormatting>
  <conditionalFormatting sqref="F29:F32">
    <cfRule type="colorScale" priority="7472">
      <colorScale>
        <cfvo type="min"/>
        <cfvo type="percentile" val="50"/>
        <cfvo type="max"/>
        <color rgb="FFF8696B"/>
        <color rgb="FFFFEB84"/>
        <color rgb="FF63BE7B"/>
      </colorScale>
    </cfRule>
  </conditionalFormatting>
  <conditionalFormatting sqref="F29:F32">
    <cfRule type="colorScale" priority="7471">
      <colorScale>
        <cfvo type="min"/>
        <cfvo type="percentile" val="50"/>
        <cfvo type="max"/>
        <color rgb="FFF8696B"/>
        <color rgb="FFFFEB84"/>
        <color rgb="FF63BE7B"/>
      </colorScale>
    </cfRule>
  </conditionalFormatting>
  <conditionalFormatting sqref="F29:F32">
    <cfRule type="colorScale" priority="7470">
      <colorScale>
        <cfvo type="min"/>
        <cfvo type="percentile" val="50"/>
        <cfvo type="max"/>
        <color rgb="FFF8696B"/>
        <color rgb="FFFFEB84"/>
        <color rgb="FF63BE7B"/>
      </colorScale>
    </cfRule>
  </conditionalFormatting>
  <conditionalFormatting sqref="F29:F32">
    <cfRule type="colorScale" priority="7469">
      <colorScale>
        <cfvo type="min"/>
        <cfvo type="percentile" val="50"/>
        <cfvo type="max"/>
        <color rgb="FFF8696B"/>
        <color rgb="FFFFEB84"/>
        <color rgb="FF63BE7B"/>
      </colorScale>
    </cfRule>
  </conditionalFormatting>
  <conditionalFormatting sqref="F29:F32">
    <cfRule type="colorScale" priority="7468">
      <colorScale>
        <cfvo type="min"/>
        <cfvo type="percentile" val="50"/>
        <cfvo type="max"/>
        <color rgb="FFF8696B"/>
        <color rgb="FFFFEB84"/>
        <color rgb="FF63BE7B"/>
      </colorScale>
    </cfRule>
  </conditionalFormatting>
  <conditionalFormatting sqref="F29:F32">
    <cfRule type="colorScale" priority="7467">
      <colorScale>
        <cfvo type="min"/>
        <cfvo type="percentile" val="50"/>
        <cfvo type="max"/>
        <color rgb="FFF8696B"/>
        <color rgb="FFFFEB84"/>
        <color rgb="FF63BE7B"/>
      </colorScale>
    </cfRule>
  </conditionalFormatting>
  <conditionalFormatting sqref="F29:F32">
    <cfRule type="colorScale" priority="7466">
      <colorScale>
        <cfvo type="min"/>
        <cfvo type="percentile" val="50"/>
        <cfvo type="max"/>
        <color rgb="FFF8696B"/>
        <color rgb="FFFFEB84"/>
        <color rgb="FF63BE7B"/>
      </colorScale>
    </cfRule>
  </conditionalFormatting>
  <conditionalFormatting sqref="F29:F32">
    <cfRule type="colorScale" priority="7465">
      <colorScale>
        <cfvo type="min"/>
        <cfvo type="percentile" val="50"/>
        <cfvo type="max"/>
        <color rgb="FFF8696B"/>
        <color rgb="FFFFEB84"/>
        <color rgb="FF63BE7B"/>
      </colorScale>
    </cfRule>
  </conditionalFormatting>
  <conditionalFormatting sqref="F29:F32">
    <cfRule type="colorScale" priority="7464">
      <colorScale>
        <cfvo type="min"/>
        <cfvo type="percentile" val="50"/>
        <cfvo type="max"/>
        <color rgb="FFF8696B"/>
        <color rgb="FFFFEB84"/>
        <color rgb="FF63BE7B"/>
      </colorScale>
    </cfRule>
  </conditionalFormatting>
  <conditionalFormatting sqref="F29:F32">
    <cfRule type="colorScale" priority="7463">
      <colorScale>
        <cfvo type="min"/>
        <cfvo type="percentile" val="50"/>
        <cfvo type="max"/>
        <color rgb="FFF8696B"/>
        <color rgb="FFFFEB84"/>
        <color rgb="FF63BE7B"/>
      </colorScale>
    </cfRule>
  </conditionalFormatting>
  <conditionalFormatting sqref="F29:F32">
    <cfRule type="colorScale" priority="7462">
      <colorScale>
        <cfvo type="min"/>
        <cfvo type="percentile" val="50"/>
        <cfvo type="max"/>
        <color rgb="FFF8696B"/>
        <color rgb="FFFFEB84"/>
        <color rgb="FF63BE7B"/>
      </colorScale>
    </cfRule>
  </conditionalFormatting>
  <conditionalFormatting sqref="F29:F32">
    <cfRule type="colorScale" priority="7461">
      <colorScale>
        <cfvo type="min"/>
        <cfvo type="percentile" val="50"/>
        <cfvo type="max"/>
        <color rgb="FFF8696B"/>
        <color rgb="FFFFEB84"/>
        <color rgb="FF63BE7B"/>
      </colorScale>
    </cfRule>
  </conditionalFormatting>
  <conditionalFormatting sqref="F29:F32">
    <cfRule type="colorScale" priority="7460">
      <colorScale>
        <cfvo type="min"/>
        <cfvo type="percentile" val="50"/>
        <cfvo type="max"/>
        <color rgb="FFF8696B"/>
        <color rgb="FFFFEB84"/>
        <color rgb="FF63BE7B"/>
      </colorScale>
    </cfRule>
  </conditionalFormatting>
  <conditionalFormatting sqref="F29:F32">
    <cfRule type="colorScale" priority="7459">
      <colorScale>
        <cfvo type="min"/>
        <cfvo type="percentile" val="50"/>
        <cfvo type="max"/>
        <color rgb="FFF8696B"/>
        <color rgb="FFFFEB84"/>
        <color rgb="FF63BE7B"/>
      </colorScale>
    </cfRule>
  </conditionalFormatting>
  <conditionalFormatting sqref="F29:F32">
    <cfRule type="colorScale" priority="7458">
      <colorScale>
        <cfvo type="min"/>
        <cfvo type="percentile" val="50"/>
        <cfvo type="max"/>
        <color rgb="FFF8696B"/>
        <color rgb="FFFFEB84"/>
        <color rgb="FF63BE7B"/>
      </colorScale>
    </cfRule>
  </conditionalFormatting>
  <conditionalFormatting sqref="F29:F32">
    <cfRule type="colorScale" priority="7457">
      <colorScale>
        <cfvo type="min"/>
        <cfvo type="percentile" val="50"/>
        <cfvo type="max"/>
        <color rgb="FFF8696B"/>
        <color rgb="FFFFEB84"/>
        <color rgb="FF63BE7B"/>
      </colorScale>
    </cfRule>
  </conditionalFormatting>
  <conditionalFormatting sqref="F29:F32">
    <cfRule type="colorScale" priority="7456">
      <colorScale>
        <cfvo type="min"/>
        <cfvo type="percentile" val="50"/>
        <cfvo type="max"/>
        <color rgb="FFF8696B"/>
        <color rgb="FFFFEB84"/>
        <color rgb="FF63BE7B"/>
      </colorScale>
    </cfRule>
  </conditionalFormatting>
  <conditionalFormatting sqref="F29:F32">
    <cfRule type="colorScale" priority="7455">
      <colorScale>
        <cfvo type="min"/>
        <cfvo type="percentile" val="50"/>
        <cfvo type="max"/>
        <color rgb="FFF8696B"/>
        <color rgb="FFFFEB84"/>
        <color rgb="FF63BE7B"/>
      </colorScale>
    </cfRule>
  </conditionalFormatting>
  <conditionalFormatting sqref="F29:F32">
    <cfRule type="colorScale" priority="7454">
      <colorScale>
        <cfvo type="min"/>
        <cfvo type="percentile" val="50"/>
        <cfvo type="max"/>
        <color rgb="FFF8696B"/>
        <color rgb="FFFFEB84"/>
        <color rgb="FF63BE7B"/>
      </colorScale>
    </cfRule>
  </conditionalFormatting>
  <conditionalFormatting sqref="F29:F32">
    <cfRule type="colorScale" priority="7453">
      <colorScale>
        <cfvo type="min"/>
        <cfvo type="percentile" val="50"/>
        <cfvo type="max"/>
        <color rgb="FFF8696B"/>
        <color rgb="FFFFEB84"/>
        <color rgb="FF63BE7B"/>
      </colorScale>
    </cfRule>
  </conditionalFormatting>
  <conditionalFormatting sqref="F29:F32">
    <cfRule type="colorScale" priority="7452">
      <colorScale>
        <cfvo type="min"/>
        <cfvo type="percentile" val="50"/>
        <cfvo type="max"/>
        <color rgb="FFF8696B"/>
        <color rgb="FFFFEB84"/>
        <color rgb="FF63BE7B"/>
      </colorScale>
    </cfRule>
  </conditionalFormatting>
  <conditionalFormatting sqref="F29:F32">
    <cfRule type="colorScale" priority="7451">
      <colorScale>
        <cfvo type="min"/>
        <cfvo type="percentile" val="50"/>
        <cfvo type="max"/>
        <color rgb="FFF8696B"/>
        <color rgb="FFFFEB84"/>
        <color rgb="FF63BE7B"/>
      </colorScale>
    </cfRule>
  </conditionalFormatting>
  <conditionalFormatting sqref="F29:F32">
    <cfRule type="colorScale" priority="7450">
      <colorScale>
        <cfvo type="min"/>
        <cfvo type="percentile" val="50"/>
        <cfvo type="max"/>
        <color rgb="FFF8696B"/>
        <color rgb="FFFFEB84"/>
        <color rgb="FF63BE7B"/>
      </colorScale>
    </cfRule>
  </conditionalFormatting>
  <conditionalFormatting sqref="F29:F32">
    <cfRule type="colorScale" priority="7449">
      <colorScale>
        <cfvo type="min"/>
        <cfvo type="percentile" val="50"/>
        <cfvo type="max"/>
        <color rgb="FFF8696B"/>
        <color rgb="FFFFEB84"/>
        <color rgb="FF63BE7B"/>
      </colorScale>
    </cfRule>
  </conditionalFormatting>
  <conditionalFormatting sqref="F29:F32">
    <cfRule type="colorScale" priority="7448">
      <colorScale>
        <cfvo type="min"/>
        <cfvo type="percentile" val="50"/>
        <cfvo type="max"/>
        <color rgb="FFF8696B"/>
        <color rgb="FFFFEB84"/>
        <color rgb="FF63BE7B"/>
      </colorScale>
    </cfRule>
  </conditionalFormatting>
  <conditionalFormatting sqref="F29:F32">
    <cfRule type="colorScale" priority="7447">
      <colorScale>
        <cfvo type="min"/>
        <cfvo type="percentile" val="50"/>
        <cfvo type="max"/>
        <color rgb="FFF8696B"/>
        <color rgb="FFFFEB84"/>
        <color rgb="FF63BE7B"/>
      </colorScale>
    </cfRule>
  </conditionalFormatting>
  <conditionalFormatting sqref="F29:F32">
    <cfRule type="colorScale" priority="7446">
      <colorScale>
        <cfvo type="min"/>
        <cfvo type="percentile" val="50"/>
        <cfvo type="max"/>
        <color rgb="FFF8696B"/>
        <color rgb="FFFFEB84"/>
        <color rgb="FF63BE7B"/>
      </colorScale>
    </cfRule>
  </conditionalFormatting>
  <conditionalFormatting sqref="F29:F32">
    <cfRule type="colorScale" priority="7445">
      <colorScale>
        <cfvo type="min"/>
        <cfvo type="percentile" val="50"/>
        <cfvo type="max"/>
        <color rgb="FFF8696B"/>
        <color rgb="FFFFEB84"/>
        <color rgb="FF63BE7B"/>
      </colorScale>
    </cfRule>
  </conditionalFormatting>
  <conditionalFormatting sqref="F29:F32">
    <cfRule type="colorScale" priority="7444">
      <colorScale>
        <cfvo type="min"/>
        <cfvo type="percentile" val="50"/>
        <cfvo type="max"/>
        <color rgb="FFF8696B"/>
        <color rgb="FFFFEB84"/>
        <color rgb="FF63BE7B"/>
      </colorScale>
    </cfRule>
  </conditionalFormatting>
  <conditionalFormatting sqref="F29:F32">
    <cfRule type="colorScale" priority="7443">
      <colorScale>
        <cfvo type="min"/>
        <cfvo type="percentile" val="50"/>
        <cfvo type="max"/>
        <color rgb="FFF8696B"/>
        <color rgb="FFFFEB84"/>
        <color rgb="FF63BE7B"/>
      </colorScale>
    </cfRule>
  </conditionalFormatting>
  <conditionalFormatting sqref="F29:F32">
    <cfRule type="colorScale" priority="7442">
      <colorScale>
        <cfvo type="min"/>
        <cfvo type="percentile" val="50"/>
        <cfvo type="max"/>
        <color rgb="FFF8696B"/>
        <color rgb="FFFFEB84"/>
        <color rgb="FF63BE7B"/>
      </colorScale>
    </cfRule>
  </conditionalFormatting>
  <conditionalFormatting sqref="F29:F32">
    <cfRule type="colorScale" priority="7441">
      <colorScale>
        <cfvo type="min"/>
        <cfvo type="percentile" val="50"/>
        <cfvo type="max"/>
        <color rgb="FFF8696B"/>
        <color rgb="FFFFEB84"/>
        <color rgb="FF63BE7B"/>
      </colorScale>
    </cfRule>
  </conditionalFormatting>
  <conditionalFormatting sqref="F29:F32">
    <cfRule type="colorScale" priority="7440">
      <colorScale>
        <cfvo type="min"/>
        <cfvo type="percentile" val="50"/>
        <cfvo type="max"/>
        <color rgb="FFF8696B"/>
        <color rgb="FFFFEB84"/>
        <color rgb="FF63BE7B"/>
      </colorScale>
    </cfRule>
  </conditionalFormatting>
  <conditionalFormatting sqref="F29:F32">
    <cfRule type="colorScale" priority="7439">
      <colorScale>
        <cfvo type="min"/>
        <cfvo type="percentile" val="50"/>
        <cfvo type="max"/>
        <color rgb="FFF8696B"/>
        <color rgb="FFFFEB84"/>
        <color rgb="FF63BE7B"/>
      </colorScale>
    </cfRule>
  </conditionalFormatting>
  <conditionalFormatting sqref="F29:F32">
    <cfRule type="colorScale" priority="7438">
      <colorScale>
        <cfvo type="min"/>
        <cfvo type="percentile" val="50"/>
        <cfvo type="max"/>
        <color rgb="FFF8696B"/>
        <color rgb="FFFFEB84"/>
        <color rgb="FF63BE7B"/>
      </colorScale>
    </cfRule>
  </conditionalFormatting>
  <conditionalFormatting sqref="F29:F32">
    <cfRule type="colorScale" priority="7437">
      <colorScale>
        <cfvo type="min"/>
        <cfvo type="percentile" val="50"/>
        <cfvo type="max"/>
        <color rgb="FFF8696B"/>
        <color rgb="FFFFEB84"/>
        <color rgb="FF63BE7B"/>
      </colorScale>
    </cfRule>
  </conditionalFormatting>
  <conditionalFormatting sqref="F29:F32">
    <cfRule type="colorScale" priority="7436">
      <colorScale>
        <cfvo type="min"/>
        <cfvo type="percentile" val="50"/>
        <cfvo type="max"/>
        <color rgb="FFF8696B"/>
        <color rgb="FFFFEB84"/>
        <color rgb="FF63BE7B"/>
      </colorScale>
    </cfRule>
  </conditionalFormatting>
  <conditionalFormatting sqref="F29:F32">
    <cfRule type="colorScale" priority="7435">
      <colorScale>
        <cfvo type="min"/>
        <cfvo type="percentile" val="50"/>
        <cfvo type="max"/>
        <color rgb="FFF8696B"/>
        <color rgb="FFFFEB84"/>
        <color rgb="FF63BE7B"/>
      </colorScale>
    </cfRule>
  </conditionalFormatting>
  <conditionalFormatting sqref="F29:F32">
    <cfRule type="colorScale" priority="7434">
      <colorScale>
        <cfvo type="min"/>
        <cfvo type="percentile" val="50"/>
        <cfvo type="max"/>
        <color rgb="FFF8696B"/>
        <color rgb="FFFFEB84"/>
        <color rgb="FF63BE7B"/>
      </colorScale>
    </cfRule>
  </conditionalFormatting>
  <conditionalFormatting sqref="F29:F32">
    <cfRule type="colorScale" priority="7433">
      <colorScale>
        <cfvo type="min"/>
        <cfvo type="percentile" val="50"/>
        <cfvo type="max"/>
        <color rgb="FFF8696B"/>
        <color rgb="FFFFEB84"/>
        <color rgb="FF63BE7B"/>
      </colorScale>
    </cfRule>
  </conditionalFormatting>
  <conditionalFormatting sqref="F29:F32">
    <cfRule type="colorScale" priority="7432">
      <colorScale>
        <cfvo type="min"/>
        <cfvo type="percentile" val="50"/>
        <cfvo type="max"/>
        <color rgb="FFF8696B"/>
        <color rgb="FFFFEB84"/>
        <color rgb="FF63BE7B"/>
      </colorScale>
    </cfRule>
  </conditionalFormatting>
  <conditionalFormatting sqref="F29:F32">
    <cfRule type="colorScale" priority="7431">
      <colorScale>
        <cfvo type="min"/>
        <cfvo type="percentile" val="50"/>
        <cfvo type="max"/>
        <color rgb="FFF8696B"/>
        <color rgb="FFFFEB84"/>
        <color rgb="FF63BE7B"/>
      </colorScale>
    </cfRule>
  </conditionalFormatting>
  <conditionalFormatting sqref="F29:F32">
    <cfRule type="colorScale" priority="7430">
      <colorScale>
        <cfvo type="min"/>
        <cfvo type="percentile" val="50"/>
        <cfvo type="max"/>
        <color rgb="FFF8696B"/>
        <color rgb="FFFFEB84"/>
        <color rgb="FF63BE7B"/>
      </colorScale>
    </cfRule>
  </conditionalFormatting>
  <conditionalFormatting sqref="F29:F32">
    <cfRule type="colorScale" priority="7429">
      <colorScale>
        <cfvo type="min"/>
        <cfvo type="percentile" val="50"/>
        <cfvo type="max"/>
        <color rgb="FFF8696B"/>
        <color rgb="FFFFEB84"/>
        <color rgb="FF63BE7B"/>
      </colorScale>
    </cfRule>
  </conditionalFormatting>
  <conditionalFormatting sqref="F29:F32">
    <cfRule type="colorScale" priority="7428">
      <colorScale>
        <cfvo type="min"/>
        <cfvo type="percentile" val="50"/>
        <cfvo type="max"/>
        <color rgb="FFF8696B"/>
        <color rgb="FFFFEB84"/>
        <color rgb="FF63BE7B"/>
      </colorScale>
    </cfRule>
  </conditionalFormatting>
  <conditionalFormatting sqref="F29:F32">
    <cfRule type="colorScale" priority="7427">
      <colorScale>
        <cfvo type="min"/>
        <cfvo type="percentile" val="50"/>
        <cfvo type="max"/>
        <color rgb="FFF8696B"/>
        <color rgb="FFFFEB84"/>
        <color rgb="FF63BE7B"/>
      </colorScale>
    </cfRule>
  </conditionalFormatting>
  <conditionalFormatting sqref="F29:F32">
    <cfRule type="colorScale" priority="7426">
      <colorScale>
        <cfvo type="min"/>
        <cfvo type="percentile" val="50"/>
        <cfvo type="max"/>
        <color rgb="FFF8696B"/>
        <color rgb="FFFFEB84"/>
        <color rgb="FF63BE7B"/>
      </colorScale>
    </cfRule>
  </conditionalFormatting>
  <conditionalFormatting sqref="F29:F32">
    <cfRule type="colorScale" priority="7425">
      <colorScale>
        <cfvo type="min"/>
        <cfvo type="percentile" val="50"/>
        <cfvo type="max"/>
        <color rgb="FFF8696B"/>
        <color rgb="FFFFEB84"/>
        <color rgb="FF63BE7B"/>
      </colorScale>
    </cfRule>
  </conditionalFormatting>
  <conditionalFormatting sqref="F29:F32">
    <cfRule type="colorScale" priority="7424">
      <colorScale>
        <cfvo type="min"/>
        <cfvo type="percentile" val="50"/>
        <cfvo type="max"/>
        <color rgb="FFF8696B"/>
        <color rgb="FFFFEB84"/>
        <color rgb="FF63BE7B"/>
      </colorScale>
    </cfRule>
  </conditionalFormatting>
  <conditionalFormatting sqref="F29:F32">
    <cfRule type="colorScale" priority="7423">
      <colorScale>
        <cfvo type="min"/>
        <cfvo type="percentile" val="50"/>
        <cfvo type="max"/>
        <color rgb="FFF8696B"/>
        <color rgb="FFFFEB84"/>
        <color rgb="FF63BE7B"/>
      </colorScale>
    </cfRule>
  </conditionalFormatting>
  <conditionalFormatting sqref="F29:F32">
    <cfRule type="colorScale" priority="7422">
      <colorScale>
        <cfvo type="min"/>
        <cfvo type="percentile" val="50"/>
        <cfvo type="max"/>
        <color rgb="FFF8696B"/>
        <color rgb="FFFFEB84"/>
        <color rgb="FF63BE7B"/>
      </colorScale>
    </cfRule>
  </conditionalFormatting>
  <conditionalFormatting sqref="F29:F32">
    <cfRule type="colorScale" priority="7421">
      <colorScale>
        <cfvo type="min"/>
        <cfvo type="percentile" val="50"/>
        <cfvo type="max"/>
        <color rgb="FFF8696B"/>
        <color rgb="FFFFEB84"/>
        <color rgb="FF63BE7B"/>
      </colorScale>
    </cfRule>
  </conditionalFormatting>
  <conditionalFormatting sqref="F29:F32">
    <cfRule type="colorScale" priority="7420">
      <colorScale>
        <cfvo type="min"/>
        <cfvo type="percentile" val="50"/>
        <cfvo type="max"/>
        <color rgb="FFF8696B"/>
        <color rgb="FFFFEB84"/>
        <color rgb="FF63BE7B"/>
      </colorScale>
    </cfRule>
  </conditionalFormatting>
  <conditionalFormatting sqref="F29:F32">
    <cfRule type="colorScale" priority="7419">
      <colorScale>
        <cfvo type="min"/>
        <cfvo type="percentile" val="50"/>
        <cfvo type="max"/>
        <color rgb="FFF8696B"/>
        <color rgb="FFFFEB84"/>
        <color rgb="FF63BE7B"/>
      </colorScale>
    </cfRule>
  </conditionalFormatting>
  <conditionalFormatting sqref="F11:F31">
    <cfRule type="colorScale" priority="7418">
      <colorScale>
        <cfvo type="min"/>
        <cfvo type="percentile" val="50"/>
        <cfvo type="max"/>
        <color rgb="FFF8696B"/>
        <color rgb="FFFFEB84"/>
        <color rgb="FF63BE7B"/>
      </colorScale>
    </cfRule>
  </conditionalFormatting>
  <conditionalFormatting sqref="F11:F31">
    <cfRule type="colorScale" priority="7417">
      <colorScale>
        <cfvo type="min"/>
        <cfvo type="percentile" val="50"/>
        <cfvo type="max"/>
        <color rgb="FFF8696B"/>
        <color rgb="FFFFEB84"/>
        <color rgb="FF63BE7B"/>
      </colorScale>
    </cfRule>
  </conditionalFormatting>
  <conditionalFormatting sqref="F11:F31">
    <cfRule type="colorScale" priority="7416">
      <colorScale>
        <cfvo type="min"/>
        <cfvo type="percentile" val="50"/>
        <cfvo type="max"/>
        <color rgb="FFF8696B"/>
        <color rgb="FFFFEB84"/>
        <color rgb="FF63BE7B"/>
      </colorScale>
    </cfRule>
  </conditionalFormatting>
  <conditionalFormatting sqref="F11:F31">
    <cfRule type="colorScale" priority="7415">
      <colorScale>
        <cfvo type="min"/>
        <cfvo type="percentile" val="50"/>
        <cfvo type="max"/>
        <color rgb="FFF8696B"/>
        <color rgb="FFFFEB84"/>
        <color rgb="FF63BE7B"/>
      </colorScale>
    </cfRule>
  </conditionalFormatting>
  <conditionalFormatting sqref="F11:F31">
    <cfRule type="colorScale" priority="7414">
      <colorScale>
        <cfvo type="min"/>
        <cfvo type="percentile" val="50"/>
        <cfvo type="max"/>
        <color rgb="FFF8696B"/>
        <color rgb="FFFFEB84"/>
        <color rgb="FF63BE7B"/>
      </colorScale>
    </cfRule>
  </conditionalFormatting>
  <conditionalFormatting sqref="F11:F31">
    <cfRule type="colorScale" priority="7413">
      <colorScale>
        <cfvo type="min"/>
        <cfvo type="percentile" val="50"/>
        <cfvo type="max"/>
        <color rgb="FFF8696B"/>
        <color rgb="FFFFEB84"/>
        <color rgb="FF63BE7B"/>
      </colorScale>
    </cfRule>
  </conditionalFormatting>
  <conditionalFormatting sqref="F11:F31">
    <cfRule type="colorScale" priority="7412">
      <colorScale>
        <cfvo type="min"/>
        <cfvo type="percentile" val="50"/>
        <cfvo type="max"/>
        <color rgb="FFF8696B"/>
        <color rgb="FFFFEB84"/>
        <color rgb="FF63BE7B"/>
      </colorScale>
    </cfRule>
  </conditionalFormatting>
  <conditionalFormatting sqref="F11:F31">
    <cfRule type="colorScale" priority="7411">
      <colorScale>
        <cfvo type="min"/>
        <cfvo type="percentile" val="50"/>
        <cfvo type="max"/>
        <color rgb="FFF8696B"/>
        <color rgb="FFFFEB84"/>
        <color rgb="FF63BE7B"/>
      </colorScale>
    </cfRule>
  </conditionalFormatting>
  <conditionalFormatting sqref="F11:F31">
    <cfRule type="colorScale" priority="7410">
      <colorScale>
        <cfvo type="min"/>
        <cfvo type="percentile" val="50"/>
        <cfvo type="max"/>
        <color rgb="FFF8696B"/>
        <color rgb="FFFFEB84"/>
        <color rgb="FF63BE7B"/>
      </colorScale>
    </cfRule>
  </conditionalFormatting>
  <conditionalFormatting sqref="F11:F31">
    <cfRule type="colorScale" priority="7409">
      <colorScale>
        <cfvo type="min"/>
        <cfvo type="percentile" val="50"/>
        <cfvo type="max"/>
        <color rgb="FFF8696B"/>
        <color rgb="FFFFEB84"/>
        <color rgb="FF63BE7B"/>
      </colorScale>
    </cfRule>
  </conditionalFormatting>
  <conditionalFormatting sqref="F11:F31">
    <cfRule type="colorScale" priority="7408">
      <colorScale>
        <cfvo type="min"/>
        <cfvo type="percentile" val="50"/>
        <cfvo type="max"/>
        <color rgb="FFF8696B"/>
        <color rgb="FFFFEB84"/>
        <color rgb="FF63BE7B"/>
      </colorScale>
    </cfRule>
  </conditionalFormatting>
  <conditionalFormatting sqref="F11:F31">
    <cfRule type="colorScale" priority="7407">
      <colorScale>
        <cfvo type="min"/>
        <cfvo type="percentile" val="50"/>
        <cfvo type="max"/>
        <color rgb="FFF8696B"/>
        <color rgb="FFFFEB84"/>
        <color rgb="FF63BE7B"/>
      </colorScale>
    </cfRule>
  </conditionalFormatting>
  <conditionalFormatting sqref="F11:F31">
    <cfRule type="colorScale" priority="7406">
      <colorScale>
        <cfvo type="min"/>
        <cfvo type="percentile" val="50"/>
        <cfvo type="max"/>
        <color rgb="FFF8696B"/>
        <color rgb="FFFFEB84"/>
        <color rgb="FF63BE7B"/>
      </colorScale>
    </cfRule>
  </conditionalFormatting>
  <conditionalFormatting sqref="F11:F31">
    <cfRule type="colorScale" priority="7405">
      <colorScale>
        <cfvo type="min"/>
        <cfvo type="percentile" val="50"/>
        <cfvo type="max"/>
        <color rgb="FFF8696B"/>
        <color rgb="FFFFEB84"/>
        <color rgb="FF63BE7B"/>
      </colorScale>
    </cfRule>
  </conditionalFormatting>
  <conditionalFormatting sqref="F11:F31">
    <cfRule type="colorScale" priority="7404">
      <colorScale>
        <cfvo type="min"/>
        <cfvo type="percentile" val="50"/>
        <cfvo type="max"/>
        <color rgb="FFF8696B"/>
        <color rgb="FFFFEB84"/>
        <color rgb="FF63BE7B"/>
      </colorScale>
    </cfRule>
  </conditionalFormatting>
  <conditionalFormatting sqref="F11:F31">
    <cfRule type="colorScale" priority="7403">
      <colorScale>
        <cfvo type="min"/>
        <cfvo type="percentile" val="50"/>
        <cfvo type="max"/>
        <color rgb="FFF8696B"/>
        <color rgb="FFFFEB84"/>
        <color rgb="FF63BE7B"/>
      </colorScale>
    </cfRule>
  </conditionalFormatting>
  <conditionalFormatting sqref="F11:F31">
    <cfRule type="colorScale" priority="7402">
      <colorScale>
        <cfvo type="min"/>
        <cfvo type="percentile" val="50"/>
        <cfvo type="max"/>
        <color rgb="FFF8696B"/>
        <color rgb="FFFFEB84"/>
        <color rgb="FF63BE7B"/>
      </colorScale>
    </cfRule>
  </conditionalFormatting>
  <conditionalFormatting sqref="F11:F31">
    <cfRule type="colorScale" priority="7401">
      <colorScale>
        <cfvo type="min"/>
        <cfvo type="percentile" val="50"/>
        <cfvo type="max"/>
        <color rgb="FFF8696B"/>
        <color rgb="FFFFEB84"/>
        <color rgb="FF63BE7B"/>
      </colorScale>
    </cfRule>
  </conditionalFormatting>
  <conditionalFormatting sqref="F11:F31">
    <cfRule type="colorScale" priority="7400">
      <colorScale>
        <cfvo type="min"/>
        <cfvo type="percentile" val="50"/>
        <cfvo type="max"/>
        <color rgb="FFF8696B"/>
        <color rgb="FFFFEB84"/>
        <color rgb="FF63BE7B"/>
      </colorScale>
    </cfRule>
  </conditionalFormatting>
  <conditionalFormatting sqref="F11:F31">
    <cfRule type="colorScale" priority="7399">
      <colorScale>
        <cfvo type="min"/>
        <cfvo type="percentile" val="50"/>
        <cfvo type="max"/>
        <color rgb="FFF8696B"/>
        <color rgb="FFFFEB84"/>
        <color rgb="FF63BE7B"/>
      </colorScale>
    </cfRule>
  </conditionalFormatting>
  <conditionalFormatting sqref="F11:F31">
    <cfRule type="colorScale" priority="7398">
      <colorScale>
        <cfvo type="min"/>
        <cfvo type="percentile" val="50"/>
        <cfvo type="max"/>
        <color rgb="FFF8696B"/>
        <color rgb="FFFFEB84"/>
        <color rgb="FF63BE7B"/>
      </colorScale>
    </cfRule>
  </conditionalFormatting>
  <conditionalFormatting sqref="F11:F31">
    <cfRule type="colorScale" priority="7397">
      <colorScale>
        <cfvo type="min"/>
        <cfvo type="percentile" val="50"/>
        <cfvo type="max"/>
        <color rgb="FFF8696B"/>
        <color rgb="FFFFEB84"/>
        <color rgb="FF63BE7B"/>
      </colorScale>
    </cfRule>
  </conditionalFormatting>
  <conditionalFormatting sqref="F11:F31">
    <cfRule type="colorScale" priority="7396">
      <colorScale>
        <cfvo type="min"/>
        <cfvo type="percentile" val="50"/>
        <cfvo type="max"/>
        <color rgb="FFF8696B"/>
        <color rgb="FFFFEB84"/>
        <color rgb="FF63BE7B"/>
      </colorScale>
    </cfRule>
  </conditionalFormatting>
  <conditionalFormatting sqref="F11:F31">
    <cfRule type="colorScale" priority="7395">
      <colorScale>
        <cfvo type="min"/>
        <cfvo type="percentile" val="50"/>
        <cfvo type="max"/>
        <color rgb="FFF8696B"/>
        <color rgb="FFFFEB84"/>
        <color rgb="FF63BE7B"/>
      </colorScale>
    </cfRule>
  </conditionalFormatting>
  <conditionalFormatting sqref="F11:F31">
    <cfRule type="colorScale" priority="7394">
      <colorScale>
        <cfvo type="min"/>
        <cfvo type="percentile" val="50"/>
        <cfvo type="max"/>
        <color rgb="FFF8696B"/>
        <color rgb="FFFFEB84"/>
        <color rgb="FF63BE7B"/>
      </colorScale>
    </cfRule>
  </conditionalFormatting>
  <conditionalFormatting sqref="F11:F31">
    <cfRule type="colorScale" priority="7393">
      <colorScale>
        <cfvo type="min"/>
        <cfvo type="percentile" val="50"/>
        <cfvo type="max"/>
        <color rgb="FFF8696B"/>
        <color rgb="FFFFEB84"/>
        <color rgb="FF63BE7B"/>
      </colorScale>
    </cfRule>
  </conditionalFormatting>
  <conditionalFormatting sqref="F11:F31">
    <cfRule type="colorScale" priority="7392">
      <colorScale>
        <cfvo type="min"/>
        <cfvo type="percentile" val="50"/>
        <cfvo type="max"/>
        <color rgb="FFF8696B"/>
        <color rgb="FFFFEB84"/>
        <color rgb="FF63BE7B"/>
      </colorScale>
    </cfRule>
  </conditionalFormatting>
  <conditionalFormatting sqref="F11:F31">
    <cfRule type="colorScale" priority="7391">
      <colorScale>
        <cfvo type="min"/>
        <cfvo type="percentile" val="50"/>
        <cfvo type="max"/>
        <color rgb="FFF8696B"/>
        <color rgb="FFFFEB84"/>
        <color rgb="FF63BE7B"/>
      </colorScale>
    </cfRule>
  </conditionalFormatting>
  <conditionalFormatting sqref="F11:F31">
    <cfRule type="colorScale" priority="7390">
      <colorScale>
        <cfvo type="min"/>
        <cfvo type="percentile" val="50"/>
        <cfvo type="max"/>
        <color rgb="FFF8696B"/>
        <color rgb="FFFFEB84"/>
        <color rgb="FF63BE7B"/>
      </colorScale>
    </cfRule>
  </conditionalFormatting>
  <conditionalFormatting sqref="F11:F31">
    <cfRule type="colorScale" priority="7389">
      <colorScale>
        <cfvo type="min"/>
        <cfvo type="percentile" val="50"/>
        <cfvo type="max"/>
        <color rgb="FFF8696B"/>
        <color rgb="FFFFEB84"/>
        <color rgb="FF63BE7B"/>
      </colorScale>
    </cfRule>
  </conditionalFormatting>
  <conditionalFormatting sqref="F11:F31">
    <cfRule type="colorScale" priority="7388">
      <colorScale>
        <cfvo type="min"/>
        <cfvo type="percentile" val="50"/>
        <cfvo type="max"/>
        <color rgb="FFF8696B"/>
        <color rgb="FFFFEB84"/>
        <color rgb="FF63BE7B"/>
      </colorScale>
    </cfRule>
  </conditionalFormatting>
  <conditionalFormatting sqref="F11:F31">
    <cfRule type="colorScale" priority="7387">
      <colorScale>
        <cfvo type="min"/>
        <cfvo type="percentile" val="50"/>
        <cfvo type="max"/>
        <color rgb="FFF8696B"/>
        <color rgb="FFFFEB84"/>
        <color rgb="FF63BE7B"/>
      </colorScale>
    </cfRule>
  </conditionalFormatting>
  <conditionalFormatting sqref="F11:F31">
    <cfRule type="colorScale" priority="7386">
      <colorScale>
        <cfvo type="min"/>
        <cfvo type="percentile" val="50"/>
        <cfvo type="max"/>
        <color rgb="FFF8696B"/>
        <color rgb="FFFFEB84"/>
        <color rgb="FF63BE7B"/>
      </colorScale>
    </cfRule>
  </conditionalFormatting>
  <conditionalFormatting sqref="F11:F31">
    <cfRule type="colorScale" priority="7385">
      <colorScale>
        <cfvo type="min"/>
        <cfvo type="percentile" val="50"/>
        <cfvo type="max"/>
        <color rgb="FFF8696B"/>
        <color rgb="FFFFEB84"/>
        <color rgb="FF63BE7B"/>
      </colorScale>
    </cfRule>
  </conditionalFormatting>
  <conditionalFormatting sqref="F11:F31">
    <cfRule type="colorScale" priority="7384">
      <colorScale>
        <cfvo type="min"/>
        <cfvo type="percentile" val="50"/>
        <cfvo type="max"/>
        <color rgb="FFF8696B"/>
        <color rgb="FFFFEB84"/>
        <color rgb="FF63BE7B"/>
      </colorScale>
    </cfRule>
  </conditionalFormatting>
  <conditionalFormatting sqref="F11:F31">
    <cfRule type="colorScale" priority="7383">
      <colorScale>
        <cfvo type="min"/>
        <cfvo type="percentile" val="50"/>
        <cfvo type="max"/>
        <color rgb="FFF8696B"/>
        <color rgb="FFFFEB84"/>
        <color rgb="FF63BE7B"/>
      </colorScale>
    </cfRule>
  </conditionalFormatting>
  <conditionalFormatting sqref="F11:F31">
    <cfRule type="colorScale" priority="7382">
      <colorScale>
        <cfvo type="min"/>
        <cfvo type="percentile" val="50"/>
        <cfvo type="max"/>
        <color rgb="FFF8696B"/>
        <color rgb="FFFFEB84"/>
        <color rgb="FF63BE7B"/>
      </colorScale>
    </cfRule>
  </conditionalFormatting>
  <conditionalFormatting sqref="F11:F31">
    <cfRule type="colorScale" priority="7381">
      <colorScale>
        <cfvo type="min"/>
        <cfvo type="percentile" val="50"/>
        <cfvo type="max"/>
        <color rgb="FFF8696B"/>
        <color rgb="FFFFEB84"/>
        <color rgb="FF63BE7B"/>
      </colorScale>
    </cfRule>
  </conditionalFormatting>
  <conditionalFormatting sqref="F11:F31">
    <cfRule type="colorScale" priority="7380">
      <colorScale>
        <cfvo type="min"/>
        <cfvo type="percentile" val="50"/>
        <cfvo type="max"/>
        <color rgb="FFF8696B"/>
        <color rgb="FFFFEB84"/>
        <color rgb="FF63BE7B"/>
      </colorScale>
    </cfRule>
  </conditionalFormatting>
  <conditionalFormatting sqref="F11:F31">
    <cfRule type="colorScale" priority="7379">
      <colorScale>
        <cfvo type="min"/>
        <cfvo type="percentile" val="50"/>
        <cfvo type="max"/>
        <color rgb="FFF8696B"/>
        <color rgb="FFFFEB84"/>
        <color rgb="FF63BE7B"/>
      </colorScale>
    </cfRule>
  </conditionalFormatting>
  <conditionalFormatting sqref="F11:F31">
    <cfRule type="colorScale" priority="7378">
      <colorScale>
        <cfvo type="min"/>
        <cfvo type="percentile" val="50"/>
        <cfvo type="max"/>
        <color rgb="FFF8696B"/>
        <color rgb="FFFFEB84"/>
        <color rgb="FF63BE7B"/>
      </colorScale>
    </cfRule>
  </conditionalFormatting>
  <conditionalFormatting sqref="F11:F31">
    <cfRule type="colorScale" priority="7377">
      <colorScale>
        <cfvo type="min"/>
        <cfvo type="percentile" val="50"/>
        <cfvo type="max"/>
        <color rgb="FFF8696B"/>
        <color rgb="FFFFEB84"/>
        <color rgb="FF63BE7B"/>
      </colorScale>
    </cfRule>
  </conditionalFormatting>
  <conditionalFormatting sqref="F11:F31">
    <cfRule type="colorScale" priority="7376">
      <colorScale>
        <cfvo type="min"/>
        <cfvo type="percentile" val="50"/>
        <cfvo type="max"/>
        <color rgb="FFF8696B"/>
        <color rgb="FFFFEB84"/>
        <color rgb="FF63BE7B"/>
      </colorScale>
    </cfRule>
  </conditionalFormatting>
  <conditionalFormatting sqref="F11:F31">
    <cfRule type="colorScale" priority="7375">
      <colorScale>
        <cfvo type="min"/>
        <cfvo type="percentile" val="50"/>
        <cfvo type="max"/>
        <color rgb="FFF8696B"/>
        <color rgb="FFFFEB84"/>
        <color rgb="FF63BE7B"/>
      </colorScale>
    </cfRule>
  </conditionalFormatting>
  <conditionalFormatting sqref="F11:F31">
    <cfRule type="colorScale" priority="7374">
      <colorScale>
        <cfvo type="min"/>
        <cfvo type="percentile" val="50"/>
        <cfvo type="max"/>
        <color rgb="FFF8696B"/>
        <color rgb="FFFFEB84"/>
        <color rgb="FF63BE7B"/>
      </colorScale>
    </cfRule>
  </conditionalFormatting>
  <conditionalFormatting sqref="F11:F31">
    <cfRule type="colorScale" priority="7373">
      <colorScale>
        <cfvo type="min"/>
        <cfvo type="percentile" val="50"/>
        <cfvo type="max"/>
        <color rgb="FFF8696B"/>
        <color rgb="FFFFEB84"/>
        <color rgb="FF63BE7B"/>
      </colorScale>
    </cfRule>
  </conditionalFormatting>
  <conditionalFormatting sqref="F11:F31">
    <cfRule type="colorScale" priority="7372">
      <colorScale>
        <cfvo type="min"/>
        <cfvo type="percentile" val="50"/>
        <cfvo type="max"/>
        <color rgb="FFF8696B"/>
        <color rgb="FFFFEB84"/>
        <color rgb="FF63BE7B"/>
      </colorScale>
    </cfRule>
  </conditionalFormatting>
  <conditionalFormatting sqref="F11:F31">
    <cfRule type="colorScale" priority="7371">
      <colorScale>
        <cfvo type="min"/>
        <cfvo type="percentile" val="50"/>
        <cfvo type="max"/>
        <color rgb="FFF8696B"/>
        <color rgb="FFFFEB84"/>
        <color rgb="FF63BE7B"/>
      </colorScale>
    </cfRule>
  </conditionalFormatting>
  <conditionalFormatting sqref="F11:F31">
    <cfRule type="colorScale" priority="7370">
      <colorScale>
        <cfvo type="min"/>
        <cfvo type="percentile" val="50"/>
        <cfvo type="max"/>
        <color rgb="FFF8696B"/>
        <color rgb="FFFFEB84"/>
        <color rgb="FF63BE7B"/>
      </colorScale>
    </cfRule>
  </conditionalFormatting>
  <conditionalFormatting sqref="F11:F31">
    <cfRule type="colorScale" priority="7369">
      <colorScale>
        <cfvo type="min"/>
        <cfvo type="percentile" val="50"/>
        <cfvo type="max"/>
        <color rgb="FFF8696B"/>
        <color rgb="FFFFEB84"/>
        <color rgb="FF63BE7B"/>
      </colorScale>
    </cfRule>
  </conditionalFormatting>
  <conditionalFormatting sqref="F11:F31">
    <cfRule type="colorScale" priority="7368">
      <colorScale>
        <cfvo type="min"/>
        <cfvo type="percentile" val="50"/>
        <cfvo type="max"/>
        <color rgb="FFF8696B"/>
        <color rgb="FFFFEB84"/>
        <color rgb="FF63BE7B"/>
      </colorScale>
    </cfRule>
  </conditionalFormatting>
  <conditionalFormatting sqref="F11:F31">
    <cfRule type="colorScale" priority="7367">
      <colorScale>
        <cfvo type="min"/>
        <cfvo type="percentile" val="50"/>
        <cfvo type="max"/>
        <color rgb="FFF8696B"/>
        <color rgb="FFFFEB84"/>
        <color rgb="FF63BE7B"/>
      </colorScale>
    </cfRule>
  </conditionalFormatting>
  <conditionalFormatting sqref="F11:F31">
    <cfRule type="colorScale" priority="7366">
      <colorScale>
        <cfvo type="min"/>
        <cfvo type="percentile" val="50"/>
        <cfvo type="max"/>
        <color rgb="FFF8696B"/>
        <color rgb="FFFFEB84"/>
        <color rgb="FF63BE7B"/>
      </colorScale>
    </cfRule>
  </conditionalFormatting>
  <conditionalFormatting sqref="F11:F31">
    <cfRule type="colorScale" priority="7365">
      <colorScale>
        <cfvo type="min"/>
        <cfvo type="percentile" val="50"/>
        <cfvo type="max"/>
        <color rgb="FFF8696B"/>
        <color rgb="FFFFEB84"/>
        <color rgb="FF63BE7B"/>
      </colorScale>
    </cfRule>
  </conditionalFormatting>
  <conditionalFormatting sqref="F11:F31">
    <cfRule type="colorScale" priority="7364">
      <colorScale>
        <cfvo type="min"/>
        <cfvo type="percentile" val="50"/>
        <cfvo type="max"/>
        <color rgb="FFF8696B"/>
        <color rgb="FFFFEB84"/>
        <color rgb="FF63BE7B"/>
      </colorScale>
    </cfRule>
  </conditionalFormatting>
  <conditionalFormatting sqref="F11:F31">
    <cfRule type="colorScale" priority="7363">
      <colorScale>
        <cfvo type="min"/>
        <cfvo type="percentile" val="50"/>
        <cfvo type="max"/>
        <color rgb="FFF8696B"/>
        <color rgb="FFFFEB84"/>
        <color rgb="FF63BE7B"/>
      </colorScale>
    </cfRule>
  </conditionalFormatting>
  <conditionalFormatting sqref="F11:F31">
    <cfRule type="colorScale" priority="7362">
      <colorScale>
        <cfvo type="min"/>
        <cfvo type="percentile" val="50"/>
        <cfvo type="max"/>
        <color rgb="FFF8696B"/>
        <color rgb="FFFFEB84"/>
        <color rgb="FF63BE7B"/>
      </colorScale>
    </cfRule>
  </conditionalFormatting>
  <conditionalFormatting sqref="F11:F31">
    <cfRule type="colorScale" priority="7361">
      <colorScale>
        <cfvo type="min"/>
        <cfvo type="percentile" val="50"/>
        <cfvo type="max"/>
        <color rgb="FFF8696B"/>
        <color rgb="FFFFEB84"/>
        <color rgb="FF63BE7B"/>
      </colorScale>
    </cfRule>
  </conditionalFormatting>
  <conditionalFormatting sqref="F11:F31">
    <cfRule type="colorScale" priority="7360">
      <colorScale>
        <cfvo type="min"/>
        <cfvo type="percentile" val="50"/>
        <cfvo type="max"/>
        <color rgb="FFF8696B"/>
        <color rgb="FFFFEB84"/>
        <color rgb="FF63BE7B"/>
      </colorScale>
    </cfRule>
  </conditionalFormatting>
  <conditionalFormatting sqref="F11:F31">
    <cfRule type="colorScale" priority="7359">
      <colorScale>
        <cfvo type="min"/>
        <cfvo type="percentile" val="50"/>
        <cfvo type="max"/>
        <color rgb="FFF8696B"/>
        <color rgb="FFFFEB84"/>
        <color rgb="FF63BE7B"/>
      </colorScale>
    </cfRule>
  </conditionalFormatting>
  <conditionalFormatting sqref="F11:F31">
    <cfRule type="colorScale" priority="7358">
      <colorScale>
        <cfvo type="min"/>
        <cfvo type="percentile" val="50"/>
        <cfvo type="max"/>
        <color rgb="FFF8696B"/>
        <color rgb="FFFFEB84"/>
        <color rgb="FF63BE7B"/>
      </colorScale>
    </cfRule>
  </conditionalFormatting>
  <conditionalFormatting sqref="F11:F31">
    <cfRule type="colorScale" priority="7357">
      <colorScale>
        <cfvo type="min"/>
        <cfvo type="percentile" val="50"/>
        <cfvo type="max"/>
        <color rgb="FFF8696B"/>
        <color rgb="FFFFEB84"/>
        <color rgb="FF63BE7B"/>
      </colorScale>
    </cfRule>
  </conditionalFormatting>
  <conditionalFormatting sqref="F11:F31">
    <cfRule type="colorScale" priority="7356">
      <colorScale>
        <cfvo type="min"/>
        <cfvo type="percentile" val="50"/>
        <cfvo type="max"/>
        <color rgb="FFF8696B"/>
        <color rgb="FFFFEB84"/>
        <color rgb="FF63BE7B"/>
      </colorScale>
    </cfRule>
  </conditionalFormatting>
  <conditionalFormatting sqref="F11:F31">
    <cfRule type="colorScale" priority="7355">
      <colorScale>
        <cfvo type="min"/>
        <cfvo type="percentile" val="50"/>
        <cfvo type="max"/>
        <color rgb="FFF8696B"/>
        <color rgb="FFFFEB84"/>
        <color rgb="FF63BE7B"/>
      </colorScale>
    </cfRule>
  </conditionalFormatting>
  <conditionalFormatting sqref="F11:F31">
    <cfRule type="colorScale" priority="7354">
      <colorScale>
        <cfvo type="min"/>
        <cfvo type="percentile" val="50"/>
        <cfvo type="max"/>
        <color rgb="FFF8696B"/>
        <color rgb="FFFFEB84"/>
        <color rgb="FF63BE7B"/>
      </colorScale>
    </cfRule>
  </conditionalFormatting>
  <conditionalFormatting sqref="F11:F31">
    <cfRule type="colorScale" priority="7353">
      <colorScale>
        <cfvo type="min"/>
        <cfvo type="percentile" val="50"/>
        <cfvo type="max"/>
        <color rgb="FFF8696B"/>
        <color rgb="FFFFEB84"/>
        <color rgb="FF63BE7B"/>
      </colorScale>
    </cfRule>
  </conditionalFormatting>
  <conditionalFormatting sqref="F11:F31">
    <cfRule type="colorScale" priority="7352">
      <colorScale>
        <cfvo type="min"/>
        <cfvo type="percentile" val="50"/>
        <cfvo type="max"/>
        <color rgb="FFF8696B"/>
        <color rgb="FFFFEB84"/>
        <color rgb="FF63BE7B"/>
      </colorScale>
    </cfRule>
  </conditionalFormatting>
  <conditionalFormatting sqref="F11:F31">
    <cfRule type="colorScale" priority="7351">
      <colorScale>
        <cfvo type="min"/>
        <cfvo type="percentile" val="50"/>
        <cfvo type="max"/>
        <color rgb="FFF8696B"/>
        <color rgb="FFFFEB84"/>
        <color rgb="FF63BE7B"/>
      </colorScale>
    </cfRule>
  </conditionalFormatting>
  <conditionalFormatting sqref="F11:F31">
    <cfRule type="colorScale" priority="7350">
      <colorScale>
        <cfvo type="min"/>
        <cfvo type="percentile" val="50"/>
        <cfvo type="max"/>
        <color rgb="FFF8696B"/>
        <color rgb="FFFFEB84"/>
        <color rgb="FF63BE7B"/>
      </colorScale>
    </cfRule>
  </conditionalFormatting>
  <conditionalFormatting sqref="F11:F31">
    <cfRule type="colorScale" priority="7349">
      <colorScale>
        <cfvo type="min"/>
        <cfvo type="percentile" val="50"/>
        <cfvo type="max"/>
        <color rgb="FFF8696B"/>
        <color rgb="FFFFEB84"/>
        <color rgb="FF63BE7B"/>
      </colorScale>
    </cfRule>
  </conditionalFormatting>
  <conditionalFormatting sqref="F11:F31">
    <cfRule type="colorScale" priority="7348">
      <colorScale>
        <cfvo type="min"/>
        <cfvo type="percentile" val="50"/>
        <cfvo type="max"/>
        <color rgb="FFF8696B"/>
        <color rgb="FFFFEB84"/>
        <color rgb="FF63BE7B"/>
      </colorScale>
    </cfRule>
  </conditionalFormatting>
  <conditionalFormatting sqref="F11:F31">
    <cfRule type="colorScale" priority="7347">
      <colorScale>
        <cfvo type="min"/>
        <cfvo type="percentile" val="50"/>
        <cfvo type="max"/>
        <color rgb="FFF8696B"/>
        <color rgb="FFFFEB84"/>
        <color rgb="FF63BE7B"/>
      </colorScale>
    </cfRule>
  </conditionalFormatting>
  <conditionalFormatting sqref="F11:F31">
    <cfRule type="colorScale" priority="7346">
      <colorScale>
        <cfvo type="min"/>
        <cfvo type="percentile" val="50"/>
        <cfvo type="max"/>
        <color rgb="FFF8696B"/>
        <color rgb="FFFFEB84"/>
        <color rgb="FF63BE7B"/>
      </colorScale>
    </cfRule>
  </conditionalFormatting>
  <conditionalFormatting sqref="F11:F31">
    <cfRule type="colorScale" priority="7345">
      <colorScale>
        <cfvo type="min"/>
        <cfvo type="percentile" val="50"/>
        <cfvo type="max"/>
        <color rgb="FFF8696B"/>
        <color rgb="FFFFEB84"/>
        <color rgb="FF63BE7B"/>
      </colorScale>
    </cfRule>
  </conditionalFormatting>
  <conditionalFormatting sqref="F11:F31">
    <cfRule type="colorScale" priority="7344">
      <colorScale>
        <cfvo type="min"/>
        <cfvo type="percentile" val="50"/>
        <cfvo type="max"/>
        <color rgb="FFF8696B"/>
        <color rgb="FFFFEB84"/>
        <color rgb="FF63BE7B"/>
      </colorScale>
    </cfRule>
  </conditionalFormatting>
  <conditionalFormatting sqref="F11:F31">
    <cfRule type="colorScale" priority="7343">
      <colorScale>
        <cfvo type="min"/>
        <cfvo type="percentile" val="50"/>
        <cfvo type="max"/>
        <color rgb="FFF8696B"/>
        <color rgb="FFFFEB84"/>
        <color rgb="FF63BE7B"/>
      </colorScale>
    </cfRule>
  </conditionalFormatting>
  <conditionalFormatting sqref="F11:F31">
    <cfRule type="colorScale" priority="7342">
      <colorScale>
        <cfvo type="min"/>
        <cfvo type="percentile" val="50"/>
        <cfvo type="max"/>
        <color rgb="FFF8696B"/>
        <color rgb="FFFFEB84"/>
        <color rgb="FF63BE7B"/>
      </colorScale>
    </cfRule>
  </conditionalFormatting>
  <conditionalFormatting sqref="F11:F31">
    <cfRule type="colorScale" priority="7341">
      <colorScale>
        <cfvo type="min"/>
        <cfvo type="percentile" val="50"/>
        <cfvo type="max"/>
        <color rgb="FFF8696B"/>
        <color rgb="FFFFEB84"/>
        <color rgb="FF63BE7B"/>
      </colorScale>
    </cfRule>
  </conditionalFormatting>
  <conditionalFormatting sqref="F11:F31">
    <cfRule type="colorScale" priority="7340">
      <colorScale>
        <cfvo type="min"/>
        <cfvo type="percentile" val="50"/>
        <cfvo type="max"/>
        <color rgb="FFF8696B"/>
        <color rgb="FFFFEB84"/>
        <color rgb="FF63BE7B"/>
      </colorScale>
    </cfRule>
  </conditionalFormatting>
  <conditionalFormatting sqref="F11:F31">
    <cfRule type="colorScale" priority="7339">
      <colorScale>
        <cfvo type="min"/>
        <cfvo type="percentile" val="50"/>
        <cfvo type="max"/>
        <color rgb="FFF8696B"/>
        <color rgb="FFFFEB84"/>
        <color rgb="FF63BE7B"/>
      </colorScale>
    </cfRule>
  </conditionalFormatting>
  <conditionalFormatting sqref="F11:F31">
    <cfRule type="colorScale" priority="7338">
      <colorScale>
        <cfvo type="min"/>
        <cfvo type="percentile" val="50"/>
        <cfvo type="max"/>
        <color rgb="FFF8696B"/>
        <color rgb="FFFFEB84"/>
        <color rgb="FF63BE7B"/>
      </colorScale>
    </cfRule>
  </conditionalFormatting>
  <conditionalFormatting sqref="F11:F31">
    <cfRule type="colorScale" priority="7337">
      <colorScale>
        <cfvo type="min"/>
        <cfvo type="percentile" val="50"/>
        <cfvo type="max"/>
        <color rgb="FFF8696B"/>
        <color rgb="FFFFEB84"/>
        <color rgb="FF63BE7B"/>
      </colorScale>
    </cfRule>
  </conditionalFormatting>
  <conditionalFormatting sqref="F11:F31">
    <cfRule type="colorScale" priority="7336">
      <colorScale>
        <cfvo type="min"/>
        <cfvo type="percentile" val="50"/>
        <cfvo type="max"/>
        <color rgb="FFF8696B"/>
        <color rgb="FFFFEB84"/>
        <color rgb="FF63BE7B"/>
      </colorScale>
    </cfRule>
  </conditionalFormatting>
  <conditionalFormatting sqref="F11:F31">
    <cfRule type="colorScale" priority="7335">
      <colorScale>
        <cfvo type="min"/>
        <cfvo type="percentile" val="50"/>
        <cfvo type="max"/>
        <color rgb="FFF8696B"/>
        <color rgb="FFFFEB84"/>
        <color rgb="FF63BE7B"/>
      </colorScale>
    </cfRule>
  </conditionalFormatting>
  <conditionalFormatting sqref="F11:F31">
    <cfRule type="colorScale" priority="7334">
      <colorScale>
        <cfvo type="min"/>
        <cfvo type="percentile" val="50"/>
        <cfvo type="max"/>
        <color rgb="FFF8696B"/>
        <color rgb="FFFFEB84"/>
        <color rgb="FF63BE7B"/>
      </colorScale>
    </cfRule>
  </conditionalFormatting>
  <conditionalFormatting sqref="F11:F31">
    <cfRule type="colorScale" priority="7333">
      <colorScale>
        <cfvo type="min"/>
        <cfvo type="percentile" val="50"/>
        <cfvo type="max"/>
        <color rgb="FFF8696B"/>
        <color rgb="FFFFEB84"/>
        <color rgb="FF63BE7B"/>
      </colorScale>
    </cfRule>
  </conditionalFormatting>
  <conditionalFormatting sqref="F11:F31">
    <cfRule type="colorScale" priority="7332">
      <colorScale>
        <cfvo type="min"/>
        <cfvo type="percentile" val="50"/>
        <cfvo type="max"/>
        <color rgb="FFF8696B"/>
        <color rgb="FFFFEB84"/>
        <color rgb="FF63BE7B"/>
      </colorScale>
    </cfRule>
  </conditionalFormatting>
  <conditionalFormatting sqref="F11:F31">
    <cfRule type="colorScale" priority="7331">
      <colorScale>
        <cfvo type="min"/>
        <cfvo type="percentile" val="50"/>
        <cfvo type="max"/>
        <color rgb="FFF8696B"/>
        <color rgb="FFFFEB84"/>
        <color rgb="FF63BE7B"/>
      </colorScale>
    </cfRule>
  </conditionalFormatting>
  <conditionalFormatting sqref="F11:F31">
    <cfRule type="colorScale" priority="7330">
      <colorScale>
        <cfvo type="min"/>
        <cfvo type="percentile" val="50"/>
        <cfvo type="max"/>
        <color rgb="FFF8696B"/>
        <color rgb="FFFFEB84"/>
        <color rgb="FF63BE7B"/>
      </colorScale>
    </cfRule>
  </conditionalFormatting>
  <conditionalFormatting sqref="F11:F31">
    <cfRule type="colorScale" priority="7329">
      <colorScale>
        <cfvo type="min"/>
        <cfvo type="percentile" val="50"/>
        <cfvo type="max"/>
        <color rgb="FFF8696B"/>
        <color rgb="FFFFEB84"/>
        <color rgb="FF63BE7B"/>
      </colorScale>
    </cfRule>
  </conditionalFormatting>
  <conditionalFormatting sqref="F11:F31">
    <cfRule type="colorScale" priority="7328">
      <colorScale>
        <cfvo type="min"/>
        <cfvo type="percentile" val="50"/>
        <cfvo type="max"/>
        <color rgb="FFF8696B"/>
        <color rgb="FFFFEB84"/>
        <color rgb="FF63BE7B"/>
      </colorScale>
    </cfRule>
  </conditionalFormatting>
  <conditionalFormatting sqref="F11:F31">
    <cfRule type="colorScale" priority="7327">
      <colorScale>
        <cfvo type="min"/>
        <cfvo type="percentile" val="50"/>
        <cfvo type="max"/>
        <color rgb="FFF8696B"/>
        <color rgb="FFFFEB84"/>
        <color rgb="FF63BE7B"/>
      </colorScale>
    </cfRule>
  </conditionalFormatting>
  <conditionalFormatting sqref="F11:F31">
    <cfRule type="colorScale" priority="7326">
      <colorScale>
        <cfvo type="min"/>
        <cfvo type="percentile" val="50"/>
        <cfvo type="max"/>
        <color rgb="FFF8696B"/>
        <color rgb="FFFFEB84"/>
        <color rgb="FF63BE7B"/>
      </colorScale>
    </cfRule>
  </conditionalFormatting>
  <conditionalFormatting sqref="F11:F31">
    <cfRule type="colorScale" priority="7325">
      <colorScale>
        <cfvo type="min"/>
        <cfvo type="percentile" val="50"/>
        <cfvo type="max"/>
        <color rgb="FFF8696B"/>
        <color rgb="FFFFEB84"/>
        <color rgb="FF63BE7B"/>
      </colorScale>
    </cfRule>
  </conditionalFormatting>
  <conditionalFormatting sqref="F11:F31">
    <cfRule type="colorScale" priority="7324">
      <colorScale>
        <cfvo type="min"/>
        <cfvo type="percentile" val="50"/>
        <cfvo type="max"/>
        <color rgb="FFF8696B"/>
        <color rgb="FFFFEB84"/>
        <color rgb="FF63BE7B"/>
      </colorScale>
    </cfRule>
  </conditionalFormatting>
  <conditionalFormatting sqref="F11:F31">
    <cfRule type="colorScale" priority="7323">
      <colorScale>
        <cfvo type="min"/>
        <cfvo type="percentile" val="50"/>
        <cfvo type="max"/>
        <color rgb="FFF8696B"/>
        <color rgb="FFFFEB84"/>
        <color rgb="FF63BE7B"/>
      </colorScale>
    </cfRule>
  </conditionalFormatting>
  <conditionalFormatting sqref="F11:F31">
    <cfRule type="colorScale" priority="7322">
      <colorScale>
        <cfvo type="min"/>
        <cfvo type="percentile" val="50"/>
        <cfvo type="max"/>
        <color rgb="FFF8696B"/>
        <color rgb="FFFFEB84"/>
        <color rgb="FF63BE7B"/>
      </colorScale>
    </cfRule>
  </conditionalFormatting>
  <conditionalFormatting sqref="F11:F31">
    <cfRule type="colorScale" priority="7321">
      <colorScale>
        <cfvo type="min"/>
        <cfvo type="percentile" val="50"/>
        <cfvo type="max"/>
        <color rgb="FFF8696B"/>
        <color rgb="FFFFEB84"/>
        <color rgb="FF63BE7B"/>
      </colorScale>
    </cfRule>
  </conditionalFormatting>
  <conditionalFormatting sqref="F11:F31">
    <cfRule type="colorScale" priority="7320">
      <colorScale>
        <cfvo type="min"/>
        <cfvo type="percentile" val="50"/>
        <cfvo type="max"/>
        <color rgb="FFF8696B"/>
        <color rgb="FFFFEB84"/>
        <color rgb="FF63BE7B"/>
      </colorScale>
    </cfRule>
  </conditionalFormatting>
  <conditionalFormatting sqref="F11:F31">
    <cfRule type="colorScale" priority="7319">
      <colorScale>
        <cfvo type="min"/>
        <cfvo type="percentile" val="50"/>
        <cfvo type="max"/>
        <color rgb="FFF8696B"/>
        <color rgb="FFFFEB84"/>
        <color rgb="FF63BE7B"/>
      </colorScale>
    </cfRule>
  </conditionalFormatting>
  <conditionalFormatting sqref="F11:F31">
    <cfRule type="colorScale" priority="7318">
      <colorScale>
        <cfvo type="min"/>
        <cfvo type="percentile" val="50"/>
        <cfvo type="max"/>
        <color rgb="FFF8696B"/>
        <color rgb="FFFFEB84"/>
        <color rgb="FF63BE7B"/>
      </colorScale>
    </cfRule>
  </conditionalFormatting>
  <conditionalFormatting sqref="F11:F31">
    <cfRule type="colorScale" priority="7317">
      <colorScale>
        <cfvo type="min"/>
        <cfvo type="percentile" val="50"/>
        <cfvo type="max"/>
        <color rgb="FFF8696B"/>
        <color rgb="FFFFEB84"/>
        <color rgb="FF63BE7B"/>
      </colorScale>
    </cfRule>
  </conditionalFormatting>
  <conditionalFormatting sqref="F11:F31">
    <cfRule type="colorScale" priority="7316">
      <colorScale>
        <cfvo type="min"/>
        <cfvo type="percentile" val="50"/>
        <cfvo type="max"/>
        <color rgb="FFF8696B"/>
        <color rgb="FFFFEB84"/>
        <color rgb="FF63BE7B"/>
      </colorScale>
    </cfRule>
  </conditionalFormatting>
  <conditionalFormatting sqref="F11:F31">
    <cfRule type="colorScale" priority="7315">
      <colorScale>
        <cfvo type="min"/>
        <cfvo type="percentile" val="50"/>
        <cfvo type="max"/>
        <color rgb="FFF8696B"/>
        <color rgb="FFFFEB84"/>
        <color rgb="FF63BE7B"/>
      </colorScale>
    </cfRule>
  </conditionalFormatting>
  <conditionalFormatting sqref="F11:F31">
    <cfRule type="colorScale" priority="7314">
      <colorScale>
        <cfvo type="min"/>
        <cfvo type="percentile" val="50"/>
        <cfvo type="max"/>
        <color rgb="FFF8696B"/>
        <color rgb="FFFFEB84"/>
        <color rgb="FF63BE7B"/>
      </colorScale>
    </cfRule>
  </conditionalFormatting>
  <conditionalFormatting sqref="F11:F31">
    <cfRule type="colorScale" priority="7313">
      <colorScale>
        <cfvo type="min"/>
        <cfvo type="percentile" val="50"/>
        <cfvo type="max"/>
        <color rgb="FFF8696B"/>
        <color rgb="FFFFEB84"/>
        <color rgb="FF63BE7B"/>
      </colorScale>
    </cfRule>
  </conditionalFormatting>
  <conditionalFormatting sqref="F11:F31">
    <cfRule type="colorScale" priority="7312">
      <colorScale>
        <cfvo type="min"/>
        <cfvo type="percentile" val="50"/>
        <cfvo type="max"/>
        <color rgb="FFF8696B"/>
        <color rgb="FFFFEB84"/>
        <color rgb="FF63BE7B"/>
      </colorScale>
    </cfRule>
  </conditionalFormatting>
  <conditionalFormatting sqref="F11:F31">
    <cfRule type="colorScale" priority="7311">
      <colorScale>
        <cfvo type="min"/>
        <cfvo type="percentile" val="50"/>
        <cfvo type="max"/>
        <color rgb="FFF8696B"/>
        <color rgb="FFFFEB84"/>
        <color rgb="FF63BE7B"/>
      </colorScale>
    </cfRule>
  </conditionalFormatting>
  <conditionalFormatting sqref="F11:F31">
    <cfRule type="colorScale" priority="7310">
      <colorScale>
        <cfvo type="min"/>
        <cfvo type="percentile" val="50"/>
        <cfvo type="max"/>
        <color rgb="FFF8696B"/>
        <color rgb="FFFFEB84"/>
        <color rgb="FF63BE7B"/>
      </colorScale>
    </cfRule>
  </conditionalFormatting>
  <conditionalFormatting sqref="F11:F31">
    <cfRule type="colorScale" priority="7309">
      <colorScale>
        <cfvo type="min"/>
        <cfvo type="percentile" val="50"/>
        <cfvo type="max"/>
        <color rgb="FFF8696B"/>
        <color rgb="FFFFEB84"/>
        <color rgb="FF63BE7B"/>
      </colorScale>
    </cfRule>
  </conditionalFormatting>
  <conditionalFormatting sqref="F11:F31">
    <cfRule type="colorScale" priority="7308">
      <colorScale>
        <cfvo type="min"/>
        <cfvo type="percentile" val="50"/>
        <cfvo type="max"/>
        <color rgb="FFF8696B"/>
        <color rgb="FFFFEB84"/>
        <color rgb="FF63BE7B"/>
      </colorScale>
    </cfRule>
  </conditionalFormatting>
  <conditionalFormatting sqref="F11:F31">
    <cfRule type="colorScale" priority="7307">
      <colorScale>
        <cfvo type="min"/>
        <cfvo type="percentile" val="50"/>
        <cfvo type="max"/>
        <color rgb="FFF8696B"/>
        <color rgb="FFFFEB84"/>
        <color rgb="FF63BE7B"/>
      </colorScale>
    </cfRule>
  </conditionalFormatting>
  <conditionalFormatting sqref="F11:F31">
    <cfRule type="colorScale" priority="7306">
      <colorScale>
        <cfvo type="min"/>
        <cfvo type="percentile" val="50"/>
        <cfvo type="max"/>
        <color rgb="FFF8696B"/>
        <color rgb="FFFFEB84"/>
        <color rgb="FF63BE7B"/>
      </colorScale>
    </cfRule>
  </conditionalFormatting>
  <conditionalFormatting sqref="F11:F31">
    <cfRule type="colorScale" priority="7305">
      <colorScale>
        <cfvo type="min"/>
        <cfvo type="percentile" val="50"/>
        <cfvo type="max"/>
        <color rgb="FFF8696B"/>
        <color rgb="FFFFEB84"/>
        <color rgb="FF63BE7B"/>
      </colorScale>
    </cfRule>
  </conditionalFormatting>
  <conditionalFormatting sqref="F11:F31">
    <cfRule type="colorScale" priority="7304">
      <colorScale>
        <cfvo type="min"/>
        <cfvo type="percentile" val="50"/>
        <cfvo type="max"/>
        <color rgb="FFF8696B"/>
        <color rgb="FFFFEB84"/>
        <color rgb="FF63BE7B"/>
      </colorScale>
    </cfRule>
  </conditionalFormatting>
  <conditionalFormatting sqref="F11:F31">
    <cfRule type="colorScale" priority="7303">
      <colorScale>
        <cfvo type="min"/>
        <cfvo type="percentile" val="50"/>
        <cfvo type="max"/>
        <color rgb="FFF8696B"/>
        <color rgb="FFFFEB84"/>
        <color rgb="FF63BE7B"/>
      </colorScale>
    </cfRule>
  </conditionalFormatting>
  <conditionalFormatting sqref="F11:F31">
    <cfRule type="colorScale" priority="7302">
      <colorScale>
        <cfvo type="min"/>
        <cfvo type="percentile" val="50"/>
        <cfvo type="max"/>
        <color rgb="FFF8696B"/>
        <color rgb="FFFFEB84"/>
        <color rgb="FF63BE7B"/>
      </colorScale>
    </cfRule>
  </conditionalFormatting>
  <conditionalFormatting sqref="F11:F31">
    <cfRule type="colorScale" priority="7301">
      <colorScale>
        <cfvo type="min"/>
        <cfvo type="percentile" val="50"/>
        <cfvo type="max"/>
        <color rgb="FFF8696B"/>
        <color rgb="FFFFEB84"/>
        <color rgb="FF63BE7B"/>
      </colorScale>
    </cfRule>
  </conditionalFormatting>
  <conditionalFormatting sqref="F11:F31">
    <cfRule type="colorScale" priority="7300">
      <colorScale>
        <cfvo type="min"/>
        <cfvo type="percentile" val="50"/>
        <cfvo type="max"/>
        <color rgb="FFF8696B"/>
        <color rgb="FFFFEB84"/>
        <color rgb="FF63BE7B"/>
      </colorScale>
    </cfRule>
  </conditionalFormatting>
  <conditionalFormatting sqref="F11:F31">
    <cfRule type="colorScale" priority="7299">
      <colorScale>
        <cfvo type="min"/>
        <cfvo type="percentile" val="50"/>
        <cfvo type="max"/>
        <color rgb="FFF8696B"/>
        <color rgb="FFFFEB84"/>
        <color rgb="FF63BE7B"/>
      </colorScale>
    </cfRule>
  </conditionalFormatting>
  <conditionalFormatting sqref="F11:F31">
    <cfRule type="colorScale" priority="7298">
      <colorScale>
        <cfvo type="min"/>
        <cfvo type="percentile" val="50"/>
        <cfvo type="max"/>
        <color rgb="FFF8696B"/>
        <color rgb="FFFFEB84"/>
        <color rgb="FF63BE7B"/>
      </colorScale>
    </cfRule>
  </conditionalFormatting>
  <conditionalFormatting sqref="F11:F31">
    <cfRule type="colorScale" priority="7297">
      <colorScale>
        <cfvo type="min"/>
        <cfvo type="percentile" val="50"/>
        <cfvo type="max"/>
        <color rgb="FFF8696B"/>
        <color rgb="FFFFEB84"/>
        <color rgb="FF63BE7B"/>
      </colorScale>
    </cfRule>
  </conditionalFormatting>
  <conditionalFormatting sqref="F11:F31">
    <cfRule type="colorScale" priority="7296">
      <colorScale>
        <cfvo type="min"/>
        <cfvo type="percentile" val="50"/>
        <cfvo type="max"/>
        <color rgb="FFF8696B"/>
        <color rgb="FFFFEB84"/>
        <color rgb="FF63BE7B"/>
      </colorScale>
    </cfRule>
  </conditionalFormatting>
  <conditionalFormatting sqref="F11:F31">
    <cfRule type="colorScale" priority="7295">
      <colorScale>
        <cfvo type="min"/>
        <cfvo type="percentile" val="50"/>
        <cfvo type="max"/>
        <color rgb="FFF8696B"/>
        <color rgb="FFFFEB84"/>
        <color rgb="FF63BE7B"/>
      </colorScale>
    </cfRule>
  </conditionalFormatting>
  <conditionalFormatting sqref="F11:F31">
    <cfRule type="colorScale" priority="7294">
      <colorScale>
        <cfvo type="min"/>
        <cfvo type="percentile" val="50"/>
        <cfvo type="max"/>
        <color rgb="FFF8696B"/>
        <color rgb="FFFFEB84"/>
        <color rgb="FF63BE7B"/>
      </colorScale>
    </cfRule>
  </conditionalFormatting>
  <conditionalFormatting sqref="F11:F31">
    <cfRule type="colorScale" priority="7293">
      <colorScale>
        <cfvo type="min"/>
        <cfvo type="percentile" val="50"/>
        <cfvo type="max"/>
        <color rgb="FFF8696B"/>
        <color rgb="FFFFEB84"/>
        <color rgb="FF63BE7B"/>
      </colorScale>
    </cfRule>
  </conditionalFormatting>
  <conditionalFormatting sqref="F11:F31">
    <cfRule type="colorScale" priority="7292">
      <colorScale>
        <cfvo type="min"/>
        <cfvo type="percentile" val="50"/>
        <cfvo type="max"/>
        <color rgb="FFF8696B"/>
        <color rgb="FFFFEB84"/>
        <color rgb="FF63BE7B"/>
      </colorScale>
    </cfRule>
  </conditionalFormatting>
  <conditionalFormatting sqref="F11:F32">
    <cfRule type="colorScale" priority="7291">
      <colorScale>
        <cfvo type="min"/>
        <cfvo type="percentile" val="50"/>
        <cfvo type="max"/>
        <color rgb="FFF8696B"/>
        <color rgb="FFFFEB84"/>
        <color rgb="FF63BE7B"/>
      </colorScale>
    </cfRule>
  </conditionalFormatting>
  <conditionalFormatting sqref="F11:F32">
    <cfRule type="colorScale" priority="7290">
      <colorScale>
        <cfvo type="min"/>
        <cfvo type="percentile" val="50"/>
        <cfvo type="max"/>
        <color rgb="FFF8696B"/>
        <color rgb="FFFFEB84"/>
        <color rgb="FF63BE7B"/>
      </colorScale>
    </cfRule>
  </conditionalFormatting>
  <conditionalFormatting sqref="F11:F31">
    <cfRule type="colorScale" priority="7289">
      <colorScale>
        <cfvo type="min"/>
        <cfvo type="percentile" val="50"/>
        <cfvo type="max"/>
        <color rgb="FFF8696B"/>
        <color rgb="FFFFEB84"/>
        <color rgb="FF63BE7B"/>
      </colorScale>
    </cfRule>
  </conditionalFormatting>
  <conditionalFormatting sqref="F11:F31">
    <cfRule type="colorScale" priority="7288">
      <colorScale>
        <cfvo type="min"/>
        <cfvo type="percentile" val="50"/>
        <cfvo type="max"/>
        <color rgb="FFF8696B"/>
        <color rgb="FFFFEB84"/>
        <color rgb="FF63BE7B"/>
      </colorScale>
    </cfRule>
  </conditionalFormatting>
  <conditionalFormatting sqref="F11:F31">
    <cfRule type="colorScale" priority="7287">
      <colorScale>
        <cfvo type="min"/>
        <cfvo type="percentile" val="50"/>
        <cfvo type="max"/>
        <color rgb="FFF8696B"/>
        <color rgb="FFFFEB84"/>
        <color rgb="FF63BE7B"/>
      </colorScale>
    </cfRule>
  </conditionalFormatting>
  <conditionalFormatting sqref="F11:F31">
    <cfRule type="colorScale" priority="7286">
      <colorScale>
        <cfvo type="min"/>
        <cfvo type="percentile" val="50"/>
        <cfvo type="max"/>
        <color rgb="FFF8696B"/>
        <color rgb="FFFFEB84"/>
        <color rgb="FF63BE7B"/>
      </colorScale>
    </cfRule>
  </conditionalFormatting>
  <conditionalFormatting sqref="F11:F28">
    <cfRule type="colorScale" priority="7285">
      <colorScale>
        <cfvo type="min"/>
        <cfvo type="percentile" val="50"/>
        <cfvo type="max"/>
        <color rgb="FFF8696B"/>
        <color rgb="FFFFEB84"/>
        <color rgb="FF63BE7B"/>
      </colorScale>
    </cfRule>
  </conditionalFormatting>
  <conditionalFormatting sqref="F11:F28">
    <cfRule type="colorScale" priority="7284">
      <colorScale>
        <cfvo type="min"/>
        <cfvo type="percentile" val="50"/>
        <cfvo type="max"/>
        <color rgb="FFF8696B"/>
        <color rgb="FFFFEB84"/>
        <color rgb="FF63BE7B"/>
      </colorScale>
    </cfRule>
  </conditionalFormatting>
  <conditionalFormatting sqref="F11:F31">
    <cfRule type="colorScale" priority="7283">
      <colorScale>
        <cfvo type="min"/>
        <cfvo type="percentile" val="50"/>
        <cfvo type="max"/>
        <color rgb="FFF8696B"/>
        <color rgb="FFFFEB84"/>
        <color rgb="FF63BE7B"/>
      </colorScale>
    </cfRule>
  </conditionalFormatting>
  <conditionalFormatting sqref="F11:F31">
    <cfRule type="colorScale" priority="7282">
      <colorScale>
        <cfvo type="min"/>
        <cfvo type="percentile" val="50"/>
        <cfvo type="max"/>
        <color rgb="FFF8696B"/>
        <color rgb="FFFFEB84"/>
        <color rgb="FF63BE7B"/>
      </colorScale>
    </cfRule>
  </conditionalFormatting>
  <conditionalFormatting sqref="F11:F32">
    <cfRule type="colorScale" priority="7281">
      <colorScale>
        <cfvo type="min"/>
        <cfvo type="percentile" val="50"/>
        <cfvo type="max"/>
        <color rgb="FFF8696B"/>
        <color rgb="FFFFEB84"/>
        <color rgb="FF63BE7B"/>
      </colorScale>
    </cfRule>
  </conditionalFormatting>
  <conditionalFormatting sqref="F11:F32">
    <cfRule type="colorScale" priority="7280">
      <colorScale>
        <cfvo type="min"/>
        <cfvo type="percentile" val="50"/>
        <cfvo type="max"/>
        <color rgb="FFF8696B"/>
        <color rgb="FFFFEB84"/>
        <color rgb="FF63BE7B"/>
      </colorScale>
    </cfRule>
  </conditionalFormatting>
  <conditionalFormatting sqref="F11:F31">
    <cfRule type="colorScale" priority="7279">
      <colorScale>
        <cfvo type="min"/>
        <cfvo type="percentile" val="50"/>
        <cfvo type="max"/>
        <color rgb="FFF8696B"/>
        <color rgb="FFFFEB84"/>
        <color rgb="FF63BE7B"/>
      </colorScale>
    </cfRule>
  </conditionalFormatting>
  <conditionalFormatting sqref="F11:F31">
    <cfRule type="colorScale" priority="7278">
      <colorScale>
        <cfvo type="min"/>
        <cfvo type="percentile" val="50"/>
        <cfvo type="max"/>
        <color rgb="FFF8696B"/>
        <color rgb="FFFFEB84"/>
        <color rgb="FF63BE7B"/>
      </colorScale>
    </cfRule>
  </conditionalFormatting>
  <conditionalFormatting sqref="F11:F31">
    <cfRule type="colorScale" priority="7277">
      <colorScale>
        <cfvo type="min"/>
        <cfvo type="percentile" val="50"/>
        <cfvo type="max"/>
        <color rgb="FFF8696B"/>
        <color rgb="FFFFEB84"/>
        <color rgb="FF63BE7B"/>
      </colorScale>
    </cfRule>
  </conditionalFormatting>
  <conditionalFormatting sqref="F11:F31">
    <cfRule type="colorScale" priority="7276">
      <colorScale>
        <cfvo type="min"/>
        <cfvo type="percentile" val="50"/>
        <cfvo type="max"/>
        <color rgb="FFF8696B"/>
        <color rgb="FFFFEB84"/>
        <color rgb="FF63BE7B"/>
      </colorScale>
    </cfRule>
  </conditionalFormatting>
  <conditionalFormatting sqref="F11:F31">
    <cfRule type="colorScale" priority="7275">
      <colorScale>
        <cfvo type="min"/>
        <cfvo type="percentile" val="50"/>
        <cfvo type="max"/>
        <color rgb="FFF8696B"/>
        <color rgb="FFFFEB84"/>
        <color rgb="FF63BE7B"/>
      </colorScale>
    </cfRule>
  </conditionalFormatting>
  <conditionalFormatting sqref="F11:F31">
    <cfRule type="colorScale" priority="7274">
      <colorScale>
        <cfvo type="min"/>
        <cfvo type="percentile" val="50"/>
        <cfvo type="max"/>
        <color rgb="FFF8696B"/>
        <color rgb="FFFFEB84"/>
        <color rgb="FF63BE7B"/>
      </colorScale>
    </cfRule>
  </conditionalFormatting>
  <conditionalFormatting sqref="F11:F31">
    <cfRule type="colorScale" priority="7273">
      <colorScale>
        <cfvo type="min"/>
        <cfvo type="percentile" val="50"/>
        <cfvo type="max"/>
        <color rgb="FFF8696B"/>
        <color rgb="FFFFEB84"/>
        <color rgb="FF63BE7B"/>
      </colorScale>
    </cfRule>
  </conditionalFormatting>
  <conditionalFormatting sqref="F11:F31">
    <cfRule type="colorScale" priority="7272">
      <colorScale>
        <cfvo type="min"/>
        <cfvo type="percentile" val="50"/>
        <cfvo type="max"/>
        <color rgb="FFF8696B"/>
        <color rgb="FFFFEB84"/>
        <color rgb="FF63BE7B"/>
      </colorScale>
    </cfRule>
  </conditionalFormatting>
  <conditionalFormatting sqref="F11:F31">
    <cfRule type="colorScale" priority="7271">
      <colorScale>
        <cfvo type="min"/>
        <cfvo type="percentile" val="50"/>
        <cfvo type="max"/>
        <color rgb="FFF8696B"/>
        <color rgb="FFFFEB84"/>
        <color rgb="FF63BE7B"/>
      </colorScale>
    </cfRule>
  </conditionalFormatting>
  <conditionalFormatting sqref="F11:F31">
    <cfRule type="colorScale" priority="7270">
      <colorScale>
        <cfvo type="min"/>
        <cfvo type="percentile" val="50"/>
        <cfvo type="max"/>
        <color rgb="FFF8696B"/>
        <color rgb="FFFFEB84"/>
        <color rgb="FF63BE7B"/>
      </colorScale>
    </cfRule>
  </conditionalFormatting>
  <conditionalFormatting sqref="F29:F31">
    <cfRule type="colorScale" priority="7269">
      <colorScale>
        <cfvo type="min"/>
        <cfvo type="percentile" val="50"/>
        <cfvo type="max"/>
        <color rgb="FFF8696B"/>
        <color rgb="FFFFEB84"/>
        <color rgb="FF63BE7B"/>
      </colorScale>
    </cfRule>
  </conditionalFormatting>
  <conditionalFormatting sqref="F29:F31">
    <cfRule type="colorScale" priority="7268">
      <colorScale>
        <cfvo type="min"/>
        <cfvo type="percentile" val="50"/>
        <cfvo type="max"/>
        <color rgb="FFF8696B"/>
        <color rgb="FFFFEB84"/>
        <color rgb="FF63BE7B"/>
      </colorScale>
    </cfRule>
  </conditionalFormatting>
  <conditionalFormatting sqref="F32">
    <cfRule type="colorScale" priority="7267">
      <colorScale>
        <cfvo type="min"/>
        <cfvo type="percentile" val="50"/>
        <cfvo type="max"/>
        <color rgb="FFF8696B"/>
        <color rgb="FFFFEB84"/>
        <color rgb="FF63BE7B"/>
      </colorScale>
    </cfRule>
  </conditionalFormatting>
  <conditionalFormatting sqref="F32">
    <cfRule type="colorScale" priority="7266">
      <colorScale>
        <cfvo type="min"/>
        <cfvo type="percentile" val="50"/>
        <cfvo type="max"/>
        <color rgb="FFF8696B"/>
        <color rgb="FFFFEB84"/>
        <color rgb="FF63BE7B"/>
      </colorScale>
    </cfRule>
  </conditionalFormatting>
  <conditionalFormatting sqref="F32">
    <cfRule type="colorScale" priority="7265">
      <colorScale>
        <cfvo type="min"/>
        <cfvo type="percentile" val="50"/>
        <cfvo type="max"/>
        <color rgb="FFF8696B"/>
        <color rgb="FFFFEB84"/>
        <color rgb="FF63BE7B"/>
      </colorScale>
    </cfRule>
  </conditionalFormatting>
  <conditionalFormatting sqref="F32">
    <cfRule type="colorScale" priority="7264">
      <colorScale>
        <cfvo type="min"/>
        <cfvo type="percentile" val="50"/>
        <cfvo type="max"/>
        <color rgb="FFF8696B"/>
        <color rgb="FFFFEB84"/>
        <color rgb="FF63BE7B"/>
      </colorScale>
    </cfRule>
  </conditionalFormatting>
  <conditionalFormatting sqref="F32">
    <cfRule type="colorScale" priority="7263">
      <colorScale>
        <cfvo type="min"/>
        <cfvo type="percentile" val="50"/>
        <cfvo type="max"/>
        <color rgb="FFF8696B"/>
        <color rgb="FFFFEB84"/>
        <color rgb="FF63BE7B"/>
      </colorScale>
    </cfRule>
  </conditionalFormatting>
  <conditionalFormatting sqref="F32">
    <cfRule type="colorScale" priority="7262">
      <colorScale>
        <cfvo type="min"/>
        <cfvo type="percentile" val="50"/>
        <cfvo type="max"/>
        <color rgb="FFF8696B"/>
        <color rgb="FFFFEB84"/>
        <color rgb="FF63BE7B"/>
      </colorScale>
    </cfRule>
  </conditionalFormatting>
  <conditionalFormatting sqref="F32">
    <cfRule type="colorScale" priority="7261">
      <colorScale>
        <cfvo type="min"/>
        <cfvo type="percentile" val="50"/>
        <cfvo type="max"/>
        <color rgb="FFF8696B"/>
        <color rgb="FFFFEB84"/>
        <color rgb="FF63BE7B"/>
      </colorScale>
    </cfRule>
  </conditionalFormatting>
  <conditionalFormatting sqref="F32">
    <cfRule type="colorScale" priority="7260">
      <colorScale>
        <cfvo type="min"/>
        <cfvo type="percentile" val="50"/>
        <cfvo type="max"/>
        <color rgb="FFF8696B"/>
        <color rgb="FFFFEB84"/>
        <color rgb="FF63BE7B"/>
      </colorScale>
    </cfRule>
  </conditionalFormatting>
  <conditionalFormatting sqref="F32">
    <cfRule type="colorScale" priority="7259">
      <colorScale>
        <cfvo type="min"/>
        <cfvo type="percentile" val="50"/>
        <cfvo type="max"/>
        <color rgb="FFF8696B"/>
        <color rgb="FFFFEB84"/>
        <color rgb="FF63BE7B"/>
      </colorScale>
    </cfRule>
  </conditionalFormatting>
  <conditionalFormatting sqref="F32">
    <cfRule type="colorScale" priority="7258">
      <colorScale>
        <cfvo type="min"/>
        <cfvo type="percentile" val="50"/>
        <cfvo type="max"/>
        <color rgb="FFF8696B"/>
        <color rgb="FFFFEB84"/>
        <color rgb="FF63BE7B"/>
      </colorScale>
    </cfRule>
  </conditionalFormatting>
  <conditionalFormatting sqref="F32">
    <cfRule type="colorScale" priority="7257">
      <colorScale>
        <cfvo type="min"/>
        <cfvo type="percentile" val="50"/>
        <cfvo type="max"/>
        <color rgb="FFF8696B"/>
        <color rgb="FFFFEB84"/>
        <color rgb="FF63BE7B"/>
      </colorScale>
    </cfRule>
  </conditionalFormatting>
  <conditionalFormatting sqref="F32">
    <cfRule type="colorScale" priority="7256">
      <colorScale>
        <cfvo type="min"/>
        <cfvo type="percentile" val="50"/>
        <cfvo type="max"/>
        <color rgb="FFF8696B"/>
        <color rgb="FFFFEB84"/>
        <color rgb="FF63BE7B"/>
      </colorScale>
    </cfRule>
  </conditionalFormatting>
  <conditionalFormatting sqref="F32">
    <cfRule type="colorScale" priority="7255">
      <colorScale>
        <cfvo type="min"/>
        <cfvo type="percentile" val="50"/>
        <cfvo type="max"/>
        <color rgb="FFF8696B"/>
        <color rgb="FFFFEB84"/>
        <color rgb="FF63BE7B"/>
      </colorScale>
    </cfRule>
  </conditionalFormatting>
  <conditionalFormatting sqref="F32">
    <cfRule type="colorScale" priority="7254">
      <colorScale>
        <cfvo type="min"/>
        <cfvo type="percentile" val="50"/>
        <cfvo type="max"/>
        <color rgb="FFF8696B"/>
        <color rgb="FFFFEB84"/>
        <color rgb="FF63BE7B"/>
      </colorScale>
    </cfRule>
  </conditionalFormatting>
  <conditionalFormatting sqref="F32">
    <cfRule type="colorScale" priority="7253">
      <colorScale>
        <cfvo type="min"/>
        <cfvo type="percentile" val="50"/>
        <cfvo type="max"/>
        <color rgb="FFF8696B"/>
        <color rgb="FFFFEB84"/>
        <color rgb="FF63BE7B"/>
      </colorScale>
    </cfRule>
  </conditionalFormatting>
  <conditionalFormatting sqref="F32">
    <cfRule type="colorScale" priority="7252">
      <colorScale>
        <cfvo type="min"/>
        <cfvo type="percentile" val="50"/>
        <cfvo type="max"/>
        <color rgb="FFF8696B"/>
        <color rgb="FFFFEB84"/>
        <color rgb="FF63BE7B"/>
      </colorScale>
    </cfRule>
  </conditionalFormatting>
  <conditionalFormatting sqref="F32">
    <cfRule type="colorScale" priority="7251">
      <colorScale>
        <cfvo type="min"/>
        <cfvo type="percentile" val="50"/>
        <cfvo type="max"/>
        <color rgb="FFF8696B"/>
        <color rgb="FFFFEB84"/>
        <color rgb="FF63BE7B"/>
      </colorScale>
    </cfRule>
  </conditionalFormatting>
  <conditionalFormatting sqref="F32">
    <cfRule type="colorScale" priority="7250">
      <colorScale>
        <cfvo type="min"/>
        <cfvo type="percentile" val="50"/>
        <cfvo type="max"/>
        <color rgb="FFF8696B"/>
        <color rgb="FFFFEB84"/>
        <color rgb="FF63BE7B"/>
      </colorScale>
    </cfRule>
  </conditionalFormatting>
  <conditionalFormatting sqref="F32">
    <cfRule type="colorScale" priority="7249">
      <colorScale>
        <cfvo type="min"/>
        <cfvo type="percentile" val="50"/>
        <cfvo type="max"/>
        <color rgb="FFF8696B"/>
        <color rgb="FFFFEB84"/>
        <color rgb="FF63BE7B"/>
      </colorScale>
    </cfRule>
  </conditionalFormatting>
  <conditionalFormatting sqref="F32">
    <cfRule type="colorScale" priority="7248">
      <colorScale>
        <cfvo type="min"/>
        <cfvo type="percentile" val="50"/>
        <cfvo type="max"/>
        <color rgb="FFF8696B"/>
        <color rgb="FFFFEB84"/>
        <color rgb="FF63BE7B"/>
      </colorScale>
    </cfRule>
  </conditionalFormatting>
  <conditionalFormatting sqref="F32">
    <cfRule type="colorScale" priority="7247">
      <colorScale>
        <cfvo type="min"/>
        <cfvo type="percentile" val="50"/>
        <cfvo type="max"/>
        <color rgb="FFF8696B"/>
        <color rgb="FFFFEB84"/>
        <color rgb="FF63BE7B"/>
      </colorScale>
    </cfRule>
  </conditionalFormatting>
  <conditionalFormatting sqref="F32">
    <cfRule type="colorScale" priority="7246">
      <colorScale>
        <cfvo type="min"/>
        <cfvo type="percentile" val="50"/>
        <cfvo type="max"/>
        <color rgb="FFF8696B"/>
        <color rgb="FFFFEB84"/>
        <color rgb="FF63BE7B"/>
      </colorScale>
    </cfRule>
  </conditionalFormatting>
  <conditionalFormatting sqref="F32">
    <cfRule type="colorScale" priority="7245">
      <colorScale>
        <cfvo type="min"/>
        <cfvo type="percentile" val="50"/>
        <cfvo type="max"/>
        <color rgb="FFF8696B"/>
        <color rgb="FFFFEB84"/>
        <color rgb="FF63BE7B"/>
      </colorScale>
    </cfRule>
  </conditionalFormatting>
  <conditionalFormatting sqref="F32">
    <cfRule type="colorScale" priority="7244">
      <colorScale>
        <cfvo type="min"/>
        <cfvo type="percentile" val="50"/>
        <cfvo type="max"/>
        <color rgb="FFF8696B"/>
        <color rgb="FFFFEB84"/>
        <color rgb="FF63BE7B"/>
      </colorScale>
    </cfRule>
  </conditionalFormatting>
  <conditionalFormatting sqref="F32">
    <cfRule type="colorScale" priority="7243">
      <colorScale>
        <cfvo type="min"/>
        <cfvo type="percentile" val="50"/>
        <cfvo type="max"/>
        <color rgb="FFF8696B"/>
        <color rgb="FFFFEB84"/>
        <color rgb="FF63BE7B"/>
      </colorScale>
    </cfRule>
  </conditionalFormatting>
  <conditionalFormatting sqref="F32">
    <cfRule type="colorScale" priority="7242">
      <colorScale>
        <cfvo type="min"/>
        <cfvo type="percentile" val="50"/>
        <cfvo type="max"/>
        <color rgb="FFF8696B"/>
        <color rgb="FFFFEB84"/>
        <color rgb="FF63BE7B"/>
      </colorScale>
    </cfRule>
  </conditionalFormatting>
  <conditionalFormatting sqref="F32">
    <cfRule type="colorScale" priority="7241">
      <colorScale>
        <cfvo type="min"/>
        <cfvo type="percentile" val="50"/>
        <cfvo type="max"/>
        <color rgb="FFF8696B"/>
        <color rgb="FFFFEB84"/>
        <color rgb="FF63BE7B"/>
      </colorScale>
    </cfRule>
  </conditionalFormatting>
  <conditionalFormatting sqref="F32">
    <cfRule type="colorScale" priority="7240">
      <colorScale>
        <cfvo type="min"/>
        <cfvo type="percentile" val="50"/>
        <cfvo type="max"/>
        <color rgb="FFF8696B"/>
        <color rgb="FFFFEB84"/>
        <color rgb="FF63BE7B"/>
      </colorScale>
    </cfRule>
  </conditionalFormatting>
  <conditionalFormatting sqref="F32">
    <cfRule type="colorScale" priority="7239">
      <colorScale>
        <cfvo type="min"/>
        <cfvo type="percentile" val="50"/>
        <cfvo type="max"/>
        <color rgb="FFF8696B"/>
        <color rgb="FFFFEB84"/>
        <color rgb="FF63BE7B"/>
      </colorScale>
    </cfRule>
  </conditionalFormatting>
  <conditionalFormatting sqref="F32">
    <cfRule type="colorScale" priority="7238">
      <colorScale>
        <cfvo type="min"/>
        <cfvo type="percentile" val="50"/>
        <cfvo type="max"/>
        <color rgb="FFF8696B"/>
        <color rgb="FFFFEB84"/>
        <color rgb="FF63BE7B"/>
      </colorScale>
    </cfRule>
  </conditionalFormatting>
  <conditionalFormatting sqref="F32">
    <cfRule type="colorScale" priority="7237">
      <colorScale>
        <cfvo type="min"/>
        <cfvo type="percentile" val="50"/>
        <cfvo type="max"/>
        <color rgb="FFF8696B"/>
        <color rgb="FFFFEB84"/>
        <color rgb="FF63BE7B"/>
      </colorScale>
    </cfRule>
  </conditionalFormatting>
  <conditionalFormatting sqref="F32">
    <cfRule type="colorScale" priority="7236">
      <colorScale>
        <cfvo type="min"/>
        <cfvo type="percentile" val="50"/>
        <cfvo type="max"/>
        <color rgb="FFF8696B"/>
        <color rgb="FFFFEB84"/>
        <color rgb="FF63BE7B"/>
      </colorScale>
    </cfRule>
  </conditionalFormatting>
  <conditionalFormatting sqref="F32">
    <cfRule type="colorScale" priority="7235">
      <colorScale>
        <cfvo type="min"/>
        <cfvo type="percentile" val="50"/>
        <cfvo type="max"/>
        <color rgb="FFF8696B"/>
        <color rgb="FFFFEB84"/>
        <color rgb="FF63BE7B"/>
      </colorScale>
    </cfRule>
  </conditionalFormatting>
  <conditionalFormatting sqref="F32">
    <cfRule type="colorScale" priority="7234">
      <colorScale>
        <cfvo type="min"/>
        <cfvo type="percentile" val="50"/>
        <cfvo type="max"/>
        <color rgb="FFF8696B"/>
        <color rgb="FFFFEB84"/>
        <color rgb="FF63BE7B"/>
      </colorScale>
    </cfRule>
  </conditionalFormatting>
  <conditionalFormatting sqref="F32">
    <cfRule type="colorScale" priority="7233">
      <colorScale>
        <cfvo type="min"/>
        <cfvo type="percentile" val="50"/>
        <cfvo type="max"/>
        <color rgb="FFF8696B"/>
        <color rgb="FFFFEB84"/>
        <color rgb="FF63BE7B"/>
      </colorScale>
    </cfRule>
  </conditionalFormatting>
  <conditionalFormatting sqref="F32">
    <cfRule type="colorScale" priority="7232">
      <colorScale>
        <cfvo type="min"/>
        <cfvo type="percentile" val="50"/>
        <cfvo type="max"/>
        <color rgb="FFF8696B"/>
        <color rgb="FFFFEB84"/>
        <color rgb="FF63BE7B"/>
      </colorScale>
    </cfRule>
  </conditionalFormatting>
  <conditionalFormatting sqref="F32">
    <cfRule type="colorScale" priority="7231">
      <colorScale>
        <cfvo type="min"/>
        <cfvo type="percentile" val="50"/>
        <cfvo type="max"/>
        <color rgb="FFF8696B"/>
        <color rgb="FFFFEB84"/>
        <color rgb="FF63BE7B"/>
      </colorScale>
    </cfRule>
  </conditionalFormatting>
  <conditionalFormatting sqref="F32">
    <cfRule type="colorScale" priority="7230">
      <colorScale>
        <cfvo type="min"/>
        <cfvo type="percentile" val="50"/>
        <cfvo type="max"/>
        <color rgb="FFF8696B"/>
        <color rgb="FFFFEB84"/>
        <color rgb="FF63BE7B"/>
      </colorScale>
    </cfRule>
  </conditionalFormatting>
  <conditionalFormatting sqref="F32">
    <cfRule type="colorScale" priority="7229">
      <colorScale>
        <cfvo type="min"/>
        <cfvo type="percentile" val="50"/>
        <cfvo type="max"/>
        <color rgb="FFF8696B"/>
        <color rgb="FFFFEB84"/>
        <color rgb="FF63BE7B"/>
      </colorScale>
    </cfRule>
  </conditionalFormatting>
  <conditionalFormatting sqref="F32">
    <cfRule type="colorScale" priority="7228">
      <colorScale>
        <cfvo type="min"/>
        <cfvo type="percentile" val="50"/>
        <cfvo type="max"/>
        <color rgb="FFF8696B"/>
        <color rgb="FFFFEB84"/>
        <color rgb="FF63BE7B"/>
      </colorScale>
    </cfRule>
  </conditionalFormatting>
  <conditionalFormatting sqref="F32">
    <cfRule type="colorScale" priority="7227">
      <colorScale>
        <cfvo type="min"/>
        <cfvo type="percentile" val="50"/>
        <cfvo type="max"/>
        <color rgb="FFF8696B"/>
        <color rgb="FFFFEB84"/>
        <color rgb="FF63BE7B"/>
      </colorScale>
    </cfRule>
  </conditionalFormatting>
  <conditionalFormatting sqref="F32">
    <cfRule type="colorScale" priority="7226">
      <colorScale>
        <cfvo type="min"/>
        <cfvo type="percentile" val="50"/>
        <cfvo type="max"/>
        <color rgb="FFF8696B"/>
        <color rgb="FFFFEB84"/>
        <color rgb="FF63BE7B"/>
      </colorScale>
    </cfRule>
  </conditionalFormatting>
  <conditionalFormatting sqref="F32">
    <cfRule type="colorScale" priority="7225">
      <colorScale>
        <cfvo type="min"/>
        <cfvo type="percentile" val="50"/>
        <cfvo type="max"/>
        <color rgb="FFF8696B"/>
        <color rgb="FFFFEB84"/>
        <color rgb="FF63BE7B"/>
      </colorScale>
    </cfRule>
  </conditionalFormatting>
  <conditionalFormatting sqref="F32">
    <cfRule type="colorScale" priority="7224">
      <colorScale>
        <cfvo type="min"/>
        <cfvo type="percentile" val="50"/>
        <cfvo type="max"/>
        <color rgb="FFF8696B"/>
        <color rgb="FFFFEB84"/>
        <color rgb="FF63BE7B"/>
      </colorScale>
    </cfRule>
  </conditionalFormatting>
  <conditionalFormatting sqref="F32">
    <cfRule type="colorScale" priority="7223">
      <colorScale>
        <cfvo type="min"/>
        <cfvo type="percentile" val="50"/>
        <cfvo type="max"/>
        <color rgb="FFF8696B"/>
        <color rgb="FFFFEB84"/>
        <color rgb="FF63BE7B"/>
      </colorScale>
    </cfRule>
  </conditionalFormatting>
  <conditionalFormatting sqref="F32">
    <cfRule type="colorScale" priority="7222">
      <colorScale>
        <cfvo type="min"/>
        <cfvo type="percentile" val="50"/>
        <cfvo type="max"/>
        <color rgb="FFF8696B"/>
        <color rgb="FFFFEB84"/>
        <color rgb="FF63BE7B"/>
      </colorScale>
    </cfRule>
  </conditionalFormatting>
  <conditionalFormatting sqref="F32">
    <cfRule type="colorScale" priority="7221">
      <colorScale>
        <cfvo type="min"/>
        <cfvo type="percentile" val="50"/>
        <cfvo type="max"/>
        <color rgb="FFF8696B"/>
        <color rgb="FFFFEB84"/>
        <color rgb="FF63BE7B"/>
      </colorScale>
    </cfRule>
  </conditionalFormatting>
  <conditionalFormatting sqref="F32">
    <cfRule type="colorScale" priority="7220">
      <colorScale>
        <cfvo type="min"/>
        <cfvo type="percentile" val="50"/>
        <cfvo type="max"/>
        <color rgb="FFF8696B"/>
        <color rgb="FFFFEB84"/>
        <color rgb="FF63BE7B"/>
      </colorScale>
    </cfRule>
  </conditionalFormatting>
  <conditionalFormatting sqref="F32">
    <cfRule type="colorScale" priority="7219">
      <colorScale>
        <cfvo type="min"/>
        <cfvo type="percentile" val="50"/>
        <cfvo type="max"/>
        <color rgb="FFF8696B"/>
        <color rgb="FFFFEB84"/>
        <color rgb="FF63BE7B"/>
      </colorScale>
    </cfRule>
  </conditionalFormatting>
  <conditionalFormatting sqref="F32">
    <cfRule type="colorScale" priority="7218">
      <colorScale>
        <cfvo type="min"/>
        <cfvo type="percentile" val="50"/>
        <cfvo type="max"/>
        <color rgb="FFF8696B"/>
        <color rgb="FFFFEB84"/>
        <color rgb="FF63BE7B"/>
      </colorScale>
    </cfRule>
  </conditionalFormatting>
  <conditionalFormatting sqref="F32">
    <cfRule type="colorScale" priority="7217">
      <colorScale>
        <cfvo type="min"/>
        <cfvo type="percentile" val="50"/>
        <cfvo type="max"/>
        <color rgb="FFF8696B"/>
        <color rgb="FFFFEB84"/>
        <color rgb="FF63BE7B"/>
      </colorScale>
    </cfRule>
  </conditionalFormatting>
  <conditionalFormatting sqref="F32">
    <cfRule type="colorScale" priority="7216">
      <colorScale>
        <cfvo type="min"/>
        <cfvo type="percentile" val="50"/>
        <cfvo type="max"/>
        <color rgb="FFF8696B"/>
        <color rgb="FFFFEB84"/>
        <color rgb="FF63BE7B"/>
      </colorScale>
    </cfRule>
  </conditionalFormatting>
  <conditionalFormatting sqref="F32">
    <cfRule type="colorScale" priority="7215">
      <colorScale>
        <cfvo type="min"/>
        <cfvo type="percentile" val="50"/>
        <cfvo type="max"/>
        <color rgb="FFF8696B"/>
        <color rgb="FFFFEB84"/>
        <color rgb="FF63BE7B"/>
      </colorScale>
    </cfRule>
  </conditionalFormatting>
  <conditionalFormatting sqref="F32">
    <cfRule type="colorScale" priority="7214">
      <colorScale>
        <cfvo type="min"/>
        <cfvo type="percentile" val="50"/>
        <cfvo type="max"/>
        <color rgb="FFF8696B"/>
        <color rgb="FFFFEB84"/>
        <color rgb="FF63BE7B"/>
      </colorScale>
    </cfRule>
  </conditionalFormatting>
  <conditionalFormatting sqref="F32">
    <cfRule type="colorScale" priority="7213">
      <colorScale>
        <cfvo type="min"/>
        <cfvo type="percentile" val="50"/>
        <cfvo type="max"/>
        <color rgb="FFF8696B"/>
        <color rgb="FFFFEB84"/>
        <color rgb="FF63BE7B"/>
      </colorScale>
    </cfRule>
  </conditionalFormatting>
  <conditionalFormatting sqref="F32">
    <cfRule type="colorScale" priority="7212">
      <colorScale>
        <cfvo type="min"/>
        <cfvo type="percentile" val="50"/>
        <cfvo type="max"/>
        <color rgb="FFF8696B"/>
        <color rgb="FFFFEB84"/>
        <color rgb="FF63BE7B"/>
      </colorScale>
    </cfRule>
  </conditionalFormatting>
  <conditionalFormatting sqref="F32">
    <cfRule type="colorScale" priority="7211">
      <colorScale>
        <cfvo type="min"/>
        <cfvo type="percentile" val="50"/>
        <cfvo type="max"/>
        <color rgb="FFF8696B"/>
        <color rgb="FFFFEB84"/>
        <color rgb="FF63BE7B"/>
      </colorScale>
    </cfRule>
  </conditionalFormatting>
  <conditionalFormatting sqref="F32">
    <cfRule type="colorScale" priority="7210">
      <colorScale>
        <cfvo type="min"/>
        <cfvo type="percentile" val="50"/>
        <cfvo type="max"/>
        <color rgb="FFF8696B"/>
        <color rgb="FFFFEB84"/>
        <color rgb="FF63BE7B"/>
      </colorScale>
    </cfRule>
  </conditionalFormatting>
  <conditionalFormatting sqref="F32">
    <cfRule type="colorScale" priority="7209">
      <colorScale>
        <cfvo type="min"/>
        <cfvo type="percentile" val="50"/>
        <cfvo type="max"/>
        <color rgb="FFF8696B"/>
        <color rgb="FFFFEB84"/>
        <color rgb="FF63BE7B"/>
      </colorScale>
    </cfRule>
  </conditionalFormatting>
  <conditionalFormatting sqref="F32">
    <cfRule type="colorScale" priority="7208">
      <colorScale>
        <cfvo type="min"/>
        <cfvo type="percentile" val="50"/>
        <cfvo type="max"/>
        <color rgb="FFF8696B"/>
        <color rgb="FFFFEB84"/>
        <color rgb="FF63BE7B"/>
      </colorScale>
    </cfRule>
  </conditionalFormatting>
  <conditionalFormatting sqref="F32">
    <cfRule type="colorScale" priority="7207">
      <colorScale>
        <cfvo type="min"/>
        <cfvo type="percentile" val="50"/>
        <cfvo type="max"/>
        <color rgb="FFF8696B"/>
        <color rgb="FFFFEB84"/>
        <color rgb="FF63BE7B"/>
      </colorScale>
    </cfRule>
  </conditionalFormatting>
  <conditionalFormatting sqref="F32">
    <cfRule type="colorScale" priority="7206">
      <colorScale>
        <cfvo type="min"/>
        <cfvo type="percentile" val="50"/>
        <cfvo type="max"/>
        <color rgb="FFF8696B"/>
        <color rgb="FFFFEB84"/>
        <color rgb="FF63BE7B"/>
      </colorScale>
    </cfRule>
  </conditionalFormatting>
  <conditionalFormatting sqref="F32">
    <cfRule type="colorScale" priority="7205">
      <colorScale>
        <cfvo type="min"/>
        <cfvo type="percentile" val="50"/>
        <cfvo type="max"/>
        <color rgb="FFF8696B"/>
        <color rgb="FFFFEB84"/>
        <color rgb="FF63BE7B"/>
      </colorScale>
    </cfRule>
  </conditionalFormatting>
  <conditionalFormatting sqref="F32">
    <cfRule type="colorScale" priority="7204">
      <colorScale>
        <cfvo type="min"/>
        <cfvo type="percentile" val="50"/>
        <cfvo type="max"/>
        <color rgb="FFF8696B"/>
        <color rgb="FFFFEB84"/>
        <color rgb="FF63BE7B"/>
      </colorScale>
    </cfRule>
  </conditionalFormatting>
  <conditionalFormatting sqref="F32">
    <cfRule type="colorScale" priority="7203">
      <colorScale>
        <cfvo type="min"/>
        <cfvo type="percentile" val="50"/>
        <cfvo type="max"/>
        <color rgb="FFF8696B"/>
        <color rgb="FFFFEB84"/>
        <color rgb="FF63BE7B"/>
      </colorScale>
    </cfRule>
  </conditionalFormatting>
  <conditionalFormatting sqref="F32">
    <cfRule type="colorScale" priority="7202">
      <colorScale>
        <cfvo type="min"/>
        <cfvo type="percentile" val="50"/>
        <cfvo type="max"/>
        <color rgb="FFF8696B"/>
        <color rgb="FFFFEB84"/>
        <color rgb="FF63BE7B"/>
      </colorScale>
    </cfRule>
  </conditionalFormatting>
  <conditionalFormatting sqref="F32">
    <cfRule type="colorScale" priority="7201">
      <colorScale>
        <cfvo type="min"/>
        <cfvo type="percentile" val="50"/>
        <cfvo type="max"/>
        <color rgb="FFF8696B"/>
        <color rgb="FFFFEB84"/>
        <color rgb="FF63BE7B"/>
      </colorScale>
    </cfRule>
  </conditionalFormatting>
  <conditionalFormatting sqref="F32">
    <cfRule type="colorScale" priority="7200">
      <colorScale>
        <cfvo type="min"/>
        <cfvo type="percentile" val="50"/>
        <cfvo type="max"/>
        <color rgb="FFF8696B"/>
        <color rgb="FFFFEB84"/>
        <color rgb="FF63BE7B"/>
      </colorScale>
    </cfRule>
  </conditionalFormatting>
  <conditionalFormatting sqref="F32">
    <cfRule type="colorScale" priority="7199">
      <colorScale>
        <cfvo type="min"/>
        <cfvo type="percentile" val="50"/>
        <cfvo type="max"/>
        <color rgb="FFF8696B"/>
        <color rgb="FFFFEB84"/>
        <color rgb="FF63BE7B"/>
      </colorScale>
    </cfRule>
  </conditionalFormatting>
  <conditionalFormatting sqref="F32">
    <cfRule type="colorScale" priority="7198">
      <colorScale>
        <cfvo type="min"/>
        <cfvo type="percentile" val="50"/>
        <cfvo type="max"/>
        <color rgb="FFF8696B"/>
        <color rgb="FFFFEB84"/>
        <color rgb="FF63BE7B"/>
      </colorScale>
    </cfRule>
  </conditionalFormatting>
  <conditionalFormatting sqref="F32">
    <cfRule type="colorScale" priority="7197">
      <colorScale>
        <cfvo type="min"/>
        <cfvo type="percentile" val="50"/>
        <cfvo type="max"/>
        <color rgb="FFF8696B"/>
        <color rgb="FFFFEB84"/>
        <color rgb="FF63BE7B"/>
      </colorScale>
    </cfRule>
  </conditionalFormatting>
  <conditionalFormatting sqref="F32">
    <cfRule type="colorScale" priority="7196">
      <colorScale>
        <cfvo type="min"/>
        <cfvo type="percentile" val="50"/>
        <cfvo type="max"/>
        <color rgb="FFF8696B"/>
        <color rgb="FFFFEB84"/>
        <color rgb="FF63BE7B"/>
      </colorScale>
    </cfRule>
  </conditionalFormatting>
  <conditionalFormatting sqref="F32">
    <cfRule type="colorScale" priority="7195">
      <colorScale>
        <cfvo type="min"/>
        <cfvo type="percentile" val="50"/>
        <cfvo type="max"/>
        <color rgb="FFF8696B"/>
        <color rgb="FFFFEB84"/>
        <color rgb="FF63BE7B"/>
      </colorScale>
    </cfRule>
  </conditionalFormatting>
  <conditionalFormatting sqref="F32">
    <cfRule type="colorScale" priority="7194">
      <colorScale>
        <cfvo type="min"/>
        <cfvo type="percentile" val="50"/>
        <cfvo type="max"/>
        <color rgb="FFF8696B"/>
        <color rgb="FFFFEB84"/>
        <color rgb="FF63BE7B"/>
      </colorScale>
    </cfRule>
  </conditionalFormatting>
  <conditionalFormatting sqref="F32">
    <cfRule type="colorScale" priority="7193">
      <colorScale>
        <cfvo type="min"/>
        <cfvo type="percentile" val="50"/>
        <cfvo type="max"/>
        <color rgb="FFF8696B"/>
        <color rgb="FFFFEB84"/>
        <color rgb="FF63BE7B"/>
      </colorScale>
    </cfRule>
  </conditionalFormatting>
  <conditionalFormatting sqref="F32">
    <cfRule type="colorScale" priority="7192">
      <colorScale>
        <cfvo type="min"/>
        <cfvo type="percentile" val="50"/>
        <cfvo type="max"/>
        <color rgb="FFF8696B"/>
        <color rgb="FFFFEB84"/>
        <color rgb="FF63BE7B"/>
      </colorScale>
    </cfRule>
  </conditionalFormatting>
  <conditionalFormatting sqref="F32">
    <cfRule type="colorScale" priority="7191">
      <colorScale>
        <cfvo type="min"/>
        <cfvo type="percentile" val="50"/>
        <cfvo type="max"/>
        <color rgb="FFF8696B"/>
        <color rgb="FFFFEB84"/>
        <color rgb="FF63BE7B"/>
      </colorScale>
    </cfRule>
  </conditionalFormatting>
  <conditionalFormatting sqref="F32">
    <cfRule type="colorScale" priority="7190">
      <colorScale>
        <cfvo type="min"/>
        <cfvo type="percentile" val="50"/>
        <cfvo type="max"/>
        <color rgb="FFF8696B"/>
        <color rgb="FFFFEB84"/>
        <color rgb="FF63BE7B"/>
      </colorScale>
    </cfRule>
  </conditionalFormatting>
  <conditionalFormatting sqref="F32">
    <cfRule type="colorScale" priority="7189">
      <colorScale>
        <cfvo type="min"/>
        <cfvo type="percentile" val="50"/>
        <cfvo type="max"/>
        <color rgb="FFF8696B"/>
        <color rgb="FFFFEB84"/>
        <color rgb="FF63BE7B"/>
      </colorScale>
    </cfRule>
  </conditionalFormatting>
  <conditionalFormatting sqref="F32">
    <cfRule type="colorScale" priority="7188">
      <colorScale>
        <cfvo type="min"/>
        <cfvo type="percentile" val="50"/>
        <cfvo type="max"/>
        <color rgb="FFF8696B"/>
        <color rgb="FFFFEB84"/>
        <color rgb="FF63BE7B"/>
      </colorScale>
    </cfRule>
  </conditionalFormatting>
  <conditionalFormatting sqref="F32">
    <cfRule type="colorScale" priority="7187">
      <colorScale>
        <cfvo type="min"/>
        <cfvo type="percentile" val="50"/>
        <cfvo type="max"/>
        <color rgb="FFF8696B"/>
        <color rgb="FFFFEB84"/>
        <color rgb="FF63BE7B"/>
      </colorScale>
    </cfRule>
  </conditionalFormatting>
  <conditionalFormatting sqref="F32">
    <cfRule type="colorScale" priority="7186">
      <colorScale>
        <cfvo type="min"/>
        <cfvo type="percentile" val="50"/>
        <cfvo type="max"/>
        <color rgb="FFF8696B"/>
        <color rgb="FFFFEB84"/>
        <color rgb="FF63BE7B"/>
      </colorScale>
    </cfRule>
  </conditionalFormatting>
  <conditionalFormatting sqref="F32">
    <cfRule type="colorScale" priority="7185">
      <colorScale>
        <cfvo type="min"/>
        <cfvo type="percentile" val="50"/>
        <cfvo type="max"/>
        <color rgb="FFF8696B"/>
        <color rgb="FFFFEB84"/>
        <color rgb="FF63BE7B"/>
      </colorScale>
    </cfRule>
  </conditionalFormatting>
  <conditionalFormatting sqref="F32">
    <cfRule type="colorScale" priority="7184">
      <colorScale>
        <cfvo type="min"/>
        <cfvo type="percentile" val="50"/>
        <cfvo type="max"/>
        <color rgb="FFF8696B"/>
        <color rgb="FFFFEB84"/>
        <color rgb="FF63BE7B"/>
      </colorScale>
    </cfRule>
  </conditionalFormatting>
  <conditionalFormatting sqref="F32">
    <cfRule type="colorScale" priority="7183">
      <colorScale>
        <cfvo type="min"/>
        <cfvo type="percentile" val="50"/>
        <cfvo type="max"/>
        <color rgb="FFF8696B"/>
        <color rgb="FFFFEB84"/>
        <color rgb="FF63BE7B"/>
      </colorScale>
    </cfRule>
  </conditionalFormatting>
  <conditionalFormatting sqref="F32">
    <cfRule type="colorScale" priority="7182">
      <colorScale>
        <cfvo type="min"/>
        <cfvo type="percentile" val="50"/>
        <cfvo type="max"/>
        <color rgb="FFF8696B"/>
        <color rgb="FFFFEB84"/>
        <color rgb="FF63BE7B"/>
      </colorScale>
    </cfRule>
  </conditionalFormatting>
  <conditionalFormatting sqref="F32">
    <cfRule type="colorScale" priority="7181">
      <colorScale>
        <cfvo type="min"/>
        <cfvo type="percentile" val="50"/>
        <cfvo type="max"/>
        <color rgb="FFF8696B"/>
        <color rgb="FFFFEB84"/>
        <color rgb="FF63BE7B"/>
      </colorScale>
    </cfRule>
  </conditionalFormatting>
  <conditionalFormatting sqref="F32">
    <cfRule type="colorScale" priority="7180">
      <colorScale>
        <cfvo type="min"/>
        <cfvo type="percentile" val="50"/>
        <cfvo type="max"/>
        <color rgb="FFF8696B"/>
        <color rgb="FFFFEB84"/>
        <color rgb="FF63BE7B"/>
      </colorScale>
    </cfRule>
  </conditionalFormatting>
  <conditionalFormatting sqref="F32">
    <cfRule type="colorScale" priority="7179">
      <colorScale>
        <cfvo type="min"/>
        <cfvo type="percentile" val="50"/>
        <cfvo type="max"/>
        <color rgb="FFF8696B"/>
        <color rgb="FFFFEB84"/>
        <color rgb="FF63BE7B"/>
      </colorScale>
    </cfRule>
  </conditionalFormatting>
  <conditionalFormatting sqref="F32">
    <cfRule type="colorScale" priority="7178">
      <colorScale>
        <cfvo type="min"/>
        <cfvo type="percentile" val="50"/>
        <cfvo type="max"/>
        <color rgb="FFF8696B"/>
        <color rgb="FFFFEB84"/>
        <color rgb="FF63BE7B"/>
      </colorScale>
    </cfRule>
  </conditionalFormatting>
  <conditionalFormatting sqref="F32">
    <cfRule type="colorScale" priority="7177">
      <colorScale>
        <cfvo type="min"/>
        <cfvo type="percentile" val="50"/>
        <cfvo type="max"/>
        <color rgb="FFF8696B"/>
        <color rgb="FFFFEB84"/>
        <color rgb="FF63BE7B"/>
      </colorScale>
    </cfRule>
  </conditionalFormatting>
  <conditionalFormatting sqref="F32">
    <cfRule type="colorScale" priority="7176">
      <colorScale>
        <cfvo type="min"/>
        <cfvo type="percentile" val="50"/>
        <cfvo type="max"/>
        <color rgb="FFF8696B"/>
        <color rgb="FFFFEB84"/>
        <color rgb="FF63BE7B"/>
      </colorScale>
    </cfRule>
  </conditionalFormatting>
  <conditionalFormatting sqref="F32">
    <cfRule type="colorScale" priority="7175">
      <colorScale>
        <cfvo type="min"/>
        <cfvo type="percentile" val="50"/>
        <cfvo type="max"/>
        <color rgb="FFF8696B"/>
        <color rgb="FFFFEB84"/>
        <color rgb="FF63BE7B"/>
      </colorScale>
    </cfRule>
  </conditionalFormatting>
  <conditionalFormatting sqref="F32">
    <cfRule type="colorScale" priority="7174">
      <colorScale>
        <cfvo type="min"/>
        <cfvo type="percentile" val="50"/>
        <cfvo type="max"/>
        <color rgb="FFF8696B"/>
        <color rgb="FFFFEB84"/>
        <color rgb="FF63BE7B"/>
      </colorScale>
    </cfRule>
  </conditionalFormatting>
  <conditionalFormatting sqref="F32">
    <cfRule type="colorScale" priority="7173">
      <colorScale>
        <cfvo type="min"/>
        <cfvo type="percentile" val="50"/>
        <cfvo type="max"/>
        <color rgb="FFF8696B"/>
        <color rgb="FFFFEB84"/>
        <color rgb="FF63BE7B"/>
      </colorScale>
    </cfRule>
  </conditionalFormatting>
  <conditionalFormatting sqref="F32">
    <cfRule type="colorScale" priority="7172">
      <colorScale>
        <cfvo type="min"/>
        <cfvo type="percentile" val="50"/>
        <cfvo type="max"/>
        <color rgb="FFF8696B"/>
        <color rgb="FFFFEB84"/>
        <color rgb="FF63BE7B"/>
      </colorScale>
    </cfRule>
  </conditionalFormatting>
  <conditionalFormatting sqref="F32">
    <cfRule type="colorScale" priority="7171">
      <colorScale>
        <cfvo type="min"/>
        <cfvo type="percentile" val="50"/>
        <cfvo type="max"/>
        <color rgb="FFF8696B"/>
        <color rgb="FFFFEB84"/>
        <color rgb="FF63BE7B"/>
      </colorScale>
    </cfRule>
  </conditionalFormatting>
  <conditionalFormatting sqref="F32">
    <cfRule type="colorScale" priority="7170">
      <colorScale>
        <cfvo type="min"/>
        <cfvo type="percentile" val="50"/>
        <cfvo type="max"/>
        <color rgb="FFF8696B"/>
        <color rgb="FFFFEB84"/>
        <color rgb="FF63BE7B"/>
      </colorScale>
    </cfRule>
  </conditionalFormatting>
  <conditionalFormatting sqref="F32">
    <cfRule type="colorScale" priority="7169">
      <colorScale>
        <cfvo type="min"/>
        <cfvo type="percentile" val="50"/>
        <cfvo type="max"/>
        <color rgb="FFF8696B"/>
        <color rgb="FFFFEB84"/>
        <color rgb="FF63BE7B"/>
      </colorScale>
    </cfRule>
  </conditionalFormatting>
  <conditionalFormatting sqref="F32">
    <cfRule type="colorScale" priority="7168">
      <colorScale>
        <cfvo type="min"/>
        <cfvo type="percentile" val="50"/>
        <cfvo type="max"/>
        <color rgb="FFF8696B"/>
        <color rgb="FFFFEB84"/>
        <color rgb="FF63BE7B"/>
      </colorScale>
    </cfRule>
  </conditionalFormatting>
  <conditionalFormatting sqref="F32">
    <cfRule type="colorScale" priority="7167">
      <colorScale>
        <cfvo type="min"/>
        <cfvo type="percentile" val="50"/>
        <cfvo type="max"/>
        <color rgb="FFF8696B"/>
        <color rgb="FFFFEB84"/>
        <color rgb="FF63BE7B"/>
      </colorScale>
    </cfRule>
  </conditionalFormatting>
  <conditionalFormatting sqref="F32">
    <cfRule type="colorScale" priority="7166">
      <colorScale>
        <cfvo type="min"/>
        <cfvo type="percentile" val="50"/>
        <cfvo type="max"/>
        <color rgb="FFF8696B"/>
        <color rgb="FFFFEB84"/>
        <color rgb="FF63BE7B"/>
      </colorScale>
    </cfRule>
  </conditionalFormatting>
  <conditionalFormatting sqref="F32">
    <cfRule type="colorScale" priority="7165">
      <colorScale>
        <cfvo type="min"/>
        <cfvo type="percentile" val="50"/>
        <cfvo type="max"/>
        <color rgb="FFF8696B"/>
        <color rgb="FFFFEB84"/>
        <color rgb="FF63BE7B"/>
      </colorScale>
    </cfRule>
  </conditionalFormatting>
  <conditionalFormatting sqref="F32">
    <cfRule type="colorScale" priority="7164">
      <colorScale>
        <cfvo type="min"/>
        <cfvo type="percentile" val="50"/>
        <cfvo type="max"/>
        <color rgb="FFF8696B"/>
        <color rgb="FFFFEB84"/>
        <color rgb="FF63BE7B"/>
      </colorScale>
    </cfRule>
  </conditionalFormatting>
  <conditionalFormatting sqref="F32">
    <cfRule type="colorScale" priority="7163">
      <colorScale>
        <cfvo type="min"/>
        <cfvo type="percentile" val="50"/>
        <cfvo type="max"/>
        <color rgb="FFF8696B"/>
        <color rgb="FFFFEB84"/>
        <color rgb="FF63BE7B"/>
      </colorScale>
    </cfRule>
  </conditionalFormatting>
  <conditionalFormatting sqref="F32">
    <cfRule type="colorScale" priority="7162">
      <colorScale>
        <cfvo type="min"/>
        <cfvo type="percentile" val="50"/>
        <cfvo type="max"/>
        <color rgb="FFF8696B"/>
        <color rgb="FFFFEB84"/>
        <color rgb="FF63BE7B"/>
      </colorScale>
    </cfRule>
  </conditionalFormatting>
  <conditionalFormatting sqref="F32">
    <cfRule type="colorScale" priority="7161">
      <colorScale>
        <cfvo type="min"/>
        <cfvo type="percentile" val="50"/>
        <cfvo type="max"/>
        <color rgb="FFF8696B"/>
        <color rgb="FFFFEB84"/>
        <color rgb="FF63BE7B"/>
      </colorScale>
    </cfRule>
  </conditionalFormatting>
  <conditionalFormatting sqref="F32">
    <cfRule type="colorScale" priority="7160">
      <colorScale>
        <cfvo type="min"/>
        <cfvo type="percentile" val="50"/>
        <cfvo type="max"/>
        <color rgb="FFF8696B"/>
        <color rgb="FFFFEB84"/>
        <color rgb="FF63BE7B"/>
      </colorScale>
    </cfRule>
  </conditionalFormatting>
  <conditionalFormatting sqref="F32">
    <cfRule type="colorScale" priority="7159">
      <colorScale>
        <cfvo type="min"/>
        <cfvo type="percentile" val="50"/>
        <cfvo type="max"/>
        <color rgb="FFF8696B"/>
        <color rgb="FFFFEB84"/>
        <color rgb="FF63BE7B"/>
      </colorScale>
    </cfRule>
  </conditionalFormatting>
  <conditionalFormatting sqref="F32">
    <cfRule type="colorScale" priority="7158">
      <colorScale>
        <cfvo type="min"/>
        <cfvo type="percentile" val="50"/>
        <cfvo type="max"/>
        <color rgb="FFF8696B"/>
        <color rgb="FFFFEB84"/>
        <color rgb="FF63BE7B"/>
      </colorScale>
    </cfRule>
  </conditionalFormatting>
  <conditionalFormatting sqref="F32">
    <cfRule type="colorScale" priority="7157">
      <colorScale>
        <cfvo type="min"/>
        <cfvo type="percentile" val="50"/>
        <cfvo type="max"/>
        <color rgb="FFF8696B"/>
        <color rgb="FFFFEB84"/>
        <color rgb="FF63BE7B"/>
      </colorScale>
    </cfRule>
  </conditionalFormatting>
  <conditionalFormatting sqref="F32">
    <cfRule type="colorScale" priority="7156">
      <colorScale>
        <cfvo type="min"/>
        <cfvo type="percentile" val="50"/>
        <cfvo type="max"/>
        <color rgb="FFF8696B"/>
        <color rgb="FFFFEB84"/>
        <color rgb="FF63BE7B"/>
      </colorScale>
    </cfRule>
  </conditionalFormatting>
  <conditionalFormatting sqref="F32">
    <cfRule type="colorScale" priority="7155">
      <colorScale>
        <cfvo type="min"/>
        <cfvo type="percentile" val="50"/>
        <cfvo type="max"/>
        <color rgb="FFF8696B"/>
        <color rgb="FFFFEB84"/>
        <color rgb="FF63BE7B"/>
      </colorScale>
    </cfRule>
  </conditionalFormatting>
  <conditionalFormatting sqref="F32">
    <cfRule type="colorScale" priority="7154">
      <colorScale>
        <cfvo type="min"/>
        <cfvo type="percentile" val="50"/>
        <cfvo type="max"/>
        <color rgb="FFF8696B"/>
        <color rgb="FFFFEB84"/>
        <color rgb="FF63BE7B"/>
      </colorScale>
    </cfRule>
  </conditionalFormatting>
  <conditionalFormatting sqref="F32">
    <cfRule type="colorScale" priority="7153">
      <colorScale>
        <cfvo type="min"/>
        <cfvo type="percentile" val="50"/>
        <cfvo type="max"/>
        <color rgb="FFF8696B"/>
        <color rgb="FFFFEB84"/>
        <color rgb="FF63BE7B"/>
      </colorScale>
    </cfRule>
  </conditionalFormatting>
  <conditionalFormatting sqref="F32">
    <cfRule type="colorScale" priority="7152">
      <colorScale>
        <cfvo type="min"/>
        <cfvo type="percentile" val="50"/>
        <cfvo type="max"/>
        <color rgb="FFF8696B"/>
        <color rgb="FFFFEB84"/>
        <color rgb="FF63BE7B"/>
      </colorScale>
    </cfRule>
  </conditionalFormatting>
  <conditionalFormatting sqref="F32">
    <cfRule type="colorScale" priority="7151">
      <colorScale>
        <cfvo type="min"/>
        <cfvo type="percentile" val="50"/>
        <cfvo type="max"/>
        <color rgb="FFF8696B"/>
        <color rgb="FFFFEB84"/>
        <color rgb="FF63BE7B"/>
      </colorScale>
    </cfRule>
  </conditionalFormatting>
  <conditionalFormatting sqref="F32">
    <cfRule type="colorScale" priority="7150">
      <colorScale>
        <cfvo type="min"/>
        <cfvo type="percentile" val="50"/>
        <cfvo type="max"/>
        <color rgb="FFF8696B"/>
        <color rgb="FFFFEB84"/>
        <color rgb="FF63BE7B"/>
      </colorScale>
    </cfRule>
  </conditionalFormatting>
  <conditionalFormatting sqref="F32">
    <cfRule type="colorScale" priority="7149">
      <colorScale>
        <cfvo type="min"/>
        <cfvo type="percentile" val="50"/>
        <cfvo type="max"/>
        <color rgb="FFF8696B"/>
        <color rgb="FFFFEB84"/>
        <color rgb="FF63BE7B"/>
      </colorScale>
    </cfRule>
  </conditionalFormatting>
  <conditionalFormatting sqref="F32">
    <cfRule type="colorScale" priority="7148">
      <colorScale>
        <cfvo type="min"/>
        <cfvo type="percentile" val="50"/>
        <cfvo type="max"/>
        <color rgb="FFF8696B"/>
        <color rgb="FFFFEB84"/>
        <color rgb="FF63BE7B"/>
      </colorScale>
    </cfRule>
  </conditionalFormatting>
  <conditionalFormatting sqref="F32">
    <cfRule type="colorScale" priority="7147">
      <colorScale>
        <cfvo type="min"/>
        <cfvo type="percentile" val="50"/>
        <cfvo type="max"/>
        <color rgb="FFF8696B"/>
        <color rgb="FFFFEB84"/>
        <color rgb="FF63BE7B"/>
      </colorScale>
    </cfRule>
  </conditionalFormatting>
  <conditionalFormatting sqref="F32">
    <cfRule type="colorScale" priority="7146">
      <colorScale>
        <cfvo type="min"/>
        <cfvo type="percentile" val="50"/>
        <cfvo type="max"/>
        <color rgb="FFF8696B"/>
        <color rgb="FFFFEB84"/>
        <color rgb="FF63BE7B"/>
      </colorScale>
    </cfRule>
  </conditionalFormatting>
  <conditionalFormatting sqref="F32">
    <cfRule type="colorScale" priority="7145">
      <colorScale>
        <cfvo type="min"/>
        <cfvo type="percentile" val="50"/>
        <cfvo type="max"/>
        <color rgb="FFF8696B"/>
        <color rgb="FFFFEB84"/>
        <color rgb="FF63BE7B"/>
      </colorScale>
    </cfRule>
  </conditionalFormatting>
  <conditionalFormatting sqref="F32">
    <cfRule type="colorScale" priority="7144">
      <colorScale>
        <cfvo type="min"/>
        <cfvo type="percentile" val="50"/>
        <cfvo type="max"/>
        <color rgb="FFF8696B"/>
        <color rgb="FFFFEB84"/>
        <color rgb="FF63BE7B"/>
      </colorScale>
    </cfRule>
  </conditionalFormatting>
  <conditionalFormatting sqref="F32">
    <cfRule type="colorScale" priority="7143">
      <colorScale>
        <cfvo type="min"/>
        <cfvo type="percentile" val="50"/>
        <cfvo type="max"/>
        <color rgb="FFF8696B"/>
        <color rgb="FFFFEB84"/>
        <color rgb="FF63BE7B"/>
      </colorScale>
    </cfRule>
  </conditionalFormatting>
  <conditionalFormatting sqref="F32">
    <cfRule type="colorScale" priority="7142">
      <colorScale>
        <cfvo type="min"/>
        <cfvo type="percentile" val="50"/>
        <cfvo type="max"/>
        <color rgb="FFF8696B"/>
        <color rgb="FFFFEB84"/>
        <color rgb="FF63BE7B"/>
      </colorScale>
    </cfRule>
  </conditionalFormatting>
  <conditionalFormatting sqref="F32">
    <cfRule type="colorScale" priority="7141">
      <colorScale>
        <cfvo type="min"/>
        <cfvo type="percentile" val="50"/>
        <cfvo type="max"/>
        <color rgb="FFF8696B"/>
        <color rgb="FFFFEB84"/>
        <color rgb="FF63BE7B"/>
      </colorScale>
    </cfRule>
  </conditionalFormatting>
  <conditionalFormatting sqref="F32">
    <cfRule type="colorScale" priority="7140">
      <colorScale>
        <cfvo type="min"/>
        <cfvo type="percentile" val="50"/>
        <cfvo type="max"/>
        <color rgb="FFF8696B"/>
        <color rgb="FFFFEB84"/>
        <color rgb="FF63BE7B"/>
      </colorScale>
    </cfRule>
  </conditionalFormatting>
  <conditionalFormatting sqref="F32">
    <cfRule type="colorScale" priority="7139">
      <colorScale>
        <cfvo type="min"/>
        <cfvo type="percentile" val="50"/>
        <cfvo type="max"/>
        <color rgb="FFF8696B"/>
        <color rgb="FFFFEB84"/>
        <color rgb="FF63BE7B"/>
      </colorScale>
    </cfRule>
  </conditionalFormatting>
  <conditionalFormatting sqref="F32">
    <cfRule type="colorScale" priority="7138">
      <colorScale>
        <cfvo type="min"/>
        <cfvo type="percentile" val="50"/>
        <cfvo type="max"/>
        <color rgb="FFF8696B"/>
        <color rgb="FFFFEB84"/>
        <color rgb="FF63BE7B"/>
      </colorScale>
    </cfRule>
  </conditionalFormatting>
  <conditionalFormatting sqref="F32">
    <cfRule type="colorScale" priority="7137">
      <colorScale>
        <cfvo type="min"/>
        <cfvo type="percentile" val="50"/>
        <cfvo type="max"/>
        <color rgb="FFF8696B"/>
        <color rgb="FFFFEB84"/>
        <color rgb="FF63BE7B"/>
      </colorScale>
    </cfRule>
  </conditionalFormatting>
  <conditionalFormatting sqref="F32">
    <cfRule type="colorScale" priority="7136">
      <colorScale>
        <cfvo type="min"/>
        <cfvo type="percentile" val="50"/>
        <cfvo type="max"/>
        <color rgb="FFF8696B"/>
        <color rgb="FFFFEB84"/>
        <color rgb="FF63BE7B"/>
      </colorScale>
    </cfRule>
  </conditionalFormatting>
  <conditionalFormatting sqref="F32">
    <cfRule type="colorScale" priority="7135">
      <colorScale>
        <cfvo type="min"/>
        <cfvo type="percentile" val="50"/>
        <cfvo type="max"/>
        <color rgb="FFF8696B"/>
        <color rgb="FFFFEB84"/>
        <color rgb="FF63BE7B"/>
      </colorScale>
    </cfRule>
  </conditionalFormatting>
  <conditionalFormatting sqref="F32">
    <cfRule type="colorScale" priority="7134">
      <colorScale>
        <cfvo type="min"/>
        <cfvo type="percentile" val="50"/>
        <cfvo type="max"/>
        <color rgb="FFF8696B"/>
        <color rgb="FFFFEB84"/>
        <color rgb="FF63BE7B"/>
      </colorScale>
    </cfRule>
  </conditionalFormatting>
  <conditionalFormatting sqref="F32">
    <cfRule type="colorScale" priority="7133">
      <colorScale>
        <cfvo type="min"/>
        <cfvo type="percentile" val="50"/>
        <cfvo type="max"/>
        <color rgb="FFF8696B"/>
        <color rgb="FFFFEB84"/>
        <color rgb="FF63BE7B"/>
      </colorScale>
    </cfRule>
  </conditionalFormatting>
  <conditionalFormatting sqref="F32">
    <cfRule type="colorScale" priority="7132">
      <colorScale>
        <cfvo type="min"/>
        <cfvo type="percentile" val="50"/>
        <cfvo type="max"/>
        <color rgb="FFF8696B"/>
        <color rgb="FFFFEB84"/>
        <color rgb="FF63BE7B"/>
      </colorScale>
    </cfRule>
  </conditionalFormatting>
  <conditionalFormatting sqref="F32">
    <cfRule type="colorScale" priority="7131">
      <colorScale>
        <cfvo type="min"/>
        <cfvo type="percentile" val="50"/>
        <cfvo type="max"/>
        <color rgb="FFF8696B"/>
        <color rgb="FFFFEB84"/>
        <color rgb="FF63BE7B"/>
      </colorScale>
    </cfRule>
  </conditionalFormatting>
  <conditionalFormatting sqref="F32">
    <cfRule type="colorScale" priority="7130">
      <colorScale>
        <cfvo type="min"/>
        <cfvo type="percentile" val="50"/>
        <cfvo type="max"/>
        <color rgb="FFF8696B"/>
        <color rgb="FFFFEB84"/>
        <color rgb="FF63BE7B"/>
      </colorScale>
    </cfRule>
  </conditionalFormatting>
  <conditionalFormatting sqref="F32">
    <cfRule type="colorScale" priority="7129">
      <colorScale>
        <cfvo type="min"/>
        <cfvo type="percentile" val="50"/>
        <cfvo type="max"/>
        <color rgb="FFF8696B"/>
        <color rgb="FFFFEB84"/>
        <color rgb="FF63BE7B"/>
      </colorScale>
    </cfRule>
  </conditionalFormatting>
  <conditionalFormatting sqref="F32">
    <cfRule type="colorScale" priority="7128">
      <colorScale>
        <cfvo type="min"/>
        <cfvo type="percentile" val="50"/>
        <cfvo type="max"/>
        <color rgb="FFF8696B"/>
        <color rgb="FFFFEB84"/>
        <color rgb="FF63BE7B"/>
      </colorScale>
    </cfRule>
  </conditionalFormatting>
  <conditionalFormatting sqref="F32">
    <cfRule type="colorScale" priority="7127">
      <colorScale>
        <cfvo type="min"/>
        <cfvo type="percentile" val="50"/>
        <cfvo type="max"/>
        <color rgb="FFF8696B"/>
        <color rgb="FFFFEB84"/>
        <color rgb="FF63BE7B"/>
      </colorScale>
    </cfRule>
  </conditionalFormatting>
  <conditionalFormatting sqref="F32">
    <cfRule type="colorScale" priority="7126">
      <colorScale>
        <cfvo type="min"/>
        <cfvo type="percentile" val="50"/>
        <cfvo type="max"/>
        <color rgb="FFF8696B"/>
        <color rgb="FFFFEB84"/>
        <color rgb="FF63BE7B"/>
      </colorScale>
    </cfRule>
  </conditionalFormatting>
  <conditionalFormatting sqref="F32">
    <cfRule type="colorScale" priority="7125">
      <colorScale>
        <cfvo type="min"/>
        <cfvo type="percentile" val="50"/>
        <cfvo type="max"/>
        <color rgb="FFF8696B"/>
        <color rgb="FFFFEB84"/>
        <color rgb="FF63BE7B"/>
      </colorScale>
    </cfRule>
  </conditionalFormatting>
  <conditionalFormatting sqref="F32">
    <cfRule type="colorScale" priority="7124">
      <colorScale>
        <cfvo type="min"/>
        <cfvo type="percentile" val="50"/>
        <cfvo type="max"/>
        <color rgb="FFF8696B"/>
        <color rgb="FFFFEB84"/>
        <color rgb="FF63BE7B"/>
      </colorScale>
    </cfRule>
  </conditionalFormatting>
  <conditionalFormatting sqref="F32">
    <cfRule type="colorScale" priority="7123">
      <colorScale>
        <cfvo type="min"/>
        <cfvo type="percentile" val="50"/>
        <cfvo type="max"/>
        <color rgb="FFF8696B"/>
        <color rgb="FFFFEB84"/>
        <color rgb="FF63BE7B"/>
      </colorScale>
    </cfRule>
  </conditionalFormatting>
  <conditionalFormatting sqref="F13:F20">
    <cfRule type="colorScale" priority="7122">
      <colorScale>
        <cfvo type="min"/>
        <cfvo type="percentile" val="50"/>
        <cfvo type="max"/>
        <color rgb="FFF8696B"/>
        <color rgb="FFFFEB84"/>
        <color rgb="FF63BE7B"/>
      </colorScale>
    </cfRule>
  </conditionalFormatting>
  <conditionalFormatting sqref="F13:F20">
    <cfRule type="colorScale" priority="7121">
      <colorScale>
        <cfvo type="min"/>
        <cfvo type="percentile" val="50"/>
        <cfvo type="max"/>
        <color rgb="FFF8696B"/>
        <color rgb="FFFFEB84"/>
        <color rgb="FF63BE7B"/>
      </colorScale>
    </cfRule>
  </conditionalFormatting>
  <conditionalFormatting sqref="F13:F20">
    <cfRule type="colorScale" priority="7120">
      <colorScale>
        <cfvo type="min"/>
        <cfvo type="percentile" val="50"/>
        <cfvo type="max"/>
        <color rgb="FFF8696B"/>
        <color rgb="FFFFEB84"/>
        <color rgb="FF63BE7B"/>
      </colorScale>
    </cfRule>
  </conditionalFormatting>
  <conditionalFormatting sqref="F13:F20">
    <cfRule type="colorScale" priority="7119">
      <colorScale>
        <cfvo type="min"/>
        <cfvo type="percentile" val="50"/>
        <cfvo type="max"/>
        <color rgb="FFF8696B"/>
        <color rgb="FFFFEB84"/>
        <color rgb="FF63BE7B"/>
      </colorScale>
    </cfRule>
  </conditionalFormatting>
  <conditionalFormatting sqref="F13:F20">
    <cfRule type="colorScale" priority="7118">
      <colorScale>
        <cfvo type="min"/>
        <cfvo type="percentile" val="50"/>
        <cfvo type="max"/>
        <color rgb="FFF8696B"/>
        <color rgb="FFFFEB84"/>
        <color rgb="FF63BE7B"/>
      </colorScale>
    </cfRule>
  </conditionalFormatting>
  <conditionalFormatting sqref="F13:F20">
    <cfRule type="colorScale" priority="7117">
      <colorScale>
        <cfvo type="min"/>
        <cfvo type="percentile" val="50"/>
        <cfvo type="max"/>
        <color rgb="FFF8696B"/>
        <color rgb="FFFFEB84"/>
        <color rgb="FF63BE7B"/>
      </colorScale>
    </cfRule>
  </conditionalFormatting>
  <conditionalFormatting sqref="F13:F20">
    <cfRule type="colorScale" priority="7116">
      <colorScale>
        <cfvo type="min"/>
        <cfvo type="percentile" val="50"/>
        <cfvo type="max"/>
        <color rgb="FFF8696B"/>
        <color rgb="FFFFEB84"/>
        <color rgb="FF63BE7B"/>
      </colorScale>
    </cfRule>
  </conditionalFormatting>
  <conditionalFormatting sqref="F13:F20">
    <cfRule type="colorScale" priority="7115">
      <colorScale>
        <cfvo type="min"/>
        <cfvo type="percentile" val="50"/>
        <cfvo type="max"/>
        <color rgb="FFF8696B"/>
        <color rgb="FFFFEB84"/>
        <color rgb="FF63BE7B"/>
      </colorScale>
    </cfRule>
  </conditionalFormatting>
  <conditionalFormatting sqref="F13:F20">
    <cfRule type="colorScale" priority="7114">
      <colorScale>
        <cfvo type="min"/>
        <cfvo type="percentile" val="50"/>
        <cfvo type="max"/>
        <color rgb="FFF8696B"/>
        <color rgb="FFFFEB84"/>
        <color rgb="FF63BE7B"/>
      </colorScale>
    </cfRule>
  </conditionalFormatting>
  <conditionalFormatting sqref="F13:F20">
    <cfRule type="colorScale" priority="7113">
      <colorScale>
        <cfvo type="min"/>
        <cfvo type="percentile" val="50"/>
        <cfvo type="max"/>
        <color rgb="FFF8696B"/>
        <color rgb="FFFFEB84"/>
        <color rgb="FF63BE7B"/>
      </colorScale>
    </cfRule>
  </conditionalFormatting>
  <conditionalFormatting sqref="F13:F20">
    <cfRule type="colorScale" priority="7112">
      <colorScale>
        <cfvo type="min"/>
        <cfvo type="percentile" val="50"/>
        <cfvo type="max"/>
        <color rgb="FFF8696B"/>
        <color rgb="FFFFEB84"/>
        <color rgb="FF63BE7B"/>
      </colorScale>
    </cfRule>
  </conditionalFormatting>
  <conditionalFormatting sqref="F13:F20">
    <cfRule type="colorScale" priority="7111">
      <colorScale>
        <cfvo type="min"/>
        <cfvo type="percentile" val="50"/>
        <cfvo type="max"/>
        <color rgb="FFF8696B"/>
        <color rgb="FFFFEB84"/>
        <color rgb="FF63BE7B"/>
      </colorScale>
    </cfRule>
  </conditionalFormatting>
  <conditionalFormatting sqref="F13:F20">
    <cfRule type="colorScale" priority="7110">
      <colorScale>
        <cfvo type="min"/>
        <cfvo type="percentile" val="50"/>
        <cfvo type="max"/>
        <color rgb="FFF8696B"/>
        <color rgb="FFFFEB84"/>
        <color rgb="FF63BE7B"/>
      </colorScale>
    </cfRule>
  </conditionalFormatting>
  <conditionalFormatting sqref="F13:F20">
    <cfRule type="colorScale" priority="7109">
      <colorScale>
        <cfvo type="min"/>
        <cfvo type="percentile" val="50"/>
        <cfvo type="max"/>
        <color rgb="FFF8696B"/>
        <color rgb="FFFFEB84"/>
        <color rgb="FF63BE7B"/>
      </colorScale>
    </cfRule>
  </conditionalFormatting>
  <conditionalFormatting sqref="F13:F20">
    <cfRule type="colorScale" priority="7108">
      <colorScale>
        <cfvo type="min"/>
        <cfvo type="percentile" val="50"/>
        <cfvo type="max"/>
        <color rgb="FFF8696B"/>
        <color rgb="FFFFEB84"/>
        <color rgb="FF63BE7B"/>
      </colorScale>
    </cfRule>
  </conditionalFormatting>
  <conditionalFormatting sqref="F13:F20">
    <cfRule type="colorScale" priority="7107">
      <colorScale>
        <cfvo type="min"/>
        <cfvo type="percentile" val="50"/>
        <cfvo type="max"/>
        <color rgb="FFF8696B"/>
        <color rgb="FFFFEB84"/>
        <color rgb="FF63BE7B"/>
      </colorScale>
    </cfRule>
  </conditionalFormatting>
  <conditionalFormatting sqref="F13:F20">
    <cfRule type="colorScale" priority="7106">
      <colorScale>
        <cfvo type="min"/>
        <cfvo type="percentile" val="50"/>
        <cfvo type="max"/>
        <color rgb="FFF8696B"/>
        <color rgb="FFFFEB84"/>
        <color rgb="FF63BE7B"/>
      </colorScale>
    </cfRule>
  </conditionalFormatting>
  <conditionalFormatting sqref="F13:F20">
    <cfRule type="colorScale" priority="7105">
      <colorScale>
        <cfvo type="min"/>
        <cfvo type="percentile" val="50"/>
        <cfvo type="max"/>
        <color rgb="FFF8696B"/>
        <color rgb="FFFFEB84"/>
        <color rgb="FF63BE7B"/>
      </colorScale>
    </cfRule>
  </conditionalFormatting>
  <conditionalFormatting sqref="F13:F20">
    <cfRule type="colorScale" priority="7104">
      <colorScale>
        <cfvo type="min"/>
        <cfvo type="percentile" val="50"/>
        <cfvo type="max"/>
        <color rgb="FFF8696B"/>
        <color rgb="FFFFEB84"/>
        <color rgb="FF63BE7B"/>
      </colorScale>
    </cfRule>
  </conditionalFormatting>
  <conditionalFormatting sqref="F13:F20">
    <cfRule type="colorScale" priority="7103">
      <colorScale>
        <cfvo type="min"/>
        <cfvo type="percentile" val="50"/>
        <cfvo type="max"/>
        <color rgb="FFF8696B"/>
        <color rgb="FFFFEB84"/>
        <color rgb="FF63BE7B"/>
      </colorScale>
    </cfRule>
  </conditionalFormatting>
  <conditionalFormatting sqref="F13:F20">
    <cfRule type="colorScale" priority="7102">
      <colorScale>
        <cfvo type="min"/>
        <cfvo type="percentile" val="50"/>
        <cfvo type="max"/>
        <color rgb="FFF8696B"/>
        <color rgb="FFFFEB84"/>
        <color rgb="FF63BE7B"/>
      </colorScale>
    </cfRule>
  </conditionalFormatting>
  <conditionalFormatting sqref="F13:F20">
    <cfRule type="colorScale" priority="7101">
      <colorScale>
        <cfvo type="min"/>
        <cfvo type="percentile" val="50"/>
        <cfvo type="max"/>
        <color rgb="FFF8696B"/>
        <color rgb="FFFFEB84"/>
        <color rgb="FF63BE7B"/>
      </colorScale>
    </cfRule>
  </conditionalFormatting>
  <conditionalFormatting sqref="F13:F20">
    <cfRule type="colorScale" priority="7100">
      <colorScale>
        <cfvo type="min"/>
        <cfvo type="percentile" val="50"/>
        <cfvo type="max"/>
        <color rgb="FFF8696B"/>
        <color rgb="FFFFEB84"/>
        <color rgb="FF63BE7B"/>
      </colorScale>
    </cfRule>
  </conditionalFormatting>
  <conditionalFormatting sqref="F13:F20">
    <cfRule type="colorScale" priority="7099">
      <colorScale>
        <cfvo type="min"/>
        <cfvo type="percentile" val="50"/>
        <cfvo type="max"/>
        <color rgb="FFF8696B"/>
        <color rgb="FFFFEB84"/>
        <color rgb="FF63BE7B"/>
      </colorScale>
    </cfRule>
  </conditionalFormatting>
  <conditionalFormatting sqref="F13:F20">
    <cfRule type="colorScale" priority="7098">
      <colorScale>
        <cfvo type="min"/>
        <cfvo type="percentile" val="50"/>
        <cfvo type="max"/>
        <color rgb="FFF8696B"/>
        <color rgb="FFFFEB84"/>
        <color rgb="FF63BE7B"/>
      </colorScale>
    </cfRule>
  </conditionalFormatting>
  <conditionalFormatting sqref="F13:F20">
    <cfRule type="colorScale" priority="7097">
      <colorScale>
        <cfvo type="min"/>
        <cfvo type="percentile" val="50"/>
        <cfvo type="max"/>
        <color rgb="FFF8696B"/>
        <color rgb="FFFFEB84"/>
        <color rgb="FF63BE7B"/>
      </colorScale>
    </cfRule>
  </conditionalFormatting>
  <conditionalFormatting sqref="F13:F20">
    <cfRule type="colorScale" priority="7096">
      <colorScale>
        <cfvo type="min"/>
        <cfvo type="percentile" val="50"/>
        <cfvo type="max"/>
        <color rgb="FFF8696B"/>
        <color rgb="FFFFEB84"/>
        <color rgb="FF63BE7B"/>
      </colorScale>
    </cfRule>
  </conditionalFormatting>
  <conditionalFormatting sqref="F13:F20">
    <cfRule type="colorScale" priority="7095">
      <colorScale>
        <cfvo type="min"/>
        <cfvo type="percentile" val="50"/>
        <cfvo type="max"/>
        <color rgb="FFF8696B"/>
        <color rgb="FFFFEB84"/>
        <color rgb="FF63BE7B"/>
      </colorScale>
    </cfRule>
  </conditionalFormatting>
  <conditionalFormatting sqref="F13:F20">
    <cfRule type="colorScale" priority="7094">
      <colorScale>
        <cfvo type="min"/>
        <cfvo type="percentile" val="50"/>
        <cfvo type="max"/>
        <color rgb="FFF8696B"/>
        <color rgb="FFFFEB84"/>
        <color rgb="FF63BE7B"/>
      </colorScale>
    </cfRule>
  </conditionalFormatting>
  <conditionalFormatting sqref="F13:F20">
    <cfRule type="colorScale" priority="7093">
      <colorScale>
        <cfvo type="min"/>
        <cfvo type="percentile" val="50"/>
        <cfvo type="max"/>
        <color rgb="FFF8696B"/>
        <color rgb="FFFFEB84"/>
        <color rgb="FF63BE7B"/>
      </colorScale>
    </cfRule>
  </conditionalFormatting>
  <conditionalFormatting sqref="F13:F20">
    <cfRule type="colorScale" priority="7092">
      <colorScale>
        <cfvo type="min"/>
        <cfvo type="percentile" val="50"/>
        <cfvo type="max"/>
        <color rgb="FFF8696B"/>
        <color rgb="FFFFEB84"/>
        <color rgb="FF63BE7B"/>
      </colorScale>
    </cfRule>
  </conditionalFormatting>
  <conditionalFormatting sqref="F13:F20">
    <cfRule type="colorScale" priority="7091">
      <colorScale>
        <cfvo type="min"/>
        <cfvo type="percentile" val="50"/>
        <cfvo type="max"/>
        <color rgb="FFF8696B"/>
        <color rgb="FFFFEB84"/>
        <color rgb="FF63BE7B"/>
      </colorScale>
    </cfRule>
  </conditionalFormatting>
  <conditionalFormatting sqref="F13:F20">
    <cfRule type="colorScale" priority="7090">
      <colorScale>
        <cfvo type="min"/>
        <cfvo type="percentile" val="50"/>
        <cfvo type="max"/>
        <color rgb="FFF8696B"/>
        <color rgb="FFFFEB84"/>
        <color rgb="FF63BE7B"/>
      </colorScale>
    </cfRule>
  </conditionalFormatting>
  <conditionalFormatting sqref="F13:F20">
    <cfRule type="colorScale" priority="7089">
      <colorScale>
        <cfvo type="min"/>
        <cfvo type="percentile" val="50"/>
        <cfvo type="max"/>
        <color rgb="FFF8696B"/>
        <color rgb="FFFFEB84"/>
        <color rgb="FF63BE7B"/>
      </colorScale>
    </cfRule>
  </conditionalFormatting>
  <conditionalFormatting sqref="F13:F20">
    <cfRule type="colorScale" priority="7088">
      <colorScale>
        <cfvo type="min"/>
        <cfvo type="percentile" val="50"/>
        <cfvo type="max"/>
        <color rgb="FFF8696B"/>
        <color rgb="FFFFEB84"/>
        <color rgb="FF63BE7B"/>
      </colorScale>
    </cfRule>
  </conditionalFormatting>
  <conditionalFormatting sqref="F13:F20">
    <cfRule type="colorScale" priority="7087">
      <colorScale>
        <cfvo type="min"/>
        <cfvo type="percentile" val="50"/>
        <cfvo type="max"/>
        <color rgb="FFF8696B"/>
        <color rgb="FFFFEB84"/>
        <color rgb="FF63BE7B"/>
      </colorScale>
    </cfRule>
  </conditionalFormatting>
  <conditionalFormatting sqref="F13:F20">
    <cfRule type="colorScale" priority="7086">
      <colorScale>
        <cfvo type="min"/>
        <cfvo type="percentile" val="50"/>
        <cfvo type="max"/>
        <color rgb="FFF8696B"/>
        <color rgb="FFFFEB84"/>
        <color rgb="FF63BE7B"/>
      </colorScale>
    </cfRule>
  </conditionalFormatting>
  <conditionalFormatting sqref="F13:F20">
    <cfRule type="colorScale" priority="7085">
      <colorScale>
        <cfvo type="min"/>
        <cfvo type="percentile" val="50"/>
        <cfvo type="max"/>
        <color rgb="FFF8696B"/>
        <color rgb="FFFFEB84"/>
        <color rgb="FF63BE7B"/>
      </colorScale>
    </cfRule>
  </conditionalFormatting>
  <conditionalFormatting sqref="F13:F20">
    <cfRule type="colorScale" priority="7084">
      <colorScale>
        <cfvo type="min"/>
        <cfvo type="percentile" val="50"/>
        <cfvo type="max"/>
        <color rgb="FFF8696B"/>
        <color rgb="FFFFEB84"/>
        <color rgb="FF63BE7B"/>
      </colorScale>
    </cfRule>
  </conditionalFormatting>
  <conditionalFormatting sqref="F13:F20">
    <cfRule type="colorScale" priority="7083">
      <colorScale>
        <cfvo type="min"/>
        <cfvo type="percentile" val="50"/>
        <cfvo type="max"/>
        <color rgb="FFF8696B"/>
        <color rgb="FFFFEB84"/>
        <color rgb="FF63BE7B"/>
      </colorScale>
    </cfRule>
  </conditionalFormatting>
  <conditionalFormatting sqref="F13:F20">
    <cfRule type="colorScale" priority="7082">
      <colorScale>
        <cfvo type="min"/>
        <cfvo type="percentile" val="50"/>
        <cfvo type="max"/>
        <color rgb="FFF8696B"/>
        <color rgb="FFFFEB84"/>
        <color rgb="FF63BE7B"/>
      </colorScale>
    </cfRule>
  </conditionalFormatting>
  <conditionalFormatting sqref="F13:F20">
    <cfRule type="colorScale" priority="7081">
      <colorScale>
        <cfvo type="min"/>
        <cfvo type="percentile" val="50"/>
        <cfvo type="max"/>
        <color rgb="FFF8696B"/>
        <color rgb="FFFFEB84"/>
        <color rgb="FF63BE7B"/>
      </colorScale>
    </cfRule>
  </conditionalFormatting>
  <conditionalFormatting sqref="F13:F20">
    <cfRule type="colorScale" priority="7080">
      <colorScale>
        <cfvo type="min"/>
        <cfvo type="percentile" val="50"/>
        <cfvo type="max"/>
        <color rgb="FFF8696B"/>
        <color rgb="FFFFEB84"/>
        <color rgb="FF63BE7B"/>
      </colorScale>
    </cfRule>
  </conditionalFormatting>
  <conditionalFormatting sqref="F13:F20">
    <cfRule type="colorScale" priority="7079">
      <colorScale>
        <cfvo type="min"/>
        <cfvo type="percentile" val="50"/>
        <cfvo type="max"/>
        <color rgb="FFF8696B"/>
        <color rgb="FFFFEB84"/>
        <color rgb="FF63BE7B"/>
      </colorScale>
    </cfRule>
  </conditionalFormatting>
  <conditionalFormatting sqref="F13:F20">
    <cfRule type="colorScale" priority="7078">
      <colorScale>
        <cfvo type="min"/>
        <cfvo type="percentile" val="50"/>
        <cfvo type="max"/>
        <color rgb="FFF8696B"/>
        <color rgb="FFFFEB84"/>
        <color rgb="FF63BE7B"/>
      </colorScale>
    </cfRule>
  </conditionalFormatting>
  <conditionalFormatting sqref="F13:F20">
    <cfRule type="colorScale" priority="7077">
      <colorScale>
        <cfvo type="min"/>
        <cfvo type="percentile" val="50"/>
        <cfvo type="max"/>
        <color rgb="FFF8696B"/>
        <color rgb="FFFFEB84"/>
        <color rgb="FF63BE7B"/>
      </colorScale>
    </cfRule>
  </conditionalFormatting>
  <conditionalFormatting sqref="F13:F20">
    <cfRule type="colorScale" priority="7076">
      <colorScale>
        <cfvo type="min"/>
        <cfvo type="percentile" val="50"/>
        <cfvo type="max"/>
        <color rgb="FFF8696B"/>
        <color rgb="FFFFEB84"/>
        <color rgb="FF63BE7B"/>
      </colorScale>
    </cfRule>
  </conditionalFormatting>
  <conditionalFormatting sqref="F13:F20">
    <cfRule type="colorScale" priority="7075">
      <colorScale>
        <cfvo type="min"/>
        <cfvo type="percentile" val="50"/>
        <cfvo type="max"/>
        <color rgb="FFF8696B"/>
        <color rgb="FFFFEB84"/>
        <color rgb="FF63BE7B"/>
      </colorScale>
    </cfRule>
  </conditionalFormatting>
  <conditionalFormatting sqref="F13:F20">
    <cfRule type="colorScale" priority="7074">
      <colorScale>
        <cfvo type="min"/>
        <cfvo type="percentile" val="50"/>
        <cfvo type="max"/>
        <color rgb="FFF8696B"/>
        <color rgb="FFFFEB84"/>
        <color rgb="FF63BE7B"/>
      </colorScale>
    </cfRule>
  </conditionalFormatting>
  <conditionalFormatting sqref="F13:F20">
    <cfRule type="colorScale" priority="7073">
      <colorScale>
        <cfvo type="min"/>
        <cfvo type="percentile" val="50"/>
        <cfvo type="max"/>
        <color rgb="FFF8696B"/>
        <color rgb="FFFFEB84"/>
        <color rgb="FF63BE7B"/>
      </colorScale>
    </cfRule>
  </conditionalFormatting>
  <conditionalFormatting sqref="F13:F20">
    <cfRule type="colorScale" priority="7072">
      <colorScale>
        <cfvo type="min"/>
        <cfvo type="percentile" val="50"/>
        <cfvo type="max"/>
        <color rgb="FFF8696B"/>
        <color rgb="FFFFEB84"/>
        <color rgb="FF63BE7B"/>
      </colorScale>
    </cfRule>
  </conditionalFormatting>
  <conditionalFormatting sqref="F13:F20">
    <cfRule type="colorScale" priority="7071">
      <colorScale>
        <cfvo type="min"/>
        <cfvo type="percentile" val="50"/>
        <cfvo type="max"/>
        <color rgb="FFF8696B"/>
        <color rgb="FFFFEB84"/>
        <color rgb="FF63BE7B"/>
      </colorScale>
    </cfRule>
  </conditionalFormatting>
  <conditionalFormatting sqref="F13:F20">
    <cfRule type="colorScale" priority="7070">
      <colorScale>
        <cfvo type="min"/>
        <cfvo type="percentile" val="50"/>
        <cfvo type="max"/>
        <color rgb="FFF8696B"/>
        <color rgb="FFFFEB84"/>
        <color rgb="FF63BE7B"/>
      </colorScale>
    </cfRule>
  </conditionalFormatting>
  <conditionalFormatting sqref="F13:F20">
    <cfRule type="colorScale" priority="7069">
      <colorScale>
        <cfvo type="min"/>
        <cfvo type="percentile" val="50"/>
        <cfvo type="max"/>
        <color rgb="FFF8696B"/>
        <color rgb="FFFFEB84"/>
        <color rgb="FF63BE7B"/>
      </colorScale>
    </cfRule>
  </conditionalFormatting>
  <conditionalFormatting sqref="F13:F20">
    <cfRule type="colorScale" priority="7068">
      <colorScale>
        <cfvo type="min"/>
        <cfvo type="percentile" val="50"/>
        <cfvo type="max"/>
        <color rgb="FFF8696B"/>
        <color rgb="FFFFEB84"/>
        <color rgb="FF63BE7B"/>
      </colorScale>
    </cfRule>
  </conditionalFormatting>
  <conditionalFormatting sqref="F13:F20">
    <cfRule type="colorScale" priority="7067">
      <colorScale>
        <cfvo type="min"/>
        <cfvo type="percentile" val="50"/>
        <cfvo type="max"/>
        <color rgb="FFF8696B"/>
        <color rgb="FFFFEB84"/>
        <color rgb="FF63BE7B"/>
      </colorScale>
    </cfRule>
  </conditionalFormatting>
  <conditionalFormatting sqref="F13:F20">
    <cfRule type="colorScale" priority="7066">
      <colorScale>
        <cfvo type="min"/>
        <cfvo type="percentile" val="50"/>
        <cfvo type="max"/>
        <color rgb="FFF8696B"/>
        <color rgb="FFFFEB84"/>
        <color rgb="FF63BE7B"/>
      </colorScale>
    </cfRule>
  </conditionalFormatting>
  <conditionalFormatting sqref="F13:F20">
    <cfRule type="colorScale" priority="7065">
      <colorScale>
        <cfvo type="min"/>
        <cfvo type="percentile" val="50"/>
        <cfvo type="max"/>
        <color rgb="FFF8696B"/>
        <color rgb="FFFFEB84"/>
        <color rgb="FF63BE7B"/>
      </colorScale>
    </cfRule>
  </conditionalFormatting>
  <conditionalFormatting sqref="F13:F20">
    <cfRule type="colorScale" priority="7064">
      <colorScale>
        <cfvo type="min"/>
        <cfvo type="percentile" val="50"/>
        <cfvo type="max"/>
        <color rgb="FFF8696B"/>
        <color rgb="FFFFEB84"/>
        <color rgb="FF63BE7B"/>
      </colorScale>
    </cfRule>
  </conditionalFormatting>
  <conditionalFormatting sqref="F13:F20">
    <cfRule type="colorScale" priority="7063">
      <colorScale>
        <cfvo type="min"/>
        <cfvo type="percentile" val="50"/>
        <cfvo type="max"/>
        <color rgb="FFF8696B"/>
        <color rgb="FFFFEB84"/>
        <color rgb="FF63BE7B"/>
      </colorScale>
    </cfRule>
  </conditionalFormatting>
  <conditionalFormatting sqref="F13:F20">
    <cfRule type="colorScale" priority="7062">
      <colorScale>
        <cfvo type="min"/>
        <cfvo type="percentile" val="50"/>
        <cfvo type="max"/>
        <color rgb="FFF8696B"/>
        <color rgb="FFFFEB84"/>
        <color rgb="FF63BE7B"/>
      </colorScale>
    </cfRule>
  </conditionalFormatting>
  <conditionalFormatting sqref="F13:F20">
    <cfRule type="colorScale" priority="7061">
      <colorScale>
        <cfvo type="min"/>
        <cfvo type="percentile" val="50"/>
        <cfvo type="max"/>
        <color rgb="FFF8696B"/>
        <color rgb="FFFFEB84"/>
        <color rgb="FF63BE7B"/>
      </colorScale>
    </cfRule>
  </conditionalFormatting>
  <conditionalFormatting sqref="F13:F20">
    <cfRule type="colorScale" priority="7060">
      <colorScale>
        <cfvo type="min"/>
        <cfvo type="percentile" val="50"/>
        <cfvo type="max"/>
        <color rgb="FFF8696B"/>
        <color rgb="FFFFEB84"/>
        <color rgb="FF63BE7B"/>
      </colorScale>
    </cfRule>
  </conditionalFormatting>
  <conditionalFormatting sqref="F13:F20">
    <cfRule type="colorScale" priority="7059">
      <colorScale>
        <cfvo type="min"/>
        <cfvo type="percentile" val="50"/>
        <cfvo type="max"/>
        <color rgb="FFF8696B"/>
        <color rgb="FFFFEB84"/>
        <color rgb="FF63BE7B"/>
      </colorScale>
    </cfRule>
  </conditionalFormatting>
  <conditionalFormatting sqref="F13:F20">
    <cfRule type="colorScale" priority="7058">
      <colorScale>
        <cfvo type="min"/>
        <cfvo type="percentile" val="50"/>
        <cfvo type="max"/>
        <color rgb="FFF8696B"/>
        <color rgb="FFFFEB84"/>
        <color rgb="FF63BE7B"/>
      </colorScale>
    </cfRule>
  </conditionalFormatting>
  <conditionalFormatting sqref="F13:F20">
    <cfRule type="colorScale" priority="7057">
      <colorScale>
        <cfvo type="min"/>
        <cfvo type="percentile" val="50"/>
        <cfvo type="max"/>
        <color rgb="FFF8696B"/>
        <color rgb="FFFFEB84"/>
        <color rgb="FF63BE7B"/>
      </colorScale>
    </cfRule>
  </conditionalFormatting>
  <conditionalFormatting sqref="F13:F20">
    <cfRule type="colorScale" priority="7056">
      <colorScale>
        <cfvo type="min"/>
        <cfvo type="percentile" val="50"/>
        <cfvo type="max"/>
        <color rgb="FFF8696B"/>
        <color rgb="FFFFEB84"/>
        <color rgb="FF63BE7B"/>
      </colorScale>
    </cfRule>
  </conditionalFormatting>
  <conditionalFormatting sqref="F13:F20">
    <cfRule type="colorScale" priority="7055">
      <colorScale>
        <cfvo type="min"/>
        <cfvo type="percentile" val="50"/>
        <cfvo type="max"/>
        <color rgb="FFF8696B"/>
        <color rgb="FFFFEB84"/>
        <color rgb="FF63BE7B"/>
      </colorScale>
    </cfRule>
  </conditionalFormatting>
  <conditionalFormatting sqref="F13:F20">
    <cfRule type="colorScale" priority="7054">
      <colorScale>
        <cfvo type="min"/>
        <cfvo type="percentile" val="50"/>
        <cfvo type="max"/>
        <color rgb="FFF8696B"/>
        <color rgb="FFFFEB84"/>
        <color rgb="FF63BE7B"/>
      </colorScale>
    </cfRule>
  </conditionalFormatting>
  <conditionalFormatting sqref="F13:F20">
    <cfRule type="colorScale" priority="7053">
      <colorScale>
        <cfvo type="min"/>
        <cfvo type="percentile" val="50"/>
        <cfvo type="max"/>
        <color rgb="FFF8696B"/>
        <color rgb="FFFFEB84"/>
        <color rgb="FF63BE7B"/>
      </colorScale>
    </cfRule>
  </conditionalFormatting>
  <conditionalFormatting sqref="F13:F20">
    <cfRule type="colorScale" priority="7052">
      <colorScale>
        <cfvo type="min"/>
        <cfvo type="percentile" val="50"/>
        <cfvo type="max"/>
        <color rgb="FFF8696B"/>
        <color rgb="FFFFEB84"/>
        <color rgb="FF63BE7B"/>
      </colorScale>
    </cfRule>
  </conditionalFormatting>
  <conditionalFormatting sqref="F13:F20">
    <cfRule type="colorScale" priority="7051">
      <colorScale>
        <cfvo type="min"/>
        <cfvo type="percentile" val="50"/>
        <cfvo type="max"/>
        <color rgb="FFF8696B"/>
        <color rgb="FFFFEB84"/>
        <color rgb="FF63BE7B"/>
      </colorScale>
    </cfRule>
  </conditionalFormatting>
  <conditionalFormatting sqref="F13:F20">
    <cfRule type="colorScale" priority="7050">
      <colorScale>
        <cfvo type="min"/>
        <cfvo type="percentile" val="50"/>
        <cfvo type="max"/>
        <color rgb="FFF8696B"/>
        <color rgb="FFFFEB84"/>
        <color rgb="FF63BE7B"/>
      </colorScale>
    </cfRule>
  </conditionalFormatting>
  <conditionalFormatting sqref="F13:F20">
    <cfRule type="colorScale" priority="7049">
      <colorScale>
        <cfvo type="min"/>
        <cfvo type="percentile" val="50"/>
        <cfvo type="max"/>
        <color rgb="FFF8696B"/>
        <color rgb="FFFFEB84"/>
        <color rgb="FF63BE7B"/>
      </colorScale>
    </cfRule>
  </conditionalFormatting>
  <conditionalFormatting sqref="F13:F20">
    <cfRule type="colorScale" priority="7048">
      <colorScale>
        <cfvo type="min"/>
        <cfvo type="percentile" val="50"/>
        <cfvo type="max"/>
        <color rgb="FFF8696B"/>
        <color rgb="FFFFEB84"/>
        <color rgb="FF63BE7B"/>
      </colorScale>
    </cfRule>
  </conditionalFormatting>
  <conditionalFormatting sqref="F13:F20">
    <cfRule type="colorScale" priority="7047">
      <colorScale>
        <cfvo type="min"/>
        <cfvo type="percentile" val="50"/>
        <cfvo type="max"/>
        <color rgb="FFF8696B"/>
        <color rgb="FFFFEB84"/>
        <color rgb="FF63BE7B"/>
      </colorScale>
    </cfRule>
  </conditionalFormatting>
  <conditionalFormatting sqref="F13:F20">
    <cfRule type="colorScale" priority="7046">
      <colorScale>
        <cfvo type="min"/>
        <cfvo type="percentile" val="50"/>
        <cfvo type="max"/>
        <color rgb="FFF8696B"/>
        <color rgb="FFFFEB84"/>
        <color rgb="FF63BE7B"/>
      </colorScale>
    </cfRule>
  </conditionalFormatting>
  <conditionalFormatting sqref="F13:F20">
    <cfRule type="colorScale" priority="7045">
      <colorScale>
        <cfvo type="min"/>
        <cfvo type="percentile" val="50"/>
        <cfvo type="max"/>
        <color rgb="FFF8696B"/>
        <color rgb="FFFFEB84"/>
        <color rgb="FF63BE7B"/>
      </colorScale>
    </cfRule>
  </conditionalFormatting>
  <conditionalFormatting sqref="F13:F20">
    <cfRule type="colorScale" priority="7044">
      <colorScale>
        <cfvo type="min"/>
        <cfvo type="percentile" val="50"/>
        <cfvo type="max"/>
        <color rgb="FFF8696B"/>
        <color rgb="FFFFEB84"/>
        <color rgb="FF63BE7B"/>
      </colorScale>
    </cfRule>
  </conditionalFormatting>
  <conditionalFormatting sqref="F13:F20">
    <cfRule type="colorScale" priority="7043">
      <colorScale>
        <cfvo type="min"/>
        <cfvo type="percentile" val="50"/>
        <cfvo type="max"/>
        <color rgb="FFF8696B"/>
        <color rgb="FFFFEB84"/>
        <color rgb="FF63BE7B"/>
      </colorScale>
    </cfRule>
  </conditionalFormatting>
  <conditionalFormatting sqref="F13:F20">
    <cfRule type="colorScale" priority="7042">
      <colorScale>
        <cfvo type="min"/>
        <cfvo type="percentile" val="50"/>
        <cfvo type="max"/>
        <color rgb="FFF8696B"/>
        <color rgb="FFFFEB84"/>
        <color rgb="FF63BE7B"/>
      </colorScale>
    </cfRule>
  </conditionalFormatting>
  <conditionalFormatting sqref="F13:F20">
    <cfRule type="colorScale" priority="7041">
      <colorScale>
        <cfvo type="min"/>
        <cfvo type="percentile" val="50"/>
        <cfvo type="max"/>
        <color rgb="FFF8696B"/>
        <color rgb="FFFFEB84"/>
        <color rgb="FF63BE7B"/>
      </colorScale>
    </cfRule>
  </conditionalFormatting>
  <conditionalFormatting sqref="F13:F20">
    <cfRule type="colorScale" priority="7040">
      <colorScale>
        <cfvo type="min"/>
        <cfvo type="percentile" val="50"/>
        <cfvo type="max"/>
        <color rgb="FFF8696B"/>
        <color rgb="FFFFEB84"/>
        <color rgb="FF63BE7B"/>
      </colorScale>
    </cfRule>
  </conditionalFormatting>
  <conditionalFormatting sqref="F13:F20">
    <cfRule type="colorScale" priority="7039">
      <colorScale>
        <cfvo type="min"/>
        <cfvo type="percentile" val="50"/>
        <cfvo type="max"/>
        <color rgb="FFF8696B"/>
        <color rgb="FFFFEB84"/>
        <color rgb="FF63BE7B"/>
      </colorScale>
    </cfRule>
  </conditionalFormatting>
  <conditionalFormatting sqref="F13:F20">
    <cfRule type="colorScale" priority="7038">
      <colorScale>
        <cfvo type="min"/>
        <cfvo type="percentile" val="50"/>
        <cfvo type="max"/>
        <color rgb="FFF8696B"/>
        <color rgb="FFFFEB84"/>
        <color rgb="FF63BE7B"/>
      </colorScale>
    </cfRule>
  </conditionalFormatting>
  <conditionalFormatting sqref="F13:F20">
    <cfRule type="colorScale" priority="7037">
      <colorScale>
        <cfvo type="min"/>
        <cfvo type="percentile" val="50"/>
        <cfvo type="max"/>
        <color rgb="FFF8696B"/>
        <color rgb="FFFFEB84"/>
        <color rgb="FF63BE7B"/>
      </colorScale>
    </cfRule>
  </conditionalFormatting>
  <conditionalFormatting sqref="F13:F20">
    <cfRule type="colorScale" priority="7036">
      <colorScale>
        <cfvo type="min"/>
        <cfvo type="percentile" val="50"/>
        <cfvo type="max"/>
        <color rgb="FFF8696B"/>
        <color rgb="FFFFEB84"/>
        <color rgb="FF63BE7B"/>
      </colorScale>
    </cfRule>
  </conditionalFormatting>
  <conditionalFormatting sqref="F13:F20">
    <cfRule type="colorScale" priority="7035">
      <colorScale>
        <cfvo type="min"/>
        <cfvo type="percentile" val="50"/>
        <cfvo type="max"/>
        <color rgb="FFF8696B"/>
        <color rgb="FFFFEB84"/>
        <color rgb="FF63BE7B"/>
      </colorScale>
    </cfRule>
  </conditionalFormatting>
  <conditionalFormatting sqref="F13:F20">
    <cfRule type="colorScale" priority="7034">
      <colorScale>
        <cfvo type="min"/>
        <cfvo type="percentile" val="50"/>
        <cfvo type="max"/>
        <color rgb="FFF8696B"/>
        <color rgb="FFFFEB84"/>
        <color rgb="FF63BE7B"/>
      </colorScale>
    </cfRule>
  </conditionalFormatting>
  <conditionalFormatting sqref="F13:F20">
    <cfRule type="colorScale" priority="7033">
      <colorScale>
        <cfvo type="min"/>
        <cfvo type="percentile" val="50"/>
        <cfvo type="max"/>
        <color rgb="FFF8696B"/>
        <color rgb="FFFFEB84"/>
        <color rgb="FF63BE7B"/>
      </colorScale>
    </cfRule>
  </conditionalFormatting>
  <conditionalFormatting sqref="F13:F20">
    <cfRule type="colorScale" priority="7032">
      <colorScale>
        <cfvo type="min"/>
        <cfvo type="percentile" val="50"/>
        <cfvo type="max"/>
        <color rgb="FFF8696B"/>
        <color rgb="FFFFEB84"/>
        <color rgb="FF63BE7B"/>
      </colorScale>
    </cfRule>
  </conditionalFormatting>
  <conditionalFormatting sqref="F13:F20">
    <cfRule type="colorScale" priority="7031">
      <colorScale>
        <cfvo type="min"/>
        <cfvo type="percentile" val="50"/>
        <cfvo type="max"/>
        <color rgb="FFF8696B"/>
        <color rgb="FFFFEB84"/>
        <color rgb="FF63BE7B"/>
      </colorScale>
    </cfRule>
  </conditionalFormatting>
  <conditionalFormatting sqref="F13:F20">
    <cfRule type="colorScale" priority="7030">
      <colorScale>
        <cfvo type="min"/>
        <cfvo type="percentile" val="50"/>
        <cfvo type="max"/>
        <color rgb="FFF8696B"/>
        <color rgb="FFFFEB84"/>
        <color rgb="FF63BE7B"/>
      </colorScale>
    </cfRule>
  </conditionalFormatting>
  <conditionalFormatting sqref="F13:F20">
    <cfRule type="colorScale" priority="7029">
      <colorScale>
        <cfvo type="min"/>
        <cfvo type="percentile" val="50"/>
        <cfvo type="max"/>
        <color rgb="FFF8696B"/>
        <color rgb="FFFFEB84"/>
        <color rgb="FF63BE7B"/>
      </colorScale>
    </cfRule>
  </conditionalFormatting>
  <conditionalFormatting sqref="F13:F20">
    <cfRule type="colorScale" priority="7028">
      <colorScale>
        <cfvo type="min"/>
        <cfvo type="percentile" val="50"/>
        <cfvo type="max"/>
        <color rgb="FFF8696B"/>
        <color rgb="FFFFEB84"/>
        <color rgb="FF63BE7B"/>
      </colorScale>
    </cfRule>
  </conditionalFormatting>
  <conditionalFormatting sqref="F13:F20">
    <cfRule type="colorScale" priority="7027">
      <colorScale>
        <cfvo type="min"/>
        <cfvo type="percentile" val="50"/>
        <cfvo type="max"/>
        <color rgb="FFF8696B"/>
        <color rgb="FFFFEB84"/>
        <color rgb="FF63BE7B"/>
      </colorScale>
    </cfRule>
  </conditionalFormatting>
  <conditionalFormatting sqref="F13:F20">
    <cfRule type="colorScale" priority="7026">
      <colorScale>
        <cfvo type="min"/>
        <cfvo type="percentile" val="50"/>
        <cfvo type="max"/>
        <color rgb="FFF8696B"/>
        <color rgb="FFFFEB84"/>
        <color rgb="FF63BE7B"/>
      </colorScale>
    </cfRule>
  </conditionalFormatting>
  <conditionalFormatting sqref="F13:F20">
    <cfRule type="colorScale" priority="7025">
      <colorScale>
        <cfvo type="min"/>
        <cfvo type="percentile" val="50"/>
        <cfvo type="max"/>
        <color rgb="FFF8696B"/>
        <color rgb="FFFFEB84"/>
        <color rgb="FF63BE7B"/>
      </colorScale>
    </cfRule>
  </conditionalFormatting>
  <conditionalFormatting sqref="F13:F20">
    <cfRule type="colorScale" priority="7024">
      <colorScale>
        <cfvo type="min"/>
        <cfvo type="percentile" val="50"/>
        <cfvo type="max"/>
        <color rgb="FFF8696B"/>
        <color rgb="FFFFEB84"/>
        <color rgb="FF63BE7B"/>
      </colorScale>
    </cfRule>
  </conditionalFormatting>
  <conditionalFormatting sqref="F13:F20">
    <cfRule type="colorScale" priority="7023">
      <colorScale>
        <cfvo type="min"/>
        <cfvo type="percentile" val="50"/>
        <cfvo type="max"/>
        <color rgb="FFF8696B"/>
        <color rgb="FFFFEB84"/>
        <color rgb="FF63BE7B"/>
      </colorScale>
    </cfRule>
  </conditionalFormatting>
  <conditionalFormatting sqref="F13:F20">
    <cfRule type="colorScale" priority="7022">
      <colorScale>
        <cfvo type="min"/>
        <cfvo type="percentile" val="50"/>
        <cfvo type="max"/>
        <color rgb="FFF8696B"/>
        <color rgb="FFFFEB84"/>
        <color rgb="FF63BE7B"/>
      </colorScale>
    </cfRule>
  </conditionalFormatting>
  <conditionalFormatting sqref="F13:F20">
    <cfRule type="colorScale" priority="7021">
      <colorScale>
        <cfvo type="min"/>
        <cfvo type="percentile" val="50"/>
        <cfvo type="max"/>
        <color rgb="FFF8696B"/>
        <color rgb="FFFFEB84"/>
        <color rgb="FF63BE7B"/>
      </colorScale>
    </cfRule>
  </conditionalFormatting>
  <conditionalFormatting sqref="F13:F20">
    <cfRule type="colorScale" priority="7020">
      <colorScale>
        <cfvo type="min"/>
        <cfvo type="percentile" val="50"/>
        <cfvo type="max"/>
        <color rgb="FFF8696B"/>
        <color rgb="FFFFEB84"/>
        <color rgb="FF63BE7B"/>
      </colorScale>
    </cfRule>
  </conditionalFormatting>
  <conditionalFormatting sqref="F13:F20">
    <cfRule type="colorScale" priority="7019">
      <colorScale>
        <cfvo type="min"/>
        <cfvo type="percentile" val="50"/>
        <cfvo type="max"/>
        <color rgb="FFF8696B"/>
        <color rgb="FFFFEB84"/>
        <color rgb="FF63BE7B"/>
      </colorScale>
    </cfRule>
  </conditionalFormatting>
  <conditionalFormatting sqref="F13:F20">
    <cfRule type="colorScale" priority="7018">
      <colorScale>
        <cfvo type="min"/>
        <cfvo type="percentile" val="50"/>
        <cfvo type="max"/>
        <color rgb="FFF8696B"/>
        <color rgb="FFFFEB84"/>
        <color rgb="FF63BE7B"/>
      </colorScale>
    </cfRule>
  </conditionalFormatting>
  <conditionalFormatting sqref="F13:F20">
    <cfRule type="colorScale" priority="7017">
      <colorScale>
        <cfvo type="min"/>
        <cfvo type="percentile" val="50"/>
        <cfvo type="max"/>
        <color rgb="FFF8696B"/>
        <color rgb="FFFFEB84"/>
        <color rgb="FF63BE7B"/>
      </colorScale>
    </cfRule>
  </conditionalFormatting>
  <conditionalFormatting sqref="F13:F20">
    <cfRule type="colorScale" priority="7016">
      <colorScale>
        <cfvo type="min"/>
        <cfvo type="percentile" val="50"/>
        <cfvo type="max"/>
        <color rgb="FFF8696B"/>
        <color rgb="FFFFEB84"/>
        <color rgb="FF63BE7B"/>
      </colorScale>
    </cfRule>
  </conditionalFormatting>
  <conditionalFormatting sqref="F13:F20">
    <cfRule type="colorScale" priority="7015">
      <colorScale>
        <cfvo type="min"/>
        <cfvo type="percentile" val="50"/>
        <cfvo type="max"/>
        <color rgb="FFF8696B"/>
        <color rgb="FFFFEB84"/>
        <color rgb="FF63BE7B"/>
      </colorScale>
    </cfRule>
  </conditionalFormatting>
  <conditionalFormatting sqref="F13:F20">
    <cfRule type="colorScale" priority="7014">
      <colorScale>
        <cfvo type="min"/>
        <cfvo type="percentile" val="50"/>
        <cfvo type="max"/>
        <color rgb="FFF8696B"/>
        <color rgb="FFFFEB84"/>
        <color rgb="FF63BE7B"/>
      </colorScale>
    </cfRule>
  </conditionalFormatting>
  <conditionalFormatting sqref="F13:F20">
    <cfRule type="colorScale" priority="7013">
      <colorScale>
        <cfvo type="min"/>
        <cfvo type="percentile" val="50"/>
        <cfvo type="max"/>
        <color rgb="FFF8696B"/>
        <color rgb="FFFFEB84"/>
        <color rgb="FF63BE7B"/>
      </colorScale>
    </cfRule>
  </conditionalFormatting>
  <conditionalFormatting sqref="F13:F20">
    <cfRule type="colorScale" priority="7012">
      <colorScale>
        <cfvo type="min"/>
        <cfvo type="percentile" val="50"/>
        <cfvo type="max"/>
        <color rgb="FFF8696B"/>
        <color rgb="FFFFEB84"/>
        <color rgb="FF63BE7B"/>
      </colorScale>
    </cfRule>
  </conditionalFormatting>
  <conditionalFormatting sqref="F13:F20">
    <cfRule type="colorScale" priority="7011">
      <colorScale>
        <cfvo type="min"/>
        <cfvo type="percentile" val="50"/>
        <cfvo type="max"/>
        <color rgb="FFF8696B"/>
        <color rgb="FFFFEB84"/>
        <color rgb="FF63BE7B"/>
      </colorScale>
    </cfRule>
  </conditionalFormatting>
  <conditionalFormatting sqref="F13:F20">
    <cfRule type="colorScale" priority="7010">
      <colorScale>
        <cfvo type="min"/>
        <cfvo type="percentile" val="50"/>
        <cfvo type="max"/>
        <color rgb="FFF8696B"/>
        <color rgb="FFFFEB84"/>
        <color rgb="FF63BE7B"/>
      </colorScale>
    </cfRule>
  </conditionalFormatting>
  <conditionalFormatting sqref="F13:F20">
    <cfRule type="colorScale" priority="7009">
      <colorScale>
        <cfvo type="min"/>
        <cfvo type="percentile" val="50"/>
        <cfvo type="max"/>
        <color rgb="FFF8696B"/>
        <color rgb="FFFFEB84"/>
        <color rgb="FF63BE7B"/>
      </colorScale>
    </cfRule>
  </conditionalFormatting>
  <conditionalFormatting sqref="F13:F20">
    <cfRule type="colorScale" priority="7008">
      <colorScale>
        <cfvo type="min"/>
        <cfvo type="percentile" val="50"/>
        <cfvo type="max"/>
        <color rgb="FFF8696B"/>
        <color rgb="FFFFEB84"/>
        <color rgb="FF63BE7B"/>
      </colorScale>
    </cfRule>
  </conditionalFormatting>
  <conditionalFormatting sqref="F13:F20">
    <cfRule type="colorScale" priority="7007">
      <colorScale>
        <cfvo type="min"/>
        <cfvo type="percentile" val="50"/>
        <cfvo type="max"/>
        <color rgb="FFF8696B"/>
        <color rgb="FFFFEB84"/>
        <color rgb="FF63BE7B"/>
      </colorScale>
    </cfRule>
  </conditionalFormatting>
  <conditionalFormatting sqref="F13:F20">
    <cfRule type="colorScale" priority="7006">
      <colorScale>
        <cfvo type="min"/>
        <cfvo type="percentile" val="50"/>
        <cfvo type="max"/>
        <color rgb="FFF8696B"/>
        <color rgb="FFFFEB84"/>
        <color rgb="FF63BE7B"/>
      </colorScale>
    </cfRule>
  </conditionalFormatting>
  <conditionalFormatting sqref="F13:F20">
    <cfRule type="colorScale" priority="7005">
      <colorScale>
        <cfvo type="min"/>
        <cfvo type="percentile" val="50"/>
        <cfvo type="max"/>
        <color rgb="FFF8696B"/>
        <color rgb="FFFFEB84"/>
        <color rgb="FF63BE7B"/>
      </colorScale>
    </cfRule>
  </conditionalFormatting>
  <conditionalFormatting sqref="F13:F20">
    <cfRule type="colorScale" priority="7004">
      <colorScale>
        <cfvo type="min"/>
        <cfvo type="percentile" val="50"/>
        <cfvo type="max"/>
        <color rgb="FFF8696B"/>
        <color rgb="FFFFEB84"/>
        <color rgb="FF63BE7B"/>
      </colorScale>
    </cfRule>
  </conditionalFormatting>
  <conditionalFormatting sqref="F13:F20">
    <cfRule type="colorScale" priority="7003">
      <colorScale>
        <cfvo type="min"/>
        <cfvo type="percentile" val="50"/>
        <cfvo type="max"/>
        <color rgb="FFF8696B"/>
        <color rgb="FFFFEB84"/>
        <color rgb="FF63BE7B"/>
      </colorScale>
    </cfRule>
  </conditionalFormatting>
  <conditionalFormatting sqref="F13:F20">
    <cfRule type="colorScale" priority="7002">
      <colorScale>
        <cfvo type="min"/>
        <cfvo type="percentile" val="50"/>
        <cfvo type="max"/>
        <color rgb="FFF8696B"/>
        <color rgb="FFFFEB84"/>
        <color rgb="FF63BE7B"/>
      </colorScale>
    </cfRule>
  </conditionalFormatting>
  <conditionalFormatting sqref="F13:F20">
    <cfRule type="colorScale" priority="7001">
      <colorScale>
        <cfvo type="min"/>
        <cfvo type="percentile" val="50"/>
        <cfvo type="max"/>
        <color rgb="FFF8696B"/>
        <color rgb="FFFFEB84"/>
        <color rgb="FF63BE7B"/>
      </colorScale>
    </cfRule>
  </conditionalFormatting>
  <conditionalFormatting sqref="F13:F20">
    <cfRule type="colorScale" priority="7000">
      <colorScale>
        <cfvo type="min"/>
        <cfvo type="percentile" val="50"/>
        <cfvo type="max"/>
        <color rgb="FFF8696B"/>
        <color rgb="FFFFEB84"/>
        <color rgb="FF63BE7B"/>
      </colorScale>
    </cfRule>
  </conditionalFormatting>
  <conditionalFormatting sqref="F13:F20">
    <cfRule type="colorScale" priority="6999">
      <colorScale>
        <cfvo type="min"/>
        <cfvo type="percentile" val="50"/>
        <cfvo type="max"/>
        <color rgb="FFF8696B"/>
        <color rgb="FFFFEB84"/>
        <color rgb="FF63BE7B"/>
      </colorScale>
    </cfRule>
  </conditionalFormatting>
  <conditionalFormatting sqref="F13:F20">
    <cfRule type="colorScale" priority="6998">
      <colorScale>
        <cfvo type="min"/>
        <cfvo type="percentile" val="50"/>
        <cfvo type="max"/>
        <color rgb="FFF8696B"/>
        <color rgb="FFFFEB84"/>
        <color rgb="FF63BE7B"/>
      </colorScale>
    </cfRule>
  </conditionalFormatting>
  <conditionalFormatting sqref="F13:F20">
    <cfRule type="colorScale" priority="6997">
      <colorScale>
        <cfvo type="min"/>
        <cfvo type="percentile" val="50"/>
        <cfvo type="max"/>
        <color rgb="FFF8696B"/>
        <color rgb="FFFFEB84"/>
        <color rgb="FF63BE7B"/>
      </colorScale>
    </cfRule>
  </conditionalFormatting>
  <conditionalFormatting sqref="F13:F20">
    <cfRule type="colorScale" priority="6996">
      <colorScale>
        <cfvo type="min"/>
        <cfvo type="percentile" val="50"/>
        <cfvo type="max"/>
        <color rgb="FFF8696B"/>
        <color rgb="FFFFEB84"/>
        <color rgb="FF63BE7B"/>
      </colorScale>
    </cfRule>
  </conditionalFormatting>
  <conditionalFormatting sqref="F13:F20">
    <cfRule type="colorScale" priority="6995">
      <colorScale>
        <cfvo type="min"/>
        <cfvo type="percentile" val="50"/>
        <cfvo type="max"/>
        <color rgb="FFF8696B"/>
        <color rgb="FFFFEB84"/>
        <color rgb="FF63BE7B"/>
      </colorScale>
    </cfRule>
  </conditionalFormatting>
  <conditionalFormatting sqref="F13:F20">
    <cfRule type="colorScale" priority="6994">
      <colorScale>
        <cfvo type="min"/>
        <cfvo type="percentile" val="50"/>
        <cfvo type="max"/>
        <color rgb="FFF8696B"/>
        <color rgb="FFFFEB84"/>
        <color rgb="FF63BE7B"/>
      </colorScale>
    </cfRule>
  </conditionalFormatting>
  <conditionalFormatting sqref="F13:F20">
    <cfRule type="colorScale" priority="6993">
      <colorScale>
        <cfvo type="min"/>
        <cfvo type="percentile" val="50"/>
        <cfvo type="max"/>
        <color rgb="FFF8696B"/>
        <color rgb="FFFFEB84"/>
        <color rgb="FF63BE7B"/>
      </colorScale>
    </cfRule>
  </conditionalFormatting>
  <conditionalFormatting sqref="F13:F20">
    <cfRule type="colorScale" priority="6992">
      <colorScale>
        <cfvo type="min"/>
        <cfvo type="percentile" val="50"/>
        <cfvo type="max"/>
        <color rgb="FFF8696B"/>
        <color rgb="FFFFEB84"/>
        <color rgb="FF63BE7B"/>
      </colorScale>
    </cfRule>
  </conditionalFormatting>
  <conditionalFormatting sqref="F13:F20">
    <cfRule type="colorScale" priority="6991">
      <colorScale>
        <cfvo type="min"/>
        <cfvo type="percentile" val="50"/>
        <cfvo type="max"/>
        <color rgb="FFF8696B"/>
        <color rgb="FFFFEB84"/>
        <color rgb="FF63BE7B"/>
      </colorScale>
    </cfRule>
  </conditionalFormatting>
  <conditionalFormatting sqref="F13:F20">
    <cfRule type="colorScale" priority="6990">
      <colorScale>
        <cfvo type="min"/>
        <cfvo type="percentile" val="50"/>
        <cfvo type="max"/>
        <color rgb="FFF8696B"/>
        <color rgb="FFFFEB84"/>
        <color rgb="FF63BE7B"/>
      </colorScale>
    </cfRule>
  </conditionalFormatting>
  <conditionalFormatting sqref="F13:F20">
    <cfRule type="colorScale" priority="6989">
      <colorScale>
        <cfvo type="min"/>
        <cfvo type="percentile" val="50"/>
        <cfvo type="max"/>
        <color rgb="FFF8696B"/>
        <color rgb="FFFFEB84"/>
        <color rgb="FF63BE7B"/>
      </colorScale>
    </cfRule>
  </conditionalFormatting>
  <conditionalFormatting sqref="F13:F20">
    <cfRule type="colorScale" priority="6988">
      <colorScale>
        <cfvo type="min"/>
        <cfvo type="percentile" val="50"/>
        <cfvo type="max"/>
        <color rgb="FFF8696B"/>
        <color rgb="FFFFEB84"/>
        <color rgb="FF63BE7B"/>
      </colorScale>
    </cfRule>
  </conditionalFormatting>
  <conditionalFormatting sqref="F13:F20">
    <cfRule type="colorScale" priority="6987">
      <colorScale>
        <cfvo type="min"/>
        <cfvo type="percentile" val="50"/>
        <cfvo type="max"/>
        <color rgb="FFF8696B"/>
        <color rgb="FFFFEB84"/>
        <color rgb="FF63BE7B"/>
      </colorScale>
    </cfRule>
  </conditionalFormatting>
  <conditionalFormatting sqref="F13:F20">
    <cfRule type="colorScale" priority="6986">
      <colorScale>
        <cfvo type="min"/>
        <cfvo type="percentile" val="50"/>
        <cfvo type="max"/>
        <color rgb="FFF8696B"/>
        <color rgb="FFFFEB84"/>
        <color rgb="FF63BE7B"/>
      </colorScale>
    </cfRule>
  </conditionalFormatting>
  <conditionalFormatting sqref="F13:F20">
    <cfRule type="colorScale" priority="6985">
      <colorScale>
        <cfvo type="min"/>
        <cfvo type="percentile" val="50"/>
        <cfvo type="max"/>
        <color rgb="FFF8696B"/>
        <color rgb="FFFFEB84"/>
        <color rgb="FF63BE7B"/>
      </colorScale>
    </cfRule>
  </conditionalFormatting>
  <conditionalFormatting sqref="F13:F20">
    <cfRule type="colorScale" priority="6984">
      <colorScale>
        <cfvo type="min"/>
        <cfvo type="percentile" val="50"/>
        <cfvo type="max"/>
        <color rgb="FFF8696B"/>
        <color rgb="FFFFEB84"/>
        <color rgb="FF63BE7B"/>
      </colorScale>
    </cfRule>
  </conditionalFormatting>
  <conditionalFormatting sqref="F13:F20">
    <cfRule type="colorScale" priority="6983">
      <colorScale>
        <cfvo type="min"/>
        <cfvo type="percentile" val="50"/>
        <cfvo type="max"/>
        <color rgb="FFF8696B"/>
        <color rgb="FFFFEB84"/>
        <color rgb="FF63BE7B"/>
      </colorScale>
    </cfRule>
  </conditionalFormatting>
  <conditionalFormatting sqref="F13:F20">
    <cfRule type="colorScale" priority="6982">
      <colorScale>
        <cfvo type="min"/>
        <cfvo type="percentile" val="50"/>
        <cfvo type="max"/>
        <color rgb="FFF8696B"/>
        <color rgb="FFFFEB84"/>
        <color rgb="FF63BE7B"/>
      </colorScale>
    </cfRule>
  </conditionalFormatting>
  <conditionalFormatting sqref="F13:F20">
    <cfRule type="colorScale" priority="6981">
      <colorScale>
        <cfvo type="min"/>
        <cfvo type="percentile" val="50"/>
        <cfvo type="max"/>
        <color rgb="FFF8696B"/>
        <color rgb="FFFFEB84"/>
        <color rgb="FF63BE7B"/>
      </colorScale>
    </cfRule>
  </conditionalFormatting>
  <conditionalFormatting sqref="F13:F20">
    <cfRule type="colorScale" priority="6980">
      <colorScale>
        <cfvo type="min"/>
        <cfvo type="percentile" val="50"/>
        <cfvo type="max"/>
        <color rgb="FFF8696B"/>
        <color rgb="FFFFEB84"/>
        <color rgb="FF63BE7B"/>
      </colorScale>
    </cfRule>
  </conditionalFormatting>
  <conditionalFormatting sqref="F13:F20">
    <cfRule type="colorScale" priority="6979">
      <colorScale>
        <cfvo type="min"/>
        <cfvo type="percentile" val="50"/>
        <cfvo type="max"/>
        <color rgb="FFF8696B"/>
        <color rgb="FFFFEB84"/>
        <color rgb="FF63BE7B"/>
      </colorScale>
    </cfRule>
  </conditionalFormatting>
  <conditionalFormatting sqref="F13:F20">
    <cfRule type="colorScale" priority="6978">
      <colorScale>
        <cfvo type="min"/>
        <cfvo type="percentile" val="50"/>
        <cfvo type="max"/>
        <color rgb="FFF8696B"/>
        <color rgb="FFFFEB84"/>
        <color rgb="FF63BE7B"/>
      </colorScale>
    </cfRule>
  </conditionalFormatting>
  <conditionalFormatting sqref="F13:F20">
    <cfRule type="colorScale" priority="6977">
      <colorScale>
        <cfvo type="min"/>
        <cfvo type="percentile" val="50"/>
        <cfvo type="max"/>
        <color rgb="FFF8696B"/>
        <color rgb="FFFFEB84"/>
        <color rgb="FF63BE7B"/>
      </colorScale>
    </cfRule>
  </conditionalFormatting>
  <conditionalFormatting sqref="F13:F20">
    <cfRule type="colorScale" priority="6976">
      <colorScale>
        <cfvo type="min"/>
        <cfvo type="percentile" val="50"/>
        <cfvo type="max"/>
        <color rgb="FFF8696B"/>
        <color rgb="FFFFEB84"/>
        <color rgb="FF63BE7B"/>
      </colorScale>
    </cfRule>
  </conditionalFormatting>
  <conditionalFormatting sqref="F13:F20">
    <cfRule type="colorScale" priority="6975">
      <colorScale>
        <cfvo type="min"/>
        <cfvo type="percentile" val="50"/>
        <cfvo type="max"/>
        <color rgb="FFF8696B"/>
        <color rgb="FFFFEB84"/>
        <color rgb="FF63BE7B"/>
      </colorScale>
    </cfRule>
  </conditionalFormatting>
  <conditionalFormatting sqref="F13:F20">
    <cfRule type="colorScale" priority="6974">
      <colorScale>
        <cfvo type="min"/>
        <cfvo type="percentile" val="50"/>
        <cfvo type="max"/>
        <color rgb="FFF8696B"/>
        <color rgb="FFFFEB84"/>
        <color rgb="FF63BE7B"/>
      </colorScale>
    </cfRule>
  </conditionalFormatting>
  <conditionalFormatting sqref="F21:F28">
    <cfRule type="colorScale" priority="6973">
      <colorScale>
        <cfvo type="min"/>
        <cfvo type="percentile" val="50"/>
        <cfvo type="max"/>
        <color rgb="FFF8696B"/>
        <color rgb="FFFFEB84"/>
        <color rgb="FF63BE7B"/>
      </colorScale>
    </cfRule>
  </conditionalFormatting>
  <conditionalFormatting sqref="F21:F28">
    <cfRule type="colorScale" priority="6972">
      <colorScale>
        <cfvo type="min"/>
        <cfvo type="percentile" val="50"/>
        <cfvo type="max"/>
        <color rgb="FFF8696B"/>
        <color rgb="FFFFEB84"/>
        <color rgb="FF63BE7B"/>
      </colorScale>
    </cfRule>
  </conditionalFormatting>
  <conditionalFormatting sqref="F21:F28">
    <cfRule type="colorScale" priority="6971">
      <colorScale>
        <cfvo type="min"/>
        <cfvo type="percentile" val="50"/>
        <cfvo type="max"/>
        <color rgb="FFF8696B"/>
        <color rgb="FFFFEB84"/>
        <color rgb="FF63BE7B"/>
      </colorScale>
    </cfRule>
  </conditionalFormatting>
  <conditionalFormatting sqref="F21:F28">
    <cfRule type="colorScale" priority="6970">
      <colorScale>
        <cfvo type="min"/>
        <cfvo type="percentile" val="50"/>
        <cfvo type="max"/>
        <color rgb="FFF8696B"/>
        <color rgb="FFFFEB84"/>
        <color rgb="FF63BE7B"/>
      </colorScale>
    </cfRule>
  </conditionalFormatting>
  <conditionalFormatting sqref="F21:F28">
    <cfRule type="colorScale" priority="6969">
      <colorScale>
        <cfvo type="min"/>
        <cfvo type="percentile" val="50"/>
        <cfvo type="max"/>
        <color rgb="FFF8696B"/>
        <color rgb="FFFFEB84"/>
        <color rgb="FF63BE7B"/>
      </colorScale>
    </cfRule>
  </conditionalFormatting>
  <conditionalFormatting sqref="F21:F28">
    <cfRule type="colorScale" priority="6968">
      <colorScale>
        <cfvo type="min"/>
        <cfvo type="percentile" val="50"/>
        <cfvo type="max"/>
        <color rgb="FFF8696B"/>
        <color rgb="FFFFEB84"/>
        <color rgb="FF63BE7B"/>
      </colorScale>
    </cfRule>
  </conditionalFormatting>
  <conditionalFormatting sqref="F21:F28">
    <cfRule type="colorScale" priority="6967">
      <colorScale>
        <cfvo type="min"/>
        <cfvo type="percentile" val="50"/>
        <cfvo type="max"/>
        <color rgb="FFF8696B"/>
        <color rgb="FFFFEB84"/>
        <color rgb="FF63BE7B"/>
      </colorScale>
    </cfRule>
  </conditionalFormatting>
  <conditionalFormatting sqref="F21:F28">
    <cfRule type="colorScale" priority="6966">
      <colorScale>
        <cfvo type="min"/>
        <cfvo type="percentile" val="50"/>
        <cfvo type="max"/>
        <color rgb="FFF8696B"/>
        <color rgb="FFFFEB84"/>
        <color rgb="FF63BE7B"/>
      </colorScale>
    </cfRule>
  </conditionalFormatting>
  <conditionalFormatting sqref="F21:F28">
    <cfRule type="colorScale" priority="6965">
      <colorScale>
        <cfvo type="min"/>
        <cfvo type="percentile" val="50"/>
        <cfvo type="max"/>
        <color rgb="FFF8696B"/>
        <color rgb="FFFFEB84"/>
        <color rgb="FF63BE7B"/>
      </colorScale>
    </cfRule>
  </conditionalFormatting>
  <conditionalFormatting sqref="F21:F28">
    <cfRule type="colorScale" priority="6964">
      <colorScale>
        <cfvo type="min"/>
        <cfvo type="percentile" val="50"/>
        <cfvo type="max"/>
        <color rgb="FFF8696B"/>
        <color rgb="FFFFEB84"/>
        <color rgb="FF63BE7B"/>
      </colorScale>
    </cfRule>
  </conditionalFormatting>
  <conditionalFormatting sqref="F21:F28">
    <cfRule type="colorScale" priority="6963">
      <colorScale>
        <cfvo type="min"/>
        <cfvo type="percentile" val="50"/>
        <cfvo type="max"/>
        <color rgb="FFF8696B"/>
        <color rgb="FFFFEB84"/>
        <color rgb="FF63BE7B"/>
      </colorScale>
    </cfRule>
  </conditionalFormatting>
  <conditionalFormatting sqref="F21:F28">
    <cfRule type="colorScale" priority="6962">
      <colorScale>
        <cfvo type="min"/>
        <cfvo type="percentile" val="50"/>
        <cfvo type="max"/>
        <color rgb="FFF8696B"/>
        <color rgb="FFFFEB84"/>
        <color rgb="FF63BE7B"/>
      </colorScale>
    </cfRule>
  </conditionalFormatting>
  <conditionalFormatting sqref="F21:F28">
    <cfRule type="colorScale" priority="6961">
      <colorScale>
        <cfvo type="min"/>
        <cfvo type="percentile" val="50"/>
        <cfvo type="max"/>
        <color rgb="FFF8696B"/>
        <color rgb="FFFFEB84"/>
        <color rgb="FF63BE7B"/>
      </colorScale>
    </cfRule>
  </conditionalFormatting>
  <conditionalFormatting sqref="F21:F28">
    <cfRule type="colorScale" priority="6960">
      <colorScale>
        <cfvo type="min"/>
        <cfvo type="percentile" val="50"/>
        <cfvo type="max"/>
        <color rgb="FFF8696B"/>
        <color rgb="FFFFEB84"/>
        <color rgb="FF63BE7B"/>
      </colorScale>
    </cfRule>
  </conditionalFormatting>
  <conditionalFormatting sqref="F21:F28">
    <cfRule type="colorScale" priority="6959">
      <colorScale>
        <cfvo type="min"/>
        <cfvo type="percentile" val="50"/>
        <cfvo type="max"/>
        <color rgb="FFF8696B"/>
        <color rgb="FFFFEB84"/>
        <color rgb="FF63BE7B"/>
      </colorScale>
    </cfRule>
  </conditionalFormatting>
  <conditionalFormatting sqref="F21:F28">
    <cfRule type="colorScale" priority="6958">
      <colorScale>
        <cfvo type="min"/>
        <cfvo type="percentile" val="50"/>
        <cfvo type="max"/>
        <color rgb="FFF8696B"/>
        <color rgb="FFFFEB84"/>
        <color rgb="FF63BE7B"/>
      </colorScale>
    </cfRule>
  </conditionalFormatting>
  <conditionalFormatting sqref="F21:F28">
    <cfRule type="colorScale" priority="6957">
      <colorScale>
        <cfvo type="min"/>
        <cfvo type="percentile" val="50"/>
        <cfvo type="max"/>
        <color rgb="FFF8696B"/>
        <color rgb="FFFFEB84"/>
        <color rgb="FF63BE7B"/>
      </colorScale>
    </cfRule>
  </conditionalFormatting>
  <conditionalFormatting sqref="F21:F28">
    <cfRule type="colorScale" priority="6956">
      <colorScale>
        <cfvo type="min"/>
        <cfvo type="percentile" val="50"/>
        <cfvo type="max"/>
        <color rgb="FFF8696B"/>
        <color rgb="FFFFEB84"/>
        <color rgb="FF63BE7B"/>
      </colorScale>
    </cfRule>
  </conditionalFormatting>
  <conditionalFormatting sqref="F21:F28">
    <cfRule type="colorScale" priority="6955">
      <colorScale>
        <cfvo type="min"/>
        <cfvo type="percentile" val="50"/>
        <cfvo type="max"/>
        <color rgb="FFF8696B"/>
        <color rgb="FFFFEB84"/>
        <color rgb="FF63BE7B"/>
      </colorScale>
    </cfRule>
  </conditionalFormatting>
  <conditionalFormatting sqref="F21:F28">
    <cfRule type="colorScale" priority="6954">
      <colorScale>
        <cfvo type="min"/>
        <cfvo type="percentile" val="50"/>
        <cfvo type="max"/>
        <color rgb="FFF8696B"/>
        <color rgb="FFFFEB84"/>
        <color rgb="FF63BE7B"/>
      </colorScale>
    </cfRule>
  </conditionalFormatting>
  <conditionalFormatting sqref="F21:F28">
    <cfRule type="colorScale" priority="6953">
      <colorScale>
        <cfvo type="min"/>
        <cfvo type="percentile" val="50"/>
        <cfvo type="max"/>
        <color rgb="FFF8696B"/>
        <color rgb="FFFFEB84"/>
        <color rgb="FF63BE7B"/>
      </colorScale>
    </cfRule>
  </conditionalFormatting>
  <conditionalFormatting sqref="F21:F28">
    <cfRule type="colorScale" priority="6952">
      <colorScale>
        <cfvo type="min"/>
        <cfvo type="percentile" val="50"/>
        <cfvo type="max"/>
        <color rgb="FFF8696B"/>
        <color rgb="FFFFEB84"/>
        <color rgb="FF63BE7B"/>
      </colorScale>
    </cfRule>
  </conditionalFormatting>
  <conditionalFormatting sqref="F21:F28">
    <cfRule type="colorScale" priority="6951">
      <colorScale>
        <cfvo type="min"/>
        <cfvo type="percentile" val="50"/>
        <cfvo type="max"/>
        <color rgb="FFF8696B"/>
        <color rgb="FFFFEB84"/>
        <color rgb="FF63BE7B"/>
      </colorScale>
    </cfRule>
  </conditionalFormatting>
  <conditionalFormatting sqref="F21:F28">
    <cfRule type="colorScale" priority="6950">
      <colorScale>
        <cfvo type="min"/>
        <cfvo type="percentile" val="50"/>
        <cfvo type="max"/>
        <color rgb="FFF8696B"/>
        <color rgb="FFFFEB84"/>
        <color rgb="FF63BE7B"/>
      </colorScale>
    </cfRule>
  </conditionalFormatting>
  <conditionalFormatting sqref="F21:F28">
    <cfRule type="colorScale" priority="6949">
      <colorScale>
        <cfvo type="min"/>
        <cfvo type="percentile" val="50"/>
        <cfvo type="max"/>
        <color rgb="FFF8696B"/>
        <color rgb="FFFFEB84"/>
        <color rgb="FF63BE7B"/>
      </colorScale>
    </cfRule>
  </conditionalFormatting>
  <conditionalFormatting sqref="F21:F28">
    <cfRule type="colorScale" priority="6948">
      <colorScale>
        <cfvo type="min"/>
        <cfvo type="percentile" val="50"/>
        <cfvo type="max"/>
        <color rgb="FFF8696B"/>
        <color rgb="FFFFEB84"/>
        <color rgb="FF63BE7B"/>
      </colorScale>
    </cfRule>
  </conditionalFormatting>
  <conditionalFormatting sqref="F21:F28">
    <cfRule type="colorScale" priority="6947">
      <colorScale>
        <cfvo type="min"/>
        <cfvo type="percentile" val="50"/>
        <cfvo type="max"/>
        <color rgb="FFF8696B"/>
        <color rgb="FFFFEB84"/>
        <color rgb="FF63BE7B"/>
      </colorScale>
    </cfRule>
  </conditionalFormatting>
  <conditionalFormatting sqref="F21:F28">
    <cfRule type="colorScale" priority="6946">
      <colorScale>
        <cfvo type="min"/>
        <cfvo type="percentile" val="50"/>
        <cfvo type="max"/>
        <color rgb="FFF8696B"/>
        <color rgb="FFFFEB84"/>
        <color rgb="FF63BE7B"/>
      </colorScale>
    </cfRule>
  </conditionalFormatting>
  <conditionalFormatting sqref="F21:F28">
    <cfRule type="colorScale" priority="6945">
      <colorScale>
        <cfvo type="min"/>
        <cfvo type="percentile" val="50"/>
        <cfvo type="max"/>
        <color rgb="FFF8696B"/>
        <color rgb="FFFFEB84"/>
        <color rgb="FF63BE7B"/>
      </colorScale>
    </cfRule>
  </conditionalFormatting>
  <conditionalFormatting sqref="F21:F28">
    <cfRule type="colorScale" priority="6944">
      <colorScale>
        <cfvo type="min"/>
        <cfvo type="percentile" val="50"/>
        <cfvo type="max"/>
        <color rgb="FFF8696B"/>
        <color rgb="FFFFEB84"/>
        <color rgb="FF63BE7B"/>
      </colorScale>
    </cfRule>
  </conditionalFormatting>
  <conditionalFormatting sqref="F21:F28">
    <cfRule type="colorScale" priority="6943">
      <colorScale>
        <cfvo type="min"/>
        <cfvo type="percentile" val="50"/>
        <cfvo type="max"/>
        <color rgb="FFF8696B"/>
        <color rgb="FFFFEB84"/>
        <color rgb="FF63BE7B"/>
      </colorScale>
    </cfRule>
  </conditionalFormatting>
  <conditionalFormatting sqref="F21:F28">
    <cfRule type="colorScale" priority="6942">
      <colorScale>
        <cfvo type="min"/>
        <cfvo type="percentile" val="50"/>
        <cfvo type="max"/>
        <color rgb="FFF8696B"/>
        <color rgb="FFFFEB84"/>
        <color rgb="FF63BE7B"/>
      </colorScale>
    </cfRule>
  </conditionalFormatting>
  <conditionalFormatting sqref="F21:F28">
    <cfRule type="colorScale" priority="6941">
      <colorScale>
        <cfvo type="min"/>
        <cfvo type="percentile" val="50"/>
        <cfvo type="max"/>
        <color rgb="FFF8696B"/>
        <color rgb="FFFFEB84"/>
        <color rgb="FF63BE7B"/>
      </colorScale>
    </cfRule>
  </conditionalFormatting>
  <conditionalFormatting sqref="F21:F28">
    <cfRule type="colorScale" priority="6940">
      <colorScale>
        <cfvo type="min"/>
        <cfvo type="percentile" val="50"/>
        <cfvo type="max"/>
        <color rgb="FFF8696B"/>
        <color rgb="FFFFEB84"/>
        <color rgb="FF63BE7B"/>
      </colorScale>
    </cfRule>
  </conditionalFormatting>
  <conditionalFormatting sqref="F21:F28">
    <cfRule type="colorScale" priority="6939">
      <colorScale>
        <cfvo type="min"/>
        <cfvo type="percentile" val="50"/>
        <cfvo type="max"/>
        <color rgb="FFF8696B"/>
        <color rgb="FFFFEB84"/>
        <color rgb="FF63BE7B"/>
      </colorScale>
    </cfRule>
  </conditionalFormatting>
  <conditionalFormatting sqref="F21:F28">
    <cfRule type="colorScale" priority="6938">
      <colorScale>
        <cfvo type="min"/>
        <cfvo type="percentile" val="50"/>
        <cfvo type="max"/>
        <color rgb="FFF8696B"/>
        <color rgb="FFFFEB84"/>
        <color rgb="FF63BE7B"/>
      </colorScale>
    </cfRule>
  </conditionalFormatting>
  <conditionalFormatting sqref="F21:F28">
    <cfRule type="colorScale" priority="6937">
      <colorScale>
        <cfvo type="min"/>
        <cfvo type="percentile" val="50"/>
        <cfvo type="max"/>
        <color rgb="FFF8696B"/>
        <color rgb="FFFFEB84"/>
        <color rgb="FF63BE7B"/>
      </colorScale>
    </cfRule>
  </conditionalFormatting>
  <conditionalFormatting sqref="F21:F28">
    <cfRule type="colorScale" priority="6936">
      <colorScale>
        <cfvo type="min"/>
        <cfvo type="percentile" val="50"/>
        <cfvo type="max"/>
        <color rgb="FFF8696B"/>
        <color rgb="FFFFEB84"/>
        <color rgb="FF63BE7B"/>
      </colorScale>
    </cfRule>
  </conditionalFormatting>
  <conditionalFormatting sqref="F21:F28">
    <cfRule type="colorScale" priority="6935">
      <colorScale>
        <cfvo type="min"/>
        <cfvo type="percentile" val="50"/>
        <cfvo type="max"/>
        <color rgb="FFF8696B"/>
        <color rgb="FFFFEB84"/>
        <color rgb="FF63BE7B"/>
      </colorScale>
    </cfRule>
  </conditionalFormatting>
  <conditionalFormatting sqref="F21:F28">
    <cfRule type="colorScale" priority="6934">
      <colorScale>
        <cfvo type="min"/>
        <cfvo type="percentile" val="50"/>
        <cfvo type="max"/>
        <color rgb="FFF8696B"/>
        <color rgb="FFFFEB84"/>
        <color rgb="FF63BE7B"/>
      </colorScale>
    </cfRule>
  </conditionalFormatting>
  <conditionalFormatting sqref="F21:F28">
    <cfRule type="colorScale" priority="6933">
      <colorScale>
        <cfvo type="min"/>
        <cfvo type="percentile" val="50"/>
        <cfvo type="max"/>
        <color rgb="FFF8696B"/>
        <color rgb="FFFFEB84"/>
        <color rgb="FF63BE7B"/>
      </colorScale>
    </cfRule>
  </conditionalFormatting>
  <conditionalFormatting sqref="F21:F28">
    <cfRule type="colorScale" priority="6932">
      <colorScale>
        <cfvo type="min"/>
        <cfvo type="percentile" val="50"/>
        <cfvo type="max"/>
        <color rgb="FFF8696B"/>
        <color rgb="FFFFEB84"/>
        <color rgb="FF63BE7B"/>
      </colorScale>
    </cfRule>
  </conditionalFormatting>
  <conditionalFormatting sqref="F21:F28">
    <cfRule type="colorScale" priority="6931">
      <colorScale>
        <cfvo type="min"/>
        <cfvo type="percentile" val="50"/>
        <cfvo type="max"/>
        <color rgb="FFF8696B"/>
        <color rgb="FFFFEB84"/>
        <color rgb="FF63BE7B"/>
      </colorScale>
    </cfRule>
  </conditionalFormatting>
  <conditionalFormatting sqref="F21:F28">
    <cfRule type="colorScale" priority="6930">
      <colorScale>
        <cfvo type="min"/>
        <cfvo type="percentile" val="50"/>
        <cfvo type="max"/>
        <color rgb="FFF8696B"/>
        <color rgb="FFFFEB84"/>
        <color rgb="FF63BE7B"/>
      </colorScale>
    </cfRule>
  </conditionalFormatting>
  <conditionalFormatting sqref="F21:F28">
    <cfRule type="colorScale" priority="6929">
      <colorScale>
        <cfvo type="min"/>
        <cfvo type="percentile" val="50"/>
        <cfvo type="max"/>
        <color rgb="FFF8696B"/>
        <color rgb="FFFFEB84"/>
        <color rgb="FF63BE7B"/>
      </colorScale>
    </cfRule>
  </conditionalFormatting>
  <conditionalFormatting sqref="F21:F28">
    <cfRule type="colorScale" priority="6928">
      <colorScale>
        <cfvo type="min"/>
        <cfvo type="percentile" val="50"/>
        <cfvo type="max"/>
        <color rgb="FFF8696B"/>
        <color rgb="FFFFEB84"/>
        <color rgb="FF63BE7B"/>
      </colorScale>
    </cfRule>
  </conditionalFormatting>
  <conditionalFormatting sqref="F21:F28">
    <cfRule type="colorScale" priority="6927">
      <colorScale>
        <cfvo type="min"/>
        <cfvo type="percentile" val="50"/>
        <cfvo type="max"/>
        <color rgb="FFF8696B"/>
        <color rgb="FFFFEB84"/>
        <color rgb="FF63BE7B"/>
      </colorScale>
    </cfRule>
  </conditionalFormatting>
  <conditionalFormatting sqref="F21:F28">
    <cfRule type="colorScale" priority="6926">
      <colorScale>
        <cfvo type="min"/>
        <cfvo type="percentile" val="50"/>
        <cfvo type="max"/>
        <color rgb="FFF8696B"/>
        <color rgb="FFFFEB84"/>
        <color rgb="FF63BE7B"/>
      </colorScale>
    </cfRule>
  </conditionalFormatting>
  <conditionalFormatting sqref="F21:F28">
    <cfRule type="colorScale" priority="6925">
      <colorScale>
        <cfvo type="min"/>
        <cfvo type="percentile" val="50"/>
        <cfvo type="max"/>
        <color rgb="FFF8696B"/>
        <color rgb="FFFFEB84"/>
        <color rgb="FF63BE7B"/>
      </colorScale>
    </cfRule>
  </conditionalFormatting>
  <conditionalFormatting sqref="F21:F28">
    <cfRule type="colorScale" priority="6924">
      <colorScale>
        <cfvo type="min"/>
        <cfvo type="percentile" val="50"/>
        <cfvo type="max"/>
        <color rgb="FFF8696B"/>
        <color rgb="FFFFEB84"/>
        <color rgb="FF63BE7B"/>
      </colorScale>
    </cfRule>
  </conditionalFormatting>
  <conditionalFormatting sqref="F21:F28">
    <cfRule type="colorScale" priority="6923">
      <colorScale>
        <cfvo type="min"/>
        <cfvo type="percentile" val="50"/>
        <cfvo type="max"/>
        <color rgb="FFF8696B"/>
        <color rgb="FFFFEB84"/>
        <color rgb="FF63BE7B"/>
      </colorScale>
    </cfRule>
  </conditionalFormatting>
  <conditionalFormatting sqref="F21:F28">
    <cfRule type="colorScale" priority="6922">
      <colorScale>
        <cfvo type="min"/>
        <cfvo type="percentile" val="50"/>
        <cfvo type="max"/>
        <color rgb="FFF8696B"/>
        <color rgb="FFFFEB84"/>
        <color rgb="FF63BE7B"/>
      </colorScale>
    </cfRule>
  </conditionalFormatting>
  <conditionalFormatting sqref="F21:F28">
    <cfRule type="colorScale" priority="6921">
      <colorScale>
        <cfvo type="min"/>
        <cfvo type="percentile" val="50"/>
        <cfvo type="max"/>
        <color rgb="FFF8696B"/>
        <color rgb="FFFFEB84"/>
        <color rgb="FF63BE7B"/>
      </colorScale>
    </cfRule>
  </conditionalFormatting>
  <conditionalFormatting sqref="F21:F28">
    <cfRule type="colorScale" priority="6920">
      <colorScale>
        <cfvo type="min"/>
        <cfvo type="percentile" val="50"/>
        <cfvo type="max"/>
        <color rgb="FFF8696B"/>
        <color rgb="FFFFEB84"/>
        <color rgb="FF63BE7B"/>
      </colorScale>
    </cfRule>
  </conditionalFormatting>
  <conditionalFormatting sqref="F21:F28">
    <cfRule type="colorScale" priority="6919">
      <colorScale>
        <cfvo type="min"/>
        <cfvo type="percentile" val="50"/>
        <cfvo type="max"/>
        <color rgb="FFF8696B"/>
        <color rgb="FFFFEB84"/>
        <color rgb="FF63BE7B"/>
      </colorScale>
    </cfRule>
  </conditionalFormatting>
  <conditionalFormatting sqref="F21:F28">
    <cfRule type="colorScale" priority="6918">
      <colorScale>
        <cfvo type="min"/>
        <cfvo type="percentile" val="50"/>
        <cfvo type="max"/>
        <color rgb="FFF8696B"/>
        <color rgb="FFFFEB84"/>
        <color rgb="FF63BE7B"/>
      </colorScale>
    </cfRule>
  </conditionalFormatting>
  <conditionalFormatting sqref="F21:F28">
    <cfRule type="colorScale" priority="6917">
      <colorScale>
        <cfvo type="min"/>
        <cfvo type="percentile" val="50"/>
        <cfvo type="max"/>
        <color rgb="FFF8696B"/>
        <color rgb="FFFFEB84"/>
        <color rgb="FF63BE7B"/>
      </colorScale>
    </cfRule>
  </conditionalFormatting>
  <conditionalFormatting sqref="F21:F28">
    <cfRule type="colorScale" priority="6916">
      <colorScale>
        <cfvo type="min"/>
        <cfvo type="percentile" val="50"/>
        <cfvo type="max"/>
        <color rgb="FFF8696B"/>
        <color rgb="FFFFEB84"/>
        <color rgb="FF63BE7B"/>
      </colorScale>
    </cfRule>
  </conditionalFormatting>
  <conditionalFormatting sqref="F21:F28">
    <cfRule type="colorScale" priority="6915">
      <colorScale>
        <cfvo type="min"/>
        <cfvo type="percentile" val="50"/>
        <cfvo type="max"/>
        <color rgb="FFF8696B"/>
        <color rgb="FFFFEB84"/>
        <color rgb="FF63BE7B"/>
      </colorScale>
    </cfRule>
  </conditionalFormatting>
  <conditionalFormatting sqref="F21:F28">
    <cfRule type="colorScale" priority="6914">
      <colorScale>
        <cfvo type="min"/>
        <cfvo type="percentile" val="50"/>
        <cfvo type="max"/>
        <color rgb="FFF8696B"/>
        <color rgb="FFFFEB84"/>
        <color rgb="FF63BE7B"/>
      </colorScale>
    </cfRule>
  </conditionalFormatting>
  <conditionalFormatting sqref="F21:F28">
    <cfRule type="colorScale" priority="6913">
      <colorScale>
        <cfvo type="min"/>
        <cfvo type="percentile" val="50"/>
        <cfvo type="max"/>
        <color rgb="FFF8696B"/>
        <color rgb="FFFFEB84"/>
        <color rgb="FF63BE7B"/>
      </colorScale>
    </cfRule>
  </conditionalFormatting>
  <conditionalFormatting sqref="F21:F28">
    <cfRule type="colorScale" priority="6912">
      <colorScale>
        <cfvo type="min"/>
        <cfvo type="percentile" val="50"/>
        <cfvo type="max"/>
        <color rgb="FFF8696B"/>
        <color rgb="FFFFEB84"/>
        <color rgb="FF63BE7B"/>
      </colorScale>
    </cfRule>
  </conditionalFormatting>
  <conditionalFormatting sqref="F21:F28">
    <cfRule type="colorScale" priority="6911">
      <colorScale>
        <cfvo type="min"/>
        <cfvo type="percentile" val="50"/>
        <cfvo type="max"/>
        <color rgb="FFF8696B"/>
        <color rgb="FFFFEB84"/>
        <color rgb="FF63BE7B"/>
      </colorScale>
    </cfRule>
  </conditionalFormatting>
  <conditionalFormatting sqref="F21:F28">
    <cfRule type="colorScale" priority="6910">
      <colorScale>
        <cfvo type="min"/>
        <cfvo type="percentile" val="50"/>
        <cfvo type="max"/>
        <color rgb="FFF8696B"/>
        <color rgb="FFFFEB84"/>
        <color rgb="FF63BE7B"/>
      </colorScale>
    </cfRule>
  </conditionalFormatting>
  <conditionalFormatting sqref="F21:F28">
    <cfRule type="colorScale" priority="6909">
      <colorScale>
        <cfvo type="min"/>
        <cfvo type="percentile" val="50"/>
        <cfvo type="max"/>
        <color rgb="FFF8696B"/>
        <color rgb="FFFFEB84"/>
        <color rgb="FF63BE7B"/>
      </colorScale>
    </cfRule>
  </conditionalFormatting>
  <conditionalFormatting sqref="F21:F28">
    <cfRule type="colorScale" priority="6908">
      <colorScale>
        <cfvo type="min"/>
        <cfvo type="percentile" val="50"/>
        <cfvo type="max"/>
        <color rgb="FFF8696B"/>
        <color rgb="FFFFEB84"/>
        <color rgb="FF63BE7B"/>
      </colorScale>
    </cfRule>
  </conditionalFormatting>
  <conditionalFormatting sqref="F21:F28">
    <cfRule type="colorScale" priority="6907">
      <colorScale>
        <cfvo type="min"/>
        <cfvo type="percentile" val="50"/>
        <cfvo type="max"/>
        <color rgb="FFF8696B"/>
        <color rgb="FFFFEB84"/>
        <color rgb="FF63BE7B"/>
      </colorScale>
    </cfRule>
  </conditionalFormatting>
  <conditionalFormatting sqref="F21:F28">
    <cfRule type="colorScale" priority="6906">
      <colorScale>
        <cfvo type="min"/>
        <cfvo type="percentile" val="50"/>
        <cfvo type="max"/>
        <color rgb="FFF8696B"/>
        <color rgb="FFFFEB84"/>
        <color rgb="FF63BE7B"/>
      </colorScale>
    </cfRule>
  </conditionalFormatting>
  <conditionalFormatting sqref="F21:F28">
    <cfRule type="colorScale" priority="6905">
      <colorScale>
        <cfvo type="min"/>
        <cfvo type="percentile" val="50"/>
        <cfvo type="max"/>
        <color rgb="FFF8696B"/>
        <color rgb="FFFFEB84"/>
        <color rgb="FF63BE7B"/>
      </colorScale>
    </cfRule>
  </conditionalFormatting>
  <conditionalFormatting sqref="F21:F28">
    <cfRule type="colorScale" priority="6904">
      <colorScale>
        <cfvo type="min"/>
        <cfvo type="percentile" val="50"/>
        <cfvo type="max"/>
        <color rgb="FFF8696B"/>
        <color rgb="FFFFEB84"/>
        <color rgb="FF63BE7B"/>
      </colorScale>
    </cfRule>
  </conditionalFormatting>
  <conditionalFormatting sqref="F21:F28">
    <cfRule type="colorScale" priority="6903">
      <colorScale>
        <cfvo type="min"/>
        <cfvo type="percentile" val="50"/>
        <cfvo type="max"/>
        <color rgb="FFF8696B"/>
        <color rgb="FFFFEB84"/>
        <color rgb="FF63BE7B"/>
      </colorScale>
    </cfRule>
  </conditionalFormatting>
  <conditionalFormatting sqref="F21:F28">
    <cfRule type="colorScale" priority="6902">
      <colorScale>
        <cfvo type="min"/>
        <cfvo type="percentile" val="50"/>
        <cfvo type="max"/>
        <color rgb="FFF8696B"/>
        <color rgb="FFFFEB84"/>
        <color rgb="FF63BE7B"/>
      </colorScale>
    </cfRule>
  </conditionalFormatting>
  <conditionalFormatting sqref="F21:F28">
    <cfRule type="colorScale" priority="6901">
      <colorScale>
        <cfvo type="min"/>
        <cfvo type="percentile" val="50"/>
        <cfvo type="max"/>
        <color rgb="FFF8696B"/>
        <color rgb="FFFFEB84"/>
        <color rgb="FF63BE7B"/>
      </colorScale>
    </cfRule>
  </conditionalFormatting>
  <conditionalFormatting sqref="F21:F28">
    <cfRule type="colorScale" priority="6900">
      <colorScale>
        <cfvo type="min"/>
        <cfvo type="percentile" val="50"/>
        <cfvo type="max"/>
        <color rgb="FFF8696B"/>
        <color rgb="FFFFEB84"/>
        <color rgb="FF63BE7B"/>
      </colorScale>
    </cfRule>
  </conditionalFormatting>
  <conditionalFormatting sqref="F21:F28">
    <cfRule type="colorScale" priority="6899">
      <colorScale>
        <cfvo type="min"/>
        <cfvo type="percentile" val="50"/>
        <cfvo type="max"/>
        <color rgb="FFF8696B"/>
        <color rgb="FFFFEB84"/>
        <color rgb="FF63BE7B"/>
      </colorScale>
    </cfRule>
  </conditionalFormatting>
  <conditionalFormatting sqref="F21:F28">
    <cfRule type="colorScale" priority="6898">
      <colorScale>
        <cfvo type="min"/>
        <cfvo type="percentile" val="50"/>
        <cfvo type="max"/>
        <color rgb="FFF8696B"/>
        <color rgb="FFFFEB84"/>
        <color rgb="FF63BE7B"/>
      </colorScale>
    </cfRule>
  </conditionalFormatting>
  <conditionalFormatting sqref="F21:F28">
    <cfRule type="colorScale" priority="6897">
      <colorScale>
        <cfvo type="min"/>
        <cfvo type="percentile" val="50"/>
        <cfvo type="max"/>
        <color rgb="FFF8696B"/>
        <color rgb="FFFFEB84"/>
        <color rgb="FF63BE7B"/>
      </colorScale>
    </cfRule>
  </conditionalFormatting>
  <conditionalFormatting sqref="F21:F28">
    <cfRule type="colorScale" priority="6896">
      <colorScale>
        <cfvo type="min"/>
        <cfvo type="percentile" val="50"/>
        <cfvo type="max"/>
        <color rgb="FFF8696B"/>
        <color rgb="FFFFEB84"/>
        <color rgb="FF63BE7B"/>
      </colorScale>
    </cfRule>
  </conditionalFormatting>
  <conditionalFormatting sqref="F21:F28">
    <cfRule type="colorScale" priority="6895">
      <colorScale>
        <cfvo type="min"/>
        <cfvo type="percentile" val="50"/>
        <cfvo type="max"/>
        <color rgb="FFF8696B"/>
        <color rgb="FFFFEB84"/>
        <color rgb="FF63BE7B"/>
      </colorScale>
    </cfRule>
  </conditionalFormatting>
  <conditionalFormatting sqref="F21:F28">
    <cfRule type="colorScale" priority="6894">
      <colorScale>
        <cfvo type="min"/>
        <cfvo type="percentile" val="50"/>
        <cfvo type="max"/>
        <color rgb="FFF8696B"/>
        <color rgb="FFFFEB84"/>
        <color rgb="FF63BE7B"/>
      </colorScale>
    </cfRule>
  </conditionalFormatting>
  <conditionalFormatting sqref="F21:F28">
    <cfRule type="colorScale" priority="6893">
      <colorScale>
        <cfvo type="min"/>
        <cfvo type="percentile" val="50"/>
        <cfvo type="max"/>
        <color rgb="FFF8696B"/>
        <color rgb="FFFFEB84"/>
        <color rgb="FF63BE7B"/>
      </colorScale>
    </cfRule>
  </conditionalFormatting>
  <conditionalFormatting sqref="F21:F28">
    <cfRule type="colorScale" priority="6892">
      <colorScale>
        <cfvo type="min"/>
        <cfvo type="percentile" val="50"/>
        <cfvo type="max"/>
        <color rgb="FFF8696B"/>
        <color rgb="FFFFEB84"/>
        <color rgb="FF63BE7B"/>
      </colorScale>
    </cfRule>
  </conditionalFormatting>
  <conditionalFormatting sqref="F21:F28">
    <cfRule type="colorScale" priority="6891">
      <colorScale>
        <cfvo type="min"/>
        <cfvo type="percentile" val="50"/>
        <cfvo type="max"/>
        <color rgb="FFF8696B"/>
        <color rgb="FFFFEB84"/>
        <color rgb="FF63BE7B"/>
      </colorScale>
    </cfRule>
  </conditionalFormatting>
  <conditionalFormatting sqref="F21:F28">
    <cfRule type="colorScale" priority="6890">
      <colorScale>
        <cfvo type="min"/>
        <cfvo type="percentile" val="50"/>
        <cfvo type="max"/>
        <color rgb="FFF8696B"/>
        <color rgb="FFFFEB84"/>
        <color rgb="FF63BE7B"/>
      </colorScale>
    </cfRule>
  </conditionalFormatting>
  <conditionalFormatting sqref="F21:F28">
    <cfRule type="colorScale" priority="6889">
      <colorScale>
        <cfvo type="min"/>
        <cfvo type="percentile" val="50"/>
        <cfvo type="max"/>
        <color rgb="FFF8696B"/>
        <color rgb="FFFFEB84"/>
        <color rgb="FF63BE7B"/>
      </colorScale>
    </cfRule>
  </conditionalFormatting>
  <conditionalFormatting sqref="F21:F28">
    <cfRule type="colorScale" priority="6888">
      <colorScale>
        <cfvo type="min"/>
        <cfvo type="percentile" val="50"/>
        <cfvo type="max"/>
        <color rgb="FFF8696B"/>
        <color rgb="FFFFEB84"/>
        <color rgb="FF63BE7B"/>
      </colorScale>
    </cfRule>
  </conditionalFormatting>
  <conditionalFormatting sqref="F21:F28">
    <cfRule type="colorScale" priority="6887">
      <colorScale>
        <cfvo type="min"/>
        <cfvo type="percentile" val="50"/>
        <cfvo type="max"/>
        <color rgb="FFF8696B"/>
        <color rgb="FFFFEB84"/>
        <color rgb="FF63BE7B"/>
      </colorScale>
    </cfRule>
  </conditionalFormatting>
  <conditionalFormatting sqref="F21:F28">
    <cfRule type="colorScale" priority="6886">
      <colorScale>
        <cfvo type="min"/>
        <cfvo type="percentile" val="50"/>
        <cfvo type="max"/>
        <color rgb="FFF8696B"/>
        <color rgb="FFFFEB84"/>
        <color rgb="FF63BE7B"/>
      </colorScale>
    </cfRule>
  </conditionalFormatting>
  <conditionalFormatting sqref="F21:F28">
    <cfRule type="colorScale" priority="6885">
      <colorScale>
        <cfvo type="min"/>
        <cfvo type="percentile" val="50"/>
        <cfvo type="max"/>
        <color rgb="FFF8696B"/>
        <color rgb="FFFFEB84"/>
        <color rgb="FF63BE7B"/>
      </colorScale>
    </cfRule>
  </conditionalFormatting>
  <conditionalFormatting sqref="F21:F28">
    <cfRule type="colorScale" priority="6884">
      <colorScale>
        <cfvo type="min"/>
        <cfvo type="percentile" val="50"/>
        <cfvo type="max"/>
        <color rgb="FFF8696B"/>
        <color rgb="FFFFEB84"/>
        <color rgb="FF63BE7B"/>
      </colorScale>
    </cfRule>
  </conditionalFormatting>
  <conditionalFormatting sqref="F21:F28">
    <cfRule type="colorScale" priority="6883">
      <colorScale>
        <cfvo type="min"/>
        <cfvo type="percentile" val="50"/>
        <cfvo type="max"/>
        <color rgb="FFF8696B"/>
        <color rgb="FFFFEB84"/>
        <color rgb="FF63BE7B"/>
      </colorScale>
    </cfRule>
  </conditionalFormatting>
  <conditionalFormatting sqref="F21:F28">
    <cfRule type="colorScale" priority="6882">
      <colorScale>
        <cfvo type="min"/>
        <cfvo type="percentile" val="50"/>
        <cfvo type="max"/>
        <color rgb="FFF8696B"/>
        <color rgb="FFFFEB84"/>
        <color rgb="FF63BE7B"/>
      </colorScale>
    </cfRule>
  </conditionalFormatting>
  <conditionalFormatting sqref="F21:F28">
    <cfRule type="colorScale" priority="6881">
      <colorScale>
        <cfvo type="min"/>
        <cfvo type="percentile" val="50"/>
        <cfvo type="max"/>
        <color rgb="FFF8696B"/>
        <color rgb="FFFFEB84"/>
        <color rgb="FF63BE7B"/>
      </colorScale>
    </cfRule>
  </conditionalFormatting>
  <conditionalFormatting sqref="F21:F28">
    <cfRule type="colorScale" priority="6880">
      <colorScale>
        <cfvo type="min"/>
        <cfvo type="percentile" val="50"/>
        <cfvo type="max"/>
        <color rgb="FFF8696B"/>
        <color rgb="FFFFEB84"/>
        <color rgb="FF63BE7B"/>
      </colorScale>
    </cfRule>
  </conditionalFormatting>
  <conditionalFormatting sqref="F21:F28">
    <cfRule type="colorScale" priority="6879">
      <colorScale>
        <cfvo type="min"/>
        <cfvo type="percentile" val="50"/>
        <cfvo type="max"/>
        <color rgb="FFF8696B"/>
        <color rgb="FFFFEB84"/>
        <color rgb="FF63BE7B"/>
      </colorScale>
    </cfRule>
  </conditionalFormatting>
  <conditionalFormatting sqref="F21:F28">
    <cfRule type="colorScale" priority="6878">
      <colorScale>
        <cfvo type="min"/>
        <cfvo type="percentile" val="50"/>
        <cfvo type="max"/>
        <color rgb="FFF8696B"/>
        <color rgb="FFFFEB84"/>
        <color rgb="FF63BE7B"/>
      </colorScale>
    </cfRule>
  </conditionalFormatting>
  <conditionalFormatting sqref="F21:F28">
    <cfRule type="colorScale" priority="6877">
      <colorScale>
        <cfvo type="min"/>
        <cfvo type="percentile" val="50"/>
        <cfvo type="max"/>
        <color rgb="FFF8696B"/>
        <color rgb="FFFFEB84"/>
        <color rgb="FF63BE7B"/>
      </colorScale>
    </cfRule>
  </conditionalFormatting>
  <conditionalFormatting sqref="F21:F28">
    <cfRule type="colorScale" priority="6876">
      <colorScale>
        <cfvo type="min"/>
        <cfvo type="percentile" val="50"/>
        <cfvo type="max"/>
        <color rgb="FFF8696B"/>
        <color rgb="FFFFEB84"/>
        <color rgb="FF63BE7B"/>
      </colorScale>
    </cfRule>
  </conditionalFormatting>
  <conditionalFormatting sqref="F21:F28">
    <cfRule type="colorScale" priority="6875">
      <colorScale>
        <cfvo type="min"/>
        <cfvo type="percentile" val="50"/>
        <cfvo type="max"/>
        <color rgb="FFF8696B"/>
        <color rgb="FFFFEB84"/>
        <color rgb="FF63BE7B"/>
      </colorScale>
    </cfRule>
  </conditionalFormatting>
  <conditionalFormatting sqref="F21:F28">
    <cfRule type="colorScale" priority="6874">
      <colorScale>
        <cfvo type="min"/>
        <cfvo type="percentile" val="50"/>
        <cfvo type="max"/>
        <color rgb="FFF8696B"/>
        <color rgb="FFFFEB84"/>
        <color rgb="FF63BE7B"/>
      </colorScale>
    </cfRule>
  </conditionalFormatting>
  <conditionalFormatting sqref="F21:F28">
    <cfRule type="colorScale" priority="6873">
      <colorScale>
        <cfvo type="min"/>
        <cfvo type="percentile" val="50"/>
        <cfvo type="max"/>
        <color rgb="FFF8696B"/>
        <color rgb="FFFFEB84"/>
        <color rgb="FF63BE7B"/>
      </colorScale>
    </cfRule>
  </conditionalFormatting>
  <conditionalFormatting sqref="F21:F28">
    <cfRule type="colorScale" priority="6872">
      <colorScale>
        <cfvo type="min"/>
        <cfvo type="percentile" val="50"/>
        <cfvo type="max"/>
        <color rgb="FFF8696B"/>
        <color rgb="FFFFEB84"/>
        <color rgb="FF63BE7B"/>
      </colorScale>
    </cfRule>
  </conditionalFormatting>
  <conditionalFormatting sqref="F21:F28">
    <cfRule type="colorScale" priority="6871">
      <colorScale>
        <cfvo type="min"/>
        <cfvo type="percentile" val="50"/>
        <cfvo type="max"/>
        <color rgb="FFF8696B"/>
        <color rgb="FFFFEB84"/>
        <color rgb="FF63BE7B"/>
      </colorScale>
    </cfRule>
  </conditionalFormatting>
  <conditionalFormatting sqref="F21:F28">
    <cfRule type="colorScale" priority="6870">
      <colorScale>
        <cfvo type="min"/>
        <cfvo type="percentile" val="50"/>
        <cfvo type="max"/>
        <color rgb="FFF8696B"/>
        <color rgb="FFFFEB84"/>
        <color rgb="FF63BE7B"/>
      </colorScale>
    </cfRule>
  </conditionalFormatting>
  <conditionalFormatting sqref="F21:F28">
    <cfRule type="colorScale" priority="6869">
      <colorScale>
        <cfvo type="min"/>
        <cfvo type="percentile" val="50"/>
        <cfvo type="max"/>
        <color rgb="FFF8696B"/>
        <color rgb="FFFFEB84"/>
        <color rgb="FF63BE7B"/>
      </colorScale>
    </cfRule>
  </conditionalFormatting>
  <conditionalFormatting sqref="F21:F28">
    <cfRule type="colorScale" priority="6868">
      <colorScale>
        <cfvo type="min"/>
        <cfvo type="percentile" val="50"/>
        <cfvo type="max"/>
        <color rgb="FFF8696B"/>
        <color rgb="FFFFEB84"/>
        <color rgb="FF63BE7B"/>
      </colorScale>
    </cfRule>
  </conditionalFormatting>
  <conditionalFormatting sqref="F21:F28">
    <cfRule type="colorScale" priority="6867">
      <colorScale>
        <cfvo type="min"/>
        <cfvo type="percentile" val="50"/>
        <cfvo type="max"/>
        <color rgb="FFF8696B"/>
        <color rgb="FFFFEB84"/>
        <color rgb="FF63BE7B"/>
      </colorScale>
    </cfRule>
  </conditionalFormatting>
  <conditionalFormatting sqref="F21:F28">
    <cfRule type="colorScale" priority="6866">
      <colorScale>
        <cfvo type="min"/>
        <cfvo type="percentile" val="50"/>
        <cfvo type="max"/>
        <color rgb="FFF8696B"/>
        <color rgb="FFFFEB84"/>
        <color rgb="FF63BE7B"/>
      </colorScale>
    </cfRule>
  </conditionalFormatting>
  <conditionalFormatting sqref="F21:F28">
    <cfRule type="colorScale" priority="6865">
      <colorScale>
        <cfvo type="min"/>
        <cfvo type="percentile" val="50"/>
        <cfvo type="max"/>
        <color rgb="FFF8696B"/>
        <color rgb="FFFFEB84"/>
        <color rgb="FF63BE7B"/>
      </colorScale>
    </cfRule>
  </conditionalFormatting>
  <conditionalFormatting sqref="F21:F28">
    <cfRule type="colorScale" priority="6864">
      <colorScale>
        <cfvo type="min"/>
        <cfvo type="percentile" val="50"/>
        <cfvo type="max"/>
        <color rgb="FFF8696B"/>
        <color rgb="FFFFEB84"/>
        <color rgb="FF63BE7B"/>
      </colorScale>
    </cfRule>
  </conditionalFormatting>
  <conditionalFormatting sqref="F21:F28">
    <cfRule type="colorScale" priority="6863">
      <colorScale>
        <cfvo type="min"/>
        <cfvo type="percentile" val="50"/>
        <cfvo type="max"/>
        <color rgb="FFF8696B"/>
        <color rgb="FFFFEB84"/>
        <color rgb="FF63BE7B"/>
      </colorScale>
    </cfRule>
  </conditionalFormatting>
  <conditionalFormatting sqref="F21:F28">
    <cfRule type="colorScale" priority="6862">
      <colorScale>
        <cfvo type="min"/>
        <cfvo type="percentile" val="50"/>
        <cfvo type="max"/>
        <color rgb="FFF8696B"/>
        <color rgb="FFFFEB84"/>
        <color rgb="FF63BE7B"/>
      </colorScale>
    </cfRule>
  </conditionalFormatting>
  <conditionalFormatting sqref="F21:F28">
    <cfRule type="colorScale" priority="6861">
      <colorScale>
        <cfvo type="min"/>
        <cfvo type="percentile" val="50"/>
        <cfvo type="max"/>
        <color rgb="FFF8696B"/>
        <color rgb="FFFFEB84"/>
        <color rgb="FF63BE7B"/>
      </colorScale>
    </cfRule>
  </conditionalFormatting>
  <conditionalFormatting sqref="F21:F28">
    <cfRule type="colorScale" priority="6860">
      <colorScale>
        <cfvo type="min"/>
        <cfvo type="percentile" val="50"/>
        <cfvo type="max"/>
        <color rgb="FFF8696B"/>
        <color rgb="FFFFEB84"/>
        <color rgb="FF63BE7B"/>
      </colorScale>
    </cfRule>
  </conditionalFormatting>
  <conditionalFormatting sqref="F21:F28">
    <cfRule type="colorScale" priority="6859">
      <colorScale>
        <cfvo type="min"/>
        <cfvo type="percentile" val="50"/>
        <cfvo type="max"/>
        <color rgb="FFF8696B"/>
        <color rgb="FFFFEB84"/>
        <color rgb="FF63BE7B"/>
      </colorScale>
    </cfRule>
  </conditionalFormatting>
  <conditionalFormatting sqref="F21:F28">
    <cfRule type="colorScale" priority="6858">
      <colorScale>
        <cfvo type="min"/>
        <cfvo type="percentile" val="50"/>
        <cfvo type="max"/>
        <color rgb="FFF8696B"/>
        <color rgb="FFFFEB84"/>
        <color rgb="FF63BE7B"/>
      </colorScale>
    </cfRule>
  </conditionalFormatting>
  <conditionalFormatting sqref="F21:F28">
    <cfRule type="colorScale" priority="6857">
      <colorScale>
        <cfvo type="min"/>
        <cfvo type="percentile" val="50"/>
        <cfvo type="max"/>
        <color rgb="FFF8696B"/>
        <color rgb="FFFFEB84"/>
        <color rgb="FF63BE7B"/>
      </colorScale>
    </cfRule>
  </conditionalFormatting>
  <conditionalFormatting sqref="F21:F28">
    <cfRule type="colorScale" priority="6856">
      <colorScale>
        <cfvo type="min"/>
        <cfvo type="percentile" val="50"/>
        <cfvo type="max"/>
        <color rgb="FFF8696B"/>
        <color rgb="FFFFEB84"/>
        <color rgb="FF63BE7B"/>
      </colorScale>
    </cfRule>
  </conditionalFormatting>
  <conditionalFormatting sqref="F21:F28">
    <cfRule type="colorScale" priority="6855">
      <colorScale>
        <cfvo type="min"/>
        <cfvo type="percentile" val="50"/>
        <cfvo type="max"/>
        <color rgb="FFF8696B"/>
        <color rgb="FFFFEB84"/>
        <color rgb="FF63BE7B"/>
      </colorScale>
    </cfRule>
  </conditionalFormatting>
  <conditionalFormatting sqref="F21:F28">
    <cfRule type="colorScale" priority="6854">
      <colorScale>
        <cfvo type="min"/>
        <cfvo type="percentile" val="50"/>
        <cfvo type="max"/>
        <color rgb="FFF8696B"/>
        <color rgb="FFFFEB84"/>
        <color rgb="FF63BE7B"/>
      </colorScale>
    </cfRule>
  </conditionalFormatting>
  <conditionalFormatting sqref="F21:F28">
    <cfRule type="colorScale" priority="6853">
      <colorScale>
        <cfvo type="min"/>
        <cfvo type="percentile" val="50"/>
        <cfvo type="max"/>
        <color rgb="FFF8696B"/>
        <color rgb="FFFFEB84"/>
        <color rgb="FF63BE7B"/>
      </colorScale>
    </cfRule>
  </conditionalFormatting>
  <conditionalFormatting sqref="F21:F28">
    <cfRule type="colorScale" priority="6852">
      <colorScale>
        <cfvo type="min"/>
        <cfvo type="percentile" val="50"/>
        <cfvo type="max"/>
        <color rgb="FFF8696B"/>
        <color rgb="FFFFEB84"/>
        <color rgb="FF63BE7B"/>
      </colorScale>
    </cfRule>
  </conditionalFormatting>
  <conditionalFormatting sqref="F21:F28">
    <cfRule type="colorScale" priority="6851">
      <colorScale>
        <cfvo type="min"/>
        <cfvo type="percentile" val="50"/>
        <cfvo type="max"/>
        <color rgb="FFF8696B"/>
        <color rgb="FFFFEB84"/>
        <color rgb="FF63BE7B"/>
      </colorScale>
    </cfRule>
  </conditionalFormatting>
  <conditionalFormatting sqref="F21:F28">
    <cfRule type="colorScale" priority="6850">
      <colorScale>
        <cfvo type="min"/>
        <cfvo type="percentile" val="50"/>
        <cfvo type="max"/>
        <color rgb="FFF8696B"/>
        <color rgb="FFFFEB84"/>
        <color rgb="FF63BE7B"/>
      </colorScale>
    </cfRule>
  </conditionalFormatting>
  <conditionalFormatting sqref="F21:F28">
    <cfRule type="colorScale" priority="6849">
      <colorScale>
        <cfvo type="min"/>
        <cfvo type="percentile" val="50"/>
        <cfvo type="max"/>
        <color rgb="FFF8696B"/>
        <color rgb="FFFFEB84"/>
        <color rgb="FF63BE7B"/>
      </colorScale>
    </cfRule>
  </conditionalFormatting>
  <conditionalFormatting sqref="F21:F28">
    <cfRule type="colorScale" priority="6848">
      <colorScale>
        <cfvo type="min"/>
        <cfvo type="percentile" val="50"/>
        <cfvo type="max"/>
        <color rgb="FFF8696B"/>
        <color rgb="FFFFEB84"/>
        <color rgb="FF63BE7B"/>
      </colorScale>
    </cfRule>
  </conditionalFormatting>
  <conditionalFormatting sqref="F21:F28">
    <cfRule type="colorScale" priority="6847">
      <colorScale>
        <cfvo type="min"/>
        <cfvo type="percentile" val="50"/>
        <cfvo type="max"/>
        <color rgb="FFF8696B"/>
        <color rgb="FFFFEB84"/>
        <color rgb="FF63BE7B"/>
      </colorScale>
    </cfRule>
  </conditionalFormatting>
  <conditionalFormatting sqref="F21:F28">
    <cfRule type="colorScale" priority="6846">
      <colorScale>
        <cfvo type="min"/>
        <cfvo type="percentile" val="50"/>
        <cfvo type="max"/>
        <color rgb="FFF8696B"/>
        <color rgb="FFFFEB84"/>
        <color rgb="FF63BE7B"/>
      </colorScale>
    </cfRule>
  </conditionalFormatting>
  <conditionalFormatting sqref="F21:F28">
    <cfRule type="colorScale" priority="6845">
      <colorScale>
        <cfvo type="min"/>
        <cfvo type="percentile" val="50"/>
        <cfvo type="max"/>
        <color rgb="FFF8696B"/>
        <color rgb="FFFFEB84"/>
        <color rgb="FF63BE7B"/>
      </colorScale>
    </cfRule>
  </conditionalFormatting>
  <conditionalFormatting sqref="F21:F28">
    <cfRule type="colorScale" priority="6844">
      <colorScale>
        <cfvo type="min"/>
        <cfvo type="percentile" val="50"/>
        <cfvo type="max"/>
        <color rgb="FFF8696B"/>
        <color rgb="FFFFEB84"/>
        <color rgb="FF63BE7B"/>
      </colorScale>
    </cfRule>
  </conditionalFormatting>
  <conditionalFormatting sqref="F21:F28">
    <cfRule type="colorScale" priority="6843">
      <colorScale>
        <cfvo type="min"/>
        <cfvo type="percentile" val="50"/>
        <cfvo type="max"/>
        <color rgb="FFF8696B"/>
        <color rgb="FFFFEB84"/>
        <color rgb="FF63BE7B"/>
      </colorScale>
    </cfRule>
  </conditionalFormatting>
  <conditionalFormatting sqref="F21:F28">
    <cfRule type="colorScale" priority="6842">
      <colorScale>
        <cfvo type="min"/>
        <cfvo type="percentile" val="50"/>
        <cfvo type="max"/>
        <color rgb="FFF8696B"/>
        <color rgb="FFFFEB84"/>
        <color rgb="FF63BE7B"/>
      </colorScale>
    </cfRule>
  </conditionalFormatting>
  <conditionalFormatting sqref="F21:F28">
    <cfRule type="colorScale" priority="6841">
      <colorScale>
        <cfvo type="min"/>
        <cfvo type="percentile" val="50"/>
        <cfvo type="max"/>
        <color rgb="FFF8696B"/>
        <color rgb="FFFFEB84"/>
        <color rgb="FF63BE7B"/>
      </colorScale>
    </cfRule>
  </conditionalFormatting>
  <conditionalFormatting sqref="F21:F28">
    <cfRule type="colorScale" priority="6840">
      <colorScale>
        <cfvo type="min"/>
        <cfvo type="percentile" val="50"/>
        <cfvo type="max"/>
        <color rgb="FFF8696B"/>
        <color rgb="FFFFEB84"/>
        <color rgb="FF63BE7B"/>
      </colorScale>
    </cfRule>
  </conditionalFormatting>
  <conditionalFormatting sqref="F21:F28">
    <cfRule type="colorScale" priority="6839">
      <colorScale>
        <cfvo type="min"/>
        <cfvo type="percentile" val="50"/>
        <cfvo type="max"/>
        <color rgb="FFF8696B"/>
        <color rgb="FFFFEB84"/>
        <color rgb="FF63BE7B"/>
      </colorScale>
    </cfRule>
  </conditionalFormatting>
  <conditionalFormatting sqref="F21:F28">
    <cfRule type="colorScale" priority="6838">
      <colorScale>
        <cfvo type="min"/>
        <cfvo type="percentile" val="50"/>
        <cfvo type="max"/>
        <color rgb="FFF8696B"/>
        <color rgb="FFFFEB84"/>
        <color rgb="FF63BE7B"/>
      </colorScale>
    </cfRule>
  </conditionalFormatting>
  <conditionalFormatting sqref="F21:F28">
    <cfRule type="colorScale" priority="6837">
      <colorScale>
        <cfvo type="min"/>
        <cfvo type="percentile" val="50"/>
        <cfvo type="max"/>
        <color rgb="FFF8696B"/>
        <color rgb="FFFFEB84"/>
        <color rgb="FF63BE7B"/>
      </colorScale>
    </cfRule>
  </conditionalFormatting>
  <conditionalFormatting sqref="F21:F28">
    <cfRule type="colorScale" priority="6836">
      <colorScale>
        <cfvo type="min"/>
        <cfvo type="percentile" val="50"/>
        <cfvo type="max"/>
        <color rgb="FFF8696B"/>
        <color rgb="FFFFEB84"/>
        <color rgb="FF63BE7B"/>
      </colorScale>
    </cfRule>
  </conditionalFormatting>
  <conditionalFormatting sqref="F21:F28">
    <cfRule type="colorScale" priority="6835">
      <colorScale>
        <cfvo type="min"/>
        <cfvo type="percentile" val="50"/>
        <cfvo type="max"/>
        <color rgb="FFF8696B"/>
        <color rgb="FFFFEB84"/>
        <color rgb="FF63BE7B"/>
      </colorScale>
    </cfRule>
  </conditionalFormatting>
  <conditionalFormatting sqref="F21:F28">
    <cfRule type="colorScale" priority="6834">
      <colorScale>
        <cfvo type="min"/>
        <cfvo type="percentile" val="50"/>
        <cfvo type="max"/>
        <color rgb="FFF8696B"/>
        <color rgb="FFFFEB84"/>
        <color rgb="FF63BE7B"/>
      </colorScale>
    </cfRule>
  </conditionalFormatting>
  <conditionalFormatting sqref="F21:F28">
    <cfRule type="colorScale" priority="6833">
      <colorScale>
        <cfvo type="min"/>
        <cfvo type="percentile" val="50"/>
        <cfvo type="max"/>
        <color rgb="FFF8696B"/>
        <color rgb="FFFFEB84"/>
        <color rgb="FF63BE7B"/>
      </colorScale>
    </cfRule>
  </conditionalFormatting>
  <conditionalFormatting sqref="F21:F28">
    <cfRule type="colorScale" priority="6832">
      <colorScale>
        <cfvo type="min"/>
        <cfvo type="percentile" val="50"/>
        <cfvo type="max"/>
        <color rgb="FFF8696B"/>
        <color rgb="FFFFEB84"/>
        <color rgb="FF63BE7B"/>
      </colorScale>
    </cfRule>
  </conditionalFormatting>
  <conditionalFormatting sqref="F21:F28">
    <cfRule type="colorScale" priority="6831">
      <colorScale>
        <cfvo type="min"/>
        <cfvo type="percentile" val="50"/>
        <cfvo type="max"/>
        <color rgb="FFF8696B"/>
        <color rgb="FFFFEB84"/>
        <color rgb="FF63BE7B"/>
      </colorScale>
    </cfRule>
  </conditionalFormatting>
  <conditionalFormatting sqref="F21:F28">
    <cfRule type="colorScale" priority="6830">
      <colorScale>
        <cfvo type="min"/>
        <cfvo type="percentile" val="50"/>
        <cfvo type="max"/>
        <color rgb="FFF8696B"/>
        <color rgb="FFFFEB84"/>
        <color rgb="FF63BE7B"/>
      </colorScale>
    </cfRule>
  </conditionalFormatting>
  <conditionalFormatting sqref="F21:F28">
    <cfRule type="colorScale" priority="6829">
      <colorScale>
        <cfvo type="min"/>
        <cfvo type="percentile" val="50"/>
        <cfvo type="max"/>
        <color rgb="FFF8696B"/>
        <color rgb="FFFFEB84"/>
        <color rgb="FF63BE7B"/>
      </colorScale>
    </cfRule>
  </conditionalFormatting>
  <conditionalFormatting sqref="F21:F28">
    <cfRule type="colorScale" priority="6828">
      <colorScale>
        <cfvo type="min"/>
        <cfvo type="percentile" val="50"/>
        <cfvo type="max"/>
        <color rgb="FFF8696B"/>
        <color rgb="FFFFEB84"/>
        <color rgb="FF63BE7B"/>
      </colorScale>
    </cfRule>
  </conditionalFormatting>
  <conditionalFormatting sqref="F21:F28">
    <cfRule type="colorScale" priority="6827">
      <colorScale>
        <cfvo type="min"/>
        <cfvo type="percentile" val="50"/>
        <cfvo type="max"/>
        <color rgb="FFF8696B"/>
        <color rgb="FFFFEB84"/>
        <color rgb="FF63BE7B"/>
      </colorScale>
    </cfRule>
  </conditionalFormatting>
  <conditionalFormatting sqref="F21:F28">
    <cfRule type="colorScale" priority="6826">
      <colorScale>
        <cfvo type="min"/>
        <cfvo type="percentile" val="50"/>
        <cfvo type="max"/>
        <color rgb="FFF8696B"/>
        <color rgb="FFFFEB84"/>
        <color rgb="FF63BE7B"/>
      </colorScale>
    </cfRule>
  </conditionalFormatting>
  <conditionalFormatting sqref="F21:F28">
    <cfRule type="colorScale" priority="6825">
      <colorScale>
        <cfvo type="min"/>
        <cfvo type="percentile" val="50"/>
        <cfvo type="max"/>
        <color rgb="FFF8696B"/>
        <color rgb="FFFFEB84"/>
        <color rgb="FF63BE7B"/>
      </colorScale>
    </cfRule>
  </conditionalFormatting>
  <conditionalFormatting sqref="F29:F32">
    <cfRule type="colorScale" priority="6824">
      <colorScale>
        <cfvo type="min"/>
        <cfvo type="percentile" val="50"/>
        <cfvo type="max"/>
        <color rgb="FFF8696B"/>
        <color rgb="FFFFEB84"/>
        <color rgb="FF63BE7B"/>
      </colorScale>
    </cfRule>
  </conditionalFormatting>
  <conditionalFormatting sqref="F29:F32">
    <cfRule type="colorScale" priority="6823">
      <colorScale>
        <cfvo type="min"/>
        <cfvo type="percentile" val="50"/>
        <cfvo type="max"/>
        <color rgb="FFF8696B"/>
        <color rgb="FFFFEB84"/>
        <color rgb="FF63BE7B"/>
      </colorScale>
    </cfRule>
  </conditionalFormatting>
  <conditionalFormatting sqref="F29:F32">
    <cfRule type="colorScale" priority="6822">
      <colorScale>
        <cfvo type="min"/>
        <cfvo type="percentile" val="50"/>
        <cfvo type="max"/>
        <color rgb="FFF8696B"/>
        <color rgb="FFFFEB84"/>
        <color rgb="FF63BE7B"/>
      </colorScale>
    </cfRule>
  </conditionalFormatting>
  <conditionalFormatting sqref="F29:F32">
    <cfRule type="colorScale" priority="6821">
      <colorScale>
        <cfvo type="min"/>
        <cfvo type="percentile" val="50"/>
        <cfvo type="max"/>
        <color rgb="FFF8696B"/>
        <color rgb="FFFFEB84"/>
        <color rgb="FF63BE7B"/>
      </colorScale>
    </cfRule>
  </conditionalFormatting>
  <conditionalFormatting sqref="F29:F32">
    <cfRule type="colorScale" priority="6820">
      <colorScale>
        <cfvo type="min"/>
        <cfvo type="percentile" val="50"/>
        <cfvo type="max"/>
        <color rgb="FFF8696B"/>
        <color rgb="FFFFEB84"/>
        <color rgb="FF63BE7B"/>
      </colorScale>
    </cfRule>
  </conditionalFormatting>
  <conditionalFormatting sqref="F29:F32">
    <cfRule type="colorScale" priority="6819">
      <colorScale>
        <cfvo type="min"/>
        <cfvo type="percentile" val="50"/>
        <cfvo type="max"/>
        <color rgb="FFF8696B"/>
        <color rgb="FFFFEB84"/>
        <color rgb="FF63BE7B"/>
      </colorScale>
    </cfRule>
  </conditionalFormatting>
  <conditionalFormatting sqref="F29:F32">
    <cfRule type="colorScale" priority="6818">
      <colorScale>
        <cfvo type="min"/>
        <cfvo type="percentile" val="50"/>
        <cfvo type="max"/>
        <color rgb="FFF8696B"/>
        <color rgb="FFFFEB84"/>
        <color rgb="FF63BE7B"/>
      </colorScale>
    </cfRule>
  </conditionalFormatting>
  <conditionalFormatting sqref="F29:F32">
    <cfRule type="colorScale" priority="6817">
      <colorScale>
        <cfvo type="min"/>
        <cfvo type="percentile" val="50"/>
        <cfvo type="max"/>
        <color rgb="FFF8696B"/>
        <color rgb="FFFFEB84"/>
        <color rgb="FF63BE7B"/>
      </colorScale>
    </cfRule>
  </conditionalFormatting>
  <conditionalFormatting sqref="F29:F32">
    <cfRule type="colorScale" priority="6816">
      <colorScale>
        <cfvo type="min"/>
        <cfvo type="percentile" val="50"/>
        <cfvo type="max"/>
        <color rgb="FFF8696B"/>
        <color rgb="FFFFEB84"/>
        <color rgb="FF63BE7B"/>
      </colorScale>
    </cfRule>
  </conditionalFormatting>
  <conditionalFormatting sqref="F29:F32">
    <cfRule type="colorScale" priority="6815">
      <colorScale>
        <cfvo type="min"/>
        <cfvo type="percentile" val="50"/>
        <cfvo type="max"/>
        <color rgb="FFF8696B"/>
        <color rgb="FFFFEB84"/>
        <color rgb="FF63BE7B"/>
      </colorScale>
    </cfRule>
  </conditionalFormatting>
  <conditionalFormatting sqref="F29:F32">
    <cfRule type="colorScale" priority="6814">
      <colorScale>
        <cfvo type="min"/>
        <cfvo type="percentile" val="50"/>
        <cfvo type="max"/>
        <color rgb="FFF8696B"/>
        <color rgb="FFFFEB84"/>
        <color rgb="FF63BE7B"/>
      </colorScale>
    </cfRule>
  </conditionalFormatting>
  <conditionalFormatting sqref="F29:F32">
    <cfRule type="colorScale" priority="6813">
      <colorScale>
        <cfvo type="min"/>
        <cfvo type="percentile" val="50"/>
        <cfvo type="max"/>
        <color rgb="FFF8696B"/>
        <color rgb="FFFFEB84"/>
        <color rgb="FF63BE7B"/>
      </colorScale>
    </cfRule>
  </conditionalFormatting>
  <conditionalFormatting sqref="F29:F32">
    <cfRule type="colorScale" priority="6812">
      <colorScale>
        <cfvo type="min"/>
        <cfvo type="percentile" val="50"/>
        <cfvo type="max"/>
        <color rgb="FFF8696B"/>
        <color rgb="FFFFEB84"/>
        <color rgb="FF63BE7B"/>
      </colorScale>
    </cfRule>
  </conditionalFormatting>
  <conditionalFormatting sqref="F29:F32">
    <cfRule type="colorScale" priority="6811">
      <colorScale>
        <cfvo type="min"/>
        <cfvo type="percentile" val="50"/>
        <cfvo type="max"/>
        <color rgb="FFF8696B"/>
        <color rgb="FFFFEB84"/>
        <color rgb="FF63BE7B"/>
      </colorScale>
    </cfRule>
  </conditionalFormatting>
  <conditionalFormatting sqref="F29:F32">
    <cfRule type="colorScale" priority="6810">
      <colorScale>
        <cfvo type="min"/>
        <cfvo type="percentile" val="50"/>
        <cfvo type="max"/>
        <color rgb="FFF8696B"/>
        <color rgb="FFFFEB84"/>
        <color rgb="FF63BE7B"/>
      </colorScale>
    </cfRule>
  </conditionalFormatting>
  <conditionalFormatting sqref="F29:F32">
    <cfRule type="colorScale" priority="6809">
      <colorScale>
        <cfvo type="min"/>
        <cfvo type="percentile" val="50"/>
        <cfvo type="max"/>
        <color rgb="FFF8696B"/>
        <color rgb="FFFFEB84"/>
        <color rgb="FF63BE7B"/>
      </colorScale>
    </cfRule>
  </conditionalFormatting>
  <conditionalFormatting sqref="F29:F32">
    <cfRule type="colorScale" priority="6808">
      <colorScale>
        <cfvo type="min"/>
        <cfvo type="percentile" val="50"/>
        <cfvo type="max"/>
        <color rgb="FFF8696B"/>
        <color rgb="FFFFEB84"/>
        <color rgb="FF63BE7B"/>
      </colorScale>
    </cfRule>
  </conditionalFormatting>
  <conditionalFormatting sqref="F29:F32">
    <cfRule type="colorScale" priority="6807">
      <colorScale>
        <cfvo type="min"/>
        <cfvo type="percentile" val="50"/>
        <cfvo type="max"/>
        <color rgb="FFF8696B"/>
        <color rgb="FFFFEB84"/>
        <color rgb="FF63BE7B"/>
      </colorScale>
    </cfRule>
  </conditionalFormatting>
  <conditionalFormatting sqref="F29:F32">
    <cfRule type="colorScale" priority="6806">
      <colorScale>
        <cfvo type="min"/>
        <cfvo type="percentile" val="50"/>
        <cfvo type="max"/>
        <color rgb="FFF8696B"/>
        <color rgb="FFFFEB84"/>
        <color rgb="FF63BE7B"/>
      </colorScale>
    </cfRule>
  </conditionalFormatting>
  <conditionalFormatting sqref="F29:F32">
    <cfRule type="colorScale" priority="6805">
      <colorScale>
        <cfvo type="min"/>
        <cfvo type="percentile" val="50"/>
        <cfvo type="max"/>
        <color rgb="FFF8696B"/>
        <color rgb="FFFFEB84"/>
        <color rgb="FF63BE7B"/>
      </colorScale>
    </cfRule>
  </conditionalFormatting>
  <conditionalFormatting sqref="F29:F32">
    <cfRule type="colorScale" priority="6804">
      <colorScale>
        <cfvo type="min"/>
        <cfvo type="percentile" val="50"/>
        <cfvo type="max"/>
        <color rgb="FFF8696B"/>
        <color rgb="FFFFEB84"/>
        <color rgb="FF63BE7B"/>
      </colorScale>
    </cfRule>
  </conditionalFormatting>
  <conditionalFormatting sqref="F29:F32">
    <cfRule type="colorScale" priority="6803">
      <colorScale>
        <cfvo type="min"/>
        <cfvo type="percentile" val="50"/>
        <cfvo type="max"/>
        <color rgb="FFF8696B"/>
        <color rgb="FFFFEB84"/>
        <color rgb="FF63BE7B"/>
      </colorScale>
    </cfRule>
  </conditionalFormatting>
  <conditionalFormatting sqref="F29:F32">
    <cfRule type="colorScale" priority="6802">
      <colorScale>
        <cfvo type="min"/>
        <cfvo type="percentile" val="50"/>
        <cfvo type="max"/>
        <color rgb="FFF8696B"/>
        <color rgb="FFFFEB84"/>
        <color rgb="FF63BE7B"/>
      </colorScale>
    </cfRule>
  </conditionalFormatting>
  <conditionalFormatting sqref="F29:F32">
    <cfRule type="colorScale" priority="6801">
      <colorScale>
        <cfvo type="min"/>
        <cfvo type="percentile" val="50"/>
        <cfvo type="max"/>
        <color rgb="FFF8696B"/>
        <color rgb="FFFFEB84"/>
        <color rgb="FF63BE7B"/>
      </colorScale>
    </cfRule>
  </conditionalFormatting>
  <conditionalFormatting sqref="F29:F32">
    <cfRule type="colorScale" priority="6800">
      <colorScale>
        <cfvo type="min"/>
        <cfvo type="percentile" val="50"/>
        <cfvo type="max"/>
        <color rgb="FFF8696B"/>
        <color rgb="FFFFEB84"/>
        <color rgb="FF63BE7B"/>
      </colorScale>
    </cfRule>
  </conditionalFormatting>
  <conditionalFormatting sqref="F29:F32">
    <cfRule type="colorScale" priority="6799">
      <colorScale>
        <cfvo type="min"/>
        <cfvo type="percentile" val="50"/>
        <cfvo type="max"/>
        <color rgb="FFF8696B"/>
        <color rgb="FFFFEB84"/>
        <color rgb="FF63BE7B"/>
      </colorScale>
    </cfRule>
  </conditionalFormatting>
  <conditionalFormatting sqref="F29:F32">
    <cfRule type="colorScale" priority="6798">
      <colorScale>
        <cfvo type="min"/>
        <cfvo type="percentile" val="50"/>
        <cfvo type="max"/>
        <color rgb="FFF8696B"/>
        <color rgb="FFFFEB84"/>
        <color rgb="FF63BE7B"/>
      </colorScale>
    </cfRule>
  </conditionalFormatting>
  <conditionalFormatting sqref="F29:F32">
    <cfRule type="colorScale" priority="6797">
      <colorScale>
        <cfvo type="min"/>
        <cfvo type="percentile" val="50"/>
        <cfvo type="max"/>
        <color rgb="FFF8696B"/>
        <color rgb="FFFFEB84"/>
        <color rgb="FF63BE7B"/>
      </colorScale>
    </cfRule>
  </conditionalFormatting>
  <conditionalFormatting sqref="F29:F32">
    <cfRule type="colorScale" priority="6796">
      <colorScale>
        <cfvo type="min"/>
        <cfvo type="percentile" val="50"/>
        <cfvo type="max"/>
        <color rgb="FFF8696B"/>
        <color rgb="FFFFEB84"/>
        <color rgb="FF63BE7B"/>
      </colorScale>
    </cfRule>
  </conditionalFormatting>
  <conditionalFormatting sqref="F29:F32">
    <cfRule type="colorScale" priority="6795">
      <colorScale>
        <cfvo type="min"/>
        <cfvo type="percentile" val="50"/>
        <cfvo type="max"/>
        <color rgb="FFF8696B"/>
        <color rgb="FFFFEB84"/>
        <color rgb="FF63BE7B"/>
      </colorScale>
    </cfRule>
  </conditionalFormatting>
  <conditionalFormatting sqref="F29:F32">
    <cfRule type="colorScale" priority="6794">
      <colorScale>
        <cfvo type="min"/>
        <cfvo type="percentile" val="50"/>
        <cfvo type="max"/>
        <color rgb="FFF8696B"/>
        <color rgb="FFFFEB84"/>
        <color rgb="FF63BE7B"/>
      </colorScale>
    </cfRule>
  </conditionalFormatting>
  <conditionalFormatting sqref="F29:F32">
    <cfRule type="colorScale" priority="6793">
      <colorScale>
        <cfvo type="min"/>
        <cfvo type="percentile" val="50"/>
        <cfvo type="max"/>
        <color rgb="FFF8696B"/>
        <color rgb="FFFFEB84"/>
        <color rgb="FF63BE7B"/>
      </colorScale>
    </cfRule>
  </conditionalFormatting>
  <conditionalFormatting sqref="F29:F32">
    <cfRule type="colorScale" priority="6792">
      <colorScale>
        <cfvo type="min"/>
        <cfvo type="percentile" val="50"/>
        <cfvo type="max"/>
        <color rgb="FFF8696B"/>
        <color rgb="FFFFEB84"/>
        <color rgb="FF63BE7B"/>
      </colorScale>
    </cfRule>
  </conditionalFormatting>
  <conditionalFormatting sqref="F29:F32">
    <cfRule type="colorScale" priority="6791">
      <colorScale>
        <cfvo type="min"/>
        <cfvo type="percentile" val="50"/>
        <cfvo type="max"/>
        <color rgb="FFF8696B"/>
        <color rgb="FFFFEB84"/>
        <color rgb="FF63BE7B"/>
      </colorScale>
    </cfRule>
  </conditionalFormatting>
  <conditionalFormatting sqref="F29:F32">
    <cfRule type="colorScale" priority="6790">
      <colorScale>
        <cfvo type="min"/>
        <cfvo type="percentile" val="50"/>
        <cfvo type="max"/>
        <color rgb="FFF8696B"/>
        <color rgb="FFFFEB84"/>
        <color rgb="FF63BE7B"/>
      </colorScale>
    </cfRule>
  </conditionalFormatting>
  <conditionalFormatting sqref="F29:F32">
    <cfRule type="colorScale" priority="6789">
      <colorScale>
        <cfvo type="min"/>
        <cfvo type="percentile" val="50"/>
        <cfvo type="max"/>
        <color rgb="FFF8696B"/>
        <color rgb="FFFFEB84"/>
        <color rgb="FF63BE7B"/>
      </colorScale>
    </cfRule>
  </conditionalFormatting>
  <conditionalFormatting sqref="F29:F32">
    <cfRule type="colorScale" priority="6788">
      <colorScale>
        <cfvo type="min"/>
        <cfvo type="percentile" val="50"/>
        <cfvo type="max"/>
        <color rgb="FFF8696B"/>
        <color rgb="FFFFEB84"/>
        <color rgb="FF63BE7B"/>
      </colorScale>
    </cfRule>
  </conditionalFormatting>
  <conditionalFormatting sqref="F29:F32">
    <cfRule type="colorScale" priority="6787">
      <colorScale>
        <cfvo type="min"/>
        <cfvo type="percentile" val="50"/>
        <cfvo type="max"/>
        <color rgb="FFF8696B"/>
        <color rgb="FFFFEB84"/>
        <color rgb="FF63BE7B"/>
      </colorScale>
    </cfRule>
  </conditionalFormatting>
  <conditionalFormatting sqref="F29:F32">
    <cfRule type="colorScale" priority="6786">
      <colorScale>
        <cfvo type="min"/>
        <cfvo type="percentile" val="50"/>
        <cfvo type="max"/>
        <color rgb="FFF8696B"/>
        <color rgb="FFFFEB84"/>
        <color rgb="FF63BE7B"/>
      </colorScale>
    </cfRule>
  </conditionalFormatting>
  <conditionalFormatting sqref="F29:F32">
    <cfRule type="colorScale" priority="6785">
      <colorScale>
        <cfvo type="min"/>
        <cfvo type="percentile" val="50"/>
        <cfvo type="max"/>
        <color rgb="FFF8696B"/>
        <color rgb="FFFFEB84"/>
        <color rgb="FF63BE7B"/>
      </colorScale>
    </cfRule>
  </conditionalFormatting>
  <conditionalFormatting sqref="F29:F32">
    <cfRule type="colorScale" priority="6784">
      <colorScale>
        <cfvo type="min"/>
        <cfvo type="percentile" val="50"/>
        <cfvo type="max"/>
        <color rgb="FFF8696B"/>
        <color rgb="FFFFEB84"/>
        <color rgb="FF63BE7B"/>
      </colorScale>
    </cfRule>
  </conditionalFormatting>
  <conditionalFormatting sqref="F29:F32">
    <cfRule type="colorScale" priority="6783">
      <colorScale>
        <cfvo type="min"/>
        <cfvo type="percentile" val="50"/>
        <cfvo type="max"/>
        <color rgb="FFF8696B"/>
        <color rgb="FFFFEB84"/>
        <color rgb="FF63BE7B"/>
      </colorScale>
    </cfRule>
  </conditionalFormatting>
  <conditionalFormatting sqref="F29:F32">
    <cfRule type="colorScale" priority="6782">
      <colorScale>
        <cfvo type="min"/>
        <cfvo type="percentile" val="50"/>
        <cfvo type="max"/>
        <color rgb="FFF8696B"/>
        <color rgb="FFFFEB84"/>
        <color rgb="FF63BE7B"/>
      </colorScale>
    </cfRule>
  </conditionalFormatting>
  <conditionalFormatting sqref="F29:F32">
    <cfRule type="colorScale" priority="6781">
      <colorScale>
        <cfvo type="min"/>
        <cfvo type="percentile" val="50"/>
        <cfvo type="max"/>
        <color rgb="FFF8696B"/>
        <color rgb="FFFFEB84"/>
        <color rgb="FF63BE7B"/>
      </colorScale>
    </cfRule>
  </conditionalFormatting>
  <conditionalFormatting sqref="F29:F32">
    <cfRule type="colorScale" priority="6780">
      <colorScale>
        <cfvo type="min"/>
        <cfvo type="percentile" val="50"/>
        <cfvo type="max"/>
        <color rgb="FFF8696B"/>
        <color rgb="FFFFEB84"/>
        <color rgb="FF63BE7B"/>
      </colorScale>
    </cfRule>
  </conditionalFormatting>
  <conditionalFormatting sqref="F29:F32">
    <cfRule type="colorScale" priority="6779">
      <colorScale>
        <cfvo type="min"/>
        <cfvo type="percentile" val="50"/>
        <cfvo type="max"/>
        <color rgb="FFF8696B"/>
        <color rgb="FFFFEB84"/>
        <color rgb="FF63BE7B"/>
      </colorScale>
    </cfRule>
  </conditionalFormatting>
  <conditionalFormatting sqref="F29:F32">
    <cfRule type="colorScale" priority="6778">
      <colorScale>
        <cfvo type="min"/>
        <cfvo type="percentile" val="50"/>
        <cfvo type="max"/>
        <color rgb="FFF8696B"/>
        <color rgb="FFFFEB84"/>
        <color rgb="FF63BE7B"/>
      </colorScale>
    </cfRule>
  </conditionalFormatting>
  <conditionalFormatting sqref="F29:F32">
    <cfRule type="colorScale" priority="6777">
      <colorScale>
        <cfvo type="min"/>
        <cfvo type="percentile" val="50"/>
        <cfvo type="max"/>
        <color rgb="FFF8696B"/>
        <color rgb="FFFFEB84"/>
        <color rgb="FF63BE7B"/>
      </colorScale>
    </cfRule>
  </conditionalFormatting>
  <conditionalFormatting sqref="F29:F32">
    <cfRule type="colorScale" priority="6776">
      <colorScale>
        <cfvo type="min"/>
        <cfvo type="percentile" val="50"/>
        <cfvo type="max"/>
        <color rgb="FFF8696B"/>
        <color rgb="FFFFEB84"/>
        <color rgb="FF63BE7B"/>
      </colorScale>
    </cfRule>
  </conditionalFormatting>
  <conditionalFormatting sqref="F29:F32">
    <cfRule type="colorScale" priority="6775">
      <colorScale>
        <cfvo type="min"/>
        <cfvo type="percentile" val="50"/>
        <cfvo type="max"/>
        <color rgb="FFF8696B"/>
        <color rgb="FFFFEB84"/>
        <color rgb="FF63BE7B"/>
      </colorScale>
    </cfRule>
  </conditionalFormatting>
  <conditionalFormatting sqref="F29:F32">
    <cfRule type="colorScale" priority="6774">
      <colorScale>
        <cfvo type="min"/>
        <cfvo type="percentile" val="50"/>
        <cfvo type="max"/>
        <color rgb="FFF8696B"/>
        <color rgb="FFFFEB84"/>
        <color rgb="FF63BE7B"/>
      </colorScale>
    </cfRule>
  </conditionalFormatting>
  <conditionalFormatting sqref="F29:F32">
    <cfRule type="colorScale" priority="6773">
      <colorScale>
        <cfvo type="min"/>
        <cfvo type="percentile" val="50"/>
        <cfvo type="max"/>
        <color rgb="FFF8696B"/>
        <color rgb="FFFFEB84"/>
        <color rgb="FF63BE7B"/>
      </colorScale>
    </cfRule>
  </conditionalFormatting>
  <conditionalFormatting sqref="F29:F32">
    <cfRule type="colorScale" priority="6772">
      <colorScale>
        <cfvo type="min"/>
        <cfvo type="percentile" val="50"/>
        <cfvo type="max"/>
        <color rgb="FFF8696B"/>
        <color rgb="FFFFEB84"/>
        <color rgb="FF63BE7B"/>
      </colorScale>
    </cfRule>
  </conditionalFormatting>
  <conditionalFormatting sqref="F29:F32">
    <cfRule type="colorScale" priority="6771">
      <colorScale>
        <cfvo type="min"/>
        <cfvo type="percentile" val="50"/>
        <cfvo type="max"/>
        <color rgb="FFF8696B"/>
        <color rgb="FFFFEB84"/>
        <color rgb="FF63BE7B"/>
      </colorScale>
    </cfRule>
  </conditionalFormatting>
  <conditionalFormatting sqref="F29:F32">
    <cfRule type="colorScale" priority="6770">
      <colorScale>
        <cfvo type="min"/>
        <cfvo type="percentile" val="50"/>
        <cfvo type="max"/>
        <color rgb="FFF8696B"/>
        <color rgb="FFFFEB84"/>
        <color rgb="FF63BE7B"/>
      </colorScale>
    </cfRule>
  </conditionalFormatting>
  <conditionalFormatting sqref="F29:F32">
    <cfRule type="colorScale" priority="6769">
      <colorScale>
        <cfvo type="min"/>
        <cfvo type="percentile" val="50"/>
        <cfvo type="max"/>
        <color rgb="FFF8696B"/>
        <color rgb="FFFFEB84"/>
        <color rgb="FF63BE7B"/>
      </colorScale>
    </cfRule>
  </conditionalFormatting>
  <conditionalFormatting sqref="F29:F32">
    <cfRule type="colorScale" priority="6768">
      <colorScale>
        <cfvo type="min"/>
        <cfvo type="percentile" val="50"/>
        <cfvo type="max"/>
        <color rgb="FFF8696B"/>
        <color rgb="FFFFEB84"/>
        <color rgb="FF63BE7B"/>
      </colorScale>
    </cfRule>
  </conditionalFormatting>
  <conditionalFormatting sqref="F29:F32">
    <cfRule type="colorScale" priority="6767">
      <colorScale>
        <cfvo type="min"/>
        <cfvo type="percentile" val="50"/>
        <cfvo type="max"/>
        <color rgb="FFF8696B"/>
        <color rgb="FFFFEB84"/>
        <color rgb="FF63BE7B"/>
      </colorScale>
    </cfRule>
  </conditionalFormatting>
  <conditionalFormatting sqref="F29:F32">
    <cfRule type="colorScale" priority="6766">
      <colorScale>
        <cfvo type="min"/>
        <cfvo type="percentile" val="50"/>
        <cfvo type="max"/>
        <color rgb="FFF8696B"/>
        <color rgb="FFFFEB84"/>
        <color rgb="FF63BE7B"/>
      </colorScale>
    </cfRule>
  </conditionalFormatting>
  <conditionalFormatting sqref="F29:F32">
    <cfRule type="colorScale" priority="6765">
      <colorScale>
        <cfvo type="min"/>
        <cfvo type="percentile" val="50"/>
        <cfvo type="max"/>
        <color rgb="FFF8696B"/>
        <color rgb="FFFFEB84"/>
        <color rgb="FF63BE7B"/>
      </colorScale>
    </cfRule>
  </conditionalFormatting>
  <conditionalFormatting sqref="F29:F32">
    <cfRule type="colorScale" priority="6764">
      <colorScale>
        <cfvo type="min"/>
        <cfvo type="percentile" val="50"/>
        <cfvo type="max"/>
        <color rgb="FFF8696B"/>
        <color rgb="FFFFEB84"/>
        <color rgb="FF63BE7B"/>
      </colorScale>
    </cfRule>
  </conditionalFormatting>
  <conditionalFormatting sqref="F29:F32">
    <cfRule type="colorScale" priority="6763">
      <colorScale>
        <cfvo type="min"/>
        <cfvo type="percentile" val="50"/>
        <cfvo type="max"/>
        <color rgb="FFF8696B"/>
        <color rgb="FFFFEB84"/>
        <color rgb="FF63BE7B"/>
      </colorScale>
    </cfRule>
  </conditionalFormatting>
  <conditionalFormatting sqref="F29:F32">
    <cfRule type="colorScale" priority="6762">
      <colorScale>
        <cfvo type="min"/>
        <cfvo type="percentile" val="50"/>
        <cfvo type="max"/>
        <color rgb="FFF8696B"/>
        <color rgb="FFFFEB84"/>
        <color rgb="FF63BE7B"/>
      </colorScale>
    </cfRule>
  </conditionalFormatting>
  <conditionalFormatting sqref="F29:F32">
    <cfRule type="colorScale" priority="6761">
      <colorScale>
        <cfvo type="min"/>
        <cfvo type="percentile" val="50"/>
        <cfvo type="max"/>
        <color rgb="FFF8696B"/>
        <color rgb="FFFFEB84"/>
        <color rgb="FF63BE7B"/>
      </colorScale>
    </cfRule>
  </conditionalFormatting>
  <conditionalFormatting sqref="F29:F32">
    <cfRule type="colorScale" priority="6760">
      <colorScale>
        <cfvo type="min"/>
        <cfvo type="percentile" val="50"/>
        <cfvo type="max"/>
        <color rgb="FFF8696B"/>
        <color rgb="FFFFEB84"/>
        <color rgb="FF63BE7B"/>
      </colorScale>
    </cfRule>
  </conditionalFormatting>
  <conditionalFormatting sqref="F29:F32">
    <cfRule type="colorScale" priority="6759">
      <colorScale>
        <cfvo type="min"/>
        <cfvo type="percentile" val="50"/>
        <cfvo type="max"/>
        <color rgb="FFF8696B"/>
        <color rgb="FFFFEB84"/>
        <color rgb="FF63BE7B"/>
      </colorScale>
    </cfRule>
  </conditionalFormatting>
  <conditionalFormatting sqref="F29:F32">
    <cfRule type="colorScale" priority="6758">
      <colorScale>
        <cfvo type="min"/>
        <cfvo type="percentile" val="50"/>
        <cfvo type="max"/>
        <color rgb="FFF8696B"/>
        <color rgb="FFFFEB84"/>
        <color rgb="FF63BE7B"/>
      </colorScale>
    </cfRule>
  </conditionalFormatting>
  <conditionalFormatting sqref="F29:F32">
    <cfRule type="colorScale" priority="6757">
      <colorScale>
        <cfvo type="min"/>
        <cfvo type="percentile" val="50"/>
        <cfvo type="max"/>
        <color rgb="FFF8696B"/>
        <color rgb="FFFFEB84"/>
        <color rgb="FF63BE7B"/>
      </colorScale>
    </cfRule>
  </conditionalFormatting>
  <conditionalFormatting sqref="F29:F32">
    <cfRule type="colorScale" priority="6756">
      <colorScale>
        <cfvo type="min"/>
        <cfvo type="percentile" val="50"/>
        <cfvo type="max"/>
        <color rgb="FFF8696B"/>
        <color rgb="FFFFEB84"/>
        <color rgb="FF63BE7B"/>
      </colorScale>
    </cfRule>
  </conditionalFormatting>
  <conditionalFormatting sqref="F29:F32">
    <cfRule type="colorScale" priority="6755">
      <colorScale>
        <cfvo type="min"/>
        <cfvo type="percentile" val="50"/>
        <cfvo type="max"/>
        <color rgb="FFF8696B"/>
        <color rgb="FFFFEB84"/>
        <color rgb="FF63BE7B"/>
      </colorScale>
    </cfRule>
  </conditionalFormatting>
  <conditionalFormatting sqref="F29:F32">
    <cfRule type="colorScale" priority="6754">
      <colorScale>
        <cfvo type="min"/>
        <cfvo type="percentile" val="50"/>
        <cfvo type="max"/>
        <color rgb="FFF8696B"/>
        <color rgb="FFFFEB84"/>
        <color rgb="FF63BE7B"/>
      </colorScale>
    </cfRule>
  </conditionalFormatting>
  <conditionalFormatting sqref="F29:F32">
    <cfRule type="colorScale" priority="6753">
      <colorScale>
        <cfvo type="min"/>
        <cfvo type="percentile" val="50"/>
        <cfvo type="max"/>
        <color rgb="FFF8696B"/>
        <color rgb="FFFFEB84"/>
        <color rgb="FF63BE7B"/>
      </colorScale>
    </cfRule>
  </conditionalFormatting>
  <conditionalFormatting sqref="F29:F32">
    <cfRule type="colorScale" priority="6752">
      <colorScale>
        <cfvo type="min"/>
        <cfvo type="percentile" val="50"/>
        <cfvo type="max"/>
        <color rgb="FFF8696B"/>
        <color rgb="FFFFEB84"/>
        <color rgb="FF63BE7B"/>
      </colorScale>
    </cfRule>
  </conditionalFormatting>
  <conditionalFormatting sqref="F29:F32">
    <cfRule type="colorScale" priority="6751">
      <colorScale>
        <cfvo type="min"/>
        <cfvo type="percentile" val="50"/>
        <cfvo type="max"/>
        <color rgb="FFF8696B"/>
        <color rgb="FFFFEB84"/>
        <color rgb="FF63BE7B"/>
      </colorScale>
    </cfRule>
  </conditionalFormatting>
  <conditionalFormatting sqref="F29:F32">
    <cfRule type="colorScale" priority="6750">
      <colorScale>
        <cfvo type="min"/>
        <cfvo type="percentile" val="50"/>
        <cfvo type="max"/>
        <color rgb="FFF8696B"/>
        <color rgb="FFFFEB84"/>
        <color rgb="FF63BE7B"/>
      </colorScale>
    </cfRule>
  </conditionalFormatting>
  <conditionalFormatting sqref="F29:F32">
    <cfRule type="colorScale" priority="6749">
      <colorScale>
        <cfvo type="min"/>
        <cfvo type="percentile" val="50"/>
        <cfvo type="max"/>
        <color rgb="FFF8696B"/>
        <color rgb="FFFFEB84"/>
        <color rgb="FF63BE7B"/>
      </colorScale>
    </cfRule>
  </conditionalFormatting>
  <conditionalFormatting sqref="F29:F32">
    <cfRule type="colorScale" priority="6748">
      <colorScale>
        <cfvo type="min"/>
        <cfvo type="percentile" val="50"/>
        <cfvo type="max"/>
        <color rgb="FFF8696B"/>
        <color rgb="FFFFEB84"/>
        <color rgb="FF63BE7B"/>
      </colorScale>
    </cfRule>
  </conditionalFormatting>
  <conditionalFormatting sqref="F29:F32">
    <cfRule type="colorScale" priority="6747">
      <colorScale>
        <cfvo type="min"/>
        <cfvo type="percentile" val="50"/>
        <cfvo type="max"/>
        <color rgb="FFF8696B"/>
        <color rgb="FFFFEB84"/>
        <color rgb="FF63BE7B"/>
      </colorScale>
    </cfRule>
  </conditionalFormatting>
  <conditionalFormatting sqref="F29:F32">
    <cfRule type="colorScale" priority="6746">
      <colorScale>
        <cfvo type="min"/>
        <cfvo type="percentile" val="50"/>
        <cfvo type="max"/>
        <color rgb="FFF8696B"/>
        <color rgb="FFFFEB84"/>
        <color rgb="FF63BE7B"/>
      </colorScale>
    </cfRule>
  </conditionalFormatting>
  <conditionalFormatting sqref="F29:F32">
    <cfRule type="colorScale" priority="6745">
      <colorScale>
        <cfvo type="min"/>
        <cfvo type="percentile" val="50"/>
        <cfvo type="max"/>
        <color rgb="FFF8696B"/>
        <color rgb="FFFFEB84"/>
        <color rgb="FF63BE7B"/>
      </colorScale>
    </cfRule>
  </conditionalFormatting>
  <conditionalFormatting sqref="F29:F32">
    <cfRule type="colorScale" priority="6744">
      <colorScale>
        <cfvo type="min"/>
        <cfvo type="percentile" val="50"/>
        <cfvo type="max"/>
        <color rgb="FFF8696B"/>
        <color rgb="FFFFEB84"/>
        <color rgb="FF63BE7B"/>
      </colorScale>
    </cfRule>
  </conditionalFormatting>
  <conditionalFormatting sqref="F29:F32">
    <cfRule type="colorScale" priority="6743">
      <colorScale>
        <cfvo type="min"/>
        <cfvo type="percentile" val="50"/>
        <cfvo type="max"/>
        <color rgb="FFF8696B"/>
        <color rgb="FFFFEB84"/>
        <color rgb="FF63BE7B"/>
      </colorScale>
    </cfRule>
  </conditionalFormatting>
  <conditionalFormatting sqref="F29:F32">
    <cfRule type="colorScale" priority="6742">
      <colorScale>
        <cfvo type="min"/>
        <cfvo type="percentile" val="50"/>
        <cfvo type="max"/>
        <color rgb="FFF8696B"/>
        <color rgb="FFFFEB84"/>
        <color rgb="FF63BE7B"/>
      </colorScale>
    </cfRule>
  </conditionalFormatting>
  <conditionalFormatting sqref="F29:F32">
    <cfRule type="colorScale" priority="6741">
      <colorScale>
        <cfvo type="min"/>
        <cfvo type="percentile" val="50"/>
        <cfvo type="max"/>
        <color rgb="FFF8696B"/>
        <color rgb="FFFFEB84"/>
        <color rgb="FF63BE7B"/>
      </colorScale>
    </cfRule>
  </conditionalFormatting>
  <conditionalFormatting sqref="F29:F32">
    <cfRule type="colorScale" priority="6740">
      <colorScale>
        <cfvo type="min"/>
        <cfvo type="percentile" val="50"/>
        <cfvo type="max"/>
        <color rgb="FFF8696B"/>
        <color rgb="FFFFEB84"/>
        <color rgb="FF63BE7B"/>
      </colorScale>
    </cfRule>
  </conditionalFormatting>
  <conditionalFormatting sqref="F29:F32">
    <cfRule type="colorScale" priority="6739">
      <colorScale>
        <cfvo type="min"/>
        <cfvo type="percentile" val="50"/>
        <cfvo type="max"/>
        <color rgb="FFF8696B"/>
        <color rgb="FFFFEB84"/>
        <color rgb="FF63BE7B"/>
      </colorScale>
    </cfRule>
  </conditionalFormatting>
  <conditionalFormatting sqref="F29:F32">
    <cfRule type="colorScale" priority="6738">
      <colorScale>
        <cfvo type="min"/>
        <cfvo type="percentile" val="50"/>
        <cfvo type="max"/>
        <color rgb="FFF8696B"/>
        <color rgb="FFFFEB84"/>
        <color rgb="FF63BE7B"/>
      </colorScale>
    </cfRule>
  </conditionalFormatting>
  <conditionalFormatting sqref="F29:F32">
    <cfRule type="colorScale" priority="6737">
      <colorScale>
        <cfvo type="min"/>
        <cfvo type="percentile" val="50"/>
        <cfvo type="max"/>
        <color rgb="FFF8696B"/>
        <color rgb="FFFFEB84"/>
        <color rgb="FF63BE7B"/>
      </colorScale>
    </cfRule>
  </conditionalFormatting>
  <conditionalFormatting sqref="F29:F32">
    <cfRule type="colorScale" priority="6736">
      <colorScale>
        <cfvo type="min"/>
        <cfvo type="percentile" val="50"/>
        <cfvo type="max"/>
        <color rgb="FFF8696B"/>
        <color rgb="FFFFEB84"/>
        <color rgb="FF63BE7B"/>
      </colorScale>
    </cfRule>
  </conditionalFormatting>
  <conditionalFormatting sqref="F29:F32">
    <cfRule type="colorScale" priority="6735">
      <colorScale>
        <cfvo type="min"/>
        <cfvo type="percentile" val="50"/>
        <cfvo type="max"/>
        <color rgb="FFF8696B"/>
        <color rgb="FFFFEB84"/>
        <color rgb="FF63BE7B"/>
      </colorScale>
    </cfRule>
  </conditionalFormatting>
  <conditionalFormatting sqref="F29:F32">
    <cfRule type="colorScale" priority="6734">
      <colorScale>
        <cfvo type="min"/>
        <cfvo type="percentile" val="50"/>
        <cfvo type="max"/>
        <color rgb="FFF8696B"/>
        <color rgb="FFFFEB84"/>
        <color rgb="FF63BE7B"/>
      </colorScale>
    </cfRule>
  </conditionalFormatting>
  <conditionalFormatting sqref="F29:F32">
    <cfRule type="colorScale" priority="6733">
      <colorScale>
        <cfvo type="min"/>
        <cfvo type="percentile" val="50"/>
        <cfvo type="max"/>
        <color rgb="FFF8696B"/>
        <color rgb="FFFFEB84"/>
        <color rgb="FF63BE7B"/>
      </colorScale>
    </cfRule>
  </conditionalFormatting>
  <conditionalFormatting sqref="F29:F32">
    <cfRule type="colorScale" priority="6732">
      <colorScale>
        <cfvo type="min"/>
        <cfvo type="percentile" val="50"/>
        <cfvo type="max"/>
        <color rgb="FFF8696B"/>
        <color rgb="FFFFEB84"/>
        <color rgb="FF63BE7B"/>
      </colorScale>
    </cfRule>
  </conditionalFormatting>
  <conditionalFormatting sqref="F29:F32">
    <cfRule type="colorScale" priority="6731">
      <colorScale>
        <cfvo type="min"/>
        <cfvo type="percentile" val="50"/>
        <cfvo type="max"/>
        <color rgb="FFF8696B"/>
        <color rgb="FFFFEB84"/>
        <color rgb="FF63BE7B"/>
      </colorScale>
    </cfRule>
  </conditionalFormatting>
  <conditionalFormatting sqref="F29:F32">
    <cfRule type="colorScale" priority="6730">
      <colorScale>
        <cfvo type="min"/>
        <cfvo type="percentile" val="50"/>
        <cfvo type="max"/>
        <color rgb="FFF8696B"/>
        <color rgb="FFFFEB84"/>
        <color rgb="FF63BE7B"/>
      </colorScale>
    </cfRule>
  </conditionalFormatting>
  <conditionalFormatting sqref="F29:F32">
    <cfRule type="colorScale" priority="6729">
      <colorScale>
        <cfvo type="min"/>
        <cfvo type="percentile" val="50"/>
        <cfvo type="max"/>
        <color rgb="FFF8696B"/>
        <color rgb="FFFFEB84"/>
        <color rgb="FF63BE7B"/>
      </colorScale>
    </cfRule>
  </conditionalFormatting>
  <conditionalFormatting sqref="F29:F32">
    <cfRule type="colorScale" priority="6728">
      <colorScale>
        <cfvo type="min"/>
        <cfvo type="percentile" val="50"/>
        <cfvo type="max"/>
        <color rgb="FFF8696B"/>
        <color rgb="FFFFEB84"/>
        <color rgb="FF63BE7B"/>
      </colorScale>
    </cfRule>
  </conditionalFormatting>
  <conditionalFormatting sqref="F29:F32">
    <cfRule type="colorScale" priority="6727">
      <colorScale>
        <cfvo type="min"/>
        <cfvo type="percentile" val="50"/>
        <cfvo type="max"/>
        <color rgb="FFF8696B"/>
        <color rgb="FFFFEB84"/>
        <color rgb="FF63BE7B"/>
      </colorScale>
    </cfRule>
  </conditionalFormatting>
  <conditionalFormatting sqref="F29:F32">
    <cfRule type="colorScale" priority="6726">
      <colorScale>
        <cfvo type="min"/>
        <cfvo type="percentile" val="50"/>
        <cfvo type="max"/>
        <color rgb="FFF8696B"/>
        <color rgb="FFFFEB84"/>
        <color rgb="FF63BE7B"/>
      </colorScale>
    </cfRule>
  </conditionalFormatting>
  <conditionalFormatting sqref="F29:F32">
    <cfRule type="colorScale" priority="6725">
      <colorScale>
        <cfvo type="min"/>
        <cfvo type="percentile" val="50"/>
        <cfvo type="max"/>
        <color rgb="FFF8696B"/>
        <color rgb="FFFFEB84"/>
        <color rgb="FF63BE7B"/>
      </colorScale>
    </cfRule>
  </conditionalFormatting>
  <conditionalFormatting sqref="F29:F32">
    <cfRule type="colorScale" priority="6724">
      <colorScale>
        <cfvo type="min"/>
        <cfvo type="percentile" val="50"/>
        <cfvo type="max"/>
        <color rgb="FFF8696B"/>
        <color rgb="FFFFEB84"/>
        <color rgb="FF63BE7B"/>
      </colorScale>
    </cfRule>
  </conditionalFormatting>
  <conditionalFormatting sqref="F29:F32">
    <cfRule type="colorScale" priority="6723">
      <colorScale>
        <cfvo type="min"/>
        <cfvo type="percentile" val="50"/>
        <cfvo type="max"/>
        <color rgb="FFF8696B"/>
        <color rgb="FFFFEB84"/>
        <color rgb="FF63BE7B"/>
      </colorScale>
    </cfRule>
  </conditionalFormatting>
  <conditionalFormatting sqref="F29:F32">
    <cfRule type="colorScale" priority="6722">
      <colorScale>
        <cfvo type="min"/>
        <cfvo type="percentile" val="50"/>
        <cfvo type="max"/>
        <color rgb="FFF8696B"/>
        <color rgb="FFFFEB84"/>
        <color rgb="FF63BE7B"/>
      </colorScale>
    </cfRule>
  </conditionalFormatting>
  <conditionalFormatting sqref="F29:F32">
    <cfRule type="colorScale" priority="6721">
      <colorScale>
        <cfvo type="min"/>
        <cfvo type="percentile" val="50"/>
        <cfvo type="max"/>
        <color rgb="FFF8696B"/>
        <color rgb="FFFFEB84"/>
        <color rgb="FF63BE7B"/>
      </colorScale>
    </cfRule>
  </conditionalFormatting>
  <conditionalFormatting sqref="F29:F32">
    <cfRule type="colorScale" priority="6720">
      <colorScale>
        <cfvo type="min"/>
        <cfvo type="percentile" val="50"/>
        <cfvo type="max"/>
        <color rgb="FFF8696B"/>
        <color rgb="FFFFEB84"/>
        <color rgb="FF63BE7B"/>
      </colorScale>
    </cfRule>
  </conditionalFormatting>
  <conditionalFormatting sqref="F29:F32">
    <cfRule type="colorScale" priority="6719">
      <colorScale>
        <cfvo type="min"/>
        <cfvo type="percentile" val="50"/>
        <cfvo type="max"/>
        <color rgb="FFF8696B"/>
        <color rgb="FFFFEB84"/>
        <color rgb="FF63BE7B"/>
      </colorScale>
    </cfRule>
  </conditionalFormatting>
  <conditionalFormatting sqref="F29:F32">
    <cfRule type="colorScale" priority="6718">
      <colorScale>
        <cfvo type="min"/>
        <cfvo type="percentile" val="50"/>
        <cfvo type="max"/>
        <color rgb="FFF8696B"/>
        <color rgb="FFFFEB84"/>
        <color rgb="FF63BE7B"/>
      </colorScale>
    </cfRule>
  </conditionalFormatting>
  <conditionalFormatting sqref="F29:F32">
    <cfRule type="colorScale" priority="6717">
      <colorScale>
        <cfvo type="min"/>
        <cfvo type="percentile" val="50"/>
        <cfvo type="max"/>
        <color rgb="FFF8696B"/>
        <color rgb="FFFFEB84"/>
        <color rgb="FF63BE7B"/>
      </colorScale>
    </cfRule>
  </conditionalFormatting>
  <conditionalFormatting sqref="F29:F32">
    <cfRule type="colorScale" priority="6716">
      <colorScale>
        <cfvo type="min"/>
        <cfvo type="percentile" val="50"/>
        <cfvo type="max"/>
        <color rgb="FFF8696B"/>
        <color rgb="FFFFEB84"/>
        <color rgb="FF63BE7B"/>
      </colorScale>
    </cfRule>
  </conditionalFormatting>
  <conditionalFormatting sqref="F29:F32">
    <cfRule type="colorScale" priority="6715">
      <colorScale>
        <cfvo type="min"/>
        <cfvo type="percentile" val="50"/>
        <cfvo type="max"/>
        <color rgb="FFF8696B"/>
        <color rgb="FFFFEB84"/>
        <color rgb="FF63BE7B"/>
      </colorScale>
    </cfRule>
  </conditionalFormatting>
  <conditionalFormatting sqref="F29:F32">
    <cfRule type="colorScale" priority="6714">
      <colorScale>
        <cfvo type="min"/>
        <cfvo type="percentile" val="50"/>
        <cfvo type="max"/>
        <color rgb="FFF8696B"/>
        <color rgb="FFFFEB84"/>
        <color rgb="FF63BE7B"/>
      </colorScale>
    </cfRule>
  </conditionalFormatting>
  <conditionalFormatting sqref="F29:F32">
    <cfRule type="colorScale" priority="6713">
      <colorScale>
        <cfvo type="min"/>
        <cfvo type="percentile" val="50"/>
        <cfvo type="max"/>
        <color rgb="FFF8696B"/>
        <color rgb="FFFFEB84"/>
        <color rgb="FF63BE7B"/>
      </colorScale>
    </cfRule>
  </conditionalFormatting>
  <conditionalFormatting sqref="F29:F32">
    <cfRule type="colorScale" priority="6712">
      <colorScale>
        <cfvo type="min"/>
        <cfvo type="percentile" val="50"/>
        <cfvo type="max"/>
        <color rgb="FFF8696B"/>
        <color rgb="FFFFEB84"/>
        <color rgb="FF63BE7B"/>
      </colorScale>
    </cfRule>
  </conditionalFormatting>
  <conditionalFormatting sqref="F29:F32">
    <cfRule type="colorScale" priority="6711">
      <colorScale>
        <cfvo type="min"/>
        <cfvo type="percentile" val="50"/>
        <cfvo type="max"/>
        <color rgb="FFF8696B"/>
        <color rgb="FFFFEB84"/>
        <color rgb="FF63BE7B"/>
      </colorScale>
    </cfRule>
  </conditionalFormatting>
  <conditionalFormatting sqref="F29:F32">
    <cfRule type="colorScale" priority="6710">
      <colorScale>
        <cfvo type="min"/>
        <cfvo type="percentile" val="50"/>
        <cfvo type="max"/>
        <color rgb="FFF8696B"/>
        <color rgb="FFFFEB84"/>
        <color rgb="FF63BE7B"/>
      </colorScale>
    </cfRule>
  </conditionalFormatting>
  <conditionalFormatting sqref="F29:F32">
    <cfRule type="colorScale" priority="6709">
      <colorScale>
        <cfvo type="min"/>
        <cfvo type="percentile" val="50"/>
        <cfvo type="max"/>
        <color rgb="FFF8696B"/>
        <color rgb="FFFFEB84"/>
        <color rgb="FF63BE7B"/>
      </colorScale>
    </cfRule>
  </conditionalFormatting>
  <conditionalFormatting sqref="F29:F32">
    <cfRule type="colorScale" priority="6708">
      <colorScale>
        <cfvo type="min"/>
        <cfvo type="percentile" val="50"/>
        <cfvo type="max"/>
        <color rgb="FFF8696B"/>
        <color rgb="FFFFEB84"/>
        <color rgb="FF63BE7B"/>
      </colorScale>
    </cfRule>
  </conditionalFormatting>
  <conditionalFormatting sqref="F29:F32">
    <cfRule type="colorScale" priority="6707">
      <colorScale>
        <cfvo type="min"/>
        <cfvo type="percentile" val="50"/>
        <cfvo type="max"/>
        <color rgb="FFF8696B"/>
        <color rgb="FFFFEB84"/>
        <color rgb="FF63BE7B"/>
      </colorScale>
    </cfRule>
  </conditionalFormatting>
  <conditionalFormatting sqref="F29:F32">
    <cfRule type="colorScale" priority="6706">
      <colorScale>
        <cfvo type="min"/>
        <cfvo type="percentile" val="50"/>
        <cfvo type="max"/>
        <color rgb="FFF8696B"/>
        <color rgb="FFFFEB84"/>
        <color rgb="FF63BE7B"/>
      </colorScale>
    </cfRule>
  </conditionalFormatting>
  <conditionalFormatting sqref="F29:F32">
    <cfRule type="colorScale" priority="6705">
      <colorScale>
        <cfvo type="min"/>
        <cfvo type="percentile" val="50"/>
        <cfvo type="max"/>
        <color rgb="FFF8696B"/>
        <color rgb="FFFFEB84"/>
        <color rgb="FF63BE7B"/>
      </colorScale>
    </cfRule>
  </conditionalFormatting>
  <conditionalFormatting sqref="F29:F32">
    <cfRule type="colorScale" priority="6704">
      <colorScale>
        <cfvo type="min"/>
        <cfvo type="percentile" val="50"/>
        <cfvo type="max"/>
        <color rgb="FFF8696B"/>
        <color rgb="FFFFEB84"/>
        <color rgb="FF63BE7B"/>
      </colorScale>
    </cfRule>
  </conditionalFormatting>
  <conditionalFormatting sqref="F29:F32">
    <cfRule type="colorScale" priority="6703">
      <colorScale>
        <cfvo type="min"/>
        <cfvo type="percentile" val="50"/>
        <cfvo type="max"/>
        <color rgb="FFF8696B"/>
        <color rgb="FFFFEB84"/>
        <color rgb="FF63BE7B"/>
      </colorScale>
    </cfRule>
  </conditionalFormatting>
  <conditionalFormatting sqref="F29:F32">
    <cfRule type="colorScale" priority="6702">
      <colorScale>
        <cfvo type="min"/>
        <cfvo type="percentile" val="50"/>
        <cfvo type="max"/>
        <color rgb="FFF8696B"/>
        <color rgb="FFFFEB84"/>
        <color rgb="FF63BE7B"/>
      </colorScale>
    </cfRule>
  </conditionalFormatting>
  <conditionalFormatting sqref="F29:F32">
    <cfRule type="colorScale" priority="6701">
      <colorScale>
        <cfvo type="min"/>
        <cfvo type="percentile" val="50"/>
        <cfvo type="max"/>
        <color rgb="FFF8696B"/>
        <color rgb="FFFFEB84"/>
        <color rgb="FF63BE7B"/>
      </colorScale>
    </cfRule>
  </conditionalFormatting>
  <conditionalFormatting sqref="F29:F32">
    <cfRule type="colorScale" priority="6700">
      <colorScale>
        <cfvo type="min"/>
        <cfvo type="percentile" val="50"/>
        <cfvo type="max"/>
        <color rgb="FFF8696B"/>
        <color rgb="FFFFEB84"/>
        <color rgb="FF63BE7B"/>
      </colorScale>
    </cfRule>
  </conditionalFormatting>
  <conditionalFormatting sqref="F29:F32">
    <cfRule type="colorScale" priority="6699">
      <colorScale>
        <cfvo type="min"/>
        <cfvo type="percentile" val="50"/>
        <cfvo type="max"/>
        <color rgb="FFF8696B"/>
        <color rgb="FFFFEB84"/>
        <color rgb="FF63BE7B"/>
      </colorScale>
    </cfRule>
  </conditionalFormatting>
  <conditionalFormatting sqref="F29:F32">
    <cfRule type="colorScale" priority="6698">
      <colorScale>
        <cfvo type="min"/>
        <cfvo type="percentile" val="50"/>
        <cfvo type="max"/>
        <color rgb="FFF8696B"/>
        <color rgb="FFFFEB84"/>
        <color rgb="FF63BE7B"/>
      </colorScale>
    </cfRule>
  </conditionalFormatting>
  <conditionalFormatting sqref="F29:F32">
    <cfRule type="colorScale" priority="6697">
      <colorScale>
        <cfvo type="min"/>
        <cfvo type="percentile" val="50"/>
        <cfvo type="max"/>
        <color rgb="FFF8696B"/>
        <color rgb="FFFFEB84"/>
        <color rgb="FF63BE7B"/>
      </colorScale>
    </cfRule>
  </conditionalFormatting>
  <conditionalFormatting sqref="F29:F32">
    <cfRule type="colorScale" priority="6696">
      <colorScale>
        <cfvo type="min"/>
        <cfvo type="percentile" val="50"/>
        <cfvo type="max"/>
        <color rgb="FFF8696B"/>
        <color rgb="FFFFEB84"/>
        <color rgb="FF63BE7B"/>
      </colorScale>
    </cfRule>
  </conditionalFormatting>
  <conditionalFormatting sqref="F29:F32">
    <cfRule type="colorScale" priority="6695">
      <colorScale>
        <cfvo type="min"/>
        <cfvo type="percentile" val="50"/>
        <cfvo type="max"/>
        <color rgb="FFF8696B"/>
        <color rgb="FFFFEB84"/>
        <color rgb="FF63BE7B"/>
      </colorScale>
    </cfRule>
  </conditionalFormatting>
  <conditionalFormatting sqref="F29:F32">
    <cfRule type="colorScale" priority="6694">
      <colorScale>
        <cfvo type="min"/>
        <cfvo type="percentile" val="50"/>
        <cfvo type="max"/>
        <color rgb="FFF8696B"/>
        <color rgb="FFFFEB84"/>
        <color rgb="FF63BE7B"/>
      </colorScale>
    </cfRule>
  </conditionalFormatting>
  <conditionalFormatting sqref="F29:F32">
    <cfRule type="colorScale" priority="6693">
      <colorScale>
        <cfvo type="min"/>
        <cfvo type="percentile" val="50"/>
        <cfvo type="max"/>
        <color rgb="FFF8696B"/>
        <color rgb="FFFFEB84"/>
        <color rgb="FF63BE7B"/>
      </colorScale>
    </cfRule>
  </conditionalFormatting>
  <conditionalFormatting sqref="F29:F32">
    <cfRule type="colorScale" priority="6692">
      <colorScale>
        <cfvo type="min"/>
        <cfvo type="percentile" val="50"/>
        <cfvo type="max"/>
        <color rgb="FFF8696B"/>
        <color rgb="FFFFEB84"/>
        <color rgb="FF63BE7B"/>
      </colorScale>
    </cfRule>
  </conditionalFormatting>
  <conditionalFormatting sqref="F29:F32">
    <cfRule type="colorScale" priority="6691">
      <colorScale>
        <cfvo type="min"/>
        <cfvo type="percentile" val="50"/>
        <cfvo type="max"/>
        <color rgb="FFF8696B"/>
        <color rgb="FFFFEB84"/>
        <color rgb="FF63BE7B"/>
      </colorScale>
    </cfRule>
  </conditionalFormatting>
  <conditionalFormatting sqref="F29:F32">
    <cfRule type="colorScale" priority="6690">
      <colorScale>
        <cfvo type="min"/>
        <cfvo type="percentile" val="50"/>
        <cfvo type="max"/>
        <color rgb="FFF8696B"/>
        <color rgb="FFFFEB84"/>
        <color rgb="FF63BE7B"/>
      </colorScale>
    </cfRule>
  </conditionalFormatting>
  <conditionalFormatting sqref="F29:F32">
    <cfRule type="colorScale" priority="6689">
      <colorScale>
        <cfvo type="min"/>
        <cfvo type="percentile" val="50"/>
        <cfvo type="max"/>
        <color rgb="FFF8696B"/>
        <color rgb="FFFFEB84"/>
        <color rgb="FF63BE7B"/>
      </colorScale>
    </cfRule>
  </conditionalFormatting>
  <conditionalFormatting sqref="F29:F32">
    <cfRule type="colorScale" priority="6688">
      <colorScale>
        <cfvo type="min"/>
        <cfvo type="percentile" val="50"/>
        <cfvo type="max"/>
        <color rgb="FFF8696B"/>
        <color rgb="FFFFEB84"/>
        <color rgb="FF63BE7B"/>
      </colorScale>
    </cfRule>
  </conditionalFormatting>
  <conditionalFormatting sqref="F29:F32">
    <cfRule type="colorScale" priority="6687">
      <colorScale>
        <cfvo type="min"/>
        <cfvo type="percentile" val="50"/>
        <cfvo type="max"/>
        <color rgb="FFF8696B"/>
        <color rgb="FFFFEB84"/>
        <color rgb="FF63BE7B"/>
      </colorScale>
    </cfRule>
  </conditionalFormatting>
  <conditionalFormatting sqref="F29:F32">
    <cfRule type="colorScale" priority="6686">
      <colorScale>
        <cfvo type="min"/>
        <cfvo type="percentile" val="50"/>
        <cfvo type="max"/>
        <color rgb="FFF8696B"/>
        <color rgb="FFFFEB84"/>
        <color rgb="FF63BE7B"/>
      </colorScale>
    </cfRule>
  </conditionalFormatting>
  <conditionalFormatting sqref="F29:F32">
    <cfRule type="colorScale" priority="6685">
      <colorScale>
        <cfvo type="min"/>
        <cfvo type="percentile" val="50"/>
        <cfvo type="max"/>
        <color rgb="FFF8696B"/>
        <color rgb="FFFFEB84"/>
        <color rgb="FF63BE7B"/>
      </colorScale>
    </cfRule>
  </conditionalFormatting>
  <conditionalFormatting sqref="F29:F32">
    <cfRule type="colorScale" priority="6684">
      <colorScale>
        <cfvo type="min"/>
        <cfvo type="percentile" val="50"/>
        <cfvo type="max"/>
        <color rgb="FFF8696B"/>
        <color rgb="FFFFEB84"/>
        <color rgb="FF63BE7B"/>
      </colorScale>
    </cfRule>
  </conditionalFormatting>
  <conditionalFormatting sqref="F29:F32">
    <cfRule type="colorScale" priority="6683">
      <colorScale>
        <cfvo type="min"/>
        <cfvo type="percentile" val="50"/>
        <cfvo type="max"/>
        <color rgb="FFF8696B"/>
        <color rgb="FFFFEB84"/>
        <color rgb="FF63BE7B"/>
      </colorScale>
    </cfRule>
  </conditionalFormatting>
  <conditionalFormatting sqref="F29:F32">
    <cfRule type="colorScale" priority="6682">
      <colorScale>
        <cfvo type="min"/>
        <cfvo type="percentile" val="50"/>
        <cfvo type="max"/>
        <color rgb="FFF8696B"/>
        <color rgb="FFFFEB84"/>
        <color rgb="FF63BE7B"/>
      </colorScale>
    </cfRule>
  </conditionalFormatting>
  <conditionalFormatting sqref="F29:F32">
    <cfRule type="colorScale" priority="6681">
      <colorScale>
        <cfvo type="min"/>
        <cfvo type="percentile" val="50"/>
        <cfvo type="max"/>
        <color rgb="FFF8696B"/>
        <color rgb="FFFFEB84"/>
        <color rgb="FF63BE7B"/>
      </colorScale>
    </cfRule>
  </conditionalFormatting>
  <conditionalFormatting sqref="F29:F32">
    <cfRule type="colorScale" priority="6680">
      <colorScale>
        <cfvo type="min"/>
        <cfvo type="percentile" val="50"/>
        <cfvo type="max"/>
        <color rgb="FFF8696B"/>
        <color rgb="FFFFEB84"/>
        <color rgb="FF63BE7B"/>
      </colorScale>
    </cfRule>
  </conditionalFormatting>
  <conditionalFormatting sqref="F29:F32">
    <cfRule type="colorScale" priority="6679">
      <colorScale>
        <cfvo type="min"/>
        <cfvo type="percentile" val="50"/>
        <cfvo type="max"/>
        <color rgb="FFF8696B"/>
        <color rgb="FFFFEB84"/>
        <color rgb="FF63BE7B"/>
      </colorScale>
    </cfRule>
  </conditionalFormatting>
  <conditionalFormatting sqref="F29:F32">
    <cfRule type="colorScale" priority="6678">
      <colorScale>
        <cfvo type="min"/>
        <cfvo type="percentile" val="50"/>
        <cfvo type="max"/>
        <color rgb="FFF8696B"/>
        <color rgb="FFFFEB84"/>
        <color rgb="FF63BE7B"/>
      </colorScale>
    </cfRule>
  </conditionalFormatting>
  <conditionalFormatting sqref="F29:F32">
    <cfRule type="colorScale" priority="6677">
      <colorScale>
        <cfvo type="min"/>
        <cfvo type="percentile" val="50"/>
        <cfvo type="max"/>
        <color rgb="FFF8696B"/>
        <color rgb="FFFFEB84"/>
        <color rgb="FF63BE7B"/>
      </colorScale>
    </cfRule>
  </conditionalFormatting>
  <conditionalFormatting sqref="F29:F32">
    <cfRule type="colorScale" priority="6676">
      <colorScale>
        <cfvo type="min"/>
        <cfvo type="percentile" val="50"/>
        <cfvo type="max"/>
        <color rgb="FFF8696B"/>
        <color rgb="FFFFEB84"/>
        <color rgb="FF63BE7B"/>
      </colorScale>
    </cfRule>
  </conditionalFormatting>
  <conditionalFormatting sqref="F11:F31">
    <cfRule type="colorScale" priority="6675">
      <colorScale>
        <cfvo type="min"/>
        <cfvo type="percentile" val="50"/>
        <cfvo type="max"/>
        <color rgb="FFF8696B"/>
        <color rgb="FFFFEB84"/>
        <color rgb="FF63BE7B"/>
      </colorScale>
    </cfRule>
  </conditionalFormatting>
  <conditionalFormatting sqref="F11:F31">
    <cfRule type="colorScale" priority="6674">
      <colorScale>
        <cfvo type="min"/>
        <cfvo type="percentile" val="50"/>
        <cfvo type="max"/>
        <color rgb="FFF8696B"/>
        <color rgb="FFFFEB84"/>
        <color rgb="FF63BE7B"/>
      </colorScale>
    </cfRule>
  </conditionalFormatting>
  <conditionalFormatting sqref="F11:F31">
    <cfRule type="colorScale" priority="6673">
      <colorScale>
        <cfvo type="min"/>
        <cfvo type="percentile" val="50"/>
        <cfvo type="max"/>
        <color rgb="FFF8696B"/>
        <color rgb="FFFFEB84"/>
        <color rgb="FF63BE7B"/>
      </colorScale>
    </cfRule>
  </conditionalFormatting>
  <conditionalFormatting sqref="F11:F31">
    <cfRule type="colorScale" priority="6672">
      <colorScale>
        <cfvo type="min"/>
        <cfvo type="percentile" val="50"/>
        <cfvo type="max"/>
        <color rgb="FFF8696B"/>
        <color rgb="FFFFEB84"/>
        <color rgb="FF63BE7B"/>
      </colorScale>
    </cfRule>
  </conditionalFormatting>
  <conditionalFormatting sqref="F11:F31">
    <cfRule type="colorScale" priority="6671">
      <colorScale>
        <cfvo type="min"/>
        <cfvo type="percentile" val="50"/>
        <cfvo type="max"/>
        <color rgb="FFF8696B"/>
        <color rgb="FFFFEB84"/>
        <color rgb="FF63BE7B"/>
      </colorScale>
    </cfRule>
  </conditionalFormatting>
  <conditionalFormatting sqref="F11:F31">
    <cfRule type="colorScale" priority="6670">
      <colorScale>
        <cfvo type="min"/>
        <cfvo type="percentile" val="50"/>
        <cfvo type="max"/>
        <color rgb="FFF8696B"/>
        <color rgb="FFFFEB84"/>
        <color rgb="FF63BE7B"/>
      </colorScale>
    </cfRule>
  </conditionalFormatting>
  <conditionalFormatting sqref="F11:F31">
    <cfRule type="colorScale" priority="6669">
      <colorScale>
        <cfvo type="min"/>
        <cfvo type="percentile" val="50"/>
        <cfvo type="max"/>
        <color rgb="FFF8696B"/>
        <color rgb="FFFFEB84"/>
        <color rgb="FF63BE7B"/>
      </colorScale>
    </cfRule>
  </conditionalFormatting>
  <conditionalFormatting sqref="F11:F31">
    <cfRule type="colorScale" priority="6668">
      <colorScale>
        <cfvo type="min"/>
        <cfvo type="percentile" val="50"/>
        <cfvo type="max"/>
        <color rgb="FFF8696B"/>
        <color rgb="FFFFEB84"/>
        <color rgb="FF63BE7B"/>
      </colorScale>
    </cfRule>
  </conditionalFormatting>
  <conditionalFormatting sqref="F11:F31">
    <cfRule type="colorScale" priority="6667">
      <colorScale>
        <cfvo type="min"/>
        <cfvo type="percentile" val="50"/>
        <cfvo type="max"/>
        <color rgb="FFF8696B"/>
        <color rgb="FFFFEB84"/>
        <color rgb="FF63BE7B"/>
      </colorScale>
    </cfRule>
  </conditionalFormatting>
  <conditionalFormatting sqref="F11:F31">
    <cfRule type="colorScale" priority="6666">
      <colorScale>
        <cfvo type="min"/>
        <cfvo type="percentile" val="50"/>
        <cfvo type="max"/>
        <color rgb="FFF8696B"/>
        <color rgb="FFFFEB84"/>
        <color rgb="FF63BE7B"/>
      </colorScale>
    </cfRule>
  </conditionalFormatting>
  <conditionalFormatting sqref="F11:F31">
    <cfRule type="colorScale" priority="6665">
      <colorScale>
        <cfvo type="min"/>
        <cfvo type="percentile" val="50"/>
        <cfvo type="max"/>
        <color rgb="FFF8696B"/>
        <color rgb="FFFFEB84"/>
        <color rgb="FF63BE7B"/>
      </colorScale>
    </cfRule>
  </conditionalFormatting>
  <conditionalFormatting sqref="F11:F31">
    <cfRule type="colorScale" priority="6664">
      <colorScale>
        <cfvo type="min"/>
        <cfvo type="percentile" val="50"/>
        <cfvo type="max"/>
        <color rgb="FFF8696B"/>
        <color rgb="FFFFEB84"/>
        <color rgb="FF63BE7B"/>
      </colorScale>
    </cfRule>
  </conditionalFormatting>
  <conditionalFormatting sqref="F11:F31">
    <cfRule type="colorScale" priority="6663">
      <colorScale>
        <cfvo type="min"/>
        <cfvo type="percentile" val="50"/>
        <cfvo type="max"/>
        <color rgb="FFF8696B"/>
        <color rgb="FFFFEB84"/>
        <color rgb="FF63BE7B"/>
      </colorScale>
    </cfRule>
  </conditionalFormatting>
  <conditionalFormatting sqref="F11:F31">
    <cfRule type="colorScale" priority="6662">
      <colorScale>
        <cfvo type="min"/>
        <cfvo type="percentile" val="50"/>
        <cfvo type="max"/>
        <color rgb="FFF8696B"/>
        <color rgb="FFFFEB84"/>
        <color rgb="FF63BE7B"/>
      </colorScale>
    </cfRule>
  </conditionalFormatting>
  <conditionalFormatting sqref="F11:F31">
    <cfRule type="colorScale" priority="6661">
      <colorScale>
        <cfvo type="min"/>
        <cfvo type="percentile" val="50"/>
        <cfvo type="max"/>
        <color rgb="FFF8696B"/>
        <color rgb="FFFFEB84"/>
        <color rgb="FF63BE7B"/>
      </colorScale>
    </cfRule>
  </conditionalFormatting>
  <conditionalFormatting sqref="F11:F31">
    <cfRule type="colorScale" priority="6660">
      <colorScale>
        <cfvo type="min"/>
        <cfvo type="percentile" val="50"/>
        <cfvo type="max"/>
        <color rgb="FFF8696B"/>
        <color rgb="FFFFEB84"/>
        <color rgb="FF63BE7B"/>
      </colorScale>
    </cfRule>
  </conditionalFormatting>
  <conditionalFormatting sqref="F11:F31">
    <cfRule type="colorScale" priority="6659">
      <colorScale>
        <cfvo type="min"/>
        <cfvo type="percentile" val="50"/>
        <cfvo type="max"/>
        <color rgb="FFF8696B"/>
        <color rgb="FFFFEB84"/>
        <color rgb="FF63BE7B"/>
      </colorScale>
    </cfRule>
  </conditionalFormatting>
  <conditionalFormatting sqref="F11:F31">
    <cfRule type="colorScale" priority="6658">
      <colorScale>
        <cfvo type="min"/>
        <cfvo type="percentile" val="50"/>
        <cfvo type="max"/>
        <color rgb="FFF8696B"/>
        <color rgb="FFFFEB84"/>
        <color rgb="FF63BE7B"/>
      </colorScale>
    </cfRule>
  </conditionalFormatting>
  <conditionalFormatting sqref="F11:F31">
    <cfRule type="colorScale" priority="6657">
      <colorScale>
        <cfvo type="min"/>
        <cfvo type="percentile" val="50"/>
        <cfvo type="max"/>
        <color rgb="FFF8696B"/>
        <color rgb="FFFFEB84"/>
        <color rgb="FF63BE7B"/>
      </colorScale>
    </cfRule>
  </conditionalFormatting>
  <conditionalFormatting sqref="F11:F31">
    <cfRule type="colorScale" priority="6656">
      <colorScale>
        <cfvo type="min"/>
        <cfvo type="percentile" val="50"/>
        <cfvo type="max"/>
        <color rgb="FFF8696B"/>
        <color rgb="FFFFEB84"/>
        <color rgb="FF63BE7B"/>
      </colorScale>
    </cfRule>
  </conditionalFormatting>
  <conditionalFormatting sqref="F11:F31">
    <cfRule type="colorScale" priority="6655">
      <colorScale>
        <cfvo type="min"/>
        <cfvo type="percentile" val="50"/>
        <cfvo type="max"/>
        <color rgb="FFF8696B"/>
        <color rgb="FFFFEB84"/>
        <color rgb="FF63BE7B"/>
      </colorScale>
    </cfRule>
  </conditionalFormatting>
  <conditionalFormatting sqref="F11:F31">
    <cfRule type="colorScale" priority="6654">
      <colorScale>
        <cfvo type="min"/>
        <cfvo type="percentile" val="50"/>
        <cfvo type="max"/>
        <color rgb="FFF8696B"/>
        <color rgb="FFFFEB84"/>
        <color rgb="FF63BE7B"/>
      </colorScale>
    </cfRule>
  </conditionalFormatting>
  <conditionalFormatting sqref="F11:F31">
    <cfRule type="colorScale" priority="6653">
      <colorScale>
        <cfvo type="min"/>
        <cfvo type="percentile" val="50"/>
        <cfvo type="max"/>
        <color rgb="FFF8696B"/>
        <color rgb="FFFFEB84"/>
        <color rgb="FF63BE7B"/>
      </colorScale>
    </cfRule>
  </conditionalFormatting>
  <conditionalFormatting sqref="F11:F31">
    <cfRule type="colorScale" priority="6652">
      <colorScale>
        <cfvo type="min"/>
        <cfvo type="percentile" val="50"/>
        <cfvo type="max"/>
        <color rgb="FFF8696B"/>
        <color rgb="FFFFEB84"/>
        <color rgb="FF63BE7B"/>
      </colorScale>
    </cfRule>
  </conditionalFormatting>
  <conditionalFormatting sqref="F11:F31">
    <cfRule type="colorScale" priority="6651">
      <colorScale>
        <cfvo type="min"/>
        <cfvo type="percentile" val="50"/>
        <cfvo type="max"/>
        <color rgb="FFF8696B"/>
        <color rgb="FFFFEB84"/>
        <color rgb="FF63BE7B"/>
      </colorScale>
    </cfRule>
  </conditionalFormatting>
  <conditionalFormatting sqref="F11:F31">
    <cfRule type="colorScale" priority="6650">
      <colorScale>
        <cfvo type="min"/>
        <cfvo type="percentile" val="50"/>
        <cfvo type="max"/>
        <color rgb="FFF8696B"/>
        <color rgb="FFFFEB84"/>
        <color rgb="FF63BE7B"/>
      </colorScale>
    </cfRule>
  </conditionalFormatting>
  <conditionalFormatting sqref="F11:F31">
    <cfRule type="colorScale" priority="6649">
      <colorScale>
        <cfvo type="min"/>
        <cfvo type="percentile" val="50"/>
        <cfvo type="max"/>
        <color rgb="FFF8696B"/>
        <color rgb="FFFFEB84"/>
        <color rgb="FF63BE7B"/>
      </colorScale>
    </cfRule>
  </conditionalFormatting>
  <conditionalFormatting sqref="F11:F31">
    <cfRule type="colorScale" priority="6648">
      <colorScale>
        <cfvo type="min"/>
        <cfvo type="percentile" val="50"/>
        <cfvo type="max"/>
        <color rgb="FFF8696B"/>
        <color rgb="FFFFEB84"/>
        <color rgb="FF63BE7B"/>
      </colorScale>
    </cfRule>
  </conditionalFormatting>
  <conditionalFormatting sqref="F11:F31">
    <cfRule type="colorScale" priority="6647">
      <colorScale>
        <cfvo type="min"/>
        <cfvo type="percentile" val="50"/>
        <cfvo type="max"/>
        <color rgb="FFF8696B"/>
        <color rgb="FFFFEB84"/>
        <color rgb="FF63BE7B"/>
      </colorScale>
    </cfRule>
  </conditionalFormatting>
  <conditionalFormatting sqref="F11:F31">
    <cfRule type="colorScale" priority="6646">
      <colorScale>
        <cfvo type="min"/>
        <cfvo type="percentile" val="50"/>
        <cfvo type="max"/>
        <color rgb="FFF8696B"/>
        <color rgb="FFFFEB84"/>
        <color rgb="FF63BE7B"/>
      </colorScale>
    </cfRule>
  </conditionalFormatting>
  <conditionalFormatting sqref="F11:F31">
    <cfRule type="colorScale" priority="6645">
      <colorScale>
        <cfvo type="min"/>
        <cfvo type="percentile" val="50"/>
        <cfvo type="max"/>
        <color rgb="FFF8696B"/>
        <color rgb="FFFFEB84"/>
        <color rgb="FF63BE7B"/>
      </colorScale>
    </cfRule>
  </conditionalFormatting>
  <conditionalFormatting sqref="F11:F31">
    <cfRule type="colorScale" priority="6644">
      <colorScale>
        <cfvo type="min"/>
        <cfvo type="percentile" val="50"/>
        <cfvo type="max"/>
        <color rgb="FFF8696B"/>
        <color rgb="FFFFEB84"/>
        <color rgb="FF63BE7B"/>
      </colorScale>
    </cfRule>
  </conditionalFormatting>
  <conditionalFormatting sqref="F11:F31">
    <cfRule type="colorScale" priority="6643">
      <colorScale>
        <cfvo type="min"/>
        <cfvo type="percentile" val="50"/>
        <cfvo type="max"/>
        <color rgb="FFF8696B"/>
        <color rgb="FFFFEB84"/>
        <color rgb="FF63BE7B"/>
      </colorScale>
    </cfRule>
  </conditionalFormatting>
  <conditionalFormatting sqref="F11:F31">
    <cfRule type="colorScale" priority="6642">
      <colorScale>
        <cfvo type="min"/>
        <cfvo type="percentile" val="50"/>
        <cfvo type="max"/>
        <color rgb="FFF8696B"/>
        <color rgb="FFFFEB84"/>
        <color rgb="FF63BE7B"/>
      </colorScale>
    </cfRule>
  </conditionalFormatting>
  <conditionalFormatting sqref="F11:F31">
    <cfRule type="colorScale" priority="6641">
      <colorScale>
        <cfvo type="min"/>
        <cfvo type="percentile" val="50"/>
        <cfvo type="max"/>
        <color rgb="FFF8696B"/>
        <color rgb="FFFFEB84"/>
        <color rgb="FF63BE7B"/>
      </colorScale>
    </cfRule>
  </conditionalFormatting>
  <conditionalFormatting sqref="F11:F31">
    <cfRule type="colorScale" priority="6640">
      <colorScale>
        <cfvo type="min"/>
        <cfvo type="percentile" val="50"/>
        <cfvo type="max"/>
        <color rgb="FFF8696B"/>
        <color rgb="FFFFEB84"/>
        <color rgb="FF63BE7B"/>
      </colorScale>
    </cfRule>
  </conditionalFormatting>
  <conditionalFormatting sqref="F11:F31">
    <cfRule type="colorScale" priority="6639">
      <colorScale>
        <cfvo type="min"/>
        <cfvo type="percentile" val="50"/>
        <cfvo type="max"/>
        <color rgb="FFF8696B"/>
        <color rgb="FFFFEB84"/>
        <color rgb="FF63BE7B"/>
      </colorScale>
    </cfRule>
  </conditionalFormatting>
  <conditionalFormatting sqref="F11:F31">
    <cfRule type="colorScale" priority="6638">
      <colorScale>
        <cfvo type="min"/>
        <cfvo type="percentile" val="50"/>
        <cfvo type="max"/>
        <color rgb="FFF8696B"/>
        <color rgb="FFFFEB84"/>
        <color rgb="FF63BE7B"/>
      </colorScale>
    </cfRule>
  </conditionalFormatting>
  <conditionalFormatting sqref="F11:F31">
    <cfRule type="colorScale" priority="6637">
      <colorScale>
        <cfvo type="min"/>
        <cfvo type="percentile" val="50"/>
        <cfvo type="max"/>
        <color rgb="FFF8696B"/>
        <color rgb="FFFFEB84"/>
        <color rgb="FF63BE7B"/>
      </colorScale>
    </cfRule>
  </conditionalFormatting>
  <conditionalFormatting sqref="F11:F31">
    <cfRule type="colorScale" priority="6636">
      <colorScale>
        <cfvo type="min"/>
        <cfvo type="percentile" val="50"/>
        <cfvo type="max"/>
        <color rgb="FFF8696B"/>
        <color rgb="FFFFEB84"/>
        <color rgb="FF63BE7B"/>
      </colorScale>
    </cfRule>
  </conditionalFormatting>
  <conditionalFormatting sqref="F11:F31">
    <cfRule type="colorScale" priority="6635">
      <colorScale>
        <cfvo type="min"/>
        <cfvo type="percentile" val="50"/>
        <cfvo type="max"/>
        <color rgb="FFF8696B"/>
        <color rgb="FFFFEB84"/>
        <color rgb="FF63BE7B"/>
      </colorScale>
    </cfRule>
  </conditionalFormatting>
  <conditionalFormatting sqref="F11:F31">
    <cfRule type="colorScale" priority="6634">
      <colorScale>
        <cfvo type="min"/>
        <cfvo type="percentile" val="50"/>
        <cfvo type="max"/>
        <color rgb="FFF8696B"/>
        <color rgb="FFFFEB84"/>
        <color rgb="FF63BE7B"/>
      </colorScale>
    </cfRule>
  </conditionalFormatting>
  <conditionalFormatting sqref="F11:F31">
    <cfRule type="colorScale" priority="6633">
      <colorScale>
        <cfvo type="min"/>
        <cfvo type="percentile" val="50"/>
        <cfvo type="max"/>
        <color rgb="FFF8696B"/>
        <color rgb="FFFFEB84"/>
        <color rgb="FF63BE7B"/>
      </colorScale>
    </cfRule>
  </conditionalFormatting>
  <conditionalFormatting sqref="F11:F31">
    <cfRule type="colorScale" priority="6632">
      <colorScale>
        <cfvo type="min"/>
        <cfvo type="percentile" val="50"/>
        <cfvo type="max"/>
        <color rgb="FFF8696B"/>
        <color rgb="FFFFEB84"/>
        <color rgb="FF63BE7B"/>
      </colorScale>
    </cfRule>
  </conditionalFormatting>
  <conditionalFormatting sqref="F11:F31">
    <cfRule type="colorScale" priority="6631">
      <colorScale>
        <cfvo type="min"/>
        <cfvo type="percentile" val="50"/>
        <cfvo type="max"/>
        <color rgb="FFF8696B"/>
        <color rgb="FFFFEB84"/>
        <color rgb="FF63BE7B"/>
      </colorScale>
    </cfRule>
  </conditionalFormatting>
  <conditionalFormatting sqref="F11:F31">
    <cfRule type="colorScale" priority="6630">
      <colorScale>
        <cfvo type="min"/>
        <cfvo type="percentile" val="50"/>
        <cfvo type="max"/>
        <color rgb="FFF8696B"/>
        <color rgb="FFFFEB84"/>
        <color rgb="FF63BE7B"/>
      </colorScale>
    </cfRule>
  </conditionalFormatting>
  <conditionalFormatting sqref="F11:F31">
    <cfRule type="colorScale" priority="6629">
      <colorScale>
        <cfvo type="min"/>
        <cfvo type="percentile" val="50"/>
        <cfvo type="max"/>
        <color rgb="FFF8696B"/>
        <color rgb="FFFFEB84"/>
        <color rgb="FF63BE7B"/>
      </colorScale>
    </cfRule>
  </conditionalFormatting>
  <conditionalFormatting sqref="F11:F31">
    <cfRule type="colorScale" priority="6628">
      <colorScale>
        <cfvo type="min"/>
        <cfvo type="percentile" val="50"/>
        <cfvo type="max"/>
        <color rgb="FFF8696B"/>
        <color rgb="FFFFEB84"/>
        <color rgb="FF63BE7B"/>
      </colorScale>
    </cfRule>
  </conditionalFormatting>
  <conditionalFormatting sqref="F11:F31">
    <cfRule type="colorScale" priority="6627">
      <colorScale>
        <cfvo type="min"/>
        <cfvo type="percentile" val="50"/>
        <cfvo type="max"/>
        <color rgb="FFF8696B"/>
        <color rgb="FFFFEB84"/>
        <color rgb="FF63BE7B"/>
      </colorScale>
    </cfRule>
  </conditionalFormatting>
  <conditionalFormatting sqref="F11:F31">
    <cfRule type="colorScale" priority="6626">
      <colorScale>
        <cfvo type="min"/>
        <cfvo type="percentile" val="50"/>
        <cfvo type="max"/>
        <color rgb="FFF8696B"/>
        <color rgb="FFFFEB84"/>
        <color rgb="FF63BE7B"/>
      </colorScale>
    </cfRule>
  </conditionalFormatting>
  <conditionalFormatting sqref="F11:F31">
    <cfRule type="colorScale" priority="6625">
      <colorScale>
        <cfvo type="min"/>
        <cfvo type="percentile" val="50"/>
        <cfvo type="max"/>
        <color rgb="FFF8696B"/>
        <color rgb="FFFFEB84"/>
        <color rgb="FF63BE7B"/>
      </colorScale>
    </cfRule>
  </conditionalFormatting>
  <conditionalFormatting sqref="F11:F31">
    <cfRule type="colorScale" priority="6624">
      <colorScale>
        <cfvo type="min"/>
        <cfvo type="percentile" val="50"/>
        <cfvo type="max"/>
        <color rgb="FFF8696B"/>
        <color rgb="FFFFEB84"/>
        <color rgb="FF63BE7B"/>
      </colorScale>
    </cfRule>
  </conditionalFormatting>
  <conditionalFormatting sqref="F11:F31">
    <cfRule type="colorScale" priority="6623">
      <colorScale>
        <cfvo type="min"/>
        <cfvo type="percentile" val="50"/>
        <cfvo type="max"/>
        <color rgb="FFF8696B"/>
        <color rgb="FFFFEB84"/>
        <color rgb="FF63BE7B"/>
      </colorScale>
    </cfRule>
  </conditionalFormatting>
  <conditionalFormatting sqref="F11:F31">
    <cfRule type="colorScale" priority="6622">
      <colorScale>
        <cfvo type="min"/>
        <cfvo type="percentile" val="50"/>
        <cfvo type="max"/>
        <color rgb="FFF8696B"/>
        <color rgb="FFFFEB84"/>
        <color rgb="FF63BE7B"/>
      </colorScale>
    </cfRule>
  </conditionalFormatting>
  <conditionalFormatting sqref="F11:F31">
    <cfRule type="colorScale" priority="6621">
      <colorScale>
        <cfvo type="min"/>
        <cfvo type="percentile" val="50"/>
        <cfvo type="max"/>
        <color rgb="FFF8696B"/>
        <color rgb="FFFFEB84"/>
        <color rgb="FF63BE7B"/>
      </colorScale>
    </cfRule>
  </conditionalFormatting>
  <conditionalFormatting sqref="F11:F31">
    <cfRule type="colorScale" priority="6620">
      <colorScale>
        <cfvo type="min"/>
        <cfvo type="percentile" val="50"/>
        <cfvo type="max"/>
        <color rgb="FFF8696B"/>
        <color rgb="FFFFEB84"/>
        <color rgb="FF63BE7B"/>
      </colorScale>
    </cfRule>
  </conditionalFormatting>
  <conditionalFormatting sqref="F11:F31">
    <cfRule type="colorScale" priority="6619">
      <colorScale>
        <cfvo type="min"/>
        <cfvo type="percentile" val="50"/>
        <cfvo type="max"/>
        <color rgb="FFF8696B"/>
        <color rgb="FFFFEB84"/>
        <color rgb="FF63BE7B"/>
      </colorScale>
    </cfRule>
  </conditionalFormatting>
  <conditionalFormatting sqref="F11:F31">
    <cfRule type="colorScale" priority="6618">
      <colorScale>
        <cfvo type="min"/>
        <cfvo type="percentile" val="50"/>
        <cfvo type="max"/>
        <color rgb="FFF8696B"/>
        <color rgb="FFFFEB84"/>
        <color rgb="FF63BE7B"/>
      </colorScale>
    </cfRule>
  </conditionalFormatting>
  <conditionalFormatting sqref="F11:F31">
    <cfRule type="colorScale" priority="6617">
      <colorScale>
        <cfvo type="min"/>
        <cfvo type="percentile" val="50"/>
        <cfvo type="max"/>
        <color rgb="FFF8696B"/>
        <color rgb="FFFFEB84"/>
        <color rgb="FF63BE7B"/>
      </colorScale>
    </cfRule>
  </conditionalFormatting>
  <conditionalFormatting sqref="F11:F31">
    <cfRule type="colorScale" priority="6616">
      <colorScale>
        <cfvo type="min"/>
        <cfvo type="percentile" val="50"/>
        <cfvo type="max"/>
        <color rgb="FFF8696B"/>
        <color rgb="FFFFEB84"/>
        <color rgb="FF63BE7B"/>
      </colorScale>
    </cfRule>
  </conditionalFormatting>
  <conditionalFormatting sqref="F11:F31">
    <cfRule type="colorScale" priority="6615">
      <colorScale>
        <cfvo type="min"/>
        <cfvo type="percentile" val="50"/>
        <cfvo type="max"/>
        <color rgb="FFF8696B"/>
        <color rgb="FFFFEB84"/>
        <color rgb="FF63BE7B"/>
      </colorScale>
    </cfRule>
  </conditionalFormatting>
  <conditionalFormatting sqref="F11:F31">
    <cfRule type="colorScale" priority="6614">
      <colorScale>
        <cfvo type="min"/>
        <cfvo type="percentile" val="50"/>
        <cfvo type="max"/>
        <color rgb="FFF8696B"/>
        <color rgb="FFFFEB84"/>
        <color rgb="FF63BE7B"/>
      </colorScale>
    </cfRule>
  </conditionalFormatting>
  <conditionalFormatting sqref="F11:F31">
    <cfRule type="colorScale" priority="6613">
      <colorScale>
        <cfvo type="min"/>
        <cfvo type="percentile" val="50"/>
        <cfvo type="max"/>
        <color rgb="FFF8696B"/>
        <color rgb="FFFFEB84"/>
        <color rgb="FF63BE7B"/>
      </colorScale>
    </cfRule>
  </conditionalFormatting>
  <conditionalFormatting sqref="F11:F31">
    <cfRule type="colorScale" priority="6612">
      <colorScale>
        <cfvo type="min"/>
        <cfvo type="percentile" val="50"/>
        <cfvo type="max"/>
        <color rgb="FFF8696B"/>
        <color rgb="FFFFEB84"/>
        <color rgb="FF63BE7B"/>
      </colorScale>
    </cfRule>
  </conditionalFormatting>
  <conditionalFormatting sqref="F11:F31">
    <cfRule type="colorScale" priority="6611">
      <colorScale>
        <cfvo type="min"/>
        <cfvo type="percentile" val="50"/>
        <cfvo type="max"/>
        <color rgb="FFF8696B"/>
        <color rgb="FFFFEB84"/>
        <color rgb="FF63BE7B"/>
      </colorScale>
    </cfRule>
  </conditionalFormatting>
  <conditionalFormatting sqref="F11:F31">
    <cfRule type="colorScale" priority="6610">
      <colorScale>
        <cfvo type="min"/>
        <cfvo type="percentile" val="50"/>
        <cfvo type="max"/>
        <color rgb="FFF8696B"/>
        <color rgb="FFFFEB84"/>
        <color rgb="FF63BE7B"/>
      </colorScale>
    </cfRule>
  </conditionalFormatting>
  <conditionalFormatting sqref="F11:F31">
    <cfRule type="colorScale" priority="6609">
      <colorScale>
        <cfvo type="min"/>
        <cfvo type="percentile" val="50"/>
        <cfvo type="max"/>
        <color rgb="FFF8696B"/>
        <color rgb="FFFFEB84"/>
        <color rgb="FF63BE7B"/>
      </colorScale>
    </cfRule>
  </conditionalFormatting>
  <conditionalFormatting sqref="F11:F31">
    <cfRule type="colorScale" priority="6608">
      <colorScale>
        <cfvo type="min"/>
        <cfvo type="percentile" val="50"/>
        <cfvo type="max"/>
        <color rgb="FFF8696B"/>
        <color rgb="FFFFEB84"/>
        <color rgb="FF63BE7B"/>
      </colorScale>
    </cfRule>
  </conditionalFormatting>
  <conditionalFormatting sqref="F11:F31">
    <cfRule type="colorScale" priority="6607">
      <colorScale>
        <cfvo type="min"/>
        <cfvo type="percentile" val="50"/>
        <cfvo type="max"/>
        <color rgb="FFF8696B"/>
        <color rgb="FFFFEB84"/>
        <color rgb="FF63BE7B"/>
      </colorScale>
    </cfRule>
  </conditionalFormatting>
  <conditionalFormatting sqref="F11:F31">
    <cfRule type="colorScale" priority="6606">
      <colorScale>
        <cfvo type="min"/>
        <cfvo type="percentile" val="50"/>
        <cfvo type="max"/>
        <color rgb="FFF8696B"/>
        <color rgb="FFFFEB84"/>
        <color rgb="FF63BE7B"/>
      </colorScale>
    </cfRule>
  </conditionalFormatting>
  <conditionalFormatting sqref="F11:F31">
    <cfRule type="colorScale" priority="6605">
      <colorScale>
        <cfvo type="min"/>
        <cfvo type="percentile" val="50"/>
        <cfvo type="max"/>
        <color rgb="FFF8696B"/>
        <color rgb="FFFFEB84"/>
        <color rgb="FF63BE7B"/>
      </colorScale>
    </cfRule>
  </conditionalFormatting>
  <conditionalFormatting sqref="F11:F31">
    <cfRule type="colorScale" priority="6604">
      <colorScale>
        <cfvo type="min"/>
        <cfvo type="percentile" val="50"/>
        <cfvo type="max"/>
        <color rgb="FFF8696B"/>
        <color rgb="FFFFEB84"/>
        <color rgb="FF63BE7B"/>
      </colorScale>
    </cfRule>
  </conditionalFormatting>
  <conditionalFormatting sqref="F11:F31">
    <cfRule type="colorScale" priority="6603">
      <colorScale>
        <cfvo type="min"/>
        <cfvo type="percentile" val="50"/>
        <cfvo type="max"/>
        <color rgb="FFF8696B"/>
        <color rgb="FFFFEB84"/>
        <color rgb="FF63BE7B"/>
      </colorScale>
    </cfRule>
  </conditionalFormatting>
  <conditionalFormatting sqref="F11:F31">
    <cfRule type="colorScale" priority="6602">
      <colorScale>
        <cfvo type="min"/>
        <cfvo type="percentile" val="50"/>
        <cfvo type="max"/>
        <color rgb="FFF8696B"/>
        <color rgb="FFFFEB84"/>
        <color rgb="FF63BE7B"/>
      </colorScale>
    </cfRule>
  </conditionalFormatting>
  <conditionalFormatting sqref="F11:F31">
    <cfRule type="colorScale" priority="6601">
      <colorScale>
        <cfvo type="min"/>
        <cfvo type="percentile" val="50"/>
        <cfvo type="max"/>
        <color rgb="FFF8696B"/>
        <color rgb="FFFFEB84"/>
        <color rgb="FF63BE7B"/>
      </colorScale>
    </cfRule>
  </conditionalFormatting>
  <conditionalFormatting sqref="F11:F31">
    <cfRule type="colorScale" priority="6600">
      <colorScale>
        <cfvo type="min"/>
        <cfvo type="percentile" val="50"/>
        <cfvo type="max"/>
        <color rgb="FFF8696B"/>
        <color rgb="FFFFEB84"/>
        <color rgb="FF63BE7B"/>
      </colorScale>
    </cfRule>
  </conditionalFormatting>
  <conditionalFormatting sqref="F11:F31">
    <cfRule type="colorScale" priority="6599">
      <colorScale>
        <cfvo type="min"/>
        <cfvo type="percentile" val="50"/>
        <cfvo type="max"/>
        <color rgb="FFF8696B"/>
        <color rgb="FFFFEB84"/>
        <color rgb="FF63BE7B"/>
      </colorScale>
    </cfRule>
  </conditionalFormatting>
  <conditionalFormatting sqref="F11:F31">
    <cfRule type="colorScale" priority="6598">
      <colorScale>
        <cfvo type="min"/>
        <cfvo type="percentile" val="50"/>
        <cfvo type="max"/>
        <color rgb="FFF8696B"/>
        <color rgb="FFFFEB84"/>
        <color rgb="FF63BE7B"/>
      </colorScale>
    </cfRule>
  </conditionalFormatting>
  <conditionalFormatting sqref="F11:F31">
    <cfRule type="colorScale" priority="6597">
      <colorScale>
        <cfvo type="min"/>
        <cfvo type="percentile" val="50"/>
        <cfvo type="max"/>
        <color rgb="FFF8696B"/>
        <color rgb="FFFFEB84"/>
        <color rgb="FF63BE7B"/>
      </colorScale>
    </cfRule>
  </conditionalFormatting>
  <conditionalFormatting sqref="F11:F31">
    <cfRule type="colorScale" priority="6596">
      <colorScale>
        <cfvo type="min"/>
        <cfvo type="percentile" val="50"/>
        <cfvo type="max"/>
        <color rgb="FFF8696B"/>
        <color rgb="FFFFEB84"/>
        <color rgb="FF63BE7B"/>
      </colorScale>
    </cfRule>
  </conditionalFormatting>
  <conditionalFormatting sqref="F11:F31">
    <cfRule type="colorScale" priority="6595">
      <colorScale>
        <cfvo type="min"/>
        <cfvo type="percentile" val="50"/>
        <cfvo type="max"/>
        <color rgb="FFF8696B"/>
        <color rgb="FFFFEB84"/>
        <color rgb="FF63BE7B"/>
      </colorScale>
    </cfRule>
  </conditionalFormatting>
  <conditionalFormatting sqref="F11:F31">
    <cfRule type="colorScale" priority="6594">
      <colorScale>
        <cfvo type="min"/>
        <cfvo type="percentile" val="50"/>
        <cfvo type="max"/>
        <color rgb="FFF8696B"/>
        <color rgb="FFFFEB84"/>
        <color rgb="FF63BE7B"/>
      </colorScale>
    </cfRule>
  </conditionalFormatting>
  <conditionalFormatting sqref="F11:F31">
    <cfRule type="colorScale" priority="6593">
      <colorScale>
        <cfvo type="min"/>
        <cfvo type="percentile" val="50"/>
        <cfvo type="max"/>
        <color rgb="FFF8696B"/>
        <color rgb="FFFFEB84"/>
        <color rgb="FF63BE7B"/>
      </colorScale>
    </cfRule>
  </conditionalFormatting>
  <conditionalFormatting sqref="F11:F31">
    <cfRule type="colorScale" priority="6592">
      <colorScale>
        <cfvo type="min"/>
        <cfvo type="percentile" val="50"/>
        <cfvo type="max"/>
        <color rgb="FFF8696B"/>
        <color rgb="FFFFEB84"/>
        <color rgb="FF63BE7B"/>
      </colorScale>
    </cfRule>
  </conditionalFormatting>
  <conditionalFormatting sqref="F11:F31">
    <cfRule type="colorScale" priority="6591">
      <colorScale>
        <cfvo type="min"/>
        <cfvo type="percentile" val="50"/>
        <cfvo type="max"/>
        <color rgb="FFF8696B"/>
        <color rgb="FFFFEB84"/>
        <color rgb="FF63BE7B"/>
      </colorScale>
    </cfRule>
  </conditionalFormatting>
  <conditionalFormatting sqref="F11:F31">
    <cfRule type="colorScale" priority="6590">
      <colorScale>
        <cfvo type="min"/>
        <cfvo type="percentile" val="50"/>
        <cfvo type="max"/>
        <color rgb="FFF8696B"/>
        <color rgb="FFFFEB84"/>
        <color rgb="FF63BE7B"/>
      </colorScale>
    </cfRule>
  </conditionalFormatting>
  <conditionalFormatting sqref="F11:F31">
    <cfRule type="colorScale" priority="6589">
      <colorScale>
        <cfvo type="min"/>
        <cfvo type="percentile" val="50"/>
        <cfvo type="max"/>
        <color rgb="FFF8696B"/>
        <color rgb="FFFFEB84"/>
        <color rgb="FF63BE7B"/>
      </colorScale>
    </cfRule>
  </conditionalFormatting>
  <conditionalFormatting sqref="F11:F31">
    <cfRule type="colorScale" priority="6588">
      <colorScale>
        <cfvo type="min"/>
        <cfvo type="percentile" val="50"/>
        <cfvo type="max"/>
        <color rgb="FFF8696B"/>
        <color rgb="FFFFEB84"/>
        <color rgb="FF63BE7B"/>
      </colorScale>
    </cfRule>
  </conditionalFormatting>
  <conditionalFormatting sqref="F11:F31">
    <cfRule type="colorScale" priority="6587">
      <colorScale>
        <cfvo type="min"/>
        <cfvo type="percentile" val="50"/>
        <cfvo type="max"/>
        <color rgb="FFF8696B"/>
        <color rgb="FFFFEB84"/>
        <color rgb="FF63BE7B"/>
      </colorScale>
    </cfRule>
  </conditionalFormatting>
  <conditionalFormatting sqref="F11:F31">
    <cfRule type="colorScale" priority="6586">
      <colorScale>
        <cfvo type="min"/>
        <cfvo type="percentile" val="50"/>
        <cfvo type="max"/>
        <color rgb="FFF8696B"/>
        <color rgb="FFFFEB84"/>
        <color rgb="FF63BE7B"/>
      </colorScale>
    </cfRule>
  </conditionalFormatting>
  <conditionalFormatting sqref="F11:F31">
    <cfRule type="colorScale" priority="6585">
      <colorScale>
        <cfvo type="min"/>
        <cfvo type="percentile" val="50"/>
        <cfvo type="max"/>
        <color rgb="FFF8696B"/>
        <color rgb="FFFFEB84"/>
        <color rgb="FF63BE7B"/>
      </colorScale>
    </cfRule>
  </conditionalFormatting>
  <conditionalFormatting sqref="F11:F31">
    <cfRule type="colorScale" priority="6584">
      <colorScale>
        <cfvo type="min"/>
        <cfvo type="percentile" val="50"/>
        <cfvo type="max"/>
        <color rgb="FFF8696B"/>
        <color rgb="FFFFEB84"/>
        <color rgb="FF63BE7B"/>
      </colorScale>
    </cfRule>
  </conditionalFormatting>
  <conditionalFormatting sqref="F11:F31">
    <cfRule type="colorScale" priority="6583">
      <colorScale>
        <cfvo type="min"/>
        <cfvo type="percentile" val="50"/>
        <cfvo type="max"/>
        <color rgb="FFF8696B"/>
        <color rgb="FFFFEB84"/>
        <color rgb="FF63BE7B"/>
      </colorScale>
    </cfRule>
  </conditionalFormatting>
  <conditionalFormatting sqref="F11:F31">
    <cfRule type="colorScale" priority="6582">
      <colorScale>
        <cfvo type="min"/>
        <cfvo type="percentile" val="50"/>
        <cfvo type="max"/>
        <color rgb="FFF8696B"/>
        <color rgb="FFFFEB84"/>
        <color rgb="FF63BE7B"/>
      </colorScale>
    </cfRule>
  </conditionalFormatting>
  <conditionalFormatting sqref="F11:F31">
    <cfRule type="colorScale" priority="6581">
      <colorScale>
        <cfvo type="min"/>
        <cfvo type="percentile" val="50"/>
        <cfvo type="max"/>
        <color rgb="FFF8696B"/>
        <color rgb="FFFFEB84"/>
        <color rgb="FF63BE7B"/>
      </colorScale>
    </cfRule>
  </conditionalFormatting>
  <conditionalFormatting sqref="F11:F31">
    <cfRule type="colorScale" priority="6580">
      <colorScale>
        <cfvo type="min"/>
        <cfvo type="percentile" val="50"/>
        <cfvo type="max"/>
        <color rgb="FFF8696B"/>
        <color rgb="FFFFEB84"/>
        <color rgb="FF63BE7B"/>
      </colorScale>
    </cfRule>
  </conditionalFormatting>
  <conditionalFormatting sqref="F11:F31">
    <cfRule type="colorScale" priority="6579">
      <colorScale>
        <cfvo type="min"/>
        <cfvo type="percentile" val="50"/>
        <cfvo type="max"/>
        <color rgb="FFF8696B"/>
        <color rgb="FFFFEB84"/>
        <color rgb="FF63BE7B"/>
      </colorScale>
    </cfRule>
  </conditionalFormatting>
  <conditionalFormatting sqref="F11:F31">
    <cfRule type="colorScale" priority="6578">
      <colorScale>
        <cfvo type="min"/>
        <cfvo type="percentile" val="50"/>
        <cfvo type="max"/>
        <color rgb="FFF8696B"/>
        <color rgb="FFFFEB84"/>
        <color rgb="FF63BE7B"/>
      </colorScale>
    </cfRule>
  </conditionalFormatting>
  <conditionalFormatting sqref="F11:F31">
    <cfRule type="colorScale" priority="6577">
      <colorScale>
        <cfvo type="min"/>
        <cfvo type="percentile" val="50"/>
        <cfvo type="max"/>
        <color rgb="FFF8696B"/>
        <color rgb="FFFFEB84"/>
        <color rgb="FF63BE7B"/>
      </colorScale>
    </cfRule>
  </conditionalFormatting>
  <conditionalFormatting sqref="F11:F31">
    <cfRule type="colorScale" priority="6576">
      <colorScale>
        <cfvo type="min"/>
        <cfvo type="percentile" val="50"/>
        <cfvo type="max"/>
        <color rgb="FFF8696B"/>
        <color rgb="FFFFEB84"/>
        <color rgb="FF63BE7B"/>
      </colorScale>
    </cfRule>
  </conditionalFormatting>
  <conditionalFormatting sqref="F11:F31">
    <cfRule type="colorScale" priority="6575">
      <colorScale>
        <cfvo type="min"/>
        <cfvo type="percentile" val="50"/>
        <cfvo type="max"/>
        <color rgb="FFF8696B"/>
        <color rgb="FFFFEB84"/>
        <color rgb="FF63BE7B"/>
      </colorScale>
    </cfRule>
  </conditionalFormatting>
  <conditionalFormatting sqref="F11:F31">
    <cfRule type="colorScale" priority="6574">
      <colorScale>
        <cfvo type="min"/>
        <cfvo type="percentile" val="50"/>
        <cfvo type="max"/>
        <color rgb="FFF8696B"/>
        <color rgb="FFFFEB84"/>
        <color rgb="FF63BE7B"/>
      </colorScale>
    </cfRule>
  </conditionalFormatting>
  <conditionalFormatting sqref="F11:F31">
    <cfRule type="colorScale" priority="6573">
      <colorScale>
        <cfvo type="min"/>
        <cfvo type="percentile" val="50"/>
        <cfvo type="max"/>
        <color rgb="FFF8696B"/>
        <color rgb="FFFFEB84"/>
        <color rgb="FF63BE7B"/>
      </colorScale>
    </cfRule>
  </conditionalFormatting>
  <conditionalFormatting sqref="F11:F31">
    <cfRule type="colorScale" priority="6572">
      <colorScale>
        <cfvo type="min"/>
        <cfvo type="percentile" val="50"/>
        <cfvo type="max"/>
        <color rgb="FFF8696B"/>
        <color rgb="FFFFEB84"/>
        <color rgb="FF63BE7B"/>
      </colorScale>
    </cfRule>
  </conditionalFormatting>
  <conditionalFormatting sqref="F11:F31">
    <cfRule type="colorScale" priority="6571">
      <colorScale>
        <cfvo type="min"/>
        <cfvo type="percentile" val="50"/>
        <cfvo type="max"/>
        <color rgb="FFF8696B"/>
        <color rgb="FFFFEB84"/>
        <color rgb="FF63BE7B"/>
      </colorScale>
    </cfRule>
  </conditionalFormatting>
  <conditionalFormatting sqref="F11:F31">
    <cfRule type="colorScale" priority="6570">
      <colorScale>
        <cfvo type="min"/>
        <cfvo type="percentile" val="50"/>
        <cfvo type="max"/>
        <color rgb="FFF8696B"/>
        <color rgb="FFFFEB84"/>
        <color rgb="FF63BE7B"/>
      </colorScale>
    </cfRule>
  </conditionalFormatting>
  <conditionalFormatting sqref="F11:F31">
    <cfRule type="colorScale" priority="6569">
      <colorScale>
        <cfvo type="min"/>
        <cfvo type="percentile" val="50"/>
        <cfvo type="max"/>
        <color rgb="FFF8696B"/>
        <color rgb="FFFFEB84"/>
        <color rgb="FF63BE7B"/>
      </colorScale>
    </cfRule>
  </conditionalFormatting>
  <conditionalFormatting sqref="F11:F31">
    <cfRule type="colorScale" priority="6568">
      <colorScale>
        <cfvo type="min"/>
        <cfvo type="percentile" val="50"/>
        <cfvo type="max"/>
        <color rgb="FFF8696B"/>
        <color rgb="FFFFEB84"/>
        <color rgb="FF63BE7B"/>
      </colorScale>
    </cfRule>
  </conditionalFormatting>
  <conditionalFormatting sqref="F11:F31">
    <cfRule type="colorScale" priority="6567">
      <colorScale>
        <cfvo type="min"/>
        <cfvo type="percentile" val="50"/>
        <cfvo type="max"/>
        <color rgb="FFF8696B"/>
        <color rgb="FFFFEB84"/>
        <color rgb="FF63BE7B"/>
      </colorScale>
    </cfRule>
  </conditionalFormatting>
  <conditionalFormatting sqref="F11:F31">
    <cfRule type="colorScale" priority="6566">
      <colorScale>
        <cfvo type="min"/>
        <cfvo type="percentile" val="50"/>
        <cfvo type="max"/>
        <color rgb="FFF8696B"/>
        <color rgb="FFFFEB84"/>
        <color rgb="FF63BE7B"/>
      </colorScale>
    </cfRule>
  </conditionalFormatting>
  <conditionalFormatting sqref="F11:F31">
    <cfRule type="colorScale" priority="6565">
      <colorScale>
        <cfvo type="min"/>
        <cfvo type="percentile" val="50"/>
        <cfvo type="max"/>
        <color rgb="FFF8696B"/>
        <color rgb="FFFFEB84"/>
        <color rgb="FF63BE7B"/>
      </colorScale>
    </cfRule>
  </conditionalFormatting>
  <conditionalFormatting sqref="F11:F31">
    <cfRule type="colorScale" priority="6564">
      <colorScale>
        <cfvo type="min"/>
        <cfvo type="percentile" val="50"/>
        <cfvo type="max"/>
        <color rgb="FFF8696B"/>
        <color rgb="FFFFEB84"/>
        <color rgb="FF63BE7B"/>
      </colorScale>
    </cfRule>
  </conditionalFormatting>
  <conditionalFormatting sqref="F11:F31">
    <cfRule type="colorScale" priority="6563">
      <colorScale>
        <cfvo type="min"/>
        <cfvo type="percentile" val="50"/>
        <cfvo type="max"/>
        <color rgb="FFF8696B"/>
        <color rgb="FFFFEB84"/>
        <color rgb="FF63BE7B"/>
      </colorScale>
    </cfRule>
  </conditionalFormatting>
  <conditionalFormatting sqref="F11:F31">
    <cfRule type="colorScale" priority="6562">
      <colorScale>
        <cfvo type="min"/>
        <cfvo type="percentile" val="50"/>
        <cfvo type="max"/>
        <color rgb="FFF8696B"/>
        <color rgb="FFFFEB84"/>
        <color rgb="FF63BE7B"/>
      </colorScale>
    </cfRule>
  </conditionalFormatting>
  <conditionalFormatting sqref="F11:F31">
    <cfRule type="colorScale" priority="6561">
      <colorScale>
        <cfvo type="min"/>
        <cfvo type="percentile" val="50"/>
        <cfvo type="max"/>
        <color rgb="FFF8696B"/>
        <color rgb="FFFFEB84"/>
        <color rgb="FF63BE7B"/>
      </colorScale>
    </cfRule>
  </conditionalFormatting>
  <conditionalFormatting sqref="F11:F31">
    <cfRule type="colorScale" priority="6560">
      <colorScale>
        <cfvo type="min"/>
        <cfvo type="percentile" val="50"/>
        <cfvo type="max"/>
        <color rgb="FFF8696B"/>
        <color rgb="FFFFEB84"/>
        <color rgb="FF63BE7B"/>
      </colorScale>
    </cfRule>
  </conditionalFormatting>
  <conditionalFormatting sqref="F11:F31">
    <cfRule type="colorScale" priority="6559">
      <colorScale>
        <cfvo type="min"/>
        <cfvo type="percentile" val="50"/>
        <cfvo type="max"/>
        <color rgb="FFF8696B"/>
        <color rgb="FFFFEB84"/>
        <color rgb="FF63BE7B"/>
      </colorScale>
    </cfRule>
  </conditionalFormatting>
  <conditionalFormatting sqref="F11:F31">
    <cfRule type="colorScale" priority="6558">
      <colorScale>
        <cfvo type="min"/>
        <cfvo type="percentile" val="50"/>
        <cfvo type="max"/>
        <color rgb="FFF8696B"/>
        <color rgb="FFFFEB84"/>
        <color rgb="FF63BE7B"/>
      </colorScale>
    </cfRule>
  </conditionalFormatting>
  <conditionalFormatting sqref="F11:F31">
    <cfRule type="colorScale" priority="6557">
      <colorScale>
        <cfvo type="min"/>
        <cfvo type="percentile" val="50"/>
        <cfvo type="max"/>
        <color rgb="FFF8696B"/>
        <color rgb="FFFFEB84"/>
        <color rgb="FF63BE7B"/>
      </colorScale>
    </cfRule>
  </conditionalFormatting>
  <conditionalFormatting sqref="F11:F31">
    <cfRule type="colorScale" priority="6556">
      <colorScale>
        <cfvo type="min"/>
        <cfvo type="percentile" val="50"/>
        <cfvo type="max"/>
        <color rgb="FFF8696B"/>
        <color rgb="FFFFEB84"/>
        <color rgb="FF63BE7B"/>
      </colorScale>
    </cfRule>
  </conditionalFormatting>
  <conditionalFormatting sqref="F11:F31">
    <cfRule type="colorScale" priority="6555">
      <colorScale>
        <cfvo type="min"/>
        <cfvo type="percentile" val="50"/>
        <cfvo type="max"/>
        <color rgb="FFF8696B"/>
        <color rgb="FFFFEB84"/>
        <color rgb="FF63BE7B"/>
      </colorScale>
    </cfRule>
  </conditionalFormatting>
  <conditionalFormatting sqref="F11:F31">
    <cfRule type="colorScale" priority="6554">
      <colorScale>
        <cfvo type="min"/>
        <cfvo type="percentile" val="50"/>
        <cfvo type="max"/>
        <color rgb="FFF8696B"/>
        <color rgb="FFFFEB84"/>
        <color rgb="FF63BE7B"/>
      </colorScale>
    </cfRule>
  </conditionalFormatting>
  <conditionalFormatting sqref="F11:F31">
    <cfRule type="colorScale" priority="6553">
      <colorScale>
        <cfvo type="min"/>
        <cfvo type="percentile" val="50"/>
        <cfvo type="max"/>
        <color rgb="FFF8696B"/>
        <color rgb="FFFFEB84"/>
        <color rgb="FF63BE7B"/>
      </colorScale>
    </cfRule>
  </conditionalFormatting>
  <conditionalFormatting sqref="F11:F31">
    <cfRule type="colorScale" priority="6552">
      <colorScale>
        <cfvo type="min"/>
        <cfvo type="percentile" val="50"/>
        <cfvo type="max"/>
        <color rgb="FFF8696B"/>
        <color rgb="FFFFEB84"/>
        <color rgb="FF63BE7B"/>
      </colorScale>
    </cfRule>
  </conditionalFormatting>
  <conditionalFormatting sqref="F11:F31">
    <cfRule type="colorScale" priority="6551">
      <colorScale>
        <cfvo type="min"/>
        <cfvo type="percentile" val="50"/>
        <cfvo type="max"/>
        <color rgb="FFF8696B"/>
        <color rgb="FFFFEB84"/>
        <color rgb="FF63BE7B"/>
      </colorScale>
    </cfRule>
  </conditionalFormatting>
  <conditionalFormatting sqref="F11:F31">
    <cfRule type="colorScale" priority="6550">
      <colorScale>
        <cfvo type="min"/>
        <cfvo type="percentile" val="50"/>
        <cfvo type="max"/>
        <color rgb="FFF8696B"/>
        <color rgb="FFFFEB84"/>
        <color rgb="FF63BE7B"/>
      </colorScale>
    </cfRule>
  </conditionalFormatting>
  <conditionalFormatting sqref="F11:F31">
    <cfRule type="colorScale" priority="6549">
      <colorScale>
        <cfvo type="min"/>
        <cfvo type="percentile" val="50"/>
        <cfvo type="max"/>
        <color rgb="FFF8696B"/>
        <color rgb="FFFFEB84"/>
        <color rgb="FF63BE7B"/>
      </colorScale>
    </cfRule>
  </conditionalFormatting>
  <conditionalFormatting sqref="F11:F32">
    <cfRule type="colorScale" priority="6548">
      <colorScale>
        <cfvo type="min"/>
        <cfvo type="percentile" val="50"/>
        <cfvo type="max"/>
        <color rgb="FFF8696B"/>
        <color rgb="FFFFEB84"/>
        <color rgb="FF63BE7B"/>
      </colorScale>
    </cfRule>
  </conditionalFormatting>
  <conditionalFormatting sqref="F11:F32">
    <cfRule type="colorScale" priority="6547">
      <colorScale>
        <cfvo type="min"/>
        <cfvo type="percentile" val="50"/>
        <cfvo type="max"/>
        <color rgb="FFF8696B"/>
        <color rgb="FFFFEB84"/>
        <color rgb="FF63BE7B"/>
      </colorScale>
    </cfRule>
  </conditionalFormatting>
  <conditionalFormatting sqref="F11:F31">
    <cfRule type="colorScale" priority="6546">
      <colorScale>
        <cfvo type="min"/>
        <cfvo type="percentile" val="50"/>
        <cfvo type="max"/>
        <color rgb="FFF8696B"/>
        <color rgb="FFFFEB84"/>
        <color rgb="FF63BE7B"/>
      </colorScale>
    </cfRule>
  </conditionalFormatting>
  <conditionalFormatting sqref="F11:F31">
    <cfRule type="colorScale" priority="6545">
      <colorScale>
        <cfvo type="min"/>
        <cfvo type="percentile" val="50"/>
        <cfvo type="max"/>
        <color rgb="FFF8696B"/>
        <color rgb="FFFFEB84"/>
        <color rgb="FF63BE7B"/>
      </colorScale>
    </cfRule>
  </conditionalFormatting>
  <conditionalFormatting sqref="F11:F31">
    <cfRule type="colorScale" priority="6544">
      <colorScale>
        <cfvo type="min"/>
        <cfvo type="percentile" val="50"/>
        <cfvo type="max"/>
        <color rgb="FFF8696B"/>
        <color rgb="FFFFEB84"/>
        <color rgb="FF63BE7B"/>
      </colorScale>
    </cfRule>
  </conditionalFormatting>
  <conditionalFormatting sqref="F11:F31">
    <cfRule type="colorScale" priority="6543">
      <colorScale>
        <cfvo type="min"/>
        <cfvo type="percentile" val="50"/>
        <cfvo type="max"/>
        <color rgb="FFF8696B"/>
        <color rgb="FFFFEB84"/>
        <color rgb="FF63BE7B"/>
      </colorScale>
    </cfRule>
  </conditionalFormatting>
  <conditionalFormatting sqref="F11:F28">
    <cfRule type="colorScale" priority="6542">
      <colorScale>
        <cfvo type="min"/>
        <cfvo type="percentile" val="50"/>
        <cfvo type="max"/>
        <color rgb="FFF8696B"/>
        <color rgb="FFFFEB84"/>
        <color rgb="FF63BE7B"/>
      </colorScale>
    </cfRule>
  </conditionalFormatting>
  <conditionalFormatting sqref="F11:F28">
    <cfRule type="colorScale" priority="6541">
      <colorScale>
        <cfvo type="min"/>
        <cfvo type="percentile" val="50"/>
        <cfvo type="max"/>
        <color rgb="FFF8696B"/>
        <color rgb="FFFFEB84"/>
        <color rgb="FF63BE7B"/>
      </colorScale>
    </cfRule>
  </conditionalFormatting>
  <conditionalFormatting sqref="F11:F31">
    <cfRule type="colorScale" priority="6540">
      <colorScale>
        <cfvo type="min"/>
        <cfvo type="percentile" val="50"/>
        <cfvo type="max"/>
        <color rgb="FFF8696B"/>
        <color rgb="FFFFEB84"/>
        <color rgb="FF63BE7B"/>
      </colorScale>
    </cfRule>
  </conditionalFormatting>
  <conditionalFormatting sqref="F11:F31">
    <cfRule type="colorScale" priority="6539">
      <colorScale>
        <cfvo type="min"/>
        <cfvo type="percentile" val="50"/>
        <cfvo type="max"/>
        <color rgb="FFF8696B"/>
        <color rgb="FFFFEB84"/>
        <color rgb="FF63BE7B"/>
      </colorScale>
    </cfRule>
  </conditionalFormatting>
  <conditionalFormatting sqref="F11:F32">
    <cfRule type="colorScale" priority="6538">
      <colorScale>
        <cfvo type="min"/>
        <cfvo type="percentile" val="50"/>
        <cfvo type="max"/>
        <color rgb="FFF8696B"/>
        <color rgb="FFFFEB84"/>
        <color rgb="FF63BE7B"/>
      </colorScale>
    </cfRule>
  </conditionalFormatting>
  <conditionalFormatting sqref="F11:F32">
    <cfRule type="colorScale" priority="6537">
      <colorScale>
        <cfvo type="min"/>
        <cfvo type="percentile" val="50"/>
        <cfvo type="max"/>
        <color rgb="FFF8696B"/>
        <color rgb="FFFFEB84"/>
        <color rgb="FF63BE7B"/>
      </colorScale>
    </cfRule>
  </conditionalFormatting>
  <conditionalFormatting sqref="F11:F31">
    <cfRule type="colorScale" priority="6536">
      <colorScale>
        <cfvo type="min"/>
        <cfvo type="percentile" val="50"/>
        <cfvo type="max"/>
        <color rgb="FFF8696B"/>
        <color rgb="FFFFEB84"/>
        <color rgb="FF63BE7B"/>
      </colorScale>
    </cfRule>
  </conditionalFormatting>
  <conditionalFormatting sqref="F11:F31">
    <cfRule type="colorScale" priority="6535">
      <colorScale>
        <cfvo type="min"/>
        <cfvo type="percentile" val="50"/>
        <cfvo type="max"/>
        <color rgb="FFF8696B"/>
        <color rgb="FFFFEB84"/>
        <color rgb="FF63BE7B"/>
      </colorScale>
    </cfRule>
  </conditionalFormatting>
  <conditionalFormatting sqref="F11:F31">
    <cfRule type="colorScale" priority="6534">
      <colorScale>
        <cfvo type="min"/>
        <cfvo type="percentile" val="50"/>
        <cfvo type="max"/>
        <color rgb="FFF8696B"/>
        <color rgb="FFFFEB84"/>
        <color rgb="FF63BE7B"/>
      </colorScale>
    </cfRule>
  </conditionalFormatting>
  <conditionalFormatting sqref="F11:F31">
    <cfRule type="colorScale" priority="6533">
      <colorScale>
        <cfvo type="min"/>
        <cfvo type="percentile" val="50"/>
        <cfvo type="max"/>
        <color rgb="FFF8696B"/>
        <color rgb="FFFFEB84"/>
        <color rgb="FF63BE7B"/>
      </colorScale>
    </cfRule>
  </conditionalFormatting>
  <conditionalFormatting sqref="F11:F31">
    <cfRule type="colorScale" priority="6532">
      <colorScale>
        <cfvo type="min"/>
        <cfvo type="percentile" val="50"/>
        <cfvo type="max"/>
        <color rgb="FFF8696B"/>
        <color rgb="FFFFEB84"/>
        <color rgb="FF63BE7B"/>
      </colorScale>
    </cfRule>
  </conditionalFormatting>
  <conditionalFormatting sqref="F11:F31">
    <cfRule type="colorScale" priority="6531">
      <colorScale>
        <cfvo type="min"/>
        <cfvo type="percentile" val="50"/>
        <cfvo type="max"/>
        <color rgb="FFF8696B"/>
        <color rgb="FFFFEB84"/>
        <color rgb="FF63BE7B"/>
      </colorScale>
    </cfRule>
  </conditionalFormatting>
  <conditionalFormatting sqref="F11:F31">
    <cfRule type="colorScale" priority="6530">
      <colorScale>
        <cfvo type="min"/>
        <cfvo type="percentile" val="50"/>
        <cfvo type="max"/>
        <color rgb="FFF8696B"/>
        <color rgb="FFFFEB84"/>
        <color rgb="FF63BE7B"/>
      </colorScale>
    </cfRule>
  </conditionalFormatting>
  <conditionalFormatting sqref="F11:F31">
    <cfRule type="colorScale" priority="6529">
      <colorScale>
        <cfvo type="min"/>
        <cfvo type="percentile" val="50"/>
        <cfvo type="max"/>
        <color rgb="FFF8696B"/>
        <color rgb="FFFFEB84"/>
        <color rgb="FF63BE7B"/>
      </colorScale>
    </cfRule>
  </conditionalFormatting>
  <conditionalFormatting sqref="F11:F31">
    <cfRule type="colorScale" priority="6528">
      <colorScale>
        <cfvo type="min"/>
        <cfvo type="percentile" val="50"/>
        <cfvo type="max"/>
        <color rgb="FFF8696B"/>
        <color rgb="FFFFEB84"/>
        <color rgb="FF63BE7B"/>
      </colorScale>
    </cfRule>
  </conditionalFormatting>
  <conditionalFormatting sqref="F11:F31">
    <cfRule type="colorScale" priority="6527">
      <colorScale>
        <cfvo type="min"/>
        <cfvo type="percentile" val="50"/>
        <cfvo type="max"/>
        <color rgb="FFF8696B"/>
        <color rgb="FFFFEB84"/>
        <color rgb="FF63BE7B"/>
      </colorScale>
    </cfRule>
  </conditionalFormatting>
  <conditionalFormatting sqref="F29:F31">
    <cfRule type="colorScale" priority="6526">
      <colorScale>
        <cfvo type="min"/>
        <cfvo type="percentile" val="50"/>
        <cfvo type="max"/>
        <color rgb="FFF8696B"/>
        <color rgb="FFFFEB84"/>
        <color rgb="FF63BE7B"/>
      </colorScale>
    </cfRule>
  </conditionalFormatting>
  <conditionalFormatting sqref="F29:F31">
    <cfRule type="colorScale" priority="6525">
      <colorScale>
        <cfvo type="min"/>
        <cfvo type="percentile" val="50"/>
        <cfvo type="max"/>
        <color rgb="FFF8696B"/>
        <color rgb="FFFFEB84"/>
        <color rgb="FF63BE7B"/>
      </colorScale>
    </cfRule>
  </conditionalFormatting>
  <conditionalFormatting sqref="F32">
    <cfRule type="colorScale" priority="6524">
      <colorScale>
        <cfvo type="min"/>
        <cfvo type="percentile" val="50"/>
        <cfvo type="max"/>
        <color rgb="FFF8696B"/>
        <color rgb="FFFFEB84"/>
        <color rgb="FF63BE7B"/>
      </colorScale>
    </cfRule>
  </conditionalFormatting>
  <conditionalFormatting sqref="F32">
    <cfRule type="colorScale" priority="6523">
      <colorScale>
        <cfvo type="min"/>
        <cfvo type="percentile" val="50"/>
        <cfvo type="max"/>
        <color rgb="FFF8696B"/>
        <color rgb="FFFFEB84"/>
        <color rgb="FF63BE7B"/>
      </colorScale>
    </cfRule>
  </conditionalFormatting>
  <conditionalFormatting sqref="F32">
    <cfRule type="colorScale" priority="6522">
      <colorScale>
        <cfvo type="min"/>
        <cfvo type="percentile" val="50"/>
        <cfvo type="max"/>
        <color rgb="FFF8696B"/>
        <color rgb="FFFFEB84"/>
        <color rgb="FF63BE7B"/>
      </colorScale>
    </cfRule>
  </conditionalFormatting>
  <conditionalFormatting sqref="F32">
    <cfRule type="colorScale" priority="6521">
      <colorScale>
        <cfvo type="min"/>
        <cfvo type="percentile" val="50"/>
        <cfvo type="max"/>
        <color rgb="FFF8696B"/>
        <color rgb="FFFFEB84"/>
        <color rgb="FF63BE7B"/>
      </colorScale>
    </cfRule>
  </conditionalFormatting>
  <conditionalFormatting sqref="F32">
    <cfRule type="colorScale" priority="6520">
      <colorScale>
        <cfvo type="min"/>
        <cfvo type="percentile" val="50"/>
        <cfvo type="max"/>
        <color rgb="FFF8696B"/>
        <color rgb="FFFFEB84"/>
        <color rgb="FF63BE7B"/>
      </colorScale>
    </cfRule>
  </conditionalFormatting>
  <conditionalFormatting sqref="F32">
    <cfRule type="colorScale" priority="6519">
      <colorScale>
        <cfvo type="min"/>
        <cfvo type="percentile" val="50"/>
        <cfvo type="max"/>
        <color rgb="FFF8696B"/>
        <color rgb="FFFFEB84"/>
        <color rgb="FF63BE7B"/>
      </colorScale>
    </cfRule>
  </conditionalFormatting>
  <conditionalFormatting sqref="F32">
    <cfRule type="colorScale" priority="6518">
      <colorScale>
        <cfvo type="min"/>
        <cfvo type="percentile" val="50"/>
        <cfvo type="max"/>
        <color rgb="FFF8696B"/>
        <color rgb="FFFFEB84"/>
        <color rgb="FF63BE7B"/>
      </colorScale>
    </cfRule>
  </conditionalFormatting>
  <conditionalFormatting sqref="F32">
    <cfRule type="colorScale" priority="6517">
      <colorScale>
        <cfvo type="min"/>
        <cfvo type="percentile" val="50"/>
        <cfvo type="max"/>
        <color rgb="FFF8696B"/>
        <color rgb="FFFFEB84"/>
        <color rgb="FF63BE7B"/>
      </colorScale>
    </cfRule>
  </conditionalFormatting>
  <conditionalFormatting sqref="F32">
    <cfRule type="colorScale" priority="6516">
      <colorScale>
        <cfvo type="min"/>
        <cfvo type="percentile" val="50"/>
        <cfvo type="max"/>
        <color rgb="FFF8696B"/>
        <color rgb="FFFFEB84"/>
        <color rgb="FF63BE7B"/>
      </colorScale>
    </cfRule>
  </conditionalFormatting>
  <conditionalFormatting sqref="F32">
    <cfRule type="colorScale" priority="6515">
      <colorScale>
        <cfvo type="min"/>
        <cfvo type="percentile" val="50"/>
        <cfvo type="max"/>
        <color rgb="FFF8696B"/>
        <color rgb="FFFFEB84"/>
        <color rgb="FF63BE7B"/>
      </colorScale>
    </cfRule>
  </conditionalFormatting>
  <conditionalFormatting sqref="F32">
    <cfRule type="colorScale" priority="6514">
      <colorScale>
        <cfvo type="min"/>
        <cfvo type="percentile" val="50"/>
        <cfvo type="max"/>
        <color rgb="FFF8696B"/>
        <color rgb="FFFFEB84"/>
        <color rgb="FF63BE7B"/>
      </colorScale>
    </cfRule>
  </conditionalFormatting>
  <conditionalFormatting sqref="F32">
    <cfRule type="colorScale" priority="6513">
      <colorScale>
        <cfvo type="min"/>
        <cfvo type="percentile" val="50"/>
        <cfvo type="max"/>
        <color rgb="FFF8696B"/>
        <color rgb="FFFFEB84"/>
        <color rgb="FF63BE7B"/>
      </colorScale>
    </cfRule>
  </conditionalFormatting>
  <conditionalFormatting sqref="F32">
    <cfRule type="colorScale" priority="6512">
      <colorScale>
        <cfvo type="min"/>
        <cfvo type="percentile" val="50"/>
        <cfvo type="max"/>
        <color rgb="FFF8696B"/>
        <color rgb="FFFFEB84"/>
        <color rgb="FF63BE7B"/>
      </colorScale>
    </cfRule>
  </conditionalFormatting>
  <conditionalFormatting sqref="F32">
    <cfRule type="colorScale" priority="6511">
      <colorScale>
        <cfvo type="min"/>
        <cfvo type="percentile" val="50"/>
        <cfvo type="max"/>
        <color rgb="FFF8696B"/>
        <color rgb="FFFFEB84"/>
        <color rgb="FF63BE7B"/>
      </colorScale>
    </cfRule>
  </conditionalFormatting>
  <conditionalFormatting sqref="F32">
    <cfRule type="colorScale" priority="6510">
      <colorScale>
        <cfvo type="min"/>
        <cfvo type="percentile" val="50"/>
        <cfvo type="max"/>
        <color rgb="FFF8696B"/>
        <color rgb="FFFFEB84"/>
        <color rgb="FF63BE7B"/>
      </colorScale>
    </cfRule>
  </conditionalFormatting>
  <conditionalFormatting sqref="F32">
    <cfRule type="colorScale" priority="6509">
      <colorScale>
        <cfvo type="min"/>
        <cfvo type="percentile" val="50"/>
        <cfvo type="max"/>
        <color rgb="FFF8696B"/>
        <color rgb="FFFFEB84"/>
        <color rgb="FF63BE7B"/>
      </colorScale>
    </cfRule>
  </conditionalFormatting>
  <conditionalFormatting sqref="F32">
    <cfRule type="colorScale" priority="6508">
      <colorScale>
        <cfvo type="min"/>
        <cfvo type="percentile" val="50"/>
        <cfvo type="max"/>
        <color rgb="FFF8696B"/>
        <color rgb="FFFFEB84"/>
        <color rgb="FF63BE7B"/>
      </colorScale>
    </cfRule>
  </conditionalFormatting>
  <conditionalFormatting sqref="F32">
    <cfRule type="colorScale" priority="6507">
      <colorScale>
        <cfvo type="min"/>
        <cfvo type="percentile" val="50"/>
        <cfvo type="max"/>
        <color rgb="FFF8696B"/>
        <color rgb="FFFFEB84"/>
        <color rgb="FF63BE7B"/>
      </colorScale>
    </cfRule>
  </conditionalFormatting>
  <conditionalFormatting sqref="F32">
    <cfRule type="colorScale" priority="6506">
      <colorScale>
        <cfvo type="min"/>
        <cfvo type="percentile" val="50"/>
        <cfvo type="max"/>
        <color rgb="FFF8696B"/>
        <color rgb="FFFFEB84"/>
        <color rgb="FF63BE7B"/>
      </colorScale>
    </cfRule>
  </conditionalFormatting>
  <conditionalFormatting sqref="F32">
    <cfRule type="colorScale" priority="6505">
      <colorScale>
        <cfvo type="min"/>
        <cfvo type="percentile" val="50"/>
        <cfvo type="max"/>
        <color rgb="FFF8696B"/>
        <color rgb="FFFFEB84"/>
        <color rgb="FF63BE7B"/>
      </colorScale>
    </cfRule>
  </conditionalFormatting>
  <conditionalFormatting sqref="F32">
    <cfRule type="colorScale" priority="6504">
      <colorScale>
        <cfvo type="min"/>
        <cfvo type="percentile" val="50"/>
        <cfvo type="max"/>
        <color rgb="FFF8696B"/>
        <color rgb="FFFFEB84"/>
        <color rgb="FF63BE7B"/>
      </colorScale>
    </cfRule>
  </conditionalFormatting>
  <conditionalFormatting sqref="F32">
    <cfRule type="colorScale" priority="6503">
      <colorScale>
        <cfvo type="min"/>
        <cfvo type="percentile" val="50"/>
        <cfvo type="max"/>
        <color rgb="FFF8696B"/>
        <color rgb="FFFFEB84"/>
        <color rgb="FF63BE7B"/>
      </colorScale>
    </cfRule>
  </conditionalFormatting>
  <conditionalFormatting sqref="F32">
    <cfRule type="colorScale" priority="6502">
      <colorScale>
        <cfvo type="min"/>
        <cfvo type="percentile" val="50"/>
        <cfvo type="max"/>
        <color rgb="FFF8696B"/>
        <color rgb="FFFFEB84"/>
        <color rgb="FF63BE7B"/>
      </colorScale>
    </cfRule>
  </conditionalFormatting>
  <conditionalFormatting sqref="F32">
    <cfRule type="colorScale" priority="6501">
      <colorScale>
        <cfvo type="min"/>
        <cfvo type="percentile" val="50"/>
        <cfvo type="max"/>
        <color rgb="FFF8696B"/>
        <color rgb="FFFFEB84"/>
        <color rgb="FF63BE7B"/>
      </colorScale>
    </cfRule>
  </conditionalFormatting>
  <conditionalFormatting sqref="F32">
    <cfRule type="colorScale" priority="6500">
      <colorScale>
        <cfvo type="min"/>
        <cfvo type="percentile" val="50"/>
        <cfvo type="max"/>
        <color rgb="FFF8696B"/>
        <color rgb="FFFFEB84"/>
        <color rgb="FF63BE7B"/>
      </colorScale>
    </cfRule>
  </conditionalFormatting>
  <conditionalFormatting sqref="F32">
    <cfRule type="colorScale" priority="6499">
      <colorScale>
        <cfvo type="min"/>
        <cfvo type="percentile" val="50"/>
        <cfvo type="max"/>
        <color rgb="FFF8696B"/>
        <color rgb="FFFFEB84"/>
        <color rgb="FF63BE7B"/>
      </colorScale>
    </cfRule>
  </conditionalFormatting>
  <conditionalFormatting sqref="F32">
    <cfRule type="colorScale" priority="6498">
      <colorScale>
        <cfvo type="min"/>
        <cfvo type="percentile" val="50"/>
        <cfvo type="max"/>
        <color rgb="FFF8696B"/>
        <color rgb="FFFFEB84"/>
        <color rgb="FF63BE7B"/>
      </colorScale>
    </cfRule>
  </conditionalFormatting>
  <conditionalFormatting sqref="F32">
    <cfRule type="colorScale" priority="6497">
      <colorScale>
        <cfvo type="min"/>
        <cfvo type="percentile" val="50"/>
        <cfvo type="max"/>
        <color rgb="FFF8696B"/>
        <color rgb="FFFFEB84"/>
        <color rgb="FF63BE7B"/>
      </colorScale>
    </cfRule>
  </conditionalFormatting>
  <conditionalFormatting sqref="F32">
    <cfRule type="colorScale" priority="6496">
      <colorScale>
        <cfvo type="min"/>
        <cfvo type="percentile" val="50"/>
        <cfvo type="max"/>
        <color rgb="FFF8696B"/>
        <color rgb="FFFFEB84"/>
        <color rgb="FF63BE7B"/>
      </colorScale>
    </cfRule>
  </conditionalFormatting>
  <conditionalFormatting sqref="F32">
    <cfRule type="colorScale" priority="6495">
      <colorScale>
        <cfvo type="min"/>
        <cfvo type="percentile" val="50"/>
        <cfvo type="max"/>
        <color rgb="FFF8696B"/>
        <color rgb="FFFFEB84"/>
        <color rgb="FF63BE7B"/>
      </colorScale>
    </cfRule>
  </conditionalFormatting>
  <conditionalFormatting sqref="F32">
    <cfRule type="colorScale" priority="6494">
      <colorScale>
        <cfvo type="min"/>
        <cfvo type="percentile" val="50"/>
        <cfvo type="max"/>
        <color rgb="FFF8696B"/>
        <color rgb="FFFFEB84"/>
        <color rgb="FF63BE7B"/>
      </colorScale>
    </cfRule>
  </conditionalFormatting>
  <conditionalFormatting sqref="F32">
    <cfRule type="colorScale" priority="6493">
      <colorScale>
        <cfvo type="min"/>
        <cfvo type="percentile" val="50"/>
        <cfvo type="max"/>
        <color rgb="FFF8696B"/>
        <color rgb="FFFFEB84"/>
        <color rgb="FF63BE7B"/>
      </colorScale>
    </cfRule>
  </conditionalFormatting>
  <conditionalFormatting sqref="F32">
    <cfRule type="colorScale" priority="6492">
      <colorScale>
        <cfvo type="min"/>
        <cfvo type="percentile" val="50"/>
        <cfvo type="max"/>
        <color rgb="FFF8696B"/>
        <color rgb="FFFFEB84"/>
        <color rgb="FF63BE7B"/>
      </colorScale>
    </cfRule>
  </conditionalFormatting>
  <conditionalFormatting sqref="F32">
    <cfRule type="colorScale" priority="6491">
      <colorScale>
        <cfvo type="min"/>
        <cfvo type="percentile" val="50"/>
        <cfvo type="max"/>
        <color rgb="FFF8696B"/>
        <color rgb="FFFFEB84"/>
        <color rgb="FF63BE7B"/>
      </colorScale>
    </cfRule>
  </conditionalFormatting>
  <conditionalFormatting sqref="F32">
    <cfRule type="colorScale" priority="6490">
      <colorScale>
        <cfvo type="min"/>
        <cfvo type="percentile" val="50"/>
        <cfvo type="max"/>
        <color rgb="FFF8696B"/>
        <color rgb="FFFFEB84"/>
        <color rgb="FF63BE7B"/>
      </colorScale>
    </cfRule>
  </conditionalFormatting>
  <conditionalFormatting sqref="F32">
    <cfRule type="colorScale" priority="6489">
      <colorScale>
        <cfvo type="min"/>
        <cfvo type="percentile" val="50"/>
        <cfvo type="max"/>
        <color rgb="FFF8696B"/>
        <color rgb="FFFFEB84"/>
        <color rgb="FF63BE7B"/>
      </colorScale>
    </cfRule>
  </conditionalFormatting>
  <conditionalFormatting sqref="F32">
    <cfRule type="colorScale" priority="6488">
      <colorScale>
        <cfvo type="min"/>
        <cfvo type="percentile" val="50"/>
        <cfvo type="max"/>
        <color rgb="FFF8696B"/>
        <color rgb="FFFFEB84"/>
        <color rgb="FF63BE7B"/>
      </colorScale>
    </cfRule>
  </conditionalFormatting>
  <conditionalFormatting sqref="F32">
    <cfRule type="colorScale" priority="6487">
      <colorScale>
        <cfvo type="min"/>
        <cfvo type="percentile" val="50"/>
        <cfvo type="max"/>
        <color rgb="FFF8696B"/>
        <color rgb="FFFFEB84"/>
        <color rgb="FF63BE7B"/>
      </colorScale>
    </cfRule>
  </conditionalFormatting>
  <conditionalFormatting sqref="F32">
    <cfRule type="colorScale" priority="6486">
      <colorScale>
        <cfvo type="min"/>
        <cfvo type="percentile" val="50"/>
        <cfvo type="max"/>
        <color rgb="FFF8696B"/>
        <color rgb="FFFFEB84"/>
        <color rgb="FF63BE7B"/>
      </colorScale>
    </cfRule>
  </conditionalFormatting>
  <conditionalFormatting sqref="F32">
    <cfRule type="colorScale" priority="6485">
      <colorScale>
        <cfvo type="min"/>
        <cfvo type="percentile" val="50"/>
        <cfvo type="max"/>
        <color rgb="FFF8696B"/>
        <color rgb="FFFFEB84"/>
        <color rgb="FF63BE7B"/>
      </colorScale>
    </cfRule>
  </conditionalFormatting>
  <conditionalFormatting sqref="F32">
    <cfRule type="colorScale" priority="6484">
      <colorScale>
        <cfvo type="min"/>
        <cfvo type="percentile" val="50"/>
        <cfvo type="max"/>
        <color rgb="FFF8696B"/>
        <color rgb="FFFFEB84"/>
        <color rgb="FF63BE7B"/>
      </colorScale>
    </cfRule>
  </conditionalFormatting>
  <conditionalFormatting sqref="F32">
    <cfRule type="colorScale" priority="6483">
      <colorScale>
        <cfvo type="min"/>
        <cfvo type="percentile" val="50"/>
        <cfvo type="max"/>
        <color rgb="FFF8696B"/>
        <color rgb="FFFFEB84"/>
        <color rgb="FF63BE7B"/>
      </colorScale>
    </cfRule>
  </conditionalFormatting>
  <conditionalFormatting sqref="F32">
    <cfRule type="colorScale" priority="6482">
      <colorScale>
        <cfvo type="min"/>
        <cfvo type="percentile" val="50"/>
        <cfvo type="max"/>
        <color rgb="FFF8696B"/>
        <color rgb="FFFFEB84"/>
        <color rgb="FF63BE7B"/>
      </colorScale>
    </cfRule>
  </conditionalFormatting>
  <conditionalFormatting sqref="F32">
    <cfRule type="colorScale" priority="6481">
      <colorScale>
        <cfvo type="min"/>
        <cfvo type="percentile" val="50"/>
        <cfvo type="max"/>
        <color rgb="FFF8696B"/>
        <color rgb="FFFFEB84"/>
        <color rgb="FF63BE7B"/>
      </colorScale>
    </cfRule>
  </conditionalFormatting>
  <conditionalFormatting sqref="F32">
    <cfRule type="colorScale" priority="6480">
      <colorScale>
        <cfvo type="min"/>
        <cfvo type="percentile" val="50"/>
        <cfvo type="max"/>
        <color rgb="FFF8696B"/>
        <color rgb="FFFFEB84"/>
        <color rgb="FF63BE7B"/>
      </colorScale>
    </cfRule>
  </conditionalFormatting>
  <conditionalFormatting sqref="F32">
    <cfRule type="colorScale" priority="6479">
      <colorScale>
        <cfvo type="min"/>
        <cfvo type="percentile" val="50"/>
        <cfvo type="max"/>
        <color rgb="FFF8696B"/>
        <color rgb="FFFFEB84"/>
        <color rgb="FF63BE7B"/>
      </colorScale>
    </cfRule>
  </conditionalFormatting>
  <conditionalFormatting sqref="F32">
    <cfRule type="colorScale" priority="6478">
      <colorScale>
        <cfvo type="min"/>
        <cfvo type="percentile" val="50"/>
        <cfvo type="max"/>
        <color rgb="FFF8696B"/>
        <color rgb="FFFFEB84"/>
        <color rgb="FF63BE7B"/>
      </colorScale>
    </cfRule>
  </conditionalFormatting>
  <conditionalFormatting sqref="F32">
    <cfRule type="colorScale" priority="6477">
      <colorScale>
        <cfvo type="min"/>
        <cfvo type="percentile" val="50"/>
        <cfvo type="max"/>
        <color rgb="FFF8696B"/>
        <color rgb="FFFFEB84"/>
        <color rgb="FF63BE7B"/>
      </colorScale>
    </cfRule>
  </conditionalFormatting>
  <conditionalFormatting sqref="F32">
    <cfRule type="colorScale" priority="6476">
      <colorScale>
        <cfvo type="min"/>
        <cfvo type="percentile" val="50"/>
        <cfvo type="max"/>
        <color rgb="FFF8696B"/>
        <color rgb="FFFFEB84"/>
        <color rgb="FF63BE7B"/>
      </colorScale>
    </cfRule>
  </conditionalFormatting>
  <conditionalFormatting sqref="F32">
    <cfRule type="colorScale" priority="6475">
      <colorScale>
        <cfvo type="min"/>
        <cfvo type="percentile" val="50"/>
        <cfvo type="max"/>
        <color rgb="FFF8696B"/>
        <color rgb="FFFFEB84"/>
        <color rgb="FF63BE7B"/>
      </colorScale>
    </cfRule>
  </conditionalFormatting>
  <conditionalFormatting sqref="F32">
    <cfRule type="colorScale" priority="6474">
      <colorScale>
        <cfvo type="min"/>
        <cfvo type="percentile" val="50"/>
        <cfvo type="max"/>
        <color rgb="FFF8696B"/>
        <color rgb="FFFFEB84"/>
        <color rgb="FF63BE7B"/>
      </colorScale>
    </cfRule>
  </conditionalFormatting>
  <conditionalFormatting sqref="F32">
    <cfRule type="colorScale" priority="6473">
      <colorScale>
        <cfvo type="min"/>
        <cfvo type="percentile" val="50"/>
        <cfvo type="max"/>
        <color rgb="FFF8696B"/>
        <color rgb="FFFFEB84"/>
        <color rgb="FF63BE7B"/>
      </colorScale>
    </cfRule>
  </conditionalFormatting>
  <conditionalFormatting sqref="F32">
    <cfRule type="colorScale" priority="6472">
      <colorScale>
        <cfvo type="min"/>
        <cfvo type="percentile" val="50"/>
        <cfvo type="max"/>
        <color rgb="FFF8696B"/>
        <color rgb="FFFFEB84"/>
        <color rgb="FF63BE7B"/>
      </colorScale>
    </cfRule>
  </conditionalFormatting>
  <conditionalFormatting sqref="F32">
    <cfRule type="colorScale" priority="6471">
      <colorScale>
        <cfvo type="min"/>
        <cfvo type="percentile" val="50"/>
        <cfvo type="max"/>
        <color rgb="FFF8696B"/>
        <color rgb="FFFFEB84"/>
        <color rgb="FF63BE7B"/>
      </colorScale>
    </cfRule>
  </conditionalFormatting>
  <conditionalFormatting sqref="F32">
    <cfRule type="colorScale" priority="6470">
      <colorScale>
        <cfvo type="min"/>
        <cfvo type="percentile" val="50"/>
        <cfvo type="max"/>
        <color rgb="FFF8696B"/>
        <color rgb="FFFFEB84"/>
        <color rgb="FF63BE7B"/>
      </colorScale>
    </cfRule>
  </conditionalFormatting>
  <conditionalFormatting sqref="F32">
    <cfRule type="colorScale" priority="6469">
      <colorScale>
        <cfvo type="min"/>
        <cfvo type="percentile" val="50"/>
        <cfvo type="max"/>
        <color rgb="FFF8696B"/>
        <color rgb="FFFFEB84"/>
        <color rgb="FF63BE7B"/>
      </colorScale>
    </cfRule>
  </conditionalFormatting>
  <conditionalFormatting sqref="F32">
    <cfRule type="colorScale" priority="6468">
      <colorScale>
        <cfvo type="min"/>
        <cfvo type="percentile" val="50"/>
        <cfvo type="max"/>
        <color rgb="FFF8696B"/>
        <color rgb="FFFFEB84"/>
        <color rgb="FF63BE7B"/>
      </colorScale>
    </cfRule>
  </conditionalFormatting>
  <conditionalFormatting sqref="F32">
    <cfRule type="colorScale" priority="6467">
      <colorScale>
        <cfvo type="min"/>
        <cfvo type="percentile" val="50"/>
        <cfvo type="max"/>
        <color rgb="FFF8696B"/>
        <color rgb="FFFFEB84"/>
        <color rgb="FF63BE7B"/>
      </colorScale>
    </cfRule>
  </conditionalFormatting>
  <conditionalFormatting sqref="F32">
    <cfRule type="colorScale" priority="6466">
      <colorScale>
        <cfvo type="min"/>
        <cfvo type="percentile" val="50"/>
        <cfvo type="max"/>
        <color rgb="FFF8696B"/>
        <color rgb="FFFFEB84"/>
        <color rgb="FF63BE7B"/>
      </colorScale>
    </cfRule>
  </conditionalFormatting>
  <conditionalFormatting sqref="F32">
    <cfRule type="colorScale" priority="6465">
      <colorScale>
        <cfvo type="min"/>
        <cfvo type="percentile" val="50"/>
        <cfvo type="max"/>
        <color rgb="FFF8696B"/>
        <color rgb="FFFFEB84"/>
        <color rgb="FF63BE7B"/>
      </colorScale>
    </cfRule>
  </conditionalFormatting>
  <conditionalFormatting sqref="F32">
    <cfRule type="colorScale" priority="6464">
      <colorScale>
        <cfvo type="min"/>
        <cfvo type="percentile" val="50"/>
        <cfvo type="max"/>
        <color rgb="FFF8696B"/>
        <color rgb="FFFFEB84"/>
        <color rgb="FF63BE7B"/>
      </colorScale>
    </cfRule>
  </conditionalFormatting>
  <conditionalFormatting sqref="F32">
    <cfRule type="colorScale" priority="6463">
      <colorScale>
        <cfvo type="min"/>
        <cfvo type="percentile" val="50"/>
        <cfvo type="max"/>
        <color rgb="FFF8696B"/>
        <color rgb="FFFFEB84"/>
        <color rgb="FF63BE7B"/>
      </colorScale>
    </cfRule>
  </conditionalFormatting>
  <conditionalFormatting sqref="F32">
    <cfRule type="colorScale" priority="6462">
      <colorScale>
        <cfvo type="min"/>
        <cfvo type="percentile" val="50"/>
        <cfvo type="max"/>
        <color rgb="FFF8696B"/>
        <color rgb="FFFFEB84"/>
        <color rgb="FF63BE7B"/>
      </colorScale>
    </cfRule>
  </conditionalFormatting>
  <conditionalFormatting sqref="F32">
    <cfRule type="colorScale" priority="6461">
      <colorScale>
        <cfvo type="min"/>
        <cfvo type="percentile" val="50"/>
        <cfvo type="max"/>
        <color rgb="FFF8696B"/>
        <color rgb="FFFFEB84"/>
        <color rgb="FF63BE7B"/>
      </colorScale>
    </cfRule>
  </conditionalFormatting>
  <conditionalFormatting sqref="F32">
    <cfRule type="colorScale" priority="6460">
      <colorScale>
        <cfvo type="min"/>
        <cfvo type="percentile" val="50"/>
        <cfvo type="max"/>
        <color rgb="FFF8696B"/>
        <color rgb="FFFFEB84"/>
        <color rgb="FF63BE7B"/>
      </colorScale>
    </cfRule>
  </conditionalFormatting>
  <conditionalFormatting sqref="F32">
    <cfRule type="colorScale" priority="6459">
      <colorScale>
        <cfvo type="min"/>
        <cfvo type="percentile" val="50"/>
        <cfvo type="max"/>
        <color rgb="FFF8696B"/>
        <color rgb="FFFFEB84"/>
        <color rgb="FF63BE7B"/>
      </colorScale>
    </cfRule>
  </conditionalFormatting>
  <conditionalFormatting sqref="F32">
    <cfRule type="colorScale" priority="6458">
      <colorScale>
        <cfvo type="min"/>
        <cfvo type="percentile" val="50"/>
        <cfvo type="max"/>
        <color rgb="FFF8696B"/>
        <color rgb="FFFFEB84"/>
        <color rgb="FF63BE7B"/>
      </colorScale>
    </cfRule>
  </conditionalFormatting>
  <conditionalFormatting sqref="F32">
    <cfRule type="colorScale" priority="6457">
      <colorScale>
        <cfvo type="min"/>
        <cfvo type="percentile" val="50"/>
        <cfvo type="max"/>
        <color rgb="FFF8696B"/>
        <color rgb="FFFFEB84"/>
        <color rgb="FF63BE7B"/>
      </colorScale>
    </cfRule>
  </conditionalFormatting>
  <conditionalFormatting sqref="F32">
    <cfRule type="colorScale" priority="6456">
      <colorScale>
        <cfvo type="min"/>
        <cfvo type="percentile" val="50"/>
        <cfvo type="max"/>
        <color rgb="FFF8696B"/>
        <color rgb="FFFFEB84"/>
        <color rgb="FF63BE7B"/>
      </colorScale>
    </cfRule>
  </conditionalFormatting>
  <conditionalFormatting sqref="F32">
    <cfRule type="colorScale" priority="6455">
      <colorScale>
        <cfvo type="min"/>
        <cfvo type="percentile" val="50"/>
        <cfvo type="max"/>
        <color rgb="FFF8696B"/>
        <color rgb="FFFFEB84"/>
        <color rgb="FF63BE7B"/>
      </colorScale>
    </cfRule>
  </conditionalFormatting>
  <conditionalFormatting sqref="F32">
    <cfRule type="colorScale" priority="6454">
      <colorScale>
        <cfvo type="min"/>
        <cfvo type="percentile" val="50"/>
        <cfvo type="max"/>
        <color rgb="FFF8696B"/>
        <color rgb="FFFFEB84"/>
        <color rgb="FF63BE7B"/>
      </colorScale>
    </cfRule>
  </conditionalFormatting>
  <conditionalFormatting sqref="F32">
    <cfRule type="colorScale" priority="6453">
      <colorScale>
        <cfvo type="min"/>
        <cfvo type="percentile" val="50"/>
        <cfvo type="max"/>
        <color rgb="FFF8696B"/>
        <color rgb="FFFFEB84"/>
        <color rgb="FF63BE7B"/>
      </colorScale>
    </cfRule>
  </conditionalFormatting>
  <conditionalFormatting sqref="F32">
    <cfRule type="colorScale" priority="6452">
      <colorScale>
        <cfvo type="min"/>
        <cfvo type="percentile" val="50"/>
        <cfvo type="max"/>
        <color rgb="FFF8696B"/>
        <color rgb="FFFFEB84"/>
        <color rgb="FF63BE7B"/>
      </colorScale>
    </cfRule>
  </conditionalFormatting>
  <conditionalFormatting sqref="F32">
    <cfRule type="colorScale" priority="6451">
      <colorScale>
        <cfvo type="min"/>
        <cfvo type="percentile" val="50"/>
        <cfvo type="max"/>
        <color rgb="FFF8696B"/>
        <color rgb="FFFFEB84"/>
        <color rgb="FF63BE7B"/>
      </colorScale>
    </cfRule>
  </conditionalFormatting>
  <conditionalFormatting sqref="F32">
    <cfRule type="colorScale" priority="6450">
      <colorScale>
        <cfvo type="min"/>
        <cfvo type="percentile" val="50"/>
        <cfvo type="max"/>
        <color rgb="FFF8696B"/>
        <color rgb="FFFFEB84"/>
        <color rgb="FF63BE7B"/>
      </colorScale>
    </cfRule>
  </conditionalFormatting>
  <conditionalFormatting sqref="F32">
    <cfRule type="colorScale" priority="6449">
      <colorScale>
        <cfvo type="min"/>
        <cfvo type="percentile" val="50"/>
        <cfvo type="max"/>
        <color rgb="FFF8696B"/>
        <color rgb="FFFFEB84"/>
        <color rgb="FF63BE7B"/>
      </colorScale>
    </cfRule>
  </conditionalFormatting>
  <conditionalFormatting sqref="F32">
    <cfRule type="colorScale" priority="6448">
      <colorScale>
        <cfvo type="min"/>
        <cfvo type="percentile" val="50"/>
        <cfvo type="max"/>
        <color rgb="FFF8696B"/>
        <color rgb="FFFFEB84"/>
        <color rgb="FF63BE7B"/>
      </colorScale>
    </cfRule>
  </conditionalFormatting>
  <conditionalFormatting sqref="F32">
    <cfRule type="colorScale" priority="6447">
      <colorScale>
        <cfvo type="min"/>
        <cfvo type="percentile" val="50"/>
        <cfvo type="max"/>
        <color rgb="FFF8696B"/>
        <color rgb="FFFFEB84"/>
        <color rgb="FF63BE7B"/>
      </colorScale>
    </cfRule>
  </conditionalFormatting>
  <conditionalFormatting sqref="F32">
    <cfRule type="colorScale" priority="6446">
      <colorScale>
        <cfvo type="min"/>
        <cfvo type="percentile" val="50"/>
        <cfvo type="max"/>
        <color rgb="FFF8696B"/>
        <color rgb="FFFFEB84"/>
        <color rgb="FF63BE7B"/>
      </colorScale>
    </cfRule>
  </conditionalFormatting>
  <conditionalFormatting sqref="F32">
    <cfRule type="colorScale" priority="6445">
      <colorScale>
        <cfvo type="min"/>
        <cfvo type="percentile" val="50"/>
        <cfvo type="max"/>
        <color rgb="FFF8696B"/>
        <color rgb="FFFFEB84"/>
        <color rgb="FF63BE7B"/>
      </colorScale>
    </cfRule>
  </conditionalFormatting>
  <conditionalFormatting sqref="F32">
    <cfRule type="colorScale" priority="6444">
      <colorScale>
        <cfvo type="min"/>
        <cfvo type="percentile" val="50"/>
        <cfvo type="max"/>
        <color rgb="FFF8696B"/>
        <color rgb="FFFFEB84"/>
        <color rgb="FF63BE7B"/>
      </colorScale>
    </cfRule>
  </conditionalFormatting>
  <conditionalFormatting sqref="F32">
    <cfRule type="colorScale" priority="6443">
      <colorScale>
        <cfvo type="min"/>
        <cfvo type="percentile" val="50"/>
        <cfvo type="max"/>
        <color rgb="FFF8696B"/>
        <color rgb="FFFFEB84"/>
        <color rgb="FF63BE7B"/>
      </colorScale>
    </cfRule>
  </conditionalFormatting>
  <conditionalFormatting sqref="F32">
    <cfRule type="colorScale" priority="6442">
      <colorScale>
        <cfvo type="min"/>
        <cfvo type="percentile" val="50"/>
        <cfvo type="max"/>
        <color rgb="FFF8696B"/>
        <color rgb="FFFFEB84"/>
        <color rgb="FF63BE7B"/>
      </colorScale>
    </cfRule>
  </conditionalFormatting>
  <conditionalFormatting sqref="F32">
    <cfRule type="colorScale" priority="6441">
      <colorScale>
        <cfvo type="min"/>
        <cfvo type="percentile" val="50"/>
        <cfvo type="max"/>
        <color rgb="FFF8696B"/>
        <color rgb="FFFFEB84"/>
        <color rgb="FF63BE7B"/>
      </colorScale>
    </cfRule>
  </conditionalFormatting>
  <conditionalFormatting sqref="F32">
    <cfRule type="colorScale" priority="6440">
      <colorScale>
        <cfvo type="min"/>
        <cfvo type="percentile" val="50"/>
        <cfvo type="max"/>
        <color rgb="FFF8696B"/>
        <color rgb="FFFFEB84"/>
        <color rgb="FF63BE7B"/>
      </colorScale>
    </cfRule>
  </conditionalFormatting>
  <conditionalFormatting sqref="F32">
    <cfRule type="colorScale" priority="6439">
      <colorScale>
        <cfvo type="min"/>
        <cfvo type="percentile" val="50"/>
        <cfvo type="max"/>
        <color rgb="FFF8696B"/>
        <color rgb="FFFFEB84"/>
        <color rgb="FF63BE7B"/>
      </colorScale>
    </cfRule>
  </conditionalFormatting>
  <conditionalFormatting sqref="F32">
    <cfRule type="colorScale" priority="6438">
      <colorScale>
        <cfvo type="min"/>
        <cfvo type="percentile" val="50"/>
        <cfvo type="max"/>
        <color rgb="FFF8696B"/>
        <color rgb="FFFFEB84"/>
        <color rgb="FF63BE7B"/>
      </colorScale>
    </cfRule>
  </conditionalFormatting>
  <conditionalFormatting sqref="F32">
    <cfRule type="colorScale" priority="6437">
      <colorScale>
        <cfvo type="min"/>
        <cfvo type="percentile" val="50"/>
        <cfvo type="max"/>
        <color rgb="FFF8696B"/>
        <color rgb="FFFFEB84"/>
        <color rgb="FF63BE7B"/>
      </colorScale>
    </cfRule>
  </conditionalFormatting>
  <conditionalFormatting sqref="F32">
    <cfRule type="colorScale" priority="6436">
      <colorScale>
        <cfvo type="min"/>
        <cfvo type="percentile" val="50"/>
        <cfvo type="max"/>
        <color rgb="FFF8696B"/>
        <color rgb="FFFFEB84"/>
        <color rgb="FF63BE7B"/>
      </colorScale>
    </cfRule>
  </conditionalFormatting>
  <conditionalFormatting sqref="F32">
    <cfRule type="colorScale" priority="6435">
      <colorScale>
        <cfvo type="min"/>
        <cfvo type="percentile" val="50"/>
        <cfvo type="max"/>
        <color rgb="FFF8696B"/>
        <color rgb="FFFFEB84"/>
        <color rgb="FF63BE7B"/>
      </colorScale>
    </cfRule>
  </conditionalFormatting>
  <conditionalFormatting sqref="F32">
    <cfRule type="colorScale" priority="6434">
      <colorScale>
        <cfvo type="min"/>
        <cfvo type="percentile" val="50"/>
        <cfvo type="max"/>
        <color rgb="FFF8696B"/>
        <color rgb="FFFFEB84"/>
        <color rgb="FF63BE7B"/>
      </colorScale>
    </cfRule>
  </conditionalFormatting>
  <conditionalFormatting sqref="F32">
    <cfRule type="colorScale" priority="6433">
      <colorScale>
        <cfvo type="min"/>
        <cfvo type="percentile" val="50"/>
        <cfvo type="max"/>
        <color rgb="FFF8696B"/>
        <color rgb="FFFFEB84"/>
        <color rgb="FF63BE7B"/>
      </colorScale>
    </cfRule>
  </conditionalFormatting>
  <conditionalFormatting sqref="F32">
    <cfRule type="colorScale" priority="6432">
      <colorScale>
        <cfvo type="min"/>
        <cfvo type="percentile" val="50"/>
        <cfvo type="max"/>
        <color rgb="FFF8696B"/>
        <color rgb="FFFFEB84"/>
        <color rgb="FF63BE7B"/>
      </colorScale>
    </cfRule>
  </conditionalFormatting>
  <conditionalFormatting sqref="F32">
    <cfRule type="colorScale" priority="6431">
      <colorScale>
        <cfvo type="min"/>
        <cfvo type="percentile" val="50"/>
        <cfvo type="max"/>
        <color rgb="FFF8696B"/>
        <color rgb="FFFFEB84"/>
        <color rgb="FF63BE7B"/>
      </colorScale>
    </cfRule>
  </conditionalFormatting>
  <conditionalFormatting sqref="F32">
    <cfRule type="colorScale" priority="6430">
      <colorScale>
        <cfvo type="min"/>
        <cfvo type="percentile" val="50"/>
        <cfvo type="max"/>
        <color rgb="FFF8696B"/>
        <color rgb="FFFFEB84"/>
        <color rgb="FF63BE7B"/>
      </colorScale>
    </cfRule>
  </conditionalFormatting>
  <conditionalFormatting sqref="F32">
    <cfRule type="colorScale" priority="6429">
      <colorScale>
        <cfvo type="min"/>
        <cfvo type="percentile" val="50"/>
        <cfvo type="max"/>
        <color rgb="FFF8696B"/>
        <color rgb="FFFFEB84"/>
        <color rgb="FF63BE7B"/>
      </colorScale>
    </cfRule>
  </conditionalFormatting>
  <conditionalFormatting sqref="F32">
    <cfRule type="colorScale" priority="6428">
      <colorScale>
        <cfvo type="min"/>
        <cfvo type="percentile" val="50"/>
        <cfvo type="max"/>
        <color rgb="FFF8696B"/>
        <color rgb="FFFFEB84"/>
        <color rgb="FF63BE7B"/>
      </colorScale>
    </cfRule>
  </conditionalFormatting>
  <conditionalFormatting sqref="F32">
    <cfRule type="colorScale" priority="6427">
      <colorScale>
        <cfvo type="min"/>
        <cfvo type="percentile" val="50"/>
        <cfvo type="max"/>
        <color rgb="FFF8696B"/>
        <color rgb="FFFFEB84"/>
        <color rgb="FF63BE7B"/>
      </colorScale>
    </cfRule>
  </conditionalFormatting>
  <conditionalFormatting sqref="F32">
    <cfRule type="colorScale" priority="6426">
      <colorScale>
        <cfvo type="min"/>
        <cfvo type="percentile" val="50"/>
        <cfvo type="max"/>
        <color rgb="FFF8696B"/>
        <color rgb="FFFFEB84"/>
        <color rgb="FF63BE7B"/>
      </colorScale>
    </cfRule>
  </conditionalFormatting>
  <conditionalFormatting sqref="F32">
    <cfRule type="colorScale" priority="6425">
      <colorScale>
        <cfvo type="min"/>
        <cfvo type="percentile" val="50"/>
        <cfvo type="max"/>
        <color rgb="FFF8696B"/>
        <color rgb="FFFFEB84"/>
        <color rgb="FF63BE7B"/>
      </colorScale>
    </cfRule>
  </conditionalFormatting>
  <conditionalFormatting sqref="F32">
    <cfRule type="colorScale" priority="6424">
      <colorScale>
        <cfvo type="min"/>
        <cfvo type="percentile" val="50"/>
        <cfvo type="max"/>
        <color rgb="FFF8696B"/>
        <color rgb="FFFFEB84"/>
        <color rgb="FF63BE7B"/>
      </colorScale>
    </cfRule>
  </conditionalFormatting>
  <conditionalFormatting sqref="F32">
    <cfRule type="colorScale" priority="6423">
      <colorScale>
        <cfvo type="min"/>
        <cfvo type="percentile" val="50"/>
        <cfvo type="max"/>
        <color rgb="FFF8696B"/>
        <color rgb="FFFFEB84"/>
        <color rgb="FF63BE7B"/>
      </colorScale>
    </cfRule>
  </conditionalFormatting>
  <conditionalFormatting sqref="F32">
    <cfRule type="colorScale" priority="6422">
      <colorScale>
        <cfvo type="min"/>
        <cfvo type="percentile" val="50"/>
        <cfvo type="max"/>
        <color rgb="FFF8696B"/>
        <color rgb="FFFFEB84"/>
        <color rgb="FF63BE7B"/>
      </colorScale>
    </cfRule>
  </conditionalFormatting>
  <conditionalFormatting sqref="F32">
    <cfRule type="colorScale" priority="6421">
      <colorScale>
        <cfvo type="min"/>
        <cfvo type="percentile" val="50"/>
        <cfvo type="max"/>
        <color rgb="FFF8696B"/>
        <color rgb="FFFFEB84"/>
        <color rgb="FF63BE7B"/>
      </colorScale>
    </cfRule>
  </conditionalFormatting>
  <conditionalFormatting sqref="F32">
    <cfRule type="colorScale" priority="6420">
      <colorScale>
        <cfvo type="min"/>
        <cfvo type="percentile" val="50"/>
        <cfvo type="max"/>
        <color rgb="FFF8696B"/>
        <color rgb="FFFFEB84"/>
        <color rgb="FF63BE7B"/>
      </colorScale>
    </cfRule>
  </conditionalFormatting>
  <conditionalFormatting sqref="F32">
    <cfRule type="colorScale" priority="6419">
      <colorScale>
        <cfvo type="min"/>
        <cfvo type="percentile" val="50"/>
        <cfvo type="max"/>
        <color rgb="FFF8696B"/>
        <color rgb="FFFFEB84"/>
        <color rgb="FF63BE7B"/>
      </colorScale>
    </cfRule>
  </conditionalFormatting>
  <conditionalFormatting sqref="F32">
    <cfRule type="colorScale" priority="6418">
      <colorScale>
        <cfvo type="min"/>
        <cfvo type="percentile" val="50"/>
        <cfvo type="max"/>
        <color rgb="FFF8696B"/>
        <color rgb="FFFFEB84"/>
        <color rgb="FF63BE7B"/>
      </colorScale>
    </cfRule>
  </conditionalFormatting>
  <conditionalFormatting sqref="F32">
    <cfRule type="colorScale" priority="6417">
      <colorScale>
        <cfvo type="min"/>
        <cfvo type="percentile" val="50"/>
        <cfvo type="max"/>
        <color rgb="FFF8696B"/>
        <color rgb="FFFFEB84"/>
        <color rgb="FF63BE7B"/>
      </colorScale>
    </cfRule>
  </conditionalFormatting>
  <conditionalFormatting sqref="F32">
    <cfRule type="colorScale" priority="6416">
      <colorScale>
        <cfvo type="min"/>
        <cfvo type="percentile" val="50"/>
        <cfvo type="max"/>
        <color rgb="FFF8696B"/>
        <color rgb="FFFFEB84"/>
        <color rgb="FF63BE7B"/>
      </colorScale>
    </cfRule>
  </conditionalFormatting>
  <conditionalFormatting sqref="F32">
    <cfRule type="colorScale" priority="6415">
      <colorScale>
        <cfvo type="min"/>
        <cfvo type="percentile" val="50"/>
        <cfvo type="max"/>
        <color rgb="FFF8696B"/>
        <color rgb="FFFFEB84"/>
        <color rgb="FF63BE7B"/>
      </colorScale>
    </cfRule>
  </conditionalFormatting>
  <conditionalFormatting sqref="F32">
    <cfRule type="colorScale" priority="6414">
      <colorScale>
        <cfvo type="min"/>
        <cfvo type="percentile" val="50"/>
        <cfvo type="max"/>
        <color rgb="FFF8696B"/>
        <color rgb="FFFFEB84"/>
        <color rgb="FF63BE7B"/>
      </colorScale>
    </cfRule>
  </conditionalFormatting>
  <conditionalFormatting sqref="F32">
    <cfRule type="colorScale" priority="6413">
      <colorScale>
        <cfvo type="min"/>
        <cfvo type="percentile" val="50"/>
        <cfvo type="max"/>
        <color rgb="FFF8696B"/>
        <color rgb="FFFFEB84"/>
        <color rgb="FF63BE7B"/>
      </colorScale>
    </cfRule>
  </conditionalFormatting>
  <conditionalFormatting sqref="F32">
    <cfRule type="colorScale" priority="6412">
      <colorScale>
        <cfvo type="min"/>
        <cfvo type="percentile" val="50"/>
        <cfvo type="max"/>
        <color rgb="FFF8696B"/>
        <color rgb="FFFFEB84"/>
        <color rgb="FF63BE7B"/>
      </colorScale>
    </cfRule>
  </conditionalFormatting>
  <conditionalFormatting sqref="F32">
    <cfRule type="colorScale" priority="6411">
      <colorScale>
        <cfvo type="min"/>
        <cfvo type="percentile" val="50"/>
        <cfvo type="max"/>
        <color rgb="FFF8696B"/>
        <color rgb="FFFFEB84"/>
        <color rgb="FF63BE7B"/>
      </colorScale>
    </cfRule>
  </conditionalFormatting>
  <conditionalFormatting sqref="F32">
    <cfRule type="colorScale" priority="6410">
      <colorScale>
        <cfvo type="min"/>
        <cfvo type="percentile" val="50"/>
        <cfvo type="max"/>
        <color rgb="FFF8696B"/>
        <color rgb="FFFFEB84"/>
        <color rgb="FF63BE7B"/>
      </colorScale>
    </cfRule>
  </conditionalFormatting>
  <conditionalFormatting sqref="F32">
    <cfRule type="colorScale" priority="6409">
      <colorScale>
        <cfvo type="min"/>
        <cfvo type="percentile" val="50"/>
        <cfvo type="max"/>
        <color rgb="FFF8696B"/>
        <color rgb="FFFFEB84"/>
        <color rgb="FF63BE7B"/>
      </colorScale>
    </cfRule>
  </conditionalFormatting>
  <conditionalFormatting sqref="F32">
    <cfRule type="colorScale" priority="6408">
      <colorScale>
        <cfvo type="min"/>
        <cfvo type="percentile" val="50"/>
        <cfvo type="max"/>
        <color rgb="FFF8696B"/>
        <color rgb="FFFFEB84"/>
        <color rgb="FF63BE7B"/>
      </colorScale>
    </cfRule>
  </conditionalFormatting>
  <conditionalFormatting sqref="F32">
    <cfRule type="colorScale" priority="6407">
      <colorScale>
        <cfvo type="min"/>
        <cfvo type="percentile" val="50"/>
        <cfvo type="max"/>
        <color rgb="FFF8696B"/>
        <color rgb="FFFFEB84"/>
        <color rgb="FF63BE7B"/>
      </colorScale>
    </cfRule>
  </conditionalFormatting>
  <conditionalFormatting sqref="F32">
    <cfRule type="colorScale" priority="6406">
      <colorScale>
        <cfvo type="min"/>
        <cfvo type="percentile" val="50"/>
        <cfvo type="max"/>
        <color rgb="FFF8696B"/>
        <color rgb="FFFFEB84"/>
        <color rgb="FF63BE7B"/>
      </colorScale>
    </cfRule>
  </conditionalFormatting>
  <conditionalFormatting sqref="F32">
    <cfRule type="colorScale" priority="6405">
      <colorScale>
        <cfvo type="min"/>
        <cfvo type="percentile" val="50"/>
        <cfvo type="max"/>
        <color rgb="FFF8696B"/>
        <color rgb="FFFFEB84"/>
        <color rgb="FF63BE7B"/>
      </colorScale>
    </cfRule>
  </conditionalFormatting>
  <conditionalFormatting sqref="F32">
    <cfRule type="colorScale" priority="6404">
      <colorScale>
        <cfvo type="min"/>
        <cfvo type="percentile" val="50"/>
        <cfvo type="max"/>
        <color rgb="FFF8696B"/>
        <color rgb="FFFFEB84"/>
        <color rgb="FF63BE7B"/>
      </colorScale>
    </cfRule>
  </conditionalFormatting>
  <conditionalFormatting sqref="F32">
    <cfRule type="colorScale" priority="6403">
      <colorScale>
        <cfvo type="min"/>
        <cfvo type="percentile" val="50"/>
        <cfvo type="max"/>
        <color rgb="FFF8696B"/>
        <color rgb="FFFFEB84"/>
        <color rgb="FF63BE7B"/>
      </colorScale>
    </cfRule>
  </conditionalFormatting>
  <conditionalFormatting sqref="F32">
    <cfRule type="colorScale" priority="6402">
      <colorScale>
        <cfvo type="min"/>
        <cfvo type="percentile" val="50"/>
        <cfvo type="max"/>
        <color rgb="FFF8696B"/>
        <color rgb="FFFFEB84"/>
        <color rgb="FF63BE7B"/>
      </colorScale>
    </cfRule>
  </conditionalFormatting>
  <conditionalFormatting sqref="F32">
    <cfRule type="colorScale" priority="6401">
      <colorScale>
        <cfvo type="min"/>
        <cfvo type="percentile" val="50"/>
        <cfvo type="max"/>
        <color rgb="FFF8696B"/>
        <color rgb="FFFFEB84"/>
        <color rgb="FF63BE7B"/>
      </colorScale>
    </cfRule>
  </conditionalFormatting>
  <conditionalFormatting sqref="F32">
    <cfRule type="colorScale" priority="6400">
      <colorScale>
        <cfvo type="min"/>
        <cfvo type="percentile" val="50"/>
        <cfvo type="max"/>
        <color rgb="FFF8696B"/>
        <color rgb="FFFFEB84"/>
        <color rgb="FF63BE7B"/>
      </colorScale>
    </cfRule>
  </conditionalFormatting>
  <conditionalFormatting sqref="F32">
    <cfRule type="colorScale" priority="6399">
      <colorScale>
        <cfvo type="min"/>
        <cfvo type="percentile" val="50"/>
        <cfvo type="max"/>
        <color rgb="FFF8696B"/>
        <color rgb="FFFFEB84"/>
        <color rgb="FF63BE7B"/>
      </colorScale>
    </cfRule>
  </conditionalFormatting>
  <conditionalFormatting sqref="F32">
    <cfRule type="colorScale" priority="6398">
      <colorScale>
        <cfvo type="min"/>
        <cfvo type="percentile" val="50"/>
        <cfvo type="max"/>
        <color rgb="FFF8696B"/>
        <color rgb="FFFFEB84"/>
        <color rgb="FF63BE7B"/>
      </colorScale>
    </cfRule>
  </conditionalFormatting>
  <conditionalFormatting sqref="F32">
    <cfRule type="colorScale" priority="6397">
      <colorScale>
        <cfvo type="min"/>
        <cfvo type="percentile" val="50"/>
        <cfvo type="max"/>
        <color rgb="FFF8696B"/>
        <color rgb="FFFFEB84"/>
        <color rgb="FF63BE7B"/>
      </colorScale>
    </cfRule>
  </conditionalFormatting>
  <conditionalFormatting sqref="F32">
    <cfRule type="colorScale" priority="6396">
      <colorScale>
        <cfvo type="min"/>
        <cfvo type="percentile" val="50"/>
        <cfvo type="max"/>
        <color rgb="FFF8696B"/>
        <color rgb="FFFFEB84"/>
        <color rgb="FF63BE7B"/>
      </colorScale>
    </cfRule>
  </conditionalFormatting>
  <conditionalFormatting sqref="F32">
    <cfRule type="colorScale" priority="6395">
      <colorScale>
        <cfvo type="min"/>
        <cfvo type="percentile" val="50"/>
        <cfvo type="max"/>
        <color rgb="FFF8696B"/>
        <color rgb="FFFFEB84"/>
        <color rgb="FF63BE7B"/>
      </colorScale>
    </cfRule>
  </conditionalFormatting>
  <conditionalFormatting sqref="F32">
    <cfRule type="colorScale" priority="6394">
      <colorScale>
        <cfvo type="min"/>
        <cfvo type="percentile" val="50"/>
        <cfvo type="max"/>
        <color rgb="FFF8696B"/>
        <color rgb="FFFFEB84"/>
        <color rgb="FF63BE7B"/>
      </colorScale>
    </cfRule>
  </conditionalFormatting>
  <conditionalFormatting sqref="F32">
    <cfRule type="colorScale" priority="6393">
      <colorScale>
        <cfvo type="min"/>
        <cfvo type="percentile" val="50"/>
        <cfvo type="max"/>
        <color rgb="FFF8696B"/>
        <color rgb="FFFFEB84"/>
        <color rgb="FF63BE7B"/>
      </colorScale>
    </cfRule>
  </conditionalFormatting>
  <conditionalFormatting sqref="F32">
    <cfRule type="colorScale" priority="6392">
      <colorScale>
        <cfvo type="min"/>
        <cfvo type="percentile" val="50"/>
        <cfvo type="max"/>
        <color rgb="FFF8696B"/>
        <color rgb="FFFFEB84"/>
        <color rgb="FF63BE7B"/>
      </colorScale>
    </cfRule>
  </conditionalFormatting>
  <conditionalFormatting sqref="F32">
    <cfRule type="colorScale" priority="6391">
      <colorScale>
        <cfvo type="min"/>
        <cfvo type="percentile" val="50"/>
        <cfvo type="max"/>
        <color rgb="FFF8696B"/>
        <color rgb="FFFFEB84"/>
        <color rgb="FF63BE7B"/>
      </colorScale>
    </cfRule>
  </conditionalFormatting>
  <conditionalFormatting sqref="F32">
    <cfRule type="colorScale" priority="6390">
      <colorScale>
        <cfvo type="min"/>
        <cfvo type="percentile" val="50"/>
        <cfvo type="max"/>
        <color rgb="FFF8696B"/>
        <color rgb="FFFFEB84"/>
        <color rgb="FF63BE7B"/>
      </colorScale>
    </cfRule>
  </conditionalFormatting>
  <conditionalFormatting sqref="F32">
    <cfRule type="colorScale" priority="6389">
      <colorScale>
        <cfvo type="min"/>
        <cfvo type="percentile" val="50"/>
        <cfvo type="max"/>
        <color rgb="FFF8696B"/>
        <color rgb="FFFFEB84"/>
        <color rgb="FF63BE7B"/>
      </colorScale>
    </cfRule>
  </conditionalFormatting>
  <conditionalFormatting sqref="F32">
    <cfRule type="colorScale" priority="6388">
      <colorScale>
        <cfvo type="min"/>
        <cfvo type="percentile" val="50"/>
        <cfvo type="max"/>
        <color rgb="FFF8696B"/>
        <color rgb="FFFFEB84"/>
        <color rgb="FF63BE7B"/>
      </colorScale>
    </cfRule>
  </conditionalFormatting>
  <conditionalFormatting sqref="F32">
    <cfRule type="colorScale" priority="6387">
      <colorScale>
        <cfvo type="min"/>
        <cfvo type="percentile" val="50"/>
        <cfvo type="max"/>
        <color rgb="FFF8696B"/>
        <color rgb="FFFFEB84"/>
        <color rgb="FF63BE7B"/>
      </colorScale>
    </cfRule>
  </conditionalFormatting>
  <conditionalFormatting sqref="F32">
    <cfRule type="colorScale" priority="6386">
      <colorScale>
        <cfvo type="min"/>
        <cfvo type="percentile" val="50"/>
        <cfvo type="max"/>
        <color rgb="FFF8696B"/>
        <color rgb="FFFFEB84"/>
        <color rgb="FF63BE7B"/>
      </colorScale>
    </cfRule>
  </conditionalFormatting>
  <conditionalFormatting sqref="F32">
    <cfRule type="colorScale" priority="6385">
      <colorScale>
        <cfvo type="min"/>
        <cfvo type="percentile" val="50"/>
        <cfvo type="max"/>
        <color rgb="FFF8696B"/>
        <color rgb="FFFFEB84"/>
        <color rgb="FF63BE7B"/>
      </colorScale>
    </cfRule>
  </conditionalFormatting>
  <conditionalFormatting sqref="F32">
    <cfRule type="colorScale" priority="6384">
      <colorScale>
        <cfvo type="min"/>
        <cfvo type="percentile" val="50"/>
        <cfvo type="max"/>
        <color rgb="FFF8696B"/>
        <color rgb="FFFFEB84"/>
        <color rgb="FF63BE7B"/>
      </colorScale>
    </cfRule>
  </conditionalFormatting>
  <conditionalFormatting sqref="F32">
    <cfRule type="colorScale" priority="6383">
      <colorScale>
        <cfvo type="min"/>
        <cfvo type="percentile" val="50"/>
        <cfvo type="max"/>
        <color rgb="FFF8696B"/>
        <color rgb="FFFFEB84"/>
        <color rgb="FF63BE7B"/>
      </colorScale>
    </cfRule>
  </conditionalFormatting>
  <conditionalFormatting sqref="F32">
    <cfRule type="colorScale" priority="6382">
      <colorScale>
        <cfvo type="min"/>
        <cfvo type="percentile" val="50"/>
        <cfvo type="max"/>
        <color rgb="FFF8696B"/>
        <color rgb="FFFFEB84"/>
        <color rgb="FF63BE7B"/>
      </colorScale>
    </cfRule>
  </conditionalFormatting>
  <conditionalFormatting sqref="F32">
    <cfRule type="colorScale" priority="6381">
      <colorScale>
        <cfvo type="min"/>
        <cfvo type="percentile" val="50"/>
        <cfvo type="max"/>
        <color rgb="FFF8696B"/>
        <color rgb="FFFFEB84"/>
        <color rgb="FF63BE7B"/>
      </colorScale>
    </cfRule>
  </conditionalFormatting>
  <conditionalFormatting sqref="F32">
    <cfRule type="colorScale" priority="6380">
      <colorScale>
        <cfvo type="min"/>
        <cfvo type="percentile" val="50"/>
        <cfvo type="max"/>
        <color rgb="FFF8696B"/>
        <color rgb="FFFFEB84"/>
        <color rgb="FF63BE7B"/>
      </colorScale>
    </cfRule>
  </conditionalFormatting>
  <conditionalFormatting sqref="F10:F32">
    <cfRule type="colorScale" priority="6379">
      <colorScale>
        <cfvo type="min"/>
        <cfvo type="percentile" val="50"/>
        <cfvo type="max"/>
        <color rgb="FFF8696B"/>
        <color rgb="FFFFEB84"/>
        <color rgb="FF63BE7B"/>
      </colorScale>
    </cfRule>
  </conditionalFormatting>
  <conditionalFormatting sqref="F10:F32">
    <cfRule type="colorScale" priority="6378">
      <colorScale>
        <cfvo type="min"/>
        <cfvo type="percentile" val="50"/>
        <cfvo type="max"/>
        <color rgb="FFF8696B"/>
        <color rgb="FFFFEB84"/>
        <color rgb="FF63BE7B"/>
      </colorScale>
    </cfRule>
  </conditionalFormatting>
  <conditionalFormatting sqref="F10:F15">
    <cfRule type="colorScale" priority="6377">
      <colorScale>
        <cfvo type="min"/>
        <cfvo type="percentile" val="50"/>
        <cfvo type="max"/>
        <color rgb="FFF8696B"/>
        <color rgb="FFFFEB84"/>
        <color rgb="FF63BE7B"/>
      </colorScale>
    </cfRule>
  </conditionalFormatting>
  <conditionalFormatting sqref="F10:F15">
    <cfRule type="colorScale" priority="6376">
      <colorScale>
        <cfvo type="min"/>
        <cfvo type="percentile" val="50"/>
        <cfvo type="max"/>
        <color rgb="FFF8696B"/>
        <color rgb="FFFFEB84"/>
        <color rgb="FF63BE7B"/>
      </colorScale>
    </cfRule>
  </conditionalFormatting>
  <conditionalFormatting sqref="F10:F15">
    <cfRule type="colorScale" priority="6375">
      <colorScale>
        <cfvo type="min"/>
        <cfvo type="percentile" val="50"/>
        <cfvo type="max"/>
        <color rgb="FFF8696B"/>
        <color rgb="FFFFEB84"/>
        <color rgb="FF63BE7B"/>
      </colorScale>
    </cfRule>
  </conditionalFormatting>
  <conditionalFormatting sqref="F10:F15">
    <cfRule type="colorScale" priority="6374">
      <colorScale>
        <cfvo type="min"/>
        <cfvo type="percentile" val="50"/>
        <cfvo type="max"/>
        <color rgb="FFF8696B"/>
        <color rgb="FFFFEB84"/>
        <color rgb="FF63BE7B"/>
      </colorScale>
    </cfRule>
  </conditionalFormatting>
  <conditionalFormatting sqref="F10:F15">
    <cfRule type="colorScale" priority="6373">
      <colorScale>
        <cfvo type="min"/>
        <cfvo type="percentile" val="50"/>
        <cfvo type="max"/>
        <color rgb="FFF8696B"/>
        <color rgb="FFFFEB84"/>
        <color rgb="FF63BE7B"/>
      </colorScale>
    </cfRule>
  </conditionalFormatting>
  <conditionalFormatting sqref="F10:F15">
    <cfRule type="colorScale" priority="6372">
      <colorScale>
        <cfvo type="min"/>
        <cfvo type="percentile" val="50"/>
        <cfvo type="max"/>
        <color rgb="FFF8696B"/>
        <color rgb="FFFFEB84"/>
        <color rgb="FF63BE7B"/>
      </colorScale>
    </cfRule>
  </conditionalFormatting>
  <conditionalFormatting sqref="F10:F15">
    <cfRule type="colorScale" priority="6371">
      <colorScale>
        <cfvo type="min"/>
        <cfvo type="percentile" val="50"/>
        <cfvo type="max"/>
        <color rgb="FFF8696B"/>
        <color rgb="FFFFEB84"/>
        <color rgb="FF63BE7B"/>
      </colorScale>
    </cfRule>
  </conditionalFormatting>
  <conditionalFormatting sqref="F10:F15">
    <cfRule type="colorScale" priority="6370">
      <colorScale>
        <cfvo type="min"/>
        <cfvo type="percentile" val="50"/>
        <cfvo type="max"/>
        <color rgb="FFF8696B"/>
        <color rgb="FFFFEB84"/>
        <color rgb="FF63BE7B"/>
      </colorScale>
    </cfRule>
  </conditionalFormatting>
  <conditionalFormatting sqref="F10:F15">
    <cfRule type="colorScale" priority="6369">
      <colorScale>
        <cfvo type="min"/>
        <cfvo type="percentile" val="50"/>
        <cfvo type="max"/>
        <color rgb="FFF8696B"/>
        <color rgb="FFFFEB84"/>
        <color rgb="FF63BE7B"/>
      </colorScale>
    </cfRule>
  </conditionalFormatting>
  <conditionalFormatting sqref="F10:F15">
    <cfRule type="colorScale" priority="6368">
      <colorScale>
        <cfvo type="min"/>
        <cfvo type="percentile" val="50"/>
        <cfvo type="max"/>
        <color rgb="FFF8696B"/>
        <color rgb="FFFFEB84"/>
        <color rgb="FF63BE7B"/>
      </colorScale>
    </cfRule>
  </conditionalFormatting>
  <conditionalFormatting sqref="F16:F21">
    <cfRule type="colorScale" priority="6367">
      <colorScale>
        <cfvo type="min"/>
        <cfvo type="percentile" val="50"/>
        <cfvo type="max"/>
        <color rgb="FFF8696B"/>
        <color rgb="FFFFEB84"/>
        <color rgb="FF63BE7B"/>
      </colorScale>
    </cfRule>
  </conditionalFormatting>
  <conditionalFormatting sqref="F16:F21">
    <cfRule type="colorScale" priority="6366">
      <colorScale>
        <cfvo type="min"/>
        <cfvo type="percentile" val="50"/>
        <cfvo type="max"/>
        <color rgb="FFF8696B"/>
        <color rgb="FFFFEB84"/>
        <color rgb="FF63BE7B"/>
      </colorScale>
    </cfRule>
  </conditionalFormatting>
  <conditionalFormatting sqref="F16:F21">
    <cfRule type="colorScale" priority="6365">
      <colorScale>
        <cfvo type="min"/>
        <cfvo type="percentile" val="50"/>
        <cfvo type="max"/>
        <color rgb="FFF8696B"/>
        <color rgb="FFFFEB84"/>
        <color rgb="FF63BE7B"/>
      </colorScale>
    </cfRule>
  </conditionalFormatting>
  <conditionalFormatting sqref="F16:F21">
    <cfRule type="colorScale" priority="6364">
      <colorScale>
        <cfvo type="min"/>
        <cfvo type="percentile" val="50"/>
        <cfvo type="max"/>
        <color rgb="FFF8696B"/>
        <color rgb="FFFFEB84"/>
        <color rgb="FF63BE7B"/>
      </colorScale>
    </cfRule>
  </conditionalFormatting>
  <conditionalFormatting sqref="F16:F21">
    <cfRule type="colorScale" priority="6363">
      <colorScale>
        <cfvo type="min"/>
        <cfvo type="percentile" val="50"/>
        <cfvo type="max"/>
        <color rgb="FFF8696B"/>
        <color rgb="FFFFEB84"/>
        <color rgb="FF63BE7B"/>
      </colorScale>
    </cfRule>
  </conditionalFormatting>
  <conditionalFormatting sqref="F16:F21">
    <cfRule type="colorScale" priority="6362">
      <colorScale>
        <cfvo type="min"/>
        <cfvo type="percentile" val="50"/>
        <cfvo type="max"/>
        <color rgb="FFF8696B"/>
        <color rgb="FFFFEB84"/>
        <color rgb="FF63BE7B"/>
      </colorScale>
    </cfRule>
  </conditionalFormatting>
  <conditionalFormatting sqref="F16:F21">
    <cfRule type="colorScale" priority="6361">
      <colorScale>
        <cfvo type="min"/>
        <cfvo type="percentile" val="50"/>
        <cfvo type="max"/>
        <color rgb="FFF8696B"/>
        <color rgb="FFFFEB84"/>
        <color rgb="FF63BE7B"/>
      </colorScale>
    </cfRule>
  </conditionalFormatting>
  <conditionalFormatting sqref="F16:F21">
    <cfRule type="colorScale" priority="6360">
      <colorScale>
        <cfvo type="min"/>
        <cfvo type="percentile" val="50"/>
        <cfvo type="max"/>
        <color rgb="FFF8696B"/>
        <color rgb="FFFFEB84"/>
        <color rgb="FF63BE7B"/>
      </colorScale>
    </cfRule>
  </conditionalFormatting>
  <conditionalFormatting sqref="F16:F21">
    <cfRule type="colorScale" priority="6359">
      <colorScale>
        <cfvo type="min"/>
        <cfvo type="percentile" val="50"/>
        <cfvo type="max"/>
        <color rgb="FFF8696B"/>
        <color rgb="FFFFEB84"/>
        <color rgb="FF63BE7B"/>
      </colorScale>
    </cfRule>
  </conditionalFormatting>
  <conditionalFormatting sqref="F16:F21">
    <cfRule type="colorScale" priority="6358">
      <colorScale>
        <cfvo type="min"/>
        <cfvo type="percentile" val="50"/>
        <cfvo type="max"/>
        <color rgb="FFF8696B"/>
        <color rgb="FFFFEB84"/>
        <color rgb="FF63BE7B"/>
      </colorScale>
    </cfRule>
  </conditionalFormatting>
  <conditionalFormatting sqref="F22:F27">
    <cfRule type="colorScale" priority="6357">
      <colorScale>
        <cfvo type="min"/>
        <cfvo type="percentile" val="50"/>
        <cfvo type="max"/>
        <color rgb="FFF8696B"/>
        <color rgb="FFFFEB84"/>
        <color rgb="FF63BE7B"/>
      </colorScale>
    </cfRule>
  </conditionalFormatting>
  <conditionalFormatting sqref="F22:F27">
    <cfRule type="colorScale" priority="6356">
      <colorScale>
        <cfvo type="min"/>
        <cfvo type="percentile" val="50"/>
        <cfvo type="max"/>
        <color rgb="FFF8696B"/>
        <color rgb="FFFFEB84"/>
        <color rgb="FF63BE7B"/>
      </colorScale>
    </cfRule>
  </conditionalFormatting>
  <conditionalFormatting sqref="F22:F27">
    <cfRule type="colorScale" priority="6355">
      <colorScale>
        <cfvo type="min"/>
        <cfvo type="percentile" val="50"/>
        <cfvo type="max"/>
        <color rgb="FFF8696B"/>
        <color rgb="FFFFEB84"/>
        <color rgb="FF63BE7B"/>
      </colorScale>
    </cfRule>
  </conditionalFormatting>
  <conditionalFormatting sqref="F22:F27">
    <cfRule type="colorScale" priority="6354">
      <colorScale>
        <cfvo type="min"/>
        <cfvo type="percentile" val="50"/>
        <cfvo type="max"/>
        <color rgb="FFF8696B"/>
        <color rgb="FFFFEB84"/>
        <color rgb="FF63BE7B"/>
      </colorScale>
    </cfRule>
  </conditionalFormatting>
  <conditionalFormatting sqref="F22:F27">
    <cfRule type="colorScale" priority="6353">
      <colorScale>
        <cfvo type="min"/>
        <cfvo type="percentile" val="50"/>
        <cfvo type="max"/>
        <color rgb="FFF8696B"/>
        <color rgb="FFFFEB84"/>
        <color rgb="FF63BE7B"/>
      </colorScale>
    </cfRule>
  </conditionalFormatting>
  <conditionalFormatting sqref="F22:F27">
    <cfRule type="colorScale" priority="6352">
      <colorScale>
        <cfvo type="min"/>
        <cfvo type="percentile" val="50"/>
        <cfvo type="max"/>
        <color rgb="FFF8696B"/>
        <color rgb="FFFFEB84"/>
        <color rgb="FF63BE7B"/>
      </colorScale>
    </cfRule>
  </conditionalFormatting>
  <conditionalFormatting sqref="F22:F27">
    <cfRule type="colorScale" priority="6351">
      <colorScale>
        <cfvo type="min"/>
        <cfvo type="percentile" val="50"/>
        <cfvo type="max"/>
        <color rgb="FFF8696B"/>
        <color rgb="FFFFEB84"/>
        <color rgb="FF63BE7B"/>
      </colorScale>
    </cfRule>
  </conditionalFormatting>
  <conditionalFormatting sqref="F22:F27">
    <cfRule type="colorScale" priority="6350">
      <colorScale>
        <cfvo type="min"/>
        <cfvo type="percentile" val="50"/>
        <cfvo type="max"/>
        <color rgb="FFF8696B"/>
        <color rgb="FFFFEB84"/>
        <color rgb="FF63BE7B"/>
      </colorScale>
    </cfRule>
  </conditionalFormatting>
  <conditionalFormatting sqref="F22:F27">
    <cfRule type="colorScale" priority="6349">
      <colorScale>
        <cfvo type="min"/>
        <cfvo type="percentile" val="50"/>
        <cfvo type="max"/>
        <color rgb="FFF8696B"/>
        <color rgb="FFFFEB84"/>
        <color rgb="FF63BE7B"/>
      </colorScale>
    </cfRule>
  </conditionalFormatting>
  <conditionalFormatting sqref="F22:F27">
    <cfRule type="colorScale" priority="6348">
      <colorScale>
        <cfvo type="min"/>
        <cfvo type="percentile" val="50"/>
        <cfvo type="max"/>
        <color rgb="FFF8696B"/>
        <color rgb="FFFFEB84"/>
        <color rgb="FF63BE7B"/>
      </colorScale>
    </cfRule>
  </conditionalFormatting>
  <conditionalFormatting sqref="F28:F32">
    <cfRule type="colorScale" priority="6347">
      <colorScale>
        <cfvo type="min"/>
        <cfvo type="percentile" val="50"/>
        <cfvo type="max"/>
        <color rgb="FFF8696B"/>
        <color rgb="FFFFEB84"/>
        <color rgb="FF63BE7B"/>
      </colorScale>
    </cfRule>
  </conditionalFormatting>
  <conditionalFormatting sqref="F28:F32">
    <cfRule type="colorScale" priority="6346">
      <colorScale>
        <cfvo type="min"/>
        <cfvo type="percentile" val="50"/>
        <cfvo type="max"/>
        <color rgb="FFF8696B"/>
        <color rgb="FFFFEB84"/>
        <color rgb="FF63BE7B"/>
      </colorScale>
    </cfRule>
  </conditionalFormatting>
  <conditionalFormatting sqref="F28:F32">
    <cfRule type="colorScale" priority="6345">
      <colorScale>
        <cfvo type="min"/>
        <cfvo type="percentile" val="50"/>
        <cfvo type="max"/>
        <color rgb="FFF8696B"/>
        <color rgb="FFFFEB84"/>
        <color rgb="FF63BE7B"/>
      </colorScale>
    </cfRule>
  </conditionalFormatting>
  <conditionalFormatting sqref="F28:F32">
    <cfRule type="colorScale" priority="6344">
      <colorScale>
        <cfvo type="min"/>
        <cfvo type="percentile" val="50"/>
        <cfvo type="max"/>
        <color rgb="FFF8696B"/>
        <color rgb="FFFFEB84"/>
        <color rgb="FF63BE7B"/>
      </colorScale>
    </cfRule>
  </conditionalFormatting>
  <conditionalFormatting sqref="F28:F32">
    <cfRule type="colorScale" priority="6343">
      <colorScale>
        <cfvo type="min"/>
        <cfvo type="percentile" val="50"/>
        <cfvo type="max"/>
        <color rgb="FFF8696B"/>
        <color rgb="FFFFEB84"/>
        <color rgb="FF63BE7B"/>
      </colorScale>
    </cfRule>
  </conditionalFormatting>
  <conditionalFormatting sqref="F28:F32">
    <cfRule type="colorScale" priority="6342">
      <colorScale>
        <cfvo type="min"/>
        <cfvo type="percentile" val="50"/>
        <cfvo type="max"/>
        <color rgb="FFF8696B"/>
        <color rgb="FFFFEB84"/>
        <color rgb="FF63BE7B"/>
      </colorScale>
    </cfRule>
  </conditionalFormatting>
  <conditionalFormatting sqref="F28:F32">
    <cfRule type="colorScale" priority="6341">
      <colorScale>
        <cfvo type="min"/>
        <cfvo type="percentile" val="50"/>
        <cfvo type="max"/>
        <color rgb="FFF8696B"/>
        <color rgb="FFFFEB84"/>
        <color rgb="FF63BE7B"/>
      </colorScale>
    </cfRule>
  </conditionalFormatting>
  <conditionalFormatting sqref="F28:F32">
    <cfRule type="colorScale" priority="6340">
      <colorScale>
        <cfvo type="min"/>
        <cfvo type="percentile" val="50"/>
        <cfvo type="max"/>
        <color rgb="FFF8696B"/>
        <color rgb="FFFFEB84"/>
        <color rgb="FF63BE7B"/>
      </colorScale>
    </cfRule>
  </conditionalFormatting>
  <conditionalFormatting sqref="F28:F32">
    <cfRule type="colorScale" priority="6339">
      <colorScale>
        <cfvo type="min"/>
        <cfvo type="percentile" val="50"/>
        <cfvo type="max"/>
        <color rgb="FFF8696B"/>
        <color rgb="FFFFEB84"/>
        <color rgb="FF63BE7B"/>
      </colorScale>
    </cfRule>
  </conditionalFormatting>
  <conditionalFormatting sqref="F28:F32">
    <cfRule type="colorScale" priority="6338">
      <colorScale>
        <cfvo type="min"/>
        <cfvo type="percentile" val="50"/>
        <cfvo type="max"/>
        <color rgb="FFF8696B"/>
        <color rgb="FFFFEB84"/>
        <color rgb="FF63BE7B"/>
      </colorScale>
    </cfRule>
  </conditionalFormatting>
  <conditionalFormatting sqref="F10:F31">
    <cfRule type="colorScale" priority="6337">
      <colorScale>
        <cfvo type="min"/>
        <cfvo type="percentile" val="50"/>
        <cfvo type="max"/>
        <color rgb="FFF8696B"/>
        <color rgb="FFFFEB84"/>
        <color rgb="FF63BE7B"/>
      </colorScale>
    </cfRule>
  </conditionalFormatting>
  <conditionalFormatting sqref="F10:F21">
    <cfRule type="colorScale" priority="6336">
      <colorScale>
        <cfvo type="min"/>
        <cfvo type="percentile" val="50"/>
        <cfvo type="max"/>
        <color rgb="FFF8696B"/>
        <color rgb="FFFFEB84"/>
        <color rgb="FF63BE7B"/>
      </colorScale>
    </cfRule>
  </conditionalFormatting>
  <conditionalFormatting sqref="F10:F32">
    <cfRule type="colorScale" priority="6335">
      <colorScale>
        <cfvo type="min"/>
        <cfvo type="percentile" val="50"/>
        <cfvo type="max"/>
        <color rgb="FFF8696B"/>
        <color rgb="FFFFEB84"/>
        <color rgb="FF63BE7B"/>
      </colorScale>
    </cfRule>
  </conditionalFormatting>
  <conditionalFormatting sqref="F10:F32">
    <cfRule type="colorScale" priority="6334">
      <colorScale>
        <cfvo type="min"/>
        <cfvo type="percentile" val="50"/>
        <cfvo type="max"/>
        <color rgb="FFF8696B"/>
        <color rgb="FFFFEB84"/>
        <color rgb="FF63BE7B"/>
      </colorScale>
    </cfRule>
  </conditionalFormatting>
  <conditionalFormatting sqref="F10:F32">
    <cfRule type="colorScale" priority="6333">
      <colorScale>
        <cfvo type="min"/>
        <cfvo type="percentile" val="50"/>
        <cfvo type="max"/>
        <color rgb="FFF8696B"/>
        <color rgb="FFFFEB84"/>
        <color rgb="FF63BE7B"/>
      </colorScale>
    </cfRule>
  </conditionalFormatting>
  <conditionalFormatting sqref="J10:K32">
    <cfRule type="colorScale" priority="6332">
      <colorScale>
        <cfvo type="min"/>
        <cfvo type="percentile" val="50"/>
        <cfvo type="max"/>
        <color rgb="FFF8696B"/>
        <color rgb="FFFFEB84"/>
        <color rgb="FF63BE7B"/>
      </colorScale>
    </cfRule>
  </conditionalFormatting>
  <conditionalFormatting sqref="J10:J31">
    <cfRule type="colorScale" priority="6331">
      <colorScale>
        <cfvo type="min"/>
        <cfvo type="percentile" val="50"/>
        <cfvo type="max"/>
        <color rgb="FFF8696B"/>
        <color rgb="FFFFEB84"/>
        <color rgb="FF63BE7B"/>
      </colorScale>
    </cfRule>
  </conditionalFormatting>
  <conditionalFormatting sqref="J10:J21">
    <cfRule type="colorScale" priority="6330">
      <colorScale>
        <cfvo type="min"/>
        <cfvo type="percentile" val="50"/>
        <cfvo type="max"/>
        <color rgb="FFF8696B"/>
        <color rgb="FFFFEB84"/>
        <color rgb="FF63BE7B"/>
      </colorScale>
    </cfRule>
  </conditionalFormatting>
  <conditionalFormatting sqref="J14:J18">
    <cfRule type="colorScale" priority="6329">
      <colorScale>
        <cfvo type="min"/>
        <cfvo type="percentile" val="50"/>
        <cfvo type="max"/>
        <color rgb="FFF8696B"/>
        <color rgb="FFFFEB84"/>
        <color rgb="FF63BE7B"/>
      </colorScale>
    </cfRule>
  </conditionalFormatting>
  <conditionalFormatting sqref="J32">
    <cfRule type="colorScale" priority="6328">
      <colorScale>
        <cfvo type="min"/>
        <cfvo type="percentile" val="50"/>
        <cfvo type="max"/>
        <color rgb="FFF8696B"/>
        <color rgb="FFFFEB84"/>
        <color rgb="FF63BE7B"/>
      </colorScale>
    </cfRule>
  </conditionalFormatting>
  <conditionalFormatting sqref="K10:K32">
    <cfRule type="colorScale" priority="6327">
      <colorScale>
        <cfvo type="min"/>
        <cfvo type="percentile" val="50"/>
        <cfvo type="max"/>
        <color rgb="FFF8696B"/>
        <color rgb="FFFFEB84"/>
        <color rgb="FF63BE7B"/>
      </colorScale>
    </cfRule>
  </conditionalFormatting>
  <conditionalFormatting sqref="J32">
    <cfRule type="colorScale" priority="6326">
      <colorScale>
        <cfvo type="min"/>
        <cfvo type="percentile" val="50"/>
        <cfvo type="max"/>
        <color rgb="FFF8696B"/>
        <color rgb="FFFFEB84"/>
        <color rgb="FF63BE7B"/>
      </colorScale>
    </cfRule>
  </conditionalFormatting>
  <conditionalFormatting sqref="J32">
    <cfRule type="colorScale" priority="6325">
      <colorScale>
        <cfvo type="min"/>
        <cfvo type="percentile" val="50"/>
        <cfvo type="max"/>
        <color rgb="FFF8696B"/>
        <color rgb="FFFFEB84"/>
        <color rgb="FF63BE7B"/>
      </colorScale>
    </cfRule>
  </conditionalFormatting>
  <conditionalFormatting sqref="K10:K32">
    <cfRule type="colorScale" priority="6324">
      <colorScale>
        <cfvo type="min"/>
        <cfvo type="percentile" val="50"/>
        <cfvo type="max"/>
        <color rgb="FFF8696B"/>
        <color rgb="FFFFEB84"/>
        <color rgb="FF63BE7B"/>
      </colorScale>
    </cfRule>
  </conditionalFormatting>
  <conditionalFormatting sqref="D10:D32">
    <cfRule type="colorScale" priority="6323">
      <colorScale>
        <cfvo type="min"/>
        <cfvo type="percentile" val="50"/>
        <cfvo type="max"/>
        <color rgb="FFF8696B"/>
        <color rgb="FFFFEB84"/>
        <color rgb="FF63BE7B"/>
      </colorScale>
    </cfRule>
  </conditionalFormatting>
  <conditionalFormatting sqref="D10:D31">
    <cfRule type="colorScale" priority="6322">
      <colorScale>
        <cfvo type="min"/>
        <cfvo type="percentile" val="50"/>
        <cfvo type="max"/>
        <color rgb="FFF8696B"/>
        <color rgb="FFFFEB84"/>
        <color rgb="FF63BE7B"/>
      </colorScale>
    </cfRule>
  </conditionalFormatting>
  <conditionalFormatting sqref="D10:D31">
    <cfRule type="colorScale" priority="6321">
      <colorScale>
        <cfvo type="min"/>
        <cfvo type="percentile" val="50"/>
        <cfvo type="max"/>
        <color rgb="FFF8696B"/>
        <color rgb="FFFFEB84"/>
        <color rgb="FF63BE7B"/>
      </colorScale>
    </cfRule>
  </conditionalFormatting>
  <conditionalFormatting sqref="D10:D29">
    <cfRule type="colorScale" priority="6320">
      <colorScale>
        <cfvo type="min"/>
        <cfvo type="percentile" val="50"/>
        <cfvo type="max"/>
        <color rgb="FFF8696B"/>
        <color rgb="FFFFEB84"/>
        <color rgb="FF63BE7B"/>
      </colorScale>
    </cfRule>
  </conditionalFormatting>
  <conditionalFormatting sqref="D10:D21">
    <cfRule type="colorScale" priority="6319">
      <colorScale>
        <cfvo type="min"/>
        <cfvo type="percentile" val="50"/>
        <cfvo type="max"/>
        <color rgb="FFF8696B"/>
        <color rgb="FFFFEB84"/>
        <color rgb="FF63BE7B"/>
      </colorScale>
    </cfRule>
  </conditionalFormatting>
  <conditionalFormatting sqref="D10:D21">
    <cfRule type="colorScale" priority="6318">
      <colorScale>
        <cfvo type="min"/>
        <cfvo type="percentile" val="50"/>
        <cfvo type="max"/>
        <color rgb="FFF8696B"/>
        <color rgb="FFFFEB84"/>
        <color rgb="FF63BE7B"/>
      </colorScale>
    </cfRule>
  </conditionalFormatting>
  <conditionalFormatting sqref="D10:D21">
    <cfRule type="colorScale" priority="6317">
      <colorScale>
        <cfvo type="min"/>
        <cfvo type="percentile" val="50"/>
        <cfvo type="max"/>
        <color rgb="FFF8696B"/>
        <color rgb="FFFFEB84"/>
        <color rgb="FF63BE7B"/>
      </colorScale>
    </cfRule>
  </conditionalFormatting>
  <conditionalFormatting sqref="D10:D32">
    <cfRule type="colorScale" priority="6316">
      <colorScale>
        <cfvo type="min"/>
        <cfvo type="percentile" val="50"/>
        <cfvo type="max"/>
        <color rgb="FFF8696B"/>
        <color rgb="FFFFEB84"/>
        <color rgb="FF63BE7B"/>
      </colorScale>
    </cfRule>
  </conditionalFormatting>
  <conditionalFormatting sqref="D10:D32">
    <cfRule type="colorScale" priority="6315">
      <colorScale>
        <cfvo type="min"/>
        <cfvo type="percentile" val="50"/>
        <cfvo type="max"/>
        <color rgb="FFF8696B"/>
        <color rgb="FFFFEB84"/>
        <color rgb="FF63BE7B"/>
      </colorScale>
    </cfRule>
  </conditionalFormatting>
  <conditionalFormatting sqref="D10:D29">
    <cfRule type="colorScale" priority="6314">
      <colorScale>
        <cfvo type="min"/>
        <cfvo type="percentile" val="50"/>
        <cfvo type="max"/>
        <color rgb="FFF8696B"/>
        <color rgb="FFFFEB84"/>
        <color rgb="FF63BE7B"/>
      </colorScale>
    </cfRule>
  </conditionalFormatting>
  <conditionalFormatting sqref="D29:D31">
    <cfRule type="colorScale" priority="6313">
      <colorScale>
        <cfvo type="min"/>
        <cfvo type="percentile" val="50"/>
        <cfvo type="max"/>
        <color rgb="FFF8696B"/>
        <color rgb="FFFFEB84"/>
        <color rgb="FF63BE7B"/>
      </colorScale>
    </cfRule>
  </conditionalFormatting>
  <conditionalFormatting sqref="D32">
    <cfRule type="colorScale" priority="6312">
      <colorScale>
        <cfvo type="min"/>
        <cfvo type="percentile" val="50"/>
        <cfvo type="max"/>
        <color rgb="FFF8696B"/>
        <color rgb="FFFFEB84"/>
        <color rgb="FF63BE7B"/>
      </colorScale>
    </cfRule>
  </conditionalFormatting>
  <conditionalFormatting sqref="D11:D31">
    <cfRule type="colorScale" priority="6311">
      <colorScale>
        <cfvo type="min"/>
        <cfvo type="percentile" val="50"/>
        <cfvo type="max"/>
        <color rgb="FFF8696B"/>
        <color rgb="FFFFEB84"/>
        <color rgb="FF63BE7B"/>
      </colorScale>
    </cfRule>
  </conditionalFormatting>
  <conditionalFormatting sqref="D11:D29">
    <cfRule type="colorScale" priority="6310">
      <colorScale>
        <cfvo type="min"/>
        <cfvo type="percentile" val="50"/>
        <cfvo type="max"/>
        <color rgb="FFF8696B"/>
        <color rgb="FFFFEB84"/>
        <color rgb="FF63BE7B"/>
      </colorScale>
    </cfRule>
  </conditionalFormatting>
  <conditionalFormatting sqref="D10:D32">
    <cfRule type="colorScale" priority="6309">
      <colorScale>
        <cfvo type="min"/>
        <cfvo type="percentile" val="50"/>
        <cfvo type="max"/>
        <color rgb="FFF8696B"/>
        <color rgb="FFFFEB84"/>
        <color rgb="FF63BE7B"/>
      </colorScale>
    </cfRule>
  </conditionalFormatting>
  <conditionalFormatting sqref="D10:D31">
    <cfRule type="colorScale" priority="6308">
      <colorScale>
        <cfvo type="min"/>
        <cfvo type="percentile" val="50"/>
        <cfvo type="max"/>
        <color rgb="FFF8696B"/>
        <color rgb="FFFFEB84"/>
        <color rgb="FF63BE7B"/>
      </colorScale>
    </cfRule>
  </conditionalFormatting>
  <conditionalFormatting sqref="D10:D21">
    <cfRule type="colorScale" priority="6307">
      <colorScale>
        <cfvo type="min"/>
        <cfvo type="percentile" val="50"/>
        <cfvo type="max"/>
        <color rgb="FFF8696B"/>
        <color rgb="FFFFEB84"/>
        <color rgb="FF63BE7B"/>
      </colorScale>
    </cfRule>
  </conditionalFormatting>
  <conditionalFormatting sqref="D10:D32">
    <cfRule type="colorScale" priority="6306">
      <colorScale>
        <cfvo type="min"/>
        <cfvo type="percentile" val="50"/>
        <cfvo type="max"/>
        <color rgb="FFF8696B"/>
        <color rgb="FFFFEB84"/>
        <color rgb="FF63BE7B"/>
      </colorScale>
    </cfRule>
  </conditionalFormatting>
  <conditionalFormatting sqref="D10:D32">
    <cfRule type="colorScale" priority="6305">
      <colorScale>
        <cfvo type="min"/>
        <cfvo type="percentile" val="50"/>
        <cfvo type="max"/>
        <color rgb="FFF8696B"/>
        <color rgb="FFFFEB84"/>
        <color rgb="FF63BE7B"/>
      </colorScale>
    </cfRule>
  </conditionalFormatting>
  <conditionalFormatting sqref="D10:D32">
    <cfRule type="colorScale" priority="6304">
      <colorScale>
        <cfvo type="min"/>
        <cfvo type="percentile" val="50"/>
        <cfvo type="max"/>
        <color rgb="FFF8696B"/>
        <color rgb="FFFFEB84"/>
        <color rgb="FF63BE7B"/>
      </colorScale>
    </cfRule>
  </conditionalFormatting>
  <conditionalFormatting sqref="E10:E32">
    <cfRule type="colorScale" priority="6303">
      <colorScale>
        <cfvo type="min"/>
        <cfvo type="percentile" val="50"/>
        <cfvo type="max"/>
        <color rgb="FFF8696B"/>
        <color rgb="FFFFEB84"/>
        <color rgb="FF63BE7B"/>
      </colorScale>
    </cfRule>
  </conditionalFormatting>
  <conditionalFormatting sqref="E10:E31">
    <cfRule type="colorScale" priority="6302">
      <colorScale>
        <cfvo type="min"/>
        <cfvo type="percentile" val="50"/>
        <cfvo type="max"/>
        <color rgb="FFF8696B"/>
        <color rgb="FFFFEB84"/>
        <color rgb="FF63BE7B"/>
      </colorScale>
    </cfRule>
  </conditionalFormatting>
  <conditionalFormatting sqref="E10:E31">
    <cfRule type="colorScale" priority="6301">
      <colorScale>
        <cfvo type="min"/>
        <cfvo type="percentile" val="50"/>
        <cfvo type="max"/>
        <color rgb="FFF8696B"/>
        <color rgb="FFFFEB84"/>
        <color rgb="FF63BE7B"/>
      </colorScale>
    </cfRule>
  </conditionalFormatting>
  <conditionalFormatting sqref="E10:E21">
    <cfRule type="colorScale" priority="6300">
      <colorScale>
        <cfvo type="min"/>
        <cfvo type="percentile" val="50"/>
        <cfvo type="max"/>
        <color rgb="FFF8696B"/>
        <color rgb="FFFFEB84"/>
        <color rgb="FF63BE7B"/>
      </colorScale>
    </cfRule>
  </conditionalFormatting>
  <conditionalFormatting sqref="E10:E21">
    <cfRule type="colorScale" priority="6299">
      <colorScale>
        <cfvo type="min"/>
        <cfvo type="percentile" val="50"/>
        <cfvo type="max"/>
        <color rgb="FFF8696B"/>
        <color rgb="FFFFEB84"/>
        <color rgb="FF63BE7B"/>
      </colorScale>
    </cfRule>
  </conditionalFormatting>
  <conditionalFormatting sqref="E10:E32">
    <cfRule type="colorScale" priority="6298">
      <colorScale>
        <cfvo type="min"/>
        <cfvo type="percentile" val="50"/>
        <cfvo type="max"/>
        <color rgb="FFF8696B"/>
        <color rgb="FFFFEB84"/>
        <color rgb="FF63BE7B"/>
      </colorScale>
    </cfRule>
  </conditionalFormatting>
  <conditionalFormatting sqref="E10:E27">
    <cfRule type="colorScale" priority="6297">
      <colorScale>
        <cfvo type="min"/>
        <cfvo type="percentile" val="50"/>
        <cfvo type="max"/>
        <color rgb="FFF8696B"/>
        <color rgb="FFFFEB84"/>
        <color rgb="FF63BE7B"/>
      </colorScale>
    </cfRule>
  </conditionalFormatting>
  <conditionalFormatting sqref="E10:E27">
    <cfRule type="colorScale" priority="6296">
      <colorScale>
        <cfvo type="min"/>
        <cfvo type="percentile" val="50"/>
        <cfvo type="max"/>
        <color rgb="FFF8696B"/>
        <color rgb="FFFFEB84"/>
        <color rgb="FF63BE7B"/>
      </colorScale>
    </cfRule>
  </conditionalFormatting>
  <conditionalFormatting sqref="E22:E27">
    <cfRule type="colorScale" priority="6295">
      <colorScale>
        <cfvo type="min"/>
        <cfvo type="percentile" val="50"/>
        <cfvo type="max"/>
        <color rgb="FFF8696B"/>
        <color rgb="FFFFEB84"/>
        <color rgb="FF63BE7B"/>
      </colorScale>
    </cfRule>
  </conditionalFormatting>
  <conditionalFormatting sqref="E25">
    <cfRule type="colorScale" priority="6294">
      <colorScale>
        <cfvo type="min"/>
        <cfvo type="percentile" val="50"/>
        <cfvo type="max"/>
        <color rgb="FFF8696B"/>
        <color rgb="FFFFEB84"/>
        <color rgb="FF63BE7B"/>
      </colorScale>
    </cfRule>
  </conditionalFormatting>
  <conditionalFormatting sqref="E11:E31">
    <cfRule type="colorScale" priority="6293">
      <colorScale>
        <cfvo type="min"/>
        <cfvo type="percentile" val="50"/>
        <cfvo type="max"/>
        <color rgb="FFF8696B"/>
        <color rgb="FFFFEB84"/>
        <color rgb="FF63BE7B"/>
      </colorScale>
    </cfRule>
  </conditionalFormatting>
  <conditionalFormatting sqref="E11:E28">
    <cfRule type="colorScale" priority="6292">
      <colorScale>
        <cfvo type="min"/>
        <cfvo type="percentile" val="50"/>
        <cfvo type="max"/>
        <color rgb="FFF8696B"/>
        <color rgb="FFFFEB84"/>
        <color rgb="FF63BE7B"/>
      </colorScale>
    </cfRule>
  </conditionalFormatting>
  <conditionalFormatting sqref="E29:E31">
    <cfRule type="colorScale" priority="6291">
      <colorScale>
        <cfvo type="min"/>
        <cfvo type="percentile" val="50"/>
        <cfvo type="max"/>
        <color rgb="FFF8696B"/>
        <color rgb="FFFFEB84"/>
        <color rgb="FF63BE7B"/>
      </colorScale>
    </cfRule>
  </conditionalFormatting>
  <conditionalFormatting sqref="E32">
    <cfRule type="colorScale" priority="6290">
      <colorScale>
        <cfvo type="min"/>
        <cfvo type="percentile" val="50"/>
        <cfvo type="max"/>
        <color rgb="FFF8696B"/>
        <color rgb="FFFFEB84"/>
        <color rgb="FF63BE7B"/>
      </colorScale>
    </cfRule>
  </conditionalFormatting>
  <conditionalFormatting sqref="E10:E32">
    <cfRule type="colorScale" priority="6289">
      <colorScale>
        <cfvo type="min"/>
        <cfvo type="percentile" val="50"/>
        <cfvo type="max"/>
        <color rgb="FFF8696B"/>
        <color rgb="FFFFEB84"/>
        <color rgb="FF63BE7B"/>
      </colorScale>
    </cfRule>
  </conditionalFormatting>
  <conditionalFormatting sqref="E10:E31">
    <cfRule type="colorScale" priority="6288">
      <colorScale>
        <cfvo type="min"/>
        <cfvo type="percentile" val="50"/>
        <cfvo type="max"/>
        <color rgb="FFF8696B"/>
        <color rgb="FFFFEB84"/>
        <color rgb="FF63BE7B"/>
      </colorScale>
    </cfRule>
  </conditionalFormatting>
  <conditionalFormatting sqref="E10:E21">
    <cfRule type="colorScale" priority="6287">
      <colorScale>
        <cfvo type="min"/>
        <cfvo type="percentile" val="50"/>
        <cfvo type="max"/>
        <color rgb="FFF8696B"/>
        <color rgb="FFFFEB84"/>
        <color rgb="FF63BE7B"/>
      </colorScale>
    </cfRule>
  </conditionalFormatting>
  <conditionalFormatting sqref="E10:E32">
    <cfRule type="colorScale" priority="6286">
      <colorScale>
        <cfvo type="min"/>
        <cfvo type="percentile" val="50"/>
        <cfvo type="max"/>
        <color rgb="FFF8696B"/>
        <color rgb="FFFFEB84"/>
        <color rgb="FF63BE7B"/>
      </colorScale>
    </cfRule>
  </conditionalFormatting>
  <conditionalFormatting sqref="E10:E32">
    <cfRule type="colorScale" priority="6285">
      <colorScale>
        <cfvo type="min"/>
        <cfvo type="percentile" val="50"/>
        <cfvo type="max"/>
        <color rgb="FFF8696B"/>
        <color rgb="FFFFEB84"/>
        <color rgb="FF63BE7B"/>
      </colorScale>
    </cfRule>
  </conditionalFormatting>
  <conditionalFormatting sqref="E10:E32">
    <cfRule type="colorScale" priority="6284">
      <colorScale>
        <cfvo type="min"/>
        <cfvo type="percentile" val="50"/>
        <cfvo type="max"/>
        <color rgb="FFF8696B"/>
        <color rgb="FFFFEB84"/>
        <color rgb="FF63BE7B"/>
      </colorScale>
    </cfRule>
  </conditionalFormatting>
  <conditionalFormatting sqref="F10:F32">
    <cfRule type="colorScale" priority="6283">
      <colorScale>
        <cfvo type="min"/>
        <cfvo type="percentile" val="50"/>
        <cfvo type="max"/>
        <color rgb="FFF8696B"/>
        <color rgb="FFFFEB84"/>
        <color rgb="FF63BE7B"/>
      </colorScale>
    </cfRule>
  </conditionalFormatting>
  <conditionalFormatting sqref="F13:F20">
    <cfRule type="colorScale" priority="6282">
      <colorScale>
        <cfvo type="min"/>
        <cfvo type="percentile" val="50"/>
        <cfvo type="max"/>
        <color rgb="FFF8696B"/>
        <color rgb="FFFFEB84"/>
        <color rgb="FF63BE7B"/>
      </colorScale>
    </cfRule>
  </conditionalFormatting>
  <conditionalFormatting sqref="F13:F20">
    <cfRule type="colorScale" priority="6281">
      <colorScale>
        <cfvo type="min"/>
        <cfvo type="percentile" val="50"/>
        <cfvo type="max"/>
        <color rgb="FFF8696B"/>
        <color rgb="FFFFEB84"/>
        <color rgb="FF63BE7B"/>
      </colorScale>
    </cfRule>
  </conditionalFormatting>
  <conditionalFormatting sqref="F13:F20">
    <cfRule type="colorScale" priority="6280">
      <colorScale>
        <cfvo type="min"/>
        <cfvo type="percentile" val="50"/>
        <cfvo type="max"/>
        <color rgb="FFF8696B"/>
        <color rgb="FFFFEB84"/>
        <color rgb="FF63BE7B"/>
      </colorScale>
    </cfRule>
  </conditionalFormatting>
  <conditionalFormatting sqref="F13:F20">
    <cfRule type="colorScale" priority="6279">
      <colorScale>
        <cfvo type="min"/>
        <cfvo type="percentile" val="50"/>
        <cfvo type="max"/>
        <color rgb="FFF8696B"/>
        <color rgb="FFFFEB84"/>
        <color rgb="FF63BE7B"/>
      </colorScale>
    </cfRule>
  </conditionalFormatting>
  <conditionalFormatting sqref="F13:F20">
    <cfRule type="colorScale" priority="6278">
      <colorScale>
        <cfvo type="min"/>
        <cfvo type="percentile" val="50"/>
        <cfvo type="max"/>
        <color rgb="FFF8696B"/>
        <color rgb="FFFFEB84"/>
        <color rgb="FF63BE7B"/>
      </colorScale>
    </cfRule>
  </conditionalFormatting>
  <conditionalFormatting sqref="F13:F20">
    <cfRule type="colorScale" priority="6277">
      <colorScale>
        <cfvo type="min"/>
        <cfvo type="percentile" val="50"/>
        <cfvo type="max"/>
        <color rgb="FFF8696B"/>
        <color rgb="FFFFEB84"/>
        <color rgb="FF63BE7B"/>
      </colorScale>
    </cfRule>
  </conditionalFormatting>
  <conditionalFormatting sqref="F13:F20">
    <cfRule type="colorScale" priority="6276">
      <colorScale>
        <cfvo type="min"/>
        <cfvo type="percentile" val="50"/>
        <cfvo type="max"/>
        <color rgb="FFF8696B"/>
        <color rgb="FFFFEB84"/>
        <color rgb="FF63BE7B"/>
      </colorScale>
    </cfRule>
  </conditionalFormatting>
  <conditionalFormatting sqref="F13:F20">
    <cfRule type="colorScale" priority="6275">
      <colorScale>
        <cfvo type="min"/>
        <cfvo type="percentile" val="50"/>
        <cfvo type="max"/>
        <color rgb="FFF8696B"/>
        <color rgb="FFFFEB84"/>
        <color rgb="FF63BE7B"/>
      </colorScale>
    </cfRule>
  </conditionalFormatting>
  <conditionalFormatting sqref="F13:F20">
    <cfRule type="colorScale" priority="6274">
      <colorScale>
        <cfvo type="min"/>
        <cfvo type="percentile" val="50"/>
        <cfvo type="max"/>
        <color rgb="FFF8696B"/>
        <color rgb="FFFFEB84"/>
        <color rgb="FF63BE7B"/>
      </colorScale>
    </cfRule>
  </conditionalFormatting>
  <conditionalFormatting sqref="F13:F20">
    <cfRule type="colorScale" priority="6273">
      <colorScale>
        <cfvo type="min"/>
        <cfvo type="percentile" val="50"/>
        <cfvo type="max"/>
        <color rgb="FFF8696B"/>
        <color rgb="FFFFEB84"/>
        <color rgb="FF63BE7B"/>
      </colorScale>
    </cfRule>
  </conditionalFormatting>
  <conditionalFormatting sqref="F13:F20">
    <cfRule type="colorScale" priority="6272">
      <colorScale>
        <cfvo type="min"/>
        <cfvo type="percentile" val="50"/>
        <cfvo type="max"/>
        <color rgb="FFF8696B"/>
        <color rgb="FFFFEB84"/>
        <color rgb="FF63BE7B"/>
      </colorScale>
    </cfRule>
  </conditionalFormatting>
  <conditionalFormatting sqref="F13:F20">
    <cfRule type="colorScale" priority="6271">
      <colorScale>
        <cfvo type="min"/>
        <cfvo type="percentile" val="50"/>
        <cfvo type="max"/>
        <color rgb="FFF8696B"/>
        <color rgb="FFFFEB84"/>
        <color rgb="FF63BE7B"/>
      </colorScale>
    </cfRule>
  </conditionalFormatting>
  <conditionalFormatting sqref="F13:F20">
    <cfRule type="colorScale" priority="6270">
      <colorScale>
        <cfvo type="min"/>
        <cfvo type="percentile" val="50"/>
        <cfvo type="max"/>
        <color rgb="FFF8696B"/>
        <color rgb="FFFFEB84"/>
        <color rgb="FF63BE7B"/>
      </colorScale>
    </cfRule>
  </conditionalFormatting>
  <conditionalFormatting sqref="F13:F20">
    <cfRule type="colorScale" priority="6269">
      <colorScale>
        <cfvo type="min"/>
        <cfvo type="percentile" val="50"/>
        <cfvo type="max"/>
        <color rgb="FFF8696B"/>
        <color rgb="FFFFEB84"/>
        <color rgb="FF63BE7B"/>
      </colorScale>
    </cfRule>
  </conditionalFormatting>
  <conditionalFormatting sqref="F13:F20">
    <cfRule type="colorScale" priority="6268">
      <colorScale>
        <cfvo type="min"/>
        <cfvo type="percentile" val="50"/>
        <cfvo type="max"/>
        <color rgb="FFF8696B"/>
        <color rgb="FFFFEB84"/>
        <color rgb="FF63BE7B"/>
      </colorScale>
    </cfRule>
  </conditionalFormatting>
  <conditionalFormatting sqref="F13:F20">
    <cfRule type="colorScale" priority="6267">
      <colorScale>
        <cfvo type="min"/>
        <cfvo type="percentile" val="50"/>
        <cfvo type="max"/>
        <color rgb="FFF8696B"/>
        <color rgb="FFFFEB84"/>
        <color rgb="FF63BE7B"/>
      </colorScale>
    </cfRule>
  </conditionalFormatting>
  <conditionalFormatting sqref="F13:F20">
    <cfRule type="colorScale" priority="6266">
      <colorScale>
        <cfvo type="min"/>
        <cfvo type="percentile" val="50"/>
        <cfvo type="max"/>
        <color rgb="FFF8696B"/>
        <color rgb="FFFFEB84"/>
        <color rgb="FF63BE7B"/>
      </colorScale>
    </cfRule>
  </conditionalFormatting>
  <conditionalFormatting sqref="F13:F20">
    <cfRule type="colorScale" priority="6265">
      <colorScale>
        <cfvo type="min"/>
        <cfvo type="percentile" val="50"/>
        <cfvo type="max"/>
        <color rgb="FFF8696B"/>
        <color rgb="FFFFEB84"/>
        <color rgb="FF63BE7B"/>
      </colorScale>
    </cfRule>
  </conditionalFormatting>
  <conditionalFormatting sqref="F13:F20">
    <cfRule type="colorScale" priority="6264">
      <colorScale>
        <cfvo type="min"/>
        <cfvo type="percentile" val="50"/>
        <cfvo type="max"/>
        <color rgb="FFF8696B"/>
        <color rgb="FFFFEB84"/>
        <color rgb="FF63BE7B"/>
      </colorScale>
    </cfRule>
  </conditionalFormatting>
  <conditionalFormatting sqref="F13:F20">
    <cfRule type="colorScale" priority="6263">
      <colorScale>
        <cfvo type="min"/>
        <cfvo type="percentile" val="50"/>
        <cfvo type="max"/>
        <color rgb="FFF8696B"/>
        <color rgb="FFFFEB84"/>
        <color rgb="FF63BE7B"/>
      </colorScale>
    </cfRule>
  </conditionalFormatting>
  <conditionalFormatting sqref="F13:F20">
    <cfRule type="colorScale" priority="6262">
      <colorScale>
        <cfvo type="min"/>
        <cfvo type="percentile" val="50"/>
        <cfvo type="max"/>
        <color rgb="FFF8696B"/>
        <color rgb="FFFFEB84"/>
        <color rgb="FF63BE7B"/>
      </colorScale>
    </cfRule>
  </conditionalFormatting>
  <conditionalFormatting sqref="F13:F20">
    <cfRule type="colorScale" priority="6261">
      <colorScale>
        <cfvo type="min"/>
        <cfvo type="percentile" val="50"/>
        <cfvo type="max"/>
        <color rgb="FFF8696B"/>
        <color rgb="FFFFEB84"/>
        <color rgb="FF63BE7B"/>
      </colorScale>
    </cfRule>
  </conditionalFormatting>
  <conditionalFormatting sqref="F13:F20">
    <cfRule type="colorScale" priority="6260">
      <colorScale>
        <cfvo type="min"/>
        <cfvo type="percentile" val="50"/>
        <cfvo type="max"/>
        <color rgb="FFF8696B"/>
        <color rgb="FFFFEB84"/>
        <color rgb="FF63BE7B"/>
      </colorScale>
    </cfRule>
  </conditionalFormatting>
  <conditionalFormatting sqref="F13:F20">
    <cfRule type="colorScale" priority="6259">
      <colorScale>
        <cfvo type="min"/>
        <cfvo type="percentile" val="50"/>
        <cfvo type="max"/>
        <color rgb="FFF8696B"/>
        <color rgb="FFFFEB84"/>
        <color rgb="FF63BE7B"/>
      </colorScale>
    </cfRule>
  </conditionalFormatting>
  <conditionalFormatting sqref="F13:F20">
    <cfRule type="colorScale" priority="6258">
      <colorScale>
        <cfvo type="min"/>
        <cfvo type="percentile" val="50"/>
        <cfvo type="max"/>
        <color rgb="FFF8696B"/>
        <color rgb="FFFFEB84"/>
        <color rgb="FF63BE7B"/>
      </colorScale>
    </cfRule>
  </conditionalFormatting>
  <conditionalFormatting sqref="F13:F20">
    <cfRule type="colorScale" priority="6257">
      <colorScale>
        <cfvo type="min"/>
        <cfvo type="percentile" val="50"/>
        <cfvo type="max"/>
        <color rgb="FFF8696B"/>
        <color rgb="FFFFEB84"/>
        <color rgb="FF63BE7B"/>
      </colorScale>
    </cfRule>
  </conditionalFormatting>
  <conditionalFormatting sqref="F13:F20">
    <cfRule type="colorScale" priority="6256">
      <colorScale>
        <cfvo type="min"/>
        <cfvo type="percentile" val="50"/>
        <cfvo type="max"/>
        <color rgb="FFF8696B"/>
        <color rgb="FFFFEB84"/>
        <color rgb="FF63BE7B"/>
      </colorScale>
    </cfRule>
  </conditionalFormatting>
  <conditionalFormatting sqref="F13:F20">
    <cfRule type="colorScale" priority="6255">
      <colorScale>
        <cfvo type="min"/>
        <cfvo type="percentile" val="50"/>
        <cfvo type="max"/>
        <color rgb="FFF8696B"/>
        <color rgb="FFFFEB84"/>
        <color rgb="FF63BE7B"/>
      </colorScale>
    </cfRule>
  </conditionalFormatting>
  <conditionalFormatting sqref="F13:F20">
    <cfRule type="colorScale" priority="6254">
      <colorScale>
        <cfvo type="min"/>
        <cfvo type="percentile" val="50"/>
        <cfvo type="max"/>
        <color rgb="FFF8696B"/>
        <color rgb="FFFFEB84"/>
        <color rgb="FF63BE7B"/>
      </colorScale>
    </cfRule>
  </conditionalFormatting>
  <conditionalFormatting sqref="F13:F20">
    <cfRule type="colorScale" priority="6253">
      <colorScale>
        <cfvo type="min"/>
        <cfvo type="percentile" val="50"/>
        <cfvo type="max"/>
        <color rgb="FFF8696B"/>
        <color rgb="FFFFEB84"/>
        <color rgb="FF63BE7B"/>
      </colorScale>
    </cfRule>
  </conditionalFormatting>
  <conditionalFormatting sqref="F13:F20">
    <cfRule type="colorScale" priority="6252">
      <colorScale>
        <cfvo type="min"/>
        <cfvo type="percentile" val="50"/>
        <cfvo type="max"/>
        <color rgb="FFF8696B"/>
        <color rgb="FFFFEB84"/>
        <color rgb="FF63BE7B"/>
      </colorScale>
    </cfRule>
  </conditionalFormatting>
  <conditionalFormatting sqref="F13:F20">
    <cfRule type="colorScale" priority="6251">
      <colorScale>
        <cfvo type="min"/>
        <cfvo type="percentile" val="50"/>
        <cfvo type="max"/>
        <color rgb="FFF8696B"/>
        <color rgb="FFFFEB84"/>
        <color rgb="FF63BE7B"/>
      </colorScale>
    </cfRule>
  </conditionalFormatting>
  <conditionalFormatting sqref="F13:F20">
    <cfRule type="colorScale" priority="6250">
      <colorScale>
        <cfvo type="min"/>
        <cfvo type="percentile" val="50"/>
        <cfvo type="max"/>
        <color rgb="FFF8696B"/>
        <color rgb="FFFFEB84"/>
        <color rgb="FF63BE7B"/>
      </colorScale>
    </cfRule>
  </conditionalFormatting>
  <conditionalFormatting sqref="F13:F20">
    <cfRule type="colorScale" priority="6249">
      <colorScale>
        <cfvo type="min"/>
        <cfvo type="percentile" val="50"/>
        <cfvo type="max"/>
        <color rgb="FFF8696B"/>
        <color rgb="FFFFEB84"/>
        <color rgb="FF63BE7B"/>
      </colorScale>
    </cfRule>
  </conditionalFormatting>
  <conditionalFormatting sqref="F13:F20">
    <cfRule type="colorScale" priority="6248">
      <colorScale>
        <cfvo type="min"/>
        <cfvo type="percentile" val="50"/>
        <cfvo type="max"/>
        <color rgb="FFF8696B"/>
        <color rgb="FFFFEB84"/>
        <color rgb="FF63BE7B"/>
      </colorScale>
    </cfRule>
  </conditionalFormatting>
  <conditionalFormatting sqref="F13:F20">
    <cfRule type="colorScale" priority="6247">
      <colorScale>
        <cfvo type="min"/>
        <cfvo type="percentile" val="50"/>
        <cfvo type="max"/>
        <color rgb="FFF8696B"/>
        <color rgb="FFFFEB84"/>
        <color rgb="FF63BE7B"/>
      </colorScale>
    </cfRule>
  </conditionalFormatting>
  <conditionalFormatting sqref="F13:F20">
    <cfRule type="colorScale" priority="6246">
      <colorScale>
        <cfvo type="min"/>
        <cfvo type="percentile" val="50"/>
        <cfvo type="max"/>
        <color rgb="FFF8696B"/>
        <color rgb="FFFFEB84"/>
        <color rgb="FF63BE7B"/>
      </colorScale>
    </cfRule>
  </conditionalFormatting>
  <conditionalFormatting sqref="F13:F20">
    <cfRule type="colorScale" priority="6245">
      <colorScale>
        <cfvo type="min"/>
        <cfvo type="percentile" val="50"/>
        <cfvo type="max"/>
        <color rgb="FFF8696B"/>
        <color rgb="FFFFEB84"/>
        <color rgb="FF63BE7B"/>
      </colorScale>
    </cfRule>
  </conditionalFormatting>
  <conditionalFormatting sqref="F13:F20">
    <cfRule type="colorScale" priority="6244">
      <colorScale>
        <cfvo type="min"/>
        <cfvo type="percentile" val="50"/>
        <cfvo type="max"/>
        <color rgb="FFF8696B"/>
        <color rgb="FFFFEB84"/>
        <color rgb="FF63BE7B"/>
      </colorScale>
    </cfRule>
  </conditionalFormatting>
  <conditionalFormatting sqref="F13:F20">
    <cfRule type="colorScale" priority="6243">
      <colorScale>
        <cfvo type="min"/>
        <cfvo type="percentile" val="50"/>
        <cfvo type="max"/>
        <color rgb="FFF8696B"/>
        <color rgb="FFFFEB84"/>
        <color rgb="FF63BE7B"/>
      </colorScale>
    </cfRule>
  </conditionalFormatting>
  <conditionalFormatting sqref="F13:F20">
    <cfRule type="colorScale" priority="6242">
      <colorScale>
        <cfvo type="min"/>
        <cfvo type="percentile" val="50"/>
        <cfvo type="max"/>
        <color rgb="FFF8696B"/>
        <color rgb="FFFFEB84"/>
        <color rgb="FF63BE7B"/>
      </colorScale>
    </cfRule>
  </conditionalFormatting>
  <conditionalFormatting sqref="F13:F20">
    <cfRule type="colorScale" priority="6241">
      <colorScale>
        <cfvo type="min"/>
        <cfvo type="percentile" val="50"/>
        <cfvo type="max"/>
        <color rgb="FFF8696B"/>
        <color rgb="FFFFEB84"/>
        <color rgb="FF63BE7B"/>
      </colorScale>
    </cfRule>
  </conditionalFormatting>
  <conditionalFormatting sqref="F13:F20">
    <cfRule type="colorScale" priority="6240">
      <colorScale>
        <cfvo type="min"/>
        <cfvo type="percentile" val="50"/>
        <cfvo type="max"/>
        <color rgb="FFF8696B"/>
        <color rgb="FFFFEB84"/>
        <color rgb="FF63BE7B"/>
      </colorScale>
    </cfRule>
  </conditionalFormatting>
  <conditionalFormatting sqref="F13:F20">
    <cfRule type="colorScale" priority="6239">
      <colorScale>
        <cfvo type="min"/>
        <cfvo type="percentile" val="50"/>
        <cfvo type="max"/>
        <color rgb="FFF8696B"/>
        <color rgb="FFFFEB84"/>
        <color rgb="FF63BE7B"/>
      </colorScale>
    </cfRule>
  </conditionalFormatting>
  <conditionalFormatting sqref="F13:F20">
    <cfRule type="colorScale" priority="6238">
      <colorScale>
        <cfvo type="min"/>
        <cfvo type="percentile" val="50"/>
        <cfvo type="max"/>
        <color rgb="FFF8696B"/>
        <color rgb="FFFFEB84"/>
        <color rgb="FF63BE7B"/>
      </colorScale>
    </cfRule>
  </conditionalFormatting>
  <conditionalFormatting sqref="F13:F20">
    <cfRule type="colorScale" priority="6237">
      <colorScale>
        <cfvo type="min"/>
        <cfvo type="percentile" val="50"/>
        <cfvo type="max"/>
        <color rgb="FFF8696B"/>
        <color rgb="FFFFEB84"/>
        <color rgb="FF63BE7B"/>
      </colorScale>
    </cfRule>
  </conditionalFormatting>
  <conditionalFormatting sqref="F13:F20">
    <cfRule type="colorScale" priority="6236">
      <colorScale>
        <cfvo type="min"/>
        <cfvo type="percentile" val="50"/>
        <cfvo type="max"/>
        <color rgb="FFF8696B"/>
        <color rgb="FFFFEB84"/>
        <color rgb="FF63BE7B"/>
      </colorScale>
    </cfRule>
  </conditionalFormatting>
  <conditionalFormatting sqref="F13:F20">
    <cfRule type="colorScale" priority="6235">
      <colorScale>
        <cfvo type="min"/>
        <cfvo type="percentile" val="50"/>
        <cfvo type="max"/>
        <color rgb="FFF8696B"/>
        <color rgb="FFFFEB84"/>
        <color rgb="FF63BE7B"/>
      </colorScale>
    </cfRule>
  </conditionalFormatting>
  <conditionalFormatting sqref="F13:F20">
    <cfRule type="colorScale" priority="6234">
      <colorScale>
        <cfvo type="min"/>
        <cfvo type="percentile" val="50"/>
        <cfvo type="max"/>
        <color rgb="FFF8696B"/>
        <color rgb="FFFFEB84"/>
        <color rgb="FF63BE7B"/>
      </colorScale>
    </cfRule>
  </conditionalFormatting>
  <conditionalFormatting sqref="F13:F20">
    <cfRule type="colorScale" priority="6233">
      <colorScale>
        <cfvo type="min"/>
        <cfvo type="percentile" val="50"/>
        <cfvo type="max"/>
        <color rgb="FFF8696B"/>
        <color rgb="FFFFEB84"/>
        <color rgb="FF63BE7B"/>
      </colorScale>
    </cfRule>
  </conditionalFormatting>
  <conditionalFormatting sqref="F13:F20">
    <cfRule type="colorScale" priority="6232">
      <colorScale>
        <cfvo type="min"/>
        <cfvo type="percentile" val="50"/>
        <cfvo type="max"/>
        <color rgb="FFF8696B"/>
        <color rgb="FFFFEB84"/>
        <color rgb="FF63BE7B"/>
      </colorScale>
    </cfRule>
  </conditionalFormatting>
  <conditionalFormatting sqref="F13:F20">
    <cfRule type="colorScale" priority="6231">
      <colorScale>
        <cfvo type="min"/>
        <cfvo type="percentile" val="50"/>
        <cfvo type="max"/>
        <color rgb="FFF8696B"/>
        <color rgb="FFFFEB84"/>
        <color rgb="FF63BE7B"/>
      </colorScale>
    </cfRule>
  </conditionalFormatting>
  <conditionalFormatting sqref="F13:F20">
    <cfRule type="colorScale" priority="6230">
      <colorScale>
        <cfvo type="min"/>
        <cfvo type="percentile" val="50"/>
        <cfvo type="max"/>
        <color rgb="FFF8696B"/>
        <color rgb="FFFFEB84"/>
        <color rgb="FF63BE7B"/>
      </colorScale>
    </cfRule>
  </conditionalFormatting>
  <conditionalFormatting sqref="F13:F20">
    <cfRule type="colorScale" priority="6229">
      <colorScale>
        <cfvo type="min"/>
        <cfvo type="percentile" val="50"/>
        <cfvo type="max"/>
        <color rgb="FFF8696B"/>
        <color rgb="FFFFEB84"/>
        <color rgb="FF63BE7B"/>
      </colorScale>
    </cfRule>
  </conditionalFormatting>
  <conditionalFormatting sqref="F13:F20">
    <cfRule type="colorScale" priority="6228">
      <colorScale>
        <cfvo type="min"/>
        <cfvo type="percentile" val="50"/>
        <cfvo type="max"/>
        <color rgb="FFF8696B"/>
        <color rgb="FFFFEB84"/>
        <color rgb="FF63BE7B"/>
      </colorScale>
    </cfRule>
  </conditionalFormatting>
  <conditionalFormatting sqref="F13:F20">
    <cfRule type="colorScale" priority="6227">
      <colorScale>
        <cfvo type="min"/>
        <cfvo type="percentile" val="50"/>
        <cfvo type="max"/>
        <color rgb="FFF8696B"/>
        <color rgb="FFFFEB84"/>
        <color rgb="FF63BE7B"/>
      </colorScale>
    </cfRule>
  </conditionalFormatting>
  <conditionalFormatting sqref="F13:F20">
    <cfRule type="colorScale" priority="6226">
      <colorScale>
        <cfvo type="min"/>
        <cfvo type="percentile" val="50"/>
        <cfvo type="max"/>
        <color rgb="FFF8696B"/>
        <color rgb="FFFFEB84"/>
        <color rgb="FF63BE7B"/>
      </colorScale>
    </cfRule>
  </conditionalFormatting>
  <conditionalFormatting sqref="F13:F20">
    <cfRule type="colorScale" priority="6225">
      <colorScale>
        <cfvo type="min"/>
        <cfvo type="percentile" val="50"/>
        <cfvo type="max"/>
        <color rgb="FFF8696B"/>
        <color rgb="FFFFEB84"/>
        <color rgb="FF63BE7B"/>
      </colorScale>
    </cfRule>
  </conditionalFormatting>
  <conditionalFormatting sqref="F13:F20">
    <cfRule type="colorScale" priority="6224">
      <colorScale>
        <cfvo type="min"/>
        <cfvo type="percentile" val="50"/>
        <cfvo type="max"/>
        <color rgb="FFF8696B"/>
        <color rgb="FFFFEB84"/>
        <color rgb="FF63BE7B"/>
      </colorScale>
    </cfRule>
  </conditionalFormatting>
  <conditionalFormatting sqref="F13:F20">
    <cfRule type="colorScale" priority="6223">
      <colorScale>
        <cfvo type="min"/>
        <cfvo type="percentile" val="50"/>
        <cfvo type="max"/>
        <color rgb="FFF8696B"/>
        <color rgb="FFFFEB84"/>
        <color rgb="FF63BE7B"/>
      </colorScale>
    </cfRule>
  </conditionalFormatting>
  <conditionalFormatting sqref="F13:F20">
    <cfRule type="colorScale" priority="6222">
      <colorScale>
        <cfvo type="min"/>
        <cfvo type="percentile" val="50"/>
        <cfvo type="max"/>
        <color rgb="FFF8696B"/>
        <color rgb="FFFFEB84"/>
        <color rgb="FF63BE7B"/>
      </colorScale>
    </cfRule>
  </conditionalFormatting>
  <conditionalFormatting sqref="F13:F20">
    <cfRule type="colorScale" priority="6221">
      <colorScale>
        <cfvo type="min"/>
        <cfvo type="percentile" val="50"/>
        <cfvo type="max"/>
        <color rgb="FFF8696B"/>
        <color rgb="FFFFEB84"/>
        <color rgb="FF63BE7B"/>
      </colorScale>
    </cfRule>
  </conditionalFormatting>
  <conditionalFormatting sqref="F13:F20">
    <cfRule type="colorScale" priority="6220">
      <colorScale>
        <cfvo type="min"/>
        <cfvo type="percentile" val="50"/>
        <cfvo type="max"/>
        <color rgb="FFF8696B"/>
        <color rgb="FFFFEB84"/>
        <color rgb="FF63BE7B"/>
      </colorScale>
    </cfRule>
  </conditionalFormatting>
  <conditionalFormatting sqref="F13:F20">
    <cfRule type="colorScale" priority="6219">
      <colorScale>
        <cfvo type="min"/>
        <cfvo type="percentile" val="50"/>
        <cfvo type="max"/>
        <color rgb="FFF8696B"/>
        <color rgb="FFFFEB84"/>
        <color rgb="FF63BE7B"/>
      </colorScale>
    </cfRule>
  </conditionalFormatting>
  <conditionalFormatting sqref="F13:F20">
    <cfRule type="colorScale" priority="6218">
      <colorScale>
        <cfvo type="min"/>
        <cfvo type="percentile" val="50"/>
        <cfvo type="max"/>
        <color rgb="FFF8696B"/>
        <color rgb="FFFFEB84"/>
        <color rgb="FF63BE7B"/>
      </colorScale>
    </cfRule>
  </conditionalFormatting>
  <conditionalFormatting sqref="F13:F20">
    <cfRule type="colorScale" priority="6217">
      <colorScale>
        <cfvo type="min"/>
        <cfvo type="percentile" val="50"/>
        <cfvo type="max"/>
        <color rgb="FFF8696B"/>
        <color rgb="FFFFEB84"/>
        <color rgb="FF63BE7B"/>
      </colorScale>
    </cfRule>
  </conditionalFormatting>
  <conditionalFormatting sqref="F13:F20">
    <cfRule type="colorScale" priority="6216">
      <colorScale>
        <cfvo type="min"/>
        <cfvo type="percentile" val="50"/>
        <cfvo type="max"/>
        <color rgb="FFF8696B"/>
        <color rgb="FFFFEB84"/>
        <color rgb="FF63BE7B"/>
      </colorScale>
    </cfRule>
  </conditionalFormatting>
  <conditionalFormatting sqref="F13:F20">
    <cfRule type="colorScale" priority="6215">
      <colorScale>
        <cfvo type="min"/>
        <cfvo type="percentile" val="50"/>
        <cfvo type="max"/>
        <color rgb="FFF8696B"/>
        <color rgb="FFFFEB84"/>
        <color rgb="FF63BE7B"/>
      </colorScale>
    </cfRule>
  </conditionalFormatting>
  <conditionalFormatting sqref="F13:F20">
    <cfRule type="colorScale" priority="6214">
      <colorScale>
        <cfvo type="min"/>
        <cfvo type="percentile" val="50"/>
        <cfvo type="max"/>
        <color rgb="FFF8696B"/>
        <color rgb="FFFFEB84"/>
        <color rgb="FF63BE7B"/>
      </colorScale>
    </cfRule>
  </conditionalFormatting>
  <conditionalFormatting sqref="F13:F20">
    <cfRule type="colorScale" priority="6213">
      <colorScale>
        <cfvo type="min"/>
        <cfvo type="percentile" val="50"/>
        <cfvo type="max"/>
        <color rgb="FFF8696B"/>
        <color rgb="FFFFEB84"/>
        <color rgb="FF63BE7B"/>
      </colorScale>
    </cfRule>
  </conditionalFormatting>
  <conditionalFormatting sqref="F13:F20">
    <cfRule type="colorScale" priority="6212">
      <colorScale>
        <cfvo type="min"/>
        <cfvo type="percentile" val="50"/>
        <cfvo type="max"/>
        <color rgb="FFF8696B"/>
        <color rgb="FFFFEB84"/>
        <color rgb="FF63BE7B"/>
      </colorScale>
    </cfRule>
  </conditionalFormatting>
  <conditionalFormatting sqref="F13:F20">
    <cfRule type="colorScale" priority="6211">
      <colorScale>
        <cfvo type="min"/>
        <cfvo type="percentile" val="50"/>
        <cfvo type="max"/>
        <color rgb="FFF8696B"/>
        <color rgb="FFFFEB84"/>
        <color rgb="FF63BE7B"/>
      </colorScale>
    </cfRule>
  </conditionalFormatting>
  <conditionalFormatting sqref="F13:F20">
    <cfRule type="colorScale" priority="6210">
      <colorScale>
        <cfvo type="min"/>
        <cfvo type="percentile" val="50"/>
        <cfvo type="max"/>
        <color rgb="FFF8696B"/>
        <color rgb="FFFFEB84"/>
        <color rgb="FF63BE7B"/>
      </colorScale>
    </cfRule>
  </conditionalFormatting>
  <conditionalFormatting sqref="F13:F20">
    <cfRule type="colorScale" priority="6209">
      <colorScale>
        <cfvo type="min"/>
        <cfvo type="percentile" val="50"/>
        <cfvo type="max"/>
        <color rgb="FFF8696B"/>
        <color rgb="FFFFEB84"/>
        <color rgb="FF63BE7B"/>
      </colorScale>
    </cfRule>
  </conditionalFormatting>
  <conditionalFormatting sqref="F13:F20">
    <cfRule type="colorScale" priority="6208">
      <colorScale>
        <cfvo type="min"/>
        <cfvo type="percentile" val="50"/>
        <cfvo type="max"/>
        <color rgb="FFF8696B"/>
        <color rgb="FFFFEB84"/>
        <color rgb="FF63BE7B"/>
      </colorScale>
    </cfRule>
  </conditionalFormatting>
  <conditionalFormatting sqref="F13:F20">
    <cfRule type="colorScale" priority="6207">
      <colorScale>
        <cfvo type="min"/>
        <cfvo type="percentile" val="50"/>
        <cfvo type="max"/>
        <color rgb="FFF8696B"/>
        <color rgb="FFFFEB84"/>
        <color rgb="FF63BE7B"/>
      </colorScale>
    </cfRule>
  </conditionalFormatting>
  <conditionalFormatting sqref="F13:F20">
    <cfRule type="colorScale" priority="6206">
      <colorScale>
        <cfvo type="min"/>
        <cfvo type="percentile" val="50"/>
        <cfvo type="max"/>
        <color rgb="FFF8696B"/>
        <color rgb="FFFFEB84"/>
        <color rgb="FF63BE7B"/>
      </colorScale>
    </cfRule>
  </conditionalFormatting>
  <conditionalFormatting sqref="F13:F20">
    <cfRule type="colorScale" priority="6205">
      <colorScale>
        <cfvo type="min"/>
        <cfvo type="percentile" val="50"/>
        <cfvo type="max"/>
        <color rgb="FFF8696B"/>
        <color rgb="FFFFEB84"/>
        <color rgb="FF63BE7B"/>
      </colorScale>
    </cfRule>
  </conditionalFormatting>
  <conditionalFormatting sqref="F13:F20">
    <cfRule type="colorScale" priority="6204">
      <colorScale>
        <cfvo type="min"/>
        <cfvo type="percentile" val="50"/>
        <cfvo type="max"/>
        <color rgb="FFF8696B"/>
        <color rgb="FFFFEB84"/>
        <color rgb="FF63BE7B"/>
      </colorScale>
    </cfRule>
  </conditionalFormatting>
  <conditionalFormatting sqref="F13:F20">
    <cfRule type="colorScale" priority="6203">
      <colorScale>
        <cfvo type="min"/>
        <cfvo type="percentile" val="50"/>
        <cfvo type="max"/>
        <color rgb="FFF8696B"/>
        <color rgb="FFFFEB84"/>
        <color rgb="FF63BE7B"/>
      </colorScale>
    </cfRule>
  </conditionalFormatting>
  <conditionalFormatting sqref="F13:F20">
    <cfRule type="colorScale" priority="6202">
      <colorScale>
        <cfvo type="min"/>
        <cfvo type="percentile" val="50"/>
        <cfvo type="max"/>
        <color rgb="FFF8696B"/>
        <color rgb="FFFFEB84"/>
        <color rgb="FF63BE7B"/>
      </colorScale>
    </cfRule>
  </conditionalFormatting>
  <conditionalFormatting sqref="F13:F20">
    <cfRule type="colorScale" priority="6201">
      <colorScale>
        <cfvo type="min"/>
        <cfvo type="percentile" val="50"/>
        <cfvo type="max"/>
        <color rgb="FFF8696B"/>
        <color rgb="FFFFEB84"/>
        <color rgb="FF63BE7B"/>
      </colorScale>
    </cfRule>
  </conditionalFormatting>
  <conditionalFormatting sqref="F13:F20">
    <cfRule type="colorScale" priority="6200">
      <colorScale>
        <cfvo type="min"/>
        <cfvo type="percentile" val="50"/>
        <cfvo type="max"/>
        <color rgb="FFF8696B"/>
        <color rgb="FFFFEB84"/>
        <color rgb="FF63BE7B"/>
      </colorScale>
    </cfRule>
  </conditionalFormatting>
  <conditionalFormatting sqref="F13:F20">
    <cfRule type="colorScale" priority="6199">
      <colorScale>
        <cfvo type="min"/>
        <cfvo type="percentile" val="50"/>
        <cfvo type="max"/>
        <color rgb="FFF8696B"/>
        <color rgb="FFFFEB84"/>
        <color rgb="FF63BE7B"/>
      </colorScale>
    </cfRule>
  </conditionalFormatting>
  <conditionalFormatting sqref="F13:F20">
    <cfRule type="colorScale" priority="6198">
      <colorScale>
        <cfvo type="min"/>
        <cfvo type="percentile" val="50"/>
        <cfvo type="max"/>
        <color rgb="FFF8696B"/>
        <color rgb="FFFFEB84"/>
        <color rgb="FF63BE7B"/>
      </colorScale>
    </cfRule>
  </conditionalFormatting>
  <conditionalFormatting sqref="F13:F20">
    <cfRule type="colorScale" priority="6197">
      <colorScale>
        <cfvo type="min"/>
        <cfvo type="percentile" val="50"/>
        <cfvo type="max"/>
        <color rgb="FFF8696B"/>
        <color rgb="FFFFEB84"/>
        <color rgb="FF63BE7B"/>
      </colorScale>
    </cfRule>
  </conditionalFormatting>
  <conditionalFormatting sqref="F13:F20">
    <cfRule type="colorScale" priority="6196">
      <colorScale>
        <cfvo type="min"/>
        <cfvo type="percentile" val="50"/>
        <cfvo type="max"/>
        <color rgb="FFF8696B"/>
        <color rgb="FFFFEB84"/>
        <color rgb="FF63BE7B"/>
      </colorScale>
    </cfRule>
  </conditionalFormatting>
  <conditionalFormatting sqref="F13:F20">
    <cfRule type="colorScale" priority="6195">
      <colorScale>
        <cfvo type="min"/>
        <cfvo type="percentile" val="50"/>
        <cfvo type="max"/>
        <color rgb="FFF8696B"/>
        <color rgb="FFFFEB84"/>
        <color rgb="FF63BE7B"/>
      </colorScale>
    </cfRule>
  </conditionalFormatting>
  <conditionalFormatting sqref="F13:F20">
    <cfRule type="colorScale" priority="6194">
      <colorScale>
        <cfvo type="min"/>
        <cfvo type="percentile" val="50"/>
        <cfvo type="max"/>
        <color rgb="FFF8696B"/>
        <color rgb="FFFFEB84"/>
        <color rgb="FF63BE7B"/>
      </colorScale>
    </cfRule>
  </conditionalFormatting>
  <conditionalFormatting sqref="F13:F20">
    <cfRule type="colorScale" priority="6193">
      <colorScale>
        <cfvo type="min"/>
        <cfvo type="percentile" val="50"/>
        <cfvo type="max"/>
        <color rgb="FFF8696B"/>
        <color rgb="FFFFEB84"/>
        <color rgb="FF63BE7B"/>
      </colorScale>
    </cfRule>
  </conditionalFormatting>
  <conditionalFormatting sqref="F13:F20">
    <cfRule type="colorScale" priority="6192">
      <colorScale>
        <cfvo type="min"/>
        <cfvo type="percentile" val="50"/>
        <cfvo type="max"/>
        <color rgb="FFF8696B"/>
        <color rgb="FFFFEB84"/>
        <color rgb="FF63BE7B"/>
      </colorScale>
    </cfRule>
  </conditionalFormatting>
  <conditionalFormatting sqref="F13:F20">
    <cfRule type="colorScale" priority="6191">
      <colorScale>
        <cfvo type="min"/>
        <cfvo type="percentile" val="50"/>
        <cfvo type="max"/>
        <color rgb="FFF8696B"/>
        <color rgb="FFFFEB84"/>
        <color rgb="FF63BE7B"/>
      </colorScale>
    </cfRule>
  </conditionalFormatting>
  <conditionalFormatting sqref="F13:F20">
    <cfRule type="colorScale" priority="6190">
      <colorScale>
        <cfvo type="min"/>
        <cfvo type="percentile" val="50"/>
        <cfvo type="max"/>
        <color rgb="FFF8696B"/>
        <color rgb="FFFFEB84"/>
        <color rgb="FF63BE7B"/>
      </colorScale>
    </cfRule>
  </conditionalFormatting>
  <conditionalFormatting sqref="F13:F20">
    <cfRule type="colorScale" priority="6189">
      <colorScale>
        <cfvo type="min"/>
        <cfvo type="percentile" val="50"/>
        <cfvo type="max"/>
        <color rgb="FFF8696B"/>
        <color rgb="FFFFEB84"/>
        <color rgb="FF63BE7B"/>
      </colorScale>
    </cfRule>
  </conditionalFormatting>
  <conditionalFormatting sqref="F13:F20">
    <cfRule type="colorScale" priority="6188">
      <colorScale>
        <cfvo type="min"/>
        <cfvo type="percentile" val="50"/>
        <cfvo type="max"/>
        <color rgb="FFF8696B"/>
        <color rgb="FFFFEB84"/>
        <color rgb="FF63BE7B"/>
      </colorScale>
    </cfRule>
  </conditionalFormatting>
  <conditionalFormatting sqref="F13:F20">
    <cfRule type="colorScale" priority="6187">
      <colorScale>
        <cfvo type="min"/>
        <cfvo type="percentile" val="50"/>
        <cfvo type="max"/>
        <color rgb="FFF8696B"/>
        <color rgb="FFFFEB84"/>
        <color rgb="FF63BE7B"/>
      </colorScale>
    </cfRule>
  </conditionalFormatting>
  <conditionalFormatting sqref="F13:F20">
    <cfRule type="colorScale" priority="6186">
      <colorScale>
        <cfvo type="min"/>
        <cfvo type="percentile" val="50"/>
        <cfvo type="max"/>
        <color rgb="FFF8696B"/>
        <color rgb="FFFFEB84"/>
        <color rgb="FF63BE7B"/>
      </colorScale>
    </cfRule>
  </conditionalFormatting>
  <conditionalFormatting sqref="F13:F20">
    <cfRule type="colorScale" priority="6185">
      <colorScale>
        <cfvo type="min"/>
        <cfvo type="percentile" val="50"/>
        <cfvo type="max"/>
        <color rgb="FFF8696B"/>
        <color rgb="FFFFEB84"/>
        <color rgb="FF63BE7B"/>
      </colorScale>
    </cfRule>
  </conditionalFormatting>
  <conditionalFormatting sqref="F13:F20">
    <cfRule type="colorScale" priority="6184">
      <colorScale>
        <cfvo type="min"/>
        <cfvo type="percentile" val="50"/>
        <cfvo type="max"/>
        <color rgb="FFF8696B"/>
        <color rgb="FFFFEB84"/>
        <color rgb="FF63BE7B"/>
      </colorScale>
    </cfRule>
  </conditionalFormatting>
  <conditionalFormatting sqref="F13:F20">
    <cfRule type="colorScale" priority="6183">
      <colorScale>
        <cfvo type="min"/>
        <cfvo type="percentile" val="50"/>
        <cfvo type="max"/>
        <color rgb="FFF8696B"/>
        <color rgb="FFFFEB84"/>
        <color rgb="FF63BE7B"/>
      </colorScale>
    </cfRule>
  </conditionalFormatting>
  <conditionalFormatting sqref="F13:F20">
    <cfRule type="colorScale" priority="6182">
      <colorScale>
        <cfvo type="min"/>
        <cfvo type="percentile" val="50"/>
        <cfvo type="max"/>
        <color rgb="FFF8696B"/>
        <color rgb="FFFFEB84"/>
        <color rgb="FF63BE7B"/>
      </colorScale>
    </cfRule>
  </conditionalFormatting>
  <conditionalFormatting sqref="F13:F20">
    <cfRule type="colorScale" priority="6181">
      <colorScale>
        <cfvo type="min"/>
        <cfvo type="percentile" val="50"/>
        <cfvo type="max"/>
        <color rgb="FFF8696B"/>
        <color rgb="FFFFEB84"/>
        <color rgb="FF63BE7B"/>
      </colorScale>
    </cfRule>
  </conditionalFormatting>
  <conditionalFormatting sqref="F13:F20">
    <cfRule type="colorScale" priority="6180">
      <colorScale>
        <cfvo type="min"/>
        <cfvo type="percentile" val="50"/>
        <cfvo type="max"/>
        <color rgb="FFF8696B"/>
        <color rgb="FFFFEB84"/>
        <color rgb="FF63BE7B"/>
      </colorScale>
    </cfRule>
  </conditionalFormatting>
  <conditionalFormatting sqref="F13:F20">
    <cfRule type="colorScale" priority="6179">
      <colorScale>
        <cfvo type="min"/>
        <cfvo type="percentile" val="50"/>
        <cfvo type="max"/>
        <color rgb="FFF8696B"/>
        <color rgb="FFFFEB84"/>
        <color rgb="FF63BE7B"/>
      </colorScale>
    </cfRule>
  </conditionalFormatting>
  <conditionalFormatting sqref="F13:F20">
    <cfRule type="colorScale" priority="6178">
      <colorScale>
        <cfvo type="min"/>
        <cfvo type="percentile" val="50"/>
        <cfvo type="max"/>
        <color rgb="FFF8696B"/>
        <color rgb="FFFFEB84"/>
        <color rgb="FF63BE7B"/>
      </colorScale>
    </cfRule>
  </conditionalFormatting>
  <conditionalFormatting sqref="F13:F20">
    <cfRule type="colorScale" priority="6177">
      <colorScale>
        <cfvo type="min"/>
        <cfvo type="percentile" val="50"/>
        <cfvo type="max"/>
        <color rgb="FFF8696B"/>
        <color rgb="FFFFEB84"/>
        <color rgb="FF63BE7B"/>
      </colorScale>
    </cfRule>
  </conditionalFormatting>
  <conditionalFormatting sqref="F13:F20">
    <cfRule type="colorScale" priority="6176">
      <colorScale>
        <cfvo type="min"/>
        <cfvo type="percentile" val="50"/>
        <cfvo type="max"/>
        <color rgb="FFF8696B"/>
        <color rgb="FFFFEB84"/>
        <color rgb="FF63BE7B"/>
      </colorScale>
    </cfRule>
  </conditionalFormatting>
  <conditionalFormatting sqref="F13:F20">
    <cfRule type="colorScale" priority="6175">
      <colorScale>
        <cfvo type="min"/>
        <cfvo type="percentile" val="50"/>
        <cfvo type="max"/>
        <color rgb="FFF8696B"/>
        <color rgb="FFFFEB84"/>
        <color rgb="FF63BE7B"/>
      </colorScale>
    </cfRule>
  </conditionalFormatting>
  <conditionalFormatting sqref="F13:F20">
    <cfRule type="colorScale" priority="6174">
      <colorScale>
        <cfvo type="min"/>
        <cfvo type="percentile" val="50"/>
        <cfvo type="max"/>
        <color rgb="FFF8696B"/>
        <color rgb="FFFFEB84"/>
        <color rgb="FF63BE7B"/>
      </colorScale>
    </cfRule>
  </conditionalFormatting>
  <conditionalFormatting sqref="F13:F20">
    <cfRule type="colorScale" priority="6173">
      <colorScale>
        <cfvo type="min"/>
        <cfvo type="percentile" val="50"/>
        <cfvo type="max"/>
        <color rgb="FFF8696B"/>
        <color rgb="FFFFEB84"/>
        <color rgb="FF63BE7B"/>
      </colorScale>
    </cfRule>
  </conditionalFormatting>
  <conditionalFormatting sqref="F13:F20">
    <cfRule type="colorScale" priority="6172">
      <colorScale>
        <cfvo type="min"/>
        <cfvo type="percentile" val="50"/>
        <cfvo type="max"/>
        <color rgb="FFF8696B"/>
        <color rgb="FFFFEB84"/>
        <color rgb="FF63BE7B"/>
      </colorScale>
    </cfRule>
  </conditionalFormatting>
  <conditionalFormatting sqref="F13:F20">
    <cfRule type="colorScale" priority="6171">
      <colorScale>
        <cfvo type="min"/>
        <cfvo type="percentile" val="50"/>
        <cfvo type="max"/>
        <color rgb="FFF8696B"/>
        <color rgb="FFFFEB84"/>
        <color rgb="FF63BE7B"/>
      </colorScale>
    </cfRule>
  </conditionalFormatting>
  <conditionalFormatting sqref="F13:F20">
    <cfRule type="colorScale" priority="6170">
      <colorScale>
        <cfvo type="min"/>
        <cfvo type="percentile" val="50"/>
        <cfvo type="max"/>
        <color rgb="FFF8696B"/>
        <color rgb="FFFFEB84"/>
        <color rgb="FF63BE7B"/>
      </colorScale>
    </cfRule>
  </conditionalFormatting>
  <conditionalFormatting sqref="F13:F20">
    <cfRule type="colorScale" priority="6169">
      <colorScale>
        <cfvo type="min"/>
        <cfvo type="percentile" val="50"/>
        <cfvo type="max"/>
        <color rgb="FFF8696B"/>
        <color rgb="FFFFEB84"/>
        <color rgb="FF63BE7B"/>
      </colorScale>
    </cfRule>
  </conditionalFormatting>
  <conditionalFormatting sqref="F13:F20">
    <cfRule type="colorScale" priority="6168">
      <colorScale>
        <cfvo type="min"/>
        <cfvo type="percentile" val="50"/>
        <cfvo type="max"/>
        <color rgb="FFF8696B"/>
        <color rgb="FFFFEB84"/>
        <color rgb="FF63BE7B"/>
      </colorScale>
    </cfRule>
  </conditionalFormatting>
  <conditionalFormatting sqref="F13:F20">
    <cfRule type="colorScale" priority="6167">
      <colorScale>
        <cfvo type="min"/>
        <cfvo type="percentile" val="50"/>
        <cfvo type="max"/>
        <color rgb="FFF8696B"/>
        <color rgb="FFFFEB84"/>
        <color rgb="FF63BE7B"/>
      </colorScale>
    </cfRule>
  </conditionalFormatting>
  <conditionalFormatting sqref="F13:F20">
    <cfRule type="colorScale" priority="6166">
      <colorScale>
        <cfvo type="min"/>
        <cfvo type="percentile" val="50"/>
        <cfvo type="max"/>
        <color rgb="FFF8696B"/>
        <color rgb="FFFFEB84"/>
        <color rgb="FF63BE7B"/>
      </colorScale>
    </cfRule>
  </conditionalFormatting>
  <conditionalFormatting sqref="F13:F20">
    <cfRule type="colorScale" priority="6165">
      <colorScale>
        <cfvo type="min"/>
        <cfvo type="percentile" val="50"/>
        <cfvo type="max"/>
        <color rgb="FFF8696B"/>
        <color rgb="FFFFEB84"/>
        <color rgb="FF63BE7B"/>
      </colorScale>
    </cfRule>
  </conditionalFormatting>
  <conditionalFormatting sqref="F13:F20">
    <cfRule type="colorScale" priority="6164">
      <colorScale>
        <cfvo type="min"/>
        <cfvo type="percentile" val="50"/>
        <cfvo type="max"/>
        <color rgb="FFF8696B"/>
        <color rgb="FFFFEB84"/>
        <color rgb="FF63BE7B"/>
      </colorScale>
    </cfRule>
  </conditionalFormatting>
  <conditionalFormatting sqref="F13:F20">
    <cfRule type="colorScale" priority="6163">
      <colorScale>
        <cfvo type="min"/>
        <cfvo type="percentile" val="50"/>
        <cfvo type="max"/>
        <color rgb="FFF8696B"/>
        <color rgb="FFFFEB84"/>
        <color rgb="FF63BE7B"/>
      </colorScale>
    </cfRule>
  </conditionalFormatting>
  <conditionalFormatting sqref="F13:F20">
    <cfRule type="colorScale" priority="6162">
      <colorScale>
        <cfvo type="min"/>
        <cfvo type="percentile" val="50"/>
        <cfvo type="max"/>
        <color rgb="FFF8696B"/>
        <color rgb="FFFFEB84"/>
        <color rgb="FF63BE7B"/>
      </colorScale>
    </cfRule>
  </conditionalFormatting>
  <conditionalFormatting sqref="F13:F20">
    <cfRule type="colorScale" priority="6161">
      <colorScale>
        <cfvo type="min"/>
        <cfvo type="percentile" val="50"/>
        <cfvo type="max"/>
        <color rgb="FFF8696B"/>
        <color rgb="FFFFEB84"/>
        <color rgb="FF63BE7B"/>
      </colorScale>
    </cfRule>
  </conditionalFormatting>
  <conditionalFormatting sqref="F13:F20">
    <cfRule type="colorScale" priority="6160">
      <colorScale>
        <cfvo type="min"/>
        <cfvo type="percentile" val="50"/>
        <cfvo type="max"/>
        <color rgb="FFF8696B"/>
        <color rgb="FFFFEB84"/>
        <color rgb="FF63BE7B"/>
      </colorScale>
    </cfRule>
  </conditionalFormatting>
  <conditionalFormatting sqref="F13:F20">
    <cfRule type="colorScale" priority="6159">
      <colorScale>
        <cfvo type="min"/>
        <cfvo type="percentile" val="50"/>
        <cfvo type="max"/>
        <color rgb="FFF8696B"/>
        <color rgb="FFFFEB84"/>
        <color rgb="FF63BE7B"/>
      </colorScale>
    </cfRule>
  </conditionalFormatting>
  <conditionalFormatting sqref="F13:F20">
    <cfRule type="colorScale" priority="6158">
      <colorScale>
        <cfvo type="min"/>
        <cfvo type="percentile" val="50"/>
        <cfvo type="max"/>
        <color rgb="FFF8696B"/>
        <color rgb="FFFFEB84"/>
        <color rgb="FF63BE7B"/>
      </colorScale>
    </cfRule>
  </conditionalFormatting>
  <conditionalFormatting sqref="F13:F20">
    <cfRule type="colorScale" priority="6157">
      <colorScale>
        <cfvo type="min"/>
        <cfvo type="percentile" val="50"/>
        <cfvo type="max"/>
        <color rgb="FFF8696B"/>
        <color rgb="FFFFEB84"/>
        <color rgb="FF63BE7B"/>
      </colorScale>
    </cfRule>
  </conditionalFormatting>
  <conditionalFormatting sqref="F13:F20">
    <cfRule type="colorScale" priority="6156">
      <colorScale>
        <cfvo type="min"/>
        <cfvo type="percentile" val="50"/>
        <cfvo type="max"/>
        <color rgb="FFF8696B"/>
        <color rgb="FFFFEB84"/>
        <color rgb="FF63BE7B"/>
      </colorScale>
    </cfRule>
  </conditionalFormatting>
  <conditionalFormatting sqref="F13:F20">
    <cfRule type="colorScale" priority="6155">
      <colorScale>
        <cfvo type="min"/>
        <cfvo type="percentile" val="50"/>
        <cfvo type="max"/>
        <color rgb="FFF8696B"/>
        <color rgb="FFFFEB84"/>
        <color rgb="FF63BE7B"/>
      </colorScale>
    </cfRule>
  </conditionalFormatting>
  <conditionalFormatting sqref="F13:F20">
    <cfRule type="colorScale" priority="6154">
      <colorScale>
        <cfvo type="min"/>
        <cfvo type="percentile" val="50"/>
        <cfvo type="max"/>
        <color rgb="FFF8696B"/>
        <color rgb="FFFFEB84"/>
        <color rgb="FF63BE7B"/>
      </colorScale>
    </cfRule>
  </conditionalFormatting>
  <conditionalFormatting sqref="F13:F20">
    <cfRule type="colorScale" priority="6153">
      <colorScale>
        <cfvo type="min"/>
        <cfvo type="percentile" val="50"/>
        <cfvo type="max"/>
        <color rgb="FFF8696B"/>
        <color rgb="FFFFEB84"/>
        <color rgb="FF63BE7B"/>
      </colorScale>
    </cfRule>
  </conditionalFormatting>
  <conditionalFormatting sqref="F13:F20">
    <cfRule type="colorScale" priority="6152">
      <colorScale>
        <cfvo type="min"/>
        <cfvo type="percentile" val="50"/>
        <cfvo type="max"/>
        <color rgb="FFF8696B"/>
        <color rgb="FFFFEB84"/>
        <color rgb="FF63BE7B"/>
      </colorScale>
    </cfRule>
  </conditionalFormatting>
  <conditionalFormatting sqref="F13:F20">
    <cfRule type="colorScale" priority="6151">
      <colorScale>
        <cfvo type="min"/>
        <cfvo type="percentile" val="50"/>
        <cfvo type="max"/>
        <color rgb="FFF8696B"/>
        <color rgb="FFFFEB84"/>
        <color rgb="FF63BE7B"/>
      </colorScale>
    </cfRule>
  </conditionalFormatting>
  <conditionalFormatting sqref="F13:F20">
    <cfRule type="colorScale" priority="6150">
      <colorScale>
        <cfvo type="min"/>
        <cfvo type="percentile" val="50"/>
        <cfvo type="max"/>
        <color rgb="FFF8696B"/>
        <color rgb="FFFFEB84"/>
        <color rgb="FF63BE7B"/>
      </colorScale>
    </cfRule>
  </conditionalFormatting>
  <conditionalFormatting sqref="F13:F20">
    <cfRule type="colorScale" priority="6149">
      <colorScale>
        <cfvo type="min"/>
        <cfvo type="percentile" val="50"/>
        <cfvo type="max"/>
        <color rgb="FFF8696B"/>
        <color rgb="FFFFEB84"/>
        <color rgb="FF63BE7B"/>
      </colorScale>
    </cfRule>
  </conditionalFormatting>
  <conditionalFormatting sqref="F13:F20">
    <cfRule type="colorScale" priority="6148">
      <colorScale>
        <cfvo type="min"/>
        <cfvo type="percentile" val="50"/>
        <cfvo type="max"/>
        <color rgb="FFF8696B"/>
        <color rgb="FFFFEB84"/>
        <color rgb="FF63BE7B"/>
      </colorScale>
    </cfRule>
  </conditionalFormatting>
  <conditionalFormatting sqref="F13:F20">
    <cfRule type="colorScale" priority="6147">
      <colorScale>
        <cfvo type="min"/>
        <cfvo type="percentile" val="50"/>
        <cfvo type="max"/>
        <color rgb="FFF8696B"/>
        <color rgb="FFFFEB84"/>
        <color rgb="FF63BE7B"/>
      </colorScale>
    </cfRule>
  </conditionalFormatting>
  <conditionalFormatting sqref="F13:F20">
    <cfRule type="colorScale" priority="6146">
      <colorScale>
        <cfvo type="min"/>
        <cfvo type="percentile" val="50"/>
        <cfvo type="max"/>
        <color rgb="FFF8696B"/>
        <color rgb="FFFFEB84"/>
        <color rgb="FF63BE7B"/>
      </colorScale>
    </cfRule>
  </conditionalFormatting>
  <conditionalFormatting sqref="F13:F20">
    <cfRule type="colorScale" priority="6145">
      <colorScale>
        <cfvo type="min"/>
        <cfvo type="percentile" val="50"/>
        <cfvo type="max"/>
        <color rgb="FFF8696B"/>
        <color rgb="FFFFEB84"/>
        <color rgb="FF63BE7B"/>
      </colorScale>
    </cfRule>
  </conditionalFormatting>
  <conditionalFormatting sqref="F13:F20">
    <cfRule type="colorScale" priority="6144">
      <colorScale>
        <cfvo type="min"/>
        <cfvo type="percentile" val="50"/>
        <cfvo type="max"/>
        <color rgb="FFF8696B"/>
        <color rgb="FFFFEB84"/>
        <color rgb="FF63BE7B"/>
      </colorScale>
    </cfRule>
  </conditionalFormatting>
  <conditionalFormatting sqref="F13:F20">
    <cfRule type="colorScale" priority="6143">
      <colorScale>
        <cfvo type="min"/>
        <cfvo type="percentile" val="50"/>
        <cfvo type="max"/>
        <color rgb="FFF8696B"/>
        <color rgb="FFFFEB84"/>
        <color rgb="FF63BE7B"/>
      </colorScale>
    </cfRule>
  </conditionalFormatting>
  <conditionalFormatting sqref="F13:F20">
    <cfRule type="colorScale" priority="6142">
      <colorScale>
        <cfvo type="min"/>
        <cfvo type="percentile" val="50"/>
        <cfvo type="max"/>
        <color rgb="FFF8696B"/>
        <color rgb="FFFFEB84"/>
        <color rgb="FF63BE7B"/>
      </colorScale>
    </cfRule>
  </conditionalFormatting>
  <conditionalFormatting sqref="F13:F20">
    <cfRule type="colorScale" priority="6141">
      <colorScale>
        <cfvo type="min"/>
        <cfvo type="percentile" val="50"/>
        <cfvo type="max"/>
        <color rgb="FFF8696B"/>
        <color rgb="FFFFEB84"/>
        <color rgb="FF63BE7B"/>
      </colorScale>
    </cfRule>
  </conditionalFormatting>
  <conditionalFormatting sqref="F13:F20">
    <cfRule type="colorScale" priority="6140">
      <colorScale>
        <cfvo type="min"/>
        <cfvo type="percentile" val="50"/>
        <cfvo type="max"/>
        <color rgb="FFF8696B"/>
        <color rgb="FFFFEB84"/>
        <color rgb="FF63BE7B"/>
      </colorScale>
    </cfRule>
  </conditionalFormatting>
  <conditionalFormatting sqref="F13:F20">
    <cfRule type="colorScale" priority="6139">
      <colorScale>
        <cfvo type="min"/>
        <cfvo type="percentile" val="50"/>
        <cfvo type="max"/>
        <color rgb="FFF8696B"/>
        <color rgb="FFFFEB84"/>
        <color rgb="FF63BE7B"/>
      </colorScale>
    </cfRule>
  </conditionalFormatting>
  <conditionalFormatting sqref="F13:F20">
    <cfRule type="colorScale" priority="6138">
      <colorScale>
        <cfvo type="min"/>
        <cfvo type="percentile" val="50"/>
        <cfvo type="max"/>
        <color rgb="FFF8696B"/>
        <color rgb="FFFFEB84"/>
        <color rgb="FF63BE7B"/>
      </colorScale>
    </cfRule>
  </conditionalFormatting>
  <conditionalFormatting sqref="F13:F20">
    <cfRule type="colorScale" priority="6137">
      <colorScale>
        <cfvo type="min"/>
        <cfvo type="percentile" val="50"/>
        <cfvo type="max"/>
        <color rgb="FFF8696B"/>
        <color rgb="FFFFEB84"/>
        <color rgb="FF63BE7B"/>
      </colorScale>
    </cfRule>
  </conditionalFormatting>
  <conditionalFormatting sqref="F13:F20">
    <cfRule type="colorScale" priority="6136">
      <colorScale>
        <cfvo type="min"/>
        <cfvo type="percentile" val="50"/>
        <cfvo type="max"/>
        <color rgb="FFF8696B"/>
        <color rgb="FFFFEB84"/>
        <color rgb="FF63BE7B"/>
      </colorScale>
    </cfRule>
  </conditionalFormatting>
  <conditionalFormatting sqref="F13:F20">
    <cfRule type="colorScale" priority="6135">
      <colorScale>
        <cfvo type="min"/>
        <cfvo type="percentile" val="50"/>
        <cfvo type="max"/>
        <color rgb="FFF8696B"/>
        <color rgb="FFFFEB84"/>
        <color rgb="FF63BE7B"/>
      </colorScale>
    </cfRule>
  </conditionalFormatting>
  <conditionalFormatting sqref="F13:F20">
    <cfRule type="colorScale" priority="6134">
      <colorScale>
        <cfvo type="min"/>
        <cfvo type="percentile" val="50"/>
        <cfvo type="max"/>
        <color rgb="FFF8696B"/>
        <color rgb="FFFFEB84"/>
        <color rgb="FF63BE7B"/>
      </colorScale>
    </cfRule>
  </conditionalFormatting>
  <conditionalFormatting sqref="F21:F28">
    <cfRule type="colorScale" priority="6133">
      <colorScale>
        <cfvo type="min"/>
        <cfvo type="percentile" val="50"/>
        <cfvo type="max"/>
        <color rgb="FFF8696B"/>
        <color rgb="FFFFEB84"/>
        <color rgb="FF63BE7B"/>
      </colorScale>
    </cfRule>
  </conditionalFormatting>
  <conditionalFormatting sqref="F21:F28">
    <cfRule type="colorScale" priority="6132">
      <colorScale>
        <cfvo type="min"/>
        <cfvo type="percentile" val="50"/>
        <cfvo type="max"/>
        <color rgb="FFF8696B"/>
        <color rgb="FFFFEB84"/>
        <color rgb="FF63BE7B"/>
      </colorScale>
    </cfRule>
  </conditionalFormatting>
  <conditionalFormatting sqref="F21:F28">
    <cfRule type="colorScale" priority="6131">
      <colorScale>
        <cfvo type="min"/>
        <cfvo type="percentile" val="50"/>
        <cfvo type="max"/>
        <color rgb="FFF8696B"/>
        <color rgb="FFFFEB84"/>
        <color rgb="FF63BE7B"/>
      </colorScale>
    </cfRule>
  </conditionalFormatting>
  <conditionalFormatting sqref="F21:F28">
    <cfRule type="colorScale" priority="6130">
      <colorScale>
        <cfvo type="min"/>
        <cfvo type="percentile" val="50"/>
        <cfvo type="max"/>
        <color rgb="FFF8696B"/>
        <color rgb="FFFFEB84"/>
        <color rgb="FF63BE7B"/>
      </colorScale>
    </cfRule>
  </conditionalFormatting>
  <conditionalFormatting sqref="F21:F28">
    <cfRule type="colorScale" priority="6129">
      <colorScale>
        <cfvo type="min"/>
        <cfvo type="percentile" val="50"/>
        <cfvo type="max"/>
        <color rgb="FFF8696B"/>
        <color rgb="FFFFEB84"/>
        <color rgb="FF63BE7B"/>
      </colorScale>
    </cfRule>
  </conditionalFormatting>
  <conditionalFormatting sqref="F21:F28">
    <cfRule type="colorScale" priority="6128">
      <colorScale>
        <cfvo type="min"/>
        <cfvo type="percentile" val="50"/>
        <cfvo type="max"/>
        <color rgb="FFF8696B"/>
        <color rgb="FFFFEB84"/>
        <color rgb="FF63BE7B"/>
      </colorScale>
    </cfRule>
  </conditionalFormatting>
  <conditionalFormatting sqref="F21:F28">
    <cfRule type="colorScale" priority="6127">
      <colorScale>
        <cfvo type="min"/>
        <cfvo type="percentile" val="50"/>
        <cfvo type="max"/>
        <color rgb="FFF8696B"/>
        <color rgb="FFFFEB84"/>
        <color rgb="FF63BE7B"/>
      </colorScale>
    </cfRule>
  </conditionalFormatting>
  <conditionalFormatting sqref="F21:F28">
    <cfRule type="colorScale" priority="6126">
      <colorScale>
        <cfvo type="min"/>
        <cfvo type="percentile" val="50"/>
        <cfvo type="max"/>
        <color rgb="FFF8696B"/>
        <color rgb="FFFFEB84"/>
        <color rgb="FF63BE7B"/>
      </colorScale>
    </cfRule>
  </conditionalFormatting>
  <conditionalFormatting sqref="F21:F28">
    <cfRule type="colorScale" priority="6125">
      <colorScale>
        <cfvo type="min"/>
        <cfvo type="percentile" val="50"/>
        <cfvo type="max"/>
        <color rgb="FFF8696B"/>
        <color rgb="FFFFEB84"/>
        <color rgb="FF63BE7B"/>
      </colorScale>
    </cfRule>
  </conditionalFormatting>
  <conditionalFormatting sqref="F21:F28">
    <cfRule type="colorScale" priority="6124">
      <colorScale>
        <cfvo type="min"/>
        <cfvo type="percentile" val="50"/>
        <cfvo type="max"/>
        <color rgb="FFF8696B"/>
        <color rgb="FFFFEB84"/>
        <color rgb="FF63BE7B"/>
      </colorScale>
    </cfRule>
  </conditionalFormatting>
  <conditionalFormatting sqref="F21:F28">
    <cfRule type="colorScale" priority="6123">
      <colorScale>
        <cfvo type="min"/>
        <cfvo type="percentile" val="50"/>
        <cfvo type="max"/>
        <color rgb="FFF8696B"/>
        <color rgb="FFFFEB84"/>
        <color rgb="FF63BE7B"/>
      </colorScale>
    </cfRule>
  </conditionalFormatting>
  <conditionalFormatting sqref="F21:F28">
    <cfRule type="colorScale" priority="6122">
      <colorScale>
        <cfvo type="min"/>
        <cfvo type="percentile" val="50"/>
        <cfvo type="max"/>
        <color rgb="FFF8696B"/>
        <color rgb="FFFFEB84"/>
        <color rgb="FF63BE7B"/>
      </colorScale>
    </cfRule>
  </conditionalFormatting>
  <conditionalFormatting sqref="F21:F28">
    <cfRule type="colorScale" priority="6121">
      <colorScale>
        <cfvo type="min"/>
        <cfvo type="percentile" val="50"/>
        <cfvo type="max"/>
        <color rgb="FFF8696B"/>
        <color rgb="FFFFEB84"/>
        <color rgb="FF63BE7B"/>
      </colorScale>
    </cfRule>
  </conditionalFormatting>
  <conditionalFormatting sqref="F21:F28">
    <cfRule type="colorScale" priority="6120">
      <colorScale>
        <cfvo type="min"/>
        <cfvo type="percentile" val="50"/>
        <cfvo type="max"/>
        <color rgb="FFF8696B"/>
        <color rgb="FFFFEB84"/>
        <color rgb="FF63BE7B"/>
      </colorScale>
    </cfRule>
  </conditionalFormatting>
  <conditionalFormatting sqref="F21:F28">
    <cfRule type="colorScale" priority="6119">
      <colorScale>
        <cfvo type="min"/>
        <cfvo type="percentile" val="50"/>
        <cfvo type="max"/>
        <color rgb="FFF8696B"/>
        <color rgb="FFFFEB84"/>
        <color rgb="FF63BE7B"/>
      </colorScale>
    </cfRule>
  </conditionalFormatting>
  <conditionalFormatting sqref="F21:F28">
    <cfRule type="colorScale" priority="6118">
      <colorScale>
        <cfvo type="min"/>
        <cfvo type="percentile" val="50"/>
        <cfvo type="max"/>
        <color rgb="FFF8696B"/>
        <color rgb="FFFFEB84"/>
        <color rgb="FF63BE7B"/>
      </colorScale>
    </cfRule>
  </conditionalFormatting>
  <conditionalFormatting sqref="F21:F28">
    <cfRule type="colorScale" priority="6117">
      <colorScale>
        <cfvo type="min"/>
        <cfvo type="percentile" val="50"/>
        <cfvo type="max"/>
        <color rgb="FFF8696B"/>
        <color rgb="FFFFEB84"/>
        <color rgb="FF63BE7B"/>
      </colorScale>
    </cfRule>
  </conditionalFormatting>
  <conditionalFormatting sqref="F21:F28">
    <cfRule type="colorScale" priority="6116">
      <colorScale>
        <cfvo type="min"/>
        <cfvo type="percentile" val="50"/>
        <cfvo type="max"/>
        <color rgb="FFF8696B"/>
        <color rgb="FFFFEB84"/>
        <color rgb="FF63BE7B"/>
      </colorScale>
    </cfRule>
  </conditionalFormatting>
  <conditionalFormatting sqref="F21:F28">
    <cfRule type="colorScale" priority="6115">
      <colorScale>
        <cfvo type="min"/>
        <cfvo type="percentile" val="50"/>
        <cfvo type="max"/>
        <color rgb="FFF8696B"/>
        <color rgb="FFFFEB84"/>
        <color rgb="FF63BE7B"/>
      </colorScale>
    </cfRule>
  </conditionalFormatting>
  <conditionalFormatting sqref="F21:F28">
    <cfRule type="colorScale" priority="6114">
      <colorScale>
        <cfvo type="min"/>
        <cfvo type="percentile" val="50"/>
        <cfvo type="max"/>
        <color rgb="FFF8696B"/>
        <color rgb="FFFFEB84"/>
        <color rgb="FF63BE7B"/>
      </colorScale>
    </cfRule>
  </conditionalFormatting>
  <conditionalFormatting sqref="F21:F28">
    <cfRule type="colorScale" priority="6113">
      <colorScale>
        <cfvo type="min"/>
        <cfvo type="percentile" val="50"/>
        <cfvo type="max"/>
        <color rgb="FFF8696B"/>
        <color rgb="FFFFEB84"/>
        <color rgb="FF63BE7B"/>
      </colorScale>
    </cfRule>
  </conditionalFormatting>
  <conditionalFormatting sqref="F21:F28">
    <cfRule type="colorScale" priority="6112">
      <colorScale>
        <cfvo type="min"/>
        <cfvo type="percentile" val="50"/>
        <cfvo type="max"/>
        <color rgb="FFF8696B"/>
        <color rgb="FFFFEB84"/>
        <color rgb="FF63BE7B"/>
      </colorScale>
    </cfRule>
  </conditionalFormatting>
  <conditionalFormatting sqref="F21:F28">
    <cfRule type="colorScale" priority="6111">
      <colorScale>
        <cfvo type="min"/>
        <cfvo type="percentile" val="50"/>
        <cfvo type="max"/>
        <color rgb="FFF8696B"/>
        <color rgb="FFFFEB84"/>
        <color rgb="FF63BE7B"/>
      </colorScale>
    </cfRule>
  </conditionalFormatting>
  <conditionalFormatting sqref="F21:F28">
    <cfRule type="colorScale" priority="6110">
      <colorScale>
        <cfvo type="min"/>
        <cfvo type="percentile" val="50"/>
        <cfvo type="max"/>
        <color rgb="FFF8696B"/>
        <color rgb="FFFFEB84"/>
        <color rgb="FF63BE7B"/>
      </colorScale>
    </cfRule>
  </conditionalFormatting>
  <conditionalFormatting sqref="F21:F28">
    <cfRule type="colorScale" priority="6109">
      <colorScale>
        <cfvo type="min"/>
        <cfvo type="percentile" val="50"/>
        <cfvo type="max"/>
        <color rgb="FFF8696B"/>
        <color rgb="FFFFEB84"/>
        <color rgb="FF63BE7B"/>
      </colorScale>
    </cfRule>
  </conditionalFormatting>
  <conditionalFormatting sqref="F21:F28">
    <cfRule type="colorScale" priority="6108">
      <colorScale>
        <cfvo type="min"/>
        <cfvo type="percentile" val="50"/>
        <cfvo type="max"/>
        <color rgb="FFF8696B"/>
        <color rgb="FFFFEB84"/>
        <color rgb="FF63BE7B"/>
      </colorScale>
    </cfRule>
  </conditionalFormatting>
  <conditionalFormatting sqref="F21:F28">
    <cfRule type="colorScale" priority="6107">
      <colorScale>
        <cfvo type="min"/>
        <cfvo type="percentile" val="50"/>
        <cfvo type="max"/>
        <color rgb="FFF8696B"/>
        <color rgb="FFFFEB84"/>
        <color rgb="FF63BE7B"/>
      </colorScale>
    </cfRule>
  </conditionalFormatting>
  <conditionalFormatting sqref="F21:F28">
    <cfRule type="colorScale" priority="6106">
      <colorScale>
        <cfvo type="min"/>
        <cfvo type="percentile" val="50"/>
        <cfvo type="max"/>
        <color rgb="FFF8696B"/>
        <color rgb="FFFFEB84"/>
        <color rgb="FF63BE7B"/>
      </colorScale>
    </cfRule>
  </conditionalFormatting>
  <conditionalFormatting sqref="F21:F28">
    <cfRule type="colorScale" priority="6105">
      <colorScale>
        <cfvo type="min"/>
        <cfvo type="percentile" val="50"/>
        <cfvo type="max"/>
        <color rgb="FFF8696B"/>
        <color rgb="FFFFEB84"/>
        <color rgb="FF63BE7B"/>
      </colorScale>
    </cfRule>
  </conditionalFormatting>
  <conditionalFormatting sqref="F21:F28">
    <cfRule type="colorScale" priority="6104">
      <colorScale>
        <cfvo type="min"/>
        <cfvo type="percentile" val="50"/>
        <cfvo type="max"/>
        <color rgb="FFF8696B"/>
        <color rgb="FFFFEB84"/>
        <color rgb="FF63BE7B"/>
      </colorScale>
    </cfRule>
  </conditionalFormatting>
  <conditionalFormatting sqref="F21:F28">
    <cfRule type="colorScale" priority="6103">
      <colorScale>
        <cfvo type="min"/>
        <cfvo type="percentile" val="50"/>
        <cfvo type="max"/>
        <color rgb="FFF8696B"/>
        <color rgb="FFFFEB84"/>
        <color rgb="FF63BE7B"/>
      </colorScale>
    </cfRule>
  </conditionalFormatting>
  <conditionalFormatting sqref="F21:F28">
    <cfRule type="colorScale" priority="6102">
      <colorScale>
        <cfvo type="min"/>
        <cfvo type="percentile" val="50"/>
        <cfvo type="max"/>
        <color rgb="FFF8696B"/>
        <color rgb="FFFFEB84"/>
        <color rgb="FF63BE7B"/>
      </colorScale>
    </cfRule>
  </conditionalFormatting>
  <conditionalFormatting sqref="F21:F28">
    <cfRule type="colorScale" priority="6101">
      <colorScale>
        <cfvo type="min"/>
        <cfvo type="percentile" val="50"/>
        <cfvo type="max"/>
        <color rgb="FFF8696B"/>
        <color rgb="FFFFEB84"/>
        <color rgb="FF63BE7B"/>
      </colorScale>
    </cfRule>
  </conditionalFormatting>
  <conditionalFormatting sqref="F21:F28">
    <cfRule type="colorScale" priority="6100">
      <colorScale>
        <cfvo type="min"/>
        <cfvo type="percentile" val="50"/>
        <cfvo type="max"/>
        <color rgb="FFF8696B"/>
        <color rgb="FFFFEB84"/>
        <color rgb="FF63BE7B"/>
      </colorScale>
    </cfRule>
  </conditionalFormatting>
  <conditionalFormatting sqref="F21:F28">
    <cfRule type="colorScale" priority="6099">
      <colorScale>
        <cfvo type="min"/>
        <cfvo type="percentile" val="50"/>
        <cfvo type="max"/>
        <color rgb="FFF8696B"/>
        <color rgb="FFFFEB84"/>
        <color rgb="FF63BE7B"/>
      </colorScale>
    </cfRule>
  </conditionalFormatting>
  <conditionalFormatting sqref="F21:F28">
    <cfRule type="colorScale" priority="6098">
      <colorScale>
        <cfvo type="min"/>
        <cfvo type="percentile" val="50"/>
        <cfvo type="max"/>
        <color rgb="FFF8696B"/>
        <color rgb="FFFFEB84"/>
        <color rgb="FF63BE7B"/>
      </colorScale>
    </cfRule>
  </conditionalFormatting>
  <conditionalFormatting sqref="F21:F28">
    <cfRule type="colorScale" priority="6097">
      <colorScale>
        <cfvo type="min"/>
        <cfvo type="percentile" val="50"/>
        <cfvo type="max"/>
        <color rgb="FFF8696B"/>
        <color rgb="FFFFEB84"/>
        <color rgb="FF63BE7B"/>
      </colorScale>
    </cfRule>
  </conditionalFormatting>
  <conditionalFormatting sqref="F21:F28">
    <cfRule type="colorScale" priority="6096">
      <colorScale>
        <cfvo type="min"/>
        <cfvo type="percentile" val="50"/>
        <cfvo type="max"/>
        <color rgb="FFF8696B"/>
        <color rgb="FFFFEB84"/>
        <color rgb="FF63BE7B"/>
      </colorScale>
    </cfRule>
  </conditionalFormatting>
  <conditionalFormatting sqref="F21:F28">
    <cfRule type="colorScale" priority="6095">
      <colorScale>
        <cfvo type="min"/>
        <cfvo type="percentile" val="50"/>
        <cfvo type="max"/>
        <color rgb="FFF8696B"/>
        <color rgb="FFFFEB84"/>
        <color rgb="FF63BE7B"/>
      </colorScale>
    </cfRule>
  </conditionalFormatting>
  <conditionalFormatting sqref="F21:F28">
    <cfRule type="colorScale" priority="6094">
      <colorScale>
        <cfvo type="min"/>
        <cfvo type="percentile" val="50"/>
        <cfvo type="max"/>
        <color rgb="FFF8696B"/>
        <color rgb="FFFFEB84"/>
        <color rgb="FF63BE7B"/>
      </colorScale>
    </cfRule>
  </conditionalFormatting>
  <conditionalFormatting sqref="F21:F28">
    <cfRule type="colorScale" priority="6093">
      <colorScale>
        <cfvo type="min"/>
        <cfvo type="percentile" val="50"/>
        <cfvo type="max"/>
        <color rgb="FFF8696B"/>
        <color rgb="FFFFEB84"/>
        <color rgb="FF63BE7B"/>
      </colorScale>
    </cfRule>
  </conditionalFormatting>
  <conditionalFormatting sqref="F21:F28">
    <cfRule type="colorScale" priority="6092">
      <colorScale>
        <cfvo type="min"/>
        <cfvo type="percentile" val="50"/>
        <cfvo type="max"/>
        <color rgb="FFF8696B"/>
        <color rgb="FFFFEB84"/>
        <color rgb="FF63BE7B"/>
      </colorScale>
    </cfRule>
  </conditionalFormatting>
  <conditionalFormatting sqref="F21:F28">
    <cfRule type="colorScale" priority="6091">
      <colorScale>
        <cfvo type="min"/>
        <cfvo type="percentile" val="50"/>
        <cfvo type="max"/>
        <color rgb="FFF8696B"/>
        <color rgb="FFFFEB84"/>
        <color rgb="FF63BE7B"/>
      </colorScale>
    </cfRule>
  </conditionalFormatting>
  <conditionalFormatting sqref="F21:F28">
    <cfRule type="colorScale" priority="6090">
      <colorScale>
        <cfvo type="min"/>
        <cfvo type="percentile" val="50"/>
        <cfvo type="max"/>
        <color rgb="FFF8696B"/>
        <color rgb="FFFFEB84"/>
        <color rgb="FF63BE7B"/>
      </colorScale>
    </cfRule>
  </conditionalFormatting>
  <conditionalFormatting sqref="F21:F28">
    <cfRule type="colorScale" priority="6089">
      <colorScale>
        <cfvo type="min"/>
        <cfvo type="percentile" val="50"/>
        <cfvo type="max"/>
        <color rgb="FFF8696B"/>
        <color rgb="FFFFEB84"/>
        <color rgb="FF63BE7B"/>
      </colorScale>
    </cfRule>
  </conditionalFormatting>
  <conditionalFormatting sqref="F21:F28">
    <cfRule type="colorScale" priority="6088">
      <colorScale>
        <cfvo type="min"/>
        <cfvo type="percentile" val="50"/>
        <cfvo type="max"/>
        <color rgb="FFF8696B"/>
        <color rgb="FFFFEB84"/>
        <color rgb="FF63BE7B"/>
      </colorScale>
    </cfRule>
  </conditionalFormatting>
  <conditionalFormatting sqref="F21:F28">
    <cfRule type="colorScale" priority="6087">
      <colorScale>
        <cfvo type="min"/>
        <cfvo type="percentile" val="50"/>
        <cfvo type="max"/>
        <color rgb="FFF8696B"/>
        <color rgb="FFFFEB84"/>
        <color rgb="FF63BE7B"/>
      </colorScale>
    </cfRule>
  </conditionalFormatting>
  <conditionalFormatting sqref="F21:F28">
    <cfRule type="colorScale" priority="6086">
      <colorScale>
        <cfvo type="min"/>
        <cfvo type="percentile" val="50"/>
        <cfvo type="max"/>
        <color rgb="FFF8696B"/>
        <color rgb="FFFFEB84"/>
        <color rgb="FF63BE7B"/>
      </colorScale>
    </cfRule>
  </conditionalFormatting>
  <conditionalFormatting sqref="F21:F28">
    <cfRule type="colorScale" priority="6085">
      <colorScale>
        <cfvo type="min"/>
        <cfvo type="percentile" val="50"/>
        <cfvo type="max"/>
        <color rgb="FFF8696B"/>
        <color rgb="FFFFEB84"/>
        <color rgb="FF63BE7B"/>
      </colorScale>
    </cfRule>
  </conditionalFormatting>
  <conditionalFormatting sqref="F21:F28">
    <cfRule type="colorScale" priority="6084">
      <colorScale>
        <cfvo type="min"/>
        <cfvo type="percentile" val="50"/>
        <cfvo type="max"/>
        <color rgb="FFF8696B"/>
        <color rgb="FFFFEB84"/>
        <color rgb="FF63BE7B"/>
      </colorScale>
    </cfRule>
  </conditionalFormatting>
  <conditionalFormatting sqref="F21:F28">
    <cfRule type="colorScale" priority="6083">
      <colorScale>
        <cfvo type="min"/>
        <cfvo type="percentile" val="50"/>
        <cfvo type="max"/>
        <color rgb="FFF8696B"/>
        <color rgb="FFFFEB84"/>
        <color rgb="FF63BE7B"/>
      </colorScale>
    </cfRule>
  </conditionalFormatting>
  <conditionalFormatting sqref="F21:F28">
    <cfRule type="colorScale" priority="6082">
      <colorScale>
        <cfvo type="min"/>
        <cfvo type="percentile" val="50"/>
        <cfvo type="max"/>
        <color rgb="FFF8696B"/>
        <color rgb="FFFFEB84"/>
        <color rgb="FF63BE7B"/>
      </colorScale>
    </cfRule>
  </conditionalFormatting>
  <conditionalFormatting sqref="F21:F28">
    <cfRule type="colorScale" priority="6081">
      <colorScale>
        <cfvo type="min"/>
        <cfvo type="percentile" val="50"/>
        <cfvo type="max"/>
        <color rgb="FFF8696B"/>
        <color rgb="FFFFEB84"/>
        <color rgb="FF63BE7B"/>
      </colorScale>
    </cfRule>
  </conditionalFormatting>
  <conditionalFormatting sqref="F21:F28">
    <cfRule type="colorScale" priority="6080">
      <colorScale>
        <cfvo type="min"/>
        <cfvo type="percentile" val="50"/>
        <cfvo type="max"/>
        <color rgb="FFF8696B"/>
        <color rgb="FFFFEB84"/>
        <color rgb="FF63BE7B"/>
      </colorScale>
    </cfRule>
  </conditionalFormatting>
  <conditionalFormatting sqref="F21:F28">
    <cfRule type="colorScale" priority="6079">
      <colorScale>
        <cfvo type="min"/>
        <cfvo type="percentile" val="50"/>
        <cfvo type="max"/>
        <color rgb="FFF8696B"/>
        <color rgb="FFFFEB84"/>
        <color rgb="FF63BE7B"/>
      </colorScale>
    </cfRule>
  </conditionalFormatting>
  <conditionalFormatting sqref="F21:F28">
    <cfRule type="colorScale" priority="6078">
      <colorScale>
        <cfvo type="min"/>
        <cfvo type="percentile" val="50"/>
        <cfvo type="max"/>
        <color rgb="FFF8696B"/>
        <color rgb="FFFFEB84"/>
        <color rgb="FF63BE7B"/>
      </colorScale>
    </cfRule>
  </conditionalFormatting>
  <conditionalFormatting sqref="F21:F28">
    <cfRule type="colorScale" priority="6077">
      <colorScale>
        <cfvo type="min"/>
        <cfvo type="percentile" val="50"/>
        <cfvo type="max"/>
        <color rgb="FFF8696B"/>
        <color rgb="FFFFEB84"/>
        <color rgb="FF63BE7B"/>
      </colorScale>
    </cfRule>
  </conditionalFormatting>
  <conditionalFormatting sqref="F21:F28">
    <cfRule type="colorScale" priority="6076">
      <colorScale>
        <cfvo type="min"/>
        <cfvo type="percentile" val="50"/>
        <cfvo type="max"/>
        <color rgb="FFF8696B"/>
        <color rgb="FFFFEB84"/>
        <color rgb="FF63BE7B"/>
      </colorScale>
    </cfRule>
  </conditionalFormatting>
  <conditionalFormatting sqref="F21:F28">
    <cfRule type="colorScale" priority="6075">
      <colorScale>
        <cfvo type="min"/>
        <cfvo type="percentile" val="50"/>
        <cfvo type="max"/>
        <color rgb="FFF8696B"/>
        <color rgb="FFFFEB84"/>
        <color rgb="FF63BE7B"/>
      </colorScale>
    </cfRule>
  </conditionalFormatting>
  <conditionalFormatting sqref="F21:F28">
    <cfRule type="colorScale" priority="6074">
      <colorScale>
        <cfvo type="min"/>
        <cfvo type="percentile" val="50"/>
        <cfvo type="max"/>
        <color rgb="FFF8696B"/>
        <color rgb="FFFFEB84"/>
        <color rgb="FF63BE7B"/>
      </colorScale>
    </cfRule>
  </conditionalFormatting>
  <conditionalFormatting sqref="F21:F28">
    <cfRule type="colorScale" priority="6073">
      <colorScale>
        <cfvo type="min"/>
        <cfvo type="percentile" val="50"/>
        <cfvo type="max"/>
        <color rgb="FFF8696B"/>
        <color rgb="FFFFEB84"/>
        <color rgb="FF63BE7B"/>
      </colorScale>
    </cfRule>
  </conditionalFormatting>
  <conditionalFormatting sqref="F21:F28">
    <cfRule type="colorScale" priority="6072">
      <colorScale>
        <cfvo type="min"/>
        <cfvo type="percentile" val="50"/>
        <cfvo type="max"/>
        <color rgb="FFF8696B"/>
        <color rgb="FFFFEB84"/>
        <color rgb="FF63BE7B"/>
      </colorScale>
    </cfRule>
  </conditionalFormatting>
  <conditionalFormatting sqref="F21:F28">
    <cfRule type="colorScale" priority="6071">
      <colorScale>
        <cfvo type="min"/>
        <cfvo type="percentile" val="50"/>
        <cfvo type="max"/>
        <color rgb="FFF8696B"/>
        <color rgb="FFFFEB84"/>
        <color rgb="FF63BE7B"/>
      </colorScale>
    </cfRule>
  </conditionalFormatting>
  <conditionalFormatting sqref="F21:F28">
    <cfRule type="colorScale" priority="6070">
      <colorScale>
        <cfvo type="min"/>
        <cfvo type="percentile" val="50"/>
        <cfvo type="max"/>
        <color rgb="FFF8696B"/>
        <color rgb="FFFFEB84"/>
        <color rgb="FF63BE7B"/>
      </colorScale>
    </cfRule>
  </conditionalFormatting>
  <conditionalFormatting sqref="F21:F28">
    <cfRule type="colorScale" priority="6069">
      <colorScale>
        <cfvo type="min"/>
        <cfvo type="percentile" val="50"/>
        <cfvo type="max"/>
        <color rgb="FFF8696B"/>
        <color rgb="FFFFEB84"/>
        <color rgb="FF63BE7B"/>
      </colorScale>
    </cfRule>
  </conditionalFormatting>
  <conditionalFormatting sqref="F21:F28">
    <cfRule type="colorScale" priority="6068">
      <colorScale>
        <cfvo type="min"/>
        <cfvo type="percentile" val="50"/>
        <cfvo type="max"/>
        <color rgb="FFF8696B"/>
        <color rgb="FFFFEB84"/>
        <color rgb="FF63BE7B"/>
      </colorScale>
    </cfRule>
  </conditionalFormatting>
  <conditionalFormatting sqref="F21:F28">
    <cfRule type="colorScale" priority="6067">
      <colorScale>
        <cfvo type="min"/>
        <cfvo type="percentile" val="50"/>
        <cfvo type="max"/>
        <color rgb="FFF8696B"/>
        <color rgb="FFFFEB84"/>
        <color rgb="FF63BE7B"/>
      </colorScale>
    </cfRule>
  </conditionalFormatting>
  <conditionalFormatting sqref="F21:F28">
    <cfRule type="colorScale" priority="6066">
      <colorScale>
        <cfvo type="min"/>
        <cfvo type="percentile" val="50"/>
        <cfvo type="max"/>
        <color rgb="FFF8696B"/>
        <color rgb="FFFFEB84"/>
        <color rgb="FF63BE7B"/>
      </colorScale>
    </cfRule>
  </conditionalFormatting>
  <conditionalFormatting sqref="F21:F28">
    <cfRule type="colorScale" priority="6065">
      <colorScale>
        <cfvo type="min"/>
        <cfvo type="percentile" val="50"/>
        <cfvo type="max"/>
        <color rgb="FFF8696B"/>
        <color rgb="FFFFEB84"/>
        <color rgb="FF63BE7B"/>
      </colorScale>
    </cfRule>
  </conditionalFormatting>
  <conditionalFormatting sqref="F21:F28">
    <cfRule type="colorScale" priority="6064">
      <colorScale>
        <cfvo type="min"/>
        <cfvo type="percentile" val="50"/>
        <cfvo type="max"/>
        <color rgb="FFF8696B"/>
        <color rgb="FFFFEB84"/>
        <color rgb="FF63BE7B"/>
      </colorScale>
    </cfRule>
  </conditionalFormatting>
  <conditionalFormatting sqref="F21:F28">
    <cfRule type="colorScale" priority="6063">
      <colorScale>
        <cfvo type="min"/>
        <cfvo type="percentile" val="50"/>
        <cfvo type="max"/>
        <color rgb="FFF8696B"/>
        <color rgb="FFFFEB84"/>
        <color rgb="FF63BE7B"/>
      </colorScale>
    </cfRule>
  </conditionalFormatting>
  <conditionalFormatting sqref="F21:F28">
    <cfRule type="colorScale" priority="6062">
      <colorScale>
        <cfvo type="min"/>
        <cfvo type="percentile" val="50"/>
        <cfvo type="max"/>
        <color rgb="FFF8696B"/>
        <color rgb="FFFFEB84"/>
        <color rgb="FF63BE7B"/>
      </colorScale>
    </cfRule>
  </conditionalFormatting>
  <conditionalFormatting sqref="F21:F28">
    <cfRule type="colorScale" priority="6061">
      <colorScale>
        <cfvo type="min"/>
        <cfvo type="percentile" val="50"/>
        <cfvo type="max"/>
        <color rgb="FFF8696B"/>
        <color rgb="FFFFEB84"/>
        <color rgb="FF63BE7B"/>
      </colorScale>
    </cfRule>
  </conditionalFormatting>
  <conditionalFormatting sqref="F21:F28">
    <cfRule type="colorScale" priority="6060">
      <colorScale>
        <cfvo type="min"/>
        <cfvo type="percentile" val="50"/>
        <cfvo type="max"/>
        <color rgb="FFF8696B"/>
        <color rgb="FFFFEB84"/>
        <color rgb="FF63BE7B"/>
      </colorScale>
    </cfRule>
  </conditionalFormatting>
  <conditionalFormatting sqref="F21:F28">
    <cfRule type="colorScale" priority="6059">
      <colorScale>
        <cfvo type="min"/>
        <cfvo type="percentile" val="50"/>
        <cfvo type="max"/>
        <color rgb="FFF8696B"/>
        <color rgb="FFFFEB84"/>
        <color rgb="FF63BE7B"/>
      </colorScale>
    </cfRule>
  </conditionalFormatting>
  <conditionalFormatting sqref="F21:F28">
    <cfRule type="colorScale" priority="6058">
      <colorScale>
        <cfvo type="min"/>
        <cfvo type="percentile" val="50"/>
        <cfvo type="max"/>
        <color rgb="FFF8696B"/>
        <color rgb="FFFFEB84"/>
        <color rgb="FF63BE7B"/>
      </colorScale>
    </cfRule>
  </conditionalFormatting>
  <conditionalFormatting sqref="F21:F28">
    <cfRule type="colorScale" priority="6057">
      <colorScale>
        <cfvo type="min"/>
        <cfvo type="percentile" val="50"/>
        <cfvo type="max"/>
        <color rgb="FFF8696B"/>
        <color rgb="FFFFEB84"/>
        <color rgb="FF63BE7B"/>
      </colorScale>
    </cfRule>
  </conditionalFormatting>
  <conditionalFormatting sqref="F21:F28">
    <cfRule type="colorScale" priority="6056">
      <colorScale>
        <cfvo type="min"/>
        <cfvo type="percentile" val="50"/>
        <cfvo type="max"/>
        <color rgb="FFF8696B"/>
        <color rgb="FFFFEB84"/>
        <color rgb="FF63BE7B"/>
      </colorScale>
    </cfRule>
  </conditionalFormatting>
  <conditionalFormatting sqref="F21:F28">
    <cfRule type="colorScale" priority="6055">
      <colorScale>
        <cfvo type="min"/>
        <cfvo type="percentile" val="50"/>
        <cfvo type="max"/>
        <color rgb="FFF8696B"/>
        <color rgb="FFFFEB84"/>
        <color rgb="FF63BE7B"/>
      </colorScale>
    </cfRule>
  </conditionalFormatting>
  <conditionalFormatting sqref="F21:F28">
    <cfRule type="colorScale" priority="6054">
      <colorScale>
        <cfvo type="min"/>
        <cfvo type="percentile" val="50"/>
        <cfvo type="max"/>
        <color rgb="FFF8696B"/>
        <color rgb="FFFFEB84"/>
        <color rgb="FF63BE7B"/>
      </colorScale>
    </cfRule>
  </conditionalFormatting>
  <conditionalFormatting sqref="F21:F28">
    <cfRule type="colorScale" priority="6053">
      <colorScale>
        <cfvo type="min"/>
        <cfvo type="percentile" val="50"/>
        <cfvo type="max"/>
        <color rgb="FFF8696B"/>
        <color rgb="FFFFEB84"/>
        <color rgb="FF63BE7B"/>
      </colorScale>
    </cfRule>
  </conditionalFormatting>
  <conditionalFormatting sqref="F21:F28">
    <cfRule type="colorScale" priority="6052">
      <colorScale>
        <cfvo type="min"/>
        <cfvo type="percentile" val="50"/>
        <cfvo type="max"/>
        <color rgb="FFF8696B"/>
        <color rgb="FFFFEB84"/>
        <color rgb="FF63BE7B"/>
      </colorScale>
    </cfRule>
  </conditionalFormatting>
  <conditionalFormatting sqref="F21:F28">
    <cfRule type="colorScale" priority="6051">
      <colorScale>
        <cfvo type="min"/>
        <cfvo type="percentile" val="50"/>
        <cfvo type="max"/>
        <color rgb="FFF8696B"/>
        <color rgb="FFFFEB84"/>
        <color rgb="FF63BE7B"/>
      </colorScale>
    </cfRule>
  </conditionalFormatting>
  <conditionalFormatting sqref="F21:F28">
    <cfRule type="colorScale" priority="6050">
      <colorScale>
        <cfvo type="min"/>
        <cfvo type="percentile" val="50"/>
        <cfvo type="max"/>
        <color rgb="FFF8696B"/>
        <color rgb="FFFFEB84"/>
        <color rgb="FF63BE7B"/>
      </colorScale>
    </cfRule>
  </conditionalFormatting>
  <conditionalFormatting sqref="F21:F28">
    <cfRule type="colorScale" priority="6049">
      <colorScale>
        <cfvo type="min"/>
        <cfvo type="percentile" val="50"/>
        <cfvo type="max"/>
        <color rgb="FFF8696B"/>
        <color rgb="FFFFEB84"/>
        <color rgb="FF63BE7B"/>
      </colorScale>
    </cfRule>
  </conditionalFormatting>
  <conditionalFormatting sqref="F21:F28">
    <cfRule type="colorScale" priority="6048">
      <colorScale>
        <cfvo type="min"/>
        <cfvo type="percentile" val="50"/>
        <cfvo type="max"/>
        <color rgb="FFF8696B"/>
        <color rgb="FFFFEB84"/>
        <color rgb="FF63BE7B"/>
      </colorScale>
    </cfRule>
  </conditionalFormatting>
  <conditionalFormatting sqref="F21:F28">
    <cfRule type="colorScale" priority="6047">
      <colorScale>
        <cfvo type="min"/>
        <cfvo type="percentile" val="50"/>
        <cfvo type="max"/>
        <color rgb="FFF8696B"/>
        <color rgb="FFFFEB84"/>
        <color rgb="FF63BE7B"/>
      </colorScale>
    </cfRule>
  </conditionalFormatting>
  <conditionalFormatting sqref="F21:F28">
    <cfRule type="colorScale" priority="6046">
      <colorScale>
        <cfvo type="min"/>
        <cfvo type="percentile" val="50"/>
        <cfvo type="max"/>
        <color rgb="FFF8696B"/>
        <color rgb="FFFFEB84"/>
        <color rgb="FF63BE7B"/>
      </colorScale>
    </cfRule>
  </conditionalFormatting>
  <conditionalFormatting sqref="F21:F28">
    <cfRule type="colorScale" priority="6045">
      <colorScale>
        <cfvo type="min"/>
        <cfvo type="percentile" val="50"/>
        <cfvo type="max"/>
        <color rgb="FFF8696B"/>
        <color rgb="FFFFEB84"/>
        <color rgb="FF63BE7B"/>
      </colorScale>
    </cfRule>
  </conditionalFormatting>
  <conditionalFormatting sqref="F21:F28">
    <cfRule type="colorScale" priority="6044">
      <colorScale>
        <cfvo type="min"/>
        <cfvo type="percentile" val="50"/>
        <cfvo type="max"/>
        <color rgb="FFF8696B"/>
        <color rgb="FFFFEB84"/>
        <color rgb="FF63BE7B"/>
      </colorScale>
    </cfRule>
  </conditionalFormatting>
  <conditionalFormatting sqref="F21:F28">
    <cfRule type="colorScale" priority="6043">
      <colorScale>
        <cfvo type="min"/>
        <cfvo type="percentile" val="50"/>
        <cfvo type="max"/>
        <color rgb="FFF8696B"/>
        <color rgb="FFFFEB84"/>
        <color rgb="FF63BE7B"/>
      </colorScale>
    </cfRule>
  </conditionalFormatting>
  <conditionalFormatting sqref="F21:F28">
    <cfRule type="colorScale" priority="6042">
      <colorScale>
        <cfvo type="min"/>
        <cfvo type="percentile" val="50"/>
        <cfvo type="max"/>
        <color rgb="FFF8696B"/>
        <color rgb="FFFFEB84"/>
        <color rgb="FF63BE7B"/>
      </colorScale>
    </cfRule>
  </conditionalFormatting>
  <conditionalFormatting sqref="F21:F28">
    <cfRule type="colorScale" priority="6041">
      <colorScale>
        <cfvo type="min"/>
        <cfvo type="percentile" val="50"/>
        <cfvo type="max"/>
        <color rgb="FFF8696B"/>
        <color rgb="FFFFEB84"/>
        <color rgb="FF63BE7B"/>
      </colorScale>
    </cfRule>
  </conditionalFormatting>
  <conditionalFormatting sqref="F21:F28">
    <cfRule type="colorScale" priority="6040">
      <colorScale>
        <cfvo type="min"/>
        <cfvo type="percentile" val="50"/>
        <cfvo type="max"/>
        <color rgb="FFF8696B"/>
        <color rgb="FFFFEB84"/>
        <color rgb="FF63BE7B"/>
      </colorScale>
    </cfRule>
  </conditionalFormatting>
  <conditionalFormatting sqref="F21:F28">
    <cfRule type="colorScale" priority="6039">
      <colorScale>
        <cfvo type="min"/>
        <cfvo type="percentile" val="50"/>
        <cfvo type="max"/>
        <color rgb="FFF8696B"/>
        <color rgb="FFFFEB84"/>
        <color rgb="FF63BE7B"/>
      </colorScale>
    </cfRule>
  </conditionalFormatting>
  <conditionalFormatting sqref="F21:F28">
    <cfRule type="colorScale" priority="6038">
      <colorScale>
        <cfvo type="min"/>
        <cfvo type="percentile" val="50"/>
        <cfvo type="max"/>
        <color rgb="FFF8696B"/>
        <color rgb="FFFFEB84"/>
        <color rgb="FF63BE7B"/>
      </colorScale>
    </cfRule>
  </conditionalFormatting>
  <conditionalFormatting sqref="F21:F28">
    <cfRule type="colorScale" priority="6037">
      <colorScale>
        <cfvo type="min"/>
        <cfvo type="percentile" val="50"/>
        <cfvo type="max"/>
        <color rgb="FFF8696B"/>
        <color rgb="FFFFEB84"/>
        <color rgb="FF63BE7B"/>
      </colorScale>
    </cfRule>
  </conditionalFormatting>
  <conditionalFormatting sqref="F21:F28">
    <cfRule type="colorScale" priority="6036">
      <colorScale>
        <cfvo type="min"/>
        <cfvo type="percentile" val="50"/>
        <cfvo type="max"/>
        <color rgb="FFF8696B"/>
        <color rgb="FFFFEB84"/>
        <color rgb="FF63BE7B"/>
      </colorScale>
    </cfRule>
  </conditionalFormatting>
  <conditionalFormatting sqref="F21:F28">
    <cfRule type="colorScale" priority="6035">
      <colorScale>
        <cfvo type="min"/>
        <cfvo type="percentile" val="50"/>
        <cfvo type="max"/>
        <color rgb="FFF8696B"/>
        <color rgb="FFFFEB84"/>
        <color rgb="FF63BE7B"/>
      </colorScale>
    </cfRule>
  </conditionalFormatting>
  <conditionalFormatting sqref="F21:F28">
    <cfRule type="colorScale" priority="6034">
      <colorScale>
        <cfvo type="min"/>
        <cfvo type="percentile" val="50"/>
        <cfvo type="max"/>
        <color rgb="FFF8696B"/>
        <color rgb="FFFFEB84"/>
        <color rgb="FF63BE7B"/>
      </colorScale>
    </cfRule>
  </conditionalFormatting>
  <conditionalFormatting sqref="F21:F28">
    <cfRule type="colorScale" priority="6033">
      <colorScale>
        <cfvo type="min"/>
        <cfvo type="percentile" val="50"/>
        <cfvo type="max"/>
        <color rgb="FFF8696B"/>
        <color rgb="FFFFEB84"/>
        <color rgb="FF63BE7B"/>
      </colorScale>
    </cfRule>
  </conditionalFormatting>
  <conditionalFormatting sqref="F21:F28">
    <cfRule type="colorScale" priority="6032">
      <colorScale>
        <cfvo type="min"/>
        <cfvo type="percentile" val="50"/>
        <cfvo type="max"/>
        <color rgb="FFF8696B"/>
        <color rgb="FFFFEB84"/>
        <color rgb="FF63BE7B"/>
      </colorScale>
    </cfRule>
  </conditionalFormatting>
  <conditionalFormatting sqref="F21:F28">
    <cfRule type="colorScale" priority="6031">
      <colorScale>
        <cfvo type="min"/>
        <cfvo type="percentile" val="50"/>
        <cfvo type="max"/>
        <color rgb="FFF8696B"/>
        <color rgb="FFFFEB84"/>
        <color rgb="FF63BE7B"/>
      </colorScale>
    </cfRule>
  </conditionalFormatting>
  <conditionalFormatting sqref="F21:F28">
    <cfRule type="colorScale" priority="6030">
      <colorScale>
        <cfvo type="min"/>
        <cfvo type="percentile" val="50"/>
        <cfvo type="max"/>
        <color rgb="FFF8696B"/>
        <color rgb="FFFFEB84"/>
        <color rgb="FF63BE7B"/>
      </colorScale>
    </cfRule>
  </conditionalFormatting>
  <conditionalFormatting sqref="F21:F28">
    <cfRule type="colorScale" priority="6029">
      <colorScale>
        <cfvo type="min"/>
        <cfvo type="percentile" val="50"/>
        <cfvo type="max"/>
        <color rgb="FFF8696B"/>
        <color rgb="FFFFEB84"/>
        <color rgb="FF63BE7B"/>
      </colorScale>
    </cfRule>
  </conditionalFormatting>
  <conditionalFormatting sqref="F21:F28">
    <cfRule type="colorScale" priority="6028">
      <colorScale>
        <cfvo type="min"/>
        <cfvo type="percentile" val="50"/>
        <cfvo type="max"/>
        <color rgb="FFF8696B"/>
        <color rgb="FFFFEB84"/>
        <color rgb="FF63BE7B"/>
      </colorScale>
    </cfRule>
  </conditionalFormatting>
  <conditionalFormatting sqref="F21:F28">
    <cfRule type="colorScale" priority="6027">
      <colorScale>
        <cfvo type="min"/>
        <cfvo type="percentile" val="50"/>
        <cfvo type="max"/>
        <color rgb="FFF8696B"/>
        <color rgb="FFFFEB84"/>
        <color rgb="FF63BE7B"/>
      </colorScale>
    </cfRule>
  </conditionalFormatting>
  <conditionalFormatting sqref="F21:F28">
    <cfRule type="colorScale" priority="6026">
      <colorScale>
        <cfvo type="min"/>
        <cfvo type="percentile" val="50"/>
        <cfvo type="max"/>
        <color rgb="FFF8696B"/>
        <color rgb="FFFFEB84"/>
        <color rgb="FF63BE7B"/>
      </colorScale>
    </cfRule>
  </conditionalFormatting>
  <conditionalFormatting sqref="F21:F28">
    <cfRule type="colorScale" priority="6025">
      <colorScale>
        <cfvo type="min"/>
        <cfvo type="percentile" val="50"/>
        <cfvo type="max"/>
        <color rgb="FFF8696B"/>
        <color rgb="FFFFEB84"/>
        <color rgb="FF63BE7B"/>
      </colorScale>
    </cfRule>
  </conditionalFormatting>
  <conditionalFormatting sqref="F21:F28">
    <cfRule type="colorScale" priority="6024">
      <colorScale>
        <cfvo type="min"/>
        <cfvo type="percentile" val="50"/>
        <cfvo type="max"/>
        <color rgb="FFF8696B"/>
        <color rgb="FFFFEB84"/>
        <color rgb="FF63BE7B"/>
      </colorScale>
    </cfRule>
  </conditionalFormatting>
  <conditionalFormatting sqref="F21:F28">
    <cfRule type="colorScale" priority="6023">
      <colorScale>
        <cfvo type="min"/>
        <cfvo type="percentile" val="50"/>
        <cfvo type="max"/>
        <color rgb="FFF8696B"/>
        <color rgb="FFFFEB84"/>
        <color rgb="FF63BE7B"/>
      </colorScale>
    </cfRule>
  </conditionalFormatting>
  <conditionalFormatting sqref="F21:F28">
    <cfRule type="colorScale" priority="6022">
      <colorScale>
        <cfvo type="min"/>
        <cfvo type="percentile" val="50"/>
        <cfvo type="max"/>
        <color rgb="FFF8696B"/>
        <color rgb="FFFFEB84"/>
        <color rgb="FF63BE7B"/>
      </colorScale>
    </cfRule>
  </conditionalFormatting>
  <conditionalFormatting sqref="F21:F28">
    <cfRule type="colorScale" priority="6021">
      <colorScale>
        <cfvo type="min"/>
        <cfvo type="percentile" val="50"/>
        <cfvo type="max"/>
        <color rgb="FFF8696B"/>
        <color rgb="FFFFEB84"/>
        <color rgb="FF63BE7B"/>
      </colorScale>
    </cfRule>
  </conditionalFormatting>
  <conditionalFormatting sqref="F21:F28">
    <cfRule type="colorScale" priority="6020">
      <colorScale>
        <cfvo type="min"/>
        <cfvo type="percentile" val="50"/>
        <cfvo type="max"/>
        <color rgb="FFF8696B"/>
        <color rgb="FFFFEB84"/>
        <color rgb="FF63BE7B"/>
      </colorScale>
    </cfRule>
  </conditionalFormatting>
  <conditionalFormatting sqref="F21:F28">
    <cfRule type="colorScale" priority="6019">
      <colorScale>
        <cfvo type="min"/>
        <cfvo type="percentile" val="50"/>
        <cfvo type="max"/>
        <color rgb="FFF8696B"/>
        <color rgb="FFFFEB84"/>
        <color rgb="FF63BE7B"/>
      </colorScale>
    </cfRule>
  </conditionalFormatting>
  <conditionalFormatting sqref="F21:F28">
    <cfRule type="colorScale" priority="6018">
      <colorScale>
        <cfvo type="min"/>
        <cfvo type="percentile" val="50"/>
        <cfvo type="max"/>
        <color rgb="FFF8696B"/>
        <color rgb="FFFFEB84"/>
        <color rgb="FF63BE7B"/>
      </colorScale>
    </cfRule>
  </conditionalFormatting>
  <conditionalFormatting sqref="F21:F28">
    <cfRule type="colorScale" priority="6017">
      <colorScale>
        <cfvo type="min"/>
        <cfvo type="percentile" val="50"/>
        <cfvo type="max"/>
        <color rgb="FFF8696B"/>
        <color rgb="FFFFEB84"/>
        <color rgb="FF63BE7B"/>
      </colorScale>
    </cfRule>
  </conditionalFormatting>
  <conditionalFormatting sqref="F21:F28">
    <cfRule type="colorScale" priority="6016">
      <colorScale>
        <cfvo type="min"/>
        <cfvo type="percentile" val="50"/>
        <cfvo type="max"/>
        <color rgb="FFF8696B"/>
        <color rgb="FFFFEB84"/>
        <color rgb="FF63BE7B"/>
      </colorScale>
    </cfRule>
  </conditionalFormatting>
  <conditionalFormatting sqref="F21:F28">
    <cfRule type="colorScale" priority="6015">
      <colorScale>
        <cfvo type="min"/>
        <cfvo type="percentile" val="50"/>
        <cfvo type="max"/>
        <color rgb="FFF8696B"/>
        <color rgb="FFFFEB84"/>
        <color rgb="FF63BE7B"/>
      </colorScale>
    </cfRule>
  </conditionalFormatting>
  <conditionalFormatting sqref="F21:F28">
    <cfRule type="colorScale" priority="6014">
      <colorScale>
        <cfvo type="min"/>
        <cfvo type="percentile" val="50"/>
        <cfvo type="max"/>
        <color rgb="FFF8696B"/>
        <color rgb="FFFFEB84"/>
        <color rgb="FF63BE7B"/>
      </colorScale>
    </cfRule>
  </conditionalFormatting>
  <conditionalFormatting sqref="F21:F28">
    <cfRule type="colorScale" priority="6013">
      <colorScale>
        <cfvo type="min"/>
        <cfvo type="percentile" val="50"/>
        <cfvo type="max"/>
        <color rgb="FFF8696B"/>
        <color rgb="FFFFEB84"/>
        <color rgb="FF63BE7B"/>
      </colorScale>
    </cfRule>
  </conditionalFormatting>
  <conditionalFormatting sqref="F21:F28">
    <cfRule type="colorScale" priority="6012">
      <colorScale>
        <cfvo type="min"/>
        <cfvo type="percentile" val="50"/>
        <cfvo type="max"/>
        <color rgb="FFF8696B"/>
        <color rgb="FFFFEB84"/>
        <color rgb="FF63BE7B"/>
      </colorScale>
    </cfRule>
  </conditionalFormatting>
  <conditionalFormatting sqref="F21:F28">
    <cfRule type="colorScale" priority="6011">
      <colorScale>
        <cfvo type="min"/>
        <cfvo type="percentile" val="50"/>
        <cfvo type="max"/>
        <color rgb="FFF8696B"/>
        <color rgb="FFFFEB84"/>
        <color rgb="FF63BE7B"/>
      </colorScale>
    </cfRule>
  </conditionalFormatting>
  <conditionalFormatting sqref="F21:F28">
    <cfRule type="colorScale" priority="6010">
      <colorScale>
        <cfvo type="min"/>
        <cfvo type="percentile" val="50"/>
        <cfvo type="max"/>
        <color rgb="FFF8696B"/>
        <color rgb="FFFFEB84"/>
        <color rgb="FF63BE7B"/>
      </colorScale>
    </cfRule>
  </conditionalFormatting>
  <conditionalFormatting sqref="F21:F28">
    <cfRule type="colorScale" priority="6009">
      <colorScale>
        <cfvo type="min"/>
        <cfvo type="percentile" val="50"/>
        <cfvo type="max"/>
        <color rgb="FFF8696B"/>
        <color rgb="FFFFEB84"/>
        <color rgb="FF63BE7B"/>
      </colorScale>
    </cfRule>
  </conditionalFormatting>
  <conditionalFormatting sqref="F21:F28">
    <cfRule type="colorScale" priority="6008">
      <colorScale>
        <cfvo type="min"/>
        <cfvo type="percentile" val="50"/>
        <cfvo type="max"/>
        <color rgb="FFF8696B"/>
        <color rgb="FFFFEB84"/>
        <color rgb="FF63BE7B"/>
      </colorScale>
    </cfRule>
  </conditionalFormatting>
  <conditionalFormatting sqref="F21:F28">
    <cfRule type="colorScale" priority="6007">
      <colorScale>
        <cfvo type="min"/>
        <cfvo type="percentile" val="50"/>
        <cfvo type="max"/>
        <color rgb="FFF8696B"/>
        <color rgb="FFFFEB84"/>
        <color rgb="FF63BE7B"/>
      </colorScale>
    </cfRule>
  </conditionalFormatting>
  <conditionalFormatting sqref="F21:F28">
    <cfRule type="colorScale" priority="6006">
      <colorScale>
        <cfvo type="min"/>
        <cfvo type="percentile" val="50"/>
        <cfvo type="max"/>
        <color rgb="FFF8696B"/>
        <color rgb="FFFFEB84"/>
        <color rgb="FF63BE7B"/>
      </colorScale>
    </cfRule>
  </conditionalFormatting>
  <conditionalFormatting sqref="F21:F28">
    <cfRule type="colorScale" priority="6005">
      <colorScale>
        <cfvo type="min"/>
        <cfvo type="percentile" val="50"/>
        <cfvo type="max"/>
        <color rgb="FFF8696B"/>
        <color rgb="FFFFEB84"/>
        <color rgb="FF63BE7B"/>
      </colorScale>
    </cfRule>
  </conditionalFormatting>
  <conditionalFormatting sqref="F21:F28">
    <cfRule type="colorScale" priority="6004">
      <colorScale>
        <cfvo type="min"/>
        <cfvo type="percentile" val="50"/>
        <cfvo type="max"/>
        <color rgb="FFF8696B"/>
        <color rgb="FFFFEB84"/>
        <color rgb="FF63BE7B"/>
      </colorScale>
    </cfRule>
  </conditionalFormatting>
  <conditionalFormatting sqref="F21:F28">
    <cfRule type="colorScale" priority="6003">
      <colorScale>
        <cfvo type="min"/>
        <cfvo type="percentile" val="50"/>
        <cfvo type="max"/>
        <color rgb="FFF8696B"/>
        <color rgb="FFFFEB84"/>
        <color rgb="FF63BE7B"/>
      </colorScale>
    </cfRule>
  </conditionalFormatting>
  <conditionalFormatting sqref="F21:F28">
    <cfRule type="colorScale" priority="6002">
      <colorScale>
        <cfvo type="min"/>
        <cfvo type="percentile" val="50"/>
        <cfvo type="max"/>
        <color rgb="FFF8696B"/>
        <color rgb="FFFFEB84"/>
        <color rgb="FF63BE7B"/>
      </colorScale>
    </cfRule>
  </conditionalFormatting>
  <conditionalFormatting sqref="F21:F28">
    <cfRule type="colorScale" priority="6001">
      <colorScale>
        <cfvo type="min"/>
        <cfvo type="percentile" val="50"/>
        <cfvo type="max"/>
        <color rgb="FFF8696B"/>
        <color rgb="FFFFEB84"/>
        <color rgb="FF63BE7B"/>
      </colorScale>
    </cfRule>
  </conditionalFormatting>
  <conditionalFormatting sqref="F21:F28">
    <cfRule type="colorScale" priority="6000">
      <colorScale>
        <cfvo type="min"/>
        <cfvo type="percentile" val="50"/>
        <cfvo type="max"/>
        <color rgb="FFF8696B"/>
        <color rgb="FFFFEB84"/>
        <color rgb="FF63BE7B"/>
      </colorScale>
    </cfRule>
  </conditionalFormatting>
  <conditionalFormatting sqref="F21:F28">
    <cfRule type="colorScale" priority="5999">
      <colorScale>
        <cfvo type="min"/>
        <cfvo type="percentile" val="50"/>
        <cfvo type="max"/>
        <color rgb="FFF8696B"/>
        <color rgb="FFFFEB84"/>
        <color rgb="FF63BE7B"/>
      </colorScale>
    </cfRule>
  </conditionalFormatting>
  <conditionalFormatting sqref="F21:F28">
    <cfRule type="colorScale" priority="5998">
      <colorScale>
        <cfvo type="min"/>
        <cfvo type="percentile" val="50"/>
        <cfvo type="max"/>
        <color rgb="FFF8696B"/>
        <color rgb="FFFFEB84"/>
        <color rgb="FF63BE7B"/>
      </colorScale>
    </cfRule>
  </conditionalFormatting>
  <conditionalFormatting sqref="F21:F28">
    <cfRule type="colorScale" priority="5997">
      <colorScale>
        <cfvo type="min"/>
        <cfvo type="percentile" val="50"/>
        <cfvo type="max"/>
        <color rgb="FFF8696B"/>
        <color rgb="FFFFEB84"/>
        <color rgb="FF63BE7B"/>
      </colorScale>
    </cfRule>
  </conditionalFormatting>
  <conditionalFormatting sqref="F21:F28">
    <cfRule type="colorScale" priority="5996">
      <colorScale>
        <cfvo type="min"/>
        <cfvo type="percentile" val="50"/>
        <cfvo type="max"/>
        <color rgb="FFF8696B"/>
        <color rgb="FFFFEB84"/>
        <color rgb="FF63BE7B"/>
      </colorScale>
    </cfRule>
  </conditionalFormatting>
  <conditionalFormatting sqref="F21:F28">
    <cfRule type="colorScale" priority="5995">
      <colorScale>
        <cfvo type="min"/>
        <cfvo type="percentile" val="50"/>
        <cfvo type="max"/>
        <color rgb="FFF8696B"/>
        <color rgb="FFFFEB84"/>
        <color rgb="FF63BE7B"/>
      </colorScale>
    </cfRule>
  </conditionalFormatting>
  <conditionalFormatting sqref="F21:F28">
    <cfRule type="colorScale" priority="5994">
      <colorScale>
        <cfvo type="min"/>
        <cfvo type="percentile" val="50"/>
        <cfvo type="max"/>
        <color rgb="FFF8696B"/>
        <color rgb="FFFFEB84"/>
        <color rgb="FF63BE7B"/>
      </colorScale>
    </cfRule>
  </conditionalFormatting>
  <conditionalFormatting sqref="F21:F28">
    <cfRule type="colorScale" priority="5993">
      <colorScale>
        <cfvo type="min"/>
        <cfvo type="percentile" val="50"/>
        <cfvo type="max"/>
        <color rgb="FFF8696B"/>
        <color rgb="FFFFEB84"/>
        <color rgb="FF63BE7B"/>
      </colorScale>
    </cfRule>
  </conditionalFormatting>
  <conditionalFormatting sqref="F21:F28">
    <cfRule type="colorScale" priority="5992">
      <colorScale>
        <cfvo type="min"/>
        <cfvo type="percentile" val="50"/>
        <cfvo type="max"/>
        <color rgb="FFF8696B"/>
        <color rgb="FFFFEB84"/>
        <color rgb="FF63BE7B"/>
      </colorScale>
    </cfRule>
  </conditionalFormatting>
  <conditionalFormatting sqref="F21:F28">
    <cfRule type="colorScale" priority="5991">
      <colorScale>
        <cfvo type="min"/>
        <cfvo type="percentile" val="50"/>
        <cfvo type="max"/>
        <color rgb="FFF8696B"/>
        <color rgb="FFFFEB84"/>
        <color rgb="FF63BE7B"/>
      </colorScale>
    </cfRule>
  </conditionalFormatting>
  <conditionalFormatting sqref="F21:F28">
    <cfRule type="colorScale" priority="5990">
      <colorScale>
        <cfvo type="min"/>
        <cfvo type="percentile" val="50"/>
        <cfvo type="max"/>
        <color rgb="FFF8696B"/>
        <color rgb="FFFFEB84"/>
        <color rgb="FF63BE7B"/>
      </colorScale>
    </cfRule>
  </conditionalFormatting>
  <conditionalFormatting sqref="F21:F28">
    <cfRule type="colorScale" priority="5989">
      <colorScale>
        <cfvo type="min"/>
        <cfvo type="percentile" val="50"/>
        <cfvo type="max"/>
        <color rgb="FFF8696B"/>
        <color rgb="FFFFEB84"/>
        <color rgb="FF63BE7B"/>
      </colorScale>
    </cfRule>
  </conditionalFormatting>
  <conditionalFormatting sqref="F21:F28">
    <cfRule type="colorScale" priority="5988">
      <colorScale>
        <cfvo type="min"/>
        <cfvo type="percentile" val="50"/>
        <cfvo type="max"/>
        <color rgb="FFF8696B"/>
        <color rgb="FFFFEB84"/>
        <color rgb="FF63BE7B"/>
      </colorScale>
    </cfRule>
  </conditionalFormatting>
  <conditionalFormatting sqref="F21:F28">
    <cfRule type="colorScale" priority="5987">
      <colorScale>
        <cfvo type="min"/>
        <cfvo type="percentile" val="50"/>
        <cfvo type="max"/>
        <color rgb="FFF8696B"/>
        <color rgb="FFFFEB84"/>
        <color rgb="FF63BE7B"/>
      </colorScale>
    </cfRule>
  </conditionalFormatting>
  <conditionalFormatting sqref="F21:F28">
    <cfRule type="colorScale" priority="5986">
      <colorScale>
        <cfvo type="min"/>
        <cfvo type="percentile" val="50"/>
        <cfvo type="max"/>
        <color rgb="FFF8696B"/>
        <color rgb="FFFFEB84"/>
        <color rgb="FF63BE7B"/>
      </colorScale>
    </cfRule>
  </conditionalFormatting>
  <conditionalFormatting sqref="F21:F28">
    <cfRule type="colorScale" priority="5985">
      <colorScale>
        <cfvo type="min"/>
        <cfvo type="percentile" val="50"/>
        <cfvo type="max"/>
        <color rgb="FFF8696B"/>
        <color rgb="FFFFEB84"/>
        <color rgb="FF63BE7B"/>
      </colorScale>
    </cfRule>
  </conditionalFormatting>
  <conditionalFormatting sqref="F29:F32">
    <cfRule type="colorScale" priority="5984">
      <colorScale>
        <cfvo type="min"/>
        <cfvo type="percentile" val="50"/>
        <cfvo type="max"/>
        <color rgb="FFF8696B"/>
        <color rgb="FFFFEB84"/>
        <color rgb="FF63BE7B"/>
      </colorScale>
    </cfRule>
  </conditionalFormatting>
  <conditionalFormatting sqref="F29:F32">
    <cfRule type="colorScale" priority="5983">
      <colorScale>
        <cfvo type="min"/>
        <cfvo type="percentile" val="50"/>
        <cfvo type="max"/>
        <color rgb="FFF8696B"/>
        <color rgb="FFFFEB84"/>
        <color rgb="FF63BE7B"/>
      </colorScale>
    </cfRule>
  </conditionalFormatting>
  <conditionalFormatting sqref="F29:F32">
    <cfRule type="colorScale" priority="5982">
      <colorScale>
        <cfvo type="min"/>
        <cfvo type="percentile" val="50"/>
        <cfvo type="max"/>
        <color rgb="FFF8696B"/>
        <color rgb="FFFFEB84"/>
        <color rgb="FF63BE7B"/>
      </colorScale>
    </cfRule>
  </conditionalFormatting>
  <conditionalFormatting sqref="F29:F32">
    <cfRule type="colorScale" priority="5981">
      <colorScale>
        <cfvo type="min"/>
        <cfvo type="percentile" val="50"/>
        <cfvo type="max"/>
        <color rgb="FFF8696B"/>
        <color rgb="FFFFEB84"/>
        <color rgb="FF63BE7B"/>
      </colorScale>
    </cfRule>
  </conditionalFormatting>
  <conditionalFormatting sqref="F29:F32">
    <cfRule type="colorScale" priority="5980">
      <colorScale>
        <cfvo type="min"/>
        <cfvo type="percentile" val="50"/>
        <cfvo type="max"/>
        <color rgb="FFF8696B"/>
        <color rgb="FFFFEB84"/>
        <color rgb="FF63BE7B"/>
      </colorScale>
    </cfRule>
  </conditionalFormatting>
  <conditionalFormatting sqref="F29:F32">
    <cfRule type="colorScale" priority="5979">
      <colorScale>
        <cfvo type="min"/>
        <cfvo type="percentile" val="50"/>
        <cfvo type="max"/>
        <color rgb="FFF8696B"/>
        <color rgb="FFFFEB84"/>
        <color rgb="FF63BE7B"/>
      </colorScale>
    </cfRule>
  </conditionalFormatting>
  <conditionalFormatting sqref="F29:F32">
    <cfRule type="colorScale" priority="5978">
      <colorScale>
        <cfvo type="min"/>
        <cfvo type="percentile" val="50"/>
        <cfvo type="max"/>
        <color rgb="FFF8696B"/>
        <color rgb="FFFFEB84"/>
        <color rgb="FF63BE7B"/>
      </colorScale>
    </cfRule>
  </conditionalFormatting>
  <conditionalFormatting sqref="F29:F32">
    <cfRule type="colorScale" priority="5977">
      <colorScale>
        <cfvo type="min"/>
        <cfvo type="percentile" val="50"/>
        <cfvo type="max"/>
        <color rgb="FFF8696B"/>
        <color rgb="FFFFEB84"/>
        <color rgb="FF63BE7B"/>
      </colorScale>
    </cfRule>
  </conditionalFormatting>
  <conditionalFormatting sqref="F29:F32">
    <cfRule type="colorScale" priority="5976">
      <colorScale>
        <cfvo type="min"/>
        <cfvo type="percentile" val="50"/>
        <cfvo type="max"/>
        <color rgb="FFF8696B"/>
        <color rgb="FFFFEB84"/>
        <color rgb="FF63BE7B"/>
      </colorScale>
    </cfRule>
  </conditionalFormatting>
  <conditionalFormatting sqref="F29:F32">
    <cfRule type="colorScale" priority="5975">
      <colorScale>
        <cfvo type="min"/>
        <cfvo type="percentile" val="50"/>
        <cfvo type="max"/>
        <color rgb="FFF8696B"/>
        <color rgb="FFFFEB84"/>
        <color rgb="FF63BE7B"/>
      </colorScale>
    </cfRule>
  </conditionalFormatting>
  <conditionalFormatting sqref="F29:F32">
    <cfRule type="colorScale" priority="5974">
      <colorScale>
        <cfvo type="min"/>
        <cfvo type="percentile" val="50"/>
        <cfvo type="max"/>
        <color rgb="FFF8696B"/>
        <color rgb="FFFFEB84"/>
        <color rgb="FF63BE7B"/>
      </colorScale>
    </cfRule>
  </conditionalFormatting>
  <conditionalFormatting sqref="F29:F32">
    <cfRule type="colorScale" priority="5973">
      <colorScale>
        <cfvo type="min"/>
        <cfvo type="percentile" val="50"/>
        <cfvo type="max"/>
        <color rgb="FFF8696B"/>
        <color rgb="FFFFEB84"/>
        <color rgb="FF63BE7B"/>
      </colorScale>
    </cfRule>
  </conditionalFormatting>
  <conditionalFormatting sqref="F29:F32">
    <cfRule type="colorScale" priority="5972">
      <colorScale>
        <cfvo type="min"/>
        <cfvo type="percentile" val="50"/>
        <cfvo type="max"/>
        <color rgb="FFF8696B"/>
        <color rgb="FFFFEB84"/>
        <color rgb="FF63BE7B"/>
      </colorScale>
    </cfRule>
  </conditionalFormatting>
  <conditionalFormatting sqref="F29:F32">
    <cfRule type="colorScale" priority="5971">
      <colorScale>
        <cfvo type="min"/>
        <cfvo type="percentile" val="50"/>
        <cfvo type="max"/>
        <color rgb="FFF8696B"/>
        <color rgb="FFFFEB84"/>
        <color rgb="FF63BE7B"/>
      </colorScale>
    </cfRule>
  </conditionalFormatting>
  <conditionalFormatting sqref="F29:F32">
    <cfRule type="colorScale" priority="5970">
      <colorScale>
        <cfvo type="min"/>
        <cfvo type="percentile" val="50"/>
        <cfvo type="max"/>
        <color rgb="FFF8696B"/>
        <color rgb="FFFFEB84"/>
        <color rgb="FF63BE7B"/>
      </colorScale>
    </cfRule>
  </conditionalFormatting>
  <conditionalFormatting sqref="F29:F32">
    <cfRule type="colorScale" priority="5969">
      <colorScale>
        <cfvo type="min"/>
        <cfvo type="percentile" val="50"/>
        <cfvo type="max"/>
        <color rgb="FFF8696B"/>
        <color rgb="FFFFEB84"/>
        <color rgb="FF63BE7B"/>
      </colorScale>
    </cfRule>
  </conditionalFormatting>
  <conditionalFormatting sqref="F29:F32">
    <cfRule type="colorScale" priority="5968">
      <colorScale>
        <cfvo type="min"/>
        <cfvo type="percentile" val="50"/>
        <cfvo type="max"/>
        <color rgb="FFF8696B"/>
        <color rgb="FFFFEB84"/>
        <color rgb="FF63BE7B"/>
      </colorScale>
    </cfRule>
  </conditionalFormatting>
  <conditionalFormatting sqref="F29:F32">
    <cfRule type="colorScale" priority="5967">
      <colorScale>
        <cfvo type="min"/>
        <cfvo type="percentile" val="50"/>
        <cfvo type="max"/>
        <color rgb="FFF8696B"/>
        <color rgb="FFFFEB84"/>
        <color rgb="FF63BE7B"/>
      </colorScale>
    </cfRule>
  </conditionalFormatting>
  <conditionalFormatting sqref="F29:F32">
    <cfRule type="colorScale" priority="5966">
      <colorScale>
        <cfvo type="min"/>
        <cfvo type="percentile" val="50"/>
        <cfvo type="max"/>
        <color rgb="FFF8696B"/>
        <color rgb="FFFFEB84"/>
        <color rgb="FF63BE7B"/>
      </colorScale>
    </cfRule>
  </conditionalFormatting>
  <conditionalFormatting sqref="F29:F32">
    <cfRule type="colorScale" priority="5965">
      <colorScale>
        <cfvo type="min"/>
        <cfvo type="percentile" val="50"/>
        <cfvo type="max"/>
        <color rgb="FFF8696B"/>
        <color rgb="FFFFEB84"/>
        <color rgb="FF63BE7B"/>
      </colorScale>
    </cfRule>
  </conditionalFormatting>
  <conditionalFormatting sqref="F29:F32">
    <cfRule type="colorScale" priority="5964">
      <colorScale>
        <cfvo type="min"/>
        <cfvo type="percentile" val="50"/>
        <cfvo type="max"/>
        <color rgb="FFF8696B"/>
        <color rgb="FFFFEB84"/>
        <color rgb="FF63BE7B"/>
      </colorScale>
    </cfRule>
  </conditionalFormatting>
  <conditionalFormatting sqref="F29:F32">
    <cfRule type="colorScale" priority="5963">
      <colorScale>
        <cfvo type="min"/>
        <cfvo type="percentile" val="50"/>
        <cfvo type="max"/>
        <color rgb="FFF8696B"/>
        <color rgb="FFFFEB84"/>
        <color rgb="FF63BE7B"/>
      </colorScale>
    </cfRule>
  </conditionalFormatting>
  <conditionalFormatting sqref="F29:F32">
    <cfRule type="colorScale" priority="5962">
      <colorScale>
        <cfvo type="min"/>
        <cfvo type="percentile" val="50"/>
        <cfvo type="max"/>
        <color rgb="FFF8696B"/>
        <color rgb="FFFFEB84"/>
        <color rgb="FF63BE7B"/>
      </colorScale>
    </cfRule>
  </conditionalFormatting>
  <conditionalFormatting sqref="F29:F32">
    <cfRule type="colorScale" priority="5961">
      <colorScale>
        <cfvo type="min"/>
        <cfvo type="percentile" val="50"/>
        <cfvo type="max"/>
        <color rgb="FFF8696B"/>
        <color rgb="FFFFEB84"/>
        <color rgb="FF63BE7B"/>
      </colorScale>
    </cfRule>
  </conditionalFormatting>
  <conditionalFormatting sqref="F29:F32">
    <cfRule type="colorScale" priority="5960">
      <colorScale>
        <cfvo type="min"/>
        <cfvo type="percentile" val="50"/>
        <cfvo type="max"/>
        <color rgb="FFF8696B"/>
        <color rgb="FFFFEB84"/>
        <color rgb="FF63BE7B"/>
      </colorScale>
    </cfRule>
  </conditionalFormatting>
  <conditionalFormatting sqref="F29:F32">
    <cfRule type="colorScale" priority="5959">
      <colorScale>
        <cfvo type="min"/>
        <cfvo type="percentile" val="50"/>
        <cfvo type="max"/>
        <color rgb="FFF8696B"/>
        <color rgb="FFFFEB84"/>
        <color rgb="FF63BE7B"/>
      </colorScale>
    </cfRule>
  </conditionalFormatting>
  <conditionalFormatting sqref="F29:F32">
    <cfRule type="colorScale" priority="5958">
      <colorScale>
        <cfvo type="min"/>
        <cfvo type="percentile" val="50"/>
        <cfvo type="max"/>
        <color rgb="FFF8696B"/>
        <color rgb="FFFFEB84"/>
        <color rgb="FF63BE7B"/>
      </colorScale>
    </cfRule>
  </conditionalFormatting>
  <conditionalFormatting sqref="F29:F32">
    <cfRule type="colorScale" priority="5957">
      <colorScale>
        <cfvo type="min"/>
        <cfvo type="percentile" val="50"/>
        <cfvo type="max"/>
        <color rgb="FFF8696B"/>
        <color rgb="FFFFEB84"/>
        <color rgb="FF63BE7B"/>
      </colorScale>
    </cfRule>
  </conditionalFormatting>
  <conditionalFormatting sqref="F29:F32">
    <cfRule type="colorScale" priority="5956">
      <colorScale>
        <cfvo type="min"/>
        <cfvo type="percentile" val="50"/>
        <cfvo type="max"/>
        <color rgb="FFF8696B"/>
        <color rgb="FFFFEB84"/>
        <color rgb="FF63BE7B"/>
      </colorScale>
    </cfRule>
  </conditionalFormatting>
  <conditionalFormatting sqref="F29:F32">
    <cfRule type="colorScale" priority="5955">
      <colorScale>
        <cfvo type="min"/>
        <cfvo type="percentile" val="50"/>
        <cfvo type="max"/>
        <color rgb="FFF8696B"/>
        <color rgb="FFFFEB84"/>
        <color rgb="FF63BE7B"/>
      </colorScale>
    </cfRule>
  </conditionalFormatting>
  <conditionalFormatting sqref="F29:F32">
    <cfRule type="colorScale" priority="5954">
      <colorScale>
        <cfvo type="min"/>
        <cfvo type="percentile" val="50"/>
        <cfvo type="max"/>
        <color rgb="FFF8696B"/>
        <color rgb="FFFFEB84"/>
        <color rgb="FF63BE7B"/>
      </colorScale>
    </cfRule>
  </conditionalFormatting>
  <conditionalFormatting sqref="F29:F32">
    <cfRule type="colorScale" priority="5953">
      <colorScale>
        <cfvo type="min"/>
        <cfvo type="percentile" val="50"/>
        <cfvo type="max"/>
        <color rgb="FFF8696B"/>
        <color rgb="FFFFEB84"/>
        <color rgb="FF63BE7B"/>
      </colorScale>
    </cfRule>
  </conditionalFormatting>
  <conditionalFormatting sqref="F29:F32">
    <cfRule type="colorScale" priority="5952">
      <colorScale>
        <cfvo type="min"/>
        <cfvo type="percentile" val="50"/>
        <cfvo type="max"/>
        <color rgb="FFF8696B"/>
        <color rgb="FFFFEB84"/>
        <color rgb="FF63BE7B"/>
      </colorScale>
    </cfRule>
  </conditionalFormatting>
  <conditionalFormatting sqref="F29:F32">
    <cfRule type="colorScale" priority="5951">
      <colorScale>
        <cfvo type="min"/>
        <cfvo type="percentile" val="50"/>
        <cfvo type="max"/>
        <color rgb="FFF8696B"/>
        <color rgb="FFFFEB84"/>
        <color rgb="FF63BE7B"/>
      </colorScale>
    </cfRule>
  </conditionalFormatting>
  <conditionalFormatting sqref="F29:F32">
    <cfRule type="colorScale" priority="5950">
      <colorScale>
        <cfvo type="min"/>
        <cfvo type="percentile" val="50"/>
        <cfvo type="max"/>
        <color rgb="FFF8696B"/>
        <color rgb="FFFFEB84"/>
        <color rgb="FF63BE7B"/>
      </colorScale>
    </cfRule>
  </conditionalFormatting>
  <conditionalFormatting sqref="F29:F32">
    <cfRule type="colorScale" priority="5949">
      <colorScale>
        <cfvo type="min"/>
        <cfvo type="percentile" val="50"/>
        <cfvo type="max"/>
        <color rgb="FFF8696B"/>
        <color rgb="FFFFEB84"/>
        <color rgb="FF63BE7B"/>
      </colorScale>
    </cfRule>
  </conditionalFormatting>
  <conditionalFormatting sqref="F29:F32">
    <cfRule type="colorScale" priority="5948">
      <colorScale>
        <cfvo type="min"/>
        <cfvo type="percentile" val="50"/>
        <cfvo type="max"/>
        <color rgb="FFF8696B"/>
        <color rgb="FFFFEB84"/>
        <color rgb="FF63BE7B"/>
      </colorScale>
    </cfRule>
  </conditionalFormatting>
  <conditionalFormatting sqref="F29:F32">
    <cfRule type="colorScale" priority="5947">
      <colorScale>
        <cfvo type="min"/>
        <cfvo type="percentile" val="50"/>
        <cfvo type="max"/>
        <color rgb="FFF8696B"/>
        <color rgb="FFFFEB84"/>
        <color rgb="FF63BE7B"/>
      </colorScale>
    </cfRule>
  </conditionalFormatting>
  <conditionalFormatting sqref="F29:F32">
    <cfRule type="colorScale" priority="5946">
      <colorScale>
        <cfvo type="min"/>
        <cfvo type="percentile" val="50"/>
        <cfvo type="max"/>
        <color rgb="FFF8696B"/>
        <color rgb="FFFFEB84"/>
        <color rgb="FF63BE7B"/>
      </colorScale>
    </cfRule>
  </conditionalFormatting>
  <conditionalFormatting sqref="F29:F32">
    <cfRule type="colorScale" priority="5945">
      <colorScale>
        <cfvo type="min"/>
        <cfvo type="percentile" val="50"/>
        <cfvo type="max"/>
        <color rgb="FFF8696B"/>
        <color rgb="FFFFEB84"/>
        <color rgb="FF63BE7B"/>
      </colorScale>
    </cfRule>
  </conditionalFormatting>
  <conditionalFormatting sqref="F29:F32">
    <cfRule type="colorScale" priority="5944">
      <colorScale>
        <cfvo type="min"/>
        <cfvo type="percentile" val="50"/>
        <cfvo type="max"/>
        <color rgb="FFF8696B"/>
        <color rgb="FFFFEB84"/>
        <color rgb="FF63BE7B"/>
      </colorScale>
    </cfRule>
  </conditionalFormatting>
  <conditionalFormatting sqref="F29:F32">
    <cfRule type="colorScale" priority="5943">
      <colorScale>
        <cfvo type="min"/>
        <cfvo type="percentile" val="50"/>
        <cfvo type="max"/>
        <color rgb="FFF8696B"/>
        <color rgb="FFFFEB84"/>
        <color rgb="FF63BE7B"/>
      </colorScale>
    </cfRule>
  </conditionalFormatting>
  <conditionalFormatting sqref="F29:F32">
    <cfRule type="colorScale" priority="5942">
      <colorScale>
        <cfvo type="min"/>
        <cfvo type="percentile" val="50"/>
        <cfvo type="max"/>
        <color rgb="FFF8696B"/>
        <color rgb="FFFFEB84"/>
        <color rgb="FF63BE7B"/>
      </colorScale>
    </cfRule>
  </conditionalFormatting>
  <conditionalFormatting sqref="F29:F32">
    <cfRule type="colorScale" priority="5941">
      <colorScale>
        <cfvo type="min"/>
        <cfvo type="percentile" val="50"/>
        <cfvo type="max"/>
        <color rgb="FFF8696B"/>
        <color rgb="FFFFEB84"/>
        <color rgb="FF63BE7B"/>
      </colorScale>
    </cfRule>
  </conditionalFormatting>
  <conditionalFormatting sqref="F29:F32">
    <cfRule type="colorScale" priority="5940">
      <colorScale>
        <cfvo type="min"/>
        <cfvo type="percentile" val="50"/>
        <cfvo type="max"/>
        <color rgb="FFF8696B"/>
        <color rgb="FFFFEB84"/>
        <color rgb="FF63BE7B"/>
      </colorScale>
    </cfRule>
  </conditionalFormatting>
  <conditionalFormatting sqref="F29:F32">
    <cfRule type="colorScale" priority="5939">
      <colorScale>
        <cfvo type="min"/>
        <cfvo type="percentile" val="50"/>
        <cfvo type="max"/>
        <color rgb="FFF8696B"/>
        <color rgb="FFFFEB84"/>
        <color rgb="FF63BE7B"/>
      </colorScale>
    </cfRule>
  </conditionalFormatting>
  <conditionalFormatting sqref="F29:F32">
    <cfRule type="colorScale" priority="5938">
      <colorScale>
        <cfvo type="min"/>
        <cfvo type="percentile" val="50"/>
        <cfvo type="max"/>
        <color rgb="FFF8696B"/>
        <color rgb="FFFFEB84"/>
        <color rgb="FF63BE7B"/>
      </colorScale>
    </cfRule>
  </conditionalFormatting>
  <conditionalFormatting sqref="F29:F32">
    <cfRule type="colorScale" priority="5937">
      <colorScale>
        <cfvo type="min"/>
        <cfvo type="percentile" val="50"/>
        <cfvo type="max"/>
        <color rgb="FFF8696B"/>
        <color rgb="FFFFEB84"/>
        <color rgb="FF63BE7B"/>
      </colorScale>
    </cfRule>
  </conditionalFormatting>
  <conditionalFormatting sqref="F29:F32">
    <cfRule type="colorScale" priority="5936">
      <colorScale>
        <cfvo type="min"/>
        <cfvo type="percentile" val="50"/>
        <cfvo type="max"/>
        <color rgb="FFF8696B"/>
        <color rgb="FFFFEB84"/>
        <color rgb="FF63BE7B"/>
      </colorScale>
    </cfRule>
  </conditionalFormatting>
  <conditionalFormatting sqref="F29:F32">
    <cfRule type="colorScale" priority="5935">
      <colorScale>
        <cfvo type="min"/>
        <cfvo type="percentile" val="50"/>
        <cfvo type="max"/>
        <color rgb="FFF8696B"/>
        <color rgb="FFFFEB84"/>
        <color rgb="FF63BE7B"/>
      </colorScale>
    </cfRule>
  </conditionalFormatting>
  <conditionalFormatting sqref="F29:F32">
    <cfRule type="colorScale" priority="5934">
      <colorScale>
        <cfvo type="min"/>
        <cfvo type="percentile" val="50"/>
        <cfvo type="max"/>
        <color rgb="FFF8696B"/>
        <color rgb="FFFFEB84"/>
        <color rgb="FF63BE7B"/>
      </colorScale>
    </cfRule>
  </conditionalFormatting>
  <conditionalFormatting sqref="F29:F32">
    <cfRule type="colorScale" priority="5933">
      <colorScale>
        <cfvo type="min"/>
        <cfvo type="percentile" val="50"/>
        <cfvo type="max"/>
        <color rgb="FFF8696B"/>
        <color rgb="FFFFEB84"/>
        <color rgb="FF63BE7B"/>
      </colorScale>
    </cfRule>
  </conditionalFormatting>
  <conditionalFormatting sqref="F29:F32">
    <cfRule type="colorScale" priority="5932">
      <colorScale>
        <cfvo type="min"/>
        <cfvo type="percentile" val="50"/>
        <cfvo type="max"/>
        <color rgb="FFF8696B"/>
        <color rgb="FFFFEB84"/>
        <color rgb="FF63BE7B"/>
      </colorScale>
    </cfRule>
  </conditionalFormatting>
  <conditionalFormatting sqref="F29:F32">
    <cfRule type="colorScale" priority="5931">
      <colorScale>
        <cfvo type="min"/>
        <cfvo type="percentile" val="50"/>
        <cfvo type="max"/>
        <color rgb="FFF8696B"/>
        <color rgb="FFFFEB84"/>
        <color rgb="FF63BE7B"/>
      </colorScale>
    </cfRule>
  </conditionalFormatting>
  <conditionalFormatting sqref="F29:F32">
    <cfRule type="colorScale" priority="5930">
      <colorScale>
        <cfvo type="min"/>
        <cfvo type="percentile" val="50"/>
        <cfvo type="max"/>
        <color rgb="FFF8696B"/>
        <color rgb="FFFFEB84"/>
        <color rgb="FF63BE7B"/>
      </colorScale>
    </cfRule>
  </conditionalFormatting>
  <conditionalFormatting sqref="F29:F32">
    <cfRule type="colorScale" priority="5929">
      <colorScale>
        <cfvo type="min"/>
        <cfvo type="percentile" val="50"/>
        <cfvo type="max"/>
        <color rgb="FFF8696B"/>
        <color rgb="FFFFEB84"/>
        <color rgb="FF63BE7B"/>
      </colorScale>
    </cfRule>
  </conditionalFormatting>
  <conditionalFormatting sqref="F29:F32">
    <cfRule type="colorScale" priority="5928">
      <colorScale>
        <cfvo type="min"/>
        <cfvo type="percentile" val="50"/>
        <cfvo type="max"/>
        <color rgb="FFF8696B"/>
        <color rgb="FFFFEB84"/>
        <color rgb="FF63BE7B"/>
      </colorScale>
    </cfRule>
  </conditionalFormatting>
  <conditionalFormatting sqref="F29:F32">
    <cfRule type="colorScale" priority="5927">
      <colorScale>
        <cfvo type="min"/>
        <cfvo type="percentile" val="50"/>
        <cfvo type="max"/>
        <color rgb="FFF8696B"/>
        <color rgb="FFFFEB84"/>
        <color rgb="FF63BE7B"/>
      </colorScale>
    </cfRule>
  </conditionalFormatting>
  <conditionalFormatting sqref="F29:F32">
    <cfRule type="colorScale" priority="5926">
      <colorScale>
        <cfvo type="min"/>
        <cfvo type="percentile" val="50"/>
        <cfvo type="max"/>
        <color rgb="FFF8696B"/>
        <color rgb="FFFFEB84"/>
        <color rgb="FF63BE7B"/>
      </colorScale>
    </cfRule>
  </conditionalFormatting>
  <conditionalFormatting sqref="F29:F32">
    <cfRule type="colorScale" priority="5925">
      <colorScale>
        <cfvo type="min"/>
        <cfvo type="percentile" val="50"/>
        <cfvo type="max"/>
        <color rgb="FFF8696B"/>
        <color rgb="FFFFEB84"/>
        <color rgb="FF63BE7B"/>
      </colorScale>
    </cfRule>
  </conditionalFormatting>
  <conditionalFormatting sqref="F29:F32">
    <cfRule type="colorScale" priority="5924">
      <colorScale>
        <cfvo type="min"/>
        <cfvo type="percentile" val="50"/>
        <cfvo type="max"/>
        <color rgb="FFF8696B"/>
        <color rgb="FFFFEB84"/>
        <color rgb="FF63BE7B"/>
      </colorScale>
    </cfRule>
  </conditionalFormatting>
  <conditionalFormatting sqref="F29:F32">
    <cfRule type="colorScale" priority="5923">
      <colorScale>
        <cfvo type="min"/>
        <cfvo type="percentile" val="50"/>
        <cfvo type="max"/>
        <color rgb="FFF8696B"/>
        <color rgb="FFFFEB84"/>
        <color rgb="FF63BE7B"/>
      </colorScale>
    </cfRule>
  </conditionalFormatting>
  <conditionalFormatting sqref="F29:F32">
    <cfRule type="colorScale" priority="5922">
      <colorScale>
        <cfvo type="min"/>
        <cfvo type="percentile" val="50"/>
        <cfvo type="max"/>
        <color rgb="FFF8696B"/>
        <color rgb="FFFFEB84"/>
        <color rgb="FF63BE7B"/>
      </colorScale>
    </cfRule>
  </conditionalFormatting>
  <conditionalFormatting sqref="F29:F32">
    <cfRule type="colorScale" priority="5921">
      <colorScale>
        <cfvo type="min"/>
        <cfvo type="percentile" val="50"/>
        <cfvo type="max"/>
        <color rgb="FFF8696B"/>
        <color rgb="FFFFEB84"/>
        <color rgb="FF63BE7B"/>
      </colorScale>
    </cfRule>
  </conditionalFormatting>
  <conditionalFormatting sqref="F29:F32">
    <cfRule type="colorScale" priority="5920">
      <colorScale>
        <cfvo type="min"/>
        <cfvo type="percentile" val="50"/>
        <cfvo type="max"/>
        <color rgb="FFF8696B"/>
        <color rgb="FFFFEB84"/>
        <color rgb="FF63BE7B"/>
      </colorScale>
    </cfRule>
  </conditionalFormatting>
  <conditionalFormatting sqref="F29:F32">
    <cfRule type="colorScale" priority="5919">
      <colorScale>
        <cfvo type="min"/>
        <cfvo type="percentile" val="50"/>
        <cfvo type="max"/>
        <color rgb="FFF8696B"/>
        <color rgb="FFFFEB84"/>
        <color rgb="FF63BE7B"/>
      </colorScale>
    </cfRule>
  </conditionalFormatting>
  <conditionalFormatting sqref="F29:F32">
    <cfRule type="colorScale" priority="5918">
      <colorScale>
        <cfvo type="min"/>
        <cfvo type="percentile" val="50"/>
        <cfvo type="max"/>
        <color rgb="FFF8696B"/>
        <color rgb="FFFFEB84"/>
        <color rgb="FF63BE7B"/>
      </colorScale>
    </cfRule>
  </conditionalFormatting>
  <conditionalFormatting sqref="F29:F32">
    <cfRule type="colorScale" priority="5917">
      <colorScale>
        <cfvo type="min"/>
        <cfvo type="percentile" val="50"/>
        <cfvo type="max"/>
        <color rgb="FFF8696B"/>
        <color rgb="FFFFEB84"/>
        <color rgb="FF63BE7B"/>
      </colorScale>
    </cfRule>
  </conditionalFormatting>
  <conditionalFormatting sqref="F29:F32">
    <cfRule type="colorScale" priority="5916">
      <colorScale>
        <cfvo type="min"/>
        <cfvo type="percentile" val="50"/>
        <cfvo type="max"/>
        <color rgb="FFF8696B"/>
        <color rgb="FFFFEB84"/>
        <color rgb="FF63BE7B"/>
      </colorScale>
    </cfRule>
  </conditionalFormatting>
  <conditionalFormatting sqref="F29:F32">
    <cfRule type="colorScale" priority="5915">
      <colorScale>
        <cfvo type="min"/>
        <cfvo type="percentile" val="50"/>
        <cfvo type="max"/>
        <color rgb="FFF8696B"/>
        <color rgb="FFFFEB84"/>
        <color rgb="FF63BE7B"/>
      </colorScale>
    </cfRule>
  </conditionalFormatting>
  <conditionalFormatting sqref="F29:F32">
    <cfRule type="colorScale" priority="5914">
      <colorScale>
        <cfvo type="min"/>
        <cfvo type="percentile" val="50"/>
        <cfvo type="max"/>
        <color rgb="FFF8696B"/>
        <color rgb="FFFFEB84"/>
        <color rgb="FF63BE7B"/>
      </colorScale>
    </cfRule>
  </conditionalFormatting>
  <conditionalFormatting sqref="F29:F32">
    <cfRule type="colorScale" priority="5913">
      <colorScale>
        <cfvo type="min"/>
        <cfvo type="percentile" val="50"/>
        <cfvo type="max"/>
        <color rgb="FFF8696B"/>
        <color rgb="FFFFEB84"/>
        <color rgb="FF63BE7B"/>
      </colorScale>
    </cfRule>
  </conditionalFormatting>
  <conditionalFormatting sqref="F29:F32">
    <cfRule type="colorScale" priority="5912">
      <colorScale>
        <cfvo type="min"/>
        <cfvo type="percentile" val="50"/>
        <cfvo type="max"/>
        <color rgb="FFF8696B"/>
        <color rgb="FFFFEB84"/>
        <color rgb="FF63BE7B"/>
      </colorScale>
    </cfRule>
  </conditionalFormatting>
  <conditionalFormatting sqref="F29:F32">
    <cfRule type="colorScale" priority="5911">
      <colorScale>
        <cfvo type="min"/>
        <cfvo type="percentile" val="50"/>
        <cfvo type="max"/>
        <color rgb="FFF8696B"/>
        <color rgb="FFFFEB84"/>
        <color rgb="FF63BE7B"/>
      </colorScale>
    </cfRule>
  </conditionalFormatting>
  <conditionalFormatting sqref="F29:F32">
    <cfRule type="colorScale" priority="5910">
      <colorScale>
        <cfvo type="min"/>
        <cfvo type="percentile" val="50"/>
        <cfvo type="max"/>
        <color rgb="FFF8696B"/>
        <color rgb="FFFFEB84"/>
        <color rgb="FF63BE7B"/>
      </colorScale>
    </cfRule>
  </conditionalFormatting>
  <conditionalFormatting sqref="F29:F32">
    <cfRule type="colorScale" priority="5909">
      <colorScale>
        <cfvo type="min"/>
        <cfvo type="percentile" val="50"/>
        <cfvo type="max"/>
        <color rgb="FFF8696B"/>
        <color rgb="FFFFEB84"/>
        <color rgb="FF63BE7B"/>
      </colorScale>
    </cfRule>
  </conditionalFormatting>
  <conditionalFormatting sqref="F29:F32">
    <cfRule type="colorScale" priority="5908">
      <colorScale>
        <cfvo type="min"/>
        <cfvo type="percentile" val="50"/>
        <cfvo type="max"/>
        <color rgb="FFF8696B"/>
        <color rgb="FFFFEB84"/>
        <color rgb="FF63BE7B"/>
      </colorScale>
    </cfRule>
  </conditionalFormatting>
  <conditionalFormatting sqref="F29:F32">
    <cfRule type="colorScale" priority="5907">
      <colorScale>
        <cfvo type="min"/>
        <cfvo type="percentile" val="50"/>
        <cfvo type="max"/>
        <color rgb="FFF8696B"/>
        <color rgb="FFFFEB84"/>
        <color rgb="FF63BE7B"/>
      </colorScale>
    </cfRule>
  </conditionalFormatting>
  <conditionalFormatting sqref="F29:F32">
    <cfRule type="colorScale" priority="5906">
      <colorScale>
        <cfvo type="min"/>
        <cfvo type="percentile" val="50"/>
        <cfvo type="max"/>
        <color rgb="FFF8696B"/>
        <color rgb="FFFFEB84"/>
        <color rgb="FF63BE7B"/>
      </colorScale>
    </cfRule>
  </conditionalFormatting>
  <conditionalFormatting sqref="F29:F32">
    <cfRule type="colorScale" priority="5905">
      <colorScale>
        <cfvo type="min"/>
        <cfvo type="percentile" val="50"/>
        <cfvo type="max"/>
        <color rgb="FFF8696B"/>
        <color rgb="FFFFEB84"/>
        <color rgb="FF63BE7B"/>
      </colorScale>
    </cfRule>
  </conditionalFormatting>
  <conditionalFormatting sqref="F29:F32">
    <cfRule type="colorScale" priority="5904">
      <colorScale>
        <cfvo type="min"/>
        <cfvo type="percentile" val="50"/>
        <cfvo type="max"/>
        <color rgb="FFF8696B"/>
        <color rgb="FFFFEB84"/>
        <color rgb="FF63BE7B"/>
      </colorScale>
    </cfRule>
  </conditionalFormatting>
  <conditionalFormatting sqref="F29:F32">
    <cfRule type="colorScale" priority="5903">
      <colorScale>
        <cfvo type="min"/>
        <cfvo type="percentile" val="50"/>
        <cfvo type="max"/>
        <color rgb="FFF8696B"/>
        <color rgb="FFFFEB84"/>
        <color rgb="FF63BE7B"/>
      </colorScale>
    </cfRule>
  </conditionalFormatting>
  <conditionalFormatting sqref="F29:F32">
    <cfRule type="colorScale" priority="5902">
      <colorScale>
        <cfvo type="min"/>
        <cfvo type="percentile" val="50"/>
        <cfvo type="max"/>
        <color rgb="FFF8696B"/>
        <color rgb="FFFFEB84"/>
        <color rgb="FF63BE7B"/>
      </colorScale>
    </cfRule>
  </conditionalFormatting>
  <conditionalFormatting sqref="F29:F32">
    <cfRule type="colorScale" priority="5901">
      <colorScale>
        <cfvo type="min"/>
        <cfvo type="percentile" val="50"/>
        <cfvo type="max"/>
        <color rgb="FFF8696B"/>
        <color rgb="FFFFEB84"/>
        <color rgb="FF63BE7B"/>
      </colorScale>
    </cfRule>
  </conditionalFormatting>
  <conditionalFormatting sqref="F29:F32">
    <cfRule type="colorScale" priority="5900">
      <colorScale>
        <cfvo type="min"/>
        <cfvo type="percentile" val="50"/>
        <cfvo type="max"/>
        <color rgb="FFF8696B"/>
        <color rgb="FFFFEB84"/>
        <color rgb="FF63BE7B"/>
      </colorScale>
    </cfRule>
  </conditionalFormatting>
  <conditionalFormatting sqref="F29:F32">
    <cfRule type="colorScale" priority="5899">
      <colorScale>
        <cfvo type="min"/>
        <cfvo type="percentile" val="50"/>
        <cfvo type="max"/>
        <color rgb="FFF8696B"/>
        <color rgb="FFFFEB84"/>
        <color rgb="FF63BE7B"/>
      </colorScale>
    </cfRule>
  </conditionalFormatting>
  <conditionalFormatting sqref="F29:F32">
    <cfRule type="colorScale" priority="5898">
      <colorScale>
        <cfvo type="min"/>
        <cfvo type="percentile" val="50"/>
        <cfvo type="max"/>
        <color rgb="FFF8696B"/>
        <color rgb="FFFFEB84"/>
        <color rgb="FF63BE7B"/>
      </colorScale>
    </cfRule>
  </conditionalFormatting>
  <conditionalFormatting sqref="F29:F32">
    <cfRule type="colorScale" priority="5897">
      <colorScale>
        <cfvo type="min"/>
        <cfvo type="percentile" val="50"/>
        <cfvo type="max"/>
        <color rgb="FFF8696B"/>
        <color rgb="FFFFEB84"/>
        <color rgb="FF63BE7B"/>
      </colorScale>
    </cfRule>
  </conditionalFormatting>
  <conditionalFormatting sqref="F29:F32">
    <cfRule type="colorScale" priority="5896">
      <colorScale>
        <cfvo type="min"/>
        <cfvo type="percentile" val="50"/>
        <cfvo type="max"/>
        <color rgb="FFF8696B"/>
        <color rgb="FFFFEB84"/>
        <color rgb="FF63BE7B"/>
      </colorScale>
    </cfRule>
  </conditionalFormatting>
  <conditionalFormatting sqref="F29:F32">
    <cfRule type="colorScale" priority="5895">
      <colorScale>
        <cfvo type="min"/>
        <cfvo type="percentile" val="50"/>
        <cfvo type="max"/>
        <color rgb="FFF8696B"/>
        <color rgb="FFFFEB84"/>
        <color rgb="FF63BE7B"/>
      </colorScale>
    </cfRule>
  </conditionalFormatting>
  <conditionalFormatting sqref="F29:F32">
    <cfRule type="colorScale" priority="5894">
      <colorScale>
        <cfvo type="min"/>
        <cfvo type="percentile" val="50"/>
        <cfvo type="max"/>
        <color rgb="FFF8696B"/>
        <color rgb="FFFFEB84"/>
        <color rgb="FF63BE7B"/>
      </colorScale>
    </cfRule>
  </conditionalFormatting>
  <conditionalFormatting sqref="F29:F32">
    <cfRule type="colorScale" priority="5893">
      <colorScale>
        <cfvo type="min"/>
        <cfvo type="percentile" val="50"/>
        <cfvo type="max"/>
        <color rgb="FFF8696B"/>
        <color rgb="FFFFEB84"/>
        <color rgb="FF63BE7B"/>
      </colorScale>
    </cfRule>
  </conditionalFormatting>
  <conditionalFormatting sqref="F29:F32">
    <cfRule type="colorScale" priority="5892">
      <colorScale>
        <cfvo type="min"/>
        <cfvo type="percentile" val="50"/>
        <cfvo type="max"/>
        <color rgb="FFF8696B"/>
        <color rgb="FFFFEB84"/>
        <color rgb="FF63BE7B"/>
      </colorScale>
    </cfRule>
  </conditionalFormatting>
  <conditionalFormatting sqref="F29:F32">
    <cfRule type="colorScale" priority="5891">
      <colorScale>
        <cfvo type="min"/>
        <cfvo type="percentile" val="50"/>
        <cfvo type="max"/>
        <color rgb="FFF8696B"/>
        <color rgb="FFFFEB84"/>
        <color rgb="FF63BE7B"/>
      </colorScale>
    </cfRule>
  </conditionalFormatting>
  <conditionalFormatting sqref="F29:F32">
    <cfRule type="colorScale" priority="5890">
      <colorScale>
        <cfvo type="min"/>
        <cfvo type="percentile" val="50"/>
        <cfvo type="max"/>
        <color rgb="FFF8696B"/>
        <color rgb="FFFFEB84"/>
        <color rgb="FF63BE7B"/>
      </colorScale>
    </cfRule>
  </conditionalFormatting>
  <conditionalFormatting sqref="F29:F32">
    <cfRule type="colorScale" priority="5889">
      <colorScale>
        <cfvo type="min"/>
        <cfvo type="percentile" val="50"/>
        <cfvo type="max"/>
        <color rgb="FFF8696B"/>
        <color rgb="FFFFEB84"/>
        <color rgb="FF63BE7B"/>
      </colorScale>
    </cfRule>
  </conditionalFormatting>
  <conditionalFormatting sqref="F29:F32">
    <cfRule type="colorScale" priority="5888">
      <colorScale>
        <cfvo type="min"/>
        <cfvo type="percentile" val="50"/>
        <cfvo type="max"/>
        <color rgb="FFF8696B"/>
        <color rgb="FFFFEB84"/>
        <color rgb="FF63BE7B"/>
      </colorScale>
    </cfRule>
  </conditionalFormatting>
  <conditionalFormatting sqref="F29:F32">
    <cfRule type="colorScale" priority="5887">
      <colorScale>
        <cfvo type="min"/>
        <cfvo type="percentile" val="50"/>
        <cfvo type="max"/>
        <color rgb="FFF8696B"/>
        <color rgb="FFFFEB84"/>
        <color rgb="FF63BE7B"/>
      </colorScale>
    </cfRule>
  </conditionalFormatting>
  <conditionalFormatting sqref="F29:F32">
    <cfRule type="colorScale" priority="5886">
      <colorScale>
        <cfvo type="min"/>
        <cfvo type="percentile" val="50"/>
        <cfvo type="max"/>
        <color rgb="FFF8696B"/>
        <color rgb="FFFFEB84"/>
        <color rgb="FF63BE7B"/>
      </colorScale>
    </cfRule>
  </conditionalFormatting>
  <conditionalFormatting sqref="F29:F32">
    <cfRule type="colorScale" priority="5885">
      <colorScale>
        <cfvo type="min"/>
        <cfvo type="percentile" val="50"/>
        <cfvo type="max"/>
        <color rgb="FFF8696B"/>
        <color rgb="FFFFEB84"/>
        <color rgb="FF63BE7B"/>
      </colorScale>
    </cfRule>
  </conditionalFormatting>
  <conditionalFormatting sqref="F29:F32">
    <cfRule type="colorScale" priority="5884">
      <colorScale>
        <cfvo type="min"/>
        <cfvo type="percentile" val="50"/>
        <cfvo type="max"/>
        <color rgb="FFF8696B"/>
        <color rgb="FFFFEB84"/>
        <color rgb="FF63BE7B"/>
      </colorScale>
    </cfRule>
  </conditionalFormatting>
  <conditionalFormatting sqref="F29:F32">
    <cfRule type="colorScale" priority="5883">
      <colorScale>
        <cfvo type="min"/>
        <cfvo type="percentile" val="50"/>
        <cfvo type="max"/>
        <color rgb="FFF8696B"/>
        <color rgb="FFFFEB84"/>
        <color rgb="FF63BE7B"/>
      </colorScale>
    </cfRule>
  </conditionalFormatting>
  <conditionalFormatting sqref="F29:F32">
    <cfRule type="colorScale" priority="5882">
      <colorScale>
        <cfvo type="min"/>
        <cfvo type="percentile" val="50"/>
        <cfvo type="max"/>
        <color rgb="FFF8696B"/>
        <color rgb="FFFFEB84"/>
        <color rgb="FF63BE7B"/>
      </colorScale>
    </cfRule>
  </conditionalFormatting>
  <conditionalFormatting sqref="F29:F32">
    <cfRule type="colorScale" priority="5881">
      <colorScale>
        <cfvo type="min"/>
        <cfvo type="percentile" val="50"/>
        <cfvo type="max"/>
        <color rgb="FFF8696B"/>
        <color rgb="FFFFEB84"/>
        <color rgb="FF63BE7B"/>
      </colorScale>
    </cfRule>
  </conditionalFormatting>
  <conditionalFormatting sqref="F29:F32">
    <cfRule type="colorScale" priority="5880">
      <colorScale>
        <cfvo type="min"/>
        <cfvo type="percentile" val="50"/>
        <cfvo type="max"/>
        <color rgb="FFF8696B"/>
        <color rgb="FFFFEB84"/>
        <color rgb="FF63BE7B"/>
      </colorScale>
    </cfRule>
  </conditionalFormatting>
  <conditionalFormatting sqref="F29:F32">
    <cfRule type="colorScale" priority="5879">
      <colorScale>
        <cfvo type="min"/>
        <cfvo type="percentile" val="50"/>
        <cfvo type="max"/>
        <color rgb="FFF8696B"/>
        <color rgb="FFFFEB84"/>
        <color rgb="FF63BE7B"/>
      </colorScale>
    </cfRule>
  </conditionalFormatting>
  <conditionalFormatting sqref="F29:F32">
    <cfRule type="colorScale" priority="5878">
      <colorScale>
        <cfvo type="min"/>
        <cfvo type="percentile" val="50"/>
        <cfvo type="max"/>
        <color rgb="FFF8696B"/>
        <color rgb="FFFFEB84"/>
        <color rgb="FF63BE7B"/>
      </colorScale>
    </cfRule>
  </conditionalFormatting>
  <conditionalFormatting sqref="F29:F32">
    <cfRule type="colorScale" priority="5877">
      <colorScale>
        <cfvo type="min"/>
        <cfvo type="percentile" val="50"/>
        <cfvo type="max"/>
        <color rgb="FFF8696B"/>
        <color rgb="FFFFEB84"/>
        <color rgb="FF63BE7B"/>
      </colorScale>
    </cfRule>
  </conditionalFormatting>
  <conditionalFormatting sqref="F29:F32">
    <cfRule type="colorScale" priority="5876">
      <colorScale>
        <cfvo type="min"/>
        <cfvo type="percentile" val="50"/>
        <cfvo type="max"/>
        <color rgb="FFF8696B"/>
        <color rgb="FFFFEB84"/>
        <color rgb="FF63BE7B"/>
      </colorScale>
    </cfRule>
  </conditionalFormatting>
  <conditionalFormatting sqref="F29:F32">
    <cfRule type="colorScale" priority="5875">
      <colorScale>
        <cfvo type="min"/>
        <cfvo type="percentile" val="50"/>
        <cfvo type="max"/>
        <color rgb="FFF8696B"/>
        <color rgb="FFFFEB84"/>
        <color rgb="FF63BE7B"/>
      </colorScale>
    </cfRule>
  </conditionalFormatting>
  <conditionalFormatting sqref="F29:F32">
    <cfRule type="colorScale" priority="5874">
      <colorScale>
        <cfvo type="min"/>
        <cfvo type="percentile" val="50"/>
        <cfvo type="max"/>
        <color rgb="FFF8696B"/>
        <color rgb="FFFFEB84"/>
        <color rgb="FF63BE7B"/>
      </colorScale>
    </cfRule>
  </conditionalFormatting>
  <conditionalFormatting sqref="F29:F32">
    <cfRule type="colorScale" priority="5873">
      <colorScale>
        <cfvo type="min"/>
        <cfvo type="percentile" val="50"/>
        <cfvo type="max"/>
        <color rgb="FFF8696B"/>
        <color rgb="FFFFEB84"/>
        <color rgb="FF63BE7B"/>
      </colorScale>
    </cfRule>
  </conditionalFormatting>
  <conditionalFormatting sqref="F29:F32">
    <cfRule type="colorScale" priority="5872">
      <colorScale>
        <cfvo type="min"/>
        <cfvo type="percentile" val="50"/>
        <cfvo type="max"/>
        <color rgb="FFF8696B"/>
        <color rgb="FFFFEB84"/>
        <color rgb="FF63BE7B"/>
      </colorScale>
    </cfRule>
  </conditionalFormatting>
  <conditionalFormatting sqref="F29:F32">
    <cfRule type="colorScale" priority="5871">
      <colorScale>
        <cfvo type="min"/>
        <cfvo type="percentile" val="50"/>
        <cfvo type="max"/>
        <color rgb="FFF8696B"/>
        <color rgb="FFFFEB84"/>
        <color rgb="FF63BE7B"/>
      </colorScale>
    </cfRule>
  </conditionalFormatting>
  <conditionalFormatting sqref="F29:F32">
    <cfRule type="colorScale" priority="5870">
      <colorScale>
        <cfvo type="min"/>
        <cfvo type="percentile" val="50"/>
        <cfvo type="max"/>
        <color rgb="FFF8696B"/>
        <color rgb="FFFFEB84"/>
        <color rgb="FF63BE7B"/>
      </colorScale>
    </cfRule>
  </conditionalFormatting>
  <conditionalFormatting sqref="F29:F32">
    <cfRule type="colorScale" priority="5869">
      <colorScale>
        <cfvo type="min"/>
        <cfvo type="percentile" val="50"/>
        <cfvo type="max"/>
        <color rgb="FFF8696B"/>
        <color rgb="FFFFEB84"/>
        <color rgb="FF63BE7B"/>
      </colorScale>
    </cfRule>
  </conditionalFormatting>
  <conditionalFormatting sqref="F29:F32">
    <cfRule type="colorScale" priority="5868">
      <colorScale>
        <cfvo type="min"/>
        <cfvo type="percentile" val="50"/>
        <cfvo type="max"/>
        <color rgb="FFF8696B"/>
        <color rgb="FFFFEB84"/>
        <color rgb="FF63BE7B"/>
      </colorScale>
    </cfRule>
  </conditionalFormatting>
  <conditionalFormatting sqref="F29:F32">
    <cfRule type="colorScale" priority="5867">
      <colorScale>
        <cfvo type="min"/>
        <cfvo type="percentile" val="50"/>
        <cfvo type="max"/>
        <color rgb="FFF8696B"/>
        <color rgb="FFFFEB84"/>
        <color rgb="FF63BE7B"/>
      </colorScale>
    </cfRule>
  </conditionalFormatting>
  <conditionalFormatting sqref="F29:F32">
    <cfRule type="colorScale" priority="5866">
      <colorScale>
        <cfvo type="min"/>
        <cfvo type="percentile" val="50"/>
        <cfvo type="max"/>
        <color rgb="FFF8696B"/>
        <color rgb="FFFFEB84"/>
        <color rgb="FF63BE7B"/>
      </colorScale>
    </cfRule>
  </conditionalFormatting>
  <conditionalFormatting sqref="F29:F32">
    <cfRule type="colorScale" priority="5865">
      <colorScale>
        <cfvo type="min"/>
        <cfvo type="percentile" val="50"/>
        <cfvo type="max"/>
        <color rgb="FFF8696B"/>
        <color rgb="FFFFEB84"/>
        <color rgb="FF63BE7B"/>
      </colorScale>
    </cfRule>
  </conditionalFormatting>
  <conditionalFormatting sqref="F29:F32">
    <cfRule type="colorScale" priority="5864">
      <colorScale>
        <cfvo type="min"/>
        <cfvo type="percentile" val="50"/>
        <cfvo type="max"/>
        <color rgb="FFF8696B"/>
        <color rgb="FFFFEB84"/>
        <color rgb="FF63BE7B"/>
      </colorScale>
    </cfRule>
  </conditionalFormatting>
  <conditionalFormatting sqref="F29:F32">
    <cfRule type="colorScale" priority="5863">
      <colorScale>
        <cfvo type="min"/>
        <cfvo type="percentile" val="50"/>
        <cfvo type="max"/>
        <color rgb="FFF8696B"/>
        <color rgb="FFFFEB84"/>
        <color rgb="FF63BE7B"/>
      </colorScale>
    </cfRule>
  </conditionalFormatting>
  <conditionalFormatting sqref="F29:F32">
    <cfRule type="colorScale" priority="5862">
      <colorScale>
        <cfvo type="min"/>
        <cfvo type="percentile" val="50"/>
        <cfvo type="max"/>
        <color rgb="FFF8696B"/>
        <color rgb="FFFFEB84"/>
        <color rgb="FF63BE7B"/>
      </colorScale>
    </cfRule>
  </conditionalFormatting>
  <conditionalFormatting sqref="F29:F32">
    <cfRule type="colorScale" priority="5861">
      <colorScale>
        <cfvo type="min"/>
        <cfvo type="percentile" val="50"/>
        <cfvo type="max"/>
        <color rgb="FFF8696B"/>
        <color rgb="FFFFEB84"/>
        <color rgb="FF63BE7B"/>
      </colorScale>
    </cfRule>
  </conditionalFormatting>
  <conditionalFormatting sqref="F29:F32">
    <cfRule type="colorScale" priority="5860">
      <colorScale>
        <cfvo type="min"/>
        <cfvo type="percentile" val="50"/>
        <cfvo type="max"/>
        <color rgb="FFF8696B"/>
        <color rgb="FFFFEB84"/>
        <color rgb="FF63BE7B"/>
      </colorScale>
    </cfRule>
  </conditionalFormatting>
  <conditionalFormatting sqref="F29:F32">
    <cfRule type="colorScale" priority="5859">
      <colorScale>
        <cfvo type="min"/>
        <cfvo type="percentile" val="50"/>
        <cfvo type="max"/>
        <color rgb="FFF8696B"/>
        <color rgb="FFFFEB84"/>
        <color rgb="FF63BE7B"/>
      </colorScale>
    </cfRule>
  </conditionalFormatting>
  <conditionalFormatting sqref="F29:F32">
    <cfRule type="colorScale" priority="5858">
      <colorScale>
        <cfvo type="min"/>
        <cfvo type="percentile" val="50"/>
        <cfvo type="max"/>
        <color rgb="FFF8696B"/>
        <color rgb="FFFFEB84"/>
        <color rgb="FF63BE7B"/>
      </colorScale>
    </cfRule>
  </conditionalFormatting>
  <conditionalFormatting sqref="F29:F32">
    <cfRule type="colorScale" priority="5857">
      <colorScale>
        <cfvo type="min"/>
        <cfvo type="percentile" val="50"/>
        <cfvo type="max"/>
        <color rgb="FFF8696B"/>
        <color rgb="FFFFEB84"/>
        <color rgb="FF63BE7B"/>
      </colorScale>
    </cfRule>
  </conditionalFormatting>
  <conditionalFormatting sqref="F29:F32">
    <cfRule type="colorScale" priority="5856">
      <colorScale>
        <cfvo type="min"/>
        <cfvo type="percentile" val="50"/>
        <cfvo type="max"/>
        <color rgb="FFF8696B"/>
        <color rgb="FFFFEB84"/>
        <color rgb="FF63BE7B"/>
      </colorScale>
    </cfRule>
  </conditionalFormatting>
  <conditionalFormatting sqref="F29:F32">
    <cfRule type="colorScale" priority="5855">
      <colorScale>
        <cfvo type="min"/>
        <cfvo type="percentile" val="50"/>
        <cfvo type="max"/>
        <color rgb="FFF8696B"/>
        <color rgb="FFFFEB84"/>
        <color rgb="FF63BE7B"/>
      </colorScale>
    </cfRule>
  </conditionalFormatting>
  <conditionalFormatting sqref="F29:F32">
    <cfRule type="colorScale" priority="5854">
      <colorScale>
        <cfvo type="min"/>
        <cfvo type="percentile" val="50"/>
        <cfvo type="max"/>
        <color rgb="FFF8696B"/>
        <color rgb="FFFFEB84"/>
        <color rgb="FF63BE7B"/>
      </colorScale>
    </cfRule>
  </conditionalFormatting>
  <conditionalFormatting sqref="F29:F32">
    <cfRule type="colorScale" priority="5853">
      <colorScale>
        <cfvo type="min"/>
        <cfvo type="percentile" val="50"/>
        <cfvo type="max"/>
        <color rgb="FFF8696B"/>
        <color rgb="FFFFEB84"/>
        <color rgb="FF63BE7B"/>
      </colorScale>
    </cfRule>
  </conditionalFormatting>
  <conditionalFormatting sqref="F29:F32">
    <cfRule type="colorScale" priority="5852">
      <colorScale>
        <cfvo type="min"/>
        <cfvo type="percentile" val="50"/>
        <cfvo type="max"/>
        <color rgb="FFF8696B"/>
        <color rgb="FFFFEB84"/>
        <color rgb="FF63BE7B"/>
      </colorScale>
    </cfRule>
  </conditionalFormatting>
  <conditionalFormatting sqref="F29:F32">
    <cfRule type="colorScale" priority="5851">
      <colorScale>
        <cfvo type="min"/>
        <cfvo type="percentile" val="50"/>
        <cfvo type="max"/>
        <color rgb="FFF8696B"/>
        <color rgb="FFFFEB84"/>
        <color rgb="FF63BE7B"/>
      </colorScale>
    </cfRule>
  </conditionalFormatting>
  <conditionalFormatting sqref="F29:F32">
    <cfRule type="colorScale" priority="5850">
      <colorScale>
        <cfvo type="min"/>
        <cfvo type="percentile" val="50"/>
        <cfvo type="max"/>
        <color rgb="FFF8696B"/>
        <color rgb="FFFFEB84"/>
        <color rgb="FF63BE7B"/>
      </colorScale>
    </cfRule>
  </conditionalFormatting>
  <conditionalFormatting sqref="F29:F32">
    <cfRule type="colorScale" priority="5849">
      <colorScale>
        <cfvo type="min"/>
        <cfvo type="percentile" val="50"/>
        <cfvo type="max"/>
        <color rgb="FFF8696B"/>
        <color rgb="FFFFEB84"/>
        <color rgb="FF63BE7B"/>
      </colorScale>
    </cfRule>
  </conditionalFormatting>
  <conditionalFormatting sqref="F29:F32">
    <cfRule type="colorScale" priority="5848">
      <colorScale>
        <cfvo type="min"/>
        <cfvo type="percentile" val="50"/>
        <cfvo type="max"/>
        <color rgb="FFF8696B"/>
        <color rgb="FFFFEB84"/>
        <color rgb="FF63BE7B"/>
      </colorScale>
    </cfRule>
  </conditionalFormatting>
  <conditionalFormatting sqref="F29:F32">
    <cfRule type="colorScale" priority="5847">
      <colorScale>
        <cfvo type="min"/>
        <cfvo type="percentile" val="50"/>
        <cfvo type="max"/>
        <color rgb="FFF8696B"/>
        <color rgb="FFFFEB84"/>
        <color rgb="FF63BE7B"/>
      </colorScale>
    </cfRule>
  </conditionalFormatting>
  <conditionalFormatting sqref="F29:F32">
    <cfRule type="colorScale" priority="5846">
      <colorScale>
        <cfvo type="min"/>
        <cfvo type="percentile" val="50"/>
        <cfvo type="max"/>
        <color rgb="FFF8696B"/>
        <color rgb="FFFFEB84"/>
        <color rgb="FF63BE7B"/>
      </colorScale>
    </cfRule>
  </conditionalFormatting>
  <conditionalFormatting sqref="F29:F32">
    <cfRule type="colorScale" priority="5845">
      <colorScale>
        <cfvo type="min"/>
        <cfvo type="percentile" val="50"/>
        <cfvo type="max"/>
        <color rgb="FFF8696B"/>
        <color rgb="FFFFEB84"/>
        <color rgb="FF63BE7B"/>
      </colorScale>
    </cfRule>
  </conditionalFormatting>
  <conditionalFormatting sqref="F29:F32">
    <cfRule type="colorScale" priority="5844">
      <colorScale>
        <cfvo type="min"/>
        <cfvo type="percentile" val="50"/>
        <cfvo type="max"/>
        <color rgb="FFF8696B"/>
        <color rgb="FFFFEB84"/>
        <color rgb="FF63BE7B"/>
      </colorScale>
    </cfRule>
  </conditionalFormatting>
  <conditionalFormatting sqref="F29:F32">
    <cfRule type="colorScale" priority="5843">
      <colorScale>
        <cfvo type="min"/>
        <cfvo type="percentile" val="50"/>
        <cfvo type="max"/>
        <color rgb="FFF8696B"/>
        <color rgb="FFFFEB84"/>
        <color rgb="FF63BE7B"/>
      </colorScale>
    </cfRule>
  </conditionalFormatting>
  <conditionalFormatting sqref="F29:F32">
    <cfRule type="colorScale" priority="5842">
      <colorScale>
        <cfvo type="min"/>
        <cfvo type="percentile" val="50"/>
        <cfvo type="max"/>
        <color rgb="FFF8696B"/>
        <color rgb="FFFFEB84"/>
        <color rgb="FF63BE7B"/>
      </colorScale>
    </cfRule>
  </conditionalFormatting>
  <conditionalFormatting sqref="F29:F32">
    <cfRule type="colorScale" priority="5841">
      <colorScale>
        <cfvo type="min"/>
        <cfvo type="percentile" val="50"/>
        <cfvo type="max"/>
        <color rgb="FFF8696B"/>
        <color rgb="FFFFEB84"/>
        <color rgb="FF63BE7B"/>
      </colorScale>
    </cfRule>
  </conditionalFormatting>
  <conditionalFormatting sqref="F29:F32">
    <cfRule type="colorScale" priority="5840">
      <colorScale>
        <cfvo type="min"/>
        <cfvo type="percentile" val="50"/>
        <cfvo type="max"/>
        <color rgb="FFF8696B"/>
        <color rgb="FFFFEB84"/>
        <color rgb="FF63BE7B"/>
      </colorScale>
    </cfRule>
  </conditionalFormatting>
  <conditionalFormatting sqref="F29:F32">
    <cfRule type="colorScale" priority="5839">
      <colorScale>
        <cfvo type="min"/>
        <cfvo type="percentile" val="50"/>
        <cfvo type="max"/>
        <color rgb="FFF8696B"/>
        <color rgb="FFFFEB84"/>
        <color rgb="FF63BE7B"/>
      </colorScale>
    </cfRule>
  </conditionalFormatting>
  <conditionalFormatting sqref="F29:F32">
    <cfRule type="colorScale" priority="5838">
      <colorScale>
        <cfvo type="min"/>
        <cfvo type="percentile" val="50"/>
        <cfvo type="max"/>
        <color rgb="FFF8696B"/>
        <color rgb="FFFFEB84"/>
        <color rgb="FF63BE7B"/>
      </colorScale>
    </cfRule>
  </conditionalFormatting>
  <conditionalFormatting sqref="F29:F32">
    <cfRule type="colorScale" priority="5837">
      <colorScale>
        <cfvo type="min"/>
        <cfvo type="percentile" val="50"/>
        <cfvo type="max"/>
        <color rgb="FFF8696B"/>
        <color rgb="FFFFEB84"/>
        <color rgb="FF63BE7B"/>
      </colorScale>
    </cfRule>
  </conditionalFormatting>
  <conditionalFormatting sqref="F29:F32">
    <cfRule type="colorScale" priority="5836">
      <colorScale>
        <cfvo type="min"/>
        <cfvo type="percentile" val="50"/>
        <cfvo type="max"/>
        <color rgb="FFF8696B"/>
        <color rgb="FFFFEB84"/>
        <color rgb="FF63BE7B"/>
      </colorScale>
    </cfRule>
  </conditionalFormatting>
  <conditionalFormatting sqref="F11:F31">
    <cfRule type="colorScale" priority="5835">
      <colorScale>
        <cfvo type="min"/>
        <cfvo type="percentile" val="50"/>
        <cfvo type="max"/>
        <color rgb="FFF8696B"/>
        <color rgb="FFFFEB84"/>
        <color rgb="FF63BE7B"/>
      </colorScale>
    </cfRule>
  </conditionalFormatting>
  <conditionalFormatting sqref="F11:F31">
    <cfRule type="colorScale" priority="5834">
      <colorScale>
        <cfvo type="min"/>
        <cfvo type="percentile" val="50"/>
        <cfvo type="max"/>
        <color rgb="FFF8696B"/>
        <color rgb="FFFFEB84"/>
        <color rgb="FF63BE7B"/>
      </colorScale>
    </cfRule>
  </conditionalFormatting>
  <conditionalFormatting sqref="F11:F31">
    <cfRule type="colorScale" priority="5833">
      <colorScale>
        <cfvo type="min"/>
        <cfvo type="percentile" val="50"/>
        <cfvo type="max"/>
        <color rgb="FFF8696B"/>
        <color rgb="FFFFEB84"/>
        <color rgb="FF63BE7B"/>
      </colorScale>
    </cfRule>
  </conditionalFormatting>
  <conditionalFormatting sqref="F11:F31">
    <cfRule type="colorScale" priority="5832">
      <colorScale>
        <cfvo type="min"/>
        <cfvo type="percentile" val="50"/>
        <cfvo type="max"/>
        <color rgb="FFF8696B"/>
        <color rgb="FFFFEB84"/>
        <color rgb="FF63BE7B"/>
      </colorScale>
    </cfRule>
  </conditionalFormatting>
  <conditionalFormatting sqref="F11:F31">
    <cfRule type="colorScale" priority="5831">
      <colorScale>
        <cfvo type="min"/>
        <cfvo type="percentile" val="50"/>
        <cfvo type="max"/>
        <color rgb="FFF8696B"/>
        <color rgb="FFFFEB84"/>
        <color rgb="FF63BE7B"/>
      </colorScale>
    </cfRule>
  </conditionalFormatting>
  <conditionalFormatting sqref="F11:F31">
    <cfRule type="colorScale" priority="5830">
      <colorScale>
        <cfvo type="min"/>
        <cfvo type="percentile" val="50"/>
        <cfvo type="max"/>
        <color rgb="FFF8696B"/>
        <color rgb="FFFFEB84"/>
        <color rgb="FF63BE7B"/>
      </colorScale>
    </cfRule>
  </conditionalFormatting>
  <conditionalFormatting sqref="F11:F31">
    <cfRule type="colorScale" priority="5829">
      <colorScale>
        <cfvo type="min"/>
        <cfvo type="percentile" val="50"/>
        <cfvo type="max"/>
        <color rgb="FFF8696B"/>
        <color rgb="FFFFEB84"/>
        <color rgb="FF63BE7B"/>
      </colorScale>
    </cfRule>
  </conditionalFormatting>
  <conditionalFormatting sqref="F11:F31">
    <cfRule type="colorScale" priority="5828">
      <colorScale>
        <cfvo type="min"/>
        <cfvo type="percentile" val="50"/>
        <cfvo type="max"/>
        <color rgb="FFF8696B"/>
        <color rgb="FFFFEB84"/>
        <color rgb="FF63BE7B"/>
      </colorScale>
    </cfRule>
  </conditionalFormatting>
  <conditionalFormatting sqref="F11:F31">
    <cfRule type="colorScale" priority="5827">
      <colorScale>
        <cfvo type="min"/>
        <cfvo type="percentile" val="50"/>
        <cfvo type="max"/>
        <color rgb="FFF8696B"/>
        <color rgb="FFFFEB84"/>
        <color rgb="FF63BE7B"/>
      </colorScale>
    </cfRule>
  </conditionalFormatting>
  <conditionalFormatting sqref="F11:F31">
    <cfRule type="colorScale" priority="5826">
      <colorScale>
        <cfvo type="min"/>
        <cfvo type="percentile" val="50"/>
        <cfvo type="max"/>
        <color rgb="FFF8696B"/>
        <color rgb="FFFFEB84"/>
        <color rgb="FF63BE7B"/>
      </colorScale>
    </cfRule>
  </conditionalFormatting>
  <conditionalFormatting sqref="F11:F31">
    <cfRule type="colorScale" priority="5825">
      <colorScale>
        <cfvo type="min"/>
        <cfvo type="percentile" val="50"/>
        <cfvo type="max"/>
        <color rgb="FFF8696B"/>
        <color rgb="FFFFEB84"/>
        <color rgb="FF63BE7B"/>
      </colorScale>
    </cfRule>
  </conditionalFormatting>
  <conditionalFormatting sqref="F11:F31">
    <cfRule type="colorScale" priority="5824">
      <colorScale>
        <cfvo type="min"/>
        <cfvo type="percentile" val="50"/>
        <cfvo type="max"/>
        <color rgb="FFF8696B"/>
        <color rgb="FFFFEB84"/>
        <color rgb="FF63BE7B"/>
      </colorScale>
    </cfRule>
  </conditionalFormatting>
  <conditionalFormatting sqref="F11:F31">
    <cfRule type="colorScale" priority="5823">
      <colorScale>
        <cfvo type="min"/>
        <cfvo type="percentile" val="50"/>
        <cfvo type="max"/>
        <color rgb="FFF8696B"/>
        <color rgb="FFFFEB84"/>
        <color rgb="FF63BE7B"/>
      </colorScale>
    </cfRule>
  </conditionalFormatting>
  <conditionalFormatting sqref="F11:F31">
    <cfRule type="colorScale" priority="5822">
      <colorScale>
        <cfvo type="min"/>
        <cfvo type="percentile" val="50"/>
        <cfvo type="max"/>
        <color rgb="FFF8696B"/>
        <color rgb="FFFFEB84"/>
        <color rgb="FF63BE7B"/>
      </colorScale>
    </cfRule>
  </conditionalFormatting>
  <conditionalFormatting sqref="F11:F31">
    <cfRule type="colorScale" priority="5821">
      <colorScale>
        <cfvo type="min"/>
        <cfvo type="percentile" val="50"/>
        <cfvo type="max"/>
        <color rgb="FFF8696B"/>
        <color rgb="FFFFEB84"/>
        <color rgb="FF63BE7B"/>
      </colorScale>
    </cfRule>
  </conditionalFormatting>
  <conditionalFormatting sqref="F11:F31">
    <cfRule type="colorScale" priority="5820">
      <colorScale>
        <cfvo type="min"/>
        <cfvo type="percentile" val="50"/>
        <cfvo type="max"/>
        <color rgb="FFF8696B"/>
        <color rgb="FFFFEB84"/>
        <color rgb="FF63BE7B"/>
      </colorScale>
    </cfRule>
  </conditionalFormatting>
  <conditionalFormatting sqref="F11:F31">
    <cfRule type="colorScale" priority="5819">
      <colorScale>
        <cfvo type="min"/>
        <cfvo type="percentile" val="50"/>
        <cfvo type="max"/>
        <color rgb="FFF8696B"/>
        <color rgb="FFFFEB84"/>
        <color rgb="FF63BE7B"/>
      </colorScale>
    </cfRule>
  </conditionalFormatting>
  <conditionalFormatting sqref="F11:F31">
    <cfRule type="colorScale" priority="5818">
      <colorScale>
        <cfvo type="min"/>
        <cfvo type="percentile" val="50"/>
        <cfvo type="max"/>
        <color rgb="FFF8696B"/>
        <color rgb="FFFFEB84"/>
        <color rgb="FF63BE7B"/>
      </colorScale>
    </cfRule>
  </conditionalFormatting>
  <conditionalFormatting sqref="F11:F31">
    <cfRule type="colorScale" priority="5817">
      <colorScale>
        <cfvo type="min"/>
        <cfvo type="percentile" val="50"/>
        <cfvo type="max"/>
        <color rgb="FFF8696B"/>
        <color rgb="FFFFEB84"/>
        <color rgb="FF63BE7B"/>
      </colorScale>
    </cfRule>
  </conditionalFormatting>
  <conditionalFormatting sqref="F11:F31">
    <cfRule type="colorScale" priority="5816">
      <colorScale>
        <cfvo type="min"/>
        <cfvo type="percentile" val="50"/>
        <cfvo type="max"/>
        <color rgb="FFF8696B"/>
        <color rgb="FFFFEB84"/>
        <color rgb="FF63BE7B"/>
      </colorScale>
    </cfRule>
  </conditionalFormatting>
  <conditionalFormatting sqref="F11:F31">
    <cfRule type="colorScale" priority="5815">
      <colorScale>
        <cfvo type="min"/>
        <cfvo type="percentile" val="50"/>
        <cfvo type="max"/>
        <color rgb="FFF8696B"/>
        <color rgb="FFFFEB84"/>
        <color rgb="FF63BE7B"/>
      </colorScale>
    </cfRule>
  </conditionalFormatting>
  <conditionalFormatting sqref="F11:F31">
    <cfRule type="colorScale" priority="5814">
      <colorScale>
        <cfvo type="min"/>
        <cfvo type="percentile" val="50"/>
        <cfvo type="max"/>
        <color rgb="FFF8696B"/>
        <color rgb="FFFFEB84"/>
        <color rgb="FF63BE7B"/>
      </colorScale>
    </cfRule>
  </conditionalFormatting>
  <conditionalFormatting sqref="F11:F31">
    <cfRule type="colorScale" priority="5813">
      <colorScale>
        <cfvo type="min"/>
        <cfvo type="percentile" val="50"/>
        <cfvo type="max"/>
        <color rgb="FFF8696B"/>
        <color rgb="FFFFEB84"/>
        <color rgb="FF63BE7B"/>
      </colorScale>
    </cfRule>
  </conditionalFormatting>
  <conditionalFormatting sqref="F11:F31">
    <cfRule type="colorScale" priority="5812">
      <colorScale>
        <cfvo type="min"/>
        <cfvo type="percentile" val="50"/>
        <cfvo type="max"/>
        <color rgb="FFF8696B"/>
        <color rgb="FFFFEB84"/>
        <color rgb="FF63BE7B"/>
      </colorScale>
    </cfRule>
  </conditionalFormatting>
  <conditionalFormatting sqref="F11:F31">
    <cfRule type="colorScale" priority="5811">
      <colorScale>
        <cfvo type="min"/>
        <cfvo type="percentile" val="50"/>
        <cfvo type="max"/>
        <color rgb="FFF8696B"/>
        <color rgb="FFFFEB84"/>
        <color rgb="FF63BE7B"/>
      </colorScale>
    </cfRule>
  </conditionalFormatting>
  <conditionalFormatting sqref="F11:F31">
    <cfRule type="colorScale" priority="5810">
      <colorScale>
        <cfvo type="min"/>
        <cfvo type="percentile" val="50"/>
        <cfvo type="max"/>
        <color rgb="FFF8696B"/>
        <color rgb="FFFFEB84"/>
        <color rgb="FF63BE7B"/>
      </colorScale>
    </cfRule>
  </conditionalFormatting>
  <conditionalFormatting sqref="F11:F31">
    <cfRule type="colorScale" priority="5809">
      <colorScale>
        <cfvo type="min"/>
        <cfvo type="percentile" val="50"/>
        <cfvo type="max"/>
        <color rgb="FFF8696B"/>
        <color rgb="FFFFEB84"/>
        <color rgb="FF63BE7B"/>
      </colorScale>
    </cfRule>
  </conditionalFormatting>
  <conditionalFormatting sqref="F11:F31">
    <cfRule type="colorScale" priority="5808">
      <colorScale>
        <cfvo type="min"/>
        <cfvo type="percentile" val="50"/>
        <cfvo type="max"/>
        <color rgb="FFF8696B"/>
        <color rgb="FFFFEB84"/>
        <color rgb="FF63BE7B"/>
      </colorScale>
    </cfRule>
  </conditionalFormatting>
  <conditionalFormatting sqref="F11:F31">
    <cfRule type="colorScale" priority="5807">
      <colorScale>
        <cfvo type="min"/>
        <cfvo type="percentile" val="50"/>
        <cfvo type="max"/>
        <color rgb="FFF8696B"/>
        <color rgb="FFFFEB84"/>
        <color rgb="FF63BE7B"/>
      </colorScale>
    </cfRule>
  </conditionalFormatting>
  <conditionalFormatting sqref="F11:F31">
    <cfRule type="colorScale" priority="5806">
      <colorScale>
        <cfvo type="min"/>
        <cfvo type="percentile" val="50"/>
        <cfvo type="max"/>
        <color rgb="FFF8696B"/>
        <color rgb="FFFFEB84"/>
        <color rgb="FF63BE7B"/>
      </colorScale>
    </cfRule>
  </conditionalFormatting>
  <conditionalFormatting sqref="F11:F31">
    <cfRule type="colorScale" priority="5805">
      <colorScale>
        <cfvo type="min"/>
        <cfvo type="percentile" val="50"/>
        <cfvo type="max"/>
        <color rgb="FFF8696B"/>
        <color rgb="FFFFEB84"/>
        <color rgb="FF63BE7B"/>
      </colorScale>
    </cfRule>
  </conditionalFormatting>
  <conditionalFormatting sqref="F11:F31">
    <cfRule type="colorScale" priority="5804">
      <colorScale>
        <cfvo type="min"/>
        <cfvo type="percentile" val="50"/>
        <cfvo type="max"/>
        <color rgb="FFF8696B"/>
        <color rgb="FFFFEB84"/>
        <color rgb="FF63BE7B"/>
      </colorScale>
    </cfRule>
  </conditionalFormatting>
  <conditionalFormatting sqref="F11:F31">
    <cfRule type="colorScale" priority="5803">
      <colorScale>
        <cfvo type="min"/>
        <cfvo type="percentile" val="50"/>
        <cfvo type="max"/>
        <color rgb="FFF8696B"/>
        <color rgb="FFFFEB84"/>
        <color rgb="FF63BE7B"/>
      </colorScale>
    </cfRule>
  </conditionalFormatting>
  <conditionalFormatting sqref="F11:F31">
    <cfRule type="colorScale" priority="5802">
      <colorScale>
        <cfvo type="min"/>
        <cfvo type="percentile" val="50"/>
        <cfvo type="max"/>
        <color rgb="FFF8696B"/>
        <color rgb="FFFFEB84"/>
        <color rgb="FF63BE7B"/>
      </colorScale>
    </cfRule>
  </conditionalFormatting>
  <conditionalFormatting sqref="F11:F31">
    <cfRule type="colorScale" priority="5801">
      <colorScale>
        <cfvo type="min"/>
        <cfvo type="percentile" val="50"/>
        <cfvo type="max"/>
        <color rgb="FFF8696B"/>
        <color rgb="FFFFEB84"/>
        <color rgb="FF63BE7B"/>
      </colorScale>
    </cfRule>
  </conditionalFormatting>
  <conditionalFormatting sqref="F11:F31">
    <cfRule type="colorScale" priority="5800">
      <colorScale>
        <cfvo type="min"/>
        <cfvo type="percentile" val="50"/>
        <cfvo type="max"/>
        <color rgb="FFF8696B"/>
        <color rgb="FFFFEB84"/>
        <color rgb="FF63BE7B"/>
      </colorScale>
    </cfRule>
  </conditionalFormatting>
  <conditionalFormatting sqref="F11:F31">
    <cfRule type="colorScale" priority="5799">
      <colorScale>
        <cfvo type="min"/>
        <cfvo type="percentile" val="50"/>
        <cfvo type="max"/>
        <color rgb="FFF8696B"/>
        <color rgb="FFFFEB84"/>
        <color rgb="FF63BE7B"/>
      </colorScale>
    </cfRule>
  </conditionalFormatting>
  <conditionalFormatting sqref="F11:F31">
    <cfRule type="colorScale" priority="5798">
      <colorScale>
        <cfvo type="min"/>
        <cfvo type="percentile" val="50"/>
        <cfvo type="max"/>
        <color rgb="FFF8696B"/>
        <color rgb="FFFFEB84"/>
        <color rgb="FF63BE7B"/>
      </colorScale>
    </cfRule>
  </conditionalFormatting>
  <conditionalFormatting sqref="F11:F31">
    <cfRule type="colorScale" priority="5797">
      <colorScale>
        <cfvo type="min"/>
        <cfvo type="percentile" val="50"/>
        <cfvo type="max"/>
        <color rgb="FFF8696B"/>
        <color rgb="FFFFEB84"/>
        <color rgb="FF63BE7B"/>
      </colorScale>
    </cfRule>
  </conditionalFormatting>
  <conditionalFormatting sqref="F11:F31">
    <cfRule type="colorScale" priority="5796">
      <colorScale>
        <cfvo type="min"/>
        <cfvo type="percentile" val="50"/>
        <cfvo type="max"/>
        <color rgb="FFF8696B"/>
        <color rgb="FFFFEB84"/>
        <color rgb="FF63BE7B"/>
      </colorScale>
    </cfRule>
  </conditionalFormatting>
  <conditionalFormatting sqref="F11:F31">
    <cfRule type="colorScale" priority="5795">
      <colorScale>
        <cfvo type="min"/>
        <cfvo type="percentile" val="50"/>
        <cfvo type="max"/>
        <color rgb="FFF8696B"/>
        <color rgb="FFFFEB84"/>
        <color rgb="FF63BE7B"/>
      </colorScale>
    </cfRule>
  </conditionalFormatting>
  <conditionalFormatting sqref="F11:F31">
    <cfRule type="colorScale" priority="5794">
      <colorScale>
        <cfvo type="min"/>
        <cfvo type="percentile" val="50"/>
        <cfvo type="max"/>
        <color rgb="FFF8696B"/>
        <color rgb="FFFFEB84"/>
        <color rgb="FF63BE7B"/>
      </colorScale>
    </cfRule>
  </conditionalFormatting>
  <conditionalFormatting sqref="F11:F31">
    <cfRule type="colorScale" priority="5793">
      <colorScale>
        <cfvo type="min"/>
        <cfvo type="percentile" val="50"/>
        <cfvo type="max"/>
        <color rgb="FFF8696B"/>
        <color rgb="FFFFEB84"/>
        <color rgb="FF63BE7B"/>
      </colorScale>
    </cfRule>
  </conditionalFormatting>
  <conditionalFormatting sqref="F11:F31">
    <cfRule type="colorScale" priority="5792">
      <colorScale>
        <cfvo type="min"/>
        <cfvo type="percentile" val="50"/>
        <cfvo type="max"/>
        <color rgb="FFF8696B"/>
        <color rgb="FFFFEB84"/>
        <color rgb="FF63BE7B"/>
      </colorScale>
    </cfRule>
  </conditionalFormatting>
  <conditionalFormatting sqref="F11:F31">
    <cfRule type="colorScale" priority="5791">
      <colorScale>
        <cfvo type="min"/>
        <cfvo type="percentile" val="50"/>
        <cfvo type="max"/>
        <color rgb="FFF8696B"/>
        <color rgb="FFFFEB84"/>
        <color rgb="FF63BE7B"/>
      </colorScale>
    </cfRule>
  </conditionalFormatting>
  <conditionalFormatting sqref="F11:F31">
    <cfRule type="colorScale" priority="5790">
      <colorScale>
        <cfvo type="min"/>
        <cfvo type="percentile" val="50"/>
        <cfvo type="max"/>
        <color rgb="FFF8696B"/>
        <color rgb="FFFFEB84"/>
        <color rgb="FF63BE7B"/>
      </colorScale>
    </cfRule>
  </conditionalFormatting>
  <conditionalFormatting sqref="F11:F31">
    <cfRule type="colorScale" priority="5789">
      <colorScale>
        <cfvo type="min"/>
        <cfvo type="percentile" val="50"/>
        <cfvo type="max"/>
        <color rgb="FFF8696B"/>
        <color rgb="FFFFEB84"/>
        <color rgb="FF63BE7B"/>
      </colorScale>
    </cfRule>
  </conditionalFormatting>
  <conditionalFormatting sqref="F11:F31">
    <cfRule type="colorScale" priority="5788">
      <colorScale>
        <cfvo type="min"/>
        <cfvo type="percentile" val="50"/>
        <cfvo type="max"/>
        <color rgb="FFF8696B"/>
        <color rgb="FFFFEB84"/>
        <color rgb="FF63BE7B"/>
      </colorScale>
    </cfRule>
  </conditionalFormatting>
  <conditionalFormatting sqref="F11:F31">
    <cfRule type="colorScale" priority="5787">
      <colorScale>
        <cfvo type="min"/>
        <cfvo type="percentile" val="50"/>
        <cfvo type="max"/>
        <color rgb="FFF8696B"/>
        <color rgb="FFFFEB84"/>
        <color rgb="FF63BE7B"/>
      </colorScale>
    </cfRule>
  </conditionalFormatting>
  <conditionalFormatting sqref="F11:F31">
    <cfRule type="colorScale" priority="5786">
      <colorScale>
        <cfvo type="min"/>
        <cfvo type="percentile" val="50"/>
        <cfvo type="max"/>
        <color rgb="FFF8696B"/>
        <color rgb="FFFFEB84"/>
        <color rgb="FF63BE7B"/>
      </colorScale>
    </cfRule>
  </conditionalFormatting>
  <conditionalFormatting sqref="F11:F31">
    <cfRule type="colorScale" priority="5785">
      <colorScale>
        <cfvo type="min"/>
        <cfvo type="percentile" val="50"/>
        <cfvo type="max"/>
        <color rgb="FFF8696B"/>
        <color rgb="FFFFEB84"/>
        <color rgb="FF63BE7B"/>
      </colorScale>
    </cfRule>
  </conditionalFormatting>
  <conditionalFormatting sqref="F11:F31">
    <cfRule type="colorScale" priority="5784">
      <colorScale>
        <cfvo type="min"/>
        <cfvo type="percentile" val="50"/>
        <cfvo type="max"/>
        <color rgb="FFF8696B"/>
        <color rgb="FFFFEB84"/>
        <color rgb="FF63BE7B"/>
      </colorScale>
    </cfRule>
  </conditionalFormatting>
  <conditionalFormatting sqref="F11:F31">
    <cfRule type="colorScale" priority="5783">
      <colorScale>
        <cfvo type="min"/>
        <cfvo type="percentile" val="50"/>
        <cfvo type="max"/>
        <color rgb="FFF8696B"/>
        <color rgb="FFFFEB84"/>
        <color rgb="FF63BE7B"/>
      </colorScale>
    </cfRule>
  </conditionalFormatting>
  <conditionalFormatting sqref="F11:F31">
    <cfRule type="colorScale" priority="5782">
      <colorScale>
        <cfvo type="min"/>
        <cfvo type="percentile" val="50"/>
        <cfvo type="max"/>
        <color rgb="FFF8696B"/>
        <color rgb="FFFFEB84"/>
        <color rgb="FF63BE7B"/>
      </colorScale>
    </cfRule>
  </conditionalFormatting>
  <conditionalFormatting sqref="F11:F31">
    <cfRule type="colorScale" priority="5781">
      <colorScale>
        <cfvo type="min"/>
        <cfvo type="percentile" val="50"/>
        <cfvo type="max"/>
        <color rgb="FFF8696B"/>
        <color rgb="FFFFEB84"/>
        <color rgb="FF63BE7B"/>
      </colorScale>
    </cfRule>
  </conditionalFormatting>
  <conditionalFormatting sqref="F11:F31">
    <cfRule type="colorScale" priority="5780">
      <colorScale>
        <cfvo type="min"/>
        <cfvo type="percentile" val="50"/>
        <cfvo type="max"/>
        <color rgb="FFF8696B"/>
        <color rgb="FFFFEB84"/>
        <color rgb="FF63BE7B"/>
      </colorScale>
    </cfRule>
  </conditionalFormatting>
  <conditionalFormatting sqref="F11:F31">
    <cfRule type="colorScale" priority="5779">
      <colorScale>
        <cfvo type="min"/>
        <cfvo type="percentile" val="50"/>
        <cfvo type="max"/>
        <color rgb="FFF8696B"/>
        <color rgb="FFFFEB84"/>
        <color rgb="FF63BE7B"/>
      </colorScale>
    </cfRule>
  </conditionalFormatting>
  <conditionalFormatting sqref="F11:F31">
    <cfRule type="colorScale" priority="5778">
      <colorScale>
        <cfvo type="min"/>
        <cfvo type="percentile" val="50"/>
        <cfvo type="max"/>
        <color rgb="FFF8696B"/>
        <color rgb="FFFFEB84"/>
        <color rgb="FF63BE7B"/>
      </colorScale>
    </cfRule>
  </conditionalFormatting>
  <conditionalFormatting sqref="F11:F31">
    <cfRule type="colorScale" priority="5777">
      <colorScale>
        <cfvo type="min"/>
        <cfvo type="percentile" val="50"/>
        <cfvo type="max"/>
        <color rgb="FFF8696B"/>
        <color rgb="FFFFEB84"/>
        <color rgb="FF63BE7B"/>
      </colorScale>
    </cfRule>
  </conditionalFormatting>
  <conditionalFormatting sqref="F11:F31">
    <cfRule type="colorScale" priority="5776">
      <colorScale>
        <cfvo type="min"/>
        <cfvo type="percentile" val="50"/>
        <cfvo type="max"/>
        <color rgb="FFF8696B"/>
        <color rgb="FFFFEB84"/>
        <color rgb="FF63BE7B"/>
      </colorScale>
    </cfRule>
  </conditionalFormatting>
  <conditionalFormatting sqref="F11:F31">
    <cfRule type="colorScale" priority="5775">
      <colorScale>
        <cfvo type="min"/>
        <cfvo type="percentile" val="50"/>
        <cfvo type="max"/>
        <color rgb="FFF8696B"/>
        <color rgb="FFFFEB84"/>
        <color rgb="FF63BE7B"/>
      </colorScale>
    </cfRule>
  </conditionalFormatting>
  <conditionalFormatting sqref="F11:F31">
    <cfRule type="colorScale" priority="5774">
      <colorScale>
        <cfvo type="min"/>
        <cfvo type="percentile" val="50"/>
        <cfvo type="max"/>
        <color rgb="FFF8696B"/>
        <color rgb="FFFFEB84"/>
        <color rgb="FF63BE7B"/>
      </colorScale>
    </cfRule>
  </conditionalFormatting>
  <conditionalFormatting sqref="F11:F31">
    <cfRule type="colorScale" priority="5773">
      <colorScale>
        <cfvo type="min"/>
        <cfvo type="percentile" val="50"/>
        <cfvo type="max"/>
        <color rgb="FFF8696B"/>
        <color rgb="FFFFEB84"/>
        <color rgb="FF63BE7B"/>
      </colorScale>
    </cfRule>
  </conditionalFormatting>
  <conditionalFormatting sqref="F11:F31">
    <cfRule type="colorScale" priority="5772">
      <colorScale>
        <cfvo type="min"/>
        <cfvo type="percentile" val="50"/>
        <cfvo type="max"/>
        <color rgb="FFF8696B"/>
        <color rgb="FFFFEB84"/>
        <color rgb="FF63BE7B"/>
      </colorScale>
    </cfRule>
  </conditionalFormatting>
  <conditionalFormatting sqref="F11:F31">
    <cfRule type="colorScale" priority="5771">
      <colorScale>
        <cfvo type="min"/>
        <cfvo type="percentile" val="50"/>
        <cfvo type="max"/>
        <color rgb="FFF8696B"/>
        <color rgb="FFFFEB84"/>
        <color rgb="FF63BE7B"/>
      </colorScale>
    </cfRule>
  </conditionalFormatting>
  <conditionalFormatting sqref="F11:F31">
    <cfRule type="colorScale" priority="5770">
      <colorScale>
        <cfvo type="min"/>
        <cfvo type="percentile" val="50"/>
        <cfvo type="max"/>
        <color rgb="FFF8696B"/>
        <color rgb="FFFFEB84"/>
        <color rgb="FF63BE7B"/>
      </colorScale>
    </cfRule>
  </conditionalFormatting>
  <conditionalFormatting sqref="F11:F31">
    <cfRule type="colorScale" priority="5769">
      <colorScale>
        <cfvo type="min"/>
        <cfvo type="percentile" val="50"/>
        <cfvo type="max"/>
        <color rgb="FFF8696B"/>
        <color rgb="FFFFEB84"/>
        <color rgb="FF63BE7B"/>
      </colorScale>
    </cfRule>
  </conditionalFormatting>
  <conditionalFormatting sqref="F11:F31">
    <cfRule type="colorScale" priority="5768">
      <colorScale>
        <cfvo type="min"/>
        <cfvo type="percentile" val="50"/>
        <cfvo type="max"/>
        <color rgb="FFF8696B"/>
        <color rgb="FFFFEB84"/>
        <color rgb="FF63BE7B"/>
      </colorScale>
    </cfRule>
  </conditionalFormatting>
  <conditionalFormatting sqref="F11:F31">
    <cfRule type="colorScale" priority="5767">
      <colorScale>
        <cfvo type="min"/>
        <cfvo type="percentile" val="50"/>
        <cfvo type="max"/>
        <color rgb="FFF8696B"/>
        <color rgb="FFFFEB84"/>
        <color rgb="FF63BE7B"/>
      </colorScale>
    </cfRule>
  </conditionalFormatting>
  <conditionalFormatting sqref="F11:F31">
    <cfRule type="colorScale" priority="5766">
      <colorScale>
        <cfvo type="min"/>
        <cfvo type="percentile" val="50"/>
        <cfvo type="max"/>
        <color rgb="FFF8696B"/>
        <color rgb="FFFFEB84"/>
        <color rgb="FF63BE7B"/>
      </colorScale>
    </cfRule>
  </conditionalFormatting>
  <conditionalFormatting sqref="F11:F31">
    <cfRule type="colorScale" priority="5765">
      <colorScale>
        <cfvo type="min"/>
        <cfvo type="percentile" val="50"/>
        <cfvo type="max"/>
        <color rgb="FFF8696B"/>
        <color rgb="FFFFEB84"/>
        <color rgb="FF63BE7B"/>
      </colorScale>
    </cfRule>
  </conditionalFormatting>
  <conditionalFormatting sqref="F11:F31">
    <cfRule type="colorScale" priority="5764">
      <colorScale>
        <cfvo type="min"/>
        <cfvo type="percentile" val="50"/>
        <cfvo type="max"/>
        <color rgb="FFF8696B"/>
        <color rgb="FFFFEB84"/>
        <color rgb="FF63BE7B"/>
      </colorScale>
    </cfRule>
  </conditionalFormatting>
  <conditionalFormatting sqref="F11:F31">
    <cfRule type="colorScale" priority="5763">
      <colorScale>
        <cfvo type="min"/>
        <cfvo type="percentile" val="50"/>
        <cfvo type="max"/>
        <color rgb="FFF8696B"/>
        <color rgb="FFFFEB84"/>
        <color rgb="FF63BE7B"/>
      </colorScale>
    </cfRule>
  </conditionalFormatting>
  <conditionalFormatting sqref="F11:F31">
    <cfRule type="colorScale" priority="5762">
      <colorScale>
        <cfvo type="min"/>
        <cfvo type="percentile" val="50"/>
        <cfvo type="max"/>
        <color rgb="FFF8696B"/>
        <color rgb="FFFFEB84"/>
        <color rgb="FF63BE7B"/>
      </colorScale>
    </cfRule>
  </conditionalFormatting>
  <conditionalFormatting sqref="F11:F31">
    <cfRule type="colorScale" priority="5761">
      <colorScale>
        <cfvo type="min"/>
        <cfvo type="percentile" val="50"/>
        <cfvo type="max"/>
        <color rgb="FFF8696B"/>
        <color rgb="FFFFEB84"/>
        <color rgb="FF63BE7B"/>
      </colorScale>
    </cfRule>
  </conditionalFormatting>
  <conditionalFormatting sqref="F11:F31">
    <cfRule type="colorScale" priority="5760">
      <colorScale>
        <cfvo type="min"/>
        <cfvo type="percentile" val="50"/>
        <cfvo type="max"/>
        <color rgb="FFF8696B"/>
        <color rgb="FFFFEB84"/>
        <color rgb="FF63BE7B"/>
      </colorScale>
    </cfRule>
  </conditionalFormatting>
  <conditionalFormatting sqref="F11:F31">
    <cfRule type="colorScale" priority="5759">
      <colorScale>
        <cfvo type="min"/>
        <cfvo type="percentile" val="50"/>
        <cfvo type="max"/>
        <color rgb="FFF8696B"/>
        <color rgb="FFFFEB84"/>
        <color rgb="FF63BE7B"/>
      </colorScale>
    </cfRule>
  </conditionalFormatting>
  <conditionalFormatting sqref="F11:F31">
    <cfRule type="colorScale" priority="5758">
      <colorScale>
        <cfvo type="min"/>
        <cfvo type="percentile" val="50"/>
        <cfvo type="max"/>
        <color rgb="FFF8696B"/>
        <color rgb="FFFFEB84"/>
        <color rgb="FF63BE7B"/>
      </colorScale>
    </cfRule>
  </conditionalFormatting>
  <conditionalFormatting sqref="F11:F31">
    <cfRule type="colorScale" priority="5757">
      <colorScale>
        <cfvo type="min"/>
        <cfvo type="percentile" val="50"/>
        <cfvo type="max"/>
        <color rgb="FFF8696B"/>
        <color rgb="FFFFEB84"/>
        <color rgb="FF63BE7B"/>
      </colorScale>
    </cfRule>
  </conditionalFormatting>
  <conditionalFormatting sqref="F11:F31">
    <cfRule type="colorScale" priority="5756">
      <colorScale>
        <cfvo type="min"/>
        <cfvo type="percentile" val="50"/>
        <cfvo type="max"/>
        <color rgb="FFF8696B"/>
        <color rgb="FFFFEB84"/>
        <color rgb="FF63BE7B"/>
      </colorScale>
    </cfRule>
  </conditionalFormatting>
  <conditionalFormatting sqref="F11:F31">
    <cfRule type="colorScale" priority="5755">
      <colorScale>
        <cfvo type="min"/>
        <cfvo type="percentile" val="50"/>
        <cfvo type="max"/>
        <color rgb="FFF8696B"/>
        <color rgb="FFFFEB84"/>
        <color rgb="FF63BE7B"/>
      </colorScale>
    </cfRule>
  </conditionalFormatting>
  <conditionalFormatting sqref="F11:F31">
    <cfRule type="colorScale" priority="5754">
      <colorScale>
        <cfvo type="min"/>
        <cfvo type="percentile" val="50"/>
        <cfvo type="max"/>
        <color rgb="FFF8696B"/>
        <color rgb="FFFFEB84"/>
        <color rgb="FF63BE7B"/>
      </colorScale>
    </cfRule>
  </conditionalFormatting>
  <conditionalFormatting sqref="F11:F31">
    <cfRule type="colorScale" priority="5753">
      <colorScale>
        <cfvo type="min"/>
        <cfvo type="percentile" val="50"/>
        <cfvo type="max"/>
        <color rgb="FFF8696B"/>
        <color rgb="FFFFEB84"/>
        <color rgb="FF63BE7B"/>
      </colorScale>
    </cfRule>
  </conditionalFormatting>
  <conditionalFormatting sqref="F11:F31">
    <cfRule type="colorScale" priority="5752">
      <colorScale>
        <cfvo type="min"/>
        <cfvo type="percentile" val="50"/>
        <cfvo type="max"/>
        <color rgb="FFF8696B"/>
        <color rgb="FFFFEB84"/>
        <color rgb="FF63BE7B"/>
      </colorScale>
    </cfRule>
  </conditionalFormatting>
  <conditionalFormatting sqref="F11:F31">
    <cfRule type="colorScale" priority="5751">
      <colorScale>
        <cfvo type="min"/>
        <cfvo type="percentile" val="50"/>
        <cfvo type="max"/>
        <color rgb="FFF8696B"/>
        <color rgb="FFFFEB84"/>
        <color rgb="FF63BE7B"/>
      </colorScale>
    </cfRule>
  </conditionalFormatting>
  <conditionalFormatting sqref="F11:F31">
    <cfRule type="colorScale" priority="5750">
      <colorScale>
        <cfvo type="min"/>
        <cfvo type="percentile" val="50"/>
        <cfvo type="max"/>
        <color rgb="FFF8696B"/>
        <color rgb="FFFFEB84"/>
        <color rgb="FF63BE7B"/>
      </colorScale>
    </cfRule>
  </conditionalFormatting>
  <conditionalFormatting sqref="F11:F31">
    <cfRule type="colorScale" priority="5749">
      <colorScale>
        <cfvo type="min"/>
        <cfvo type="percentile" val="50"/>
        <cfvo type="max"/>
        <color rgb="FFF8696B"/>
        <color rgb="FFFFEB84"/>
        <color rgb="FF63BE7B"/>
      </colorScale>
    </cfRule>
  </conditionalFormatting>
  <conditionalFormatting sqref="F11:F31">
    <cfRule type="colorScale" priority="5748">
      <colorScale>
        <cfvo type="min"/>
        <cfvo type="percentile" val="50"/>
        <cfvo type="max"/>
        <color rgb="FFF8696B"/>
        <color rgb="FFFFEB84"/>
        <color rgb="FF63BE7B"/>
      </colorScale>
    </cfRule>
  </conditionalFormatting>
  <conditionalFormatting sqref="F11:F31">
    <cfRule type="colorScale" priority="5747">
      <colorScale>
        <cfvo type="min"/>
        <cfvo type="percentile" val="50"/>
        <cfvo type="max"/>
        <color rgb="FFF8696B"/>
        <color rgb="FFFFEB84"/>
        <color rgb="FF63BE7B"/>
      </colorScale>
    </cfRule>
  </conditionalFormatting>
  <conditionalFormatting sqref="F11:F31">
    <cfRule type="colorScale" priority="5746">
      <colorScale>
        <cfvo type="min"/>
        <cfvo type="percentile" val="50"/>
        <cfvo type="max"/>
        <color rgb="FFF8696B"/>
        <color rgb="FFFFEB84"/>
        <color rgb="FF63BE7B"/>
      </colorScale>
    </cfRule>
  </conditionalFormatting>
  <conditionalFormatting sqref="F11:F31">
    <cfRule type="colorScale" priority="5745">
      <colorScale>
        <cfvo type="min"/>
        <cfvo type="percentile" val="50"/>
        <cfvo type="max"/>
        <color rgb="FFF8696B"/>
        <color rgb="FFFFEB84"/>
        <color rgb="FF63BE7B"/>
      </colorScale>
    </cfRule>
  </conditionalFormatting>
  <conditionalFormatting sqref="F11:F31">
    <cfRule type="colorScale" priority="5744">
      <colorScale>
        <cfvo type="min"/>
        <cfvo type="percentile" val="50"/>
        <cfvo type="max"/>
        <color rgb="FFF8696B"/>
        <color rgb="FFFFEB84"/>
        <color rgb="FF63BE7B"/>
      </colorScale>
    </cfRule>
  </conditionalFormatting>
  <conditionalFormatting sqref="F11:F31">
    <cfRule type="colorScale" priority="5743">
      <colorScale>
        <cfvo type="min"/>
        <cfvo type="percentile" val="50"/>
        <cfvo type="max"/>
        <color rgb="FFF8696B"/>
        <color rgb="FFFFEB84"/>
        <color rgb="FF63BE7B"/>
      </colorScale>
    </cfRule>
  </conditionalFormatting>
  <conditionalFormatting sqref="F11:F31">
    <cfRule type="colorScale" priority="5742">
      <colorScale>
        <cfvo type="min"/>
        <cfvo type="percentile" val="50"/>
        <cfvo type="max"/>
        <color rgb="FFF8696B"/>
        <color rgb="FFFFEB84"/>
        <color rgb="FF63BE7B"/>
      </colorScale>
    </cfRule>
  </conditionalFormatting>
  <conditionalFormatting sqref="F11:F31">
    <cfRule type="colorScale" priority="5741">
      <colorScale>
        <cfvo type="min"/>
        <cfvo type="percentile" val="50"/>
        <cfvo type="max"/>
        <color rgb="FFF8696B"/>
        <color rgb="FFFFEB84"/>
        <color rgb="FF63BE7B"/>
      </colorScale>
    </cfRule>
  </conditionalFormatting>
  <conditionalFormatting sqref="F11:F31">
    <cfRule type="colorScale" priority="5740">
      <colorScale>
        <cfvo type="min"/>
        <cfvo type="percentile" val="50"/>
        <cfvo type="max"/>
        <color rgb="FFF8696B"/>
        <color rgb="FFFFEB84"/>
        <color rgb="FF63BE7B"/>
      </colorScale>
    </cfRule>
  </conditionalFormatting>
  <conditionalFormatting sqref="F11:F31">
    <cfRule type="colorScale" priority="5739">
      <colorScale>
        <cfvo type="min"/>
        <cfvo type="percentile" val="50"/>
        <cfvo type="max"/>
        <color rgb="FFF8696B"/>
        <color rgb="FFFFEB84"/>
        <color rgb="FF63BE7B"/>
      </colorScale>
    </cfRule>
  </conditionalFormatting>
  <conditionalFormatting sqref="F11:F31">
    <cfRule type="colorScale" priority="5738">
      <colorScale>
        <cfvo type="min"/>
        <cfvo type="percentile" val="50"/>
        <cfvo type="max"/>
        <color rgb="FFF8696B"/>
        <color rgb="FFFFEB84"/>
        <color rgb="FF63BE7B"/>
      </colorScale>
    </cfRule>
  </conditionalFormatting>
  <conditionalFormatting sqref="F11:F31">
    <cfRule type="colorScale" priority="5737">
      <colorScale>
        <cfvo type="min"/>
        <cfvo type="percentile" val="50"/>
        <cfvo type="max"/>
        <color rgb="FFF8696B"/>
        <color rgb="FFFFEB84"/>
        <color rgb="FF63BE7B"/>
      </colorScale>
    </cfRule>
  </conditionalFormatting>
  <conditionalFormatting sqref="F11:F31">
    <cfRule type="colorScale" priority="5736">
      <colorScale>
        <cfvo type="min"/>
        <cfvo type="percentile" val="50"/>
        <cfvo type="max"/>
        <color rgb="FFF8696B"/>
        <color rgb="FFFFEB84"/>
        <color rgb="FF63BE7B"/>
      </colorScale>
    </cfRule>
  </conditionalFormatting>
  <conditionalFormatting sqref="F11:F31">
    <cfRule type="colorScale" priority="5735">
      <colorScale>
        <cfvo type="min"/>
        <cfvo type="percentile" val="50"/>
        <cfvo type="max"/>
        <color rgb="FFF8696B"/>
        <color rgb="FFFFEB84"/>
        <color rgb="FF63BE7B"/>
      </colorScale>
    </cfRule>
  </conditionalFormatting>
  <conditionalFormatting sqref="F11:F31">
    <cfRule type="colorScale" priority="5734">
      <colorScale>
        <cfvo type="min"/>
        <cfvo type="percentile" val="50"/>
        <cfvo type="max"/>
        <color rgb="FFF8696B"/>
        <color rgb="FFFFEB84"/>
        <color rgb="FF63BE7B"/>
      </colorScale>
    </cfRule>
  </conditionalFormatting>
  <conditionalFormatting sqref="F11:F31">
    <cfRule type="colorScale" priority="5733">
      <colorScale>
        <cfvo type="min"/>
        <cfvo type="percentile" val="50"/>
        <cfvo type="max"/>
        <color rgb="FFF8696B"/>
        <color rgb="FFFFEB84"/>
        <color rgb="FF63BE7B"/>
      </colorScale>
    </cfRule>
  </conditionalFormatting>
  <conditionalFormatting sqref="F11:F31">
    <cfRule type="colorScale" priority="5732">
      <colorScale>
        <cfvo type="min"/>
        <cfvo type="percentile" val="50"/>
        <cfvo type="max"/>
        <color rgb="FFF8696B"/>
        <color rgb="FFFFEB84"/>
        <color rgb="FF63BE7B"/>
      </colorScale>
    </cfRule>
  </conditionalFormatting>
  <conditionalFormatting sqref="F11:F31">
    <cfRule type="colorScale" priority="5731">
      <colorScale>
        <cfvo type="min"/>
        <cfvo type="percentile" val="50"/>
        <cfvo type="max"/>
        <color rgb="FFF8696B"/>
        <color rgb="FFFFEB84"/>
        <color rgb="FF63BE7B"/>
      </colorScale>
    </cfRule>
  </conditionalFormatting>
  <conditionalFormatting sqref="F11:F31">
    <cfRule type="colorScale" priority="5730">
      <colorScale>
        <cfvo type="min"/>
        <cfvo type="percentile" val="50"/>
        <cfvo type="max"/>
        <color rgb="FFF8696B"/>
        <color rgb="FFFFEB84"/>
        <color rgb="FF63BE7B"/>
      </colorScale>
    </cfRule>
  </conditionalFormatting>
  <conditionalFormatting sqref="F11:F31">
    <cfRule type="colorScale" priority="5729">
      <colorScale>
        <cfvo type="min"/>
        <cfvo type="percentile" val="50"/>
        <cfvo type="max"/>
        <color rgb="FFF8696B"/>
        <color rgb="FFFFEB84"/>
        <color rgb="FF63BE7B"/>
      </colorScale>
    </cfRule>
  </conditionalFormatting>
  <conditionalFormatting sqref="F11:F31">
    <cfRule type="colorScale" priority="5728">
      <colorScale>
        <cfvo type="min"/>
        <cfvo type="percentile" val="50"/>
        <cfvo type="max"/>
        <color rgb="FFF8696B"/>
        <color rgb="FFFFEB84"/>
        <color rgb="FF63BE7B"/>
      </colorScale>
    </cfRule>
  </conditionalFormatting>
  <conditionalFormatting sqref="F11:F31">
    <cfRule type="colorScale" priority="5727">
      <colorScale>
        <cfvo type="min"/>
        <cfvo type="percentile" val="50"/>
        <cfvo type="max"/>
        <color rgb="FFF8696B"/>
        <color rgb="FFFFEB84"/>
        <color rgb="FF63BE7B"/>
      </colorScale>
    </cfRule>
  </conditionalFormatting>
  <conditionalFormatting sqref="F11:F31">
    <cfRule type="colorScale" priority="5726">
      <colorScale>
        <cfvo type="min"/>
        <cfvo type="percentile" val="50"/>
        <cfvo type="max"/>
        <color rgb="FFF8696B"/>
        <color rgb="FFFFEB84"/>
        <color rgb="FF63BE7B"/>
      </colorScale>
    </cfRule>
  </conditionalFormatting>
  <conditionalFormatting sqref="F11:F31">
    <cfRule type="colorScale" priority="5725">
      <colorScale>
        <cfvo type="min"/>
        <cfvo type="percentile" val="50"/>
        <cfvo type="max"/>
        <color rgb="FFF8696B"/>
        <color rgb="FFFFEB84"/>
        <color rgb="FF63BE7B"/>
      </colorScale>
    </cfRule>
  </conditionalFormatting>
  <conditionalFormatting sqref="F11:F31">
    <cfRule type="colorScale" priority="5724">
      <colorScale>
        <cfvo type="min"/>
        <cfvo type="percentile" val="50"/>
        <cfvo type="max"/>
        <color rgb="FFF8696B"/>
        <color rgb="FFFFEB84"/>
        <color rgb="FF63BE7B"/>
      </colorScale>
    </cfRule>
  </conditionalFormatting>
  <conditionalFormatting sqref="F11:F31">
    <cfRule type="colorScale" priority="5723">
      <colorScale>
        <cfvo type="min"/>
        <cfvo type="percentile" val="50"/>
        <cfvo type="max"/>
        <color rgb="FFF8696B"/>
        <color rgb="FFFFEB84"/>
        <color rgb="FF63BE7B"/>
      </colorScale>
    </cfRule>
  </conditionalFormatting>
  <conditionalFormatting sqref="F11:F31">
    <cfRule type="colorScale" priority="5722">
      <colorScale>
        <cfvo type="min"/>
        <cfvo type="percentile" val="50"/>
        <cfvo type="max"/>
        <color rgb="FFF8696B"/>
        <color rgb="FFFFEB84"/>
        <color rgb="FF63BE7B"/>
      </colorScale>
    </cfRule>
  </conditionalFormatting>
  <conditionalFormatting sqref="F11:F31">
    <cfRule type="colorScale" priority="5721">
      <colorScale>
        <cfvo type="min"/>
        <cfvo type="percentile" val="50"/>
        <cfvo type="max"/>
        <color rgb="FFF8696B"/>
        <color rgb="FFFFEB84"/>
        <color rgb="FF63BE7B"/>
      </colorScale>
    </cfRule>
  </conditionalFormatting>
  <conditionalFormatting sqref="F11:F31">
    <cfRule type="colorScale" priority="5720">
      <colorScale>
        <cfvo type="min"/>
        <cfvo type="percentile" val="50"/>
        <cfvo type="max"/>
        <color rgb="FFF8696B"/>
        <color rgb="FFFFEB84"/>
        <color rgb="FF63BE7B"/>
      </colorScale>
    </cfRule>
  </conditionalFormatting>
  <conditionalFormatting sqref="F11:F31">
    <cfRule type="colorScale" priority="5719">
      <colorScale>
        <cfvo type="min"/>
        <cfvo type="percentile" val="50"/>
        <cfvo type="max"/>
        <color rgb="FFF8696B"/>
        <color rgb="FFFFEB84"/>
        <color rgb="FF63BE7B"/>
      </colorScale>
    </cfRule>
  </conditionalFormatting>
  <conditionalFormatting sqref="F11:F31">
    <cfRule type="colorScale" priority="5718">
      <colorScale>
        <cfvo type="min"/>
        <cfvo type="percentile" val="50"/>
        <cfvo type="max"/>
        <color rgb="FFF8696B"/>
        <color rgb="FFFFEB84"/>
        <color rgb="FF63BE7B"/>
      </colorScale>
    </cfRule>
  </conditionalFormatting>
  <conditionalFormatting sqref="F11:F31">
    <cfRule type="colorScale" priority="5717">
      <colorScale>
        <cfvo type="min"/>
        <cfvo type="percentile" val="50"/>
        <cfvo type="max"/>
        <color rgb="FFF8696B"/>
        <color rgb="FFFFEB84"/>
        <color rgb="FF63BE7B"/>
      </colorScale>
    </cfRule>
  </conditionalFormatting>
  <conditionalFormatting sqref="F11:F31">
    <cfRule type="colorScale" priority="5716">
      <colorScale>
        <cfvo type="min"/>
        <cfvo type="percentile" val="50"/>
        <cfvo type="max"/>
        <color rgb="FFF8696B"/>
        <color rgb="FFFFEB84"/>
        <color rgb="FF63BE7B"/>
      </colorScale>
    </cfRule>
  </conditionalFormatting>
  <conditionalFormatting sqref="F11:F31">
    <cfRule type="colorScale" priority="5715">
      <colorScale>
        <cfvo type="min"/>
        <cfvo type="percentile" val="50"/>
        <cfvo type="max"/>
        <color rgb="FFF8696B"/>
        <color rgb="FFFFEB84"/>
        <color rgb="FF63BE7B"/>
      </colorScale>
    </cfRule>
  </conditionalFormatting>
  <conditionalFormatting sqref="F11:F31">
    <cfRule type="colorScale" priority="5714">
      <colorScale>
        <cfvo type="min"/>
        <cfvo type="percentile" val="50"/>
        <cfvo type="max"/>
        <color rgb="FFF8696B"/>
        <color rgb="FFFFEB84"/>
        <color rgb="FF63BE7B"/>
      </colorScale>
    </cfRule>
  </conditionalFormatting>
  <conditionalFormatting sqref="F11:F31">
    <cfRule type="colorScale" priority="5713">
      <colorScale>
        <cfvo type="min"/>
        <cfvo type="percentile" val="50"/>
        <cfvo type="max"/>
        <color rgb="FFF8696B"/>
        <color rgb="FFFFEB84"/>
        <color rgb="FF63BE7B"/>
      </colorScale>
    </cfRule>
  </conditionalFormatting>
  <conditionalFormatting sqref="F11:F31">
    <cfRule type="colorScale" priority="5712">
      <colorScale>
        <cfvo type="min"/>
        <cfvo type="percentile" val="50"/>
        <cfvo type="max"/>
        <color rgb="FFF8696B"/>
        <color rgb="FFFFEB84"/>
        <color rgb="FF63BE7B"/>
      </colorScale>
    </cfRule>
  </conditionalFormatting>
  <conditionalFormatting sqref="F11:F31">
    <cfRule type="colorScale" priority="5711">
      <colorScale>
        <cfvo type="min"/>
        <cfvo type="percentile" val="50"/>
        <cfvo type="max"/>
        <color rgb="FFF8696B"/>
        <color rgb="FFFFEB84"/>
        <color rgb="FF63BE7B"/>
      </colorScale>
    </cfRule>
  </conditionalFormatting>
  <conditionalFormatting sqref="F11:F31">
    <cfRule type="colorScale" priority="5710">
      <colorScale>
        <cfvo type="min"/>
        <cfvo type="percentile" val="50"/>
        <cfvo type="max"/>
        <color rgb="FFF8696B"/>
        <color rgb="FFFFEB84"/>
        <color rgb="FF63BE7B"/>
      </colorScale>
    </cfRule>
  </conditionalFormatting>
  <conditionalFormatting sqref="F11:F31">
    <cfRule type="colorScale" priority="5709">
      <colorScale>
        <cfvo type="min"/>
        <cfvo type="percentile" val="50"/>
        <cfvo type="max"/>
        <color rgb="FFF8696B"/>
        <color rgb="FFFFEB84"/>
        <color rgb="FF63BE7B"/>
      </colorScale>
    </cfRule>
  </conditionalFormatting>
  <conditionalFormatting sqref="F11:F32">
    <cfRule type="colorScale" priority="5708">
      <colorScale>
        <cfvo type="min"/>
        <cfvo type="percentile" val="50"/>
        <cfvo type="max"/>
        <color rgb="FFF8696B"/>
        <color rgb="FFFFEB84"/>
        <color rgb="FF63BE7B"/>
      </colorScale>
    </cfRule>
  </conditionalFormatting>
  <conditionalFormatting sqref="F11:F32">
    <cfRule type="colorScale" priority="5707">
      <colorScale>
        <cfvo type="min"/>
        <cfvo type="percentile" val="50"/>
        <cfvo type="max"/>
        <color rgb="FFF8696B"/>
        <color rgb="FFFFEB84"/>
        <color rgb="FF63BE7B"/>
      </colorScale>
    </cfRule>
  </conditionalFormatting>
  <conditionalFormatting sqref="F11:F31">
    <cfRule type="colorScale" priority="5706">
      <colorScale>
        <cfvo type="min"/>
        <cfvo type="percentile" val="50"/>
        <cfvo type="max"/>
        <color rgb="FFF8696B"/>
        <color rgb="FFFFEB84"/>
        <color rgb="FF63BE7B"/>
      </colorScale>
    </cfRule>
  </conditionalFormatting>
  <conditionalFormatting sqref="F11:F31">
    <cfRule type="colorScale" priority="5705">
      <colorScale>
        <cfvo type="min"/>
        <cfvo type="percentile" val="50"/>
        <cfvo type="max"/>
        <color rgb="FFF8696B"/>
        <color rgb="FFFFEB84"/>
        <color rgb="FF63BE7B"/>
      </colorScale>
    </cfRule>
  </conditionalFormatting>
  <conditionalFormatting sqref="F11:F31">
    <cfRule type="colorScale" priority="5704">
      <colorScale>
        <cfvo type="min"/>
        <cfvo type="percentile" val="50"/>
        <cfvo type="max"/>
        <color rgb="FFF8696B"/>
        <color rgb="FFFFEB84"/>
        <color rgb="FF63BE7B"/>
      </colorScale>
    </cfRule>
  </conditionalFormatting>
  <conditionalFormatting sqref="F11:F31">
    <cfRule type="colorScale" priority="5703">
      <colorScale>
        <cfvo type="min"/>
        <cfvo type="percentile" val="50"/>
        <cfvo type="max"/>
        <color rgb="FFF8696B"/>
        <color rgb="FFFFEB84"/>
        <color rgb="FF63BE7B"/>
      </colorScale>
    </cfRule>
  </conditionalFormatting>
  <conditionalFormatting sqref="F11:F28">
    <cfRule type="colorScale" priority="5702">
      <colorScale>
        <cfvo type="min"/>
        <cfvo type="percentile" val="50"/>
        <cfvo type="max"/>
        <color rgb="FFF8696B"/>
        <color rgb="FFFFEB84"/>
        <color rgb="FF63BE7B"/>
      </colorScale>
    </cfRule>
  </conditionalFormatting>
  <conditionalFormatting sqref="F11:F28">
    <cfRule type="colorScale" priority="5701">
      <colorScale>
        <cfvo type="min"/>
        <cfvo type="percentile" val="50"/>
        <cfvo type="max"/>
        <color rgb="FFF8696B"/>
        <color rgb="FFFFEB84"/>
        <color rgb="FF63BE7B"/>
      </colorScale>
    </cfRule>
  </conditionalFormatting>
  <conditionalFormatting sqref="F11:F31">
    <cfRule type="colorScale" priority="5700">
      <colorScale>
        <cfvo type="min"/>
        <cfvo type="percentile" val="50"/>
        <cfvo type="max"/>
        <color rgb="FFF8696B"/>
        <color rgb="FFFFEB84"/>
        <color rgb="FF63BE7B"/>
      </colorScale>
    </cfRule>
  </conditionalFormatting>
  <conditionalFormatting sqref="F11:F31">
    <cfRule type="colorScale" priority="5699">
      <colorScale>
        <cfvo type="min"/>
        <cfvo type="percentile" val="50"/>
        <cfvo type="max"/>
        <color rgb="FFF8696B"/>
        <color rgb="FFFFEB84"/>
        <color rgb="FF63BE7B"/>
      </colorScale>
    </cfRule>
  </conditionalFormatting>
  <conditionalFormatting sqref="F11:F32">
    <cfRule type="colorScale" priority="5698">
      <colorScale>
        <cfvo type="min"/>
        <cfvo type="percentile" val="50"/>
        <cfvo type="max"/>
        <color rgb="FFF8696B"/>
        <color rgb="FFFFEB84"/>
        <color rgb="FF63BE7B"/>
      </colorScale>
    </cfRule>
  </conditionalFormatting>
  <conditionalFormatting sqref="F11:F32">
    <cfRule type="colorScale" priority="5697">
      <colorScale>
        <cfvo type="min"/>
        <cfvo type="percentile" val="50"/>
        <cfvo type="max"/>
        <color rgb="FFF8696B"/>
        <color rgb="FFFFEB84"/>
        <color rgb="FF63BE7B"/>
      </colorScale>
    </cfRule>
  </conditionalFormatting>
  <conditionalFormatting sqref="F11:F31">
    <cfRule type="colorScale" priority="5696">
      <colorScale>
        <cfvo type="min"/>
        <cfvo type="percentile" val="50"/>
        <cfvo type="max"/>
        <color rgb="FFF8696B"/>
        <color rgb="FFFFEB84"/>
        <color rgb="FF63BE7B"/>
      </colorScale>
    </cfRule>
  </conditionalFormatting>
  <conditionalFormatting sqref="F11:F31">
    <cfRule type="colorScale" priority="5695">
      <colorScale>
        <cfvo type="min"/>
        <cfvo type="percentile" val="50"/>
        <cfvo type="max"/>
        <color rgb="FFF8696B"/>
        <color rgb="FFFFEB84"/>
        <color rgb="FF63BE7B"/>
      </colorScale>
    </cfRule>
  </conditionalFormatting>
  <conditionalFormatting sqref="F11:F31">
    <cfRule type="colorScale" priority="5694">
      <colorScale>
        <cfvo type="min"/>
        <cfvo type="percentile" val="50"/>
        <cfvo type="max"/>
        <color rgb="FFF8696B"/>
        <color rgb="FFFFEB84"/>
        <color rgb="FF63BE7B"/>
      </colorScale>
    </cfRule>
  </conditionalFormatting>
  <conditionalFormatting sqref="F11:F31">
    <cfRule type="colorScale" priority="5693">
      <colorScale>
        <cfvo type="min"/>
        <cfvo type="percentile" val="50"/>
        <cfvo type="max"/>
        <color rgb="FFF8696B"/>
        <color rgb="FFFFEB84"/>
        <color rgb="FF63BE7B"/>
      </colorScale>
    </cfRule>
  </conditionalFormatting>
  <conditionalFormatting sqref="F11:F31">
    <cfRule type="colorScale" priority="5692">
      <colorScale>
        <cfvo type="min"/>
        <cfvo type="percentile" val="50"/>
        <cfvo type="max"/>
        <color rgb="FFF8696B"/>
        <color rgb="FFFFEB84"/>
        <color rgb="FF63BE7B"/>
      </colorScale>
    </cfRule>
  </conditionalFormatting>
  <conditionalFormatting sqref="F11:F31">
    <cfRule type="colorScale" priority="5691">
      <colorScale>
        <cfvo type="min"/>
        <cfvo type="percentile" val="50"/>
        <cfvo type="max"/>
        <color rgb="FFF8696B"/>
        <color rgb="FFFFEB84"/>
        <color rgb="FF63BE7B"/>
      </colorScale>
    </cfRule>
  </conditionalFormatting>
  <conditionalFormatting sqref="F11:F31">
    <cfRule type="colorScale" priority="5690">
      <colorScale>
        <cfvo type="min"/>
        <cfvo type="percentile" val="50"/>
        <cfvo type="max"/>
        <color rgb="FFF8696B"/>
        <color rgb="FFFFEB84"/>
        <color rgb="FF63BE7B"/>
      </colorScale>
    </cfRule>
  </conditionalFormatting>
  <conditionalFormatting sqref="F11:F31">
    <cfRule type="colorScale" priority="5689">
      <colorScale>
        <cfvo type="min"/>
        <cfvo type="percentile" val="50"/>
        <cfvo type="max"/>
        <color rgb="FFF8696B"/>
        <color rgb="FFFFEB84"/>
        <color rgb="FF63BE7B"/>
      </colorScale>
    </cfRule>
  </conditionalFormatting>
  <conditionalFormatting sqref="F11:F31">
    <cfRule type="colorScale" priority="5688">
      <colorScale>
        <cfvo type="min"/>
        <cfvo type="percentile" val="50"/>
        <cfvo type="max"/>
        <color rgb="FFF8696B"/>
        <color rgb="FFFFEB84"/>
        <color rgb="FF63BE7B"/>
      </colorScale>
    </cfRule>
  </conditionalFormatting>
  <conditionalFormatting sqref="F11:F31">
    <cfRule type="colorScale" priority="5687">
      <colorScale>
        <cfvo type="min"/>
        <cfvo type="percentile" val="50"/>
        <cfvo type="max"/>
        <color rgb="FFF8696B"/>
        <color rgb="FFFFEB84"/>
        <color rgb="FF63BE7B"/>
      </colorScale>
    </cfRule>
  </conditionalFormatting>
  <conditionalFormatting sqref="F29:F31">
    <cfRule type="colorScale" priority="5686">
      <colorScale>
        <cfvo type="min"/>
        <cfvo type="percentile" val="50"/>
        <cfvo type="max"/>
        <color rgb="FFF8696B"/>
        <color rgb="FFFFEB84"/>
        <color rgb="FF63BE7B"/>
      </colorScale>
    </cfRule>
  </conditionalFormatting>
  <conditionalFormatting sqref="F29:F31">
    <cfRule type="colorScale" priority="5685">
      <colorScale>
        <cfvo type="min"/>
        <cfvo type="percentile" val="50"/>
        <cfvo type="max"/>
        <color rgb="FFF8696B"/>
        <color rgb="FFFFEB84"/>
        <color rgb="FF63BE7B"/>
      </colorScale>
    </cfRule>
  </conditionalFormatting>
  <conditionalFormatting sqref="F32">
    <cfRule type="colorScale" priority="5684">
      <colorScale>
        <cfvo type="min"/>
        <cfvo type="percentile" val="50"/>
        <cfvo type="max"/>
        <color rgb="FFF8696B"/>
        <color rgb="FFFFEB84"/>
        <color rgb="FF63BE7B"/>
      </colorScale>
    </cfRule>
  </conditionalFormatting>
  <conditionalFormatting sqref="F32">
    <cfRule type="colorScale" priority="5683">
      <colorScale>
        <cfvo type="min"/>
        <cfvo type="percentile" val="50"/>
        <cfvo type="max"/>
        <color rgb="FFF8696B"/>
        <color rgb="FFFFEB84"/>
        <color rgb="FF63BE7B"/>
      </colorScale>
    </cfRule>
  </conditionalFormatting>
  <conditionalFormatting sqref="F32">
    <cfRule type="colorScale" priority="5682">
      <colorScale>
        <cfvo type="min"/>
        <cfvo type="percentile" val="50"/>
        <cfvo type="max"/>
        <color rgb="FFF8696B"/>
        <color rgb="FFFFEB84"/>
        <color rgb="FF63BE7B"/>
      </colorScale>
    </cfRule>
  </conditionalFormatting>
  <conditionalFormatting sqref="F32">
    <cfRule type="colorScale" priority="5681">
      <colorScale>
        <cfvo type="min"/>
        <cfvo type="percentile" val="50"/>
        <cfvo type="max"/>
        <color rgb="FFF8696B"/>
        <color rgb="FFFFEB84"/>
        <color rgb="FF63BE7B"/>
      </colorScale>
    </cfRule>
  </conditionalFormatting>
  <conditionalFormatting sqref="F32">
    <cfRule type="colorScale" priority="5680">
      <colorScale>
        <cfvo type="min"/>
        <cfvo type="percentile" val="50"/>
        <cfvo type="max"/>
        <color rgb="FFF8696B"/>
        <color rgb="FFFFEB84"/>
        <color rgb="FF63BE7B"/>
      </colorScale>
    </cfRule>
  </conditionalFormatting>
  <conditionalFormatting sqref="F32">
    <cfRule type="colorScale" priority="5679">
      <colorScale>
        <cfvo type="min"/>
        <cfvo type="percentile" val="50"/>
        <cfvo type="max"/>
        <color rgb="FFF8696B"/>
        <color rgb="FFFFEB84"/>
        <color rgb="FF63BE7B"/>
      </colorScale>
    </cfRule>
  </conditionalFormatting>
  <conditionalFormatting sqref="F32">
    <cfRule type="colorScale" priority="5678">
      <colorScale>
        <cfvo type="min"/>
        <cfvo type="percentile" val="50"/>
        <cfvo type="max"/>
        <color rgb="FFF8696B"/>
        <color rgb="FFFFEB84"/>
        <color rgb="FF63BE7B"/>
      </colorScale>
    </cfRule>
  </conditionalFormatting>
  <conditionalFormatting sqref="F32">
    <cfRule type="colorScale" priority="5677">
      <colorScale>
        <cfvo type="min"/>
        <cfvo type="percentile" val="50"/>
        <cfvo type="max"/>
        <color rgb="FFF8696B"/>
        <color rgb="FFFFEB84"/>
        <color rgb="FF63BE7B"/>
      </colorScale>
    </cfRule>
  </conditionalFormatting>
  <conditionalFormatting sqref="F32">
    <cfRule type="colorScale" priority="5676">
      <colorScale>
        <cfvo type="min"/>
        <cfvo type="percentile" val="50"/>
        <cfvo type="max"/>
        <color rgb="FFF8696B"/>
        <color rgb="FFFFEB84"/>
        <color rgb="FF63BE7B"/>
      </colorScale>
    </cfRule>
  </conditionalFormatting>
  <conditionalFormatting sqref="F32">
    <cfRule type="colorScale" priority="5675">
      <colorScale>
        <cfvo type="min"/>
        <cfvo type="percentile" val="50"/>
        <cfvo type="max"/>
        <color rgb="FFF8696B"/>
        <color rgb="FFFFEB84"/>
        <color rgb="FF63BE7B"/>
      </colorScale>
    </cfRule>
  </conditionalFormatting>
  <conditionalFormatting sqref="F32">
    <cfRule type="colorScale" priority="5674">
      <colorScale>
        <cfvo type="min"/>
        <cfvo type="percentile" val="50"/>
        <cfvo type="max"/>
        <color rgb="FFF8696B"/>
        <color rgb="FFFFEB84"/>
        <color rgb="FF63BE7B"/>
      </colorScale>
    </cfRule>
  </conditionalFormatting>
  <conditionalFormatting sqref="F32">
    <cfRule type="colorScale" priority="5673">
      <colorScale>
        <cfvo type="min"/>
        <cfvo type="percentile" val="50"/>
        <cfvo type="max"/>
        <color rgb="FFF8696B"/>
        <color rgb="FFFFEB84"/>
        <color rgb="FF63BE7B"/>
      </colorScale>
    </cfRule>
  </conditionalFormatting>
  <conditionalFormatting sqref="F32">
    <cfRule type="colorScale" priority="5672">
      <colorScale>
        <cfvo type="min"/>
        <cfvo type="percentile" val="50"/>
        <cfvo type="max"/>
        <color rgb="FFF8696B"/>
        <color rgb="FFFFEB84"/>
        <color rgb="FF63BE7B"/>
      </colorScale>
    </cfRule>
  </conditionalFormatting>
  <conditionalFormatting sqref="F32">
    <cfRule type="colorScale" priority="5671">
      <colorScale>
        <cfvo type="min"/>
        <cfvo type="percentile" val="50"/>
        <cfvo type="max"/>
        <color rgb="FFF8696B"/>
        <color rgb="FFFFEB84"/>
        <color rgb="FF63BE7B"/>
      </colorScale>
    </cfRule>
  </conditionalFormatting>
  <conditionalFormatting sqref="F32">
    <cfRule type="colorScale" priority="5670">
      <colorScale>
        <cfvo type="min"/>
        <cfvo type="percentile" val="50"/>
        <cfvo type="max"/>
        <color rgb="FFF8696B"/>
        <color rgb="FFFFEB84"/>
        <color rgb="FF63BE7B"/>
      </colorScale>
    </cfRule>
  </conditionalFormatting>
  <conditionalFormatting sqref="F32">
    <cfRule type="colorScale" priority="5669">
      <colorScale>
        <cfvo type="min"/>
        <cfvo type="percentile" val="50"/>
        <cfvo type="max"/>
        <color rgb="FFF8696B"/>
        <color rgb="FFFFEB84"/>
        <color rgb="FF63BE7B"/>
      </colorScale>
    </cfRule>
  </conditionalFormatting>
  <conditionalFormatting sqref="F32">
    <cfRule type="colorScale" priority="5668">
      <colorScale>
        <cfvo type="min"/>
        <cfvo type="percentile" val="50"/>
        <cfvo type="max"/>
        <color rgb="FFF8696B"/>
        <color rgb="FFFFEB84"/>
        <color rgb="FF63BE7B"/>
      </colorScale>
    </cfRule>
  </conditionalFormatting>
  <conditionalFormatting sqref="F32">
    <cfRule type="colorScale" priority="5667">
      <colorScale>
        <cfvo type="min"/>
        <cfvo type="percentile" val="50"/>
        <cfvo type="max"/>
        <color rgb="FFF8696B"/>
        <color rgb="FFFFEB84"/>
        <color rgb="FF63BE7B"/>
      </colorScale>
    </cfRule>
  </conditionalFormatting>
  <conditionalFormatting sqref="F32">
    <cfRule type="colorScale" priority="5666">
      <colorScale>
        <cfvo type="min"/>
        <cfvo type="percentile" val="50"/>
        <cfvo type="max"/>
        <color rgb="FFF8696B"/>
        <color rgb="FFFFEB84"/>
        <color rgb="FF63BE7B"/>
      </colorScale>
    </cfRule>
  </conditionalFormatting>
  <conditionalFormatting sqref="F32">
    <cfRule type="colorScale" priority="5665">
      <colorScale>
        <cfvo type="min"/>
        <cfvo type="percentile" val="50"/>
        <cfvo type="max"/>
        <color rgb="FFF8696B"/>
        <color rgb="FFFFEB84"/>
        <color rgb="FF63BE7B"/>
      </colorScale>
    </cfRule>
  </conditionalFormatting>
  <conditionalFormatting sqref="F32">
    <cfRule type="colorScale" priority="5664">
      <colorScale>
        <cfvo type="min"/>
        <cfvo type="percentile" val="50"/>
        <cfvo type="max"/>
        <color rgb="FFF8696B"/>
        <color rgb="FFFFEB84"/>
        <color rgb="FF63BE7B"/>
      </colorScale>
    </cfRule>
  </conditionalFormatting>
  <conditionalFormatting sqref="F32">
    <cfRule type="colorScale" priority="5663">
      <colorScale>
        <cfvo type="min"/>
        <cfvo type="percentile" val="50"/>
        <cfvo type="max"/>
        <color rgb="FFF8696B"/>
        <color rgb="FFFFEB84"/>
        <color rgb="FF63BE7B"/>
      </colorScale>
    </cfRule>
  </conditionalFormatting>
  <conditionalFormatting sqref="F32">
    <cfRule type="colorScale" priority="5662">
      <colorScale>
        <cfvo type="min"/>
        <cfvo type="percentile" val="50"/>
        <cfvo type="max"/>
        <color rgb="FFF8696B"/>
        <color rgb="FFFFEB84"/>
        <color rgb="FF63BE7B"/>
      </colorScale>
    </cfRule>
  </conditionalFormatting>
  <conditionalFormatting sqref="F32">
    <cfRule type="colorScale" priority="5661">
      <colorScale>
        <cfvo type="min"/>
        <cfvo type="percentile" val="50"/>
        <cfvo type="max"/>
        <color rgb="FFF8696B"/>
        <color rgb="FFFFEB84"/>
        <color rgb="FF63BE7B"/>
      </colorScale>
    </cfRule>
  </conditionalFormatting>
  <conditionalFormatting sqref="F32">
    <cfRule type="colorScale" priority="5660">
      <colorScale>
        <cfvo type="min"/>
        <cfvo type="percentile" val="50"/>
        <cfvo type="max"/>
        <color rgb="FFF8696B"/>
        <color rgb="FFFFEB84"/>
        <color rgb="FF63BE7B"/>
      </colorScale>
    </cfRule>
  </conditionalFormatting>
  <conditionalFormatting sqref="F32">
    <cfRule type="colorScale" priority="5659">
      <colorScale>
        <cfvo type="min"/>
        <cfvo type="percentile" val="50"/>
        <cfvo type="max"/>
        <color rgb="FFF8696B"/>
        <color rgb="FFFFEB84"/>
        <color rgb="FF63BE7B"/>
      </colorScale>
    </cfRule>
  </conditionalFormatting>
  <conditionalFormatting sqref="F32">
    <cfRule type="colorScale" priority="5658">
      <colorScale>
        <cfvo type="min"/>
        <cfvo type="percentile" val="50"/>
        <cfvo type="max"/>
        <color rgb="FFF8696B"/>
        <color rgb="FFFFEB84"/>
        <color rgb="FF63BE7B"/>
      </colorScale>
    </cfRule>
  </conditionalFormatting>
  <conditionalFormatting sqref="F32">
    <cfRule type="colorScale" priority="5657">
      <colorScale>
        <cfvo type="min"/>
        <cfvo type="percentile" val="50"/>
        <cfvo type="max"/>
        <color rgb="FFF8696B"/>
        <color rgb="FFFFEB84"/>
        <color rgb="FF63BE7B"/>
      </colorScale>
    </cfRule>
  </conditionalFormatting>
  <conditionalFormatting sqref="F32">
    <cfRule type="colorScale" priority="5656">
      <colorScale>
        <cfvo type="min"/>
        <cfvo type="percentile" val="50"/>
        <cfvo type="max"/>
        <color rgb="FFF8696B"/>
        <color rgb="FFFFEB84"/>
        <color rgb="FF63BE7B"/>
      </colorScale>
    </cfRule>
  </conditionalFormatting>
  <conditionalFormatting sqref="F32">
    <cfRule type="colorScale" priority="5655">
      <colorScale>
        <cfvo type="min"/>
        <cfvo type="percentile" val="50"/>
        <cfvo type="max"/>
        <color rgb="FFF8696B"/>
        <color rgb="FFFFEB84"/>
        <color rgb="FF63BE7B"/>
      </colorScale>
    </cfRule>
  </conditionalFormatting>
  <conditionalFormatting sqref="F32">
    <cfRule type="colorScale" priority="5654">
      <colorScale>
        <cfvo type="min"/>
        <cfvo type="percentile" val="50"/>
        <cfvo type="max"/>
        <color rgb="FFF8696B"/>
        <color rgb="FFFFEB84"/>
        <color rgb="FF63BE7B"/>
      </colorScale>
    </cfRule>
  </conditionalFormatting>
  <conditionalFormatting sqref="F32">
    <cfRule type="colorScale" priority="5653">
      <colorScale>
        <cfvo type="min"/>
        <cfvo type="percentile" val="50"/>
        <cfvo type="max"/>
        <color rgb="FFF8696B"/>
        <color rgb="FFFFEB84"/>
        <color rgb="FF63BE7B"/>
      </colorScale>
    </cfRule>
  </conditionalFormatting>
  <conditionalFormatting sqref="F32">
    <cfRule type="colorScale" priority="5652">
      <colorScale>
        <cfvo type="min"/>
        <cfvo type="percentile" val="50"/>
        <cfvo type="max"/>
        <color rgb="FFF8696B"/>
        <color rgb="FFFFEB84"/>
        <color rgb="FF63BE7B"/>
      </colorScale>
    </cfRule>
  </conditionalFormatting>
  <conditionalFormatting sqref="F32">
    <cfRule type="colorScale" priority="5651">
      <colorScale>
        <cfvo type="min"/>
        <cfvo type="percentile" val="50"/>
        <cfvo type="max"/>
        <color rgb="FFF8696B"/>
        <color rgb="FFFFEB84"/>
        <color rgb="FF63BE7B"/>
      </colorScale>
    </cfRule>
  </conditionalFormatting>
  <conditionalFormatting sqref="F32">
    <cfRule type="colorScale" priority="5650">
      <colorScale>
        <cfvo type="min"/>
        <cfvo type="percentile" val="50"/>
        <cfvo type="max"/>
        <color rgb="FFF8696B"/>
        <color rgb="FFFFEB84"/>
        <color rgb="FF63BE7B"/>
      </colorScale>
    </cfRule>
  </conditionalFormatting>
  <conditionalFormatting sqref="F32">
    <cfRule type="colorScale" priority="5649">
      <colorScale>
        <cfvo type="min"/>
        <cfvo type="percentile" val="50"/>
        <cfvo type="max"/>
        <color rgb="FFF8696B"/>
        <color rgb="FFFFEB84"/>
        <color rgb="FF63BE7B"/>
      </colorScale>
    </cfRule>
  </conditionalFormatting>
  <conditionalFormatting sqref="F32">
    <cfRule type="colorScale" priority="5648">
      <colorScale>
        <cfvo type="min"/>
        <cfvo type="percentile" val="50"/>
        <cfvo type="max"/>
        <color rgb="FFF8696B"/>
        <color rgb="FFFFEB84"/>
        <color rgb="FF63BE7B"/>
      </colorScale>
    </cfRule>
  </conditionalFormatting>
  <conditionalFormatting sqref="F32">
    <cfRule type="colorScale" priority="5647">
      <colorScale>
        <cfvo type="min"/>
        <cfvo type="percentile" val="50"/>
        <cfvo type="max"/>
        <color rgb="FFF8696B"/>
        <color rgb="FFFFEB84"/>
        <color rgb="FF63BE7B"/>
      </colorScale>
    </cfRule>
  </conditionalFormatting>
  <conditionalFormatting sqref="F32">
    <cfRule type="colorScale" priority="5646">
      <colorScale>
        <cfvo type="min"/>
        <cfvo type="percentile" val="50"/>
        <cfvo type="max"/>
        <color rgb="FFF8696B"/>
        <color rgb="FFFFEB84"/>
        <color rgb="FF63BE7B"/>
      </colorScale>
    </cfRule>
  </conditionalFormatting>
  <conditionalFormatting sqref="F32">
    <cfRule type="colorScale" priority="5645">
      <colorScale>
        <cfvo type="min"/>
        <cfvo type="percentile" val="50"/>
        <cfvo type="max"/>
        <color rgb="FFF8696B"/>
        <color rgb="FFFFEB84"/>
        <color rgb="FF63BE7B"/>
      </colorScale>
    </cfRule>
  </conditionalFormatting>
  <conditionalFormatting sqref="F32">
    <cfRule type="colorScale" priority="5644">
      <colorScale>
        <cfvo type="min"/>
        <cfvo type="percentile" val="50"/>
        <cfvo type="max"/>
        <color rgb="FFF8696B"/>
        <color rgb="FFFFEB84"/>
        <color rgb="FF63BE7B"/>
      </colorScale>
    </cfRule>
  </conditionalFormatting>
  <conditionalFormatting sqref="F32">
    <cfRule type="colorScale" priority="5643">
      <colorScale>
        <cfvo type="min"/>
        <cfvo type="percentile" val="50"/>
        <cfvo type="max"/>
        <color rgb="FFF8696B"/>
        <color rgb="FFFFEB84"/>
        <color rgb="FF63BE7B"/>
      </colorScale>
    </cfRule>
  </conditionalFormatting>
  <conditionalFormatting sqref="F32">
    <cfRule type="colorScale" priority="5642">
      <colorScale>
        <cfvo type="min"/>
        <cfvo type="percentile" val="50"/>
        <cfvo type="max"/>
        <color rgb="FFF8696B"/>
        <color rgb="FFFFEB84"/>
        <color rgb="FF63BE7B"/>
      </colorScale>
    </cfRule>
  </conditionalFormatting>
  <conditionalFormatting sqref="F32">
    <cfRule type="colorScale" priority="5641">
      <colorScale>
        <cfvo type="min"/>
        <cfvo type="percentile" val="50"/>
        <cfvo type="max"/>
        <color rgb="FFF8696B"/>
        <color rgb="FFFFEB84"/>
        <color rgb="FF63BE7B"/>
      </colorScale>
    </cfRule>
  </conditionalFormatting>
  <conditionalFormatting sqref="F32">
    <cfRule type="colorScale" priority="5640">
      <colorScale>
        <cfvo type="min"/>
        <cfvo type="percentile" val="50"/>
        <cfvo type="max"/>
        <color rgb="FFF8696B"/>
        <color rgb="FFFFEB84"/>
        <color rgb="FF63BE7B"/>
      </colorScale>
    </cfRule>
  </conditionalFormatting>
  <conditionalFormatting sqref="F32">
    <cfRule type="colorScale" priority="5639">
      <colorScale>
        <cfvo type="min"/>
        <cfvo type="percentile" val="50"/>
        <cfvo type="max"/>
        <color rgb="FFF8696B"/>
        <color rgb="FFFFEB84"/>
        <color rgb="FF63BE7B"/>
      </colorScale>
    </cfRule>
  </conditionalFormatting>
  <conditionalFormatting sqref="F32">
    <cfRule type="colorScale" priority="5638">
      <colorScale>
        <cfvo type="min"/>
        <cfvo type="percentile" val="50"/>
        <cfvo type="max"/>
        <color rgb="FFF8696B"/>
        <color rgb="FFFFEB84"/>
        <color rgb="FF63BE7B"/>
      </colorScale>
    </cfRule>
  </conditionalFormatting>
  <conditionalFormatting sqref="F32">
    <cfRule type="colorScale" priority="5637">
      <colorScale>
        <cfvo type="min"/>
        <cfvo type="percentile" val="50"/>
        <cfvo type="max"/>
        <color rgb="FFF8696B"/>
        <color rgb="FFFFEB84"/>
        <color rgb="FF63BE7B"/>
      </colorScale>
    </cfRule>
  </conditionalFormatting>
  <conditionalFormatting sqref="F32">
    <cfRule type="colorScale" priority="5636">
      <colorScale>
        <cfvo type="min"/>
        <cfvo type="percentile" val="50"/>
        <cfvo type="max"/>
        <color rgb="FFF8696B"/>
        <color rgb="FFFFEB84"/>
        <color rgb="FF63BE7B"/>
      </colorScale>
    </cfRule>
  </conditionalFormatting>
  <conditionalFormatting sqref="F32">
    <cfRule type="colorScale" priority="5635">
      <colorScale>
        <cfvo type="min"/>
        <cfvo type="percentile" val="50"/>
        <cfvo type="max"/>
        <color rgb="FFF8696B"/>
        <color rgb="FFFFEB84"/>
        <color rgb="FF63BE7B"/>
      </colorScale>
    </cfRule>
  </conditionalFormatting>
  <conditionalFormatting sqref="F32">
    <cfRule type="colorScale" priority="5634">
      <colorScale>
        <cfvo type="min"/>
        <cfvo type="percentile" val="50"/>
        <cfvo type="max"/>
        <color rgb="FFF8696B"/>
        <color rgb="FFFFEB84"/>
        <color rgb="FF63BE7B"/>
      </colorScale>
    </cfRule>
  </conditionalFormatting>
  <conditionalFormatting sqref="F32">
    <cfRule type="colorScale" priority="5633">
      <colorScale>
        <cfvo type="min"/>
        <cfvo type="percentile" val="50"/>
        <cfvo type="max"/>
        <color rgb="FFF8696B"/>
        <color rgb="FFFFEB84"/>
        <color rgb="FF63BE7B"/>
      </colorScale>
    </cfRule>
  </conditionalFormatting>
  <conditionalFormatting sqref="F32">
    <cfRule type="colorScale" priority="5632">
      <colorScale>
        <cfvo type="min"/>
        <cfvo type="percentile" val="50"/>
        <cfvo type="max"/>
        <color rgb="FFF8696B"/>
        <color rgb="FFFFEB84"/>
        <color rgb="FF63BE7B"/>
      </colorScale>
    </cfRule>
  </conditionalFormatting>
  <conditionalFormatting sqref="F32">
    <cfRule type="colorScale" priority="5631">
      <colorScale>
        <cfvo type="min"/>
        <cfvo type="percentile" val="50"/>
        <cfvo type="max"/>
        <color rgb="FFF8696B"/>
        <color rgb="FFFFEB84"/>
        <color rgb="FF63BE7B"/>
      </colorScale>
    </cfRule>
  </conditionalFormatting>
  <conditionalFormatting sqref="F32">
    <cfRule type="colorScale" priority="5630">
      <colorScale>
        <cfvo type="min"/>
        <cfvo type="percentile" val="50"/>
        <cfvo type="max"/>
        <color rgb="FFF8696B"/>
        <color rgb="FFFFEB84"/>
        <color rgb="FF63BE7B"/>
      </colorScale>
    </cfRule>
  </conditionalFormatting>
  <conditionalFormatting sqref="F32">
    <cfRule type="colorScale" priority="5629">
      <colorScale>
        <cfvo type="min"/>
        <cfvo type="percentile" val="50"/>
        <cfvo type="max"/>
        <color rgb="FFF8696B"/>
        <color rgb="FFFFEB84"/>
        <color rgb="FF63BE7B"/>
      </colorScale>
    </cfRule>
  </conditionalFormatting>
  <conditionalFormatting sqref="F32">
    <cfRule type="colorScale" priority="5628">
      <colorScale>
        <cfvo type="min"/>
        <cfvo type="percentile" val="50"/>
        <cfvo type="max"/>
        <color rgb="FFF8696B"/>
        <color rgb="FFFFEB84"/>
        <color rgb="FF63BE7B"/>
      </colorScale>
    </cfRule>
  </conditionalFormatting>
  <conditionalFormatting sqref="F32">
    <cfRule type="colorScale" priority="5627">
      <colorScale>
        <cfvo type="min"/>
        <cfvo type="percentile" val="50"/>
        <cfvo type="max"/>
        <color rgb="FFF8696B"/>
        <color rgb="FFFFEB84"/>
        <color rgb="FF63BE7B"/>
      </colorScale>
    </cfRule>
  </conditionalFormatting>
  <conditionalFormatting sqref="F32">
    <cfRule type="colorScale" priority="5626">
      <colorScale>
        <cfvo type="min"/>
        <cfvo type="percentile" val="50"/>
        <cfvo type="max"/>
        <color rgb="FFF8696B"/>
        <color rgb="FFFFEB84"/>
        <color rgb="FF63BE7B"/>
      </colorScale>
    </cfRule>
  </conditionalFormatting>
  <conditionalFormatting sqref="F32">
    <cfRule type="colorScale" priority="5625">
      <colorScale>
        <cfvo type="min"/>
        <cfvo type="percentile" val="50"/>
        <cfvo type="max"/>
        <color rgb="FFF8696B"/>
        <color rgb="FFFFEB84"/>
        <color rgb="FF63BE7B"/>
      </colorScale>
    </cfRule>
  </conditionalFormatting>
  <conditionalFormatting sqref="F32">
    <cfRule type="colorScale" priority="5624">
      <colorScale>
        <cfvo type="min"/>
        <cfvo type="percentile" val="50"/>
        <cfvo type="max"/>
        <color rgb="FFF8696B"/>
        <color rgb="FFFFEB84"/>
        <color rgb="FF63BE7B"/>
      </colorScale>
    </cfRule>
  </conditionalFormatting>
  <conditionalFormatting sqref="F32">
    <cfRule type="colorScale" priority="5623">
      <colorScale>
        <cfvo type="min"/>
        <cfvo type="percentile" val="50"/>
        <cfvo type="max"/>
        <color rgb="FFF8696B"/>
        <color rgb="FFFFEB84"/>
        <color rgb="FF63BE7B"/>
      </colorScale>
    </cfRule>
  </conditionalFormatting>
  <conditionalFormatting sqref="F32">
    <cfRule type="colorScale" priority="5622">
      <colorScale>
        <cfvo type="min"/>
        <cfvo type="percentile" val="50"/>
        <cfvo type="max"/>
        <color rgb="FFF8696B"/>
        <color rgb="FFFFEB84"/>
        <color rgb="FF63BE7B"/>
      </colorScale>
    </cfRule>
  </conditionalFormatting>
  <conditionalFormatting sqref="F32">
    <cfRule type="colorScale" priority="5621">
      <colorScale>
        <cfvo type="min"/>
        <cfvo type="percentile" val="50"/>
        <cfvo type="max"/>
        <color rgb="FFF8696B"/>
        <color rgb="FFFFEB84"/>
        <color rgb="FF63BE7B"/>
      </colorScale>
    </cfRule>
  </conditionalFormatting>
  <conditionalFormatting sqref="F32">
    <cfRule type="colorScale" priority="5620">
      <colorScale>
        <cfvo type="min"/>
        <cfvo type="percentile" val="50"/>
        <cfvo type="max"/>
        <color rgb="FFF8696B"/>
        <color rgb="FFFFEB84"/>
        <color rgb="FF63BE7B"/>
      </colorScale>
    </cfRule>
  </conditionalFormatting>
  <conditionalFormatting sqref="F32">
    <cfRule type="colorScale" priority="5619">
      <colorScale>
        <cfvo type="min"/>
        <cfvo type="percentile" val="50"/>
        <cfvo type="max"/>
        <color rgb="FFF8696B"/>
        <color rgb="FFFFEB84"/>
        <color rgb="FF63BE7B"/>
      </colorScale>
    </cfRule>
  </conditionalFormatting>
  <conditionalFormatting sqref="F32">
    <cfRule type="colorScale" priority="5618">
      <colorScale>
        <cfvo type="min"/>
        <cfvo type="percentile" val="50"/>
        <cfvo type="max"/>
        <color rgb="FFF8696B"/>
        <color rgb="FFFFEB84"/>
        <color rgb="FF63BE7B"/>
      </colorScale>
    </cfRule>
  </conditionalFormatting>
  <conditionalFormatting sqref="F32">
    <cfRule type="colorScale" priority="5617">
      <colorScale>
        <cfvo type="min"/>
        <cfvo type="percentile" val="50"/>
        <cfvo type="max"/>
        <color rgb="FFF8696B"/>
        <color rgb="FFFFEB84"/>
        <color rgb="FF63BE7B"/>
      </colorScale>
    </cfRule>
  </conditionalFormatting>
  <conditionalFormatting sqref="F32">
    <cfRule type="colorScale" priority="5616">
      <colorScale>
        <cfvo type="min"/>
        <cfvo type="percentile" val="50"/>
        <cfvo type="max"/>
        <color rgb="FFF8696B"/>
        <color rgb="FFFFEB84"/>
        <color rgb="FF63BE7B"/>
      </colorScale>
    </cfRule>
  </conditionalFormatting>
  <conditionalFormatting sqref="F32">
    <cfRule type="colorScale" priority="5615">
      <colorScale>
        <cfvo type="min"/>
        <cfvo type="percentile" val="50"/>
        <cfvo type="max"/>
        <color rgb="FFF8696B"/>
        <color rgb="FFFFEB84"/>
        <color rgb="FF63BE7B"/>
      </colorScale>
    </cfRule>
  </conditionalFormatting>
  <conditionalFormatting sqref="F32">
    <cfRule type="colorScale" priority="5614">
      <colorScale>
        <cfvo type="min"/>
        <cfvo type="percentile" val="50"/>
        <cfvo type="max"/>
        <color rgb="FFF8696B"/>
        <color rgb="FFFFEB84"/>
        <color rgb="FF63BE7B"/>
      </colorScale>
    </cfRule>
  </conditionalFormatting>
  <conditionalFormatting sqref="F32">
    <cfRule type="colorScale" priority="5613">
      <colorScale>
        <cfvo type="min"/>
        <cfvo type="percentile" val="50"/>
        <cfvo type="max"/>
        <color rgb="FFF8696B"/>
        <color rgb="FFFFEB84"/>
        <color rgb="FF63BE7B"/>
      </colorScale>
    </cfRule>
  </conditionalFormatting>
  <conditionalFormatting sqref="F32">
    <cfRule type="colorScale" priority="5612">
      <colorScale>
        <cfvo type="min"/>
        <cfvo type="percentile" val="50"/>
        <cfvo type="max"/>
        <color rgb="FFF8696B"/>
        <color rgb="FFFFEB84"/>
        <color rgb="FF63BE7B"/>
      </colorScale>
    </cfRule>
  </conditionalFormatting>
  <conditionalFormatting sqref="F32">
    <cfRule type="colorScale" priority="5611">
      <colorScale>
        <cfvo type="min"/>
        <cfvo type="percentile" val="50"/>
        <cfvo type="max"/>
        <color rgb="FFF8696B"/>
        <color rgb="FFFFEB84"/>
        <color rgb="FF63BE7B"/>
      </colorScale>
    </cfRule>
  </conditionalFormatting>
  <conditionalFormatting sqref="F32">
    <cfRule type="colorScale" priority="5610">
      <colorScale>
        <cfvo type="min"/>
        <cfvo type="percentile" val="50"/>
        <cfvo type="max"/>
        <color rgb="FFF8696B"/>
        <color rgb="FFFFEB84"/>
        <color rgb="FF63BE7B"/>
      </colorScale>
    </cfRule>
  </conditionalFormatting>
  <conditionalFormatting sqref="F32">
    <cfRule type="colorScale" priority="5609">
      <colorScale>
        <cfvo type="min"/>
        <cfvo type="percentile" val="50"/>
        <cfvo type="max"/>
        <color rgb="FFF8696B"/>
        <color rgb="FFFFEB84"/>
        <color rgb="FF63BE7B"/>
      </colorScale>
    </cfRule>
  </conditionalFormatting>
  <conditionalFormatting sqref="F32">
    <cfRule type="colorScale" priority="5608">
      <colorScale>
        <cfvo type="min"/>
        <cfvo type="percentile" val="50"/>
        <cfvo type="max"/>
        <color rgb="FFF8696B"/>
        <color rgb="FFFFEB84"/>
        <color rgb="FF63BE7B"/>
      </colorScale>
    </cfRule>
  </conditionalFormatting>
  <conditionalFormatting sqref="F32">
    <cfRule type="colorScale" priority="5607">
      <colorScale>
        <cfvo type="min"/>
        <cfvo type="percentile" val="50"/>
        <cfvo type="max"/>
        <color rgb="FFF8696B"/>
        <color rgb="FFFFEB84"/>
        <color rgb="FF63BE7B"/>
      </colorScale>
    </cfRule>
  </conditionalFormatting>
  <conditionalFormatting sqref="F32">
    <cfRule type="colorScale" priority="5606">
      <colorScale>
        <cfvo type="min"/>
        <cfvo type="percentile" val="50"/>
        <cfvo type="max"/>
        <color rgb="FFF8696B"/>
        <color rgb="FFFFEB84"/>
        <color rgb="FF63BE7B"/>
      </colorScale>
    </cfRule>
  </conditionalFormatting>
  <conditionalFormatting sqref="F32">
    <cfRule type="colorScale" priority="5605">
      <colorScale>
        <cfvo type="min"/>
        <cfvo type="percentile" val="50"/>
        <cfvo type="max"/>
        <color rgb="FFF8696B"/>
        <color rgb="FFFFEB84"/>
        <color rgb="FF63BE7B"/>
      </colorScale>
    </cfRule>
  </conditionalFormatting>
  <conditionalFormatting sqref="F32">
    <cfRule type="colorScale" priority="5604">
      <colorScale>
        <cfvo type="min"/>
        <cfvo type="percentile" val="50"/>
        <cfvo type="max"/>
        <color rgb="FFF8696B"/>
        <color rgb="FFFFEB84"/>
        <color rgb="FF63BE7B"/>
      </colorScale>
    </cfRule>
  </conditionalFormatting>
  <conditionalFormatting sqref="F32">
    <cfRule type="colorScale" priority="5603">
      <colorScale>
        <cfvo type="min"/>
        <cfvo type="percentile" val="50"/>
        <cfvo type="max"/>
        <color rgb="FFF8696B"/>
        <color rgb="FFFFEB84"/>
        <color rgb="FF63BE7B"/>
      </colorScale>
    </cfRule>
  </conditionalFormatting>
  <conditionalFormatting sqref="F32">
    <cfRule type="colorScale" priority="5602">
      <colorScale>
        <cfvo type="min"/>
        <cfvo type="percentile" val="50"/>
        <cfvo type="max"/>
        <color rgb="FFF8696B"/>
        <color rgb="FFFFEB84"/>
        <color rgb="FF63BE7B"/>
      </colorScale>
    </cfRule>
  </conditionalFormatting>
  <conditionalFormatting sqref="F32">
    <cfRule type="colorScale" priority="5601">
      <colorScale>
        <cfvo type="min"/>
        <cfvo type="percentile" val="50"/>
        <cfvo type="max"/>
        <color rgb="FFF8696B"/>
        <color rgb="FFFFEB84"/>
        <color rgb="FF63BE7B"/>
      </colorScale>
    </cfRule>
  </conditionalFormatting>
  <conditionalFormatting sqref="F32">
    <cfRule type="colorScale" priority="5600">
      <colorScale>
        <cfvo type="min"/>
        <cfvo type="percentile" val="50"/>
        <cfvo type="max"/>
        <color rgb="FFF8696B"/>
        <color rgb="FFFFEB84"/>
        <color rgb="FF63BE7B"/>
      </colorScale>
    </cfRule>
  </conditionalFormatting>
  <conditionalFormatting sqref="F32">
    <cfRule type="colorScale" priority="5599">
      <colorScale>
        <cfvo type="min"/>
        <cfvo type="percentile" val="50"/>
        <cfvo type="max"/>
        <color rgb="FFF8696B"/>
        <color rgb="FFFFEB84"/>
        <color rgb="FF63BE7B"/>
      </colorScale>
    </cfRule>
  </conditionalFormatting>
  <conditionalFormatting sqref="F32">
    <cfRule type="colorScale" priority="5598">
      <colorScale>
        <cfvo type="min"/>
        <cfvo type="percentile" val="50"/>
        <cfvo type="max"/>
        <color rgb="FFF8696B"/>
        <color rgb="FFFFEB84"/>
        <color rgb="FF63BE7B"/>
      </colorScale>
    </cfRule>
  </conditionalFormatting>
  <conditionalFormatting sqref="F32">
    <cfRule type="colorScale" priority="5597">
      <colorScale>
        <cfvo type="min"/>
        <cfvo type="percentile" val="50"/>
        <cfvo type="max"/>
        <color rgb="FFF8696B"/>
        <color rgb="FFFFEB84"/>
        <color rgb="FF63BE7B"/>
      </colorScale>
    </cfRule>
  </conditionalFormatting>
  <conditionalFormatting sqref="F32">
    <cfRule type="colorScale" priority="5596">
      <colorScale>
        <cfvo type="min"/>
        <cfvo type="percentile" val="50"/>
        <cfvo type="max"/>
        <color rgb="FFF8696B"/>
        <color rgb="FFFFEB84"/>
        <color rgb="FF63BE7B"/>
      </colorScale>
    </cfRule>
  </conditionalFormatting>
  <conditionalFormatting sqref="F32">
    <cfRule type="colorScale" priority="5595">
      <colorScale>
        <cfvo type="min"/>
        <cfvo type="percentile" val="50"/>
        <cfvo type="max"/>
        <color rgb="FFF8696B"/>
        <color rgb="FFFFEB84"/>
        <color rgb="FF63BE7B"/>
      </colorScale>
    </cfRule>
  </conditionalFormatting>
  <conditionalFormatting sqref="F32">
    <cfRule type="colorScale" priority="5594">
      <colorScale>
        <cfvo type="min"/>
        <cfvo type="percentile" val="50"/>
        <cfvo type="max"/>
        <color rgb="FFF8696B"/>
        <color rgb="FFFFEB84"/>
        <color rgb="FF63BE7B"/>
      </colorScale>
    </cfRule>
  </conditionalFormatting>
  <conditionalFormatting sqref="F32">
    <cfRule type="colorScale" priority="5593">
      <colorScale>
        <cfvo type="min"/>
        <cfvo type="percentile" val="50"/>
        <cfvo type="max"/>
        <color rgb="FFF8696B"/>
        <color rgb="FFFFEB84"/>
        <color rgb="FF63BE7B"/>
      </colorScale>
    </cfRule>
  </conditionalFormatting>
  <conditionalFormatting sqref="F32">
    <cfRule type="colorScale" priority="5592">
      <colorScale>
        <cfvo type="min"/>
        <cfvo type="percentile" val="50"/>
        <cfvo type="max"/>
        <color rgb="FFF8696B"/>
        <color rgb="FFFFEB84"/>
        <color rgb="FF63BE7B"/>
      </colorScale>
    </cfRule>
  </conditionalFormatting>
  <conditionalFormatting sqref="F32">
    <cfRule type="colorScale" priority="5591">
      <colorScale>
        <cfvo type="min"/>
        <cfvo type="percentile" val="50"/>
        <cfvo type="max"/>
        <color rgb="FFF8696B"/>
        <color rgb="FFFFEB84"/>
        <color rgb="FF63BE7B"/>
      </colorScale>
    </cfRule>
  </conditionalFormatting>
  <conditionalFormatting sqref="F32">
    <cfRule type="colorScale" priority="5590">
      <colorScale>
        <cfvo type="min"/>
        <cfvo type="percentile" val="50"/>
        <cfvo type="max"/>
        <color rgb="FFF8696B"/>
        <color rgb="FFFFEB84"/>
        <color rgb="FF63BE7B"/>
      </colorScale>
    </cfRule>
  </conditionalFormatting>
  <conditionalFormatting sqref="F32">
    <cfRule type="colorScale" priority="5589">
      <colorScale>
        <cfvo type="min"/>
        <cfvo type="percentile" val="50"/>
        <cfvo type="max"/>
        <color rgb="FFF8696B"/>
        <color rgb="FFFFEB84"/>
        <color rgb="FF63BE7B"/>
      </colorScale>
    </cfRule>
  </conditionalFormatting>
  <conditionalFormatting sqref="F32">
    <cfRule type="colorScale" priority="5588">
      <colorScale>
        <cfvo type="min"/>
        <cfvo type="percentile" val="50"/>
        <cfvo type="max"/>
        <color rgb="FFF8696B"/>
        <color rgb="FFFFEB84"/>
        <color rgb="FF63BE7B"/>
      </colorScale>
    </cfRule>
  </conditionalFormatting>
  <conditionalFormatting sqref="F32">
    <cfRule type="colorScale" priority="5587">
      <colorScale>
        <cfvo type="min"/>
        <cfvo type="percentile" val="50"/>
        <cfvo type="max"/>
        <color rgb="FFF8696B"/>
        <color rgb="FFFFEB84"/>
        <color rgb="FF63BE7B"/>
      </colorScale>
    </cfRule>
  </conditionalFormatting>
  <conditionalFormatting sqref="F32">
    <cfRule type="colorScale" priority="5586">
      <colorScale>
        <cfvo type="min"/>
        <cfvo type="percentile" val="50"/>
        <cfvo type="max"/>
        <color rgb="FFF8696B"/>
        <color rgb="FFFFEB84"/>
        <color rgb="FF63BE7B"/>
      </colorScale>
    </cfRule>
  </conditionalFormatting>
  <conditionalFormatting sqref="F32">
    <cfRule type="colorScale" priority="5585">
      <colorScale>
        <cfvo type="min"/>
        <cfvo type="percentile" val="50"/>
        <cfvo type="max"/>
        <color rgb="FFF8696B"/>
        <color rgb="FFFFEB84"/>
        <color rgb="FF63BE7B"/>
      </colorScale>
    </cfRule>
  </conditionalFormatting>
  <conditionalFormatting sqref="F32">
    <cfRule type="colorScale" priority="5584">
      <colorScale>
        <cfvo type="min"/>
        <cfvo type="percentile" val="50"/>
        <cfvo type="max"/>
        <color rgb="FFF8696B"/>
        <color rgb="FFFFEB84"/>
        <color rgb="FF63BE7B"/>
      </colorScale>
    </cfRule>
  </conditionalFormatting>
  <conditionalFormatting sqref="F32">
    <cfRule type="colorScale" priority="5583">
      <colorScale>
        <cfvo type="min"/>
        <cfvo type="percentile" val="50"/>
        <cfvo type="max"/>
        <color rgb="FFF8696B"/>
        <color rgb="FFFFEB84"/>
        <color rgb="FF63BE7B"/>
      </colorScale>
    </cfRule>
  </conditionalFormatting>
  <conditionalFormatting sqref="F32">
    <cfRule type="colorScale" priority="5582">
      <colorScale>
        <cfvo type="min"/>
        <cfvo type="percentile" val="50"/>
        <cfvo type="max"/>
        <color rgb="FFF8696B"/>
        <color rgb="FFFFEB84"/>
        <color rgb="FF63BE7B"/>
      </colorScale>
    </cfRule>
  </conditionalFormatting>
  <conditionalFormatting sqref="F32">
    <cfRule type="colorScale" priority="5581">
      <colorScale>
        <cfvo type="min"/>
        <cfvo type="percentile" val="50"/>
        <cfvo type="max"/>
        <color rgb="FFF8696B"/>
        <color rgb="FFFFEB84"/>
        <color rgb="FF63BE7B"/>
      </colorScale>
    </cfRule>
  </conditionalFormatting>
  <conditionalFormatting sqref="F32">
    <cfRule type="colorScale" priority="5580">
      <colorScale>
        <cfvo type="min"/>
        <cfvo type="percentile" val="50"/>
        <cfvo type="max"/>
        <color rgb="FFF8696B"/>
        <color rgb="FFFFEB84"/>
        <color rgb="FF63BE7B"/>
      </colorScale>
    </cfRule>
  </conditionalFormatting>
  <conditionalFormatting sqref="F32">
    <cfRule type="colorScale" priority="5579">
      <colorScale>
        <cfvo type="min"/>
        <cfvo type="percentile" val="50"/>
        <cfvo type="max"/>
        <color rgb="FFF8696B"/>
        <color rgb="FFFFEB84"/>
        <color rgb="FF63BE7B"/>
      </colorScale>
    </cfRule>
  </conditionalFormatting>
  <conditionalFormatting sqref="F32">
    <cfRule type="colorScale" priority="5578">
      <colorScale>
        <cfvo type="min"/>
        <cfvo type="percentile" val="50"/>
        <cfvo type="max"/>
        <color rgb="FFF8696B"/>
        <color rgb="FFFFEB84"/>
        <color rgb="FF63BE7B"/>
      </colorScale>
    </cfRule>
  </conditionalFormatting>
  <conditionalFormatting sqref="F32">
    <cfRule type="colorScale" priority="5577">
      <colorScale>
        <cfvo type="min"/>
        <cfvo type="percentile" val="50"/>
        <cfvo type="max"/>
        <color rgb="FFF8696B"/>
        <color rgb="FFFFEB84"/>
        <color rgb="FF63BE7B"/>
      </colorScale>
    </cfRule>
  </conditionalFormatting>
  <conditionalFormatting sqref="F32">
    <cfRule type="colorScale" priority="5576">
      <colorScale>
        <cfvo type="min"/>
        <cfvo type="percentile" val="50"/>
        <cfvo type="max"/>
        <color rgb="FFF8696B"/>
        <color rgb="FFFFEB84"/>
        <color rgb="FF63BE7B"/>
      </colorScale>
    </cfRule>
  </conditionalFormatting>
  <conditionalFormatting sqref="F32">
    <cfRule type="colorScale" priority="5575">
      <colorScale>
        <cfvo type="min"/>
        <cfvo type="percentile" val="50"/>
        <cfvo type="max"/>
        <color rgb="FFF8696B"/>
        <color rgb="FFFFEB84"/>
        <color rgb="FF63BE7B"/>
      </colorScale>
    </cfRule>
  </conditionalFormatting>
  <conditionalFormatting sqref="F32">
    <cfRule type="colorScale" priority="5574">
      <colorScale>
        <cfvo type="min"/>
        <cfvo type="percentile" val="50"/>
        <cfvo type="max"/>
        <color rgb="FFF8696B"/>
        <color rgb="FFFFEB84"/>
        <color rgb="FF63BE7B"/>
      </colorScale>
    </cfRule>
  </conditionalFormatting>
  <conditionalFormatting sqref="F32">
    <cfRule type="colorScale" priority="5573">
      <colorScale>
        <cfvo type="min"/>
        <cfvo type="percentile" val="50"/>
        <cfvo type="max"/>
        <color rgb="FFF8696B"/>
        <color rgb="FFFFEB84"/>
        <color rgb="FF63BE7B"/>
      </colorScale>
    </cfRule>
  </conditionalFormatting>
  <conditionalFormatting sqref="F32">
    <cfRule type="colorScale" priority="5572">
      <colorScale>
        <cfvo type="min"/>
        <cfvo type="percentile" val="50"/>
        <cfvo type="max"/>
        <color rgb="FFF8696B"/>
        <color rgb="FFFFEB84"/>
        <color rgb="FF63BE7B"/>
      </colorScale>
    </cfRule>
  </conditionalFormatting>
  <conditionalFormatting sqref="F32">
    <cfRule type="colorScale" priority="5571">
      <colorScale>
        <cfvo type="min"/>
        <cfvo type="percentile" val="50"/>
        <cfvo type="max"/>
        <color rgb="FFF8696B"/>
        <color rgb="FFFFEB84"/>
        <color rgb="FF63BE7B"/>
      </colorScale>
    </cfRule>
  </conditionalFormatting>
  <conditionalFormatting sqref="F32">
    <cfRule type="colorScale" priority="5570">
      <colorScale>
        <cfvo type="min"/>
        <cfvo type="percentile" val="50"/>
        <cfvo type="max"/>
        <color rgb="FFF8696B"/>
        <color rgb="FFFFEB84"/>
        <color rgb="FF63BE7B"/>
      </colorScale>
    </cfRule>
  </conditionalFormatting>
  <conditionalFormatting sqref="F32">
    <cfRule type="colorScale" priority="5569">
      <colorScale>
        <cfvo type="min"/>
        <cfvo type="percentile" val="50"/>
        <cfvo type="max"/>
        <color rgb="FFF8696B"/>
        <color rgb="FFFFEB84"/>
        <color rgb="FF63BE7B"/>
      </colorScale>
    </cfRule>
  </conditionalFormatting>
  <conditionalFormatting sqref="F32">
    <cfRule type="colorScale" priority="5568">
      <colorScale>
        <cfvo type="min"/>
        <cfvo type="percentile" val="50"/>
        <cfvo type="max"/>
        <color rgb="FFF8696B"/>
        <color rgb="FFFFEB84"/>
        <color rgb="FF63BE7B"/>
      </colorScale>
    </cfRule>
  </conditionalFormatting>
  <conditionalFormatting sqref="F32">
    <cfRule type="colorScale" priority="5567">
      <colorScale>
        <cfvo type="min"/>
        <cfvo type="percentile" val="50"/>
        <cfvo type="max"/>
        <color rgb="FFF8696B"/>
        <color rgb="FFFFEB84"/>
        <color rgb="FF63BE7B"/>
      </colorScale>
    </cfRule>
  </conditionalFormatting>
  <conditionalFormatting sqref="F32">
    <cfRule type="colorScale" priority="5566">
      <colorScale>
        <cfvo type="min"/>
        <cfvo type="percentile" val="50"/>
        <cfvo type="max"/>
        <color rgb="FFF8696B"/>
        <color rgb="FFFFEB84"/>
        <color rgb="FF63BE7B"/>
      </colorScale>
    </cfRule>
  </conditionalFormatting>
  <conditionalFormatting sqref="F32">
    <cfRule type="colorScale" priority="5565">
      <colorScale>
        <cfvo type="min"/>
        <cfvo type="percentile" val="50"/>
        <cfvo type="max"/>
        <color rgb="FFF8696B"/>
        <color rgb="FFFFEB84"/>
        <color rgb="FF63BE7B"/>
      </colorScale>
    </cfRule>
  </conditionalFormatting>
  <conditionalFormatting sqref="F32">
    <cfRule type="colorScale" priority="5564">
      <colorScale>
        <cfvo type="min"/>
        <cfvo type="percentile" val="50"/>
        <cfvo type="max"/>
        <color rgb="FFF8696B"/>
        <color rgb="FFFFEB84"/>
        <color rgb="FF63BE7B"/>
      </colorScale>
    </cfRule>
  </conditionalFormatting>
  <conditionalFormatting sqref="F32">
    <cfRule type="colorScale" priority="5563">
      <colorScale>
        <cfvo type="min"/>
        <cfvo type="percentile" val="50"/>
        <cfvo type="max"/>
        <color rgb="FFF8696B"/>
        <color rgb="FFFFEB84"/>
        <color rgb="FF63BE7B"/>
      </colorScale>
    </cfRule>
  </conditionalFormatting>
  <conditionalFormatting sqref="F32">
    <cfRule type="colorScale" priority="5562">
      <colorScale>
        <cfvo type="min"/>
        <cfvo type="percentile" val="50"/>
        <cfvo type="max"/>
        <color rgb="FFF8696B"/>
        <color rgb="FFFFEB84"/>
        <color rgb="FF63BE7B"/>
      </colorScale>
    </cfRule>
  </conditionalFormatting>
  <conditionalFormatting sqref="F32">
    <cfRule type="colorScale" priority="5561">
      <colorScale>
        <cfvo type="min"/>
        <cfvo type="percentile" val="50"/>
        <cfvo type="max"/>
        <color rgb="FFF8696B"/>
        <color rgb="FFFFEB84"/>
        <color rgb="FF63BE7B"/>
      </colorScale>
    </cfRule>
  </conditionalFormatting>
  <conditionalFormatting sqref="F32">
    <cfRule type="colorScale" priority="5560">
      <colorScale>
        <cfvo type="min"/>
        <cfvo type="percentile" val="50"/>
        <cfvo type="max"/>
        <color rgb="FFF8696B"/>
        <color rgb="FFFFEB84"/>
        <color rgb="FF63BE7B"/>
      </colorScale>
    </cfRule>
  </conditionalFormatting>
  <conditionalFormatting sqref="F32">
    <cfRule type="colorScale" priority="5559">
      <colorScale>
        <cfvo type="min"/>
        <cfvo type="percentile" val="50"/>
        <cfvo type="max"/>
        <color rgb="FFF8696B"/>
        <color rgb="FFFFEB84"/>
        <color rgb="FF63BE7B"/>
      </colorScale>
    </cfRule>
  </conditionalFormatting>
  <conditionalFormatting sqref="F32">
    <cfRule type="colorScale" priority="5558">
      <colorScale>
        <cfvo type="min"/>
        <cfvo type="percentile" val="50"/>
        <cfvo type="max"/>
        <color rgb="FFF8696B"/>
        <color rgb="FFFFEB84"/>
        <color rgb="FF63BE7B"/>
      </colorScale>
    </cfRule>
  </conditionalFormatting>
  <conditionalFormatting sqref="F32">
    <cfRule type="colorScale" priority="5557">
      <colorScale>
        <cfvo type="min"/>
        <cfvo type="percentile" val="50"/>
        <cfvo type="max"/>
        <color rgb="FFF8696B"/>
        <color rgb="FFFFEB84"/>
        <color rgb="FF63BE7B"/>
      </colorScale>
    </cfRule>
  </conditionalFormatting>
  <conditionalFormatting sqref="F32">
    <cfRule type="colorScale" priority="5556">
      <colorScale>
        <cfvo type="min"/>
        <cfvo type="percentile" val="50"/>
        <cfvo type="max"/>
        <color rgb="FFF8696B"/>
        <color rgb="FFFFEB84"/>
        <color rgb="FF63BE7B"/>
      </colorScale>
    </cfRule>
  </conditionalFormatting>
  <conditionalFormatting sqref="F32">
    <cfRule type="colorScale" priority="5555">
      <colorScale>
        <cfvo type="min"/>
        <cfvo type="percentile" val="50"/>
        <cfvo type="max"/>
        <color rgb="FFF8696B"/>
        <color rgb="FFFFEB84"/>
        <color rgb="FF63BE7B"/>
      </colorScale>
    </cfRule>
  </conditionalFormatting>
  <conditionalFormatting sqref="F32">
    <cfRule type="colorScale" priority="5554">
      <colorScale>
        <cfvo type="min"/>
        <cfvo type="percentile" val="50"/>
        <cfvo type="max"/>
        <color rgb="FFF8696B"/>
        <color rgb="FFFFEB84"/>
        <color rgb="FF63BE7B"/>
      </colorScale>
    </cfRule>
  </conditionalFormatting>
  <conditionalFormatting sqref="F32">
    <cfRule type="colorScale" priority="5553">
      <colorScale>
        <cfvo type="min"/>
        <cfvo type="percentile" val="50"/>
        <cfvo type="max"/>
        <color rgb="FFF8696B"/>
        <color rgb="FFFFEB84"/>
        <color rgb="FF63BE7B"/>
      </colorScale>
    </cfRule>
  </conditionalFormatting>
  <conditionalFormatting sqref="F32">
    <cfRule type="colorScale" priority="5552">
      <colorScale>
        <cfvo type="min"/>
        <cfvo type="percentile" val="50"/>
        <cfvo type="max"/>
        <color rgb="FFF8696B"/>
        <color rgb="FFFFEB84"/>
        <color rgb="FF63BE7B"/>
      </colorScale>
    </cfRule>
  </conditionalFormatting>
  <conditionalFormatting sqref="F32">
    <cfRule type="colorScale" priority="5551">
      <colorScale>
        <cfvo type="min"/>
        <cfvo type="percentile" val="50"/>
        <cfvo type="max"/>
        <color rgb="FFF8696B"/>
        <color rgb="FFFFEB84"/>
        <color rgb="FF63BE7B"/>
      </colorScale>
    </cfRule>
  </conditionalFormatting>
  <conditionalFormatting sqref="F32">
    <cfRule type="colorScale" priority="5550">
      <colorScale>
        <cfvo type="min"/>
        <cfvo type="percentile" val="50"/>
        <cfvo type="max"/>
        <color rgb="FFF8696B"/>
        <color rgb="FFFFEB84"/>
        <color rgb="FF63BE7B"/>
      </colorScale>
    </cfRule>
  </conditionalFormatting>
  <conditionalFormatting sqref="F32">
    <cfRule type="colorScale" priority="5549">
      <colorScale>
        <cfvo type="min"/>
        <cfvo type="percentile" val="50"/>
        <cfvo type="max"/>
        <color rgb="FFF8696B"/>
        <color rgb="FFFFEB84"/>
        <color rgb="FF63BE7B"/>
      </colorScale>
    </cfRule>
  </conditionalFormatting>
  <conditionalFormatting sqref="F32">
    <cfRule type="colorScale" priority="5548">
      <colorScale>
        <cfvo type="min"/>
        <cfvo type="percentile" val="50"/>
        <cfvo type="max"/>
        <color rgb="FFF8696B"/>
        <color rgb="FFFFEB84"/>
        <color rgb="FF63BE7B"/>
      </colorScale>
    </cfRule>
  </conditionalFormatting>
  <conditionalFormatting sqref="F32">
    <cfRule type="colorScale" priority="5547">
      <colorScale>
        <cfvo type="min"/>
        <cfvo type="percentile" val="50"/>
        <cfvo type="max"/>
        <color rgb="FFF8696B"/>
        <color rgb="FFFFEB84"/>
        <color rgb="FF63BE7B"/>
      </colorScale>
    </cfRule>
  </conditionalFormatting>
  <conditionalFormatting sqref="F32">
    <cfRule type="colorScale" priority="5546">
      <colorScale>
        <cfvo type="min"/>
        <cfvo type="percentile" val="50"/>
        <cfvo type="max"/>
        <color rgb="FFF8696B"/>
        <color rgb="FFFFEB84"/>
        <color rgb="FF63BE7B"/>
      </colorScale>
    </cfRule>
  </conditionalFormatting>
  <conditionalFormatting sqref="F32">
    <cfRule type="colorScale" priority="5545">
      <colorScale>
        <cfvo type="min"/>
        <cfvo type="percentile" val="50"/>
        <cfvo type="max"/>
        <color rgb="FFF8696B"/>
        <color rgb="FFFFEB84"/>
        <color rgb="FF63BE7B"/>
      </colorScale>
    </cfRule>
  </conditionalFormatting>
  <conditionalFormatting sqref="F32">
    <cfRule type="colorScale" priority="5544">
      <colorScale>
        <cfvo type="min"/>
        <cfvo type="percentile" val="50"/>
        <cfvo type="max"/>
        <color rgb="FFF8696B"/>
        <color rgb="FFFFEB84"/>
        <color rgb="FF63BE7B"/>
      </colorScale>
    </cfRule>
  </conditionalFormatting>
  <conditionalFormatting sqref="F32">
    <cfRule type="colorScale" priority="5543">
      <colorScale>
        <cfvo type="min"/>
        <cfvo type="percentile" val="50"/>
        <cfvo type="max"/>
        <color rgb="FFF8696B"/>
        <color rgb="FFFFEB84"/>
        <color rgb="FF63BE7B"/>
      </colorScale>
    </cfRule>
  </conditionalFormatting>
  <conditionalFormatting sqref="F32">
    <cfRule type="colorScale" priority="5542">
      <colorScale>
        <cfvo type="min"/>
        <cfvo type="percentile" val="50"/>
        <cfvo type="max"/>
        <color rgb="FFF8696B"/>
        <color rgb="FFFFEB84"/>
        <color rgb="FF63BE7B"/>
      </colorScale>
    </cfRule>
  </conditionalFormatting>
  <conditionalFormatting sqref="F32">
    <cfRule type="colorScale" priority="5541">
      <colorScale>
        <cfvo type="min"/>
        <cfvo type="percentile" val="50"/>
        <cfvo type="max"/>
        <color rgb="FFF8696B"/>
        <color rgb="FFFFEB84"/>
        <color rgb="FF63BE7B"/>
      </colorScale>
    </cfRule>
  </conditionalFormatting>
  <conditionalFormatting sqref="F32">
    <cfRule type="colorScale" priority="5540">
      <colorScale>
        <cfvo type="min"/>
        <cfvo type="percentile" val="50"/>
        <cfvo type="max"/>
        <color rgb="FFF8696B"/>
        <color rgb="FFFFEB84"/>
        <color rgb="FF63BE7B"/>
      </colorScale>
    </cfRule>
  </conditionalFormatting>
  <conditionalFormatting sqref="F13:F20">
    <cfRule type="colorScale" priority="5539">
      <colorScale>
        <cfvo type="min"/>
        <cfvo type="percentile" val="50"/>
        <cfvo type="max"/>
        <color rgb="FFF8696B"/>
        <color rgb="FFFFEB84"/>
        <color rgb="FF63BE7B"/>
      </colorScale>
    </cfRule>
  </conditionalFormatting>
  <conditionalFormatting sqref="F13:F20">
    <cfRule type="colorScale" priority="5538">
      <colorScale>
        <cfvo type="min"/>
        <cfvo type="percentile" val="50"/>
        <cfvo type="max"/>
        <color rgb="FFF8696B"/>
        <color rgb="FFFFEB84"/>
        <color rgb="FF63BE7B"/>
      </colorScale>
    </cfRule>
  </conditionalFormatting>
  <conditionalFormatting sqref="F13:F20">
    <cfRule type="colorScale" priority="5537">
      <colorScale>
        <cfvo type="min"/>
        <cfvo type="percentile" val="50"/>
        <cfvo type="max"/>
        <color rgb="FFF8696B"/>
        <color rgb="FFFFEB84"/>
        <color rgb="FF63BE7B"/>
      </colorScale>
    </cfRule>
  </conditionalFormatting>
  <conditionalFormatting sqref="F13:F20">
    <cfRule type="colorScale" priority="5536">
      <colorScale>
        <cfvo type="min"/>
        <cfvo type="percentile" val="50"/>
        <cfvo type="max"/>
        <color rgb="FFF8696B"/>
        <color rgb="FFFFEB84"/>
        <color rgb="FF63BE7B"/>
      </colorScale>
    </cfRule>
  </conditionalFormatting>
  <conditionalFormatting sqref="F13:F20">
    <cfRule type="colorScale" priority="5535">
      <colorScale>
        <cfvo type="min"/>
        <cfvo type="percentile" val="50"/>
        <cfvo type="max"/>
        <color rgb="FFF8696B"/>
        <color rgb="FFFFEB84"/>
        <color rgb="FF63BE7B"/>
      </colorScale>
    </cfRule>
  </conditionalFormatting>
  <conditionalFormatting sqref="F13:F20">
    <cfRule type="colorScale" priority="5534">
      <colorScale>
        <cfvo type="min"/>
        <cfvo type="percentile" val="50"/>
        <cfvo type="max"/>
        <color rgb="FFF8696B"/>
        <color rgb="FFFFEB84"/>
        <color rgb="FF63BE7B"/>
      </colorScale>
    </cfRule>
  </conditionalFormatting>
  <conditionalFormatting sqref="F13:F20">
    <cfRule type="colorScale" priority="5533">
      <colorScale>
        <cfvo type="min"/>
        <cfvo type="percentile" val="50"/>
        <cfvo type="max"/>
        <color rgb="FFF8696B"/>
        <color rgb="FFFFEB84"/>
        <color rgb="FF63BE7B"/>
      </colorScale>
    </cfRule>
  </conditionalFormatting>
  <conditionalFormatting sqref="F13:F20">
    <cfRule type="colorScale" priority="5532">
      <colorScale>
        <cfvo type="min"/>
        <cfvo type="percentile" val="50"/>
        <cfvo type="max"/>
        <color rgb="FFF8696B"/>
        <color rgb="FFFFEB84"/>
        <color rgb="FF63BE7B"/>
      </colorScale>
    </cfRule>
  </conditionalFormatting>
  <conditionalFormatting sqref="F13:F20">
    <cfRule type="colorScale" priority="5531">
      <colorScale>
        <cfvo type="min"/>
        <cfvo type="percentile" val="50"/>
        <cfvo type="max"/>
        <color rgb="FFF8696B"/>
        <color rgb="FFFFEB84"/>
        <color rgb="FF63BE7B"/>
      </colorScale>
    </cfRule>
  </conditionalFormatting>
  <conditionalFormatting sqref="F13:F20">
    <cfRule type="colorScale" priority="5530">
      <colorScale>
        <cfvo type="min"/>
        <cfvo type="percentile" val="50"/>
        <cfvo type="max"/>
        <color rgb="FFF8696B"/>
        <color rgb="FFFFEB84"/>
        <color rgb="FF63BE7B"/>
      </colorScale>
    </cfRule>
  </conditionalFormatting>
  <conditionalFormatting sqref="F13:F20">
    <cfRule type="colorScale" priority="5529">
      <colorScale>
        <cfvo type="min"/>
        <cfvo type="percentile" val="50"/>
        <cfvo type="max"/>
        <color rgb="FFF8696B"/>
        <color rgb="FFFFEB84"/>
        <color rgb="FF63BE7B"/>
      </colorScale>
    </cfRule>
  </conditionalFormatting>
  <conditionalFormatting sqref="F13:F20">
    <cfRule type="colorScale" priority="5528">
      <colorScale>
        <cfvo type="min"/>
        <cfvo type="percentile" val="50"/>
        <cfvo type="max"/>
        <color rgb="FFF8696B"/>
        <color rgb="FFFFEB84"/>
        <color rgb="FF63BE7B"/>
      </colorScale>
    </cfRule>
  </conditionalFormatting>
  <conditionalFormatting sqref="F13:F20">
    <cfRule type="colorScale" priority="5527">
      <colorScale>
        <cfvo type="min"/>
        <cfvo type="percentile" val="50"/>
        <cfvo type="max"/>
        <color rgb="FFF8696B"/>
        <color rgb="FFFFEB84"/>
        <color rgb="FF63BE7B"/>
      </colorScale>
    </cfRule>
  </conditionalFormatting>
  <conditionalFormatting sqref="F13:F20">
    <cfRule type="colorScale" priority="5526">
      <colorScale>
        <cfvo type="min"/>
        <cfvo type="percentile" val="50"/>
        <cfvo type="max"/>
        <color rgb="FFF8696B"/>
        <color rgb="FFFFEB84"/>
        <color rgb="FF63BE7B"/>
      </colorScale>
    </cfRule>
  </conditionalFormatting>
  <conditionalFormatting sqref="F13:F20">
    <cfRule type="colorScale" priority="5525">
      <colorScale>
        <cfvo type="min"/>
        <cfvo type="percentile" val="50"/>
        <cfvo type="max"/>
        <color rgb="FFF8696B"/>
        <color rgb="FFFFEB84"/>
        <color rgb="FF63BE7B"/>
      </colorScale>
    </cfRule>
  </conditionalFormatting>
  <conditionalFormatting sqref="F13:F20">
    <cfRule type="colorScale" priority="5524">
      <colorScale>
        <cfvo type="min"/>
        <cfvo type="percentile" val="50"/>
        <cfvo type="max"/>
        <color rgb="FFF8696B"/>
        <color rgb="FFFFEB84"/>
        <color rgb="FF63BE7B"/>
      </colorScale>
    </cfRule>
  </conditionalFormatting>
  <conditionalFormatting sqref="F13:F20">
    <cfRule type="colorScale" priority="5523">
      <colorScale>
        <cfvo type="min"/>
        <cfvo type="percentile" val="50"/>
        <cfvo type="max"/>
        <color rgb="FFF8696B"/>
        <color rgb="FFFFEB84"/>
        <color rgb="FF63BE7B"/>
      </colorScale>
    </cfRule>
  </conditionalFormatting>
  <conditionalFormatting sqref="F13:F20">
    <cfRule type="colorScale" priority="5522">
      <colorScale>
        <cfvo type="min"/>
        <cfvo type="percentile" val="50"/>
        <cfvo type="max"/>
        <color rgb="FFF8696B"/>
        <color rgb="FFFFEB84"/>
        <color rgb="FF63BE7B"/>
      </colorScale>
    </cfRule>
  </conditionalFormatting>
  <conditionalFormatting sqref="F13:F20">
    <cfRule type="colorScale" priority="5521">
      <colorScale>
        <cfvo type="min"/>
        <cfvo type="percentile" val="50"/>
        <cfvo type="max"/>
        <color rgb="FFF8696B"/>
        <color rgb="FFFFEB84"/>
        <color rgb="FF63BE7B"/>
      </colorScale>
    </cfRule>
  </conditionalFormatting>
  <conditionalFormatting sqref="F13:F20">
    <cfRule type="colorScale" priority="5520">
      <colorScale>
        <cfvo type="min"/>
        <cfvo type="percentile" val="50"/>
        <cfvo type="max"/>
        <color rgb="FFF8696B"/>
        <color rgb="FFFFEB84"/>
        <color rgb="FF63BE7B"/>
      </colorScale>
    </cfRule>
  </conditionalFormatting>
  <conditionalFormatting sqref="F13:F20">
    <cfRule type="colorScale" priority="5519">
      <colorScale>
        <cfvo type="min"/>
        <cfvo type="percentile" val="50"/>
        <cfvo type="max"/>
        <color rgb="FFF8696B"/>
        <color rgb="FFFFEB84"/>
        <color rgb="FF63BE7B"/>
      </colorScale>
    </cfRule>
  </conditionalFormatting>
  <conditionalFormatting sqref="F13:F20">
    <cfRule type="colorScale" priority="5518">
      <colorScale>
        <cfvo type="min"/>
        <cfvo type="percentile" val="50"/>
        <cfvo type="max"/>
        <color rgb="FFF8696B"/>
        <color rgb="FFFFEB84"/>
        <color rgb="FF63BE7B"/>
      </colorScale>
    </cfRule>
  </conditionalFormatting>
  <conditionalFormatting sqref="F13:F20">
    <cfRule type="colorScale" priority="5517">
      <colorScale>
        <cfvo type="min"/>
        <cfvo type="percentile" val="50"/>
        <cfvo type="max"/>
        <color rgb="FFF8696B"/>
        <color rgb="FFFFEB84"/>
        <color rgb="FF63BE7B"/>
      </colorScale>
    </cfRule>
  </conditionalFormatting>
  <conditionalFormatting sqref="F13:F20">
    <cfRule type="colorScale" priority="5516">
      <colorScale>
        <cfvo type="min"/>
        <cfvo type="percentile" val="50"/>
        <cfvo type="max"/>
        <color rgb="FFF8696B"/>
        <color rgb="FFFFEB84"/>
        <color rgb="FF63BE7B"/>
      </colorScale>
    </cfRule>
  </conditionalFormatting>
  <conditionalFormatting sqref="F13:F20">
    <cfRule type="colorScale" priority="5515">
      <colorScale>
        <cfvo type="min"/>
        <cfvo type="percentile" val="50"/>
        <cfvo type="max"/>
        <color rgb="FFF8696B"/>
        <color rgb="FFFFEB84"/>
        <color rgb="FF63BE7B"/>
      </colorScale>
    </cfRule>
  </conditionalFormatting>
  <conditionalFormatting sqref="F13:F20">
    <cfRule type="colorScale" priority="5514">
      <colorScale>
        <cfvo type="min"/>
        <cfvo type="percentile" val="50"/>
        <cfvo type="max"/>
        <color rgb="FFF8696B"/>
        <color rgb="FFFFEB84"/>
        <color rgb="FF63BE7B"/>
      </colorScale>
    </cfRule>
  </conditionalFormatting>
  <conditionalFormatting sqref="F13:F20">
    <cfRule type="colorScale" priority="5513">
      <colorScale>
        <cfvo type="min"/>
        <cfvo type="percentile" val="50"/>
        <cfvo type="max"/>
        <color rgb="FFF8696B"/>
        <color rgb="FFFFEB84"/>
        <color rgb="FF63BE7B"/>
      </colorScale>
    </cfRule>
  </conditionalFormatting>
  <conditionalFormatting sqref="F13:F20">
    <cfRule type="colorScale" priority="5512">
      <colorScale>
        <cfvo type="min"/>
        <cfvo type="percentile" val="50"/>
        <cfvo type="max"/>
        <color rgb="FFF8696B"/>
        <color rgb="FFFFEB84"/>
        <color rgb="FF63BE7B"/>
      </colorScale>
    </cfRule>
  </conditionalFormatting>
  <conditionalFormatting sqref="F13:F20">
    <cfRule type="colorScale" priority="5511">
      <colorScale>
        <cfvo type="min"/>
        <cfvo type="percentile" val="50"/>
        <cfvo type="max"/>
        <color rgb="FFF8696B"/>
        <color rgb="FFFFEB84"/>
        <color rgb="FF63BE7B"/>
      </colorScale>
    </cfRule>
  </conditionalFormatting>
  <conditionalFormatting sqref="F13:F20">
    <cfRule type="colorScale" priority="5510">
      <colorScale>
        <cfvo type="min"/>
        <cfvo type="percentile" val="50"/>
        <cfvo type="max"/>
        <color rgb="FFF8696B"/>
        <color rgb="FFFFEB84"/>
        <color rgb="FF63BE7B"/>
      </colorScale>
    </cfRule>
  </conditionalFormatting>
  <conditionalFormatting sqref="F13:F20">
    <cfRule type="colorScale" priority="5509">
      <colorScale>
        <cfvo type="min"/>
        <cfvo type="percentile" val="50"/>
        <cfvo type="max"/>
        <color rgb="FFF8696B"/>
        <color rgb="FFFFEB84"/>
        <color rgb="FF63BE7B"/>
      </colorScale>
    </cfRule>
  </conditionalFormatting>
  <conditionalFormatting sqref="F13:F20">
    <cfRule type="colorScale" priority="5508">
      <colorScale>
        <cfvo type="min"/>
        <cfvo type="percentile" val="50"/>
        <cfvo type="max"/>
        <color rgb="FFF8696B"/>
        <color rgb="FFFFEB84"/>
        <color rgb="FF63BE7B"/>
      </colorScale>
    </cfRule>
  </conditionalFormatting>
  <conditionalFormatting sqref="F13:F20">
    <cfRule type="colorScale" priority="5507">
      <colorScale>
        <cfvo type="min"/>
        <cfvo type="percentile" val="50"/>
        <cfvo type="max"/>
        <color rgb="FFF8696B"/>
        <color rgb="FFFFEB84"/>
        <color rgb="FF63BE7B"/>
      </colorScale>
    </cfRule>
  </conditionalFormatting>
  <conditionalFormatting sqref="F13:F20">
    <cfRule type="colorScale" priority="5506">
      <colorScale>
        <cfvo type="min"/>
        <cfvo type="percentile" val="50"/>
        <cfvo type="max"/>
        <color rgb="FFF8696B"/>
        <color rgb="FFFFEB84"/>
        <color rgb="FF63BE7B"/>
      </colorScale>
    </cfRule>
  </conditionalFormatting>
  <conditionalFormatting sqref="F13:F20">
    <cfRule type="colorScale" priority="5505">
      <colorScale>
        <cfvo type="min"/>
        <cfvo type="percentile" val="50"/>
        <cfvo type="max"/>
        <color rgb="FFF8696B"/>
        <color rgb="FFFFEB84"/>
        <color rgb="FF63BE7B"/>
      </colorScale>
    </cfRule>
  </conditionalFormatting>
  <conditionalFormatting sqref="F13:F20">
    <cfRule type="colorScale" priority="5504">
      <colorScale>
        <cfvo type="min"/>
        <cfvo type="percentile" val="50"/>
        <cfvo type="max"/>
        <color rgb="FFF8696B"/>
        <color rgb="FFFFEB84"/>
        <color rgb="FF63BE7B"/>
      </colorScale>
    </cfRule>
  </conditionalFormatting>
  <conditionalFormatting sqref="F13:F20">
    <cfRule type="colorScale" priority="5503">
      <colorScale>
        <cfvo type="min"/>
        <cfvo type="percentile" val="50"/>
        <cfvo type="max"/>
        <color rgb="FFF8696B"/>
        <color rgb="FFFFEB84"/>
        <color rgb="FF63BE7B"/>
      </colorScale>
    </cfRule>
  </conditionalFormatting>
  <conditionalFormatting sqref="F13:F20">
    <cfRule type="colorScale" priority="5502">
      <colorScale>
        <cfvo type="min"/>
        <cfvo type="percentile" val="50"/>
        <cfvo type="max"/>
        <color rgb="FFF8696B"/>
        <color rgb="FFFFEB84"/>
        <color rgb="FF63BE7B"/>
      </colorScale>
    </cfRule>
  </conditionalFormatting>
  <conditionalFormatting sqref="F13:F20">
    <cfRule type="colorScale" priority="5501">
      <colorScale>
        <cfvo type="min"/>
        <cfvo type="percentile" val="50"/>
        <cfvo type="max"/>
        <color rgb="FFF8696B"/>
        <color rgb="FFFFEB84"/>
        <color rgb="FF63BE7B"/>
      </colorScale>
    </cfRule>
  </conditionalFormatting>
  <conditionalFormatting sqref="F13:F20">
    <cfRule type="colorScale" priority="5500">
      <colorScale>
        <cfvo type="min"/>
        <cfvo type="percentile" val="50"/>
        <cfvo type="max"/>
        <color rgb="FFF8696B"/>
        <color rgb="FFFFEB84"/>
        <color rgb="FF63BE7B"/>
      </colorScale>
    </cfRule>
  </conditionalFormatting>
  <conditionalFormatting sqref="F13:F20">
    <cfRule type="colorScale" priority="5499">
      <colorScale>
        <cfvo type="min"/>
        <cfvo type="percentile" val="50"/>
        <cfvo type="max"/>
        <color rgb="FFF8696B"/>
        <color rgb="FFFFEB84"/>
        <color rgb="FF63BE7B"/>
      </colorScale>
    </cfRule>
  </conditionalFormatting>
  <conditionalFormatting sqref="F13:F20">
    <cfRule type="colorScale" priority="5498">
      <colorScale>
        <cfvo type="min"/>
        <cfvo type="percentile" val="50"/>
        <cfvo type="max"/>
        <color rgb="FFF8696B"/>
        <color rgb="FFFFEB84"/>
        <color rgb="FF63BE7B"/>
      </colorScale>
    </cfRule>
  </conditionalFormatting>
  <conditionalFormatting sqref="F13:F20">
    <cfRule type="colorScale" priority="5497">
      <colorScale>
        <cfvo type="min"/>
        <cfvo type="percentile" val="50"/>
        <cfvo type="max"/>
        <color rgb="FFF8696B"/>
        <color rgb="FFFFEB84"/>
        <color rgb="FF63BE7B"/>
      </colorScale>
    </cfRule>
  </conditionalFormatting>
  <conditionalFormatting sqref="F13:F20">
    <cfRule type="colorScale" priority="5496">
      <colorScale>
        <cfvo type="min"/>
        <cfvo type="percentile" val="50"/>
        <cfvo type="max"/>
        <color rgb="FFF8696B"/>
        <color rgb="FFFFEB84"/>
        <color rgb="FF63BE7B"/>
      </colorScale>
    </cfRule>
  </conditionalFormatting>
  <conditionalFormatting sqref="F13:F20">
    <cfRule type="colorScale" priority="5495">
      <colorScale>
        <cfvo type="min"/>
        <cfvo type="percentile" val="50"/>
        <cfvo type="max"/>
        <color rgb="FFF8696B"/>
        <color rgb="FFFFEB84"/>
        <color rgb="FF63BE7B"/>
      </colorScale>
    </cfRule>
  </conditionalFormatting>
  <conditionalFormatting sqref="F13:F20">
    <cfRule type="colorScale" priority="5494">
      <colorScale>
        <cfvo type="min"/>
        <cfvo type="percentile" val="50"/>
        <cfvo type="max"/>
        <color rgb="FFF8696B"/>
        <color rgb="FFFFEB84"/>
        <color rgb="FF63BE7B"/>
      </colorScale>
    </cfRule>
  </conditionalFormatting>
  <conditionalFormatting sqref="F13:F20">
    <cfRule type="colorScale" priority="5493">
      <colorScale>
        <cfvo type="min"/>
        <cfvo type="percentile" val="50"/>
        <cfvo type="max"/>
        <color rgb="FFF8696B"/>
        <color rgb="FFFFEB84"/>
        <color rgb="FF63BE7B"/>
      </colorScale>
    </cfRule>
  </conditionalFormatting>
  <conditionalFormatting sqref="F13:F20">
    <cfRule type="colorScale" priority="5492">
      <colorScale>
        <cfvo type="min"/>
        <cfvo type="percentile" val="50"/>
        <cfvo type="max"/>
        <color rgb="FFF8696B"/>
        <color rgb="FFFFEB84"/>
        <color rgb="FF63BE7B"/>
      </colorScale>
    </cfRule>
  </conditionalFormatting>
  <conditionalFormatting sqref="F13:F20">
    <cfRule type="colorScale" priority="5491">
      <colorScale>
        <cfvo type="min"/>
        <cfvo type="percentile" val="50"/>
        <cfvo type="max"/>
        <color rgb="FFF8696B"/>
        <color rgb="FFFFEB84"/>
        <color rgb="FF63BE7B"/>
      </colorScale>
    </cfRule>
  </conditionalFormatting>
  <conditionalFormatting sqref="F13:F20">
    <cfRule type="colorScale" priority="5490">
      <colorScale>
        <cfvo type="min"/>
        <cfvo type="percentile" val="50"/>
        <cfvo type="max"/>
        <color rgb="FFF8696B"/>
        <color rgb="FFFFEB84"/>
        <color rgb="FF63BE7B"/>
      </colorScale>
    </cfRule>
  </conditionalFormatting>
  <conditionalFormatting sqref="F13:F20">
    <cfRule type="colorScale" priority="5489">
      <colorScale>
        <cfvo type="min"/>
        <cfvo type="percentile" val="50"/>
        <cfvo type="max"/>
        <color rgb="FFF8696B"/>
        <color rgb="FFFFEB84"/>
        <color rgb="FF63BE7B"/>
      </colorScale>
    </cfRule>
  </conditionalFormatting>
  <conditionalFormatting sqref="F13:F20">
    <cfRule type="colorScale" priority="5488">
      <colorScale>
        <cfvo type="min"/>
        <cfvo type="percentile" val="50"/>
        <cfvo type="max"/>
        <color rgb="FFF8696B"/>
        <color rgb="FFFFEB84"/>
        <color rgb="FF63BE7B"/>
      </colorScale>
    </cfRule>
  </conditionalFormatting>
  <conditionalFormatting sqref="F13:F20">
    <cfRule type="colorScale" priority="5487">
      <colorScale>
        <cfvo type="min"/>
        <cfvo type="percentile" val="50"/>
        <cfvo type="max"/>
        <color rgb="FFF8696B"/>
        <color rgb="FFFFEB84"/>
        <color rgb="FF63BE7B"/>
      </colorScale>
    </cfRule>
  </conditionalFormatting>
  <conditionalFormatting sqref="F13:F20">
    <cfRule type="colorScale" priority="5486">
      <colorScale>
        <cfvo type="min"/>
        <cfvo type="percentile" val="50"/>
        <cfvo type="max"/>
        <color rgb="FFF8696B"/>
        <color rgb="FFFFEB84"/>
        <color rgb="FF63BE7B"/>
      </colorScale>
    </cfRule>
  </conditionalFormatting>
  <conditionalFormatting sqref="F13:F20">
    <cfRule type="colorScale" priority="5485">
      <colorScale>
        <cfvo type="min"/>
        <cfvo type="percentile" val="50"/>
        <cfvo type="max"/>
        <color rgb="FFF8696B"/>
        <color rgb="FFFFEB84"/>
        <color rgb="FF63BE7B"/>
      </colorScale>
    </cfRule>
  </conditionalFormatting>
  <conditionalFormatting sqref="F13:F20">
    <cfRule type="colorScale" priority="5484">
      <colorScale>
        <cfvo type="min"/>
        <cfvo type="percentile" val="50"/>
        <cfvo type="max"/>
        <color rgb="FFF8696B"/>
        <color rgb="FFFFEB84"/>
        <color rgb="FF63BE7B"/>
      </colorScale>
    </cfRule>
  </conditionalFormatting>
  <conditionalFormatting sqref="F13:F20">
    <cfRule type="colorScale" priority="5483">
      <colorScale>
        <cfvo type="min"/>
        <cfvo type="percentile" val="50"/>
        <cfvo type="max"/>
        <color rgb="FFF8696B"/>
        <color rgb="FFFFEB84"/>
        <color rgb="FF63BE7B"/>
      </colorScale>
    </cfRule>
  </conditionalFormatting>
  <conditionalFormatting sqref="F13:F20">
    <cfRule type="colorScale" priority="5482">
      <colorScale>
        <cfvo type="min"/>
        <cfvo type="percentile" val="50"/>
        <cfvo type="max"/>
        <color rgb="FFF8696B"/>
        <color rgb="FFFFEB84"/>
        <color rgb="FF63BE7B"/>
      </colorScale>
    </cfRule>
  </conditionalFormatting>
  <conditionalFormatting sqref="F13:F20">
    <cfRule type="colorScale" priority="5481">
      <colorScale>
        <cfvo type="min"/>
        <cfvo type="percentile" val="50"/>
        <cfvo type="max"/>
        <color rgb="FFF8696B"/>
        <color rgb="FFFFEB84"/>
        <color rgb="FF63BE7B"/>
      </colorScale>
    </cfRule>
  </conditionalFormatting>
  <conditionalFormatting sqref="F13:F20">
    <cfRule type="colorScale" priority="5480">
      <colorScale>
        <cfvo type="min"/>
        <cfvo type="percentile" val="50"/>
        <cfvo type="max"/>
        <color rgb="FFF8696B"/>
        <color rgb="FFFFEB84"/>
        <color rgb="FF63BE7B"/>
      </colorScale>
    </cfRule>
  </conditionalFormatting>
  <conditionalFormatting sqref="F13:F20">
    <cfRule type="colorScale" priority="5479">
      <colorScale>
        <cfvo type="min"/>
        <cfvo type="percentile" val="50"/>
        <cfvo type="max"/>
        <color rgb="FFF8696B"/>
        <color rgb="FFFFEB84"/>
        <color rgb="FF63BE7B"/>
      </colorScale>
    </cfRule>
  </conditionalFormatting>
  <conditionalFormatting sqref="F13:F20">
    <cfRule type="colorScale" priority="5478">
      <colorScale>
        <cfvo type="min"/>
        <cfvo type="percentile" val="50"/>
        <cfvo type="max"/>
        <color rgb="FFF8696B"/>
        <color rgb="FFFFEB84"/>
        <color rgb="FF63BE7B"/>
      </colorScale>
    </cfRule>
  </conditionalFormatting>
  <conditionalFormatting sqref="F13:F20">
    <cfRule type="colorScale" priority="5477">
      <colorScale>
        <cfvo type="min"/>
        <cfvo type="percentile" val="50"/>
        <cfvo type="max"/>
        <color rgb="FFF8696B"/>
        <color rgb="FFFFEB84"/>
        <color rgb="FF63BE7B"/>
      </colorScale>
    </cfRule>
  </conditionalFormatting>
  <conditionalFormatting sqref="F13:F20">
    <cfRule type="colorScale" priority="5476">
      <colorScale>
        <cfvo type="min"/>
        <cfvo type="percentile" val="50"/>
        <cfvo type="max"/>
        <color rgb="FFF8696B"/>
        <color rgb="FFFFEB84"/>
        <color rgb="FF63BE7B"/>
      </colorScale>
    </cfRule>
  </conditionalFormatting>
  <conditionalFormatting sqref="F13:F20">
    <cfRule type="colorScale" priority="5475">
      <colorScale>
        <cfvo type="min"/>
        <cfvo type="percentile" val="50"/>
        <cfvo type="max"/>
        <color rgb="FFF8696B"/>
        <color rgb="FFFFEB84"/>
        <color rgb="FF63BE7B"/>
      </colorScale>
    </cfRule>
  </conditionalFormatting>
  <conditionalFormatting sqref="F13:F20">
    <cfRule type="colorScale" priority="5474">
      <colorScale>
        <cfvo type="min"/>
        <cfvo type="percentile" val="50"/>
        <cfvo type="max"/>
        <color rgb="FFF8696B"/>
        <color rgb="FFFFEB84"/>
        <color rgb="FF63BE7B"/>
      </colorScale>
    </cfRule>
  </conditionalFormatting>
  <conditionalFormatting sqref="F13:F20">
    <cfRule type="colorScale" priority="5473">
      <colorScale>
        <cfvo type="min"/>
        <cfvo type="percentile" val="50"/>
        <cfvo type="max"/>
        <color rgb="FFF8696B"/>
        <color rgb="FFFFEB84"/>
        <color rgb="FF63BE7B"/>
      </colorScale>
    </cfRule>
  </conditionalFormatting>
  <conditionalFormatting sqref="F13:F20">
    <cfRule type="colorScale" priority="5472">
      <colorScale>
        <cfvo type="min"/>
        <cfvo type="percentile" val="50"/>
        <cfvo type="max"/>
        <color rgb="FFF8696B"/>
        <color rgb="FFFFEB84"/>
        <color rgb="FF63BE7B"/>
      </colorScale>
    </cfRule>
  </conditionalFormatting>
  <conditionalFormatting sqref="F13:F20">
    <cfRule type="colorScale" priority="5471">
      <colorScale>
        <cfvo type="min"/>
        <cfvo type="percentile" val="50"/>
        <cfvo type="max"/>
        <color rgb="FFF8696B"/>
        <color rgb="FFFFEB84"/>
        <color rgb="FF63BE7B"/>
      </colorScale>
    </cfRule>
  </conditionalFormatting>
  <conditionalFormatting sqref="F13:F20">
    <cfRule type="colorScale" priority="5470">
      <colorScale>
        <cfvo type="min"/>
        <cfvo type="percentile" val="50"/>
        <cfvo type="max"/>
        <color rgb="FFF8696B"/>
        <color rgb="FFFFEB84"/>
        <color rgb="FF63BE7B"/>
      </colorScale>
    </cfRule>
  </conditionalFormatting>
  <conditionalFormatting sqref="F13:F20">
    <cfRule type="colorScale" priority="5469">
      <colorScale>
        <cfvo type="min"/>
        <cfvo type="percentile" val="50"/>
        <cfvo type="max"/>
        <color rgb="FFF8696B"/>
        <color rgb="FFFFEB84"/>
        <color rgb="FF63BE7B"/>
      </colorScale>
    </cfRule>
  </conditionalFormatting>
  <conditionalFormatting sqref="F13:F20">
    <cfRule type="colorScale" priority="5468">
      <colorScale>
        <cfvo type="min"/>
        <cfvo type="percentile" val="50"/>
        <cfvo type="max"/>
        <color rgb="FFF8696B"/>
        <color rgb="FFFFEB84"/>
        <color rgb="FF63BE7B"/>
      </colorScale>
    </cfRule>
  </conditionalFormatting>
  <conditionalFormatting sqref="F13:F20">
    <cfRule type="colorScale" priority="5467">
      <colorScale>
        <cfvo type="min"/>
        <cfvo type="percentile" val="50"/>
        <cfvo type="max"/>
        <color rgb="FFF8696B"/>
        <color rgb="FFFFEB84"/>
        <color rgb="FF63BE7B"/>
      </colorScale>
    </cfRule>
  </conditionalFormatting>
  <conditionalFormatting sqref="F13:F20">
    <cfRule type="colorScale" priority="5466">
      <colorScale>
        <cfvo type="min"/>
        <cfvo type="percentile" val="50"/>
        <cfvo type="max"/>
        <color rgb="FFF8696B"/>
        <color rgb="FFFFEB84"/>
        <color rgb="FF63BE7B"/>
      </colorScale>
    </cfRule>
  </conditionalFormatting>
  <conditionalFormatting sqref="F13:F20">
    <cfRule type="colorScale" priority="5465">
      <colorScale>
        <cfvo type="min"/>
        <cfvo type="percentile" val="50"/>
        <cfvo type="max"/>
        <color rgb="FFF8696B"/>
        <color rgb="FFFFEB84"/>
        <color rgb="FF63BE7B"/>
      </colorScale>
    </cfRule>
  </conditionalFormatting>
  <conditionalFormatting sqref="F13:F20">
    <cfRule type="colorScale" priority="5464">
      <colorScale>
        <cfvo type="min"/>
        <cfvo type="percentile" val="50"/>
        <cfvo type="max"/>
        <color rgb="FFF8696B"/>
        <color rgb="FFFFEB84"/>
        <color rgb="FF63BE7B"/>
      </colorScale>
    </cfRule>
  </conditionalFormatting>
  <conditionalFormatting sqref="F13:F20">
    <cfRule type="colorScale" priority="5463">
      <colorScale>
        <cfvo type="min"/>
        <cfvo type="percentile" val="50"/>
        <cfvo type="max"/>
        <color rgb="FFF8696B"/>
        <color rgb="FFFFEB84"/>
        <color rgb="FF63BE7B"/>
      </colorScale>
    </cfRule>
  </conditionalFormatting>
  <conditionalFormatting sqref="F13:F20">
    <cfRule type="colorScale" priority="5462">
      <colorScale>
        <cfvo type="min"/>
        <cfvo type="percentile" val="50"/>
        <cfvo type="max"/>
        <color rgb="FFF8696B"/>
        <color rgb="FFFFEB84"/>
        <color rgb="FF63BE7B"/>
      </colorScale>
    </cfRule>
  </conditionalFormatting>
  <conditionalFormatting sqref="F13:F20">
    <cfRule type="colorScale" priority="5461">
      <colorScale>
        <cfvo type="min"/>
        <cfvo type="percentile" val="50"/>
        <cfvo type="max"/>
        <color rgb="FFF8696B"/>
        <color rgb="FFFFEB84"/>
        <color rgb="FF63BE7B"/>
      </colorScale>
    </cfRule>
  </conditionalFormatting>
  <conditionalFormatting sqref="F13:F20">
    <cfRule type="colorScale" priority="5460">
      <colorScale>
        <cfvo type="min"/>
        <cfvo type="percentile" val="50"/>
        <cfvo type="max"/>
        <color rgb="FFF8696B"/>
        <color rgb="FFFFEB84"/>
        <color rgb="FF63BE7B"/>
      </colorScale>
    </cfRule>
  </conditionalFormatting>
  <conditionalFormatting sqref="F13:F20">
    <cfRule type="colorScale" priority="5459">
      <colorScale>
        <cfvo type="min"/>
        <cfvo type="percentile" val="50"/>
        <cfvo type="max"/>
        <color rgb="FFF8696B"/>
        <color rgb="FFFFEB84"/>
        <color rgb="FF63BE7B"/>
      </colorScale>
    </cfRule>
  </conditionalFormatting>
  <conditionalFormatting sqref="F13:F20">
    <cfRule type="colorScale" priority="5458">
      <colorScale>
        <cfvo type="min"/>
        <cfvo type="percentile" val="50"/>
        <cfvo type="max"/>
        <color rgb="FFF8696B"/>
        <color rgb="FFFFEB84"/>
        <color rgb="FF63BE7B"/>
      </colorScale>
    </cfRule>
  </conditionalFormatting>
  <conditionalFormatting sqref="F13:F20">
    <cfRule type="colorScale" priority="5457">
      <colorScale>
        <cfvo type="min"/>
        <cfvo type="percentile" val="50"/>
        <cfvo type="max"/>
        <color rgb="FFF8696B"/>
        <color rgb="FFFFEB84"/>
        <color rgb="FF63BE7B"/>
      </colorScale>
    </cfRule>
  </conditionalFormatting>
  <conditionalFormatting sqref="F13:F20">
    <cfRule type="colorScale" priority="5456">
      <colorScale>
        <cfvo type="min"/>
        <cfvo type="percentile" val="50"/>
        <cfvo type="max"/>
        <color rgb="FFF8696B"/>
        <color rgb="FFFFEB84"/>
        <color rgb="FF63BE7B"/>
      </colorScale>
    </cfRule>
  </conditionalFormatting>
  <conditionalFormatting sqref="F13:F20">
    <cfRule type="colorScale" priority="5455">
      <colorScale>
        <cfvo type="min"/>
        <cfvo type="percentile" val="50"/>
        <cfvo type="max"/>
        <color rgb="FFF8696B"/>
        <color rgb="FFFFEB84"/>
        <color rgb="FF63BE7B"/>
      </colorScale>
    </cfRule>
  </conditionalFormatting>
  <conditionalFormatting sqref="F13:F20">
    <cfRule type="colorScale" priority="5454">
      <colorScale>
        <cfvo type="min"/>
        <cfvo type="percentile" val="50"/>
        <cfvo type="max"/>
        <color rgb="FFF8696B"/>
        <color rgb="FFFFEB84"/>
        <color rgb="FF63BE7B"/>
      </colorScale>
    </cfRule>
  </conditionalFormatting>
  <conditionalFormatting sqref="F13:F20">
    <cfRule type="colorScale" priority="5453">
      <colorScale>
        <cfvo type="min"/>
        <cfvo type="percentile" val="50"/>
        <cfvo type="max"/>
        <color rgb="FFF8696B"/>
        <color rgb="FFFFEB84"/>
        <color rgb="FF63BE7B"/>
      </colorScale>
    </cfRule>
  </conditionalFormatting>
  <conditionalFormatting sqref="F13:F20">
    <cfRule type="colorScale" priority="5452">
      <colorScale>
        <cfvo type="min"/>
        <cfvo type="percentile" val="50"/>
        <cfvo type="max"/>
        <color rgb="FFF8696B"/>
        <color rgb="FFFFEB84"/>
        <color rgb="FF63BE7B"/>
      </colorScale>
    </cfRule>
  </conditionalFormatting>
  <conditionalFormatting sqref="F13:F20">
    <cfRule type="colorScale" priority="5451">
      <colorScale>
        <cfvo type="min"/>
        <cfvo type="percentile" val="50"/>
        <cfvo type="max"/>
        <color rgb="FFF8696B"/>
        <color rgb="FFFFEB84"/>
        <color rgb="FF63BE7B"/>
      </colorScale>
    </cfRule>
  </conditionalFormatting>
  <conditionalFormatting sqref="F13:F20">
    <cfRule type="colorScale" priority="5450">
      <colorScale>
        <cfvo type="min"/>
        <cfvo type="percentile" val="50"/>
        <cfvo type="max"/>
        <color rgb="FFF8696B"/>
        <color rgb="FFFFEB84"/>
        <color rgb="FF63BE7B"/>
      </colorScale>
    </cfRule>
  </conditionalFormatting>
  <conditionalFormatting sqref="F13:F20">
    <cfRule type="colorScale" priority="5449">
      <colorScale>
        <cfvo type="min"/>
        <cfvo type="percentile" val="50"/>
        <cfvo type="max"/>
        <color rgb="FFF8696B"/>
        <color rgb="FFFFEB84"/>
        <color rgb="FF63BE7B"/>
      </colorScale>
    </cfRule>
  </conditionalFormatting>
  <conditionalFormatting sqref="F13:F20">
    <cfRule type="colorScale" priority="5448">
      <colorScale>
        <cfvo type="min"/>
        <cfvo type="percentile" val="50"/>
        <cfvo type="max"/>
        <color rgb="FFF8696B"/>
        <color rgb="FFFFEB84"/>
        <color rgb="FF63BE7B"/>
      </colorScale>
    </cfRule>
  </conditionalFormatting>
  <conditionalFormatting sqref="F13:F20">
    <cfRule type="colorScale" priority="5447">
      <colorScale>
        <cfvo type="min"/>
        <cfvo type="percentile" val="50"/>
        <cfvo type="max"/>
        <color rgb="FFF8696B"/>
        <color rgb="FFFFEB84"/>
        <color rgb="FF63BE7B"/>
      </colorScale>
    </cfRule>
  </conditionalFormatting>
  <conditionalFormatting sqref="F13:F20">
    <cfRule type="colorScale" priority="5446">
      <colorScale>
        <cfvo type="min"/>
        <cfvo type="percentile" val="50"/>
        <cfvo type="max"/>
        <color rgb="FFF8696B"/>
        <color rgb="FFFFEB84"/>
        <color rgb="FF63BE7B"/>
      </colorScale>
    </cfRule>
  </conditionalFormatting>
  <conditionalFormatting sqref="F13:F20">
    <cfRule type="colorScale" priority="5445">
      <colorScale>
        <cfvo type="min"/>
        <cfvo type="percentile" val="50"/>
        <cfvo type="max"/>
        <color rgb="FFF8696B"/>
        <color rgb="FFFFEB84"/>
        <color rgb="FF63BE7B"/>
      </colorScale>
    </cfRule>
  </conditionalFormatting>
  <conditionalFormatting sqref="F13:F20">
    <cfRule type="colorScale" priority="5444">
      <colorScale>
        <cfvo type="min"/>
        <cfvo type="percentile" val="50"/>
        <cfvo type="max"/>
        <color rgb="FFF8696B"/>
        <color rgb="FFFFEB84"/>
        <color rgb="FF63BE7B"/>
      </colorScale>
    </cfRule>
  </conditionalFormatting>
  <conditionalFormatting sqref="F13:F20">
    <cfRule type="colorScale" priority="5443">
      <colorScale>
        <cfvo type="min"/>
        <cfvo type="percentile" val="50"/>
        <cfvo type="max"/>
        <color rgb="FFF8696B"/>
        <color rgb="FFFFEB84"/>
        <color rgb="FF63BE7B"/>
      </colorScale>
    </cfRule>
  </conditionalFormatting>
  <conditionalFormatting sqref="F13:F20">
    <cfRule type="colorScale" priority="5442">
      <colorScale>
        <cfvo type="min"/>
        <cfvo type="percentile" val="50"/>
        <cfvo type="max"/>
        <color rgb="FFF8696B"/>
        <color rgb="FFFFEB84"/>
        <color rgb="FF63BE7B"/>
      </colorScale>
    </cfRule>
  </conditionalFormatting>
  <conditionalFormatting sqref="F13:F20">
    <cfRule type="colorScale" priority="5441">
      <colorScale>
        <cfvo type="min"/>
        <cfvo type="percentile" val="50"/>
        <cfvo type="max"/>
        <color rgb="FFF8696B"/>
        <color rgb="FFFFEB84"/>
        <color rgb="FF63BE7B"/>
      </colorScale>
    </cfRule>
  </conditionalFormatting>
  <conditionalFormatting sqref="F13:F20">
    <cfRule type="colorScale" priority="5440">
      <colorScale>
        <cfvo type="min"/>
        <cfvo type="percentile" val="50"/>
        <cfvo type="max"/>
        <color rgb="FFF8696B"/>
        <color rgb="FFFFEB84"/>
        <color rgb="FF63BE7B"/>
      </colorScale>
    </cfRule>
  </conditionalFormatting>
  <conditionalFormatting sqref="F13:F20">
    <cfRule type="colorScale" priority="5439">
      <colorScale>
        <cfvo type="min"/>
        <cfvo type="percentile" val="50"/>
        <cfvo type="max"/>
        <color rgb="FFF8696B"/>
        <color rgb="FFFFEB84"/>
        <color rgb="FF63BE7B"/>
      </colorScale>
    </cfRule>
  </conditionalFormatting>
  <conditionalFormatting sqref="F13:F20">
    <cfRule type="colorScale" priority="5438">
      <colorScale>
        <cfvo type="min"/>
        <cfvo type="percentile" val="50"/>
        <cfvo type="max"/>
        <color rgb="FFF8696B"/>
        <color rgb="FFFFEB84"/>
        <color rgb="FF63BE7B"/>
      </colorScale>
    </cfRule>
  </conditionalFormatting>
  <conditionalFormatting sqref="F13:F20">
    <cfRule type="colorScale" priority="5437">
      <colorScale>
        <cfvo type="min"/>
        <cfvo type="percentile" val="50"/>
        <cfvo type="max"/>
        <color rgb="FFF8696B"/>
        <color rgb="FFFFEB84"/>
        <color rgb="FF63BE7B"/>
      </colorScale>
    </cfRule>
  </conditionalFormatting>
  <conditionalFormatting sqref="F13:F20">
    <cfRule type="colorScale" priority="5436">
      <colorScale>
        <cfvo type="min"/>
        <cfvo type="percentile" val="50"/>
        <cfvo type="max"/>
        <color rgb="FFF8696B"/>
        <color rgb="FFFFEB84"/>
        <color rgb="FF63BE7B"/>
      </colorScale>
    </cfRule>
  </conditionalFormatting>
  <conditionalFormatting sqref="F13:F20">
    <cfRule type="colorScale" priority="5435">
      <colorScale>
        <cfvo type="min"/>
        <cfvo type="percentile" val="50"/>
        <cfvo type="max"/>
        <color rgb="FFF8696B"/>
        <color rgb="FFFFEB84"/>
        <color rgb="FF63BE7B"/>
      </colorScale>
    </cfRule>
  </conditionalFormatting>
  <conditionalFormatting sqref="F13:F20">
    <cfRule type="colorScale" priority="5434">
      <colorScale>
        <cfvo type="min"/>
        <cfvo type="percentile" val="50"/>
        <cfvo type="max"/>
        <color rgb="FFF8696B"/>
        <color rgb="FFFFEB84"/>
        <color rgb="FF63BE7B"/>
      </colorScale>
    </cfRule>
  </conditionalFormatting>
  <conditionalFormatting sqref="F13:F20">
    <cfRule type="colorScale" priority="5433">
      <colorScale>
        <cfvo type="min"/>
        <cfvo type="percentile" val="50"/>
        <cfvo type="max"/>
        <color rgb="FFF8696B"/>
        <color rgb="FFFFEB84"/>
        <color rgb="FF63BE7B"/>
      </colorScale>
    </cfRule>
  </conditionalFormatting>
  <conditionalFormatting sqref="F13:F20">
    <cfRule type="colorScale" priority="5432">
      <colorScale>
        <cfvo type="min"/>
        <cfvo type="percentile" val="50"/>
        <cfvo type="max"/>
        <color rgb="FFF8696B"/>
        <color rgb="FFFFEB84"/>
        <color rgb="FF63BE7B"/>
      </colorScale>
    </cfRule>
  </conditionalFormatting>
  <conditionalFormatting sqref="F13:F20">
    <cfRule type="colorScale" priority="5431">
      <colorScale>
        <cfvo type="min"/>
        <cfvo type="percentile" val="50"/>
        <cfvo type="max"/>
        <color rgb="FFF8696B"/>
        <color rgb="FFFFEB84"/>
        <color rgb="FF63BE7B"/>
      </colorScale>
    </cfRule>
  </conditionalFormatting>
  <conditionalFormatting sqref="F13:F20">
    <cfRule type="colorScale" priority="5430">
      <colorScale>
        <cfvo type="min"/>
        <cfvo type="percentile" val="50"/>
        <cfvo type="max"/>
        <color rgb="FFF8696B"/>
        <color rgb="FFFFEB84"/>
        <color rgb="FF63BE7B"/>
      </colorScale>
    </cfRule>
  </conditionalFormatting>
  <conditionalFormatting sqref="F13:F20">
    <cfRule type="colorScale" priority="5429">
      <colorScale>
        <cfvo type="min"/>
        <cfvo type="percentile" val="50"/>
        <cfvo type="max"/>
        <color rgb="FFF8696B"/>
        <color rgb="FFFFEB84"/>
        <color rgb="FF63BE7B"/>
      </colorScale>
    </cfRule>
  </conditionalFormatting>
  <conditionalFormatting sqref="F13:F20">
    <cfRule type="colorScale" priority="5428">
      <colorScale>
        <cfvo type="min"/>
        <cfvo type="percentile" val="50"/>
        <cfvo type="max"/>
        <color rgb="FFF8696B"/>
        <color rgb="FFFFEB84"/>
        <color rgb="FF63BE7B"/>
      </colorScale>
    </cfRule>
  </conditionalFormatting>
  <conditionalFormatting sqref="F13:F20">
    <cfRule type="colorScale" priority="5427">
      <colorScale>
        <cfvo type="min"/>
        <cfvo type="percentile" val="50"/>
        <cfvo type="max"/>
        <color rgb="FFF8696B"/>
        <color rgb="FFFFEB84"/>
        <color rgb="FF63BE7B"/>
      </colorScale>
    </cfRule>
  </conditionalFormatting>
  <conditionalFormatting sqref="F13:F20">
    <cfRule type="colorScale" priority="5426">
      <colorScale>
        <cfvo type="min"/>
        <cfvo type="percentile" val="50"/>
        <cfvo type="max"/>
        <color rgb="FFF8696B"/>
        <color rgb="FFFFEB84"/>
        <color rgb="FF63BE7B"/>
      </colorScale>
    </cfRule>
  </conditionalFormatting>
  <conditionalFormatting sqref="F13:F20">
    <cfRule type="colorScale" priority="5425">
      <colorScale>
        <cfvo type="min"/>
        <cfvo type="percentile" val="50"/>
        <cfvo type="max"/>
        <color rgb="FFF8696B"/>
        <color rgb="FFFFEB84"/>
        <color rgb="FF63BE7B"/>
      </colorScale>
    </cfRule>
  </conditionalFormatting>
  <conditionalFormatting sqref="F13:F20">
    <cfRule type="colorScale" priority="5424">
      <colorScale>
        <cfvo type="min"/>
        <cfvo type="percentile" val="50"/>
        <cfvo type="max"/>
        <color rgb="FFF8696B"/>
        <color rgb="FFFFEB84"/>
        <color rgb="FF63BE7B"/>
      </colorScale>
    </cfRule>
  </conditionalFormatting>
  <conditionalFormatting sqref="F13:F20">
    <cfRule type="colorScale" priority="5423">
      <colorScale>
        <cfvo type="min"/>
        <cfvo type="percentile" val="50"/>
        <cfvo type="max"/>
        <color rgb="FFF8696B"/>
        <color rgb="FFFFEB84"/>
        <color rgb="FF63BE7B"/>
      </colorScale>
    </cfRule>
  </conditionalFormatting>
  <conditionalFormatting sqref="F13:F20">
    <cfRule type="colorScale" priority="5422">
      <colorScale>
        <cfvo type="min"/>
        <cfvo type="percentile" val="50"/>
        <cfvo type="max"/>
        <color rgb="FFF8696B"/>
        <color rgb="FFFFEB84"/>
        <color rgb="FF63BE7B"/>
      </colorScale>
    </cfRule>
  </conditionalFormatting>
  <conditionalFormatting sqref="F13:F20">
    <cfRule type="colorScale" priority="5421">
      <colorScale>
        <cfvo type="min"/>
        <cfvo type="percentile" val="50"/>
        <cfvo type="max"/>
        <color rgb="FFF8696B"/>
        <color rgb="FFFFEB84"/>
        <color rgb="FF63BE7B"/>
      </colorScale>
    </cfRule>
  </conditionalFormatting>
  <conditionalFormatting sqref="F13:F20">
    <cfRule type="colorScale" priority="5420">
      <colorScale>
        <cfvo type="min"/>
        <cfvo type="percentile" val="50"/>
        <cfvo type="max"/>
        <color rgb="FFF8696B"/>
        <color rgb="FFFFEB84"/>
        <color rgb="FF63BE7B"/>
      </colorScale>
    </cfRule>
  </conditionalFormatting>
  <conditionalFormatting sqref="F13:F20">
    <cfRule type="colorScale" priority="5419">
      <colorScale>
        <cfvo type="min"/>
        <cfvo type="percentile" val="50"/>
        <cfvo type="max"/>
        <color rgb="FFF8696B"/>
        <color rgb="FFFFEB84"/>
        <color rgb="FF63BE7B"/>
      </colorScale>
    </cfRule>
  </conditionalFormatting>
  <conditionalFormatting sqref="F13:F20">
    <cfRule type="colorScale" priority="5418">
      <colorScale>
        <cfvo type="min"/>
        <cfvo type="percentile" val="50"/>
        <cfvo type="max"/>
        <color rgb="FFF8696B"/>
        <color rgb="FFFFEB84"/>
        <color rgb="FF63BE7B"/>
      </colorScale>
    </cfRule>
  </conditionalFormatting>
  <conditionalFormatting sqref="F13:F20">
    <cfRule type="colorScale" priority="5417">
      <colorScale>
        <cfvo type="min"/>
        <cfvo type="percentile" val="50"/>
        <cfvo type="max"/>
        <color rgb="FFF8696B"/>
        <color rgb="FFFFEB84"/>
        <color rgb="FF63BE7B"/>
      </colorScale>
    </cfRule>
  </conditionalFormatting>
  <conditionalFormatting sqref="F13:F20">
    <cfRule type="colorScale" priority="5416">
      <colorScale>
        <cfvo type="min"/>
        <cfvo type="percentile" val="50"/>
        <cfvo type="max"/>
        <color rgb="FFF8696B"/>
        <color rgb="FFFFEB84"/>
        <color rgb="FF63BE7B"/>
      </colorScale>
    </cfRule>
  </conditionalFormatting>
  <conditionalFormatting sqref="F13:F20">
    <cfRule type="colorScale" priority="5415">
      <colorScale>
        <cfvo type="min"/>
        <cfvo type="percentile" val="50"/>
        <cfvo type="max"/>
        <color rgb="FFF8696B"/>
        <color rgb="FFFFEB84"/>
        <color rgb="FF63BE7B"/>
      </colorScale>
    </cfRule>
  </conditionalFormatting>
  <conditionalFormatting sqref="F13:F20">
    <cfRule type="colorScale" priority="5414">
      <colorScale>
        <cfvo type="min"/>
        <cfvo type="percentile" val="50"/>
        <cfvo type="max"/>
        <color rgb="FFF8696B"/>
        <color rgb="FFFFEB84"/>
        <color rgb="FF63BE7B"/>
      </colorScale>
    </cfRule>
  </conditionalFormatting>
  <conditionalFormatting sqref="F13:F20">
    <cfRule type="colorScale" priority="5413">
      <colorScale>
        <cfvo type="min"/>
        <cfvo type="percentile" val="50"/>
        <cfvo type="max"/>
        <color rgb="FFF8696B"/>
        <color rgb="FFFFEB84"/>
        <color rgb="FF63BE7B"/>
      </colorScale>
    </cfRule>
  </conditionalFormatting>
  <conditionalFormatting sqref="F13:F20">
    <cfRule type="colorScale" priority="5412">
      <colorScale>
        <cfvo type="min"/>
        <cfvo type="percentile" val="50"/>
        <cfvo type="max"/>
        <color rgb="FFF8696B"/>
        <color rgb="FFFFEB84"/>
        <color rgb="FF63BE7B"/>
      </colorScale>
    </cfRule>
  </conditionalFormatting>
  <conditionalFormatting sqref="F13:F20">
    <cfRule type="colorScale" priority="5411">
      <colorScale>
        <cfvo type="min"/>
        <cfvo type="percentile" val="50"/>
        <cfvo type="max"/>
        <color rgb="FFF8696B"/>
        <color rgb="FFFFEB84"/>
        <color rgb="FF63BE7B"/>
      </colorScale>
    </cfRule>
  </conditionalFormatting>
  <conditionalFormatting sqref="F13:F20">
    <cfRule type="colorScale" priority="5410">
      <colorScale>
        <cfvo type="min"/>
        <cfvo type="percentile" val="50"/>
        <cfvo type="max"/>
        <color rgb="FFF8696B"/>
        <color rgb="FFFFEB84"/>
        <color rgb="FF63BE7B"/>
      </colorScale>
    </cfRule>
  </conditionalFormatting>
  <conditionalFormatting sqref="F13:F20">
    <cfRule type="colorScale" priority="5409">
      <colorScale>
        <cfvo type="min"/>
        <cfvo type="percentile" val="50"/>
        <cfvo type="max"/>
        <color rgb="FFF8696B"/>
        <color rgb="FFFFEB84"/>
        <color rgb="FF63BE7B"/>
      </colorScale>
    </cfRule>
  </conditionalFormatting>
  <conditionalFormatting sqref="F13:F20">
    <cfRule type="colorScale" priority="5408">
      <colorScale>
        <cfvo type="min"/>
        <cfvo type="percentile" val="50"/>
        <cfvo type="max"/>
        <color rgb="FFF8696B"/>
        <color rgb="FFFFEB84"/>
        <color rgb="FF63BE7B"/>
      </colorScale>
    </cfRule>
  </conditionalFormatting>
  <conditionalFormatting sqref="F13:F20">
    <cfRule type="colorScale" priority="5407">
      <colorScale>
        <cfvo type="min"/>
        <cfvo type="percentile" val="50"/>
        <cfvo type="max"/>
        <color rgb="FFF8696B"/>
        <color rgb="FFFFEB84"/>
        <color rgb="FF63BE7B"/>
      </colorScale>
    </cfRule>
  </conditionalFormatting>
  <conditionalFormatting sqref="F13:F20">
    <cfRule type="colorScale" priority="5406">
      <colorScale>
        <cfvo type="min"/>
        <cfvo type="percentile" val="50"/>
        <cfvo type="max"/>
        <color rgb="FFF8696B"/>
        <color rgb="FFFFEB84"/>
        <color rgb="FF63BE7B"/>
      </colorScale>
    </cfRule>
  </conditionalFormatting>
  <conditionalFormatting sqref="F13:F20">
    <cfRule type="colorScale" priority="5405">
      <colorScale>
        <cfvo type="min"/>
        <cfvo type="percentile" val="50"/>
        <cfvo type="max"/>
        <color rgb="FFF8696B"/>
        <color rgb="FFFFEB84"/>
        <color rgb="FF63BE7B"/>
      </colorScale>
    </cfRule>
  </conditionalFormatting>
  <conditionalFormatting sqref="F13:F20">
    <cfRule type="colorScale" priority="5404">
      <colorScale>
        <cfvo type="min"/>
        <cfvo type="percentile" val="50"/>
        <cfvo type="max"/>
        <color rgb="FFF8696B"/>
        <color rgb="FFFFEB84"/>
        <color rgb="FF63BE7B"/>
      </colorScale>
    </cfRule>
  </conditionalFormatting>
  <conditionalFormatting sqref="F13:F20">
    <cfRule type="colorScale" priority="5403">
      <colorScale>
        <cfvo type="min"/>
        <cfvo type="percentile" val="50"/>
        <cfvo type="max"/>
        <color rgb="FFF8696B"/>
        <color rgb="FFFFEB84"/>
        <color rgb="FF63BE7B"/>
      </colorScale>
    </cfRule>
  </conditionalFormatting>
  <conditionalFormatting sqref="F13:F20">
    <cfRule type="colorScale" priority="5402">
      <colorScale>
        <cfvo type="min"/>
        <cfvo type="percentile" val="50"/>
        <cfvo type="max"/>
        <color rgb="FFF8696B"/>
        <color rgb="FFFFEB84"/>
        <color rgb="FF63BE7B"/>
      </colorScale>
    </cfRule>
  </conditionalFormatting>
  <conditionalFormatting sqref="F13:F20">
    <cfRule type="colorScale" priority="5401">
      <colorScale>
        <cfvo type="min"/>
        <cfvo type="percentile" val="50"/>
        <cfvo type="max"/>
        <color rgb="FFF8696B"/>
        <color rgb="FFFFEB84"/>
        <color rgb="FF63BE7B"/>
      </colorScale>
    </cfRule>
  </conditionalFormatting>
  <conditionalFormatting sqref="F13:F20">
    <cfRule type="colorScale" priority="5400">
      <colorScale>
        <cfvo type="min"/>
        <cfvo type="percentile" val="50"/>
        <cfvo type="max"/>
        <color rgb="FFF8696B"/>
        <color rgb="FFFFEB84"/>
        <color rgb="FF63BE7B"/>
      </colorScale>
    </cfRule>
  </conditionalFormatting>
  <conditionalFormatting sqref="F13:F20">
    <cfRule type="colorScale" priority="5399">
      <colorScale>
        <cfvo type="min"/>
        <cfvo type="percentile" val="50"/>
        <cfvo type="max"/>
        <color rgb="FFF8696B"/>
        <color rgb="FFFFEB84"/>
        <color rgb="FF63BE7B"/>
      </colorScale>
    </cfRule>
  </conditionalFormatting>
  <conditionalFormatting sqref="F13:F20">
    <cfRule type="colorScale" priority="5398">
      <colorScale>
        <cfvo type="min"/>
        <cfvo type="percentile" val="50"/>
        <cfvo type="max"/>
        <color rgb="FFF8696B"/>
        <color rgb="FFFFEB84"/>
        <color rgb="FF63BE7B"/>
      </colorScale>
    </cfRule>
  </conditionalFormatting>
  <conditionalFormatting sqref="F13:F20">
    <cfRule type="colorScale" priority="5397">
      <colorScale>
        <cfvo type="min"/>
        <cfvo type="percentile" val="50"/>
        <cfvo type="max"/>
        <color rgb="FFF8696B"/>
        <color rgb="FFFFEB84"/>
        <color rgb="FF63BE7B"/>
      </colorScale>
    </cfRule>
  </conditionalFormatting>
  <conditionalFormatting sqref="F13:F20">
    <cfRule type="colorScale" priority="5396">
      <colorScale>
        <cfvo type="min"/>
        <cfvo type="percentile" val="50"/>
        <cfvo type="max"/>
        <color rgb="FFF8696B"/>
        <color rgb="FFFFEB84"/>
        <color rgb="FF63BE7B"/>
      </colorScale>
    </cfRule>
  </conditionalFormatting>
  <conditionalFormatting sqref="F13:F20">
    <cfRule type="colorScale" priority="5395">
      <colorScale>
        <cfvo type="min"/>
        <cfvo type="percentile" val="50"/>
        <cfvo type="max"/>
        <color rgb="FFF8696B"/>
        <color rgb="FFFFEB84"/>
        <color rgb="FF63BE7B"/>
      </colorScale>
    </cfRule>
  </conditionalFormatting>
  <conditionalFormatting sqref="F13:F20">
    <cfRule type="colorScale" priority="5394">
      <colorScale>
        <cfvo type="min"/>
        <cfvo type="percentile" val="50"/>
        <cfvo type="max"/>
        <color rgb="FFF8696B"/>
        <color rgb="FFFFEB84"/>
        <color rgb="FF63BE7B"/>
      </colorScale>
    </cfRule>
  </conditionalFormatting>
  <conditionalFormatting sqref="F13:F20">
    <cfRule type="colorScale" priority="5393">
      <colorScale>
        <cfvo type="min"/>
        <cfvo type="percentile" val="50"/>
        <cfvo type="max"/>
        <color rgb="FFF8696B"/>
        <color rgb="FFFFEB84"/>
        <color rgb="FF63BE7B"/>
      </colorScale>
    </cfRule>
  </conditionalFormatting>
  <conditionalFormatting sqref="F13:F20">
    <cfRule type="colorScale" priority="5392">
      <colorScale>
        <cfvo type="min"/>
        <cfvo type="percentile" val="50"/>
        <cfvo type="max"/>
        <color rgb="FFF8696B"/>
        <color rgb="FFFFEB84"/>
        <color rgb="FF63BE7B"/>
      </colorScale>
    </cfRule>
  </conditionalFormatting>
  <conditionalFormatting sqref="F13:F20">
    <cfRule type="colorScale" priority="5391">
      <colorScale>
        <cfvo type="min"/>
        <cfvo type="percentile" val="50"/>
        <cfvo type="max"/>
        <color rgb="FFF8696B"/>
        <color rgb="FFFFEB84"/>
        <color rgb="FF63BE7B"/>
      </colorScale>
    </cfRule>
  </conditionalFormatting>
  <conditionalFormatting sqref="F21:F28">
    <cfRule type="colorScale" priority="5390">
      <colorScale>
        <cfvo type="min"/>
        <cfvo type="percentile" val="50"/>
        <cfvo type="max"/>
        <color rgb="FFF8696B"/>
        <color rgb="FFFFEB84"/>
        <color rgb="FF63BE7B"/>
      </colorScale>
    </cfRule>
  </conditionalFormatting>
  <conditionalFormatting sqref="F21:F28">
    <cfRule type="colorScale" priority="5389">
      <colorScale>
        <cfvo type="min"/>
        <cfvo type="percentile" val="50"/>
        <cfvo type="max"/>
        <color rgb="FFF8696B"/>
        <color rgb="FFFFEB84"/>
        <color rgb="FF63BE7B"/>
      </colorScale>
    </cfRule>
  </conditionalFormatting>
  <conditionalFormatting sqref="F21:F28">
    <cfRule type="colorScale" priority="5388">
      <colorScale>
        <cfvo type="min"/>
        <cfvo type="percentile" val="50"/>
        <cfvo type="max"/>
        <color rgb="FFF8696B"/>
        <color rgb="FFFFEB84"/>
        <color rgb="FF63BE7B"/>
      </colorScale>
    </cfRule>
  </conditionalFormatting>
  <conditionalFormatting sqref="F21:F28">
    <cfRule type="colorScale" priority="5387">
      <colorScale>
        <cfvo type="min"/>
        <cfvo type="percentile" val="50"/>
        <cfvo type="max"/>
        <color rgb="FFF8696B"/>
        <color rgb="FFFFEB84"/>
        <color rgb="FF63BE7B"/>
      </colorScale>
    </cfRule>
  </conditionalFormatting>
  <conditionalFormatting sqref="F21:F28">
    <cfRule type="colorScale" priority="5386">
      <colorScale>
        <cfvo type="min"/>
        <cfvo type="percentile" val="50"/>
        <cfvo type="max"/>
        <color rgb="FFF8696B"/>
        <color rgb="FFFFEB84"/>
        <color rgb="FF63BE7B"/>
      </colorScale>
    </cfRule>
  </conditionalFormatting>
  <conditionalFormatting sqref="F21:F28">
    <cfRule type="colorScale" priority="5385">
      <colorScale>
        <cfvo type="min"/>
        <cfvo type="percentile" val="50"/>
        <cfvo type="max"/>
        <color rgb="FFF8696B"/>
        <color rgb="FFFFEB84"/>
        <color rgb="FF63BE7B"/>
      </colorScale>
    </cfRule>
  </conditionalFormatting>
  <conditionalFormatting sqref="F21:F28">
    <cfRule type="colorScale" priority="5384">
      <colorScale>
        <cfvo type="min"/>
        <cfvo type="percentile" val="50"/>
        <cfvo type="max"/>
        <color rgb="FFF8696B"/>
        <color rgb="FFFFEB84"/>
        <color rgb="FF63BE7B"/>
      </colorScale>
    </cfRule>
  </conditionalFormatting>
  <conditionalFormatting sqref="F21:F28">
    <cfRule type="colorScale" priority="5383">
      <colorScale>
        <cfvo type="min"/>
        <cfvo type="percentile" val="50"/>
        <cfvo type="max"/>
        <color rgb="FFF8696B"/>
        <color rgb="FFFFEB84"/>
        <color rgb="FF63BE7B"/>
      </colorScale>
    </cfRule>
  </conditionalFormatting>
  <conditionalFormatting sqref="F21:F28">
    <cfRule type="colorScale" priority="5382">
      <colorScale>
        <cfvo type="min"/>
        <cfvo type="percentile" val="50"/>
        <cfvo type="max"/>
        <color rgb="FFF8696B"/>
        <color rgb="FFFFEB84"/>
        <color rgb="FF63BE7B"/>
      </colorScale>
    </cfRule>
  </conditionalFormatting>
  <conditionalFormatting sqref="F21:F28">
    <cfRule type="colorScale" priority="5381">
      <colorScale>
        <cfvo type="min"/>
        <cfvo type="percentile" val="50"/>
        <cfvo type="max"/>
        <color rgb="FFF8696B"/>
        <color rgb="FFFFEB84"/>
        <color rgb="FF63BE7B"/>
      </colorScale>
    </cfRule>
  </conditionalFormatting>
  <conditionalFormatting sqref="F21:F28">
    <cfRule type="colorScale" priority="5380">
      <colorScale>
        <cfvo type="min"/>
        <cfvo type="percentile" val="50"/>
        <cfvo type="max"/>
        <color rgb="FFF8696B"/>
        <color rgb="FFFFEB84"/>
        <color rgb="FF63BE7B"/>
      </colorScale>
    </cfRule>
  </conditionalFormatting>
  <conditionalFormatting sqref="F21:F28">
    <cfRule type="colorScale" priority="5379">
      <colorScale>
        <cfvo type="min"/>
        <cfvo type="percentile" val="50"/>
        <cfvo type="max"/>
        <color rgb="FFF8696B"/>
        <color rgb="FFFFEB84"/>
        <color rgb="FF63BE7B"/>
      </colorScale>
    </cfRule>
  </conditionalFormatting>
  <conditionalFormatting sqref="F21:F28">
    <cfRule type="colorScale" priority="5378">
      <colorScale>
        <cfvo type="min"/>
        <cfvo type="percentile" val="50"/>
        <cfvo type="max"/>
        <color rgb="FFF8696B"/>
        <color rgb="FFFFEB84"/>
        <color rgb="FF63BE7B"/>
      </colorScale>
    </cfRule>
  </conditionalFormatting>
  <conditionalFormatting sqref="F21:F28">
    <cfRule type="colorScale" priority="5377">
      <colorScale>
        <cfvo type="min"/>
        <cfvo type="percentile" val="50"/>
        <cfvo type="max"/>
        <color rgb="FFF8696B"/>
        <color rgb="FFFFEB84"/>
        <color rgb="FF63BE7B"/>
      </colorScale>
    </cfRule>
  </conditionalFormatting>
  <conditionalFormatting sqref="F21:F28">
    <cfRule type="colorScale" priority="5376">
      <colorScale>
        <cfvo type="min"/>
        <cfvo type="percentile" val="50"/>
        <cfvo type="max"/>
        <color rgb="FFF8696B"/>
        <color rgb="FFFFEB84"/>
        <color rgb="FF63BE7B"/>
      </colorScale>
    </cfRule>
  </conditionalFormatting>
  <conditionalFormatting sqref="F21:F28">
    <cfRule type="colorScale" priority="5375">
      <colorScale>
        <cfvo type="min"/>
        <cfvo type="percentile" val="50"/>
        <cfvo type="max"/>
        <color rgb="FFF8696B"/>
        <color rgb="FFFFEB84"/>
        <color rgb="FF63BE7B"/>
      </colorScale>
    </cfRule>
  </conditionalFormatting>
  <conditionalFormatting sqref="F21:F28">
    <cfRule type="colorScale" priority="5374">
      <colorScale>
        <cfvo type="min"/>
        <cfvo type="percentile" val="50"/>
        <cfvo type="max"/>
        <color rgb="FFF8696B"/>
        <color rgb="FFFFEB84"/>
        <color rgb="FF63BE7B"/>
      </colorScale>
    </cfRule>
  </conditionalFormatting>
  <conditionalFormatting sqref="F21:F28">
    <cfRule type="colorScale" priority="5373">
      <colorScale>
        <cfvo type="min"/>
        <cfvo type="percentile" val="50"/>
        <cfvo type="max"/>
        <color rgb="FFF8696B"/>
        <color rgb="FFFFEB84"/>
        <color rgb="FF63BE7B"/>
      </colorScale>
    </cfRule>
  </conditionalFormatting>
  <conditionalFormatting sqref="F21:F28">
    <cfRule type="colorScale" priority="5372">
      <colorScale>
        <cfvo type="min"/>
        <cfvo type="percentile" val="50"/>
        <cfvo type="max"/>
        <color rgb="FFF8696B"/>
        <color rgb="FFFFEB84"/>
        <color rgb="FF63BE7B"/>
      </colorScale>
    </cfRule>
  </conditionalFormatting>
  <conditionalFormatting sqref="F21:F28">
    <cfRule type="colorScale" priority="5371">
      <colorScale>
        <cfvo type="min"/>
        <cfvo type="percentile" val="50"/>
        <cfvo type="max"/>
        <color rgb="FFF8696B"/>
        <color rgb="FFFFEB84"/>
        <color rgb="FF63BE7B"/>
      </colorScale>
    </cfRule>
  </conditionalFormatting>
  <conditionalFormatting sqref="F21:F28">
    <cfRule type="colorScale" priority="5370">
      <colorScale>
        <cfvo type="min"/>
        <cfvo type="percentile" val="50"/>
        <cfvo type="max"/>
        <color rgb="FFF8696B"/>
        <color rgb="FFFFEB84"/>
        <color rgb="FF63BE7B"/>
      </colorScale>
    </cfRule>
  </conditionalFormatting>
  <conditionalFormatting sqref="F21:F28">
    <cfRule type="colorScale" priority="5369">
      <colorScale>
        <cfvo type="min"/>
        <cfvo type="percentile" val="50"/>
        <cfvo type="max"/>
        <color rgb="FFF8696B"/>
        <color rgb="FFFFEB84"/>
        <color rgb="FF63BE7B"/>
      </colorScale>
    </cfRule>
  </conditionalFormatting>
  <conditionalFormatting sqref="F21:F28">
    <cfRule type="colorScale" priority="5368">
      <colorScale>
        <cfvo type="min"/>
        <cfvo type="percentile" val="50"/>
        <cfvo type="max"/>
        <color rgb="FFF8696B"/>
        <color rgb="FFFFEB84"/>
        <color rgb="FF63BE7B"/>
      </colorScale>
    </cfRule>
  </conditionalFormatting>
  <conditionalFormatting sqref="F21:F28">
    <cfRule type="colorScale" priority="5367">
      <colorScale>
        <cfvo type="min"/>
        <cfvo type="percentile" val="50"/>
        <cfvo type="max"/>
        <color rgb="FFF8696B"/>
        <color rgb="FFFFEB84"/>
        <color rgb="FF63BE7B"/>
      </colorScale>
    </cfRule>
  </conditionalFormatting>
  <conditionalFormatting sqref="F21:F28">
    <cfRule type="colorScale" priority="5366">
      <colorScale>
        <cfvo type="min"/>
        <cfvo type="percentile" val="50"/>
        <cfvo type="max"/>
        <color rgb="FFF8696B"/>
        <color rgb="FFFFEB84"/>
        <color rgb="FF63BE7B"/>
      </colorScale>
    </cfRule>
  </conditionalFormatting>
  <conditionalFormatting sqref="F21:F28">
    <cfRule type="colorScale" priority="5365">
      <colorScale>
        <cfvo type="min"/>
        <cfvo type="percentile" val="50"/>
        <cfvo type="max"/>
        <color rgb="FFF8696B"/>
        <color rgb="FFFFEB84"/>
        <color rgb="FF63BE7B"/>
      </colorScale>
    </cfRule>
  </conditionalFormatting>
  <conditionalFormatting sqref="F21:F28">
    <cfRule type="colorScale" priority="5364">
      <colorScale>
        <cfvo type="min"/>
        <cfvo type="percentile" val="50"/>
        <cfvo type="max"/>
        <color rgb="FFF8696B"/>
        <color rgb="FFFFEB84"/>
        <color rgb="FF63BE7B"/>
      </colorScale>
    </cfRule>
  </conditionalFormatting>
  <conditionalFormatting sqref="F21:F28">
    <cfRule type="colorScale" priority="5363">
      <colorScale>
        <cfvo type="min"/>
        <cfvo type="percentile" val="50"/>
        <cfvo type="max"/>
        <color rgb="FFF8696B"/>
        <color rgb="FFFFEB84"/>
        <color rgb="FF63BE7B"/>
      </colorScale>
    </cfRule>
  </conditionalFormatting>
  <conditionalFormatting sqref="F21:F28">
    <cfRule type="colorScale" priority="5362">
      <colorScale>
        <cfvo type="min"/>
        <cfvo type="percentile" val="50"/>
        <cfvo type="max"/>
        <color rgb="FFF8696B"/>
        <color rgb="FFFFEB84"/>
        <color rgb="FF63BE7B"/>
      </colorScale>
    </cfRule>
  </conditionalFormatting>
  <conditionalFormatting sqref="F21:F28">
    <cfRule type="colorScale" priority="5361">
      <colorScale>
        <cfvo type="min"/>
        <cfvo type="percentile" val="50"/>
        <cfvo type="max"/>
        <color rgb="FFF8696B"/>
        <color rgb="FFFFEB84"/>
        <color rgb="FF63BE7B"/>
      </colorScale>
    </cfRule>
  </conditionalFormatting>
  <conditionalFormatting sqref="F21:F28">
    <cfRule type="colorScale" priority="5360">
      <colorScale>
        <cfvo type="min"/>
        <cfvo type="percentile" val="50"/>
        <cfvo type="max"/>
        <color rgb="FFF8696B"/>
        <color rgb="FFFFEB84"/>
        <color rgb="FF63BE7B"/>
      </colorScale>
    </cfRule>
  </conditionalFormatting>
  <conditionalFormatting sqref="F21:F28">
    <cfRule type="colorScale" priority="5359">
      <colorScale>
        <cfvo type="min"/>
        <cfvo type="percentile" val="50"/>
        <cfvo type="max"/>
        <color rgb="FFF8696B"/>
        <color rgb="FFFFEB84"/>
        <color rgb="FF63BE7B"/>
      </colorScale>
    </cfRule>
  </conditionalFormatting>
  <conditionalFormatting sqref="F21:F28">
    <cfRule type="colorScale" priority="5358">
      <colorScale>
        <cfvo type="min"/>
        <cfvo type="percentile" val="50"/>
        <cfvo type="max"/>
        <color rgb="FFF8696B"/>
        <color rgb="FFFFEB84"/>
        <color rgb="FF63BE7B"/>
      </colorScale>
    </cfRule>
  </conditionalFormatting>
  <conditionalFormatting sqref="F21:F28">
    <cfRule type="colorScale" priority="5357">
      <colorScale>
        <cfvo type="min"/>
        <cfvo type="percentile" val="50"/>
        <cfvo type="max"/>
        <color rgb="FFF8696B"/>
        <color rgb="FFFFEB84"/>
        <color rgb="FF63BE7B"/>
      </colorScale>
    </cfRule>
  </conditionalFormatting>
  <conditionalFormatting sqref="F21:F28">
    <cfRule type="colorScale" priority="5356">
      <colorScale>
        <cfvo type="min"/>
        <cfvo type="percentile" val="50"/>
        <cfvo type="max"/>
        <color rgb="FFF8696B"/>
        <color rgb="FFFFEB84"/>
        <color rgb="FF63BE7B"/>
      </colorScale>
    </cfRule>
  </conditionalFormatting>
  <conditionalFormatting sqref="F21:F28">
    <cfRule type="colorScale" priority="5355">
      <colorScale>
        <cfvo type="min"/>
        <cfvo type="percentile" val="50"/>
        <cfvo type="max"/>
        <color rgb="FFF8696B"/>
        <color rgb="FFFFEB84"/>
        <color rgb="FF63BE7B"/>
      </colorScale>
    </cfRule>
  </conditionalFormatting>
  <conditionalFormatting sqref="F21:F28">
    <cfRule type="colorScale" priority="5354">
      <colorScale>
        <cfvo type="min"/>
        <cfvo type="percentile" val="50"/>
        <cfvo type="max"/>
        <color rgb="FFF8696B"/>
        <color rgb="FFFFEB84"/>
        <color rgb="FF63BE7B"/>
      </colorScale>
    </cfRule>
  </conditionalFormatting>
  <conditionalFormatting sqref="F21:F28">
    <cfRule type="colorScale" priority="5353">
      <colorScale>
        <cfvo type="min"/>
        <cfvo type="percentile" val="50"/>
        <cfvo type="max"/>
        <color rgb="FFF8696B"/>
        <color rgb="FFFFEB84"/>
        <color rgb="FF63BE7B"/>
      </colorScale>
    </cfRule>
  </conditionalFormatting>
  <conditionalFormatting sqref="F21:F28">
    <cfRule type="colorScale" priority="5352">
      <colorScale>
        <cfvo type="min"/>
        <cfvo type="percentile" val="50"/>
        <cfvo type="max"/>
        <color rgb="FFF8696B"/>
        <color rgb="FFFFEB84"/>
        <color rgb="FF63BE7B"/>
      </colorScale>
    </cfRule>
  </conditionalFormatting>
  <conditionalFormatting sqref="F21:F28">
    <cfRule type="colorScale" priority="5351">
      <colorScale>
        <cfvo type="min"/>
        <cfvo type="percentile" val="50"/>
        <cfvo type="max"/>
        <color rgb="FFF8696B"/>
        <color rgb="FFFFEB84"/>
        <color rgb="FF63BE7B"/>
      </colorScale>
    </cfRule>
  </conditionalFormatting>
  <conditionalFormatting sqref="F21:F28">
    <cfRule type="colorScale" priority="5350">
      <colorScale>
        <cfvo type="min"/>
        <cfvo type="percentile" val="50"/>
        <cfvo type="max"/>
        <color rgb="FFF8696B"/>
        <color rgb="FFFFEB84"/>
        <color rgb="FF63BE7B"/>
      </colorScale>
    </cfRule>
  </conditionalFormatting>
  <conditionalFormatting sqref="F21:F28">
    <cfRule type="colorScale" priority="5349">
      <colorScale>
        <cfvo type="min"/>
        <cfvo type="percentile" val="50"/>
        <cfvo type="max"/>
        <color rgb="FFF8696B"/>
        <color rgb="FFFFEB84"/>
        <color rgb="FF63BE7B"/>
      </colorScale>
    </cfRule>
  </conditionalFormatting>
  <conditionalFormatting sqref="F21:F28">
    <cfRule type="colorScale" priority="5348">
      <colorScale>
        <cfvo type="min"/>
        <cfvo type="percentile" val="50"/>
        <cfvo type="max"/>
        <color rgb="FFF8696B"/>
        <color rgb="FFFFEB84"/>
        <color rgb="FF63BE7B"/>
      </colorScale>
    </cfRule>
  </conditionalFormatting>
  <conditionalFormatting sqref="F21:F28">
    <cfRule type="colorScale" priority="5347">
      <colorScale>
        <cfvo type="min"/>
        <cfvo type="percentile" val="50"/>
        <cfvo type="max"/>
        <color rgb="FFF8696B"/>
        <color rgb="FFFFEB84"/>
        <color rgb="FF63BE7B"/>
      </colorScale>
    </cfRule>
  </conditionalFormatting>
  <conditionalFormatting sqref="F21:F28">
    <cfRule type="colorScale" priority="5346">
      <colorScale>
        <cfvo type="min"/>
        <cfvo type="percentile" val="50"/>
        <cfvo type="max"/>
        <color rgb="FFF8696B"/>
        <color rgb="FFFFEB84"/>
        <color rgb="FF63BE7B"/>
      </colorScale>
    </cfRule>
  </conditionalFormatting>
  <conditionalFormatting sqref="F21:F28">
    <cfRule type="colorScale" priority="5345">
      <colorScale>
        <cfvo type="min"/>
        <cfvo type="percentile" val="50"/>
        <cfvo type="max"/>
        <color rgb="FFF8696B"/>
        <color rgb="FFFFEB84"/>
        <color rgb="FF63BE7B"/>
      </colorScale>
    </cfRule>
  </conditionalFormatting>
  <conditionalFormatting sqref="F21:F28">
    <cfRule type="colorScale" priority="5344">
      <colorScale>
        <cfvo type="min"/>
        <cfvo type="percentile" val="50"/>
        <cfvo type="max"/>
        <color rgb="FFF8696B"/>
        <color rgb="FFFFEB84"/>
        <color rgb="FF63BE7B"/>
      </colorScale>
    </cfRule>
  </conditionalFormatting>
  <conditionalFormatting sqref="F21:F28">
    <cfRule type="colorScale" priority="5343">
      <colorScale>
        <cfvo type="min"/>
        <cfvo type="percentile" val="50"/>
        <cfvo type="max"/>
        <color rgb="FFF8696B"/>
        <color rgb="FFFFEB84"/>
        <color rgb="FF63BE7B"/>
      </colorScale>
    </cfRule>
  </conditionalFormatting>
  <conditionalFormatting sqref="F21:F28">
    <cfRule type="colorScale" priority="5342">
      <colorScale>
        <cfvo type="min"/>
        <cfvo type="percentile" val="50"/>
        <cfvo type="max"/>
        <color rgb="FFF8696B"/>
        <color rgb="FFFFEB84"/>
        <color rgb="FF63BE7B"/>
      </colorScale>
    </cfRule>
  </conditionalFormatting>
  <conditionalFormatting sqref="F21:F28">
    <cfRule type="colorScale" priority="5341">
      <colorScale>
        <cfvo type="min"/>
        <cfvo type="percentile" val="50"/>
        <cfvo type="max"/>
        <color rgb="FFF8696B"/>
        <color rgb="FFFFEB84"/>
        <color rgb="FF63BE7B"/>
      </colorScale>
    </cfRule>
  </conditionalFormatting>
  <conditionalFormatting sqref="F21:F28">
    <cfRule type="colorScale" priority="5340">
      <colorScale>
        <cfvo type="min"/>
        <cfvo type="percentile" val="50"/>
        <cfvo type="max"/>
        <color rgb="FFF8696B"/>
        <color rgb="FFFFEB84"/>
        <color rgb="FF63BE7B"/>
      </colorScale>
    </cfRule>
  </conditionalFormatting>
  <conditionalFormatting sqref="F21:F28">
    <cfRule type="colorScale" priority="5339">
      <colorScale>
        <cfvo type="min"/>
        <cfvo type="percentile" val="50"/>
        <cfvo type="max"/>
        <color rgb="FFF8696B"/>
        <color rgb="FFFFEB84"/>
        <color rgb="FF63BE7B"/>
      </colorScale>
    </cfRule>
  </conditionalFormatting>
  <conditionalFormatting sqref="F21:F28">
    <cfRule type="colorScale" priority="5338">
      <colorScale>
        <cfvo type="min"/>
        <cfvo type="percentile" val="50"/>
        <cfvo type="max"/>
        <color rgb="FFF8696B"/>
        <color rgb="FFFFEB84"/>
        <color rgb="FF63BE7B"/>
      </colorScale>
    </cfRule>
  </conditionalFormatting>
  <conditionalFormatting sqref="F21:F28">
    <cfRule type="colorScale" priority="5337">
      <colorScale>
        <cfvo type="min"/>
        <cfvo type="percentile" val="50"/>
        <cfvo type="max"/>
        <color rgb="FFF8696B"/>
        <color rgb="FFFFEB84"/>
        <color rgb="FF63BE7B"/>
      </colorScale>
    </cfRule>
  </conditionalFormatting>
  <conditionalFormatting sqref="F21:F28">
    <cfRule type="colorScale" priority="5336">
      <colorScale>
        <cfvo type="min"/>
        <cfvo type="percentile" val="50"/>
        <cfvo type="max"/>
        <color rgb="FFF8696B"/>
        <color rgb="FFFFEB84"/>
        <color rgb="FF63BE7B"/>
      </colorScale>
    </cfRule>
  </conditionalFormatting>
  <conditionalFormatting sqref="F21:F28">
    <cfRule type="colorScale" priority="5335">
      <colorScale>
        <cfvo type="min"/>
        <cfvo type="percentile" val="50"/>
        <cfvo type="max"/>
        <color rgb="FFF8696B"/>
        <color rgb="FFFFEB84"/>
        <color rgb="FF63BE7B"/>
      </colorScale>
    </cfRule>
  </conditionalFormatting>
  <conditionalFormatting sqref="F21:F28">
    <cfRule type="colorScale" priority="5334">
      <colorScale>
        <cfvo type="min"/>
        <cfvo type="percentile" val="50"/>
        <cfvo type="max"/>
        <color rgb="FFF8696B"/>
        <color rgb="FFFFEB84"/>
        <color rgb="FF63BE7B"/>
      </colorScale>
    </cfRule>
  </conditionalFormatting>
  <conditionalFormatting sqref="F21:F28">
    <cfRule type="colorScale" priority="5333">
      <colorScale>
        <cfvo type="min"/>
        <cfvo type="percentile" val="50"/>
        <cfvo type="max"/>
        <color rgb="FFF8696B"/>
        <color rgb="FFFFEB84"/>
        <color rgb="FF63BE7B"/>
      </colorScale>
    </cfRule>
  </conditionalFormatting>
  <conditionalFormatting sqref="F21:F28">
    <cfRule type="colorScale" priority="5332">
      <colorScale>
        <cfvo type="min"/>
        <cfvo type="percentile" val="50"/>
        <cfvo type="max"/>
        <color rgb="FFF8696B"/>
        <color rgb="FFFFEB84"/>
        <color rgb="FF63BE7B"/>
      </colorScale>
    </cfRule>
  </conditionalFormatting>
  <conditionalFormatting sqref="F21:F28">
    <cfRule type="colorScale" priority="5331">
      <colorScale>
        <cfvo type="min"/>
        <cfvo type="percentile" val="50"/>
        <cfvo type="max"/>
        <color rgb="FFF8696B"/>
        <color rgb="FFFFEB84"/>
        <color rgb="FF63BE7B"/>
      </colorScale>
    </cfRule>
  </conditionalFormatting>
  <conditionalFormatting sqref="F21:F28">
    <cfRule type="colorScale" priority="5330">
      <colorScale>
        <cfvo type="min"/>
        <cfvo type="percentile" val="50"/>
        <cfvo type="max"/>
        <color rgb="FFF8696B"/>
        <color rgb="FFFFEB84"/>
        <color rgb="FF63BE7B"/>
      </colorScale>
    </cfRule>
  </conditionalFormatting>
  <conditionalFormatting sqref="F21:F28">
    <cfRule type="colorScale" priority="5329">
      <colorScale>
        <cfvo type="min"/>
        <cfvo type="percentile" val="50"/>
        <cfvo type="max"/>
        <color rgb="FFF8696B"/>
        <color rgb="FFFFEB84"/>
        <color rgb="FF63BE7B"/>
      </colorScale>
    </cfRule>
  </conditionalFormatting>
  <conditionalFormatting sqref="F21:F28">
    <cfRule type="colorScale" priority="5328">
      <colorScale>
        <cfvo type="min"/>
        <cfvo type="percentile" val="50"/>
        <cfvo type="max"/>
        <color rgb="FFF8696B"/>
        <color rgb="FFFFEB84"/>
        <color rgb="FF63BE7B"/>
      </colorScale>
    </cfRule>
  </conditionalFormatting>
  <conditionalFormatting sqref="F21:F28">
    <cfRule type="colorScale" priority="5327">
      <colorScale>
        <cfvo type="min"/>
        <cfvo type="percentile" val="50"/>
        <cfvo type="max"/>
        <color rgb="FFF8696B"/>
        <color rgb="FFFFEB84"/>
        <color rgb="FF63BE7B"/>
      </colorScale>
    </cfRule>
  </conditionalFormatting>
  <conditionalFormatting sqref="F21:F28">
    <cfRule type="colorScale" priority="5326">
      <colorScale>
        <cfvo type="min"/>
        <cfvo type="percentile" val="50"/>
        <cfvo type="max"/>
        <color rgb="FFF8696B"/>
        <color rgb="FFFFEB84"/>
        <color rgb="FF63BE7B"/>
      </colorScale>
    </cfRule>
  </conditionalFormatting>
  <conditionalFormatting sqref="F21:F28">
    <cfRule type="colorScale" priority="5325">
      <colorScale>
        <cfvo type="min"/>
        <cfvo type="percentile" val="50"/>
        <cfvo type="max"/>
        <color rgb="FFF8696B"/>
        <color rgb="FFFFEB84"/>
        <color rgb="FF63BE7B"/>
      </colorScale>
    </cfRule>
  </conditionalFormatting>
  <conditionalFormatting sqref="F21:F28">
    <cfRule type="colorScale" priority="5324">
      <colorScale>
        <cfvo type="min"/>
        <cfvo type="percentile" val="50"/>
        <cfvo type="max"/>
        <color rgb="FFF8696B"/>
        <color rgb="FFFFEB84"/>
        <color rgb="FF63BE7B"/>
      </colorScale>
    </cfRule>
  </conditionalFormatting>
  <conditionalFormatting sqref="F21:F28">
    <cfRule type="colorScale" priority="5323">
      <colorScale>
        <cfvo type="min"/>
        <cfvo type="percentile" val="50"/>
        <cfvo type="max"/>
        <color rgb="FFF8696B"/>
        <color rgb="FFFFEB84"/>
        <color rgb="FF63BE7B"/>
      </colorScale>
    </cfRule>
  </conditionalFormatting>
  <conditionalFormatting sqref="F21:F28">
    <cfRule type="colorScale" priority="5322">
      <colorScale>
        <cfvo type="min"/>
        <cfvo type="percentile" val="50"/>
        <cfvo type="max"/>
        <color rgb="FFF8696B"/>
        <color rgb="FFFFEB84"/>
        <color rgb="FF63BE7B"/>
      </colorScale>
    </cfRule>
  </conditionalFormatting>
  <conditionalFormatting sqref="F21:F28">
    <cfRule type="colorScale" priority="5321">
      <colorScale>
        <cfvo type="min"/>
        <cfvo type="percentile" val="50"/>
        <cfvo type="max"/>
        <color rgb="FFF8696B"/>
        <color rgb="FFFFEB84"/>
        <color rgb="FF63BE7B"/>
      </colorScale>
    </cfRule>
  </conditionalFormatting>
  <conditionalFormatting sqref="F21:F28">
    <cfRule type="colorScale" priority="5320">
      <colorScale>
        <cfvo type="min"/>
        <cfvo type="percentile" val="50"/>
        <cfvo type="max"/>
        <color rgb="FFF8696B"/>
        <color rgb="FFFFEB84"/>
        <color rgb="FF63BE7B"/>
      </colorScale>
    </cfRule>
  </conditionalFormatting>
  <conditionalFormatting sqref="F21:F28">
    <cfRule type="colorScale" priority="5319">
      <colorScale>
        <cfvo type="min"/>
        <cfvo type="percentile" val="50"/>
        <cfvo type="max"/>
        <color rgb="FFF8696B"/>
        <color rgb="FFFFEB84"/>
        <color rgb="FF63BE7B"/>
      </colorScale>
    </cfRule>
  </conditionalFormatting>
  <conditionalFormatting sqref="F21:F28">
    <cfRule type="colorScale" priority="5318">
      <colorScale>
        <cfvo type="min"/>
        <cfvo type="percentile" val="50"/>
        <cfvo type="max"/>
        <color rgb="FFF8696B"/>
        <color rgb="FFFFEB84"/>
        <color rgb="FF63BE7B"/>
      </colorScale>
    </cfRule>
  </conditionalFormatting>
  <conditionalFormatting sqref="F21:F28">
    <cfRule type="colorScale" priority="5317">
      <colorScale>
        <cfvo type="min"/>
        <cfvo type="percentile" val="50"/>
        <cfvo type="max"/>
        <color rgb="FFF8696B"/>
        <color rgb="FFFFEB84"/>
        <color rgb="FF63BE7B"/>
      </colorScale>
    </cfRule>
  </conditionalFormatting>
  <conditionalFormatting sqref="F21:F28">
    <cfRule type="colorScale" priority="5316">
      <colorScale>
        <cfvo type="min"/>
        <cfvo type="percentile" val="50"/>
        <cfvo type="max"/>
        <color rgb="FFF8696B"/>
        <color rgb="FFFFEB84"/>
        <color rgb="FF63BE7B"/>
      </colorScale>
    </cfRule>
  </conditionalFormatting>
  <conditionalFormatting sqref="F21:F28">
    <cfRule type="colorScale" priority="5315">
      <colorScale>
        <cfvo type="min"/>
        <cfvo type="percentile" val="50"/>
        <cfvo type="max"/>
        <color rgb="FFF8696B"/>
        <color rgb="FFFFEB84"/>
        <color rgb="FF63BE7B"/>
      </colorScale>
    </cfRule>
  </conditionalFormatting>
  <conditionalFormatting sqref="F21:F28">
    <cfRule type="colorScale" priority="5314">
      <colorScale>
        <cfvo type="min"/>
        <cfvo type="percentile" val="50"/>
        <cfvo type="max"/>
        <color rgb="FFF8696B"/>
        <color rgb="FFFFEB84"/>
        <color rgb="FF63BE7B"/>
      </colorScale>
    </cfRule>
  </conditionalFormatting>
  <conditionalFormatting sqref="F21:F28">
    <cfRule type="colorScale" priority="5313">
      <colorScale>
        <cfvo type="min"/>
        <cfvo type="percentile" val="50"/>
        <cfvo type="max"/>
        <color rgb="FFF8696B"/>
        <color rgb="FFFFEB84"/>
        <color rgb="FF63BE7B"/>
      </colorScale>
    </cfRule>
  </conditionalFormatting>
  <conditionalFormatting sqref="F21:F28">
    <cfRule type="colorScale" priority="5312">
      <colorScale>
        <cfvo type="min"/>
        <cfvo type="percentile" val="50"/>
        <cfvo type="max"/>
        <color rgb="FFF8696B"/>
        <color rgb="FFFFEB84"/>
        <color rgb="FF63BE7B"/>
      </colorScale>
    </cfRule>
  </conditionalFormatting>
  <conditionalFormatting sqref="F21:F28">
    <cfRule type="colorScale" priority="5311">
      <colorScale>
        <cfvo type="min"/>
        <cfvo type="percentile" val="50"/>
        <cfvo type="max"/>
        <color rgb="FFF8696B"/>
        <color rgb="FFFFEB84"/>
        <color rgb="FF63BE7B"/>
      </colorScale>
    </cfRule>
  </conditionalFormatting>
  <conditionalFormatting sqref="F21:F28">
    <cfRule type="colorScale" priority="5310">
      <colorScale>
        <cfvo type="min"/>
        <cfvo type="percentile" val="50"/>
        <cfvo type="max"/>
        <color rgb="FFF8696B"/>
        <color rgb="FFFFEB84"/>
        <color rgb="FF63BE7B"/>
      </colorScale>
    </cfRule>
  </conditionalFormatting>
  <conditionalFormatting sqref="F21:F28">
    <cfRule type="colorScale" priority="5309">
      <colorScale>
        <cfvo type="min"/>
        <cfvo type="percentile" val="50"/>
        <cfvo type="max"/>
        <color rgb="FFF8696B"/>
        <color rgb="FFFFEB84"/>
        <color rgb="FF63BE7B"/>
      </colorScale>
    </cfRule>
  </conditionalFormatting>
  <conditionalFormatting sqref="F21:F28">
    <cfRule type="colorScale" priority="5308">
      <colorScale>
        <cfvo type="min"/>
        <cfvo type="percentile" val="50"/>
        <cfvo type="max"/>
        <color rgb="FFF8696B"/>
        <color rgb="FFFFEB84"/>
        <color rgb="FF63BE7B"/>
      </colorScale>
    </cfRule>
  </conditionalFormatting>
  <conditionalFormatting sqref="F21:F28">
    <cfRule type="colorScale" priority="5307">
      <colorScale>
        <cfvo type="min"/>
        <cfvo type="percentile" val="50"/>
        <cfvo type="max"/>
        <color rgb="FFF8696B"/>
        <color rgb="FFFFEB84"/>
        <color rgb="FF63BE7B"/>
      </colorScale>
    </cfRule>
  </conditionalFormatting>
  <conditionalFormatting sqref="F21:F28">
    <cfRule type="colorScale" priority="5306">
      <colorScale>
        <cfvo type="min"/>
        <cfvo type="percentile" val="50"/>
        <cfvo type="max"/>
        <color rgb="FFF8696B"/>
        <color rgb="FFFFEB84"/>
        <color rgb="FF63BE7B"/>
      </colorScale>
    </cfRule>
  </conditionalFormatting>
  <conditionalFormatting sqref="F21:F28">
    <cfRule type="colorScale" priority="5305">
      <colorScale>
        <cfvo type="min"/>
        <cfvo type="percentile" val="50"/>
        <cfvo type="max"/>
        <color rgb="FFF8696B"/>
        <color rgb="FFFFEB84"/>
        <color rgb="FF63BE7B"/>
      </colorScale>
    </cfRule>
  </conditionalFormatting>
  <conditionalFormatting sqref="F21:F28">
    <cfRule type="colorScale" priority="5304">
      <colorScale>
        <cfvo type="min"/>
        <cfvo type="percentile" val="50"/>
        <cfvo type="max"/>
        <color rgb="FFF8696B"/>
        <color rgb="FFFFEB84"/>
        <color rgb="FF63BE7B"/>
      </colorScale>
    </cfRule>
  </conditionalFormatting>
  <conditionalFormatting sqref="F21:F28">
    <cfRule type="colorScale" priority="5303">
      <colorScale>
        <cfvo type="min"/>
        <cfvo type="percentile" val="50"/>
        <cfvo type="max"/>
        <color rgb="FFF8696B"/>
        <color rgb="FFFFEB84"/>
        <color rgb="FF63BE7B"/>
      </colorScale>
    </cfRule>
  </conditionalFormatting>
  <conditionalFormatting sqref="F21:F28">
    <cfRule type="colorScale" priority="5302">
      <colorScale>
        <cfvo type="min"/>
        <cfvo type="percentile" val="50"/>
        <cfvo type="max"/>
        <color rgb="FFF8696B"/>
        <color rgb="FFFFEB84"/>
        <color rgb="FF63BE7B"/>
      </colorScale>
    </cfRule>
  </conditionalFormatting>
  <conditionalFormatting sqref="F21:F28">
    <cfRule type="colorScale" priority="5301">
      <colorScale>
        <cfvo type="min"/>
        <cfvo type="percentile" val="50"/>
        <cfvo type="max"/>
        <color rgb="FFF8696B"/>
        <color rgb="FFFFEB84"/>
        <color rgb="FF63BE7B"/>
      </colorScale>
    </cfRule>
  </conditionalFormatting>
  <conditionalFormatting sqref="F21:F28">
    <cfRule type="colorScale" priority="5300">
      <colorScale>
        <cfvo type="min"/>
        <cfvo type="percentile" val="50"/>
        <cfvo type="max"/>
        <color rgb="FFF8696B"/>
        <color rgb="FFFFEB84"/>
        <color rgb="FF63BE7B"/>
      </colorScale>
    </cfRule>
  </conditionalFormatting>
  <conditionalFormatting sqref="F21:F28">
    <cfRule type="colorScale" priority="5299">
      <colorScale>
        <cfvo type="min"/>
        <cfvo type="percentile" val="50"/>
        <cfvo type="max"/>
        <color rgb="FFF8696B"/>
        <color rgb="FFFFEB84"/>
        <color rgb="FF63BE7B"/>
      </colorScale>
    </cfRule>
  </conditionalFormatting>
  <conditionalFormatting sqref="F21:F28">
    <cfRule type="colorScale" priority="5298">
      <colorScale>
        <cfvo type="min"/>
        <cfvo type="percentile" val="50"/>
        <cfvo type="max"/>
        <color rgb="FFF8696B"/>
        <color rgb="FFFFEB84"/>
        <color rgb="FF63BE7B"/>
      </colorScale>
    </cfRule>
  </conditionalFormatting>
  <conditionalFormatting sqref="F21:F28">
    <cfRule type="colorScale" priority="5297">
      <colorScale>
        <cfvo type="min"/>
        <cfvo type="percentile" val="50"/>
        <cfvo type="max"/>
        <color rgb="FFF8696B"/>
        <color rgb="FFFFEB84"/>
        <color rgb="FF63BE7B"/>
      </colorScale>
    </cfRule>
  </conditionalFormatting>
  <conditionalFormatting sqref="F21:F28">
    <cfRule type="colorScale" priority="5296">
      <colorScale>
        <cfvo type="min"/>
        <cfvo type="percentile" val="50"/>
        <cfvo type="max"/>
        <color rgb="FFF8696B"/>
        <color rgb="FFFFEB84"/>
        <color rgb="FF63BE7B"/>
      </colorScale>
    </cfRule>
  </conditionalFormatting>
  <conditionalFormatting sqref="F21:F28">
    <cfRule type="colorScale" priority="5295">
      <colorScale>
        <cfvo type="min"/>
        <cfvo type="percentile" val="50"/>
        <cfvo type="max"/>
        <color rgb="FFF8696B"/>
        <color rgb="FFFFEB84"/>
        <color rgb="FF63BE7B"/>
      </colorScale>
    </cfRule>
  </conditionalFormatting>
  <conditionalFormatting sqref="F21:F28">
    <cfRule type="colorScale" priority="5294">
      <colorScale>
        <cfvo type="min"/>
        <cfvo type="percentile" val="50"/>
        <cfvo type="max"/>
        <color rgb="FFF8696B"/>
        <color rgb="FFFFEB84"/>
        <color rgb="FF63BE7B"/>
      </colorScale>
    </cfRule>
  </conditionalFormatting>
  <conditionalFormatting sqref="F21:F28">
    <cfRule type="colorScale" priority="5293">
      <colorScale>
        <cfvo type="min"/>
        <cfvo type="percentile" val="50"/>
        <cfvo type="max"/>
        <color rgb="FFF8696B"/>
        <color rgb="FFFFEB84"/>
        <color rgb="FF63BE7B"/>
      </colorScale>
    </cfRule>
  </conditionalFormatting>
  <conditionalFormatting sqref="F21:F28">
    <cfRule type="colorScale" priority="5292">
      <colorScale>
        <cfvo type="min"/>
        <cfvo type="percentile" val="50"/>
        <cfvo type="max"/>
        <color rgb="FFF8696B"/>
        <color rgb="FFFFEB84"/>
        <color rgb="FF63BE7B"/>
      </colorScale>
    </cfRule>
  </conditionalFormatting>
  <conditionalFormatting sqref="F21:F28">
    <cfRule type="colorScale" priority="5291">
      <colorScale>
        <cfvo type="min"/>
        <cfvo type="percentile" val="50"/>
        <cfvo type="max"/>
        <color rgb="FFF8696B"/>
        <color rgb="FFFFEB84"/>
        <color rgb="FF63BE7B"/>
      </colorScale>
    </cfRule>
  </conditionalFormatting>
  <conditionalFormatting sqref="F21:F28">
    <cfRule type="colorScale" priority="5290">
      <colorScale>
        <cfvo type="min"/>
        <cfvo type="percentile" val="50"/>
        <cfvo type="max"/>
        <color rgb="FFF8696B"/>
        <color rgb="FFFFEB84"/>
        <color rgb="FF63BE7B"/>
      </colorScale>
    </cfRule>
  </conditionalFormatting>
  <conditionalFormatting sqref="F21:F28">
    <cfRule type="colorScale" priority="5289">
      <colorScale>
        <cfvo type="min"/>
        <cfvo type="percentile" val="50"/>
        <cfvo type="max"/>
        <color rgb="FFF8696B"/>
        <color rgb="FFFFEB84"/>
        <color rgb="FF63BE7B"/>
      </colorScale>
    </cfRule>
  </conditionalFormatting>
  <conditionalFormatting sqref="F21:F28">
    <cfRule type="colorScale" priority="5288">
      <colorScale>
        <cfvo type="min"/>
        <cfvo type="percentile" val="50"/>
        <cfvo type="max"/>
        <color rgb="FFF8696B"/>
        <color rgb="FFFFEB84"/>
        <color rgb="FF63BE7B"/>
      </colorScale>
    </cfRule>
  </conditionalFormatting>
  <conditionalFormatting sqref="F21:F28">
    <cfRule type="colorScale" priority="5287">
      <colorScale>
        <cfvo type="min"/>
        <cfvo type="percentile" val="50"/>
        <cfvo type="max"/>
        <color rgb="FFF8696B"/>
        <color rgb="FFFFEB84"/>
        <color rgb="FF63BE7B"/>
      </colorScale>
    </cfRule>
  </conditionalFormatting>
  <conditionalFormatting sqref="F21:F28">
    <cfRule type="colorScale" priority="5286">
      <colorScale>
        <cfvo type="min"/>
        <cfvo type="percentile" val="50"/>
        <cfvo type="max"/>
        <color rgb="FFF8696B"/>
        <color rgb="FFFFEB84"/>
        <color rgb="FF63BE7B"/>
      </colorScale>
    </cfRule>
  </conditionalFormatting>
  <conditionalFormatting sqref="F21:F28">
    <cfRule type="colorScale" priority="5285">
      <colorScale>
        <cfvo type="min"/>
        <cfvo type="percentile" val="50"/>
        <cfvo type="max"/>
        <color rgb="FFF8696B"/>
        <color rgb="FFFFEB84"/>
        <color rgb="FF63BE7B"/>
      </colorScale>
    </cfRule>
  </conditionalFormatting>
  <conditionalFormatting sqref="F21:F28">
    <cfRule type="colorScale" priority="5284">
      <colorScale>
        <cfvo type="min"/>
        <cfvo type="percentile" val="50"/>
        <cfvo type="max"/>
        <color rgb="FFF8696B"/>
        <color rgb="FFFFEB84"/>
        <color rgb="FF63BE7B"/>
      </colorScale>
    </cfRule>
  </conditionalFormatting>
  <conditionalFormatting sqref="F21:F28">
    <cfRule type="colorScale" priority="5283">
      <colorScale>
        <cfvo type="min"/>
        <cfvo type="percentile" val="50"/>
        <cfvo type="max"/>
        <color rgb="FFF8696B"/>
        <color rgb="FFFFEB84"/>
        <color rgb="FF63BE7B"/>
      </colorScale>
    </cfRule>
  </conditionalFormatting>
  <conditionalFormatting sqref="F21:F28">
    <cfRule type="colorScale" priority="5282">
      <colorScale>
        <cfvo type="min"/>
        <cfvo type="percentile" val="50"/>
        <cfvo type="max"/>
        <color rgb="FFF8696B"/>
        <color rgb="FFFFEB84"/>
        <color rgb="FF63BE7B"/>
      </colorScale>
    </cfRule>
  </conditionalFormatting>
  <conditionalFormatting sqref="F21:F28">
    <cfRule type="colorScale" priority="5281">
      <colorScale>
        <cfvo type="min"/>
        <cfvo type="percentile" val="50"/>
        <cfvo type="max"/>
        <color rgb="FFF8696B"/>
        <color rgb="FFFFEB84"/>
        <color rgb="FF63BE7B"/>
      </colorScale>
    </cfRule>
  </conditionalFormatting>
  <conditionalFormatting sqref="F21:F28">
    <cfRule type="colorScale" priority="5280">
      <colorScale>
        <cfvo type="min"/>
        <cfvo type="percentile" val="50"/>
        <cfvo type="max"/>
        <color rgb="FFF8696B"/>
        <color rgb="FFFFEB84"/>
        <color rgb="FF63BE7B"/>
      </colorScale>
    </cfRule>
  </conditionalFormatting>
  <conditionalFormatting sqref="F21:F28">
    <cfRule type="colorScale" priority="5279">
      <colorScale>
        <cfvo type="min"/>
        <cfvo type="percentile" val="50"/>
        <cfvo type="max"/>
        <color rgb="FFF8696B"/>
        <color rgb="FFFFEB84"/>
        <color rgb="FF63BE7B"/>
      </colorScale>
    </cfRule>
  </conditionalFormatting>
  <conditionalFormatting sqref="F21:F28">
    <cfRule type="colorScale" priority="5278">
      <colorScale>
        <cfvo type="min"/>
        <cfvo type="percentile" val="50"/>
        <cfvo type="max"/>
        <color rgb="FFF8696B"/>
        <color rgb="FFFFEB84"/>
        <color rgb="FF63BE7B"/>
      </colorScale>
    </cfRule>
  </conditionalFormatting>
  <conditionalFormatting sqref="F21:F28">
    <cfRule type="colorScale" priority="5277">
      <colorScale>
        <cfvo type="min"/>
        <cfvo type="percentile" val="50"/>
        <cfvo type="max"/>
        <color rgb="FFF8696B"/>
        <color rgb="FFFFEB84"/>
        <color rgb="FF63BE7B"/>
      </colorScale>
    </cfRule>
  </conditionalFormatting>
  <conditionalFormatting sqref="F21:F28">
    <cfRule type="colorScale" priority="5276">
      <colorScale>
        <cfvo type="min"/>
        <cfvo type="percentile" val="50"/>
        <cfvo type="max"/>
        <color rgb="FFF8696B"/>
        <color rgb="FFFFEB84"/>
        <color rgb="FF63BE7B"/>
      </colorScale>
    </cfRule>
  </conditionalFormatting>
  <conditionalFormatting sqref="F21:F28">
    <cfRule type="colorScale" priority="5275">
      <colorScale>
        <cfvo type="min"/>
        <cfvo type="percentile" val="50"/>
        <cfvo type="max"/>
        <color rgb="FFF8696B"/>
        <color rgb="FFFFEB84"/>
        <color rgb="FF63BE7B"/>
      </colorScale>
    </cfRule>
  </conditionalFormatting>
  <conditionalFormatting sqref="F21:F28">
    <cfRule type="colorScale" priority="5274">
      <colorScale>
        <cfvo type="min"/>
        <cfvo type="percentile" val="50"/>
        <cfvo type="max"/>
        <color rgb="FFF8696B"/>
        <color rgb="FFFFEB84"/>
        <color rgb="FF63BE7B"/>
      </colorScale>
    </cfRule>
  </conditionalFormatting>
  <conditionalFormatting sqref="F21:F28">
    <cfRule type="colorScale" priority="5273">
      <colorScale>
        <cfvo type="min"/>
        <cfvo type="percentile" val="50"/>
        <cfvo type="max"/>
        <color rgb="FFF8696B"/>
        <color rgb="FFFFEB84"/>
        <color rgb="FF63BE7B"/>
      </colorScale>
    </cfRule>
  </conditionalFormatting>
  <conditionalFormatting sqref="F21:F28">
    <cfRule type="colorScale" priority="5272">
      <colorScale>
        <cfvo type="min"/>
        <cfvo type="percentile" val="50"/>
        <cfvo type="max"/>
        <color rgb="FFF8696B"/>
        <color rgb="FFFFEB84"/>
        <color rgb="FF63BE7B"/>
      </colorScale>
    </cfRule>
  </conditionalFormatting>
  <conditionalFormatting sqref="F21:F28">
    <cfRule type="colorScale" priority="5271">
      <colorScale>
        <cfvo type="min"/>
        <cfvo type="percentile" val="50"/>
        <cfvo type="max"/>
        <color rgb="FFF8696B"/>
        <color rgb="FFFFEB84"/>
        <color rgb="FF63BE7B"/>
      </colorScale>
    </cfRule>
  </conditionalFormatting>
  <conditionalFormatting sqref="F21:F28">
    <cfRule type="colorScale" priority="5270">
      <colorScale>
        <cfvo type="min"/>
        <cfvo type="percentile" val="50"/>
        <cfvo type="max"/>
        <color rgb="FFF8696B"/>
        <color rgb="FFFFEB84"/>
        <color rgb="FF63BE7B"/>
      </colorScale>
    </cfRule>
  </conditionalFormatting>
  <conditionalFormatting sqref="F21:F28">
    <cfRule type="colorScale" priority="5269">
      <colorScale>
        <cfvo type="min"/>
        <cfvo type="percentile" val="50"/>
        <cfvo type="max"/>
        <color rgb="FFF8696B"/>
        <color rgb="FFFFEB84"/>
        <color rgb="FF63BE7B"/>
      </colorScale>
    </cfRule>
  </conditionalFormatting>
  <conditionalFormatting sqref="F21:F28">
    <cfRule type="colorScale" priority="5268">
      <colorScale>
        <cfvo type="min"/>
        <cfvo type="percentile" val="50"/>
        <cfvo type="max"/>
        <color rgb="FFF8696B"/>
        <color rgb="FFFFEB84"/>
        <color rgb="FF63BE7B"/>
      </colorScale>
    </cfRule>
  </conditionalFormatting>
  <conditionalFormatting sqref="F21:F28">
    <cfRule type="colorScale" priority="5267">
      <colorScale>
        <cfvo type="min"/>
        <cfvo type="percentile" val="50"/>
        <cfvo type="max"/>
        <color rgb="FFF8696B"/>
        <color rgb="FFFFEB84"/>
        <color rgb="FF63BE7B"/>
      </colorScale>
    </cfRule>
  </conditionalFormatting>
  <conditionalFormatting sqref="F21:F28">
    <cfRule type="colorScale" priority="5266">
      <colorScale>
        <cfvo type="min"/>
        <cfvo type="percentile" val="50"/>
        <cfvo type="max"/>
        <color rgb="FFF8696B"/>
        <color rgb="FFFFEB84"/>
        <color rgb="FF63BE7B"/>
      </colorScale>
    </cfRule>
  </conditionalFormatting>
  <conditionalFormatting sqref="F21:F28">
    <cfRule type="colorScale" priority="5265">
      <colorScale>
        <cfvo type="min"/>
        <cfvo type="percentile" val="50"/>
        <cfvo type="max"/>
        <color rgb="FFF8696B"/>
        <color rgb="FFFFEB84"/>
        <color rgb="FF63BE7B"/>
      </colorScale>
    </cfRule>
  </conditionalFormatting>
  <conditionalFormatting sqref="F21:F28">
    <cfRule type="colorScale" priority="5264">
      <colorScale>
        <cfvo type="min"/>
        <cfvo type="percentile" val="50"/>
        <cfvo type="max"/>
        <color rgb="FFF8696B"/>
        <color rgb="FFFFEB84"/>
        <color rgb="FF63BE7B"/>
      </colorScale>
    </cfRule>
  </conditionalFormatting>
  <conditionalFormatting sqref="F21:F28">
    <cfRule type="colorScale" priority="5263">
      <colorScale>
        <cfvo type="min"/>
        <cfvo type="percentile" val="50"/>
        <cfvo type="max"/>
        <color rgb="FFF8696B"/>
        <color rgb="FFFFEB84"/>
        <color rgb="FF63BE7B"/>
      </colorScale>
    </cfRule>
  </conditionalFormatting>
  <conditionalFormatting sqref="F21:F28">
    <cfRule type="colorScale" priority="5262">
      <colorScale>
        <cfvo type="min"/>
        <cfvo type="percentile" val="50"/>
        <cfvo type="max"/>
        <color rgb="FFF8696B"/>
        <color rgb="FFFFEB84"/>
        <color rgb="FF63BE7B"/>
      </colorScale>
    </cfRule>
  </conditionalFormatting>
  <conditionalFormatting sqref="F21:F28">
    <cfRule type="colorScale" priority="5261">
      <colorScale>
        <cfvo type="min"/>
        <cfvo type="percentile" val="50"/>
        <cfvo type="max"/>
        <color rgb="FFF8696B"/>
        <color rgb="FFFFEB84"/>
        <color rgb="FF63BE7B"/>
      </colorScale>
    </cfRule>
  </conditionalFormatting>
  <conditionalFormatting sqref="F21:F28">
    <cfRule type="colorScale" priority="5260">
      <colorScale>
        <cfvo type="min"/>
        <cfvo type="percentile" val="50"/>
        <cfvo type="max"/>
        <color rgb="FFF8696B"/>
        <color rgb="FFFFEB84"/>
        <color rgb="FF63BE7B"/>
      </colorScale>
    </cfRule>
  </conditionalFormatting>
  <conditionalFormatting sqref="F21:F28">
    <cfRule type="colorScale" priority="5259">
      <colorScale>
        <cfvo type="min"/>
        <cfvo type="percentile" val="50"/>
        <cfvo type="max"/>
        <color rgb="FFF8696B"/>
        <color rgb="FFFFEB84"/>
        <color rgb="FF63BE7B"/>
      </colorScale>
    </cfRule>
  </conditionalFormatting>
  <conditionalFormatting sqref="F21:F28">
    <cfRule type="colorScale" priority="5258">
      <colorScale>
        <cfvo type="min"/>
        <cfvo type="percentile" val="50"/>
        <cfvo type="max"/>
        <color rgb="FFF8696B"/>
        <color rgb="FFFFEB84"/>
        <color rgb="FF63BE7B"/>
      </colorScale>
    </cfRule>
  </conditionalFormatting>
  <conditionalFormatting sqref="F21:F28">
    <cfRule type="colorScale" priority="5257">
      <colorScale>
        <cfvo type="min"/>
        <cfvo type="percentile" val="50"/>
        <cfvo type="max"/>
        <color rgb="FFF8696B"/>
        <color rgb="FFFFEB84"/>
        <color rgb="FF63BE7B"/>
      </colorScale>
    </cfRule>
  </conditionalFormatting>
  <conditionalFormatting sqref="F21:F28">
    <cfRule type="colorScale" priority="5256">
      <colorScale>
        <cfvo type="min"/>
        <cfvo type="percentile" val="50"/>
        <cfvo type="max"/>
        <color rgb="FFF8696B"/>
        <color rgb="FFFFEB84"/>
        <color rgb="FF63BE7B"/>
      </colorScale>
    </cfRule>
  </conditionalFormatting>
  <conditionalFormatting sqref="F21:F28">
    <cfRule type="colorScale" priority="5255">
      <colorScale>
        <cfvo type="min"/>
        <cfvo type="percentile" val="50"/>
        <cfvo type="max"/>
        <color rgb="FFF8696B"/>
        <color rgb="FFFFEB84"/>
        <color rgb="FF63BE7B"/>
      </colorScale>
    </cfRule>
  </conditionalFormatting>
  <conditionalFormatting sqref="F21:F28">
    <cfRule type="colorScale" priority="5254">
      <colorScale>
        <cfvo type="min"/>
        <cfvo type="percentile" val="50"/>
        <cfvo type="max"/>
        <color rgb="FFF8696B"/>
        <color rgb="FFFFEB84"/>
        <color rgb="FF63BE7B"/>
      </colorScale>
    </cfRule>
  </conditionalFormatting>
  <conditionalFormatting sqref="F21:F28">
    <cfRule type="colorScale" priority="5253">
      <colorScale>
        <cfvo type="min"/>
        <cfvo type="percentile" val="50"/>
        <cfvo type="max"/>
        <color rgb="FFF8696B"/>
        <color rgb="FFFFEB84"/>
        <color rgb="FF63BE7B"/>
      </colorScale>
    </cfRule>
  </conditionalFormatting>
  <conditionalFormatting sqref="F21:F28">
    <cfRule type="colorScale" priority="5252">
      <colorScale>
        <cfvo type="min"/>
        <cfvo type="percentile" val="50"/>
        <cfvo type="max"/>
        <color rgb="FFF8696B"/>
        <color rgb="FFFFEB84"/>
        <color rgb="FF63BE7B"/>
      </colorScale>
    </cfRule>
  </conditionalFormatting>
  <conditionalFormatting sqref="F21:F28">
    <cfRule type="colorScale" priority="5251">
      <colorScale>
        <cfvo type="min"/>
        <cfvo type="percentile" val="50"/>
        <cfvo type="max"/>
        <color rgb="FFF8696B"/>
        <color rgb="FFFFEB84"/>
        <color rgb="FF63BE7B"/>
      </colorScale>
    </cfRule>
  </conditionalFormatting>
  <conditionalFormatting sqref="F21:F28">
    <cfRule type="colorScale" priority="5250">
      <colorScale>
        <cfvo type="min"/>
        <cfvo type="percentile" val="50"/>
        <cfvo type="max"/>
        <color rgb="FFF8696B"/>
        <color rgb="FFFFEB84"/>
        <color rgb="FF63BE7B"/>
      </colorScale>
    </cfRule>
  </conditionalFormatting>
  <conditionalFormatting sqref="F21:F28">
    <cfRule type="colorScale" priority="5249">
      <colorScale>
        <cfvo type="min"/>
        <cfvo type="percentile" val="50"/>
        <cfvo type="max"/>
        <color rgb="FFF8696B"/>
        <color rgb="FFFFEB84"/>
        <color rgb="FF63BE7B"/>
      </colorScale>
    </cfRule>
  </conditionalFormatting>
  <conditionalFormatting sqref="F21:F28">
    <cfRule type="colorScale" priority="5248">
      <colorScale>
        <cfvo type="min"/>
        <cfvo type="percentile" val="50"/>
        <cfvo type="max"/>
        <color rgb="FFF8696B"/>
        <color rgb="FFFFEB84"/>
        <color rgb="FF63BE7B"/>
      </colorScale>
    </cfRule>
  </conditionalFormatting>
  <conditionalFormatting sqref="F21:F28">
    <cfRule type="colorScale" priority="5247">
      <colorScale>
        <cfvo type="min"/>
        <cfvo type="percentile" val="50"/>
        <cfvo type="max"/>
        <color rgb="FFF8696B"/>
        <color rgb="FFFFEB84"/>
        <color rgb="FF63BE7B"/>
      </colorScale>
    </cfRule>
  </conditionalFormatting>
  <conditionalFormatting sqref="F21:F28">
    <cfRule type="colorScale" priority="5246">
      <colorScale>
        <cfvo type="min"/>
        <cfvo type="percentile" val="50"/>
        <cfvo type="max"/>
        <color rgb="FFF8696B"/>
        <color rgb="FFFFEB84"/>
        <color rgb="FF63BE7B"/>
      </colorScale>
    </cfRule>
  </conditionalFormatting>
  <conditionalFormatting sqref="F21:F28">
    <cfRule type="colorScale" priority="5245">
      <colorScale>
        <cfvo type="min"/>
        <cfvo type="percentile" val="50"/>
        <cfvo type="max"/>
        <color rgb="FFF8696B"/>
        <color rgb="FFFFEB84"/>
        <color rgb="FF63BE7B"/>
      </colorScale>
    </cfRule>
  </conditionalFormatting>
  <conditionalFormatting sqref="F21:F28">
    <cfRule type="colorScale" priority="5244">
      <colorScale>
        <cfvo type="min"/>
        <cfvo type="percentile" val="50"/>
        <cfvo type="max"/>
        <color rgb="FFF8696B"/>
        <color rgb="FFFFEB84"/>
        <color rgb="FF63BE7B"/>
      </colorScale>
    </cfRule>
  </conditionalFormatting>
  <conditionalFormatting sqref="F21:F28">
    <cfRule type="colorScale" priority="5243">
      <colorScale>
        <cfvo type="min"/>
        <cfvo type="percentile" val="50"/>
        <cfvo type="max"/>
        <color rgb="FFF8696B"/>
        <color rgb="FFFFEB84"/>
        <color rgb="FF63BE7B"/>
      </colorScale>
    </cfRule>
  </conditionalFormatting>
  <conditionalFormatting sqref="F21:F28">
    <cfRule type="colorScale" priority="5242">
      <colorScale>
        <cfvo type="min"/>
        <cfvo type="percentile" val="50"/>
        <cfvo type="max"/>
        <color rgb="FFF8696B"/>
        <color rgb="FFFFEB84"/>
        <color rgb="FF63BE7B"/>
      </colorScale>
    </cfRule>
  </conditionalFormatting>
  <conditionalFormatting sqref="F29:F32">
    <cfRule type="colorScale" priority="5241">
      <colorScale>
        <cfvo type="min"/>
        <cfvo type="percentile" val="50"/>
        <cfvo type="max"/>
        <color rgb="FFF8696B"/>
        <color rgb="FFFFEB84"/>
        <color rgb="FF63BE7B"/>
      </colorScale>
    </cfRule>
  </conditionalFormatting>
  <conditionalFormatting sqref="F29:F32">
    <cfRule type="colorScale" priority="5240">
      <colorScale>
        <cfvo type="min"/>
        <cfvo type="percentile" val="50"/>
        <cfvo type="max"/>
        <color rgb="FFF8696B"/>
        <color rgb="FFFFEB84"/>
        <color rgb="FF63BE7B"/>
      </colorScale>
    </cfRule>
  </conditionalFormatting>
  <conditionalFormatting sqref="F29:F32">
    <cfRule type="colorScale" priority="5239">
      <colorScale>
        <cfvo type="min"/>
        <cfvo type="percentile" val="50"/>
        <cfvo type="max"/>
        <color rgb="FFF8696B"/>
        <color rgb="FFFFEB84"/>
        <color rgb="FF63BE7B"/>
      </colorScale>
    </cfRule>
  </conditionalFormatting>
  <conditionalFormatting sqref="F29:F32">
    <cfRule type="colorScale" priority="5238">
      <colorScale>
        <cfvo type="min"/>
        <cfvo type="percentile" val="50"/>
        <cfvo type="max"/>
        <color rgb="FFF8696B"/>
        <color rgb="FFFFEB84"/>
        <color rgb="FF63BE7B"/>
      </colorScale>
    </cfRule>
  </conditionalFormatting>
  <conditionalFormatting sqref="F29:F32">
    <cfRule type="colorScale" priority="5237">
      <colorScale>
        <cfvo type="min"/>
        <cfvo type="percentile" val="50"/>
        <cfvo type="max"/>
        <color rgb="FFF8696B"/>
        <color rgb="FFFFEB84"/>
        <color rgb="FF63BE7B"/>
      </colorScale>
    </cfRule>
  </conditionalFormatting>
  <conditionalFormatting sqref="F29:F32">
    <cfRule type="colorScale" priority="5236">
      <colorScale>
        <cfvo type="min"/>
        <cfvo type="percentile" val="50"/>
        <cfvo type="max"/>
        <color rgb="FFF8696B"/>
        <color rgb="FFFFEB84"/>
        <color rgb="FF63BE7B"/>
      </colorScale>
    </cfRule>
  </conditionalFormatting>
  <conditionalFormatting sqref="F29:F32">
    <cfRule type="colorScale" priority="5235">
      <colorScale>
        <cfvo type="min"/>
        <cfvo type="percentile" val="50"/>
        <cfvo type="max"/>
        <color rgb="FFF8696B"/>
        <color rgb="FFFFEB84"/>
        <color rgb="FF63BE7B"/>
      </colorScale>
    </cfRule>
  </conditionalFormatting>
  <conditionalFormatting sqref="F29:F32">
    <cfRule type="colorScale" priority="5234">
      <colorScale>
        <cfvo type="min"/>
        <cfvo type="percentile" val="50"/>
        <cfvo type="max"/>
        <color rgb="FFF8696B"/>
        <color rgb="FFFFEB84"/>
        <color rgb="FF63BE7B"/>
      </colorScale>
    </cfRule>
  </conditionalFormatting>
  <conditionalFormatting sqref="F29:F32">
    <cfRule type="colorScale" priority="5233">
      <colorScale>
        <cfvo type="min"/>
        <cfvo type="percentile" val="50"/>
        <cfvo type="max"/>
        <color rgb="FFF8696B"/>
        <color rgb="FFFFEB84"/>
        <color rgb="FF63BE7B"/>
      </colorScale>
    </cfRule>
  </conditionalFormatting>
  <conditionalFormatting sqref="F29:F32">
    <cfRule type="colorScale" priority="5232">
      <colorScale>
        <cfvo type="min"/>
        <cfvo type="percentile" val="50"/>
        <cfvo type="max"/>
        <color rgb="FFF8696B"/>
        <color rgb="FFFFEB84"/>
        <color rgb="FF63BE7B"/>
      </colorScale>
    </cfRule>
  </conditionalFormatting>
  <conditionalFormatting sqref="F29:F32">
    <cfRule type="colorScale" priority="5231">
      <colorScale>
        <cfvo type="min"/>
        <cfvo type="percentile" val="50"/>
        <cfvo type="max"/>
        <color rgb="FFF8696B"/>
        <color rgb="FFFFEB84"/>
        <color rgb="FF63BE7B"/>
      </colorScale>
    </cfRule>
  </conditionalFormatting>
  <conditionalFormatting sqref="F29:F32">
    <cfRule type="colorScale" priority="5230">
      <colorScale>
        <cfvo type="min"/>
        <cfvo type="percentile" val="50"/>
        <cfvo type="max"/>
        <color rgb="FFF8696B"/>
        <color rgb="FFFFEB84"/>
        <color rgb="FF63BE7B"/>
      </colorScale>
    </cfRule>
  </conditionalFormatting>
  <conditionalFormatting sqref="F29:F32">
    <cfRule type="colorScale" priority="5229">
      <colorScale>
        <cfvo type="min"/>
        <cfvo type="percentile" val="50"/>
        <cfvo type="max"/>
        <color rgb="FFF8696B"/>
        <color rgb="FFFFEB84"/>
        <color rgb="FF63BE7B"/>
      </colorScale>
    </cfRule>
  </conditionalFormatting>
  <conditionalFormatting sqref="F29:F32">
    <cfRule type="colorScale" priority="5228">
      <colorScale>
        <cfvo type="min"/>
        <cfvo type="percentile" val="50"/>
        <cfvo type="max"/>
        <color rgb="FFF8696B"/>
        <color rgb="FFFFEB84"/>
        <color rgb="FF63BE7B"/>
      </colorScale>
    </cfRule>
  </conditionalFormatting>
  <conditionalFormatting sqref="F29:F32">
    <cfRule type="colorScale" priority="5227">
      <colorScale>
        <cfvo type="min"/>
        <cfvo type="percentile" val="50"/>
        <cfvo type="max"/>
        <color rgb="FFF8696B"/>
        <color rgb="FFFFEB84"/>
        <color rgb="FF63BE7B"/>
      </colorScale>
    </cfRule>
  </conditionalFormatting>
  <conditionalFormatting sqref="F29:F32">
    <cfRule type="colorScale" priority="5226">
      <colorScale>
        <cfvo type="min"/>
        <cfvo type="percentile" val="50"/>
        <cfvo type="max"/>
        <color rgb="FFF8696B"/>
        <color rgb="FFFFEB84"/>
        <color rgb="FF63BE7B"/>
      </colorScale>
    </cfRule>
  </conditionalFormatting>
  <conditionalFormatting sqref="F29:F32">
    <cfRule type="colorScale" priority="5225">
      <colorScale>
        <cfvo type="min"/>
        <cfvo type="percentile" val="50"/>
        <cfvo type="max"/>
        <color rgb="FFF8696B"/>
        <color rgb="FFFFEB84"/>
        <color rgb="FF63BE7B"/>
      </colorScale>
    </cfRule>
  </conditionalFormatting>
  <conditionalFormatting sqref="F29:F32">
    <cfRule type="colorScale" priority="5224">
      <colorScale>
        <cfvo type="min"/>
        <cfvo type="percentile" val="50"/>
        <cfvo type="max"/>
        <color rgb="FFF8696B"/>
        <color rgb="FFFFEB84"/>
        <color rgb="FF63BE7B"/>
      </colorScale>
    </cfRule>
  </conditionalFormatting>
  <conditionalFormatting sqref="F29:F32">
    <cfRule type="colorScale" priority="5223">
      <colorScale>
        <cfvo type="min"/>
        <cfvo type="percentile" val="50"/>
        <cfvo type="max"/>
        <color rgb="FFF8696B"/>
        <color rgb="FFFFEB84"/>
        <color rgb="FF63BE7B"/>
      </colorScale>
    </cfRule>
  </conditionalFormatting>
  <conditionalFormatting sqref="F29:F32">
    <cfRule type="colorScale" priority="5222">
      <colorScale>
        <cfvo type="min"/>
        <cfvo type="percentile" val="50"/>
        <cfvo type="max"/>
        <color rgb="FFF8696B"/>
        <color rgb="FFFFEB84"/>
        <color rgb="FF63BE7B"/>
      </colorScale>
    </cfRule>
  </conditionalFormatting>
  <conditionalFormatting sqref="F29:F32">
    <cfRule type="colorScale" priority="5221">
      <colorScale>
        <cfvo type="min"/>
        <cfvo type="percentile" val="50"/>
        <cfvo type="max"/>
        <color rgb="FFF8696B"/>
        <color rgb="FFFFEB84"/>
        <color rgb="FF63BE7B"/>
      </colorScale>
    </cfRule>
  </conditionalFormatting>
  <conditionalFormatting sqref="F29:F32">
    <cfRule type="colorScale" priority="5220">
      <colorScale>
        <cfvo type="min"/>
        <cfvo type="percentile" val="50"/>
        <cfvo type="max"/>
        <color rgb="FFF8696B"/>
        <color rgb="FFFFEB84"/>
        <color rgb="FF63BE7B"/>
      </colorScale>
    </cfRule>
  </conditionalFormatting>
  <conditionalFormatting sqref="F29:F32">
    <cfRule type="colorScale" priority="5219">
      <colorScale>
        <cfvo type="min"/>
        <cfvo type="percentile" val="50"/>
        <cfvo type="max"/>
        <color rgb="FFF8696B"/>
        <color rgb="FFFFEB84"/>
        <color rgb="FF63BE7B"/>
      </colorScale>
    </cfRule>
  </conditionalFormatting>
  <conditionalFormatting sqref="F29:F32">
    <cfRule type="colorScale" priority="5218">
      <colorScale>
        <cfvo type="min"/>
        <cfvo type="percentile" val="50"/>
        <cfvo type="max"/>
        <color rgb="FFF8696B"/>
        <color rgb="FFFFEB84"/>
        <color rgb="FF63BE7B"/>
      </colorScale>
    </cfRule>
  </conditionalFormatting>
  <conditionalFormatting sqref="F29:F32">
    <cfRule type="colorScale" priority="5217">
      <colorScale>
        <cfvo type="min"/>
        <cfvo type="percentile" val="50"/>
        <cfvo type="max"/>
        <color rgb="FFF8696B"/>
        <color rgb="FFFFEB84"/>
        <color rgb="FF63BE7B"/>
      </colorScale>
    </cfRule>
  </conditionalFormatting>
  <conditionalFormatting sqref="F29:F32">
    <cfRule type="colorScale" priority="5216">
      <colorScale>
        <cfvo type="min"/>
        <cfvo type="percentile" val="50"/>
        <cfvo type="max"/>
        <color rgb="FFF8696B"/>
        <color rgb="FFFFEB84"/>
        <color rgb="FF63BE7B"/>
      </colorScale>
    </cfRule>
  </conditionalFormatting>
  <conditionalFormatting sqref="F29:F32">
    <cfRule type="colorScale" priority="5215">
      <colorScale>
        <cfvo type="min"/>
        <cfvo type="percentile" val="50"/>
        <cfvo type="max"/>
        <color rgb="FFF8696B"/>
        <color rgb="FFFFEB84"/>
        <color rgb="FF63BE7B"/>
      </colorScale>
    </cfRule>
  </conditionalFormatting>
  <conditionalFormatting sqref="F29:F32">
    <cfRule type="colorScale" priority="5214">
      <colorScale>
        <cfvo type="min"/>
        <cfvo type="percentile" val="50"/>
        <cfvo type="max"/>
        <color rgb="FFF8696B"/>
        <color rgb="FFFFEB84"/>
        <color rgb="FF63BE7B"/>
      </colorScale>
    </cfRule>
  </conditionalFormatting>
  <conditionalFormatting sqref="F29:F32">
    <cfRule type="colorScale" priority="5213">
      <colorScale>
        <cfvo type="min"/>
        <cfvo type="percentile" val="50"/>
        <cfvo type="max"/>
        <color rgb="FFF8696B"/>
        <color rgb="FFFFEB84"/>
        <color rgb="FF63BE7B"/>
      </colorScale>
    </cfRule>
  </conditionalFormatting>
  <conditionalFormatting sqref="F29:F32">
    <cfRule type="colorScale" priority="5212">
      <colorScale>
        <cfvo type="min"/>
        <cfvo type="percentile" val="50"/>
        <cfvo type="max"/>
        <color rgb="FFF8696B"/>
        <color rgb="FFFFEB84"/>
        <color rgb="FF63BE7B"/>
      </colorScale>
    </cfRule>
  </conditionalFormatting>
  <conditionalFormatting sqref="F29:F32">
    <cfRule type="colorScale" priority="5211">
      <colorScale>
        <cfvo type="min"/>
        <cfvo type="percentile" val="50"/>
        <cfvo type="max"/>
        <color rgb="FFF8696B"/>
        <color rgb="FFFFEB84"/>
        <color rgb="FF63BE7B"/>
      </colorScale>
    </cfRule>
  </conditionalFormatting>
  <conditionalFormatting sqref="F29:F32">
    <cfRule type="colorScale" priority="5210">
      <colorScale>
        <cfvo type="min"/>
        <cfvo type="percentile" val="50"/>
        <cfvo type="max"/>
        <color rgb="FFF8696B"/>
        <color rgb="FFFFEB84"/>
        <color rgb="FF63BE7B"/>
      </colorScale>
    </cfRule>
  </conditionalFormatting>
  <conditionalFormatting sqref="F29:F32">
    <cfRule type="colorScale" priority="5209">
      <colorScale>
        <cfvo type="min"/>
        <cfvo type="percentile" val="50"/>
        <cfvo type="max"/>
        <color rgb="FFF8696B"/>
        <color rgb="FFFFEB84"/>
        <color rgb="FF63BE7B"/>
      </colorScale>
    </cfRule>
  </conditionalFormatting>
  <conditionalFormatting sqref="F29:F32">
    <cfRule type="colorScale" priority="5208">
      <colorScale>
        <cfvo type="min"/>
        <cfvo type="percentile" val="50"/>
        <cfvo type="max"/>
        <color rgb="FFF8696B"/>
        <color rgb="FFFFEB84"/>
        <color rgb="FF63BE7B"/>
      </colorScale>
    </cfRule>
  </conditionalFormatting>
  <conditionalFormatting sqref="F29:F32">
    <cfRule type="colorScale" priority="5207">
      <colorScale>
        <cfvo type="min"/>
        <cfvo type="percentile" val="50"/>
        <cfvo type="max"/>
        <color rgb="FFF8696B"/>
        <color rgb="FFFFEB84"/>
        <color rgb="FF63BE7B"/>
      </colorScale>
    </cfRule>
  </conditionalFormatting>
  <conditionalFormatting sqref="F29:F32">
    <cfRule type="colorScale" priority="5206">
      <colorScale>
        <cfvo type="min"/>
        <cfvo type="percentile" val="50"/>
        <cfvo type="max"/>
        <color rgb="FFF8696B"/>
        <color rgb="FFFFEB84"/>
        <color rgb="FF63BE7B"/>
      </colorScale>
    </cfRule>
  </conditionalFormatting>
  <conditionalFormatting sqref="F29:F32">
    <cfRule type="colorScale" priority="5205">
      <colorScale>
        <cfvo type="min"/>
        <cfvo type="percentile" val="50"/>
        <cfvo type="max"/>
        <color rgb="FFF8696B"/>
        <color rgb="FFFFEB84"/>
        <color rgb="FF63BE7B"/>
      </colorScale>
    </cfRule>
  </conditionalFormatting>
  <conditionalFormatting sqref="F29:F32">
    <cfRule type="colorScale" priority="5204">
      <colorScale>
        <cfvo type="min"/>
        <cfvo type="percentile" val="50"/>
        <cfvo type="max"/>
        <color rgb="FFF8696B"/>
        <color rgb="FFFFEB84"/>
        <color rgb="FF63BE7B"/>
      </colorScale>
    </cfRule>
  </conditionalFormatting>
  <conditionalFormatting sqref="F29:F32">
    <cfRule type="colorScale" priority="5203">
      <colorScale>
        <cfvo type="min"/>
        <cfvo type="percentile" val="50"/>
        <cfvo type="max"/>
        <color rgb="FFF8696B"/>
        <color rgb="FFFFEB84"/>
        <color rgb="FF63BE7B"/>
      </colorScale>
    </cfRule>
  </conditionalFormatting>
  <conditionalFormatting sqref="F29:F32">
    <cfRule type="colorScale" priority="5202">
      <colorScale>
        <cfvo type="min"/>
        <cfvo type="percentile" val="50"/>
        <cfvo type="max"/>
        <color rgb="FFF8696B"/>
        <color rgb="FFFFEB84"/>
        <color rgb="FF63BE7B"/>
      </colorScale>
    </cfRule>
  </conditionalFormatting>
  <conditionalFormatting sqref="F29:F32">
    <cfRule type="colorScale" priority="5201">
      <colorScale>
        <cfvo type="min"/>
        <cfvo type="percentile" val="50"/>
        <cfvo type="max"/>
        <color rgb="FFF8696B"/>
        <color rgb="FFFFEB84"/>
        <color rgb="FF63BE7B"/>
      </colorScale>
    </cfRule>
  </conditionalFormatting>
  <conditionalFormatting sqref="F29:F32">
    <cfRule type="colorScale" priority="5200">
      <colorScale>
        <cfvo type="min"/>
        <cfvo type="percentile" val="50"/>
        <cfvo type="max"/>
        <color rgb="FFF8696B"/>
        <color rgb="FFFFEB84"/>
        <color rgb="FF63BE7B"/>
      </colorScale>
    </cfRule>
  </conditionalFormatting>
  <conditionalFormatting sqref="F29:F32">
    <cfRule type="colorScale" priority="5199">
      <colorScale>
        <cfvo type="min"/>
        <cfvo type="percentile" val="50"/>
        <cfvo type="max"/>
        <color rgb="FFF8696B"/>
        <color rgb="FFFFEB84"/>
        <color rgb="FF63BE7B"/>
      </colorScale>
    </cfRule>
  </conditionalFormatting>
  <conditionalFormatting sqref="F29:F32">
    <cfRule type="colorScale" priority="5198">
      <colorScale>
        <cfvo type="min"/>
        <cfvo type="percentile" val="50"/>
        <cfvo type="max"/>
        <color rgb="FFF8696B"/>
        <color rgb="FFFFEB84"/>
        <color rgb="FF63BE7B"/>
      </colorScale>
    </cfRule>
  </conditionalFormatting>
  <conditionalFormatting sqref="F29:F32">
    <cfRule type="colorScale" priority="5197">
      <colorScale>
        <cfvo type="min"/>
        <cfvo type="percentile" val="50"/>
        <cfvo type="max"/>
        <color rgb="FFF8696B"/>
        <color rgb="FFFFEB84"/>
        <color rgb="FF63BE7B"/>
      </colorScale>
    </cfRule>
  </conditionalFormatting>
  <conditionalFormatting sqref="F29:F32">
    <cfRule type="colorScale" priority="5196">
      <colorScale>
        <cfvo type="min"/>
        <cfvo type="percentile" val="50"/>
        <cfvo type="max"/>
        <color rgb="FFF8696B"/>
        <color rgb="FFFFEB84"/>
        <color rgb="FF63BE7B"/>
      </colorScale>
    </cfRule>
  </conditionalFormatting>
  <conditionalFormatting sqref="F29:F32">
    <cfRule type="colorScale" priority="5195">
      <colorScale>
        <cfvo type="min"/>
        <cfvo type="percentile" val="50"/>
        <cfvo type="max"/>
        <color rgb="FFF8696B"/>
        <color rgb="FFFFEB84"/>
        <color rgb="FF63BE7B"/>
      </colorScale>
    </cfRule>
  </conditionalFormatting>
  <conditionalFormatting sqref="F29:F32">
    <cfRule type="colorScale" priority="5194">
      <colorScale>
        <cfvo type="min"/>
        <cfvo type="percentile" val="50"/>
        <cfvo type="max"/>
        <color rgb="FFF8696B"/>
        <color rgb="FFFFEB84"/>
        <color rgb="FF63BE7B"/>
      </colorScale>
    </cfRule>
  </conditionalFormatting>
  <conditionalFormatting sqref="F29:F32">
    <cfRule type="colorScale" priority="5193">
      <colorScale>
        <cfvo type="min"/>
        <cfvo type="percentile" val="50"/>
        <cfvo type="max"/>
        <color rgb="FFF8696B"/>
        <color rgb="FFFFEB84"/>
        <color rgb="FF63BE7B"/>
      </colorScale>
    </cfRule>
  </conditionalFormatting>
  <conditionalFormatting sqref="F29:F32">
    <cfRule type="colorScale" priority="5192">
      <colorScale>
        <cfvo type="min"/>
        <cfvo type="percentile" val="50"/>
        <cfvo type="max"/>
        <color rgb="FFF8696B"/>
        <color rgb="FFFFEB84"/>
        <color rgb="FF63BE7B"/>
      </colorScale>
    </cfRule>
  </conditionalFormatting>
  <conditionalFormatting sqref="F29:F32">
    <cfRule type="colorScale" priority="5191">
      <colorScale>
        <cfvo type="min"/>
        <cfvo type="percentile" val="50"/>
        <cfvo type="max"/>
        <color rgb="FFF8696B"/>
        <color rgb="FFFFEB84"/>
        <color rgb="FF63BE7B"/>
      </colorScale>
    </cfRule>
  </conditionalFormatting>
  <conditionalFormatting sqref="F29:F32">
    <cfRule type="colorScale" priority="5190">
      <colorScale>
        <cfvo type="min"/>
        <cfvo type="percentile" val="50"/>
        <cfvo type="max"/>
        <color rgb="FFF8696B"/>
        <color rgb="FFFFEB84"/>
        <color rgb="FF63BE7B"/>
      </colorScale>
    </cfRule>
  </conditionalFormatting>
  <conditionalFormatting sqref="F29:F32">
    <cfRule type="colorScale" priority="5189">
      <colorScale>
        <cfvo type="min"/>
        <cfvo type="percentile" val="50"/>
        <cfvo type="max"/>
        <color rgb="FFF8696B"/>
        <color rgb="FFFFEB84"/>
        <color rgb="FF63BE7B"/>
      </colorScale>
    </cfRule>
  </conditionalFormatting>
  <conditionalFormatting sqref="F29:F32">
    <cfRule type="colorScale" priority="5188">
      <colorScale>
        <cfvo type="min"/>
        <cfvo type="percentile" val="50"/>
        <cfvo type="max"/>
        <color rgb="FFF8696B"/>
        <color rgb="FFFFEB84"/>
        <color rgb="FF63BE7B"/>
      </colorScale>
    </cfRule>
  </conditionalFormatting>
  <conditionalFormatting sqref="F29:F32">
    <cfRule type="colorScale" priority="5187">
      <colorScale>
        <cfvo type="min"/>
        <cfvo type="percentile" val="50"/>
        <cfvo type="max"/>
        <color rgb="FFF8696B"/>
        <color rgb="FFFFEB84"/>
        <color rgb="FF63BE7B"/>
      </colorScale>
    </cfRule>
  </conditionalFormatting>
  <conditionalFormatting sqref="F29:F32">
    <cfRule type="colorScale" priority="5186">
      <colorScale>
        <cfvo type="min"/>
        <cfvo type="percentile" val="50"/>
        <cfvo type="max"/>
        <color rgb="FFF8696B"/>
        <color rgb="FFFFEB84"/>
        <color rgb="FF63BE7B"/>
      </colorScale>
    </cfRule>
  </conditionalFormatting>
  <conditionalFormatting sqref="F29:F32">
    <cfRule type="colorScale" priority="5185">
      <colorScale>
        <cfvo type="min"/>
        <cfvo type="percentile" val="50"/>
        <cfvo type="max"/>
        <color rgb="FFF8696B"/>
        <color rgb="FFFFEB84"/>
        <color rgb="FF63BE7B"/>
      </colorScale>
    </cfRule>
  </conditionalFormatting>
  <conditionalFormatting sqref="F29:F32">
    <cfRule type="colorScale" priority="5184">
      <colorScale>
        <cfvo type="min"/>
        <cfvo type="percentile" val="50"/>
        <cfvo type="max"/>
        <color rgb="FFF8696B"/>
        <color rgb="FFFFEB84"/>
        <color rgb="FF63BE7B"/>
      </colorScale>
    </cfRule>
  </conditionalFormatting>
  <conditionalFormatting sqref="F29:F32">
    <cfRule type="colorScale" priority="5183">
      <colorScale>
        <cfvo type="min"/>
        <cfvo type="percentile" val="50"/>
        <cfvo type="max"/>
        <color rgb="FFF8696B"/>
        <color rgb="FFFFEB84"/>
        <color rgb="FF63BE7B"/>
      </colorScale>
    </cfRule>
  </conditionalFormatting>
  <conditionalFormatting sqref="F29:F32">
    <cfRule type="colorScale" priority="5182">
      <colorScale>
        <cfvo type="min"/>
        <cfvo type="percentile" val="50"/>
        <cfvo type="max"/>
        <color rgb="FFF8696B"/>
        <color rgb="FFFFEB84"/>
        <color rgb="FF63BE7B"/>
      </colorScale>
    </cfRule>
  </conditionalFormatting>
  <conditionalFormatting sqref="F29:F32">
    <cfRule type="colorScale" priority="5181">
      <colorScale>
        <cfvo type="min"/>
        <cfvo type="percentile" val="50"/>
        <cfvo type="max"/>
        <color rgb="FFF8696B"/>
        <color rgb="FFFFEB84"/>
        <color rgb="FF63BE7B"/>
      </colorScale>
    </cfRule>
  </conditionalFormatting>
  <conditionalFormatting sqref="F29:F32">
    <cfRule type="colorScale" priority="5180">
      <colorScale>
        <cfvo type="min"/>
        <cfvo type="percentile" val="50"/>
        <cfvo type="max"/>
        <color rgb="FFF8696B"/>
        <color rgb="FFFFEB84"/>
        <color rgb="FF63BE7B"/>
      </colorScale>
    </cfRule>
  </conditionalFormatting>
  <conditionalFormatting sqref="F29:F32">
    <cfRule type="colorScale" priority="5179">
      <colorScale>
        <cfvo type="min"/>
        <cfvo type="percentile" val="50"/>
        <cfvo type="max"/>
        <color rgb="FFF8696B"/>
        <color rgb="FFFFEB84"/>
        <color rgb="FF63BE7B"/>
      </colorScale>
    </cfRule>
  </conditionalFormatting>
  <conditionalFormatting sqref="F29:F32">
    <cfRule type="colorScale" priority="5178">
      <colorScale>
        <cfvo type="min"/>
        <cfvo type="percentile" val="50"/>
        <cfvo type="max"/>
        <color rgb="FFF8696B"/>
        <color rgb="FFFFEB84"/>
        <color rgb="FF63BE7B"/>
      </colorScale>
    </cfRule>
  </conditionalFormatting>
  <conditionalFormatting sqref="F29:F32">
    <cfRule type="colorScale" priority="5177">
      <colorScale>
        <cfvo type="min"/>
        <cfvo type="percentile" val="50"/>
        <cfvo type="max"/>
        <color rgb="FFF8696B"/>
        <color rgb="FFFFEB84"/>
        <color rgb="FF63BE7B"/>
      </colorScale>
    </cfRule>
  </conditionalFormatting>
  <conditionalFormatting sqref="F29:F32">
    <cfRule type="colorScale" priority="5176">
      <colorScale>
        <cfvo type="min"/>
        <cfvo type="percentile" val="50"/>
        <cfvo type="max"/>
        <color rgb="FFF8696B"/>
        <color rgb="FFFFEB84"/>
        <color rgb="FF63BE7B"/>
      </colorScale>
    </cfRule>
  </conditionalFormatting>
  <conditionalFormatting sqref="F29:F32">
    <cfRule type="colorScale" priority="5175">
      <colorScale>
        <cfvo type="min"/>
        <cfvo type="percentile" val="50"/>
        <cfvo type="max"/>
        <color rgb="FFF8696B"/>
        <color rgb="FFFFEB84"/>
        <color rgb="FF63BE7B"/>
      </colorScale>
    </cfRule>
  </conditionalFormatting>
  <conditionalFormatting sqref="F29:F32">
    <cfRule type="colorScale" priority="5174">
      <colorScale>
        <cfvo type="min"/>
        <cfvo type="percentile" val="50"/>
        <cfvo type="max"/>
        <color rgb="FFF8696B"/>
        <color rgb="FFFFEB84"/>
        <color rgb="FF63BE7B"/>
      </colorScale>
    </cfRule>
  </conditionalFormatting>
  <conditionalFormatting sqref="F29:F32">
    <cfRule type="colorScale" priority="5173">
      <colorScale>
        <cfvo type="min"/>
        <cfvo type="percentile" val="50"/>
        <cfvo type="max"/>
        <color rgb="FFF8696B"/>
        <color rgb="FFFFEB84"/>
        <color rgb="FF63BE7B"/>
      </colorScale>
    </cfRule>
  </conditionalFormatting>
  <conditionalFormatting sqref="F29:F32">
    <cfRule type="colorScale" priority="5172">
      <colorScale>
        <cfvo type="min"/>
        <cfvo type="percentile" val="50"/>
        <cfvo type="max"/>
        <color rgb="FFF8696B"/>
        <color rgb="FFFFEB84"/>
        <color rgb="FF63BE7B"/>
      </colorScale>
    </cfRule>
  </conditionalFormatting>
  <conditionalFormatting sqref="F29:F32">
    <cfRule type="colorScale" priority="5171">
      <colorScale>
        <cfvo type="min"/>
        <cfvo type="percentile" val="50"/>
        <cfvo type="max"/>
        <color rgb="FFF8696B"/>
        <color rgb="FFFFEB84"/>
        <color rgb="FF63BE7B"/>
      </colorScale>
    </cfRule>
  </conditionalFormatting>
  <conditionalFormatting sqref="F29:F32">
    <cfRule type="colorScale" priority="5170">
      <colorScale>
        <cfvo type="min"/>
        <cfvo type="percentile" val="50"/>
        <cfvo type="max"/>
        <color rgb="FFF8696B"/>
        <color rgb="FFFFEB84"/>
        <color rgb="FF63BE7B"/>
      </colorScale>
    </cfRule>
  </conditionalFormatting>
  <conditionalFormatting sqref="F29:F32">
    <cfRule type="colorScale" priority="5169">
      <colorScale>
        <cfvo type="min"/>
        <cfvo type="percentile" val="50"/>
        <cfvo type="max"/>
        <color rgb="FFF8696B"/>
        <color rgb="FFFFEB84"/>
        <color rgb="FF63BE7B"/>
      </colorScale>
    </cfRule>
  </conditionalFormatting>
  <conditionalFormatting sqref="F29:F32">
    <cfRule type="colorScale" priority="5168">
      <colorScale>
        <cfvo type="min"/>
        <cfvo type="percentile" val="50"/>
        <cfvo type="max"/>
        <color rgb="FFF8696B"/>
        <color rgb="FFFFEB84"/>
        <color rgb="FF63BE7B"/>
      </colorScale>
    </cfRule>
  </conditionalFormatting>
  <conditionalFormatting sqref="F29:F32">
    <cfRule type="colorScale" priority="5167">
      <colorScale>
        <cfvo type="min"/>
        <cfvo type="percentile" val="50"/>
        <cfvo type="max"/>
        <color rgb="FFF8696B"/>
        <color rgb="FFFFEB84"/>
        <color rgb="FF63BE7B"/>
      </colorScale>
    </cfRule>
  </conditionalFormatting>
  <conditionalFormatting sqref="F29:F32">
    <cfRule type="colorScale" priority="5166">
      <colorScale>
        <cfvo type="min"/>
        <cfvo type="percentile" val="50"/>
        <cfvo type="max"/>
        <color rgb="FFF8696B"/>
        <color rgb="FFFFEB84"/>
        <color rgb="FF63BE7B"/>
      </colorScale>
    </cfRule>
  </conditionalFormatting>
  <conditionalFormatting sqref="F29:F32">
    <cfRule type="colorScale" priority="5165">
      <colorScale>
        <cfvo type="min"/>
        <cfvo type="percentile" val="50"/>
        <cfvo type="max"/>
        <color rgb="FFF8696B"/>
        <color rgb="FFFFEB84"/>
        <color rgb="FF63BE7B"/>
      </colorScale>
    </cfRule>
  </conditionalFormatting>
  <conditionalFormatting sqref="F29:F32">
    <cfRule type="colorScale" priority="5164">
      <colorScale>
        <cfvo type="min"/>
        <cfvo type="percentile" val="50"/>
        <cfvo type="max"/>
        <color rgb="FFF8696B"/>
        <color rgb="FFFFEB84"/>
        <color rgb="FF63BE7B"/>
      </colorScale>
    </cfRule>
  </conditionalFormatting>
  <conditionalFormatting sqref="F29:F32">
    <cfRule type="colorScale" priority="5163">
      <colorScale>
        <cfvo type="min"/>
        <cfvo type="percentile" val="50"/>
        <cfvo type="max"/>
        <color rgb="FFF8696B"/>
        <color rgb="FFFFEB84"/>
        <color rgb="FF63BE7B"/>
      </colorScale>
    </cfRule>
  </conditionalFormatting>
  <conditionalFormatting sqref="F29:F32">
    <cfRule type="colorScale" priority="5162">
      <colorScale>
        <cfvo type="min"/>
        <cfvo type="percentile" val="50"/>
        <cfvo type="max"/>
        <color rgb="FFF8696B"/>
        <color rgb="FFFFEB84"/>
        <color rgb="FF63BE7B"/>
      </colorScale>
    </cfRule>
  </conditionalFormatting>
  <conditionalFormatting sqref="F29:F32">
    <cfRule type="colorScale" priority="5161">
      <colorScale>
        <cfvo type="min"/>
        <cfvo type="percentile" val="50"/>
        <cfvo type="max"/>
        <color rgb="FFF8696B"/>
        <color rgb="FFFFEB84"/>
        <color rgb="FF63BE7B"/>
      </colorScale>
    </cfRule>
  </conditionalFormatting>
  <conditionalFormatting sqref="F29:F32">
    <cfRule type="colorScale" priority="5160">
      <colorScale>
        <cfvo type="min"/>
        <cfvo type="percentile" val="50"/>
        <cfvo type="max"/>
        <color rgb="FFF8696B"/>
        <color rgb="FFFFEB84"/>
        <color rgb="FF63BE7B"/>
      </colorScale>
    </cfRule>
  </conditionalFormatting>
  <conditionalFormatting sqref="F29:F32">
    <cfRule type="colorScale" priority="5159">
      <colorScale>
        <cfvo type="min"/>
        <cfvo type="percentile" val="50"/>
        <cfvo type="max"/>
        <color rgb="FFF8696B"/>
        <color rgb="FFFFEB84"/>
        <color rgb="FF63BE7B"/>
      </colorScale>
    </cfRule>
  </conditionalFormatting>
  <conditionalFormatting sqref="F29:F32">
    <cfRule type="colorScale" priority="5158">
      <colorScale>
        <cfvo type="min"/>
        <cfvo type="percentile" val="50"/>
        <cfvo type="max"/>
        <color rgb="FFF8696B"/>
        <color rgb="FFFFEB84"/>
        <color rgb="FF63BE7B"/>
      </colorScale>
    </cfRule>
  </conditionalFormatting>
  <conditionalFormatting sqref="F29:F32">
    <cfRule type="colorScale" priority="5157">
      <colorScale>
        <cfvo type="min"/>
        <cfvo type="percentile" val="50"/>
        <cfvo type="max"/>
        <color rgb="FFF8696B"/>
        <color rgb="FFFFEB84"/>
        <color rgb="FF63BE7B"/>
      </colorScale>
    </cfRule>
  </conditionalFormatting>
  <conditionalFormatting sqref="F29:F32">
    <cfRule type="colorScale" priority="5156">
      <colorScale>
        <cfvo type="min"/>
        <cfvo type="percentile" val="50"/>
        <cfvo type="max"/>
        <color rgb="FFF8696B"/>
        <color rgb="FFFFEB84"/>
        <color rgb="FF63BE7B"/>
      </colorScale>
    </cfRule>
  </conditionalFormatting>
  <conditionalFormatting sqref="F29:F32">
    <cfRule type="colorScale" priority="5155">
      <colorScale>
        <cfvo type="min"/>
        <cfvo type="percentile" val="50"/>
        <cfvo type="max"/>
        <color rgb="FFF8696B"/>
        <color rgb="FFFFEB84"/>
        <color rgb="FF63BE7B"/>
      </colorScale>
    </cfRule>
  </conditionalFormatting>
  <conditionalFormatting sqref="F29:F32">
    <cfRule type="colorScale" priority="5154">
      <colorScale>
        <cfvo type="min"/>
        <cfvo type="percentile" val="50"/>
        <cfvo type="max"/>
        <color rgb="FFF8696B"/>
        <color rgb="FFFFEB84"/>
        <color rgb="FF63BE7B"/>
      </colorScale>
    </cfRule>
  </conditionalFormatting>
  <conditionalFormatting sqref="F29:F32">
    <cfRule type="colorScale" priority="5153">
      <colorScale>
        <cfvo type="min"/>
        <cfvo type="percentile" val="50"/>
        <cfvo type="max"/>
        <color rgb="FFF8696B"/>
        <color rgb="FFFFEB84"/>
        <color rgb="FF63BE7B"/>
      </colorScale>
    </cfRule>
  </conditionalFormatting>
  <conditionalFormatting sqref="F29:F32">
    <cfRule type="colorScale" priority="5152">
      <colorScale>
        <cfvo type="min"/>
        <cfvo type="percentile" val="50"/>
        <cfvo type="max"/>
        <color rgb="FFF8696B"/>
        <color rgb="FFFFEB84"/>
        <color rgb="FF63BE7B"/>
      </colorScale>
    </cfRule>
  </conditionalFormatting>
  <conditionalFormatting sqref="F29:F32">
    <cfRule type="colorScale" priority="5151">
      <colorScale>
        <cfvo type="min"/>
        <cfvo type="percentile" val="50"/>
        <cfvo type="max"/>
        <color rgb="FFF8696B"/>
        <color rgb="FFFFEB84"/>
        <color rgb="FF63BE7B"/>
      </colorScale>
    </cfRule>
  </conditionalFormatting>
  <conditionalFormatting sqref="F29:F32">
    <cfRule type="colorScale" priority="5150">
      <colorScale>
        <cfvo type="min"/>
        <cfvo type="percentile" val="50"/>
        <cfvo type="max"/>
        <color rgb="FFF8696B"/>
        <color rgb="FFFFEB84"/>
        <color rgb="FF63BE7B"/>
      </colorScale>
    </cfRule>
  </conditionalFormatting>
  <conditionalFormatting sqref="F29:F32">
    <cfRule type="colorScale" priority="5149">
      <colorScale>
        <cfvo type="min"/>
        <cfvo type="percentile" val="50"/>
        <cfvo type="max"/>
        <color rgb="FFF8696B"/>
        <color rgb="FFFFEB84"/>
        <color rgb="FF63BE7B"/>
      </colorScale>
    </cfRule>
  </conditionalFormatting>
  <conditionalFormatting sqref="F29:F32">
    <cfRule type="colorScale" priority="5148">
      <colorScale>
        <cfvo type="min"/>
        <cfvo type="percentile" val="50"/>
        <cfvo type="max"/>
        <color rgb="FFF8696B"/>
        <color rgb="FFFFEB84"/>
        <color rgb="FF63BE7B"/>
      </colorScale>
    </cfRule>
  </conditionalFormatting>
  <conditionalFormatting sqref="F29:F32">
    <cfRule type="colorScale" priority="5147">
      <colorScale>
        <cfvo type="min"/>
        <cfvo type="percentile" val="50"/>
        <cfvo type="max"/>
        <color rgb="FFF8696B"/>
        <color rgb="FFFFEB84"/>
        <color rgb="FF63BE7B"/>
      </colorScale>
    </cfRule>
  </conditionalFormatting>
  <conditionalFormatting sqref="F29:F32">
    <cfRule type="colorScale" priority="5146">
      <colorScale>
        <cfvo type="min"/>
        <cfvo type="percentile" val="50"/>
        <cfvo type="max"/>
        <color rgb="FFF8696B"/>
        <color rgb="FFFFEB84"/>
        <color rgb="FF63BE7B"/>
      </colorScale>
    </cfRule>
  </conditionalFormatting>
  <conditionalFormatting sqref="F29:F32">
    <cfRule type="colorScale" priority="5145">
      <colorScale>
        <cfvo type="min"/>
        <cfvo type="percentile" val="50"/>
        <cfvo type="max"/>
        <color rgb="FFF8696B"/>
        <color rgb="FFFFEB84"/>
        <color rgb="FF63BE7B"/>
      </colorScale>
    </cfRule>
  </conditionalFormatting>
  <conditionalFormatting sqref="F29:F32">
    <cfRule type="colorScale" priority="5144">
      <colorScale>
        <cfvo type="min"/>
        <cfvo type="percentile" val="50"/>
        <cfvo type="max"/>
        <color rgb="FFF8696B"/>
        <color rgb="FFFFEB84"/>
        <color rgb="FF63BE7B"/>
      </colorScale>
    </cfRule>
  </conditionalFormatting>
  <conditionalFormatting sqref="F29:F32">
    <cfRule type="colorScale" priority="5143">
      <colorScale>
        <cfvo type="min"/>
        <cfvo type="percentile" val="50"/>
        <cfvo type="max"/>
        <color rgb="FFF8696B"/>
        <color rgb="FFFFEB84"/>
        <color rgb="FF63BE7B"/>
      </colorScale>
    </cfRule>
  </conditionalFormatting>
  <conditionalFormatting sqref="F29:F32">
    <cfRule type="colorScale" priority="5142">
      <colorScale>
        <cfvo type="min"/>
        <cfvo type="percentile" val="50"/>
        <cfvo type="max"/>
        <color rgb="FFF8696B"/>
        <color rgb="FFFFEB84"/>
        <color rgb="FF63BE7B"/>
      </colorScale>
    </cfRule>
  </conditionalFormatting>
  <conditionalFormatting sqref="F29:F32">
    <cfRule type="colorScale" priority="5141">
      <colorScale>
        <cfvo type="min"/>
        <cfvo type="percentile" val="50"/>
        <cfvo type="max"/>
        <color rgb="FFF8696B"/>
        <color rgb="FFFFEB84"/>
        <color rgb="FF63BE7B"/>
      </colorScale>
    </cfRule>
  </conditionalFormatting>
  <conditionalFormatting sqref="F29:F32">
    <cfRule type="colorScale" priority="5140">
      <colorScale>
        <cfvo type="min"/>
        <cfvo type="percentile" val="50"/>
        <cfvo type="max"/>
        <color rgb="FFF8696B"/>
        <color rgb="FFFFEB84"/>
        <color rgb="FF63BE7B"/>
      </colorScale>
    </cfRule>
  </conditionalFormatting>
  <conditionalFormatting sqref="F29:F32">
    <cfRule type="colorScale" priority="5139">
      <colorScale>
        <cfvo type="min"/>
        <cfvo type="percentile" val="50"/>
        <cfvo type="max"/>
        <color rgb="FFF8696B"/>
        <color rgb="FFFFEB84"/>
        <color rgb="FF63BE7B"/>
      </colorScale>
    </cfRule>
  </conditionalFormatting>
  <conditionalFormatting sqref="F29:F32">
    <cfRule type="colorScale" priority="5138">
      <colorScale>
        <cfvo type="min"/>
        <cfvo type="percentile" val="50"/>
        <cfvo type="max"/>
        <color rgb="FFF8696B"/>
        <color rgb="FFFFEB84"/>
        <color rgb="FF63BE7B"/>
      </colorScale>
    </cfRule>
  </conditionalFormatting>
  <conditionalFormatting sqref="F29:F32">
    <cfRule type="colorScale" priority="5137">
      <colorScale>
        <cfvo type="min"/>
        <cfvo type="percentile" val="50"/>
        <cfvo type="max"/>
        <color rgb="FFF8696B"/>
        <color rgb="FFFFEB84"/>
        <color rgb="FF63BE7B"/>
      </colorScale>
    </cfRule>
  </conditionalFormatting>
  <conditionalFormatting sqref="F29:F32">
    <cfRule type="colorScale" priority="5136">
      <colorScale>
        <cfvo type="min"/>
        <cfvo type="percentile" val="50"/>
        <cfvo type="max"/>
        <color rgb="FFF8696B"/>
        <color rgb="FFFFEB84"/>
        <color rgb="FF63BE7B"/>
      </colorScale>
    </cfRule>
  </conditionalFormatting>
  <conditionalFormatting sqref="F29:F32">
    <cfRule type="colorScale" priority="5135">
      <colorScale>
        <cfvo type="min"/>
        <cfvo type="percentile" val="50"/>
        <cfvo type="max"/>
        <color rgb="FFF8696B"/>
        <color rgb="FFFFEB84"/>
        <color rgb="FF63BE7B"/>
      </colorScale>
    </cfRule>
  </conditionalFormatting>
  <conditionalFormatting sqref="F29:F32">
    <cfRule type="colorScale" priority="5134">
      <colorScale>
        <cfvo type="min"/>
        <cfvo type="percentile" val="50"/>
        <cfvo type="max"/>
        <color rgb="FFF8696B"/>
        <color rgb="FFFFEB84"/>
        <color rgb="FF63BE7B"/>
      </colorScale>
    </cfRule>
  </conditionalFormatting>
  <conditionalFormatting sqref="F29:F32">
    <cfRule type="colorScale" priority="5133">
      <colorScale>
        <cfvo type="min"/>
        <cfvo type="percentile" val="50"/>
        <cfvo type="max"/>
        <color rgb="FFF8696B"/>
        <color rgb="FFFFEB84"/>
        <color rgb="FF63BE7B"/>
      </colorScale>
    </cfRule>
  </conditionalFormatting>
  <conditionalFormatting sqref="F29:F32">
    <cfRule type="colorScale" priority="5132">
      <colorScale>
        <cfvo type="min"/>
        <cfvo type="percentile" val="50"/>
        <cfvo type="max"/>
        <color rgb="FFF8696B"/>
        <color rgb="FFFFEB84"/>
        <color rgb="FF63BE7B"/>
      </colorScale>
    </cfRule>
  </conditionalFormatting>
  <conditionalFormatting sqref="F29:F32">
    <cfRule type="colorScale" priority="5131">
      <colorScale>
        <cfvo type="min"/>
        <cfvo type="percentile" val="50"/>
        <cfvo type="max"/>
        <color rgb="FFF8696B"/>
        <color rgb="FFFFEB84"/>
        <color rgb="FF63BE7B"/>
      </colorScale>
    </cfRule>
  </conditionalFormatting>
  <conditionalFormatting sqref="F29:F32">
    <cfRule type="colorScale" priority="5130">
      <colorScale>
        <cfvo type="min"/>
        <cfvo type="percentile" val="50"/>
        <cfvo type="max"/>
        <color rgb="FFF8696B"/>
        <color rgb="FFFFEB84"/>
        <color rgb="FF63BE7B"/>
      </colorScale>
    </cfRule>
  </conditionalFormatting>
  <conditionalFormatting sqref="F29:F32">
    <cfRule type="colorScale" priority="5129">
      <colorScale>
        <cfvo type="min"/>
        <cfvo type="percentile" val="50"/>
        <cfvo type="max"/>
        <color rgb="FFF8696B"/>
        <color rgb="FFFFEB84"/>
        <color rgb="FF63BE7B"/>
      </colorScale>
    </cfRule>
  </conditionalFormatting>
  <conditionalFormatting sqref="F29:F32">
    <cfRule type="colorScale" priority="5128">
      <colorScale>
        <cfvo type="min"/>
        <cfvo type="percentile" val="50"/>
        <cfvo type="max"/>
        <color rgb="FFF8696B"/>
        <color rgb="FFFFEB84"/>
        <color rgb="FF63BE7B"/>
      </colorScale>
    </cfRule>
  </conditionalFormatting>
  <conditionalFormatting sqref="F29:F32">
    <cfRule type="colorScale" priority="5127">
      <colorScale>
        <cfvo type="min"/>
        <cfvo type="percentile" val="50"/>
        <cfvo type="max"/>
        <color rgb="FFF8696B"/>
        <color rgb="FFFFEB84"/>
        <color rgb="FF63BE7B"/>
      </colorScale>
    </cfRule>
  </conditionalFormatting>
  <conditionalFormatting sqref="F29:F32">
    <cfRule type="colorScale" priority="5126">
      <colorScale>
        <cfvo type="min"/>
        <cfvo type="percentile" val="50"/>
        <cfvo type="max"/>
        <color rgb="FFF8696B"/>
        <color rgb="FFFFEB84"/>
        <color rgb="FF63BE7B"/>
      </colorScale>
    </cfRule>
  </conditionalFormatting>
  <conditionalFormatting sqref="F29:F32">
    <cfRule type="colorScale" priority="5125">
      <colorScale>
        <cfvo type="min"/>
        <cfvo type="percentile" val="50"/>
        <cfvo type="max"/>
        <color rgb="FFF8696B"/>
        <color rgb="FFFFEB84"/>
        <color rgb="FF63BE7B"/>
      </colorScale>
    </cfRule>
  </conditionalFormatting>
  <conditionalFormatting sqref="F29:F32">
    <cfRule type="colorScale" priority="5124">
      <colorScale>
        <cfvo type="min"/>
        <cfvo type="percentile" val="50"/>
        <cfvo type="max"/>
        <color rgb="FFF8696B"/>
        <color rgb="FFFFEB84"/>
        <color rgb="FF63BE7B"/>
      </colorScale>
    </cfRule>
  </conditionalFormatting>
  <conditionalFormatting sqref="F29:F32">
    <cfRule type="colorScale" priority="5123">
      <colorScale>
        <cfvo type="min"/>
        <cfvo type="percentile" val="50"/>
        <cfvo type="max"/>
        <color rgb="FFF8696B"/>
        <color rgb="FFFFEB84"/>
        <color rgb="FF63BE7B"/>
      </colorScale>
    </cfRule>
  </conditionalFormatting>
  <conditionalFormatting sqref="F29:F32">
    <cfRule type="colorScale" priority="5122">
      <colorScale>
        <cfvo type="min"/>
        <cfvo type="percentile" val="50"/>
        <cfvo type="max"/>
        <color rgb="FFF8696B"/>
        <color rgb="FFFFEB84"/>
        <color rgb="FF63BE7B"/>
      </colorScale>
    </cfRule>
  </conditionalFormatting>
  <conditionalFormatting sqref="F29:F32">
    <cfRule type="colorScale" priority="5121">
      <colorScale>
        <cfvo type="min"/>
        <cfvo type="percentile" val="50"/>
        <cfvo type="max"/>
        <color rgb="FFF8696B"/>
        <color rgb="FFFFEB84"/>
        <color rgb="FF63BE7B"/>
      </colorScale>
    </cfRule>
  </conditionalFormatting>
  <conditionalFormatting sqref="F29:F32">
    <cfRule type="colorScale" priority="5120">
      <colorScale>
        <cfvo type="min"/>
        <cfvo type="percentile" val="50"/>
        <cfvo type="max"/>
        <color rgb="FFF8696B"/>
        <color rgb="FFFFEB84"/>
        <color rgb="FF63BE7B"/>
      </colorScale>
    </cfRule>
  </conditionalFormatting>
  <conditionalFormatting sqref="F29:F32">
    <cfRule type="colorScale" priority="5119">
      <colorScale>
        <cfvo type="min"/>
        <cfvo type="percentile" val="50"/>
        <cfvo type="max"/>
        <color rgb="FFF8696B"/>
        <color rgb="FFFFEB84"/>
        <color rgb="FF63BE7B"/>
      </colorScale>
    </cfRule>
  </conditionalFormatting>
  <conditionalFormatting sqref="F29:F32">
    <cfRule type="colorScale" priority="5118">
      <colorScale>
        <cfvo type="min"/>
        <cfvo type="percentile" val="50"/>
        <cfvo type="max"/>
        <color rgb="FFF8696B"/>
        <color rgb="FFFFEB84"/>
        <color rgb="FF63BE7B"/>
      </colorScale>
    </cfRule>
  </conditionalFormatting>
  <conditionalFormatting sqref="F29:F32">
    <cfRule type="colorScale" priority="5117">
      <colorScale>
        <cfvo type="min"/>
        <cfvo type="percentile" val="50"/>
        <cfvo type="max"/>
        <color rgb="FFF8696B"/>
        <color rgb="FFFFEB84"/>
        <color rgb="FF63BE7B"/>
      </colorScale>
    </cfRule>
  </conditionalFormatting>
  <conditionalFormatting sqref="F29:F32">
    <cfRule type="colorScale" priority="5116">
      <colorScale>
        <cfvo type="min"/>
        <cfvo type="percentile" val="50"/>
        <cfvo type="max"/>
        <color rgb="FFF8696B"/>
        <color rgb="FFFFEB84"/>
        <color rgb="FF63BE7B"/>
      </colorScale>
    </cfRule>
  </conditionalFormatting>
  <conditionalFormatting sqref="F29:F32">
    <cfRule type="colorScale" priority="5115">
      <colorScale>
        <cfvo type="min"/>
        <cfvo type="percentile" val="50"/>
        <cfvo type="max"/>
        <color rgb="FFF8696B"/>
        <color rgb="FFFFEB84"/>
        <color rgb="FF63BE7B"/>
      </colorScale>
    </cfRule>
  </conditionalFormatting>
  <conditionalFormatting sqref="F29:F32">
    <cfRule type="colorScale" priority="5114">
      <colorScale>
        <cfvo type="min"/>
        <cfvo type="percentile" val="50"/>
        <cfvo type="max"/>
        <color rgb="FFF8696B"/>
        <color rgb="FFFFEB84"/>
        <color rgb="FF63BE7B"/>
      </colorScale>
    </cfRule>
  </conditionalFormatting>
  <conditionalFormatting sqref="F29:F32">
    <cfRule type="colorScale" priority="5113">
      <colorScale>
        <cfvo type="min"/>
        <cfvo type="percentile" val="50"/>
        <cfvo type="max"/>
        <color rgb="FFF8696B"/>
        <color rgb="FFFFEB84"/>
        <color rgb="FF63BE7B"/>
      </colorScale>
    </cfRule>
  </conditionalFormatting>
  <conditionalFormatting sqref="F29:F32">
    <cfRule type="colorScale" priority="5112">
      <colorScale>
        <cfvo type="min"/>
        <cfvo type="percentile" val="50"/>
        <cfvo type="max"/>
        <color rgb="FFF8696B"/>
        <color rgb="FFFFEB84"/>
        <color rgb="FF63BE7B"/>
      </colorScale>
    </cfRule>
  </conditionalFormatting>
  <conditionalFormatting sqref="F29:F32">
    <cfRule type="colorScale" priority="5111">
      <colorScale>
        <cfvo type="min"/>
        <cfvo type="percentile" val="50"/>
        <cfvo type="max"/>
        <color rgb="FFF8696B"/>
        <color rgb="FFFFEB84"/>
        <color rgb="FF63BE7B"/>
      </colorScale>
    </cfRule>
  </conditionalFormatting>
  <conditionalFormatting sqref="F29:F32">
    <cfRule type="colorScale" priority="5110">
      <colorScale>
        <cfvo type="min"/>
        <cfvo type="percentile" val="50"/>
        <cfvo type="max"/>
        <color rgb="FFF8696B"/>
        <color rgb="FFFFEB84"/>
        <color rgb="FF63BE7B"/>
      </colorScale>
    </cfRule>
  </conditionalFormatting>
  <conditionalFormatting sqref="F29:F32">
    <cfRule type="colorScale" priority="5109">
      <colorScale>
        <cfvo type="min"/>
        <cfvo type="percentile" val="50"/>
        <cfvo type="max"/>
        <color rgb="FFF8696B"/>
        <color rgb="FFFFEB84"/>
        <color rgb="FF63BE7B"/>
      </colorScale>
    </cfRule>
  </conditionalFormatting>
  <conditionalFormatting sqref="F29:F32">
    <cfRule type="colorScale" priority="5108">
      <colorScale>
        <cfvo type="min"/>
        <cfvo type="percentile" val="50"/>
        <cfvo type="max"/>
        <color rgb="FFF8696B"/>
        <color rgb="FFFFEB84"/>
        <color rgb="FF63BE7B"/>
      </colorScale>
    </cfRule>
  </conditionalFormatting>
  <conditionalFormatting sqref="F29:F32">
    <cfRule type="colorScale" priority="5107">
      <colorScale>
        <cfvo type="min"/>
        <cfvo type="percentile" val="50"/>
        <cfvo type="max"/>
        <color rgb="FFF8696B"/>
        <color rgb="FFFFEB84"/>
        <color rgb="FF63BE7B"/>
      </colorScale>
    </cfRule>
  </conditionalFormatting>
  <conditionalFormatting sqref="F29:F32">
    <cfRule type="colorScale" priority="5106">
      <colorScale>
        <cfvo type="min"/>
        <cfvo type="percentile" val="50"/>
        <cfvo type="max"/>
        <color rgb="FFF8696B"/>
        <color rgb="FFFFEB84"/>
        <color rgb="FF63BE7B"/>
      </colorScale>
    </cfRule>
  </conditionalFormatting>
  <conditionalFormatting sqref="F29:F32">
    <cfRule type="colorScale" priority="5105">
      <colorScale>
        <cfvo type="min"/>
        <cfvo type="percentile" val="50"/>
        <cfvo type="max"/>
        <color rgb="FFF8696B"/>
        <color rgb="FFFFEB84"/>
        <color rgb="FF63BE7B"/>
      </colorScale>
    </cfRule>
  </conditionalFormatting>
  <conditionalFormatting sqref="F29:F32">
    <cfRule type="colorScale" priority="5104">
      <colorScale>
        <cfvo type="min"/>
        <cfvo type="percentile" val="50"/>
        <cfvo type="max"/>
        <color rgb="FFF8696B"/>
        <color rgb="FFFFEB84"/>
        <color rgb="FF63BE7B"/>
      </colorScale>
    </cfRule>
  </conditionalFormatting>
  <conditionalFormatting sqref="F29:F32">
    <cfRule type="colorScale" priority="5103">
      <colorScale>
        <cfvo type="min"/>
        <cfvo type="percentile" val="50"/>
        <cfvo type="max"/>
        <color rgb="FFF8696B"/>
        <color rgb="FFFFEB84"/>
        <color rgb="FF63BE7B"/>
      </colorScale>
    </cfRule>
  </conditionalFormatting>
  <conditionalFormatting sqref="F29:F32">
    <cfRule type="colorScale" priority="5102">
      <colorScale>
        <cfvo type="min"/>
        <cfvo type="percentile" val="50"/>
        <cfvo type="max"/>
        <color rgb="FFF8696B"/>
        <color rgb="FFFFEB84"/>
        <color rgb="FF63BE7B"/>
      </colorScale>
    </cfRule>
  </conditionalFormatting>
  <conditionalFormatting sqref="F29:F32">
    <cfRule type="colorScale" priority="5101">
      <colorScale>
        <cfvo type="min"/>
        <cfvo type="percentile" val="50"/>
        <cfvo type="max"/>
        <color rgb="FFF8696B"/>
        <color rgb="FFFFEB84"/>
        <color rgb="FF63BE7B"/>
      </colorScale>
    </cfRule>
  </conditionalFormatting>
  <conditionalFormatting sqref="F29:F32">
    <cfRule type="colorScale" priority="5100">
      <colorScale>
        <cfvo type="min"/>
        <cfvo type="percentile" val="50"/>
        <cfvo type="max"/>
        <color rgb="FFF8696B"/>
        <color rgb="FFFFEB84"/>
        <color rgb="FF63BE7B"/>
      </colorScale>
    </cfRule>
  </conditionalFormatting>
  <conditionalFormatting sqref="F29:F32">
    <cfRule type="colorScale" priority="5099">
      <colorScale>
        <cfvo type="min"/>
        <cfvo type="percentile" val="50"/>
        <cfvo type="max"/>
        <color rgb="FFF8696B"/>
        <color rgb="FFFFEB84"/>
        <color rgb="FF63BE7B"/>
      </colorScale>
    </cfRule>
  </conditionalFormatting>
  <conditionalFormatting sqref="F29:F32">
    <cfRule type="colorScale" priority="5098">
      <colorScale>
        <cfvo type="min"/>
        <cfvo type="percentile" val="50"/>
        <cfvo type="max"/>
        <color rgb="FFF8696B"/>
        <color rgb="FFFFEB84"/>
        <color rgb="FF63BE7B"/>
      </colorScale>
    </cfRule>
  </conditionalFormatting>
  <conditionalFormatting sqref="F29:F32">
    <cfRule type="colorScale" priority="5097">
      <colorScale>
        <cfvo type="min"/>
        <cfvo type="percentile" val="50"/>
        <cfvo type="max"/>
        <color rgb="FFF8696B"/>
        <color rgb="FFFFEB84"/>
        <color rgb="FF63BE7B"/>
      </colorScale>
    </cfRule>
  </conditionalFormatting>
  <conditionalFormatting sqref="F29:F32">
    <cfRule type="colorScale" priority="5096">
      <colorScale>
        <cfvo type="min"/>
        <cfvo type="percentile" val="50"/>
        <cfvo type="max"/>
        <color rgb="FFF8696B"/>
        <color rgb="FFFFEB84"/>
        <color rgb="FF63BE7B"/>
      </colorScale>
    </cfRule>
  </conditionalFormatting>
  <conditionalFormatting sqref="F29:F32">
    <cfRule type="colorScale" priority="5095">
      <colorScale>
        <cfvo type="min"/>
        <cfvo type="percentile" val="50"/>
        <cfvo type="max"/>
        <color rgb="FFF8696B"/>
        <color rgb="FFFFEB84"/>
        <color rgb="FF63BE7B"/>
      </colorScale>
    </cfRule>
  </conditionalFormatting>
  <conditionalFormatting sqref="F29:F32">
    <cfRule type="colorScale" priority="5094">
      <colorScale>
        <cfvo type="min"/>
        <cfvo type="percentile" val="50"/>
        <cfvo type="max"/>
        <color rgb="FFF8696B"/>
        <color rgb="FFFFEB84"/>
        <color rgb="FF63BE7B"/>
      </colorScale>
    </cfRule>
  </conditionalFormatting>
  <conditionalFormatting sqref="F29:F32">
    <cfRule type="colorScale" priority="5093">
      <colorScale>
        <cfvo type="min"/>
        <cfvo type="percentile" val="50"/>
        <cfvo type="max"/>
        <color rgb="FFF8696B"/>
        <color rgb="FFFFEB84"/>
        <color rgb="FF63BE7B"/>
      </colorScale>
    </cfRule>
  </conditionalFormatting>
  <conditionalFormatting sqref="F11:F31">
    <cfRule type="colorScale" priority="5092">
      <colorScale>
        <cfvo type="min"/>
        <cfvo type="percentile" val="50"/>
        <cfvo type="max"/>
        <color rgb="FFF8696B"/>
        <color rgb="FFFFEB84"/>
        <color rgb="FF63BE7B"/>
      </colorScale>
    </cfRule>
  </conditionalFormatting>
  <conditionalFormatting sqref="F11:F31">
    <cfRule type="colorScale" priority="5091">
      <colorScale>
        <cfvo type="min"/>
        <cfvo type="percentile" val="50"/>
        <cfvo type="max"/>
        <color rgb="FFF8696B"/>
        <color rgb="FFFFEB84"/>
        <color rgb="FF63BE7B"/>
      </colorScale>
    </cfRule>
  </conditionalFormatting>
  <conditionalFormatting sqref="F11:F31">
    <cfRule type="colorScale" priority="5090">
      <colorScale>
        <cfvo type="min"/>
        <cfvo type="percentile" val="50"/>
        <cfvo type="max"/>
        <color rgb="FFF8696B"/>
        <color rgb="FFFFEB84"/>
        <color rgb="FF63BE7B"/>
      </colorScale>
    </cfRule>
  </conditionalFormatting>
  <conditionalFormatting sqref="F11:F31">
    <cfRule type="colorScale" priority="5089">
      <colorScale>
        <cfvo type="min"/>
        <cfvo type="percentile" val="50"/>
        <cfvo type="max"/>
        <color rgb="FFF8696B"/>
        <color rgb="FFFFEB84"/>
        <color rgb="FF63BE7B"/>
      </colorScale>
    </cfRule>
  </conditionalFormatting>
  <conditionalFormatting sqref="F11:F31">
    <cfRule type="colorScale" priority="5088">
      <colorScale>
        <cfvo type="min"/>
        <cfvo type="percentile" val="50"/>
        <cfvo type="max"/>
        <color rgb="FFF8696B"/>
        <color rgb="FFFFEB84"/>
        <color rgb="FF63BE7B"/>
      </colorScale>
    </cfRule>
  </conditionalFormatting>
  <conditionalFormatting sqref="F11:F31">
    <cfRule type="colorScale" priority="5087">
      <colorScale>
        <cfvo type="min"/>
        <cfvo type="percentile" val="50"/>
        <cfvo type="max"/>
        <color rgb="FFF8696B"/>
        <color rgb="FFFFEB84"/>
        <color rgb="FF63BE7B"/>
      </colorScale>
    </cfRule>
  </conditionalFormatting>
  <conditionalFormatting sqref="F11:F31">
    <cfRule type="colorScale" priority="5086">
      <colorScale>
        <cfvo type="min"/>
        <cfvo type="percentile" val="50"/>
        <cfvo type="max"/>
        <color rgb="FFF8696B"/>
        <color rgb="FFFFEB84"/>
        <color rgb="FF63BE7B"/>
      </colorScale>
    </cfRule>
  </conditionalFormatting>
  <conditionalFormatting sqref="F11:F31">
    <cfRule type="colorScale" priority="5085">
      <colorScale>
        <cfvo type="min"/>
        <cfvo type="percentile" val="50"/>
        <cfvo type="max"/>
        <color rgb="FFF8696B"/>
        <color rgb="FFFFEB84"/>
        <color rgb="FF63BE7B"/>
      </colorScale>
    </cfRule>
  </conditionalFormatting>
  <conditionalFormatting sqref="F11:F31">
    <cfRule type="colorScale" priority="5084">
      <colorScale>
        <cfvo type="min"/>
        <cfvo type="percentile" val="50"/>
        <cfvo type="max"/>
        <color rgb="FFF8696B"/>
        <color rgb="FFFFEB84"/>
        <color rgb="FF63BE7B"/>
      </colorScale>
    </cfRule>
  </conditionalFormatting>
  <conditionalFormatting sqref="F11:F31">
    <cfRule type="colorScale" priority="5083">
      <colorScale>
        <cfvo type="min"/>
        <cfvo type="percentile" val="50"/>
        <cfvo type="max"/>
        <color rgb="FFF8696B"/>
        <color rgb="FFFFEB84"/>
        <color rgb="FF63BE7B"/>
      </colorScale>
    </cfRule>
  </conditionalFormatting>
  <conditionalFormatting sqref="F11:F31">
    <cfRule type="colorScale" priority="5082">
      <colorScale>
        <cfvo type="min"/>
        <cfvo type="percentile" val="50"/>
        <cfvo type="max"/>
        <color rgb="FFF8696B"/>
        <color rgb="FFFFEB84"/>
        <color rgb="FF63BE7B"/>
      </colorScale>
    </cfRule>
  </conditionalFormatting>
  <conditionalFormatting sqref="F11:F31">
    <cfRule type="colorScale" priority="5081">
      <colorScale>
        <cfvo type="min"/>
        <cfvo type="percentile" val="50"/>
        <cfvo type="max"/>
        <color rgb="FFF8696B"/>
        <color rgb="FFFFEB84"/>
        <color rgb="FF63BE7B"/>
      </colorScale>
    </cfRule>
  </conditionalFormatting>
  <conditionalFormatting sqref="F11:F31">
    <cfRule type="colorScale" priority="5080">
      <colorScale>
        <cfvo type="min"/>
        <cfvo type="percentile" val="50"/>
        <cfvo type="max"/>
        <color rgb="FFF8696B"/>
        <color rgb="FFFFEB84"/>
        <color rgb="FF63BE7B"/>
      </colorScale>
    </cfRule>
  </conditionalFormatting>
  <conditionalFormatting sqref="F11:F31">
    <cfRule type="colorScale" priority="5079">
      <colorScale>
        <cfvo type="min"/>
        <cfvo type="percentile" val="50"/>
        <cfvo type="max"/>
        <color rgb="FFF8696B"/>
        <color rgb="FFFFEB84"/>
        <color rgb="FF63BE7B"/>
      </colorScale>
    </cfRule>
  </conditionalFormatting>
  <conditionalFormatting sqref="F11:F31">
    <cfRule type="colorScale" priority="5078">
      <colorScale>
        <cfvo type="min"/>
        <cfvo type="percentile" val="50"/>
        <cfvo type="max"/>
        <color rgb="FFF8696B"/>
        <color rgb="FFFFEB84"/>
        <color rgb="FF63BE7B"/>
      </colorScale>
    </cfRule>
  </conditionalFormatting>
  <conditionalFormatting sqref="F11:F31">
    <cfRule type="colorScale" priority="5077">
      <colorScale>
        <cfvo type="min"/>
        <cfvo type="percentile" val="50"/>
        <cfvo type="max"/>
        <color rgb="FFF8696B"/>
        <color rgb="FFFFEB84"/>
        <color rgb="FF63BE7B"/>
      </colorScale>
    </cfRule>
  </conditionalFormatting>
  <conditionalFormatting sqref="F11:F31">
    <cfRule type="colorScale" priority="5076">
      <colorScale>
        <cfvo type="min"/>
        <cfvo type="percentile" val="50"/>
        <cfvo type="max"/>
        <color rgb="FFF8696B"/>
        <color rgb="FFFFEB84"/>
        <color rgb="FF63BE7B"/>
      </colorScale>
    </cfRule>
  </conditionalFormatting>
  <conditionalFormatting sqref="F11:F31">
    <cfRule type="colorScale" priority="5075">
      <colorScale>
        <cfvo type="min"/>
        <cfvo type="percentile" val="50"/>
        <cfvo type="max"/>
        <color rgb="FFF8696B"/>
        <color rgb="FFFFEB84"/>
        <color rgb="FF63BE7B"/>
      </colorScale>
    </cfRule>
  </conditionalFormatting>
  <conditionalFormatting sqref="F11:F31">
    <cfRule type="colorScale" priority="5074">
      <colorScale>
        <cfvo type="min"/>
        <cfvo type="percentile" val="50"/>
        <cfvo type="max"/>
        <color rgb="FFF8696B"/>
        <color rgb="FFFFEB84"/>
        <color rgb="FF63BE7B"/>
      </colorScale>
    </cfRule>
  </conditionalFormatting>
  <conditionalFormatting sqref="F11:F31">
    <cfRule type="colorScale" priority="5073">
      <colorScale>
        <cfvo type="min"/>
        <cfvo type="percentile" val="50"/>
        <cfvo type="max"/>
        <color rgb="FFF8696B"/>
        <color rgb="FFFFEB84"/>
        <color rgb="FF63BE7B"/>
      </colorScale>
    </cfRule>
  </conditionalFormatting>
  <conditionalFormatting sqref="F11:F31">
    <cfRule type="colorScale" priority="5072">
      <colorScale>
        <cfvo type="min"/>
        <cfvo type="percentile" val="50"/>
        <cfvo type="max"/>
        <color rgb="FFF8696B"/>
        <color rgb="FFFFEB84"/>
        <color rgb="FF63BE7B"/>
      </colorScale>
    </cfRule>
  </conditionalFormatting>
  <conditionalFormatting sqref="F11:F31">
    <cfRule type="colorScale" priority="5071">
      <colorScale>
        <cfvo type="min"/>
        <cfvo type="percentile" val="50"/>
        <cfvo type="max"/>
        <color rgb="FFF8696B"/>
        <color rgb="FFFFEB84"/>
        <color rgb="FF63BE7B"/>
      </colorScale>
    </cfRule>
  </conditionalFormatting>
  <conditionalFormatting sqref="F11:F31">
    <cfRule type="colorScale" priority="5070">
      <colorScale>
        <cfvo type="min"/>
        <cfvo type="percentile" val="50"/>
        <cfvo type="max"/>
        <color rgb="FFF8696B"/>
        <color rgb="FFFFEB84"/>
        <color rgb="FF63BE7B"/>
      </colorScale>
    </cfRule>
  </conditionalFormatting>
  <conditionalFormatting sqref="F11:F31">
    <cfRule type="colorScale" priority="5069">
      <colorScale>
        <cfvo type="min"/>
        <cfvo type="percentile" val="50"/>
        <cfvo type="max"/>
        <color rgb="FFF8696B"/>
        <color rgb="FFFFEB84"/>
        <color rgb="FF63BE7B"/>
      </colorScale>
    </cfRule>
  </conditionalFormatting>
  <conditionalFormatting sqref="F11:F31">
    <cfRule type="colorScale" priority="5068">
      <colorScale>
        <cfvo type="min"/>
        <cfvo type="percentile" val="50"/>
        <cfvo type="max"/>
        <color rgb="FFF8696B"/>
        <color rgb="FFFFEB84"/>
        <color rgb="FF63BE7B"/>
      </colorScale>
    </cfRule>
  </conditionalFormatting>
  <conditionalFormatting sqref="F11:F31">
    <cfRule type="colorScale" priority="5067">
      <colorScale>
        <cfvo type="min"/>
        <cfvo type="percentile" val="50"/>
        <cfvo type="max"/>
        <color rgb="FFF8696B"/>
        <color rgb="FFFFEB84"/>
        <color rgb="FF63BE7B"/>
      </colorScale>
    </cfRule>
  </conditionalFormatting>
  <conditionalFormatting sqref="F11:F31">
    <cfRule type="colorScale" priority="5066">
      <colorScale>
        <cfvo type="min"/>
        <cfvo type="percentile" val="50"/>
        <cfvo type="max"/>
        <color rgb="FFF8696B"/>
        <color rgb="FFFFEB84"/>
        <color rgb="FF63BE7B"/>
      </colorScale>
    </cfRule>
  </conditionalFormatting>
  <conditionalFormatting sqref="F11:F31">
    <cfRule type="colorScale" priority="5065">
      <colorScale>
        <cfvo type="min"/>
        <cfvo type="percentile" val="50"/>
        <cfvo type="max"/>
        <color rgb="FFF8696B"/>
        <color rgb="FFFFEB84"/>
        <color rgb="FF63BE7B"/>
      </colorScale>
    </cfRule>
  </conditionalFormatting>
  <conditionalFormatting sqref="F11:F31">
    <cfRule type="colorScale" priority="5064">
      <colorScale>
        <cfvo type="min"/>
        <cfvo type="percentile" val="50"/>
        <cfvo type="max"/>
        <color rgb="FFF8696B"/>
        <color rgb="FFFFEB84"/>
        <color rgb="FF63BE7B"/>
      </colorScale>
    </cfRule>
  </conditionalFormatting>
  <conditionalFormatting sqref="F11:F31">
    <cfRule type="colorScale" priority="5063">
      <colorScale>
        <cfvo type="min"/>
        <cfvo type="percentile" val="50"/>
        <cfvo type="max"/>
        <color rgb="FFF8696B"/>
        <color rgb="FFFFEB84"/>
        <color rgb="FF63BE7B"/>
      </colorScale>
    </cfRule>
  </conditionalFormatting>
  <conditionalFormatting sqref="F11:F31">
    <cfRule type="colorScale" priority="5062">
      <colorScale>
        <cfvo type="min"/>
        <cfvo type="percentile" val="50"/>
        <cfvo type="max"/>
        <color rgb="FFF8696B"/>
        <color rgb="FFFFEB84"/>
        <color rgb="FF63BE7B"/>
      </colorScale>
    </cfRule>
  </conditionalFormatting>
  <conditionalFormatting sqref="F11:F31">
    <cfRule type="colorScale" priority="5061">
      <colorScale>
        <cfvo type="min"/>
        <cfvo type="percentile" val="50"/>
        <cfvo type="max"/>
        <color rgb="FFF8696B"/>
        <color rgb="FFFFEB84"/>
        <color rgb="FF63BE7B"/>
      </colorScale>
    </cfRule>
  </conditionalFormatting>
  <conditionalFormatting sqref="F11:F31">
    <cfRule type="colorScale" priority="5060">
      <colorScale>
        <cfvo type="min"/>
        <cfvo type="percentile" val="50"/>
        <cfvo type="max"/>
        <color rgb="FFF8696B"/>
        <color rgb="FFFFEB84"/>
        <color rgb="FF63BE7B"/>
      </colorScale>
    </cfRule>
  </conditionalFormatting>
  <conditionalFormatting sqref="F11:F31">
    <cfRule type="colorScale" priority="5059">
      <colorScale>
        <cfvo type="min"/>
        <cfvo type="percentile" val="50"/>
        <cfvo type="max"/>
        <color rgb="FFF8696B"/>
        <color rgb="FFFFEB84"/>
        <color rgb="FF63BE7B"/>
      </colorScale>
    </cfRule>
  </conditionalFormatting>
  <conditionalFormatting sqref="F11:F31">
    <cfRule type="colorScale" priority="5058">
      <colorScale>
        <cfvo type="min"/>
        <cfvo type="percentile" val="50"/>
        <cfvo type="max"/>
        <color rgb="FFF8696B"/>
        <color rgb="FFFFEB84"/>
        <color rgb="FF63BE7B"/>
      </colorScale>
    </cfRule>
  </conditionalFormatting>
  <conditionalFormatting sqref="F11:F31">
    <cfRule type="colorScale" priority="5057">
      <colorScale>
        <cfvo type="min"/>
        <cfvo type="percentile" val="50"/>
        <cfvo type="max"/>
        <color rgb="FFF8696B"/>
        <color rgb="FFFFEB84"/>
        <color rgb="FF63BE7B"/>
      </colorScale>
    </cfRule>
  </conditionalFormatting>
  <conditionalFormatting sqref="F11:F31">
    <cfRule type="colorScale" priority="5056">
      <colorScale>
        <cfvo type="min"/>
        <cfvo type="percentile" val="50"/>
        <cfvo type="max"/>
        <color rgb="FFF8696B"/>
        <color rgb="FFFFEB84"/>
        <color rgb="FF63BE7B"/>
      </colorScale>
    </cfRule>
  </conditionalFormatting>
  <conditionalFormatting sqref="F11:F31">
    <cfRule type="colorScale" priority="5055">
      <colorScale>
        <cfvo type="min"/>
        <cfvo type="percentile" val="50"/>
        <cfvo type="max"/>
        <color rgb="FFF8696B"/>
        <color rgb="FFFFEB84"/>
        <color rgb="FF63BE7B"/>
      </colorScale>
    </cfRule>
  </conditionalFormatting>
  <conditionalFormatting sqref="F11:F31">
    <cfRule type="colorScale" priority="5054">
      <colorScale>
        <cfvo type="min"/>
        <cfvo type="percentile" val="50"/>
        <cfvo type="max"/>
        <color rgb="FFF8696B"/>
        <color rgb="FFFFEB84"/>
        <color rgb="FF63BE7B"/>
      </colorScale>
    </cfRule>
  </conditionalFormatting>
  <conditionalFormatting sqref="F11:F31">
    <cfRule type="colorScale" priority="5053">
      <colorScale>
        <cfvo type="min"/>
        <cfvo type="percentile" val="50"/>
        <cfvo type="max"/>
        <color rgb="FFF8696B"/>
        <color rgb="FFFFEB84"/>
        <color rgb="FF63BE7B"/>
      </colorScale>
    </cfRule>
  </conditionalFormatting>
  <conditionalFormatting sqref="F11:F31">
    <cfRule type="colorScale" priority="5052">
      <colorScale>
        <cfvo type="min"/>
        <cfvo type="percentile" val="50"/>
        <cfvo type="max"/>
        <color rgb="FFF8696B"/>
        <color rgb="FFFFEB84"/>
        <color rgb="FF63BE7B"/>
      </colorScale>
    </cfRule>
  </conditionalFormatting>
  <conditionalFormatting sqref="F11:F31">
    <cfRule type="colorScale" priority="5051">
      <colorScale>
        <cfvo type="min"/>
        <cfvo type="percentile" val="50"/>
        <cfvo type="max"/>
        <color rgb="FFF8696B"/>
        <color rgb="FFFFEB84"/>
        <color rgb="FF63BE7B"/>
      </colorScale>
    </cfRule>
  </conditionalFormatting>
  <conditionalFormatting sqref="F11:F31">
    <cfRule type="colorScale" priority="5050">
      <colorScale>
        <cfvo type="min"/>
        <cfvo type="percentile" val="50"/>
        <cfvo type="max"/>
        <color rgb="FFF8696B"/>
        <color rgb="FFFFEB84"/>
        <color rgb="FF63BE7B"/>
      </colorScale>
    </cfRule>
  </conditionalFormatting>
  <conditionalFormatting sqref="F11:F31">
    <cfRule type="colorScale" priority="5049">
      <colorScale>
        <cfvo type="min"/>
        <cfvo type="percentile" val="50"/>
        <cfvo type="max"/>
        <color rgb="FFF8696B"/>
        <color rgb="FFFFEB84"/>
        <color rgb="FF63BE7B"/>
      </colorScale>
    </cfRule>
  </conditionalFormatting>
  <conditionalFormatting sqref="F11:F31">
    <cfRule type="colorScale" priority="5048">
      <colorScale>
        <cfvo type="min"/>
        <cfvo type="percentile" val="50"/>
        <cfvo type="max"/>
        <color rgb="FFF8696B"/>
        <color rgb="FFFFEB84"/>
        <color rgb="FF63BE7B"/>
      </colorScale>
    </cfRule>
  </conditionalFormatting>
  <conditionalFormatting sqref="F11:F31">
    <cfRule type="colorScale" priority="5047">
      <colorScale>
        <cfvo type="min"/>
        <cfvo type="percentile" val="50"/>
        <cfvo type="max"/>
        <color rgb="FFF8696B"/>
        <color rgb="FFFFEB84"/>
        <color rgb="FF63BE7B"/>
      </colorScale>
    </cfRule>
  </conditionalFormatting>
  <conditionalFormatting sqref="F11:F31">
    <cfRule type="colorScale" priority="5046">
      <colorScale>
        <cfvo type="min"/>
        <cfvo type="percentile" val="50"/>
        <cfvo type="max"/>
        <color rgb="FFF8696B"/>
        <color rgb="FFFFEB84"/>
        <color rgb="FF63BE7B"/>
      </colorScale>
    </cfRule>
  </conditionalFormatting>
  <conditionalFormatting sqref="F11:F31">
    <cfRule type="colorScale" priority="5045">
      <colorScale>
        <cfvo type="min"/>
        <cfvo type="percentile" val="50"/>
        <cfvo type="max"/>
        <color rgb="FFF8696B"/>
        <color rgb="FFFFEB84"/>
        <color rgb="FF63BE7B"/>
      </colorScale>
    </cfRule>
  </conditionalFormatting>
  <conditionalFormatting sqref="F11:F31">
    <cfRule type="colorScale" priority="5044">
      <colorScale>
        <cfvo type="min"/>
        <cfvo type="percentile" val="50"/>
        <cfvo type="max"/>
        <color rgb="FFF8696B"/>
        <color rgb="FFFFEB84"/>
        <color rgb="FF63BE7B"/>
      </colorScale>
    </cfRule>
  </conditionalFormatting>
  <conditionalFormatting sqref="F11:F31">
    <cfRule type="colorScale" priority="5043">
      <colorScale>
        <cfvo type="min"/>
        <cfvo type="percentile" val="50"/>
        <cfvo type="max"/>
        <color rgb="FFF8696B"/>
        <color rgb="FFFFEB84"/>
        <color rgb="FF63BE7B"/>
      </colorScale>
    </cfRule>
  </conditionalFormatting>
  <conditionalFormatting sqref="F11:F31">
    <cfRule type="colorScale" priority="5042">
      <colorScale>
        <cfvo type="min"/>
        <cfvo type="percentile" val="50"/>
        <cfvo type="max"/>
        <color rgb="FFF8696B"/>
        <color rgb="FFFFEB84"/>
        <color rgb="FF63BE7B"/>
      </colorScale>
    </cfRule>
  </conditionalFormatting>
  <conditionalFormatting sqref="F11:F31">
    <cfRule type="colorScale" priority="5041">
      <colorScale>
        <cfvo type="min"/>
        <cfvo type="percentile" val="50"/>
        <cfvo type="max"/>
        <color rgb="FFF8696B"/>
        <color rgb="FFFFEB84"/>
        <color rgb="FF63BE7B"/>
      </colorScale>
    </cfRule>
  </conditionalFormatting>
  <conditionalFormatting sqref="F11:F31">
    <cfRule type="colorScale" priority="5040">
      <colorScale>
        <cfvo type="min"/>
        <cfvo type="percentile" val="50"/>
        <cfvo type="max"/>
        <color rgb="FFF8696B"/>
        <color rgb="FFFFEB84"/>
        <color rgb="FF63BE7B"/>
      </colorScale>
    </cfRule>
  </conditionalFormatting>
  <conditionalFormatting sqref="F11:F31">
    <cfRule type="colorScale" priority="5039">
      <colorScale>
        <cfvo type="min"/>
        <cfvo type="percentile" val="50"/>
        <cfvo type="max"/>
        <color rgb="FFF8696B"/>
        <color rgb="FFFFEB84"/>
        <color rgb="FF63BE7B"/>
      </colorScale>
    </cfRule>
  </conditionalFormatting>
  <conditionalFormatting sqref="F11:F31">
    <cfRule type="colorScale" priority="5038">
      <colorScale>
        <cfvo type="min"/>
        <cfvo type="percentile" val="50"/>
        <cfvo type="max"/>
        <color rgb="FFF8696B"/>
        <color rgb="FFFFEB84"/>
        <color rgb="FF63BE7B"/>
      </colorScale>
    </cfRule>
  </conditionalFormatting>
  <conditionalFormatting sqref="F11:F31">
    <cfRule type="colorScale" priority="5037">
      <colorScale>
        <cfvo type="min"/>
        <cfvo type="percentile" val="50"/>
        <cfvo type="max"/>
        <color rgb="FFF8696B"/>
        <color rgb="FFFFEB84"/>
        <color rgb="FF63BE7B"/>
      </colorScale>
    </cfRule>
  </conditionalFormatting>
  <conditionalFormatting sqref="F11:F31">
    <cfRule type="colorScale" priority="5036">
      <colorScale>
        <cfvo type="min"/>
        <cfvo type="percentile" val="50"/>
        <cfvo type="max"/>
        <color rgb="FFF8696B"/>
        <color rgb="FFFFEB84"/>
        <color rgb="FF63BE7B"/>
      </colorScale>
    </cfRule>
  </conditionalFormatting>
  <conditionalFormatting sqref="F11:F31">
    <cfRule type="colorScale" priority="5035">
      <colorScale>
        <cfvo type="min"/>
        <cfvo type="percentile" val="50"/>
        <cfvo type="max"/>
        <color rgb="FFF8696B"/>
        <color rgb="FFFFEB84"/>
        <color rgb="FF63BE7B"/>
      </colorScale>
    </cfRule>
  </conditionalFormatting>
  <conditionalFormatting sqref="F11:F31">
    <cfRule type="colorScale" priority="5034">
      <colorScale>
        <cfvo type="min"/>
        <cfvo type="percentile" val="50"/>
        <cfvo type="max"/>
        <color rgb="FFF8696B"/>
        <color rgb="FFFFEB84"/>
        <color rgb="FF63BE7B"/>
      </colorScale>
    </cfRule>
  </conditionalFormatting>
  <conditionalFormatting sqref="F11:F31">
    <cfRule type="colorScale" priority="5033">
      <colorScale>
        <cfvo type="min"/>
        <cfvo type="percentile" val="50"/>
        <cfvo type="max"/>
        <color rgb="FFF8696B"/>
        <color rgb="FFFFEB84"/>
        <color rgb="FF63BE7B"/>
      </colorScale>
    </cfRule>
  </conditionalFormatting>
  <conditionalFormatting sqref="F11:F31">
    <cfRule type="colorScale" priority="5032">
      <colorScale>
        <cfvo type="min"/>
        <cfvo type="percentile" val="50"/>
        <cfvo type="max"/>
        <color rgb="FFF8696B"/>
        <color rgb="FFFFEB84"/>
        <color rgb="FF63BE7B"/>
      </colorScale>
    </cfRule>
  </conditionalFormatting>
  <conditionalFormatting sqref="F11:F31">
    <cfRule type="colorScale" priority="5031">
      <colorScale>
        <cfvo type="min"/>
        <cfvo type="percentile" val="50"/>
        <cfvo type="max"/>
        <color rgb="FFF8696B"/>
        <color rgb="FFFFEB84"/>
        <color rgb="FF63BE7B"/>
      </colorScale>
    </cfRule>
  </conditionalFormatting>
  <conditionalFormatting sqref="F11:F31">
    <cfRule type="colorScale" priority="5030">
      <colorScale>
        <cfvo type="min"/>
        <cfvo type="percentile" val="50"/>
        <cfvo type="max"/>
        <color rgb="FFF8696B"/>
        <color rgb="FFFFEB84"/>
        <color rgb="FF63BE7B"/>
      </colorScale>
    </cfRule>
  </conditionalFormatting>
  <conditionalFormatting sqref="F11:F31">
    <cfRule type="colorScale" priority="5029">
      <colorScale>
        <cfvo type="min"/>
        <cfvo type="percentile" val="50"/>
        <cfvo type="max"/>
        <color rgb="FFF8696B"/>
        <color rgb="FFFFEB84"/>
        <color rgb="FF63BE7B"/>
      </colorScale>
    </cfRule>
  </conditionalFormatting>
  <conditionalFormatting sqref="F11:F31">
    <cfRule type="colorScale" priority="5028">
      <colorScale>
        <cfvo type="min"/>
        <cfvo type="percentile" val="50"/>
        <cfvo type="max"/>
        <color rgb="FFF8696B"/>
        <color rgb="FFFFEB84"/>
        <color rgb="FF63BE7B"/>
      </colorScale>
    </cfRule>
  </conditionalFormatting>
  <conditionalFormatting sqref="F11:F31">
    <cfRule type="colorScale" priority="5027">
      <colorScale>
        <cfvo type="min"/>
        <cfvo type="percentile" val="50"/>
        <cfvo type="max"/>
        <color rgb="FFF8696B"/>
        <color rgb="FFFFEB84"/>
        <color rgb="FF63BE7B"/>
      </colorScale>
    </cfRule>
  </conditionalFormatting>
  <conditionalFormatting sqref="F11:F31">
    <cfRule type="colorScale" priority="5026">
      <colorScale>
        <cfvo type="min"/>
        <cfvo type="percentile" val="50"/>
        <cfvo type="max"/>
        <color rgb="FFF8696B"/>
        <color rgb="FFFFEB84"/>
        <color rgb="FF63BE7B"/>
      </colorScale>
    </cfRule>
  </conditionalFormatting>
  <conditionalFormatting sqref="F11:F31">
    <cfRule type="colorScale" priority="5025">
      <colorScale>
        <cfvo type="min"/>
        <cfvo type="percentile" val="50"/>
        <cfvo type="max"/>
        <color rgb="FFF8696B"/>
        <color rgb="FFFFEB84"/>
        <color rgb="FF63BE7B"/>
      </colorScale>
    </cfRule>
  </conditionalFormatting>
  <conditionalFormatting sqref="F11:F31">
    <cfRule type="colorScale" priority="5024">
      <colorScale>
        <cfvo type="min"/>
        <cfvo type="percentile" val="50"/>
        <cfvo type="max"/>
        <color rgb="FFF8696B"/>
        <color rgb="FFFFEB84"/>
        <color rgb="FF63BE7B"/>
      </colorScale>
    </cfRule>
  </conditionalFormatting>
  <conditionalFormatting sqref="F11:F31">
    <cfRule type="colorScale" priority="5023">
      <colorScale>
        <cfvo type="min"/>
        <cfvo type="percentile" val="50"/>
        <cfvo type="max"/>
        <color rgb="FFF8696B"/>
        <color rgb="FFFFEB84"/>
        <color rgb="FF63BE7B"/>
      </colorScale>
    </cfRule>
  </conditionalFormatting>
  <conditionalFormatting sqref="F11:F31">
    <cfRule type="colorScale" priority="5022">
      <colorScale>
        <cfvo type="min"/>
        <cfvo type="percentile" val="50"/>
        <cfvo type="max"/>
        <color rgb="FFF8696B"/>
        <color rgb="FFFFEB84"/>
        <color rgb="FF63BE7B"/>
      </colorScale>
    </cfRule>
  </conditionalFormatting>
  <conditionalFormatting sqref="F11:F31">
    <cfRule type="colorScale" priority="5021">
      <colorScale>
        <cfvo type="min"/>
        <cfvo type="percentile" val="50"/>
        <cfvo type="max"/>
        <color rgb="FFF8696B"/>
        <color rgb="FFFFEB84"/>
        <color rgb="FF63BE7B"/>
      </colorScale>
    </cfRule>
  </conditionalFormatting>
  <conditionalFormatting sqref="F11:F31">
    <cfRule type="colorScale" priority="5020">
      <colorScale>
        <cfvo type="min"/>
        <cfvo type="percentile" val="50"/>
        <cfvo type="max"/>
        <color rgb="FFF8696B"/>
        <color rgb="FFFFEB84"/>
        <color rgb="FF63BE7B"/>
      </colorScale>
    </cfRule>
  </conditionalFormatting>
  <conditionalFormatting sqref="F11:F31">
    <cfRule type="colorScale" priority="5019">
      <colorScale>
        <cfvo type="min"/>
        <cfvo type="percentile" val="50"/>
        <cfvo type="max"/>
        <color rgb="FFF8696B"/>
        <color rgb="FFFFEB84"/>
        <color rgb="FF63BE7B"/>
      </colorScale>
    </cfRule>
  </conditionalFormatting>
  <conditionalFormatting sqref="F11:F31">
    <cfRule type="colorScale" priority="5018">
      <colorScale>
        <cfvo type="min"/>
        <cfvo type="percentile" val="50"/>
        <cfvo type="max"/>
        <color rgb="FFF8696B"/>
        <color rgb="FFFFEB84"/>
        <color rgb="FF63BE7B"/>
      </colorScale>
    </cfRule>
  </conditionalFormatting>
  <conditionalFormatting sqref="F11:F31">
    <cfRule type="colorScale" priority="5017">
      <colorScale>
        <cfvo type="min"/>
        <cfvo type="percentile" val="50"/>
        <cfvo type="max"/>
        <color rgb="FFF8696B"/>
        <color rgb="FFFFEB84"/>
        <color rgb="FF63BE7B"/>
      </colorScale>
    </cfRule>
  </conditionalFormatting>
  <conditionalFormatting sqref="F11:F31">
    <cfRule type="colorScale" priority="5016">
      <colorScale>
        <cfvo type="min"/>
        <cfvo type="percentile" val="50"/>
        <cfvo type="max"/>
        <color rgb="FFF8696B"/>
        <color rgb="FFFFEB84"/>
        <color rgb="FF63BE7B"/>
      </colorScale>
    </cfRule>
  </conditionalFormatting>
  <conditionalFormatting sqref="F11:F31">
    <cfRule type="colorScale" priority="5015">
      <colorScale>
        <cfvo type="min"/>
        <cfvo type="percentile" val="50"/>
        <cfvo type="max"/>
        <color rgb="FFF8696B"/>
        <color rgb="FFFFEB84"/>
        <color rgb="FF63BE7B"/>
      </colorScale>
    </cfRule>
  </conditionalFormatting>
  <conditionalFormatting sqref="F11:F31">
    <cfRule type="colorScale" priority="5014">
      <colorScale>
        <cfvo type="min"/>
        <cfvo type="percentile" val="50"/>
        <cfvo type="max"/>
        <color rgb="FFF8696B"/>
        <color rgb="FFFFEB84"/>
        <color rgb="FF63BE7B"/>
      </colorScale>
    </cfRule>
  </conditionalFormatting>
  <conditionalFormatting sqref="F11:F31">
    <cfRule type="colorScale" priority="5013">
      <colorScale>
        <cfvo type="min"/>
        <cfvo type="percentile" val="50"/>
        <cfvo type="max"/>
        <color rgb="FFF8696B"/>
        <color rgb="FFFFEB84"/>
        <color rgb="FF63BE7B"/>
      </colorScale>
    </cfRule>
  </conditionalFormatting>
  <conditionalFormatting sqref="F11:F31">
    <cfRule type="colorScale" priority="5012">
      <colorScale>
        <cfvo type="min"/>
        <cfvo type="percentile" val="50"/>
        <cfvo type="max"/>
        <color rgb="FFF8696B"/>
        <color rgb="FFFFEB84"/>
        <color rgb="FF63BE7B"/>
      </colorScale>
    </cfRule>
  </conditionalFormatting>
  <conditionalFormatting sqref="F11:F31">
    <cfRule type="colorScale" priority="5011">
      <colorScale>
        <cfvo type="min"/>
        <cfvo type="percentile" val="50"/>
        <cfvo type="max"/>
        <color rgb="FFF8696B"/>
        <color rgb="FFFFEB84"/>
        <color rgb="FF63BE7B"/>
      </colorScale>
    </cfRule>
  </conditionalFormatting>
  <conditionalFormatting sqref="F11:F31">
    <cfRule type="colorScale" priority="5010">
      <colorScale>
        <cfvo type="min"/>
        <cfvo type="percentile" val="50"/>
        <cfvo type="max"/>
        <color rgb="FFF8696B"/>
        <color rgb="FFFFEB84"/>
        <color rgb="FF63BE7B"/>
      </colorScale>
    </cfRule>
  </conditionalFormatting>
  <conditionalFormatting sqref="F11:F31">
    <cfRule type="colorScale" priority="5009">
      <colorScale>
        <cfvo type="min"/>
        <cfvo type="percentile" val="50"/>
        <cfvo type="max"/>
        <color rgb="FFF8696B"/>
        <color rgb="FFFFEB84"/>
        <color rgb="FF63BE7B"/>
      </colorScale>
    </cfRule>
  </conditionalFormatting>
  <conditionalFormatting sqref="F11:F31">
    <cfRule type="colorScale" priority="5008">
      <colorScale>
        <cfvo type="min"/>
        <cfvo type="percentile" val="50"/>
        <cfvo type="max"/>
        <color rgb="FFF8696B"/>
        <color rgb="FFFFEB84"/>
        <color rgb="FF63BE7B"/>
      </colorScale>
    </cfRule>
  </conditionalFormatting>
  <conditionalFormatting sqref="F11:F31">
    <cfRule type="colorScale" priority="5007">
      <colorScale>
        <cfvo type="min"/>
        <cfvo type="percentile" val="50"/>
        <cfvo type="max"/>
        <color rgb="FFF8696B"/>
        <color rgb="FFFFEB84"/>
        <color rgb="FF63BE7B"/>
      </colorScale>
    </cfRule>
  </conditionalFormatting>
  <conditionalFormatting sqref="F11:F31">
    <cfRule type="colorScale" priority="5006">
      <colorScale>
        <cfvo type="min"/>
        <cfvo type="percentile" val="50"/>
        <cfvo type="max"/>
        <color rgb="FFF8696B"/>
        <color rgb="FFFFEB84"/>
        <color rgb="FF63BE7B"/>
      </colorScale>
    </cfRule>
  </conditionalFormatting>
  <conditionalFormatting sqref="F11:F31">
    <cfRule type="colorScale" priority="5005">
      <colorScale>
        <cfvo type="min"/>
        <cfvo type="percentile" val="50"/>
        <cfvo type="max"/>
        <color rgb="FFF8696B"/>
        <color rgb="FFFFEB84"/>
        <color rgb="FF63BE7B"/>
      </colorScale>
    </cfRule>
  </conditionalFormatting>
  <conditionalFormatting sqref="F11:F31">
    <cfRule type="colorScale" priority="5004">
      <colorScale>
        <cfvo type="min"/>
        <cfvo type="percentile" val="50"/>
        <cfvo type="max"/>
        <color rgb="FFF8696B"/>
        <color rgb="FFFFEB84"/>
        <color rgb="FF63BE7B"/>
      </colorScale>
    </cfRule>
  </conditionalFormatting>
  <conditionalFormatting sqref="F11:F31">
    <cfRule type="colorScale" priority="5003">
      <colorScale>
        <cfvo type="min"/>
        <cfvo type="percentile" val="50"/>
        <cfvo type="max"/>
        <color rgb="FFF8696B"/>
        <color rgb="FFFFEB84"/>
        <color rgb="FF63BE7B"/>
      </colorScale>
    </cfRule>
  </conditionalFormatting>
  <conditionalFormatting sqref="F11:F31">
    <cfRule type="colorScale" priority="5002">
      <colorScale>
        <cfvo type="min"/>
        <cfvo type="percentile" val="50"/>
        <cfvo type="max"/>
        <color rgb="FFF8696B"/>
        <color rgb="FFFFEB84"/>
        <color rgb="FF63BE7B"/>
      </colorScale>
    </cfRule>
  </conditionalFormatting>
  <conditionalFormatting sqref="F11:F31">
    <cfRule type="colorScale" priority="5001">
      <colorScale>
        <cfvo type="min"/>
        <cfvo type="percentile" val="50"/>
        <cfvo type="max"/>
        <color rgb="FFF8696B"/>
        <color rgb="FFFFEB84"/>
        <color rgb="FF63BE7B"/>
      </colorScale>
    </cfRule>
  </conditionalFormatting>
  <conditionalFormatting sqref="F11:F31">
    <cfRule type="colorScale" priority="5000">
      <colorScale>
        <cfvo type="min"/>
        <cfvo type="percentile" val="50"/>
        <cfvo type="max"/>
        <color rgb="FFF8696B"/>
        <color rgb="FFFFEB84"/>
        <color rgb="FF63BE7B"/>
      </colorScale>
    </cfRule>
  </conditionalFormatting>
  <conditionalFormatting sqref="F11:F31">
    <cfRule type="colorScale" priority="4999">
      <colorScale>
        <cfvo type="min"/>
        <cfvo type="percentile" val="50"/>
        <cfvo type="max"/>
        <color rgb="FFF8696B"/>
        <color rgb="FFFFEB84"/>
        <color rgb="FF63BE7B"/>
      </colorScale>
    </cfRule>
  </conditionalFormatting>
  <conditionalFormatting sqref="F11:F31">
    <cfRule type="colorScale" priority="4998">
      <colorScale>
        <cfvo type="min"/>
        <cfvo type="percentile" val="50"/>
        <cfvo type="max"/>
        <color rgb="FFF8696B"/>
        <color rgb="FFFFEB84"/>
        <color rgb="FF63BE7B"/>
      </colorScale>
    </cfRule>
  </conditionalFormatting>
  <conditionalFormatting sqref="F11:F31">
    <cfRule type="colorScale" priority="4997">
      <colorScale>
        <cfvo type="min"/>
        <cfvo type="percentile" val="50"/>
        <cfvo type="max"/>
        <color rgb="FFF8696B"/>
        <color rgb="FFFFEB84"/>
        <color rgb="FF63BE7B"/>
      </colorScale>
    </cfRule>
  </conditionalFormatting>
  <conditionalFormatting sqref="F11:F31">
    <cfRule type="colorScale" priority="4996">
      <colorScale>
        <cfvo type="min"/>
        <cfvo type="percentile" val="50"/>
        <cfvo type="max"/>
        <color rgb="FFF8696B"/>
        <color rgb="FFFFEB84"/>
        <color rgb="FF63BE7B"/>
      </colorScale>
    </cfRule>
  </conditionalFormatting>
  <conditionalFormatting sqref="F11:F31">
    <cfRule type="colorScale" priority="4995">
      <colorScale>
        <cfvo type="min"/>
        <cfvo type="percentile" val="50"/>
        <cfvo type="max"/>
        <color rgb="FFF8696B"/>
        <color rgb="FFFFEB84"/>
        <color rgb="FF63BE7B"/>
      </colorScale>
    </cfRule>
  </conditionalFormatting>
  <conditionalFormatting sqref="F11:F31">
    <cfRule type="colorScale" priority="4994">
      <colorScale>
        <cfvo type="min"/>
        <cfvo type="percentile" val="50"/>
        <cfvo type="max"/>
        <color rgb="FFF8696B"/>
        <color rgb="FFFFEB84"/>
        <color rgb="FF63BE7B"/>
      </colorScale>
    </cfRule>
  </conditionalFormatting>
  <conditionalFormatting sqref="F11:F31">
    <cfRule type="colorScale" priority="4993">
      <colorScale>
        <cfvo type="min"/>
        <cfvo type="percentile" val="50"/>
        <cfvo type="max"/>
        <color rgb="FFF8696B"/>
        <color rgb="FFFFEB84"/>
        <color rgb="FF63BE7B"/>
      </colorScale>
    </cfRule>
  </conditionalFormatting>
  <conditionalFormatting sqref="F11:F31">
    <cfRule type="colorScale" priority="4992">
      <colorScale>
        <cfvo type="min"/>
        <cfvo type="percentile" val="50"/>
        <cfvo type="max"/>
        <color rgb="FFF8696B"/>
        <color rgb="FFFFEB84"/>
        <color rgb="FF63BE7B"/>
      </colorScale>
    </cfRule>
  </conditionalFormatting>
  <conditionalFormatting sqref="F11:F31">
    <cfRule type="colorScale" priority="4991">
      <colorScale>
        <cfvo type="min"/>
        <cfvo type="percentile" val="50"/>
        <cfvo type="max"/>
        <color rgb="FFF8696B"/>
        <color rgb="FFFFEB84"/>
        <color rgb="FF63BE7B"/>
      </colorScale>
    </cfRule>
  </conditionalFormatting>
  <conditionalFormatting sqref="F11:F31">
    <cfRule type="colorScale" priority="4990">
      <colorScale>
        <cfvo type="min"/>
        <cfvo type="percentile" val="50"/>
        <cfvo type="max"/>
        <color rgb="FFF8696B"/>
        <color rgb="FFFFEB84"/>
        <color rgb="FF63BE7B"/>
      </colorScale>
    </cfRule>
  </conditionalFormatting>
  <conditionalFormatting sqref="F11:F31">
    <cfRule type="colorScale" priority="4989">
      <colorScale>
        <cfvo type="min"/>
        <cfvo type="percentile" val="50"/>
        <cfvo type="max"/>
        <color rgb="FFF8696B"/>
        <color rgb="FFFFEB84"/>
        <color rgb="FF63BE7B"/>
      </colorScale>
    </cfRule>
  </conditionalFormatting>
  <conditionalFormatting sqref="F11:F31">
    <cfRule type="colorScale" priority="4988">
      <colorScale>
        <cfvo type="min"/>
        <cfvo type="percentile" val="50"/>
        <cfvo type="max"/>
        <color rgb="FFF8696B"/>
        <color rgb="FFFFEB84"/>
        <color rgb="FF63BE7B"/>
      </colorScale>
    </cfRule>
  </conditionalFormatting>
  <conditionalFormatting sqref="F11:F31">
    <cfRule type="colorScale" priority="4987">
      <colorScale>
        <cfvo type="min"/>
        <cfvo type="percentile" val="50"/>
        <cfvo type="max"/>
        <color rgb="FFF8696B"/>
        <color rgb="FFFFEB84"/>
        <color rgb="FF63BE7B"/>
      </colorScale>
    </cfRule>
  </conditionalFormatting>
  <conditionalFormatting sqref="F11:F31">
    <cfRule type="colorScale" priority="4986">
      <colorScale>
        <cfvo type="min"/>
        <cfvo type="percentile" val="50"/>
        <cfvo type="max"/>
        <color rgb="FFF8696B"/>
        <color rgb="FFFFEB84"/>
        <color rgb="FF63BE7B"/>
      </colorScale>
    </cfRule>
  </conditionalFormatting>
  <conditionalFormatting sqref="F11:F31">
    <cfRule type="colorScale" priority="4985">
      <colorScale>
        <cfvo type="min"/>
        <cfvo type="percentile" val="50"/>
        <cfvo type="max"/>
        <color rgb="FFF8696B"/>
        <color rgb="FFFFEB84"/>
        <color rgb="FF63BE7B"/>
      </colorScale>
    </cfRule>
  </conditionalFormatting>
  <conditionalFormatting sqref="F11:F31">
    <cfRule type="colorScale" priority="4984">
      <colorScale>
        <cfvo type="min"/>
        <cfvo type="percentile" val="50"/>
        <cfvo type="max"/>
        <color rgb="FFF8696B"/>
        <color rgb="FFFFEB84"/>
        <color rgb="FF63BE7B"/>
      </colorScale>
    </cfRule>
  </conditionalFormatting>
  <conditionalFormatting sqref="F11:F31">
    <cfRule type="colorScale" priority="4983">
      <colorScale>
        <cfvo type="min"/>
        <cfvo type="percentile" val="50"/>
        <cfvo type="max"/>
        <color rgb="FFF8696B"/>
        <color rgb="FFFFEB84"/>
        <color rgb="FF63BE7B"/>
      </colorScale>
    </cfRule>
  </conditionalFormatting>
  <conditionalFormatting sqref="F11:F31">
    <cfRule type="colorScale" priority="4982">
      <colorScale>
        <cfvo type="min"/>
        <cfvo type="percentile" val="50"/>
        <cfvo type="max"/>
        <color rgb="FFF8696B"/>
        <color rgb="FFFFEB84"/>
        <color rgb="FF63BE7B"/>
      </colorScale>
    </cfRule>
  </conditionalFormatting>
  <conditionalFormatting sqref="F11:F31">
    <cfRule type="colorScale" priority="4981">
      <colorScale>
        <cfvo type="min"/>
        <cfvo type="percentile" val="50"/>
        <cfvo type="max"/>
        <color rgb="FFF8696B"/>
        <color rgb="FFFFEB84"/>
        <color rgb="FF63BE7B"/>
      </colorScale>
    </cfRule>
  </conditionalFormatting>
  <conditionalFormatting sqref="F11:F31">
    <cfRule type="colorScale" priority="4980">
      <colorScale>
        <cfvo type="min"/>
        <cfvo type="percentile" val="50"/>
        <cfvo type="max"/>
        <color rgb="FFF8696B"/>
        <color rgb="FFFFEB84"/>
        <color rgb="FF63BE7B"/>
      </colorScale>
    </cfRule>
  </conditionalFormatting>
  <conditionalFormatting sqref="F11:F31">
    <cfRule type="colorScale" priority="4979">
      <colorScale>
        <cfvo type="min"/>
        <cfvo type="percentile" val="50"/>
        <cfvo type="max"/>
        <color rgb="FFF8696B"/>
        <color rgb="FFFFEB84"/>
        <color rgb="FF63BE7B"/>
      </colorScale>
    </cfRule>
  </conditionalFormatting>
  <conditionalFormatting sqref="F11:F31">
    <cfRule type="colorScale" priority="4978">
      <colorScale>
        <cfvo type="min"/>
        <cfvo type="percentile" val="50"/>
        <cfvo type="max"/>
        <color rgb="FFF8696B"/>
        <color rgb="FFFFEB84"/>
        <color rgb="FF63BE7B"/>
      </colorScale>
    </cfRule>
  </conditionalFormatting>
  <conditionalFormatting sqref="F11:F31">
    <cfRule type="colorScale" priority="4977">
      <colorScale>
        <cfvo type="min"/>
        <cfvo type="percentile" val="50"/>
        <cfvo type="max"/>
        <color rgb="FFF8696B"/>
        <color rgb="FFFFEB84"/>
        <color rgb="FF63BE7B"/>
      </colorScale>
    </cfRule>
  </conditionalFormatting>
  <conditionalFormatting sqref="F11:F31">
    <cfRule type="colorScale" priority="4976">
      <colorScale>
        <cfvo type="min"/>
        <cfvo type="percentile" val="50"/>
        <cfvo type="max"/>
        <color rgb="FFF8696B"/>
        <color rgb="FFFFEB84"/>
        <color rgb="FF63BE7B"/>
      </colorScale>
    </cfRule>
  </conditionalFormatting>
  <conditionalFormatting sqref="F11:F31">
    <cfRule type="colorScale" priority="4975">
      <colorScale>
        <cfvo type="min"/>
        <cfvo type="percentile" val="50"/>
        <cfvo type="max"/>
        <color rgb="FFF8696B"/>
        <color rgb="FFFFEB84"/>
        <color rgb="FF63BE7B"/>
      </colorScale>
    </cfRule>
  </conditionalFormatting>
  <conditionalFormatting sqref="F11:F31">
    <cfRule type="colorScale" priority="4974">
      <colorScale>
        <cfvo type="min"/>
        <cfvo type="percentile" val="50"/>
        <cfvo type="max"/>
        <color rgb="FFF8696B"/>
        <color rgb="FFFFEB84"/>
        <color rgb="FF63BE7B"/>
      </colorScale>
    </cfRule>
  </conditionalFormatting>
  <conditionalFormatting sqref="F11:F31">
    <cfRule type="colorScale" priority="4973">
      <colorScale>
        <cfvo type="min"/>
        <cfvo type="percentile" val="50"/>
        <cfvo type="max"/>
        <color rgb="FFF8696B"/>
        <color rgb="FFFFEB84"/>
        <color rgb="FF63BE7B"/>
      </colorScale>
    </cfRule>
  </conditionalFormatting>
  <conditionalFormatting sqref="F11:F31">
    <cfRule type="colorScale" priority="4972">
      <colorScale>
        <cfvo type="min"/>
        <cfvo type="percentile" val="50"/>
        <cfvo type="max"/>
        <color rgb="FFF8696B"/>
        <color rgb="FFFFEB84"/>
        <color rgb="FF63BE7B"/>
      </colorScale>
    </cfRule>
  </conditionalFormatting>
  <conditionalFormatting sqref="F11:F31">
    <cfRule type="colorScale" priority="4971">
      <colorScale>
        <cfvo type="min"/>
        <cfvo type="percentile" val="50"/>
        <cfvo type="max"/>
        <color rgb="FFF8696B"/>
        <color rgb="FFFFEB84"/>
        <color rgb="FF63BE7B"/>
      </colorScale>
    </cfRule>
  </conditionalFormatting>
  <conditionalFormatting sqref="F11:F31">
    <cfRule type="colorScale" priority="4970">
      <colorScale>
        <cfvo type="min"/>
        <cfvo type="percentile" val="50"/>
        <cfvo type="max"/>
        <color rgb="FFF8696B"/>
        <color rgb="FFFFEB84"/>
        <color rgb="FF63BE7B"/>
      </colorScale>
    </cfRule>
  </conditionalFormatting>
  <conditionalFormatting sqref="F11:F31">
    <cfRule type="colorScale" priority="4969">
      <colorScale>
        <cfvo type="min"/>
        <cfvo type="percentile" val="50"/>
        <cfvo type="max"/>
        <color rgb="FFF8696B"/>
        <color rgb="FFFFEB84"/>
        <color rgb="FF63BE7B"/>
      </colorScale>
    </cfRule>
  </conditionalFormatting>
  <conditionalFormatting sqref="F11:F31">
    <cfRule type="colorScale" priority="4968">
      <colorScale>
        <cfvo type="min"/>
        <cfvo type="percentile" val="50"/>
        <cfvo type="max"/>
        <color rgb="FFF8696B"/>
        <color rgb="FFFFEB84"/>
        <color rgb="FF63BE7B"/>
      </colorScale>
    </cfRule>
  </conditionalFormatting>
  <conditionalFormatting sqref="F11:F31">
    <cfRule type="colorScale" priority="4967">
      <colorScale>
        <cfvo type="min"/>
        <cfvo type="percentile" val="50"/>
        <cfvo type="max"/>
        <color rgb="FFF8696B"/>
        <color rgb="FFFFEB84"/>
        <color rgb="FF63BE7B"/>
      </colorScale>
    </cfRule>
  </conditionalFormatting>
  <conditionalFormatting sqref="F11:F31">
    <cfRule type="colorScale" priority="4966">
      <colorScale>
        <cfvo type="min"/>
        <cfvo type="percentile" val="50"/>
        <cfvo type="max"/>
        <color rgb="FFF8696B"/>
        <color rgb="FFFFEB84"/>
        <color rgb="FF63BE7B"/>
      </colorScale>
    </cfRule>
  </conditionalFormatting>
  <conditionalFormatting sqref="F11:F32">
    <cfRule type="colorScale" priority="4965">
      <colorScale>
        <cfvo type="min"/>
        <cfvo type="percentile" val="50"/>
        <cfvo type="max"/>
        <color rgb="FFF8696B"/>
        <color rgb="FFFFEB84"/>
        <color rgb="FF63BE7B"/>
      </colorScale>
    </cfRule>
  </conditionalFormatting>
  <conditionalFormatting sqref="F11:F32">
    <cfRule type="colorScale" priority="4964">
      <colorScale>
        <cfvo type="min"/>
        <cfvo type="percentile" val="50"/>
        <cfvo type="max"/>
        <color rgb="FFF8696B"/>
        <color rgb="FFFFEB84"/>
        <color rgb="FF63BE7B"/>
      </colorScale>
    </cfRule>
  </conditionalFormatting>
  <conditionalFormatting sqref="F11:F31">
    <cfRule type="colorScale" priority="4963">
      <colorScale>
        <cfvo type="min"/>
        <cfvo type="percentile" val="50"/>
        <cfvo type="max"/>
        <color rgb="FFF8696B"/>
        <color rgb="FFFFEB84"/>
        <color rgb="FF63BE7B"/>
      </colorScale>
    </cfRule>
  </conditionalFormatting>
  <conditionalFormatting sqref="F11:F31">
    <cfRule type="colorScale" priority="4962">
      <colorScale>
        <cfvo type="min"/>
        <cfvo type="percentile" val="50"/>
        <cfvo type="max"/>
        <color rgb="FFF8696B"/>
        <color rgb="FFFFEB84"/>
        <color rgb="FF63BE7B"/>
      </colorScale>
    </cfRule>
  </conditionalFormatting>
  <conditionalFormatting sqref="F11:F31">
    <cfRule type="colorScale" priority="4961">
      <colorScale>
        <cfvo type="min"/>
        <cfvo type="percentile" val="50"/>
        <cfvo type="max"/>
        <color rgb="FFF8696B"/>
        <color rgb="FFFFEB84"/>
        <color rgb="FF63BE7B"/>
      </colorScale>
    </cfRule>
  </conditionalFormatting>
  <conditionalFormatting sqref="F11:F31">
    <cfRule type="colorScale" priority="4960">
      <colorScale>
        <cfvo type="min"/>
        <cfvo type="percentile" val="50"/>
        <cfvo type="max"/>
        <color rgb="FFF8696B"/>
        <color rgb="FFFFEB84"/>
        <color rgb="FF63BE7B"/>
      </colorScale>
    </cfRule>
  </conditionalFormatting>
  <conditionalFormatting sqref="F11:F28">
    <cfRule type="colorScale" priority="4959">
      <colorScale>
        <cfvo type="min"/>
        <cfvo type="percentile" val="50"/>
        <cfvo type="max"/>
        <color rgb="FFF8696B"/>
        <color rgb="FFFFEB84"/>
        <color rgb="FF63BE7B"/>
      </colorScale>
    </cfRule>
  </conditionalFormatting>
  <conditionalFormatting sqref="F11:F28">
    <cfRule type="colorScale" priority="4958">
      <colorScale>
        <cfvo type="min"/>
        <cfvo type="percentile" val="50"/>
        <cfvo type="max"/>
        <color rgb="FFF8696B"/>
        <color rgb="FFFFEB84"/>
        <color rgb="FF63BE7B"/>
      </colorScale>
    </cfRule>
  </conditionalFormatting>
  <conditionalFormatting sqref="F11:F31">
    <cfRule type="colorScale" priority="4957">
      <colorScale>
        <cfvo type="min"/>
        <cfvo type="percentile" val="50"/>
        <cfvo type="max"/>
        <color rgb="FFF8696B"/>
        <color rgb="FFFFEB84"/>
        <color rgb="FF63BE7B"/>
      </colorScale>
    </cfRule>
  </conditionalFormatting>
  <conditionalFormatting sqref="F11:F31">
    <cfRule type="colorScale" priority="4956">
      <colorScale>
        <cfvo type="min"/>
        <cfvo type="percentile" val="50"/>
        <cfvo type="max"/>
        <color rgb="FFF8696B"/>
        <color rgb="FFFFEB84"/>
        <color rgb="FF63BE7B"/>
      </colorScale>
    </cfRule>
  </conditionalFormatting>
  <conditionalFormatting sqref="F11:F32">
    <cfRule type="colorScale" priority="4955">
      <colorScale>
        <cfvo type="min"/>
        <cfvo type="percentile" val="50"/>
        <cfvo type="max"/>
        <color rgb="FFF8696B"/>
        <color rgb="FFFFEB84"/>
        <color rgb="FF63BE7B"/>
      </colorScale>
    </cfRule>
  </conditionalFormatting>
  <conditionalFormatting sqref="F11:F32">
    <cfRule type="colorScale" priority="4954">
      <colorScale>
        <cfvo type="min"/>
        <cfvo type="percentile" val="50"/>
        <cfvo type="max"/>
        <color rgb="FFF8696B"/>
        <color rgb="FFFFEB84"/>
        <color rgb="FF63BE7B"/>
      </colorScale>
    </cfRule>
  </conditionalFormatting>
  <conditionalFormatting sqref="F11:F31">
    <cfRule type="colorScale" priority="4953">
      <colorScale>
        <cfvo type="min"/>
        <cfvo type="percentile" val="50"/>
        <cfvo type="max"/>
        <color rgb="FFF8696B"/>
        <color rgb="FFFFEB84"/>
        <color rgb="FF63BE7B"/>
      </colorScale>
    </cfRule>
  </conditionalFormatting>
  <conditionalFormatting sqref="F11:F31">
    <cfRule type="colorScale" priority="4952">
      <colorScale>
        <cfvo type="min"/>
        <cfvo type="percentile" val="50"/>
        <cfvo type="max"/>
        <color rgb="FFF8696B"/>
        <color rgb="FFFFEB84"/>
        <color rgb="FF63BE7B"/>
      </colorScale>
    </cfRule>
  </conditionalFormatting>
  <conditionalFormatting sqref="F11:F31">
    <cfRule type="colorScale" priority="4951">
      <colorScale>
        <cfvo type="min"/>
        <cfvo type="percentile" val="50"/>
        <cfvo type="max"/>
        <color rgb="FFF8696B"/>
        <color rgb="FFFFEB84"/>
        <color rgb="FF63BE7B"/>
      </colorScale>
    </cfRule>
  </conditionalFormatting>
  <conditionalFormatting sqref="F11:F31">
    <cfRule type="colorScale" priority="4950">
      <colorScale>
        <cfvo type="min"/>
        <cfvo type="percentile" val="50"/>
        <cfvo type="max"/>
        <color rgb="FFF8696B"/>
        <color rgb="FFFFEB84"/>
        <color rgb="FF63BE7B"/>
      </colorScale>
    </cfRule>
  </conditionalFormatting>
  <conditionalFormatting sqref="F11:F31">
    <cfRule type="colorScale" priority="4949">
      <colorScale>
        <cfvo type="min"/>
        <cfvo type="percentile" val="50"/>
        <cfvo type="max"/>
        <color rgb="FFF8696B"/>
        <color rgb="FFFFEB84"/>
        <color rgb="FF63BE7B"/>
      </colorScale>
    </cfRule>
  </conditionalFormatting>
  <conditionalFormatting sqref="F11:F31">
    <cfRule type="colorScale" priority="4948">
      <colorScale>
        <cfvo type="min"/>
        <cfvo type="percentile" val="50"/>
        <cfvo type="max"/>
        <color rgb="FFF8696B"/>
        <color rgb="FFFFEB84"/>
        <color rgb="FF63BE7B"/>
      </colorScale>
    </cfRule>
  </conditionalFormatting>
  <conditionalFormatting sqref="F11:F31">
    <cfRule type="colorScale" priority="4947">
      <colorScale>
        <cfvo type="min"/>
        <cfvo type="percentile" val="50"/>
        <cfvo type="max"/>
        <color rgb="FFF8696B"/>
        <color rgb="FFFFEB84"/>
        <color rgb="FF63BE7B"/>
      </colorScale>
    </cfRule>
  </conditionalFormatting>
  <conditionalFormatting sqref="F11:F31">
    <cfRule type="colorScale" priority="4946">
      <colorScale>
        <cfvo type="min"/>
        <cfvo type="percentile" val="50"/>
        <cfvo type="max"/>
        <color rgb="FFF8696B"/>
        <color rgb="FFFFEB84"/>
        <color rgb="FF63BE7B"/>
      </colorScale>
    </cfRule>
  </conditionalFormatting>
  <conditionalFormatting sqref="F11:F31">
    <cfRule type="colorScale" priority="4945">
      <colorScale>
        <cfvo type="min"/>
        <cfvo type="percentile" val="50"/>
        <cfvo type="max"/>
        <color rgb="FFF8696B"/>
        <color rgb="FFFFEB84"/>
        <color rgb="FF63BE7B"/>
      </colorScale>
    </cfRule>
  </conditionalFormatting>
  <conditionalFormatting sqref="F11:F31">
    <cfRule type="colorScale" priority="4944">
      <colorScale>
        <cfvo type="min"/>
        <cfvo type="percentile" val="50"/>
        <cfvo type="max"/>
        <color rgb="FFF8696B"/>
        <color rgb="FFFFEB84"/>
        <color rgb="FF63BE7B"/>
      </colorScale>
    </cfRule>
  </conditionalFormatting>
  <conditionalFormatting sqref="F29:F31">
    <cfRule type="colorScale" priority="4943">
      <colorScale>
        <cfvo type="min"/>
        <cfvo type="percentile" val="50"/>
        <cfvo type="max"/>
        <color rgb="FFF8696B"/>
        <color rgb="FFFFEB84"/>
        <color rgb="FF63BE7B"/>
      </colorScale>
    </cfRule>
  </conditionalFormatting>
  <conditionalFormatting sqref="F29:F31">
    <cfRule type="colorScale" priority="4942">
      <colorScale>
        <cfvo type="min"/>
        <cfvo type="percentile" val="50"/>
        <cfvo type="max"/>
        <color rgb="FFF8696B"/>
        <color rgb="FFFFEB84"/>
        <color rgb="FF63BE7B"/>
      </colorScale>
    </cfRule>
  </conditionalFormatting>
  <conditionalFormatting sqref="F32">
    <cfRule type="colorScale" priority="4941">
      <colorScale>
        <cfvo type="min"/>
        <cfvo type="percentile" val="50"/>
        <cfvo type="max"/>
        <color rgb="FFF8696B"/>
        <color rgb="FFFFEB84"/>
        <color rgb="FF63BE7B"/>
      </colorScale>
    </cfRule>
  </conditionalFormatting>
  <conditionalFormatting sqref="F32">
    <cfRule type="colorScale" priority="4940">
      <colorScale>
        <cfvo type="min"/>
        <cfvo type="percentile" val="50"/>
        <cfvo type="max"/>
        <color rgb="FFF8696B"/>
        <color rgb="FFFFEB84"/>
        <color rgb="FF63BE7B"/>
      </colorScale>
    </cfRule>
  </conditionalFormatting>
  <conditionalFormatting sqref="F32">
    <cfRule type="colorScale" priority="4939">
      <colorScale>
        <cfvo type="min"/>
        <cfvo type="percentile" val="50"/>
        <cfvo type="max"/>
        <color rgb="FFF8696B"/>
        <color rgb="FFFFEB84"/>
        <color rgb="FF63BE7B"/>
      </colorScale>
    </cfRule>
  </conditionalFormatting>
  <conditionalFormatting sqref="F32">
    <cfRule type="colorScale" priority="4938">
      <colorScale>
        <cfvo type="min"/>
        <cfvo type="percentile" val="50"/>
        <cfvo type="max"/>
        <color rgb="FFF8696B"/>
        <color rgb="FFFFEB84"/>
        <color rgb="FF63BE7B"/>
      </colorScale>
    </cfRule>
  </conditionalFormatting>
  <conditionalFormatting sqref="F32">
    <cfRule type="colorScale" priority="4937">
      <colorScale>
        <cfvo type="min"/>
        <cfvo type="percentile" val="50"/>
        <cfvo type="max"/>
        <color rgb="FFF8696B"/>
        <color rgb="FFFFEB84"/>
        <color rgb="FF63BE7B"/>
      </colorScale>
    </cfRule>
  </conditionalFormatting>
  <conditionalFormatting sqref="F32">
    <cfRule type="colorScale" priority="4936">
      <colorScale>
        <cfvo type="min"/>
        <cfvo type="percentile" val="50"/>
        <cfvo type="max"/>
        <color rgb="FFF8696B"/>
        <color rgb="FFFFEB84"/>
        <color rgb="FF63BE7B"/>
      </colorScale>
    </cfRule>
  </conditionalFormatting>
  <conditionalFormatting sqref="F32">
    <cfRule type="colorScale" priority="4935">
      <colorScale>
        <cfvo type="min"/>
        <cfvo type="percentile" val="50"/>
        <cfvo type="max"/>
        <color rgb="FFF8696B"/>
        <color rgb="FFFFEB84"/>
        <color rgb="FF63BE7B"/>
      </colorScale>
    </cfRule>
  </conditionalFormatting>
  <conditionalFormatting sqref="F32">
    <cfRule type="colorScale" priority="4934">
      <colorScale>
        <cfvo type="min"/>
        <cfvo type="percentile" val="50"/>
        <cfvo type="max"/>
        <color rgb="FFF8696B"/>
        <color rgb="FFFFEB84"/>
        <color rgb="FF63BE7B"/>
      </colorScale>
    </cfRule>
  </conditionalFormatting>
  <conditionalFormatting sqref="F32">
    <cfRule type="colorScale" priority="4933">
      <colorScale>
        <cfvo type="min"/>
        <cfvo type="percentile" val="50"/>
        <cfvo type="max"/>
        <color rgb="FFF8696B"/>
        <color rgb="FFFFEB84"/>
        <color rgb="FF63BE7B"/>
      </colorScale>
    </cfRule>
  </conditionalFormatting>
  <conditionalFormatting sqref="F32">
    <cfRule type="colorScale" priority="4932">
      <colorScale>
        <cfvo type="min"/>
        <cfvo type="percentile" val="50"/>
        <cfvo type="max"/>
        <color rgb="FFF8696B"/>
        <color rgb="FFFFEB84"/>
        <color rgb="FF63BE7B"/>
      </colorScale>
    </cfRule>
  </conditionalFormatting>
  <conditionalFormatting sqref="F32">
    <cfRule type="colorScale" priority="4931">
      <colorScale>
        <cfvo type="min"/>
        <cfvo type="percentile" val="50"/>
        <cfvo type="max"/>
        <color rgb="FFF8696B"/>
        <color rgb="FFFFEB84"/>
        <color rgb="FF63BE7B"/>
      </colorScale>
    </cfRule>
  </conditionalFormatting>
  <conditionalFormatting sqref="F32">
    <cfRule type="colorScale" priority="4930">
      <colorScale>
        <cfvo type="min"/>
        <cfvo type="percentile" val="50"/>
        <cfvo type="max"/>
        <color rgb="FFF8696B"/>
        <color rgb="FFFFEB84"/>
        <color rgb="FF63BE7B"/>
      </colorScale>
    </cfRule>
  </conditionalFormatting>
  <conditionalFormatting sqref="F32">
    <cfRule type="colorScale" priority="4929">
      <colorScale>
        <cfvo type="min"/>
        <cfvo type="percentile" val="50"/>
        <cfvo type="max"/>
        <color rgb="FFF8696B"/>
        <color rgb="FFFFEB84"/>
        <color rgb="FF63BE7B"/>
      </colorScale>
    </cfRule>
  </conditionalFormatting>
  <conditionalFormatting sqref="F32">
    <cfRule type="colorScale" priority="4928">
      <colorScale>
        <cfvo type="min"/>
        <cfvo type="percentile" val="50"/>
        <cfvo type="max"/>
        <color rgb="FFF8696B"/>
        <color rgb="FFFFEB84"/>
        <color rgb="FF63BE7B"/>
      </colorScale>
    </cfRule>
  </conditionalFormatting>
  <conditionalFormatting sqref="F32">
    <cfRule type="colorScale" priority="4927">
      <colorScale>
        <cfvo type="min"/>
        <cfvo type="percentile" val="50"/>
        <cfvo type="max"/>
        <color rgb="FFF8696B"/>
        <color rgb="FFFFEB84"/>
        <color rgb="FF63BE7B"/>
      </colorScale>
    </cfRule>
  </conditionalFormatting>
  <conditionalFormatting sqref="F32">
    <cfRule type="colorScale" priority="4926">
      <colorScale>
        <cfvo type="min"/>
        <cfvo type="percentile" val="50"/>
        <cfvo type="max"/>
        <color rgb="FFF8696B"/>
        <color rgb="FFFFEB84"/>
        <color rgb="FF63BE7B"/>
      </colorScale>
    </cfRule>
  </conditionalFormatting>
  <conditionalFormatting sqref="F32">
    <cfRule type="colorScale" priority="4925">
      <colorScale>
        <cfvo type="min"/>
        <cfvo type="percentile" val="50"/>
        <cfvo type="max"/>
        <color rgb="FFF8696B"/>
        <color rgb="FFFFEB84"/>
        <color rgb="FF63BE7B"/>
      </colorScale>
    </cfRule>
  </conditionalFormatting>
  <conditionalFormatting sqref="F32">
    <cfRule type="colorScale" priority="4924">
      <colorScale>
        <cfvo type="min"/>
        <cfvo type="percentile" val="50"/>
        <cfvo type="max"/>
        <color rgb="FFF8696B"/>
        <color rgb="FFFFEB84"/>
        <color rgb="FF63BE7B"/>
      </colorScale>
    </cfRule>
  </conditionalFormatting>
  <conditionalFormatting sqref="F32">
    <cfRule type="colorScale" priority="4923">
      <colorScale>
        <cfvo type="min"/>
        <cfvo type="percentile" val="50"/>
        <cfvo type="max"/>
        <color rgb="FFF8696B"/>
        <color rgb="FFFFEB84"/>
        <color rgb="FF63BE7B"/>
      </colorScale>
    </cfRule>
  </conditionalFormatting>
  <conditionalFormatting sqref="F32">
    <cfRule type="colorScale" priority="4922">
      <colorScale>
        <cfvo type="min"/>
        <cfvo type="percentile" val="50"/>
        <cfvo type="max"/>
        <color rgb="FFF8696B"/>
        <color rgb="FFFFEB84"/>
        <color rgb="FF63BE7B"/>
      </colorScale>
    </cfRule>
  </conditionalFormatting>
  <conditionalFormatting sqref="F32">
    <cfRule type="colorScale" priority="4921">
      <colorScale>
        <cfvo type="min"/>
        <cfvo type="percentile" val="50"/>
        <cfvo type="max"/>
        <color rgb="FFF8696B"/>
        <color rgb="FFFFEB84"/>
        <color rgb="FF63BE7B"/>
      </colorScale>
    </cfRule>
  </conditionalFormatting>
  <conditionalFormatting sqref="F32">
    <cfRule type="colorScale" priority="4920">
      <colorScale>
        <cfvo type="min"/>
        <cfvo type="percentile" val="50"/>
        <cfvo type="max"/>
        <color rgb="FFF8696B"/>
        <color rgb="FFFFEB84"/>
        <color rgb="FF63BE7B"/>
      </colorScale>
    </cfRule>
  </conditionalFormatting>
  <conditionalFormatting sqref="F32">
    <cfRule type="colorScale" priority="4919">
      <colorScale>
        <cfvo type="min"/>
        <cfvo type="percentile" val="50"/>
        <cfvo type="max"/>
        <color rgb="FFF8696B"/>
        <color rgb="FFFFEB84"/>
        <color rgb="FF63BE7B"/>
      </colorScale>
    </cfRule>
  </conditionalFormatting>
  <conditionalFormatting sqref="F32">
    <cfRule type="colorScale" priority="4918">
      <colorScale>
        <cfvo type="min"/>
        <cfvo type="percentile" val="50"/>
        <cfvo type="max"/>
        <color rgb="FFF8696B"/>
        <color rgb="FFFFEB84"/>
        <color rgb="FF63BE7B"/>
      </colorScale>
    </cfRule>
  </conditionalFormatting>
  <conditionalFormatting sqref="F32">
    <cfRule type="colorScale" priority="4917">
      <colorScale>
        <cfvo type="min"/>
        <cfvo type="percentile" val="50"/>
        <cfvo type="max"/>
        <color rgb="FFF8696B"/>
        <color rgb="FFFFEB84"/>
        <color rgb="FF63BE7B"/>
      </colorScale>
    </cfRule>
  </conditionalFormatting>
  <conditionalFormatting sqref="F32">
    <cfRule type="colorScale" priority="4916">
      <colorScale>
        <cfvo type="min"/>
        <cfvo type="percentile" val="50"/>
        <cfvo type="max"/>
        <color rgb="FFF8696B"/>
        <color rgb="FFFFEB84"/>
        <color rgb="FF63BE7B"/>
      </colorScale>
    </cfRule>
  </conditionalFormatting>
  <conditionalFormatting sqref="F32">
    <cfRule type="colorScale" priority="4915">
      <colorScale>
        <cfvo type="min"/>
        <cfvo type="percentile" val="50"/>
        <cfvo type="max"/>
        <color rgb="FFF8696B"/>
        <color rgb="FFFFEB84"/>
        <color rgb="FF63BE7B"/>
      </colorScale>
    </cfRule>
  </conditionalFormatting>
  <conditionalFormatting sqref="F32">
    <cfRule type="colorScale" priority="4914">
      <colorScale>
        <cfvo type="min"/>
        <cfvo type="percentile" val="50"/>
        <cfvo type="max"/>
        <color rgb="FFF8696B"/>
        <color rgb="FFFFEB84"/>
        <color rgb="FF63BE7B"/>
      </colorScale>
    </cfRule>
  </conditionalFormatting>
  <conditionalFormatting sqref="F32">
    <cfRule type="colorScale" priority="4913">
      <colorScale>
        <cfvo type="min"/>
        <cfvo type="percentile" val="50"/>
        <cfvo type="max"/>
        <color rgb="FFF8696B"/>
        <color rgb="FFFFEB84"/>
        <color rgb="FF63BE7B"/>
      </colorScale>
    </cfRule>
  </conditionalFormatting>
  <conditionalFormatting sqref="F32">
    <cfRule type="colorScale" priority="4912">
      <colorScale>
        <cfvo type="min"/>
        <cfvo type="percentile" val="50"/>
        <cfvo type="max"/>
        <color rgb="FFF8696B"/>
        <color rgb="FFFFEB84"/>
        <color rgb="FF63BE7B"/>
      </colorScale>
    </cfRule>
  </conditionalFormatting>
  <conditionalFormatting sqref="F32">
    <cfRule type="colorScale" priority="4911">
      <colorScale>
        <cfvo type="min"/>
        <cfvo type="percentile" val="50"/>
        <cfvo type="max"/>
        <color rgb="FFF8696B"/>
        <color rgb="FFFFEB84"/>
        <color rgb="FF63BE7B"/>
      </colorScale>
    </cfRule>
  </conditionalFormatting>
  <conditionalFormatting sqref="F32">
    <cfRule type="colorScale" priority="4910">
      <colorScale>
        <cfvo type="min"/>
        <cfvo type="percentile" val="50"/>
        <cfvo type="max"/>
        <color rgb="FFF8696B"/>
        <color rgb="FFFFEB84"/>
        <color rgb="FF63BE7B"/>
      </colorScale>
    </cfRule>
  </conditionalFormatting>
  <conditionalFormatting sqref="F32">
    <cfRule type="colorScale" priority="4909">
      <colorScale>
        <cfvo type="min"/>
        <cfvo type="percentile" val="50"/>
        <cfvo type="max"/>
        <color rgb="FFF8696B"/>
        <color rgb="FFFFEB84"/>
        <color rgb="FF63BE7B"/>
      </colorScale>
    </cfRule>
  </conditionalFormatting>
  <conditionalFormatting sqref="F32">
    <cfRule type="colorScale" priority="4908">
      <colorScale>
        <cfvo type="min"/>
        <cfvo type="percentile" val="50"/>
        <cfvo type="max"/>
        <color rgb="FFF8696B"/>
        <color rgb="FFFFEB84"/>
        <color rgb="FF63BE7B"/>
      </colorScale>
    </cfRule>
  </conditionalFormatting>
  <conditionalFormatting sqref="F32">
    <cfRule type="colorScale" priority="4907">
      <colorScale>
        <cfvo type="min"/>
        <cfvo type="percentile" val="50"/>
        <cfvo type="max"/>
        <color rgb="FFF8696B"/>
        <color rgb="FFFFEB84"/>
        <color rgb="FF63BE7B"/>
      </colorScale>
    </cfRule>
  </conditionalFormatting>
  <conditionalFormatting sqref="F32">
    <cfRule type="colorScale" priority="4906">
      <colorScale>
        <cfvo type="min"/>
        <cfvo type="percentile" val="50"/>
        <cfvo type="max"/>
        <color rgb="FFF8696B"/>
        <color rgb="FFFFEB84"/>
        <color rgb="FF63BE7B"/>
      </colorScale>
    </cfRule>
  </conditionalFormatting>
  <conditionalFormatting sqref="F32">
    <cfRule type="colorScale" priority="4905">
      <colorScale>
        <cfvo type="min"/>
        <cfvo type="percentile" val="50"/>
        <cfvo type="max"/>
        <color rgb="FFF8696B"/>
        <color rgb="FFFFEB84"/>
        <color rgb="FF63BE7B"/>
      </colorScale>
    </cfRule>
  </conditionalFormatting>
  <conditionalFormatting sqref="F32">
    <cfRule type="colorScale" priority="4904">
      <colorScale>
        <cfvo type="min"/>
        <cfvo type="percentile" val="50"/>
        <cfvo type="max"/>
        <color rgb="FFF8696B"/>
        <color rgb="FFFFEB84"/>
        <color rgb="FF63BE7B"/>
      </colorScale>
    </cfRule>
  </conditionalFormatting>
  <conditionalFormatting sqref="F32">
    <cfRule type="colorScale" priority="4903">
      <colorScale>
        <cfvo type="min"/>
        <cfvo type="percentile" val="50"/>
        <cfvo type="max"/>
        <color rgb="FFF8696B"/>
        <color rgb="FFFFEB84"/>
        <color rgb="FF63BE7B"/>
      </colorScale>
    </cfRule>
  </conditionalFormatting>
  <conditionalFormatting sqref="F32">
    <cfRule type="colorScale" priority="4902">
      <colorScale>
        <cfvo type="min"/>
        <cfvo type="percentile" val="50"/>
        <cfvo type="max"/>
        <color rgb="FFF8696B"/>
        <color rgb="FFFFEB84"/>
        <color rgb="FF63BE7B"/>
      </colorScale>
    </cfRule>
  </conditionalFormatting>
  <conditionalFormatting sqref="F32">
    <cfRule type="colorScale" priority="4901">
      <colorScale>
        <cfvo type="min"/>
        <cfvo type="percentile" val="50"/>
        <cfvo type="max"/>
        <color rgb="FFF8696B"/>
        <color rgb="FFFFEB84"/>
        <color rgb="FF63BE7B"/>
      </colorScale>
    </cfRule>
  </conditionalFormatting>
  <conditionalFormatting sqref="F32">
    <cfRule type="colorScale" priority="4900">
      <colorScale>
        <cfvo type="min"/>
        <cfvo type="percentile" val="50"/>
        <cfvo type="max"/>
        <color rgb="FFF8696B"/>
        <color rgb="FFFFEB84"/>
        <color rgb="FF63BE7B"/>
      </colorScale>
    </cfRule>
  </conditionalFormatting>
  <conditionalFormatting sqref="F32">
    <cfRule type="colorScale" priority="4899">
      <colorScale>
        <cfvo type="min"/>
        <cfvo type="percentile" val="50"/>
        <cfvo type="max"/>
        <color rgb="FFF8696B"/>
        <color rgb="FFFFEB84"/>
        <color rgb="FF63BE7B"/>
      </colorScale>
    </cfRule>
  </conditionalFormatting>
  <conditionalFormatting sqref="F32">
    <cfRule type="colorScale" priority="4898">
      <colorScale>
        <cfvo type="min"/>
        <cfvo type="percentile" val="50"/>
        <cfvo type="max"/>
        <color rgb="FFF8696B"/>
        <color rgb="FFFFEB84"/>
        <color rgb="FF63BE7B"/>
      </colorScale>
    </cfRule>
  </conditionalFormatting>
  <conditionalFormatting sqref="F32">
    <cfRule type="colorScale" priority="4897">
      <colorScale>
        <cfvo type="min"/>
        <cfvo type="percentile" val="50"/>
        <cfvo type="max"/>
        <color rgb="FFF8696B"/>
        <color rgb="FFFFEB84"/>
        <color rgb="FF63BE7B"/>
      </colorScale>
    </cfRule>
  </conditionalFormatting>
  <conditionalFormatting sqref="F32">
    <cfRule type="colorScale" priority="4896">
      <colorScale>
        <cfvo type="min"/>
        <cfvo type="percentile" val="50"/>
        <cfvo type="max"/>
        <color rgb="FFF8696B"/>
        <color rgb="FFFFEB84"/>
        <color rgb="FF63BE7B"/>
      </colorScale>
    </cfRule>
  </conditionalFormatting>
  <conditionalFormatting sqref="F32">
    <cfRule type="colorScale" priority="4895">
      <colorScale>
        <cfvo type="min"/>
        <cfvo type="percentile" val="50"/>
        <cfvo type="max"/>
        <color rgb="FFF8696B"/>
        <color rgb="FFFFEB84"/>
        <color rgb="FF63BE7B"/>
      </colorScale>
    </cfRule>
  </conditionalFormatting>
  <conditionalFormatting sqref="F32">
    <cfRule type="colorScale" priority="4894">
      <colorScale>
        <cfvo type="min"/>
        <cfvo type="percentile" val="50"/>
        <cfvo type="max"/>
        <color rgb="FFF8696B"/>
        <color rgb="FFFFEB84"/>
        <color rgb="FF63BE7B"/>
      </colorScale>
    </cfRule>
  </conditionalFormatting>
  <conditionalFormatting sqref="F32">
    <cfRule type="colorScale" priority="4893">
      <colorScale>
        <cfvo type="min"/>
        <cfvo type="percentile" val="50"/>
        <cfvo type="max"/>
        <color rgb="FFF8696B"/>
        <color rgb="FFFFEB84"/>
        <color rgb="FF63BE7B"/>
      </colorScale>
    </cfRule>
  </conditionalFormatting>
  <conditionalFormatting sqref="F32">
    <cfRule type="colorScale" priority="4892">
      <colorScale>
        <cfvo type="min"/>
        <cfvo type="percentile" val="50"/>
        <cfvo type="max"/>
        <color rgb="FFF8696B"/>
        <color rgb="FFFFEB84"/>
        <color rgb="FF63BE7B"/>
      </colorScale>
    </cfRule>
  </conditionalFormatting>
  <conditionalFormatting sqref="F32">
    <cfRule type="colorScale" priority="4891">
      <colorScale>
        <cfvo type="min"/>
        <cfvo type="percentile" val="50"/>
        <cfvo type="max"/>
        <color rgb="FFF8696B"/>
        <color rgb="FFFFEB84"/>
        <color rgb="FF63BE7B"/>
      </colorScale>
    </cfRule>
  </conditionalFormatting>
  <conditionalFormatting sqref="F32">
    <cfRule type="colorScale" priority="4890">
      <colorScale>
        <cfvo type="min"/>
        <cfvo type="percentile" val="50"/>
        <cfvo type="max"/>
        <color rgb="FFF8696B"/>
        <color rgb="FFFFEB84"/>
        <color rgb="FF63BE7B"/>
      </colorScale>
    </cfRule>
  </conditionalFormatting>
  <conditionalFormatting sqref="F32">
    <cfRule type="colorScale" priority="4889">
      <colorScale>
        <cfvo type="min"/>
        <cfvo type="percentile" val="50"/>
        <cfvo type="max"/>
        <color rgb="FFF8696B"/>
        <color rgb="FFFFEB84"/>
        <color rgb="FF63BE7B"/>
      </colorScale>
    </cfRule>
  </conditionalFormatting>
  <conditionalFormatting sqref="F32">
    <cfRule type="colorScale" priority="4888">
      <colorScale>
        <cfvo type="min"/>
        <cfvo type="percentile" val="50"/>
        <cfvo type="max"/>
        <color rgb="FFF8696B"/>
        <color rgb="FFFFEB84"/>
        <color rgb="FF63BE7B"/>
      </colorScale>
    </cfRule>
  </conditionalFormatting>
  <conditionalFormatting sqref="F32">
    <cfRule type="colorScale" priority="4887">
      <colorScale>
        <cfvo type="min"/>
        <cfvo type="percentile" val="50"/>
        <cfvo type="max"/>
        <color rgb="FFF8696B"/>
        <color rgb="FFFFEB84"/>
        <color rgb="FF63BE7B"/>
      </colorScale>
    </cfRule>
  </conditionalFormatting>
  <conditionalFormatting sqref="F32">
    <cfRule type="colorScale" priority="4886">
      <colorScale>
        <cfvo type="min"/>
        <cfvo type="percentile" val="50"/>
        <cfvo type="max"/>
        <color rgb="FFF8696B"/>
        <color rgb="FFFFEB84"/>
        <color rgb="FF63BE7B"/>
      </colorScale>
    </cfRule>
  </conditionalFormatting>
  <conditionalFormatting sqref="F32">
    <cfRule type="colorScale" priority="4885">
      <colorScale>
        <cfvo type="min"/>
        <cfvo type="percentile" val="50"/>
        <cfvo type="max"/>
        <color rgb="FFF8696B"/>
        <color rgb="FFFFEB84"/>
        <color rgb="FF63BE7B"/>
      </colorScale>
    </cfRule>
  </conditionalFormatting>
  <conditionalFormatting sqref="F32">
    <cfRule type="colorScale" priority="4884">
      <colorScale>
        <cfvo type="min"/>
        <cfvo type="percentile" val="50"/>
        <cfvo type="max"/>
        <color rgb="FFF8696B"/>
        <color rgb="FFFFEB84"/>
        <color rgb="FF63BE7B"/>
      </colorScale>
    </cfRule>
  </conditionalFormatting>
  <conditionalFormatting sqref="F32">
    <cfRule type="colorScale" priority="4883">
      <colorScale>
        <cfvo type="min"/>
        <cfvo type="percentile" val="50"/>
        <cfvo type="max"/>
        <color rgb="FFF8696B"/>
        <color rgb="FFFFEB84"/>
        <color rgb="FF63BE7B"/>
      </colorScale>
    </cfRule>
  </conditionalFormatting>
  <conditionalFormatting sqref="F32">
    <cfRule type="colorScale" priority="4882">
      <colorScale>
        <cfvo type="min"/>
        <cfvo type="percentile" val="50"/>
        <cfvo type="max"/>
        <color rgb="FFF8696B"/>
        <color rgb="FFFFEB84"/>
        <color rgb="FF63BE7B"/>
      </colorScale>
    </cfRule>
  </conditionalFormatting>
  <conditionalFormatting sqref="F32">
    <cfRule type="colorScale" priority="4881">
      <colorScale>
        <cfvo type="min"/>
        <cfvo type="percentile" val="50"/>
        <cfvo type="max"/>
        <color rgb="FFF8696B"/>
        <color rgb="FFFFEB84"/>
        <color rgb="FF63BE7B"/>
      </colorScale>
    </cfRule>
  </conditionalFormatting>
  <conditionalFormatting sqref="F32">
    <cfRule type="colorScale" priority="4880">
      <colorScale>
        <cfvo type="min"/>
        <cfvo type="percentile" val="50"/>
        <cfvo type="max"/>
        <color rgb="FFF8696B"/>
        <color rgb="FFFFEB84"/>
        <color rgb="FF63BE7B"/>
      </colorScale>
    </cfRule>
  </conditionalFormatting>
  <conditionalFormatting sqref="F32">
    <cfRule type="colorScale" priority="4879">
      <colorScale>
        <cfvo type="min"/>
        <cfvo type="percentile" val="50"/>
        <cfvo type="max"/>
        <color rgb="FFF8696B"/>
        <color rgb="FFFFEB84"/>
        <color rgb="FF63BE7B"/>
      </colorScale>
    </cfRule>
  </conditionalFormatting>
  <conditionalFormatting sqref="F32">
    <cfRule type="colorScale" priority="4878">
      <colorScale>
        <cfvo type="min"/>
        <cfvo type="percentile" val="50"/>
        <cfvo type="max"/>
        <color rgb="FFF8696B"/>
        <color rgb="FFFFEB84"/>
        <color rgb="FF63BE7B"/>
      </colorScale>
    </cfRule>
  </conditionalFormatting>
  <conditionalFormatting sqref="F32">
    <cfRule type="colorScale" priority="4877">
      <colorScale>
        <cfvo type="min"/>
        <cfvo type="percentile" val="50"/>
        <cfvo type="max"/>
        <color rgb="FFF8696B"/>
        <color rgb="FFFFEB84"/>
        <color rgb="FF63BE7B"/>
      </colorScale>
    </cfRule>
  </conditionalFormatting>
  <conditionalFormatting sqref="F32">
    <cfRule type="colorScale" priority="4876">
      <colorScale>
        <cfvo type="min"/>
        <cfvo type="percentile" val="50"/>
        <cfvo type="max"/>
        <color rgb="FFF8696B"/>
        <color rgb="FFFFEB84"/>
        <color rgb="FF63BE7B"/>
      </colorScale>
    </cfRule>
  </conditionalFormatting>
  <conditionalFormatting sqref="F32">
    <cfRule type="colorScale" priority="4875">
      <colorScale>
        <cfvo type="min"/>
        <cfvo type="percentile" val="50"/>
        <cfvo type="max"/>
        <color rgb="FFF8696B"/>
        <color rgb="FFFFEB84"/>
        <color rgb="FF63BE7B"/>
      </colorScale>
    </cfRule>
  </conditionalFormatting>
  <conditionalFormatting sqref="F32">
    <cfRule type="colorScale" priority="4874">
      <colorScale>
        <cfvo type="min"/>
        <cfvo type="percentile" val="50"/>
        <cfvo type="max"/>
        <color rgb="FFF8696B"/>
        <color rgb="FFFFEB84"/>
        <color rgb="FF63BE7B"/>
      </colorScale>
    </cfRule>
  </conditionalFormatting>
  <conditionalFormatting sqref="F32">
    <cfRule type="colorScale" priority="4873">
      <colorScale>
        <cfvo type="min"/>
        <cfvo type="percentile" val="50"/>
        <cfvo type="max"/>
        <color rgb="FFF8696B"/>
        <color rgb="FFFFEB84"/>
        <color rgb="FF63BE7B"/>
      </colorScale>
    </cfRule>
  </conditionalFormatting>
  <conditionalFormatting sqref="F32">
    <cfRule type="colorScale" priority="4872">
      <colorScale>
        <cfvo type="min"/>
        <cfvo type="percentile" val="50"/>
        <cfvo type="max"/>
        <color rgb="FFF8696B"/>
        <color rgb="FFFFEB84"/>
        <color rgb="FF63BE7B"/>
      </colorScale>
    </cfRule>
  </conditionalFormatting>
  <conditionalFormatting sqref="F32">
    <cfRule type="colorScale" priority="4871">
      <colorScale>
        <cfvo type="min"/>
        <cfvo type="percentile" val="50"/>
        <cfvo type="max"/>
        <color rgb="FFF8696B"/>
        <color rgb="FFFFEB84"/>
        <color rgb="FF63BE7B"/>
      </colorScale>
    </cfRule>
  </conditionalFormatting>
  <conditionalFormatting sqref="F32">
    <cfRule type="colorScale" priority="4870">
      <colorScale>
        <cfvo type="min"/>
        <cfvo type="percentile" val="50"/>
        <cfvo type="max"/>
        <color rgb="FFF8696B"/>
        <color rgb="FFFFEB84"/>
        <color rgb="FF63BE7B"/>
      </colorScale>
    </cfRule>
  </conditionalFormatting>
  <conditionalFormatting sqref="F32">
    <cfRule type="colorScale" priority="4869">
      <colorScale>
        <cfvo type="min"/>
        <cfvo type="percentile" val="50"/>
        <cfvo type="max"/>
        <color rgb="FFF8696B"/>
        <color rgb="FFFFEB84"/>
        <color rgb="FF63BE7B"/>
      </colorScale>
    </cfRule>
  </conditionalFormatting>
  <conditionalFormatting sqref="F32">
    <cfRule type="colorScale" priority="4868">
      <colorScale>
        <cfvo type="min"/>
        <cfvo type="percentile" val="50"/>
        <cfvo type="max"/>
        <color rgb="FFF8696B"/>
        <color rgb="FFFFEB84"/>
        <color rgb="FF63BE7B"/>
      </colorScale>
    </cfRule>
  </conditionalFormatting>
  <conditionalFormatting sqref="F32">
    <cfRule type="colorScale" priority="4867">
      <colorScale>
        <cfvo type="min"/>
        <cfvo type="percentile" val="50"/>
        <cfvo type="max"/>
        <color rgb="FFF8696B"/>
        <color rgb="FFFFEB84"/>
        <color rgb="FF63BE7B"/>
      </colorScale>
    </cfRule>
  </conditionalFormatting>
  <conditionalFormatting sqref="F32">
    <cfRule type="colorScale" priority="4866">
      <colorScale>
        <cfvo type="min"/>
        <cfvo type="percentile" val="50"/>
        <cfvo type="max"/>
        <color rgb="FFF8696B"/>
        <color rgb="FFFFEB84"/>
        <color rgb="FF63BE7B"/>
      </colorScale>
    </cfRule>
  </conditionalFormatting>
  <conditionalFormatting sqref="F32">
    <cfRule type="colorScale" priority="4865">
      <colorScale>
        <cfvo type="min"/>
        <cfvo type="percentile" val="50"/>
        <cfvo type="max"/>
        <color rgb="FFF8696B"/>
        <color rgb="FFFFEB84"/>
        <color rgb="FF63BE7B"/>
      </colorScale>
    </cfRule>
  </conditionalFormatting>
  <conditionalFormatting sqref="F32">
    <cfRule type="colorScale" priority="4864">
      <colorScale>
        <cfvo type="min"/>
        <cfvo type="percentile" val="50"/>
        <cfvo type="max"/>
        <color rgb="FFF8696B"/>
        <color rgb="FFFFEB84"/>
        <color rgb="FF63BE7B"/>
      </colorScale>
    </cfRule>
  </conditionalFormatting>
  <conditionalFormatting sqref="F32">
    <cfRule type="colorScale" priority="4863">
      <colorScale>
        <cfvo type="min"/>
        <cfvo type="percentile" val="50"/>
        <cfvo type="max"/>
        <color rgb="FFF8696B"/>
        <color rgb="FFFFEB84"/>
        <color rgb="FF63BE7B"/>
      </colorScale>
    </cfRule>
  </conditionalFormatting>
  <conditionalFormatting sqref="F32">
    <cfRule type="colorScale" priority="4862">
      <colorScale>
        <cfvo type="min"/>
        <cfvo type="percentile" val="50"/>
        <cfvo type="max"/>
        <color rgb="FFF8696B"/>
        <color rgb="FFFFEB84"/>
        <color rgb="FF63BE7B"/>
      </colorScale>
    </cfRule>
  </conditionalFormatting>
  <conditionalFormatting sqref="F32">
    <cfRule type="colorScale" priority="4861">
      <colorScale>
        <cfvo type="min"/>
        <cfvo type="percentile" val="50"/>
        <cfvo type="max"/>
        <color rgb="FFF8696B"/>
        <color rgb="FFFFEB84"/>
        <color rgb="FF63BE7B"/>
      </colorScale>
    </cfRule>
  </conditionalFormatting>
  <conditionalFormatting sqref="F32">
    <cfRule type="colorScale" priority="4860">
      <colorScale>
        <cfvo type="min"/>
        <cfvo type="percentile" val="50"/>
        <cfvo type="max"/>
        <color rgb="FFF8696B"/>
        <color rgb="FFFFEB84"/>
        <color rgb="FF63BE7B"/>
      </colorScale>
    </cfRule>
  </conditionalFormatting>
  <conditionalFormatting sqref="F32">
    <cfRule type="colorScale" priority="4859">
      <colorScale>
        <cfvo type="min"/>
        <cfvo type="percentile" val="50"/>
        <cfvo type="max"/>
        <color rgb="FFF8696B"/>
        <color rgb="FFFFEB84"/>
        <color rgb="FF63BE7B"/>
      </colorScale>
    </cfRule>
  </conditionalFormatting>
  <conditionalFormatting sqref="F32">
    <cfRule type="colorScale" priority="4858">
      <colorScale>
        <cfvo type="min"/>
        <cfvo type="percentile" val="50"/>
        <cfvo type="max"/>
        <color rgb="FFF8696B"/>
        <color rgb="FFFFEB84"/>
        <color rgb="FF63BE7B"/>
      </colorScale>
    </cfRule>
  </conditionalFormatting>
  <conditionalFormatting sqref="F32">
    <cfRule type="colorScale" priority="4857">
      <colorScale>
        <cfvo type="min"/>
        <cfvo type="percentile" val="50"/>
        <cfvo type="max"/>
        <color rgb="FFF8696B"/>
        <color rgb="FFFFEB84"/>
        <color rgb="FF63BE7B"/>
      </colorScale>
    </cfRule>
  </conditionalFormatting>
  <conditionalFormatting sqref="F32">
    <cfRule type="colorScale" priority="4856">
      <colorScale>
        <cfvo type="min"/>
        <cfvo type="percentile" val="50"/>
        <cfvo type="max"/>
        <color rgb="FFF8696B"/>
        <color rgb="FFFFEB84"/>
        <color rgb="FF63BE7B"/>
      </colorScale>
    </cfRule>
  </conditionalFormatting>
  <conditionalFormatting sqref="F32">
    <cfRule type="colorScale" priority="4855">
      <colorScale>
        <cfvo type="min"/>
        <cfvo type="percentile" val="50"/>
        <cfvo type="max"/>
        <color rgb="FFF8696B"/>
        <color rgb="FFFFEB84"/>
        <color rgb="FF63BE7B"/>
      </colorScale>
    </cfRule>
  </conditionalFormatting>
  <conditionalFormatting sqref="F32">
    <cfRule type="colorScale" priority="4854">
      <colorScale>
        <cfvo type="min"/>
        <cfvo type="percentile" val="50"/>
        <cfvo type="max"/>
        <color rgb="FFF8696B"/>
        <color rgb="FFFFEB84"/>
        <color rgb="FF63BE7B"/>
      </colorScale>
    </cfRule>
  </conditionalFormatting>
  <conditionalFormatting sqref="F32">
    <cfRule type="colorScale" priority="4853">
      <colorScale>
        <cfvo type="min"/>
        <cfvo type="percentile" val="50"/>
        <cfvo type="max"/>
        <color rgb="FFF8696B"/>
        <color rgb="FFFFEB84"/>
        <color rgb="FF63BE7B"/>
      </colorScale>
    </cfRule>
  </conditionalFormatting>
  <conditionalFormatting sqref="F32">
    <cfRule type="colorScale" priority="4852">
      <colorScale>
        <cfvo type="min"/>
        <cfvo type="percentile" val="50"/>
        <cfvo type="max"/>
        <color rgb="FFF8696B"/>
        <color rgb="FFFFEB84"/>
        <color rgb="FF63BE7B"/>
      </colorScale>
    </cfRule>
  </conditionalFormatting>
  <conditionalFormatting sqref="F32">
    <cfRule type="colorScale" priority="4851">
      <colorScale>
        <cfvo type="min"/>
        <cfvo type="percentile" val="50"/>
        <cfvo type="max"/>
        <color rgb="FFF8696B"/>
        <color rgb="FFFFEB84"/>
        <color rgb="FF63BE7B"/>
      </colorScale>
    </cfRule>
  </conditionalFormatting>
  <conditionalFormatting sqref="F32">
    <cfRule type="colorScale" priority="4850">
      <colorScale>
        <cfvo type="min"/>
        <cfvo type="percentile" val="50"/>
        <cfvo type="max"/>
        <color rgb="FFF8696B"/>
        <color rgb="FFFFEB84"/>
        <color rgb="FF63BE7B"/>
      </colorScale>
    </cfRule>
  </conditionalFormatting>
  <conditionalFormatting sqref="F32">
    <cfRule type="colorScale" priority="4849">
      <colorScale>
        <cfvo type="min"/>
        <cfvo type="percentile" val="50"/>
        <cfvo type="max"/>
        <color rgb="FFF8696B"/>
        <color rgb="FFFFEB84"/>
        <color rgb="FF63BE7B"/>
      </colorScale>
    </cfRule>
  </conditionalFormatting>
  <conditionalFormatting sqref="F32">
    <cfRule type="colorScale" priority="4848">
      <colorScale>
        <cfvo type="min"/>
        <cfvo type="percentile" val="50"/>
        <cfvo type="max"/>
        <color rgb="FFF8696B"/>
        <color rgb="FFFFEB84"/>
        <color rgb="FF63BE7B"/>
      </colorScale>
    </cfRule>
  </conditionalFormatting>
  <conditionalFormatting sqref="F32">
    <cfRule type="colorScale" priority="4847">
      <colorScale>
        <cfvo type="min"/>
        <cfvo type="percentile" val="50"/>
        <cfvo type="max"/>
        <color rgb="FFF8696B"/>
        <color rgb="FFFFEB84"/>
        <color rgb="FF63BE7B"/>
      </colorScale>
    </cfRule>
  </conditionalFormatting>
  <conditionalFormatting sqref="F32">
    <cfRule type="colorScale" priority="4846">
      <colorScale>
        <cfvo type="min"/>
        <cfvo type="percentile" val="50"/>
        <cfvo type="max"/>
        <color rgb="FFF8696B"/>
        <color rgb="FFFFEB84"/>
        <color rgb="FF63BE7B"/>
      </colorScale>
    </cfRule>
  </conditionalFormatting>
  <conditionalFormatting sqref="F32">
    <cfRule type="colorScale" priority="4845">
      <colorScale>
        <cfvo type="min"/>
        <cfvo type="percentile" val="50"/>
        <cfvo type="max"/>
        <color rgb="FFF8696B"/>
        <color rgb="FFFFEB84"/>
        <color rgb="FF63BE7B"/>
      </colorScale>
    </cfRule>
  </conditionalFormatting>
  <conditionalFormatting sqref="F32">
    <cfRule type="colorScale" priority="4844">
      <colorScale>
        <cfvo type="min"/>
        <cfvo type="percentile" val="50"/>
        <cfvo type="max"/>
        <color rgb="FFF8696B"/>
        <color rgb="FFFFEB84"/>
        <color rgb="FF63BE7B"/>
      </colorScale>
    </cfRule>
  </conditionalFormatting>
  <conditionalFormatting sqref="F32">
    <cfRule type="colorScale" priority="4843">
      <colorScale>
        <cfvo type="min"/>
        <cfvo type="percentile" val="50"/>
        <cfvo type="max"/>
        <color rgb="FFF8696B"/>
        <color rgb="FFFFEB84"/>
        <color rgb="FF63BE7B"/>
      </colorScale>
    </cfRule>
  </conditionalFormatting>
  <conditionalFormatting sqref="F32">
    <cfRule type="colorScale" priority="4842">
      <colorScale>
        <cfvo type="min"/>
        <cfvo type="percentile" val="50"/>
        <cfvo type="max"/>
        <color rgb="FFF8696B"/>
        <color rgb="FFFFEB84"/>
        <color rgb="FF63BE7B"/>
      </colorScale>
    </cfRule>
  </conditionalFormatting>
  <conditionalFormatting sqref="F32">
    <cfRule type="colorScale" priority="4841">
      <colorScale>
        <cfvo type="min"/>
        <cfvo type="percentile" val="50"/>
        <cfvo type="max"/>
        <color rgb="FFF8696B"/>
        <color rgb="FFFFEB84"/>
        <color rgb="FF63BE7B"/>
      </colorScale>
    </cfRule>
  </conditionalFormatting>
  <conditionalFormatting sqref="F32">
    <cfRule type="colorScale" priority="4840">
      <colorScale>
        <cfvo type="min"/>
        <cfvo type="percentile" val="50"/>
        <cfvo type="max"/>
        <color rgb="FFF8696B"/>
        <color rgb="FFFFEB84"/>
        <color rgb="FF63BE7B"/>
      </colorScale>
    </cfRule>
  </conditionalFormatting>
  <conditionalFormatting sqref="F32">
    <cfRule type="colorScale" priority="4839">
      <colorScale>
        <cfvo type="min"/>
        <cfvo type="percentile" val="50"/>
        <cfvo type="max"/>
        <color rgb="FFF8696B"/>
        <color rgb="FFFFEB84"/>
        <color rgb="FF63BE7B"/>
      </colorScale>
    </cfRule>
  </conditionalFormatting>
  <conditionalFormatting sqref="F32">
    <cfRule type="colorScale" priority="4838">
      <colorScale>
        <cfvo type="min"/>
        <cfvo type="percentile" val="50"/>
        <cfvo type="max"/>
        <color rgb="FFF8696B"/>
        <color rgb="FFFFEB84"/>
        <color rgb="FF63BE7B"/>
      </colorScale>
    </cfRule>
  </conditionalFormatting>
  <conditionalFormatting sqref="F32">
    <cfRule type="colorScale" priority="4837">
      <colorScale>
        <cfvo type="min"/>
        <cfvo type="percentile" val="50"/>
        <cfvo type="max"/>
        <color rgb="FFF8696B"/>
        <color rgb="FFFFEB84"/>
        <color rgb="FF63BE7B"/>
      </colorScale>
    </cfRule>
  </conditionalFormatting>
  <conditionalFormatting sqref="F32">
    <cfRule type="colorScale" priority="4836">
      <colorScale>
        <cfvo type="min"/>
        <cfvo type="percentile" val="50"/>
        <cfvo type="max"/>
        <color rgb="FFF8696B"/>
        <color rgb="FFFFEB84"/>
        <color rgb="FF63BE7B"/>
      </colorScale>
    </cfRule>
  </conditionalFormatting>
  <conditionalFormatting sqref="F32">
    <cfRule type="colorScale" priority="4835">
      <colorScale>
        <cfvo type="min"/>
        <cfvo type="percentile" val="50"/>
        <cfvo type="max"/>
        <color rgb="FFF8696B"/>
        <color rgb="FFFFEB84"/>
        <color rgb="FF63BE7B"/>
      </colorScale>
    </cfRule>
  </conditionalFormatting>
  <conditionalFormatting sqref="F32">
    <cfRule type="colorScale" priority="4834">
      <colorScale>
        <cfvo type="min"/>
        <cfvo type="percentile" val="50"/>
        <cfvo type="max"/>
        <color rgb="FFF8696B"/>
        <color rgb="FFFFEB84"/>
        <color rgb="FF63BE7B"/>
      </colorScale>
    </cfRule>
  </conditionalFormatting>
  <conditionalFormatting sqref="F32">
    <cfRule type="colorScale" priority="4833">
      <colorScale>
        <cfvo type="min"/>
        <cfvo type="percentile" val="50"/>
        <cfvo type="max"/>
        <color rgb="FFF8696B"/>
        <color rgb="FFFFEB84"/>
        <color rgb="FF63BE7B"/>
      </colorScale>
    </cfRule>
  </conditionalFormatting>
  <conditionalFormatting sqref="F32">
    <cfRule type="colorScale" priority="4832">
      <colorScale>
        <cfvo type="min"/>
        <cfvo type="percentile" val="50"/>
        <cfvo type="max"/>
        <color rgb="FFF8696B"/>
        <color rgb="FFFFEB84"/>
        <color rgb="FF63BE7B"/>
      </colorScale>
    </cfRule>
  </conditionalFormatting>
  <conditionalFormatting sqref="F32">
    <cfRule type="colorScale" priority="4831">
      <colorScale>
        <cfvo type="min"/>
        <cfvo type="percentile" val="50"/>
        <cfvo type="max"/>
        <color rgb="FFF8696B"/>
        <color rgb="FFFFEB84"/>
        <color rgb="FF63BE7B"/>
      </colorScale>
    </cfRule>
  </conditionalFormatting>
  <conditionalFormatting sqref="F32">
    <cfRule type="colorScale" priority="4830">
      <colorScale>
        <cfvo type="min"/>
        <cfvo type="percentile" val="50"/>
        <cfvo type="max"/>
        <color rgb="FFF8696B"/>
        <color rgb="FFFFEB84"/>
        <color rgb="FF63BE7B"/>
      </colorScale>
    </cfRule>
  </conditionalFormatting>
  <conditionalFormatting sqref="F32">
    <cfRule type="colorScale" priority="4829">
      <colorScale>
        <cfvo type="min"/>
        <cfvo type="percentile" val="50"/>
        <cfvo type="max"/>
        <color rgb="FFF8696B"/>
        <color rgb="FFFFEB84"/>
        <color rgb="FF63BE7B"/>
      </colorScale>
    </cfRule>
  </conditionalFormatting>
  <conditionalFormatting sqref="F32">
    <cfRule type="colorScale" priority="4828">
      <colorScale>
        <cfvo type="min"/>
        <cfvo type="percentile" val="50"/>
        <cfvo type="max"/>
        <color rgb="FFF8696B"/>
        <color rgb="FFFFEB84"/>
        <color rgb="FF63BE7B"/>
      </colorScale>
    </cfRule>
  </conditionalFormatting>
  <conditionalFormatting sqref="F32">
    <cfRule type="colorScale" priority="4827">
      <colorScale>
        <cfvo type="min"/>
        <cfvo type="percentile" val="50"/>
        <cfvo type="max"/>
        <color rgb="FFF8696B"/>
        <color rgb="FFFFEB84"/>
        <color rgb="FF63BE7B"/>
      </colorScale>
    </cfRule>
  </conditionalFormatting>
  <conditionalFormatting sqref="F32">
    <cfRule type="colorScale" priority="4826">
      <colorScale>
        <cfvo type="min"/>
        <cfvo type="percentile" val="50"/>
        <cfvo type="max"/>
        <color rgb="FFF8696B"/>
        <color rgb="FFFFEB84"/>
        <color rgb="FF63BE7B"/>
      </colorScale>
    </cfRule>
  </conditionalFormatting>
  <conditionalFormatting sqref="F32">
    <cfRule type="colorScale" priority="4825">
      <colorScale>
        <cfvo type="min"/>
        <cfvo type="percentile" val="50"/>
        <cfvo type="max"/>
        <color rgb="FFF8696B"/>
        <color rgb="FFFFEB84"/>
        <color rgb="FF63BE7B"/>
      </colorScale>
    </cfRule>
  </conditionalFormatting>
  <conditionalFormatting sqref="F32">
    <cfRule type="colorScale" priority="4824">
      <colorScale>
        <cfvo type="min"/>
        <cfvo type="percentile" val="50"/>
        <cfvo type="max"/>
        <color rgb="FFF8696B"/>
        <color rgb="FFFFEB84"/>
        <color rgb="FF63BE7B"/>
      </colorScale>
    </cfRule>
  </conditionalFormatting>
  <conditionalFormatting sqref="F32">
    <cfRule type="colorScale" priority="4823">
      <colorScale>
        <cfvo type="min"/>
        <cfvo type="percentile" val="50"/>
        <cfvo type="max"/>
        <color rgb="FFF8696B"/>
        <color rgb="FFFFEB84"/>
        <color rgb="FF63BE7B"/>
      </colorScale>
    </cfRule>
  </conditionalFormatting>
  <conditionalFormatting sqref="F32">
    <cfRule type="colorScale" priority="4822">
      <colorScale>
        <cfvo type="min"/>
        <cfvo type="percentile" val="50"/>
        <cfvo type="max"/>
        <color rgb="FFF8696B"/>
        <color rgb="FFFFEB84"/>
        <color rgb="FF63BE7B"/>
      </colorScale>
    </cfRule>
  </conditionalFormatting>
  <conditionalFormatting sqref="F32">
    <cfRule type="colorScale" priority="4821">
      <colorScale>
        <cfvo type="min"/>
        <cfvo type="percentile" val="50"/>
        <cfvo type="max"/>
        <color rgb="FFF8696B"/>
        <color rgb="FFFFEB84"/>
        <color rgb="FF63BE7B"/>
      </colorScale>
    </cfRule>
  </conditionalFormatting>
  <conditionalFormatting sqref="F32">
    <cfRule type="colorScale" priority="4820">
      <colorScale>
        <cfvo type="min"/>
        <cfvo type="percentile" val="50"/>
        <cfvo type="max"/>
        <color rgb="FFF8696B"/>
        <color rgb="FFFFEB84"/>
        <color rgb="FF63BE7B"/>
      </colorScale>
    </cfRule>
  </conditionalFormatting>
  <conditionalFormatting sqref="F32">
    <cfRule type="colorScale" priority="4819">
      <colorScale>
        <cfvo type="min"/>
        <cfvo type="percentile" val="50"/>
        <cfvo type="max"/>
        <color rgb="FFF8696B"/>
        <color rgb="FFFFEB84"/>
        <color rgb="FF63BE7B"/>
      </colorScale>
    </cfRule>
  </conditionalFormatting>
  <conditionalFormatting sqref="F32">
    <cfRule type="colorScale" priority="4818">
      <colorScale>
        <cfvo type="min"/>
        <cfvo type="percentile" val="50"/>
        <cfvo type="max"/>
        <color rgb="FFF8696B"/>
        <color rgb="FFFFEB84"/>
        <color rgb="FF63BE7B"/>
      </colorScale>
    </cfRule>
  </conditionalFormatting>
  <conditionalFormatting sqref="F32">
    <cfRule type="colorScale" priority="4817">
      <colorScale>
        <cfvo type="min"/>
        <cfvo type="percentile" val="50"/>
        <cfvo type="max"/>
        <color rgb="FFF8696B"/>
        <color rgb="FFFFEB84"/>
        <color rgb="FF63BE7B"/>
      </colorScale>
    </cfRule>
  </conditionalFormatting>
  <conditionalFormatting sqref="F32">
    <cfRule type="colorScale" priority="4816">
      <colorScale>
        <cfvo type="min"/>
        <cfvo type="percentile" val="50"/>
        <cfvo type="max"/>
        <color rgb="FFF8696B"/>
        <color rgb="FFFFEB84"/>
        <color rgb="FF63BE7B"/>
      </colorScale>
    </cfRule>
  </conditionalFormatting>
  <conditionalFormatting sqref="F32">
    <cfRule type="colorScale" priority="4815">
      <colorScale>
        <cfvo type="min"/>
        <cfvo type="percentile" val="50"/>
        <cfvo type="max"/>
        <color rgb="FFF8696B"/>
        <color rgb="FFFFEB84"/>
        <color rgb="FF63BE7B"/>
      </colorScale>
    </cfRule>
  </conditionalFormatting>
  <conditionalFormatting sqref="F32">
    <cfRule type="colorScale" priority="4814">
      <colorScale>
        <cfvo type="min"/>
        <cfvo type="percentile" val="50"/>
        <cfvo type="max"/>
        <color rgb="FFF8696B"/>
        <color rgb="FFFFEB84"/>
        <color rgb="FF63BE7B"/>
      </colorScale>
    </cfRule>
  </conditionalFormatting>
  <conditionalFormatting sqref="F32">
    <cfRule type="colorScale" priority="4813">
      <colorScale>
        <cfvo type="min"/>
        <cfvo type="percentile" val="50"/>
        <cfvo type="max"/>
        <color rgb="FFF8696B"/>
        <color rgb="FFFFEB84"/>
        <color rgb="FF63BE7B"/>
      </colorScale>
    </cfRule>
  </conditionalFormatting>
  <conditionalFormatting sqref="F32">
    <cfRule type="colorScale" priority="4812">
      <colorScale>
        <cfvo type="min"/>
        <cfvo type="percentile" val="50"/>
        <cfvo type="max"/>
        <color rgb="FFF8696B"/>
        <color rgb="FFFFEB84"/>
        <color rgb="FF63BE7B"/>
      </colorScale>
    </cfRule>
  </conditionalFormatting>
  <conditionalFormatting sqref="F32">
    <cfRule type="colorScale" priority="4811">
      <colorScale>
        <cfvo type="min"/>
        <cfvo type="percentile" val="50"/>
        <cfvo type="max"/>
        <color rgb="FFF8696B"/>
        <color rgb="FFFFEB84"/>
        <color rgb="FF63BE7B"/>
      </colorScale>
    </cfRule>
  </conditionalFormatting>
  <conditionalFormatting sqref="F32">
    <cfRule type="colorScale" priority="4810">
      <colorScale>
        <cfvo type="min"/>
        <cfvo type="percentile" val="50"/>
        <cfvo type="max"/>
        <color rgb="FFF8696B"/>
        <color rgb="FFFFEB84"/>
        <color rgb="FF63BE7B"/>
      </colorScale>
    </cfRule>
  </conditionalFormatting>
  <conditionalFormatting sqref="F32">
    <cfRule type="colorScale" priority="4809">
      <colorScale>
        <cfvo type="min"/>
        <cfvo type="percentile" val="50"/>
        <cfvo type="max"/>
        <color rgb="FFF8696B"/>
        <color rgb="FFFFEB84"/>
        <color rgb="FF63BE7B"/>
      </colorScale>
    </cfRule>
  </conditionalFormatting>
  <conditionalFormatting sqref="F32">
    <cfRule type="colorScale" priority="4808">
      <colorScale>
        <cfvo type="min"/>
        <cfvo type="percentile" val="50"/>
        <cfvo type="max"/>
        <color rgb="FFF8696B"/>
        <color rgb="FFFFEB84"/>
        <color rgb="FF63BE7B"/>
      </colorScale>
    </cfRule>
  </conditionalFormatting>
  <conditionalFormatting sqref="F32">
    <cfRule type="colorScale" priority="4807">
      <colorScale>
        <cfvo type="min"/>
        <cfvo type="percentile" val="50"/>
        <cfvo type="max"/>
        <color rgb="FFF8696B"/>
        <color rgb="FFFFEB84"/>
        <color rgb="FF63BE7B"/>
      </colorScale>
    </cfRule>
  </conditionalFormatting>
  <conditionalFormatting sqref="F32">
    <cfRule type="colorScale" priority="4806">
      <colorScale>
        <cfvo type="min"/>
        <cfvo type="percentile" val="50"/>
        <cfvo type="max"/>
        <color rgb="FFF8696B"/>
        <color rgb="FFFFEB84"/>
        <color rgb="FF63BE7B"/>
      </colorScale>
    </cfRule>
  </conditionalFormatting>
  <conditionalFormatting sqref="F32">
    <cfRule type="colorScale" priority="4805">
      <colorScale>
        <cfvo type="min"/>
        <cfvo type="percentile" val="50"/>
        <cfvo type="max"/>
        <color rgb="FFF8696B"/>
        <color rgb="FFFFEB84"/>
        <color rgb="FF63BE7B"/>
      </colorScale>
    </cfRule>
  </conditionalFormatting>
  <conditionalFormatting sqref="F32">
    <cfRule type="colorScale" priority="4804">
      <colorScale>
        <cfvo type="min"/>
        <cfvo type="percentile" val="50"/>
        <cfvo type="max"/>
        <color rgb="FFF8696B"/>
        <color rgb="FFFFEB84"/>
        <color rgb="FF63BE7B"/>
      </colorScale>
    </cfRule>
  </conditionalFormatting>
  <conditionalFormatting sqref="F32">
    <cfRule type="colorScale" priority="4803">
      <colorScale>
        <cfvo type="min"/>
        <cfvo type="percentile" val="50"/>
        <cfvo type="max"/>
        <color rgb="FFF8696B"/>
        <color rgb="FFFFEB84"/>
        <color rgb="FF63BE7B"/>
      </colorScale>
    </cfRule>
  </conditionalFormatting>
  <conditionalFormatting sqref="F32">
    <cfRule type="colorScale" priority="4802">
      <colorScale>
        <cfvo type="min"/>
        <cfvo type="percentile" val="50"/>
        <cfvo type="max"/>
        <color rgb="FFF8696B"/>
        <color rgb="FFFFEB84"/>
        <color rgb="FF63BE7B"/>
      </colorScale>
    </cfRule>
  </conditionalFormatting>
  <conditionalFormatting sqref="F32">
    <cfRule type="colorScale" priority="4801">
      <colorScale>
        <cfvo type="min"/>
        <cfvo type="percentile" val="50"/>
        <cfvo type="max"/>
        <color rgb="FFF8696B"/>
        <color rgb="FFFFEB84"/>
        <color rgb="FF63BE7B"/>
      </colorScale>
    </cfRule>
  </conditionalFormatting>
  <conditionalFormatting sqref="F32">
    <cfRule type="colorScale" priority="4800">
      <colorScale>
        <cfvo type="min"/>
        <cfvo type="percentile" val="50"/>
        <cfvo type="max"/>
        <color rgb="FFF8696B"/>
        <color rgb="FFFFEB84"/>
        <color rgb="FF63BE7B"/>
      </colorScale>
    </cfRule>
  </conditionalFormatting>
  <conditionalFormatting sqref="F32">
    <cfRule type="colorScale" priority="4799">
      <colorScale>
        <cfvo type="min"/>
        <cfvo type="percentile" val="50"/>
        <cfvo type="max"/>
        <color rgb="FFF8696B"/>
        <color rgb="FFFFEB84"/>
        <color rgb="FF63BE7B"/>
      </colorScale>
    </cfRule>
  </conditionalFormatting>
  <conditionalFormatting sqref="F32">
    <cfRule type="colorScale" priority="4798">
      <colorScale>
        <cfvo type="min"/>
        <cfvo type="percentile" val="50"/>
        <cfvo type="max"/>
        <color rgb="FFF8696B"/>
        <color rgb="FFFFEB84"/>
        <color rgb="FF63BE7B"/>
      </colorScale>
    </cfRule>
  </conditionalFormatting>
  <conditionalFormatting sqref="F32">
    <cfRule type="colorScale" priority="4797">
      <colorScale>
        <cfvo type="min"/>
        <cfvo type="percentile" val="50"/>
        <cfvo type="max"/>
        <color rgb="FFF8696B"/>
        <color rgb="FFFFEB84"/>
        <color rgb="FF63BE7B"/>
      </colorScale>
    </cfRule>
  </conditionalFormatting>
  <conditionalFormatting sqref="F10:F32">
    <cfRule type="colorScale" priority="4796">
      <colorScale>
        <cfvo type="min"/>
        <cfvo type="percentile" val="50"/>
        <cfvo type="max"/>
        <color rgb="FFF8696B"/>
        <color rgb="FFFFEB84"/>
        <color rgb="FF63BE7B"/>
      </colorScale>
    </cfRule>
  </conditionalFormatting>
  <conditionalFormatting sqref="F10:F32">
    <cfRule type="colorScale" priority="4795">
      <colorScale>
        <cfvo type="min"/>
        <cfvo type="percentile" val="50"/>
        <cfvo type="max"/>
        <color rgb="FFF8696B"/>
        <color rgb="FFFFEB84"/>
        <color rgb="FF63BE7B"/>
      </colorScale>
    </cfRule>
  </conditionalFormatting>
  <conditionalFormatting sqref="F10:F15">
    <cfRule type="colorScale" priority="4794">
      <colorScale>
        <cfvo type="min"/>
        <cfvo type="percentile" val="50"/>
        <cfvo type="max"/>
        <color rgb="FFF8696B"/>
        <color rgb="FFFFEB84"/>
        <color rgb="FF63BE7B"/>
      </colorScale>
    </cfRule>
  </conditionalFormatting>
  <conditionalFormatting sqref="F10:F15">
    <cfRule type="colorScale" priority="4793">
      <colorScale>
        <cfvo type="min"/>
        <cfvo type="percentile" val="50"/>
        <cfvo type="max"/>
        <color rgb="FFF8696B"/>
        <color rgb="FFFFEB84"/>
        <color rgb="FF63BE7B"/>
      </colorScale>
    </cfRule>
  </conditionalFormatting>
  <conditionalFormatting sqref="F10:F15">
    <cfRule type="colorScale" priority="4792">
      <colorScale>
        <cfvo type="min"/>
        <cfvo type="percentile" val="50"/>
        <cfvo type="max"/>
        <color rgb="FFF8696B"/>
        <color rgb="FFFFEB84"/>
        <color rgb="FF63BE7B"/>
      </colorScale>
    </cfRule>
  </conditionalFormatting>
  <conditionalFormatting sqref="F10:F15">
    <cfRule type="colorScale" priority="4791">
      <colorScale>
        <cfvo type="min"/>
        <cfvo type="percentile" val="50"/>
        <cfvo type="max"/>
        <color rgb="FFF8696B"/>
        <color rgb="FFFFEB84"/>
        <color rgb="FF63BE7B"/>
      </colorScale>
    </cfRule>
  </conditionalFormatting>
  <conditionalFormatting sqref="F10:F15">
    <cfRule type="colorScale" priority="4790">
      <colorScale>
        <cfvo type="min"/>
        <cfvo type="percentile" val="50"/>
        <cfvo type="max"/>
        <color rgb="FFF8696B"/>
        <color rgb="FFFFEB84"/>
        <color rgb="FF63BE7B"/>
      </colorScale>
    </cfRule>
  </conditionalFormatting>
  <conditionalFormatting sqref="F10:F15">
    <cfRule type="colorScale" priority="4789">
      <colorScale>
        <cfvo type="min"/>
        <cfvo type="percentile" val="50"/>
        <cfvo type="max"/>
        <color rgb="FFF8696B"/>
        <color rgb="FFFFEB84"/>
        <color rgb="FF63BE7B"/>
      </colorScale>
    </cfRule>
  </conditionalFormatting>
  <conditionalFormatting sqref="F10:F15">
    <cfRule type="colorScale" priority="4788">
      <colorScale>
        <cfvo type="min"/>
        <cfvo type="percentile" val="50"/>
        <cfvo type="max"/>
        <color rgb="FFF8696B"/>
        <color rgb="FFFFEB84"/>
        <color rgb="FF63BE7B"/>
      </colorScale>
    </cfRule>
  </conditionalFormatting>
  <conditionalFormatting sqref="F10:F15">
    <cfRule type="colorScale" priority="4787">
      <colorScale>
        <cfvo type="min"/>
        <cfvo type="percentile" val="50"/>
        <cfvo type="max"/>
        <color rgb="FFF8696B"/>
        <color rgb="FFFFEB84"/>
        <color rgb="FF63BE7B"/>
      </colorScale>
    </cfRule>
  </conditionalFormatting>
  <conditionalFormatting sqref="F10:F15">
    <cfRule type="colorScale" priority="4786">
      <colorScale>
        <cfvo type="min"/>
        <cfvo type="percentile" val="50"/>
        <cfvo type="max"/>
        <color rgb="FFF8696B"/>
        <color rgb="FFFFEB84"/>
        <color rgb="FF63BE7B"/>
      </colorScale>
    </cfRule>
  </conditionalFormatting>
  <conditionalFormatting sqref="F10:F15">
    <cfRule type="colorScale" priority="4785">
      <colorScale>
        <cfvo type="min"/>
        <cfvo type="percentile" val="50"/>
        <cfvo type="max"/>
        <color rgb="FFF8696B"/>
        <color rgb="FFFFEB84"/>
        <color rgb="FF63BE7B"/>
      </colorScale>
    </cfRule>
  </conditionalFormatting>
  <conditionalFormatting sqref="F16:F21">
    <cfRule type="colorScale" priority="4784">
      <colorScale>
        <cfvo type="min"/>
        <cfvo type="percentile" val="50"/>
        <cfvo type="max"/>
        <color rgb="FFF8696B"/>
        <color rgb="FFFFEB84"/>
        <color rgb="FF63BE7B"/>
      </colorScale>
    </cfRule>
  </conditionalFormatting>
  <conditionalFormatting sqref="F16:F21">
    <cfRule type="colorScale" priority="4783">
      <colorScale>
        <cfvo type="min"/>
        <cfvo type="percentile" val="50"/>
        <cfvo type="max"/>
        <color rgb="FFF8696B"/>
        <color rgb="FFFFEB84"/>
        <color rgb="FF63BE7B"/>
      </colorScale>
    </cfRule>
  </conditionalFormatting>
  <conditionalFormatting sqref="F16:F21">
    <cfRule type="colorScale" priority="4782">
      <colorScale>
        <cfvo type="min"/>
        <cfvo type="percentile" val="50"/>
        <cfvo type="max"/>
        <color rgb="FFF8696B"/>
        <color rgb="FFFFEB84"/>
        <color rgb="FF63BE7B"/>
      </colorScale>
    </cfRule>
  </conditionalFormatting>
  <conditionalFormatting sqref="F16:F21">
    <cfRule type="colorScale" priority="4781">
      <colorScale>
        <cfvo type="min"/>
        <cfvo type="percentile" val="50"/>
        <cfvo type="max"/>
        <color rgb="FFF8696B"/>
        <color rgb="FFFFEB84"/>
        <color rgb="FF63BE7B"/>
      </colorScale>
    </cfRule>
  </conditionalFormatting>
  <conditionalFormatting sqref="F16:F21">
    <cfRule type="colorScale" priority="4780">
      <colorScale>
        <cfvo type="min"/>
        <cfvo type="percentile" val="50"/>
        <cfvo type="max"/>
        <color rgb="FFF8696B"/>
        <color rgb="FFFFEB84"/>
        <color rgb="FF63BE7B"/>
      </colorScale>
    </cfRule>
  </conditionalFormatting>
  <conditionalFormatting sqref="F16:F21">
    <cfRule type="colorScale" priority="4779">
      <colorScale>
        <cfvo type="min"/>
        <cfvo type="percentile" val="50"/>
        <cfvo type="max"/>
        <color rgb="FFF8696B"/>
        <color rgb="FFFFEB84"/>
        <color rgb="FF63BE7B"/>
      </colorScale>
    </cfRule>
  </conditionalFormatting>
  <conditionalFormatting sqref="F16:F21">
    <cfRule type="colorScale" priority="4778">
      <colorScale>
        <cfvo type="min"/>
        <cfvo type="percentile" val="50"/>
        <cfvo type="max"/>
        <color rgb="FFF8696B"/>
        <color rgb="FFFFEB84"/>
        <color rgb="FF63BE7B"/>
      </colorScale>
    </cfRule>
  </conditionalFormatting>
  <conditionalFormatting sqref="F16:F21">
    <cfRule type="colorScale" priority="4777">
      <colorScale>
        <cfvo type="min"/>
        <cfvo type="percentile" val="50"/>
        <cfvo type="max"/>
        <color rgb="FFF8696B"/>
        <color rgb="FFFFEB84"/>
        <color rgb="FF63BE7B"/>
      </colorScale>
    </cfRule>
  </conditionalFormatting>
  <conditionalFormatting sqref="F16:F21">
    <cfRule type="colorScale" priority="4776">
      <colorScale>
        <cfvo type="min"/>
        <cfvo type="percentile" val="50"/>
        <cfvo type="max"/>
        <color rgb="FFF8696B"/>
        <color rgb="FFFFEB84"/>
        <color rgb="FF63BE7B"/>
      </colorScale>
    </cfRule>
  </conditionalFormatting>
  <conditionalFormatting sqref="F16:F21">
    <cfRule type="colorScale" priority="4775">
      <colorScale>
        <cfvo type="min"/>
        <cfvo type="percentile" val="50"/>
        <cfvo type="max"/>
        <color rgb="FFF8696B"/>
        <color rgb="FFFFEB84"/>
        <color rgb="FF63BE7B"/>
      </colorScale>
    </cfRule>
  </conditionalFormatting>
  <conditionalFormatting sqref="F22:F27">
    <cfRule type="colorScale" priority="4774">
      <colorScale>
        <cfvo type="min"/>
        <cfvo type="percentile" val="50"/>
        <cfvo type="max"/>
        <color rgb="FFF8696B"/>
        <color rgb="FFFFEB84"/>
        <color rgb="FF63BE7B"/>
      </colorScale>
    </cfRule>
  </conditionalFormatting>
  <conditionalFormatting sqref="F22:F27">
    <cfRule type="colorScale" priority="4773">
      <colorScale>
        <cfvo type="min"/>
        <cfvo type="percentile" val="50"/>
        <cfvo type="max"/>
        <color rgb="FFF8696B"/>
        <color rgb="FFFFEB84"/>
        <color rgb="FF63BE7B"/>
      </colorScale>
    </cfRule>
  </conditionalFormatting>
  <conditionalFormatting sqref="F22:F27">
    <cfRule type="colorScale" priority="4772">
      <colorScale>
        <cfvo type="min"/>
        <cfvo type="percentile" val="50"/>
        <cfvo type="max"/>
        <color rgb="FFF8696B"/>
        <color rgb="FFFFEB84"/>
        <color rgb="FF63BE7B"/>
      </colorScale>
    </cfRule>
  </conditionalFormatting>
  <conditionalFormatting sqref="F22:F27">
    <cfRule type="colorScale" priority="4771">
      <colorScale>
        <cfvo type="min"/>
        <cfvo type="percentile" val="50"/>
        <cfvo type="max"/>
        <color rgb="FFF8696B"/>
        <color rgb="FFFFEB84"/>
        <color rgb="FF63BE7B"/>
      </colorScale>
    </cfRule>
  </conditionalFormatting>
  <conditionalFormatting sqref="F22:F27">
    <cfRule type="colorScale" priority="4770">
      <colorScale>
        <cfvo type="min"/>
        <cfvo type="percentile" val="50"/>
        <cfvo type="max"/>
        <color rgb="FFF8696B"/>
        <color rgb="FFFFEB84"/>
        <color rgb="FF63BE7B"/>
      </colorScale>
    </cfRule>
  </conditionalFormatting>
  <conditionalFormatting sqref="F22:F27">
    <cfRule type="colorScale" priority="4769">
      <colorScale>
        <cfvo type="min"/>
        <cfvo type="percentile" val="50"/>
        <cfvo type="max"/>
        <color rgb="FFF8696B"/>
        <color rgb="FFFFEB84"/>
        <color rgb="FF63BE7B"/>
      </colorScale>
    </cfRule>
  </conditionalFormatting>
  <conditionalFormatting sqref="F22:F27">
    <cfRule type="colorScale" priority="4768">
      <colorScale>
        <cfvo type="min"/>
        <cfvo type="percentile" val="50"/>
        <cfvo type="max"/>
        <color rgb="FFF8696B"/>
        <color rgb="FFFFEB84"/>
        <color rgb="FF63BE7B"/>
      </colorScale>
    </cfRule>
  </conditionalFormatting>
  <conditionalFormatting sqref="F22:F27">
    <cfRule type="colorScale" priority="4767">
      <colorScale>
        <cfvo type="min"/>
        <cfvo type="percentile" val="50"/>
        <cfvo type="max"/>
        <color rgb="FFF8696B"/>
        <color rgb="FFFFEB84"/>
        <color rgb="FF63BE7B"/>
      </colorScale>
    </cfRule>
  </conditionalFormatting>
  <conditionalFormatting sqref="F22:F27">
    <cfRule type="colorScale" priority="4766">
      <colorScale>
        <cfvo type="min"/>
        <cfvo type="percentile" val="50"/>
        <cfvo type="max"/>
        <color rgb="FFF8696B"/>
        <color rgb="FFFFEB84"/>
        <color rgb="FF63BE7B"/>
      </colorScale>
    </cfRule>
  </conditionalFormatting>
  <conditionalFormatting sqref="F22:F27">
    <cfRule type="colorScale" priority="4765">
      <colorScale>
        <cfvo type="min"/>
        <cfvo type="percentile" val="50"/>
        <cfvo type="max"/>
        <color rgb="FFF8696B"/>
        <color rgb="FFFFEB84"/>
        <color rgb="FF63BE7B"/>
      </colorScale>
    </cfRule>
  </conditionalFormatting>
  <conditionalFormatting sqref="F28:F32">
    <cfRule type="colorScale" priority="4764">
      <colorScale>
        <cfvo type="min"/>
        <cfvo type="percentile" val="50"/>
        <cfvo type="max"/>
        <color rgb="FFF8696B"/>
        <color rgb="FFFFEB84"/>
        <color rgb="FF63BE7B"/>
      </colorScale>
    </cfRule>
  </conditionalFormatting>
  <conditionalFormatting sqref="F28:F32">
    <cfRule type="colorScale" priority="4763">
      <colorScale>
        <cfvo type="min"/>
        <cfvo type="percentile" val="50"/>
        <cfvo type="max"/>
        <color rgb="FFF8696B"/>
        <color rgb="FFFFEB84"/>
        <color rgb="FF63BE7B"/>
      </colorScale>
    </cfRule>
  </conditionalFormatting>
  <conditionalFormatting sqref="F28:F32">
    <cfRule type="colorScale" priority="4762">
      <colorScale>
        <cfvo type="min"/>
        <cfvo type="percentile" val="50"/>
        <cfvo type="max"/>
        <color rgb="FFF8696B"/>
        <color rgb="FFFFEB84"/>
        <color rgb="FF63BE7B"/>
      </colorScale>
    </cfRule>
  </conditionalFormatting>
  <conditionalFormatting sqref="F28:F32">
    <cfRule type="colorScale" priority="4761">
      <colorScale>
        <cfvo type="min"/>
        <cfvo type="percentile" val="50"/>
        <cfvo type="max"/>
        <color rgb="FFF8696B"/>
        <color rgb="FFFFEB84"/>
        <color rgb="FF63BE7B"/>
      </colorScale>
    </cfRule>
  </conditionalFormatting>
  <conditionalFormatting sqref="F28:F32">
    <cfRule type="colorScale" priority="4760">
      <colorScale>
        <cfvo type="min"/>
        <cfvo type="percentile" val="50"/>
        <cfvo type="max"/>
        <color rgb="FFF8696B"/>
        <color rgb="FFFFEB84"/>
        <color rgb="FF63BE7B"/>
      </colorScale>
    </cfRule>
  </conditionalFormatting>
  <conditionalFormatting sqref="F28:F32">
    <cfRule type="colorScale" priority="4759">
      <colorScale>
        <cfvo type="min"/>
        <cfvo type="percentile" val="50"/>
        <cfvo type="max"/>
        <color rgb="FFF8696B"/>
        <color rgb="FFFFEB84"/>
        <color rgb="FF63BE7B"/>
      </colorScale>
    </cfRule>
  </conditionalFormatting>
  <conditionalFormatting sqref="F28:F32">
    <cfRule type="colorScale" priority="4758">
      <colorScale>
        <cfvo type="min"/>
        <cfvo type="percentile" val="50"/>
        <cfvo type="max"/>
        <color rgb="FFF8696B"/>
        <color rgb="FFFFEB84"/>
        <color rgb="FF63BE7B"/>
      </colorScale>
    </cfRule>
  </conditionalFormatting>
  <conditionalFormatting sqref="F28:F32">
    <cfRule type="colorScale" priority="4757">
      <colorScale>
        <cfvo type="min"/>
        <cfvo type="percentile" val="50"/>
        <cfvo type="max"/>
        <color rgb="FFF8696B"/>
        <color rgb="FFFFEB84"/>
        <color rgb="FF63BE7B"/>
      </colorScale>
    </cfRule>
  </conditionalFormatting>
  <conditionalFormatting sqref="F28:F32">
    <cfRule type="colorScale" priority="4756">
      <colorScale>
        <cfvo type="min"/>
        <cfvo type="percentile" val="50"/>
        <cfvo type="max"/>
        <color rgb="FFF8696B"/>
        <color rgb="FFFFEB84"/>
        <color rgb="FF63BE7B"/>
      </colorScale>
    </cfRule>
  </conditionalFormatting>
  <conditionalFormatting sqref="F28:F32">
    <cfRule type="colorScale" priority="4755">
      <colorScale>
        <cfvo type="min"/>
        <cfvo type="percentile" val="50"/>
        <cfvo type="max"/>
        <color rgb="FFF8696B"/>
        <color rgb="FFFFEB84"/>
        <color rgb="FF63BE7B"/>
      </colorScale>
    </cfRule>
  </conditionalFormatting>
  <conditionalFormatting sqref="F10:F31">
    <cfRule type="colorScale" priority="4754">
      <colorScale>
        <cfvo type="min"/>
        <cfvo type="percentile" val="50"/>
        <cfvo type="max"/>
        <color rgb="FFF8696B"/>
        <color rgb="FFFFEB84"/>
        <color rgb="FF63BE7B"/>
      </colorScale>
    </cfRule>
  </conditionalFormatting>
  <conditionalFormatting sqref="F10:F21">
    <cfRule type="colorScale" priority="4753">
      <colorScale>
        <cfvo type="min"/>
        <cfvo type="percentile" val="50"/>
        <cfvo type="max"/>
        <color rgb="FFF8696B"/>
        <color rgb="FFFFEB84"/>
        <color rgb="FF63BE7B"/>
      </colorScale>
    </cfRule>
  </conditionalFormatting>
  <conditionalFormatting sqref="F10:F32">
    <cfRule type="colorScale" priority="4752">
      <colorScale>
        <cfvo type="min"/>
        <cfvo type="percentile" val="50"/>
        <cfvo type="max"/>
        <color rgb="FFF8696B"/>
        <color rgb="FFFFEB84"/>
        <color rgb="FF63BE7B"/>
      </colorScale>
    </cfRule>
  </conditionalFormatting>
  <conditionalFormatting sqref="F10:F32">
    <cfRule type="colorScale" priority="4751">
      <colorScale>
        <cfvo type="min"/>
        <cfvo type="percentile" val="50"/>
        <cfvo type="max"/>
        <color rgb="FFF8696B"/>
        <color rgb="FFFFEB84"/>
        <color rgb="FF63BE7B"/>
      </colorScale>
    </cfRule>
  </conditionalFormatting>
  <conditionalFormatting sqref="F10:F32">
    <cfRule type="colorScale" priority="4750">
      <colorScale>
        <cfvo type="min"/>
        <cfvo type="percentile" val="50"/>
        <cfvo type="max"/>
        <color rgb="FFF8696B"/>
        <color rgb="FFFFEB84"/>
        <color rgb="FF63BE7B"/>
      </colorScale>
    </cfRule>
  </conditionalFormatting>
  <conditionalFormatting sqref="J10:K32">
    <cfRule type="colorScale" priority="4749">
      <colorScale>
        <cfvo type="min"/>
        <cfvo type="percentile" val="50"/>
        <cfvo type="max"/>
        <color rgb="FFF8696B"/>
        <color rgb="FFFFEB84"/>
        <color rgb="FF63BE7B"/>
      </colorScale>
    </cfRule>
  </conditionalFormatting>
  <conditionalFormatting sqref="J10:J31">
    <cfRule type="colorScale" priority="4748">
      <colorScale>
        <cfvo type="min"/>
        <cfvo type="percentile" val="50"/>
        <cfvo type="max"/>
        <color rgb="FFF8696B"/>
        <color rgb="FFFFEB84"/>
        <color rgb="FF63BE7B"/>
      </colorScale>
    </cfRule>
  </conditionalFormatting>
  <conditionalFormatting sqref="J10:J21">
    <cfRule type="colorScale" priority="4747">
      <colorScale>
        <cfvo type="min"/>
        <cfvo type="percentile" val="50"/>
        <cfvo type="max"/>
        <color rgb="FFF8696B"/>
        <color rgb="FFFFEB84"/>
        <color rgb="FF63BE7B"/>
      </colorScale>
    </cfRule>
  </conditionalFormatting>
  <conditionalFormatting sqref="J14:J18">
    <cfRule type="colorScale" priority="4746">
      <colorScale>
        <cfvo type="min"/>
        <cfvo type="percentile" val="50"/>
        <cfvo type="max"/>
        <color rgb="FFF8696B"/>
        <color rgb="FFFFEB84"/>
        <color rgb="FF63BE7B"/>
      </colorScale>
    </cfRule>
  </conditionalFormatting>
  <conditionalFormatting sqref="J32">
    <cfRule type="colorScale" priority="4745">
      <colorScale>
        <cfvo type="min"/>
        <cfvo type="percentile" val="50"/>
        <cfvo type="max"/>
        <color rgb="FFF8696B"/>
        <color rgb="FFFFEB84"/>
        <color rgb="FF63BE7B"/>
      </colorScale>
    </cfRule>
  </conditionalFormatting>
  <conditionalFormatting sqref="K10:K32">
    <cfRule type="colorScale" priority="4744">
      <colorScale>
        <cfvo type="min"/>
        <cfvo type="percentile" val="50"/>
        <cfvo type="max"/>
        <color rgb="FFF8696B"/>
        <color rgb="FFFFEB84"/>
        <color rgb="FF63BE7B"/>
      </colorScale>
    </cfRule>
  </conditionalFormatting>
  <conditionalFormatting sqref="J32">
    <cfRule type="colorScale" priority="4743">
      <colorScale>
        <cfvo type="min"/>
        <cfvo type="percentile" val="50"/>
        <cfvo type="max"/>
        <color rgb="FFF8696B"/>
        <color rgb="FFFFEB84"/>
        <color rgb="FF63BE7B"/>
      </colorScale>
    </cfRule>
  </conditionalFormatting>
  <conditionalFormatting sqref="J32">
    <cfRule type="colorScale" priority="4742">
      <colorScale>
        <cfvo type="min"/>
        <cfvo type="percentile" val="50"/>
        <cfvo type="max"/>
        <color rgb="FFF8696B"/>
        <color rgb="FFFFEB84"/>
        <color rgb="FF63BE7B"/>
      </colorScale>
    </cfRule>
  </conditionalFormatting>
  <conditionalFormatting sqref="K10:K32">
    <cfRule type="colorScale" priority="4741">
      <colorScale>
        <cfvo type="min"/>
        <cfvo type="percentile" val="50"/>
        <cfvo type="max"/>
        <color rgb="FFF8696B"/>
        <color rgb="FFFFEB84"/>
        <color rgb="FF63BE7B"/>
      </colorScale>
    </cfRule>
  </conditionalFormatting>
  <conditionalFormatting sqref="D10:D32">
    <cfRule type="colorScale" priority="4740">
      <colorScale>
        <cfvo type="min"/>
        <cfvo type="percentile" val="50"/>
        <cfvo type="max"/>
        <color rgb="FFF8696B"/>
        <color rgb="FFFFEB84"/>
        <color rgb="FF63BE7B"/>
      </colorScale>
    </cfRule>
  </conditionalFormatting>
  <conditionalFormatting sqref="D10:D31">
    <cfRule type="colorScale" priority="4739">
      <colorScale>
        <cfvo type="min"/>
        <cfvo type="percentile" val="50"/>
        <cfvo type="max"/>
        <color rgb="FFF8696B"/>
        <color rgb="FFFFEB84"/>
        <color rgb="FF63BE7B"/>
      </colorScale>
    </cfRule>
  </conditionalFormatting>
  <conditionalFormatting sqref="D10:D31">
    <cfRule type="colorScale" priority="4738">
      <colorScale>
        <cfvo type="min"/>
        <cfvo type="percentile" val="50"/>
        <cfvo type="max"/>
        <color rgb="FFF8696B"/>
        <color rgb="FFFFEB84"/>
        <color rgb="FF63BE7B"/>
      </colorScale>
    </cfRule>
  </conditionalFormatting>
  <conditionalFormatting sqref="D10:D29">
    <cfRule type="colorScale" priority="4737">
      <colorScale>
        <cfvo type="min"/>
        <cfvo type="percentile" val="50"/>
        <cfvo type="max"/>
        <color rgb="FFF8696B"/>
        <color rgb="FFFFEB84"/>
        <color rgb="FF63BE7B"/>
      </colorScale>
    </cfRule>
  </conditionalFormatting>
  <conditionalFormatting sqref="D10:D21">
    <cfRule type="colorScale" priority="4736">
      <colorScale>
        <cfvo type="min"/>
        <cfvo type="percentile" val="50"/>
        <cfvo type="max"/>
        <color rgb="FFF8696B"/>
        <color rgb="FFFFEB84"/>
        <color rgb="FF63BE7B"/>
      </colorScale>
    </cfRule>
  </conditionalFormatting>
  <conditionalFormatting sqref="D10:D21">
    <cfRule type="colorScale" priority="4735">
      <colorScale>
        <cfvo type="min"/>
        <cfvo type="percentile" val="50"/>
        <cfvo type="max"/>
        <color rgb="FFF8696B"/>
        <color rgb="FFFFEB84"/>
        <color rgb="FF63BE7B"/>
      </colorScale>
    </cfRule>
  </conditionalFormatting>
  <conditionalFormatting sqref="D10:D21">
    <cfRule type="colorScale" priority="4734">
      <colorScale>
        <cfvo type="min"/>
        <cfvo type="percentile" val="50"/>
        <cfvo type="max"/>
        <color rgb="FFF8696B"/>
        <color rgb="FFFFEB84"/>
        <color rgb="FF63BE7B"/>
      </colorScale>
    </cfRule>
  </conditionalFormatting>
  <conditionalFormatting sqref="D10:D32">
    <cfRule type="colorScale" priority="4733">
      <colorScale>
        <cfvo type="min"/>
        <cfvo type="percentile" val="50"/>
        <cfvo type="max"/>
        <color rgb="FFF8696B"/>
        <color rgb="FFFFEB84"/>
        <color rgb="FF63BE7B"/>
      </colorScale>
    </cfRule>
  </conditionalFormatting>
  <conditionalFormatting sqref="D10:D32">
    <cfRule type="colorScale" priority="4732">
      <colorScale>
        <cfvo type="min"/>
        <cfvo type="percentile" val="50"/>
        <cfvo type="max"/>
        <color rgb="FFF8696B"/>
        <color rgb="FFFFEB84"/>
        <color rgb="FF63BE7B"/>
      </colorScale>
    </cfRule>
  </conditionalFormatting>
  <conditionalFormatting sqref="D10:D29">
    <cfRule type="colorScale" priority="4731">
      <colorScale>
        <cfvo type="min"/>
        <cfvo type="percentile" val="50"/>
        <cfvo type="max"/>
        <color rgb="FFF8696B"/>
        <color rgb="FFFFEB84"/>
        <color rgb="FF63BE7B"/>
      </colorScale>
    </cfRule>
  </conditionalFormatting>
  <conditionalFormatting sqref="D29:D31">
    <cfRule type="colorScale" priority="4730">
      <colorScale>
        <cfvo type="min"/>
        <cfvo type="percentile" val="50"/>
        <cfvo type="max"/>
        <color rgb="FFF8696B"/>
        <color rgb="FFFFEB84"/>
        <color rgb="FF63BE7B"/>
      </colorScale>
    </cfRule>
  </conditionalFormatting>
  <conditionalFormatting sqref="D32">
    <cfRule type="colorScale" priority="4729">
      <colorScale>
        <cfvo type="min"/>
        <cfvo type="percentile" val="50"/>
        <cfvo type="max"/>
        <color rgb="FFF8696B"/>
        <color rgb="FFFFEB84"/>
        <color rgb="FF63BE7B"/>
      </colorScale>
    </cfRule>
  </conditionalFormatting>
  <conditionalFormatting sqref="D11:D31">
    <cfRule type="colorScale" priority="4728">
      <colorScale>
        <cfvo type="min"/>
        <cfvo type="percentile" val="50"/>
        <cfvo type="max"/>
        <color rgb="FFF8696B"/>
        <color rgb="FFFFEB84"/>
        <color rgb="FF63BE7B"/>
      </colorScale>
    </cfRule>
  </conditionalFormatting>
  <conditionalFormatting sqref="D11:D29">
    <cfRule type="colorScale" priority="4727">
      <colorScale>
        <cfvo type="min"/>
        <cfvo type="percentile" val="50"/>
        <cfvo type="max"/>
        <color rgb="FFF8696B"/>
        <color rgb="FFFFEB84"/>
        <color rgb="FF63BE7B"/>
      </colorScale>
    </cfRule>
  </conditionalFormatting>
  <conditionalFormatting sqref="D10:D32">
    <cfRule type="colorScale" priority="4726">
      <colorScale>
        <cfvo type="min"/>
        <cfvo type="percentile" val="50"/>
        <cfvo type="max"/>
        <color rgb="FFF8696B"/>
        <color rgb="FFFFEB84"/>
        <color rgb="FF63BE7B"/>
      </colorScale>
    </cfRule>
  </conditionalFormatting>
  <conditionalFormatting sqref="D10:D31">
    <cfRule type="colorScale" priority="4725">
      <colorScale>
        <cfvo type="min"/>
        <cfvo type="percentile" val="50"/>
        <cfvo type="max"/>
        <color rgb="FFF8696B"/>
        <color rgb="FFFFEB84"/>
        <color rgb="FF63BE7B"/>
      </colorScale>
    </cfRule>
  </conditionalFormatting>
  <conditionalFormatting sqref="D10:D21">
    <cfRule type="colorScale" priority="4724">
      <colorScale>
        <cfvo type="min"/>
        <cfvo type="percentile" val="50"/>
        <cfvo type="max"/>
        <color rgb="FFF8696B"/>
        <color rgb="FFFFEB84"/>
        <color rgb="FF63BE7B"/>
      </colorScale>
    </cfRule>
  </conditionalFormatting>
  <conditionalFormatting sqref="D10:D32">
    <cfRule type="colorScale" priority="4723">
      <colorScale>
        <cfvo type="min"/>
        <cfvo type="percentile" val="50"/>
        <cfvo type="max"/>
        <color rgb="FFF8696B"/>
        <color rgb="FFFFEB84"/>
        <color rgb="FF63BE7B"/>
      </colorScale>
    </cfRule>
  </conditionalFormatting>
  <conditionalFormatting sqref="D10:D32">
    <cfRule type="colorScale" priority="4722">
      <colorScale>
        <cfvo type="min"/>
        <cfvo type="percentile" val="50"/>
        <cfvo type="max"/>
        <color rgb="FFF8696B"/>
        <color rgb="FFFFEB84"/>
        <color rgb="FF63BE7B"/>
      </colorScale>
    </cfRule>
  </conditionalFormatting>
  <conditionalFormatting sqref="D10:D32">
    <cfRule type="colorScale" priority="4721">
      <colorScale>
        <cfvo type="min"/>
        <cfvo type="percentile" val="50"/>
        <cfvo type="max"/>
        <color rgb="FFF8696B"/>
        <color rgb="FFFFEB84"/>
        <color rgb="FF63BE7B"/>
      </colorScale>
    </cfRule>
  </conditionalFormatting>
  <conditionalFormatting sqref="E10:E32">
    <cfRule type="colorScale" priority="4720">
      <colorScale>
        <cfvo type="min"/>
        <cfvo type="percentile" val="50"/>
        <cfvo type="max"/>
        <color rgb="FFF8696B"/>
        <color rgb="FFFFEB84"/>
        <color rgb="FF63BE7B"/>
      </colorScale>
    </cfRule>
  </conditionalFormatting>
  <conditionalFormatting sqref="E10:E31">
    <cfRule type="colorScale" priority="4719">
      <colorScale>
        <cfvo type="min"/>
        <cfvo type="percentile" val="50"/>
        <cfvo type="max"/>
        <color rgb="FFF8696B"/>
        <color rgb="FFFFEB84"/>
        <color rgb="FF63BE7B"/>
      </colorScale>
    </cfRule>
  </conditionalFormatting>
  <conditionalFormatting sqref="E10:E31">
    <cfRule type="colorScale" priority="4718">
      <colorScale>
        <cfvo type="min"/>
        <cfvo type="percentile" val="50"/>
        <cfvo type="max"/>
        <color rgb="FFF8696B"/>
        <color rgb="FFFFEB84"/>
        <color rgb="FF63BE7B"/>
      </colorScale>
    </cfRule>
  </conditionalFormatting>
  <conditionalFormatting sqref="E10:E21">
    <cfRule type="colorScale" priority="4717">
      <colorScale>
        <cfvo type="min"/>
        <cfvo type="percentile" val="50"/>
        <cfvo type="max"/>
        <color rgb="FFF8696B"/>
        <color rgb="FFFFEB84"/>
        <color rgb="FF63BE7B"/>
      </colorScale>
    </cfRule>
  </conditionalFormatting>
  <conditionalFormatting sqref="E10:E21">
    <cfRule type="colorScale" priority="4716">
      <colorScale>
        <cfvo type="min"/>
        <cfvo type="percentile" val="50"/>
        <cfvo type="max"/>
        <color rgb="FFF8696B"/>
        <color rgb="FFFFEB84"/>
        <color rgb="FF63BE7B"/>
      </colorScale>
    </cfRule>
  </conditionalFormatting>
  <conditionalFormatting sqref="E10:E32">
    <cfRule type="colorScale" priority="4715">
      <colorScale>
        <cfvo type="min"/>
        <cfvo type="percentile" val="50"/>
        <cfvo type="max"/>
        <color rgb="FFF8696B"/>
        <color rgb="FFFFEB84"/>
        <color rgb="FF63BE7B"/>
      </colorScale>
    </cfRule>
  </conditionalFormatting>
  <conditionalFormatting sqref="E10:E27">
    <cfRule type="colorScale" priority="4714">
      <colorScale>
        <cfvo type="min"/>
        <cfvo type="percentile" val="50"/>
        <cfvo type="max"/>
        <color rgb="FFF8696B"/>
        <color rgb="FFFFEB84"/>
        <color rgb="FF63BE7B"/>
      </colorScale>
    </cfRule>
  </conditionalFormatting>
  <conditionalFormatting sqref="E10:E27">
    <cfRule type="colorScale" priority="4713">
      <colorScale>
        <cfvo type="min"/>
        <cfvo type="percentile" val="50"/>
        <cfvo type="max"/>
        <color rgb="FFF8696B"/>
        <color rgb="FFFFEB84"/>
        <color rgb="FF63BE7B"/>
      </colorScale>
    </cfRule>
  </conditionalFormatting>
  <conditionalFormatting sqref="E22:E27">
    <cfRule type="colorScale" priority="4712">
      <colorScale>
        <cfvo type="min"/>
        <cfvo type="percentile" val="50"/>
        <cfvo type="max"/>
        <color rgb="FFF8696B"/>
        <color rgb="FFFFEB84"/>
        <color rgb="FF63BE7B"/>
      </colorScale>
    </cfRule>
  </conditionalFormatting>
  <conditionalFormatting sqref="E25">
    <cfRule type="colorScale" priority="4711">
      <colorScale>
        <cfvo type="min"/>
        <cfvo type="percentile" val="50"/>
        <cfvo type="max"/>
        <color rgb="FFF8696B"/>
        <color rgb="FFFFEB84"/>
        <color rgb="FF63BE7B"/>
      </colorScale>
    </cfRule>
  </conditionalFormatting>
  <conditionalFormatting sqref="E11:E31">
    <cfRule type="colorScale" priority="4710">
      <colorScale>
        <cfvo type="min"/>
        <cfvo type="percentile" val="50"/>
        <cfvo type="max"/>
        <color rgb="FFF8696B"/>
        <color rgb="FFFFEB84"/>
        <color rgb="FF63BE7B"/>
      </colorScale>
    </cfRule>
  </conditionalFormatting>
  <conditionalFormatting sqref="E11:E28">
    <cfRule type="colorScale" priority="4709">
      <colorScale>
        <cfvo type="min"/>
        <cfvo type="percentile" val="50"/>
        <cfvo type="max"/>
        <color rgb="FFF8696B"/>
        <color rgb="FFFFEB84"/>
        <color rgb="FF63BE7B"/>
      </colorScale>
    </cfRule>
  </conditionalFormatting>
  <conditionalFormatting sqref="E29:E31">
    <cfRule type="colorScale" priority="4708">
      <colorScale>
        <cfvo type="min"/>
        <cfvo type="percentile" val="50"/>
        <cfvo type="max"/>
        <color rgb="FFF8696B"/>
        <color rgb="FFFFEB84"/>
        <color rgb="FF63BE7B"/>
      </colorScale>
    </cfRule>
  </conditionalFormatting>
  <conditionalFormatting sqref="E32">
    <cfRule type="colorScale" priority="4707">
      <colorScale>
        <cfvo type="min"/>
        <cfvo type="percentile" val="50"/>
        <cfvo type="max"/>
        <color rgb="FFF8696B"/>
        <color rgb="FFFFEB84"/>
        <color rgb="FF63BE7B"/>
      </colorScale>
    </cfRule>
  </conditionalFormatting>
  <conditionalFormatting sqref="E10:E32">
    <cfRule type="colorScale" priority="4706">
      <colorScale>
        <cfvo type="min"/>
        <cfvo type="percentile" val="50"/>
        <cfvo type="max"/>
        <color rgb="FFF8696B"/>
        <color rgb="FFFFEB84"/>
        <color rgb="FF63BE7B"/>
      </colorScale>
    </cfRule>
  </conditionalFormatting>
  <conditionalFormatting sqref="E10:E31">
    <cfRule type="colorScale" priority="4705">
      <colorScale>
        <cfvo type="min"/>
        <cfvo type="percentile" val="50"/>
        <cfvo type="max"/>
        <color rgb="FFF8696B"/>
        <color rgb="FFFFEB84"/>
        <color rgb="FF63BE7B"/>
      </colorScale>
    </cfRule>
  </conditionalFormatting>
  <conditionalFormatting sqref="E10:E21">
    <cfRule type="colorScale" priority="4704">
      <colorScale>
        <cfvo type="min"/>
        <cfvo type="percentile" val="50"/>
        <cfvo type="max"/>
        <color rgb="FFF8696B"/>
        <color rgb="FFFFEB84"/>
        <color rgb="FF63BE7B"/>
      </colorScale>
    </cfRule>
  </conditionalFormatting>
  <conditionalFormatting sqref="E10:E32">
    <cfRule type="colorScale" priority="4703">
      <colorScale>
        <cfvo type="min"/>
        <cfvo type="percentile" val="50"/>
        <cfvo type="max"/>
        <color rgb="FFF8696B"/>
        <color rgb="FFFFEB84"/>
        <color rgb="FF63BE7B"/>
      </colorScale>
    </cfRule>
  </conditionalFormatting>
  <conditionalFormatting sqref="E10:E32">
    <cfRule type="colorScale" priority="4702">
      <colorScale>
        <cfvo type="min"/>
        <cfvo type="percentile" val="50"/>
        <cfvo type="max"/>
        <color rgb="FFF8696B"/>
        <color rgb="FFFFEB84"/>
        <color rgb="FF63BE7B"/>
      </colorScale>
    </cfRule>
  </conditionalFormatting>
  <conditionalFormatting sqref="E10:E32">
    <cfRule type="colorScale" priority="4701">
      <colorScale>
        <cfvo type="min"/>
        <cfvo type="percentile" val="50"/>
        <cfvo type="max"/>
        <color rgb="FFF8696B"/>
        <color rgb="FFFFEB84"/>
        <color rgb="FF63BE7B"/>
      </colorScale>
    </cfRule>
  </conditionalFormatting>
  <conditionalFormatting sqref="F10:F32">
    <cfRule type="colorScale" priority="4700">
      <colorScale>
        <cfvo type="min"/>
        <cfvo type="percentile" val="50"/>
        <cfvo type="max"/>
        <color rgb="FFF8696B"/>
        <color rgb="FFFFEB84"/>
        <color rgb="FF63BE7B"/>
      </colorScale>
    </cfRule>
  </conditionalFormatting>
  <conditionalFormatting sqref="F13:F20">
    <cfRule type="colorScale" priority="4699">
      <colorScale>
        <cfvo type="min"/>
        <cfvo type="percentile" val="50"/>
        <cfvo type="max"/>
        <color rgb="FFF8696B"/>
        <color rgb="FFFFEB84"/>
        <color rgb="FF63BE7B"/>
      </colorScale>
    </cfRule>
  </conditionalFormatting>
  <conditionalFormatting sqref="F13:F20">
    <cfRule type="colorScale" priority="4698">
      <colorScale>
        <cfvo type="min"/>
        <cfvo type="percentile" val="50"/>
        <cfvo type="max"/>
        <color rgb="FFF8696B"/>
        <color rgb="FFFFEB84"/>
        <color rgb="FF63BE7B"/>
      </colorScale>
    </cfRule>
  </conditionalFormatting>
  <conditionalFormatting sqref="F13:F20">
    <cfRule type="colorScale" priority="4697">
      <colorScale>
        <cfvo type="min"/>
        <cfvo type="percentile" val="50"/>
        <cfvo type="max"/>
        <color rgb="FFF8696B"/>
        <color rgb="FFFFEB84"/>
        <color rgb="FF63BE7B"/>
      </colorScale>
    </cfRule>
  </conditionalFormatting>
  <conditionalFormatting sqref="F13:F20">
    <cfRule type="colorScale" priority="4696">
      <colorScale>
        <cfvo type="min"/>
        <cfvo type="percentile" val="50"/>
        <cfvo type="max"/>
        <color rgb="FFF8696B"/>
        <color rgb="FFFFEB84"/>
        <color rgb="FF63BE7B"/>
      </colorScale>
    </cfRule>
  </conditionalFormatting>
  <conditionalFormatting sqref="F13:F20">
    <cfRule type="colorScale" priority="4695">
      <colorScale>
        <cfvo type="min"/>
        <cfvo type="percentile" val="50"/>
        <cfvo type="max"/>
        <color rgb="FFF8696B"/>
        <color rgb="FFFFEB84"/>
        <color rgb="FF63BE7B"/>
      </colorScale>
    </cfRule>
  </conditionalFormatting>
  <conditionalFormatting sqref="F13:F20">
    <cfRule type="colorScale" priority="4694">
      <colorScale>
        <cfvo type="min"/>
        <cfvo type="percentile" val="50"/>
        <cfvo type="max"/>
        <color rgb="FFF8696B"/>
        <color rgb="FFFFEB84"/>
        <color rgb="FF63BE7B"/>
      </colorScale>
    </cfRule>
  </conditionalFormatting>
  <conditionalFormatting sqref="F13:F20">
    <cfRule type="colorScale" priority="4693">
      <colorScale>
        <cfvo type="min"/>
        <cfvo type="percentile" val="50"/>
        <cfvo type="max"/>
        <color rgb="FFF8696B"/>
        <color rgb="FFFFEB84"/>
        <color rgb="FF63BE7B"/>
      </colorScale>
    </cfRule>
  </conditionalFormatting>
  <conditionalFormatting sqref="F13:F20">
    <cfRule type="colorScale" priority="4692">
      <colorScale>
        <cfvo type="min"/>
        <cfvo type="percentile" val="50"/>
        <cfvo type="max"/>
        <color rgb="FFF8696B"/>
        <color rgb="FFFFEB84"/>
        <color rgb="FF63BE7B"/>
      </colorScale>
    </cfRule>
  </conditionalFormatting>
  <conditionalFormatting sqref="F13:F20">
    <cfRule type="colorScale" priority="4691">
      <colorScale>
        <cfvo type="min"/>
        <cfvo type="percentile" val="50"/>
        <cfvo type="max"/>
        <color rgb="FFF8696B"/>
        <color rgb="FFFFEB84"/>
        <color rgb="FF63BE7B"/>
      </colorScale>
    </cfRule>
  </conditionalFormatting>
  <conditionalFormatting sqref="F13:F20">
    <cfRule type="colorScale" priority="4690">
      <colorScale>
        <cfvo type="min"/>
        <cfvo type="percentile" val="50"/>
        <cfvo type="max"/>
        <color rgb="FFF8696B"/>
        <color rgb="FFFFEB84"/>
        <color rgb="FF63BE7B"/>
      </colorScale>
    </cfRule>
  </conditionalFormatting>
  <conditionalFormatting sqref="F13:F20">
    <cfRule type="colorScale" priority="4689">
      <colorScale>
        <cfvo type="min"/>
        <cfvo type="percentile" val="50"/>
        <cfvo type="max"/>
        <color rgb="FFF8696B"/>
        <color rgb="FFFFEB84"/>
        <color rgb="FF63BE7B"/>
      </colorScale>
    </cfRule>
  </conditionalFormatting>
  <conditionalFormatting sqref="F13:F20">
    <cfRule type="colorScale" priority="4688">
      <colorScale>
        <cfvo type="min"/>
        <cfvo type="percentile" val="50"/>
        <cfvo type="max"/>
        <color rgb="FFF8696B"/>
        <color rgb="FFFFEB84"/>
        <color rgb="FF63BE7B"/>
      </colorScale>
    </cfRule>
  </conditionalFormatting>
  <conditionalFormatting sqref="F13:F20">
    <cfRule type="colorScale" priority="4687">
      <colorScale>
        <cfvo type="min"/>
        <cfvo type="percentile" val="50"/>
        <cfvo type="max"/>
        <color rgb="FFF8696B"/>
        <color rgb="FFFFEB84"/>
        <color rgb="FF63BE7B"/>
      </colorScale>
    </cfRule>
  </conditionalFormatting>
  <conditionalFormatting sqref="F13:F20">
    <cfRule type="colorScale" priority="4686">
      <colorScale>
        <cfvo type="min"/>
        <cfvo type="percentile" val="50"/>
        <cfvo type="max"/>
        <color rgb="FFF8696B"/>
        <color rgb="FFFFEB84"/>
        <color rgb="FF63BE7B"/>
      </colorScale>
    </cfRule>
  </conditionalFormatting>
  <conditionalFormatting sqref="F13:F20">
    <cfRule type="colorScale" priority="4685">
      <colorScale>
        <cfvo type="min"/>
        <cfvo type="percentile" val="50"/>
        <cfvo type="max"/>
        <color rgb="FFF8696B"/>
        <color rgb="FFFFEB84"/>
        <color rgb="FF63BE7B"/>
      </colorScale>
    </cfRule>
  </conditionalFormatting>
  <conditionalFormatting sqref="F13:F20">
    <cfRule type="colorScale" priority="4684">
      <colorScale>
        <cfvo type="min"/>
        <cfvo type="percentile" val="50"/>
        <cfvo type="max"/>
        <color rgb="FFF8696B"/>
        <color rgb="FFFFEB84"/>
        <color rgb="FF63BE7B"/>
      </colorScale>
    </cfRule>
  </conditionalFormatting>
  <conditionalFormatting sqref="F13:F20">
    <cfRule type="colorScale" priority="4683">
      <colorScale>
        <cfvo type="min"/>
        <cfvo type="percentile" val="50"/>
        <cfvo type="max"/>
        <color rgb="FFF8696B"/>
        <color rgb="FFFFEB84"/>
        <color rgb="FF63BE7B"/>
      </colorScale>
    </cfRule>
  </conditionalFormatting>
  <conditionalFormatting sqref="F13:F20">
    <cfRule type="colorScale" priority="4682">
      <colorScale>
        <cfvo type="min"/>
        <cfvo type="percentile" val="50"/>
        <cfvo type="max"/>
        <color rgb="FFF8696B"/>
        <color rgb="FFFFEB84"/>
        <color rgb="FF63BE7B"/>
      </colorScale>
    </cfRule>
  </conditionalFormatting>
  <conditionalFormatting sqref="F13:F20">
    <cfRule type="colorScale" priority="4681">
      <colorScale>
        <cfvo type="min"/>
        <cfvo type="percentile" val="50"/>
        <cfvo type="max"/>
        <color rgb="FFF8696B"/>
        <color rgb="FFFFEB84"/>
        <color rgb="FF63BE7B"/>
      </colorScale>
    </cfRule>
  </conditionalFormatting>
  <conditionalFormatting sqref="F13:F20">
    <cfRule type="colorScale" priority="4680">
      <colorScale>
        <cfvo type="min"/>
        <cfvo type="percentile" val="50"/>
        <cfvo type="max"/>
        <color rgb="FFF8696B"/>
        <color rgb="FFFFEB84"/>
        <color rgb="FF63BE7B"/>
      </colorScale>
    </cfRule>
  </conditionalFormatting>
  <conditionalFormatting sqref="F13:F20">
    <cfRule type="colorScale" priority="4679">
      <colorScale>
        <cfvo type="min"/>
        <cfvo type="percentile" val="50"/>
        <cfvo type="max"/>
        <color rgb="FFF8696B"/>
        <color rgb="FFFFEB84"/>
        <color rgb="FF63BE7B"/>
      </colorScale>
    </cfRule>
  </conditionalFormatting>
  <conditionalFormatting sqref="F13:F20">
    <cfRule type="colorScale" priority="4678">
      <colorScale>
        <cfvo type="min"/>
        <cfvo type="percentile" val="50"/>
        <cfvo type="max"/>
        <color rgb="FFF8696B"/>
        <color rgb="FFFFEB84"/>
        <color rgb="FF63BE7B"/>
      </colorScale>
    </cfRule>
  </conditionalFormatting>
  <conditionalFormatting sqref="F13:F20">
    <cfRule type="colorScale" priority="4677">
      <colorScale>
        <cfvo type="min"/>
        <cfvo type="percentile" val="50"/>
        <cfvo type="max"/>
        <color rgb="FFF8696B"/>
        <color rgb="FFFFEB84"/>
        <color rgb="FF63BE7B"/>
      </colorScale>
    </cfRule>
  </conditionalFormatting>
  <conditionalFormatting sqref="F13:F20">
    <cfRule type="colorScale" priority="4676">
      <colorScale>
        <cfvo type="min"/>
        <cfvo type="percentile" val="50"/>
        <cfvo type="max"/>
        <color rgb="FFF8696B"/>
        <color rgb="FFFFEB84"/>
        <color rgb="FF63BE7B"/>
      </colorScale>
    </cfRule>
  </conditionalFormatting>
  <conditionalFormatting sqref="F13:F20">
    <cfRule type="colorScale" priority="4675">
      <colorScale>
        <cfvo type="min"/>
        <cfvo type="percentile" val="50"/>
        <cfvo type="max"/>
        <color rgb="FFF8696B"/>
        <color rgb="FFFFEB84"/>
        <color rgb="FF63BE7B"/>
      </colorScale>
    </cfRule>
  </conditionalFormatting>
  <conditionalFormatting sqref="F13:F20">
    <cfRule type="colorScale" priority="4674">
      <colorScale>
        <cfvo type="min"/>
        <cfvo type="percentile" val="50"/>
        <cfvo type="max"/>
        <color rgb="FFF8696B"/>
        <color rgb="FFFFEB84"/>
        <color rgb="FF63BE7B"/>
      </colorScale>
    </cfRule>
  </conditionalFormatting>
  <conditionalFormatting sqref="F13:F20">
    <cfRule type="colorScale" priority="4673">
      <colorScale>
        <cfvo type="min"/>
        <cfvo type="percentile" val="50"/>
        <cfvo type="max"/>
        <color rgb="FFF8696B"/>
        <color rgb="FFFFEB84"/>
        <color rgb="FF63BE7B"/>
      </colorScale>
    </cfRule>
  </conditionalFormatting>
  <conditionalFormatting sqref="F13:F20">
    <cfRule type="colorScale" priority="4672">
      <colorScale>
        <cfvo type="min"/>
        <cfvo type="percentile" val="50"/>
        <cfvo type="max"/>
        <color rgb="FFF8696B"/>
        <color rgb="FFFFEB84"/>
        <color rgb="FF63BE7B"/>
      </colorScale>
    </cfRule>
  </conditionalFormatting>
  <conditionalFormatting sqref="F13:F20">
    <cfRule type="colorScale" priority="4671">
      <colorScale>
        <cfvo type="min"/>
        <cfvo type="percentile" val="50"/>
        <cfvo type="max"/>
        <color rgb="FFF8696B"/>
        <color rgb="FFFFEB84"/>
        <color rgb="FF63BE7B"/>
      </colorScale>
    </cfRule>
  </conditionalFormatting>
  <conditionalFormatting sqref="F13:F20">
    <cfRule type="colorScale" priority="4670">
      <colorScale>
        <cfvo type="min"/>
        <cfvo type="percentile" val="50"/>
        <cfvo type="max"/>
        <color rgb="FFF8696B"/>
        <color rgb="FFFFEB84"/>
        <color rgb="FF63BE7B"/>
      </colorScale>
    </cfRule>
  </conditionalFormatting>
  <conditionalFormatting sqref="F13:F20">
    <cfRule type="colorScale" priority="4669">
      <colorScale>
        <cfvo type="min"/>
        <cfvo type="percentile" val="50"/>
        <cfvo type="max"/>
        <color rgb="FFF8696B"/>
        <color rgb="FFFFEB84"/>
        <color rgb="FF63BE7B"/>
      </colorScale>
    </cfRule>
  </conditionalFormatting>
  <conditionalFormatting sqref="F13:F20">
    <cfRule type="colorScale" priority="4668">
      <colorScale>
        <cfvo type="min"/>
        <cfvo type="percentile" val="50"/>
        <cfvo type="max"/>
        <color rgb="FFF8696B"/>
        <color rgb="FFFFEB84"/>
        <color rgb="FF63BE7B"/>
      </colorScale>
    </cfRule>
  </conditionalFormatting>
  <conditionalFormatting sqref="F13:F20">
    <cfRule type="colorScale" priority="4667">
      <colorScale>
        <cfvo type="min"/>
        <cfvo type="percentile" val="50"/>
        <cfvo type="max"/>
        <color rgb="FFF8696B"/>
        <color rgb="FFFFEB84"/>
        <color rgb="FF63BE7B"/>
      </colorScale>
    </cfRule>
  </conditionalFormatting>
  <conditionalFormatting sqref="F13:F20">
    <cfRule type="colorScale" priority="4666">
      <colorScale>
        <cfvo type="min"/>
        <cfvo type="percentile" val="50"/>
        <cfvo type="max"/>
        <color rgb="FFF8696B"/>
        <color rgb="FFFFEB84"/>
        <color rgb="FF63BE7B"/>
      </colorScale>
    </cfRule>
  </conditionalFormatting>
  <conditionalFormatting sqref="F13:F20">
    <cfRule type="colorScale" priority="4665">
      <colorScale>
        <cfvo type="min"/>
        <cfvo type="percentile" val="50"/>
        <cfvo type="max"/>
        <color rgb="FFF8696B"/>
        <color rgb="FFFFEB84"/>
        <color rgb="FF63BE7B"/>
      </colorScale>
    </cfRule>
  </conditionalFormatting>
  <conditionalFormatting sqref="F13:F20">
    <cfRule type="colorScale" priority="4664">
      <colorScale>
        <cfvo type="min"/>
        <cfvo type="percentile" val="50"/>
        <cfvo type="max"/>
        <color rgb="FFF8696B"/>
        <color rgb="FFFFEB84"/>
        <color rgb="FF63BE7B"/>
      </colorScale>
    </cfRule>
  </conditionalFormatting>
  <conditionalFormatting sqref="F13:F20">
    <cfRule type="colorScale" priority="4663">
      <colorScale>
        <cfvo type="min"/>
        <cfvo type="percentile" val="50"/>
        <cfvo type="max"/>
        <color rgb="FFF8696B"/>
        <color rgb="FFFFEB84"/>
        <color rgb="FF63BE7B"/>
      </colorScale>
    </cfRule>
  </conditionalFormatting>
  <conditionalFormatting sqref="F13:F20">
    <cfRule type="colorScale" priority="4662">
      <colorScale>
        <cfvo type="min"/>
        <cfvo type="percentile" val="50"/>
        <cfvo type="max"/>
        <color rgb="FFF8696B"/>
        <color rgb="FFFFEB84"/>
        <color rgb="FF63BE7B"/>
      </colorScale>
    </cfRule>
  </conditionalFormatting>
  <conditionalFormatting sqref="F13:F20">
    <cfRule type="colorScale" priority="4661">
      <colorScale>
        <cfvo type="min"/>
        <cfvo type="percentile" val="50"/>
        <cfvo type="max"/>
        <color rgb="FFF8696B"/>
        <color rgb="FFFFEB84"/>
        <color rgb="FF63BE7B"/>
      </colorScale>
    </cfRule>
  </conditionalFormatting>
  <conditionalFormatting sqref="F13:F20">
    <cfRule type="colorScale" priority="4660">
      <colorScale>
        <cfvo type="min"/>
        <cfvo type="percentile" val="50"/>
        <cfvo type="max"/>
        <color rgb="FFF8696B"/>
        <color rgb="FFFFEB84"/>
        <color rgb="FF63BE7B"/>
      </colorScale>
    </cfRule>
  </conditionalFormatting>
  <conditionalFormatting sqref="F13:F20">
    <cfRule type="colorScale" priority="4659">
      <colorScale>
        <cfvo type="min"/>
        <cfvo type="percentile" val="50"/>
        <cfvo type="max"/>
        <color rgb="FFF8696B"/>
        <color rgb="FFFFEB84"/>
        <color rgb="FF63BE7B"/>
      </colorScale>
    </cfRule>
  </conditionalFormatting>
  <conditionalFormatting sqref="F13:F20">
    <cfRule type="colorScale" priority="4658">
      <colorScale>
        <cfvo type="min"/>
        <cfvo type="percentile" val="50"/>
        <cfvo type="max"/>
        <color rgb="FFF8696B"/>
        <color rgb="FFFFEB84"/>
        <color rgb="FF63BE7B"/>
      </colorScale>
    </cfRule>
  </conditionalFormatting>
  <conditionalFormatting sqref="F13:F20">
    <cfRule type="colorScale" priority="4657">
      <colorScale>
        <cfvo type="min"/>
        <cfvo type="percentile" val="50"/>
        <cfvo type="max"/>
        <color rgb="FFF8696B"/>
        <color rgb="FFFFEB84"/>
        <color rgb="FF63BE7B"/>
      </colorScale>
    </cfRule>
  </conditionalFormatting>
  <conditionalFormatting sqref="F13:F20">
    <cfRule type="colorScale" priority="4656">
      <colorScale>
        <cfvo type="min"/>
        <cfvo type="percentile" val="50"/>
        <cfvo type="max"/>
        <color rgb="FFF8696B"/>
        <color rgb="FFFFEB84"/>
        <color rgb="FF63BE7B"/>
      </colorScale>
    </cfRule>
  </conditionalFormatting>
  <conditionalFormatting sqref="F13:F20">
    <cfRule type="colorScale" priority="4655">
      <colorScale>
        <cfvo type="min"/>
        <cfvo type="percentile" val="50"/>
        <cfvo type="max"/>
        <color rgb="FFF8696B"/>
        <color rgb="FFFFEB84"/>
        <color rgb="FF63BE7B"/>
      </colorScale>
    </cfRule>
  </conditionalFormatting>
  <conditionalFormatting sqref="F13:F20">
    <cfRule type="colorScale" priority="4654">
      <colorScale>
        <cfvo type="min"/>
        <cfvo type="percentile" val="50"/>
        <cfvo type="max"/>
        <color rgb="FFF8696B"/>
        <color rgb="FFFFEB84"/>
        <color rgb="FF63BE7B"/>
      </colorScale>
    </cfRule>
  </conditionalFormatting>
  <conditionalFormatting sqref="F13:F20">
    <cfRule type="colorScale" priority="4653">
      <colorScale>
        <cfvo type="min"/>
        <cfvo type="percentile" val="50"/>
        <cfvo type="max"/>
        <color rgb="FFF8696B"/>
        <color rgb="FFFFEB84"/>
        <color rgb="FF63BE7B"/>
      </colorScale>
    </cfRule>
  </conditionalFormatting>
  <conditionalFormatting sqref="F13:F20">
    <cfRule type="colorScale" priority="4652">
      <colorScale>
        <cfvo type="min"/>
        <cfvo type="percentile" val="50"/>
        <cfvo type="max"/>
        <color rgb="FFF8696B"/>
        <color rgb="FFFFEB84"/>
        <color rgb="FF63BE7B"/>
      </colorScale>
    </cfRule>
  </conditionalFormatting>
  <conditionalFormatting sqref="F13:F20">
    <cfRule type="colorScale" priority="4651">
      <colorScale>
        <cfvo type="min"/>
        <cfvo type="percentile" val="50"/>
        <cfvo type="max"/>
        <color rgb="FFF8696B"/>
        <color rgb="FFFFEB84"/>
        <color rgb="FF63BE7B"/>
      </colorScale>
    </cfRule>
  </conditionalFormatting>
  <conditionalFormatting sqref="F13:F20">
    <cfRule type="colorScale" priority="4650">
      <colorScale>
        <cfvo type="min"/>
        <cfvo type="percentile" val="50"/>
        <cfvo type="max"/>
        <color rgb="FFF8696B"/>
        <color rgb="FFFFEB84"/>
        <color rgb="FF63BE7B"/>
      </colorScale>
    </cfRule>
  </conditionalFormatting>
  <conditionalFormatting sqref="F13:F20">
    <cfRule type="colorScale" priority="4649">
      <colorScale>
        <cfvo type="min"/>
        <cfvo type="percentile" val="50"/>
        <cfvo type="max"/>
        <color rgb="FFF8696B"/>
        <color rgb="FFFFEB84"/>
        <color rgb="FF63BE7B"/>
      </colorScale>
    </cfRule>
  </conditionalFormatting>
  <conditionalFormatting sqref="F13:F20">
    <cfRule type="colorScale" priority="4648">
      <colorScale>
        <cfvo type="min"/>
        <cfvo type="percentile" val="50"/>
        <cfvo type="max"/>
        <color rgb="FFF8696B"/>
        <color rgb="FFFFEB84"/>
        <color rgb="FF63BE7B"/>
      </colorScale>
    </cfRule>
  </conditionalFormatting>
  <conditionalFormatting sqref="F13:F20">
    <cfRule type="colorScale" priority="4647">
      <colorScale>
        <cfvo type="min"/>
        <cfvo type="percentile" val="50"/>
        <cfvo type="max"/>
        <color rgb="FFF8696B"/>
        <color rgb="FFFFEB84"/>
        <color rgb="FF63BE7B"/>
      </colorScale>
    </cfRule>
  </conditionalFormatting>
  <conditionalFormatting sqref="F13:F20">
    <cfRule type="colorScale" priority="4646">
      <colorScale>
        <cfvo type="min"/>
        <cfvo type="percentile" val="50"/>
        <cfvo type="max"/>
        <color rgb="FFF8696B"/>
        <color rgb="FFFFEB84"/>
        <color rgb="FF63BE7B"/>
      </colorScale>
    </cfRule>
  </conditionalFormatting>
  <conditionalFormatting sqref="F13:F20">
    <cfRule type="colorScale" priority="4645">
      <colorScale>
        <cfvo type="min"/>
        <cfvo type="percentile" val="50"/>
        <cfvo type="max"/>
        <color rgb="FFF8696B"/>
        <color rgb="FFFFEB84"/>
        <color rgb="FF63BE7B"/>
      </colorScale>
    </cfRule>
  </conditionalFormatting>
  <conditionalFormatting sqref="F13:F20">
    <cfRule type="colorScale" priority="4644">
      <colorScale>
        <cfvo type="min"/>
        <cfvo type="percentile" val="50"/>
        <cfvo type="max"/>
        <color rgb="FFF8696B"/>
        <color rgb="FFFFEB84"/>
        <color rgb="FF63BE7B"/>
      </colorScale>
    </cfRule>
  </conditionalFormatting>
  <conditionalFormatting sqref="F13:F20">
    <cfRule type="colorScale" priority="4643">
      <colorScale>
        <cfvo type="min"/>
        <cfvo type="percentile" val="50"/>
        <cfvo type="max"/>
        <color rgb="FFF8696B"/>
        <color rgb="FFFFEB84"/>
        <color rgb="FF63BE7B"/>
      </colorScale>
    </cfRule>
  </conditionalFormatting>
  <conditionalFormatting sqref="F13:F20">
    <cfRule type="colorScale" priority="4642">
      <colorScale>
        <cfvo type="min"/>
        <cfvo type="percentile" val="50"/>
        <cfvo type="max"/>
        <color rgb="FFF8696B"/>
        <color rgb="FFFFEB84"/>
        <color rgb="FF63BE7B"/>
      </colorScale>
    </cfRule>
  </conditionalFormatting>
  <conditionalFormatting sqref="F13:F20">
    <cfRule type="colorScale" priority="4641">
      <colorScale>
        <cfvo type="min"/>
        <cfvo type="percentile" val="50"/>
        <cfvo type="max"/>
        <color rgb="FFF8696B"/>
        <color rgb="FFFFEB84"/>
        <color rgb="FF63BE7B"/>
      </colorScale>
    </cfRule>
  </conditionalFormatting>
  <conditionalFormatting sqref="F13:F20">
    <cfRule type="colorScale" priority="4640">
      <colorScale>
        <cfvo type="min"/>
        <cfvo type="percentile" val="50"/>
        <cfvo type="max"/>
        <color rgb="FFF8696B"/>
        <color rgb="FFFFEB84"/>
        <color rgb="FF63BE7B"/>
      </colorScale>
    </cfRule>
  </conditionalFormatting>
  <conditionalFormatting sqref="F13:F20">
    <cfRule type="colorScale" priority="4639">
      <colorScale>
        <cfvo type="min"/>
        <cfvo type="percentile" val="50"/>
        <cfvo type="max"/>
        <color rgb="FFF8696B"/>
        <color rgb="FFFFEB84"/>
        <color rgb="FF63BE7B"/>
      </colorScale>
    </cfRule>
  </conditionalFormatting>
  <conditionalFormatting sqref="F13:F20">
    <cfRule type="colorScale" priority="4638">
      <colorScale>
        <cfvo type="min"/>
        <cfvo type="percentile" val="50"/>
        <cfvo type="max"/>
        <color rgb="FFF8696B"/>
        <color rgb="FFFFEB84"/>
        <color rgb="FF63BE7B"/>
      </colorScale>
    </cfRule>
  </conditionalFormatting>
  <conditionalFormatting sqref="F13:F20">
    <cfRule type="colorScale" priority="4637">
      <colorScale>
        <cfvo type="min"/>
        <cfvo type="percentile" val="50"/>
        <cfvo type="max"/>
        <color rgb="FFF8696B"/>
        <color rgb="FFFFEB84"/>
        <color rgb="FF63BE7B"/>
      </colorScale>
    </cfRule>
  </conditionalFormatting>
  <conditionalFormatting sqref="F13:F20">
    <cfRule type="colorScale" priority="4636">
      <colorScale>
        <cfvo type="min"/>
        <cfvo type="percentile" val="50"/>
        <cfvo type="max"/>
        <color rgb="FFF8696B"/>
        <color rgb="FFFFEB84"/>
        <color rgb="FF63BE7B"/>
      </colorScale>
    </cfRule>
  </conditionalFormatting>
  <conditionalFormatting sqref="F13:F20">
    <cfRule type="colorScale" priority="4635">
      <colorScale>
        <cfvo type="min"/>
        <cfvo type="percentile" val="50"/>
        <cfvo type="max"/>
        <color rgb="FFF8696B"/>
        <color rgb="FFFFEB84"/>
        <color rgb="FF63BE7B"/>
      </colorScale>
    </cfRule>
  </conditionalFormatting>
  <conditionalFormatting sqref="F13:F20">
    <cfRule type="colorScale" priority="4634">
      <colorScale>
        <cfvo type="min"/>
        <cfvo type="percentile" val="50"/>
        <cfvo type="max"/>
        <color rgb="FFF8696B"/>
        <color rgb="FFFFEB84"/>
        <color rgb="FF63BE7B"/>
      </colorScale>
    </cfRule>
  </conditionalFormatting>
  <conditionalFormatting sqref="F13:F20">
    <cfRule type="colorScale" priority="4633">
      <colorScale>
        <cfvo type="min"/>
        <cfvo type="percentile" val="50"/>
        <cfvo type="max"/>
        <color rgb="FFF8696B"/>
        <color rgb="FFFFEB84"/>
        <color rgb="FF63BE7B"/>
      </colorScale>
    </cfRule>
  </conditionalFormatting>
  <conditionalFormatting sqref="F13:F20">
    <cfRule type="colorScale" priority="4632">
      <colorScale>
        <cfvo type="min"/>
        <cfvo type="percentile" val="50"/>
        <cfvo type="max"/>
        <color rgb="FFF8696B"/>
        <color rgb="FFFFEB84"/>
        <color rgb="FF63BE7B"/>
      </colorScale>
    </cfRule>
  </conditionalFormatting>
  <conditionalFormatting sqref="F13:F20">
    <cfRule type="colorScale" priority="4631">
      <colorScale>
        <cfvo type="min"/>
        <cfvo type="percentile" val="50"/>
        <cfvo type="max"/>
        <color rgb="FFF8696B"/>
        <color rgb="FFFFEB84"/>
        <color rgb="FF63BE7B"/>
      </colorScale>
    </cfRule>
  </conditionalFormatting>
  <conditionalFormatting sqref="F13:F20">
    <cfRule type="colorScale" priority="4630">
      <colorScale>
        <cfvo type="min"/>
        <cfvo type="percentile" val="50"/>
        <cfvo type="max"/>
        <color rgb="FFF8696B"/>
        <color rgb="FFFFEB84"/>
        <color rgb="FF63BE7B"/>
      </colorScale>
    </cfRule>
  </conditionalFormatting>
  <conditionalFormatting sqref="F13:F20">
    <cfRule type="colorScale" priority="4629">
      <colorScale>
        <cfvo type="min"/>
        <cfvo type="percentile" val="50"/>
        <cfvo type="max"/>
        <color rgb="FFF8696B"/>
        <color rgb="FFFFEB84"/>
        <color rgb="FF63BE7B"/>
      </colorScale>
    </cfRule>
  </conditionalFormatting>
  <conditionalFormatting sqref="F13:F20">
    <cfRule type="colorScale" priority="4628">
      <colorScale>
        <cfvo type="min"/>
        <cfvo type="percentile" val="50"/>
        <cfvo type="max"/>
        <color rgb="FFF8696B"/>
        <color rgb="FFFFEB84"/>
        <color rgb="FF63BE7B"/>
      </colorScale>
    </cfRule>
  </conditionalFormatting>
  <conditionalFormatting sqref="F13:F20">
    <cfRule type="colorScale" priority="4627">
      <colorScale>
        <cfvo type="min"/>
        <cfvo type="percentile" val="50"/>
        <cfvo type="max"/>
        <color rgb="FFF8696B"/>
        <color rgb="FFFFEB84"/>
        <color rgb="FF63BE7B"/>
      </colorScale>
    </cfRule>
  </conditionalFormatting>
  <conditionalFormatting sqref="F13:F20">
    <cfRule type="colorScale" priority="4626">
      <colorScale>
        <cfvo type="min"/>
        <cfvo type="percentile" val="50"/>
        <cfvo type="max"/>
        <color rgb="FFF8696B"/>
        <color rgb="FFFFEB84"/>
        <color rgb="FF63BE7B"/>
      </colorScale>
    </cfRule>
  </conditionalFormatting>
  <conditionalFormatting sqref="F13:F20">
    <cfRule type="colorScale" priority="4625">
      <colorScale>
        <cfvo type="min"/>
        <cfvo type="percentile" val="50"/>
        <cfvo type="max"/>
        <color rgb="FFF8696B"/>
        <color rgb="FFFFEB84"/>
        <color rgb="FF63BE7B"/>
      </colorScale>
    </cfRule>
  </conditionalFormatting>
  <conditionalFormatting sqref="F13:F20">
    <cfRule type="colorScale" priority="4624">
      <colorScale>
        <cfvo type="min"/>
        <cfvo type="percentile" val="50"/>
        <cfvo type="max"/>
        <color rgb="FFF8696B"/>
        <color rgb="FFFFEB84"/>
        <color rgb="FF63BE7B"/>
      </colorScale>
    </cfRule>
  </conditionalFormatting>
  <conditionalFormatting sqref="F13:F20">
    <cfRule type="colorScale" priority="4623">
      <colorScale>
        <cfvo type="min"/>
        <cfvo type="percentile" val="50"/>
        <cfvo type="max"/>
        <color rgb="FFF8696B"/>
        <color rgb="FFFFEB84"/>
        <color rgb="FF63BE7B"/>
      </colorScale>
    </cfRule>
  </conditionalFormatting>
  <conditionalFormatting sqref="F13:F20">
    <cfRule type="colorScale" priority="4622">
      <colorScale>
        <cfvo type="min"/>
        <cfvo type="percentile" val="50"/>
        <cfvo type="max"/>
        <color rgb="FFF8696B"/>
        <color rgb="FFFFEB84"/>
        <color rgb="FF63BE7B"/>
      </colorScale>
    </cfRule>
  </conditionalFormatting>
  <conditionalFormatting sqref="F13:F20">
    <cfRule type="colorScale" priority="4621">
      <colorScale>
        <cfvo type="min"/>
        <cfvo type="percentile" val="50"/>
        <cfvo type="max"/>
        <color rgb="FFF8696B"/>
        <color rgb="FFFFEB84"/>
        <color rgb="FF63BE7B"/>
      </colorScale>
    </cfRule>
  </conditionalFormatting>
  <conditionalFormatting sqref="F13:F20">
    <cfRule type="colorScale" priority="4620">
      <colorScale>
        <cfvo type="min"/>
        <cfvo type="percentile" val="50"/>
        <cfvo type="max"/>
        <color rgb="FFF8696B"/>
        <color rgb="FFFFEB84"/>
        <color rgb="FF63BE7B"/>
      </colorScale>
    </cfRule>
  </conditionalFormatting>
  <conditionalFormatting sqref="F13:F20">
    <cfRule type="colorScale" priority="4619">
      <colorScale>
        <cfvo type="min"/>
        <cfvo type="percentile" val="50"/>
        <cfvo type="max"/>
        <color rgb="FFF8696B"/>
        <color rgb="FFFFEB84"/>
        <color rgb="FF63BE7B"/>
      </colorScale>
    </cfRule>
  </conditionalFormatting>
  <conditionalFormatting sqref="F13:F20">
    <cfRule type="colorScale" priority="4618">
      <colorScale>
        <cfvo type="min"/>
        <cfvo type="percentile" val="50"/>
        <cfvo type="max"/>
        <color rgb="FFF8696B"/>
        <color rgb="FFFFEB84"/>
        <color rgb="FF63BE7B"/>
      </colorScale>
    </cfRule>
  </conditionalFormatting>
  <conditionalFormatting sqref="F13:F20">
    <cfRule type="colorScale" priority="4617">
      <colorScale>
        <cfvo type="min"/>
        <cfvo type="percentile" val="50"/>
        <cfvo type="max"/>
        <color rgb="FFF8696B"/>
        <color rgb="FFFFEB84"/>
        <color rgb="FF63BE7B"/>
      </colorScale>
    </cfRule>
  </conditionalFormatting>
  <conditionalFormatting sqref="F13:F20">
    <cfRule type="colorScale" priority="4616">
      <colorScale>
        <cfvo type="min"/>
        <cfvo type="percentile" val="50"/>
        <cfvo type="max"/>
        <color rgb="FFF8696B"/>
        <color rgb="FFFFEB84"/>
        <color rgb="FF63BE7B"/>
      </colorScale>
    </cfRule>
  </conditionalFormatting>
  <conditionalFormatting sqref="F13:F20">
    <cfRule type="colorScale" priority="4615">
      <colorScale>
        <cfvo type="min"/>
        <cfvo type="percentile" val="50"/>
        <cfvo type="max"/>
        <color rgb="FFF8696B"/>
        <color rgb="FFFFEB84"/>
        <color rgb="FF63BE7B"/>
      </colorScale>
    </cfRule>
  </conditionalFormatting>
  <conditionalFormatting sqref="F13:F20">
    <cfRule type="colorScale" priority="4614">
      <colorScale>
        <cfvo type="min"/>
        <cfvo type="percentile" val="50"/>
        <cfvo type="max"/>
        <color rgb="FFF8696B"/>
        <color rgb="FFFFEB84"/>
        <color rgb="FF63BE7B"/>
      </colorScale>
    </cfRule>
  </conditionalFormatting>
  <conditionalFormatting sqref="F13:F20">
    <cfRule type="colorScale" priority="4613">
      <colorScale>
        <cfvo type="min"/>
        <cfvo type="percentile" val="50"/>
        <cfvo type="max"/>
        <color rgb="FFF8696B"/>
        <color rgb="FFFFEB84"/>
        <color rgb="FF63BE7B"/>
      </colorScale>
    </cfRule>
  </conditionalFormatting>
  <conditionalFormatting sqref="F13:F20">
    <cfRule type="colorScale" priority="4612">
      <colorScale>
        <cfvo type="min"/>
        <cfvo type="percentile" val="50"/>
        <cfvo type="max"/>
        <color rgb="FFF8696B"/>
        <color rgb="FFFFEB84"/>
        <color rgb="FF63BE7B"/>
      </colorScale>
    </cfRule>
  </conditionalFormatting>
  <conditionalFormatting sqref="F13:F20">
    <cfRule type="colorScale" priority="4611">
      <colorScale>
        <cfvo type="min"/>
        <cfvo type="percentile" val="50"/>
        <cfvo type="max"/>
        <color rgb="FFF8696B"/>
        <color rgb="FFFFEB84"/>
        <color rgb="FF63BE7B"/>
      </colorScale>
    </cfRule>
  </conditionalFormatting>
  <conditionalFormatting sqref="F13:F20">
    <cfRule type="colorScale" priority="4610">
      <colorScale>
        <cfvo type="min"/>
        <cfvo type="percentile" val="50"/>
        <cfvo type="max"/>
        <color rgb="FFF8696B"/>
        <color rgb="FFFFEB84"/>
        <color rgb="FF63BE7B"/>
      </colorScale>
    </cfRule>
  </conditionalFormatting>
  <conditionalFormatting sqref="F13:F20">
    <cfRule type="colorScale" priority="4609">
      <colorScale>
        <cfvo type="min"/>
        <cfvo type="percentile" val="50"/>
        <cfvo type="max"/>
        <color rgb="FFF8696B"/>
        <color rgb="FFFFEB84"/>
        <color rgb="FF63BE7B"/>
      </colorScale>
    </cfRule>
  </conditionalFormatting>
  <conditionalFormatting sqref="F13:F20">
    <cfRule type="colorScale" priority="4608">
      <colorScale>
        <cfvo type="min"/>
        <cfvo type="percentile" val="50"/>
        <cfvo type="max"/>
        <color rgb="FFF8696B"/>
        <color rgb="FFFFEB84"/>
        <color rgb="FF63BE7B"/>
      </colorScale>
    </cfRule>
  </conditionalFormatting>
  <conditionalFormatting sqref="F13:F20">
    <cfRule type="colorScale" priority="4607">
      <colorScale>
        <cfvo type="min"/>
        <cfvo type="percentile" val="50"/>
        <cfvo type="max"/>
        <color rgb="FFF8696B"/>
        <color rgb="FFFFEB84"/>
        <color rgb="FF63BE7B"/>
      </colorScale>
    </cfRule>
  </conditionalFormatting>
  <conditionalFormatting sqref="F13:F20">
    <cfRule type="colorScale" priority="4606">
      <colorScale>
        <cfvo type="min"/>
        <cfvo type="percentile" val="50"/>
        <cfvo type="max"/>
        <color rgb="FFF8696B"/>
        <color rgb="FFFFEB84"/>
        <color rgb="FF63BE7B"/>
      </colorScale>
    </cfRule>
  </conditionalFormatting>
  <conditionalFormatting sqref="F13:F20">
    <cfRule type="colorScale" priority="4605">
      <colorScale>
        <cfvo type="min"/>
        <cfvo type="percentile" val="50"/>
        <cfvo type="max"/>
        <color rgb="FFF8696B"/>
        <color rgb="FFFFEB84"/>
        <color rgb="FF63BE7B"/>
      </colorScale>
    </cfRule>
  </conditionalFormatting>
  <conditionalFormatting sqref="F13:F20">
    <cfRule type="colorScale" priority="4604">
      <colorScale>
        <cfvo type="min"/>
        <cfvo type="percentile" val="50"/>
        <cfvo type="max"/>
        <color rgb="FFF8696B"/>
        <color rgb="FFFFEB84"/>
        <color rgb="FF63BE7B"/>
      </colorScale>
    </cfRule>
  </conditionalFormatting>
  <conditionalFormatting sqref="F13:F20">
    <cfRule type="colorScale" priority="4603">
      <colorScale>
        <cfvo type="min"/>
        <cfvo type="percentile" val="50"/>
        <cfvo type="max"/>
        <color rgb="FFF8696B"/>
        <color rgb="FFFFEB84"/>
        <color rgb="FF63BE7B"/>
      </colorScale>
    </cfRule>
  </conditionalFormatting>
  <conditionalFormatting sqref="F13:F20">
    <cfRule type="colorScale" priority="4602">
      <colorScale>
        <cfvo type="min"/>
        <cfvo type="percentile" val="50"/>
        <cfvo type="max"/>
        <color rgb="FFF8696B"/>
        <color rgb="FFFFEB84"/>
        <color rgb="FF63BE7B"/>
      </colorScale>
    </cfRule>
  </conditionalFormatting>
  <conditionalFormatting sqref="F13:F20">
    <cfRule type="colorScale" priority="4601">
      <colorScale>
        <cfvo type="min"/>
        <cfvo type="percentile" val="50"/>
        <cfvo type="max"/>
        <color rgb="FFF8696B"/>
        <color rgb="FFFFEB84"/>
        <color rgb="FF63BE7B"/>
      </colorScale>
    </cfRule>
  </conditionalFormatting>
  <conditionalFormatting sqref="F13:F20">
    <cfRule type="colorScale" priority="4600">
      <colorScale>
        <cfvo type="min"/>
        <cfvo type="percentile" val="50"/>
        <cfvo type="max"/>
        <color rgb="FFF8696B"/>
        <color rgb="FFFFEB84"/>
        <color rgb="FF63BE7B"/>
      </colorScale>
    </cfRule>
  </conditionalFormatting>
  <conditionalFormatting sqref="F13:F20">
    <cfRule type="colorScale" priority="4599">
      <colorScale>
        <cfvo type="min"/>
        <cfvo type="percentile" val="50"/>
        <cfvo type="max"/>
        <color rgb="FFF8696B"/>
        <color rgb="FFFFEB84"/>
        <color rgb="FF63BE7B"/>
      </colorScale>
    </cfRule>
  </conditionalFormatting>
  <conditionalFormatting sqref="F13:F20">
    <cfRule type="colorScale" priority="4598">
      <colorScale>
        <cfvo type="min"/>
        <cfvo type="percentile" val="50"/>
        <cfvo type="max"/>
        <color rgb="FFF8696B"/>
        <color rgb="FFFFEB84"/>
        <color rgb="FF63BE7B"/>
      </colorScale>
    </cfRule>
  </conditionalFormatting>
  <conditionalFormatting sqref="F13:F20">
    <cfRule type="colorScale" priority="4597">
      <colorScale>
        <cfvo type="min"/>
        <cfvo type="percentile" val="50"/>
        <cfvo type="max"/>
        <color rgb="FFF8696B"/>
        <color rgb="FFFFEB84"/>
        <color rgb="FF63BE7B"/>
      </colorScale>
    </cfRule>
  </conditionalFormatting>
  <conditionalFormatting sqref="F13:F20">
    <cfRule type="colorScale" priority="4596">
      <colorScale>
        <cfvo type="min"/>
        <cfvo type="percentile" val="50"/>
        <cfvo type="max"/>
        <color rgb="FFF8696B"/>
        <color rgb="FFFFEB84"/>
        <color rgb="FF63BE7B"/>
      </colorScale>
    </cfRule>
  </conditionalFormatting>
  <conditionalFormatting sqref="F13:F20">
    <cfRule type="colorScale" priority="4595">
      <colorScale>
        <cfvo type="min"/>
        <cfvo type="percentile" val="50"/>
        <cfvo type="max"/>
        <color rgb="FFF8696B"/>
        <color rgb="FFFFEB84"/>
        <color rgb="FF63BE7B"/>
      </colorScale>
    </cfRule>
  </conditionalFormatting>
  <conditionalFormatting sqref="F13:F20">
    <cfRule type="colorScale" priority="4594">
      <colorScale>
        <cfvo type="min"/>
        <cfvo type="percentile" val="50"/>
        <cfvo type="max"/>
        <color rgb="FFF8696B"/>
        <color rgb="FFFFEB84"/>
        <color rgb="FF63BE7B"/>
      </colorScale>
    </cfRule>
  </conditionalFormatting>
  <conditionalFormatting sqref="F13:F20">
    <cfRule type="colorScale" priority="4593">
      <colorScale>
        <cfvo type="min"/>
        <cfvo type="percentile" val="50"/>
        <cfvo type="max"/>
        <color rgb="FFF8696B"/>
        <color rgb="FFFFEB84"/>
        <color rgb="FF63BE7B"/>
      </colorScale>
    </cfRule>
  </conditionalFormatting>
  <conditionalFormatting sqref="F13:F20">
    <cfRule type="colorScale" priority="4592">
      <colorScale>
        <cfvo type="min"/>
        <cfvo type="percentile" val="50"/>
        <cfvo type="max"/>
        <color rgb="FFF8696B"/>
        <color rgb="FFFFEB84"/>
        <color rgb="FF63BE7B"/>
      </colorScale>
    </cfRule>
  </conditionalFormatting>
  <conditionalFormatting sqref="F13:F20">
    <cfRule type="colorScale" priority="4591">
      <colorScale>
        <cfvo type="min"/>
        <cfvo type="percentile" val="50"/>
        <cfvo type="max"/>
        <color rgb="FFF8696B"/>
        <color rgb="FFFFEB84"/>
        <color rgb="FF63BE7B"/>
      </colorScale>
    </cfRule>
  </conditionalFormatting>
  <conditionalFormatting sqref="F13:F20">
    <cfRule type="colorScale" priority="4590">
      <colorScale>
        <cfvo type="min"/>
        <cfvo type="percentile" val="50"/>
        <cfvo type="max"/>
        <color rgb="FFF8696B"/>
        <color rgb="FFFFEB84"/>
        <color rgb="FF63BE7B"/>
      </colorScale>
    </cfRule>
  </conditionalFormatting>
  <conditionalFormatting sqref="F13:F20">
    <cfRule type="colorScale" priority="4589">
      <colorScale>
        <cfvo type="min"/>
        <cfvo type="percentile" val="50"/>
        <cfvo type="max"/>
        <color rgb="FFF8696B"/>
        <color rgb="FFFFEB84"/>
        <color rgb="FF63BE7B"/>
      </colorScale>
    </cfRule>
  </conditionalFormatting>
  <conditionalFormatting sqref="F13:F20">
    <cfRule type="colorScale" priority="4588">
      <colorScale>
        <cfvo type="min"/>
        <cfvo type="percentile" val="50"/>
        <cfvo type="max"/>
        <color rgb="FFF8696B"/>
        <color rgb="FFFFEB84"/>
        <color rgb="FF63BE7B"/>
      </colorScale>
    </cfRule>
  </conditionalFormatting>
  <conditionalFormatting sqref="F13:F20">
    <cfRule type="colorScale" priority="4587">
      <colorScale>
        <cfvo type="min"/>
        <cfvo type="percentile" val="50"/>
        <cfvo type="max"/>
        <color rgb="FFF8696B"/>
        <color rgb="FFFFEB84"/>
        <color rgb="FF63BE7B"/>
      </colorScale>
    </cfRule>
  </conditionalFormatting>
  <conditionalFormatting sqref="F13:F20">
    <cfRule type="colorScale" priority="4586">
      <colorScale>
        <cfvo type="min"/>
        <cfvo type="percentile" val="50"/>
        <cfvo type="max"/>
        <color rgb="FFF8696B"/>
        <color rgb="FFFFEB84"/>
        <color rgb="FF63BE7B"/>
      </colorScale>
    </cfRule>
  </conditionalFormatting>
  <conditionalFormatting sqref="F13:F20">
    <cfRule type="colorScale" priority="4585">
      <colorScale>
        <cfvo type="min"/>
        <cfvo type="percentile" val="50"/>
        <cfvo type="max"/>
        <color rgb="FFF8696B"/>
        <color rgb="FFFFEB84"/>
        <color rgb="FF63BE7B"/>
      </colorScale>
    </cfRule>
  </conditionalFormatting>
  <conditionalFormatting sqref="F13:F20">
    <cfRule type="colorScale" priority="4584">
      <colorScale>
        <cfvo type="min"/>
        <cfvo type="percentile" val="50"/>
        <cfvo type="max"/>
        <color rgb="FFF8696B"/>
        <color rgb="FFFFEB84"/>
        <color rgb="FF63BE7B"/>
      </colorScale>
    </cfRule>
  </conditionalFormatting>
  <conditionalFormatting sqref="F13:F20">
    <cfRule type="colorScale" priority="4583">
      <colorScale>
        <cfvo type="min"/>
        <cfvo type="percentile" val="50"/>
        <cfvo type="max"/>
        <color rgb="FFF8696B"/>
        <color rgb="FFFFEB84"/>
        <color rgb="FF63BE7B"/>
      </colorScale>
    </cfRule>
  </conditionalFormatting>
  <conditionalFormatting sqref="F13:F20">
    <cfRule type="colorScale" priority="4582">
      <colorScale>
        <cfvo type="min"/>
        <cfvo type="percentile" val="50"/>
        <cfvo type="max"/>
        <color rgb="FFF8696B"/>
        <color rgb="FFFFEB84"/>
        <color rgb="FF63BE7B"/>
      </colorScale>
    </cfRule>
  </conditionalFormatting>
  <conditionalFormatting sqref="F13:F20">
    <cfRule type="colorScale" priority="4581">
      <colorScale>
        <cfvo type="min"/>
        <cfvo type="percentile" val="50"/>
        <cfvo type="max"/>
        <color rgb="FFF8696B"/>
        <color rgb="FFFFEB84"/>
        <color rgb="FF63BE7B"/>
      </colorScale>
    </cfRule>
  </conditionalFormatting>
  <conditionalFormatting sqref="F13:F20">
    <cfRule type="colorScale" priority="4580">
      <colorScale>
        <cfvo type="min"/>
        <cfvo type="percentile" val="50"/>
        <cfvo type="max"/>
        <color rgb="FFF8696B"/>
        <color rgb="FFFFEB84"/>
        <color rgb="FF63BE7B"/>
      </colorScale>
    </cfRule>
  </conditionalFormatting>
  <conditionalFormatting sqref="F13:F20">
    <cfRule type="colorScale" priority="4579">
      <colorScale>
        <cfvo type="min"/>
        <cfvo type="percentile" val="50"/>
        <cfvo type="max"/>
        <color rgb="FFF8696B"/>
        <color rgb="FFFFEB84"/>
        <color rgb="FF63BE7B"/>
      </colorScale>
    </cfRule>
  </conditionalFormatting>
  <conditionalFormatting sqref="F13:F20">
    <cfRule type="colorScale" priority="4578">
      <colorScale>
        <cfvo type="min"/>
        <cfvo type="percentile" val="50"/>
        <cfvo type="max"/>
        <color rgb="FFF8696B"/>
        <color rgb="FFFFEB84"/>
        <color rgb="FF63BE7B"/>
      </colorScale>
    </cfRule>
  </conditionalFormatting>
  <conditionalFormatting sqref="F13:F20">
    <cfRule type="colorScale" priority="4577">
      <colorScale>
        <cfvo type="min"/>
        <cfvo type="percentile" val="50"/>
        <cfvo type="max"/>
        <color rgb="FFF8696B"/>
        <color rgb="FFFFEB84"/>
        <color rgb="FF63BE7B"/>
      </colorScale>
    </cfRule>
  </conditionalFormatting>
  <conditionalFormatting sqref="F13:F20">
    <cfRule type="colorScale" priority="4576">
      <colorScale>
        <cfvo type="min"/>
        <cfvo type="percentile" val="50"/>
        <cfvo type="max"/>
        <color rgb="FFF8696B"/>
        <color rgb="FFFFEB84"/>
        <color rgb="FF63BE7B"/>
      </colorScale>
    </cfRule>
  </conditionalFormatting>
  <conditionalFormatting sqref="F13:F20">
    <cfRule type="colorScale" priority="4575">
      <colorScale>
        <cfvo type="min"/>
        <cfvo type="percentile" val="50"/>
        <cfvo type="max"/>
        <color rgb="FFF8696B"/>
        <color rgb="FFFFEB84"/>
        <color rgb="FF63BE7B"/>
      </colorScale>
    </cfRule>
  </conditionalFormatting>
  <conditionalFormatting sqref="F13:F20">
    <cfRule type="colorScale" priority="4574">
      <colorScale>
        <cfvo type="min"/>
        <cfvo type="percentile" val="50"/>
        <cfvo type="max"/>
        <color rgb="FFF8696B"/>
        <color rgb="FFFFEB84"/>
        <color rgb="FF63BE7B"/>
      </colorScale>
    </cfRule>
  </conditionalFormatting>
  <conditionalFormatting sqref="F13:F20">
    <cfRule type="colorScale" priority="4573">
      <colorScale>
        <cfvo type="min"/>
        <cfvo type="percentile" val="50"/>
        <cfvo type="max"/>
        <color rgb="FFF8696B"/>
        <color rgb="FFFFEB84"/>
        <color rgb="FF63BE7B"/>
      </colorScale>
    </cfRule>
  </conditionalFormatting>
  <conditionalFormatting sqref="F13:F20">
    <cfRule type="colorScale" priority="4572">
      <colorScale>
        <cfvo type="min"/>
        <cfvo type="percentile" val="50"/>
        <cfvo type="max"/>
        <color rgb="FFF8696B"/>
        <color rgb="FFFFEB84"/>
        <color rgb="FF63BE7B"/>
      </colorScale>
    </cfRule>
  </conditionalFormatting>
  <conditionalFormatting sqref="F13:F20">
    <cfRule type="colorScale" priority="4571">
      <colorScale>
        <cfvo type="min"/>
        <cfvo type="percentile" val="50"/>
        <cfvo type="max"/>
        <color rgb="FFF8696B"/>
        <color rgb="FFFFEB84"/>
        <color rgb="FF63BE7B"/>
      </colorScale>
    </cfRule>
  </conditionalFormatting>
  <conditionalFormatting sqref="F13:F20">
    <cfRule type="colorScale" priority="4570">
      <colorScale>
        <cfvo type="min"/>
        <cfvo type="percentile" val="50"/>
        <cfvo type="max"/>
        <color rgb="FFF8696B"/>
        <color rgb="FFFFEB84"/>
        <color rgb="FF63BE7B"/>
      </colorScale>
    </cfRule>
  </conditionalFormatting>
  <conditionalFormatting sqref="F13:F20">
    <cfRule type="colorScale" priority="4569">
      <colorScale>
        <cfvo type="min"/>
        <cfvo type="percentile" val="50"/>
        <cfvo type="max"/>
        <color rgb="FFF8696B"/>
        <color rgb="FFFFEB84"/>
        <color rgb="FF63BE7B"/>
      </colorScale>
    </cfRule>
  </conditionalFormatting>
  <conditionalFormatting sqref="F13:F20">
    <cfRule type="colorScale" priority="4568">
      <colorScale>
        <cfvo type="min"/>
        <cfvo type="percentile" val="50"/>
        <cfvo type="max"/>
        <color rgb="FFF8696B"/>
        <color rgb="FFFFEB84"/>
        <color rgb="FF63BE7B"/>
      </colorScale>
    </cfRule>
  </conditionalFormatting>
  <conditionalFormatting sqref="F13:F20">
    <cfRule type="colorScale" priority="4567">
      <colorScale>
        <cfvo type="min"/>
        <cfvo type="percentile" val="50"/>
        <cfvo type="max"/>
        <color rgb="FFF8696B"/>
        <color rgb="FFFFEB84"/>
        <color rgb="FF63BE7B"/>
      </colorScale>
    </cfRule>
  </conditionalFormatting>
  <conditionalFormatting sqref="F13:F20">
    <cfRule type="colorScale" priority="4566">
      <colorScale>
        <cfvo type="min"/>
        <cfvo type="percentile" val="50"/>
        <cfvo type="max"/>
        <color rgb="FFF8696B"/>
        <color rgb="FFFFEB84"/>
        <color rgb="FF63BE7B"/>
      </colorScale>
    </cfRule>
  </conditionalFormatting>
  <conditionalFormatting sqref="F13:F20">
    <cfRule type="colorScale" priority="4565">
      <colorScale>
        <cfvo type="min"/>
        <cfvo type="percentile" val="50"/>
        <cfvo type="max"/>
        <color rgb="FFF8696B"/>
        <color rgb="FFFFEB84"/>
        <color rgb="FF63BE7B"/>
      </colorScale>
    </cfRule>
  </conditionalFormatting>
  <conditionalFormatting sqref="F13:F20">
    <cfRule type="colorScale" priority="4564">
      <colorScale>
        <cfvo type="min"/>
        <cfvo type="percentile" val="50"/>
        <cfvo type="max"/>
        <color rgb="FFF8696B"/>
        <color rgb="FFFFEB84"/>
        <color rgb="FF63BE7B"/>
      </colorScale>
    </cfRule>
  </conditionalFormatting>
  <conditionalFormatting sqref="F13:F20">
    <cfRule type="colorScale" priority="4563">
      <colorScale>
        <cfvo type="min"/>
        <cfvo type="percentile" val="50"/>
        <cfvo type="max"/>
        <color rgb="FFF8696B"/>
        <color rgb="FFFFEB84"/>
        <color rgb="FF63BE7B"/>
      </colorScale>
    </cfRule>
  </conditionalFormatting>
  <conditionalFormatting sqref="F13:F20">
    <cfRule type="colorScale" priority="4562">
      <colorScale>
        <cfvo type="min"/>
        <cfvo type="percentile" val="50"/>
        <cfvo type="max"/>
        <color rgb="FFF8696B"/>
        <color rgb="FFFFEB84"/>
        <color rgb="FF63BE7B"/>
      </colorScale>
    </cfRule>
  </conditionalFormatting>
  <conditionalFormatting sqref="F13:F20">
    <cfRule type="colorScale" priority="4561">
      <colorScale>
        <cfvo type="min"/>
        <cfvo type="percentile" val="50"/>
        <cfvo type="max"/>
        <color rgb="FFF8696B"/>
        <color rgb="FFFFEB84"/>
        <color rgb="FF63BE7B"/>
      </colorScale>
    </cfRule>
  </conditionalFormatting>
  <conditionalFormatting sqref="F13:F20">
    <cfRule type="colorScale" priority="4560">
      <colorScale>
        <cfvo type="min"/>
        <cfvo type="percentile" val="50"/>
        <cfvo type="max"/>
        <color rgb="FFF8696B"/>
        <color rgb="FFFFEB84"/>
        <color rgb="FF63BE7B"/>
      </colorScale>
    </cfRule>
  </conditionalFormatting>
  <conditionalFormatting sqref="F13:F20">
    <cfRule type="colorScale" priority="4559">
      <colorScale>
        <cfvo type="min"/>
        <cfvo type="percentile" val="50"/>
        <cfvo type="max"/>
        <color rgb="FFF8696B"/>
        <color rgb="FFFFEB84"/>
        <color rgb="FF63BE7B"/>
      </colorScale>
    </cfRule>
  </conditionalFormatting>
  <conditionalFormatting sqref="F13:F20">
    <cfRule type="colorScale" priority="4558">
      <colorScale>
        <cfvo type="min"/>
        <cfvo type="percentile" val="50"/>
        <cfvo type="max"/>
        <color rgb="FFF8696B"/>
        <color rgb="FFFFEB84"/>
        <color rgb="FF63BE7B"/>
      </colorScale>
    </cfRule>
  </conditionalFormatting>
  <conditionalFormatting sqref="F13:F20">
    <cfRule type="colorScale" priority="4557">
      <colorScale>
        <cfvo type="min"/>
        <cfvo type="percentile" val="50"/>
        <cfvo type="max"/>
        <color rgb="FFF8696B"/>
        <color rgb="FFFFEB84"/>
        <color rgb="FF63BE7B"/>
      </colorScale>
    </cfRule>
  </conditionalFormatting>
  <conditionalFormatting sqref="F13:F20">
    <cfRule type="colorScale" priority="4556">
      <colorScale>
        <cfvo type="min"/>
        <cfvo type="percentile" val="50"/>
        <cfvo type="max"/>
        <color rgb="FFF8696B"/>
        <color rgb="FFFFEB84"/>
        <color rgb="FF63BE7B"/>
      </colorScale>
    </cfRule>
  </conditionalFormatting>
  <conditionalFormatting sqref="F13:F20">
    <cfRule type="colorScale" priority="4555">
      <colorScale>
        <cfvo type="min"/>
        <cfvo type="percentile" val="50"/>
        <cfvo type="max"/>
        <color rgb="FFF8696B"/>
        <color rgb="FFFFEB84"/>
        <color rgb="FF63BE7B"/>
      </colorScale>
    </cfRule>
  </conditionalFormatting>
  <conditionalFormatting sqref="F13:F20">
    <cfRule type="colorScale" priority="4554">
      <colorScale>
        <cfvo type="min"/>
        <cfvo type="percentile" val="50"/>
        <cfvo type="max"/>
        <color rgb="FFF8696B"/>
        <color rgb="FFFFEB84"/>
        <color rgb="FF63BE7B"/>
      </colorScale>
    </cfRule>
  </conditionalFormatting>
  <conditionalFormatting sqref="F13:F20">
    <cfRule type="colorScale" priority="4553">
      <colorScale>
        <cfvo type="min"/>
        <cfvo type="percentile" val="50"/>
        <cfvo type="max"/>
        <color rgb="FFF8696B"/>
        <color rgb="FFFFEB84"/>
        <color rgb="FF63BE7B"/>
      </colorScale>
    </cfRule>
  </conditionalFormatting>
  <conditionalFormatting sqref="F13:F20">
    <cfRule type="colorScale" priority="4552">
      <colorScale>
        <cfvo type="min"/>
        <cfvo type="percentile" val="50"/>
        <cfvo type="max"/>
        <color rgb="FFF8696B"/>
        <color rgb="FFFFEB84"/>
        <color rgb="FF63BE7B"/>
      </colorScale>
    </cfRule>
  </conditionalFormatting>
  <conditionalFormatting sqref="F13:F20">
    <cfRule type="colorScale" priority="4551">
      <colorScale>
        <cfvo type="min"/>
        <cfvo type="percentile" val="50"/>
        <cfvo type="max"/>
        <color rgb="FFF8696B"/>
        <color rgb="FFFFEB84"/>
        <color rgb="FF63BE7B"/>
      </colorScale>
    </cfRule>
  </conditionalFormatting>
  <conditionalFormatting sqref="F21:F28">
    <cfRule type="colorScale" priority="4550">
      <colorScale>
        <cfvo type="min"/>
        <cfvo type="percentile" val="50"/>
        <cfvo type="max"/>
        <color rgb="FFF8696B"/>
        <color rgb="FFFFEB84"/>
        <color rgb="FF63BE7B"/>
      </colorScale>
    </cfRule>
  </conditionalFormatting>
  <conditionalFormatting sqref="F21:F28">
    <cfRule type="colorScale" priority="4549">
      <colorScale>
        <cfvo type="min"/>
        <cfvo type="percentile" val="50"/>
        <cfvo type="max"/>
        <color rgb="FFF8696B"/>
        <color rgb="FFFFEB84"/>
        <color rgb="FF63BE7B"/>
      </colorScale>
    </cfRule>
  </conditionalFormatting>
  <conditionalFormatting sqref="F21:F28">
    <cfRule type="colorScale" priority="4548">
      <colorScale>
        <cfvo type="min"/>
        <cfvo type="percentile" val="50"/>
        <cfvo type="max"/>
        <color rgb="FFF8696B"/>
        <color rgb="FFFFEB84"/>
        <color rgb="FF63BE7B"/>
      </colorScale>
    </cfRule>
  </conditionalFormatting>
  <conditionalFormatting sqref="F21:F28">
    <cfRule type="colorScale" priority="4547">
      <colorScale>
        <cfvo type="min"/>
        <cfvo type="percentile" val="50"/>
        <cfvo type="max"/>
        <color rgb="FFF8696B"/>
        <color rgb="FFFFEB84"/>
        <color rgb="FF63BE7B"/>
      </colorScale>
    </cfRule>
  </conditionalFormatting>
  <conditionalFormatting sqref="F21:F28">
    <cfRule type="colorScale" priority="4546">
      <colorScale>
        <cfvo type="min"/>
        <cfvo type="percentile" val="50"/>
        <cfvo type="max"/>
        <color rgb="FFF8696B"/>
        <color rgb="FFFFEB84"/>
        <color rgb="FF63BE7B"/>
      </colorScale>
    </cfRule>
  </conditionalFormatting>
  <conditionalFormatting sqref="F21:F28">
    <cfRule type="colorScale" priority="4545">
      <colorScale>
        <cfvo type="min"/>
        <cfvo type="percentile" val="50"/>
        <cfvo type="max"/>
        <color rgb="FFF8696B"/>
        <color rgb="FFFFEB84"/>
        <color rgb="FF63BE7B"/>
      </colorScale>
    </cfRule>
  </conditionalFormatting>
  <conditionalFormatting sqref="F21:F28">
    <cfRule type="colorScale" priority="4544">
      <colorScale>
        <cfvo type="min"/>
        <cfvo type="percentile" val="50"/>
        <cfvo type="max"/>
        <color rgb="FFF8696B"/>
        <color rgb="FFFFEB84"/>
        <color rgb="FF63BE7B"/>
      </colorScale>
    </cfRule>
  </conditionalFormatting>
  <conditionalFormatting sqref="F21:F28">
    <cfRule type="colorScale" priority="4543">
      <colorScale>
        <cfvo type="min"/>
        <cfvo type="percentile" val="50"/>
        <cfvo type="max"/>
        <color rgb="FFF8696B"/>
        <color rgb="FFFFEB84"/>
        <color rgb="FF63BE7B"/>
      </colorScale>
    </cfRule>
  </conditionalFormatting>
  <conditionalFormatting sqref="F21:F28">
    <cfRule type="colorScale" priority="4542">
      <colorScale>
        <cfvo type="min"/>
        <cfvo type="percentile" val="50"/>
        <cfvo type="max"/>
        <color rgb="FFF8696B"/>
        <color rgb="FFFFEB84"/>
        <color rgb="FF63BE7B"/>
      </colorScale>
    </cfRule>
  </conditionalFormatting>
  <conditionalFormatting sqref="F21:F28">
    <cfRule type="colorScale" priority="4541">
      <colorScale>
        <cfvo type="min"/>
        <cfvo type="percentile" val="50"/>
        <cfvo type="max"/>
        <color rgb="FFF8696B"/>
        <color rgb="FFFFEB84"/>
        <color rgb="FF63BE7B"/>
      </colorScale>
    </cfRule>
  </conditionalFormatting>
  <conditionalFormatting sqref="F21:F28">
    <cfRule type="colorScale" priority="4540">
      <colorScale>
        <cfvo type="min"/>
        <cfvo type="percentile" val="50"/>
        <cfvo type="max"/>
        <color rgb="FFF8696B"/>
        <color rgb="FFFFEB84"/>
        <color rgb="FF63BE7B"/>
      </colorScale>
    </cfRule>
  </conditionalFormatting>
  <conditionalFormatting sqref="F21:F28">
    <cfRule type="colorScale" priority="4539">
      <colorScale>
        <cfvo type="min"/>
        <cfvo type="percentile" val="50"/>
        <cfvo type="max"/>
        <color rgb="FFF8696B"/>
        <color rgb="FFFFEB84"/>
        <color rgb="FF63BE7B"/>
      </colorScale>
    </cfRule>
  </conditionalFormatting>
  <conditionalFormatting sqref="F21:F28">
    <cfRule type="colorScale" priority="4538">
      <colorScale>
        <cfvo type="min"/>
        <cfvo type="percentile" val="50"/>
        <cfvo type="max"/>
        <color rgb="FFF8696B"/>
        <color rgb="FFFFEB84"/>
        <color rgb="FF63BE7B"/>
      </colorScale>
    </cfRule>
  </conditionalFormatting>
  <conditionalFormatting sqref="F21:F28">
    <cfRule type="colorScale" priority="4537">
      <colorScale>
        <cfvo type="min"/>
        <cfvo type="percentile" val="50"/>
        <cfvo type="max"/>
        <color rgb="FFF8696B"/>
        <color rgb="FFFFEB84"/>
        <color rgb="FF63BE7B"/>
      </colorScale>
    </cfRule>
  </conditionalFormatting>
  <conditionalFormatting sqref="F21:F28">
    <cfRule type="colorScale" priority="4536">
      <colorScale>
        <cfvo type="min"/>
        <cfvo type="percentile" val="50"/>
        <cfvo type="max"/>
        <color rgb="FFF8696B"/>
        <color rgb="FFFFEB84"/>
        <color rgb="FF63BE7B"/>
      </colorScale>
    </cfRule>
  </conditionalFormatting>
  <conditionalFormatting sqref="F21:F28">
    <cfRule type="colorScale" priority="4535">
      <colorScale>
        <cfvo type="min"/>
        <cfvo type="percentile" val="50"/>
        <cfvo type="max"/>
        <color rgb="FFF8696B"/>
        <color rgb="FFFFEB84"/>
        <color rgb="FF63BE7B"/>
      </colorScale>
    </cfRule>
  </conditionalFormatting>
  <conditionalFormatting sqref="F21:F28">
    <cfRule type="colorScale" priority="4534">
      <colorScale>
        <cfvo type="min"/>
        <cfvo type="percentile" val="50"/>
        <cfvo type="max"/>
        <color rgb="FFF8696B"/>
        <color rgb="FFFFEB84"/>
        <color rgb="FF63BE7B"/>
      </colorScale>
    </cfRule>
  </conditionalFormatting>
  <conditionalFormatting sqref="F21:F28">
    <cfRule type="colorScale" priority="4533">
      <colorScale>
        <cfvo type="min"/>
        <cfvo type="percentile" val="50"/>
        <cfvo type="max"/>
        <color rgb="FFF8696B"/>
        <color rgb="FFFFEB84"/>
        <color rgb="FF63BE7B"/>
      </colorScale>
    </cfRule>
  </conditionalFormatting>
  <conditionalFormatting sqref="F21:F28">
    <cfRule type="colorScale" priority="4532">
      <colorScale>
        <cfvo type="min"/>
        <cfvo type="percentile" val="50"/>
        <cfvo type="max"/>
        <color rgb="FFF8696B"/>
        <color rgb="FFFFEB84"/>
        <color rgb="FF63BE7B"/>
      </colorScale>
    </cfRule>
  </conditionalFormatting>
  <conditionalFormatting sqref="F21:F28">
    <cfRule type="colorScale" priority="4531">
      <colorScale>
        <cfvo type="min"/>
        <cfvo type="percentile" val="50"/>
        <cfvo type="max"/>
        <color rgb="FFF8696B"/>
        <color rgb="FFFFEB84"/>
        <color rgb="FF63BE7B"/>
      </colorScale>
    </cfRule>
  </conditionalFormatting>
  <conditionalFormatting sqref="F21:F28">
    <cfRule type="colorScale" priority="4530">
      <colorScale>
        <cfvo type="min"/>
        <cfvo type="percentile" val="50"/>
        <cfvo type="max"/>
        <color rgb="FFF8696B"/>
        <color rgb="FFFFEB84"/>
        <color rgb="FF63BE7B"/>
      </colorScale>
    </cfRule>
  </conditionalFormatting>
  <conditionalFormatting sqref="F21:F28">
    <cfRule type="colorScale" priority="4529">
      <colorScale>
        <cfvo type="min"/>
        <cfvo type="percentile" val="50"/>
        <cfvo type="max"/>
        <color rgb="FFF8696B"/>
        <color rgb="FFFFEB84"/>
        <color rgb="FF63BE7B"/>
      </colorScale>
    </cfRule>
  </conditionalFormatting>
  <conditionalFormatting sqref="F21:F28">
    <cfRule type="colorScale" priority="4528">
      <colorScale>
        <cfvo type="min"/>
        <cfvo type="percentile" val="50"/>
        <cfvo type="max"/>
        <color rgb="FFF8696B"/>
        <color rgb="FFFFEB84"/>
        <color rgb="FF63BE7B"/>
      </colorScale>
    </cfRule>
  </conditionalFormatting>
  <conditionalFormatting sqref="F21:F28">
    <cfRule type="colorScale" priority="4527">
      <colorScale>
        <cfvo type="min"/>
        <cfvo type="percentile" val="50"/>
        <cfvo type="max"/>
        <color rgb="FFF8696B"/>
        <color rgb="FFFFEB84"/>
        <color rgb="FF63BE7B"/>
      </colorScale>
    </cfRule>
  </conditionalFormatting>
  <conditionalFormatting sqref="F21:F28">
    <cfRule type="colorScale" priority="4526">
      <colorScale>
        <cfvo type="min"/>
        <cfvo type="percentile" val="50"/>
        <cfvo type="max"/>
        <color rgb="FFF8696B"/>
        <color rgb="FFFFEB84"/>
        <color rgb="FF63BE7B"/>
      </colorScale>
    </cfRule>
  </conditionalFormatting>
  <conditionalFormatting sqref="F21:F28">
    <cfRule type="colorScale" priority="4525">
      <colorScale>
        <cfvo type="min"/>
        <cfvo type="percentile" val="50"/>
        <cfvo type="max"/>
        <color rgb="FFF8696B"/>
        <color rgb="FFFFEB84"/>
        <color rgb="FF63BE7B"/>
      </colorScale>
    </cfRule>
  </conditionalFormatting>
  <conditionalFormatting sqref="F21:F28">
    <cfRule type="colorScale" priority="4524">
      <colorScale>
        <cfvo type="min"/>
        <cfvo type="percentile" val="50"/>
        <cfvo type="max"/>
        <color rgb="FFF8696B"/>
        <color rgb="FFFFEB84"/>
        <color rgb="FF63BE7B"/>
      </colorScale>
    </cfRule>
  </conditionalFormatting>
  <conditionalFormatting sqref="F21:F28">
    <cfRule type="colorScale" priority="4523">
      <colorScale>
        <cfvo type="min"/>
        <cfvo type="percentile" val="50"/>
        <cfvo type="max"/>
        <color rgb="FFF8696B"/>
        <color rgb="FFFFEB84"/>
        <color rgb="FF63BE7B"/>
      </colorScale>
    </cfRule>
  </conditionalFormatting>
  <conditionalFormatting sqref="F21:F28">
    <cfRule type="colorScale" priority="4522">
      <colorScale>
        <cfvo type="min"/>
        <cfvo type="percentile" val="50"/>
        <cfvo type="max"/>
        <color rgb="FFF8696B"/>
        <color rgb="FFFFEB84"/>
        <color rgb="FF63BE7B"/>
      </colorScale>
    </cfRule>
  </conditionalFormatting>
  <conditionalFormatting sqref="F21:F28">
    <cfRule type="colorScale" priority="4521">
      <colorScale>
        <cfvo type="min"/>
        <cfvo type="percentile" val="50"/>
        <cfvo type="max"/>
        <color rgb="FFF8696B"/>
        <color rgb="FFFFEB84"/>
        <color rgb="FF63BE7B"/>
      </colorScale>
    </cfRule>
  </conditionalFormatting>
  <conditionalFormatting sqref="F21:F28">
    <cfRule type="colorScale" priority="4520">
      <colorScale>
        <cfvo type="min"/>
        <cfvo type="percentile" val="50"/>
        <cfvo type="max"/>
        <color rgb="FFF8696B"/>
        <color rgb="FFFFEB84"/>
        <color rgb="FF63BE7B"/>
      </colorScale>
    </cfRule>
  </conditionalFormatting>
  <conditionalFormatting sqref="F21:F28">
    <cfRule type="colorScale" priority="4519">
      <colorScale>
        <cfvo type="min"/>
        <cfvo type="percentile" val="50"/>
        <cfvo type="max"/>
        <color rgb="FFF8696B"/>
        <color rgb="FFFFEB84"/>
        <color rgb="FF63BE7B"/>
      </colorScale>
    </cfRule>
  </conditionalFormatting>
  <conditionalFormatting sqref="F21:F28">
    <cfRule type="colorScale" priority="4518">
      <colorScale>
        <cfvo type="min"/>
        <cfvo type="percentile" val="50"/>
        <cfvo type="max"/>
        <color rgb="FFF8696B"/>
        <color rgb="FFFFEB84"/>
        <color rgb="FF63BE7B"/>
      </colorScale>
    </cfRule>
  </conditionalFormatting>
  <conditionalFormatting sqref="F21:F28">
    <cfRule type="colorScale" priority="4517">
      <colorScale>
        <cfvo type="min"/>
        <cfvo type="percentile" val="50"/>
        <cfvo type="max"/>
        <color rgb="FFF8696B"/>
        <color rgb="FFFFEB84"/>
        <color rgb="FF63BE7B"/>
      </colorScale>
    </cfRule>
  </conditionalFormatting>
  <conditionalFormatting sqref="F21:F28">
    <cfRule type="colorScale" priority="4516">
      <colorScale>
        <cfvo type="min"/>
        <cfvo type="percentile" val="50"/>
        <cfvo type="max"/>
        <color rgb="FFF8696B"/>
        <color rgb="FFFFEB84"/>
        <color rgb="FF63BE7B"/>
      </colorScale>
    </cfRule>
  </conditionalFormatting>
  <conditionalFormatting sqref="F21:F28">
    <cfRule type="colorScale" priority="4515">
      <colorScale>
        <cfvo type="min"/>
        <cfvo type="percentile" val="50"/>
        <cfvo type="max"/>
        <color rgb="FFF8696B"/>
        <color rgb="FFFFEB84"/>
        <color rgb="FF63BE7B"/>
      </colorScale>
    </cfRule>
  </conditionalFormatting>
  <conditionalFormatting sqref="F21:F28">
    <cfRule type="colorScale" priority="4514">
      <colorScale>
        <cfvo type="min"/>
        <cfvo type="percentile" val="50"/>
        <cfvo type="max"/>
        <color rgb="FFF8696B"/>
        <color rgb="FFFFEB84"/>
        <color rgb="FF63BE7B"/>
      </colorScale>
    </cfRule>
  </conditionalFormatting>
  <conditionalFormatting sqref="F21:F28">
    <cfRule type="colorScale" priority="4513">
      <colorScale>
        <cfvo type="min"/>
        <cfvo type="percentile" val="50"/>
        <cfvo type="max"/>
        <color rgb="FFF8696B"/>
        <color rgb="FFFFEB84"/>
        <color rgb="FF63BE7B"/>
      </colorScale>
    </cfRule>
  </conditionalFormatting>
  <conditionalFormatting sqref="F21:F28">
    <cfRule type="colorScale" priority="4512">
      <colorScale>
        <cfvo type="min"/>
        <cfvo type="percentile" val="50"/>
        <cfvo type="max"/>
        <color rgb="FFF8696B"/>
        <color rgb="FFFFEB84"/>
        <color rgb="FF63BE7B"/>
      </colorScale>
    </cfRule>
  </conditionalFormatting>
  <conditionalFormatting sqref="F21:F28">
    <cfRule type="colorScale" priority="4511">
      <colorScale>
        <cfvo type="min"/>
        <cfvo type="percentile" val="50"/>
        <cfvo type="max"/>
        <color rgb="FFF8696B"/>
        <color rgb="FFFFEB84"/>
        <color rgb="FF63BE7B"/>
      </colorScale>
    </cfRule>
  </conditionalFormatting>
  <conditionalFormatting sqref="F21:F28">
    <cfRule type="colorScale" priority="4510">
      <colorScale>
        <cfvo type="min"/>
        <cfvo type="percentile" val="50"/>
        <cfvo type="max"/>
        <color rgb="FFF8696B"/>
        <color rgb="FFFFEB84"/>
        <color rgb="FF63BE7B"/>
      </colorScale>
    </cfRule>
  </conditionalFormatting>
  <conditionalFormatting sqref="F21:F28">
    <cfRule type="colorScale" priority="4509">
      <colorScale>
        <cfvo type="min"/>
        <cfvo type="percentile" val="50"/>
        <cfvo type="max"/>
        <color rgb="FFF8696B"/>
        <color rgb="FFFFEB84"/>
        <color rgb="FF63BE7B"/>
      </colorScale>
    </cfRule>
  </conditionalFormatting>
  <conditionalFormatting sqref="F21:F28">
    <cfRule type="colorScale" priority="4508">
      <colorScale>
        <cfvo type="min"/>
        <cfvo type="percentile" val="50"/>
        <cfvo type="max"/>
        <color rgb="FFF8696B"/>
        <color rgb="FFFFEB84"/>
        <color rgb="FF63BE7B"/>
      </colorScale>
    </cfRule>
  </conditionalFormatting>
  <conditionalFormatting sqref="F21:F28">
    <cfRule type="colorScale" priority="4507">
      <colorScale>
        <cfvo type="min"/>
        <cfvo type="percentile" val="50"/>
        <cfvo type="max"/>
        <color rgb="FFF8696B"/>
        <color rgb="FFFFEB84"/>
        <color rgb="FF63BE7B"/>
      </colorScale>
    </cfRule>
  </conditionalFormatting>
  <conditionalFormatting sqref="F21:F28">
    <cfRule type="colorScale" priority="4506">
      <colorScale>
        <cfvo type="min"/>
        <cfvo type="percentile" val="50"/>
        <cfvo type="max"/>
        <color rgb="FFF8696B"/>
        <color rgb="FFFFEB84"/>
        <color rgb="FF63BE7B"/>
      </colorScale>
    </cfRule>
  </conditionalFormatting>
  <conditionalFormatting sqref="F21:F28">
    <cfRule type="colorScale" priority="4505">
      <colorScale>
        <cfvo type="min"/>
        <cfvo type="percentile" val="50"/>
        <cfvo type="max"/>
        <color rgb="FFF8696B"/>
        <color rgb="FFFFEB84"/>
        <color rgb="FF63BE7B"/>
      </colorScale>
    </cfRule>
  </conditionalFormatting>
  <conditionalFormatting sqref="F21:F28">
    <cfRule type="colorScale" priority="4504">
      <colorScale>
        <cfvo type="min"/>
        <cfvo type="percentile" val="50"/>
        <cfvo type="max"/>
        <color rgb="FFF8696B"/>
        <color rgb="FFFFEB84"/>
        <color rgb="FF63BE7B"/>
      </colorScale>
    </cfRule>
  </conditionalFormatting>
  <conditionalFormatting sqref="F21:F28">
    <cfRule type="colorScale" priority="4503">
      <colorScale>
        <cfvo type="min"/>
        <cfvo type="percentile" val="50"/>
        <cfvo type="max"/>
        <color rgb="FFF8696B"/>
        <color rgb="FFFFEB84"/>
        <color rgb="FF63BE7B"/>
      </colorScale>
    </cfRule>
  </conditionalFormatting>
  <conditionalFormatting sqref="F21:F28">
    <cfRule type="colorScale" priority="4502">
      <colorScale>
        <cfvo type="min"/>
        <cfvo type="percentile" val="50"/>
        <cfvo type="max"/>
        <color rgb="FFF8696B"/>
        <color rgb="FFFFEB84"/>
        <color rgb="FF63BE7B"/>
      </colorScale>
    </cfRule>
  </conditionalFormatting>
  <conditionalFormatting sqref="F21:F28">
    <cfRule type="colorScale" priority="4501">
      <colorScale>
        <cfvo type="min"/>
        <cfvo type="percentile" val="50"/>
        <cfvo type="max"/>
        <color rgb="FFF8696B"/>
        <color rgb="FFFFEB84"/>
        <color rgb="FF63BE7B"/>
      </colorScale>
    </cfRule>
  </conditionalFormatting>
  <conditionalFormatting sqref="F21:F28">
    <cfRule type="colorScale" priority="4500">
      <colorScale>
        <cfvo type="min"/>
        <cfvo type="percentile" val="50"/>
        <cfvo type="max"/>
        <color rgb="FFF8696B"/>
        <color rgb="FFFFEB84"/>
        <color rgb="FF63BE7B"/>
      </colorScale>
    </cfRule>
  </conditionalFormatting>
  <conditionalFormatting sqref="F21:F28">
    <cfRule type="colorScale" priority="4499">
      <colorScale>
        <cfvo type="min"/>
        <cfvo type="percentile" val="50"/>
        <cfvo type="max"/>
        <color rgb="FFF8696B"/>
        <color rgb="FFFFEB84"/>
        <color rgb="FF63BE7B"/>
      </colorScale>
    </cfRule>
  </conditionalFormatting>
  <conditionalFormatting sqref="F21:F28">
    <cfRule type="colorScale" priority="4498">
      <colorScale>
        <cfvo type="min"/>
        <cfvo type="percentile" val="50"/>
        <cfvo type="max"/>
        <color rgb="FFF8696B"/>
        <color rgb="FFFFEB84"/>
        <color rgb="FF63BE7B"/>
      </colorScale>
    </cfRule>
  </conditionalFormatting>
  <conditionalFormatting sqref="F21:F28">
    <cfRule type="colorScale" priority="4497">
      <colorScale>
        <cfvo type="min"/>
        <cfvo type="percentile" val="50"/>
        <cfvo type="max"/>
        <color rgb="FFF8696B"/>
        <color rgb="FFFFEB84"/>
        <color rgb="FF63BE7B"/>
      </colorScale>
    </cfRule>
  </conditionalFormatting>
  <conditionalFormatting sqref="F21:F28">
    <cfRule type="colorScale" priority="4496">
      <colorScale>
        <cfvo type="min"/>
        <cfvo type="percentile" val="50"/>
        <cfvo type="max"/>
        <color rgb="FFF8696B"/>
        <color rgb="FFFFEB84"/>
        <color rgb="FF63BE7B"/>
      </colorScale>
    </cfRule>
  </conditionalFormatting>
  <conditionalFormatting sqref="F21:F28">
    <cfRule type="colorScale" priority="4495">
      <colorScale>
        <cfvo type="min"/>
        <cfvo type="percentile" val="50"/>
        <cfvo type="max"/>
        <color rgb="FFF8696B"/>
        <color rgb="FFFFEB84"/>
        <color rgb="FF63BE7B"/>
      </colorScale>
    </cfRule>
  </conditionalFormatting>
  <conditionalFormatting sqref="F21:F28">
    <cfRule type="colorScale" priority="4494">
      <colorScale>
        <cfvo type="min"/>
        <cfvo type="percentile" val="50"/>
        <cfvo type="max"/>
        <color rgb="FFF8696B"/>
        <color rgb="FFFFEB84"/>
        <color rgb="FF63BE7B"/>
      </colorScale>
    </cfRule>
  </conditionalFormatting>
  <conditionalFormatting sqref="F21:F28">
    <cfRule type="colorScale" priority="4493">
      <colorScale>
        <cfvo type="min"/>
        <cfvo type="percentile" val="50"/>
        <cfvo type="max"/>
        <color rgb="FFF8696B"/>
        <color rgb="FFFFEB84"/>
        <color rgb="FF63BE7B"/>
      </colorScale>
    </cfRule>
  </conditionalFormatting>
  <conditionalFormatting sqref="F21:F28">
    <cfRule type="colorScale" priority="4492">
      <colorScale>
        <cfvo type="min"/>
        <cfvo type="percentile" val="50"/>
        <cfvo type="max"/>
        <color rgb="FFF8696B"/>
        <color rgb="FFFFEB84"/>
        <color rgb="FF63BE7B"/>
      </colorScale>
    </cfRule>
  </conditionalFormatting>
  <conditionalFormatting sqref="F21:F28">
    <cfRule type="colorScale" priority="4491">
      <colorScale>
        <cfvo type="min"/>
        <cfvo type="percentile" val="50"/>
        <cfvo type="max"/>
        <color rgb="FFF8696B"/>
        <color rgb="FFFFEB84"/>
        <color rgb="FF63BE7B"/>
      </colorScale>
    </cfRule>
  </conditionalFormatting>
  <conditionalFormatting sqref="F21:F28">
    <cfRule type="colorScale" priority="4490">
      <colorScale>
        <cfvo type="min"/>
        <cfvo type="percentile" val="50"/>
        <cfvo type="max"/>
        <color rgb="FFF8696B"/>
        <color rgb="FFFFEB84"/>
        <color rgb="FF63BE7B"/>
      </colorScale>
    </cfRule>
  </conditionalFormatting>
  <conditionalFormatting sqref="F21:F28">
    <cfRule type="colorScale" priority="4489">
      <colorScale>
        <cfvo type="min"/>
        <cfvo type="percentile" val="50"/>
        <cfvo type="max"/>
        <color rgb="FFF8696B"/>
        <color rgb="FFFFEB84"/>
        <color rgb="FF63BE7B"/>
      </colorScale>
    </cfRule>
  </conditionalFormatting>
  <conditionalFormatting sqref="F21:F28">
    <cfRule type="colorScale" priority="4488">
      <colorScale>
        <cfvo type="min"/>
        <cfvo type="percentile" val="50"/>
        <cfvo type="max"/>
        <color rgb="FFF8696B"/>
        <color rgb="FFFFEB84"/>
        <color rgb="FF63BE7B"/>
      </colorScale>
    </cfRule>
  </conditionalFormatting>
  <conditionalFormatting sqref="F21:F28">
    <cfRule type="colorScale" priority="4487">
      <colorScale>
        <cfvo type="min"/>
        <cfvo type="percentile" val="50"/>
        <cfvo type="max"/>
        <color rgb="FFF8696B"/>
        <color rgb="FFFFEB84"/>
        <color rgb="FF63BE7B"/>
      </colorScale>
    </cfRule>
  </conditionalFormatting>
  <conditionalFormatting sqref="F21:F28">
    <cfRule type="colorScale" priority="4486">
      <colorScale>
        <cfvo type="min"/>
        <cfvo type="percentile" val="50"/>
        <cfvo type="max"/>
        <color rgb="FFF8696B"/>
        <color rgb="FFFFEB84"/>
        <color rgb="FF63BE7B"/>
      </colorScale>
    </cfRule>
  </conditionalFormatting>
  <conditionalFormatting sqref="F21:F28">
    <cfRule type="colorScale" priority="4485">
      <colorScale>
        <cfvo type="min"/>
        <cfvo type="percentile" val="50"/>
        <cfvo type="max"/>
        <color rgb="FFF8696B"/>
        <color rgb="FFFFEB84"/>
        <color rgb="FF63BE7B"/>
      </colorScale>
    </cfRule>
  </conditionalFormatting>
  <conditionalFormatting sqref="F21:F28">
    <cfRule type="colorScale" priority="4484">
      <colorScale>
        <cfvo type="min"/>
        <cfvo type="percentile" val="50"/>
        <cfvo type="max"/>
        <color rgb="FFF8696B"/>
        <color rgb="FFFFEB84"/>
        <color rgb="FF63BE7B"/>
      </colorScale>
    </cfRule>
  </conditionalFormatting>
  <conditionalFormatting sqref="F21:F28">
    <cfRule type="colorScale" priority="4483">
      <colorScale>
        <cfvo type="min"/>
        <cfvo type="percentile" val="50"/>
        <cfvo type="max"/>
        <color rgb="FFF8696B"/>
        <color rgb="FFFFEB84"/>
        <color rgb="FF63BE7B"/>
      </colorScale>
    </cfRule>
  </conditionalFormatting>
  <conditionalFormatting sqref="F21:F28">
    <cfRule type="colorScale" priority="4482">
      <colorScale>
        <cfvo type="min"/>
        <cfvo type="percentile" val="50"/>
        <cfvo type="max"/>
        <color rgb="FFF8696B"/>
        <color rgb="FFFFEB84"/>
        <color rgb="FF63BE7B"/>
      </colorScale>
    </cfRule>
  </conditionalFormatting>
  <conditionalFormatting sqref="F21:F28">
    <cfRule type="colorScale" priority="4481">
      <colorScale>
        <cfvo type="min"/>
        <cfvo type="percentile" val="50"/>
        <cfvo type="max"/>
        <color rgb="FFF8696B"/>
        <color rgb="FFFFEB84"/>
        <color rgb="FF63BE7B"/>
      </colorScale>
    </cfRule>
  </conditionalFormatting>
  <conditionalFormatting sqref="F21:F28">
    <cfRule type="colorScale" priority="4480">
      <colorScale>
        <cfvo type="min"/>
        <cfvo type="percentile" val="50"/>
        <cfvo type="max"/>
        <color rgb="FFF8696B"/>
        <color rgb="FFFFEB84"/>
        <color rgb="FF63BE7B"/>
      </colorScale>
    </cfRule>
  </conditionalFormatting>
  <conditionalFormatting sqref="F21:F28">
    <cfRule type="colorScale" priority="4479">
      <colorScale>
        <cfvo type="min"/>
        <cfvo type="percentile" val="50"/>
        <cfvo type="max"/>
        <color rgb="FFF8696B"/>
        <color rgb="FFFFEB84"/>
        <color rgb="FF63BE7B"/>
      </colorScale>
    </cfRule>
  </conditionalFormatting>
  <conditionalFormatting sqref="F21:F28">
    <cfRule type="colorScale" priority="4478">
      <colorScale>
        <cfvo type="min"/>
        <cfvo type="percentile" val="50"/>
        <cfvo type="max"/>
        <color rgb="FFF8696B"/>
        <color rgb="FFFFEB84"/>
        <color rgb="FF63BE7B"/>
      </colorScale>
    </cfRule>
  </conditionalFormatting>
  <conditionalFormatting sqref="F21:F28">
    <cfRule type="colorScale" priority="4477">
      <colorScale>
        <cfvo type="min"/>
        <cfvo type="percentile" val="50"/>
        <cfvo type="max"/>
        <color rgb="FFF8696B"/>
        <color rgb="FFFFEB84"/>
        <color rgb="FF63BE7B"/>
      </colorScale>
    </cfRule>
  </conditionalFormatting>
  <conditionalFormatting sqref="F21:F28">
    <cfRule type="colorScale" priority="4476">
      <colorScale>
        <cfvo type="min"/>
        <cfvo type="percentile" val="50"/>
        <cfvo type="max"/>
        <color rgb="FFF8696B"/>
        <color rgb="FFFFEB84"/>
        <color rgb="FF63BE7B"/>
      </colorScale>
    </cfRule>
  </conditionalFormatting>
  <conditionalFormatting sqref="F21:F28">
    <cfRule type="colorScale" priority="4475">
      <colorScale>
        <cfvo type="min"/>
        <cfvo type="percentile" val="50"/>
        <cfvo type="max"/>
        <color rgb="FFF8696B"/>
        <color rgb="FFFFEB84"/>
        <color rgb="FF63BE7B"/>
      </colorScale>
    </cfRule>
  </conditionalFormatting>
  <conditionalFormatting sqref="F21:F28">
    <cfRule type="colorScale" priority="4474">
      <colorScale>
        <cfvo type="min"/>
        <cfvo type="percentile" val="50"/>
        <cfvo type="max"/>
        <color rgb="FFF8696B"/>
        <color rgb="FFFFEB84"/>
        <color rgb="FF63BE7B"/>
      </colorScale>
    </cfRule>
  </conditionalFormatting>
  <conditionalFormatting sqref="F21:F28">
    <cfRule type="colorScale" priority="4473">
      <colorScale>
        <cfvo type="min"/>
        <cfvo type="percentile" val="50"/>
        <cfvo type="max"/>
        <color rgb="FFF8696B"/>
        <color rgb="FFFFEB84"/>
        <color rgb="FF63BE7B"/>
      </colorScale>
    </cfRule>
  </conditionalFormatting>
  <conditionalFormatting sqref="F21:F28">
    <cfRule type="colorScale" priority="4472">
      <colorScale>
        <cfvo type="min"/>
        <cfvo type="percentile" val="50"/>
        <cfvo type="max"/>
        <color rgb="FFF8696B"/>
        <color rgb="FFFFEB84"/>
        <color rgb="FF63BE7B"/>
      </colorScale>
    </cfRule>
  </conditionalFormatting>
  <conditionalFormatting sqref="F21:F28">
    <cfRule type="colorScale" priority="4471">
      <colorScale>
        <cfvo type="min"/>
        <cfvo type="percentile" val="50"/>
        <cfvo type="max"/>
        <color rgb="FFF8696B"/>
        <color rgb="FFFFEB84"/>
        <color rgb="FF63BE7B"/>
      </colorScale>
    </cfRule>
  </conditionalFormatting>
  <conditionalFormatting sqref="F21:F28">
    <cfRule type="colorScale" priority="4470">
      <colorScale>
        <cfvo type="min"/>
        <cfvo type="percentile" val="50"/>
        <cfvo type="max"/>
        <color rgb="FFF8696B"/>
        <color rgb="FFFFEB84"/>
        <color rgb="FF63BE7B"/>
      </colorScale>
    </cfRule>
  </conditionalFormatting>
  <conditionalFormatting sqref="F21:F28">
    <cfRule type="colorScale" priority="4469">
      <colorScale>
        <cfvo type="min"/>
        <cfvo type="percentile" val="50"/>
        <cfvo type="max"/>
        <color rgb="FFF8696B"/>
        <color rgb="FFFFEB84"/>
        <color rgb="FF63BE7B"/>
      </colorScale>
    </cfRule>
  </conditionalFormatting>
  <conditionalFormatting sqref="F21:F28">
    <cfRule type="colorScale" priority="4468">
      <colorScale>
        <cfvo type="min"/>
        <cfvo type="percentile" val="50"/>
        <cfvo type="max"/>
        <color rgb="FFF8696B"/>
        <color rgb="FFFFEB84"/>
        <color rgb="FF63BE7B"/>
      </colorScale>
    </cfRule>
  </conditionalFormatting>
  <conditionalFormatting sqref="F21:F28">
    <cfRule type="colorScale" priority="4467">
      <colorScale>
        <cfvo type="min"/>
        <cfvo type="percentile" val="50"/>
        <cfvo type="max"/>
        <color rgb="FFF8696B"/>
        <color rgb="FFFFEB84"/>
        <color rgb="FF63BE7B"/>
      </colorScale>
    </cfRule>
  </conditionalFormatting>
  <conditionalFormatting sqref="F21:F28">
    <cfRule type="colorScale" priority="4466">
      <colorScale>
        <cfvo type="min"/>
        <cfvo type="percentile" val="50"/>
        <cfvo type="max"/>
        <color rgb="FFF8696B"/>
        <color rgb="FFFFEB84"/>
        <color rgb="FF63BE7B"/>
      </colorScale>
    </cfRule>
  </conditionalFormatting>
  <conditionalFormatting sqref="F21:F28">
    <cfRule type="colorScale" priority="4465">
      <colorScale>
        <cfvo type="min"/>
        <cfvo type="percentile" val="50"/>
        <cfvo type="max"/>
        <color rgb="FFF8696B"/>
        <color rgb="FFFFEB84"/>
        <color rgb="FF63BE7B"/>
      </colorScale>
    </cfRule>
  </conditionalFormatting>
  <conditionalFormatting sqref="F21:F28">
    <cfRule type="colorScale" priority="4464">
      <colorScale>
        <cfvo type="min"/>
        <cfvo type="percentile" val="50"/>
        <cfvo type="max"/>
        <color rgb="FFF8696B"/>
        <color rgb="FFFFEB84"/>
        <color rgb="FF63BE7B"/>
      </colorScale>
    </cfRule>
  </conditionalFormatting>
  <conditionalFormatting sqref="F21:F28">
    <cfRule type="colorScale" priority="4463">
      <colorScale>
        <cfvo type="min"/>
        <cfvo type="percentile" val="50"/>
        <cfvo type="max"/>
        <color rgb="FFF8696B"/>
        <color rgb="FFFFEB84"/>
        <color rgb="FF63BE7B"/>
      </colorScale>
    </cfRule>
  </conditionalFormatting>
  <conditionalFormatting sqref="F21:F28">
    <cfRule type="colorScale" priority="4462">
      <colorScale>
        <cfvo type="min"/>
        <cfvo type="percentile" val="50"/>
        <cfvo type="max"/>
        <color rgb="FFF8696B"/>
        <color rgb="FFFFEB84"/>
        <color rgb="FF63BE7B"/>
      </colorScale>
    </cfRule>
  </conditionalFormatting>
  <conditionalFormatting sqref="F21:F28">
    <cfRule type="colorScale" priority="4461">
      <colorScale>
        <cfvo type="min"/>
        <cfvo type="percentile" val="50"/>
        <cfvo type="max"/>
        <color rgb="FFF8696B"/>
        <color rgb="FFFFEB84"/>
        <color rgb="FF63BE7B"/>
      </colorScale>
    </cfRule>
  </conditionalFormatting>
  <conditionalFormatting sqref="F21:F28">
    <cfRule type="colorScale" priority="4460">
      <colorScale>
        <cfvo type="min"/>
        <cfvo type="percentile" val="50"/>
        <cfvo type="max"/>
        <color rgb="FFF8696B"/>
        <color rgb="FFFFEB84"/>
        <color rgb="FF63BE7B"/>
      </colorScale>
    </cfRule>
  </conditionalFormatting>
  <conditionalFormatting sqref="F21:F28">
    <cfRule type="colorScale" priority="4459">
      <colorScale>
        <cfvo type="min"/>
        <cfvo type="percentile" val="50"/>
        <cfvo type="max"/>
        <color rgb="FFF8696B"/>
        <color rgb="FFFFEB84"/>
        <color rgb="FF63BE7B"/>
      </colorScale>
    </cfRule>
  </conditionalFormatting>
  <conditionalFormatting sqref="F21:F28">
    <cfRule type="colorScale" priority="4458">
      <colorScale>
        <cfvo type="min"/>
        <cfvo type="percentile" val="50"/>
        <cfvo type="max"/>
        <color rgb="FFF8696B"/>
        <color rgb="FFFFEB84"/>
        <color rgb="FF63BE7B"/>
      </colorScale>
    </cfRule>
  </conditionalFormatting>
  <conditionalFormatting sqref="F21:F28">
    <cfRule type="colorScale" priority="4457">
      <colorScale>
        <cfvo type="min"/>
        <cfvo type="percentile" val="50"/>
        <cfvo type="max"/>
        <color rgb="FFF8696B"/>
        <color rgb="FFFFEB84"/>
        <color rgb="FF63BE7B"/>
      </colorScale>
    </cfRule>
  </conditionalFormatting>
  <conditionalFormatting sqref="F21:F28">
    <cfRule type="colorScale" priority="4456">
      <colorScale>
        <cfvo type="min"/>
        <cfvo type="percentile" val="50"/>
        <cfvo type="max"/>
        <color rgb="FFF8696B"/>
        <color rgb="FFFFEB84"/>
        <color rgb="FF63BE7B"/>
      </colorScale>
    </cfRule>
  </conditionalFormatting>
  <conditionalFormatting sqref="F21:F28">
    <cfRule type="colorScale" priority="4455">
      <colorScale>
        <cfvo type="min"/>
        <cfvo type="percentile" val="50"/>
        <cfvo type="max"/>
        <color rgb="FFF8696B"/>
        <color rgb="FFFFEB84"/>
        <color rgb="FF63BE7B"/>
      </colorScale>
    </cfRule>
  </conditionalFormatting>
  <conditionalFormatting sqref="F21:F28">
    <cfRule type="colorScale" priority="4454">
      <colorScale>
        <cfvo type="min"/>
        <cfvo type="percentile" val="50"/>
        <cfvo type="max"/>
        <color rgb="FFF8696B"/>
        <color rgb="FFFFEB84"/>
        <color rgb="FF63BE7B"/>
      </colorScale>
    </cfRule>
  </conditionalFormatting>
  <conditionalFormatting sqref="F21:F28">
    <cfRule type="colorScale" priority="4453">
      <colorScale>
        <cfvo type="min"/>
        <cfvo type="percentile" val="50"/>
        <cfvo type="max"/>
        <color rgb="FFF8696B"/>
        <color rgb="FFFFEB84"/>
        <color rgb="FF63BE7B"/>
      </colorScale>
    </cfRule>
  </conditionalFormatting>
  <conditionalFormatting sqref="F21:F28">
    <cfRule type="colorScale" priority="4452">
      <colorScale>
        <cfvo type="min"/>
        <cfvo type="percentile" val="50"/>
        <cfvo type="max"/>
        <color rgb="FFF8696B"/>
        <color rgb="FFFFEB84"/>
        <color rgb="FF63BE7B"/>
      </colorScale>
    </cfRule>
  </conditionalFormatting>
  <conditionalFormatting sqref="F21:F28">
    <cfRule type="colorScale" priority="4451">
      <colorScale>
        <cfvo type="min"/>
        <cfvo type="percentile" val="50"/>
        <cfvo type="max"/>
        <color rgb="FFF8696B"/>
        <color rgb="FFFFEB84"/>
        <color rgb="FF63BE7B"/>
      </colorScale>
    </cfRule>
  </conditionalFormatting>
  <conditionalFormatting sqref="F21:F28">
    <cfRule type="colorScale" priority="4450">
      <colorScale>
        <cfvo type="min"/>
        <cfvo type="percentile" val="50"/>
        <cfvo type="max"/>
        <color rgb="FFF8696B"/>
        <color rgb="FFFFEB84"/>
        <color rgb="FF63BE7B"/>
      </colorScale>
    </cfRule>
  </conditionalFormatting>
  <conditionalFormatting sqref="F21:F28">
    <cfRule type="colorScale" priority="4449">
      <colorScale>
        <cfvo type="min"/>
        <cfvo type="percentile" val="50"/>
        <cfvo type="max"/>
        <color rgb="FFF8696B"/>
        <color rgb="FFFFEB84"/>
        <color rgb="FF63BE7B"/>
      </colorScale>
    </cfRule>
  </conditionalFormatting>
  <conditionalFormatting sqref="F21:F28">
    <cfRule type="colorScale" priority="4448">
      <colorScale>
        <cfvo type="min"/>
        <cfvo type="percentile" val="50"/>
        <cfvo type="max"/>
        <color rgb="FFF8696B"/>
        <color rgb="FFFFEB84"/>
        <color rgb="FF63BE7B"/>
      </colorScale>
    </cfRule>
  </conditionalFormatting>
  <conditionalFormatting sqref="F21:F28">
    <cfRule type="colorScale" priority="4447">
      <colorScale>
        <cfvo type="min"/>
        <cfvo type="percentile" val="50"/>
        <cfvo type="max"/>
        <color rgb="FFF8696B"/>
        <color rgb="FFFFEB84"/>
        <color rgb="FF63BE7B"/>
      </colorScale>
    </cfRule>
  </conditionalFormatting>
  <conditionalFormatting sqref="F21:F28">
    <cfRule type="colorScale" priority="4446">
      <colorScale>
        <cfvo type="min"/>
        <cfvo type="percentile" val="50"/>
        <cfvo type="max"/>
        <color rgb="FFF8696B"/>
        <color rgb="FFFFEB84"/>
        <color rgb="FF63BE7B"/>
      </colorScale>
    </cfRule>
  </conditionalFormatting>
  <conditionalFormatting sqref="F21:F28">
    <cfRule type="colorScale" priority="4445">
      <colorScale>
        <cfvo type="min"/>
        <cfvo type="percentile" val="50"/>
        <cfvo type="max"/>
        <color rgb="FFF8696B"/>
        <color rgb="FFFFEB84"/>
        <color rgb="FF63BE7B"/>
      </colorScale>
    </cfRule>
  </conditionalFormatting>
  <conditionalFormatting sqref="F21:F28">
    <cfRule type="colorScale" priority="4444">
      <colorScale>
        <cfvo type="min"/>
        <cfvo type="percentile" val="50"/>
        <cfvo type="max"/>
        <color rgb="FFF8696B"/>
        <color rgb="FFFFEB84"/>
        <color rgb="FF63BE7B"/>
      </colorScale>
    </cfRule>
  </conditionalFormatting>
  <conditionalFormatting sqref="F21:F28">
    <cfRule type="colorScale" priority="4443">
      <colorScale>
        <cfvo type="min"/>
        <cfvo type="percentile" val="50"/>
        <cfvo type="max"/>
        <color rgb="FFF8696B"/>
        <color rgb="FFFFEB84"/>
        <color rgb="FF63BE7B"/>
      </colorScale>
    </cfRule>
  </conditionalFormatting>
  <conditionalFormatting sqref="F21:F28">
    <cfRule type="colorScale" priority="4442">
      <colorScale>
        <cfvo type="min"/>
        <cfvo type="percentile" val="50"/>
        <cfvo type="max"/>
        <color rgb="FFF8696B"/>
        <color rgb="FFFFEB84"/>
        <color rgb="FF63BE7B"/>
      </colorScale>
    </cfRule>
  </conditionalFormatting>
  <conditionalFormatting sqref="F21:F28">
    <cfRule type="colorScale" priority="4441">
      <colorScale>
        <cfvo type="min"/>
        <cfvo type="percentile" val="50"/>
        <cfvo type="max"/>
        <color rgb="FFF8696B"/>
        <color rgb="FFFFEB84"/>
        <color rgb="FF63BE7B"/>
      </colorScale>
    </cfRule>
  </conditionalFormatting>
  <conditionalFormatting sqref="F21:F28">
    <cfRule type="colorScale" priority="4440">
      <colorScale>
        <cfvo type="min"/>
        <cfvo type="percentile" val="50"/>
        <cfvo type="max"/>
        <color rgb="FFF8696B"/>
        <color rgb="FFFFEB84"/>
        <color rgb="FF63BE7B"/>
      </colorScale>
    </cfRule>
  </conditionalFormatting>
  <conditionalFormatting sqref="F21:F28">
    <cfRule type="colorScale" priority="4439">
      <colorScale>
        <cfvo type="min"/>
        <cfvo type="percentile" val="50"/>
        <cfvo type="max"/>
        <color rgb="FFF8696B"/>
        <color rgb="FFFFEB84"/>
        <color rgb="FF63BE7B"/>
      </colorScale>
    </cfRule>
  </conditionalFormatting>
  <conditionalFormatting sqref="F21:F28">
    <cfRule type="colorScale" priority="4438">
      <colorScale>
        <cfvo type="min"/>
        <cfvo type="percentile" val="50"/>
        <cfvo type="max"/>
        <color rgb="FFF8696B"/>
        <color rgb="FFFFEB84"/>
        <color rgb="FF63BE7B"/>
      </colorScale>
    </cfRule>
  </conditionalFormatting>
  <conditionalFormatting sqref="F21:F28">
    <cfRule type="colorScale" priority="4437">
      <colorScale>
        <cfvo type="min"/>
        <cfvo type="percentile" val="50"/>
        <cfvo type="max"/>
        <color rgb="FFF8696B"/>
        <color rgb="FFFFEB84"/>
        <color rgb="FF63BE7B"/>
      </colorScale>
    </cfRule>
  </conditionalFormatting>
  <conditionalFormatting sqref="F21:F28">
    <cfRule type="colorScale" priority="4436">
      <colorScale>
        <cfvo type="min"/>
        <cfvo type="percentile" val="50"/>
        <cfvo type="max"/>
        <color rgb="FFF8696B"/>
        <color rgb="FFFFEB84"/>
        <color rgb="FF63BE7B"/>
      </colorScale>
    </cfRule>
  </conditionalFormatting>
  <conditionalFormatting sqref="F21:F28">
    <cfRule type="colorScale" priority="4435">
      <colorScale>
        <cfvo type="min"/>
        <cfvo type="percentile" val="50"/>
        <cfvo type="max"/>
        <color rgb="FFF8696B"/>
        <color rgb="FFFFEB84"/>
        <color rgb="FF63BE7B"/>
      </colorScale>
    </cfRule>
  </conditionalFormatting>
  <conditionalFormatting sqref="F21:F28">
    <cfRule type="colorScale" priority="4434">
      <colorScale>
        <cfvo type="min"/>
        <cfvo type="percentile" val="50"/>
        <cfvo type="max"/>
        <color rgb="FFF8696B"/>
        <color rgb="FFFFEB84"/>
        <color rgb="FF63BE7B"/>
      </colorScale>
    </cfRule>
  </conditionalFormatting>
  <conditionalFormatting sqref="F21:F28">
    <cfRule type="colorScale" priority="4433">
      <colorScale>
        <cfvo type="min"/>
        <cfvo type="percentile" val="50"/>
        <cfvo type="max"/>
        <color rgb="FFF8696B"/>
        <color rgb="FFFFEB84"/>
        <color rgb="FF63BE7B"/>
      </colorScale>
    </cfRule>
  </conditionalFormatting>
  <conditionalFormatting sqref="F21:F28">
    <cfRule type="colorScale" priority="4432">
      <colorScale>
        <cfvo type="min"/>
        <cfvo type="percentile" val="50"/>
        <cfvo type="max"/>
        <color rgb="FFF8696B"/>
        <color rgb="FFFFEB84"/>
        <color rgb="FF63BE7B"/>
      </colorScale>
    </cfRule>
  </conditionalFormatting>
  <conditionalFormatting sqref="F21:F28">
    <cfRule type="colorScale" priority="4431">
      <colorScale>
        <cfvo type="min"/>
        <cfvo type="percentile" val="50"/>
        <cfvo type="max"/>
        <color rgb="FFF8696B"/>
        <color rgb="FFFFEB84"/>
        <color rgb="FF63BE7B"/>
      </colorScale>
    </cfRule>
  </conditionalFormatting>
  <conditionalFormatting sqref="F21:F28">
    <cfRule type="colorScale" priority="4430">
      <colorScale>
        <cfvo type="min"/>
        <cfvo type="percentile" val="50"/>
        <cfvo type="max"/>
        <color rgb="FFF8696B"/>
        <color rgb="FFFFEB84"/>
        <color rgb="FF63BE7B"/>
      </colorScale>
    </cfRule>
  </conditionalFormatting>
  <conditionalFormatting sqref="F21:F28">
    <cfRule type="colorScale" priority="4429">
      <colorScale>
        <cfvo type="min"/>
        <cfvo type="percentile" val="50"/>
        <cfvo type="max"/>
        <color rgb="FFF8696B"/>
        <color rgb="FFFFEB84"/>
        <color rgb="FF63BE7B"/>
      </colorScale>
    </cfRule>
  </conditionalFormatting>
  <conditionalFormatting sqref="F21:F28">
    <cfRule type="colorScale" priority="4428">
      <colorScale>
        <cfvo type="min"/>
        <cfvo type="percentile" val="50"/>
        <cfvo type="max"/>
        <color rgb="FFF8696B"/>
        <color rgb="FFFFEB84"/>
        <color rgb="FF63BE7B"/>
      </colorScale>
    </cfRule>
  </conditionalFormatting>
  <conditionalFormatting sqref="F21:F28">
    <cfRule type="colorScale" priority="4427">
      <colorScale>
        <cfvo type="min"/>
        <cfvo type="percentile" val="50"/>
        <cfvo type="max"/>
        <color rgb="FFF8696B"/>
        <color rgb="FFFFEB84"/>
        <color rgb="FF63BE7B"/>
      </colorScale>
    </cfRule>
  </conditionalFormatting>
  <conditionalFormatting sqref="F21:F28">
    <cfRule type="colorScale" priority="4426">
      <colorScale>
        <cfvo type="min"/>
        <cfvo type="percentile" val="50"/>
        <cfvo type="max"/>
        <color rgb="FFF8696B"/>
        <color rgb="FFFFEB84"/>
        <color rgb="FF63BE7B"/>
      </colorScale>
    </cfRule>
  </conditionalFormatting>
  <conditionalFormatting sqref="F21:F28">
    <cfRule type="colorScale" priority="4425">
      <colorScale>
        <cfvo type="min"/>
        <cfvo type="percentile" val="50"/>
        <cfvo type="max"/>
        <color rgb="FFF8696B"/>
        <color rgb="FFFFEB84"/>
        <color rgb="FF63BE7B"/>
      </colorScale>
    </cfRule>
  </conditionalFormatting>
  <conditionalFormatting sqref="F21:F28">
    <cfRule type="colorScale" priority="4424">
      <colorScale>
        <cfvo type="min"/>
        <cfvo type="percentile" val="50"/>
        <cfvo type="max"/>
        <color rgb="FFF8696B"/>
        <color rgb="FFFFEB84"/>
        <color rgb="FF63BE7B"/>
      </colorScale>
    </cfRule>
  </conditionalFormatting>
  <conditionalFormatting sqref="F21:F28">
    <cfRule type="colorScale" priority="4423">
      <colorScale>
        <cfvo type="min"/>
        <cfvo type="percentile" val="50"/>
        <cfvo type="max"/>
        <color rgb="FFF8696B"/>
        <color rgb="FFFFEB84"/>
        <color rgb="FF63BE7B"/>
      </colorScale>
    </cfRule>
  </conditionalFormatting>
  <conditionalFormatting sqref="F21:F28">
    <cfRule type="colorScale" priority="4422">
      <colorScale>
        <cfvo type="min"/>
        <cfvo type="percentile" val="50"/>
        <cfvo type="max"/>
        <color rgb="FFF8696B"/>
        <color rgb="FFFFEB84"/>
        <color rgb="FF63BE7B"/>
      </colorScale>
    </cfRule>
  </conditionalFormatting>
  <conditionalFormatting sqref="F21:F28">
    <cfRule type="colorScale" priority="4421">
      <colorScale>
        <cfvo type="min"/>
        <cfvo type="percentile" val="50"/>
        <cfvo type="max"/>
        <color rgb="FFF8696B"/>
        <color rgb="FFFFEB84"/>
        <color rgb="FF63BE7B"/>
      </colorScale>
    </cfRule>
  </conditionalFormatting>
  <conditionalFormatting sqref="F21:F28">
    <cfRule type="colorScale" priority="4420">
      <colorScale>
        <cfvo type="min"/>
        <cfvo type="percentile" val="50"/>
        <cfvo type="max"/>
        <color rgb="FFF8696B"/>
        <color rgb="FFFFEB84"/>
        <color rgb="FF63BE7B"/>
      </colorScale>
    </cfRule>
  </conditionalFormatting>
  <conditionalFormatting sqref="F21:F28">
    <cfRule type="colorScale" priority="4419">
      <colorScale>
        <cfvo type="min"/>
        <cfvo type="percentile" val="50"/>
        <cfvo type="max"/>
        <color rgb="FFF8696B"/>
        <color rgb="FFFFEB84"/>
        <color rgb="FF63BE7B"/>
      </colorScale>
    </cfRule>
  </conditionalFormatting>
  <conditionalFormatting sqref="F21:F28">
    <cfRule type="colorScale" priority="4418">
      <colorScale>
        <cfvo type="min"/>
        <cfvo type="percentile" val="50"/>
        <cfvo type="max"/>
        <color rgb="FFF8696B"/>
        <color rgb="FFFFEB84"/>
        <color rgb="FF63BE7B"/>
      </colorScale>
    </cfRule>
  </conditionalFormatting>
  <conditionalFormatting sqref="F21:F28">
    <cfRule type="colorScale" priority="4417">
      <colorScale>
        <cfvo type="min"/>
        <cfvo type="percentile" val="50"/>
        <cfvo type="max"/>
        <color rgb="FFF8696B"/>
        <color rgb="FFFFEB84"/>
        <color rgb="FF63BE7B"/>
      </colorScale>
    </cfRule>
  </conditionalFormatting>
  <conditionalFormatting sqref="F21:F28">
    <cfRule type="colorScale" priority="4416">
      <colorScale>
        <cfvo type="min"/>
        <cfvo type="percentile" val="50"/>
        <cfvo type="max"/>
        <color rgb="FFF8696B"/>
        <color rgb="FFFFEB84"/>
        <color rgb="FF63BE7B"/>
      </colorScale>
    </cfRule>
  </conditionalFormatting>
  <conditionalFormatting sqref="F21:F28">
    <cfRule type="colorScale" priority="4415">
      <colorScale>
        <cfvo type="min"/>
        <cfvo type="percentile" val="50"/>
        <cfvo type="max"/>
        <color rgb="FFF8696B"/>
        <color rgb="FFFFEB84"/>
        <color rgb="FF63BE7B"/>
      </colorScale>
    </cfRule>
  </conditionalFormatting>
  <conditionalFormatting sqref="F21:F28">
    <cfRule type="colorScale" priority="4414">
      <colorScale>
        <cfvo type="min"/>
        <cfvo type="percentile" val="50"/>
        <cfvo type="max"/>
        <color rgb="FFF8696B"/>
        <color rgb="FFFFEB84"/>
        <color rgb="FF63BE7B"/>
      </colorScale>
    </cfRule>
  </conditionalFormatting>
  <conditionalFormatting sqref="F21:F28">
    <cfRule type="colorScale" priority="4413">
      <colorScale>
        <cfvo type="min"/>
        <cfvo type="percentile" val="50"/>
        <cfvo type="max"/>
        <color rgb="FFF8696B"/>
        <color rgb="FFFFEB84"/>
        <color rgb="FF63BE7B"/>
      </colorScale>
    </cfRule>
  </conditionalFormatting>
  <conditionalFormatting sqref="F21:F28">
    <cfRule type="colorScale" priority="4412">
      <colorScale>
        <cfvo type="min"/>
        <cfvo type="percentile" val="50"/>
        <cfvo type="max"/>
        <color rgb="FFF8696B"/>
        <color rgb="FFFFEB84"/>
        <color rgb="FF63BE7B"/>
      </colorScale>
    </cfRule>
  </conditionalFormatting>
  <conditionalFormatting sqref="F21:F28">
    <cfRule type="colorScale" priority="4411">
      <colorScale>
        <cfvo type="min"/>
        <cfvo type="percentile" val="50"/>
        <cfvo type="max"/>
        <color rgb="FFF8696B"/>
        <color rgb="FFFFEB84"/>
        <color rgb="FF63BE7B"/>
      </colorScale>
    </cfRule>
  </conditionalFormatting>
  <conditionalFormatting sqref="F21:F28">
    <cfRule type="colorScale" priority="4410">
      <colorScale>
        <cfvo type="min"/>
        <cfvo type="percentile" val="50"/>
        <cfvo type="max"/>
        <color rgb="FFF8696B"/>
        <color rgb="FFFFEB84"/>
        <color rgb="FF63BE7B"/>
      </colorScale>
    </cfRule>
  </conditionalFormatting>
  <conditionalFormatting sqref="F21:F28">
    <cfRule type="colorScale" priority="4409">
      <colorScale>
        <cfvo type="min"/>
        <cfvo type="percentile" val="50"/>
        <cfvo type="max"/>
        <color rgb="FFF8696B"/>
        <color rgb="FFFFEB84"/>
        <color rgb="FF63BE7B"/>
      </colorScale>
    </cfRule>
  </conditionalFormatting>
  <conditionalFormatting sqref="F21:F28">
    <cfRule type="colorScale" priority="4408">
      <colorScale>
        <cfvo type="min"/>
        <cfvo type="percentile" val="50"/>
        <cfvo type="max"/>
        <color rgb="FFF8696B"/>
        <color rgb="FFFFEB84"/>
        <color rgb="FF63BE7B"/>
      </colorScale>
    </cfRule>
  </conditionalFormatting>
  <conditionalFormatting sqref="F21:F28">
    <cfRule type="colorScale" priority="4407">
      <colorScale>
        <cfvo type="min"/>
        <cfvo type="percentile" val="50"/>
        <cfvo type="max"/>
        <color rgb="FFF8696B"/>
        <color rgb="FFFFEB84"/>
        <color rgb="FF63BE7B"/>
      </colorScale>
    </cfRule>
  </conditionalFormatting>
  <conditionalFormatting sqref="F21:F28">
    <cfRule type="colorScale" priority="4406">
      <colorScale>
        <cfvo type="min"/>
        <cfvo type="percentile" val="50"/>
        <cfvo type="max"/>
        <color rgb="FFF8696B"/>
        <color rgb="FFFFEB84"/>
        <color rgb="FF63BE7B"/>
      </colorScale>
    </cfRule>
  </conditionalFormatting>
  <conditionalFormatting sqref="F21:F28">
    <cfRule type="colorScale" priority="4405">
      <colorScale>
        <cfvo type="min"/>
        <cfvo type="percentile" val="50"/>
        <cfvo type="max"/>
        <color rgb="FFF8696B"/>
        <color rgb="FFFFEB84"/>
        <color rgb="FF63BE7B"/>
      </colorScale>
    </cfRule>
  </conditionalFormatting>
  <conditionalFormatting sqref="F21:F28">
    <cfRule type="colorScale" priority="4404">
      <colorScale>
        <cfvo type="min"/>
        <cfvo type="percentile" val="50"/>
        <cfvo type="max"/>
        <color rgb="FFF8696B"/>
        <color rgb="FFFFEB84"/>
        <color rgb="FF63BE7B"/>
      </colorScale>
    </cfRule>
  </conditionalFormatting>
  <conditionalFormatting sqref="F21:F28">
    <cfRule type="colorScale" priority="4403">
      <colorScale>
        <cfvo type="min"/>
        <cfvo type="percentile" val="50"/>
        <cfvo type="max"/>
        <color rgb="FFF8696B"/>
        <color rgb="FFFFEB84"/>
        <color rgb="FF63BE7B"/>
      </colorScale>
    </cfRule>
  </conditionalFormatting>
  <conditionalFormatting sqref="F21:F28">
    <cfRule type="colorScale" priority="4402">
      <colorScale>
        <cfvo type="min"/>
        <cfvo type="percentile" val="50"/>
        <cfvo type="max"/>
        <color rgb="FFF8696B"/>
        <color rgb="FFFFEB84"/>
        <color rgb="FF63BE7B"/>
      </colorScale>
    </cfRule>
  </conditionalFormatting>
  <conditionalFormatting sqref="F29:F32">
    <cfRule type="colorScale" priority="4401">
      <colorScale>
        <cfvo type="min"/>
        <cfvo type="percentile" val="50"/>
        <cfvo type="max"/>
        <color rgb="FFF8696B"/>
        <color rgb="FFFFEB84"/>
        <color rgb="FF63BE7B"/>
      </colorScale>
    </cfRule>
  </conditionalFormatting>
  <conditionalFormatting sqref="F29:F32">
    <cfRule type="colorScale" priority="4400">
      <colorScale>
        <cfvo type="min"/>
        <cfvo type="percentile" val="50"/>
        <cfvo type="max"/>
        <color rgb="FFF8696B"/>
        <color rgb="FFFFEB84"/>
        <color rgb="FF63BE7B"/>
      </colorScale>
    </cfRule>
  </conditionalFormatting>
  <conditionalFormatting sqref="F29:F32">
    <cfRule type="colorScale" priority="4399">
      <colorScale>
        <cfvo type="min"/>
        <cfvo type="percentile" val="50"/>
        <cfvo type="max"/>
        <color rgb="FFF8696B"/>
        <color rgb="FFFFEB84"/>
        <color rgb="FF63BE7B"/>
      </colorScale>
    </cfRule>
  </conditionalFormatting>
  <conditionalFormatting sqref="F29:F32">
    <cfRule type="colorScale" priority="4398">
      <colorScale>
        <cfvo type="min"/>
        <cfvo type="percentile" val="50"/>
        <cfvo type="max"/>
        <color rgb="FFF8696B"/>
        <color rgb="FFFFEB84"/>
        <color rgb="FF63BE7B"/>
      </colorScale>
    </cfRule>
  </conditionalFormatting>
  <conditionalFormatting sqref="F29:F32">
    <cfRule type="colorScale" priority="4397">
      <colorScale>
        <cfvo type="min"/>
        <cfvo type="percentile" val="50"/>
        <cfvo type="max"/>
        <color rgb="FFF8696B"/>
        <color rgb="FFFFEB84"/>
        <color rgb="FF63BE7B"/>
      </colorScale>
    </cfRule>
  </conditionalFormatting>
  <conditionalFormatting sqref="F29:F32">
    <cfRule type="colorScale" priority="4396">
      <colorScale>
        <cfvo type="min"/>
        <cfvo type="percentile" val="50"/>
        <cfvo type="max"/>
        <color rgb="FFF8696B"/>
        <color rgb="FFFFEB84"/>
        <color rgb="FF63BE7B"/>
      </colorScale>
    </cfRule>
  </conditionalFormatting>
  <conditionalFormatting sqref="F29:F32">
    <cfRule type="colorScale" priority="4395">
      <colorScale>
        <cfvo type="min"/>
        <cfvo type="percentile" val="50"/>
        <cfvo type="max"/>
        <color rgb="FFF8696B"/>
        <color rgb="FFFFEB84"/>
        <color rgb="FF63BE7B"/>
      </colorScale>
    </cfRule>
  </conditionalFormatting>
  <conditionalFormatting sqref="F29:F32">
    <cfRule type="colorScale" priority="4394">
      <colorScale>
        <cfvo type="min"/>
        <cfvo type="percentile" val="50"/>
        <cfvo type="max"/>
        <color rgb="FFF8696B"/>
        <color rgb="FFFFEB84"/>
        <color rgb="FF63BE7B"/>
      </colorScale>
    </cfRule>
  </conditionalFormatting>
  <conditionalFormatting sqref="F29:F32">
    <cfRule type="colorScale" priority="4393">
      <colorScale>
        <cfvo type="min"/>
        <cfvo type="percentile" val="50"/>
        <cfvo type="max"/>
        <color rgb="FFF8696B"/>
        <color rgb="FFFFEB84"/>
        <color rgb="FF63BE7B"/>
      </colorScale>
    </cfRule>
  </conditionalFormatting>
  <conditionalFormatting sqref="F29:F32">
    <cfRule type="colorScale" priority="4392">
      <colorScale>
        <cfvo type="min"/>
        <cfvo type="percentile" val="50"/>
        <cfvo type="max"/>
        <color rgb="FFF8696B"/>
        <color rgb="FFFFEB84"/>
        <color rgb="FF63BE7B"/>
      </colorScale>
    </cfRule>
  </conditionalFormatting>
  <conditionalFormatting sqref="F29:F32">
    <cfRule type="colorScale" priority="4391">
      <colorScale>
        <cfvo type="min"/>
        <cfvo type="percentile" val="50"/>
        <cfvo type="max"/>
        <color rgb="FFF8696B"/>
        <color rgb="FFFFEB84"/>
        <color rgb="FF63BE7B"/>
      </colorScale>
    </cfRule>
  </conditionalFormatting>
  <conditionalFormatting sqref="F29:F32">
    <cfRule type="colorScale" priority="4390">
      <colorScale>
        <cfvo type="min"/>
        <cfvo type="percentile" val="50"/>
        <cfvo type="max"/>
        <color rgb="FFF8696B"/>
        <color rgb="FFFFEB84"/>
        <color rgb="FF63BE7B"/>
      </colorScale>
    </cfRule>
  </conditionalFormatting>
  <conditionalFormatting sqref="F29:F32">
    <cfRule type="colorScale" priority="4389">
      <colorScale>
        <cfvo type="min"/>
        <cfvo type="percentile" val="50"/>
        <cfvo type="max"/>
        <color rgb="FFF8696B"/>
        <color rgb="FFFFEB84"/>
        <color rgb="FF63BE7B"/>
      </colorScale>
    </cfRule>
  </conditionalFormatting>
  <conditionalFormatting sqref="F29:F32">
    <cfRule type="colorScale" priority="4388">
      <colorScale>
        <cfvo type="min"/>
        <cfvo type="percentile" val="50"/>
        <cfvo type="max"/>
        <color rgb="FFF8696B"/>
        <color rgb="FFFFEB84"/>
        <color rgb="FF63BE7B"/>
      </colorScale>
    </cfRule>
  </conditionalFormatting>
  <conditionalFormatting sqref="F29:F32">
    <cfRule type="colorScale" priority="4387">
      <colorScale>
        <cfvo type="min"/>
        <cfvo type="percentile" val="50"/>
        <cfvo type="max"/>
        <color rgb="FFF8696B"/>
        <color rgb="FFFFEB84"/>
        <color rgb="FF63BE7B"/>
      </colorScale>
    </cfRule>
  </conditionalFormatting>
  <conditionalFormatting sqref="F29:F32">
    <cfRule type="colorScale" priority="4386">
      <colorScale>
        <cfvo type="min"/>
        <cfvo type="percentile" val="50"/>
        <cfvo type="max"/>
        <color rgb="FFF8696B"/>
        <color rgb="FFFFEB84"/>
        <color rgb="FF63BE7B"/>
      </colorScale>
    </cfRule>
  </conditionalFormatting>
  <conditionalFormatting sqref="F29:F32">
    <cfRule type="colorScale" priority="4385">
      <colorScale>
        <cfvo type="min"/>
        <cfvo type="percentile" val="50"/>
        <cfvo type="max"/>
        <color rgb="FFF8696B"/>
        <color rgb="FFFFEB84"/>
        <color rgb="FF63BE7B"/>
      </colorScale>
    </cfRule>
  </conditionalFormatting>
  <conditionalFormatting sqref="F29:F32">
    <cfRule type="colorScale" priority="4384">
      <colorScale>
        <cfvo type="min"/>
        <cfvo type="percentile" val="50"/>
        <cfvo type="max"/>
        <color rgb="FFF8696B"/>
        <color rgb="FFFFEB84"/>
        <color rgb="FF63BE7B"/>
      </colorScale>
    </cfRule>
  </conditionalFormatting>
  <conditionalFormatting sqref="F29:F32">
    <cfRule type="colorScale" priority="4383">
      <colorScale>
        <cfvo type="min"/>
        <cfvo type="percentile" val="50"/>
        <cfvo type="max"/>
        <color rgb="FFF8696B"/>
        <color rgb="FFFFEB84"/>
        <color rgb="FF63BE7B"/>
      </colorScale>
    </cfRule>
  </conditionalFormatting>
  <conditionalFormatting sqref="F29:F32">
    <cfRule type="colorScale" priority="4382">
      <colorScale>
        <cfvo type="min"/>
        <cfvo type="percentile" val="50"/>
        <cfvo type="max"/>
        <color rgb="FFF8696B"/>
        <color rgb="FFFFEB84"/>
        <color rgb="FF63BE7B"/>
      </colorScale>
    </cfRule>
  </conditionalFormatting>
  <conditionalFormatting sqref="F29:F32">
    <cfRule type="colorScale" priority="4381">
      <colorScale>
        <cfvo type="min"/>
        <cfvo type="percentile" val="50"/>
        <cfvo type="max"/>
        <color rgb="FFF8696B"/>
        <color rgb="FFFFEB84"/>
        <color rgb="FF63BE7B"/>
      </colorScale>
    </cfRule>
  </conditionalFormatting>
  <conditionalFormatting sqref="F29:F32">
    <cfRule type="colorScale" priority="4380">
      <colorScale>
        <cfvo type="min"/>
        <cfvo type="percentile" val="50"/>
        <cfvo type="max"/>
        <color rgb="FFF8696B"/>
        <color rgb="FFFFEB84"/>
        <color rgb="FF63BE7B"/>
      </colorScale>
    </cfRule>
  </conditionalFormatting>
  <conditionalFormatting sqref="F29:F32">
    <cfRule type="colorScale" priority="4379">
      <colorScale>
        <cfvo type="min"/>
        <cfvo type="percentile" val="50"/>
        <cfvo type="max"/>
        <color rgb="FFF8696B"/>
        <color rgb="FFFFEB84"/>
        <color rgb="FF63BE7B"/>
      </colorScale>
    </cfRule>
  </conditionalFormatting>
  <conditionalFormatting sqref="F29:F32">
    <cfRule type="colorScale" priority="4378">
      <colorScale>
        <cfvo type="min"/>
        <cfvo type="percentile" val="50"/>
        <cfvo type="max"/>
        <color rgb="FFF8696B"/>
        <color rgb="FFFFEB84"/>
        <color rgb="FF63BE7B"/>
      </colorScale>
    </cfRule>
  </conditionalFormatting>
  <conditionalFormatting sqref="F29:F32">
    <cfRule type="colorScale" priority="4377">
      <colorScale>
        <cfvo type="min"/>
        <cfvo type="percentile" val="50"/>
        <cfvo type="max"/>
        <color rgb="FFF8696B"/>
        <color rgb="FFFFEB84"/>
        <color rgb="FF63BE7B"/>
      </colorScale>
    </cfRule>
  </conditionalFormatting>
  <conditionalFormatting sqref="F29:F32">
    <cfRule type="colorScale" priority="4376">
      <colorScale>
        <cfvo type="min"/>
        <cfvo type="percentile" val="50"/>
        <cfvo type="max"/>
        <color rgb="FFF8696B"/>
        <color rgb="FFFFEB84"/>
        <color rgb="FF63BE7B"/>
      </colorScale>
    </cfRule>
  </conditionalFormatting>
  <conditionalFormatting sqref="F29:F32">
    <cfRule type="colorScale" priority="4375">
      <colorScale>
        <cfvo type="min"/>
        <cfvo type="percentile" val="50"/>
        <cfvo type="max"/>
        <color rgb="FFF8696B"/>
        <color rgb="FFFFEB84"/>
        <color rgb="FF63BE7B"/>
      </colorScale>
    </cfRule>
  </conditionalFormatting>
  <conditionalFormatting sqref="F29:F32">
    <cfRule type="colorScale" priority="4374">
      <colorScale>
        <cfvo type="min"/>
        <cfvo type="percentile" val="50"/>
        <cfvo type="max"/>
        <color rgb="FFF8696B"/>
        <color rgb="FFFFEB84"/>
        <color rgb="FF63BE7B"/>
      </colorScale>
    </cfRule>
  </conditionalFormatting>
  <conditionalFormatting sqref="F29:F32">
    <cfRule type="colorScale" priority="4373">
      <colorScale>
        <cfvo type="min"/>
        <cfvo type="percentile" val="50"/>
        <cfvo type="max"/>
        <color rgb="FFF8696B"/>
        <color rgb="FFFFEB84"/>
        <color rgb="FF63BE7B"/>
      </colorScale>
    </cfRule>
  </conditionalFormatting>
  <conditionalFormatting sqref="F29:F32">
    <cfRule type="colorScale" priority="4372">
      <colorScale>
        <cfvo type="min"/>
        <cfvo type="percentile" val="50"/>
        <cfvo type="max"/>
        <color rgb="FFF8696B"/>
        <color rgb="FFFFEB84"/>
        <color rgb="FF63BE7B"/>
      </colorScale>
    </cfRule>
  </conditionalFormatting>
  <conditionalFormatting sqref="F29:F32">
    <cfRule type="colorScale" priority="4371">
      <colorScale>
        <cfvo type="min"/>
        <cfvo type="percentile" val="50"/>
        <cfvo type="max"/>
        <color rgb="FFF8696B"/>
        <color rgb="FFFFEB84"/>
        <color rgb="FF63BE7B"/>
      </colorScale>
    </cfRule>
  </conditionalFormatting>
  <conditionalFormatting sqref="F29:F32">
    <cfRule type="colorScale" priority="4370">
      <colorScale>
        <cfvo type="min"/>
        <cfvo type="percentile" val="50"/>
        <cfvo type="max"/>
        <color rgb="FFF8696B"/>
        <color rgb="FFFFEB84"/>
        <color rgb="FF63BE7B"/>
      </colorScale>
    </cfRule>
  </conditionalFormatting>
  <conditionalFormatting sqref="F29:F32">
    <cfRule type="colorScale" priority="4369">
      <colorScale>
        <cfvo type="min"/>
        <cfvo type="percentile" val="50"/>
        <cfvo type="max"/>
        <color rgb="FFF8696B"/>
        <color rgb="FFFFEB84"/>
        <color rgb="FF63BE7B"/>
      </colorScale>
    </cfRule>
  </conditionalFormatting>
  <conditionalFormatting sqref="F29:F32">
    <cfRule type="colorScale" priority="4368">
      <colorScale>
        <cfvo type="min"/>
        <cfvo type="percentile" val="50"/>
        <cfvo type="max"/>
        <color rgb="FFF8696B"/>
        <color rgb="FFFFEB84"/>
        <color rgb="FF63BE7B"/>
      </colorScale>
    </cfRule>
  </conditionalFormatting>
  <conditionalFormatting sqref="F29:F32">
    <cfRule type="colorScale" priority="4367">
      <colorScale>
        <cfvo type="min"/>
        <cfvo type="percentile" val="50"/>
        <cfvo type="max"/>
        <color rgb="FFF8696B"/>
        <color rgb="FFFFEB84"/>
        <color rgb="FF63BE7B"/>
      </colorScale>
    </cfRule>
  </conditionalFormatting>
  <conditionalFormatting sqref="F29:F32">
    <cfRule type="colorScale" priority="4366">
      <colorScale>
        <cfvo type="min"/>
        <cfvo type="percentile" val="50"/>
        <cfvo type="max"/>
        <color rgb="FFF8696B"/>
        <color rgb="FFFFEB84"/>
        <color rgb="FF63BE7B"/>
      </colorScale>
    </cfRule>
  </conditionalFormatting>
  <conditionalFormatting sqref="F29:F32">
    <cfRule type="colorScale" priority="4365">
      <colorScale>
        <cfvo type="min"/>
        <cfvo type="percentile" val="50"/>
        <cfvo type="max"/>
        <color rgb="FFF8696B"/>
        <color rgb="FFFFEB84"/>
        <color rgb="FF63BE7B"/>
      </colorScale>
    </cfRule>
  </conditionalFormatting>
  <conditionalFormatting sqref="F29:F32">
    <cfRule type="colorScale" priority="4364">
      <colorScale>
        <cfvo type="min"/>
        <cfvo type="percentile" val="50"/>
        <cfvo type="max"/>
        <color rgb="FFF8696B"/>
        <color rgb="FFFFEB84"/>
        <color rgb="FF63BE7B"/>
      </colorScale>
    </cfRule>
  </conditionalFormatting>
  <conditionalFormatting sqref="F29:F32">
    <cfRule type="colorScale" priority="4363">
      <colorScale>
        <cfvo type="min"/>
        <cfvo type="percentile" val="50"/>
        <cfvo type="max"/>
        <color rgb="FFF8696B"/>
        <color rgb="FFFFEB84"/>
        <color rgb="FF63BE7B"/>
      </colorScale>
    </cfRule>
  </conditionalFormatting>
  <conditionalFormatting sqref="F29:F32">
    <cfRule type="colorScale" priority="4362">
      <colorScale>
        <cfvo type="min"/>
        <cfvo type="percentile" val="50"/>
        <cfvo type="max"/>
        <color rgb="FFF8696B"/>
        <color rgb="FFFFEB84"/>
        <color rgb="FF63BE7B"/>
      </colorScale>
    </cfRule>
  </conditionalFormatting>
  <conditionalFormatting sqref="F29:F32">
    <cfRule type="colorScale" priority="4361">
      <colorScale>
        <cfvo type="min"/>
        <cfvo type="percentile" val="50"/>
        <cfvo type="max"/>
        <color rgb="FFF8696B"/>
        <color rgb="FFFFEB84"/>
        <color rgb="FF63BE7B"/>
      </colorScale>
    </cfRule>
  </conditionalFormatting>
  <conditionalFormatting sqref="F29:F32">
    <cfRule type="colorScale" priority="4360">
      <colorScale>
        <cfvo type="min"/>
        <cfvo type="percentile" val="50"/>
        <cfvo type="max"/>
        <color rgb="FFF8696B"/>
        <color rgb="FFFFEB84"/>
        <color rgb="FF63BE7B"/>
      </colorScale>
    </cfRule>
  </conditionalFormatting>
  <conditionalFormatting sqref="F29:F32">
    <cfRule type="colorScale" priority="4359">
      <colorScale>
        <cfvo type="min"/>
        <cfvo type="percentile" val="50"/>
        <cfvo type="max"/>
        <color rgb="FFF8696B"/>
        <color rgb="FFFFEB84"/>
        <color rgb="FF63BE7B"/>
      </colorScale>
    </cfRule>
  </conditionalFormatting>
  <conditionalFormatting sqref="F29:F32">
    <cfRule type="colorScale" priority="4358">
      <colorScale>
        <cfvo type="min"/>
        <cfvo type="percentile" val="50"/>
        <cfvo type="max"/>
        <color rgb="FFF8696B"/>
        <color rgb="FFFFEB84"/>
        <color rgb="FF63BE7B"/>
      </colorScale>
    </cfRule>
  </conditionalFormatting>
  <conditionalFormatting sqref="F29:F32">
    <cfRule type="colorScale" priority="4357">
      <colorScale>
        <cfvo type="min"/>
        <cfvo type="percentile" val="50"/>
        <cfvo type="max"/>
        <color rgb="FFF8696B"/>
        <color rgb="FFFFEB84"/>
        <color rgb="FF63BE7B"/>
      </colorScale>
    </cfRule>
  </conditionalFormatting>
  <conditionalFormatting sqref="F29:F32">
    <cfRule type="colorScale" priority="4356">
      <colorScale>
        <cfvo type="min"/>
        <cfvo type="percentile" val="50"/>
        <cfvo type="max"/>
        <color rgb="FFF8696B"/>
        <color rgb="FFFFEB84"/>
        <color rgb="FF63BE7B"/>
      </colorScale>
    </cfRule>
  </conditionalFormatting>
  <conditionalFormatting sqref="F29:F32">
    <cfRule type="colorScale" priority="4355">
      <colorScale>
        <cfvo type="min"/>
        <cfvo type="percentile" val="50"/>
        <cfvo type="max"/>
        <color rgb="FFF8696B"/>
        <color rgb="FFFFEB84"/>
        <color rgb="FF63BE7B"/>
      </colorScale>
    </cfRule>
  </conditionalFormatting>
  <conditionalFormatting sqref="F29:F32">
    <cfRule type="colorScale" priority="4354">
      <colorScale>
        <cfvo type="min"/>
        <cfvo type="percentile" val="50"/>
        <cfvo type="max"/>
        <color rgb="FFF8696B"/>
        <color rgb="FFFFEB84"/>
        <color rgb="FF63BE7B"/>
      </colorScale>
    </cfRule>
  </conditionalFormatting>
  <conditionalFormatting sqref="F29:F32">
    <cfRule type="colorScale" priority="4353">
      <colorScale>
        <cfvo type="min"/>
        <cfvo type="percentile" val="50"/>
        <cfvo type="max"/>
        <color rgb="FFF8696B"/>
        <color rgb="FFFFEB84"/>
        <color rgb="FF63BE7B"/>
      </colorScale>
    </cfRule>
  </conditionalFormatting>
  <conditionalFormatting sqref="F29:F32">
    <cfRule type="colorScale" priority="4352">
      <colorScale>
        <cfvo type="min"/>
        <cfvo type="percentile" val="50"/>
        <cfvo type="max"/>
        <color rgb="FFF8696B"/>
        <color rgb="FFFFEB84"/>
        <color rgb="FF63BE7B"/>
      </colorScale>
    </cfRule>
  </conditionalFormatting>
  <conditionalFormatting sqref="F29:F32">
    <cfRule type="colorScale" priority="4351">
      <colorScale>
        <cfvo type="min"/>
        <cfvo type="percentile" val="50"/>
        <cfvo type="max"/>
        <color rgb="FFF8696B"/>
        <color rgb="FFFFEB84"/>
        <color rgb="FF63BE7B"/>
      </colorScale>
    </cfRule>
  </conditionalFormatting>
  <conditionalFormatting sqref="F29:F32">
    <cfRule type="colorScale" priority="4350">
      <colorScale>
        <cfvo type="min"/>
        <cfvo type="percentile" val="50"/>
        <cfvo type="max"/>
        <color rgb="FFF8696B"/>
        <color rgb="FFFFEB84"/>
        <color rgb="FF63BE7B"/>
      </colorScale>
    </cfRule>
  </conditionalFormatting>
  <conditionalFormatting sqref="F29:F32">
    <cfRule type="colorScale" priority="4349">
      <colorScale>
        <cfvo type="min"/>
        <cfvo type="percentile" val="50"/>
        <cfvo type="max"/>
        <color rgb="FFF8696B"/>
        <color rgb="FFFFEB84"/>
        <color rgb="FF63BE7B"/>
      </colorScale>
    </cfRule>
  </conditionalFormatting>
  <conditionalFormatting sqref="F29:F32">
    <cfRule type="colorScale" priority="4348">
      <colorScale>
        <cfvo type="min"/>
        <cfvo type="percentile" val="50"/>
        <cfvo type="max"/>
        <color rgb="FFF8696B"/>
        <color rgb="FFFFEB84"/>
        <color rgb="FF63BE7B"/>
      </colorScale>
    </cfRule>
  </conditionalFormatting>
  <conditionalFormatting sqref="F29:F32">
    <cfRule type="colorScale" priority="4347">
      <colorScale>
        <cfvo type="min"/>
        <cfvo type="percentile" val="50"/>
        <cfvo type="max"/>
        <color rgb="FFF8696B"/>
        <color rgb="FFFFEB84"/>
        <color rgb="FF63BE7B"/>
      </colorScale>
    </cfRule>
  </conditionalFormatting>
  <conditionalFormatting sqref="F29:F32">
    <cfRule type="colorScale" priority="4346">
      <colorScale>
        <cfvo type="min"/>
        <cfvo type="percentile" val="50"/>
        <cfvo type="max"/>
        <color rgb="FFF8696B"/>
        <color rgb="FFFFEB84"/>
        <color rgb="FF63BE7B"/>
      </colorScale>
    </cfRule>
  </conditionalFormatting>
  <conditionalFormatting sqref="F29:F32">
    <cfRule type="colorScale" priority="4345">
      <colorScale>
        <cfvo type="min"/>
        <cfvo type="percentile" val="50"/>
        <cfvo type="max"/>
        <color rgb="FFF8696B"/>
        <color rgb="FFFFEB84"/>
        <color rgb="FF63BE7B"/>
      </colorScale>
    </cfRule>
  </conditionalFormatting>
  <conditionalFormatting sqref="F29:F32">
    <cfRule type="colorScale" priority="4344">
      <colorScale>
        <cfvo type="min"/>
        <cfvo type="percentile" val="50"/>
        <cfvo type="max"/>
        <color rgb="FFF8696B"/>
        <color rgb="FFFFEB84"/>
        <color rgb="FF63BE7B"/>
      </colorScale>
    </cfRule>
  </conditionalFormatting>
  <conditionalFormatting sqref="F29:F32">
    <cfRule type="colorScale" priority="4343">
      <colorScale>
        <cfvo type="min"/>
        <cfvo type="percentile" val="50"/>
        <cfvo type="max"/>
        <color rgb="FFF8696B"/>
        <color rgb="FFFFEB84"/>
        <color rgb="FF63BE7B"/>
      </colorScale>
    </cfRule>
  </conditionalFormatting>
  <conditionalFormatting sqref="F29:F32">
    <cfRule type="colorScale" priority="4342">
      <colorScale>
        <cfvo type="min"/>
        <cfvo type="percentile" val="50"/>
        <cfvo type="max"/>
        <color rgb="FFF8696B"/>
        <color rgb="FFFFEB84"/>
        <color rgb="FF63BE7B"/>
      </colorScale>
    </cfRule>
  </conditionalFormatting>
  <conditionalFormatting sqref="F29:F32">
    <cfRule type="colorScale" priority="4341">
      <colorScale>
        <cfvo type="min"/>
        <cfvo type="percentile" val="50"/>
        <cfvo type="max"/>
        <color rgb="FFF8696B"/>
        <color rgb="FFFFEB84"/>
        <color rgb="FF63BE7B"/>
      </colorScale>
    </cfRule>
  </conditionalFormatting>
  <conditionalFormatting sqref="F29:F32">
    <cfRule type="colorScale" priority="4340">
      <colorScale>
        <cfvo type="min"/>
        <cfvo type="percentile" val="50"/>
        <cfvo type="max"/>
        <color rgb="FFF8696B"/>
        <color rgb="FFFFEB84"/>
        <color rgb="FF63BE7B"/>
      </colorScale>
    </cfRule>
  </conditionalFormatting>
  <conditionalFormatting sqref="F29:F32">
    <cfRule type="colorScale" priority="4339">
      <colorScale>
        <cfvo type="min"/>
        <cfvo type="percentile" val="50"/>
        <cfvo type="max"/>
        <color rgb="FFF8696B"/>
        <color rgb="FFFFEB84"/>
        <color rgb="FF63BE7B"/>
      </colorScale>
    </cfRule>
  </conditionalFormatting>
  <conditionalFormatting sqref="F29:F32">
    <cfRule type="colorScale" priority="4338">
      <colorScale>
        <cfvo type="min"/>
        <cfvo type="percentile" val="50"/>
        <cfvo type="max"/>
        <color rgb="FFF8696B"/>
        <color rgb="FFFFEB84"/>
        <color rgb="FF63BE7B"/>
      </colorScale>
    </cfRule>
  </conditionalFormatting>
  <conditionalFormatting sqref="F29:F32">
    <cfRule type="colorScale" priority="4337">
      <colorScale>
        <cfvo type="min"/>
        <cfvo type="percentile" val="50"/>
        <cfvo type="max"/>
        <color rgb="FFF8696B"/>
        <color rgb="FFFFEB84"/>
        <color rgb="FF63BE7B"/>
      </colorScale>
    </cfRule>
  </conditionalFormatting>
  <conditionalFormatting sqref="F29:F32">
    <cfRule type="colorScale" priority="4336">
      <colorScale>
        <cfvo type="min"/>
        <cfvo type="percentile" val="50"/>
        <cfvo type="max"/>
        <color rgb="FFF8696B"/>
        <color rgb="FFFFEB84"/>
        <color rgb="FF63BE7B"/>
      </colorScale>
    </cfRule>
  </conditionalFormatting>
  <conditionalFormatting sqref="F29:F32">
    <cfRule type="colorScale" priority="4335">
      <colorScale>
        <cfvo type="min"/>
        <cfvo type="percentile" val="50"/>
        <cfvo type="max"/>
        <color rgb="FFF8696B"/>
        <color rgb="FFFFEB84"/>
        <color rgb="FF63BE7B"/>
      </colorScale>
    </cfRule>
  </conditionalFormatting>
  <conditionalFormatting sqref="F29:F32">
    <cfRule type="colorScale" priority="4334">
      <colorScale>
        <cfvo type="min"/>
        <cfvo type="percentile" val="50"/>
        <cfvo type="max"/>
        <color rgb="FFF8696B"/>
        <color rgb="FFFFEB84"/>
        <color rgb="FF63BE7B"/>
      </colorScale>
    </cfRule>
  </conditionalFormatting>
  <conditionalFormatting sqref="F29:F32">
    <cfRule type="colorScale" priority="4333">
      <colorScale>
        <cfvo type="min"/>
        <cfvo type="percentile" val="50"/>
        <cfvo type="max"/>
        <color rgb="FFF8696B"/>
        <color rgb="FFFFEB84"/>
        <color rgb="FF63BE7B"/>
      </colorScale>
    </cfRule>
  </conditionalFormatting>
  <conditionalFormatting sqref="F29:F32">
    <cfRule type="colorScale" priority="4332">
      <colorScale>
        <cfvo type="min"/>
        <cfvo type="percentile" val="50"/>
        <cfvo type="max"/>
        <color rgb="FFF8696B"/>
        <color rgb="FFFFEB84"/>
        <color rgb="FF63BE7B"/>
      </colorScale>
    </cfRule>
  </conditionalFormatting>
  <conditionalFormatting sqref="F29:F32">
    <cfRule type="colorScale" priority="4331">
      <colorScale>
        <cfvo type="min"/>
        <cfvo type="percentile" val="50"/>
        <cfvo type="max"/>
        <color rgb="FFF8696B"/>
        <color rgb="FFFFEB84"/>
        <color rgb="FF63BE7B"/>
      </colorScale>
    </cfRule>
  </conditionalFormatting>
  <conditionalFormatting sqref="F29:F32">
    <cfRule type="colorScale" priority="4330">
      <colorScale>
        <cfvo type="min"/>
        <cfvo type="percentile" val="50"/>
        <cfvo type="max"/>
        <color rgb="FFF8696B"/>
        <color rgb="FFFFEB84"/>
        <color rgb="FF63BE7B"/>
      </colorScale>
    </cfRule>
  </conditionalFormatting>
  <conditionalFormatting sqref="F29:F32">
    <cfRule type="colorScale" priority="4329">
      <colorScale>
        <cfvo type="min"/>
        <cfvo type="percentile" val="50"/>
        <cfvo type="max"/>
        <color rgb="FFF8696B"/>
        <color rgb="FFFFEB84"/>
        <color rgb="FF63BE7B"/>
      </colorScale>
    </cfRule>
  </conditionalFormatting>
  <conditionalFormatting sqref="F29:F32">
    <cfRule type="colorScale" priority="4328">
      <colorScale>
        <cfvo type="min"/>
        <cfvo type="percentile" val="50"/>
        <cfvo type="max"/>
        <color rgb="FFF8696B"/>
        <color rgb="FFFFEB84"/>
        <color rgb="FF63BE7B"/>
      </colorScale>
    </cfRule>
  </conditionalFormatting>
  <conditionalFormatting sqref="F29:F32">
    <cfRule type="colorScale" priority="4327">
      <colorScale>
        <cfvo type="min"/>
        <cfvo type="percentile" val="50"/>
        <cfvo type="max"/>
        <color rgb="FFF8696B"/>
        <color rgb="FFFFEB84"/>
        <color rgb="FF63BE7B"/>
      </colorScale>
    </cfRule>
  </conditionalFormatting>
  <conditionalFormatting sqref="F29:F32">
    <cfRule type="colorScale" priority="4326">
      <colorScale>
        <cfvo type="min"/>
        <cfvo type="percentile" val="50"/>
        <cfvo type="max"/>
        <color rgb="FFF8696B"/>
        <color rgb="FFFFEB84"/>
        <color rgb="FF63BE7B"/>
      </colorScale>
    </cfRule>
  </conditionalFormatting>
  <conditionalFormatting sqref="F29:F32">
    <cfRule type="colorScale" priority="4325">
      <colorScale>
        <cfvo type="min"/>
        <cfvo type="percentile" val="50"/>
        <cfvo type="max"/>
        <color rgb="FFF8696B"/>
        <color rgb="FFFFEB84"/>
        <color rgb="FF63BE7B"/>
      </colorScale>
    </cfRule>
  </conditionalFormatting>
  <conditionalFormatting sqref="F29:F32">
    <cfRule type="colorScale" priority="4324">
      <colorScale>
        <cfvo type="min"/>
        <cfvo type="percentile" val="50"/>
        <cfvo type="max"/>
        <color rgb="FFF8696B"/>
        <color rgb="FFFFEB84"/>
        <color rgb="FF63BE7B"/>
      </colorScale>
    </cfRule>
  </conditionalFormatting>
  <conditionalFormatting sqref="F29:F32">
    <cfRule type="colorScale" priority="4323">
      <colorScale>
        <cfvo type="min"/>
        <cfvo type="percentile" val="50"/>
        <cfvo type="max"/>
        <color rgb="FFF8696B"/>
        <color rgb="FFFFEB84"/>
        <color rgb="FF63BE7B"/>
      </colorScale>
    </cfRule>
  </conditionalFormatting>
  <conditionalFormatting sqref="F29:F32">
    <cfRule type="colorScale" priority="4322">
      <colorScale>
        <cfvo type="min"/>
        <cfvo type="percentile" val="50"/>
        <cfvo type="max"/>
        <color rgb="FFF8696B"/>
        <color rgb="FFFFEB84"/>
        <color rgb="FF63BE7B"/>
      </colorScale>
    </cfRule>
  </conditionalFormatting>
  <conditionalFormatting sqref="F29:F32">
    <cfRule type="colorScale" priority="4321">
      <colorScale>
        <cfvo type="min"/>
        <cfvo type="percentile" val="50"/>
        <cfvo type="max"/>
        <color rgb="FFF8696B"/>
        <color rgb="FFFFEB84"/>
        <color rgb="FF63BE7B"/>
      </colorScale>
    </cfRule>
  </conditionalFormatting>
  <conditionalFormatting sqref="F29:F32">
    <cfRule type="colorScale" priority="4320">
      <colorScale>
        <cfvo type="min"/>
        <cfvo type="percentile" val="50"/>
        <cfvo type="max"/>
        <color rgb="FFF8696B"/>
        <color rgb="FFFFEB84"/>
        <color rgb="FF63BE7B"/>
      </colorScale>
    </cfRule>
  </conditionalFormatting>
  <conditionalFormatting sqref="F29:F32">
    <cfRule type="colorScale" priority="4319">
      <colorScale>
        <cfvo type="min"/>
        <cfvo type="percentile" val="50"/>
        <cfvo type="max"/>
        <color rgb="FFF8696B"/>
        <color rgb="FFFFEB84"/>
        <color rgb="FF63BE7B"/>
      </colorScale>
    </cfRule>
  </conditionalFormatting>
  <conditionalFormatting sqref="F29:F32">
    <cfRule type="colorScale" priority="4318">
      <colorScale>
        <cfvo type="min"/>
        <cfvo type="percentile" val="50"/>
        <cfvo type="max"/>
        <color rgb="FFF8696B"/>
        <color rgb="FFFFEB84"/>
        <color rgb="FF63BE7B"/>
      </colorScale>
    </cfRule>
  </conditionalFormatting>
  <conditionalFormatting sqref="F29:F32">
    <cfRule type="colorScale" priority="4317">
      <colorScale>
        <cfvo type="min"/>
        <cfvo type="percentile" val="50"/>
        <cfvo type="max"/>
        <color rgb="FFF8696B"/>
        <color rgb="FFFFEB84"/>
        <color rgb="FF63BE7B"/>
      </colorScale>
    </cfRule>
  </conditionalFormatting>
  <conditionalFormatting sqref="F29:F32">
    <cfRule type="colorScale" priority="4316">
      <colorScale>
        <cfvo type="min"/>
        <cfvo type="percentile" val="50"/>
        <cfvo type="max"/>
        <color rgb="FFF8696B"/>
        <color rgb="FFFFEB84"/>
        <color rgb="FF63BE7B"/>
      </colorScale>
    </cfRule>
  </conditionalFormatting>
  <conditionalFormatting sqref="F29:F32">
    <cfRule type="colorScale" priority="4315">
      <colorScale>
        <cfvo type="min"/>
        <cfvo type="percentile" val="50"/>
        <cfvo type="max"/>
        <color rgb="FFF8696B"/>
        <color rgb="FFFFEB84"/>
        <color rgb="FF63BE7B"/>
      </colorScale>
    </cfRule>
  </conditionalFormatting>
  <conditionalFormatting sqref="F29:F32">
    <cfRule type="colorScale" priority="4314">
      <colorScale>
        <cfvo type="min"/>
        <cfvo type="percentile" val="50"/>
        <cfvo type="max"/>
        <color rgb="FFF8696B"/>
        <color rgb="FFFFEB84"/>
        <color rgb="FF63BE7B"/>
      </colorScale>
    </cfRule>
  </conditionalFormatting>
  <conditionalFormatting sqref="F29:F32">
    <cfRule type="colorScale" priority="4313">
      <colorScale>
        <cfvo type="min"/>
        <cfvo type="percentile" val="50"/>
        <cfvo type="max"/>
        <color rgb="FFF8696B"/>
        <color rgb="FFFFEB84"/>
        <color rgb="FF63BE7B"/>
      </colorScale>
    </cfRule>
  </conditionalFormatting>
  <conditionalFormatting sqref="F29:F32">
    <cfRule type="colorScale" priority="4312">
      <colorScale>
        <cfvo type="min"/>
        <cfvo type="percentile" val="50"/>
        <cfvo type="max"/>
        <color rgb="FFF8696B"/>
        <color rgb="FFFFEB84"/>
        <color rgb="FF63BE7B"/>
      </colorScale>
    </cfRule>
  </conditionalFormatting>
  <conditionalFormatting sqref="F29:F32">
    <cfRule type="colorScale" priority="4311">
      <colorScale>
        <cfvo type="min"/>
        <cfvo type="percentile" val="50"/>
        <cfvo type="max"/>
        <color rgb="FFF8696B"/>
        <color rgb="FFFFEB84"/>
        <color rgb="FF63BE7B"/>
      </colorScale>
    </cfRule>
  </conditionalFormatting>
  <conditionalFormatting sqref="F29:F32">
    <cfRule type="colorScale" priority="4310">
      <colorScale>
        <cfvo type="min"/>
        <cfvo type="percentile" val="50"/>
        <cfvo type="max"/>
        <color rgb="FFF8696B"/>
        <color rgb="FFFFEB84"/>
        <color rgb="FF63BE7B"/>
      </colorScale>
    </cfRule>
  </conditionalFormatting>
  <conditionalFormatting sqref="F29:F32">
    <cfRule type="colorScale" priority="4309">
      <colorScale>
        <cfvo type="min"/>
        <cfvo type="percentile" val="50"/>
        <cfvo type="max"/>
        <color rgb="FFF8696B"/>
        <color rgb="FFFFEB84"/>
        <color rgb="FF63BE7B"/>
      </colorScale>
    </cfRule>
  </conditionalFormatting>
  <conditionalFormatting sqref="F29:F32">
    <cfRule type="colorScale" priority="4308">
      <colorScale>
        <cfvo type="min"/>
        <cfvo type="percentile" val="50"/>
        <cfvo type="max"/>
        <color rgb="FFF8696B"/>
        <color rgb="FFFFEB84"/>
        <color rgb="FF63BE7B"/>
      </colorScale>
    </cfRule>
  </conditionalFormatting>
  <conditionalFormatting sqref="F29:F32">
    <cfRule type="colorScale" priority="4307">
      <colorScale>
        <cfvo type="min"/>
        <cfvo type="percentile" val="50"/>
        <cfvo type="max"/>
        <color rgb="FFF8696B"/>
        <color rgb="FFFFEB84"/>
        <color rgb="FF63BE7B"/>
      </colorScale>
    </cfRule>
  </conditionalFormatting>
  <conditionalFormatting sqref="F29:F32">
    <cfRule type="colorScale" priority="4306">
      <colorScale>
        <cfvo type="min"/>
        <cfvo type="percentile" val="50"/>
        <cfvo type="max"/>
        <color rgb="FFF8696B"/>
        <color rgb="FFFFEB84"/>
        <color rgb="FF63BE7B"/>
      </colorScale>
    </cfRule>
  </conditionalFormatting>
  <conditionalFormatting sqref="F29:F32">
    <cfRule type="colorScale" priority="4305">
      <colorScale>
        <cfvo type="min"/>
        <cfvo type="percentile" val="50"/>
        <cfvo type="max"/>
        <color rgb="FFF8696B"/>
        <color rgb="FFFFEB84"/>
        <color rgb="FF63BE7B"/>
      </colorScale>
    </cfRule>
  </conditionalFormatting>
  <conditionalFormatting sqref="F29:F32">
    <cfRule type="colorScale" priority="4304">
      <colorScale>
        <cfvo type="min"/>
        <cfvo type="percentile" val="50"/>
        <cfvo type="max"/>
        <color rgb="FFF8696B"/>
        <color rgb="FFFFEB84"/>
        <color rgb="FF63BE7B"/>
      </colorScale>
    </cfRule>
  </conditionalFormatting>
  <conditionalFormatting sqref="F29:F32">
    <cfRule type="colorScale" priority="4303">
      <colorScale>
        <cfvo type="min"/>
        <cfvo type="percentile" val="50"/>
        <cfvo type="max"/>
        <color rgb="FFF8696B"/>
        <color rgb="FFFFEB84"/>
        <color rgb="FF63BE7B"/>
      </colorScale>
    </cfRule>
  </conditionalFormatting>
  <conditionalFormatting sqref="F29:F32">
    <cfRule type="colorScale" priority="4302">
      <colorScale>
        <cfvo type="min"/>
        <cfvo type="percentile" val="50"/>
        <cfvo type="max"/>
        <color rgb="FFF8696B"/>
        <color rgb="FFFFEB84"/>
        <color rgb="FF63BE7B"/>
      </colorScale>
    </cfRule>
  </conditionalFormatting>
  <conditionalFormatting sqref="F29:F32">
    <cfRule type="colorScale" priority="4301">
      <colorScale>
        <cfvo type="min"/>
        <cfvo type="percentile" val="50"/>
        <cfvo type="max"/>
        <color rgb="FFF8696B"/>
        <color rgb="FFFFEB84"/>
        <color rgb="FF63BE7B"/>
      </colorScale>
    </cfRule>
  </conditionalFormatting>
  <conditionalFormatting sqref="F29:F32">
    <cfRule type="colorScale" priority="4300">
      <colorScale>
        <cfvo type="min"/>
        <cfvo type="percentile" val="50"/>
        <cfvo type="max"/>
        <color rgb="FFF8696B"/>
        <color rgb="FFFFEB84"/>
        <color rgb="FF63BE7B"/>
      </colorScale>
    </cfRule>
  </conditionalFormatting>
  <conditionalFormatting sqref="F29:F32">
    <cfRule type="colorScale" priority="4299">
      <colorScale>
        <cfvo type="min"/>
        <cfvo type="percentile" val="50"/>
        <cfvo type="max"/>
        <color rgb="FFF8696B"/>
        <color rgb="FFFFEB84"/>
        <color rgb="FF63BE7B"/>
      </colorScale>
    </cfRule>
  </conditionalFormatting>
  <conditionalFormatting sqref="F29:F32">
    <cfRule type="colorScale" priority="4298">
      <colorScale>
        <cfvo type="min"/>
        <cfvo type="percentile" val="50"/>
        <cfvo type="max"/>
        <color rgb="FFF8696B"/>
        <color rgb="FFFFEB84"/>
        <color rgb="FF63BE7B"/>
      </colorScale>
    </cfRule>
  </conditionalFormatting>
  <conditionalFormatting sqref="F29:F32">
    <cfRule type="colorScale" priority="4297">
      <colorScale>
        <cfvo type="min"/>
        <cfvo type="percentile" val="50"/>
        <cfvo type="max"/>
        <color rgb="FFF8696B"/>
        <color rgb="FFFFEB84"/>
        <color rgb="FF63BE7B"/>
      </colorScale>
    </cfRule>
  </conditionalFormatting>
  <conditionalFormatting sqref="F29:F32">
    <cfRule type="colorScale" priority="4296">
      <colorScale>
        <cfvo type="min"/>
        <cfvo type="percentile" val="50"/>
        <cfvo type="max"/>
        <color rgb="FFF8696B"/>
        <color rgb="FFFFEB84"/>
        <color rgb="FF63BE7B"/>
      </colorScale>
    </cfRule>
  </conditionalFormatting>
  <conditionalFormatting sqref="F29:F32">
    <cfRule type="colorScale" priority="4295">
      <colorScale>
        <cfvo type="min"/>
        <cfvo type="percentile" val="50"/>
        <cfvo type="max"/>
        <color rgb="FFF8696B"/>
        <color rgb="FFFFEB84"/>
        <color rgb="FF63BE7B"/>
      </colorScale>
    </cfRule>
  </conditionalFormatting>
  <conditionalFormatting sqref="F29:F32">
    <cfRule type="colorScale" priority="4294">
      <colorScale>
        <cfvo type="min"/>
        <cfvo type="percentile" val="50"/>
        <cfvo type="max"/>
        <color rgb="FFF8696B"/>
        <color rgb="FFFFEB84"/>
        <color rgb="FF63BE7B"/>
      </colorScale>
    </cfRule>
  </conditionalFormatting>
  <conditionalFormatting sqref="F29:F32">
    <cfRule type="colorScale" priority="4293">
      <colorScale>
        <cfvo type="min"/>
        <cfvo type="percentile" val="50"/>
        <cfvo type="max"/>
        <color rgb="FFF8696B"/>
        <color rgb="FFFFEB84"/>
        <color rgb="FF63BE7B"/>
      </colorScale>
    </cfRule>
  </conditionalFormatting>
  <conditionalFormatting sqref="F29:F32">
    <cfRule type="colorScale" priority="4292">
      <colorScale>
        <cfvo type="min"/>
        <cfvo type="percentile" val="50"/>
        <cfvo type="max"/>
        <color rgb="FFF8696B"/>
        <color rgb="FFFFEB84"/>
        <color rgb="FF63BE7B"/>
      </colorScale>
    </cfRule>
  </conditionalFormatting>
  <conditionalFormatting sqref="F29:F32">
    <cfRule type="colorScale" priority="4291">
      <colorScale>
        <cfvo type="min"/>
        <cfvo type="percentile" val="50"/>
        <cfvo type="max"/>
        <color rgb="FFF8696B"/>
        <color rgb="FFFFEB84"/>
        <color rgb="FF63BE7B"/>
      </colorScale>
    </cfRule>
  </conditionalFormatting>
  <conditionalFormatting sqref="F29:F32">
    <cfRule type="colorScale" priority="4290">
      <colorScale>
        <cfvo type="min"/>
        <cfvo type="percentile" val="50"/>
        <cfvo type="max"/>
        <color rgb="FFF8696B"/>
        <color rgb="FFFFEB84"/>
        <color rgb="FF63BE7B"/>
      </colorScale>
    </cfRule>
  </conditionalFormatting>
  <conditionalFormatting sqref="F29:F32">
    <cfRule type="colorScale" priority="4289">
      <colorScale>
        <cfvo type="min"/>
        <cfvo type="percentile" val="50"/>
        <cfvo type="max"/>
        <color rgb="FFF8696B"/>
        <color rgb="FFFFEB84"/>
        <color rgb="FF63BE7B"/>
      </colorScale>
    </cfRule>
  </conditionalFormatting>
  <conditionalFormatting sqref="F29:F32">
    <cfRule type="colorScale" priority="4288">
      <colorScale>
        <cfvo type="min"/>
        <cfvo type="percentile" val="50"/>
        <cfvo type="max"/>
        <color rgb="FFF8696B"/>
        <color rgb="FFFFEB84"/>
        <color rgb="FF63BE7B"/>
      </colorScale>
    </cfRule>
  </conditionalFormatting>
  <conditionalFormatting sqref="F29:F32">
    <cfRule type="colorScale" priority="4287">
      <colorScale>
        <cfvo type="min"/>
        <cfvo type="percentile" val="50"/>
        <cfvo type="max"/>
        <color rgb="FFF8696B"/>
        <color rgb="FFFFEB84"/>
        <color rgb="FF63BE7B"/>
      </colorScale>
    </cfRule>
  </conditionalFormatting>
  <conditionalFormatting sqref="F29:F32">
    <cfRule type="colorScale" priority="4286">
      <colorScale>
        <cfvo type="min"/>
        <cfvo type="percentile" val="50"/>
        <cfvo type="max"/>
        <color rgb="FFF8696B"/>
        <color rgb="FFFFEB84"/>
        <color rgb="FF63BE7B"/>
      </colorScale>
    </cfRule>
  </conditionalFormatting>
  <conditionalFormatting sqref="F29:F32">
    <cfRule type="colorScale" priority="4285">
      <colorScale>
        <cfvo type="min"/>
        <cfvo type="percentile" val="50"/>
        <cfvo type="max"/>
        <color rgb="FFF8696B"/>
        <color rgb="FFFFEB84"/>
        <color rgb="FF63BE7B"/>
      </colorScale>
    </cfRule>
  </conditionalFormatting>
  <conditionalFormatting sqref="F29:F32">
    <cfRule type="colorScale" priority="4284">
      <colorScale>
        <cfvo type="min"/>
        <cfvo type="percentile" val="50"/>
        <cfvo type="max"/>
        <color rgb="FFF8696B"/>
        <color rgb="FFFFEB84"/>
        <color rgb="FF63BE7B"/>
      </colorScale>
    </cfRule>
  </conditionalFormatting>
  <conditionalFormatting sqref="F29:F32">
    <cfRule type="colorScale" priority="4283">
      <colorScale>
        <cfvo type="min"/>
        <cfvo type="percentile" val="50"/>
        <cfvo type="max"/>
        <color rgb="FFF8696B"/>
        <color rgb="FFFFEB84"/>
        <color rgb="FF63BE7B"/>
      </colorScale>
    </cfRule>
  </conditionalFormatting>
  <conditionalFormatting sqref="F29:F32">
    <cfRule type="colorScale" priority="4282">
      <colorScale>
        <cfvo type="min"/>
        <cfvo type="percentile" val="50"/>
        <cfvo type="max"/>
        <color rgb="FFF8696B"/>
        <color rgb="FFFFEB84"/>
        <color rgb="FF63BE7B"/>
      </colorScale>
    </cfRule>
  </conditionalFormatting>
  <conditionalFormatting sqref="F29:F32">
    <cfRule type="colorScale" priority="4281">
      <colorScale>
        <cfvo type="min"/>
        <cfvo type="percentile" val="50"/>
        <cfvo type="max"/>
        <color rgb="FFF8696B"/>
        <color rgb="FFFFEB84"/>
        <color rgb="FF63BE7B"/>
      </colorScale>
    </cfRule>
  </conditionalFormatting>
  <conditionalFormatting sqref="F29:F32">
    <cfRule type="colorScale" priority="4280">
      <colorScale>
        <cfvo type="min"/>
        <cfvo type="percentile" val="50"/>
        <cfvo type="max"/>
        <color rgb="FFF8696B"/>
        <color rgb="FFFFEB84"/>
        <color rgb="FF63BE7B"/>
      </colorScale>
    </cfRule>
  </conditionalFormatting>
  <conditionalFormatting sqref="F29:F32">
    <cfRule type="colorScale" priority="4279">
      <colorScale>
        <cfvo type="min"/>
        <cfvo type="percentile" val="50"/>
        <cfvo type="max"/>
        <color rgb="FFF8696B"/>
        <color rgb="FFFFEB84"/>
        <color rgb="FF63BE7B"/>
      </colorScale>
    </cfRule>
  </conditionalFormatting>
  <conditionalFormatting sqref="F29:F32">
    <cfRule type="colorScale" priority="4278">
      <colorScale>
        <cfvo type="min"/>
        <cfvo type="percentile" val="50"/>
        <cfvo type="max"/>
        <color rgb="FFF8696B"/>
        <color rgb="FFFFEB84"/>
        <color rgb="FF63BE7B"/>
      </colorScale>
    </cfRule>
  </conditionalFormatting>
  <conditionalFormatting sqref="F29:F32">
    <cfRule type="colorScale" priority="4277">
      <colorScale>
        <cfvo type="min"/>
        <cfvo type="percentile" val="50"/>
        <cfvo type="max"/>
        <color rgb="FFF8696B"/>
        <color rgb="FFFFEB84"/>
        <color rgb="FF63BE7B"/>
      </colorScale>
    </cfRule>
  </conditionalFormatting>
  <conditionalFormatting sqref="F29:F32">
    <cfRule type="colorScale" priority="4276">
      <colorScale>
        <cfvo type="min"/>
        <cfvo type="percentile" val="50"/>
        <cfvo type="max"/>
        <color rgb="FFF8696B"/>
        <color rgb="FFFFEB84"/>
        <color rgb="FF63BE7B"/>
      </colorScale>
    </cfRule>
  </conditionalFormatting>
  <conditionalFormatting sqref="F29:F32">
    <cfRule type="colorScale" priority="4275">
      <colorScale>
        <cfvo type="min"/>
        <cfvo type="percentile" val="50"/>
        <cfvo type="max"/>
        <color rgb="FFF8696B"/>
        <color rgb="FFFFEB84"/>
        <color rgb="FF63BE7B"/>
      </colorScale>
    </cfRule>
  </conditionalFormatting>
  <conditionalFormatting sqref="F29:F32">
    <cfRule type="colorScale" priority="4274">
      <colorScale>
        <cfvo type="min"/>
        <cfvo type="percentile" val="50"/>
        <cfvo type="max"/>
        <color rgb="FFF8696B"/>
        <color rgb="FFFFEB84"/>
        <color rgb="FF63BE7B"/>
      </colorScale>
    </cfRule>
  </conditionalFormatting>
  <conditionalFormatting sqref="F29:F32">
    <cfRule type="colorScale" priority="4273">
      <colorScale>
        <cfvo type="min"/>
        <cfvo type="percentile" val="50"/>
        <cfvo type="max"/>
        <color rgb="FFF8696B"/>
        <color rgb="FFFFEB84"/>
        <color rgb="FF63BE7B"/>
      </colorScale>
    </cfRule>
  </conditionalFormatting>
  <conditionalFormatting sqref="F29:F32">
    <cfRule type="colorScale" priority="4272">
      <colorScale>
        <cfvo type="min"/>
        <cfvo type="percentile" val="50"/>
        <cfvo type="max"/>
        <color rgb="FFF8696B"/>
        <color rgb="FFFFEB84"/>
        <color rgb="FF63BE7B"/>
      </colorScale>
    </cfRule>
  </conditionalFormatting>
  <conditionalFormatting sqref="F29:F32">
    <cfRule type="colorScale" priority="4271">
      <colorScale>
        <cfvo type="min"/>
        <cfvo type="percentile" val="50"/>
        <cfvo type="max"/>
        <color rgb="FFF8696B"/>
        <color rgb="FFFFEB84"/>
        <color rgb="FF63BE7B"/>
      </colorScale>
    </cfRule>
  </conditionalFormatting>
  <conditionalFormatting sqref="F29:F32">
    <cfRule type="colorScale" priority="4270">
      <colorScale>
        <cfvo type="min"/>
        <cfvo type="percentile" val="50"/>
        <cfvo type="max"/>
        <color rgb="FFF8696B"/>
        <color rgb="FFFFEB84"/>
        <color rgb="FF63BE7B"/>
      </colorScale>
    </cfRule>
  </conditionalFormatting>
  <conditionalFormatting sqref="F29:F32">
    <cfRule type="colorScale" priority="4269">
      <colorScale>
        <cfvo type="min"/>
        <cfvo type="percentile" val="50"/>
        <cfvo type="max"/>
        <color rgb="FFF8696B"/>
        <color rgb="FFFFEB84"/>
        <color rgb="FF63BE7B"/>
      </colorScale>
    </cfRule>
  </conditionalFormatting>
  <conditionalFormatting sqref="F29:F32">
    <cfRule type="colorScale" priority="4268">
      <colorScale>
        <cfvo type="min"/>
        <cfvo type="percentile" val="50"/>
        <cfvo type="max"/>
        <color rgb="FFF8696B"/>
        <color rgb="FFFFEB84"/>
        <color rgb="FF63BE7B"/>
      </colorScale>
    </cfRule>
  </conditionalFormatting>
  <conditionalFormatting sqref="F29:F32">
    <cfRule type="colorScale" priority="4267">
      <colorScale>
        <cfvo type="min"/>
        <cfvo type="percentile" val="50"/>
        <cfvo type="max"/>
        <color rgb="FFF8696B"/>
        <color rgb="FFFFEB84"/>
        <color rgb="FF63BE7B"/>
      </colorScale>
    </cfRule>
  </conditionalFormatting>
  <conditionalFormatting sqref="F29:F32">
    <cfRule type="colorScale" priority="4266">
      <colorScale>
        <cfvo type="min"/>
        <cfvo type="percentile" val="50"/>
        <cfvo type="max"/>
        <color rgb="FFF8696B"/>
        <color rgb="FFFFEB84"/>
        <color rgb="FF63BE7B"/>
      </colorScale>
    </cfRule>
  </conditionalFormatting>
  <conditionalFormatting sqref="F29:F32">
    <cfRule type="colorScale" priority="4265">
      <colorScale>
        <cfvo type="min"/>
        <cfvo type="percentile" val="50"/>
        <cfvo type="max"/>
        <color rgb="FFF8696B"/>
        <color rgb="FFFFEB84"/>
        <color rgb="FF63BE7B"/>
      </colorScale>
    </cfRule>
  </conditionalFormatting>
  <conditionalFormatting sqref="F29:F32">
    <cfRule type="colorScale" priority="4264">
      <colorScale>
        <cfvo type="min"/>
        <cfvo type="percentile" val="50"/>
        <cfvo type="max"/>
        <color rgb="FFF8696B"/>
        <color rgb="FFFFEB84"/>
        <color rgb="FF63BE7B"/>
      </colorScale>
    </cfRule>
  </conditionalFormatting>
  <conditionalFormatting sqref="F29:F32">
    <cfRule type="colorScale" priority="4263">
      <colorScale>
        <cfvo type="min"/>
        <cfvo type="percentile" val="50"/>
        <cfvo type="max"/>
        <color rgb="FFF8696B"/>
        <color rgb="FFFFEB84"/>
        <color rgb="FF63BE7B"/>
      </colorScale>
    </cfRule>
  </conditionalFormatting>
  <conditionalFormatting sqref="F29:F32">
    <cfRule type="colorScale" priority="4262">
      <colorScale>
        <cfvo type="min"/>
        <cfvo type="percentile" val="50"/>
        <cfvo type="max"/>
        <color rgb="FFF8696B"/>
        <color rgb="FFFFEB84"/>
        <color rgb="FF63BE7B"/>
      </colorScale>
    </cfRule>
  </conditionalFormatting>
  <conditionalFormatting sqref="F29:F32">
    <cfRule type="colorScale" priority="4261">
      <colorScale>
        <cfvo type="min"/>
        <cfvo type="percentile" val="50"/>
        <cfvo type="max"/>
        <color rgb="FFF8696B"/>
        <color rgb="FFFFEB84"/>
        <color rgb="FF63BE7B"/>
      </colorScale>
    </cfRule>
  </conditionalFormatting>
  <conditionalFormatting sqref="F29:F32">
    <cfRule type="colorScale" priority="4260">
      <colorScale>
        <cfvo type="min"/>
        <cfvo type="percentile" val="50"/>
        <cfvo type="max"/>
        <color rgb="FFF8696B"/>
        <color rgb="FFFFEB84"/>
        <color rgb="FF63BE7B"/>
      </colorScale>
    </cfRule>
  </conditionalFormatting>
  <conditionalFormatting sqref="F29:F32">
    <cfRule type="colorScale" priority="4259">
      <colorScale>
        <cfvo type="min"/>
        <cfvo type="percentile" val="50"/>
        <cfvo type="max"/>
        <color rgb="FFF8696B"/>
        <color rgb="FFFFEB84"/>
        <color rgb="FF63BE7B"/>
      </colorScale>
    </cfRule>
  </conditionalFormatting>
  <conditionalFormatting sqref="F29:F32">
    <cfRule type="colorScale" priority="4258">
      <colorScale>
        <cfvo type="min"/>
        <cfvo type="percentile" val="50"/>
        <cfvo type="max"/>
        <color rgb="FFF8696B"/>
        <color rgb="FFFFEB84"/>
        <color rgb="FF63BE7B"/>
      </colorScale>
    </cfRule>
  </conditionalFormatting>
  <conditionalFormatting sqref="F29:F32">
    <cfRule type="colorScale" priority="4257">
      <colorScale>
        <cfvo type="min"/>
        <cfvo type="percentile" val="50"/>
        <cfvo type="max"/>
        <color rgb="FFF8696B"/>
        <color rgb="FFFFEB84"/>
        <color rgb="FF63BE7B"/>
      </colorScale>
    </cfRule>
  </conditionalFormatting>
  <conditionalFormatting sqref="F29:F32">
    <cfRule type="colorScale" priority="4256">
      <colorScale>
        <cfvo type="min"/>
        <cfvo type="percentile" val="50"/>
        <cfvo type="max"/>
        <color rgb="FFF8696B"/>
        <color rgb="FFFFEB84"/>
        <color rgb="FF63BE7B"/>
      </colorScale>
    </cfRule>
  </conditionalFormatting>
  <conditionalFormatting sqref="F29:F32">
    <cfRule type="colorScale" priority="4255">
      <colorScale>
        <cfvo type="min"/>
        <cfvo type="percentile" val="50"/>
        <cfvo type="max"/>
        <color rgb="FFF8696B"/>
        <color rgb="FFFFEB84"/>
        <color rgb="FF63BE7B"/>
      </colorScale>
    </cfRule>
  </conditionalFormatting>
  <conditionalFormatting sqref="F29:F32">
    <cfRule type="colorScale" priority="4254">
      <colorScale>
        <cfvo type="min"/>
        <cfvo type="percentile" val="50"/>
        <cfvo type="max"/>
        <color rgb="FFF8696B"/>
        <color rgb="FFFFEB84"/>
        <color rgb="FF63BE7B"/>
      </colorScale>
    </cfRule>
  </conditionalFormatting>
  <conditionalFormatting sqref="F29:F32">
    <cfRule type="colorScale" priority="4253">
      <colorScale>
        <cfvo type="min"/>
        <cfvo type="percentile" val="50"/>
        <cfvo type="max"/>
        <color rgb="FFF8696B"/>
        <color rgb="FFFFEB84"/>
        <color rgb="FF63BE7B"/>
      </colorScale>
    </cfRule>
  </conditionalFormatting>
  <conditionalFormatting sqref="F11:F31">
    <cfRule type="colorScale" priority="4252">
      <colorScale>
        <cfvo type="min"/>
        <cfvo type="percentile" val="50"/>
        <cfvo type="max"/>
        <color rgb="FFF8696B"/>
        <color rgb="FFFFEB84"/>
        <color rgb="FF63BE7B"/>
      </colorScale>
    </cfRule>
  </conditionalFormatting>
  <conditionalFormatting sqref="F11:F31">
    <cfRule type="colorScale" priority="4251">
      <colorScale>
        <cfvo type="min"/>
        <cfvo type="percentile" val="50"/>
        <cfvo type="max"/>
        <color rgb="FFF8696B"/>
        <color rgb="FFFFEB84"/>
        <color rgb="FF63BE7B"/>
      </colorScale>
    </cfRule>
  </conditionalFormatting>
  <conditionalFormatting sqref="F11:F31">
    <cfRule type="colorScale" priority="4250">
      <colorScale>
        <cfvo type="min"/>
        <cfvo type="percentile" val="50"/>
        <cfvo type="max"/>
        <color rgb="FFF8696B"/>
        <color rgb="FFFFEB84"/>
        <color rgb="FF63BE7B"/>
      </colorScale>
    </cfRule>
  </conditionalFormatting>
  <conditionalFormatting sqref="F11:F31">
    <cfRule type="colorScale" priority="4249">
      <colorScale>
        <cfvo type="min"/>
        <cfvo type="percentile" val="50"/>
        <cfvo type="max"/>
        <color rgb="FFF8696B"/>
        <color rgb="FFFFEB84"/>
        <color rgb="FF63BE7B"/>
      </colorScale>
    </cfRule>
  </conditionalFormatting>
  <conditionalFormatting sqref="F11:F31">
    <cfRule type="colorScale" priority="4248">
      <colorScale>
        <cfvo type="min"/>
        <cfvo type="percentile" val="50"/>
        <cfvo type="max"/>
        <color rgb="FFF8696B"/>
        <color rgb="FFFFEB84"/>
        <color rgb="FF63BE7B"/>
      </colorScale>
    </cfRule>
  </conditionalFormatting>
  <conditionalFormatting sqref="F11:F31">
    <cfRule type="colorScale" priority="4247">
      <colorScale>
        <cfvo type="min"/>
        <cfvo type="percentile" val="50"/>
        <cfvo type="max"/>
        <color rgb="FFF8696B"/>
        <color rgb="FFFFEB84"/>
        <color rgb="FF63BE7B"/>
      </colorScale>
    </cfRule>
  </conditionalFormatting>
  <conditionalFormatting sqref="F11:F31">
    <cfRule type="colorScale" priority="4246">
      <colorScale>
        <cfvo type="min"/>
        <cfvo type="percentile" val="50"/>
        <cfvo type="max"/>
        <color rgb="FFF8696B"/>
        <color rgb="FFFFEB84"/>
        <color rgb="FF63BE7B"/>
      </colorScale>
    </cfRule>
  </conditionalFormatting>
  <conditionalFormatting sqref="F11:F31">
    <cfRule type="colorScale" priority="4245">
      <colorScale>
        <cfvo type="min"/>
        <cfvo type="percentile" val="50"/>
        <cfvo type="max"/>
        <color rgb="FFF8696B"/>
        <color rgb="FFFFEB84"/>
        <color rgb="FF63BE7B"/>
      </colorScale>
    </cfRule>
  </conditionalFormatting>
  <conditionalFormatting sqref="F11:F31">
    <cfRule type="colorScale" priority="4244">
      <colorScale>
        <cfvo type="min"/>
        <cfvo type="percentile" val="50"/>
        <cfvo type="max"/>
        <color rgb="FFF8696B"/>
        <color rgb="FFFFEB84"/>
        <color rgb="FF63BE7B"/>
      </colorScale>
    </cfRule>
  </conditionalFormatting>
  <conditionalFormatting sqref="F11:F31">
    <cfRule type="colorScale" priority="4243">
      <colorScale>
        <cfvo type="min"/>
        <cfvo type="percentile" val="50"/>
        <cfvo type="max"/>
        <color rgb="FFF8696B"/>
        <color rgb="FFFFEB84"/>
        <color rgb="FF63BE7B"/>
      </colorScale>
    </cfRule>
  </conditionalFormatting>
  <conditionalFormatting sqref="F11:F31">
    <cfRule type="colorScale" priority="4242">
      <colorScale>
        <cfvo type="min"/>
        <cfvo type="percentile" val="50"/>
        <cfvo type="max"/>
        <color rgb="FFF8696B"/>
        <color rgb="FFFFEB84"/>
        <color rgb="FF63BE7B"/>
      </colorScale>
    </cfRule>
  </conditionalFormatting>
  <conditionalFormatting sqref="F11:F31">
    <cfRule type="colorScale" priority="4241">
      <colorScale>
        <cfvo type="min"/>
        <cfvo type="percentile" val="50"/>
        <cfvo type="max"/>
        <color rgb="FFF8696B"/>
        <color rgb="FFFFEB84"/>
        <color rgb="FF63BE7B"/>
      </colorScale>
    </cfRule>
  </conditionalFormatting>
  <conditionalFormatting sqref="F11:F31">
    <cfRule type="colorScale" priority="4240">
      <colorScale>
        <cfvo type="min"/>
        <cfvo type="percentile" val="50"/>
        <cfvo type="max"/>
        <color rgb="FFF8696B"/>
        <color rgb="FFFFEB84"/>
        <color rgb="FF63BE7B"/>
      </colorScale>
    </cfRule>
  </conditionalFormatting>
  <conditionalFormatting sqref="F11:F31">
    <cfRule type="colorScale" priority="4239">
      <colorScale>
        <cfvo type="min"/>
        <cfvo type="percentile" val="50"/>
        <cfvo type="max"/>
        <color rgb="FFF8696B"/>
        <color rgb="FFFFEB84"/>
        <color rgb="FF63BE7B"/>
      </colorScale>
    </cfRule>
  </conditionalFormatting>
  <conditionalFormatting sqref="F11:F31">
    <cfRule type="colorScale" priority="4238">
      <colorScale>
        <cfvo type="min"/>
        <cfvo type="percentile" val="50"/>
        <cfvo type="max"/>
        <color rgb="FFF8696B"/>
        <color rgb="FFFFEB84"/>
        <color rgb="FF63BE7B"/>
      </colorScale>
    </cfRule>
  </conditionalFormatting>
  <conditionalFormatting sqref="F11:F31">
    <cfRule type="colorScale" priority="4237">
      <colorScale>
        <cfvo type="min"/>
        <cfvo type="percentile" val="50"/>
        <cfvo type="max"/>
        <color rgb="FFF8696B"/>
        <color rgb="FFFFEB84"/>
        <color rgb="FF63BE7B"/>
      </colorScale>
    </cfRule>
  </conditionalFormatting>
  <conditionalFormatting sqref="F11:F31">
    <cfRule type="colorScale" priority="4236">
      <colorScale>
        <cfvo type="min"/>
        <cfvo type="percentile" val="50"/>
        <cfvo type="max"/>
        <color rgb="FFF8696B"/>
        <color rgb="FFFFEB84"/>
        <color rgb="FF63BE7B"/>
      </colorScale>
    </cfRule>
  </conditionalFormatting>
  <conditionalFormatting sqref="F11:F31">
    <cfRule type="colorScale" priority="4235">
      <colorScale>
        <cfvo type="min"/>
        <cfvo type="percentile" val="50"/>
        <cfvo type="max"/>
        <color rgb="FFF8696B"/>
        <color rgb="FFFFEB84"/>
        <color rgb="FF63BE7B"/>
      </colorScale>
    </cfRule>
  </conditionalFormatting>
  <conditionalFormatting sqref="F11:F31">
    <cfRule type="colorScale" priority="4234">
      <colorScale>
        <cfvo type="min"/>
        <cfvo type="percentile" val="50"/>
        <cfvo type="max"/>
        <color rgb="FFF8696B"/>
        <color rgb="FFFFEB84"/>
        <color rgb="FF63BE7B"/>
      </colorScale>
    </cfRule>
  </conditionalFormatting>
  <conditionalFormatting sqref="F11:F31">
    <cfRule type="colorScale" priority="4233">
      <colorScale>
        <cfvo type="min"/>
        <cfvo type="percentile" val="50"/>
        <cfvo type="max"/>
        <color rgb="FFF8696B"/>
        <color rgb="FFFFEB84"/>
        <color rgb="FF63BE7B"/>
      </colorScale>
    </cfRule>
  </conditionalFormatting>
  <conditionalFormatting sqref="F11:F31">
    <cfRule type="colorScale" priority="4232">
      <colorScale>
        <cfvo type="min"/>
        <cfvo type="percentile" val="50"/>
        <cfvo type="max"/>
        <color rgb="FFF8696B"/>
        <color rgb="FFFFEB84"/>
        <color rgb="FF63BE7B"/>
      </colorScale>
    </cfRule>
  </conditionalFormatting>
  <conditionalFormatting sqref="F11:F31">
    <cfRule type="colorScale" priority="4231">
      <colorScale>
        <cfvo type="min"/>
        <cfvo type="percentile" val="50"/>
        <cfvo type="max"/>
        <color rgb="FFF8696B"/>
        <color rgb="FFFFEB84"/>
        <color rgb="FF63BE7B"/>
      </colorScale>
    </cfRule>
  </conditionalFormatting>
  <conditionalFormatting sqref="F11:F31">
    <cfRule type="colorScale" priority="4230">
      <colorScale>
        <cfvo type="min"/>
        <cfvo type="percentile" val="50"/>
        <cfvo type="max"/>
        <color rgb="FFF8696B"/>
        <color rgb="FFFFEB84"/>
        <color rgb="FF63BE7B"/>
      </colorScale>
    </cfRule>
  </conditionalFormatting>
  <conditionalFormatting sqref="F11:F31">
    <cfRule type="colorScale" priority="4229">
      <colorScale>
        <cfvo type="min"/>
        <cfvo type="percentile" val="50"/>
        <cfvo type="max"/>
        <color rgb="FFF8696B"/>
        <color rgb="FFFFEB84"/>
        <color rgb="FF63BE7B"/>
      </colorScale>
    </cfRule>
  </conditionalFormatting>
  <conditionalFormatting sqref="F11:F31">
    <cfRule type="colorScale" priority="4228">
      <colorScale>
        <cfvo type="min"/>
        <cfvo type="percentile" val="50"/>
        <cfvo type="max"/>
        <color rgb="FFF8696B"/>
        <color rgb="FFFFEB84"/>
        <color rgb="FF63BE7B"/>
      </colorScale>
    </cfRule>
  </conditionalFormatting>
  <conditionalFormatting sqref="F11:F31">
    <cfRule type="colorScale" priority="4227">
      <colorScale>
        <cfvo type="min"/>
        <cfvo type="percentile" val="50"/>
        <cfvo type="max"/>
        <color rgb="FFF8696B"/>
        <color rgb="FFFFEB84"/>
        <color rgb="FF63BE7B"/>
      </colorScale>
    </cfRule>
  </conditionalFormatting>
  <conditionalFormatting sqref="F11:F31">
    <cfRule type="colorScale" priority="4226">
      <colorScale>
        <cfvo type="min"/>
        <cfvo type="percentile" val="50"/>
        <cfvo type="max"/>
        <color rgb="FFF8696B"/>
        <color rgb="FFFFEB84"/>
        <color rgb="FF63BE7B"/>
      </colorScale>
    </cfRule>
  </conditionalFormatting>
  <conditionalFormatting sqref="F11:F31">
    <cfRule type="colorScale" priority="4225">
      <colorScale>
        <cfvo type="min"/>
        <cfvo type="percentile" val="50"/>
        <cfvo type="max"/>
        <color rgb="FFF8696B"/>
        <color rgb="FFFFEB84"/>
        <color rgb="FF63BE7B"/>
      </colorScale>
    </cfRule>
  </conditionalFormatting>
  <conditionalFormatting sqref="F11:F31">
    <cfRule type="colorScale" priority="4224">
      <colorScale>
        <cfvo type="min"/>
        <cfvo type="percentile" val="50"/>
        <cfvo type="max"/>
        <color rgb="FFF8696B"/>
        <color rgb="FFFFEB84"/>
        <color rgb="FF63BE7B"/>
      </colorScale>
    </cfRule>
  </conditionalFormatting>
  <conditionalFormatting sqref="F11:F31">
    <cfRule type="colorScale" priority="4223">
      <colorScale>
        <cfvo type="min"/>
        <cfvo type="percentile" val="50"/>
        <cfvo type="max"/>
        <color rgb="FFF8696B"/>
        <color rgb="FFFFEB84"/>
        <color rgb="FF63BE7B"/>
      </colorScale>
    </cfRule>
  </conditionalFormatting>
  <conditionalFormatting sqref="F11:F31">
    <cfRule type="colorScale" priority="4222">
      <colorScale>
        <cfvo type="min"/>
        <cfvo type="percentile" val="50"/>
        <cfvo type="max"/>
        <color rgb="FFF8696B"/>
        <color rgb="FFFFEB84"/>
        <color rgb="FF63BE7B"/>
      </colorScale>
    </cfRule>
  </conditionalFormatting>
  <conditionalFormatting sqref="F11:F31">
    <cfRule type="colorScale" priority="4221">
      <colorScale>
        <cfvo type="min"/>
        <cfvo type="percentile" val="50"/>
        <cfvo type="max"/>
        <color rgb="FFF8696B"/>
        <color rgb="FFFFEB84"/>
        <color rgb="FF63BE7B"/>
      </colorScale>
    </cfRule>
  </conditionalFormatting>
  <conditionalFormatting sqref="F11:F31">
    <cfRule type="colorScale" priority="4220">
      <colorScale>
        <cfvo type="min"/>
        <cfvo type="percentile" val="50"/>
        <cfvo type="max"/>
        <color rgb="FFF8696B"/>
        <color rgb="FFFFEB84"/>
        <color rgb="FF63BE7B"/>
      </colorScale>
    </cfRule>
  </conditionalFormatting>
  <conditionalFormatting sqref="F11:F31">
    <cfRule type="colorScale" priority="4219">
      <colorScale>
        <cfvo type="min"/>
        <cfvo type="percentile" val="50"/>
        <cfvo type="max"/>
        <color rgb="FFF8696B"/>
        <color rgb="FFFFEB84"/>
        <color rgb="FF63BE7B"/>
      </colorScale>
    </cfRule>
  </conditionalFormatting>
  <conditionalFormatting sqref="F11:F31">
    <cfRule type="colorScale" priority="4218">
      <colorScale>
        <cfvo type="min"/>
        <cfvo type="percentile" val="50"/>
        <cfvo type="max"/>
        <color rgb="FFF8696B"/>
        <color rgb="FFFFEB84"/>
        <color rgb="FF63BE7B"/>
      </colorScale>
    </cfRule>
  </conditionalFormatting>
  <conditionalFormatting sqref="F11:F31">
    <cfRule type="colorScale" priority="4217">
      <colorScale>
        <cfvo type="min"/>
        <cfvo type="percentile" val="50"/>
        <cfvo type="max"/>
        <color rgb="FFF8696B"/>
        <color rgb="FFFFEB84"/>
        <color rgb="FF63BE7B"/>
      </colorScale>
    </cfRule>
  </conditionalFormatting>
  <conditionalFormatting sqref="F11:F31">
    <cfRule type="colorScale" priority="4216">
      <colorScale>
        <cfvo type="min"/>
        <cfvo type="percentile" val="50"/>
        <cfvo type="max"/>
        <color rgb="FFF8696B"/>
        <color rgb="FFFFEB84"/>
        <color rgb="FF63BE7B"/>
      </colorScale>
    </cfRule>
  </conditionalFormatting>
  <conditionalFormatting sqref="F11:F31">
    <cfRule type="colorScale" priority="4215">
      <colorScale>
        <cfvo type="min"/>
        <cfvo type="percentile" val="50"/>
        <cfvo type="max"/>
        <color rgb="FFF8696B"/>
        <color rgb="FFFFEB84"/>
        <color rgb="FF63BE7B"/>
      </colorScale>
    </cfRule>
  </conditionalFormatting>
  <conditionalFormatting sqref="F11:F31">
    <cfRule type="colorScale" priority="4214">
      <colorScale>
        <cfvo type="min"/>
        <cfvo type="percentile" val="50"/>
        <cfvo type="max"/>
        <color rgb="FFF8696B"/>
        <color rgb="FFFFEB84"/>
        <color rgb="FF63BE7B"/>
      </colorScale>
    </cfRule>
  </conditionalFormatting>
  <conditionalFormatting sqref="F11:F31">
    <cfRule type="colorScale" priority="4213">
      <colorScale>
        <cfvo type="min"/>
        <cfvo type="percentile" val="50"/>
        <cfvo type="max"/>
        <color rgb="FFF8696B"/>
        <color rgb="FFFFEB84"/>
        <color rgb="FF63BE7B"/>
      </colorScale>
    </cfRule>
  </conditionalFormatting>
  <conditionalFormatting sqref="F11:F31">
    <cfRule type="colorScale" priority="4212">
      <colorScale>
        <cfvo type="min"/>
        <cfvo type="percentile" val="50"/>
        <cfvo type="max"/>
        <color rgb="FFF8696B"/>
        <color rgb="FFFFEB84"/>
        <color rgb="FF63BE7B"/>
      </colorScale>
    </cfRule>
  </conditionalFormatting>
  <conditionalFormatting sqref="F11:F31">
    <cfRule type="colorScale" priority="4211">
      <colorScale>
        <cfvo type="min"/>
        <cfvo type="percentile" val="50"/>
        <cfvo type="max"/>
        <color rgb="FFF8696B"/>
        <color rgb="FFFFEB84"/>
        <color rgb="FF63BE7B"/>
      </colorScale>
    </cfRule>
  </conditionalFormatting>
  <conditionalFormatting sqref="F11:F31">
    <cfRule type="colorScale" priority="4210">
      <colorScale>
        <cfvo type="min"/>
        <cfvo type="percentile" val="50"/>
        <cfvo type="max"/>
        <color rgb="FFF8696B"/>
        <color rgb="FFFFEB84"/>
        <color rgb="FF63BE7B"/>
      </colorScale>
    </cfRule>
  </conditionalFormatting>
  <conditionalFormatting sqref="F11:F31">
    <cfRule type="colorScale" priority="4209">
      <colorScale>
        <cfvo type="min"/>
        <cfvo type="percentile" val="50"/>
        <cfvo type="max"/>
        <color rgb="FFF8696B"/>
        <color rgb="FFFFEB84"/>
        <color rgb="FF63BE7B"/>
      </colorScale>
    </cfRule>
  </conditionalFormatting>
  <conditionalFormatting sqref="F11:F31">
    <cfRule type="colorScale" priority="4208">
      <colorScale>
        <cfvo type="min"/>
        <cfvo type="percentile" val="50"/>
        <cfvo type="max"/>
        <color rgb="FFF8696B"/>
        <color rgb="FFFFEB84"/>
        <color rgb="FF63BE7B"/>
      </colorScale>
    </cfRule>
  </conditionalFormatting>
  <conditionalFormatting sqref="F11:F31">
    <cfRule type="colorScale" priority="4207">
      <colorScale>
        <cfvo type="min"/>
        <cfvo type="percentile" val="50"/>
        <cfvo type="max"/>
        <color rgb="FFF8696B"/>
        <color rgb="FFFFEB84"/>
        <color rgb="FF63BE7B"/>
      </colorScale>
    </cfRule>
  </conditionalFormatting>
  <conditionalFormatting sqref="F11:F31">
    <cfRule type="colorScale" priority="4206">
      <colorScale>
        <cfvo type="min"/>
        <cfvo type="percentile" val="50"/>
        <cfvo type="max"/>
        <color rgb="FFF8696B"/>
        <color rgb="FFFFEB84"/>
        <color rgb="FF63BE7B"/>
      </colorScale>
    </cfRule>
  </conditionalFormatting>
  <conditionalFormatting sqref="F11:F31">
    <cfRule type="colorScale" priority="4205">
      <colorScale>
        <cfvo type="min"/>
        <cfvo type="percentile" val="50"/>
        <cfvo type="max"/>
        <color rgb="FFF8696B"/>
        <color rgb="FFFFEB84"/>
        <color rgb="FF63BE7B"/>
      </colorScale>
    </cfRule>
  </conditionalFormatting>
  <conditionalFormatting sqref="F11:F31">
    <cfRule type="colorScale" priority="4204">
      <colorScale>
        <cfvo type="min"/>
        <cfvo type="percentile" val="50"/>
        <cfvo type="max"/>
        <color rgb="FFF8696B"/>
        <color rgb="FFFFEB84"/>
        <color rgb="FF63BE7B"/>
      </colorScale>
    </cfRule>
  </conditionalFormatting>
  <conditionalFormatting sqref="F11:F31">
    <cfRule type="colorScale" priority="4203">
      <colorScale>
        <cfvo type="min"/>
        <cfvo type="percentile" val="50"/>
        <cfvo type="max"/>
        <color rgb="FFF8696B"/>
        <color rgb="FFFFEB84"/>
        <color rgb="FF63BE7B"/>
      </colorScale>
    </cfRule>
  </conditionalFormatting>
  <conditionalFormatting sqref="F11:F31">
    <cfRule type="colorScale" priority="4202">
      <colorScale>
        <cfvo type="min"/>
        <cfvo type="percentile" val="50"/>
        <cfvo type="max"/>
        <color rgb="FFF8696B"/>
        <color rgb="FFFFEB84"/>
        <color rgb="FF63BE7B"/>
      </colorScale>
    </cfRule>
  </conditionalFormatting>
  <conditionalFormatting sqref="F11:F31">
    <cfRule type="colorScale" priority="4201">
      <colorScale>
        <cfvo type="min"/>
        <cfvo type="percentile" val="50"/>
        <cfvo type="max"/>
        <color rgb="FFF8696B"/>
        <color rgb="FFFFEB84"/>
        <color rgb="FF63BE7B"/>
      </colorScale>
    </cfRule>
  </conditionalFormatting>
  <conditionalFormatting sqref="F11:F31">
    <cfRule type="colorScale" priority="4200">
      <colorScale>
        <cfvo type="min"/>
        <cfvo type="percentile" val="50"/>
        <cfvo type="max"/>
        <color rgb="FFF8696B"/>
        <color rgb="FFFFEB84"/>
        <color rgb="FF63BE7B"/>
      </colorScale>
    </cfRule>
  </conditionalFormatting>
  <conditionalFormatting sqref="F11:F31">
    <cfRule type="colorScale" priority="4199">
      <colorScale>
        <cfvo type="min"/>
        <cfvo type="percentile" val="50"/>
        <cfvo type="max"/>
        <color rgb="FFF8696B"/>
        <color rgb="FFFFEB84"/>
        <color rgb="FF63BE7B"/>
      </colorScale>
    </cfRule>
  </conditionalFormatting>
  <conditionalFormatting sqref="F11:F31">
    <cfRule type="colorScale" priority="4198">
      <colorScale>
        <cfvo type="min"/>
        <cfvo type="percentile" val="50"/>
        <cfvo type="max"/>
        <color rgb="FFF8696B"/>
        <color rgb="FFFFEB84"/>
        <color rgb="FF63BE7B"/>
      </colorScale>
    </cfRule>
  </conditionalFormatting>
  <conditionalFormatting sqref="F11:F31">
    <cfRule type="colorScale" priority="4197">
      <colorScale>
        <cfvo type="min"/>
        <cfvo type="percentile" val="50"/>
        <cfvo type="max"/>
        <color rgb="FFF8696B"/>
        <color rgb="FFFFEB84"/>
        <color rgb="FF63BE7B"/>
      </colorScale>
    </cfRule>
  </conditionalFormatting>
  <conditionalFormatting sqref="F11:F31">
    <cfRule type="colorScale" priority="4196">
      <colorScale>
        <cfvo type="min"/>
        <cfvo type="percentile" val="50"/>
        <cfvo type="max"/>
        <color rgb="FFF8696B"/>
        <color rgb="FFFFEB84"/>
        <color rgb="FF63BE7B"/>
      </colorScale>
    </cfRule>
  </conditionalFormatting>
  <conditionalFormatting sqref="F11:F31">
    <cfRule type="colorScale" priority="4195">
      <colorScale>
        <cfvo type="min"/>
        <cfvo type="percentile" val="50"/>
        <cfvo type="max"/>
        <color rgb="FFF8696B"/>
        <color rgb="FFFFEB84"/>
        <color rgb="FF63BE7B"/>
      </colorScale>
    </cfRule>
  </conditionalFormatting>
  <conditionalFormatting sqref="F11:F31">
    <cfRule type="colorScale" priority="4194">
      <colorScale>
        <cfvo type="min"/>
        <cfvo type="percentile" val="50"/>
        <cfvo type="max"/>
        <color rgb="FFF8696B"/>
        <color rgb="FFFFEB84"/>
        <color rgb="FF63BE7B"/>
      </colorScale>
    </cfRule>
  </conditionalFormatting>
  <conditionalFormatting sqref="F11:F31">
    <cfRule type="colorScale" priority="4193">
      <colorScale>
        <cfvo type="min"/>
        <cfvo type="percentile" val="50"/>
        <cfvo type="max"/>
        <color rgb="FFF8696B"/>
        <color rgb="FFFFEB84"/>
        <color rgb="FF63BE7B"/>
      </colorScale>
    </cfRule>
  </conditionalFormatting>
  <conditionalFormatting sqref="F11:F31">
    <cfRule type="colorScale" priority="4192">
      <colorScale>
        <cfvo type="min"/>
        <cfvo type="percentile" val="50"/>
        <cfvo type="max"/>
        <color rgb="FFF8696B"/>
        <color rgb="FFFFEB84"/>
        <color rgb="FF63BE7B"/>
      </colorScale>
    </cfRule>
  </conditionalFormatting>
  <conditionalFormatting sqref="F11:F31">
    <cfRule type="colorScale" priority="4191">
      <colorScale>
        <cfvo type="min"/>
        <cfvo type="percentile" val="50"/>
        <cfvo type="max"/>
        <color rgb="FFF8696B"/>
        <color rgb="FFFFEB84"/>
        <color rgb="FF63BE7B"/>
      </colorScale>
    </cfRule>
  </conditionalFormatting>
  <conditionalFormatting sqref="F11:F31">
    <cfRule type="colorScale" priority="4190">
      <colorScale>
        <cfvo type="min"/>
        <cfvo type="percentile" val="50"/>
        <cfvo type="max"/>
        <color rgb="FFF8696B"/>
        <color rgb="FFFFEB84"/>
        <color rgb="FF63BE7B"/>
      </colorScale>
    </cfRule>
  </conditionalFormatting>
  <conditionalFormatting sqref="F11:F31">
    <cfRule type="colorScale" priority="4189">
      <colorScale>
        <cfvo type="min"/>
        <cfvo type="percentile" val="50"/>
        <cfvo type="max"/>
        <color rgb="FFF8696B"/>
        <color rgb="FFFFEB84"/>
        <color rgb="FF63BE7B"/>
      </colorScale>
    </cfRule>
  </conditionalFormatting>
  <conditionalFormatting sqref="F11:F31">
    <cfRule type="colorScale" priority="4188">
      <colorScale>
        <cfvo type="min"/>
        <cfvo type="percentile" val="50"/>
        <cfvo type="max"/>
        <color rgb="FFF8696B"/>
        <color rgb="FFFFEB84"/>
        <color rgb="FF63BE7B"/>
      </colorScale>
    </cfRule>
  </conditionalFormatting>
  <conditionalFormatting sqref="F11:F31">
    <cfRule type="colorScale" priority="4187">
      <colorScale>
        <cfvo type="min"/>
        <cfvo type="percentile" val="50"/>
        <cfvo type="max"/>
        <color rgb="FFF8696B"/>
        <color rgb="FFFFEB84"/>
        <color rgb="FF63BE7B"/>
      </colorScale>
    </cfRule>
  </conditionalFormatting>
  <conditionalFormatting sqref="F11:F31">
    <cfRule type="colorScale" priority="4186">
      <colorScale>
        <cfvo type="min"/>
        <cfvo type="percentile" val="50"/>
        <cfvo type="max"/>
        <color rgb="FFF8696B"/>
        <color rgb="FFFFEB84"/>
        <color rgb="FF63BE7B"/>
      </colorScale>
    </cfRule>
  </conditionalFormatting>
  <conditionalFormatting sqref="F11:F31">
    <cfRule type="colorScale" priority="4185">
      <colorScale>
        <cfvo type="min"/>
        <cfvo type="percentile" val="50"/>
        <cfvo type="max"/>
        <color rgb="FFF8696B"/>
        <color rgb="FFFFEB84"/>
        <color rgb="FF63BE7B"/>
      </colorScale>
    </cfRule>
  </conditionalFormatting>
  <conditionalFormatting sqref="F11:F31">
    <cfRule type="colorScale" priority="4184">
      <colorScale>
        <cfvo type="min"/>
        <cfvo type="percentile" val="50"/>
        <cfvo type="max"/>
        <color rgb="FFF8696B"/>
        <color rgb="FFFFEB84"/>
        <color rgb="FF63BE7B"/>
      </colorScale>
    </cfRule>
  </conditionalFormatting>
  <conditionalFormatting sqref="F11:F31">
    <cfRule type="colorScale" priority="4183">
      <colorScale>
        <cfvo type="min"/>
        <cfvo type="percentile" val="50"/>
        <cfvo type="max"/>
        <color rgb="FFF8696B"/>
        <color rgb="FFFFEB84"/>
        <color rgb="FF63BE7B"/>
      </colorScale>
    </cfRule>
  </conditionalFormatting>
  <conditionalFormatting sqref="F11:F31">
    <cfRule type="colorScale" priority="4182">
      <colorScale>
        <cfvo type="min"/>
        <cfvo type="percentile" val="50"/>
        <cfvo type="max"/>
        <color rgb="FFF8696B"/>
        <color rgb="FFFFEB84"/>
        <color rgb="FF63BE7B"/>
      </colorScale>
    </cfRule>
  </conditionalFormatting>
  <conditionalFormatting sqref="F11:F31">
    <cfRule type="colorScale" priority="4181">
      <colorScale>
        <cfvo type="min"/>
        <cfvo type="percentile" val="50"/>
        <cfvo type="max"/>
        <color rgb="FFF8696B"/>
        <color rgb="FFFFEB84"/>
        <color rgb="FF63BE7B"/>
      </colorScale>
    </cfRule>
  </conditionalFormatting>
  <conditionalFormatting sqref="F11:F31">
    <cfRule type="colorScale" priority="4180">
      <colorScale>
        <cfvo type="min"/>
        <cfvo type="percentile" val="50"/>
        <cfvo type="max"/>
        <color rgb="FFF8696B"/>
        <color rgb="FFFFEB84"/>
        <color rgb="FF63BE7B"/>
      </colorScale>
    </cfRule>
  </conditionalFormatting>
  <conditionalFormatting sqref="F11:F31">
    <cfRule type="colorScale" priority="4179">
      <colorScale>
        <cfvo type="min"/>
        <cfvo type="percentile" val="50"/>
        <cfvo type="max"/>
        <color rgb="FFF8696B"/>
        <color rgb="FFFFEB84"/>
        <color rgb="FF63BE7B"/>
      </colorScale>
    </cfRule>
  </conditionalFormatting>
  <conditionalFormatting sqref="F11:F31">
    <cfRule type="colorScale" priority="4178">
      <colorScale>
        <cfvo type="min"/>
        <cfvo type="percentile" val="50"/>
        <cfvo type="max"/>
        <color rgb="FFF8696B"/>
        <color rgb="FFFFEB84"/>
        <color rgb="FF63BE7B"/>
      </colorScale>
    </cfRule>
  </conditionalFormatting>
  <conditionalFormatting sqref="F11:F31">
    <cfRule type="colorScale" priority="4177">
      <colorScale>
        <cfvo type="min"/>
        <cfvo type="percentile" val="50"/>
        <cfvo type="max"/>
        <color rgb="FFF8696B"/>
        <color rgb="FFFFEB84"/>
        <color rgb="FF63BE7B"/>
      </colorScale>
    </cfRule>
  </conditionalFormatting>
  <conditionalFormatting sqref="F11:F31">
    <cfRule type="colorScale" priority="4176">
      <colorScale>
        <cfvo type="min"/>
        <cfvo type="percentile" val="50"/>
        <cfvo type="max"/>
        <color rgb="FFF8696B"/>
        <color rgb="FFFFEB84"/>
        <color rgb="FF63BE7B"/>
      </colorScale>
    </cfRule>
  </conditionalFormatting>
  <conditionalFormatting sqref="F11:F31">
    <cfRule type="colorScale" priority="4175">
      <colorScale>
        <cfvo type="min"/>
        <cfvo type="percentile" val="50"/>
        <cfvo type="max"/>
        <color rgb="FFF8696B"/>
        <color rgb="FFFFEB84"/>
        <color rgb="FF63BE7B"/>
      </colorScale>
    </cfRule>
  </conditionalFormatting>
  <conditionalFormatting sqref="F11:F31">
    <cfRule type="colorScale" priority="4174">
      <colorScale>
        <cfvo type="min"/>
        <cfvo type="percentile" val="50"/>
        <cfvo type="max"/>
        <color rgb="FFF8696B"/>
        <color rgb="FFFFEB84"/>
        <color rgb="FF63BE7B"/>
      </colorScale>
    </cfRule>
  </conditionalFormatting>
  <conditionalFormatting sqref="F11:F31">
    <cfRule type="colorScale" priority="4173">
      <colorScale>
        <cfvo type="min"/>
        <cfvo type="percentile" val="50"/>
        <cfvo type="max"/>
        <color rgb="FFF8696B"/>
        <color rgb="FFFFEB84"/>
        <color rgb="FF63BE7B"/>
      </colorScale>
    </cfRule>
  </conditionalFormatting>
  <conditionalFormatting sqref="F11:F31">
    <cfRule type="colorScale" priority="4172">
      <colorScale>
        <cfvo type="min"/>
        <cfvo type="percentile" val="50"/>
        <cfvo type="max"/>
        <color rgb="FFF8696B"/>
        <color rgb="FFFFEB84"/>
        <color rgb="FF63BE7B"/>
      </colorScale>
    </cfRule>
  </conditionalFormatting>
  <conditionalFormatting sqref="F11:F31">
    <cfRule type="colorScale" priority="4171">
      <colorScale>
        <cfvo type="min"/>
        <cfvo type="percentile" val="50"/>
        <cfvo type="max"/>
        <color rgb="FFF8696B"/>
        <color rgb="FFFFEB84"/>
        <color rgb="FF63BE7B"/>
      </colorScale>
    </cfRule>
  </conditionalFormatting>
  <conditionalFormatting sqref="F11:F31">
    <cfRule type="colorScale" priority="4170">
      <colorScale>
        <cfvo type="min"/>
        <cfvo type="percentile" val="50"/>
        <cfvo type="max"/>
        <color rgb="FFF8696B"/>
        <color rgb="FFFFEB84"/>
        <color rgb="FF63BE7B"/>
      </colorScale>
    </cfRule>
  </conditionalFormatting>
  <conditionalFormatting sqref="F11:F31">
    <cfRule type="colorScale" priority="4169">
      <colorScale>
        <cfvo type="min"/>
        <cfvo type="percentile" val="50"/>
        <cfvo type="max"/>
        <color rgb="FFF8696B"/>
        <color rgb="FFFFEB84"/>
        <color rgb="FF63BE7B"/>
      </colorScale>
    </cfRule>
  </conditionalFormatting>
  <conditionalFormatting sqref="F11:F31">
    <cfRule type="colorScale" priority="4168">
      <colorScale>
        <cfvo type="min"/>
        <cfvo type="percentile" val="50"/>
        <cfvo type="max"/>
        <color rgb="FFF8696B"/>
        <color rgb="FFFFEB84"/>
        <color rgb="FF63BE7B"/>
      </colorScale>
    </cfRule>
  </conditionalFormatting>
  <conditionalFormatting sqref="F11:F31">
    <cfRule type="colorScale" priority="4167">
      <colorScale>
        <cfvo type="min"/>
        <cfvo type="percentile" val="50"/>
        <cfvo type="max"/>
        <color rgb="FFF8696B"/>
        <color rgb="FFFFEB84"/>
        <color rgb="FF63BE7B"/>
      </colorScale>
    </cfRule>
  </conditionalFormatting>
  <conditionalFormatting sqref="F11:F31">
    <cfRule type="colorScale" priority="4166">
      <colorScale>
        <cfvo type="min"/>
        <cfvo type="percentile" val="50"/>
        <cfvo type="max"/>
        <color rgb="FFF8696B"/>
        <color rgb="FFFFEB84"/>
        <color rgb="FF63BE7B"/>
      </colorScale>
    </cfRule>
  </conditionalFormatting>
  <conditionalFormatting sqref="F11:F31">
    <cfRule type="colorScale" priority="4165">
      <colorScale>
        <cfvo type="min"/>
        <cfvo type="percentile" val="50"/>
        <cfvo type="max"/>
        <color rgb="FFF8696B"/>
        <color rgb="FFFFEB84"/>
        <color rgb="FF63BE7B"/>
      </colorScale>
    </cfRule>
  </conditionalFormatting>
  <conditionalFormatting sqref="F11:F31">
    <cfRule type="colorScale" priority="4164">
      <colorScale>
        <cfvo type="min"/>
        <cfvo type="percentile" val="50"/>
        <cfvo type="max"/>
        <color rgb="FFF8696B"/>
        <color rgb="FFFFEB84"/>
        <color rgb="FF63BE7B"/>
      </colorScale>
    </cfRule>
  </conditionalFormatting>
  <conditionalFormatting sqref="F11:F31">
    <cfRule type="colorScale" priority="4163">
      <colorScale>
        <cfvo type="min"/>
        <cfvo type="percentile" val="50"/>
        <cfvo type="max"/>
        <color rgb="FFF8696B"/>
        <color rgb="FFFFEB84"/>
        <color rgb="FF63BE7B"/>
      </colorScale>
    </cfRule>
  </conditionalFormatting>
  <conditionalFormatting sqref="F11:F31">
    <cfRule type="colorScale" priority="4162">
      <colorScale>
        <cfvo type="min"/>
        <cfvo type="percentile" val="50"/>
        <cfvo type="max"/>
        <color rgb="FFF8696B"/>
        <color rgb="FFFFEB84"/>
        <color rgb="FF63BE7B"/>
      </colorScale>
    </cfRule>
  </conditionalFormatting>
  <conditionalFormatting sqref="F11:F31">
    <cfRule type="colorScale" priority="4161">
      <colorScale>
        <cfvo type="min"/>
        <cfvo type="percentile" val="50"/>
        <cfvo type="max"/>
        <color rgb="FFF8696B"/>
        <color rgb="FFFFEB84"/>
        <color rgb="FF63BE7B"/>
      </colorScale>
    </cfRule>
  </conditionalFormatting>
  <conditionalFormatting sqref="F11:F31">
    <cfRule type="colorScale" priority="4160">
      <colorScale>
        <cfvo type="min"/>
        <cfvo type="percentile" val="50"/>
        <cfvo type="max"/>
        <color rgb="FFF8696B"/>
        <color rgb="FFFFEB84"/>
        <color rgb="FF63BE7B"/>
      </colorScale>
    </cfRule>
  </conditionalFormatting>
  <conditionalFormatting sqref="F11:F31">
    <cfRule type="colorScale" priority="4159">
      <colorScale>
        <cfvo type="min"/>
        <cfvo type="percentile" val="50"/>
        <cfvo type="max"/>
        <color rgb="FFF8696B"/>
        <color rgb="FFFFEB84"/>
        <color rgb="FF63BE7B"/>
      </colorScale>
    </cfRule>
  </conditionalFormatting>
  <conditionalFormatting sqref="F11:F31">
    <cfRule type="colorScale" priority="4158">
      <colorScale>
        <cfvo type="min"/>
        <cfvo type="percentile" val="50"/>
        <cfvo type="max"/>
        <color rgb="FFF8696B"/>
        <color rgb="FFFFEB84"/>
        <color rgb="FF63BE7B"/>
      </colorScale>
    </cfRule>
  </conditionalFormatting>
  <conditionalFormatting sqref="F11:F31">
    <cfRule type="colorScale" priority="4157">
      <colorScale>
        <cfvo type="min"/>
        <cfvo type="percentile" val="50"/>
        <cfvo type="max"/>
        <color rgb="FFF8696B"/>
        <color rgb="FFFFEB84"/>
        <color rgb="FF63BE7B"/>
      </colorScale>
    </cfRule>
  </conditionalFormatting>
  <conditionalFormatting sqref="F11:F31">
    <cfRule type="colorScale" priority="4156">
      <colorScale>
        <cfvo type="min"/>
        <cfvo type="percentile" val="50"/>
        <cfvo type="max"/>
        <color rgb="FFF8696B"/>
        <color rgb="FFFFEB84"/>
        <color rgb="FF63BE7B"/>
      </colorScale>
    </cfRule>
  </conditionalFormatting>
  <conditionalFormatting sqref="F11:F31">
    <cfRule type="colorScale" priority="4155">
      <colorScale>
        <cfvo type="min"/>
        <cfvo type="percentile" val="50"/>
        <cfvo type="max"/>
        <color rgb="FFF8696B"/>
        <color rgb="FFFFEB84"/>
        <color rgb="FF63BE7B"/>
      </colorScale>
    </cfRule>
  </conditionalFormatting>
  <conditionalFormatting sqref="F11:F31">
    <cfRule type="colorScale" priority="4154">
      <colorScale>
        <cfvo type="min"/>
        <cfvo type="percentile" val="50"/>
        <cfvo type="max"/>
        <color rgb="FFF8696B"/>
        <color rgb="FFFFEB84"/>
        <color rgb="FF63BE7B"/>
      </colorScale>
    </cfRule>
  </conditionalFormatting>
  <conditionalFormatting sqref="F11:F31">
    <cfRule type="colorScale" priority="4153">
      <colorScale>
        <cfvo type="min"/>
        <cfvo type="percentile" val="50"/>
        <cfvo type="max"/>
        <color rgb="FFF8696B"/>
        <color rgb="FFFFEB84"/>
        <color rgb="FF63BE7B"/>
      </colorScale>
    </cfRule>
  </conditionalFormatting>
  <conditionalFormatting sqref="F11:F31">
    <cfRule type="colorScale" priority="4152">
      <colorScale>
        <cfvo type="min"/>
        <cfvo type="percentile" val="50"/>
        <cfvo type="max"/>
        <color rgb="FFF8696B"/>
        <color rgb="FFFFEB84"/>
        <color rgb="FF63BE7B"/>
      </colorScale>
    </cfRule>
  </conditionalFormatting>
  <conditionalFormatting sqref="F11:F31">
    <cfRule type="colorScale" priority="4151">
      <colorScale>
        <cfvo type="min"/>
        <cfvo type="percentile" val="50"/>
        <cfvo type="max"/>
        <color rgb="FFF8696B"/>
        <color rgb="FFFFEB84"/>
        <color rgb="FF63BE7B"/>
      </colorScale>
    </cfRule>
  </conditionalFormatting>
  <conditionalFormatting sqref="F11:F31">
    <cfRule type="colorScale" priority="4150">
      <colorScale>
        <cfvo type="min"/>
        <cfvo type="percentile" val="50"/>
        <cfvo type="max"/>
        <color rgb="FFF8696B"/>
        <color rgb="FFFFEB84"/>
        <color rgb="FF63BE7B"/>
      </colorScale>
    </cfRule>
  </conditionalFormatting>
  <conditionalFormatting sqref="F11:F31">
    <cfRule type="colorScale" priority="4149">
      <colorScale>
        <cfvo type="min"/>
        <cfvo type="percentile" val="50"/>
        <cfvo type="max"/>
        <color rgb="FFF8696B"/>
        <color rgb="FFFFEB84"/>
        <color rgb="FF63BE7B"/>
      </colorScale>
    </cfRule>
  </conditionalFormatting>
  <conditionalFormatting sqref="F11:F31">
    <cfRule type="colorScale" priority="4148">
      <colorScale>
        <cfvo type="min"/>
        <cfvo type="percentile" val="50"/>
        <cfvo type="max"/>
        <color rgb="FFF8696B"/>
        <color rgb="FFFFEB84"/>
        <color rgb="FF63BE7B"/>
      </colorScale>
    </cfRule>
  </conditionalFormatting>
  <conditionalFormatting sqref="F11:F31">
    <cfRule type="colorScale" priority="4147">
      <colorScale>
        <cfvo type="min"/>
        <cfvo type="percentile" val="50"/>
        <cfvo type="max"/>
        <color rgb="FFF8696B"/>
        <color rgb="FFFFEB84"/>
        <color rgb="FF63BE7B"/>
      </colorScale>
    </cfRule>
  </conditionalFormatting>
  <conditionalFormatting sqref="F11:F31">
    <cfRule type="colorScale" priority="4146">
      <colorScale>
        <cfvo type="min"/>
        <cfvo type="percentile" val="50"/>
        <cfvo type="max"/>
        <color rgb="FFF8696B"/>
        <color rgb="FFFFEB84"/>
        <color rgb="FF63BE7B"/>
      </colorScale>
    </cfRule>
  </conditionalFormatting>
  <conditionalFormatting sqref="F11:F31">
    <cfRule type="colorScale" priority="4145">
      <colorScale>
        <cfvo type="min"/>
        <cfvo type="percentile" val="50"/>
        <cfvo type="max"/>
        <color rgb="FFF8696B"/>
        <color rgb="FFFFEB84"/>
        <color rgb="FF63BE7B"/>
      </colorScale>
    </cfRule>
  </conditionalFormatting>
  <conditionalFormatting sqref="F11:F31">
    <cfRule type="colorScale" priority="4144">
      <colorScale>
        <cfvo type="min"/>
        <cfvo type="percentile" val="50"/>
        <cfvo type="max"/>
        <color rgb="FFF8696B"/>
        <color rgb="FFFFEB84"/>
        <color rgb="FF63BE7B"/>
      </colorScale>
    </cfRule>
  </conditionalFormatting>
  <conditionalFormatting sqref="F11:F31">
    <cfRule type="colorScale" priority="4143">
      <colorScale>
        <cfvo type="min"/>
        <cfvo type="percentile" val="50"/>
        <cfvo type="max"/>
        <color rgb="FFF8696B"/>
        <color rgb="FFFFEB84"/>
        <color rgb="FF63BE7B"/>
      </colorScale>
    </cfRule>
  </conditionalFormatting>
  <conditionalFormatting sqref="F11:F31">
    <cfRule type="colorScale" priority="4142">
      <colorScale>
        <cfvo type="min"/>
        <cfvo type="percentile" val="50"/>
        <cfvo type="max"/>
        <color rgb="FFF8696B"/>
        <color rgb="FFFFEB84"/>
        <color rgb="FF63BE7B"/>
      </colorScale>
    </cfRule>
  </conditionalFormatting>
  <conditionalFormatting sqref="F11:F31">
    <cfRule type="colorScale" priority="4141">
      <colorScale>
        <cfvo type="min"/>
        <cfvo type="percentile" val="50"/>
        <cfvo type="max"/>
        <color rgb="FFF8696B"/>
        <color rgb="FFFFEB84"/>
        <color rgb="FF63BE7B"/>
      </colorScale>
    </cfRule>
  </conditionalFormatting>
  <conditionalFormatting sqref="F11:F31">
    <cfRule type="colorScale" priority="4140">
      <colorScale>
        <cfvo type="min"/>
        <cfvo type="percentile" val="50"/>
        <cfvo type="max"/>
        <color rgb="FFF8696B"/>
        <color rgb="FFFFEB84"/>
        <color rgb="FF63BE7B"/>
      </colorScale>
    </cfRule>
  </conditionalFormatting>
  <conditionalFormatting sqref="F11:F31">
    <cfRule type="colorScale" priority="4139">
      <colorScale>
        <cfvo type="min"/>
        <cfvo type="percentile" val="50"/>
        <cfvo type="max"/>
        <color rgb="FFF8696B"/>
        <color rgb="FFFFEB84"/>
        <color rgb="FF63BE7B"/>
      </colorScale>
    </cfRule>
  </conditionalFormatting>
  <conditionalFormatting sqref="F11:F31">
    <cfRule type="colorScale" priority="4138">
      <colorScale>
        <cfvo type="min"/>
        <cfvo type="percentile" val="50"/>
        <cfvo type="max"/>
        <color rgb="FFF8696B"/>
        <color rgb="FFFFEB84"/>
        <color rgb="FF63BE7B"/>
      </colorScale>
    </cfRule>
  </conditionalFormatting>
  <conditionalFormatting sqref="F11:F31">
    <cfRule type="colorScale" priority="4137">
      <colorScale>
        <cfvo type="min"/>
        <cfvo type="percentile" val="50"/>
        <cfvo type="max"/>
        <color rgb="FFF8696B"/>
        <color rgb="FFFFEB84"/>
        <color rgb="FF63BE7B"/>
      </colorScale>
    </cfRule>
  </conditionalFormatting>
  <conditionalFormatting sqref="F11:F31">
    <cfRule type="colorScale" priority="4136">
      <colorScale>
        <cfvo type="min"/>
        <cfvo type="percentile" val="50"/>
        <cfvo type="max"/>
        <color rgb="FFF8696B"/>
        <color rgb="FFFFEB84"/>
        <color rgb="FF63BE7B"/>
      </colorScale>
    </cfRule>
  </conditionalFormatting>
  <conditionalFormatting sqref="F11:F31">
    <cfRule type="colorScale" priority="4135">
      <colorScale>
        <cfvo type="min"/>
        <cfvo type="percentile" val="50"/>
        <cfvo type="max"/>
        <color rgb="FFF8696B"/>
        <color rgb="FFFFEB84"/>
        <color rgb="FF63BE7B"/>
      </colorScale>
    </cfRule>
  </conditionalFormatting>
  <conditionalFormatting sqref="F11:F31">
    <cfRule type="colorScale" priority="4134">
      <colorScale>
        <cfvo type="min"/>
        <cfvo type="percentile" val="50"/>
        <cfvo type="max"/>
        <color rgb="FFF8696B"/>
        <color rgb="FFFFEB84"/>
        <color rgb="FF63BE7B"/>
      </colorScale>
    </cfRule>
  </conditionalFormatting>
  <conditionalFormatting sqref="F11:F31">
    <cfRule type="colorScale" priority="4133">
      <colorScale>
        <cfvo type="min"/>
        <cfvo type="percentile" val="50"/>
        <cfvo type="max"/>
        <color rgb="FFF8696B"/>
        <color rgb="FFFFEB84"/>
        <color rgb="FF63BE7B"/>
      </colorScale>
    </cfRule>
  </conditionalFormatting>
  <conditionalFormatting sqref="F11:F31">
    <cfRule type="colorScale" priority="4132">
      <colorScale>
        <cfvo type="min"/>
        <cfvo type="percentile" val="50"/>
        <cfvo type="max"/>
        <color rgb="FFF8696B"/>
        <color rgb="FFFFEB84"/>
        <color rgb="FF63BE7B"/>
      </colorScale>
    </cfRule>
  </conditionalFormatting>
  <conditionalFormatting sqref="F11:F31">
    <cfRule type="colorScale" priority="4131">
      <colorScale>
        <cfvo type="min"/>
        <cfvo type="percentile" val="50"/>
        <cfvo type="max"/>
        <color rgb="FFF8696B"/>
        <color rgb="FFFFEB84"/>
        <color rgb="FF63BE7B"/>
      </colorScale>
    </cfRule>
  </conditionalFormatting>
  <conditionalFormatting sqref="F11:F31">
    <cfRule type="colorScale" priority="4130">
      <colorScale>
        <cfvo type="min"/>
        <cfvo type="percentile" val="50"/>
        <cfvo type="max"/>
        <color rgb="FFF8696B"/>
        <color rgb="FFFFEB84"/>
        <color rgb="FF63BE7B"/>
      </colorScale>
    </cfRule>
  </conditionalFormatting>
  <conditionalFormatting sqref="F11:F31">
    <cfRule type="colorScale" priority="4129">
      <colorScale>
        <cfvo type="min"/>
        <cfvo type="percentile" val="50"/>
        <cfvo type="max"/>
        <color rgb="FFF8696B"/>
        <color rgb="FFFFEB84"/>
        <color rgb="FF63BE7B"/>
      </colorScale>
    </cfRule>
  </conditionalFormatting>
  <conditionalFormatting sqref="F11:F31">
    <cfRule type="colorScale" priority="4128">
      <colorScale>
        <cfvo type="min"/>
        <cfvo type="percentile" val="50"/>
        <cfvo type="max"/>
        <color rgb="FFF8696B"/>
        <color rgb="FFFFEB84"/>
        <color rgb="FF63BE7B"/>
      </colorScale>
    </cfRule>
  </conditionalFormatting>
  <conditionalFormatting sqref="F11:F31">
    <cfRule type="colorScale" priority="4127">
      <colorScale>
        <cfvo type="min"/>
        <cfvo type="percentile" val="50"/>
        <cfvo type="max"/>
        <color rgb="FFF8696B"/>
        <color rgb="FFFFEB84"/>
        <color rgb="FF63BE7B"/>
      </colorScale>
    </cfRule>
  </conditionalFormatting>
  <conditionalFormatting sqref="F11:F31">
    <cfRule type="colorScale" priority="4126">
      <colorScale>
        <cfvo type="min"/>
        <cfvo type="percentile" val="50"/>
        <cfvo type="max"/>
        <color rgb="FFF8696B"/>
        <color rgb="FFFFEB84"/>
        <color rgb="FF63BE7B"/>
      </colorScale>
    </cfRule>
  </conditionalFormatting>
  <conditionalFormatting sqref="F11:F32">
    <cfRule type="colorScale" priority="4125">
      <colorScale>
        <cfvo type="min"/>
        <cfvo type="percentile" val="50"/>
        <cfvo type="max"/>
        <color rgb="FFF8696B"/>
        <color rgb="FFFFEB84"/>
        <color rgb="FF63BE7B"/>
      </colorScale>
    </cfRule>
  </conditionalFormatting>
  <conditionalFormatting sqref="F11:F32">
    <cfRule type="colorScale" priority="4124">
      <colorScale>
        <cfvo type="min"/>
        <cfvo type="percentile" val="50"/>
        <cfvo type="max"/>
        <color rgb="FFF8696B"/>
        <color rgb="FFFFEB84"/>
        <color rgb="FF63BE7B"/>
      </colorScale>
    </cfRule>
  </conditionalFormatting>
  <conditionalFormatting sqref="F11:F31">
    <cfRule type="colorScale" priority="4123">
      <colorScale>
        <cfvo type="min"/>
        <cfvo type="percentile" val="50"/>
        <cfvo type="max"/>
        <color rgb="FFF8696B"/>
        <color rgb="FFFFEB84"/>
        <color rgb="FF63BE7B"/>
      </colorScale>
    </cfRule>
  </conditionalFormatting>
  <conditionalFormatting sqref="F11:F31">
    <cfRule type="colorScale" priority="4122">
      <colorScale>
        <cfvo type="min"/>
        <cfvo type="percentile" val="50"/>
        <cfvo type="max"/>
        <color rgb="FFF8696B"/>
        <color rgb="FFFFEB84"/>
        <color rgb="FF63BE7B"/>
      </colorScale>
    </cfRule>
  </conditionalFormatting>
  <conditionalFormatting sqref="F11:F31">
    <cfRule type="colorScale" priority="4121">
      <colorScale>
        <cfvo type="min"/>
        <cfvo type="percentile" val="50"/>
        <cfvo type="max"/>
        <color rgb="FFF8696B"/>
        <color rgb="FFFFEB84"/>
        <color rgb="FF63BE7B"/>
      </colorScale>
    </cfRule>
  </conditionalFormatting>
  <conditionalFormatting sqref="F11:F31">
    <cfRule type="colorScale" priority="4120">
      <colorScale>
        <cfvo type="min"/>
        <cfvo type="percentile" val="50"/>
        <cfvo type="max"/>
        <color rgb="FFF8696B"/>
        <color rgb="FFFFEB84"/>
        <color rgb="FF63BE7B"/>
      </colorScale>
    </cfRule>
  </conditionalFormatting>
  <conditionalFormatting sqref="F11:F28">
    <cfRule type="colorScale" priority="4119">
      <colorScale>
        <cfvo type="min"/>
        <cfvo type="percentile" val="50"/>
        <cfvo type="max"/>
        <color rgb="FFF8696B"/>
        <color rgb="FFFFEB84"/>
        <color rgb="FF63BE7B"/>
      </colorScale>
    </cfRule>
  </conditionalFormatting>
  <conditionalFormatting sqref="F11:F28">
    <cfRule type="colorScale" priority="4118">
      <colorScale>
        <cfvo type="min"/>
        <cfvo type="percentile" val="50"/>
        <cfvo type="max"/>
        <color rgb="FFF8696B"/>
        <color rgb="FFFFEB84"/>
        <color rgb="FF63BE7B"/>
      </colorScale>
    </cfRule>
  </conditionalFormatting>
  <conditionalFormatting sqref="F11:F31">
    <cfRule type="colorScale" priority="4117">
      <colorScale>
        <cfvo type="min"/>
        <cfvo type="percentile" val="50"/>
        <cfvo type="max"/>
        <color rgb="FFF8696B"/>
        <color rgb="FFFFEB84"/>
        <color rgb="FF63BE7B"/>
      </colorScale>
    </cfRule>
  </conditionalFormatting>
  <conditionalFormatting sqref="F11:F31">
    <cfRule type="colorScale" priority="4116">
      <colorScale>
        <cfvo type="min"/>
        <cfvo type="percentile" val="50"/>
        <cfvo type="max"/>
        <color rgb="FFF8696B"/>
        <color rgb="FFFFEB84"/>
        <color rgb="FF63BE7B"/>
      </colorScale>
    </cfRule>
  </conditionalFormatting>
  <conditionalFormatting sqref="F11:F32">
    <cfRule type="colorScale" priority="4115">
      <colorScale>
        <cfvo type="min"/>
        <cfvo type="percentile" val="50"/>
        <cfvo type="max"/>
        <color rgb="FFF8696B"/>
        <color rgb="FFFFEB84"/>
        <color rgb="FF63BE7B"/>
      </colorScale>
    </cfRule>
  </conditionalFormatting>
  <conditionalFormatting sqref="F11:F32">
    <cfRule type="colorScale" priority="4114">
      <colorScale>
        <cfvo type="min"/>
        <cfvo type="percentile" val="50"/>
        <cfvo type="max"/>
        <color rgb="FFF8696B"/>
        <color rgb="FFFFEB84"/>
        <color rgb="FF63BE7B"/>
      </colorScale>
    </cfRule>
  </conditionalFormatting>
  <conditionalFormatting sqref="F11:F31">
    <cfRule type="colorScale" priority="4113">
      <colorScale>
        <cfvo type="min"/>
        <cfvo type="percentile" val="50"/>
        <cfvo type="max"/>
        <color rgb="FFF8696B"/>
        <color rgb="FFFFEB84"/>
        <color rgb="FF63BE7B"/>
      </colorScale>
    </cfRule>
  </conditionalFormatting>
  <conditionalFormatting sqref="F11:F31">
    <cfRule type="colorScale" priority="4112">
      <colorScale>
        <cfvo type="min"/>
        <cfvo type="percentile" val="50"/>
        <cfvo type="max"/>
        <color rgb="FFF8696B"/>
        <color rgb="FFFFEB84"/>
        <color rgb="FF63BE7B"/>
      </colorScale>
    </cfRule>
  </conditionalFormatting>
  <conditionalFormatting sqref="F11:F31">
    <cfRule type="colorScale" priority="4111">
      <colorScale>
        <cfvo type="min"/>
        <cfvo type="percentile" val="50"/>
        <cfvo type="max"/>
        <color rgb="FFF8696B"/>
        <color rgb="FFFFEB84"/>
        <color rgb="FF63BE7B"/>
      </colorScale>
    </cfRule>
  </conditionalFormatting>
  <conditionalFormatting sqref="F11:F31">
    <cfRule type="colorScale" priority="4110">
      <colorScale>
        <cfvo type="min"/>
        <cfvo type="percentile" val="50"/>
        <cfvo type="max"/>
        <color rgb="FFF8696B"/>
        <color rgb="FFFFEB84"/>
        <color rgb="FF63BE7B"/>
      </colorScale>
    </cfRule>
  </conditionalFormatting>
  <conditionalFormatting sqref="F11:F31">
    <cfRule type="colorScale" priority="4109">
      <colorScale>
        <cfvo type="min"/>
        <cfvo type="percentile" val="50"/>
        <cfvo type="max"/>
        <color rgb="FFF8696B"/>
        <color rgb="FFFFEB84"/>
        <color rgb="FF63BE7B"/>
      </colorScale>
    </cfRule>
  </conditionalFormatting>
  <conditionalFormatting sqref="F11:F31">
    <cfRule type="colorScale" priority="4108">
      <colorScale>
        <cfvo type="min"/>
        <cfvo type="percentile" val="50"/>
        <cfvo type="max"/>
        <color rgb="FFF8696B"/>
        <color rgb="FFFFEB84"/>
        <color rgb="FF63BE7B"/>
      </colorScale>
    </cfRule>
  </conditionalFormatting>
  <conditionalFormatting sqref="F11:F31">
    <cfRule type="colorScale" priority="4107">
      <colorScale>
        <cfvo type="min"/>
        <cfvo type="percentile" val="50"/>
        <cfvo type="max"/>
        <color rgb="FFF8696B"/>
        <color rgb="FFFFEB84"/>
        <color rgb="FF63BE7B"/>
      </colorScale>
    </cfRule>
  </conditionalFormatting>
  <conditionalFormatting sqref="F11:F31">
    <cfRule type="colorScale" priority="4106">
      <colorScale>
        <cfvo type="min"/>
        <cfvo type="percentile" val="50"/>
        <cfvo type="max"/>
        <color rgb="FFF8696B"/>
        <color rgb="FFFFEB84"/>
        <color rgb="FF63BE7B"/>
      </colorScale>
    </cfRule>
  </conditionalFormatting>
  <conditionalFormatting sqref="F11:F31">
    <cfRule type="colorScale" priority="4105">
      <colorScale>
        <cfvo type="min"/>
        <cfvo type="percentile" val="50"/>
        <cfvo type="max"/>
        <color rgb="FFF8696B"/>
        <color rgb="FFFFEB84"/>
        <color rgb="FF63BE7B"/>
      </colorScale>
    </cfRule>
  </conditionalFormatting>
  <conditionalFormatting sqref="F11:F31">
    <cfRule type="colorScale" priority="4104">
      <colorScale>
        <cfvo type="min"/>
        <cfvo type="percentile" val="50"/>
        <cfvo type="max"/>
        <color rgb="FFF8696B"/>
        <color rgb="FFFFEB84"/>
        <color rgb="FF63BE7B"/>
      </colorScale>
    </cfRule>
  </conditionalFormatting>
  <conditionalFormatting sqref="F29:F31">
    <cfRule type="colorScale" priority="4103">
      <colorScale>
        <cfvo type="min"/>
        <cfvo type="percentile" val="50"/>
        <cfvo type="max"/>
        <color rgb="FFF8696B"/>
        <color rgb="FFFFEB84"/>
        <color rgb="FF63BE7B"/>
      </colorScale>
    </cfRule>
  </conditionalFormatting>
  <conditionalFormatting sqref="F29:F31">
    <cfRule type="colorScale" priority="4102">
      <colorScale>
        <cfvo type="min"/>
        <cfvo type="percentile" val="50"/>
        <cfvo type="max"/>
        <color rgb="FFF8696B"/>
        <color rgb="FFFFEB84"/>
        <color rgb="FF63BE7B"/>
      </colorScale>
    </cfRule>
  </conditionalFormatting>
  <conditionalFormatting sqref="F32">
    <cfRule type="colorScale" priority="4101">
      <colorScale>
        <cfvo type="min"/>
        <cfvo type="percentile" val="50"/>
        <cfvo type="max"/>
        <color rgb="FFF8696B"/>
        <color rgb="FFFFEB84"/>
        <color rgb="FF63BE7B"/>
      </colorScale>
    </cfRule>
  </conditionalFormatting>
  <conditionalFormatting sqref="F32">
    <cfRule type="colorScale" priority="4100">
      <colorScale>
        <cfvo type="min"/>
        <cfvo type="percentile" val="50"/>
        <cfvo type="max"/>
        <color rgb="FFF8696B"/>
        <color rgb="FFFFEB84"/>
        <color rgb="FF63BE7B"/>
      </colorScale>
    </cfRule>
  </conditionalFormatting>
  <conditionalFormatting sqref="F32">
    <cfRule type="colorScale" priority="4099">
      <colorScale>
        <cfvo type="min"/>
        <cfvo type="percentile" val="50"/>
        <cfvo type="max"/>
        <color rgb="FFF8696B"/>
        <color rgb="FFFFEB84"/>
        <color rgb="FF63BE7B"/>
      </colorScale>
    </cfRule>
  </conditionalFormatting>
  <conditionalFormatting sqref="F32">
    <cfRule type="colorScale" priority="4098">
      <colorScale>
        <cfvo type="min"/>
        <cfvo type="percentile" val="50"/>
        <cfvo type="max"/>
        <color rgb="FFF8696B"/>
        <color rgb="FFFFEB84"/>
        <color rgb="FF63BE7B"/>
      </colorScale>
    </cfRule>
  </conditionalFormatting>
  <conditionalFormatting sqref="F32">
    <cfRule type="colorScale" priority="4097">
      <colorScale>
        <cfvo type="min"/>
        <cfvo type="percentile" val="50"/>
        <cfvo type="max"/>
        <color rgb="FFF8696B"/>
        <color rgb="FFFFEB84"/>
        <color rgb="FF63BE7B"/>
      </colorScale>
    </cfRule>
  </conditionalFormatting>
  <conditionalFormatting sqref="F32">
    <cfRule type="colorScale" priority="4096">
      <colorScale>
        <cfvo type="min"/>
        <cfvo type="percentile" val="50"/>
        <cfvo type="max"/>
        <color rgb="FFF8696B"/>
        <color rgb="FFFFEB84"/>
        <color rgb="FF63BE7B"/>
      </colorScale>
    </cfRule>
  </conditionalFormatting>
  <conditionalFormatting sqref="F32">
    <cfRule type="colorScale" priority="4095">
      <colorScale>
        <cfvo type="min"/>
        <cfvo type="percentile" val="50"/>
        <cfvo type="max"/>
        <color rgb="FFF8696B"/>
        <color rgb="FFFFEB84"/>
        <color rgb="FF63BE7B"/>
      </colorScale>
    </cfRule>
  </conditionalFormatting>
  <conditionalFormatting sqref="F32">
    <cfRule type="colorScale" priority="4094">
      <colorScale>
        <cfvo type="min"/>
        <cfvo type="percentile" val="50"/>
        <cfvo type="max"/>
        <color rgb="FFF8696B"/>
        <color rgb="FFFFEB84"/>
        <color rgb="FF63BE7B"/>
      </colorScale>
    </cfRule>
  </conditionalFormatting>
  <conditionalFormatting sqref="F32">
    <cfRule type="colorScale" priority="4093">
      <colorScale>
        <cfvo type="min"/>
        <cfvo type="percentile" val="50"/>
        <cfvo type="max"/>
        <color rgb="FFF8696B"/>
        <color rgb="FFFFEB84"/>
        <color rgb="FF63BE7B"/>
      </colorScale>
    </cfRule>
  </conditionalFormatting>
  <conditionalFormatting sqref="F32">
    <cfRule type="colorScale" priority="4092">
      <colorScale>
        <cfvo type="min"/>
        <cfvo type="percentile" val="50"/>
        <cfvo type="max"/>
        <color rgb="FFF8696B"/>
        <color rgb="FFFFEB84"/>
        <color rgb="FF63BE7B"/>
      </colorScale>
    </cfRule>
  </conditionalFormatting>
  <conditionalFormatting sqref="F32">
    <cfRule type="colorScale" priority="4091">
      <colorScale>
        <cfvo type="min"/>
        <cfvo type="percentile" val="50"/>
        <cfvo type="max"/>
        <color rgb="FFF8696B"/>
        <color rgb="FFFFEB84"/>
        <color rgb="FF63BE7B"/>
      </colorScale>
    </cfRule>
  </conditionalFormatting>
  <conditionalFormatting sqref="F32">
    <cfRule type="colorScale" priority="4090">
      <colorScale>
        <cfvo type="min"/>
        <cfvo type="percentile" val="50"/>
        <cfvo type="max"/>
        <color rgb="FFF8696B"/>
        <color rgb="FFFFEB84"/>
        <color rgb="FF63BE7B"/>
      </colorScale>
    </cfRule>
  </conditionalFormatting>
  <conditionalFormatting sqref="F32">
    <cfRule type="colorScale" priority="4089">
      <colorScale>
        <cfvo type="min"/>
        <cfvo type="percentile" val="50"/>
        <cfvo type="max"/>
        <color rgb="FFF8696B"/>
        <color rgb="FFFFEB84"/>
        <color rgb="FF63BE7B"/>
      </colorScale>
    </cfRule>
  </conditionalFormatting>
  <conditionalFormatting sqref="F32">
    <cfRule type="colorScale" priority="4088">
      <colorScale>
        <cfvo type="min"/>
        <cfvo type="percentile" val="50"/>
        <cfvo type="max"/>
        <color rgb="FFF8696B"/>
        <color rgb="FFFFEB84"/>
        <color rgb="FF63BE7B"/>
      </colorScale>
    </cfRule>
  </conditionalFormatting>
  <conditionalFormatting sqref="F32">
    <cfRule type="colorScale" priority="4087">
      <colorScale>
        <cfvo type="min"/>
        <cfvo type="percentile" val="50"/>
        <cfvo type="max"/>
        <color rgb="FFF8696B"/>
        <color rgb="FFFFEB84"/>
        <color rgb="FF63BE7B"/>
      </colorScale>
    </cfRule>
  </conditionalFormatting>
  <conditionalFormatting sqref="F32">
    <cfRule type="colorScale" priority="4086">
      <colorScale>
        <cfvo type="min"/>
        <cfvo type="percentile" val="50"/>
        <cfvo type="max"/>
        <color rgb="FFF8696B"/>
        <color rgb="FFFFEB84"/>
        <color rgb="FF63BE7B"/>
      </colorScale>
    </cfRule>
  </conditionalFormatting>
  <conditionalFormatting sqref="F32">
    <cfRule type="colorScale" priority="4085">
      <colorScale>
        <cfvo type="min"/>
        <cfvo type="percentile" val="50"/>
        <cfvo type="max"/>
        <color rgb="FFF8696B"/>
        <color rgb="FFFFEB84"/>
        <color rgb="FF63BE7B"/>
      </colorScale>
    </cfRule>
  </conditionalFormatting>
  <conditionalFormatting sqref="F32">
    <cfRule type="colorScale" priority="4084">
      <colorScale>
        <cfvo type="min"/>
        <cfvo type="percentile" val="50"/>
        <cfvo type="max"/>
        <color rgb="FFF8696B"/>
        <color rgb="FFFFEB84"/>
        <color rgb="FF63BE7B"/>
      </colorScale>
    </cfRule>
  </conditionalFormatting>
  <conditionalFormatting sqref="F32">
    <cfRule type="colorScale" priority="4083">
      <colorScale>
        <cfvo type="min"/>
        <cfvo type="percentile" val="50"/>
        <cfvo type="max"/>
        <color rgb="FFF8696B"/>
        <color rgb="FFFFEB84"/>
        <color rgb="FF63BE7B"/>
      </colorScale>
    </cfRule>
  </conditionalFormatting>
  <conditionalFormatting sqref="F32">
    <cfRule type="colorScale" priority="4082">
      <colorScale>
        <cfvo type="min"/>
        <cfvo type="percentile" val="50"/>
        <cfvo type="max"/>
        <color rgb="FFF8696B"/>
        <color rgb="FFFFEB84"/>
        <color rgb="FF63BE7B"/>
      </colorScale>
    </cfRule>
  </conditionalFormatting>
  <conditionalFormatting sqref="F32">
    <cfRule type="colorScale" priority="4081">
      <colorScale>
        <cfvo type="min"/>
        <cfvo type="percentile" val="50"/>
        <cfvo type="max"/>
        <color rgb="FFF8696B"/>
        <color rgb="FFFFEB84"/>
        <color rgb="FF63BE7B"/>
      </colorScale>
    </cfRule>
  </conditionalFormatting>
  <conditionalFormatting sqref="F32">
    <cfRule type="colorScale" priority="4080">
      <colorScale>
        <cfvo type="min"/>
        <cfvo type="percentile" val="50"/>
        <cfvo type="max"/>
        <color rgb="FFF8696B"/>
        <color rgb="FFFFEB84"/>
        <color rgb="FF63BE7B"/>
      </colorScale>
    </cfRule>
  </conditionalFormatting>
  <conditionalFormatting sqref="F32">
    <cfRule type="colorScale" priority="4079">
      <colorScale>
        <cfvo type="min"/>
        <cfvo type="percentile" val="50"/>
        <cfvo type="max"/>
        <color rgb="FFF8696B"/>
        <color rgb="FFFFEB84"/>
        <color rgb="FF63BE7B"/>
      </colorScale>
    </cfRule>
  </conditionalFormatting>
  <conditionalFormatting sqref="F32">
    <cfRule type="colorScale" priority="4078">
      <colorScale>
        <cfvo type="min"/>
        <cfvo type="percentile" val="50"/>
        <cfvo type="max"/>
        <color rgb="FFF8696B"/>
        <color rgb="FFFFEB84"/>
        <color rgb="FF63BE7B"/>
      </colorScale>
    </cfRule>
  </conditionalFormatting>
  <conditionalFormatting sqref="F32">
    <cfRule type="colorScale" priority="4077">
      <colorScale>
        <cfvo type="min"/>
        <cfvo type="percentile" val="50"/>
        <cfvo type="max"/>
        <color rgb="FFF8696B"/>
        <color rgb="FFFFEB84"/>
        <color rgb="FF63BE7B"/>
      </colorScale>
    </cfRule>
  </conditionalFormatting>
  <conditionalFormatting sqref="F32">
    <cfRule type="colorScale" priority="4076">
      <colorScale>
        <cfvo type="min"/>
        <cfvo type="percentile" val="50"/>
        <cfvo type="max"/>
        <color rgb="FFF8696B"/>
        <color rgb="FFFFEB84"/>
        <color rgb="FF63BE7B"/>
      </colorScale>
    </cfRule>
  </conditionalFormatting>
  <conditionalFormatting sqref="F32">
    <cfRule type="colorScale" priority="4075">
      <colorScale>
        <cfvo type="min"/>
        <cfvo type="percentile" val="50"/>
        <cfvo type="max"/>
        <color rgb="FFF8696B"/>
        <color rgb="FFFFEB84"/>
        <color rgb="FF63BE7B"/>
      </colorScale>
    </cfRule>
  </conditionalFormatting>
  <conditionalFormatting sqref="F32">
    <cfRule type="colorScale" priority="4074">
      <colorScale>
        <cfvo type="min"/>
        <cfvo type="percentile" val="50"/>
        <cfvo type="max"/>
        <color rgb="FFF8696B"/>
        <color rgb="FFFFEB84"/>
        <color rgb="FF63BE7B"/>
      </colorScale>
    </cfRule>
  </conditionalFormatting>
  <conditionalFormatting sqref="F32">
    <cfRule type="colorScale" priority="4073">
      <colorScale>
        <cfvo type="min"/>
        <cfvo type="percentile" val="50"/>
        <cfvo type="max"/>
        <color rgb="FFF8696B"/>
        <color rgb="FFFFEB84"/>
        <color rgb="FF63BE7B"/>
      </colorScale>
    </cfRule>
  </conditionalFormatting>
  <conditionalFormatting sqref="F32">
    <cfRule type="colorScale" priority="4072">
      <colorScale>
        <cfvo type="min"/>
        <cfvo type="percentile" val="50"/>
        <cfvo type="max"/>
        <color rgb="FFF8696B"/>
        <color rgb="FFFFEB84"/>
        <color rgb="FF63BE7B"/>
      </colorScale>
    </cfRule>
  </conditionalFormatting>
  <conditionalFormatting sqref="F32">
    <cfRule type="colorScale" priority="4071">
      <colorScale>
        <cfvo type="min"/>
        <cfvo type="percentile" val="50"/>
        <cfvo type="max"/>
        <color rgb="FFF8696B"/>
        <color rgb="FFFFEB84"/>
        <color rgb="FF63BE7B"/>
      </colorScale>
    </cfRule>
  </conditionalFormatting>
  <conditionalFormatting sqref="F32">
    <cfRule type="colorScale" priority="4070">
      <colorScale>
        <cfvo type="min"/>
        <cfvo type="percentile" val="50"/>
        <cfvo type="max"/>
        <color rgb="FFF8696B"/>
        <color rgb="FFFFEB84"/>
        <color rgb="FF63BE7B"/>
      </colorScale>
    </cfRule>
  </conditionalFormatting>
  <conditionalFormatting sqref="F32">
    <cfRule type="colorScale" priority="4069">
      <colorScale>
        <cfvo type="min"/>
        <cfvo type="percentile" val="50"/>
        <cfvo type="max"/>
        <color rgb="FFF8696B"/>
        <color rgb="FFFFEB84"/>
        <color rgb="FF63BE7B"/>
      </colorScale>
    </cfRule>
  </conditionalFormatting>
  <conditionalFormatting sqref="F32">
    <cfRule type="colorScale" priority="4068">
      <colorScale>
        <cfvo type="min"/>
        <cfvo type="percentile" val="50"/>
        <cfvo type="max"/>
        <color rgb="FFF8696B"/>
        <color rgb="FFFFEB84"/>
        <color rgb="FF63BE7B"/>
      </colorScale>
    </cfRule>
  </conditionalFormatting>
  <conditionalFormatting sqref="F32">
    <cfRule type="colorScale" priority="4067">
      <colorScale>
        <cfvo type="min"/>
        <cfvo type="percentile" val="50"/>
        <cfvo type="max"/>
        <color rgb="FFF8696B"/>
        <color rgb="FFFFEB84"/>
        <color rgb="FF63BE7B"/>
      </colorScale>
    </cfRule>
  </conditionalFormatting>
  <conditionalFormatting sqref="F32">
    <cfRule type="colorScale" priority="4066">
      <colorScale>
        <cfvo type="min"/>
        <cfvo type="percentile" val="50"/>
        <cfvo type="max"/>
        <color rgb="FFF8696B"/>
        <color rgb="FFFFEB84"/>
        <color rgb="FF63BE7B"/>
      </colorScale>
    </cfRule>
  </conditionalFormatting>
  <conditionalFormatting sqref="F32">
    <cfRule type="colorScale" priority="4065">
      <colorScale>
        <cfvo type="min"/>
        <cfvo type="percentile" val="50"/>
        <cfvo type="max"/>
        <color rgb="FFF8696B"/>
        <color rgb="FFFFEB84"/>
        <color rgb="FF63BE7B"/>
      </colorScale>
    </cfRule>
  </conditionalFormatting>
  <conditionalFormatting sqref="F32">
    <cfRule type="colorScale" priority="4064">
      <colorScale>
        <cfvo type="min"/>
        <cfvo type="percentile" val="50"/>
        <cfvo type="max"/>
        <color rgb="FFF8696B"/>
        <color rgb="FFFFEB84"/>
        <color rgb="FF63BE7B"/>
      </colorScale>
    </cfRule>
  </conditionalFormatting>
  <conditionalFormatting sqref="F32">
    <cfRule type="colorScale" priority="4063">
      <colorScale>
        <cfvo type="min"/>
        <cfvo type="percentile" val="50"/>
        <cfvo type="max"/>
        <color rgb="FFF8696B"/>
        <color rgb="FFFFEB84"/>
        <color rgb="FF63BE7B"/>
      </colorScale>
    </cfRule>
  </conditionalFormatting>
  <conditionalFormatting sqref="F32">
    <cfRule type="colorScale" priority="4062">
      <colorScale>
        <cfvo type="min"/>
        <cfvo type="percentile" val="50"/>
        <cfvo type="max"/>
        <color rgb="FFF8696B"/>
        <color rgb="FFFFEB84"/>
        <color rgb="FF63BE7B"/>
      </colorScale>
    </cfRule>
  </conditionalFormatting>
  <conditionalFormatting sqref="F32">
    <cfRule type="colorScale" priority="4061">
      <colorScale>
        <cfvo type="min"/>
        <cfvo type="percentile" val="50"/>
        <cfvo type="max"/>
        <color rgb="FFF8696B"/>
        <color rgb="FFFFEB84"/>
        <color rgb="FF63BE7B"/>
      </colorScale>
    </cfRule>
  </conditionalFormatting>
  <conditionalFormatting sqref="F32">
    <cfRule type="colorScale" priority="4060">
      <colorScale>
        <cfvo type="min"/>
        <cfvo type="percentile" val="50"/>
        <cfvo type="max"/>
        <color rgb="FFF8696B"/>
        <color rgb="FFFFEB84"/>
        <color rgb="FF63BE7B"/>
      </colorScale>
    </cfRule>
  </conditionalFormatting>
  <conditionalFormatting sqref="F32">
    <cfRule type="colorScale" priority="4059">
      <colorScale>
        <cfvo type="min"/>
        <cfvo type="percentile" val="50"/>
        <cfvo type="max"/>
        <color rgb="FFF8696B"/>
        <color rgb="FFFFEB84"/>
        <color rgb="FF63BE7B"/>
      </colorScale>
    </cfRule>
  </conditionalFormatting>
  <conditionalFormatting sqref="F32">
    <cfRule type="colorScale" priority="4058">
      <colorScale>
        <cfvo type="min"/>
        <cfvo type="percentile" val="50"/>
        <cfvo type="max"/>
        <color rgb="FFF8696B"/>
        <color rgb="FFFFEB84"/>
        <color rgb="FF63BE7B"/>
      </colorScale>
    </cfRule>
  </conditionalFormatting>
  <conditionalFormatting sqref="F32">
    <cfRule type="colorScale" priority="4057">
      <colorScale>
        <cfvo type="min"/>
        <cfvo type="percentile" val="50"/>
        <cfvo type="max"/>
        <color rgb="FFF8696B"/>
        <color rgb="FFFFEB84"/>
        <color rgb="FF63BE7B"/>
      </colorScale>
    </cfRule>
  </conditionalFormatting>
  <conditionalFormatting sqref="F32">
    <cfRule type="colorScale" priority="4056">
      <colorScale>
        <cfvo type="min"/>
        <cfvo type="percentile" val="50"/>
        <cfvo type="max"/>
        <color rgb="FFF8696B"/>
        <color rgb="FFFFEB84"/>
        <color rgb="FF63BE7B"/>
      </colorScale>
    </cfRule>
  </conditionalFormatting>
  <conditionalFormatting sqref="F32">
    <cfRule type="colorScale" priority="4055">
      <colorScale>
        <cfvo type="min"/>
        <cfvo type="percentile" val="50"/>
        <cfvo type="max"/>
        <color rgb="FFF8696B"/>
        <color rgb="FFFFEB84"/>
        <color rgb="FF63BE7B"/>
      </colorScale>
    </cfRule>
  </conditionalFormatting>
  <conditionalFormatting sqref="F32">
    <cfRule type="colorScale" priority="4054">
      <colorScale>
        <cfvo type="min"/>
        <cfvo type="percentile" val="50"/>
        <cfvo type="max"/>
        <color rgb="FFF8696B"/>
        <color rgb="FFFFEB84"/>
        <color rgb="FF63BE7B"/>
      </colorScale>
    </cfRule>
  </conditionalFormatting>
  <conditionalFormatting sqref="F32">
    <cfRule type="colorScale" priority="4053">
      <colorScale>
        <cfvo type="min"/>
        <cfvo type="percentile" val="50"/>
        <cfvo type="max"/>
        <color rgb="FFF8696B"/>
        <color rgb="FFFFEB84"/>
        <color rgb="FF63BE7B"/>
      </colorScale>
    </cfRule>
  </conditionalFormatting>
  <conditionalFormatting sqref="F32">
    <cfRule type="colorScale" priority="4052">
      <colorScale>
        <cfvo type="min"/>
        <cfvo type="percentile" val="50"/>
        <cfvo type="max"/>
        <color rgb="FFF8696B"/>
        <color rgb="FFFFEB84"/>
        <color rgb="FF63BE7B"/>
      </colorScale>
    </cfRule>
  </conditionalFormatting>
  <conditionalFormatting sqref="F32">
    <cfRule type="colorScale" priority="4051">
      <colorScale>
        <cfvo type="min"/>
        <cfvo type="percentile" val="50"/>
        <cfvo type="max"/>
        <color rgb="FFF8696B"/>
        <color rgb="FFFFEB84"/>
        <color rgb="FF63BE7B"/>
      </colorScale>
    </cfRule>
  </conditionalFormatting>
  <conditionalFormatting sqref="F32">
    <cfRule type="colorScale" priority="4050">
      <colorScale>
        <cfvo type="min"/>
        <cfvo type="percentile" val="50"/>
        <cfvo type="max"/>
        <color rgb="FFF8696B"/>
        <color rgb="FFFFEB84"/>
        <color rgb="FF63BE7B"/>
      </colorScale>
    </cfRule>
  </conditionalFormatting>
  <conditionalFormatting sqref="F32">
    <cfRule type="colorScale" priority="4049">
      <colorScale>
        <cfvo type="min"/>
        <cfvo type="percentile" val="50"/>
        <cfvo type="max"/>
        <color rgb="FFF8696B"/>
        <color rgb="FFFFEB84"/>
        <color rgb="FF63BE7B"/>
      </colorScale>
    </cfRule>
  </conditionalFormatting>
  <conditionalFormatting sqref="F32">
    <cfRule type="colorScale" priority="4048">
      <colorScale>
        <cfvo type="min"/>
        <cfvo type="percentile" val="50"/>
        <cfvo type="max"/>
        <color rgb="FFF8696B"/>
        <color rgb="FFFFEB84"/>
        <color rgb="FF63BE7B"/>
      </colorScale>
    </cfRule>
  </conditionalFormatting>
  <conditionalFormatting sqref="F32">
    <cfRule type="colorScale" priority="4047">
      <colorScale>
        <cfvo type="min"/>
        <cfvo type="percentile" val="50"/>
        <cfvo type="max"/>
        <color rgb="FFF8696B"/>
        <color rgb="FFFFEB84"/>
        <color rgb="FF63BE7B"/>
      </colorScale>
    </cfRule>
  </conditionalFormatting>
  <conditionalFormatting sqref="F32">
    <cfRule type="colorScale" priority="4046">
      <colorScale>
        <cfvo type="min"/>
        <cfvo type="percentile" val="50"/>
        <cfvo type="max"/>
        <color rgb="FFF8696B"/>
        <color rgb="FFFFEB84"/>
        <color rgb="FF63BE7B"/>
      </colorScale>
    </cfRule>
  </conditionalFormatting>
  <conditionalFormatting sqref="F32">
    <cfRule type="colorScale" priority="4045">
      <colorScale>
        <cfvo type="min"/>
        <cfvo type="percentile" val="50"/>
        <cfvo type="max"/>
        <color rgb="FFF8696B"/>
        <color rgb="FFFFEB84"/>
        <color rgb="FF63BE7B"/>
      </colorScale>
    </cfRule>
  </conditionalFormatting>
  <conditionalFormatting sqref="F32">
    <cfRule type="colorScale" priority="4044">
      <colorScale>
        <cfvo type="min"/>
        <cfvo type="percentile" val="50"/>
        <cfvo type="max"/>
        <color rgb="FFF8696B"/>
        <color rgb="FFFFEB84"/>
        <color rgb="FF63BE7B"/>
      </colorScale>
    </cfRule>
  </conditionalFormatting>
  <conditionalFormatting sqref="F32">
    <cfRule type="colorScale" priority="4043">
      <colorScale>
        <cfvo type="min"/>
        <cfvo type="percentile" val="50"/>
        <cfvo type="max"/>
        <color rgb="FFF8696B"/>
        <color rgb="FFFFEB84"/>
        <color rgb="FF63BE7B"/>
      </colorScale>
    </cfRule>
  </conditionalFormatting>
  <conditionalFormatting sqref="F32">
    <cfRule type="colorScale" priority="4042">
      <colorScale>
        <cfvo type="min"/>
        <cfvo type="percentile" val="50"/>
        <cfvo type="max"/>
        <color rgb="FFF8696B"/>
        <color rgb="FFFFEB84"/>
        <color rgb="FF63BE7B"/>
      </colorScale>
    </cfRule>
  </conditionalFormatting>
  <conditionalFormatting sqref="F32">
    <cfRule type="colorScale" priority="4041">
      <colorScale>
        <cfvo type="min"/>
        <cfvo type="percentile" val="50"/>
        <cfvo type="max"/>
        <color rgb="FFF8696B"/>
        <color rgb="FFFFEB84"/>
        <color rgb="FF63BE7B"/>
      </colorScale>
    </cfRule>
  </conditionalFormatting>
  <conditionalFormatting sqref="F32">
    <cfRule type="colorScale" priority="4040">
      <colorScale>
        <cfvo type="min"/>
        <cfvo type="percentile" val="50"/>
        <cfvo type="max"/>
        <color rgb="FFF8696B"/>
        <color rgb="FFFFEB84"/>
        <color rgb="FF63BE7B"/>
      </colorScale>
    </cfRule>
  </conditionalFormatting>
  <conditionalFormatting sqref="F32">
    <cfRule type="colorScale" priority="4039">
      <colorScale>
        <cfvo type="min"/>
        <cfvo type="percentile" val="50"/>
        <cfvo type="max"/>
        <color rgb="FFF8696B"/>
        <color rgb="FFFFEB84"/>
        <color rgb="FF63BE7B"/>
      </colorScale>
    </cfRule>
  </conditionalFormatting>
  <conditionalFormatting sqref="F32">
    <cfRule type="colorScale" priority="4038">
      <colorScale>
        <cfvo type="min"/>
        <cfvo type="percentile" val="50"/>
        <cfvo type="max"/>
        <color rgb="FFF8696B"/>
        <color rgb="FFFFEB84"/>
        <color rgb="FF63BE7B"/>
      </colorScale>
    </cfRule>
  </conditionalFormatting>
  <conditionalFormatting sqref="F32">
    <cfRule type="colorScale" priority="4037">
      <colorScale>
        <cfvo type="min"/>
        <cfvo type="percentile" val="50"/>
        <cfvo type="max"/>
        <color rgb="FFF8696B"/>
        <color rgb="FFFFEB84"/>
        <color rgb="FF63BE7B"/>
      </colorScale>
    </cfRule>
  </conditionalFormatting>
  <conditionalFormatting sqref="F32">
    <cfRule type="colorScale" priority="4036">
      <colorScale>
        <cfvo type="min"/>
        <cfvo type="percentile" val="50"/>
        <cfvo type="max"/>
        <color rgb="FFF8696B"/>
        <color rgb="FFFFEB84"/>
        <color rgb="FF63BE7B"/>
      </colorScale>
    </cfRule>
  </conditionalFormatting>
  <conditionalFormatting sqref="F32">
    <cfRule type="colorScale" priority="4035">
      <colorScale>
        <cfvo type="min"/>
        <cfvo type="percentile" val="50"/>
        <cfvo type="max"/>
        <color rgb="FFF8696B"/>
        <color rgb="FFFFEB84"/>
        <color rgb="FF63BE7B"/>
      </colorScale>
    </cfRule>
  </conditionalFormatting>
  <conditionalFormatting sqref="F32">
    <cfRule type="colorScale" priority="4034">
      <colorScale>
        <cfvo type="min"/>
        <cfvo type="percentile" val="50"/>
        <cfvo type="max"/>
        <color rgb="FFF8696B"/>
        <color rgb="FFFFEB84"/>
        <color rgb="FF63BE7B"/>
      </colorScale>
    </cfRule>
  </conditionalFormatting>
  <conditionalFormatting sqref="F32">
    <cfRule type="colorScale" priority="4033">
      <colorScale>
        <cfvo type="min"/>
        <cfvo type="percentile" val="50"/>
        <cfvo type="max"/>
        <color rgb="FFF8696B"/>
        <color rgb="FFFFEB84"/>
        <color rgb="FF63BE7B"/>
      </colorScale>
    </cfRule>
  </conditionalFormatting>
  <conditionalFormatting sqref="F32">
    <cfRule type="colorScale" priority="4032">
      <colorScale>
        <cfvo type="min"/>
        <cfvo type="percentile" val="50"/>
        <cfvo type="max"/>
        <color rgb="FFF8696B"/>
        <color rgb="FFFFEB84"/>
        <color rgb="FF63BE7B"/>
      </colorScale>
    </cfRule>
  </conditionalFormatting>
  <conditionalFormatting sqref="F32">
    <cfRule type="colorScale" priority="4031">
      <colorScale>
        <cfvo type="min"/>
        <cfvo type="percentile" val="50"/>
        <cfvo type="max"/>
        <color rgb="FFF8696B"/>
        <color rgb="FFFFEB84"/>
        <color rgb="FF63BE7B"/>
      </colorScale>
    </cfRule>
  </conditionalFormatting>
  <conditionalFormatting sqref="F32">
    <cfRule type="colorScale" priority="4030">
      <colorScale>
        <cfvo type="min"/>
        <cfvo type="percentile" val="50"/>
        <cfvo type="max"/>
        <color rgb="FFF8696B"/>
        <color rgb="FFFFEB84"/>
        <color rgb="FF63BE7B"/>
      </colorScale>
    </cfRule>
  </conditionalFormatting>
  <conditionalFormatting sqref="F32">
    <cfRule type="colorScale" priority="4029">
      <colorScale>
        <cfvo type="min"/>
        <cfvo type="percentile" val="50"/>
        <cfvo type="max"/>
        <color rgb="FFF8696B"/>
        <color rgb="FFFFEB84"/>
        <color rgb="FF63BE7B"/>
      </colorScale>
    </cfRule>
  </conditionalFormatting>
  <conditionalFormatting sqref="F32">
    <cfRule type="colorScale" priority="4028">
      <colorScale>
        <cfvo type="min"/>
        <cfvo type="percentile" val="50"/>
        <cfvo type="max"/>
        <color rgb="FFF8696B"/>
        <color rgb="FFFFEB84"/>
        <color rgb="FF63BE7B"/>
      </colorScale>
    </cfRule>
  </conditionalFormatting>
  <conditionalFormatting sqref="F32">
    <cfRule type="colorScale" priority="4027">
      <colorScale>
        <cfvo type="min"/>
        <cfvo type="percentile" val="50"/>
        <cfvo type="max"/>
        <color rgb="FFF8696B"/>
        <color rgb="FFFFEB84"/>
        <color rgb="FF63BE7B"/>
      </colorScale>
    </cfRule>
  </conditionalFormatting>
  <conditionalFormatting sqref="F32">
    <cfRule type="colorScale" priority="4026">
      <colorScale>
        <cfvo type="min"/>
        <cfvo type="percentile" val="50"/>
        <cfvo type="max"/>
        <color rgb="FFF8696B"/>
        <color rgb="FFFFEB84"/>
        <color rgb="FF63BE7B"/>
      </colorScale>
    </cfRule>
  </conditionalFormatting>
  <conditionalFormatting sqref="F32">
    <cfRule type="colorScale" priority="4025">
      <colorScale>
        <cfvo type="min"/>
        <cfvo type="percentile" val="50"/>
        <cfvo type="max"/>
        <color rgb="FFF8696B"/>
        <color rgb="FFFFEB84"/>
        <color rgb="FF63BE7B"/>
      </colorScale>
    </cfRule>
  </conditionalFormatting>
  <conditionalFormatting sqref="F32">
    <cfRule type="colorScale" priority="4024">
      <colorScale>
        <cfvo type="min"/>
        <cfvo type="percentile" val="50"/>
        <cfvo type="max"/>
        <color rgb="FFF8696B"/>
        <color rgb="FFFFEB84"/>
        <color rgb="FF63BE7B"/>
      </colorScale>
    </cfRule>
  </conditionalFormatting>
  <conditionalFormatting sqref="F32">
    <cfRule type="colorScale" priority="4023">
      <colorScale>
        <cfvo type="min"/>
        <cfvo type="percentile" val="50"/>
        <cfvo type="max"/>
        <color rgb="FFF8696B"/>
        <color rgb="FFFFEB84"/>
        <color rgb="FF63BE7B"/>
      </colorScale>
    </cfRule>
  </conditionalFormatting>
  <conditionalFormatting sqref="F32">
    <cfRule type="colorScale" priority="4022">
      <colorScale>
        <cfvo type="min"/>
        <cfvo type="percentile" val="50"/>
        <cfvo type="max"/>
        <color rgb="FFF8696B"/>
        <color rgb="FFFFEB84"/>
        <color rgb="FF63BE7B"/>
      </colorScale>
    </cfRule>
  </conditionalFormatting>
  <conditionalFormatting sqref="F32">
    <cfRule type="colorScale" priority="4021">
      <colorScale>
        <cfvo type="min"/>
        <cfvo type="percentile" val="50"/>
        <cfvo type="max"/>
        <color rgb="FFF8696B"/>
        <color rgb="FFFFEB84"/>
        <color rgb="FF63BE7B"/>
      </colorScale>
    </cfRule>
  </conditionalFormatting>
  <conditionalFormatting sqref="F32">
    <cfRule type="colorScale" priority="4020">
      <colorScale>
        <cfvo type="min"/>
        <cfvo type="percentile" val="50"/>
        <cfvo type="max"/>
        <color rgb="FFF8696B"/>
        <color rgb="FFFFEB84"/>
        <color rgb="FF63BE7B"/>
      </colorScale>
    </cfRule>
  </conditionalFormatting>
  <conditionalFormatting sqref="F32">
    <cfRule type="colorScale" priority="4019">
      <colorScale>
        <cfvo type="min"/>
        <cfvo type="percentile" val="50"/>
        <cfvo type="max"/>
        <color rgb="FFF8696B"/>
        <color rgb="FFFFEB84"/>
        <color rgb="FF63BE7B"/>
      </colorScale>
    </cfRule>
  </conditionalFormatting>
  <conditionalFormatting sqref="F32">
    <cfRule type="colorScale" priority="4018">
      <colorScale>
        <cfvo type="min"/>
        <cfvo type="percentile" val="50"/>
        <cfvo type="max"/>
        <color rgb="FFF8696B"/>
        <color rgb="FFFFEB84"/>
        <color rgb="FF63BE7B"/>
      </colorScale>
    </cfRule>
  </conditionalFormatting>
  <conditionalFormatting sqref="F32">
    <cfRule type="colorScale" priority="4017">
      <colorScale>
        <cfvo type="min"/>
        <cfvo type="percentile" val="50"/>
        <cfvo type="max"/>
        <color rgb="FFF8696B"/>
        <color rgb="FFFFEB84"/>
        <color rgb="FF63BE7B"/>
      </colorScale>
    </cfRule>
  </conditionalFormatting>
  <conditionalFormatting sqref="F32">
    <cfRule type="colorScale" priority="4016">
      <colorScale>
        <cfvo type="min"/>
        <cfvo type="percentile" val="50"/>
        <cfvo type="max"/>
        <color rgb="FFF8696B"/>
        <color rgb="FFFFEB84"/>
        <color rgb="FF63BE7B"/>
      </colorScale>
    </cfRule>
  </conditionalFormatting>
  <conditionalFormatting sqref="F32">
    <cfRule type="colorScale" priority="4015">
      <colorScale>
        <cfvo type="min"/>
        <cfvo type="percentile" val="50"/>
        <cfvo type="max"/>
        <color rgb="FFF8696B"/>
        <color rgb="FFFFEB84"/>
        <color rgb="FF63BE7B"/>
      </colorScale>
    </cfRule>
  </conditionalFormatting>
  <conditionalFormatting sqref="F32">
    <cfRule type="colorScale" priority="4014">
      <colorScale>
        <cfvo type="min"/>
        <cfvo type="percentile" val="50"/>
        <cfvo type="max"/>
        <color rgb="FFF8696B"/>
        <color rgb="FFFFEB84"/>
        <color rgb="FF63BE7B"/>
      </colorScale>
    </cfRule>
  </conditionalFormatting>
  <conditionalFormatting sqref="F32">
    <cfRule type="colorScale" priority="4013">
      <colorScale>
        <cfvo type="min"/>
        <cfvo type="percentile" val="50"/>
        <cfvo type="max"/>
        <color rgb="FFF8696B"/>
        <color rgb="FFFFEB84"/>
        <color rgb="FF63BE7B"/>
      </colorScale>
    </cfRule>
  </conditionalFormatting>
  <conditionalFormatting sqref="F32">
    <cfRule type="colorScale" priority="4012">
      <colorScale>
        <cfvo type="min"/>
        <cfvo type="percentile" val="50"/>
        <cfvo type="max"/>
        <color rgb="FFF8696B"/>
        <color rgb="FFFFEB84"/>
        <color rgb="FF63BE7B"/>
      </colorScale>
    </cfRule>
  </conditionalFormatting>
  <conditionalFormatting sqref="F32">
    <cfRule type="colorScale" priority="4011">
      <colorScale>
        <cfvo type="min"/>
        <cfvo type="percentile" val="50"/>
        <cfvo type="max"/>
        <color rgb="FFF8696B"/>
        <color rgb="FFFFEB84"/>
        <color rgb="FF63BE7B"/>
      </colorScale>
    </cfRule>
  </conditionalFormatting>
  <conditionalFormatting sqref="F32">
    <cfRule type="colorScale" priority="4010">
      <colorScale>
        <cfvo type="min"/>
        <cfvo type="percentile" val="50"/>
        <cfvo type="max"/>
        <color rgb="FFF8696B"/>
        <color rgb="FFFFEB84"/>
        <color rgb="FF63BE7B"/>
      </colorScale>
    </cfRule>
  </conditionalFormatting>
  <conditionalFormatting sqref="F32">
    <cfRule type="colorScale" priority="4009">
      <colorScale>
        <cfvo type="min"/>
        <cfvo type="percentile" val="50"/>
        <cfvo type="max"/>
        <color rgb="FFF8696B"/>
        <color rgb="FFFFEB84"/>
        <color rgb="FF63BE7B"/>
      </colorScale>
    </cfRule>
  </conditionalFormatting>
  <conditionalFormatting sqref="F32">
    <cfRule type="colorScale" priority="4008">
      <colorScale>
        <cfvo type="min"/>
        <cfvo type="percentile" val="50"/>
        <cfvo type="max"/>
        <color rgb="FFF8696B"/>
        <color rgb="FFFFEB84"/>
        <color rgb="FF63BE7B"/>
      </colorScale>
    </cfRule>
  </conditionalFormatting>
  <conditionalFormatting sqref="F32">
    <cfRule type="colorScale" priority="4007">
      <colorScale>
        <cfvo type="min"/>
        <cfvo type="percentile" val="50"/>
        <cfvo type="max"/>
        <color rgb="FFF8696B"/>
        <color rgb="FFFFEB84"/>
        <color rgb="FF63BE7B"/>
      </colorScale>
    </cfRule>
  </conditionalFormatting>
  <conditionalFormatting sqref="F32">
    <cfRule type="colorScale" priority="4006">
      <colorScale>
        <cfvo type="min"/>
        <cfvo type="percentile" val="50"/>
        <cfvo type="max"/>
        <color rgb="FFF8696B"/>
        <color rgb="FFFFEB84"/>
        <color rgb="FF63BE7B"/>
      </colorScale>
    </cfRule>
  </conditionalFormatting>
  <conditionalFormatting sqref="F32">
    <cfRule type="colorScale" priority="4005">
      <colorScale>
        <cfvo type="min"/>
        <cfvo type="percentile" val="50"/>
        <cfvo type="max"/>
        <color rgb="FFF8696B"/>
        <color rgb="FFFFEB84"/>
        <color rgb="FF63BE7B"/>
      </colorScale>
    </cfRule>
  </conditionalFormatting>
  <conditionalFormatting sqref="F32">
    <cfRule type="colorScale" priority="4004">
      <colorScale>
        <cfvo type="min"/>
        <cfvo type="percentile" val="50"/>
        <cfvo type="max"/>
        <color rgb="FFF8696B"/>
        <color rgb="FFFFEB84"/>
        <color rgb="FF63BE7B"/>
      </colorScale>
    </cfRule>
  </conditionalFormatting>
  <conditionalFormatting sqref="F32">
    <cfRule type="colorScale" priority="4003">
      <colorScale>
        <cfvo type="min"/>
        <cfvo type="percentile" val="50"/>
        <cfvo type="max"/>
        <color rgb="FFF8696B"/>
        <color rgb="FFFFEB84"/>
        <color rgb="FF63BE7B"/>
      </colorScale>
    </cfRule>
  </conditionalFormatting>
  <conditionalFormatting sqref="F32">
    <cfRule type="colorScale" priority="4002">
      <colorScale>
        <cfvo type="min"/>
        <cfvo type="percentile" val="50"/>
        <cfvo type="max"/>
        <color rgb="FFF8696B"/>
        <color rgb="FFFFEB84"/>
        <color rgb="FF63BE7B"/>
      </colorScale>
    </cfRule>
  </conditionalFormatting>
  <conditionalFormatting sqref="F32">
    <cfRule type="colorScale" priority="4001">
      <colorScale>
        <cfvo type="min"/>
        <cfvo type="percentile" val="50"/>
        <cfvo type="max"/>
        <color rgb="FFF8696B"/>
        <color rgb="FFFFEB84"/>
        <color rgb="FF63BE7B"/>
      </colorScale>
    </cfRule>
  </conditionalFormatting>
  <conditionalFormatting sqref="F32">
    <cfRule type="colorScale" priority="4000">
      <colorScale>
        <cfvo type="min"/>
        <cfvo type="percentile" val="50"/>
        <cfvo type="max"/>
        <color rgb="FFF8696B"/>
        <color rgb="FFFFEB84"/>
        <color rgb="FF63BE7B"/>
      </colorScale>
    </cfRule>
  </conditionalFormatting>
  <conditionalFormatting sqref="F32">
    <cfRule type="colorScale" priority="3999">
      <colorScale>
        <cfvo type="min"/>
        <cfvo type="percentile" val="50"/>
        <cfvo type="max"/>
        <color rgb="FFF8696B"/>
        <color rgb="FFFFEB84"/>
        <color rgb="FF63BE7B"/>
      </colorScale>
    </cfRule>
  </conditionalFormatting>
  <conditionalFormatting sqref="F32">
    <cfRule type="colorScale" priority="3998">
      <colorScale>
        <cfvo type="min"/>
        <cfvo type="percentile" val="50"/>
        <cfvo type="max"/>
        <color rgb="FFF8696B"/>
        <color rgb="FFFFEB84"/>
        <color rgb="FF63BE7B"/>
      </colorScale>
    </cfRule>
  </conditionalFormatting>
  <conditionalFormatting sqref="F32">
    <cfRule type="colorScale" priority="3997">
      <colorScale>
        <cfvo type="min"/>
        <cfvo type="percentile" val="50"/>
        <cfvo type="max"/>
        <color rgb="FFF8696B"/>
        <color rgb="FFFFEB84"/>
        <color rgb="FF63BE7B"/>
      </colorScale>
    </cfRule>
  </conditionalFormatting>
  <conditionalFormatting sqref="F32">
    <cfRule type="colorScale" priority="3996">
      <colorScale>
        <cfvo type="min"/>
        <cfvo type="percentile" val="50"/>
        <cfvo type="max"/>
        <color rgb="FFF8696B"/>
        <color rgb="FFFFEB84"/>
        <color rgb="FF63BE7B"/>
      </colorScale>
    </cfRule>
  </conditionalFormatting>
  <conditionalFormatting sqref="F32">
    <cfRule type="colorScale" priority="3995">
      <colorScale>
        <cfvo type="min"/>
        <cfvo type="percentile" val="50"/>
        <cfvo type="max"/>
        <color rgb="FFF8696B"/>
        <color rgb="FFFFEB84"/>
        <color rgb="FF63BE7B"/>
      </colorScale>
    </cfRule>
  </conditionalFormatting>
  <conditionalFormatting sqref="F32">
    <cfRule type="colorScale" priority="3994">
      <colorScale>
        <cfvo type="min"/>
        <cfvo type="percentile" val="50"/>
        <cfvo type="max"/>
        <color rgb="FFF8696B"/>
        <color rgb="FFFFEB84"/>
        <color rgb="FF63BE7B"/>
      </colorScale>
    </cfRule>
  </conditionalFormatting>
  <conditionalFormatting sqref="F32">
    <cfRule type="colorScale" priority="3993">
      <colorScale>
        <cfvo type="min"/>
        <cfvo type="percentile" val="50"/>
        <cfvo type="max"/>
        <color rgb="FFF8696B"/>
        <color rgb="FFFFEB84"/>
        <color rgb="FF63BE7B"/>
      </colorScale>
    </cfRule>
  </conditionalFormatting>
  <conditionalFormatting sqref="F32">
    <cfRule type="colorScale" priority="3992">
      <colorScale>
        <cfvo type="min"/>
        <cfvo type="percentile" val="50"/>
        <cfvo type="max"/>
        <color rgb="FFF8696B"/>
        <color rgb="FFFFEB84"/>
        <color rgb="FF63BE7B"/>
      </colorScale>
    </cfRule>
  </conditionalFormatting>
  <conditionalFormatting sqref="F32">
    <cfRule type="colorScale" priority="3991">
      <colorScale>
        <cfvo type="min"/>
        <cfvo type="percentile" val="50"/>
        <cfvo type="max"/>
        <color rgb="FFF8696B"/>
        <color rgb="FFFFEB84"/>
        <color rgb="FF63BE7B"/>
      </colorScale>
    </cfRule>
  </conditionalFormatting>
  <conditionalFormatting sqref="F32">
    <cfRule type="colorScale" priority="3990">
      <colorScale>
        <cfvo type="min"/>
        <cfvo type="percentile" val="50"/>
        <cfvo type="max"/>
        <color rgb="FFF8696B"/>
        <color rgb="FFFFEB84"/>
        <color rgb="FF63BE7B"/>
      </colorScale>
    </cfRule>
  </conditionalFormatting>
  <conditionalFormatting sqref="F32">
    <cfRule type="colorScale" priority="3989">
      <colorScale>
        <cfvo type="min"/>
        <cfvo type="percentile" val="50"/>
        <cfvo type="max"/>
        <color rgb="FFF8696B"/>
        <color rgb="FFFFEB84"/>
        <color rgb="FF63BE7B"/>
      </colorScale>
    </cfRule>
  </conditionalFormatting>
  <conditionalFormatting sqref="F32">
    <cfRule type="colorScale" priority="3988">
      <colorScale>
        <cfvo type="min"/>
        <cfvo type="percentile" val="50"/>
        <cfvo type="max"/>
        <color rgb="FFF8696B"/>
        <color rgb="FFFFEB84"/>
        <color rgb="FF63BE7B"/>
      </colorScale>
    </cfRule>
  </conditionalFormatting>
  <conditionalFormatting sqref="F32">
    <cfRule type="colorScale" priority="3987">
      <colorScale>
        <cfvo type="min"/>
        <cfvo type="percentile" val="50"/>
        <cfvo type="max"/>
        <color rgb="FFF8696B"/>
        <color rgb="FFFFEB84"/>
        <color rgb="FF63BE7B"/>
      </colorScale>
    </cfRule>
  </conditionalFormatting>
  <conditionalFormatting sqref="F32">
    <cfRule type="colorScale" priority="3986">
      <colorScale>
        <cfvo type="min"/>
        <cfvo type="percentile" val="50"/>
        <cfvo type="max"/>
        <color rgb="FFF8696B"/>
        <color rgb="FFFFEB84"/>
        <color rgb="FF63BE7B"/>
      </colorScale>
    </cfRule>
  </conditionalFormatting>
  <conditionalFormatting sqref="F32">
    <cfRule type="colorScale" priority="3985">
      <colorScale>
        <cfvo type="min"/>
        <cfvo type="percentile" val="50"/>
        <cfvo type="max"/>
        <color rgb="FFF8696B"/>
        <color rgb="FFFFEB84"/>
        <color rgb="FF63BE7B"/>
      </colorScale>
    </cfRule>
  </conditionalFormatting>
  <conditionalFormatting sqref="F32">
    <cfRule type="colorScale" priority="3984">
      <colorScale>
        <cfvo type="min"/>
        <cfvo type="percentile" val="50"/>
        <cfvo type="max"/>
        <color rgb="FFF8696B"/>
        <color rgb="FFFFEB84"/>
        <color rgb="FF63BE7B"/>
      </colorScale>
    </cfRule>
  </conditionalFormatting>
  <conditionalFormatting sqref="F32">
    <cfRule type="colorScale" priority="3983">
      <colorScale>
        <cfvo type="min"/>
        <cfvo type="percentile" val="50"/>
        <cfvo type="max"/>
        <color rgb="FFF8696B"/>
        <color rgb="FFFFEB84"/>
        <color rgb="FF63BE7B"/>
      </colorScale>
    </cfRule>
  </conditionalFormatting>
  <conditionalFormatting sqref="F32">
    <cfRule type="colorScale" priority="3982">
      <colorScale>
        <cfvo type="min"/>
        <cfvo type="percentile" val="50"/>
        <cfvo type="max"/>
        <color rgb="FFF8696B"/>
        <color rgb="FFFFEB84"/>
        <color rgb="FF63BE7B"/>
      </colorScale>
    </cfRule>
  </conditionalFormatting>
  <conditionalFormatting sqref="F32">
    <cfRule type="colorScale" priority="3981">
      <colorScale>
        <cfvo type="min"/>
        <cfvo type="percentile" val="50"/>
        <cfvo type="max"/>
        <color rgb="FFF8696B"/>
        <color rgb="FFFFEB84"/>
        <color rgb="FF63BE7B"/>
      </colorScale>
    </cfRule>
  </conditionalFormatting>
  <conditionalFormatting sqref="F32">
    <cfRule type="colorScale" priority="3980">
      <colorScale>
        <cfvo type="min"/>
        <cfvo type="percentile" val="50"/>
        <cfvo type="max"/>
        <color rgb="FFF8696B"/>
        <color rgb="FFFFEB84"/>
        <color rgb="FF63BE7B"/>
      </colorScale>
    </cfRule>
  </conditionalFormatting>
  <conditionalFormatting sqref="F32">
    <cfRule type="colorScale" priority="3979">
      <colorScale>
        <cfvo type="min"/>
        <cfvo type="percentile" val="50"/>
        <cfvo type="max"/>
        <color rgb="FFF8696B"/>
        <color rgb="FFFFEB84"/>
        <color rgb="FF63BE7B"/>
      </colorScale>
    </cfRule>
  </conditionalFormatting>
  <conditionalFormatting sqref="F32">
    <cfRule type="colorScale" priority="3978">
      <colorScale>
        <cfvo type="min"/>
        <cfvo type="percentile" val="50"/>
        <cfvo type="max"/>
        <color rgb="FFF8696B"/>
        <color rgb="FFFFEB84"/>
        <color rgb="FF63BE7B"/>
      </colorScale>
    </cfRule>
  </conditionalFormatting>
  <conditionalFormatting sqref="F32">
    <cfRule type="colorScale" priority="3977">
      <colorScale>
        <cfvo type="min"/>
        <cfvo type="percentile" val="50"/>
        <cfvo type="max"/>
        <color rgb="FFF8696B"/>
        <color rgb="FFFFEB84"/>
        <color rgb="FF63BE7B"/>
      </colorScale>
    </cfRule>
  </conditionalFormatting>
  <conditionalFormatting sqref="F32">
    <cfRule type="colorScale" priority="3976">
      <colorScale>
        <cfvo type="min"/>
        <cfvo type="percentile" val="50"/>
        <cfvo type="max"/>
        <color rgb="FFF8696B"/>
        <color rgb="FFFFEB84"/>
        <color rgb="FF63BE7B"/>
      </colorScale>
    </cfRule>
  </conditionalFormatting>
  <conditionalFormatting sqref="F32">
    <cfRule type="colorScale" priority="3975">
      <colorScale>
        <cfvo type="min"/>
        <cfvo type="percentile" val="50"/>
        <cfvo type="max"/>
        <color rgb="FFF8696B"/>
        <color rgb="FFFFEB84"/>
        <color rgb="FF63BE7B"/>
      </colorScale>
    </cfRule>
  </conditionalFormatting>
  <conditionalFormatting sqref="F32">
    <cfRule type="colorScale" priority="3974">
      <colorScale>
        <cfvo type="min"/>
        <cfvo type="percentile" val="50"/>
        <cfvo type="max"/>
        <color rgb="FFF8696B"/>
        <color rgb="FFFFEB84"/>
        <color rgb="FF63BE7B"/>
      </colorScale>
    </cfRule>
  </conditionalFormatting>
  <conditionalFormatting sqref="F32">
    <cfRule type="colorScale" priority="3973">
      <colorScale>
        <cfvo type="min"/>
        <cfvo type="percentile" val="50"/>
        <cfvo type="max"/>
        <color rgb="FFF8696B"/>
        <color rgb="FFFFEB84"/>
        <color rgb="FF63BE7B"/>
      </colorScale>
    </cfRule>
  </conditionalFormatting>
  <conditionalFormatting sqref="F32">
    <cfRule type="colorScale" priority="3972">
      <colorScale>
        <cfvo type="min"/>
        <cfvo type="percentile" val="50"/>
        <cfvo type="max"/>
        <color rgb="FFF8696B"/>
        <color rgb="FFFFEB84"/>
        <color rgb="FF63BE7B"/>
      </colorScale>
    </cfRule>
  </conditionalFormatting>
  <conditionalFormatting sqref="F32">
    <cfRule type="colorScale" priority="3971">
      <colorScale>
        <cfvo type="min"/>
        <cfvo type="percentile" val="50"/>
        <cfvo type="max"/>
        <color rgb="FFF8696B"/>
        <color rgb="FFFFEB84"/>
        <color rgb="FF63BE7B"/>
      </colorScale>
    </cfRule>
  </conditionalFormatting>
  <conditionalFormatting sqref="F32">
    <cfRule type="colorScale" priority="3970">
      <colorScale>
        <cfvo type="min"/>
        <cfvo type="percentile" val="50"/>
        <cfvo type="max"/>
        <color rgb="FFF8696B"/>
        <color rgb="FFFFEB84"/>
        <color rgb="FF63BE7B"/>
      </colorScale>
    </cfRule>
  </conditionalFormatting>
  <conditionalFormatting sqref="F32">
    <cfRule type="colorScale" priority="3969">
      <colorScale>
        <cfvo type="min"/>
        <cfvo type="percentile" val="50"/>
        <cfvo type="max"/>
        <color rgb="FFF8696B"/>
        <color rgb="FFFFEB84"/>
        <color rgb="FF63BE7B"/>
      </colorScale>
    </cfRule>
  </conditionalFormatting>
  <conditionalFormatting sqref="F32">
    <cfRule type="colorScale" priority="3968">
      <colorScale>
        <cfvo type="min"/>
        <cfvo type="percentile" val="50"/>
        <cfvo type="max"/>
        <color rgb="FFF8696B"/>
        <color rgb="FFFFEB84"/>
        <color rgb="FF63BE7B"/>
      </colorScale>
    </cfRule>
  </conditionalFormatting>
  <conditionalFormatting sqref="F32">
    <cfRule type="colorScale" priority="3967">
      <colorScale>
        <cfvo type="min"/>
        <cfvo type="percentile" val="50"/>
        <cfvo type="max"/>
        <color rgb="FFF8696B"/>
        <color rgb="FFFFEB84"/>
        <color rgb="FF63BE7B"/>
      </colorScale>
    </cfRule>
  </conditionalFormatting>
  <conditionalFormatting sqref="F32">
    <cfRule type="colorScale" priority="3966">
      <colorScale>
        <cfvo type="min"/>
        <cfvo type="percentile" val="50"/>
        <cfvo type="max"/>
        <color rgb="FFF8696B"/>
        <color rgb="FFFFEB84"/>
        <color rgb="FF63BE7B"/>
      </colorScale>
    </cfRule>
  </conditionalFormatting>
  <conditionalFormatting sqref="F32">
    <cfRule type="colorScale" priority="3965">
      <colorScale>
        <cfvo type="min"/>
        <cfvo type="percentile" val="50"/>
        <cfvo type="max"/>
        <color rgb="FFF8696B"/>
        <color rgb="FFFFEB84"/>
        <color rgb="FF63BE7B"/>
      </colorScale>
    </cfRule>
  </conditionalFormatting>
  <conditionalFormatting sqref="F32">
    <cfRule type="colorScale" priority="3964">
      <colorScale>
        <cfvo type="min"/>
        <cfvo type="percentile" val="50"/>
        <cfvo type="max"/>
        <color rgb="FFF8696B"/>
        <color rgb="FFFFEB84"/>
        <color rgb="FF63BE7B"/>
      </colorScale>
    </cfRule>
  </conditionalFormatting>
  <conditionalFormatting sqref="F32">
    <cfRule type="colorScale" priority="3963">
      <colorScale>
        <cfvo type="min"/>
        <cfvo type="percentile" val="50"/>
        <cfvo type="max"/>
        <color rgb="FFF8696B"/>
        <color rgb="FFFFEB84"/>
        <color rgb="FF63BE7B"/>
      </colorScale>
    </cfRule>
  </conditionalFormatting>
  <conditionalFormatting sqref="F32">
    <cfRule type="colorScale" priority="3962">
      <colorScale>
        <cfvo type="min"/>
        <cfvo type="percentile" val="50"/>
        <cfvo type="max"/>
        <color rgb="FFF8696B"/>
        <color rgb="FFFFEB84"/>
        <color rgb="FF63BE7B"/>
      </colorScale>
    </cfRule>
  </conditionalFormatting>
  <conditionalFormatting sqref="F32">
    <cfRule type="colorScale" priority="3961">
      <colorScale>
        <cfvo type="min"/>
        <cfvo type="percentile" val="50"/>
        <cfvo type="max"/>
        <color rgb="FFF8696B"/>
        <color rgb="FFFFEB84"/>
        <color rgb="FF63BE7B"/>
      </colorScale>
    </cfRule>
  </conditionalFormatting>
  <conditionalFormatting sqref="F32">
    <cfRule type="colorScale" priority="3960">
      <colorScale>
        <cfvo type="min"/>
        <cfvo type="percentile" val="50"/>
        <cfvo type="max"/>
        <color rgb="FFF8696B"/>
        <color rgb="FFFFEB84"/>
        <color rgb="FF63BE7B"/>
      </colorScale>
    </cfRule>
  </conditionalFormatting>
  <conditionalFormatting sqref="F32">
    <cfRule type="colorScale" priority="3959">
      <colorScale>
        <cfvo type="min"/>
        <cfvo type="percentile" val="50"/>
        <cfvo type="max"/>
        <color rgb="FFF8696B"/>
        <color rgb="FFFFEB84"/>
        <color rgb="FF63BE7B"/>
      </colorScale>
    </cfRule>
  </conditionalFormatting>
  <conditionalFormatting sqref="F32">
    <cfRule type="colorScale" priority="3958">
      <colorScale>
        <cfvo type="min"/>
        <cfvo type="percentile" val="50"/>
        <cfvo type="max"/>
        <color rgb="FFF8696B"/>
        <color rgb="FFFFEB84"/>
        <color rgb="FF63BE7B"/>
      </colorScale>
    </cfRule>
  </conditionalFormatting>
  <conditionalFormatting sqref="F32">
    <cfRule type="colorScale" priority="3957">
      <colorScale>
        <cfvo type="min"/>
        <cfvo type="percentile" val="50"/>
        <cfvo type="max"/>
        <color rgb="FFF8696B"/>
        <color rgb="FFFFEB84"/>
        <color rgb="FF63BE7B"/>
      </colorScale>
    </cfRule>
  </conditionalFormatting>
  <conditionalFormatting sqref="F13:F20">
    <cfRule type="colorScale" priority="3956">
      <colorScale>
        <cfvo type="min"/>
        <cfvo type="percentile" val="50"/>
        <cfvo type="max"/>
        <color rgb="FFF8696B"/>
        <color rgb="FFFFEB84"/>
        <color rgb="FF63BE7B"/>
      </colorScale>
    </cfRule>
  </conditionalFormatting>
  <conditionalFormatting sqref="F13:F20">
    <cfRule type="colorScale" priority="3955">
      <colorScale>
        <cfvo type="min"/>
        <cfvo type="percentile" val="50"/>
        <cfvo type="max"/>
        <color rgb="FFF8696B"/>
        <color rgb="FFFFEB84"/>
        <color rgb="FF63BE7B"/>
      </colorScale>
    </cfRule>
  </conditionalFormatting>
  <conditionalFormatting sqref="F13:F20">
    <cfRule type="colorScale" priority="3954">
      <colorScale>
        <cfvo type="min"/>
        <cfvo type="percentile" val="50"/>
        <cfvo type="max"/>
        <color rgb="FFF8696B"/>
        <color rgb="FFFFEB84"/>
        <color rgb="FF63BE7B"/>
      </colorScale>
    </cfRule>
  </conditionalFormatting>
  <conditionalFormatting sqref="F13:F20">
    <cfRule type="colorScale" priority="3953">
      <colorScale>
        <cfvo type="min"/>
        <cfvo type="percentile" val="50"/>
        <cfvo type="max"/>
        <color rgb="FFF8696B"/>
        <color rgb="FFFFEB84"/>
        <color rgb="FF63BE7B"/>
      </colorScale>
    </cfRule>
  </conditionalFormatting>
  <conditionalFormatting sqref="F13:F20">
    <cfRule type="colorScale" priority="3952">
      <colorScale>
        <cfvo type="min"/>
        <cfvo type="percentile" val="50"/>
        <cfvo type="max"/>
        <color rgb="FFF8696B"/>
        <color rgb="FFFFEB84"/>
        <color rgb="FF63BE7B"/>
      </colorScale>
    </cfRule>
  </conditionalFormatting>
  <conditionalFormatting sqref="F13:F20">
    <cfRule type="colorScale" priority="3951">
      <colorScale>
        <cfvo type="min"/>
        <cfvo type="percentile" val="50"/>
        <cfvo type="max"/>
        <color rgb="FFF8696B"/>
        <color rgb="FFFFEB84"/>
        <color rgb="FF63BE7B"/>
      </colorScale>
    </cfRule>
  </conditionalFormatting>
  <conditionalFormatting sqref="F13:F20">
    <cfRule type="colorScale" priority="3950">
      <colorScale>
        <cfvo type="min"/>
        <cfvo type="percentile" val="50"/>
        <cfvo type="max"/>
        <color rgb="FFF8696B"/>
        <color rgb="FFFFEB84"/>
        <color rgb="FF63BE7B"/>
      </colorScale>
    </cfRule>
  </conditionalFormatting>
  <conditionalFormatting sqref="F13:F20">
    <cfRule type="colorScale" priority="3949">
      <colorScale>
        <cfvo type="min"/>
        <cfvo type="percentile" val="50"/>
        <cfvo type="max"/>
        <color rgb="FFF8696B"/>
        <color rgb="FFFFEB84"/>
        <color rgb="FF63BE7B"/>
      </colorScale>
    </cfRule>
  </conditionalFormatting>
  <conditionalFormatting sqref="F13:F20">
    <cfRule type="colorScale" priority="3948">
      <colorScale>
        <cfvo type="min"/>
        <cfvo type="percentile" val="50"/>
        <cfvo type="max"/>
        <color rgb="FFF8696B"/>
        <color rgb="FFFFEB84"/>
        <color rgb="FF63BE7B"/>
      </colorScale>
    </cfRule>
  </conditionalFormatting>
  <conditionalFormatting sqref="F13:F20">
    <cfRule type="colorScale" priority="3947">
      <colorScale>
        <cfvo type="min"/>
        <cfvo type="percentile" val="50"/>
        <cfvo type="max"/>
        <color rgb="FFF8696B"/>
        <color rgb="FFFFEB84"/>
        <color rgb="FF63BE7B"/>
      </colorScale>
    </cfRule>
  </conditionalFormatting>
  <conditionalFormatting sqref="F13:F20">
    <cfRule type="colorScale" priority="3946">
      <colorScale>
        <cfvo type="min"/>
        <cfvo type="percentile" val="50"/>
        <cfvo type="max"/>
        <color rgb="FFF8696B"/>
        <color rgb="FFFFEB84"/>
        <color rgb="FF63BE7B"/>
      </colorScale>
    </cfRule>
  </conditionalFormatting>
  <conditionalFormatting sqref="F13:F20">
    <cfRule type="colorScale" priority="3945">
      <colorScale>
        <cfvo type="min"/>
        <cfvo type="percentile" val="50"/>
        <cfvo type="max"/>
        <color rgb="FFF8696B"/>
        <color rgb="FFFFEB84"/>
        <color rgb="FF63BE7B"/>
      </colorScale>
    </cfRule>
  </conditionalFormatting>
  <conditionalFormatting sqref="F13:F20">
    <cfRule type="colorScale" priority="3944">
      <colorScale>
        <cfvo type="min"/>
        <cfvo type="percentile" val="50"/>
        <cfvo type="max"/>
        <color rgb="FFF8696B"/>
        <color rgb="FFFFEB84"/>
        <color rgb="FF63BE7B"/>
      </colorScale>
    </cfRule>
  </conditionalFormatting>
  <conditionalFormatting sqref="F13:F20">
    <cfRule type="colorScale" priority="3943">
      <colorScale>
        <cfvo type="min"/>
        <cfvo type="percentile" val="50"/>
        <cfvo type="max"/>
        <color rgb="FFF8696B"/>
        <color rgb="FFFFEB84"/>
        <color rgb="FF63BE7B"/>
      </colorScale>
    </cfRule>
  </conditionalFormatting>
  <conditionalFormatting sqref="F13:F20">
    <cfRule type="colorScale" priority="3942">
      <colorScale>
        <cfvo type="min"/>
        <cfvo type="percentile" val="50"/>
        <cfvo type="max"/>
        <color rgb="FFF8696B"/>
        <color rgb="FFFFEB84"/>
        <color rgb="FF63BE7B"/>
      </colorScale>
    </cfRule>
  </conditionalFormatting>
  <conditionalFormatting sqref="F13:F20">
    <cfRule type="colorScale" priority="3941">
      <colorScale>
        <cfvo type="min"/>
        <cfvo type="percentile" val="50"/>
        <cfvo type="max"/>
        <color rgb="FFF8696B"/>
        <color rgb="FFFFEB84"/>
        <color rgb="FF63BE7B"/>
      </colorScale>
    </cfRule>
  </conditionalFormatting>
  <conditionalFormatting sqref="F13:F20">
    <cfRule type="colorScale" priority="3940">
      <colorScale>
        <cfvo type="min"/>
        <cfvo type="percentile" val="50"/>
        <cfvo type="max"/>
        <color rgb="FFF8696B"/>
        <color rgb="FFFFEB84"/>
        <color rgb="FF63BE7B"/>
      </colorScale>
    </cfRule>
  </conditionalFormatting>
  <conditionalFormatting sqref="F13:F20">
    <cfRule type="colorScale" priority="3939">
      <colorScale>
        <cfvo type="min"/>
        <cfvo type="percentile" val="50"/>
        <cfvo type="max"/>
        <color rgb="FFF8696B"/>
        <color rgb="FFFFEB84"/>
        <color rgb="FF63BE7B"/>
      </colorScale>
    </cfRule>
  </conditionalFormatting>
  <conditionalFormatting sqref="F13:F20">
    <cfRule type="colorScale" priority="3938">
      <colorScale>
        <cfvo type="min"/>
        <cfvo type="percentile" val="50"/>
        <cfvo type="max"/>
        <color rgb="FFF8696B"/>
        <color rgb="FFFFEB84"/>
        <color rgb="FF63BE7B"/>
      </colorScale>
    </cfRule>
  </conditionalFormatting>
  <conditionalFormatting sqref="F13:F20">
    <cfRule type="colorScale" priority="3937">
      <colorScale>
        <cfvo type="min"/>
        <cfvo type="percentile" val="50"/>
        <cfvo type="max"/>
        <color rgb="FFF8696B"/>
        <color rgb="FFFFEB84"/>
        <color rgb="FF63BE7B"/>
      </colorScale>
    </cfRule>
  </conditionalFormatting>
  <conditionalFormatting sqref="F13:F20">
    <cfRule type="colorScale" priority="3936">
      <colorScale>
        <cfvo type="min"/>
        <cfvo type="percentile" val="50"/>
        <cfvo type="max"/>
        <color rgb="FFF8696B"/>
        <color rgb="FFFFEB84"/>
        <color rgb="FF63BE7B"/>
      </colorScale>
    </cfRule>
  </conditionalFormatting>
  <conditionalFormatting sqref="F13:F20">
    <cfRule type="colorScale" priority="3935">
      <colorScale>
        <cfvo type="min"/>
        <cfvo type="percentile" val="50"/>
        <cfvo type="max"/>
        <color rgb="FFF8696B"/>
        <color rgb="FFFFEB84"/>
        <color rgb="FF63BE7B"/>
      </colorScale>
    </cfRule>
  </conditionalFormatting>
  <conditionalFormatting sqref="F13:F20">
    <cfRule type="colorScale" priority="3934">
      <colorScale>
        <cfvo type="min"/>
        <cfvo type="percentile" val="50"/>
        <cfvo type="max"/>
        <color rgb="FFF8696B"/>
        <color rgb="FFFFEB84"/>
        <color rgb="FF63BE7B"/>
      </colorScale>
    </cfRule>
  </conditionalFormatting>
  <conditionalFormatting sqref="F13:F20">
    <cfRule type="colorScale" priority="3933">
      <colorScale>
        <cfvo type="min"/>
        <cfvo type="percentile" val="50"/>
        <cfvo type="max"/>
        <color rgb="FFF8696B"/>
        <color rgb="FFFFEB84"/>
        <color rgb="FF63BE7B"/>
      </colorScale>
    </cfRule>
  </conditionalFormatting>
  <conditionalFormatting sqref="F13:F20">
    <cfRule type="colorScale" priority="3932">
      <colorScale>
        <cfvo type="min"/>
        <cfvo type="percentile" val="50"/>
        <cfvo type="max"/>
        <color rgb="FFF8696B"/>
        <color rgb="FFFFEB84"/>
        <color rgb="FF63BE7B"/>
      </colorScale>
    </cfRule>
  </conditionalFormatting>
  <conditionalFormatting sqref="F13:F20">
    <cfRule type="colorScale" priority="3931">
      <colorScale>
        <cfvo type="min"/>
        <cfvo type="percentile" val="50"/>
        <cfvo type="max"/>
        <color rgb="FFF8696B"/>
        <color rgb="FFFFEB84"/>
        <color rgb="FF63BE7B"/>
      </colorScale>
    </cfRule>
  </conditionalFormatting>
  <conditionalFormatting sqref="F13:F20">
    <cfRule type="colorScale" priority="3930">
      <colorScale>
        <cfvo type="min"/>
        <cfvo type="percentile" val="50"/>
        <cfvo type="max"/>
        <color rgb="FFF8696B"/>
        <color rgb="FFFFEB84"/>
        <color rgb="FF63BE7B"/>
      </colorScale>
    </cfRule>
  </conditionalFormatting>
  <conditionalFormatting sqref="F13:F20">
    <cfRule type="colorScale" priority="3929">
      <colorScale>
        <cfvo type="min"/>
        <cfvo type="percentile" val="50"/>
        <cfvo type="max"/>
        <color rgb="FFF8696B"/>
        <color rgb="FFFFEB84"/>
        <color rgb="FF63BE7B"/>
      </colorScale>
    </cfRule>
  </conditionalFormatting>
  <conditionalFormatting sqref="F13:F20">
    <cfRule type="colorScale" priority="3928">
      <colorScale>
        <cfvo type="min"/>
        <cfvo type="percentile" val="50"/>
        <cfvo type="max"/>
        <color rgb="FFF8696B"/>
        <color rgb="FFFFEB84"/>
        <color rgb="FF63BE7B"/>
      </colorScale>
    </cfRule>
  </conditionalFormatting>
  <conditionalFormatting sqref="F13:F20">
    <cfRule type="colorScale" priority="3927">
      <colorScale>
        <cfvo type="min"/>
        <cfvo type="percentile" val="50"/>
        <cfvo type="max"/>
        <color rgb="FFF8696B"/>
        <color rgb="FFFFEB84"/>
        <color rgb="FF63BE7B"/>
      </colorScale>
    </cfRule>
  </conditionalFormatting>
  <conditionalFormatting sqref="F13:F20">
    <cfRule type="colorScale" priority="3926">
      <colorScale>
        <cfvo type="min"/>
        <cfvo type="percentile" val="50"/>
        <cfvo type="max"/>
        <color rgb="FFF8696B"/>
        <color rgb="FFFFEB84"/>
        <color rgb="FF63BE7B"/>
      </colorScale>
    </cfRule>
  </conditionalFormatting>
  <conditionalFormatting sqref="F13:F20">
    <cfRule type="colorScale" priority="3925">
      <colorScale>
        <cfvo type="min"/>
        <cfvo type="percentile" val="50"/>
        <cfvo type="max"/>
        <color rgb="FFF8696B"/>
        <color rgb="FFFFEB84"/>
        <color rgb="FF63BE7B"/>
      </colorScale>
    </cfRule>
  </conditionalFormatting>
  <conditionalFormatting sqref="F13:F20">
    <cfRule type="colorScale" priority="3924">
      <colorScale>
        <cfvo type="min"/>
        <cfvo type="percentile" val="50"/>
        <cfvo type="max"/>
        <color rgb="FFF8696B"/>
        <color rgb="FFFFEB84"/>
        <color rgb="FF63BE7B"/>
      </colorScale>
    </cfRule>
  </conditionalFormatting>
  <conditionalFormatting sqref="F13:F20">
    <cfRule type="colorScale" priority="3923">
      <colorScale>
        <cfvo type="min"/>
        <cfvo type="percentile" val="50"/>
        <cfvo type="max"/>
        <color rgb="FFF8696B"/>
        <color rgb="FFFFEB84"/>
        <color rgb="FF63BE7B"/>
      </colorScale>
    </cfRule>
  </conditionalFormatting>
  <conditionalFormatting sqref="F13:F20">
    <cfRule type="colorScale" priority="3922">
      <colorScale>
        <cfvo type="min"/>
        <cfvo type="percentile" val="50"/>
        <cfvo type="max"/>
        <color rgb="FFF8696B"/>
        <color rgb="FFFFEB84"/>
        <color rgb="FF63BE7B"/>
      </colorScale>
    </cfRule>
  </conditionalFormatting>
  <conditionalFormatting sqref="F13:F20">
    <cfRule type="colorScale" priority="3921">
      <colorScale>
        <cfvo type="min"/>
        <cfvo type="percentile" val="50"/>
        <cfvo type="max"/>
        <color rgb="FFF8696B"/>
        <color rgb="FFFFEB84"/>
        <color rgb="FF63BE7B"/>
      </colorScale>
    </cfRule>
  </conditionalFormatting>
  <conditionalFormatting sqref="F13:F20">
    <cfRule type="colorScale" priority="3920">
      <colorScale>
        <cfvo type="min"/>
        <cfvo type="percentile" val="50"/>
        <cfvo type="max"/>
        <color rgb="FFF8696B"/>
        <color rgb="FFFFEB84"/>
        <color rgb="FF63BE7B"/>
      </colorScale>
    </cfRule>
  </conditionalFormatting>
  <conditionalFormatting sqref="F13:F20">
    <cfRule type="colorScale" priority="3919">
      <colorScale>
        <cfvo type="min"/>
        <cfvo type="percentile" val="50"/>
        <cfvo type="max"/>
        <color rgb="FFF8696B"/>
        <color rgb="FFFFEB84"/>
        <color rgb="FF63BE7B"/>
      </colorScale>
    </cfRule>
  </conditionalFormatting>
  <conditionalFormatting sqref="F13:F20">
    <cfRule type="colorScale" priority="3918">
      <colorScale>
        <cfvo type="min"/>
        <cfvo type="percentile" val="50"/>
        <cfvo type="max"/>
        <color rgb="FFF8696B"/>
        <color rgb="FFFFEB84"/>
        <color rgb="FF63BE7B"/>
      </colorScale>
    </cfRule>
  </conditionalFormatting>
  <conditionalFormatting sqref="F13:F20">
    <cfRule type="colorScale" priority="3917">
      <colorScale>
        <cfvo type="min"/>
        <cfvo type="percentile" val="50"/>
        <cfvo type="max"/>
        <color rgb="FFF8696B"/>
        <color rgb="FFFFEB84"/>
        <color rgb="FF63BE7B"/>
      </colorScale>
    </cfRule>
  </conditionalFormatting>
  <conditionalFormatting sqref="F13:F20">
    <cfRule type="colorScale" priority="3916">
      <colorScale>
        <cfvo type="min"/>
        <cfvo type="percentile" val="50"/>
        <cfvo type="max"/>
        <color rgb="FFF8696B"/>
        <color rgb="FFFFEB84"/>
        <color rgb="FF63BE7B"/>
      </colorScale>
    </cfRule>
  </conditionalFormatting>
  <conditionalFormatting sqref="F13:F20">
    <cfRule type="colorScale" priority="3915">
      <colorScale>
        <cfvo type="min"/>
        <cfvo type="percentile" val="50"/>
        <cfvo type="max"/>
        <color rgb="FFF8696B"/>
        <color rgb="FFFFEB84"/>
        <color rgb="FF63BE7B"/>
      </colorScale>
    </cfRule>
  </conditionalFormatting>
  <conditionalFormatting sqref="F13:F20">
    <cfRule type="colorScale" priority="3914">
      <colorScale>
        <cfvo type="min"/>
        <cfvo type="percentile" val="50"/>
        <cfvo type="max"/>
        <color rgb="FFF8696B"/>
        <color rgb="FFFFEB84"/>
        <color rgb="FF63BE7B"/>
      </colorScale>
    </cfRule>
  </conditionalFormatting>
  <conditionalFormatting sqref="F13:F20">
    <cfRule type="colorScale" priority="3913">
      <colorScale>
        <cfvo type="min"/>
        <cfvo type="percentile" val="50"/>
        <cfvo type="max"/>
        <color rgb="FFF8696B"/>
        <color rgb="FFFFEB84"/>
        <color rgb="FF63BE7B"/>
      </colorScale>
    </cfRule>
  </conditionalFormatting>
  <conditionalFormatting sqref="F13:F20">
    <cfRule type="colorScale" priority="3912">
      <colorScale>
        <cfvo type="min"/>
        <cfvo type="percentile" val="50"/>
        <cfvo type="max"/>
        <color rgb="FFF8696B"/>
        <color rgb="FFFFEB84"/>
        <color rgb="FF63BE7B"/>
      </colorScale>
    </cfRule>
  </conditionalFormatting>
  <conditionalFormatting sqref="F13:F20">
    <cfRule type="colorScale" priority="3911">
      <colorScale>
        <cfvo type="min"/>
        <cfvo type="percentile" val="50"/>
        <cfvo type="max"/>
        <color rgb="FFF8696B"/>
        <color rgb="FFFFEB84"/>
        <color rgb="FF63BE7B"/>
      </colorScale>
    </cfRule>
  </conditionalFormatting>
  <conditionalFormatting sqref="F13:F20">
    <cfRule type="colorScale" priority="3910">
      <colorScale>
        <cfvo type="min"/>
        <cfvo type="percentile" val="50"/>
        <cfvo type="max"/>
        <color rgb="FFF8696B"/>
        <color rgb="FFFFEB84"/>
        <color rgb="FF63BE7B"/>
      </colorScale>
    </cfRule>
  </conditionalFormatting>
  <conditionalFormatting sqref="F13:F20">
    <cfRule type="colorScale" priority="3909">
      <colorScale>
        <cfvo type="min"/>
        <cfvo type="percentile" val="50"/>
        <cfvo type="max"/>
        <color rgb="FFF8696B"/>
        <color rgb="FFFFEB84"/>
        <color rgb="FF63BE7B"/>
      </colorScale>
    </cfRule>
  </conditionalFormatting>
  <conditionalFormatting sqref="F13:F20">
    <cfRule type="colorScale" priority="3908">
      <colorScale>
        <cfvo type="min"/>
        <cfvo type="percentile" val="50"/>
        <cfvo type="max"/>
        <color rgb="FFF8696B"/>
        <color rgb="FFFFEB84"/>
        <color rgb="FF63BE7B"/>
      </colorScale>
    </cfRule>
  </conditionalFormatting>
  <conditionalFormatting sqref="F13:F20">
    <cfRule type="colorScale" priority="3907">
      <colorScale>
        <cfvo type="min"/>
        <cfvo type="percentile" val="50"/>
        <cfvo type="max"/>
        <color rgb="FFF8696B"/>
        <color rgb="FFFFEB84"/>
        <color rgb="FF63BE7B"/>
      </colorScale>
    </cfRule>
  </conditionalFormatting>
  <conditionalFormatting sqref="F13:F20">
    <cfRule type="colorScale" priority="3906">
      <colorScale>
        <cfvo type="min"/>
        <cfvo type="percentile" val="50"/>
        <cfvo type="max"/>
        <color rgb="FFF8696B"/>
        <color rgb="FFFFEB84"/>
        <color rgb="FF63BE7B"/>
      </colorScale>
    </cfRule>
  </conditionalFormatting>
  <conditionalFormatting sqref="F13:F20">
    <cfRule type="colorScale" priority="3905">
      <colorScale>
        <cfvo type="min"/>
        <cfvo type="percentile" val="50"/>
        <cfvo type="max"/>
        <color rgb="FFF8696B"/>
        <color rgb="FFFFEB84"/>
        <color rgb="FF63BE7B"/>
      </colorScale>
    </cfRule>
  </conditionalFormatting>
  <conditionalFormatting sqref="F13:F20">
    <cfRule type="colorScale" priority="3904">
      <colorScale>
        <cfvo type="min"/>
        <cfvo type="percentile" val="50"/>
        <cfvo type="max"/>
        <color rgb="FFF8696B"/>
        <color rgb="FFFFEB84"/>
        <color rgb="FF63BE7B"/>
      </colorScale>
    </cfRule>
  </conditionalFormatting>
  <conditionalFormatting sqref="F13:F20">
    <cfRule type="colorScale" priority="3903">
      <colorScale>
        <cfvo type="min"/>
        <cfvo type="percentile" val="50"/>
        <cfvo type="max"/>
        <color rgb="FFF8696B"/>
        <color rgb="FFFFEB84"/>
        <color rgb="FF63BE7B"/>
      </colorScale>
    </cfRule>
  </conditionalFormatting>
  <conditionalFormatting sqref="F13:F20">
    <cfRule type="colorScale" priority="3902">
      <colorScale>
        <cfvo type="min"/>
        <cfvo type="percentile" val="50"/>
        <cfvo type="max"/>
        <color rgb="FFF8696B"/>
        <color rgb="FFFFEB84"/>
        <color rgb="FF63BE7B"/>
      </colorScale>
    </cfRule>
  </conditionalFormatting>
  <conditionalFormatting sqref="F13:F20">
    <cfRule type="colorScale" priority="3901">
      <colorScale>
        <cfvo type="min"/>
        <cfvo type="percentile" val="50"/>
        <cfvo type="max"/>
        <color rgb="FFF8696B"/>
        <color rgb="FFFFEB84"/>
        <color rgb="FF63BE7B"/>
      </colorScale>
    </cfRule>
  </conditionalFormatting>
  <conditionalFormatting sqref="F13:F20">
    <cfRule type="colorScale" priority="3900">
      <colorScale>
        <cfvo type="min"/>
        <cfvo type="percentile" val="50"/>
        <cfvo type="max"/>
        <color rgb="FFF8696B"/>
        <color rgb="FFFFEB84"/>
        <color rgb="FF63BE7B"/>
      </colorScale>
    </cfRule>
  </conditionalFormatting>
  <conditionalFormatting sqref="F13:F20">
    <cfRule type="colorScale" priority="3899">
      <colorScale>
        <cfvo type="min"/>
        <cfvo type="percentile" val="50"/>
        <cfvo type="max"/>
        <color rgb="FFF8696B"/>
        <color rgb="FFFFEB84"/>
        <color rgb="FF63BE7B"/>
      </colorScale>
    </cfRule>
  </conditionalFormatting>
  <conditionalFormatting sqref="F13:F20">
    <cfRule type="colorScale" priority="3898">
      <colorScale>
        <cfvo type="min"/>
        <cfvo type="percentile" val="50"/>
        <cfvo type="max"/>
        <color rgb="FFF8696B"/>
        <color rgb="FFFFEB84"/>
        <color rgb="FF63BE7B"/>
      </colorScale>
    </cfRule>
  </conditionalFormatting>
  <conditionalFormatting sqref="F13:F20">
    <cfRule type="colorScale" priority="3897">
      <colorScale>
        <cfvo type="min"/>
        <cfvo type="percentile" val="50"/>
        <cfvo type="max"/>
        <color rgb="FFF8696B"/>
        <color rgb="FFFFEB84"/>
        <color rgb="FF63BE7B"/>
      </colorScale>
    </cfRule>
  </conditionalFormatting>
  <conditionalFormatting sqref="F13:F20">
    <cfRule type="colorScale" priority="3896">
      <colorScale>
        <cfvo type="min"/>
        <cfvo type="percentile" val="50"/>
        <cfvo type="max"/>
        <color rgb="FFF8696B"/>
        <color rgb="FFFFEB84"/>
        <color rgb="FF63BE7B"/>
      </colorScale>
    </cfRule>
  </conditionalFormatting>
  <conditionalFormatting sqref="F13:F20">
    <cfRule type="colorScale" priority="3895">
      <colorScale>
        <cfvo type="min"/>
        <cfvo type="percentile" val="50"/>
        <cfvo type="max"/>
        <color rgb="FFF8696B"/>
        <color rgb="FFFFEB84"/>
        <color rgb="FF63BE7B"/>
      </colorScale>
    </cfRule>
  </conditionalFormatting>
  <conditionalFormatting sqref="F13:F20">
    <cfRule type="colorScale" priority="3894">
      <colorScale>
        <cfvo type="min"/>
        <cfvo type="percentile" val="50"/>
        <cfvo type="max"/>
        <color rgb="FFF8696B"/>
        <color rgb="FFFFEB84"/>
        <color rgb="FF63BE7B"/>
      </colorScale>
    </cfRule>
  </conditionalFormatting>
  <conditionalFormatting sqref="F13:F20">
    <cfRule type="colorScale" priority="3893">
      <colorScale>
        <cfvo type="min"/>
        <cfvo type="percentile" val="50"/>
        <cfvo type="max"/>
        <color rgb="FFF8696B"/>
        <color rgb="FFFFEB84"/>
        <color rgb="FF63BE7B"/>
      </colorScale>
    </cfRule>
  </conditionalFormatting>
  <conditionalFormatting sqref="F13:F20">
    <cfRule type="colorScale" priority="3892">
      <colorScale>
        <cfvo type="min"/>
        <cfvo type="percentile" val="50"/>
        <cfvo type="max"/>
        <color rgb="FFF8696B"/>
        <color rgb="FFFFEB84"/>
        <color rgb="FF63BE7B"/>
      </colorScale>
    </cfRule>
  </conditionalFormatting>
  <conditionalFormatting sqref="F13:F20">
    <cfRule type="colorScale" priority="3891">
      <colorScale>
        <cfvo type="min"/>
        <cfvo type="percentile" val="50"/>
        <cfvo type="max"/>
        <color rgb="FFF8696B"/>
        <color rgb="FFFFEB84"/>
        <color rgb="FF63BE7B"/>
      </colorScale>
    </cfRule>
  </conditionalFormatting>
  <conditionalFormatting sqref="F13:F20">
    <cfRule type="colorScale" priority="3890">
      <colorScale>
        <cfvo type="min"/>
        <cfvo type="percentile" val="50"/>
        <cfvo type="max"/>
        <color rgb="FFF8696B"/>
        <color rgb="FFFFEB84"/>
        <color rgb="FF63BE7B"/>
      </colorScale>
    </cfRule>
  </conditionalFormatting>
  <conditionalFormatting sqref="F13:F20">
    <cfRule type="colorScale" priority="3889">
      <colorScale>
        <cfvo type="min"/>
        <cfvo type="percentile" val="50"/>
        <cfvo type="max"/>
        <color rgb="FFF8696B"/>
        <color rgb="FFFFEB84"/>
        <color rgb="FF63BE7B"/>
      </colorScale>
    </cfRule>
  </conditionalFormatting>
  <conditionalFormatting sqref="F13:F20">
    <cfRule type="colorScale" priority="3888">
      <colorScale>
        <cfvo type="min"/>
        <cfvo type="percentile" val="50"/>
        <cfvo type="max"/>
        <color rgb="FFF8696B"/>
        <color rgb="FFFFEB84"/>
        <color rgb="FF63BE7B"/>
      </colorScale>
    </cfRule>
  </conditionalFormatting>
  <conditionalFormatting sqref="F13:F20">
    <cfRule type="colorScale" priority="3887">
      <colorScale>
        <cfvo type="min"/>
        <cfvo type="percentile" val="50"/>
        <cfvo type="max"/>
        <color rgb="FFF8696B"/>
        <color rgb="FFFFEB84"/>
        <color rgb="FF63BE7B"/>
      </colorScale>
    </cfRule>
  </conditionalFormatting>
  <conditionalFormatting sqref="F13:F20">
    <cfRule type="colorScale" priority="3886">
      <colorScale>
        <cfvo type="min"/>
        <cfvo type="percentile" val="50"/>
        <cfvo type="max"/>
        <color rgb="FFF8696B"/>
        <color rgb="FFFFEB84"/>
        <color rgb="FF63BE7B"/>
      </colorScale>
    </cfRule>
  </conditionalFormatting>
  <conditionalFormatting sqref="F13:F20">
    <cfRule type="colorScale" priority="3885">
      <colorScale>
        <cfvo type="min"/>
        <cfvo type="percentile" val="50"/>
        <cfvo type="max"/>
        <color rgb="FFF8696B"/>
        <color rgb="FFFFEB84"/>
        <color rgb="FF63BE7B"/>
      </colorScale>
    </cfRule>
  </conditionalFormatting>
  <conditionalFormatting sqref="F13:F20">
    <cfRule type="colorScale" priority="3884">
      <colorScale>
        <cfvo type="min"/>
        <cfvo type="percentile" val="50"/>
        <cfvo type="max"/>
        <color rgb="FFF8696B"/>
        <color rgb="FFFFEB84"/>
        <color rgb="FF63BE7B"/>
      </colorScale>
    </cfRule>
  </conditionalFormatting>
  <conditionalFormatting sqref="F13:F20">
    <cfRule type="colorScale" priority="3883">
      <colorScale>
        <cfvo type="min"/>
        <cfvo type="percentile" val="50"/>
        <cfvo type="max"/>
        <color rgb="FFF8696B"/>
        <color rgb="FFFFEB84"/>
        <color rgb="FF63BE7B"/>
      </colorScale>
    </cfRule>
  </conditionalFormatting>
  <conditionalFormatting sqref="F13:F20">
    <cfRule type="colorScale" priority="3882">
      <colorScale>
        <cfvo type="min"/>
        <cfvo type="percentile" val="50"/>
        <cfvo type="max"/>
        <color rgb="FFF8696B"/>
        <color rgb="FFFFEB84"/>
        <color rgb="FF63BE7B"/>
      </colorScale>
    </cfRule>
  </conditionalFormatting>
  <conditionalFormatting sqref="F13:F20">
    <cfRule type="colorScale" priority="3881">
      <colorScale>
        <cfvo type="min"/>
        <cfvo type="percentile" val="50"/>
        <cfvo type="max"/>
        <color rgb="FFF8696B"/>
        <color rgb="FFFFEB84"/>
        <color rgb="FF63BE7B"/>
      </colorScale>
    </cfRule>
  </conditionalFormatting>
  <conditionalFormatting sqref="F13:F20">
    <cfRule type="colorScale" priority="3880">
      <colorScale>
        <cfvo type="min"/>
        <cfvo type="percentile" val="50"/>
        <cfvo type="max"/>
        <color rgb="FFF8696B"/>
        <color rgb="FFFFEB84"/>
        <color rgb="FF63BE7B"/>
      </colorScale>
    </cfRule>
  </conditionalFormatting>
  <conditionalFormatting sqref="F13:F20">
    <cfRule type="colorScale" priority="3879">
      <colorScale>
        <cfvo type="min"/>
        <cfvo type="percentile" val="50"/>
        <cfvo type="max"/>
        <color rgb="FFF8696B"/>
        <color rgb="FFFFEB84"/>
        <color rgb="FF63BE7B"/>
      </colorScale>
    </cfRule>
  </conditionalFormatting>
  <conditionalFormatting sqref="F13:F20">
    <cfRule type="colorScale" priority="3878">
      <colorScale>
        <cfvo type="min"/>
        <cfvo type="percentile" val="50"/>
        <cfvo type="max"/>
        <color rgb="FFF8696B"/>
        <color rgb="FFFFEB84"/>
        <color rgb="FF63BE7B"/>
      </colorScale>
    </cfRule>
  </conditionalFormatting>
  <conditionalFormatting sqref="F13:F20">
    <cfRule type="colorScale" priority="3877">
      <colorScale>
        <cfvo type="min"/>
        <cfvo type="percentile" val="50"/>
        <cfvo type="max"/>
        <color rgb="FFF8696B"/>
        <color rgb="FFFFEB84"/>
        <color rgb="FF63BE7B"/>
      </colorScale>
    </cfRule>
  </conditionalFormatting>
  <conditionalFormatting sqref="F13:F20">
    <cfRule type="colorScale" priority="3876">
      <colorScale>
        <cfvo type="min"/>
        <cfvo type="percentile" val="50"/>
        <cfvo type="max"/>
        <color rgb="FFF8696B"/>
        <color rgb="FFFFEB84"/>
        <color rgb="FF63BE7B"/>
      </colorScale>
    </cfRule>
  </conditionalFormatting>
  <conditionalFormatting sqref="F13:F20">
    <cfRule type="colorScale" priority="3875">
      <colorScale>
        <cfvo type="min"/>
        <cfvo type="percentile" val="50"/>
        <cfvo type="max"/>
        <color rgb="FFF8696B"/>
        <color rgb="FFFFEB84"/>
        <color rgb="FF63BE7B"/>
      </colorScale>
    </cfRule>
  </conditionalFormatting>
  <conditionalFormatting sqref="F13:F20">
    <cfRule type="colorScale" priority="3874">
      <colorScale>
        <cfvo type="min"/>
        <cfvo type="percentile" val="50"/>
        <cfvo type="max"/>
        <color rgb="FFF8696B"/>
        <color rgb="FFFFEB84"/>
        <color rgb="FF63BE7B"/>
      </colorScale>
    </cfRule>
  </conditionalFormatting>
  <conditionalFormatting sqref="F13:F20">
    <cfRule type="colorScale" priority="3873">
      <colorScale>
        <cfvo type="min"/>
        <cfvo type="percentile" val="50"/>
        <cfvo type="max"/>
        <color rgb="FFF8696B"/>
        <color rgb="FFFFEB84"/>
        <color rgb="FF63BE7B"/>
      </colorScale>
    </cfRule>
  </conditionalFormatting>
  <conditionalFormatting sqref="F13:F20">
    <cfRule type="colorScale" priority="3872">
      <colorScale>
        <cfvo type="min"/>
        <cfvo type="percentile" val="50"/>
        <cfvo type="max"/>
        <color rgb="FFF8696B"/>
        <color rgb="FFFFEB84"/>
        <color rgb="FF63BE7B"/>
      </colorScale>
    </cfRule>
  </conditionalFormatting>
  <conditionalFormatting sqref="F13:F20">
    <cfRule type="colorScale" priority="3871">
      <colorScale>
        <cfvo type="min"/>
        <cfvo type="percentile" val="50"/>
        <cfvo type="max"/>
        <color rgb="FFF8696B"/>
        <color rgb="FFFFEB84"/>
        <color rgb="FF63BE7B"/>
      </colorScale>
    </cfRule>
  </conditionalFormatting>
  <conditionalFormatting sqref="F13:F20">
    <cfRule type="colorScale" priority="3870">
      <colorScale>
        <cfvo type="min"/>
        <cfvo type="percentile" val="50"/>
        <cfvo type="max"/>
        <color rgb="FFF8696B"/>
        <color rgb="FFFFEB84"/>
        <color rgb="FF63BE7B"/>
      </colorScale>
    </cfRule>
  </conditionalFormatting>
  <conditionalFormatting sqref="F13:F20">
    <cfRule type="colorScale" priority="3869">
      <colorScale>
        <cfvo type="min"/>
        <cfvo type="percentile" val="50"/>
        <cfvo type="max"/>
        <color rgb="FFF8696B"/>
        <color rgb="FFFFEB84"/>
        <color rgb="FF63BE7B"/>
      </colorScale>
    </cfRule>
  </conditionalFormatting>
  <conditionalFormatting sqref="F13:F20">
    <cfRule type="colorScale" priority="3868">
      <colorScale>
        <cfvo type="min"/>
        <cfvo type="percentile" val="50"/>
        <cfvo type="max"/>
        <color rgb="FFF8696B"/>
        <color rgb="FFFFEB84"/>
        <color rgb="FF63BE7B"/>
      </colorScale>
    </cfRule>
  </conditionalFormatting>
  <conditionalFormatting sqref="F13:F20">
    <cfRule type="colorScale" priority="3867">
      <colorScale>
        <cfvo type="min"/>
        <cfvo type="percentile" val="50"/>
        <cfvo type="max"/>
        <color rgb="FFF8696B"/>
        <color rgb="FFFFEB84"/>
        <color rgb="FF63BE7B"/>
      </colorScale>
    </cfRule>
  </conditionalFormatting>
  <conditionalFormatting sqref="F13:F20">
    <cfRule type="colorScale" priority="3866">
      <colorScale>
        <cfvo type="min"/>
        <cfvo type="percentile" val="50"/>
        <cfvo type="max"/>
        <color rgb="FFF8696B"/>
        <color rgb="FFFFEB84"/>
        <color rgb="FF63BE7B"/>
      </colorScale>
    </cfRule>
  </conditionalFormatting>
  <conditionalFormatting sqref="F13:F20">
    <cfRule type="colorScale" priority="3865">
      <colorScale>
        <cfvo type="min"/>
        <cfvo type="percentile" val="50"/>
        <cfvo type="max"/>
        <color rgb="FFF8696B"/>
        <color rgb="FFFFEB84"/>
        <color rgb="FF63BE7B"/>
      </colorScale>
    </cfRule>
  </conditionalFormatting>
  <conditionalFormatting sqref="F13:F20">
    <cfRule type="colorScale" priority="3864">
      <colorScale>
        <cfvo type="min"/>
        <cfvo type="percentile" val="50"/>
        <cfvo type="max"/>
        <color rgb="FFF8696B"/>
        <color rgb="FFFFEB84"/>
        <color rgb="FF63BE7B"/>
      </colorScale>
    </cfRule>
  </conditionalFormatting>
  <conditionalFormatting sqref="F13:F20">
    <cfRule type="colorScale" priority="3863">
      <colorScale>
        <cfvo type="min"/>
        <cfvo type="percentile" val="50"/>
        <cfvo type="max"/>
        <color rgb="FFF8696B"/>
        <color rgb="FFFFEB84"/>
        <color rgb="FF63BE7B"/>
      </colorScale>
    </cfRule>
  </conditionalFormatting>
  <conditionalFormatting sqref="F13:F20">
    <cfRule type="colorScale" priority="3862">
      <colorScale>
        <cfvo type="min"/>
        <cfvo type="percentile" val="50"/>
        <cfvo type="max"/>
        <color rgb="FFF8696B"/>
        <color rgb="FFFFEB84"/>
        <color rgb="FF63BE7B"/>
      </colorScale>
    </cfRule>
  </conditionalFormatting>
  <conditionalFormatting sqref="F13:F20">
    <cfRule type="colorScale" priority="3861">
      <colorScale>
        <cfvo type="min"/>
        <cfvo type="percentile" val="50"/>
        <cfvo type="max"/>
        <color rgb="FFF8696B"/>
        <color rgb="FFFFEB84"/>
        <color rgb="FF63BE7B"/>
      </colorScale>
    </cfRule>
  </conditionalFormatting>
  <conditionalFormatting sqref="F13:F20">
    <cfRule type="colorScale" priority="3860">
      <colorScale>
        <cfvo type="min"/>
        <cfvo type="percentile" val="50"/>
        <cfvo type="max"/>
        <color rgb="FFF8696B"/>
        <color rgb="FFFFEB84"/>
        <color rgb="FF63BE7B"/>
      </colorScale>
    </cfRule>
  </conditionalFormatting>
  <conditionalFormatting sqref="F13:F20">
    <cfRule type="colorScale" priority="3859">
      <colorScale>
        <cfvo type="min"/>
        <cfvo type="percentile" val="50"/>
        <cfvo type="max"/>
        <color rgb="FFF8696B"/>
        <color rgb="FFFFEB84"/>
        <color rgb="FF63BE7B"/>
      </colorScale>
    </cfRule>
  </conditionalFormatting>
  <conditionalFormatting sqref="F13:F20">
    <cfRule type="colorScale" priority="3858">
      <colorScale>
        <cfvo type="min"/>
        <cfvo type="percentile" val="50"/>
        <cfvo type="max"/>
        <color rgb="FFF8696B"/>
        <color rgb="FFFFEB84"/>
        <color rgb="FF63BE7B"/>
      </colorScale>
    </cfRule>
  </conditionalFormatting>
  <conditionalFormatting sqref="F13:F20">
    <cfRule type="colorScale" priority="3857">
      <colorScale>
        <cfvo type="min"/>
        <cfvo type="percentile" val="50"/>
        <cfvo type="max"/>
        <color rgb="FFF8696B"/>
        <color rgb="FFFFEB84"/>
        <color rgb="FF63BE7B"/>
      </colorScale>
    </cfRule>
  </conditionalFormatting>
  <conditionalFormatting sqref="F13:F20">
    <cfRule type="colorScale" priority="3856">
      <colorScale>
        <cfvo type="min"/>
        <cfvo type="percentile" val="50"/>
        <cfvo type="max"/>
        <color rgb="FFF8696B"/>
        <color rgb="FFFFEB84"/>
        <color rgb="FF63BE7B"/>
      </colorScale>
    </cfRule>
  </conditionalFormatting>
  <conditionalFormatting sqref="F13:F20">
    <cfRule type="colorScale" priority="3855">
      <colorScale>
        <cfvo type="min"/>
        <cfvo type="percentile" val="50"/>
        <cfvo type="max"/>
        <color rgb="FFF8696B"/>
        <color rgb="FFFFEB84"/>
        <color rgb="FF63BE7B"/>
      </colorScale>
    </cfRule>
  </conditionalFormatting>
  <conditionalFormatting sqref="F13:F20">
    <cfRule type="colorScale" priority="3854">
      <colorScale>
        <cfvo type="min"/>
        <cfvo type="percentile" val="50"/>
        <cfvo type="max"/>
        <color rgb="FFF8696B"/>
        <color rgb="FFFFEB84"/>
        <color rgb="FF63BE7B"/>
      </colorScale>
    </cfRule>
  </conditionalFormatting>
  <conditionalFormatting sqref="F13:F20">
    <cfRule type="colorScale" priority="3853">
      <colorScale>
        <cfvo type="min"/>
        <cfvo type="percentile" val="50"/>
        <cfvo type="max"/>
        <color rgb="FFF8696B"/>
        <color rgb="FFFFEB84"/>
        <color rgb="FF63BE7B"/>
      </colorScale>
    </cfRule>
  </conditionalFormatting>
  <conditionalFormatting sqref="F13:F20">
    <cfRule type="colorScale" priority="3852">
      <colorScale>
        <cfvo type="min"/>
        <cfvo type="percentile" val="50"/>
        <cfvo type="max"/>
        <color rgb="FFF8696B"/>
        <color rgb="FFFFEB84"/>
        <color rgb="FF63BE7B"/>
      </colorScale>
    </cfRule>
  </conditionalFormatting>
  <conditionalFormatting sqref="F13:F20">
    <cfRule type="colorScale" priority="3851">
      <colorScale>
        <cfvo type="min"/>
        <cfvo type="percentile" val="50"/>
        <cfvo type="max"/>
        <color rgb="FFF8696B"/>
        <color rgb="FFFFEB84"/>
        <color rgb="FF63BE7B"/>
      </colorScale>
    </cfRule>
  </conditionalFormatting>
  <conditionalFormatting sqref="F13:F20">
    <cfRule type="colorScale" priority="3850">
      <colorScale>
        <cfvo type="min"/>
        <cfvo type="percentile" val="50"/>
        <cfvo type="max"/>
        <color rgb="FFF8696B"/>
        <color rgb="FFFFEB84"/>
        <color rgb="FF63BE7B"/>
      </colorScale>
    </cfRule>
  </conditionalFormatting>
  <conditionalFormatting sqref="F13:F20">
    <cfRule type="colorScale" priority="3849">
      <colorScale>
        <cfvo type="min"/>
        <cfvo type="percentile" val="50"/>
        <cfvo type="max"/>
        <color rgb="FFF8696B"/>
        <color rgb="FFFFEB84"/>
        <color rgb="FF63BE7B"/>
      </colorScale>
    </cfRule>
  </conditionalFormatting>
  <conditionalFormatting sqref="F13:F20">
    <cfRule type="colorScale" priority="3848">
      <colorScale>
        <cfvo type="min"/>
        <cfvo type="percentile" val="50"/>
        <cfvo type="max"/>
        <color rgb="FFF8696B"/>
        <color rgb="FFFFEB84"/>
        <color rgb="FF63BE7B"/>
      </colorScale>
    </cfRule>
  </conditionalFormatting>
  <conditionalFormatting sqref="F13:F20">
    <cfRule type="colorScale" priority="3847">
      <colorScale>
        <cfvo type="min"/>
        <cfvo type="percentile" val="50"/>
        <cfvo type="max"/>
        <color rgb="FFF8696B"/>
        <color rgb="FFFFEB84"/>
        <color rgb="FF63BE7B"/>
      </colorScale>
    </cfRule>
  </conditionalFormatting>
  <conditionalFormatting sqref="F13:F20">
    <cfRule type="colorScale" priority="3846">
      <colorScale>
        <cfvo type="min"/>
        <cfvo type="percentile" val="50"/>
        <cfvo type="max"/>
        <color rgb="FFF8696B"/>
        <color rgb="FFFFEB84"/>
        <color rgb="FF63BE7B"/>
      </colorScale>
    </cfRule>
  </conditionalFormatting>
  <conditionalFormatting sqref="F13:F20">
    <cfRule type="colorScale" priority="3845">
      <colorScale>
        <cfvo type="min"/>
        <cfvo type="percentile" val="50"/>
        <cfvo type="max"/>
        <color rgb="FFF8696B"/>
        <color rgb="FFFFEB84"/>
        <color rgb="FF63BE7B"/>
      </colorScale>
    </cfRule>
  </conditionalFormatting>
  <conditionalFormatting sqref="F13:F20">
    <cfRule type="colorScale" priority="3844">
      <colorScale>
        <cfvo type="min"/>
        <cfvo type="percentile" val="50"/>
        <cfvo type="max"/>
        <color rgb="FFF8696B"/>
        <color rgb="FFFFEB84"/>
        <color rgb="FF63BE7B"/>
      </colorScale>
    </cfRule>
  </conditionalFormatting>
  <conditionalFormatting sqref="F13:F20">
    <cfRule type="colorScale" priority="3843">
      <colorScale>
        <cfvo type="min"/>
        <cfvo type="percentile" val="50"/>
        <cfvo type="max"/>
        <color rgb="FFF8696B"/>
        <color rgb="FFFFEB84"/>
        <color rgb="FF63BE7B"/>
      </colorScale>
    </cfRule>
  </conditionalFormatting>
  <conditionalFormatting sqref="F13:F20">
    <cfRule type="colorScale" priority="3842">
      <colorScale>
        <cfvo type="min"/>
        <cfvo type="percentile" val="50"/>
        <cfvo type="max"/>
        <color rgb="FFF8696B"/>
        <color rgb="FFFFEB84"/>
        <color rgb="FF63BE7B"/>
      </colorScale>
    </cfRule>
  </conditionalFormatting>
  <conditionalFormatting sqref="F13:F20">
    <cfRule type="colorScale" priority="3841">
      <colorScale>
        <cfvo type="min"/>
        <cfvo type="percentile" val="50"/>
        <cfvo type="max"/>
        <color rgb="FFF8696B"/>
        <color rgb="FFFFEB84"/>
        <color rgb="FF63BE7B"/>
      </colorScale>
    </cfRule>
  </conditionalFormatting>
  <conditionalFormatting sqref="F13:F20">
    <cfRule type="colorScale" priority="3840">
      <colorScale>
        <cfvo type="min"/>
        <cfvo type="percentile" val="50"/>
        <cfvo type="max"/>
        <color rgb="FFF8696B"/>
        <color rgb="FFFFEB84"/>
        <color rgb="FF63BE7B"/>
      </colorScale>
    </cfRule>
  </conditionalFormatting>
  <conditionalFormatting sqref="F13:F20">
    <cfRule type="colorScale" priority="3839">
      <colorScale>
        <cfvo type="min"/>
        <cfvo type="percentile" val="50"/>
        <cfvo type="max"/>
        <color rgb="FFF8696B"/>
        <color rgb="FFFFEB84"/>
        <color rgb="FF63BE7B"/>
      </colorScale>
    </cfRule>
  </conditionalFormatting>
  <conditionalFormatting sqref="F13:F20">
    <cfRule type="colorScale" priority="3838">
      <colorScale>
        <cfvo type="min"/>
        <cfvo type="percentile" val="50"/>
        <cfvo type="max"/>
        <color rgb="FFF8696B"/>
        <color rgb="FFFFEB84"/>
        <color rgb="FF63BE7B"/>
      </colorScale>
    </cfRule>
  </conditionalFormatting>
  <conditionalFormatting sqref="F13:F20">
    <cfRule type="colorScale" priority="3837">
      <colorScale>
        <cfvo type="min"/>
        <cfvo type="percentile" val="50"/>
        <cfvo type="max"/>
        <color rgb="FFF8696B"/>
        <color rgb="FFFFEB84"/>
        <color rgb="FF63BE7B"/>
      </colorScale>
    </cfRule>
  </conditionalFormatting>
  <conditionalFormatting sqref="F13:F20">
    <cfRule type="colorScale" priority="3836">
      <colorScale>
        <cfvo type="min"/>
        <cfvo type="percentile" val="50"/>
        <cfvo type="max"/>
        <color rgb="FFF8696B"/>
        <color rgb="FFFFEB84"/>
        <color rgb="FF63BE7B"/>
      </colorScale>
    </cfRule>
  </conditionalFormatting>
  <conditionalFormatting sqref="F13:F20">
    <cfRule type="colorScale" priority="3835">
      <colorScale>
        <cfvo type="min"/>
        <cfvo type="percentile" val="50"/>
        <cfvo type="max"/>
        <color rgb="FFF8696B"/>
        <color rgb="FFFFEB84"/>
        <color rgb="FF63BE7B"/>
      </colorScale>
    </cfRule>
  </conditionalFormatting>
  <conditionalFormatting sqref="F13:F20">
    <cfRule type="colorScale" priority="3834">
      <colorScale>
        <cfvo type="min"/>
        <cfvo type="percentile" val="50"/>
        <cfvo type="max"/>
        <color rgb="FFF8696B"/>
        <color rgb="FFFFEB84"/>
        <color rgb="FF63BE7B"/>
      </colorScale>
    </cfRule>
  </conditionalFormatting>
  <conditionalFormatting sqref="F13:F20">
    <cfRule type="colorScale" priority="3833">
      <colorScale>
        <cfvo type="min"/>
        <cfvo type="percentile" val="50"/>
        <cfvo type="max"/>
        <color rgb="FFF8696B"/>
        <color rgb="FFFFEB84"/>
        <color rgb="FF63BE7B"/>
      </colorScale>
    </cfRule>
  </conditionalFormatting>
  <conditionalFormatting sqref="F13:F20">
    <cfRule type="colorScale" priority="3832">
      <colorScale>
        <cfvo type="min"/>
        <cfvo type="percentile" val="50"/>
        <cfvo type="max"/>
        <color rgb="FFF8696B"/>
        <color rgb="FFFFEB84"/>
        <color rgb="FF63BE7B"/>
      </colorScale>
    </cfRule>
  </conditionalFormatting>
  <conditionalFormatting sqref="F13:F20">
    <cfRule type="colorScale" priority="3831">
      <colorScale>
        <cfvo type="min"/>
        <cfvo type="percentile" val="50"/>
        <cfvo type="max"/>
        <color rgb="FFF8696B"/>
        <color rgb="FFFFEB84"/>
        <color rgb="FF63BE7B"/>
      </colorScale>
    </cfRule>
  </conditionalFormatting>
  <conditionalFormatting sqref="F13:F20">
    <cfRule type="colorScale" priority="3830">
      <colorScale>
        <cfvo type="min"/>
        <cfvo type="percentile" val="50"/>
        <cfvo type="max"/>
        <color rgb="FFF8696B"/>
        <color rgb="FFFFEB84"/>
        <color rgb="FF63BE7B"/>
      </colorScale>
    </cfRule>
  </conditionalFormatting>
  <conditionalFormatting sqref="F13:F20">
    <cfRule type="colorScale" priority="3829">
      <colorScale>
        <cfvo type="min"/>
        <cfvo type="percentile" val="50"/>
        <cfvo type="max"/>
        <color rgb="FFF8696B"/>
        <color rgb="FFFFEB84"/>
        <color rgb="FF63BE7B"/>
      </colorScale>
    </cfRule>
  </conditionalFormatting>
  <conditionalFormatting sqref="F13:F20">
    <cfRule type="colorScale" priority="3828">
      <colorScale>
        <cfvo type="min"/>
        <cfvo type="percentile" val="50"/>
        <cfvo type="max"/>
        <color rgb="FFF8696B"/>
        <color rgb="FFFFEB84"/>
        <color rgb="FF63BE7B"/>
      </colorScale>
    </cfRule>
  </conditionalFormatting>
  <conditionalFormatting sqref="F13:F20">
    <cfRule type="colorScale" priority="3827">
      <colorScale>
        <cfvo type="min"/>
        <cfvo type="percentile" val="50"/>
        <cfvo type="max"/>
        <color rgb="FFF8696B"/>
        <color rgb="FFFFEB84"/>
        <color rgb="FF63BE7B"/>
      </colorScale>
    </cfRule>
  </conditionalFormatting>
  <conditionalFormatting sqref="F13:F20">
    <cfRule type="colorScale" priority="3826">
      <colorScale>
        <cfvo type="min"/>
        <cfvo type="percentile" val="50"/>
        <cfvo type="max"/>
        <color rgb="FFF8696B"/>
        <color rgb="FFFFEB84"/>
        <color rgb="FF63BE7B"/>
      </colorScale>
    </cfRule>
  </conditionalFormatting>
  <conditionalFormatting sqref="F13:F20">
    <cfRule type="colorScale" priority="3825">
      <colorScale>
        <cfvo type="min"/>
        <cfvo type="percentile" val="50"/>
        <cfvo type="max"/>
        <color rgb="FFF8696B"/>
        <color rgb="FFFFEB84"/>
        <color rgb="FF63BE7B"/>
      </colorScale>
    </cfRule>
  </conditionalFormatting>
  <conditionalFormatting sqref="F13:F20">
    <cfRule type="colorScale" priority="3824">
      <colorScale>
        <cfvo type="min"/>
        <cfvo type="percentile" val="50"/>
        <cfvo type="max"/>
        <color rgb="FFF8696B"/>
        <color rgb="FFFFEB84"/>
        <color rgb="FF63BE7B"/>
      </colorScale>
    </cfRule>
  </conditionalFormatting>
  <conditionalFormatting sqref="F13:F20">
    <cfRule type="colorScale" priority="3823">
      <colorScale>
        <cfvo type="min"/>
        <cfvo type="percentile" val="50"/>
        <cfvo type="max"/>
        <color rgb="FFF8696B"/>
        <color rgb="FFFFEB84"/>
        <color rgb="FF63BE7B"/>
      </colorScale>
    </cfRule>
  </conditionalFormatting>
  <conditionalFormatting sqref="F13:F20">
    <cfRule type="colorScale" priority="3822">
      <colorScale>
        <cfvo type="min"/>
        <cfvo type="percentile" val="50"/>
        <cfvo type="max"/>
        <color rgb="FFF8696B"/>
        <color rgb="FFFFEB84"/>
        <color rgb="FF63BE7B"/>
      </colorScale>
    </cfRule>
  </conditionalFormatting>
  <conditionalFormatting sqref="F13:F20">
    <cfRule type="colorScale" priority="3821">
      <colorScale>
        <cfvo type="min"/>
        <cfvo type="percentile" val="50"/>
        <cfvo type="max"/>
        <color rgb="FFF8696B"/>
        <color rgb="FFFFEB84"/>
        <color rgb="FF63BE7B"/>
      </colorScale>
    </cfRule>
  </conditionalFormatting>
  <conditionalFormatting sqref="F13:F20">
    <cfRule type="colorScale" priority="3820">
      <colorScale>
        <cfvo type="min"/>
        <cfvo type="percentile" val="50"/>
        <cfvo type="max"/>
        <color rgb="FFF8696B"/>
        <color rgb="FFFFEB84"/>
        <color rgb="FF63BE7B"/>
      </colorScale>
    </cfRule>
  </conditionalFormatting>
  <conditionalFormatting sqref="F13:F20">
    <cfRule type="colorScale" priority="3819">
      <colorScale>
        <cfvo type="min"/>
        <cfvo type="percentile" val="50"/>
        <cfvo type="max"/>
        <color rgb="FFF8696B"/>
        <color rgb="FFFFEB84"/>
        <color rgb="FF63BE7B"/>
      </colorScale>
    </cfRule>
  </conditionalFormatting>
  <conditionalFormatting sqref="F13:F20">
    <cfRule type="colorScale" priority="3818">
      <colorScale>
        <cfvo type="min"/>
        <cfvo type="percentile" val="50"/>
        <cfvo type="max"/>
        <color rgb="FFF8696B"/>
        <color rgb="FFFFEB84"/>
        <color rgb="FF63BE7B"/>
      </colorScale>
    </cfRule>
  </conditionalFormatting>
  <conditionalFormatting sqref="F13:F20">
    <cfRule type="colorScale" priority="3817">
      <colorScale>
        <cfvo type="min"/>
        <cfvo type="percentile" val="50"/>
        <cfvo type="max"/>
        <color rgb="FFF8696B"/>
        <color rgb="FFFFEB84"/>
        <color rgb="FF63BE7B"/>
      </colorScale>
    </cfRule>
  </conditionalFormatting>
  <conditionalFormatting sqref="F13:F20">
    <cfRule type="colorScale" priority="3816">
      <colorScale>
        <cfvo type="min"/>
        <cfvo type="percentile" val="50"/>
        <cfvo type="max"/>
        <color rgb="FFF8696B"/>
        <color rgb="FFFFEB84"/>
        <color rgb="FF63BE7B"/>
      </colorScale>
    </cfRule>
  </conditionalFormatting>
  <conditionalFormatting sqref="F13:F20">
    <cfRule type="colorScale" priority="3815">
      <colorScale>
        <cfvo type="min"/>
        <cfvo type="percentile" val="50"/>
        <cfvo type="max"/>
        <color rgb="FFF8696B"/>
        <color rgb="FFFFEB84"/>
        <color rgb="FF63BE7B"/>
      </colorScale>
    </cfRule>
  </conditionalFormatting>
  <conditionalFormatting sqref="F13:F20">
    <cfRule type="colorScale" priority="3814">
      <colorScale>
        <cfvo type="min"/>
        <cfvo type="percentile" val="50"/>
        <cfvo type="max"/>
        <color rgb="FFF8696B"/>
        <color rgb="FFFFEB84"/>
        <color rgb="FF63BE7B"/>
      </colorScale>
    </cfRule>
  </conditionalFormatting>
  <conditionalFormatting sqref="F13:F20">
    <cfRule type="colorScale" priority="3813">
      <colorScale>
        <cfvo type="min"/>
        <cfvo type="percentile" val="50"/>
        <cfvo type="max"/>
        <color rgb="FFF8696B"/>
        <color rgb="FFFFEB84"/>
        <color rgb="FF63BE7B"/>
      </colorScale>
    </cfRule>
  </conditionalFormatting>
  <conditionalFormatting sqref="F13:F20">
    <cfRule type="colorScale" priority="3812">
      <colorScale>
        <cfvo type="min"/>
        <cfvo type="percentile" val="50"/>
        <cfvo type="max"/>
        <color rgb="FFF8696B"/>
        <color rgb="FFFFEB84"/>
        <color rgb="FF63BE7B"/>
      </colorScale>
    </cfRule>
  </conditionalFormatting>
  <conditionalFormatting sqref="F13:F20">
    <cfRule type="colorScale" priority="3811">
      <colorScale>
        <cfvo type="min"/>
        <cfvo type="percentile" val="50"/>
        <cfvo type="max"/>
        <color rgb="FFF8696B"/>
        <color rgb="FFFFEB84"/>
        <color rgb="FF63BE7B"/>
      </colorScale>
    </cfRule>
  </conditionalFormatting>
  <conditionalFormatting sqref="F13:F20">
    <cfRule type="colorScale" priority="3810">
      <colorScale>
        <cfvo type="min"/>
        <cfvo type="percentile" val="50"/>
        <cfvo type="max"/>
        <color rgb="FFF8696B"/>
        <color rgb="FFFFEB84"/>
        <color rgb="FF63BE7B"/>
      </colorScale>
    </cfRule>
  </conditionalFormatting>
  <conditionalFormatting sqref="F13:F20">
    <cfRule type="colorScale" priority="3809">
      <colorScale>
        <cfvo type="min"/>
        <cfvo type="percentile" val="50"/>
        <cfvo type="max"/>
        <color rgb="FFF8696B"/>
        <color rgb="FFFFEB84"/>
        <color rgb="FF63BE7B"/>
      </colorScale>
    </cfRule>
  </conditionalFormatting>
  <conditionalFormatting sqref="F13:F20">
    <cfRule type="colorScale" priority="3808">
      <colorScale>
        <cfvo type="min"/>
        <cfvo type="percentile" val="50"/>
        <cfvo type="max"/>
        <color rgb="FFF8696B"/>
        <color rgb="FFFFEB84"/>
        <color rgb="FF63BE7B"/>
      </colorScale>
    </cfRule>
  </conditionalFormatting>
  <conditionalFormatting sqref="F21:F28">
    <cfRule type="colorScale" priority="3807">
      <colorScale>
        <cfvo type="min"/>
        <cfvo type="percentile" val="50"/>
        <cfvo type="max"/>
        <color rgb="FFF8696B"/>
        <color rgb="FFFFEB84"/>
        <color rgb="FF63BE7B"/>
      </colorScale>
    </cfRule>
  </conditionalFormatting>
  <conditionalFormatting sqref="F21:F28">
    <cfRule type="colorScale" priority="3806">
      <colorScale>
        <cfvo type="min"/>
        <cfvo type="percentile" val="50"/>
        <cfvo type="max"/>
        <color rgb="FFF8696B"/>
        <color rgb="FFFFEB84"/>
        <color rgb="FF63BE7B"/>
      </colorScale>
    </cfRule>
  </conditionalFormatting>
  <conditionalFormatting sqref="F21:F28">
    <cfRule type="colorScale" priority="3805">
      <colorScale>
        <cfvo type="min"/>
        <cfvo type="percentile" val="50"/>
        <cfvo type="max"/>
        <color rgb="FFF8696B"/>
        <color rgb="FFFFEB84"/>
        <color rgb="FF63BE7B"/>
      </colorScale>
    </cfRule>
  </conditionalFormatting>
  <conditionalFormatting sqref="F21:F28">
    <cfRule type="colorScale" priority="3804">
      <colorScale>
        <cfvo type="min"/>
        <cfvo type="percentile" val="50"/>
        <cfvo type="max"/>
        <color rgb="FFF8696B"/>
        <color rgb="FFFFEB84"/>
        <color rgb="FF63BE7B"/>
      </colorScale>
    </cfRule>
  </conditionalFormatting>
  <conditionalFormatting sqref="F21:F28">
    <cfRule type="colorScale" priority="3803">
      <colorScale>
        <cfvo type="min"/>
        <cfvo type="percentile" val="50"/>
        <cfvo type="max"/>
        <color rgb="FFF8696B"/>
        <color rgb="FFFFEB84"/>
        <color rgb="FF63BE7B"/>
      </colorScale>
    </cfRule>
  </conditionalFormatting>
  <conditionalFormatting sqref="F21:F28">
    <cfRule type="colorScale" priority="3802">
      <colorScale>
        <cfvo type="min"/>
        <cfvo type="percentile" val="50"/>
        <cfvo type="max"/>
        <color rgb="FFF8696B"/>
        <color rgb="FFFFEB84"/>
        <color rgb="FF63BE7B"/>
      </colorScale>
    </cfRule>
  </conditionalFormatting>
  <conditionalFormatting sqref="F21:F28">
    <cfRule type="colorScale" priority="3801">
      <colorScale>
        <cfvo type="min"/>
        <cfvo type="percentile" val="50"/>
        <cfvo type="max"/>
        <color rgb="FFF8696B"/>
        <color rgb="FFFFEB84"/>
        <color rgb="FF63BE7B"/>
      </colorScale>
    </cfRule>
  </conditionalFormatting>
  <conditionalFormatting sqref="F21:F28">
    <cfRule type="colorScale" priority="3800">
      <colorScale>
        <cfvo type="min"/>
        <cfvo type="percentile" val="50"/>
        <cfvo type="max"/>
        <color rgb="FFF8696B"/>
        <color rgb="FFFFEB84"/>
        <color rgb="FF63BE7B"/>
      </colorScale>
    </cfRule>
  </conditionalFormatting>
  <conditionalFormatting sqref="F21:F28">
    <cfRule type="colorScale" priority="3799">
      <colorScale>
        <cfvo type="min"/>
        <cfvo type="percentile" val="50"/>
        <cfvo type="max"/>
        <color rgb="FFF8696B"/>
        <color rgb="FFFFEB84"/>
        <color rgb="FF63BE7B"/>
      </colorScale>
    </cfRule>
  </conditionalFormatting>
  <conditionalFormatting sqref="F21:F28">
    <cfRule type="colorScale" priority="3798">
      <colorScale>
        <cfvo type="min"/>
        <cfvo type="percentile" val="50"/>
        <cfvo type="max"/>
        <color rgb="FFF8696B"/>
        <color rgb="FFFFEB84"/>
        <color rgb="FF63BE7B"/>
      </colorScale>
    </cfRule>
  </conditionalFormatting>
  <conditionalFormatting sqref="F21:F28">
    <cfRule type="colorScale" priority="3797">
      <colorScale>
        <cfvo type="min"/>
        <cfvo type="percentile" val="50"/>
        <cfvo type="max"/>
        <color rgb="FFF8696B"/>
        <color rgb="FFFFEB84"/>
        <color rgb="FF63BE7B"/>
      </colorScale>
    </cfRule>
  </conditionalFormatting>
  <conditionalFormatting sqref="F21:F28">
    <cfRule type="colorScale" priority="3796">
      <colorScale>
        <cfvo type="min"/>
        <cfvo type="percentile" val="50"/>
        <cfvo type="max"/>
        <color rgb="FFF8696B"/>
        <color rgb="FFFFEB84"/>
        <color rgb="FF63BE7B"/>
      </colorScale>
    </cfRule>
  </conditionalFormatting>
  <conditionalFormatting sqref="F21:F28">
    <cfRule type="colorScale" priority="3795">
      <colorScale>
        <cfvo type="min"/>
        <cfvo type="percentile" val="50"/>
        <cfvo type="max"/>
        <color rgb="FFF8696B"/>
        <color rgb="FFFFEB84"/>
        <color rgb="FF63BE7B"/>
      </colorScale>
    </cfRule>
  </conditionalFormatting>
  <conditionalFormatting sqref="F21:F28">
    <cfRule type="colorScale" priority="3794">
      <colorScale>
        <cfvo type="min"/>
        <cfvo type="percentile" val="50"/>
        <cfvo type="max"/>
        <color rgb="FFF8696B"/>
        <color rgb="FFFFEB84"/>
        <color rgb="FF63BE7B"/>
      </colorScale>
    </cfRule>
  </conditionalFormatting>
  <conditionalFormatting sqref="F21:F28">
    <cfRule type="colorScale" priority="3793">
      <colorScale>
        <cfvo type="min"/>
        <cfvo type="percentile" val="50"/>
        <cfvo type="max"/>
        <color rgb="FFF8696B"/>
        <color rgb="FFFFEB84"/>
        <color rgb="FF63BE7B"/>
      </colorScale>
    </cfRule>
  </conditionalFormatting>
  <conditionalFormatting sqref="F21:F28">
    <cfRule type="colorScale" priority="3792">
      <colorScale>
        <cfvo type="min"/>
        <cfvo type="percentile" val="50"/>
        <cfvo type="max"/>
        <color rgb="FFF8696B"/>
        <color rgb="FFFFEB84"/>
        <color rgb="FF63BE7B"/>
      </colorScale>
    </cfRule>
  </conditionalFormatting>
  <conditionalFormatting sqref="F21:F28">
    <cfRule type="colorScale" priority="3791">
      <colorScale>
        <cfvo type="min"/>
        <cfvo type="percentile" val="50"/>
        <cfvo type="max"/>
        <color rgb="FFF8696B"/>
        <color rgb="FFFFEB84"/>
        <color rgb="FF63BE7B"/>
      </colorScale>
    </cfRule>
  </conditionalFormatting>
  <conditionalFormatting sqref="F21:F28">
    <cfRule type="colorScale" priority="3790">
      <colorScale>
        <cfvo type="min"/>
        <cfvo type="percentile" val="50"/>
        <cfvo type="max"/>
        <color rgb="FFF8696B"/>
        <color rgb="FFFFEB84"/>
        <color rgb="FF63BE7B"/>
      </colorScale>
    </cfRule>
  </conditionalFormatting>
  <conditionalFormatting sqref="F21:F28">
    <cfRule type="colorScale" priority="3789">
      <colorScale>
        <cfvo type="min"/>
        <cfvo type="percentile" val="50"/>
        <cfvo type="max"/>
        <color rgb="FFF8696B"/>
        <color rgb="FFFFEB84"/>
        <color rgb="FF63BE7B"/>
      </colorScale>
    </cfRule>
  </conditionalFormatting>
  <conditionalFormatting sqref="F21:F28">
    <cfRule type="colorScale" priority="3788">
      <colorScale>
        <cfvo type="min"/>
        <cfvo type="percentile" val="50"/>
        <cfvo type="max"/>
        <color rgb="FFF8696B"/>
        <color rgb="FFFFEB84"/>
        <color rgb="FF63BE7B"/>
      </colorScale>
    </cfRule>
  </conditionalFormatting>
  <conditionalFormatting sqref="F21:F28">
    <cfRule type="colorScale" priority="3787">
      <colorScale>
        <cfvo type="min"/>
        <cfvo type="percentile" val="50"/>
        <cfvo type="max"/>
        <color rgb="FFF8696B"/>
        <color rgb="FFFFEB84"/>
        <color rgb="FF63BE7B"/>
      </colorScale>
    </cfRule>
  </conditionalFormatting>
  <conditionalFormatting sqref="F21:F28">
    <cfRule type="colorScale" priority="3786">
      <colorScale>
        <cfvo type="min"/>
        <cfvo type="percentile" val="50"/>
        <cfvo type="max"/>
        <color rgb="FFF8696B"/>
        <color rgb="FFFFEB84"/>
        <color rgb="FF63BE7B"/>
      </colorScale>
    </cfRule>
  </conditionalFormatting>
  <conditionalFormatting sqref="F21:F28">
    <cfRule type="colorScale" priority="3785">
      <colorScale>
        <cfvo type="min"/>
        <cfvo type="percentile" val="50"/>
        <cfvo type="max"/>
        <color rgb="FFF8696B"/>
        <color rgb="FFFFEB84"/>
        <color rgb="FF63BE7B"/>
      </colorScale>
    </cfRule>
  </conditionalFormatting>
  <conditionalFormatting sqref="F21:F28">
    <cfRule type="colorScale" priority="3784">
      <colorScale>
        <cfvo type="min"/>
        <cfvo type="percentile" val="50"/>
        <cfvo type="max"/>
        <color rgb="FFF8696B"/>
        <color rgb="FFFFEB84"/>
        <color rgb="FF63BE7B"/>
      </colorScale>
    </cfRule>
  </conditionalFormatting>
  <conditionalFormatting sqref="F21:F28">
    <cfRule type="colorScale" priority="3783">
      <colorScale>
        <cfvo type="min"/>
        <cfvo type="percentile" val="50"/>
        <cfvo type="max"/>
        <color rgb="FFF8696B"/>
        <color rgb="FFFFEB84"/>
        <color rgb="FF63BE7B"/>
      </colorScale>
    </cfRule>
  </conditionalFormatting>
  <conditionalFormatting sqref="F21:F28">
    <cfRule type="colorScale" priority="3782">
      <colorScale>
        <cfvo type="min"/>
        <cfvo type="percentile" val="50"/>
        <cfvo type="max"/>
        <color rgb="FFF8696B"/>
        <color rgb="FFFFEB84"/>
        <color rgb="FF63BE7B"/>
      </colorScale>
    </cfRule>
  </conditionalFormatting>
  <conditionalFormatting sqref="F21:F28">
    <cfRule type="colorScale" priority="3781">
      <colorScale>
        <cfvo type="min"/>
        <cfvo type="percentile" val="50"/>
        <cfvo type="max"/>
        <color rgb="FFF8696B"/>
        <color rgb="FFFFEB84"/>
        <color rgb="FF63BE7B"/>
      </colorScale>
    </cfRule>
  </conditionalFormatting>
  <conditionalFormatting sqref="F21:F28">
    <cfRule type="colorScale" priority="3780">
      <colorScale>
        <cfvo type="min"/>
        <cfvo type="percentile" val="50"/>
        <cfvo type="max"/>
        <color rgb="FFF8696B"/>
        <color rgb="FFFFEB84"/>
        <color rgb="FF63BE7B"/>
      </colorScale>
    </cfRule>
  </conditionalFormatting>
  <conditionalFormatting sqref="F21:F28">
    <cfRule type="colorScale" priority="3779">
      <colorScale>
        <cfvo type="min"/>
        <cfvo type="percentile" val="50"/>
        <cfvo type="max"/>
        <color rgb="FFF8696B"/>
        <color rgb="FFFFEB84"/>
        <color rgb="FF63BE7B"/>
      </colorScale>
    </cfRule>
  </conditionalFormatting>
  <conditionalFormatting sqref="F21:F28">
    <cfRule type="colorScale" priority="3778">
      <colorScale>
        <cfvo type="min"/>
        <cfvo type="percentile" val="50"/>
        <cfvo type="max"/>
        <color rgb="FFF8696B"/>
        <color rgb="FFFFEB84"/>
        <color rgb="FF63BE7B"/>
      </colorScale>
    </cfRule>
  </conditionalFormatting>
  <conditionalFormatting sqref="F21:F28">
    <cfRule type="colorScale" priority="3777">
      <colorScale>
        <cfvo type="min"/>
        <cfvo type="percentile" val="50"/>
        <cfvo type="max"/>
        <color rgb="FFF8696B"/>
        <color rgb="FFFFEB84"/>
        <color rgb="FF63BE7B"/>
      </colorScale>
    </cfRule>
  </conditionalFormatting>
  <conditionalFormatting sqref="F21:F28">
    <cfRule type="colorScale" priority="3776">
      <colorScale>
        <cfvo type="min"/>
        <cfvo type="percentile" val="50"/>
        <cfvo type="max"/>
        <color rgb="FFF8696B"/>
        <color rgb="FFFFEB84"/>
        <color rgb="FF63BE7B"/>
      </colorScale>
    </cfRule>
  </conditionalFormatting>
  <conditionalFormatting sqref="F21:F28">
    <cfRule type="colorScale" priority="3775">
      <colorScale>
        <cfvo type="min"/>
        <cfvo type="percentile" val="50"/>
        <cfvo type="max"/>
        <color rgb="FFF8696B"/>
        <color rgb="FFFFEB84"/>
        <color rgb="FF63BE7B"/>
      </colorScale>
    </cfRule>
  </conditionalFormatting>
  <conditionalFormatting sqref="F21:F28">
    <cfRule type="colorScale" priority="3774">
      <colorScale>
        <cfvo type="min"/>
        <cfvo type="percentile" val="50"/>
        <cfvo type="max"/>
        <color rgb="FFF8696B"/>
        <color rgb="FFFFEB84"/>
        <color rgb="FF63BE7B"/>
      </colorScale>
    </cfRule>
  </conditionalFormatting>
  <conditionalFormatting sqref="F21:F28">
    <cfRule type="colorScale" priority="3773">
      <colorScale>
        <cfvo type="min"/>
        <cfvo type="percentile" val="50"/>
        <cfvo type="max"/>
        <color rgb="FFF8696B"/>
        <color rgb="FFFFEB84"/>
        <color rgb="FF63BE7B"/>
      </colorScale>
    </cfRule>
  </conditionalFormatting>
  <conditionalFormatting sqref="F21:F28">
    <cfRule type="colorScale" priority="3772">
      <colorScale>
        <cfvo type="min"/>
        <cfvo type="percentile" val="50"/>
        <cfvo type="max"/>
        <color rgb="FFF8696B"/>
        <color rgb="FFFFEB84"/>
        <color rgb="FF63BE7B"/>
      </colorScale>
    </cfRule>
  </conditionalFormatting>
  <conditionalFormatting sqref="F21:F28">
    <cfRule type="colorScale" priority="3771">
      <colorScale>
        <cfvo type="min"/>
        <cfvo type="percentile" val="50"/>
        <cfvo type="max"/>
        <color rgb="FFF8696B"/>
        <color rgb="FFFFEB84"/>
        <color rgb="FF63BE7B"/>
      </colorScale>
    </cfRule>
  </conditionalFormatting>
  <conditionalFormatting sqref="F21:F28">
    <cfRule type="colorScale" priority="3770">
      <colorScale>
        <cfvo type="min"/>
        <cfvo type="percentile" val="50"/>
        <cfvo type="max"/>
        <color rgb="FFF8696B"/>
        <color rgb="FFFFEB84"/>
        <color rgb="FF63BE7B"/>
      </colorScale>
    </cfRule>
  </conditionalFormatting>
  <conditionalFormatting sqref="F21:F28">
    <cfRule type="colorScale" priority="3769">
      <colorScale>
        <cfvo type="min"/>
        <cfvo type="percentile" val="50"/>
        <cfvo type="max"/>
        <color rgb="FFF8696B"/>
        <color rgb="FFFFEB84"/>
        <color rgb="FF63BE7B"/>
      </colorScale>
    </cfRule>
  </conditionalFormatting>
  <conditionalFormatting sqref="F21:F28">
    <cfRule type="colorScale" priority="3768">
      <colorScale>
        <cfvo type="min"/>
        <cfvo type="percentile" val="50"/>
        <cfvo type="max"/>
        <color rgb="FFF8696B"/>
        <color rgb="FFFFEB84"/>
        <color rgb="FF63BE7B"/>
      </colorScale>
    </cfRule>
  </conditionalFormatting>
  <conditionalFormatting sqref="F21:F28">
    <cfRule type="colorScale" priority="3767">
      <colorScale>
        <cfvo type="min"/>
        <cfvo type="percentile" val="50"/>
        <cfvo type="max"/>
        <color rgb="FFF8696B"/>
        <color rgb="FFFFEB84"/>
        <color rgb="FF63BE7B"/>
      </colorScale>
    </cfRule>
  </conditionalFormatting>
  <conditionalFormatting sqref="F21:F28">
    <cfRule type="colorScale" priority="3766">
      <colorScale>
        <cfvo type="min"/>
        <cfvo type="percentile" val="50"/>
        <cfvo type="max"/>
        <color rgb="FFF8696B"/>
        <color rgb="FFFFEB84"/>
        <color rgb="FF63BE7B"/>
      </colorScale>
    </cfRule>
  </conditionalFormatting>
  <conditionalFormatting sqref="F21:F28">
    <cfRule type="colorScale" priority="3765">
      <colorScale>
        <cfvo type="min"/>
        <cfvo type="percentile" val="50"/>
        <cfvo type="max"/>
        <color rgb="FFF8696B"/>
        <color rgb="FFFFEB84"/>
        <color rgb="FF63BE7B"/>
      </colorScale>
    </cfRule>
  </conditionalFormatting>
  <conditionalFormatting sqref="F21:F28">
    <cfRule type="colorScale" priority="3764">
      <colorScale>
        <cfvo type="min"/>
        <cfvo type="percentile" val="50"/>
        <cfvo type="max"/>
        <color rgb="FFF8696B"/>
        <color rgb="FFFFEB84"/>
        <color rgb="FF63BE7B"/>
      </colorScale>
    </cfRule>
  </conditionalFormatting>
  <conditionalFormatting sqref="F21:F28">
    <cfRule type="colorScale" priority="3763">
      <colorScale>
        <cfvo type="min"/>
        <cfvo type="percentile" val="50"/>
        <cfvo type="max"/>
        <color rgb="FFF8696B"/>
        <color rgb="FFFFEB84"/>
        <color rgb="FF63BE7B"/>
      </colorScale>
    </cfRule>
  </conditionalFormatting>
  <conditionalFormatting sqref="F21:F28">
    <cfRule type="colorScale" priority="3762">
      <colorScale>
        <cfvo type="min"/>
        <cfvo type="percentile" val="50"/>
        <cfvo type="max"/>
        <color rgb="FFF8696B"/>
        <color rgb="FFFFEB84"/>
        <color rgb="FF63BE7B"/>
      </colorScale>
    </cfRule>
  </conditionalFormatting>
  <conditionalFormatting sqref="F21:F28">
    <cfRule type="colorScale" priority="3761">
      <colorScale>
        <cfvo type="min"/>
        <cfvo type="percentile" val="50"/>
        <cfvo type="max"/>
        <color rgb="FFF8696B"/>
        <color rgb="FFFFEB84"/>
        <color rgb="FF63BE7B"/>
      </colorScale>
    </cfRule>
  </conditionalFormatting>
  <conditionalFormatting sqref="F21:F28">
    <cfRule type="colorScale" priority="3760">
      <colorScale>
        <cfvo type="min"/>
        <cfvo type="percentile" val="50"/>
        <cfvo type="max"/>
        <color rgb="FFF8696B"/>
        <color rgb="FFFFEB84"/>
        <color rgb="FF63BE7B"/>
      </colorScale>
    </cfRule>
  </conditionalFormatting>
  <conditionalFormatting sqref="F21:F28">
    <cfRule type="colorScale" priority="3759">
      <colorScale>
        <cfvo type="min"/>
        <cfvo type="percentile" val="50"/>
        <cfvo type="max"/>
        <color rgb="FFF8696B"/>
        <color rgb="FFFFEB84"/>
        <color rgb="FF63BE7B"/>
      </colorScale>
    </cfRule>
  </conditionalFormatting>
  <conditionalFormatting sqref="F21:F28">
    <cfRule type="colorScale" priority="3758">
      <colorScale>
        <cfvo type="min"/>
        <cfvo type="percentile" val="50"/>
        <cfvo type="max"/>
        <color rgb="FFF8696B"/>
        <color rgb="FFFFEB84"/>
        <color rgb="FF63BE7B"/>
      </colorScale>
    </cfRule>
  </conditionalFormatting>
  <conditionalFormatting sqref="F21:F28">
    <cfRule type="colorScale" priority="3757">
      <colorScale>
        <cfvo type="min"/>
        <cfvo type="percentile" val="50"/>
        <cfvo type="max"/>
        <color rgb="FFF8696B"/>
        <color rgb="FFFFEB84"/>
        <color rgb="FF63BE7B"/>
      </colorScale>
    </cfRule>
  </conditionalFormatting>
  <conditionalFormatting sqref="F21:F28">
    <cfRule type="colorScale" priority="3756">
      <colorScale>
        <cfvo type="min"/>
        <cfvo type="percentile" val="50"/>
        <cfvo type="max"/>
        <color rgb="FFF8696B"/>
        <color rgb="FFFFEB84"/>
        <color rgb="FF63BE7B"/>
      </colorScale>
    </cfRule>
  </conditionalFormatting>
  <conditionalFormatting sqref="F21:F28">
    <cfRule type="colorScale" priority="3755">
      <colorScale>
        <cfvo type="min"/>
        <cfvo type="percentile" val="50"/>
        <cfvo type="max"/>
        <color rgb="FFF8696B"/>
        <color rgb="FFFFEB84"/>
        <color rgb="FF63BE7B"/>
      </colorScale>
    </cfRule>
  </conditionalFormatting>
  <conditionalFormatting sqref="F21:F28">
    <cfRule type="colorScale" priority="3754">
      <colorScale>
        <cfvo type="min"/>
        <cfvo type="percentile" val="50"/>
        <cfvo type="max"/>
        <color rgb="FFF8696B"/>
        <color rgb="FFFFEB84"/>
        <color rgb="FF63BE7B"/>
      </colorScale>
    </cfRule>
  </conditionalFormatting>
  <conditionalFormatting sqref="F21:F28">
    <cfRule type="colorScale" priority="3753">
      <colorScale>
        <cfvo type="min"/>
        <cfvo type="percentile" val="50"/>
        <cfvo type="max"/>
        <color rgb="FFF8696B"/>
        <color rgb="FFFFEB84"/>
        <color rgb="FF63BE7B"/>
      </colorScale>
    </cfRule>
  </conditionalFormatting>
  <conditionalFormatting sqref="F21:F28">
    <cfRule type="colorScale" priority="3752">
      <colorScale>
        <cfvo type="min"/>
        <cfvo type="percentile" val="50"/>
        <cfvo type="max"/>
        <color rgb="FFF8696B"/>
        <color rgb="FFFFEB84"/>
        <color rgb="FF63BE7B"/>
      </colorScale>
    </cfRule>
  </conditionalFormatting>
  <conditionalFormatting sqref="F21:F28">
    <cfRule type="colorScale" priority="3751">
      <colorScale>
        <cfvo type="min"/>
        <cfvo type="percentile" val="50"/>
        <cfvo type="max"/>
        <color rgb="FFF8696B"/>
        <color rgb="FFFFEB84"/>
        <color rgb="FF63BE7B"/>
      </colorScale>
    </cfRule>
  </conditionalFormatting>
  <conditionalFormatting sqref="F21:F28">
    <cfRule type="colorScale" priority="3750">
      <colorScale>
        <cfvo type="min"/>
        <cfvo type="percentile" val="50"/>
        <cfvo type="max"/>
        <color rgb="FFF8696B"/>
        <color rgb="FFFFEB84"/>
        <color rgb="FF63BE7B"/>
      </colorScale>
    </cfRule>
  </conditionalFormatting>
  <conditionalFormatting sqref="F21:F28">
    <cfRule type="colorScale" priority="3749">
      <colorScale>
        <cfvo type="min"/>
        <cfvo type="percentile" val="50"/>
        <cfvo type="max"/>
        <color rgb="FFF8696B"/>
        <color rgb="FFFFEB84"/>
        <color rgb="FF63BE7B"/>
      </colorScale>
    </cfRule>
  </conditionalFormatting>
  <conditionalFormatting sqref="F21:F28">
    <cfRule type="colorScale" priority="3748">
      <colorScale>
        <cfvo type="min"/>
        <cfvo type="percentile" val="50"/>
        <cfvo type="max"/>
        <color rgb="FFF8696B"/>
        <color rgb="FFFFEB84"/>
        <color rgb="FF63BE7B"/>
      </colorScale>
    </cfRule>
  </conditionalFormatting>
  <conditionalFormatting sqref="F21:F28">
    <cfRule type="colorScale" priority="3747">
      <colorScale>
        <cfvo type="min"/>
        <cfvo type="percentile" val="50"/>
        <cfvo type="max"/>
        <color rgb="FFF8696B"/>
        <color rgb="FFFFEB84"/>
        <color rgb="FF63BE7B"/>
      </colorScale>
    </cfRule>
  </conditionalFormatting>
  <conditionalFormatting sqref="F21:F28">
    <cfRule type="colorScale" priority="3746">
      <colorScale>
        <cfvo type="min"/>
        <cfvo type="percentile" val="50"/>
        <cfvo type="max"/>
        <color rgb="FFF8696B"/>
        <color rgb="FFFFEB84"/>
        <color rgb="FF63BE7B"/>
      </colorScale>
    </cfRule>
  </conditionalFormatting>
  <conditionalFormatting sqref="F21:F28">
    <cfRule type="colorScale" priority="3745">
      <colorScale>
        <cfvo type="min"/>
        <cfvo type="percentile" val="50"/>
        <cfvo type="max"/>
        <color rgb="FFF8696B"/>
        <color rgb="FFFFEB84"/>
        <color rgb="FF63BE7B"/>
      </colorScale>
    </cfRule>
  </conditionalFormatting>
  <conditionalFormatting sqref="F21:F28">
    <cfRule type="colorScale" priority="3744">
      <colorScale>
        <cfvo type="min"/>
        <cfvo type="percentile" val="50"/>
        <cfvo type="max"/>
        <color rgb="FFF8696B"/>
        <color rgb="FFFFEB84"/>
        <color rgb="FF63BE7B"/>
      </colorScale>
    </cfRule>
  </conditionalFormatting>
  <conditionalFormatting sqref="F21:F28">
    <cfRule type="colorScale" priority="3743">
      <colorScale>
        <cfvo type="min"/>
        <cfvo type="percentile" val="50"/>
        <cfvo type="max"/>
        <color rgb="FFF8696B"/>
        <color rgb="FFFFEB84"/>
        <color rgb="FF63BE7B"/>
      </colorScale>
    </cfRule>
  </conditionalFormatting>
  <conditionalFormatting sqref="F21:F28">
    <cfRule type="colorScale" priority="3742">
      <colorScale>
        <cfvo type="min"/>
        <cfvo type="percentile" val="50"/>
        <cfvo type="max"/>
        <color rgb="FFF8696B"/>
        <color rgb="FFFFEB84"/>
        <color rgb="FF63BE7B"/>
      </colorScale>
    </cfRule>
  </conditionalFormatting>
  <conditionalFormatting sqref="F21:F28">
    <cfRule type="colorScale" priority="3741">
      <colorScale>
        <cfvo type="min"/>
        <cfvo type="percentile" val="50"/>
        <cfvo type="max"/>
        <color rgb="FFF8696B"/>
        <color rgb="FFFFEB84"/>
        <color rgb="FF63BE7B"/>
      </colorScale>
    </cfRule>
  </conditionalFormatting>
  <conditionalFormatting sqref="F21:F28">
    <cfRule type="colorScale" priority="3740">
      <colorScale>
        <cfvo type="min"/>
        <cfvo type="percentile" val="50"/>
        <cfvo type="max"/>
        <color rgb="FFF8696B"/>
        <color rgb="FFFFEB84"/>
        <color rgb="FF63BE7B"/>
      </colorScale>
    </cfRule>
  </conditionalFormatting>
  <conditionalFormatting sqref="F21:F28">
    <cfRule type="colorScale" priority="3739">
      <colorScale>
        <cfvo type="min"/>
        <cfvo type="percentile" val="50"/>
        <cfvo type="max"/>
        <color rgb="FFF8696B"/>
        <color rgb="FFFFEB84"/>
        <color rgb="FF63BE7B"/>
      </colorScale>
    </cfRule>
  </conditionalFormatting>
  <conditionalFormatting sqref="F21:F28">
    <cfRule type="colorScale" priority="3738">
      <colorScale>
        <cfvo type="min"/>
        <cfvo type="percentile" val="50"/>
        <cfvo type="max"/>
        <color rgb="FFF8696B"/>
        <color rgb="FFFFEB84"/>
        <color rgb="FF63BE7B"/>
      </colorScale>
    </cfRule>
  </conditionalFormatting>
  <conditionalFormatting sqref="F21:F28">
    <cfRule type="colorScale" priority="3737">
      <colorScale>
        <cfvo type="min"/>
        <cfvo type="percentile" val="50"/>
        <cfvo type="max"/>
        <color rgb="FFF8696B"/>
        <color rgb="FFFFEB84"/>
        <color rgb="FF63BE7B"/>
      </colorScale>
    </cfRule>
  </conditionalFormatting>
  <conditionalFormatting sqref="F21:F28">
    <cfRule type="colorScale" priority="3736">
      <colorScale>
        <cfvo type="min"/>
        <cfvo type="percentile" val="50"/>
        <cfvo type="max"/>
        <color rgb="FFF8696B"/>
        <color rgb="FFFFEB84"/>
        <color rgb="FF63BE7B"/>
      </colorScale>
    </cfRule>
  </conditionalFormatting>
  <conditionalFormatting sqref="F21:F28">
    <cfRule type="colorScale" priority="3735">
      <colorScale>
        <cfvo type="min"/>
        <cfvo type="percentile" val="50"/>
        <cfvo type="max"/>
        <color rgb="FFF8696B"/>
        <color rgb="FFFFEB84"/>
        <color rgb="FF63BE7B"/>
      </colorScale>
    </cfRule>
  </conditionalFormatting>
  <conditionalFormatting sqref="F21:F28">
    <cfRule type="colorScale" priority="3734">
      <colorScale>
        <cfvo type="min"/>
        <cfvo type="percentile" val="50"/>
        <cfvo type="max"/>
        <color rgb="FFF8696B"/>
        <color rgb="FFFFEB84"/>
        <color rgb="FF63BE7B"/>
      </colorScale>
    </cfRule>
  </conditionalFormatting>
  <conditionalFormatting sqref="F21:F28">
    <cfRule type="colorScale" priority="3733">
      <colorScale>
        <cfvo type="min"/>
        <cfvo type="percentile" val="50"/>
        <cfvo type="max"/>
        <color rgb="FFF8696B"/>
        <color rgb="FFFFEB84"/>
        <color rgb="FF63BE7B"/>
      </colorScale>
    </cfRule>
  </conditionalFormatting>
  <conditionalFormatting sqref="F21:F28">
    <cfRule type="colorScale" priority="3732">
      <colorScale>
        <cfvo type="min"/>
        <cfvo type="percentile" val="50"/>
        <cfvo type="max"/>
        <color rgb="FFF8696B"/>
        <color rgb="FFFFEB84"/>
        <color rgb="FF63BE7B"/>
      </colorScale>
    </cfRule>
  </conditionalFormatting>
  <conditionalFormatting sqref="F21:F28">
    <cfRule type="colorScale" priority="3731">
      <colorScale>
        <cfvo type="min"/>
        <cfvo type="percentile" val="50"/>
        <cfvo type="max"/>
        <color rgb="FFF8696B"/>
        <color rgb="FFFFEB84"/>
        <color rgb="FF63BE7B"/>
      </colorScale>
    </cfRule>
  </conditionalFormatting>
  <conditionalFormatting sqref="F21:F28">
    <cfRule type="colorScale" priority="3730">
      <colorScale>
        <cfvo type="min"/>
        <cfvo type="percentile" val="50"/>
        <cfvo type="max"/>
        <color rgb="FFF8696B"/>
        <color rgb="FFFFEB84"/>
        <color rgb="FF63BE7B"/>
      </colorScale>
    </cfRule>
  </conditionalFormatting>
  <conditionalFormatting sqref="F21:F28">
    <cfRule type="colorScale" priority="3729">
      <colorScale>
        <cfvo type="min"/>
        <cfvo type="percentile" val="50"/>
        <cfvo type="max"/>
        <color rgb="FFF8696B"/>
        <color rgb="FFFFEB84"/>
        <color rgb="FF63BE7B"/>
      </colorScale>
    </cfRule>
  </conditionalFormatting>
  <conditionalFormatting sqref="F21:F28">
    <cfRule type="colorScale" priority="3728">
      <colorScale>
        <cfvo type="min"/>
        <cfvo type="percentile" val="50"/>
        <cfvo type="max"/>
        <color rgb="FFF8696B"/>
        <color rgb="FFFFEB84"/>
        <color rgb="FF63BE7B"/>
      </colorScale>
    </cfRule>
  </conditionalFormatting>
  <conditionalFormatting sqref="F21:F28">
    <cfRule type="colorScale" priority="3727">
      <colorScale>
        <cfvo type="min"/>
        <cfvo type="percentile" val="50"/>
        <cfvo type="max"/>
        <color rgb="FFF8696B"/>
        <color rgb="FFFFEB84"/>
        <color rgb="FF63BE7B"/>
      </colorScale>
    </cfRule>
  </conditionalFormatting>
  <conditionalFormatting sqref="F21:F28">
    <cfRule type="colorScale" priority="3726">
      <colorScale>
        <cfvo type="min"/>
        <cfvo type="percentile" val="50"/>
        <cfvo type="max"/>
        <color rgb="FFF8696B"/>
        <color rgb="FFFFEB84"/>
        <color rgb="FF63BE7B"/>
      </colorScale>
    </cfRule>
  </conditionalFormatting>
  <conditionalFormatting sqref="F21:F28">
    <cfRule type="colorScale" priority="3725">
      <colorScale>
        <cfvo type="min"/>
        <cfvo type="percentile" val="50"/>
        <cfvo type="max"/>
        <color rgb="FFF8696B"/>
        <color rgb="FFFFEB84"/>
        <color rgb="FF63BE7B"/>
      </colorScale>
    </cfRule>
  </conditionalFormatting>
  <conditionalFormatting sqref="F21:F28">
    <cfRule type="colorScale" priority="3724">
      <colorScale>
        <cfvo type="min"/>
        <cfvo type="percentile" val="50"/>
        <cfvo type="max"/>
        <color rgb="FFF8696B"/>
        <color rgb="FFFFEB84"/>
        <color rgb="FF63BE7B"/>
      </colorScale>
    </cfRule>
  </conditionalFormatting>
  <conditionalFormatting sqref="F21:F28">
    <cfRule type="colorScale" priority="3723">
      <colorScale>
        <cfvo type="min"/>
        <cfvo type="percentile" val="50"/>
        <cfvo type="max"/>
        <color rgb="FFF8696B"/>
        <color rgb="FFFFEB84"/>
        <color rgb="FF63BE7B"/>
      </colorScale>
    </cfRule>
  </conditionalFormatting>
  <conditionalFormatting sqref="F21:F28">
    <cfRule type="colorScale" priority="3722">
      <colorScale>
        <cfvo type="min"/>
        <cfvo type="percentile" val="50"/>
        <cfvo type="max"/>
        <color rgb="FFF8696B"/>
        <color rgb="FFFFEB84"/>
        <color rgb="FF63BE7B"/>
      </colorScale>
    </cfRule>
  </conditionalFormatting>
  <conditionalFormatting sqref="F21:F28">
    <cfRule type="colorScale" priority="3721">
      <colorScale>
        <cfvo type="min"/>
        <cfvo type="percentile" val="50"/>
        <cfvo type="max"/>
        <color rgb="FFF8696B"/>
        <color rgb="FFFFEB84"/>
        <color rgb="FF63BE7B"/>
      </colorScale>
    </cfRule>
  </conditionalFormatting>
  <conditionalFormatting sqref="F21:F28">
    <cfRule type="colorScale" priority="3720">
      <colorScale>
        <cfvo type="min"/>
        <cfvo type="percentile" val="50"/>
        <cfvo type="max"/>
        <color rgb="FFF8696B"/>
        <color rgb="FFFFEB84"/>
        <color rgb="FF63BE7B"/>
      </colorScale>
    </cfRule>
  </conditionalFormatting>
  <conditionalFormatting sqref="F21:F28">
    <cfRule type="colorScale" priority="3719">
      <colorScale>
        <cfvo type="min"/>
        <cfvo type="percentile" val="50"/>
        <cfvo type="max"/>
        <color rgb="FFF8696B"/>
        <color rgb="FFFFEB84"/>
        <color rgb="FF63BE7B"/>
      </colorScale>
    </cfRule>
  </conditionalFormatting>
  <conditionalFormatting sqref="F21:F28">
    <cfRule type="colorScale" priority="3718">
      <colorScale>
        <cfvo type="min"/>
        <cfvo type="percentile" val="50"/>
        <cfvo type="max"/>
        <color rgb="FFF8696B"/>
        <color rgb="FFFFEB84"/>
        <color rgb="FF63BE7B"/>
      </colorScale>
    </cfRule>
  </conditionalFormatting>
  <conditionalFormatting sqref="F21:F28">
    <cfRule type="colorScale" priority="3717">
      <colorScale>
        <cfvo type="min"/>
        <cfvo type="percentile" val="50"/>
        <cfvo type="max"/>
        <color rgb="FFF8696B"/>
        <color rgb="FFFFEB84"/>
        <color rgb="FF63BE7B"/>
      </colorScale>
    </cfRule>
  </conditionalFormatting>
  <conditionalFormatting sqref="F21:F28">
    <cfRule type="colorScale" priority="3716">
      <colorScale>
        <cfvo type="min"/>
        <cfvo type="percentile" val="50"/>
        <cfvo type="max"/>
        <color rgb="FFF8696B"/>
        <color rgb="FFFFEB84"/>
        <color rgb="FF63BE7B"/>
      </colorScale>
    </cfRule>
  </conditionalFormatting>
  <conditionalFormatting sqref="F21:F28">
    <cfRule type="colorScale" priority="3715">
      <colorScale>
        <cfvo type="min"/>
        <cfvo type="percentile" val="50"/>
        <cfvo type="max"/>
        <color rgb="FFF8696B"/>
        <color rgb="FFFFEB84"/>
        <color rgb="FF63BE7B"/>
      </colorScale>
    </cfRule>
  </conditionalFormatting>
  <conditionalFormatting sqref="F21:F28">
    <cfRule type="colorScale" priority="3714">
      <colorScale>
        <cfvo type="min"/>
        <cfvo type="percentile" val="50"/>
        <cfvo type="max"/>
        <color rgb="FFF8696B"/>
        <color rgb="FFFFEB84"/>
        <color rgb="FF63BE7B"/>
      </colorScale>
    </cfRule>
  </conditionalFormatting>
  <conditionalFormatting sqref="F21:F28">
    <cfRule type="colorScale" priority="3713">
      <colorScale>
        <cfvo type="min"/>
        <cfvo type="percentile" val="50"/>
        <cfvo type="max"/>
        <color rgb="FFF8696B"/>
        <color rgb="FFFFEB84"/>
        <color rgb="FF63BE7B"/>
      </colorScale>
    </cfRule>
  </conditionalFormatting>
  <conditionalFormatting sqref="F21:F28">
    <cfRule type="colorScale" priority="3712">
      <colorScale>
        <cfvo type="min"/>
        <cfvo type="percentile" val="50"/>
        <cfvo type="max"/>
        <color rgb="FFF8696B"/>
        <color rgb="FFFFEB84"/>
        <color rgb="FF63BE7B"/>
      </colorScale>
    </cfRule>
  </conditionalFormatting>
  <conditionalFormatting sqref="F21:F28">
    <cfRule type="colorScale" priority="3711">
      <colorScale>
        <cfvo type="min"/>
        <cfvo type="percentile" val="50"/>
        <cfvo type="max"/>
        <color rgb="FFF8696B"/>
        <color rgb="FFFFEB84"/>
        <color rgb="FF63BE7B"/>
      </colorScale>
    </cfRule>
  </conditionalFormatting>
  <conditionalFormatting sqref="F21:F28">
    <cfRule type="colorScale" priority="3710">
      <colorScale>
        <cfvo type="min"/>
        <cfvo type="percentile" val="50"/>
        <cfvo type="max"/>
        <color rgb="FFF8696B"/>
        <color rgb="FFFFEB84"/>
        <color rgb="FF63BE7B"/>
      </colorScale>
    </cfRule>
  </conditionalFormatting>
  <conditionalFormatting sqref="F21:F28">
    <cfRule type="colorScale" priority="3709">
      <colorScale>
        <cfvo type="min"/>
        <cfvo type="percentile" val="50"/>
        <cfvo type="max"/>
        <color rgb="FFF8696B"/>
        <color rgb="FFFFEB84"/>
        <color rgb="FF63BE7B"/>
      </colorScale>
    </cfRule>
  </conditionalFormatting>
  <conditionalFormatting sqref="F21:F28">
    <cfRule type="colorScale" priority="3708">
      <colorScale>
        <cfvo type="min"/>
        <cfvo type="percentile" val="50"/>
        <cfvo type="max"/>
        <color rgb="FFF8696B"/>
        <color rgb="FFFFEB84"/>
        <color rgb="FF63BE7B"/>
      </colorScale>
    </cfRule>
  </conditionalFormatting>
  <conditionalFormatting sqref="F21:F28">
    <cfRule type="colorScale" priority="3707">
      <colorScale>
        <cfvo type="min"/>
        <cfvo type="percentile" val="50"/>
        <cfvo type="max"/>
        <color rgb="FFF8696B"/>
        <color rgb="FFFFEB84"/>
        <color rgb="FF63BE7B"/>
      </colorScale>
    </cfRule>
  </conditionalFormatting>
  <conditionalFormatting sqref="F21:F28">
    <cfRule type="colorScale" priority="3706">
      <colorScale>
        <cfvo type="min"/>
        <cfvo type="percentile" val="50"/>
        <cfvo type="max"/>
        <color rgb="FFF8696B"/>
        <color rgb="FFFFEB84"/>
        <color rgb="FF63BE7B"/>
      </colorScale>
    </cfRule>
  </conditionalFormatting>
  <conditionalFormatting sqref="F21:F28">
    <cfRule type="colorScale" priority="3705">
      <colorScale>
        <cfvo type="min"/>
        <cfvo type="percentile" val="50"/>
        <cfvo type="max"/>
        <color rgb="FFF8696B"/>
        <color rgb="FFFFEB84"/>
        <color rgb="FF63BE7B"/>
      </colorScale>
    </cfRule>
  </conditionalFormatting>
  <conditionalFormatting sqref="F21:F28">
    <cfRule type="colorScale" priority="3704">
      <colorScale>
        <cfvo type="min"/>
        <cfvo type="percentile" val="50"/>
        <cfvo type="max"/>
        <color rgb="FFF8696B"/>
        <color rgb="FFFFEB84"/>
        <color rgb="FF63BE7B"/>
      </colorScale>
    </cfRule>
  </conditionalFormatting>
  <conditionalFormatting sqref="F21:F28">
    <cfRule type="colorScale" priority="3703">
      <colorScale>
        <cfvo type="min"/>
        <cfvo type="percentile" val="50"/>
        <cfvo type="max"/>
        <color rgb="FFF8696B"/>
        <color rgb="FFFFEB84"/>
        <color rgb="FF63BE7B"/>
      </colorScale>
    </cfRule>
  </conditionalFormatting>
  <conditionalFormatting sqref="F21:F28">
    <cfRule type="colorScale" priority="3702">
      <colorScale>
        <cfvo type="min"/>
        <cfvo type="percentile" val="50"/>
        <cfvo type="max"/>
        <color rgb="FFF8696B"/>
        <color rgb="FFFFEB84"/>
        <color rgb="FF63BE7B"/>
      </colorScale>
    </cfRule>
  </conditionalFormatting>
  <conditionalFormatting sqref="F21:F28">
    <cfRule type="colorScale" priority="3701">
      <colorScale>
        <cfvo type="min"/>
        <cfvo type="percentile" val="50"/>
        <cfvo type="max"/>
        <color rgb="FFF8696B"/>
        <color rgb="FFFFEB84"/>
        <color rgb="FF63BE7B"/>
      </colorScale>
    </cfRule>
  </conditionalFormatting>
  <conditionalFormatting sqref="F21:F28">
    <cfRule type="colorScale" priority="3700">
      <colorScale>
        <cfvo type="min"/>
        <cfvo type="percentile" val="50"/>
        <cfvo type="max"/>
        <color rgb="FFF8696B"/>
        <color rgb="FFFFEB84"/>
        <color rgb="FF63BE7B"/>
      </colorScale>
    </cfRule>
  </conditionalFormatting>
  <conditionalFormatting sqref="F21:F28">
    <cfRule type="colorScale" priority="3699">
      <colorScale>
        <cfvo type="min"/>
        <cfvo type="percentile" val="50"/>
        <cfvo type="max"/>
        <color rgb="FFF8696B"/>
        <color rgb="FFFFEB84"/>
        <color rgb="FF63BE7B"/>
      </colorScale>
    </cfRule>
  </conditionalFormatting>
  <conditionalFormatting sqref="F21:F28">
    <cfRule type="colorScale" priority="3698">
      <colorScale>
        <cfvo type="min"/>
        <cfvo type="percentile" val="50"/>
        <cfvo type="max"/>
        <color rgb="FFF8696B"/>
        <color rgb="FFFFEB84"/>
        <color rgb="FF63BE7B"/>
      </colorScale>
    </cfRule>
  </conditionalFormatting>
  <conditionalFormatting sqref="F21:F28">
    <cfRule type="colorScale" priority="3697">
      <colorScale>
        <cfvo type="min"/>
        <cfvo type="percentile" val="50"/>
        <cfvo type="max"/>
        <color rgb="FFF8696B"/>
        <color rgb="FFFFEB84"/>
        <color rgb="FF63BE7B"/>
      </colorScale>
    </cfRule>
  </conditionalFormatting>
  <conditionalFormatting sqref="F21:F28">
    <cfRule type="colorScale" priority="3696">
      <colorScale>
        <cfvo type="min"/>
        <cfvo type="percentile" val="50"/>
        <cfvo type="max"/>
        <color rgb="FFF8696B"/>
        <color rgb="FFFFEB84"/>
        <color rgb="FF63BE7B"/>
      </colorScale>
    </cfRule>
  </conditionalFormatting>
  <conditionalFormatting sqref="F21:F28">
    <cfRule type="colorScale" priority="3695">
      <colorScale>
        <cfvo type="min"/>
        <cfvo type="percentile" val="50"/>
        <cfvo type="max"/>
        <color rgb="FFF8696B"/>
        <color rgb="FFFFEB84"/>
        <color rgb="FF63BE7B"/>
      </colorScale>
    </cfRule>
  </conditionalFormatting>
  <conditionalFormatting sqref="F21:F28">
    <cfRule type="colorScale" priority="3694">
      <colorScale>
        <cfvo type="min"/>
        <cfvo type="percentile" val="50"/>
        <cfvo type="max"/>
        <color rgb="FFF8696B"/>
        <color rgb="FFFFEB84"/>
        <color rgb="FF63BE7B"/>
      </colorScale>
    </cfRule>
  </conditionalFormatting>
  <conditionalFormatting sqref="F21:F28">
    <cfRule type="colorScale" priority="3693">
      <colorScale>
        <cfvo type="min"/>
        <cfvo type="percentile" val="50"/>
        <cfvo type="max"/>
        <color rgb="FFF8696B"/>
        <color rgb="FFFFEB84"/>
        <color rgb="FF63BE7B"/>
      </colorScale>
    </cfRule>
  </conditionalFormatting>
  <conditionalFormatting sqref="F21:F28">
    <cfRule type="colorScale" priority="3692">
      <colorScale>
        <cfvo type="min"/>
        <cfvo type="percentile" val="50"/>
        <cfvo type="max"/>
        <color rgb="FFF8696B"/>
        <color rgb="FFFFEB84"/>
        <color rgb="FF63BE7B"/>
      </colorScale>
    </cfRule>
  </conditionalFormatting>
  <conditionalFormatting sqref="F21:F28">
    <cfRule type="colorScale" priority="3691">
      <colorScale>
        <cfvo type="min"/>
        <cfvo type="percentile" val="50"/>
        <cfvo type="max"/>
        <color rgb="FFF8696B"/>
        <color rgb="FFFFEB84"/>
        <color rgb="FF63BE7B"/>
      </colorScale>
    </cfRule>
  </conditionalFormatting>
  <conditionalFormatting sqref="F21:F28">
    <cfRule type="colorScale" priority="3690">
      <colorScale>
        <cfvo type="min"/>
        <cfvo type="percentile" val="50"/>
        <cfvo type="max"/>
        <color rgb="FFF8696B"/>
        <color rgb="FFFFEB84"/>
        <color rgb="FF63BE7B"/>
      </colorScale>
    </cfRule>
  </conditionalFormatting>
  <conditionalFormatting sqref="F21:F28">
    <cfRule type="colorScale" priority="3689">
      <colorScale>
        <cfvo type="min"/>
        <cfvo type="percentile" val="50"/>
        <cfvo type="max"/>
        <color rgb="FFF8696B"/>
        <color rgb="FFFFEB84"/>
        <color rgb="FF63BE7B"/>
      </colorScale>
    </cfRule>
  </conditionalFormatting>
  <conditionalFormatting sqref="F21:F28">
    <cfRule type="colorScale" priority="3688">
      <colorScale>
        <cfvo type="min"/>
        <cfvo type="percentile" val="50"/>
        <cfvo type="max"/>
        <color rgb="FFF8696B"/>
        <color rgb="FFFFEB84"/>
        <color rgb="FF63BE7B"/>
      </colorScale>
    </cfRule>
  </conditionalFormatting>
  <conditionalFormatting sqref="F21:F28">
    <cfRule type="colorScale" priority="3687">
      <colorScale>
        <cfvo type="min"/>
        <cfvo type="percentile" val="50"/>
        <cfvo type="max"/>
        <color rgb="FFF8696B"/>
        <color rgb="FFFFEB84"/>
        <color rgb="FF63BE7B"/>
      </colorScale>
    </cfRule>
  </conditionalFormatting>
  <conditionalFormatting sqref="F21:F28">
    <cfRule type="colorScale" priority="3686">
      <colorScale>
        <cfvo type="min"/>
        <cfvo type="percentile" val="50"/>
        <cfvo type="max"/>
        <color rgb="FFF8696B"/>
        <color rgb="FFFFEB84"/>
        <color rgb="FF63BE7B"/>
      </colorScale>
    </cfRule>
  </conditionalFormatting>
  <conditionalFormatting sqref="F21:F28">
    <cfRule type="colorScale" priority="3685">
      <colorScale>
        <cfvo type="min"/>
        <cfvo type="percentile" val="50"/>
        <cfvo type="max"/>
        <color rgb="FFF8696B"/>
        <color rgb="FFFFEB84"/>
        <color rgb="FF63BE7B"/>
      </colorScale>
    </cfRule>
  </conditionalFormatting>
  <conditionalFormatting sqref="F21:F28">
    <cfRule type="colorScale" priority="3684">
      <colorScale>
        <cfvo type="min"/>
        <cfvo type="percentile" val="50"/>
        <cfvo type="max"/>
        <color rgb="FFF8696B"/>
        <color rgb="FFFFEB84"/>
        <color rgb="FF63BE7B"/>
      </colorScale>
    </cfRule>
  </conditionalFormatting>
  <conditionalFormatting sqref="F21:F28">
    <cfRule type="colorScale" priority="3683">
      <colorScale>
        <cfvo type="min"/>
        <cfvo type="percentile" val="50"/>
        <cfvo type="max"/>
        <color rgb="FFF8696B"/>
        <color rgb="FFFFEB84"/>
        <color rgb="FF63BE7B"/>
      </colorScale>
    </cfRule>
  </conditionalFormatting>
  <conditionalFormatting sqref="F21:F28">
    <cfRule type="colorScale" priority="3682">
      <colorScale>
        <cfvo type="min"/>
        <cfvo type="percentile" val="50"/>
        <cfvo type="max"/>
        <color rgb="FFF8696B"/>
        <color rgb="FFFFEB84"/>
        <color rgb="FF63BE7B"/>
      </colorScale>
    </cfRule>
  </conditionalFormatting>
  <conditionalFormatting sqref="F21:F28">
    <cfRule type="colorScale" priority="3681">
      <colorScale>
        <cfvo type="min"/>
        <cfvo type="percentile" val="50"/>
        <cfvo type="max"/>
        <color rgb="FFF8696B"/>
        <color rgb="FFFFEB84"/>
        <color rgb="FF63BE7B"/>
      </colorScale>
    </cfRule>
  </conditionalFormatting>
  <conditionalFormatting sqref="F21:F28">
    <cfRule type="colorScale" priority="3680">
      <colorScale>
        <cfvo type="min"/>
        <cfvo type="percentile" val="50"/>
        <cfvo type="max"/>
        <color rgb="FFF8696B"/>
        <color rgb="FFFFEB84"/>
        <color rgb="FF63BE7B"/>
      </colorScale>
    </cfRule>
  </conditionalFormatting>
  <conditionalFormatting sqref="F21:F28">
    <cfRule type="colorScale" priority="3679">
      <colorScale>
        <cfvo type="min"/>
        <cfvo type="percentile" val="50"/>
        <cfvo type="max"/>
        <color rgb="FFF8696B"/>
        <color rgb="FFFFEB84"/>
        <color rgb="FF63BE7B"/>
      </colorScale>
    </cfRule>
  </conditionalFormatting>
  <conditionalFormatting sqref="F21:F28">
    <cfRule type="colorScale" priority="3678">
      <colorScale>
        <cfvo type="min"/>
        <cfvo type="percentile" val="50"/>
        <cfvo type="max"/>
        <color rgb="FFF8696B"/>
        <color rgb="FFFFEB84"/>
        <color rgb="FF63BE7B"/>
      </colorScale>
    </cfRule>
  </conditionalFormatting>
  <conditionalFormatting sqref="F21:F28">
    <cfRule type="colorScale" priority="3677">
      <colorScale>
        <cfvo type="min"/>
        <cfvo type="percentile" val="50"/>
        <cfvo type="max"/>
        <color rgb="FFF8696B"/>
        <color rgb="FFFFEB84"/>
        <color rgb="FF63BE7B"/>
      </colorScale>
    </cfRule>
  </conditionalFormatting>
  <conditionalFormatting sqref="F21:F28">
    <cfRule type="colorScale" priority="3676">
      <colorScale>
        <cfvo type="min"/>
        <cfvo type="percentile" val="50"/>
        <cfvo type="max"/>
        <color rgb="FFF8696B"/>
        <color rgb="FFFFEB84"/>
        <color rgb="FF63BE7B"/>
      </colorScale>
    </cfRule>
  </conditionalFormatting>
  <conditionalFormatting sqref="F21:F28">
    <cfRule type="colorScale" priority="3675">
      <colorScale>
        <cfvo type="min"/>
        <cfvo type="percentile" val="50"/>
        <cfvo type="max"/>
        <color rgb="FFF8696B"/>
        <color rgb="FFFFEB84"/>
        <color rgb="FF63BE7B"/>
      </colorScale>
    </cfRule>
  </conditionalFormatting>
  <conditionalFormatting sqref="F21:F28">
    <cfRule type="colorScale" priority="3674">
      <colorScale>
        <cfvo type="min"/>
        <cfvo type="percentile" val="50"/>
        <cfvo type="max"/>
        <color rgb="FFF8696B"/>
        <color rgb="FFFFEB84"/>
        <color rgb="FF63BE7B"/>
      </colorScale>
    </cfRule>
  </conditionalFormatting>
  <conditionalFormatting sqref="F21:F28">
    <cfRule type="colorScale" priority="3673">
      <colorScale>
        <cfvo type="min"/>
        <cfvo type="percentile" val="50"/>
        <cfvo type="max"/>
        <color rgb="FFF8696B"/>
        <color rgb="FFFFEB84"/>
        <color rgb="FF63BE7B"/>
      </colorScale>
    </cfRule>
  </conditionalFormatting>
  <conditionalFormatting sqref="F21:F28">
    <cfRule type="colorScale" priority="3672">
      <colorScale>
        <cfvo type="min"/>
        <cfvo type="percentile" val="50"/>
        <cfvo type="max"/>
        <color rgb="FFF8696B"/>
        <color rgb="FFFFEB84"/>
        <color rgb="FF63BE7B"/>
      </colorScale>
    </cfRule>
  </conditionalFormatting>
  <conditionalFormatting sqref="F21:F28">
    <cfRule type="colorScale" priority="3671">
      <colorScale>
        <cfvo type="min"/>
        <cfvo type="percentile" val="50"/>
        <cfvo type="max"/>
        <color rgb="FFF8696B"/>
        <color rgb="FFFFEB84"/>
        <color rgb="FF63BE7B"/>
      </colorScale>
    </cfRule>
  </conditionalFormatting>
  <conditionalFormatting sqref="F21:F28">
    <cfRule type="colorScale" priority="3670">
      <colorScale>
        <cfvo type="min"/>
        <cfvo type="percentile" val="50"/>
        <cfvo type="max"/>
        <color rgb="FFF8696B"/>
        <color rgb="FFFFEB84"/>
        <color rgb="FF63BE7B"/>
      </colorScale>
    </cfRule>
  </conditionalFormatting>
  <conditionalFormatting sqref="F21:F28">
    <cfRule type="colorScale" priority="3669">
      <colorScale>
        <cfvo type="min"/>
        <cfvo type="percentile" val="50"/>
        <cfvo type="max"/>
        <color rgb="FFF8696B"/>
        <color rgb="FFFFEB84"/>
        <color rgb="FF63BE7B"/>
      </colorScale>
    </cfRule>
  </conditionalFormatting>
  <conditionalFormatting sqref="F21:F28">
    <cfRule type="colorScale" priority="3668">
      <colorScale>
        <cfvo type="min"/>
        <cfvo type="percentile" val="50"/>
        <cfvo type="max"/>
        <color rgb="FFF8696B"/>
        <color rgb="FFFFEB84"/>
        <color rgb="FF63BE7B"/>
      </colorScale>
    </cfRule>
  </conditionalFormatting>
  <conditionalFormatting sqref="F21:F28">
    <cfRule type="colorScale" priority="3667">
      <colorScale>
        <cfvo type="min"/>
        <cfvo type="percentile" val="50"/>
        <cfvo type="max"/>
        <color rgb="FFF8696B"/>
        <color rgb="FFFFEB84"/>
        <color rgb="FF63BE7B"/>
      </colorScale>
    </cfRule>
  </conditionalFormatting>
  <conditionalFormatting sqref="F21:F28">
    <cfRule type="colorScale" priority="3666">
      <colorScale>
        <cfvo type="min"/>
        <cfvo type="percentile" val="50"/>
        <cfvo type="max"/>
        <color rgb="FFF8696B"/>
        <color rgb="FFFFEB84"/>
        <color rgb="FF63BE7B"/>
      </colorScale>
    </cfRule>
  </conditionalFormatting>
  <conditionalFormatting sqref="F21:F28">
    <cfRule type="colorScale" priority="3665">
      <colorScale>
        <cfvo type="min"/>
        <cfvo type="percentile" val="50"/>
        <cfvo type="max"/>
        <color rgb="FFF8696B"/>
        <color rgb="FFFFEB84"/>
        <color rgb="FF63BE7B"/>
      </colorScale>
    </cfRule>
  </conditionalFormatting>
  <conditionalFormatting sqref="F21:F28">
    <cfRule type="colorScale" priority="3664">
      <colorScale>
        <cfvo type="min"/>
        <cfvo type="percentile" val="50"/>
        <cfvo type="max"/>
        <color rgb="FFF8696B"/>
        <color rgb="FFFFEB84"/>
        <color rgb="FF63BE7B"/>
      </colorScale>
    </cfRule>
  </conditionalFormatting>
  <conditionalFormatting sqref="F21:F28">
    <cfRule type="colorScale" priority="3663">
      <colorScale>
        <cfvo type="min"/>
        <cfvo type="percentile" val="50"/>
        <cfvo type="max"/>
        <color rgb="FFF8696B"/>
        <color rgb="FFFFEB84"/>
        <color rgb="FF63BE7B"/>
      </colorScale>
    </cfRule>
  </conditionalFormatting>
  <conditionalFormatting sqref="F21:F28">
    <cfRule type="colorScale" priority="3662">
      <colorScale>
        <cfvo type="min"/>
        <cfvo type="percentile" val="50"/>
        <cfvo type="max"/>
        <color rgb="FFF8696B"/>
        <color rgb="FFFFEB84"/>
        <color rgb="FF63BE7B"/>
      </colorScale>
    </cfRule>
  </conditionalFormatting>
  <conditionalFormatting sqref="F21:F28">
    <cfRule type="colorScale" priority="3661">
      <colorScale>
        <cfvo type="min"/>
        <cfvo type="percentile" val="50"/>
        <cfvo type="max"/>
        <color rgb="FFF8696B"/>
        <color rgb="FFFFEB84"/>
        <color rgb="FF63BE7B"/>
      </colorScale>
    </cfRule>
  </conditionalFormatting>
  <conditionalFormatting sqref="F21:F28">
    <cfRule type="colorScale" priority="3660">
      <colorScale>
        <cfvo type="min"/>
        <cfvo type="percentile" val="50"/>
        <cfvo type="max"/>
        <color rgb="FFF8696B"/>
        <color rgb="FFFFEB84"/>
        <color rgb="FF63BE7B"/>
      </colorScale>
    </cfRule>
  </conditionalFormatting>
  <conditionalFormatting sqref="F21:F28">
    <cfRule type="colorScale" priority="3659">
      <colorScale>
        <cfvo type="min"/>
        <cfvo type="percentile" val="50"/>
        <cfvo type="max"/>
        <color rgb="FFF8696B"/>
        <color rgb="FFFFEB84"/>
        <color rgb="FF63BE7B"/>
      </colorScale>
    </cfRule>
  </conditionalFormatting>
  <conditionalFormatting sqref="F29:F32">
    <cfRule type="colorScale" priority="3658">
      <colorScale>
        <cfvo type="min"/>
        <cfvo type="percentile" val="50"/>
        <cfvo type="max"/>
        <color rgb="FFF8696B"/>
        <color rgb="FFFFEB84"/>
        <color rgb="FF63BE7B"/>
      </colorScale>
    </cfRule>
  </conditionalFormatting>
  <conditionalFormatting sqref="F29:F32">
    <cfRule type="colorScale" priority="3657">
      <colorScale>
        <cfvo type="min"/>
        <cfvo type="percentile" val="50"/>
        <cfvo type="max"/>
        <color rgb="FFF8696B"/>
        <color rgb="FFFFEB84"/>
        <color rgb="FF63BE7B"/>
      </colorScale>
    </cfRule>
  </conditionalFormatting>
  <conditionalFormatting sqref="F29:F32">
    <cfRule type="colorScale" priority="3656">
      <colorScale>
        <cfvo type="min"/>
        <cfvo type="percentile" val="50"/>
        <cfvo type="max"/>
        <color rgb="FFF8696B"/>
        <color rgb="FFFFEB84"/>
        <color rgb="FF63BE7B"/>
      </colorScale>
    </cfRule>
  </conditionalFormatting>
  <conditionalFormatting sqref="F29:F32">
    <cfRule type="colorScale" priority="3655">
      <colorScale>
        <cfvo type="min"/>
        <cfvo type="percentile" val="50"/>
        <cfvo type="max"/>
        <color rgb="FFF8696B"/>
        <color rgb="FFFFEB84"/>
        <color rgb="FF63BE7B"/>
      </colorScale>
    </cfRule>
  </conditionalFormatting>
  <conditionalFormatting sqref="F29:F32">
    <cfRule type="colorScale" priority="3654">
      <colorScale>
        <cfvo type="min"/>
        <cfvo type="percentile" val="50"/>
        <cfvo type="max"/>
        <color rgb="FFF8696B"/>
        <color rgb="FFFFEB84"/>
        <color rgb="FF63BE7B"/>
      </colorScale>
    </cfRule>
  </conditionalFormatting>
  <conditionalFormatting sqref="F29:F32">
    <cfRule type="colorScale" priority="3653">
      <colorScale>
        <cfvo type="min"/>
        <cfvo type="percentile" val="50"/>
        <cfvo type="max"/>
        <color rgb="FFF8696B"/>
        <color rgb="FFFFEB84"/>
        <color rgb="FF63BE7B"/>
      </colorScale>
    </cfRule>
  </conditionalFormatting>
  <conditionalFormatting sqref="F29:F32">
    <cfRule type="colorScale" priority="3652">
      <colorScale>
        <cfvo type="min"/>
        <cfvo type="percentile" val="50"/>
        <cfvo type="max"/>
        <color rgb="FFF8696B"/>
        <color rgb="FFFFEB84"/>
        <color rgb="FF63BE7B"/>
      </colorScale>
    </cfRule>
  </conditionalFormatting>
  <conditionalFormatting sqref="F29:F32">
    <cfRule type="colorScale" priority="3651">
      <colorScale>
        <cfvo type="min"/>
        <cfvo type="percentile" val="50"/>
        <cfvo type="max"/>
        <color rgb="FFF8696B"/>
        <color rgb="FFFFEB84"/>
        <color rgb="FF63BE7B"/>
      </colorScale>
    </cfRule>
  </conditionalFormatting>
  <conditionalFormatting sqref="F29:F32">
    <cfRule type="colorScale" priority="3650">
      <colorScale>
        <cfvo type="min"/>
        <cfvo type="percentile" val="50"/>
        <cfvo type="max"/>
        <color rgb="FFF8696B"/>
        <color rgb="FFFFEB84"/>
        <color rgb="FF63BE7B"/>
      </colorScale>
    </cfRule>
  </conditionalFormatting>
  <conditionalFormatting sqref="F29:F32">
    <cfRule type="colorScale" priority="3649">
      <colorScale>
        <cfvo type="min"/>
        <cfvo type="percentile" val="50"/>
        <cfvo type="max"/>
        <color rgb="FFF8696B"/>
        <color rgb="FFFFEB84"/>
        <color rgb="FF63BE7B"/>
      </colorScale>
    </cfRule>
  </conditionalFormatting>
  <conditionalFormatting sqref="F29:F32">
    <cfRule type="colorScale" priority="3648">
      <colorScale>
        <cfvo type="min"/>
        <cfvo type="percentile" val="50"/>
        <cfvo type="max"/>
        <color rgb="FFF8696B"/>
        <color rgb="FFFFEB84"/>
        <color rgb="FF63BE7B"/>
      </colorScale>
    </cfRule>
  </conditionalFormatting>
  <conditionalFormatting sqref="F29:F32">
    <cfRule type="colorScale" priority="3647">
      <colorScale>
        <cfvo type="min"/>
        <cfvo type="percentile" val="50"/>
        <cfvo type="max"/>
        <color rgb="FFF8696B"/>
        <color rgb="FFFFEB84"/>
        <color rgb="FF63BE7B"/>
      </colorScale>
    </cfRule>
  </conditionalFormatting>
  <conditionalFormatting sqref="F29:F32">
    <cfRule type="colorScale" priority="3646">
      <colorScale>
        <cfvo type="min"/>
        <cfvo type="percentile" val="50"/>
        <cfvo type="max"/>
        <color rgb="FFF8696B"/>
        <color rgb="FFFFEB84"/>
        <color rgb="FF63BE7B"/>
      </colorScale>
    </cfRule>
  </conditionalFormatting>
  <conditionalFormatting sqref="F29:F32">
    <cfRule type="colorScale" priority="3645">
      <colorScale>
        <cfvo type="min"/>
        <cfvo type="percentile" val="50"/>
        <cfvo type="max"/>
        <color rgb="FFF8696B"/>
        <color rgb="FFFFEB84"/>
        <color rgb="FF63BE7B"/>
      </colorScale>
    </cfRule>
  </conditionalFormatting>
  <conditionalFormatting sqref="F29:F32">
    <cfRule type="colorScale" priority="3644">
      <colorScale>
        <cfvo type="min"/>
        <cfvo type="percentile" val="50"/>
        <cfvo type="max"/>
        <color rgb="FFF8696B"/>
        <color rgb="FFFFEB84"/>
        <color rgb="FF63BE7B"/>
      </colorScale>
    </cfRule>
  </conditionalFormatting>
  <conditionalFormatting sqref="F29:F32">
    <cfRule type="colorScale" priority="3643">
      <colorScale>
        <cfvo type="min"/>
        <cfvo type="percentile" val="50"/>
        <cfvo type="max"/>
        <color rgb="FFF8696B"/>
        <color rgb="FFFFEB84"/>
        <color rgb="FF63BE7B"/>
      </colorScale>
    </cfRule>
  </conditionalFormatting>
  <conditionalFormatting sqref="F29:F32">
    <cfRule type="colorScale" priority="3642">
      <colorScale>
        <cfvo type="min"/>
        <cfvo type="percentile" val="50"/>
        <cfvo type="max"/>
        <color rgb="FFF8696B"/>
        <color rgb="FFFFEB84"/>
        <color rgb="FF63BE7B"/>
      </colorScale>
    </cfRule>
  </conditionalFormatting>
  <conditionalFormatting sqref="F29:F32">
    <cfRule type="colorScale" priority="3641">
      <colorScale>
        <cfvo type="min"/>
        <cfvo type="percentile" val="50"/>
        <cfvo type="max"/>
        <color rgb="FFF8696B"/>
        <color rgb="FFFFEB84"/>
        <color rgb="FF63BE7B"/>
      </colorScale>
    </cfRule>
  </conditionalFormatting>
  <conditionalFormatting sqref="F29:F32">
    <cfRule type="colorScale" priority="3640">
      <colorScale>
        <cfvo type="min"/>
        <cfvo type="percentile" val="50"/>
        <cfvo type="max"/>
        <color rgb="FFF8696B"/>
        <color rgb="FFFFEB84"/>
        <color rgb="FF63BE7B"/>
      </colorScale>
    </cfRule>
  </conditionalFormatting>
  <conditionalFormatting sqref="F29:F32">
    <cfRule type="colorScale" priority="3639">
      <colorScale>
        <cfvo type="min"/>
        <cfvo type="percentile" val="50"/>
        <cfvo type="max"/>
        <color rgb="FFF8696B"/>
        <color rgb="FFFFEB84"/>
        <color rgb="FF63BE7B"/>
      </colorScale>
    </cfRule>
  </conditionalFormatting>
  <conditionalFormatting sqref="F29:F32">
    <cfRule type="colorScale" priority="3638">
      <colorScale>
        <cfvo type="min"/>
        <cfvo type="percentile" val="50"/>
        <cfvo type="max"/>
        <color rgb="FFF8696B"/>
        <color rgb="FFFFEB84"/>
        <color rgb="FF63BE7B"/>
      </colorScale>
    </cfRule>
  </conditionalFormatting>
  <conditionalFormatting sqref="F29:F32">
    <cfRule type="colorScale" priority="3637">
      <colorScale>
        <cfvo type="min"/>
        <cfvo type="percentile" val="50"/>
        <cfvo type="max"/>
        <color rgb="FFF8696B"/>
        <color rgb="FFFFEB84"/>
        <color rgb="FF63BE7B"/>
      </colorScale>
    </cfRule>
  </conditionalFormatting>
  <conditionalFormatting sqref="F29:F32">
    <cfRule type="colorScale" priority="3636">
      <colorScale>
        <cfvo type="min"/>
        <cfvo type="percentile" val="50"/>
        <cfvo type="max"/>
        <color rgb="FFF8696B"/>
        <color rgb="FFFFEB84"/>
        <color rgb="FF63BE7B"/>
      </colorScale>
    </cfRule>
  </conditionalFormatting>
  <conditionalFormatting sqref="F29:F32">
    <cfRule type="colorScale" priority="3635">
      <colorScale>
        <cfvo type="min"/>
        <cfvo type="percentile" val="50"/>
        <cfvo type="max"/>
        <color rgb="FFF8696B"/>
        <color rgb="FFFFEB84"/>
        <color rgb="FF63BE7B"/>
      </colorScale>
    </cfRule>
  </conditionalFormatting>
  <conditionalFormatting sqref="F29:F32">
    <cfRule type="colorScale" priority="3634">
      <colorScale>
        <cfvo type="min"/>
        <cfvo type="percentile" val="50"/>
        <cfvo type="max"/>
        <color rgb="FFF8696B"/>
        <color rgb="FFFFEB84"/>
        <color rgb="FF63BE7B"/>
      </colorScale>
    </cfRule>
  </conditionalFormatting>
  <conditionalFormatting sqref="F29:F32">
    <cfRule type="colorScale" priority="3633">
      <colorScale>
        <cfvo type="min"/>
        <cfvo type="percentile" val="50"/>
        <cfvo type="max"/>
        <color rgb="FFF8696B"/>
        <color rgb="FFFFEB84"/>
        <color rgb="FF63BE7B"/>
      </colorScale>
    </cfRule>
  </conditionalFormatting>
  <conditionalFormatting sqref="F29:F32">
    <cfRule type="colorScale" priority="3632">
      <colorScale>
        <cfvo type="min"/>
        <cfvo type="percentile" val="50"/>
        <cfvo type="max"/>
        <color rgb="FFF8696B"/>
        <color rgb="FFFFEB84"/>
        <color rgb="FF63BE7B"/>
      </colorScale>
    </cfRule>
  </conditionalFormatting>
  <conditionalFormatting sqref="F29:F32">
    <cfRule type="colorScale" priority="3631">
      <colorScale>
        <cfvo type="min"/>
        <cfvo type="percentile" val="50"/>
        <cfvo type="max"/>
        <color rgb="FFF8696B"/>
        <color rgb="FFFFEB84"/>
        <color rgb="FF63BE7B"/>
      </colorScale>
    </cfRule>
  </conditionalFormatting>
  <conditionalFormatting sqref="F29:F32">
    <cfRule type="colorScale" priority="3630">
      <colorScale>
        <cfvo type="min"/>
        <cfvo type="percentile" val="50"/>
        <cfvo type="max"/>
        <color rgb="FFF8696B"/>
        <color rgb="FFFFEB84"/>
        <color rgb="FF63BE7B"/>
      </colorScale>
    </cfRule>
  </conditionalFormatting>
  <conditionalFormatting sqref="F29:F32">
    <cfRule type="colorScale" priority="3629">
      <colorScale>
        <cfvo type="min"/>
        <cfvo type="percentile" val="50"/>
        <cfvo type="max"/>
        <color rgb="FFF8696B"/>
        <color rgb="FFFFEB84"/>
        <color rgb="FF63BE7B"/>
      </colorScale>
    </cfRule>
  </conditionalFormatting>
  <conditionalFormatting sqref="F29:F32">
    <cfRule type="colorScale" priority="3628">
      <colorScale>
        <cfvo type="min"/>
        <cfvo type="percentile" val="50"/>
        <cfvo type="max"/>
        <color rgb="FFF8696B"/>
        <color rgb="FFFFEB84"/>
        <color rgb="FF63BE7B"/>
      </colorScale>
    </cfRule>
  </conditionalFormatting>
  <conditionalFormatting sqref="F29:F32">
    <cfRule type="colorScale" priority="3627">
      <colorScale>
        <cfvo type="min"/>
        <cfvo type="percentile" val="50"/>
        <cfvo type="max"/>
        <color rgb="FFF8696B"/>
        <color rgb="FFFFEB84"/>
        <color rgb="FF63BE7B"/>
      </colorScale>
    </cfRule>
  </conditionalFormatting>
  <conditionalFormatting sqref="F29:F32">
    <cfRule type="colorScale" priority="3626">
      <colorScale>
        <cfvo type="min"/>
        <cfvo type="percentile" val="50"/>
        <cfvo type="max"/>
        <color rgb="FFF8696B"/>
        <color rgb="FFFFEB84"/>
        <color rgb="FF63BE7B"/>
      </colorScale>
    </cfRule>
  </conditionalFormatting>
  <conditionalFormatting sqref="F29:F32">
    <cfRule type="colorScale" priority="3625">
      <colorScale>
        <cfvo type="min"/>
        <cfvo type="percentile" val="50"/>
        <cfvo type="max"/>
        <color rgb="FFF8696B"/>
        <color rgb="FFFFEB84"/>
        <color rgb="FF63BE7B"/>
      </colorScale>
    </cfRule>
  </conditionalFormatting>
  <conditionalFormatting sqref="F29:F32">
    <cfRule type="colorScale" priority="3624">
      <colorScale>
        <cfvo type="min"/>
        <cfvo type="percentile" val="50"/>
        <cfvo type="max"/>
        <color rgb="FFF8696B"/>
        <color rgb="FFFFEB84"/>
        <color rgb="FF63BE7B"/>
      </colorScale>
    </cfRule>
  </conditionalFormatting>
  <conditionalFormatting sqref="F29:F32">
    <cfRule type="colorScale" priority="3623">
      <colorScale>
        <cfvo type="min"/>
        <cfvo type="percentile" val="50"/>
        <cfvo type="max"/>
        <color rgb="FFF8696B"/>
        <color rgb="FFFFEB84"/>
        <color rgb="FF63BE7B"/>
      </colorScale>
    </cfRule>
  </conditionalFormatting>
  <conditionalFormatting sqref="F29:F32">
    <cfRule type="colorScale" priority="3622">
      <colorScale>
        <cfvo type="min"/>
        <cfvo type="percentile" val="50"/>
        <cfvo type="max"/>
        <color rgb="FFF8696B"/>
        <color rgb="FFFFEB84"/>
        <color rgb="FF63BE7B"/>
      </colorScale>
    </cfRule>
  </conditionalFormatting>
  <conditionalFormatting sqref="F29:F32">
    <cfRule type="colorScale" priority="3621">
      <colorScale>
        <cfvo type="min"/>
        <cfvo type="percentile" val="50"/>
        <cfvo type="max"/>
        <color rgb="FFF8696B"/>
        <color rgb="FFFFEB84"/>
        <color rgb="FF63BE7B"/>
      </colorScale>
    </cfRule>
  </conditionalFormatting>
  <conditionalFormatting sqref="F29:F32">
    <cfRule type="colorScale" priority="3620">
      <colorScale>
        <cfvo type="min"/>
        <cfvo type="percentile" val="50"/>
        <cfvo type="max"/>
        <color rgb="FFF8696B"/>
        <color rgb="FFFFEB84"/>
        <color rgb="FF63BE7B"/>
      </colorScale>
    </cfRule>
  </conditionalFormatting>
  <conditionalFormatting sqref="F29:F32">
    <cfRule type="colorScale" priority="3619">
      <colorScale>
        <cfvo type="min"/>
        <cfvo type="percentile" val="50"/>
        <cfvo type="max"/>
        <color rgb="FFF8696B"/>
        <color rgb="FFFFEB84"/>
        <color rgb="FF63BE7B"/>
      </colorScale>
    </cfRule>
  </conditionalFormatting>
  <conditionalFormatting sqref="F29:F32">
    <cfRule type="colorScale" priority="3618">
      <colorScale>
        <cfvo type="min"/>
        <cfvo type="percentile" val="50"/>
        <cfvo type="max"/>
        <color rgb="FFF8696B"/>
        <color rgb="FFFFEB84"/>
        <color rgb="FF63BE7B"/>
      </colorScale>
    </cfRule>
  </conditionalFormatting>
  <conditionalFormatting sqref="F29:F32">
    <cfRule type="colorScale" priority="3617">
      <colorScale>
        <cfvo type="min"/>
        <cfvo type="percentile" val="50"/>
        <cfvo type="max"/>
        <color rgb="FFF8696B"/>
        <color rgb="FFFFEB84"/>
        <color rgb="FF63BE7B"/>
      </colorScale>
    </cfRule>
  </conditionalFormatting>
  <conditionalFormatting sqref="F29:F32">
    <cfRule type="colorScale" priority="3616">
      <colorScale>
        <cfvo type="min"/>
        <cfvo type="percentile" val="50"/>
        <cfvo type="max"/>
        <color rgb="FFF8696B"/>
        <color rgb="FFFFEB84"/>
        <color rgb="FF63BE7B"/>
      </colorScale>
    </cfRule>
  </conditionalFormatting>
  <conditionalFormatting sqref="F29:F32">
    <cfRule type="colorScale" priority="3615">
      <colorScale>
        <cfvo type="min"/>
        <cfvo type="percentile" val="50"/>
        <cfvo type="max"/>
        <color rgb="FFF8696B"/>
        <color rgb="FFFFEB84"/>
        <color rgb="FF63BE7B"/>
      </colorScale>
    </cfRule>
  </conditionalFormatting>
  <conditionalFormatting sqref="F29:F32">
    <cfRule type="colorScale" priority="3614">
      <colorScale>
        <cfvo type="min"/>
        <cfvo type="percentile" val="50"/>
        <cfvo type="max"/>
        <color rgb="FFF8696B"/>
        <color rgb="FFFFEB84"/>
        <color rgb="FF63BE7B"/>
      </colorScale>
    </cfRule>
  </conditionalFormatting>
  <conditionalFormatting sqref="F29:F32">
    <cfRule type="colorScale" priority="3613">
      <colorScale>
        <cfvo type="min"/>
        <cfvo type="percentile" val="50"/>
        <cfvo type="max"/>
        <color rgb="FFF8696B"/>
        <color rgb="FFFFEB84"/>
        <color rgb="FF63BE7B"/>
      </colorScale>
    </cfRule>
  </conditionalFormatting>
  <conditionalFormatting sqref="F29:F32">
    <cfRule type="colorScale" priority="3612">
      <colorScale>
        <cfvo type="min"/>
        <cfvo type="percentile" val="50"/>
        <cfvo type="max"/>
        <color rgb="FFF8696B"/>
        <color rgb="FFFFEB84"/>
        <color rgb="FF63BE7B"/>
      </colorScale>
    </cfRule>
  </conditionalFormatting>
  <conditionalFormatting sqref="F29:F32">
    <cfRule type="colorScale" priority="3611">
      <colorScale>
        <cfvo type="min"/>
        <cfvo type="percentile" val="50"/>
        <cfvo type="max"/>
        <color rgb="FFF8696B"/>
        <color rgb="FFFFEB84"/>
        <color rgb="FF63BE7B"/>
      </colorScale>
    </cfRule>
  </conditionalFormatting>
  <conditionalFormatting sqref="F29:F32">
    <cfRule type="colorScale" priority="3610">
      <colorScale>
        <cfvo type="min"/>
        <cfvo type="percentile" val="50"/>
        <cfvo type="max"/>
        <color rgb="FFF8696B"/>
        <color rgb="FFFFEB84"/>
        <color rgb="FF63BE7B"/>
      </colorScale>
    </cfRule>
  </conditionalFormatting>
  <conditionalFormatting sqref="F29:F32">
    <cfRule type="colorScale" priority="3609">
      <colorScale>
        <cfvo type="min"/>
        <cfvo type="percentile" val="50"/>
        <cfvo type="max"/>
        <color rgb="FFF8696B"/>
        <color rgb="FFFFEB84"/>
        <color rgb="FF63BE7B"/>
      </colorScale>
    </cfRule>
  </conditionalFormatting>
  <conditionalFormatting sqref="F29:F32">
    <cfRule type="colorScale" priority="3608">
      <colorScale>
        <cfvo type="min"/>
        <cfvo type="percentile" val="50"/>
        <cfvo type="max"/>
        <color rgb="FFF8696B"/>
        <color rgb="FFFFEB84"/>
        <color rgb="FF63BE7B"/>
      </colorScale>
    </cfRule>
  </conditionalFormatting>
  <conditionalFormatting sqref="F29:F32">
    <cfRule type="colorScale" priority="3607">
      <colorScale>
        <cfvo type="min"/>
        <cfvo type="percentile" val="50"/>
        <cfvo type="max"/>
        <color rgb="FFF8696B"/>
        <color rgb="FFFFEB84"/>
        <color rgb="FF63BE7B"/>
      </colorScale>
    </cfRule>
  </conditionalFormatting>
  <conditionalFormatting sqref="F29:F32">
    <cfRule type="colorScale" priority="3606">
      <colorScale>
        <cfvo type="min"/>
        <cfvo type="percentile" val="50"/>
        <cfvo type="max"/>
        <color rgb="FFF8696B"/>
        <color rgb="FFFFEB84"/>
        <color rgb="FF63BE7B"/>
      </colorScale>
    </cfRule>
  </conditionalFormatting>
  <conditionalFormatting sqref="F29:F32">
    <cfRule type="colorScale" priority="3605">
      <colorScale>
        <cfvo type="min"/>
        <cfvo type="percentile" val="50"/>
        <cfvo type="max"/>
        <color rgb="FFF8696B"/>
        <color rgb="FFFFEB84"/>
        <color rgb="FF63BE7B"/>
      </colorScale>
    </cfRule>
  </conditionalFormatting>
  <conditionalFormatting sqref="F29:F32">
    <cfRule type="colorScale" priority="3604">
      <colorScale>
        <cfvo type="min"/>
        <cfvo type="percentile" val="50"/>
        <cfvo type="max"/>
        <color rgb="FFF8696B"/>
        <color rgb="FFFFEB84"/>
        <color rgb="FF63BE7B"/>
      </colorScale>
    </cfRule>
  </conditionalFormatting>
  <conditionalFormatting sqref="F29:F32">
    <cfRule type="colorScale" priority="3603">
      <colorScale>
        <cfvo type="min"/>
        <cfvo type="percentile" val="50"/>
        <cfvo type="max"/>
        <color rgb="FFF8696B"/>
        <color rgb="FFFFEB84"/>
        <color rgb="FF63BE7B"/>
      </colorScale>
    </cfRule>
  </conditionalFormatting>
  <conditionalFormatting sqref="F29:F32">
    <cfRule type="colorScale" priority="3602">
      <colorScale>
        <cfvo type="min"/>
        <cfvo type="percentile" val="50"/>
        <cfvo type="max"/>
        <color rgb="FFF8696B"/>
        <color rgb="FFFFEB84"/>
        <color rgb="FF63BE7B"/>
      </colorScale>
    </cfRule>
  </conditionalFormatting>
  <conditionalFormatting sqref="F29:F32">
    <cfRule type="colorScale" priority="3601">
      <colorScale>
        <cfvo type="min"/>
        <cfvo type="percentile" val="50"/>
        <cfvo type="max"/>
        <color rgb="FFF8696B"/>
        <color rgb="FFFFEB84"/>
        <color rgb="FF63BE7B"/>
      </colorScale>
    </cfRule>
  </conditionalFormatting>
  <conditionalFormatting sqref="F29:F32">
    <cfRule type="colorScale" priority="3600">
      <colorScale>
        <cfvo type="min"/>
        <cfvo type="percentile" val="50"/>
        <cfvo type="max"/>
        <color rgb="FFF8696B"/>
        <color rgb="FFFFEB84"/>
        <color rgb="FF63BE7B"/>
      </colorScale>
    </cfRule>
  </conditionalFormatting>
  <conditionalFormatting sqref="F29:F32">
    <cfRule type="colorScale" priority="3599">
      <colorScale>
        <cfvo type="min"/>
        <cfvo type="percentile" val="50"/>
        <cfvo type="max"/>
        <color rgb="FFF8696B"/>
        <color rgb="FFFFEB84"/>
        <color rgb="FF63BE7B"/>
      </colorScale>
    </cfRule>
  </conditionalFormatting>
  <conditionalFormatting sqref="F29:F32">
    <cfRule type="colorScale" priority="3598">
      <colorScale>
        <cfvo type="min"/>
        <cfvo type="percentile" val="50"/>
        <cfvo type="max"/>
        <color rgb="FFF8696B"/>
        <color rgb="FFFFEB84"/>
        <color rgb="FF63BE7B"/>
      </colorScale>
    </cfRule>
  </conditionalFormatting>
  <conditionalFormatting sqref="F29:F32">
    <cfRule type="colorScale" priority="3597">
      <colorScale>
        <cfvo type="min"/>
        <cfvo type="percentile" val="50"/>
        <cfvo type="max"/>
        <color rgb="FFF8696B"/>
        <color rgb="FFFFEB84"/>
        <color rgb="FF63BE7B"/>
      </colorScale>
    </cfRule>
  </conditionalFormatting>
  <conditionalFormatting sqref="F29:F32">
    <cfRule type="colorScale" priority="3596">
      <colorScale>
        <cfvo type="min"/>
        <cfvo type="percentile" val="50"/>
        <cfvo type="max"/>
        <color rgb="FFF8696B"/>
        <color rgb="FFFFEB84"/>
        <color rgb="FF63BE7B"/>
      </colorScale>
    </cfRule>
  </conditionalFormatting>
  <conditionalFormatting sqref="F29:F32">
    <cfRule type="colorScale" priority="3595">
      <colorScale>
        <cfvo type="min"/>
        <cfvo type="percentile" val="50"/>
        <cfvo type="max"/>
        <color rgb="FFF8696B"/>
        <color rgb="FFFFEB84"/>
        <color rgb="FF63BE7B"/>
      </colorScale>
    </cfRule>
  </conditionalFormatting>
  <conditionalFormatting sqref="F29:F32">
    <cfRule type="colorScale" priority="3594">
      <colorScale>
        <cfvo type="min"/>
        <cfvo type="percentile" val="50"/>
        <cfvo type="max"/>
        <color rgb="FFF8696B"/>
        <color rgb="FFFFEB84"/>
        <color rgb="FF63BE7B"/>
      </colorScale>
    </cfRule>
  </conditionalFormatting>
  <conditionalFormatting sqref="F29:F32">
    <cfRule type="colorScale" priority="3593">
      <colorScale>
        <cfvo type="min"/>
        <cfvo type="percentile" val="50"/>
        <cfvo type="max"/>
        <color rgb="FFF8696B"/>
        <color rgb="FFFFEB84"/>
        <color rgb="FF63BE7B"/>
      </colorScale>
    </cfRule>
  </conditionalFormatting>
  <conditionalFormatting sqref="F29:F32">
    <cfRule type="colorScale" priority="3592">
      <colorScale>
        <cfvo type="min"/>
        <cfvo type="percentile" val="50"/>
        <cfvo type="max"/>
        <color rgb="FFF8696B"/>
        <color rgb="FFFFEB84"/>
        <color rgb="FF63BE7B"/>
      </colorScale>
    </cfRule>
  </conditionalFormatting>
  <conditionalFormatting sqref="F29:F32">
    <cfRule type="colorScale" priority="3591">
      <colorScale>
        <cfvo type="min"/>
        <cfvo type="percentile" val="50"/>
        <cfvo type="max"/>
        <color rgb="FFF8696B"/>
        <color rgb="FFFFEB84"/>
        <color rgb="FF63BE7B"/>
      </colorScale>
    </cfRule>
  </conditionalFormatting>
  <conditionalFormatting sqref="F29:F32">
    <cfRule type="colorScale" priority="3590">
      <colorScale>
        <cfvo type="min"/>
        <cfvo type="percentile" val="50"/>
        <cfvo type="max"/>
        <color rgb="FFF8696B"/>
        <color rgb="FFFFEB84"/>
        <color rgb="FF63BE7B"/>
      </colorScale>
    </cfRule>
  </conditionalFormatting>
  <conditionalFormatting sqref="F29:F32">
    <cfRule type="colorScale" priority="3589">
      <colorScale>
        <cfvo type="min"/>
        <cfvo type="percentile" val="50"/>
        <cfvo type="max"/>
        <color rgb="FFF8696B"/>
        <color rgb="FFFFEB84"/>
        <color rgb="FF63BE7B"/>
      </colorScale>
    </cfRule>
  </conditionalFormatting>
  <conditionalFormatting sqref="F29:F32">
    <cfRule type="colorScale" priority="3588">
      <colorScale>
        <cfvo type="min"/>
        <cfvo type="percentile" val="50"/>
        <cfvo type="max"/>
        <color rgb="FFF8696B"/>
        <color rgb="FFFFEB84"/>
        <color rgb="FF63BE7B"/>
      </colorScale>
    </cfRule>
  </conditionalFormatting>
  <conditionalFormatting sqref="F29:F32">
    <cfRule type="colorScale" priority="3587">
      <colorScale>
        <cfvo type="min"/>
        <cfvo type="percentile" val="50"/>
        <cfvo type="max"/>
        <color rgb="FFF8696B"/>
        <color rgb="FFFFEB84"/>
        <color rgb="FF63BE7B"/>
      </colorScale>
    </cfRule>
  </conditionalFormatting>
  <conditionalFormatting sqref="F29:F32">
    <cfRule type="colorScale" priority="3586">
      <colorScale>
        <cfvo type="min"/>
        <cfvo type="percentile" val="50"/>
        <cfvo type="max"/>
        <color rgb="FFF8696B"/>
        <color rgb="FFFFEB84"/>
        <color rgb="FF63BE7B"/>
      </colorScale>
    </cfRule>
  </conditionalFormatting>
  <conditionalFormatting sqref="F29:F32">
    <cfRule type="colorScale" priority="3585">
      <colorScale>
        <cfvo type="min"/>
        <cfvo type="percentile" val="50"/>
        <cfvo type="max"/>
        <color rgb="FFF8696B"/>
        <color rgb="FFFFEB84"/>
        <color rgb="FF63BE7B"/>
      </colorScale>
    </cfRule>
  </conditionalFormatting>
  <conditionalFormatting sqref="F29:F32">
    <cfRule type="colorScale" priority="3584">
      <colorScale>
        <cfvo type="min"/>
        <cfvo type="percentile" val="50"/>
        <cfvo type="max"/>
        <color rgb="FFF8696B"/>
        <color rgb="FFFFEB84"/>
        <color rgb="FF63BE7B"/>
      </colorScale>
    </cfRule>
  </conditionalFormatting>
  <conditionalFormatting sqref="F29:F32">
    <cfRule type="colorScale" priority="3583">
      <colorScale>
        <cfvo type="min"/>
        <cfvo type="percentile" val="50"/>
        <cfvo type="max"/>
        <color rgb="FFF8696B"/>
        <color rgb="FFFFEB84"/>
        <color rgb="FF63BE7B"/>
      </colorScale>
    </cfRule>
  </conditionalFormatting>
  <conditionalFormatting sqref="F29:F32">
    <cfRule type="colorScale" priority="3582">
      <colorScale>
        <cfvo type="min"/>
        <cfvo type="percentile" val="50"/>
        <cfvo type="max"/>
        <color rgb="FFF8696B"/>
        <color rgb="FFFFEB84"/>
        <color rgb="FF63BE7B"/>
      </colorScale>
    </cfRule>
  </conditionalFormatting>
  <conditionalFormatting sqref="F29:F32">
    <cfRule type="colorScale" priority="3581">
      <colorScale>
        <cfvo type="min"/>
        <cfvo type="percentile" val="50"/>
        <cfvo type="max"/>
        <color rgb="FFF8696B"/>
        <color rgb="FFFFEB84"/>
        <color rgb="FF63BE7B"/>
      </colorScale>
    </cfRule>
  </conditionalFormatting>
  <conditionalFormatting sqref="F29:F32">
    <cfRule type="colorScale" priority="3580">
      <colorScale>
        <cfvo type="min"/>
        <cfvo type="percentile" val="50"/>
        <cfvo type="max"/>
        <color rgb="FFF8696B"/>
        <color rgb="FFFFEB84"/>
        <color rgb="FF63BE7B"/>
      </colorScale>
    </cfRule>
  </conditionalFormatting>
  <conditionalFormatting sqref="F29:F32">
    <cfRule type="colorScale" priority="3579">
      <colorScale>
        <cfvo type="min"/>
        <cfvo type="percentile" val="50"/>
        <cfvo type="max"/>
        <color rgb="FFF8696B"/>
        <color rgb="FFFFEB84"/>
        <color rgb="FF63BE7B"/>
      </colorScale>
    </cfRule>
  </conditionalFormatting>
  <conditionalFormatting sqref="F29:F32">
    <cfRule type="colorScale" priority="3578">
      <colorScale>
        <cfvo type="min"/>
        <cfvo type="percentile" val="50"/>
        <cfvo type="max"/>
        <color rgb="FFF8696B"/>
        <color rgb="FFFFEB84"/>
        <color rgb="FF63BE7B"/>
      </colorScale>
    </cfRule>
  </conditionalFormatting>
  <conditionalFormatting sqref="F29:F32">
    <cfRule type="colorScale" priority="3577">
      <colorScale>
        <cfvo type="min"/>
        <cfvo type="percentile" val="50"/>
        <cfvo type="max"/>
        <color rgb="FFF8696B"/>
        <color rgb="FFFFEB84"/>
        <color rgb="FF63BE7B"/>
      </colorScale>
    </cfRule>
  </conditionalFormatting>
  <conditionalFormatting sqref="F29:F32">
    <cfRule type="colorScale" priority="3576">
      <colorScale>
        <cfvo type="min"/>
        <cfvo type="percentile" val="50"/>
        <cfvo type="max"/>
        <color rgb="FFF8696B"/>
        <color rgb="FFFFEB84"/>
        <color rgb="FF63BE7B"/>
      </colorScale>
    </cfRule>
  </conditionalFormatting>
  <conditionalFormatting sqref="F29:F32">
    <cfRule type="colorScale" priority="3575">
      <colorScale>
        <cfvo type="min"/>
        <cfvo type="percentile" val="50"/>
        <cfvo type="max"/>
        <color rgb="FFF8696B"/>
        <color rgb="FFFFEB84"/>
        <color rgb="FF63BE7B"/>
      </colorScale>
    </cfRule>
  </conditionalFormatting>
  <conditionalFormatting sqref="F29:F32">
    <cfRule type="colorScale" priority="3574">
      <colorScale>
        <cfvo type="min"/>
        <cfvo type="percentile" val="50"/>
        <cfvo type="max"/>
        <color rgb="FFF8696B"/>
        <color rgb="FFFFEB84"/>
        <color rgb="FF63BE7B"/>
      </colorScale>
    </cfRule>
  </conditionalFormatting>
  <conditionalFormatting sqref="F29:F32">
    <cfRule type="colorScale" priority="3573">
      <colorScale>
        <cfvo type="min"/>
        <cfvo type="percentile" val="50"/>
        <cfvo type="max"/>
        <color rgb="FFF8696B"/>
        <color rgb="FFFFEB84"/>
        <color rgb="FF63BE7B"/>
      </colorScale>
    </cfRule>
  </conditionalFormatting>
  <conditionalFormatting sqref="F29:F32">
    <cfRule type="colorScale" priority="3572">
      <colorScale>
        <cfvo type="min"/>
        <cfvo type="percentile" val="50"/>
        <cfvo type="max"/>
        <color rgb="FFF8696B"/>
        <color rgb="FFFFEB84"/>
        <color rgb="FF63BE7B"/>
      </colorScale>
    </cfRule>
  </conditionalFormatting>
  <conditionalFormatting sqref="F29:F32">
    <cfRule type="colorScale" priority="3571">
      <colorScale>
        <cfvo type="min"/>
        <cfvo type="percentile" val="50"/>
        <cfvo type="max"/>
        <color rgb="FFF8696B"/>
        <color rgb="FFFFEB84"/>
        <color rgb="FF63BE7B"/>
      </colorScale>
    </cfRule>
  </conditionalFormatting>
  <conditionalFormatting sqref="F29:F32">
    <cfRule type="colorScale" priority="3570">
      <colorScale>
        <cfvo type="min"/>
        <cfvo type="percentile" val="50"/>
        <cfvo type="max"/>
        <color rgb="FFF8696B"/>
        <color rgb="FFFFEB84"/>
        <color rgb="FF63BE7B"/>
      </colorScale>
    </cfRule>
  </conditionalFormatting>
  <conditionalFormatting sqref="F29:F32">
    <cfRule type="colorScale" priority="3569">
      <colorScale>
        <cfvo type="min"/>
        <cfvo type="percentile" val="50"/>
        <cfvo type="max"/>
        <color rgb="FFF8696B"/>
        <color rgb="FFFFEB84"/>
        <color rgb="FF63BE7B"/>
      </colorScale>
    </cfRule>
  </conditionalFormatting>
  <conditionalFormatting sqref="F29:F32">
    <cfRule type="colorScale" priority="3568">
      <colorScale>
        <cfvo type="min"/>
        <cfvo type="percentile" val="50"/>
        <cfvo type="max"/>
        <color rgb="FFF8696B"/>
        <color rgb="FFFFEB84"/>
        <color rgb="FF63BE7B"/>
      </colorScale>
    </cfRule>
  </conditionalFormatting>
  <conditionalFormatting sqref="F29:F32">
    <cfRule type="colorScale" priority="3567">
      <colorScale>
        <cfvo type="min"/>
        <cfvo type="percentile" val="50"/>
        <cfvo type="max"/>
        <color rgb="FFF8696B"/>
        <color rgb="FFFFEB84"/>
        <color rgb="FF63BE7B"/>
      </colorScale>
    </cfRule>
  </conditionalFormatting>
  <conditionalFormatting sqref="F29:F32">
    <cfRule type="colorScale" priority="3566">
      <colorScale>
        <cfvo type="min"/>
        <cfvo type="percentile" val="50"/>
        <cfvo type="max"/>
        <color rgb="FFF8696B"/>
        <color rgb="FFFFEB84"/>
        <color rgb="FF63BE7B"/>
      </colorScale>
    </cfRule>
  </conditionalFormatting>
  <conditionalFormatting sqref="F29:F32">
    <cfRule type="colorScale" priority="3565">
      <colorScale>
        <cfvo type="min"/>
        <cfvo type="percentile" val="50"/>
        <cfvo type="max"/>
        <color rgb="FFF8696B"/>
        <color rgb="FFFFEB84"/>
        <color rgb="FF63BE7B"/>
      </colorScale>
    </cfRule>
  </conditionalFormatting>
  <conditionalFormatting sqref="F29:F32">
    <cfRule type="colorScale" priority="3564">
      <colorScale>
        <cfvo type="min"/>
        <cfvo type="percentile" val="50"/>
        <cfvo type="max"/>
        <color rgb="FFF8696B"/>
        <color rgb="FFFFEB84"/>
        <color rgb="FF63BE7B"/>
      </colorScale>
    </cfRule>
  </conditionalFormatting>
  <conditionalFormatting sqref="F29:F32">
    <cfRule type="colorScale" priority="3563">
      <colorScale>
        <cfvo type="min"/>
        <cfvo type="percentile" val="50"/>
        <cfvo type="max"/>
        <color rgb="FFF8696B"/>
        <color rgb="FFFFEB84"/>
        <color rgb="FF63BE7B"/>
      </colorScale>
    </cfRule>
  </conditionalFormatting>
  <conditionalFormatting sqref="F29:F32">
    <cfRule type="colorScale" priority="3562">
      <colorScale>
        <cfvo type="min"/>
        <cfvo type="percentile" val="50"/>
        <cfvo type="max"/>
        <color rgb="FFF8696B"/>
        <color rgb="FFFFEB84"/>
        <color rgb="FF63BE7B"/>
      </colorScale>
    </cfRule>
  </conditionalFormatting>
  <conditionalFormatting sqref="F29:F32">
    <cfRule type="colorScale" priority="3561">
      <colorScale>
        <cfvo type="min"/>
        <cfvo type="percentile" val="50"/>
        <cfvo type="max"/>
        <color rgb="FFF8696B"/>
        <color rgb="FFFFEB84"/>
        <color rgb="FF63BE7B"/>
      </colorScale>
    </cfRule>
  </conditionalFormatting>
  <conditionalFormatting sqref="F29:F32">
    <cfRule type="colorScale" priority="3560">
      <colorScale>
        <cfvo type="min"/>
        <cfvo type="percentile" val="50"/>
        <cfvo type="max"/>
        <color rgb="FFF8696B"/>
        <color rgb="FFFFEB84"/>
        <color rgb="FF63BE7B"/>
      </colorScale>
    </cfRule>
  </conditionalFormatting>
  <conditionalFormatting sqref="F29:F32">
    <cfRule type="colorScale" priority="3559">
      <colorScale>
        <cfvo type="min"/>
        <cfvo type="percentile" val="50"/>
        <cfvo type="max"/>
        <color rgb="FFF8696B"/>
        <color rgb="FFFFEB84"/>
        <color rgb="FF63BE7B"/>
      </colorScale>
    </cfRule>
  </conditionalFormatting>
  <conditionalFormatting sqref="F29:F32">
    <cfRule type="colorScale" priority="3558">
      <colorScale>
        <cfvo type="min"/>
        <cfvo type="percentile" val="50"/>
        <cfvo type="max"/>
        <color rgb="FFF8696B"/>
        <color rgb="FFFFEB84"/>
        <color rgb="FF63BE7B"/>
      </colorScale>
    </cfRule>
  </conditionalFormatting>
  <conditionalFormatting sqref="F29:F32">
    <cfRule type="colorScale" priority="3557">
      <colorScale>
        <cfvo type="min"/>
        <cfvo type="percentile" val="50"/>
        <cfvo type="max"/>
        <color rgb="FFF8696B"/>
        <color rgb="FFFFEB84"/>
        <color rgb="FF63BE7B"/>
      </colorScale>
    </cfRule>
  </conditionalFormatting>
  <conditionalFormatting sqref="F29:F32">
    <cfRule type="colorScale" priority="3556">
      <colorScale>
        <cfvo type="min"/>
        <cfvo type="percentile" val="50"/>
        <cfvo type="max"/>
        <color rgb="FFF8696B"/>
        <color rgb="FFFFEB84"/>
        <color rgb="FF63BE7B"/>
      </colorScale>
    </cfRule>
  </conditionalFormatting>
  <conditionalFormatting sqref="F29:F32">
    <cfRule type="colorScale" priority="3555">
      <colorScale>
        <cfvo type="min"/>
        <cfvo type="percentile" val="50"/>
        <cfvo type="max"/>
        <color rgb="FFF8696B"/>
        <color rgb="FFFFEB84"/>
        <color rgb="FF63BE7B"/>
      </colorScale>
    </cfRule>
  </conditionalFormatting>
  <conditionalFormatting sqref="F29:F32">
    <cfRule type="colorScale" priority="3554">
      <colorScale>
        <cfvo type="min"/>
        <cfvo type="percentile" val="50"/>
        <cfvo type="max"/>
        <color rgb="FFF8696B"/>
        <color rgb="FFFFEB84"/>
        <color rgb="FF63BE7B"/>
      </colorScale>
    </cfRule>
  </conditionalFormatting>
  <conditionalFormatting sqref="F29:F32">
    <cfRule type="colorScale" priority="3553">
      <colorScale>
        <cfvo type="min"/>
        <cfvo type="percentile" val="50"/>
        <cfvo type="max"/>
        <color rgb="FFF8696B"/>
        <color rgb="FFFFEB84"/>
        <color rgb="FF63BE7B"/>
      </colorScale>
    </cfRule>
  </conditionalFormatting>
  <conditionalFormatting sqref="F29:F32">
    <cfRule type="colorScale" priority="3552">
      <colorScale>
        <cfvo type="min"/>
        <cfvo type="percentile" val="50"/>
        <cfvo type="max"/>
        <color rgb="FFF8696B"/>
        <color rgb="FFFFEB84"/>
        <color rgb="FF63BE7B"/>
      </colorScale>
    </cfRule>
  </conditionalFormatting>
  <conditionalFormatting sqref="F29:F32">
    <cfRule type="colorScale" priority="3551">
      <colorScale>
        <cfvo type="min"/>
        <cfvo type="percentile" val="50"/>
        <cfvo type="max"/>
        <color rgb="FFF8696B"/>
        <color rgb="FFFFEB84"/>
        <color rgb="FF63BE7B"/>
      </colorScale>
    </cfRule>
  </conditionalFormatting>
  <conditionalFormatting sqref="F29:F32">
    <cfRule type="colorScale" priority="3550">
      <colorScale>
        <cfvo type="min"/>
        <cfvo type="percentile" val="50"/>
        <cfvo type="max"/>
        <color rgb="FFF8696B"/>
        <color rgb="FFFFEB84"/>
        <color rgb="FF63BE7B"/>
      </colorScale>
    </cfRule>
  </conditionalFormatting>
  <conditionalFormatting sqref="F29:F32">
    <cfRule type="colorScale" priority="3549">
      <colorScale>
        <cfvo type="min"/>
        <cfvo type="percentile" val="50"/>
        <cfvo type="max"/>
        <color rgb="FFF8696B"/>
        <color rgb="FFFFEB84"/>
        <color rgb="FF63BE7B"/>
      </colorScale>
    </cfRule>
  </conditionalFormatting>
  <conditionalFormatting sqref="F29:F32">
    <cfRule type="colorScale" priority="3548">
      <colorScale>
        <cfvo type="min"/>
        <cfvo type="percentile" val="50"/>
        <cfvo type="max"/>
        <color rgb="FFF8696B"/>
        <color rgb="FFFFEB84"/>
        <color rgb="FF63BE7B"/>
      </colorScale>
    </cfRule>
  </conditionalFormatting>
  <conditionalFormatting sqref="F29:F32">
    <cfRule type="colorScale" priority="3547">
      <colorScale>
        <cfvo type="min"/>
        <cfvo type="percentile" val="50"/>
        <cfvo type="max"/>
        <color rgb="FFF8696B"/>
        <color rgb="FFFFEB84"/>
        <color rgb="FF63BE7B"/>
      </colorScale>
    </cfRule>
  </conditionalFormatting>
  <conditionalFormatting sqref="F29:F32">
    <cfRule type="colorScale" priority="3546">
      <colorScale>
        <cfvo type="min"/>
        <cfvo type="percentile" val="50"/>
        <cfvo type="max"/>
        <color rgb="FFF8696B"/>
        <color rgb="FFFFEB84"/>
        <color rgb="FF63BE7B"/>
      </colorScale>
    </cfRule>
  </conditionalFormatting>
  <conditionalFormatting sqref="F29:F32">
    <cfRule type="colorScale" priority="3545">
      <colorScale>
        <cfvo type="min"/>
        <cfvo type="percentile" val="50"/>
        <cfvo type="max"/>
        <color rgb="FFF8696B"/>
        <color rgb="FFFFEB84"/>
        <color rgb="FF63BE7B"/>
      </colorScale>
    </cfRule>
  </conditionalFormatting>
  <conditionalFormatting sqref="F29:F32">
    <cfRule type="colorScale" priority="3544">
      <colorScale>
        <cfvo type="min"/>
        <cfvo type="percentile" val="50"/>
        <cfvo type="max"/>
        <color rgb="FFF8696B"/>
        <color rgb="FFFFEB84"/>
        <color rgb="FF63BE7B"/>
      </colorScale>
    </cfRule>
  </conditionalFormatting>
  <conditionalFormatting sqref="F29:F32">
    <cfRule type="colorScale" priority="3543">
      <colorScale>
        <cfvo type="min"/>
        <cfvo type="percentile" val="50"/>
        <cfvo type="max"/>
        <color rgb="FFF8696B"/>
        <color rgb="FFFFEB84"/>
        <color rgb="FF63BE7B"/>
      </colorScale>
    </cfRule>
  </conditionalFormatting>
  <conditionalFormatting sqref="F29:F32">
    <cfRule type="colorScale" priority="3542">
      <colorScale>
        <cfvo type="min"/>
        <cfvo type="percentile" val="50"/>
        <cfvo type="max"/>
        <color rgb="FFF8696B"/>
        <color rgb="FFFFEB84"/>
        <color rgb="FF63BE7B"/>
      </colorScale>
    </cfRule>
  </conditionalFormatting>
  <conditionalFormatting sqref="F29:F32">
    <cfRule type="colorScale" priority="3541">
      <colorScale>
        <cfvo type="min"/>
        <cfvo type="percentile" val="50"/>
        <cfvo type="max"/>
        <color rgb="FFF8696B"/>
        <color rgb="FFFFEB84"/>
        <color rgb="FF63BE7B"/>
      </colorScale>
    </cfRule>
  </conditionalFormatting>
  <conditionalFormatting sqref="F29:F32">
    <cfRule type="colorScale" priority="3540">
      <colorScale>
        <cfvo type="min"/>
        <cfvo type="percentile" val="50"/>
        <cfvo type="max"/>
        <color rgb="FFF8696B"/>
        <color rgb="FFFFEB84"/>
        <color rgb="FF63BE7B"/>
      </colorScale>
    </cfRule>
  </conditionalFormatting>
  <conditionalFormatting sqref="F29:F32">
    <cfRule type="colorScale" priority="3539">
      <colorScale>
        <cfvo type="min"/>
        <cfvo type="percentile" val="50"/>
        <cfvo type="max"/>
        <color rgb="FFF8696B"/>
        <color rgb="FFFFEB84"/>
        <color rgb="FF63BE7B"/>
      </colorScale>
    </cfRule>
  </conditionalFormatting>
  <conditionalFormatting sqref="F29:F32">
    <cfRule type="colorScale" priority="3538">
      <colorScale>
        <cfvo type="min"/>
        <cfvo type="percentile" val="50"/>
        <cfvo type="max"/>
        <color rgb="FFF8696B"/>
        <color rgb="FFFFEB84"/>
        <color rgb="FF63BE7B"/>
      </colorScale>
    </cfRule>
  </conditionalFormatting>
  <conditionalFormatting sqref="F29:F32">
    <cfRule type="colorScale" priority="3537">
      <colorScale>
        <cfvo type="min"/>
        <cfvo type="percentile" val="50"/>
        <cfvo type="max"/>
        <color rgb="FFF8696B"/>
        <color rgb="FFFFEB84"/>
        <color rgb="FF63BE7B"/>
      </colorScale>
    </cfRule>
  </conditionalFormatting>
  <conditionalFormatting sqref="F29:F32">
    <cfRule type="colorScale" priority="3536">
      <colorScale>
        <cfvo type="min"/>
        <cfvo type="percentile" val="50"/>
        <cfvo type="max"/>
        <color rgb="FFF8696B"/>
        <color rgb="FFFFEB84"/>
        <color rgb="FF63BE7B"/>
      </colorScale>
    </cfRule>
  </conditionalFormatting>
  <conditionalFormatting sqref="F29:F32">
    <cfRule type="colorScale" priority="3535">
      <colorScale>
        <cfvo type="min"/>
        <cfvo type="percentile" val="50"/>
        <cfvo type="max"/>
        <color rgb="FFF8696B"/>
        <color rgb="FFFFEB84"/>
        <color rgb="FF63BE7B"/>
      </colorScale>
    </cfRule>
  </conditionalFormatting>
  <conditionalFormatting sqref="F29:F32">
    <cfRule type="colorScale" priority="3534">
      <colorScale>
        <cfvo type="min"/>
        <cfvo type="percentile" val="50"/>
        <cfvo type="max"/>
        <color rgb="FFF8696B"/>
        <color rgb="FFFFEB84"/>
        <color rgb="FF63BE7B"/>
      </colorScale>
    </cfRule>
  </conditionalFormatting>
  <conditionalFormatting sqref="F29:F32">
    <cfRule type="colorScale" priority="3533">
      <colorScale>
        <cfvo type="min"/>
        <cfvo type="percentile" val="50"/>
        <cfvo type="max"/>
        <color rgb="FFF8696B"/>
        <color rgb="FFFFEB84"/>
        <color rgb="FF63BE7B"/>
      </colorScale>
    </cfRule>
  </conditionalFormatting>
  <conditionalFormatting sqref="F29:F32">
    <cfRule type="colorScale" priority="3532">
      <colorScale>
        <cfvo type="min"/>
        <cfvo type="percentile" val="50"/>
        <cfvo type="max"/>
        <color rgb="FFF8696B"/>
        <color rgb="FFFFEB84"/>
        <color rgb="FF63BE7B"/>
      </colorScale>
    </cfRule>
  </conditionalFormatting>
  <conditionalFormatting sqref="F29:F32">
    <cfRule type="colorScale" priority="3531">
      <colorScale>
        <cfvo type="min"/>
        <cfvo type="percentile" val="50"/>
        <cfvo type="max"/>
        <color rgb="FFF8696B"/>
        <color rgb="FFFFEB84"/>
        <color rgb="FF63BE7B"/>
      </colorScale>
    </cfRule>
  </conditionalFormatting>
  <conditionalFormatting sqref="F29:F32">
    <cfRule type="colorScale" priority="3530">
      <colorScale>
        <cfvo type="min"/>
        <cfvo type="percentile" val="50"/>
        <cfvo type="max"/>
        <color rgb="FFF8696B"/>
        <color rgb="FFFFEB84"/>
        <color rgb="FF63BE7B"/>
      </colorScale>
    </cfRule>
  </conditionalFormatting>
  <conditionalFormatting sqref="F29:F32">
    <cfRule type="colorScale" priority="3529">
      <colorScale>
        <cfvo type="min"/>
        <cfvo type="percentile" val="50"/>
        <cfvo type="max"/>
        <color rgb="FFF8696B"/>
        <color rgb="FFFFEB84"/>
        <color rgb="FF63BE7B"/>
      </colorScale>
    </cfRule>
  </conditionalFormatting>
  <conditionalFormatting sqref="F29:F32">
    <cfRule type="colorScale" priority="3528">
      <colorScale>
        <cfvo type="min"/>
        <cfvo type="percentile" val="50"/>
        <cfvo type="max"/>
        <color rgb="FFF8696B"/>
        <color rgb="FFFFEB84"/>
        <color rgb="FF63BE7B"/>
      </colorScale>
    </cfRule>
  </conditionalFormatting>
  <conditionalFormatting sqref="F29:F32">
    <cfRule type="colorScale" priority="3527">
      <colorScale>
        <cfvo type="min"/>
        <cfvo type="percentile" val="50"/>
        <cfvo type="max"/>
        <color rgb="FFF8696B"/>
        <color rgb="FFFFEB84"/>
        <color rgb="FF63BE7B"/>
      </colorScale>
    </cfRule>
  </conditionalFormatting>
  <conditionalFormatting sqref="F29:F32">
    <cfRule type="colorScale" priority="3526">
      <colorScale>
        <cfvo type="min"/>
        <cfvo type="percentile" val="50"/>
        <cfvo type="max"/>
        <color rgb="FFF8696B"/>
        <color rgb="FFFFEB84"/>
        <color rgb="FF63BE7B"/>
      </colorScale>
    </cfRule>
  </conditionalFormatting>
  <conditionalFormatting sqref="F29:F32">
    <cfRule type="colorScale" priority="3525">
      <colorScale>
        <cfvo type="min"/>
        <cfvo type="percentile" val="50"/>
        <cfvo type="max"/>
        <color rgb="FFF8696B"/>
        <color rgb="FFFFEB84"/>
        <color rgb="FF63BE7B"/>
      </colorScale>
    </cfRule>
  </conditionalFormatting>
  <conditionalFormatting sqref="F29:F32">
    <cfRule type="colorScale" priority="3524">
      <colorScale>
        <cfvo type="min"/>
        <cfvo type="percentile" val="50"/>
        <cfvo type="max"/>
        <color rgb="FFF8696B"/>
        <color rgb="FFFFEB84"/>
        <color rgb="FF63BE7B"/>
      </colorScale>
    </cfRule>
  </conditionalFormatting>
  <conditionalFormatting sqref="F29:F32">
    <cfRule type="colorScale" priority="3523">
      <colorScale>
        <cfvo type="min"/>
        <cfvo type="percentile" val="50"/>
        <cfvo type="max"/>
        <color rgb="FFF8696B"/>
        <color rgb="FFFFEB84"/>
        <color rgb="FF63BE7B"/>
      </colorScale>
    </cfRule>
  </conditionalFormatting>
  <conditionalFormatting sqref="F29:F32">
    <cfRule type="colorScale" priority="3522">
      <colorScale>
        <cfvo type="min"/>
        <cfvo type="percentile" val="50"/>
        <cfvo type="max"/>
        <color rgb="FFF8696B"/>
        <color rgb="FFFFEB84"/>
        <color rgb="FF63BE7B"/>
      </colorScale>
    </cfRule>
  </conditionalFormatting>
  <conditionalFormatting sqref="F29:F32">
    <cfRule type="colorScale" priority="3521">
      <colorScale>
        <cfvo type="min"/>
        <cfvo type="percentile" val="50"/>
        <cfvo type="max"/>
        <color rgb="FFF8696B"/>
        <color rgb="FFFFEB84"/>
        <color rgb="FF63BE7B"/>
      </colorScale>
    </cfRule>
  </conditionalFormatting>
  <conditionalFormatting sqref="F29:F32">
    <cfRule type="colorScale" priority="3520">
      <colorScale>
        <cfvo type="min"/>
        <cfvo type="percentile" val="50"/>
        <cfvo type="max"/>
        <color rgb="FFF8696B"/>
        <color rgb="FFFFEB84"/>
        <color rgb="FF63BE7B"/>
      </colorScale>
    </cfRule>
  </conditionalFormatting>
  <conditionalFormatting sqref="F29:F32">
    <cfRule type="colorScale" priority="3519">
      <colorScale>
        <cfvo type="min"/>
        <cfvo type="percentile" val="50"/>
        <cfvo type="max"/>
        <color rgb="FFF8696B"/>
        <color rgb="FFFFEB84"/>
        <color rgb="FF63BE7B"/>
      </colorScale>
    </cfRule>
  </conditionalFormatting>
  <conditionalFormatting sqref="F29:F32">
    <cfRule type="colorScale" priority="3518">
      <colorScale>
        <cfvo type="min"/>
        <cfvo type="percentile" val="50"/>
        <cfvo type="max"/>
        <color rgb="FFF8696B"/>
        <color rgb="FFFFEB84"/>
        <color rgb="FF63BE7B"/>
      </colorScale>
    </cfRule>
  </conditionalFormatting>
  <conditionalFormatting sqref="F29:F32">
    <cfRule type="colorScale" priority="3517">
      <colorScale>
        <cfvo type="min"/>
        <cfvo type="percentile" val="50"/>
        <cfvo type="max"/>
        <color rgb="FFF8696B"/>
        <color rgb="FFFFEB84"/>
        <color rgb="FF63BE7B"/>
      </colorScale>
    </cfRule>
  </conditionalFormatting>
  <conditionalFormatting sqref="F29:F32">
    <cfRule type="colorScale" priority="3516">
      <colorScale>
        <cfvo type="min"/>
        <cfvo type="percentile" val="50"/>
        <cfvo type="max"/>
        <color rgb="FFF8696B"/>
        <color rgb="FFFFEB84"/>
        <color rgb="FF63BE7B"/>
      </colorScale>
    </cfRule>
  </conditionalFormatting>
  <conditionalFormatting sqref="F29:F32">
    <cfRule type="colorScale" priority="3515">
      <colorScale>
        <cfvo type="min"/>
        <cfvo type="percentile" val="50"/>
        <cfvo type="max"/>
        <color rgb="FFF8696B"/>
        <color rgb="FFFFEB84"/>
        <color rgb="FF63BE7B"/>
      </colorScale>
    </cfRule>
  </conditionalFormatting>
  <conditionalFormatting sqref="F29:F32">
    <cfRule type="colorScale" priority="3514">
      <colorScale>
        <cfvo type="min"/>
        <cfvo type="percentile" val="50"/>
        <cfvo type="max"/>
        <color rgb="FFF8696B"/>
        <color rgb="FFFFEB84"/>
        <color rgb="FF63BE7B"/>
      </colorScale>
    </cfRule>
  </conditionalFormatting>
  <conditionalFormatting sqref="F29:F32">
    <cfRule type="colorScale" priority="3513">
      <colorScale>
        <cfvo type="min"/>
        <cfvo type="percentile" val="50"/>
        <cfvo type="max"/>
        <color rgb="FFF8696B"/>
        <color rgb="FFFFEB84"/>
        <color rgb="FF63BE7B"/>
      </colorScale>
    </cfRule>
  </conditionalFormatting>
  <conditionalFormatting sqref="F29:F32">
    <cfRule type="colorScale" priority="3512">
      <colorScale>
        <cfvo type="min"/>
        <cfvo type="percentile" val="50"/>
        <cfvo type="max"/>
        <color rgb="FFF8696B"/>
        <color rgb="FFFFEB84"/>
        <color rgb="FF63BE7B"/>
      </colorScale>
    </cfRule>
  </conditionalFormatting>
  <conditionalFormatting sqref="F29:F32">
    <cfRule type="colorScale" priority="3511">
      <colorScale>
        <cfvo type="min"/>
        <cfvo type="percentile" val="50"/>
        <cfvo type="max"/>
        <color rgb="FFF8696B"/>
        <color rgb="FFFFEB84"/>
        <color rgb="FF63BE7B"/>
      </colorScale>
    </cfRule>
  </conditionalFormatting>
  <conditionalFormatting sqref="F29:F32">
    <cfRule type="colorScale" priority="3510">
      <colorScale>
        <cfvo type="min"/>
        <cfvo type="percentile" val="50"/>
        <cfvo type="max"/>
        <color rgb="FFF8696B"/>
        <color rgb="FFFFEB84"/>
        <color rgb="FF63BE7B"/>
      </colorScale>
    </cfRule>
  </conditionalFormatting>
  <conditionalFormatting sqref="F11:F31">
    <cfRule type="colorScale" priority="3509">
      <colorScale>
        <cfvo type="min"/>
        <cfvo type="percentile" val="50"/>
        <cfvo type="max"/>
        <color rgb="FFF8696B"/>
        <color rgb="FFFFEB84"/>
        <color rgb="FF63BE7B"/>
      </colorScale>
    </cfRule>
  </conditionalFormatting>
  <conditionalFormatting sqref="F11:F31">
    <cfRule type="colorScale" priority="3508">
      <colorScale>
        <cfvo type="min"/>
        <cfvo type="percentile" val="50"/>
        <cfvo type="max"/>
        <color rgb="FFF8696B"/>
        <color rgb="FFFFEB84"/>
        <color rgb="FF63BE7B"/>
      </colorScale>
    </cfRule>
  </conditionalFormatting>
  <conditionalFormatting sqref="F11:F31">
    <cfRule type="colorScale" priority="3507">
      <colorScale>
        <cfvo type="min"/>
        <cfvo type="percentile" val="50"/>
        <cfvo type="max"/>
        <color rgb="FFF8696B"/>
        <color rgb="FFFFEB84"/>
        <color rgb="FF63BE7B"/>
      </colorScale>
    </cfRule>
  </conditionalFormatting>
  <conditionalFormatting sqref="F11:F31">
    <cfRule type="colorScale" priority="3506">
      <colorScale>
        <cfvo type="min"/>
        <cfvo type="percentile" val="50"/>
        <cfvo type="max"/>
        <color rgb="FFF8696B"/>
        <color rgb="FFFFEB84"/>
        <color rgb="FF63BE7B"/>
      </colorScale>
    </cfRule>
  </conditionalFormatting>
  <conditionalFormatting sqref="F11:F31">
    <cfRule type="colorScale" priority="3505">
      <colorScale>
        <cfvo type="min"/>
        <cfvo type="percentile" val="50"/>
        <cfvo type="max"/>
        <color rgb="FFF8696B"/>
        <color rgb="FFFFEB84"/>
        <color rgb="FF63BE7B"/>
      </colorScale>
    </cfRule>
  </conditionalFormatting>
  <conditionalFormatting sqref="F11:F31">
    <cfRule type="colorScale" priority="3504">
      <colorScale>
        <cfvo type="min"/>
        <cfvo type="percentile" val="50"/>
        <cfvo type="max"/>
        <color rgb="FFF8696B"/>
        <color rgb="FFFFEB84"/>
        <color rgb="FF63BE7B"/>
      </colorScale>
    </cfRule>
  </conditionalFormatting>
  <conditionalFormatting sqref="F11:F31">
    <cfRule type="colorScale" priority="3503">
      <colorScale>
        <cfvo type="min"/>
        <cfvo type="percentile" val="50"/>
        <cfvo type="max"/>
        <color rgb="FFF8696B"/>
        <color rgb="FFFFEB84"/>
        <color rgb="FF63BE7B"/>
      </colorScale>
    </cfRule>
  </conditionalFormatting>
  <conditionalFormatting sqref="F11:F31">
    <cfRule type="colorScale" priority="3502">
      <colorScale>
        <cfvo type="min"/>
        <cfvo type="percentile" val="50"/>
        <cfvo type="max"/>
        <color rgb="FFF8696B"/>
        <color rgb="FFFFEB84"/>
        <color rgb="FF63BE7B"/>
      </colorScale>
    </cfRule>
  </conditionalFormatting>
  <conditionalFormatting sqref="F11:F31">
    <cfRule type="colorScale" priority="3501">
      <colorScale>
        <cfvo type="min"/>
        <cfvo type="percentile" val="50"/>
        <cfvo type="max"/>
        <color rgb="FFF8696B"/>
        <color rgb="FFFFEB84"/>
        <color rgb="FF63BE7B"/>
      </colorScale>
    </cfRule>
  </conditionalFormatting>
  <conditionalFormatting sqref="F11:F31">
    <cfRule type="colorScale" priority="3500">
      <colorScale>
        <cfvo type="min"/>
        <cfvo type="percentile" val="50"/>
        <cfvo type="max"/>
        <color rgb="FFF8696B"/>
        <color rgb="FFFFEB84"/>
        <color rgb="FF63BE7B"/>
      </colorScale>
    </cfRule>
  </conditionalFormatting>
  <conditionalFormatting sqref="F11:F31">
    <cfRule type="colorScale" priority="3499">
      <colorScale>
        <cfvo type="min"/>
        <cfvo type="percentile" val="50"/>
        <cfvo type="max"/>
        <color rgb="FFF8696B"/>
        <color rgb="FFFFEB84"/>
        <color rgb="FF63BE7B"/>
      </colorScale>
    </cfRule>
  </conditionalFormatting>
  <conditionalFormatting sqref="F11:F31">
    <cfRule type="colorScale" priority="3498">
      <colorScale>
        <cfvo type="min"/>
        <cfvo type="percentile" val="50"/>
        <cfvo type="max"/>
        <color rgb="FFF8696B"/>
        <color rgb="FFFFEB84"/>
        <color rgb="FF63BE7B"/>
      </colorScale>
    </cfRule>
  </conditionalFormatting>
  <conditionalFormatting sqref="F11:F31">
    <cfRule type="colorScale" priority="3497">
      <colorScale>
        <cfvo type="min"/>
        <cfvo type="percentile" val="50"/>
        <cfvo type="max"/>
        <color rgb="FFF8696B"/>
        <color rgb="FFFFEB84"/>
        <color rgb="FF63BE7B"/>
      </colorScale>
    </cfRule>
  </conditionalFormatting>
  <conditionalFormatting sqref="F11:F31">
    <cfRule type="colorScale" priority="3496">
      <colorScale>
        <cfvo type="min"/>
        <cfvo type="percentile" val="50"/>
        <cfvo type="max"/>
        <color rgb="FFF8696B"/>
        <color rgb="FFFFEB84"/>
        <color rgb="FF63BE7B"/>
      </colorScale>
    </cfRule>
  </conditionalFormatting>
  <conditionalFormatting sqref="F11:F31">
    <cfRule type="colorScale" priority="3495">
      <colorScale>
        <cfvo type="min"/>
        <cfvo type="percentile" val="50"/>
        <cfvo type="max"/>
        <color rgb="FFF8696B"/>
        <color rgb="FFFFEB84"/>
        <color rgb="FF63BE7B"/>
      </colorScale>
    </cfRule>
  </conditionalFormatting>
  <conditionalFormatting sqref="F11:F31">
    <cfRule type="colorScale" priority="3494">
      <colorScale>
        <cfvo type="min"/>
        <cfvo type="percentile" val="50"/>
        <cfvo type="max"/>
        <color rgb="FFF8696B"/>
        <color rgb="FFFFEB84"/>
        <color rgb="FF63BE7B"/>
      </colorScale>
    </cfRule>
  </conditionalFormatting>
  <conditionalFormatting sqref="F11:F31">
    <cfRule type="colorScale" priority="3493">
      <colorScale>
        <cfvo type="min"/>
        <cfvo type="percentile" val="50"/>
        <cfvo type="max"/>
        <color rgb="FFF8696B"/>
        <color rgb="FFFFEB84"/>
        <color rgb="FF63BE7B"/>
      </colorScale>
    </cfRule>
  </conditionalFormatting>
  <conditionalFormatting sqref="F11:F31">
    <cfRule type="colorScale" priority="3492">
      <colorScale>
        <cfvo type="min"/>
        <cfvo type="percentile" val="50"/>
        <cfvo type="max"/>
        <color rgb="FFF8696B"/>
        <color rgb="FFFFEB84"/>
        <color rgb="FF63BE7B"/>
      </colorScale>
    </cfRule>
  </conditionalFormatting>
  <conditionalFormatting sqref="F11:F31">
    <cfRule type="colorScale" priority="3491">
      <colorScale>
        <cfvo type="min"/>
        <cfvo type="percentile" val="50"/>
        <cfvo type="max"/>
        <color rgb="FFF8696B"/>
        <color rgb="FFFFEB84"/>
        <color rgb="FF63BE7B"/>
      </colorScale>
    </cfRule>
  </conditionalFormatting>
  <conditionalFormatting sqref="F11:F31">
    <cfRule type="colorScale" priority="3490">
      <colorScale>
        <cfvo type="min"/>
        <cfvo type="percentile" val="50"/>
        <cfvo type="max"/>
        <color rgb="FFF8696B"/>
        <color rgb="FFFFEB84"/>
        <color rgb="FF63BE7B"/>
      </colorScale>
    </cfRule>
  </conditionalFormatting>
  <conditionalFormatting sqref="F11:F31">
    <cfRule type="colorScale" priority="3489">
      <colorScale>
        <cfvo type="min"/>
        <cfvo type="percentile" val="50"/>
        <cfvo type="max"/>
        <color rgb="FFF8696B"/>
        <color rgb="FFFFEB84"/>
        <color rgb="FF63BE7B"/>
      </colorScale>
    </cfRule>
  </conditionalFormatting>
  <conditionalFormatting sqref="F11:F31">
    <cfRule type="colorScale" priority="3488">
      <colorScale>
        <cfvo type="min"/>
        <cfvo type="percentile" val="50"/>
        <cfvo type="max"/>
        <color rgb="FFF8696B"/>
        <color rgb="FFFFEB84"/>
        <color rgb="FF63BE7B"/>
      </colorScale>
    </cfRule>
  </conditionalFormatting>
  <conditionalFormatting sqref="F11:F31">
    <cfRule type="colorScale" priority="3487">
      <colorScale>
        <cfvo type="min"/>
        <cfvo type="percentile" val="50"/>
        <cfvo type="max"/>
        <color rgb="FFF8696B"/>
        <color rgb="FFFFEB84"/>
        <color rgb="FF63BE7B"/>
      </colorScale>
    </cfRule>
  </conditionalFormatting>
  <conditionalFormatting sqref="F11:F31">
    <cfRule type="colorScale" priority="3486">
      <colorScale>
        <cfvo type="min"/>
        <cfvo type="percentile" val="50"/>
        <cfvo type="max"/>
        <color rgb="FFF8696B"/>
        <color rgb="FFFFEB84"/>
        <color rgb="FF63BE7B"/>
      </colorScale>
    </cfRule>
  </conditionalFormatting>
  <conditionalFormatting sqref="F11:F31">
    <cfRule type="colorScale" priority="3485">
      <colorScale>
        <cfvo type="min"/>
        <cfvo type="percentile" val="50"/>
        <cfvo type="max"/>
        <color rgb="FFF8696B"/>
        <color rgb="FFFFEB84"/>
        <color rgb="FF63BE7B"/>
      </colorScale>
    </cfRule>
  </conditionalFormatting>
  <conditionalFormatting sqref="F11:F31">
    <cfRule type="colorScale" priority="3484">
      <colorScale>
        <cfvo type="min"/>
        <cfvo type="percentile" val="50"/>
        <cfvo type="max"/>
        <color rgb="FFF8696B"/>
        <color rgb="FFFFEB84"/>
        <color rgb="FF63BE7B"/>
      </colorScale>
    </cfRule>
  </conditionalFormatting>
  <conditionalFormatting sqref="F11:F31">
    <cfRule type="colorScale" priority="3483">
      <colorScale>
        <cfvo type="min"/>
        <cfvo type="percentile" val="50"/>
        <cfvo type="max"/>
        <color rgb="FFF8696B"/>
        <color rgb="FFFFEB84"/>
        <color rgb="FF63BE7B"/>
      </colorScale>
    </cfRule>
  </conditionalFormatting>
  <conditionalFormatting sqref="F11:F31">
    <cfRule type="colorScale" priority="3482">
      <colorScale>
        <cfvo type="min"/>
        <cfvo type="percentile" val="50"/>
        <cfvo type="max"/>
        <color rgb="FFF8696B"/>
        <color rgb="FFFFEB84"/>
        <color rgb="FF63BE7B"/>
      </colorScale>
    </cfRule>
  </conditionalFormatting>
  <conditionalFormatting sqref="F11:F31">
    <cfRule type="colorScale" priority="3481">
      <colorScale>
        <cfvo type="min"/>
        <cfvo type="percentile" val="50"/>
        <cfvo type="max"/>
        <color rgb="FFF8696B"/>
        <color rgb="FFFFEB84"/>
        <color rgb="FF63BE7B"/>
      </colorScale>
    </cfRule>
  </conditionalFormatting>
  <conditionalFormatting sqref="F11:F31">
    <cfRule type="colorScale" priority="3480">
      <colorScale>
        <cfvo type="min"/>
        <cfvo type="percentile" val="50"/>
        <cfvo type="max"/>
        <color rgb="FFF8696B"/>
        <color rgb="FFFFEB84"/>
        <color rgb="FF63BE7B"/>
      </colorScale>
    </cfRule>
  </conditionalFormatting>
  <conditionalFormatting sqref="F11:F31">
    <cfRule type="colorScale" priority="3479">
      <colorScale>
        <cfvo type="min"/>
        <cfvo type="percentile" val="50"/>
        <cfvo type="max"/>
        <color rgb="FFF8696B"/>
        <color rgb="FFFFEB84"/>
        <color rgb="FF63BE7B"/>
      </colorScale>
    </cfRule>
  </conditionalFormatting>
  <conditionalFormatting sqref="F11:F31">
    <cfRule type="colorScale" priority="3478">
      <colorScale>
        <cfvo type="min"/>
        <cfvo type="percentile" val="50"/>
        <cfvo type="max"/>
        <color rgb="FFF8696B"/>
        <color rgb="FFFFEB84"/>
        <color rgb="FF63BE7B"/>
      </colorScale>
    </cfRule>
  </conditionalFormatting>
  <conditionalFormatting sqref="F11:F31">
    <cfRule type="colorScale" priority="3477">
      <colorScale>
        <cfvo type="min"/>
        <cfvo type="percentile" val="50"/>
        <cfvo type="max"/>
        <color rgb="FFF8696B"/>
        <color rgb="FFFFEB84"/>
        <color rgb="FF63BE7B"/>
      </colorScale>
    </cfRule>
  </conditionalFormatting>
  <conditionalFormatting sqref="F11:F31">
    <cfRule type="colorScale" priority="3476">
      <colorScale>
        <cfvo type="min"/>
        <cfvo type="percentile" val="50"/>
        <cfvo type="max"/>
        <color rgb="FFF8696B"/>
        <color rgb="FFFFEB84"/>
        <color rgb="FF63BE7B"/>
      </colorScale>
    </cfRule>
  </conditionalFormatting>
  <conditionalFormatting sqref="F11:F31">
    <cfRule type="colorScale" priority="3475">
      <colorScale>
        <cfvo type="min"/>
        <cfvo type="percentile" val="50"/>
        <cfvo type="max"/>
        <color rgb="FFF8696B"/>
        <color rgb="FFFFEB84"/>
        <color rgb="FF63BE7B"/>
      </colorScale>
    </cfRule>
  </conditionalFormatting>
  <conditionalFormatting sqref="F11:F31">
    <cfRule type="colorScale" priority="3474">
      <colorScale>
        <cfvo type="min"/>
        <cfvo type="percentile" val="50"/>
        <cfvo type="max"/>
        <color rgb="FFF8696B"/>
        <color rgb="FFFFEB84"/>
        <color rgb="FF63BE7B"/>
      </colorScale>
    </cfRule>
  </conditionalFormatting>
  <conditionalFormatting sqref="F11:F31">
    <cfRule type="colorScale" priority="3473">
      <colorScale>
        <cfvo type="min"/>
        <cfvo type="percentile" val="50"/>
        <cfvo type="max"/>
        <color rgb="FFF8696B"/>
        <color rgb="FFFFEB84"/>
        <color rgb="FF63BE7B"/>
      </colorScale>
    </cfRule>
  </conditionalFormatting>
  <conditionalFormatting sqref="F11:F31">
    <cfRule type="colorScale" priority="3472">
      <colorScale>
        <cfvo type="min"/>
        <cfvo type="percentile" val="50"/>
        <cfvo type="max"/>
        <color rgb="FFF8696B"/>
        <color rgb="FFFFEB84"/>
        <color rgb="FF63BE7B"/>
      </colorScale>
    </cfRule>
  </conditionalFormatting>
  <conditionalFormatting sqref="F11:F31">
    <cfRule type="colorScale" priority="3471">
      <colorScale>
        <cfvo type="min"/>
        <cfvo type="percentile" val="50"/>
        <cfvo type="max"/>
        <color rgb="FFF8696B"/>
        <color rgb="FFFFEB84"/>
        <color rgb="FF63BE7B"/>
      </colorScale>
    </cfRule>
  </conditionalFormatting>
  <conditionalFormatting sqref="F11:F31">
    <cfRule type="colorScale" priority="3470">
      <colorScale>
        <cfvo type="min"/>
        <cfvo type="percentile" val="50"/>
        <cfvo type="max"/>
        <color rgb="FFF8696B"/>
        <color rgb="FFFFEB84"/>
        <color rgb="FF63BE7B"/>
      </colorScale>
    </cfRule>
  </conditionalFormatting>
  <conditionalFormatting sqref="F11:F31">
    <cfRule type="colorScale" priority="3469">
      <colorScale>
        <cfvo type="min"/>
        <cfvo type="percentile" val="50"/>
        <cfvo type="max"/>
        <color rgb="FFF8696B"/>
        <color rgb="FFFFEB84"/>
        <color rgb="FF63BE7B"/>
      </colorScale>
    </cfRule>
  </conditionalFormatting>
  <conditionalFormatting sqref="F11:F31">
    <cfRule type="colorScale" priority="3468">
      <colorScale>
        <cfvo type="min"/>
        <cfvo type="percentile" val="50"/>
        <cfvo type="max"/>
        <color rgb="FFF8696B"/>
        <color rgb="FFFFEB84"/>
        <color rgb="FF63BE7B"/>
      </colorScale>
    </cfRule>
  </conditionalFormatting>
  <conditionalFormatting sqref="F11:F31">
    <cfRule type="colorScale" priority="3467">
      <colorScale>
        <cfvo type="min"/>
        <cfvo type="percentile" val="50"/>
        <cfvo type="max"/>
        <color rgb="FFF8696B"/>
        <color rgb="FFFFEB84"/>
        <color rgb="FF63BE7B"/>
      </colorScale>
    </cfRule>
  </conditionalFormatting>
  <conditionalFormatting sqref="F11:F31">
    <cfRule type="colorScale" priority="3466">
      <colorScale>
        <cfvo type="min"/>
        <cfvo type="percentile" val="50"/>
        <cfvo type="max"/>
        <color rgb="FFF8696B"/>
        <color rgb="FFFFEB84"/>
        <color rgb="FF63BE7B"/>
      </colorScale>
    </cfRule>
  </conditionalFormatting>
  <conditionalFormatting sqref="F11:F31">
    <cfRule type="colorScale" priority="3465">
      <colorScale>
        <cfvo type="min"/>
        <cfvo type="percentile" val="50"/>
        <cfvo type="max"/>
        <color rgb="FFF8696B"/>
        <color rgb="FFFFEB84"/>
        <color rgb="FF63BE7B"/>
      </colorScale>
    </cfRule>
  </conditionalFormatting>
  <conditionalFormatting sqref="F11:F31">
    <cfRule type="colorScale" priority="3464">
      <colorScale>
        <cfvo type="min"/>
        <cfvo type="percentile" val="50"/>
        <cfvo type="max"/>
        <color rgb="FFF8696B"/>
        <color rgb="FFFFEB84"/>
        <color rgb="FF63BE7B"/>
      </colorScale>
    </cfRule>
  </conditionalFormatting>
  <conditionalFormatting sqref="F11:F31">
    <cfRule type="colorScale" priority="3463">
      <colorScale>
        <cfvo type="min"/>
        <cfvo type="percentile" val="50"/>
        <cfvo type="max"/>
        <color rgb="FFF8696B"/>
        <color rgb="FFFFEB84"/>
        <color rgb="FF63BE7B"/>
      </colorScale>
    </cfRule>
  </conditionalFormatting>
  <conditionalFormatting sqref="F11:F31">
    <cfRule type="colorScale" priority="3462">
      <colorScale>
        <cfvo type="min"/>
        <cfvo type="percentile" val="50"/>
        <cfvo type="max"/>
        <color rgb="FFF8696B"/>
        <color rgb="FFFFEB84"/>
        <color rgb="FF63BE7B"/>
      </colorScale>
    </cfRule>
  </conditionalFormatting>
  <conditionalFormatting sqref="F11:F31">
    <cfRule type="colorScale" priority="3461">
      <colorScale>
        <cfvo type="min"/>
        <cfvo type="percentile" val="50"/>
        <cfvo type="max"/>
        <color rgb="FFF8696B"/>
        <color rgb="FFFFEB84"/>
        <color rgb="FF63BE7B"/>
      </colorScale>
    </cfRule>
  </conditionalFormatting>
  <conditionalFormatting sqref="F11:F31">
    <cfRule type="colorScale" priority="3460">
      <colorScale>
        <cfvo type="min"/>
        <cfvo type="percentile" val="50"/>
        <cfvo type="max"/>
        <color rgb="FFF8696B"/>
        <color rgb="FFFFEB84"/>
        <color rgb="FF63BE7B"/>
      </colorScale>
    </cfRule>
  </conditionalFormatting>
  <conditionalFormatting sqref="F11:F31">
    <cfRule type="colorScale" priority="3459">
      <colorScale>
        <cfvo type="min"/>
        <cfvo type="percentile" val="50"/>
        <cfvo type="max"/>
        <color rgb="FFF8696B"/>
        <color rgb="FFFFEB84"/>
        <color rgb="FF63BE7B"/>
      </colorScale>
    </cfRule>
  </conditionalFormatting>
  <conditionalFormatting sqref="F11:F31">
    <cfRule type="colorScale" priority="3458">
      <colorScale>
        <cfvo type="min"/>
        <cfvo type="percentile" val="50"/>
        <cfvo type="max"/>
        <color rgb="FFF8696B"/>
        <color rgb="FFFFEB84"/>
        <color rgb="FF63BE7B"/>
      </colorScale>
    </cfRule>
  </conditionalFormatting>
  <conditionalFormatting sqref="F11:F31">
    <cfRule type="colorScale" priority="3457">
      <colorScale>
        <cfvo type="min"/>
        <cfvo type="percentile" val="50"/>
        <cfvo type="max"/>
        <color rgb="FFF8696B"/>
        <color rgb="FFFFEB84"/>
        <color rgb="FF63BE7B"/>
      </colorScale>
    </cfRule>
  </conditionalFormatting>
  <conditionalFormatting sqref="F11:F31">
    <cfRule type="colorScale" priority="3456">
      <colorScale>
        <cfvo type="min"/>
        <cfvo type="percentile" val="50"/>
        <cfvo type="max"/>
        <color rgb="FFF8696B"/>
        <color rgb="FFFFEB84"/>
        <color rgb="FF63BE7B"/>
      </colorScale>
    </cfRule>
  </conditionalFormatting>
  <conditionalFormatting sqref="F11:F31">
    <cfRule type="colorScale" priority="3455">
      <colorScale>
        <cfvo type="min"/>
        <cfvo type="percentile" val="50"/>
        <cfvo type="max"/>
        <color rgb="FFF8696B"/>
        <color rgb="FFFFEB84"/>
        <color rgb="FF63BE7B"/>
      </colorScale>
    </cfRule>
  </conditionalFormatting>
  <conditionalFormatting sqref="F11:F31">
    <cfRule type="colorScale" priority="3454">
      <colorScale>
        <cfvo type="min"/>
        <cfvo type="percentile" val="50"/>
        <cfvo type="max"/>
        <color rgb="FFF8696B"/>
        <color rgb="FFFFEB84"/>
        <color rgb="FF63BE7B"/>
      </colorScale>
    </cfRule>
  </conditionalFormatting>
  <conditionalFormatting sqref="F11:F31">
    <cfRule type="colorScale" priority="3453">
      <colorScale>
        <cfvo type="min"/>
        <cfvo type="percentile" val="50"/>
        <cfvo type="max"/>
        <color rgb="FFF8696B"/>
        <color rgb="FFFFEB84"/>
        <color rgb="FF63BE7B"/>
      </colorScale>
    </cfRule>
  </conditionalFormatting>
  <conditionalFormatting sqref="F11:F31">
    <cfRule type="colorScale" priority="3452">
      <colorScale>
        <cfvo type="min"/>
        <cfvo type="percentile" val="50"/>
        <cfvo type="max"/>
        <color rgb="FFF8696B"/>
        <color rgb="FFFFEB84"/>
        <color rgb="FF63BE7B"/>
      </colorScale>
    </cfRule>
  </conditionalFormatting>
  <conditionalFormatting sqref="F11:F31">
    <cfRule type="colorScale" priority="3451">
      <colorScale>
        <cfvo type="min"/>
        <cfvo type="percentile" val="50"/>
        <cfvo type="max"/>
        <color rgb="FFF8696B"/>
        <color rgb="FFFFEB84"/>
        <color rgb="FF63BE7B"/>
      </colorScale>
    </cfRule>
  </conditionalFormatting>
  <conditionalFormatting sqref="F11:F31">
    <cfRule type="colorScale" priority="3450">
      <colorScale>
        <cfvo type="min"/>
        <cfvo type="percentile" val="50"/>
        <cfvo type="max"/>
        <color rgb="FFF8696B"/>
        <color rgb="FFFFEB84"/>
        <color rgb="FF63BE7B"/>
      </colorScale>
    </cfRule>
  </conditionalFormatting>
  <conditionalFormatting sqref="F11:F31">
    <cfRule type="colorScale" priority="3449">
      <colorScale>
        <cfvo type="min"/>
        <cfvo type="percentile" val="50"/>
        <cfvo type="max"/>
        <color rgb="FFF8696B"/>
        <color rgb="FFFFEB84"/>
        <color rgb="FF63BE7B"/>
      </colorScale>
    </cfRule>
  </conditionalFormatting>
  <conditionalFormatting sqref="F11:F31">
    <cfRule type="colorScale" priority="3448">
      <colorScale>
        <cfvo type="min"/>
        <cfvo type="percentile" val="50"/>
        <cfvo type="max"/>
        <color rgb="FFF8696B"/>
        <color rgb="FFFFEB84"/>
        <color rgb="FF63BE7B"/>
      </colorScale>
    </cfRule>
  </conditionalFormatting>
  <conditionalFormatting sqref="F11:F31">
    <cfRule type="colorScale" priority="3447">
      <colorScale>
        <cfvo type="min"/>
        <cfvo type="percentile" val="50"/>
        <cfvo type="max"/>
        <color rgb="FFF8696B"/>
        <color rgb="FFFFEB84"/>
        <color rgb="FF63BE7B"/>
      </colorScale>
    </cfRule>
  </conditionalFormatting>
  <conditionalFormatting sqref="F11:F31">
    <cfRule type="colorScale" priority="3446">
      <colorScale>
        <cfvo type="min"/>
        <cfvo type="percentile" val="50"/>
        <cfvo type="max"/>
        <color rgb="FFF8696B"/>
        <color rgb="FFFFEB84"/>
        <color rgb="FF63BE7B"/>
      </colorScale>
    </cfRule>
  </conditionalFormatting>
  <conditionalFormatting sqref="F11:F31">
    <cfRule type="colorScale" priority="3445">
      <colorScale>
        <cfvo type="min"/>
        <cfvo type="percentile" val="50"/>
        <cfvo type="max"/>
        <color rgb="FFF8696B"/>
        <color rgb="FFFFEB84"/>
        <color rgb="FF63BE7B"/>
      </colorScale>
    </cfRule>
  </conditionalFormatting>
  <conditionalFormatting sqref="F11:F31">
    <cfRule type="colorScale" priority="3444">
      <colorScale>
        <cfvo type="min"/>
        <cfvo type="percentile" val="50"/>
        <cfvo type="max"/>
        <color rgb="FFF8696B"/>
        <color rgb="FFFFEB84"/>
        <color rgb="FF63BE7B"/>
      </colorScale>
    </cfRule>
  </conditionalFormatting>
  <conditionalFormatting sqref="F11:F31">
    <cfRule type="colorScale" priority="3443">
      <colorScale>
        <cfvo type="min"/>
        <cfvo type="percentile" val="50"/>
        <cfvo type="max"/>
        <color rgb="FFF8696B"/>
        <color rgb="FFFFEB84"/>
        <color rgb="FF63BE7B"/>
      </colorScale>
    </cfRule>
  </conditionalFormatting>
  <conditionalFormatting sqref="F11:F31">
    <cfRule type="colorScale" priority="3442">
      <colorScale>
        <cfvo type="min"/>
        <cfvo type="percentile" val="50"/>
        <cfvo type="max"/>
        <color rgb="FFF8696B"/>
        <color rgb="FFFFEB84"/>
        <color rgb="FF63BE7B"/>
      </colorScale>
    </cfRule>
  </conditionalFormatting>
  <conditionalFormatting sqref="F11:F31">
    <cfRule type="colorScale" priority="3441">
      <colorScale>
        <cfvo type="min"/>
        <cfvo type="percentile" val="50"/>
        <cfvo type="max"/>
        <color rgb="FFF8696B"/>
        <color rgb="FFFFEB84"/>
        <color rgb="FF63BE7B"/>
      </colorScale>
    </cfRule>
  </conditionalFormatting>
  <conditionalFormatting sqref="F11:F31">
    <cfRule type="colorScale" priority="3440">
      <colorScale>
        <cfvo type="min"/>
        <cfvo type="percentile" val="50"/>
        <cfvo type="max"/>
        <color rgb="FFF8696B"/>
        <color rgb="FFFFEB84"/>
        <color rgb="FF63BE7B"/>
      </colorScale>
    </cfRule>
  </conditionalFormatting>
  <conditionalFormatting sqref="F11:F31">
    <cfRule type="colorScale" priority="3439">
      <colorScale>
        <cfvo type="min"/>
        <cfvo type="percentile" val="50"/>
        <cfvo type="max"/>
        <color rgb="FFF8696B"/>
        <color rgb="FFFFEB84"/>
        <color rgb="FF63BE7B"/>
      </colorScale>
    </cfRule>
  </conditionalFormatting>
  <conditionalFormatting sqref="F11:F31">
    <cfRule type="colorScale" priority="3438">
      <colorScale>
        <cfvo type="min"/>
        <cfvo type="percentile" val="50"/>
        <cfvo type="max"/>
        <color rgb="FFF8696B"/>
        <color rgb="FFFFEB84"/>
        <color rgb="FF63BE7B"/>
      </colorScale>
    </cfRule>
  </conditionalFormatting>
  <conditionalFormatting sqref="F11:F31">
    <cfRule type="colorScale" priority="3437">
      <colorScale>
        <cfvo type="min"/>
        <cfvo type="percentile" val="50"/>
        <cfvo type="max"/>
        <color rgb="FFF8696B"/>
        <color rgb="FFFFEB84"/>
        <color rgb="FF63BE7B"/>
      </colorScale>
    </cfRule>
  </conditionalFormatting>
  <conditionalFormatting sqref="F11:F31">
    <cfRule type="colorScale" priority="3436">
      <colorScale>
        <cfvo type="min"/>
        <cfvo type="percentile" val="50"/>
        <cfvo type="max"/>
        <color rgb="FFF8696B"/>
        <color rgb="FFFFEB84"/>
        <color rgb="FF63BE7B"/>
      </colorScale>
    </cfRule>
  </conditionalFormatting>
  <conditionalFormatting sqref="F11:F31">
    <cfRule type="colorScale" priority="3435">
      <colorScale>
        <cfvo type="min"/>
        <cfvo type="percentile" val="50"/>
        <cfvo type="max"/>
        <color rgb="FFF8696B"/>
        <color rgb="FFFFEB84"/>
        <color rgb="FF63BE7B"/>
      </colorScale>
    </cfRule>
  </conditionalFormatting>
  <conditionalFormatting sqref="F11:F31">
    <cfRule type="colorScale" priority="3434">
      <colorScale>
        <cfvo type="min"/>
        <cfvo type="percentile" val="50"/>
        <cfvo type="max"/>
        <color rgb="FFF8696B"/>
        <color rgb="FFFFEB84"/>
        <color rgb="FF63BE7B"/>
      </colorScale>
    </cfRule>
  </conditionalFormatting>
  <conditionalFormatting sqref="F11:F31">
    <cfRule type="colorScale" priority="3433">
      <colorScale>
        <cfvo type="min"/>
        <cfvo type="percentile" val="50"/>
        <cfvo type="max"/>
        <color rgb="FFF8696B"/>
        <color rgb="FFFFEB84"/>
        <color rgb="FF63BE7B"/>
      </colorScale>
    </cfRule>
  </conditionalFormatting>
  <conditionalFormatting sqref="F11:F31">
    <cfRule type="colorScale" priority="3432">
      <colorScale>
        <cfvo type="min"/>
        <cfvo type="percentile" val="50"/>
        <cfvo type="max"/>
        <color rgb="FFF8696B"/>
        <color rgb="FFFFEB84"/>
        <color rgb="FF63BE7B"/>
      </colorScale>
    </cfRule>
  </conditionalFormatting>
  <conditionalFormatting sqref="F11:F31">
    <cfRule type="colorScale" priority="3431">
      <colorScale>
        <cfvo type="min"/>
        <cfvo type="percentile" val="50"/>
        <cfvo type="max"/>
        <color rgb="FFF8696B"/>
        <color rgb="FFFFEB84"/>
        <color rgb="FF63BE7B"/>
      </colorScale>
    </cfRule>
  </conditionalFormatting>
  <conditionalFormatting sqref="F11:F31">
    <cfRule type="colorScale" priority="3430">
      <colorScale>
        <cfvo type="min"/>
        <cfvo type="percentile" val="50"/>
        <cfvo type="max"/>
        <color rgb="FFF8696B"/>
        <color rgb="FFFFEB84"/>
        <color rgb="FF63BE7B"/>
      </colorScale>
    </cfRule>
  </conditionalFormatting>
  <conditionalFormatting sqref="F11:F31">
    <cfRule type="colorScale" priority="3429">
      <colorScale>
        <cfvo type="min"/>
        <cfvo type="percentile" val="50"/>
        <cfvo type="max"/>
        <color rgb="FFF8696B"/>
        <color rgb="FFFFEB84"/>
        <color rgb="FF63BE7B"/>
      </colorScale>
    </cfRule>
  </conditionalFormatting>
  <conditionalFormatting sqref="F11:F31">
    <cfRule type="colorScale" priority="3428">
      <colorScale>
        <cfvo type="min"/>
        <cfvo type="percentile" val="50"/>
        <cfvo type="max"/>
        <color rgb="FFF8696B"/>
        <color rgb="FFFFEB84"/>
        <color rgb="FF63BE7B"/>
      </colorScale>
    </cfRule>
  </conditionalFormatting>
  <conditionalFormatting sqref="F11:F31">
    <cfRule type="colorScale" priority="3427">
      <colorScale>
        <cfvo type="min"/>
        <cfvo type="percentile" val="50"/>
        <cfvo type="max"/>
        <color rgb="FFF8696B"/>
        <color rgb="FFFFEB84"/>
        <color rgb="FF63BE7B"/>
      </colorScale>
    </cfRule>
  </conditionalFormatting>
  <conditionalFormatting sqref="F11:F31">
    <cfRule type="colorScale" priority="3426">
      <colorScale>
        <cfvo type="min"/>
        <cfvo type="percentile" val="50"/>
        <cfvo type="max"/>
        <color rgb="FFF8696B"/>
        <color rgb="FFFFEB84"/>
        <color rgb="FF63BE7B"/>
      </colorScale>
    </cfRule>
  </conditionalFormatting>
  <conditionalFormatting sqref="F11:F31">
    <cfRule type="colorScale" priority="3425">
      <colorScale>
        <cfvo type="min"/>
        <cfvo type="percentile" val="50"/>
        <cfvo type="max"/>
        <color rgb="FFF8696B"/>
        <color rgb="FFFFEB84"/>
        <color rgb="FF63BE7B"/>
      </colorScale>
    </cfRule>
  </conditionalFormatting>
  <conditionalFormatting sqref="F11:F31">
    <cfRule type="colorScale" priority="3424">
      <colorScale>
        <cfvo type="min"/>
        <cfvo type="percentile" val="50"/>
        <cfvo type="max"/>
        <color rgb="FFF8696B"/>
        <color rgb="FFFFEB84"/>
        <color rgb="FF63BE7B"/>
      </colorScale>
    </cfRule>
  </conditionalFormatting>
  <conditionalFormatting sqref="F11:F31">
    <cfRule type="colorScale" priority="3423">
      <colorScale>
        <cfvo type="min"/>
        <cfvo type="percentile" val="50"/>
        <cfvo type="max"/>
        <color rgb="FFF8696B"/>
        <color rgb="FFFFEB84"/>
        <color rgb="FF63BE7B"/>
      </colorScale>
    </cfRule>
  </conditionalFormatting>
  <conditionalFormatting sqref="F11:F31">
    <cfRule type="colorScale" priority="3422">
      <colorScale>
        <cfvo type="min"/>
        <cfvo type="percentile" val="50"/>
        <cfvo type="max"/>
        <color rgb="FFF8696B"/>
        <color rgb="FFFFEB84"/>
        <color rgb="FF63BE7B"/>
      </colorScale>
    </cfRule>
  </conditionalFormatting>
  <conditionalFormatting sqref="F11:F31">
    <cfRule type="colorScale" priority="3421">
      <colorScale>
        <cfvo type="min"/>
        <cfvo type="percentile" val="50"/>
        <cfvo type="max"/>
        <color rgb="FFF8696B"/>
        <color rgb="FFFFEB84"/>
        <color rgb="FF63BE7B"/>
      </colorScale>
    </cfRule>
  </conditionalFormatting>
  <conditionalFormatting sqref="F11:F31">
    <cfRule type="colorScale" priority="3420">
      <colorScale>
        <cfvo type="min"/>
        <cfvo type="percentile" val="50"/>
        <cfvo type="max"/>
        <color rgb="FFF8696B"/>
        <color rgb="FFFFEB84"/>
        <color rgb="FF63BE7B"/>
      </colorScale>
    </cfRule>
  </conditionalFormatting>
  <conditionalFormatting sqref="F11:F31">
    <cfRule type="colorScale" priority="3419">
      <colorScale>
        <cfvo type="min"/>
        <cfvo type="percentile" val="50"/>
        <cfvo type="max"/>
        <color rgb="FFF8696B"/>
        <color rgb="FFFFEB84"/>
        <color rgb="FF63BE7B"/>
      </colorScale>
    </cfRule>
  </conditionalFormatting>
  <conditionalFormatting sqref="F11:F31">
    <cfRule type="colorScale" priority="3418">
      <colorScale>
        <cfvo type="min"/>
        <cfvo type="percentile" val="50"/>
        <cfvo type="max"/>
        <color rgb="FFF8696B"/>
        <color rgb="FFFFEB84"/>
        <color rgb="FF63BE7B"/>
      </colorScale>
    </cfRule>
  </conditionalFormatting>
  <conditionalFormatting sqref="F11:F31">
    <cfRule type="colorScale" priority="3417">
      <colorScale>
        <cfvo type="min"/>
        <cfvo type="percentile" val="50"/>
        <cfvo type="max"/>
        <color rgb="FFF8696B"/>
        <color rgb="FFFFEB84"/>
        <color rgb="FF63BE7B"/>
      </colorScale>
    </cfRule>
  </conditionalFormatting>
  <conditionalFormatting sqref="F11:F31">
    <cfRule type="colorScale" priority="3416">
      <colorScale>
        <cfvo type="min"/>
        <cfvo type="percentile" val="50"/>
        <cfvo type="max"/>
        <color rgb="FFF8696B"/>
        <color rgb="FFFFEB84"/>
        <color rgb="FF63BE7B"/>
      </colorScale>
    </cfRule>
  </conditionalFormatting>
  <conditionalFormatting sqref="F11:F31">
    <cfRule type="colorScale" priority="3415">
      <colorScale>
        <cfvo type="min"/>
        <cfvo type="percentile" val="50"/>
        <cfvo type="max"/>
        <color rgb="FFF8696B"/>
        <color rgb="FFFFEB84"/>
        <color rgb="FF63BE7B"/>
      </colorScale>
    </cfRule>
  </conditionalFormatting>
  <conditionalFormatting sqref="F11:F31">
    <cfRule type="colorScale" priority="3414">
      <colorScale>
        <cfvo type="min"/>
        <cfvo type="percentile" val="50"/>
        <cfvo type="max"/>
        <color rgb="FFF8696B"/>
        <color rgb="FFFFEB84"/>
        <color rgb="FF63BE7B"/>
      </colorScale>
    </cfRule>
  </conditionalFormatting>
  <conditionalFormatting sqref="F11:F31">
    <cfRule type="colorScale" priority="3413">
      <colorScale>
        <cfvo type="min"/>
        <cfvo type="percentile" val="50"/>
        <cfvo type="max"/>
        <color rgb="FFF8696B"/>
        <color rgb="FFFFEB84"/>
        <color rgb="FF63BE7B"/>
      </colorScale>
    </cfRule>
  </conditionalFormatting>
  <conditionalFormatting sqref="F11:F31">
    <cfRule type="colorScale" priority="3412">
      <colorScale>
        <cfvo type="min"/>
        <cfvo type="percentile" val="50"/>
        <cfvo type="max"/>
        <color rgb="FFF8696B"/>
        <color rgb="FFFFEB84"/>
        <color rgb="FF63BE7B"/>
      </colorScale>
    </cfRule>
  </conditionalFormatting>
  <conditionalFormatting sqref="F11:F31">
    <cfRule type="colorScale" priority="3411">
      <colorScale>
        <cfvo type="min"/>
        <cfvo type="percentile" val="50"/>
        <cfvo type="max"/>
        <color rgb="FFF8696B"/>
        <color rgb="FFFFEB84"/>
        <color rgb="FF63BE7B"/>
      </colorScale>
    </cfRule>
  </conditionalFormatting>
  <conditionalFormatting sqref="F11:F31">
    <cfRule type="colorScale" priority="3410">
      <colorScale>
        <cfvo type="min"/>
        <cfvo type="percentile" val="50"/>
        <cfvo type="max"/>
        <color rgb="FFF8696B"/>
        <color rgb="FFFFEB84"/>
        <color rgb="FF63BE7B"/>
      </colorScale>
    </cfRule>
  </conditionalFormatting>
  <conditionalFormatting sqref="F11:F31">
    <cfRule type="colorScale" priority="3409">
      <colorScale>
        <cfvo type="min"/>
        <cfvo type="percentile" val="50"/>
        <cfvo type="max"/>
        <color rgb="FFF8696B"/>
        <color rgb="FFFFEB84"/>
        <color rgb="FF63BE7B"/>
      </colorScale>
    </cfRule>
  </conditionalFormatting>
  <conditionalFormatting sqref="F11:F31">
    <cfRule type="colorScale" priority="3408">
      <colorScale>
        <cfvo type="min"/>
        <cfvo type="percentile" val="50"/>
        <cfvo type="max"/>
        <color rgb="FFF8696B"/>
        <color rgb="FFFFEB84"/>
        <color rgb="FF63BE7B"/>
      </colorScale>
    </cfRule>
  </conditionalFormatting>
  <conditionalFormatting sqref="F11:F31">
    <cfRule type="colorScale" priority="3407">
      <colorScale>
        <cfvo type="min"/>
        <cfvo type="percentile" val="50"/>
        <cfvo type="max"/>
        <color rgb="FFF8696B"/>
        <color rgb="FFFFEB84"/>
        <color rgb="FF63BE7B"/>
      </colorScale>
    </cfRule>
  </conditionalFormatting>
  <conditionalFormatting sqref="F11:F31">
    <cfRule type="colorScale" priority="3406">
      <colorScale>
        <cfvo type="min"/>
        <cfvo type="percentile" val="50"/>
        <cfvo type="max"/>
        <color rgb="FFF8696B"/>
        <color rgb="FFFFEB84"/>
        <color rgb="FF63BE7B"/>
      </colorScale>
    </cfRule>
  </conditionalFormatting>
  <conditionalFormatting sqref="F11:F31">
    <cfRule type="colorScale" priority="3405">
      <colorScale>
        <cfvo type="min"/>
        <cfvo type="percentile" val="50"/>
        <cfvo type="max"/>
        <color rgb="FFF8696B"/>
        <color rgb="FFFFEB84"/>
        <color rgb="FF63BE7B"/>
      </colorScale>
    </cfRule>
  </conditionalFormatting>
  <conditionalFormatting sqref="F11:F31">
    <cfRule type="colorScale" priority="3404">
      <colorScale>
        <cfvo type="min"/>
        <cfvo type="percentile" val="50"/>
        <cfvo type="max"/>
        <color rgb="FFF8696B"/>
        <color rgb="FFFFEB84"/>
        <color rgb="FF63BE7B"/>
      </colorScale>
    </cfRule>
  </conditionalFormatting>
  <conditionalFormatting sqref="F11:F31">
    <cfRule type="colorScale" priority="3403">
      <colorScale>
        <cfvo type="min"/>
        <cfvo type="percentile" val="50"/>
        <cfvo type="max"/>
        <color rgb="FFF8696B"/>
        <color rgb="FFFFEB84"/>
        <color rgb="FF63BE7B"/>
      </colorScale>
    </cfRule>
  </conditionalFormatting>
  <conditionalFormatting sqref="F11:F31">
    <cfRule type="colorScale" priority="3402">
      <colorScale>
        <cfvo type="min"/>
        <cfvo type="percentile" val="50"/>
        <cfvo type="max"/>
        <color rgb="FFF8696B"/>
        <color rgb="FFFFEB84"/>
        <color rgb="FF63BE7B"/>
      </colorScale>
    </cfRule>
  </conditionalFormatting>
  <conditionalFormatting sqref="F11:F31">
    <cfRule type="colorScale" priority="3401">
      <colorScale>
        <cfvo type="min"/>
        <cfvo type="percentile" val="50"/>
        <cfvo type="max"/>
        <color rgb="FFF8696B"/>
        <color rgb="FFFFEB84"/>
        <color rgb="FF63BE7B"/>
      </colorScale>
    </cfRule>
  </conditionalFormatting>
  <conditionalFormatting sqref="F11:F31">
    <cfRule type="colorScale" priority="3400">
      <colorScale>
        <cfvo type="min"/>
        <cfvo type="percentile" val="50"/>
        <cfvo type="max"/>
        <color rgb="FFF8696B"/>
        <color rgb="FFFFEB84"/>
        <color rgb="FF63BE7B"/>
      </colorScale>
    </cfRule>
  </conditionalFormatting>
  <conditionalFormatting sqref="F11:F31">
    <cfRule type="colorScale" priority="3399">
      <colorScale>
        <cfvo type="min"/>
        <cfvo type="percentile" val="50"/>
        <cfvo type="max"/>
        <color rgb="FFF8696B"/>
        <color rgb="FFFFEB84"/>
        <color rgb="FF63BE7B"/>
      </colorScale>
    </cfRule>
  </conditionalFormatting>
  <conditionalFormatting sqref="F11:F31">
    <cfRule type="colorScale" priority="3398">
      <colorScale>
        <cfvo type="min"/>
        <cfvo type="percentile" val="50"/>
        <cfvo type="max"/>
        <color rgb="FFF8696B"/>
        <color rgb="FFFFEB84"/>
        <color rgb="FF63BE7B"/>
      </colorScale>
    </cfRule>
  </conditionalFormatting>
  <conditionalFormatting sqref="F11:F31">
    <cfRule type="colorScale" priority="3397">
      <colorScale>
        <cfvo type="min"/>
        <cfvo type="percentile" val="50"/>
        <cfvo type="max"/>
        <color rgb="FFF8696B"/>
        <color rgb="FFFFEB84"/>
        <color rgb="FF63BE7B"/>
      </colorScale>
    </cfRule>
  </conditionalFormatting>
  <conditionalFormatting sqref="F11:F31">
    <cfRule type="colorScale" priority="3396">
      <colorScale>
        <cfvo type="min"/>
        <cfvo type="percentile" val="50"/>
        <cfvo type="max"/>
        <color rgb="FFF8696B"/>
        <color rgb="FFFFEB84"/>
        <color rgb="FF63BE7B"/>
      </colorScale>
    </cfRule>
  </conditionalFormatting>
  <conditionalFormatting sqref="F11:F31">
    <cfRule type="colorScale" priority="3395">
      <colorScale>
        <cfvo type="min"/>
        <cfvo type="percentile" val="50"/>
        <cfvo type="max"/>
        <color rgb="FFF8696B"/>
        <color rgb="FFFFEB84"/>
        <color rgb="FF63BE7B"/>
      </colorScale>
    </cfRule>
  </conditionalFormatting>
  <conditionalFormatting sqref="F11:F31">
    <cfRule type="colorScale" priority="3394">
      <colorScale>
        <cfvo type="min"/>
        <cfvo type="percentile" val="50"/>
        <cfvo type="max"/>
        <color rgb="FFF8696B"/>
        <color rgb="FFFFEB84"/>
        <color rgb="FF63BE7B"/>
      </colorScale>
    </cfRule>
  </conditionalFormatting>
  <conditionalFormatting sqref="F11:F31">
    <cfRule type="colorScale" priority="3393">
      <colorScale>
        <cfvo type="min"/>
        <cfvo type="percentile" val="50"/>
        <cfvo type="max"/>
        <color rgb="FFF8696B"/>
        <color rgb="FFFFEB84"/>
        <color rgb="FF63BE7B"/>
      </colorScale>
    </cfRule>
  </conditionalFormatting>
  <conditionalFormatting sqref="F11:F31">
    <cfRule type="colorScale" priority="3392">
      <colorScale>
        <cfvo type="min"/>
        <cfvo type="percentile" val="50"/>
        <cfvo type="max"/>
        <color rgb="FFF8696B"/>
        <color rgb="FFFFEB84"/>
        <color rgb="FF63BE7B"/>
      </colorScale>
    </cfRule>
  </conditionalFormatting>
  <conditionalFormatting sqref="F11:F31">
    <cfRule type="colorScale" priority="3391">
      <colorScale>
        <cfvo type="min"/>
        <cfvo type="percentile" val="50"/>
        <cfvo type="max"/>
        <color rgb="FFF8696B"/>
        <color rgb="FFFFEB84"/>
        <color rgb="FF63BE7B"/>
      </colorScale>
    </cfRule>
  </conditionalFormatting>
  <conditionalFormatting sqref="F11:F31">
    <cfRule type="colorScale" priority="3390">
      <colorScale>
        <cfvo type="min"/>
        <cfvo type="percentile" val="50"/>
        <cfvo type="max"/>
        <color rgb="FFF8696B"/>
        <color rgb="FFFFEB84"/>
        <color rgb="FF63BE7B"/>
      </colorScale>
    </cfRule>
  </conditionalFormatting>
  <conditionalFormatting sqref="F11:F31">
    <cfRule type="colorScale" priority="3389">
      <colorScale>
        <cfvo type="min"/>
        <cfvo type="percentile" val="50"/>
        <cfvo type="max"/>
        <color rgb="FFF8696B"/>
        <color rgb="FFFFEB84"/>
        <color rgb="FF63BE7B"/>
      </colorScale>
    </cfRule>
  </conditionalFormatting>
  <conditionalFormatting sqref="F11:F31">
    <cfRule type="colorScale" priority="3388">
      <colorScale>
        <cfvo type="min"/>
        <cfvo type="percentile" val="50"/>
        <cfvo type="max"/>
        <color rgb="FFF8696B"/>
        <color rgb="FFFFEB84"/>
        <color rgb="FF63BE7B"/>
      </colorScale>
    </cfRule>
  </conditionalFormatting>
  <conditionalFormatting sqref="F11:F31">
    <cfRule type="colorScale" priority="3387">
      <colorScale>
        <cfvo type="min"/>
        <cfvo type="percentile" val="50"/>
        <cfvo type="max"/>
        <color rgb="FFF8696B"/>
        <color rgb="FFFFEB84"/>
        <color rgb="FF63BE7B"/>
      </colorScale>
    </cfRule>
  </conditionalFormatting>
  <conditionalFormatting sqref="F11:F31">
    <cfRule type="colorScale" priority="3386">
      <colorScale>
        <cfvo type="min"/>
        <cfvo type="percentile" val="50"/>
        <cfvo type="max"/>
        <color rgb="FFF8696B"/>
        <color rgb="FFFFEB84"/>
        <color rgb="FF63BE7B"/>
      </colorScale>
    </cfRule>
  </conditionalFormatting>
  <conditionalFormatting sqref="F11:F31">
    <cfRule type="colorScale" priority="3385">
      <colorScale>
        <cfvo type="min"/>
        <cfvo type="percentile" val="50"/>
        <cfvo type="max"/>
        <color rgb="FFF8696B"/>
        <color rgb="FFFFEB84"/>
        <color rgb="FF63BE7B"/>
      </colorScale>
    </cfRule>
  </conditionalFormatting>
  <conditionalFormatting sqref="F11:F31">
    <cfRule type="colorScale" priority="3384">
      <colorScale>
        <cfvo type="min"/>
        <cfvo type="percentile" val="50"/>
        <cfvo type="max"/>
        <color rgb="FFF8696B"/>
        <color rgb="FFFFEB84"/>
        <color rgb="FF63BE7B"/>
      </colorScale>
    </cfRule>
  </conditionalFormatting>
  <conditionalFormatting sqref="F11:F31">
    <cfRule type="colorScale" priority="3383">
      <colorScale>
        <cfvo type="min"/>
        <cfvo type="percentile" val="50"/>
        <cfvo type="max"/>
        <color rgb="FFF8696B"/>
        <color rgb="FFFFEB84"/>
        <color rgb="FF63BE7B"/>
      </colorScale>
    </cfRule>
  </conditionalFormatting>
  <conditionalFormatting sqref="F11:F32">
    <cfRule type="colorScale" priority="3382">
      <colorScale>
        <cfvo type="min"/>
        <cfvo type="percentile" val="50"/>
        <cfvo type="max"/>
        <color rgb="FFF8696B"/>
        <color rgb="FFFFEB84"/>
        <color rgb="FF63BE7B"/>
      </colorScale>
    </cfRule>
  </conditionalFormatting>
  <conditionalFormatting sqref="F11:F32">
    <cfRule type="colorScale" priority="3381">
      <colorScale>
        <cfvo type="min"/>
        <cfvo type="percentile" val="50"/>
        <cfvo type="max"/>
        <color rgb="FFF8696B"/>
        <color rgb="FFFFEB84"/>
        <color rgb="FF63BE7B"/>
      </colorScale>
    </cfRule>
  </conditionalFormatting>
  <conditionalFormatting sqref="F11:F31">
    <cfRule type="colorScale" priority="3380">
      <colorScale>
        <cfvo type="min"/>
        <cfvo type="percentile" val="50"/>
        <cfvo type="max"/>
        <color rgb="FFF8696B"/>
        <color rgb="FFFFEB84"/>
        <color rgb="FF63BE7B"/>
      </colorScale>
    </cfRule>
  </conditionalFormatting>
  <conditionalFormatting sqref="F11:F31">
    <cfRule type="colorScale" priority="3379">
      <colorScale>
        <cfvo type="min"/>
        <cfvo type="percentile" val="50"/>
        <cfvo type="max"/>
        <color rgb="FFF8696B"/>
        <color rgb="FFFFEB84"/>
        <color rgb="FF63BE7B"/>
      </colorScale>
    </cfRule>
  </conditionalFormatting>
  <conditionalFormatting sqref="F11:F31">
    <cfRule type="colorScale" priority="3378">
      <colorScale>
        <cfvo type="min"/>
        <cfvo type="percentile" val="50"/>
        <cfvo type="max"/>
        <color rgb="FFF8696B"/>
        <color rgb="FFFFEB84"/>
        <color rgb="FF63BE7B"/>
      </colorScale>
    </cfRule>
  </conditionalFormatting>
  <conditionalFormatting sqref="F11:F31">
    <cfRule type="colorScale" priority="3377">
      <colorScale>
        <cfvo type="min"/>
        <cfvo type="percentile" val="50"/>
        <cfvo type="max"/>
        <color rgb="FFF8696B"/>
        <color rgb="FFFFEB84"/>
        <color rgb="FF63BE7B"/>
      </colorScale>
    </cfRule>
  </conditionalFormatting>
  <conditionalFormatting sqref="F11:F28">
    <cfRule type="colorScale" priority="3376">
      <colorScale>
        <cfvo type="min"/>
        <cfvo type="percentile" val="50"/>
        <cfvo type="max"/>
        <color rgb="FFF8696B"/>
        <color rgb="FFFFEB84"/>
        <color rgb="FF63BE7B"/>
      </colorScale>
    </cfRule>
  </conditionalFormatting>
  <conditionalFormatting sqref="F11:F28">
    <cfRule type="colorScale" priority="3375">
      <colorScale>
        <cfvo type="min"/>
        <cfvo type="percentile" val="50"/>
        <cfvo type="max"/>
        <color rgb="FFF8696B"/>
        <color rgb="FFFFEB84"/>
        <color rgb="FF63BE7B"/>
      </colorScale>
    </cfRule>
  </conditionalFormatting>
  <conditionalFormatting sqref="F11:F31">
    <cfRule type="colorScale" priority="3374">
      <colorScale>
        <cfvo type="min"/>
        <cfvo type="percentile" val="50"/>
        <cfvo type="max"/>
        <color rgb="FFF8696B"/>
        <color rgb="FFFFEB84"/>
        <color rgb="FF63BE7B"/>
      </colorScale>
    </cfRule>
  </conditionalFormatting>
  <conditionalFormatting sqref="F11:F31">
    <cfRule type="colorScale" priority="3373">
      <colorScale>
        <cfvo type="min"/>
        <cfvo type="percentile" val="50"/>
        <cfvo type="max"/>
        <color rgb="FFF8696B"/>
        <color rgb="FFFFEB84"/>
        <color rgb="FF63BE7B"/>
      </colorScale>
    </cfRule>
  </conditionalFormatting>
  <conditionalFormatting sqref="F11:F32">
    <cfRule type="colorScale" priority="3372">
      <colorScale>
        <cfvo type="min"/>
        <cfvo type="percentile" val="50"/>
        <cfvo type="max"/>
        <color rgb="FFF8696B"/>
        <color rgb="FFFFEB84"/>
        <color rgb="FF63BE7B"/>
      </colorScale>
    </cfRule>
  </conditionalFormatting>
  <conditionalFormatting sqref="F11:F32">
    <cfRule type="colorScale" priority="3371">
      <colorScale>
        <cfvo type="min"/>
        <cfvo type="percentile" val="50"/>
        <cfvo type="max"/>
        <color rgb="FFF8696B"/>
        <color rgb="FFFFEB84"/>
        <color rgb="FF63BE7B"/>
      </colorScale>
    </cfRule>
  </conditionalFormatting>
  <conditionalFormatting sqref="F11:F31">
    <cfRule type="colorScale" priority="3370">
      <colorScale>
        <cfvo type="min"/>
        <cfvo type="percentile" val="50"/>
        <cfvo type="max"/>
        <color rgb="FFF8696B"/>
        <color rgb="FFFFEB84"/>
        <color rgb="FF63BE7B"/>
      </colorScale>
    </cfRule>
  </conditionalFormatting>
  <conditionalFormatting sqref="F11:F31">
    <cfRule type="colorScale" priority="3369">
      <colorScale>
        <cfvo type="min"/>
        <cfvo type="percentile" val="50"/>
        <cfvo type="max"/>
        <color rgb="FFF8696B"/>
        <color rgb="FFFFEB84"/>
        <color rgb="FF63BE7B"/>
      </colorScale>
    </cfRule>
  </conditionalFormatting>
  <conditionalFormatting sqref="F11:F31">
    <cfRule type="colorScale" priority="3368">
      <colorScale>
        <cfvo type="min"/>
        <cfvo type="percentile" val="50"/>
        <cfvo type="max"/>
        <color rgb="FFF8696B"/>
        <color rgb="FFFFEB84"/>
        <color rgb="FF63BE7B"/>
      </colorScale>
    </cfRule>
  </conditionalFormatting>
  <conditionalFormatting sqref="F11:F31">
    <cfRule type="colorScale" priority="3367">
      <colorScale>
        <cfvo type="min"/>
        <cfvo type="percentile" val="50"/>
        <cfvo type="max"/>
        <color rgb="FFF8696B"/>
        <color rgb="FFFFEB84"/>
        <color rgb="FF63BE7B"/>
      </colorScale>
    </cfRule>
  </conditionalFormatting>
  <conditionalFormatting sqref="F11:F31">
    <cfRule type="colorScale" priority="3366">
      <colorScale>
        <cfvo type="min"/>
        <cfvo type="percentile" val="50"/>
        <cfvo type="max"/>
        <color rgb="FFF8696B"/>
        <color rgb="FFFFEB84"/>
        <color rgb="FF63BE7B"/>
      </colorScale>
    </cfRule>
  </conditionalFormatting>
  <conditionalFormatting sqref="F11:F31">
    <cfRule type="colorScale" priority="3365">
      <colorScale>
        <cfvo type="min"/>
        <cfvo type="percentile" val="50"/>
        <cfvo type="max"/>
        <color rgb="FFF8696B"/>
        <color rgb="FFFFEB84"/>
        <color rgb="FF63BE7B"/>
      </colorScale>
    </cfRule>
  </conditionalFormatting>
  <conditionalFormatting sqref="F11:F31">
    <cfRule type="colorScale" priority="3364">
      <colorScale>
        <cfvo type="min"/>
        <cfvo type="percentile" val="50"/>
        <cfvo type="max"/>
        <color rgb="FFF8696B"/>
        <color rgb="FFFFEB84"/>
        <color rgb="FF63BE7B"/>
      </colorScale>
    </cfRule>
  </conditionalFormatting>
  <conditionalFormatting sqref="F11:F31">
    <cfRule type="colorScale" priority="3363">
      <colorScale>
        <cfvo type="min"/>
        <cfvo type="percentile" val="50"/>
        <cfvo type="max"/>
        <color rgb="FFF8696B"/>
        <color rgb="FFFFEB84"/>
        <color rgb="FF63BE7B"/>
      </colorScale>
    </cfRule>
  </conditionalFormatting>
  <conditionalFormatting sqref="F11:F31">
    <cfRule type="colorScale" priority="3362">
      <colorScale>
        <cfvo type="min"/>
        <cfvo type="percentile" val="50"/>
        <cfvo type="max"/>
        <color rgb="FFF8696B"/>
        <color rgb="FFFFEB84"/>
        <color rgb="FF63BE7B"/>
      </colorScale>
    </cfRule>
  </conditionalFormatting>
  <conditionalFormatting sqref="F11:F31">
    <cfRule type="colorScale" priority="3361">
      <colorScale>
        <cfvo type="min"/>
        <cfvo type="percentile" val="50"/>
        <cfvo type="max"/>
        <color rgb="FFF8696B"/>
        <color rgb="FFFFEB84"/>
        <color rgb="FF63BE7B"/>
      </colorScale>
    </cfRule>
  </conditionalFormatting>
  <conditionalFormatting sqref="F29:F31">
    <cfRule type="colorScale" priority="3360">
      <colorScale>
        <cfvo type="min"/>
        <cfvo type="percentile" val="50"/>
        <cfvo type="max"/>
        <color rgb="FFF8696B"/>
        <color rgb="FFFFEB84"/>
        <color rgb="FF63BE7B"/>
      </colorScale>
    </cfRule>
  </conditionalFormatting>
  <conditionalFormatting sqref="F29:F31">
    <cfRule type="colorScale" priority="3359">
      <colorScale>
        <cfvo type="min"/>
        <cfvo type="percentile" val="50"/>
        <cfvo type="max"/>
        <color rgb="FFF8696B"/>
        <color rgb="FFFFEB84"/>
        <color rgb="FF63BE7B"/>
      </colorScale>
    </cfRule>
  </conditionalFormatting>
  <conditionalFormatting sqref="F32">
    <cfRule type="colorScale" priority="3358">
      <colorScale>
        <cfvo type="min"/>
        <cfvo type="percentile" val="50"/>
        <cfvo type="max"/>
        <color rgb="FFF8696B"/>
        <color rgb="FFFFEB84"/>
        <color rgb="FF63BE7B"/>
      </colorScale>
    </cfRule>
  </conditionalFormatting>
  <conditionalFormatting sqref="F32">
    <cfRule type="colorScale" priority="3357">
      <colorScale>
        <cfvo type="min"/>
        <cfvo type="percentile" val="50"/>
        <cfvo type="max"/>
        <color rgb="FFF8696B"/>
        <color rgb="FFFFEB84"/>
        <color rgb="FF63BE7B"/>
      </colorScale>
    </cfRule>
  </conditionalFormatting>
  <conditionalFormatting sqref="F32">
    <cfRule type="colorScale" priority="3356">
      <colorScale>
        <cfvo type="min"/>
        <cfvo type="percentile" val="50"/>
        <cfvo type="max"/>
        <color rgb="FFF8696B"/>
        <color rgb="FFFFEB84"/>
        <color rgb="FF63BE7B"/>
      </colorScale>
    </cfRule>
  </conditionalFormatting>
  <conditionalFormatting sqref="F32">
    <cfRule type="colorScale" priority="3355">
      <colorScale>
        <cfvo type="min"/>
        <cfvo type="percentile" val="50"/>
        <cfvo type="max"/>
        <color rgb="FFF8696B"/>
        <color rgb="FFFFEB84"/>
        <color rgb="FF63BE7B"/>
      </colorScale>
    </cfRule>
  </conditionalFormatting>
  <conditionalFormatting sqref="F32">
    <cfRule type="colorScale" priority="3354">
      <colorScale>
        <cfvo type="min"/>
        <cfvo type="percentile" val="50"/>
        <cfvo type="max"/>
        <color rgb="FFF8696B"/>
        <color rgb="FFFFEB84"/>
        <color rgb="FF63BE7B"/>
      </colorScale>
    </cfRule>
  </conditionalFormatting>
  <conditionalFormatting sqref="F32">
    <cfRule type="colorScale" priority="3353">
      <colorScale>
        <cfvo type="min"/>
        <cfvo type="percentile" val="50"/>
        <cfvo type="max"/>
        <color rgb="FFF8696B"/>
        <color rgb="FFFFEB84"/>
        <color rgb="FF63BE7B"/>
      </colorScale>
    </cfRule>
  </conditionalFormatting>
  <conditionalFormatting sqref="F32">
    <cfRule type="colorScale" priority="3352">
      <colorScale>
        <cfvo type="min"/>
        <cfvo type="percentile" val="50"/>
        <cfvo type="max"/>
        <color rgb="FFF8696B"/>
        <color rgb="FFFFEB84"/>
        <color rgb="FF63BE7B"/>
      </colorScale>
    </cfRule>
  </conditionalFormatting>
  <conditionalFormatting sqref="F32">
    <cfRule type="colorScale" priority="3351">
      <colorScale>
        <cfvo type="min"/>
        <cfvo type="percentile" val="50"/>
        <cfvo type="max"/>
        <color rgb="FFF8696B"/>
        <color rgb="FFFFEB84"/>
        <color rgb="FF63BE7B"/>
      </colorScale>
    </cfRule>
  </conditionalFormatting>
  <conditionalFormatting sqref="F32">
    <cfRule type="colorScale" priority="3350">
      <colorScale>
        <cfvo type="min"/>
        <cfvo type="percentile" val="50"/>
        <cfvo type="max"/>
        <color rgb="FFF8696B"/>
        <color rgb="FFFFEB84"/>
        <color rgb="FF63BE7B"/>
      </colorScale>
    </cfRule>
  </conditionalFormatting>
  <conditionalFormatting sqref="F32">
    <cfRule type="colorScale" priority="3349">
      <colorScale>
        <cfvo type="min"/>
        <cfvo type="percentile" val="50"/>
        <cfvo type="max"/>
        <color rgb="FFF8696B"/>
        <color rgb="FFFFEB84"/>
        <color rgb="FF63BE7B"/>
      </colorScale>
    </cfRule>
  </conditionalFormatting>
  <conditionalFormatting sqref="F32">
    <cfRule type="colorScale" priority="3348">
      <colorScale>
        <cfvo type="min"/>
        <cfvo type="percentile" val="50"/>
        <cfvo type="max"/>
        <color rgb="FFF8696B"/>
        <color rgb="FFFFEB84"/>
        <color rgb="FF63BE7B"/>
      </colorScale>
    </cfRule>
  </conditionalFormatting>
  <conditionalFormatting sqref="F32">
    <cfRule type="colorScale" priority="3347">
      <colorScale>
        <cfvo type="min"/>
        <cfvo type="percentile" val="50"/>
        <cfvo type="max"/>
        <color rgb="FFF8696B"/>
        <color rgb="FFFFEB84"/>
        <color rgb="FF63BE7B"/>
      </colorScale>
    </cfRule>
  </conditionalFormatting>
  <conditionalFormatting sqref="F32">
    <cfRule type="colorScale" priority="3346">
      <colorScale>
        <cfvo type="min"/>
        <cfvo type="percentile" val="50"/>
        <cfvo type="max"/>
        <color rgb="FFF8696B"/>
        <color rgb="FFFFEB84"/>
        <color rgb="FF63BE7B"/>
      </colorScale>
    </cfRule>
  </conditionalFormatting>
  <conditionalFormatting sqref="F32">
    <cfRule type="colorScale" priority="3345">
      <colorScale>
        <cfvo type="min"/>
        <cfvo type="percentile" val="50"/>
        <cfvo type="max"/>
        <color rgb="FFF8696B"/>
        <color rgb="FFFFEB84"/>
        <color rgb="FF63BE7B"/>
      </colorScale>
    </cfRule>
  </conditionalFormatting>
  <conditionalFormatting sqref="F32">
    <cfRule type="colorScale" priority="3344">
      <colorScale>
        <cfvo type="min"/>
        <cfvo type="percentile" val="50"/>
        <cfvo type="max"/>
        <color rgb="FFF8696B"/>
        <color rgb="FFFFEB84"/>
        <color rgb="FF63BE7B"/>
      </colorScale>
    </cfRule>
  </conditionalFormatting>
  <conditionalFormatting sqref="F32">
    <cfRule type="colorScale" priority="3343">
      <colorScale>
        <cfvo type="min"/>
        <cfvo type="percentile" val="50"/>
        <cfvo type="max"/>
        <color rgb="FFF8696B"/>
        <color rgb="FFFFEB84"/>
        <color rgb="FF63BE7B"/>
      </colorScale>
    </cfRule>
  </conditionalFormatting>
  <conditionalFormatting sqref="F32">
    <cfRule type="colorScale" priority="3342">
      <colorScale>
        <cfvo type="min"/>
        <cfvo type="percentile" val="50"/>
        <cfvo type="max"/>
        <color rgb="FFF8696B"/>
        <color rgb="FFFFEB84"/>
        <color rgb="FF63BE7B"/>
      </colorScale>
    </cfRule>
  </conditionalFormatting>
  <conditionalFormatting sqref="F32">
    <cfRule type="colorScale" priority="3341">
      <colorScale>
        <cfvo type="min"/>
        <cfvo type="percentile" val="50"/>
        <cfvo type="max"/>
        <color rgb="FFF8696B"/>
        <color rgb="FFFFEB84"/>
        <color rgb="FF63BE7B"/>
      </colorScale>
    </cfRule>
  </conditionalFormatting>
  <conditionalFormatting sqref="F32">
    <cfRule type="colorScale" priority="3340">
      <colorScale>
        <cfvo type="min"/>
        <cfvo type="percentile" val="50"/>
        <cfvo type="max"/>
        <color rgb="FFF8696B"/>
        <color rgb="FFFFEB84"/>
        <color rgb="FF63BE7B"/>
      </colorScale>
    </cfRule>
  </conditionalFormatting>
  <conditionalFormatting sqref="F32">
    <cfRule type="colorScale" priority="3339">
      <colorScale>
        <cfvo type="min"/>
        <cfvo type="percentile" val="50"/>
        <cfvo type="max"/>
        <color rgb="FFF8696B"/>
        <color rgb="FFFFEB84"/>
        <color rgb="FF63BE7B"/>
      </colorScale>
    </cfRule>
  </conditionalFormatting>
  <conditionalFormatting sqref="F32">
    <cfRule type="colorScale" priority="3338">
      <colorScale>
        <cfvo type="min"/>
        <cfvo type="percentile" val="50"/>
        <cfvo type="max"/>
        <color rgb="FFF8696B"/>
        <color rgb="FFFFEB84"/>
        <color rgb="FF63BE7B"/>
      </colorScale>
    </cfRule>
  </conditionalFormatting>
  <conditionalFormatting sqref="F32">
    <cfRule type="colorScale" priority="3337">
      <colorScale>
        <cfvo type="min"/>
        <cfvo type="percentile" val="50"/>
        <cfvo type="max"/>
        <color rgb="FFF8696B"/>
        <color rgb="FFFFEB84"/>
        <color rgb="FF63BE7B"/>
      </colorScale>
    </cfRule>
  </conditionalFormatting>
  <conditionalFormatting sqref="F32">
    <cfRule type="colorScale" priority="3336">
      <colorScale>
        <cfvo type="min"/>
        <cfvo type="percentile" val="50"/>
        <cfvo type="max"/>
        <color rgb="FFF8696B"/>
        <color rgb="FFFFEB84"/>
        <color rgb="FF63BE7B"/>
      </colorScale>
    </cfRule>
  </conditionalFormatting>
  <conditionalFormatting sqref="F32">
    <cfRule type="colorScale" priority="3335">
      <colorScale>
        <cfvo type="min"/>
        <cfvo type="percentile" val="50"/>
        <cfvo type="max"/>
        <color rgb="FFF8696B"/>
        <color rgb="FFFFEB84"/>
        <color rgb="FF63BE7B"/>
      </colorScale>
    </cfRule>
  </conditionalFormatting>
  <conditionalFormatting sqref="F32">
    <cfRule type="colorScale" priority="3334">
      <colorScale>
        <cfvo type="min"/>
        <cfvo type="percentile" val="50"/>
        <cfvo type="max"/>
        <color rgb="FFF8696B"/>
        <color rgb="FFFFEB84"/>
        <color rgb="FF63BE7B"/>
      </colorScale>
    </cfRule>
  </conditionalFormatting>
  <conditionalFormatting sqref="F32">
    <cfRule type="colorScale" priority="3333">
      <colorScale>
        <cfvo type="min"/>
        <cfvo type="percentile" val="50"/>
        <cfvo type="max"/>
        <color rgb="FFF8696B"/>
        <color rgb="FFFFEB84"/>
        <color rgb="FF63BE7B"/>
      </colorScale>
    </cfRule>
  </conditionalFormatting>
  <conditionalFormatting sqref="F32">
    <cfRule type="colorScale" priority="3332">
      <colorScale>
        <cfvo type="min"/>
        <cfvo type="percentile" val="50"/>
        <cfvo type="max"/>
        <color rgb="FFF8696B"/>
        <color rgb="FFFFEB84"/>
        <color rgb="FF63BE7B"/>
      </colorScale>
    </cfRule>
  </conditionalFormatting>
  <conditionalFormatting sqref="F32">
    <cfRule type="colorScale" priority="3331">
      <colorScale>
        <cfvo type="min"/>
        <cfvo type="percentile" val="50"/>
        <cfvo type="max"/>
        <color rgb="FFF8696B"/>
        <color rgb="FFFFEB84"/>
        <color rgb="FF63BE7B"/>
      </colorScale>
    </cfRule>
  </conditionalFormatting>
  <conditionalFormatting sqref="F32">
    <cfRule type="colorScale" priority="3330">
      <colorScale>
        <cfvo type="min"/>
        <cfvo type="percentile" val="50"/>
        <cfvo type="max"/>
        <color rgb="FFF8696B"/>
        <color rgb="FFFFEB84"/>
        <color rgb="FF63BE7B"/>
      </colorScale>
    </cfRule>
  </conditionalFormatting>
  <conditionalFormatting sqref="F32">
    <cfRule type="colorScale" priority="3329">
      <colorScale>
        <cfvo type="min"/>
        <cfvo type="percentile" val="50"/>
        <cfvo type="max"/>
        <color rgb="FFF8696B"/>
        <color rgb="FFFFEB84"/>
        <color rgb="FF63BE7B"/>
      </colorScale>
    </cfRule>
  </conditionalFormatting>
  <conditionalFormatting sqref="F32">
    <cfRule type="colorScale" priority="3328">
      <colorScale>
        <cfvo type="min"/>
        <cfvo type="percentile" val="50"/>
        <cfvo type="max"/>
        <color rgb="FFF8696B"/>
        <color rgb="FFFFEB84"/>
        <color rgb="FF63BE7B"/>
      </colorScale>
    </cfRule>
  </conditionalFormatting>
  <conditionalFormatting sqref="F32">
    <cfRule type="colorScale" priority="3327">
      <colorScale>
        <cfvo type="min"/>
        <cfvo type="percentile" val="50"/>
        <cfvo type="max"/>
        <color rgb="FFF8696B"/>
        <color rgb="FFFFEB84"/>
        <color rgb="FF63BE7B"/>
      </colorScale>
    </cfRule>
  </conditionalFormatting>
  <conditionalFormatting sqref="F32">
    <cfRule type="colorScale" priority="3326">
      <colorScale>
        <cfvo type="min"/>
        <cfvo type="percentile" val="50"/>
        <cfvo type="max"/>
        <color rgb="FFF8696B"/>
        <color rgb="FFFFEB84"/>
        <color rgb="FF63BE7B"/>
      </colorScale>
    </cfRule>
  </conditionalFormatting>
  <conditionalFormatting sqref="F32">
    <cfRule type="colorScale" priority="3325">
      <colorScale>
        <cfvo type="min"/>
        <cfvo type="percentile" val="50"/>
        <cfvo type="max"/>
        <color rgb="FFF8696B"/>
        <color rgb="FFFFEB84"/>
        <color rgb="FF63BE7B"/>
      </colorScale>
    </cfRule>
  </conditionalFormatting>
  <conditionalFormatting sqref="F32">
    <cfRule type="colorScale" priority="3324">
      <colorScale>
        <cfvo type="min"/>
        <cfvo type="percentile" val="50"/>
        <cfvo type="max"/>
        <color rgb="FFF8696B"/>
        <color rgb="FFFFEB84"/>
        <color rgb="FF63BE7B"/>
      </colorScale>
    </cfRule>
  </conditionalFormatting>
  <conditionalFormatting sqref="F32">
    <cfRule type="colorScale" priority="3323">
      <colorScale>
        <cfvo type="min"/>
        <cfvo type="percentile" val="50"/>
        <cfvo type="max"/>
        <color rgb="FFF8696B"/>
        <color rgb="FFFFEB84"/>
        <color rgb="FF63BE7B"/>
      </colorScale>
    </cfRule>
  </conditionalFormatting>
  <conditionalFormatting sqref="F32">
    <cfRule type="colorScale" priority="3322">
      <colorScale>
        <cfvo type="min"/>
        <cfvo type="percentile" val="50"/>
        <cfvo type="max"/>
        <color rgb="FFF8696B"/>
        <color rgb="FFFFEB84"/>
        <color rgb="FF63BE7B"/>
      </colorScale>
    </cfRule>
  </conditionalFormatting>
  <conditionalFormatting sqref="F32">
    <cfRule type="colorScale" priority="3321">
      <colorScale>
        <cfvo type="min"/>
        <cfvo type="percentile" val="50"/>
        <cfvo type="max"/>
        <color rgb="FFF8696B"/>
        <color rgb="FFFFEB84"/>
        <color rgb="FF63BE7B"/>
      </colorScale>
    </cfRule>
  </conditionalFormatting>
  <conditionalFormatting sqref="F32">
    <cfRule type="colorScale" priority="3320">
      <colorScale>
        <cfvo type="min"/>
        <cfvo type="percentile" val="50"/>
        <cfvo type="max"/>
        <color rgb="FFF8696B"/>
        <color rgb="FFFFEB84"/>
        <color rgb="FF63BE7B"/>
      </colorScale>
    </cfRule>
  </conditionalFormatting>
  <conditionalFormatting sqref="F32">
    <cfRule type="colorScale" priority="3319">
      <colorScale>
        <cfvo type="min"/>
        <cfvo type="percentile" val="50"/>
        <cfvo type="max"/>
        <color rgb="FFF8696B"/>
        <color rgb="FFFFEB84"/>
        <color rgb="FF63BE7B"/>
      </colorScale>
    </cfRule>
  </conditionalFormatting>
  <conditionalFormatting sqref="F32">
    <cfRule type="colorScale" priority="3318">
      <colorScale>
        <cfvo type="min"/>
        <cfvo type="percentile" val="50"/>
        <cfvo type="max"/>
        <color rgb="FFF8696B"/>
        <color rgb="FFFFEB84"/>
        <color rgb="FF63BE7B"/>
      </colorScale>
    </cfRule>
  </conditionalFormatting>
  <conditionalFormatting sqref="F32">
    <cfRule type="colorScale" priority="3317">
      <colorScale>
        <cfvo type="min"/>
        <cfvo type="percentile" val="50"/>
        <cfvo type="max"/>
        <color rgb="FFF8696B"/>
        <color rgb="FFFFEB84"/>
        <color rgb="FF63BE7B"/>
      </colorScale>
    </cfRule>
  </conditionalFormatting>
  <conditionalFormatting sqref="F32">
    <cfRule type="colorScale" priority="3316">
      <colorScale>
        <cfvo type="min"/>
        <cfvo type="percentile" val="50"/>
        <cfvo type="max"/>
        <color rgb="FFF8696B"/>
        <color rgb="FFFFEB84"/>
        <color rgb="FF63BE7B"/>
      </colorScale>
    </cfRule>
  </conditionalFormatting>
  <conditionalFormatting sqref="F32">
    <cfRule type="colorScale" priority="3315">
      <colorScale>
        <cfvo type="min"/>
        <cfvo type="percentile" val="50"/>
        <cfvo type="max"/>
        <color rgb="FFF8696B"/>
        <color rgb="FFFFEB84"/>
        <color rgb="FF63BE7B"/>
      </colorScale>
    </cfRule>
  </conditionalFormatting>
  <conditionalFormatting sqref="F32">
    <cfRule type="colorScale" priority="3314">
      <colorScale>
        <cfvo type="min"/>
        <cfvo type="percentile" val="50"/>
        <cfvo type="max"/>
        <color rgb="FFF8696B"/>
        <color rgb="FFFFEB84"/>
        <color rgb="FF63BE7B"/>
      </colorScale>
    </cfRule>
  </conditionalFormatting>
  <conditionalFormatting sqref="F32">
    <cfRule type="colorScale" priority="3313">
      <colorScale>
        <cfvo type="min"/>
        <cfvo type="percentile" val="50"/>
        <cfvo type="max"/>
        <color rgb="FFF8696B"/>
        <color rgb="FFFFEB84"/>
        <color rgb="FF63BE7B"/>
      </colorScale>
    </cfRule>
  </conditionalFormatting>
  <conditionalFormatting sqref="F32">
    <cfRule type="colorScale" priority="3312">
      <colorScale>
        <cfvo type="min"/>
        <cfvo type="percentile" val="50"/>
        <cfvo type="max"/>
        <color rgb="FFF8696B"/>
        <color rgb="FFFFEB84"/>
        <color rgb="FF63BE7B"/>
      </colorScale>
    </cfRule>
  </conditionalFormatting>
  <conditionalFormatting sqref="F32">
    <cfRule type="colorScale" priority="3311">
      <colorScale>
        <cfvo type="min"/>
        <cfvo type="percentile" val="50"/>
        <cfvo type="max"/>
        <color rgb="FFF8696B"/>
        <color rgb="FFFFEB84"/>
        <color rgb="FF63BE7B"/>
      </colorScale>
    </cfRule>
  </conditionalFormatting>
  <conditionalFormatting sqref="F32">
    <cfRule type="colorScale" priority="3310">
      <colorScale>
        <cfvo type="min"/>
        <cfvo type="percentile" val="50"/>
        <cfvo type="max"/>
        <color rgb="FFF8696B"/>
        <color rgb="FFFFEB84"/>
        <color rgb="FF63BE7B"/>
      </colorScale>
    </cfRule>
  </conditionalFormatting>
  <conditionalFormatting sqref="F32">
    <cfRule type="colorScale" priority="3309">
      <colorScale>
        <cfvo type="min"/>
        <cfvo type="percentile" val="50"/>
        <cfvo type="max"/>
        <color rgb="FFF8696B"/>
        <color rgb="FFFFEB84"/>
        <color rgb="FF63BE7B"/>
      </colorScale>
    </cfRule>
  </conditionalFormatting>
  <conditionalFormatting sqref="F32">
    <cfRule type="colorScale" priority="3308">
      <colorScale>
        <cfvo type="min"/>
        <cfvo type="percentile" val="50"/>
        <cfvo type="max"/>
        <color rgb="FFF8696B"/>
        <color rgb="FFFFEB84"/>
        <color rgb="FF63BE7B"/>
      </colorScale>
    </cfRule>
  </conditionalFormatting>
  <conditionalFormatting sqref="F32">
    <cfRule type="colorScale" priority="3307">
      <colorScale>
        <cfvo type="min"/>
        <cfvo type="percentile" val="50"/>
        <cfvo type="max"/>
        <color rgb="FFF8696B"/>
        <color rgb="FFFFEB84"/>
        <color rgb="FF63BE7B"/>
      </colorScale>
    </cfRule>
  </conditionalFormatting>
  <conditionalFormatting sqref="F32">
    <cfRule type="colorScale" priority="3306">
      <colorScale>
        <cfvo type="min"/>
        <cfvo type="percentile" val="50"/>
        <cfvo type="max"/>
        <color rgb="FFF8696B"/>
        <color rgb="FFFFEB84"/>
        <color rgb="FF63BE7B"/>
      </colorScale>
    </cfRule>
  </conditionalFormatting>
  <conditionalFormatting sqref="F32">
    <cfRule type="colorScale" priority="3305">
      <colorScale>
        <cfvo type="min"/>
        <cfvo type="percentile" val="50"/>
        <cfvo type="max"/>
        <color rgb="FFF8696B"/>
        <color rgb="FFFFEB84"/>
        <color rgb="FF63BE7B"/>
      </colorScale>
    </cfRule>
  </conditionalFormatting>
  <conditionalFormatting sqref="F32">
    <cfRule type="colorScale" priority="3304">
      <colorScale>
        <cfvo type="min"/>
        <cfvo type="percentile" val="50"/>
        <cfvo type="max"/>
        <color rgb="FFF8696B"/>
        <color rgb="FFFFEB84"/>
        <color rgb="FF63BE7B"/>
      </colorScale>
    </cfRule>
  </conditionalFormatting>
  <conditionalFormatting sqref="F32">
    <cfRule type="colorScale" priority="3303">
      <colorScale>
        <cfvo type="min"/>
        <cfvo type="percentile" val="50"/>
        <cfvo type="max"/>
        <color rgb="FFF8696B"/>
        <color rgb="FFFFEB84"/>
        <color rgb="FF63BE7B"/>
      </colorScale>
    </cfRule>
  </conditionalFormatting>
  <conditionalFormatting sqref="F32">
    <cfRule type="colorScale" priority="3302">
      <colorScale>
        <cfvo type="min"/>
        <cfvo type="percentile" val="50"/>
        <cfvo type="max"/>
        <color rgb="FFF8696B"/>
        <color rgb="FFFFEB84"/>
        <color rgb="FF63BE7B"/>
      </colorScale>
    </cfRule>
  </conditionalFormatting>
  <conditionalFormatting sqref="F32">
    <cfRule type="colorScale" priority="3301">
      <colorScale>
        <cfvo type="min"/>
        <cfvo type="percentile" val="50"/>
        <cfvo type="max"/>
        <color rgb="FFF8696B"/>
        <color rgb="FFFFEB84"/>
        <color rgb="FF63BE7B"/>
      </colorScale>
    </cfRule>
  </conditionalFormatting>
  <conditionalFormatting sqref="F32">
    <cfRule type="colorScale" priority="3300">
      <colorScale>
        <cfvo type="min"/>
        <cfvo type="percentile" val="50"/>
        <cfvo type="max"/>
        <color rgb="FFF8696B"/>
        <color rgb="FFFFEB84"/>
        <color rgb="FF63BE7B"/>
      </colorScale>
    </cfRule>
  </conditionalFormatting>
  <conditionalFormatting sqref="F32">
    <cfRule type="colorScale" priority="3299">
      <colorScale>
        <cfvo type="min"/>
        <cfvo type="percentile" val="50"/>
        <cfvo type="max"/>
        <color rgb="FFF8696B"/>
        <color rgb="FFFFEB84"/>
        <color rgb="FF63BE7B"/>
      </colorScale>
    </cfRule>
  </conditionalFormatting>
  <conditionalFormatting sqref="F32">
    <cfRule type="colorScale" priority="3298">
      <colorScale>
        <cfvo type="min"/>
        <cfvo type="percentile" val="50"/>
        <cfvo type="max"/>
        <color rgb="FFF8696B"/>
        <color rgb="FFFFEB84"/>
        <color rgb="FF63BE7B"/>
      </colorScale>
    </cfRule>
  </conditionalFormatting>
  <conditionalFormatting sqref="F32">
    <cfRule type="colorScale" priority="3297">
      <colorScale>
        <cfvo type="min"/>
        <cfvo type="percentile" val="50"/>
        <cfvo type="max"/>
        <color rgb="FFF8696B"/>
        <color rgb="FFFFEB84"/>
        <color rgb="FF63BE7B"/>
      </colorScale>
    </cfRule>
  </conditionalFormatting>
  <conditionalFormatting sqref="F32">
    <cfRule type="colorScale" priority="3296">
      <colorScale>
        <cfvo type="min"/>
        <cfvo type="percentile" val="50"/>
        <cfvo type="max"/>
        <color rgb="FFF8696B"/>
        <color rgb="FFFFEB84"/>
        <color rgb="FF63BE7B"/>
      </colorScale>
    </cfRule>
  </conditionalFormatting>
  <conditionalFormatting sqref="F32">
    <cfRule type="colorScale" priority="3295">
      <colorScale>
        <cfvo type="min"/>
        <cfvo type="percentile" val="50"/>
        <cfvo type="max"/>
        <color rgb="FFF8696B"/>
        <color rgb="FFFFEB84"/>
        <color rgb="FF63BE7B"/>
      </colorScale>
    </cfRule>
  </conditionalFormatting>
  <conditionalFormatting sqref="F32">
    <cfRule type="colorScale" priority="3294">
      <colorScale>
        <cfvo type="min"/>
        <cfvo type="percentile" val="50"/>
        <cfvo type="max"/>
        <color rgb="FFF8696B"/>
        <color rgb="FFFFEB84"/>
        <color rgb="FF63BE7B"/>
      </colorScale>
    </cfRule>
  </conditionalFormatting>
  <conditionalFormatting sqref="F32">
    <cfRule type="colorScale" priority="3293">
      <colorScale>
        <cfvo type="min"/>
        <cfvo type="percentile" val="50"/>
        <cfvo type="max"/>
        <color rgb="FFF8696B"/>
        <color rgb="FFFFEB84"/>
        <color rgb="FF63BE7B"/>
      </colorScale>
    </cfRule>
  </conditionalFormatting>
  <conditionalFormatting sqref="F32">
    <cfRule type="colorScale" priority="3292">
      <colorScale>
        <cfvo type="min"/>
        <cfvo type="percentile" val="50"/>
        <cfvo type="max"/>
        <color rgb="FFF8696B"/>
        <color rgb="FFFFEB84"/>
        <color rgb="FF63BE7B"/>
      </colorScale>
    </cfRule>
  </conditionalFormatting>
  <conditionalFormatting sqref="F32">
    <cfRule type="colorScale" priority="3291">
      <colorScale>
        <cfvo type="min"/>
        <cfvo type="percentile" val="50"/>
        <cfvo type="max"/>
        <color rgb="FFF8696B"/>
        <color rgb="FFFFEB84"/>
        <color rgb="FF63BE7B"/>
      </colorScale>
    </cfRule>
  </conditionalFormatting>
  <conditionalFormatting sqref="F32">
    <cfRule type="colorScale" priority="3290">
      <colorScale>
        <cfvo type="min"/>
        <cfvo type="percentile" val="50"/>
        <cfvo type="max"/>
        <color rgb="FFF8696B"/>
        <color rgb="FFFFEB84"/>
        <color rgb="FF63BE7B"/>
      </colorScale>
    </cfRule>
  </conditionalFormatting>
  <conditionalFormatting sqref="F32">
    <cfRule type="colorScale" priority="3289">
      <colorScale>
        <cfvo type="min"/>
        <cfvo type="percentile" val="50"/>
        <cfvo type="max"/>
        <color rgb="FFF8696B"/>
        <color rgb="FFFFEB84"/>
        <color rgb="FF63BE7B"/>
      </colorScale>
    </cfRule>
  </conditionalFormatting>
  <conditionalFormatting sqref="F32">
    <cfRule type="colorScale" priority="3288">
      <colorScale>
        <cfvo type="min"/>
        <cfvo type="percentile" val="50"/>
        <cfvo type="max"/>
        <color rgb="FFF8696B"/>
        <color rgb="FFFFEB84"/>
        <color rgb="FF63BE7B"/>
      </colorScale>
    </cfRule>
  </conditionalFormatting>
  <conditionalFormatting sqref="F32">
    <cfRule type="colorScale" priority="3287">
      <colorScale>
        <cfvo type="min"/>
        <cfvo type="percentile" val="50"/>
        <cfvo type="max"/>
        <color rgb="FFF8696B"/>
        <color rgb="FFFFEB84"/>
        <color rgb="FF63BE7B"/>
      </colorScale>
    </cfRule>
  </conditionalFormatting>
  <conditionalFormatting sqref="F32">
    <cfRule type="colorScale" priority="3286">
      <colorScale>
        <cfvo type="min"/>
        <cfvo type="percentile" val="50"/>
        <cfvo type="max"/>
        <color rgb="FFF8696B"/>
        <color rgb="FFFFEB84"/>
        <color rgb="FF63BE7B"/>
      </colorScale>
    </cfRule>
  </conditionalFormatting>
  <conditionalFormatting sqref="F32">
    <cfRule type="colorScale" priority="3285">
      <colorScale>
        <cfvo type="min"/>
        <cfvo type="percentile" val="50"/>
        <cfvo type="max"/>
        <color rgb="FFF8696B"/>
        <color rgb="FFFFEB84"/>
        <color rgb="FF63BE7B"/>
      </colorScale>
    </cfRule>
  </conditionalFormatting>
  <conditionalFormatting sqref="F32">
    <cfRule type="colorScale" priority="3284">
      <colorScale>
        <cfvo type="min"/>
        <cfvo type="percentile" val="50"/>
        <cfvo type="max"/>
        <color rgb="FFF8696B"/>
        <color rgb="FFFFEB84"/>
        <color rgb="FF63BE7B"/>
      </colorScale>
    </cfRule>
  </conditionalFormatting>
  <conditionalFormatting sqref="F32">
    <cfRule type="colorScale" priority="3283">
      <colorScale>
        <cfvo type="min"/>
        <cfvo type="percentile" val="50"/>
        <cfvo type="max"/>
        <color rgb="FFF8696B"/>
        <color rgb="FFFFEB84"/>
        <color rgb="FF63BE7B"/>
      </colorScale>
    </cfRule>
  </conditionalFormatting>
  <conditionalFormatting sqref="F32">
    <cfRule type="colorScale" priority="3282">
      <colorScale>
        <cfvo type="min"/>
        <cfvo type="percentile" val="50"/>
        <cfvo type="max"/>
        <color rgb="FFF8696B"/>
        <color rgb="FFFFEB84"/>
        <color rgb="FF63BE7B"/>
      </colorScale>
    </cfRule>
  </conditionalFormatting>
  <conditionalFormatting sqref="F32">
    <cfRule type="colorScale" priority="3281">
      <colorScale>
        <cfvo type="min"/>
        <cfvo type="percentile" val="50"/>
        <cfvo type="max"/>
        <color rgb="FFF8696B"/>
        <color rgb="FFFFEB84"/>
        <color rgb="FF63BE7B"/>
      </colorScale>
    </cfRule>
  </conditionalFormatting>
  <conditionalFormatting sqref="F32">
    <cfRule type="colorScale" priority="3280">
      <colorScale>
        <cfvo type="min"/>
        <cfvo type="percentile" val="50"/>
        <cfvo type="max"/>
        <color rgb="FFF8696B"/>
        <color rgb="FFFFEB84"/>
        <color rgb="FF63BE7B"/>
      </colorScale>
    </cfRule>
  </conditionalFormatting>
  <conditionalFormatting sqref="F32">
    <cfRule type="colorScale" priority="3279">
      <colorScale>
        <cfvo type="min"/>
        <cfvo type="percentile" val="50"/>
        <cfvo type="max"/>
        <color rgb="FFF8696B"/>
        <color rgb="FFFFEB84"/>
        <color rgb="FF63BE7B"/>
      </colorScale>
    </cfRule>
  </conditionalFormatting>
  <conditionalFormatting sqref="F32">
    <cfRule type="colorScale" priority="3278">
      <colorScale>
        <cfvo type="min"/>
        <cfvo type="percentile" val="50"/>
        <cfvo type="max"/>
        <color rgb="FFF8696B"/>
        <color rgb="FFFFEB84"/>
        <color rgb="FF63BE7B"/>
      </colorScale>
    </cfRule>
  </conditionalFormatting>
  <conditionalFormatting sqref="F32">
    <cfRule type="colorScale" priority="3277">
      <colorScale>
        <cfvo type="min"/>
        <cfvo type="percentile" val="50"/>
        <cfvo type="max"/>
        <color rgb="FFF8696B"/>
        <color rgb="FFFFEB84"/>
        <color rgb="FF63BE7B"/>
      </colorScale>
    </cfRule>
  </conditionalFormatting>
  <conditionalFormatting sqref="F32">
    <cfRule type="colorScale" priority="3276">
      <colorScale>
        <cfvo type="min"/>
        <cfvo type="percentile" val="50"/>
        <cfvo type="max"/>
        <color rgb="FFF8696B"/>
        <color rgb="FFFFEB84"/>
        <color rgb="FF63BE7B"/>
      </colorScale>
    </cfRule>
  </conditionalFormatting>
  <conditionalFormatting sqref="F32">
    <cfRule type="colorScale" priority="3275">
      <colorScale>
        <cfvo type="min"/>
        <cfvo type="percentile" val="50"/>
        <cfvo type="max"/>
        <color rgb="FFF8696B"/>
        <color rgb="FFFFEB84"/>
        <color rgb="FF63BE7B"/>
      </colorScale>
    </cfRule>
  </conditionalFormatting>
  <conditionalFormatting sqref="F32">
    <cfRule type="colorScale" priority="3274">
      <colorScale>
        <cfvo type="min"/>
        <cfvo type="percentile" val="50"/>
        <cfvo type="max"/>
        <color rgb="FFF8696B"/>
        <color rgb="FFFFEB84"/>
        <color rgb="FF63BE7B"/>
      </colorScale>
    </cfRule>
  </conditionalFormatting>
  <conditionalFormatting sqref="F32">
    <cfRule type="colorScale" priority="3273">
      <colorScale>
        <cfvo type="min"/>
        <cfvo type="percentile" val="50"/>
        <cfvo type="max"/>
        <color rgb="FFF8696B"/>
        <color rgb="FFFFEB84"/>
        <color rgb="FF63BE7B"/>
      </colorScale>
    </cfRule>
  </conditionalFormatting>
  <conditionalFormatting sqref="F32">
    <cfRule type="colorScale" priority="3272">
      <colorScale>
        <cfvo type="min"/>
        <cfvo type="percentile" val="50"/>
        <cfvo type="max"/>
        <color rgb="FFF8696B"/>
        <color rgb="FFFFEB84"/>
        <color rgb="FF63BE7B"/>
      </colorScale>
    </cfRule>
  </conditionalFormatting>
  <conditionalFormatting sqref="F32">
    <cfRule type="colorScale" priority="3271">
      <colorScale>
        <cfvo type="min"/>
        <cfvo type="percentile" val="50"/>
        <cfvo type="max"/>
        <color rgb="FFF8696B"/>
        <color rgb="FFFFEB84"/>
        <color rgb="FF63BE7B"/>
      </colorScale>
    </cfRule>
  </conditionalFormatting>
  <conditionalFormatting sqref="F32">
    <cfRule type="colorScale" priority="3270">
      <colorScale>
        <cfvo type="min"/>
        <cfvo type="percentile" val="50"/>
        <cfvo type="max"/>
        <color rgb="FFF8696B"/>
        <color rgb="FFFFEB84"/>
        <color rgb="FF63BE7B"/>
      </colorScale>
    </cfRule>
  </conditionalFormatting>
  <conditionalFormatting sqref="F32">
    <cfRule type="colorScale" priority="3269">
      <colorScale>
        <cfvo type="min"/>
        <cfvo type="percentile" val="50"/>
        <cfvo type="max"/>
        <color rgb="FFF8696B"/>
        <color rgb="FFFFEB84"/>
        <color rgb="FF63BE7B"/>
      </colorScale>
    </cfRule>
  </conditionalFormatting>
  <conditionalFormatting sqref="F32">
    <cfRule type="colorScale" priority="3268">
      <colorScale>
        <cfvo type="min"/>
        <cfvo type="percentile" val="50"/>
        <cfvo type="max"/>
        <color rgb="FFF8696B"/>
        <color rgb="FFFFEB84"/>
        <color rgb="FF63BE7B"/>
      </colorScale>
    </cfRule>
  </conditionalFormatting>
  <conditionalFormatting sqref="F32">
    <cfRule type="colorScale" priority="3267">
      <colorScale>
        <cfvo type="min"/>
        <cfvo type="percentile" val="50"/>
        <cfvo type="max"/>
        <color rgb="FFF8696B"/>
        <color rgb="FFFFEB84"/>
        <color rgb="FF63BE7B"/>
      </colorScale>
    </cfRule>
  </conditionalFormatting>
  <conditionalFormatting sqref="F32">
    <cfRule type="colorScale" priority="3266">
      <colorScale>
        <cfvo type="min"/>
        <cfvo type="percentile" val="50"/>
        <cfvo type="max"/>
        <color rgb="FFF8696B"/>
        <color rgb="FFFFEB84"/>
        <color rgb="FF63BE7B"/>
      </colorScale>
    </cfRule>
  </conditionalFormatting>
  <conditionalFormatting sqref="F32">
    <cfRule type="colorScale" priority="3265">
      <colorScale>
        <cfvo type="min"/>
        <cfvo type="percentile" val="50"/>
        <cfvo type="max"/>
        <color rgb="FFF8696B"/>
        <color rgb="FFFFEB84"/>
        <color rgb="FF63BE7B"/>
      </colorScale>
    </cfRule>
  </conditionalFormatting>
  <conditionalFormatting sqref="F32">
    <cfRule type="colorScale" priority="3264">
      <colorScale>
        <cfvo type="min"/>
        <cfvo type="percentile" val="50"/>
        <cfvo type="max"/>
        <color rgb="FFF8696B"/>
        <color rgb="FFFFEB84"/>
        <color rgb="FF63BE7B"/>
      </colorScale>
    </cfRule>
  </conditionalFormatting>
  <conditionalFormatting sqref="F32">
    <cfRule type="colorScale" priority="3263">
      <colorScale>
        <cfvo type="min"/>
        <cfvo type="percentile" val="50"/>
        <cfvo type="max"/>
        <color rgb="FFF8696B"/>
        <color rgb="FFFFEB84"/>
        <color rgb="FF63BE7B"/>
      </colorScale>
    </cfRule>
  </conditionalFormatting>
  <conditionalFormatting sqref="F32">
    <cfRule type="colorScale" priority="3262">
      <colorScale>
        <cfvo type="min"/>
        <cfvo type="percentile" val="50"/>
        <cfvo type="max"/>
        <color rgb="FFF8696B"/>
        <color rgb="FFFFEB84"/>
        <color rgb="FF63BE7B"/>
      </colorScale>
    </cfRule>
  </conditionalFormatting>
  <conditionalFormatting sqref="F32">
    <cfRule type="colorScale" priority="3261">
      <colorScale>
        <cfvo type="min"/>
        <cfvo type="percentile" val="50"/>
        <cfvo type="max"/>
        <color rgb="FFF8696B"/>
        <color rgb="FFFFEB84"/>
        <color rgb="FF63BE7B"/>
      </colorScale>
    </cfRule>
  </conditionalFormatting>
  <conditionalFormatting sqref="F32">
    <cfRule type="colorScale" priority="3260">
      <colorScale>
        <cfvo type="min"/>
        <cfvo type="percentile" val="50"/>
        <cfvo type="max"/>
        <color rgb="FFF8696B"/>
        <color rgb="FFFFEB84"/>
        <color rgb="FF63BE7B"/>
      </colorScale>
    </cfRule>
  </conditionalFormatting>
  <conditionalFormatting sqref="F32">
    <cfRule type="colorScale" priority="3259">
      <colorScale>
        <cfvo type="min"/>
        <cfvo type="percentile" val="50"/>
        <cfvo type="max"/>
        <color rgb="FFF8696B"/>
        <color rgb="FFFFEB84"/>
        <color rgb="FF63BE7B"/>
      </colorScale>
    </cfRule>
  </conditionalFormatting>
  <conditionalFormatting sqref="F32">
    <cfRule type="colorScale" priority="3258">
      <colorScale>
        <cfvo type="min"/>
        <cfvo type="percentile" val="50"/>
        <cfvo type="max"/>
        <color rgb="FFF8696B"/>
        <color rgb="FFFFEB84"/>
        <color rgb="FF63BE7B"/>
      </colorScale>
    </cfRule>
  </conditionalFormatting>
  <conditionalFormatting sqref="F32">
    <cfRule type="colorScale" priority="3257">
      <colorScale>
        <cfvo type="min"/>
        <cfvo type="percentile" val="50"/>
        <cfvo type="max"/>
        <color rgb="FFF8696B"/>
        <color rgb="FFFFEB84"/>
        <color rgb="FF63BE7B"/>
      </colorScale>
    </cfRule>
  </conditionalFormatting>
  <conditionalFormatting sqref="F32">
    <cfRule type="colorScale" priority="3256">
      <colorScale>
        <cfvo type="min"/>
        <cfvo type="percentile" val="50"/>
        <cfvo type="max"/>
        <color rgb="FFF8696B"/>
        <color rgb="FFFFEB84"/>
        <color rgb="FF63BE7B"/>
      </colorScale>
    </cfRule>
  </conditionalFormatting>
  <conditionalFormatting sqref="F32">
    <cfRule type="colorScale" priority="3255">
      <colorScale>
        <cfvo type="min"/>
        <cfvo type="percentile" val="50"/>
        <cfvo type="max"/>
        <color rgb="FFF8696B"/>
        <color rgb="FFFFEB84"/>
        <color rgb="FF63BE7B"/>
      </colorScale>
    </cfRule>
  </conditionalFormatting>
  <conditionalFormatting sqref="F32">
    <cfRule type="colorScale" priority="3254">
      <colorScale>
        <cfvo type="min"/>
        <cfvo type="percentile" val="50"/>
        <cfvo type="max"/>
        <color rgb="FFF8696B"/>
        <color rgb="FFFFEB84"/>
        <color rgb="FF63BE7B"/>
      </colorScale>
    </cfRule>
  </conditionalFormatting>
  <conditionalFormatting sqref="F32">
    <cfRule type="colorScale" priority="3253">
      <colorScale>
        <cfvo type="min"/>
        <cfvo type="percentile" val="50"/>
        <cfvo type="max"/>
        <color rgb="FFF8696B"/>
        <color rgb="FFFFEB84"/>
        <color rgb="FF63BE7B"/>
      </colorScale>
    </cfRule>
  </conditionalFormatting>
  <conditionalFormatting sqref="F32">
    <cfRule type="colorScale" priority="3252">
      <colorScale>
        <cfvo type="min"/>
        <cfvo type="percentile" val="50"/>
        <cfvo type="max"/>
        <color rgb="FFF8696B"/>
        <color rgb="FFFFEB84"/>
        <color rgb="FF63BE7B"/>
      </colorScale>
    </cfRule>
  </conditionalFormatting>
  <conditionalFormatting sqref="F32">
    <cfRule type="colorScale" priority="3251">
      <colorScale>
        <cfvo type="min"/>
        <cfvo type="percentile" val="50"/>
        <cfvo type="max"/>
        <color rgb="FFF8696B"/>
        <color rgb="FFFFEB84"/>
        <color rgb="FF63BE7B"/>
      </colorScale>
    </cfRule>
  </conditionalFormatting>
  <conditionalFormatting sqref="F32">
    <cfRule type="colorScale" priority="3250">
      <colorScale>
        <cfvo type="min"/>
        <cfvo type="percentile" val="50"/>
        <cfvo type="max"/>
        <color rgb="FFF8696B"/>
        <color rgb="FFFFEB84"/>
        <color rgb="FF63BE7B"/>
      </colorScale>
    </cfRule>
  </conditionalFormatting>
  <conditionalFormatting sqref="F32">
    <cfRule type="colorScale" priority="3249">
      <colorScale>
        <cfvo type="min"/>
        <cfvo type="percentile" val="50"/>
        <cfvo type="max"/>
        <color rgb="FFF8696B"/>
        <color rgb="FFFFEB84"/>
        <color rgb="FF63BE7B"/>
      </colorScale>
    </cfRule>
  </conditionalFormatting>
  <conditionalFormatting sqref="F32">
    <cfRule type="colorScale" priority="3248">
      <colorScale>
        <cfvo type="min"/>
        <cfvo type="percentile" val="50"/>
        <cfvo type="max"/>
        <color rgb="FFF8696B"/>
        <color rgb="FFFFEB84"/>
        <color rgb="FF63BE7B"/>
      </colorScale>
    </cfRule>
  </conditionalFormatting>
  <conditionalFormatting sqref="F32">
    <cfRule type="colorScale" priority="3247">
      <colorScale>
        <cfvo type="min"/>
        <cfvo type="percentile" val="50"/>
        <cfvo type="max"/>
        <color rgb="FFF8696B"/>
        <color rgb="FFFFEB84"/>
        <color rgb="FF63BE7B"/>
      </colorScale>
    </cfRule>
  </conditionalFormatting>
  <conditionalFormatting sqref="F32">
    <cfRule type="colorScale" priority="3246">
      <colorScale>
        <cfvo type="min"/>
        <cfvo type="percentile" val="50"/>
        <cfvo type="max"/>
        <color rgb="FFF8696B"/>
        <color rgb="FFFFEB84"/>
        <color rgb="FF63BE7B"/>
      </colorScale>
    </cfRule>
  </conditionalFormatting>
  <conditionalFormatting sqref="F32">
    <cfRule type="colorScale" priority="3245">
      <colorScale>
        <cfvo type="min"/>
        <cfvo type="percentile" val="50"/>
        <cfvo type="max"/>
        <color rgb="FFF8696B"/>
        <color rgb="FFFFEB84"/>
        <color rgb="FF63BE7B"/>
      </colorScale>
    </cfRule>
  </conditionalFormatting>
  <conditionalFormatting sqref="F32">
    <cfRule type="colorScale" priority="3244">
      <colorScale>
        <cfvo type="min"/>
        <cfvo type="percentile" val="50"/>
        <cfvo type="max"/>
        <color rgb="FFF8696B"/>
        <color rgb="FFFFEB84"/>
        <color rgb="FF63BE7B"/>
      </colorScale>
    </cfRule>
  </conditionalFormatting>
  <conditionalFormatting sqref="F32">
    <cfRule type="colorScale" priority="3243">
      <colorScale>
        <cfvo type="min"/>
        <cfvo type="percentile" val="50"/>
        <cfvo type="max"/>
        <color rgb="FFF8696B"/>
        <color rgb="FFFFEB84"/>
        <color rgb="FF63BE7B"/>
      </colorScale>
    </cfRule>
  </conditionalFormatting>
  <conditionalFormatting sqref="F32">
    <cfRule type="colorScale" priority="3242">
      <colorScale>
        <cfvo type="min"/>
        <cfvo type="percentile" val="50"/>
        <cfvo type="max"/>
        <color rgb="FFF8696B"/>
        <color rgb="FFFFEB84"/>
        <color rgb="FF63BE7B"/>
      </colorScale>
    </cfRule>
  </conditionalFormatting>
  <conditionalFormatting sqref="F32">
    <cfRule type="colorScale" priority="3241">
      <colorScale>
        <cfvo type="min"/>
        <cfvo type="percentile" val="50"/>
        <cfvo type="max"/>
        <color rgb="FFF8696B"/>
        <color rgb="FFFFEB84"/>
        <color rgb="FF63BE7B"/>
      </colorScale>
    </cfRule>
  </conditionalFormatting>
  <conditionalFormatting sqref="F32">
    <cfRule type="colorScale" priority="3240">
      <colorScale>
        <cfvo type="min"/>
        <cfvo type="percentile" val="50"/>
        <cfvo type="max"/>
        <color rgb="FFF8696B"/>
        <color rgb="FFFFEB84"/>
        <color rgb="FF63BE7B"/>
      </colorScale>
    </cfRule>
  </conditionalFormatting>
  <conditionalFormatting sqref="F32">
    <cfRule type="colorScale" priority="3239">
      <colorScale>
        <cfvo type="min"/>
        <cfvo type="percentile" val="50"/>
        <cfvo type="max"/>
        <color rgb="FFF8696B"/>
        <color rgb="FFFFEB84"/>
        <color rgb="FF63BE7B"/>
      </colorScale>
    </cfRule>
  </conditionalFormatting>
  <conditionalFormatting sqref="F32">
    <cfRule type="colorScale" priority="3238">
      <colorScale>
        <cfvo type="min"/>
        <cfvo type="percentile" val="50"/>
        <cfvo type="max"/>
        <color rgb="FFF8696B"/>
        <color rgb="FFFFEB84"/>
        <color rgb="FF63BE7B"/>
      </colorScale>
    </cfRule>
  </conditionalFormatting>
  <conditionalFormatting sqref="F32">
    <cfRule type="colorScale" priority="3237">
      <colorScale>
        <cfvo type="min"/>
        <cfvo type="percentile" val="50"/>
        <cfvo type="max"/>
        <color rgb="FFF8696B"/>
        <color rgb="FFFFEB84"/>
        <color rgb="FF63BE7B"/>
      </colorScale>
    </cfRule>
  </conditionalFormatting>
  <conditionalFormatting sqref="F32">
    <cfRule type="colorScale" priority="3236">
      <colorScale>
        <cfvo type="min"/>
        <cfvo type="percentile" val="50"/>
        <cfvo type="max"/>
        <color rgb="FFF8696B"/>
        <color rgb="FFFFEB84"/>
        <color rgb="FF63BE7B"/>
      </colorScale>
    </cfRule>
  </conditionalFormatting>
  <conditionalFormatting sqref="F32">
    <cfRule type="colorScale" priority="3235">
      <colorScale>
        <cfvo type="min"/>
        <cfvo type="percentile" val="50"/>
        <cfvo type="max"/>
        <color rgb="FFF8696B"/>
        <color rgb="FFFFEB84"/>
        <color rgb="FF63BE7B"/>
      </colorScale>
    </cfRule>
  </conditionalFormatting>
  <conditionalFormatting sqref="F32">
    <cfRule type="colorScale" priority="3234">
      <colorScale>
        <cfvo type="min"/>
        <cfvo type="percentile" val="50"/>
        <cfvo type="max"/>
        <color rgb="FFF8696B"/>
        <color rgb="FFFFEB84"/>
        <color rgb="FF63BE7B"/>
      </colorScale>
    </cfRule>
  </conditionalFormatting>
  <conditionalFormatting sqref="F32">
    <cfRule type="colorScale" priority="3233">
      <colorScale>
        <cfvo type="min"/>
        <cfvo type="percentile" val="50"/>
        <cfvo type="max"/>
        <color rgb="FFF8696B"/>
        <color rgb="FFFFEB84"/>
        <color rgb="FF63BE7B"/>
      </colorScale>
    </cfRule>
  </conditionalFormatting>
  <conditionalFormatting sqref="F32">
    <cfRule type="colorScale" priority="3232">
      <colorScale>
        <cfvo type="min"/>
        <cfvo type="percentile" val="50"/>
        <cfvo type="max"/>
        <color rgb="FFF8696B"/>
        <color rgb="FFFFEB84"/>
        <color rgb="FF63BE7B"/>
      </colorScale>
    </cfRule>
  </conditionalFormatting>
  <conditionalFormatting sqref="F32">
    <cfRule type="colorScale" priority="3231">
      <colorScale>
        <cfvo type="min"/>
        <cfvo type="percentile" val="50"/>
        <cfvo type="max"/>
        <color rgb="FFF8696B"/>
        <color rgb="FFFFEB84"/>
        <color rgb="FF63BE7B"/>
      </colorScale>
    </cfRule>
  </conditionalFormatting>
  <conditionalFormatting sqref="F32">
    <cfRule type="colorScale" priority="3230">
      <colorScale>
        <cfvo type="min"/>
        <cfvo type="percentile" val="50"/>
        <cfvo type="max"/>
        <color rgb="FFF8696B"/>
        <color rgb="FFFFEB84"/>
        <color rgb="FF63BE7B"/>
      </colorScale>
    </cfRule>
  </conditionalFormatting>
  <conditionalFormatting sqref="F32">
    <cfRule type="colorScale" priority="3229">
      <colorScale>
        <cfvo type="min"/>
        <cfvo type="percentile" val="50"/>
        <cfvo type="max"/>
        <color rgb="FFF8696B"/>
        <color rgb="FFFFEB84"/>
        <color rgb="FF63BE7B"/>
      </colorScale>
    </cfRule>
  </conditionalFormatting>
  <conditionalFormatting sqref="F32">
    <cfRule type="colorScale" priority="3228">
      <colorScale>
        <cfvo type="min"/>
        <cfvo type="percentile" val="50"/>
        <cfvo type="max"/>
        <color rgb="FFF8696B"/>
        <color rgb="FFFFEB84"/>
        <color rgb="FF63BE7B"/>
      </colorScale>
    </cfRule>
  </conditionalFormatting>
  <conditionalFormatting sqref="F32">
    <cfRule type="colorScale" priority="3227">
      <colorScale>
        <cfvo type="min"/>
        <cfvo type="percentile" val="50"/>
        <cfvo type="max"/>
        <color rgb="FFF8696B"/>
        <color rgb="FFFFEB84"/>
        <color rgb="FF63BE7B"/>
      </colorScale>
    </cfRule>
  </conditionalFormatting>
  <conditionalFormatting sqref="F32">
    <cfRule type="colorScale" priority="3226">
      <colorScale>
        <cfvo type="min"/>
        <cfvo type="percentile" val="50"/>
        <cfvo type="max"/>
        <color rgb="FFF8696B"/>
        <color rgb="FFFFEB84"/>
        <color rgb="FF63BE7B"/>
      </colorScale>
    </cfRule>
  </conditionalFormatting>
  <conditionalFormatting sqref="F32">
    <cfRule type="colorScale" priority="3225">
      <colorScale>
        <cfvo type="min"/>
        <cfvo type="percentile" val="50"/>
        <cfvo type="max"/>
        <color rgb="FFF8696B"/>
        <color rgb="FFFFEB84"/>
        <color rgb="FF63BE7B"/>
      </colorScale>
    </cfRule>
  </conditionalFormatting>
  <conditionalFormatting sqref="F32">
    <cfRule type="colorScale" priority="3224">
      <colorScale>
        <cfvo type="min"/>
        <cfvo type="percentile" val="50"/>
        <cfvo type="max"/>
        <color rgb="FFF8696B"/>
        <color rgb="FFFFEB84"/>
        <color rgb="FF63BE7B"/>
      </colorScale>
    </cfRule>
  </conditionalFormatting>
  <conditionalFormatting sqref="F32">
    <cfRule type="colorScale" priority="3223">
      <colorScale>
        <cfvo type="min"/>
        <cfvo type="percentile" val="50"/>
        <cfvo type="max"/>
        <color rgb="FFF8696B"/>
        <color rgb="FFFFEB84"/>
        <color rgb="FF63BE7B"/>
      </colorScale>
    </cfRule>
  </conditionalFormatting>
  <conditionalFormatting sqref="F32">
    <cfRule type="colorScale" priority="3222">
      <colorScale>
        <cfvo type="min"/>
        <cfvo type="percentile" val="50"/>
        <cfvo type="max"/>
        <color rgb="FFF8696B"/>
        <color rgb="FFFFEB84"/>
        <color rgb="FF63BE7B"/>
      </colorScale>
    </cfRule>
  </conditionalFormatting>
  <conditionalFormatting sqref="F32">
    <cfRule type="colorScale" priority="3221">
      <colorScale>
        <cfvo type="min"/>
        <cfvo type="percentile" val="50"/>
        <cfvo type="max"/>
        <color rgb="FFF8696B"/>
        <color rgb="FFFFEB84"/>
        <color rgb="FF63BE7B"/>
      </colorScale>
    </cfRule>
  </conditionalFormatting>
  <conditionalFormatting sqref="F32">
    <cfRule type="colorScale" priority="3220">
      <colorScale>
        <cfvo type="min"/>
        <cfvo type="percentile" val="50"/>
        <cfvo type="max"/>
        <color rgb="FFF8696B"/>
        <color rgb="FFFFEB84"/>
        <color rgb="FF63BE7B"/>
      </colorScale>
    </cfRule>
  </conditionalFormatting>
  <conditionalFormatting sqref="F32">
    <cfRule type="colorScale" priority="3219">
      <colorScale>
        <cfvo type="min"/>
        <cfvo type="percentile" val="50"/>
        <cfvo type="max"/>
        <color rgb="FFF8696B"/>
        <color rgb="FFFFEB84"/>
        <color rgb="FF63BE7B"/>
      </colorScale>
    </cfRule>
  </conditionalFormatting>
  <conditionalFormatting sqref="F32">
    <cfRule type="colorScale" priority="3218">
      <colorScale>
        <cfvo type="min"/>
        <cfvo type="percentile" val="50"/>
        <cfvo type="max"/>
        <color rgb="FFF8696B"/>
        <color rgb="FFFFEB84"/>
        <color rgb="FF63BE7B"/>
      </colorScale>
    </cfRule>
  </conditionalFormatting>
  <conditionalFormatting sqref="F32">
    <cfRule type="colorScale" priority="3217">
      <colorScale>
        <cfvo type="min"/>
        <cfvo type="percentile" val="50"/>
        <cfvo type="max"/>
        <color rgb="FFF8696B"/>
        <color rgb="FFFFEB84"/>
        <color rgb="FF63BE7B"/>
      </colorScale>
    </cfRule>
  </conditionalFormatting>
  <conditionalFormatting sqref="F32">
    <cfRule type="colorScale" priority="3216">
      <colorScale>
        <cfvo type="min"/>
        <cfvo type="percentile" val="50"/>
        <cfvo type="max"/>
        <color rgb="FFF8696B"/>
        <color rgb="FFFFEB84"/>
        <color rgb="FF63BE7B"/>
      </colorScale>
    </cfRule>
  </conditionalFormatting>
  <conditionalFormatting sqref="F32">
    <cfRule type="colorScale" priority="3215">
      <colorScale>
        <cfvo type="min"/>
        <cfvo type="percentile" val="50"/>
        <cfvo type="max"/>
        <color rgb="FFF8696B"/>
        <color rgb="FFFFEB84"/>
        <color rgb="FF63BE7B"/>
      </colorScale>
    </cfRule>
  </conditionalFormatting>
  <conditionalFormatting sqref="F32">
    <cfRule type="colorScale" priority="3214">
      <colorScale>
        <cfvo type="min"/>
        <cfvo type="percentile" val="50"/>
        <cfvo type="max"/>
        <color rgb="FFF8696B"/>
        <color rgb="FFFFEB84"/>
        <color rgb="FF63BE7B"/>
      </colorScale>
    </cfRule>
  </conditionalFormatting>
  <conditionalFormatting sqref="F10:F32">
    <cfRule type="colorScale" priority="3213">
      <colorScale>
        <cfvo type="min"/>
        <cfvo type="percentile" val="50"/>
        <cfvo type="max"/>
        <color rgb="FFF8696B"/>
        <color rgb="FFFFEB84"/>
        <color rgb="FF63BE7B"/>
      </colorScale>
    </cfRule>
  </conditionalFormatting>
  <conditionalFormatting sqref="F10:F32">
    <cfRule type="colorScale" priority="3212">
      <colorScale>
        <cfvo type="min"/>
        <cfvo type="percentile" val="50"/>
        <cfvo type="max"/>
        <color rgb="FFF8696B"/>
        <color rgb="FFFFEB84"/>
        <color rgb="FF63BE7B"/>
      </colorScale>
    </cfRule>
  </conditionalFormatting>
  <conditionalFormatting sqref="F10:F15">
    <cfRule type="colorScale" priority="3211">
      <colorScale>
        <cfvo type="min"/>
        <cfvo type="percentile" val="50"/>
        <cfvo type="max"/>
        <color rgb="FFF8696B"/>
        <color rgb="FFFFEB84"/>
        <color rgb="FF63BE7B"/>
      </colorScale>
    </cfRule>
  </conditionalFormatting>
  <conditionalFormatting sqref="F10:F15">
    <cfRule type="colorScale" priority="3210">
      <colorScale>
        <cfvo type="min"/>
        <cfvo type="percentile" val="50"/>
        <cfvo type="max"/>
        <color rgb="FFF8696B"/>
        <color rgb="FFFFEB84"/>
        <color rgb="FF63BE7B"/>
      </colorScale>
    </cfRule>
  </conditionalFormatting>
  <conditionalFormatting sqref="F10:F15">
    <cfRule type="colorScale" priority="3209">
      <colorScale>
        <cfvo type="min"/>
        <cfvo type="percentile" val="50"/>
        <cfvo type="max"/>
        <color rgb="FFF8696B"/>
        <color rgb="FFFFEB84"/>
        <color rgb="FF63BE7B"/>
      </colorScale>
    </cfRule>
  </conditionalFormatting>
  <conditionalFormatting sqref="F10:F15">
    <cfRule type="colorScale" priority="3208">
      <colorScale>
        <cfvo type="min"/>
        <cfvo type="percentile" val="50"/>
        <cfvo type="max"/>
        <color rgb="FFF8696B"/>
        <color rgb="FFFFEB84"/>
        <color rgb="FF63BE7B"/>
      </colorScale>
    </cfRule>
  </conditionalFormatting>
  <conditionalFormatting sqref="F10:F15">
    <cfRule type="colorScale" priority="3207">
      <colorScale>
        <cfvo type="min"/>
        <cfvo type="percentile" val="50"/>
        <cfvo type="max"/>
        <color rgb="FFF8696B"/>
        <color rgb="FFFFEB84"/>
        <color rgb="FF63BE7B"/>
      </colorScale>
    </cfRule>
  </conditionalFormatting>
  <conditionalFormatting sqref="F10:F15">
    <cfRule type="colorScale" priority="3206">
      <colorScale>
        <cfvo type="min"/>
        <cfvo type="percentile" val="50"/>
        <cfvo type="max"/>
        <color rgb="FFF8696B"/>
        <color rgb="FFFFEB84"/>
        <color rgb="FF63BE7B"/>
      </colorScale>
    </cfRule>
  </conditionalFormatting>
  <conditionalFormatting sqref="F10:F15">
    <cfRule type="colorScale" priority="3205">
      <colorScale>
        <cfvo type="min"/>
        <cfvo type="percentile" val="50"/>
        <cfvo type="max"/>
        <color rgb="FFF8696B"/>
        <color rgb="FFFFEB84"/>
        <color rgb="FF63BE7B"/>
      </colorScale>
    </cfRule>
  </conditionalFormatting>
  <conditionalFormatting sqref="F10:F15">
    <cfRule type="colorScale" priority="3204">
      <colorScale>
        <cfvo type="min"/>
        <cfvo type="percentile" val="50"/>
        <cfvo type="max"/>
        <color rgb="FFF8696B"/>
        <color rgb="FFFFEB84"/>
        <color rgb="FF63BE7B"/>
      </colorScale>
    </cfRule>
  </conditionalFormatting>
  <conditionalFormatting sqref="F10:F15">
    <cfRule type="colorScale" priority="3203">
      <colorScale>
        <cfvo type="min"/>
        <cfvo type="percentile" val="50"/>
        <cfvo type="max"/>
        <color rgb="FFF8696B"/>
        <color rgb="FFFFEB84"/>
        <color rgb="FF63BE7B"/>
      </colorScale>
    </cfRule>
  </conditionalFormatting>
  <conditionalFormatting sqref="F10:F15">
    <cfRule type="colorScale" priority="3202">
      <colorScale>
        <cfvo type="min"/>
        <cfvo type="percentile" val="50"/>
        <cfvo type="max"/>
        <color rgb="FFF8696B"/>
        <color rgb="FFFFEB84"/>
        <color rgb="FF63BE7B"/>
      </colorScale>
    </cfRule>
  </conditionalFormatting>
  <conditionalFormatting sqref="F16:F21">
    <cfRule type="colorScale" priority="3201">
      <colorScale>
        <cfvo type="min"/>
        <cfvo type="percentile" val="50"/>
        <cfvo type="max"/>
        <color rgb="FFF8696B"/>
        <color rgb="FFFFEB84"/>
        <color rgb="FF63BE7B"/>
      </colorScale>
    </cfRule>
  </conditionalFormatting>
  <conditionalFormatting sqref="F16:F21">
    <cfRule type="colorScale" priority="3200">
      <colorScale>
        <cfvo type="min"/>
        <cfvo type="percentile" val="50"/>
        <cfvo type="max"/>
        <color rgb="FFF8696B"/>
        <color rgb="FFFFEB84"/>
        <color rgb="FF63BE7B"/>
      </colorScale>
    </cfRule>
  </conditionalFormatting>
  <conditionalFormatting sqref="F16:F21">
    <cfRule type="colorScale" priority="3199">
      <colorScale>
        <cfvo type="min"/>
        <cfvo type="percentile" val="50"/>
        <cfvo type="max"/>
        <color rgb="FFF8696B"/>
        <color rgb="FFFFEB84"/>
        <color rgb="FF63BE7B"/>
      </colorScale>
    </cfRule>
  </conditionalFormatting>
  <conditionalFormatting sqref="F16:F21">
    <cfRule type="colorScale" priority="3198">
      <colorScale>
        <cfvo type="min"/>
        <cfvo type="percentile" val="50"/>
        <cfvo type="max"/>
        <color rgb="FFF8696B"/>
        <color rgb="FFFFEB84"/>
        <color rgb="FF63BE7B"/>
      </colorScale>
    </cfRule>
  </conditionalFormatting>
  <conditionalFormatting sqref="F16:F21">
    <cfRule type="colorScale" priority="3197">
      <colorScale>
        <cfvo type="min"/>
        <cfvo type="percentile" val="50"/>
        <cfvo type="max"/>
        <color rgb="FFF8696B"/>
        <color rgb="FFFFEB84"/>
        <color rgb="FF63BE7B"/>
      </colorScale>
    </cfRule>
  </conditionalFormatting>
  <conditionalFormatting sqref="F16:F21">
    <cfRule type="colorScale" priority="3196">
      <colorScale>
        <cfvo type="min"/>
        <cfvo type="percentile" val="50"/>
        <cfvo type="max"/>
        <color rgb="FFF8696B"/>
        <color rgb="FFFFEB84"/>
        <color rgb="FF63BE7B"/>
      </colorScale>
    </cfRule>
  </conditionalFormatting>
  <conditionalFormatting sqref="F16:F21">
    <cfRule type="colorScale" priority="3195">
      <colorScale>
        <cfvo type="min"/>
        <cfvo type="percentile" val="50"/>
        <cfvo type="max"/>
        <color rgb="FFF8696B"/>
        <color rgb="FFFFEB84"/>
        <color rgb="FF63BE7B"/>
      </colorScale>
    </cfRule>
  </conditionalFormatting>
  <conditionalFormatting sqref="F16:F21">
    <cfRule type="colorScale" priority="3194">
      <colorScale>
        <cfvo type="min"/>
        <cfvo type="percentile" val="50"/>
        <cfvo type="max"/>
        <color rgb="FFF8696B"/>
        <color rgb="FFFFEB84"/>
        <color rgb="FF63BE7B"/>
      </colorScale>
    </cfRule>
  </conditionalFormatting>
  <conditionalFormatting sqref="F16:F21">
    <cfRule type="colorScale" priority="3193">
      <colorScale>
        <cfvo type="min"/>
        <cfvo type="percentile" val="50"/>
        <cfvo type="max"/>
        <color rgb="FFF8696B"/>
        <color rgb="FFFFEB84"/>
        <color rgb="FF63BE7B"/>
      </colorScale>
    </cfRule>
  </conditionalFormatting>
  <conditionalFormatting sqref="F16:F21">
    <cfRule type="colorScale" priority="3192">
      <colorScale>
        <cfvo type="min"/>
        <cfvo type="percentile" val="50"/>
        <cfvo type="max"/>
        <color rgb="FFF8696B"/>
        <color rgb="FFFFEB84"/>
        <color rgb="FF63BE7B"/>
      </colorScale>
    </cfRule>
  </conditionalFormatting>
  <conditionalFormatting sqref="F22:F27">
    <cfRule type="colorScale" priority="3191">
      <colorScale>
        <cfvo type="min"/>
        <cfvo type="percentile" val="50"/>
        <cfvo type="max"/>
        <color rgb="FFF8696B"/>
        <color rgb="FFFFEB84"/>
        <color rgb="FF63BE7B"/>
      </colorScale>
    </cfRule>
  </conditionalFormatting>
  <conditionalFormatting sqref="F22:F27">
    <cfRule type="colorScale" priority="3190">
      <colorScale>
        <cfvo type="min"/>
        <cfvo type="percentile" val="50"/>
        <cfvo type="max"/>
        <color rgb="FFF8696B"/>
        <color rgb="FFFFEB84"/>
        <color rgb="FF63BE7B"/>
      </colorScale>
    </cfRule>
  </conditionalFormatting>
  <conditionalFormatting sqref="F22:F27">
    <cfRule type="colorScale" priority="3189">
      <colorScale>
        <cfvo type="min"/>
        <cfvo type="percentile" val="50"/>
        <cfvo type="max"/>
        <color rgb="FFF8696B"/>
        <color rgb="FFFFEB84"/>
        <color rgb="FF63BE7B"/>
      </colorScale>
    </cfRule>
  </conditionalFormatting>
  <conditionalFormatting sqref="F22:F27">
    <cfRule type="colorScale" priority="3188">
      <colorScale>
        <cfvo type="min"/>
        <cfvo type="percentile" val="50"/>
        <cfvo type="max"/>
        <color rgb="FFF8696B"/>
        <color rgb="FFFFEB84"/>
        <color rgb="FF63BE7B"/>
      </colorScale>
    </cfRule>
  </conditionalFormatting>
  <conditionalFormatting sqref="F22:F27">
    <cfRule type="colorScale" priority="3187">
      <colorScale>
        <cfvo type="min"/>
        <cfvo type="percentile" val="50"/>
        <cfvo type="max"/>
        <color rgb="FFF8696B"/>
        <color rgb="FFFFEB84"/>
        <color rgb="FF63BE7B"/>
      </colorScale>
    </cfRule>
  </conditionalFormatting>
  <conditionalFormatting sqref="F22:F27">
    <cfRule type="colorScale" priority="3186">
      <colorScale>
        <cfvo type="min"/>
        <cfvo type="percentile" val="50"/>
        <cfvo type="max"/>
        <color rgb="FFF8696B"/>
        <color rgb="FFFFEB84"/>
        <color rgb="FF63BE7B"/>
      </colorScale>
    </cfRule>
  </conditionalFormatting>
  <conditionalFormatting sqref="F22:F27">
    <cfRule type="colorScale" priority="3185">
      <colorScale>
        <cfvo type="min"/>
        <cfvo type="percentile" val="50"/>
        <cfvo type="max"/>
        <color rgb="FFF8696B"/>
        <color rgb="FFFFEB84"/>
        <color rgb="FF63BE7B"/>
      </colorScale>
    </cfRule>
  </conditionalFormatting>
  <conditionalFormatting sqref="F22:F27">
    <cfRule type="colorScale" priority="3184">
      <colorScale>
        <cfvo type="min"/>
        <cfvo type="percentile" val="50"/>
        <cfvo type="max"/>
        <color rgb="FFF8696B"/>
        <color rgb="FFFFEB84"/>
        <color rgb="FF63BE7B"/>
      </colorScale>
    </cfRule>
  </conditionalFormatting>
  <conditionalFormatting sqref="F22:F27">
    <cfRule type="colorScale" priority="3183">
      <colorScale>
        <cfvo type="min"/>
        <cfvo type="percentile" val="50"/>
        <cfvo type="max"/>
        <color rgb="FFF8696B"/>
        <color rgb="FFFFEB84"/>
        <color rgb="FF63BE7B"/>
      </colorScale>
    </cfRule>
  </conditionalFormatting>
  <conditionalFormatting sqref="F22:F27">
    <cfRule type="colorScale" priority="3182">
      <colorScale>
        <cfvo type="min"/>
        <cfvo type="percentile" val="50"/>
        <cfvo type="max"/>
        <color rgb="FFF8696B"/>
        <color rgb="FFFFEB84"/>
        <color rgb="FF63BE7B"/>
      </colorScale>
    </cfRule>
  </conditionalFormatting>
  <conditionalFormatting sqref="F28:F32">
    <cfRule type="colorScale" priority="3181">
      <colorScale>
        <cfvo type="min"/>
        <cfvo type="percentile" val="50"/>
        <cfvo type="max"/>
        <color rgb="FFF8696B"/>
        <color rgb="FFFFEB84"/>
        <color rgb="FF63BE7B"/>
      </colorScale>
    </cfRule>
  </conditionalFormatting>
  <conditionalFormatting sqref="F28:F32">
    <cfRule type="colorScale" priority="3180">
      <colorScale>
        <cfvo type="min"/>
        <cfvo type="percentile" val="50"/>
        <cfvo type="max"/>
        <color rgb="FFF8696B"/>
        <color rgb="FFFFEB84"/>
        <color rgb="FF63BE7B"/>
      </colorScale>
    </cfRule>
  </conditionalFormatting>
  <conditionalFormatting sqref="F28:F32">
    <cfRule type="colorScale" priority="3179">
      <colorScale>
        <cfvo type="min"/>
        <cfvo type="percentile" val="50"/>
        <cfvo type="max"/>
        <color rgb="FFF8696B"/>
        <color rgb="FFFFEB84"/>
        <color rgb="FF63BE7B"/>
      </colorScale>
    </cfRule>
  </conditionalFormatting>
  <conditionalFormatting sqref="F28:F32">
    <cfRule type="colorScale" priority="3178">
      <colorScale>
        <cfvo type="min"/>
        <cfvo type="percentile" val="50"/>
        <cfvo type="max"/>
        <color rgb="FFF8696B"/>
        <color rgb="FFFFEB84"/>
        <color rgb="FF63BE7B"/>
      </colorScale>
    </cfRule>
  </conditionalFormatting>
  <conditionalFormatting sqref="F28:F32">
    <cfRule type="colorScale" priority="3177">
      <colorScale>
        <cfvo type="min"/>
        <cfvo type="percentile" val="50"/>
        <cfvo type="max"/>
        <color rgb="FFF8696B"/>
        <color rgb="FFFFEB84"/>
        <color rgb="FF63BE7B"/>
      </colorScale>
    </cfRule>
  </conditionalFormatting>
  <conditionalFormatting sqref="F28:F32">
    <cfRule type="colorScale" priority="3176">
      <colorScale>
        <cfvo type="min"/>
        <cfvo type="percentile" val="50"/>
        <cfvo type="max"/>
        <color rgb="FFF8696B"/>
        <color rgb="FFFFEB84"/>
        <color rgb="FF63BE7B"/>
      </colorScale>
    </cfRule>
  </conditionalFormatting>
  <conditionalFormatting sqref="F28:F32">
    <cfRule type="colorScale" priority="3175">
      <colorScale>
        <cfvo type="min"/>
        <cfvo type="percentile" val="50"/>
        <cfvo type="max"/>
        <color rgb="FFF8696B"/>
        <color rgb="FFFFEB84"/>
        <color rgb="FF63BE7B"/>
      </colorScale>
    </cfRule>
  </conditionalFormatting>
  <conditionalFormatting sqref="F28:F32">
    <cfRule type="colorScale" priority="3174">
      <colorScale>
        <cfvo type="min"/>
        <cfvo type="percentile" val="50"/>
        <cfvo type="max"/>
        <color rgb="FFF8696B"/>
        <color rgb="FFFFEB84"/>
        <color rgb="FF63BE7B"/>
      </colorScale>
    </cfRule>
  </conditionalFormatting>
  <conditionalFormatting sqref="F28:F32">
    <cfRule type="colorScale" priority="3173">
      <colorScale>
        <cfvo type="min"/>
        <cfvo type="percentile" val="50"/>
        <cfvo type="max"/>
        <color rgb="FFF8696B"/>
        <color rgb="FFFFEB84"/>
        <color rgb="FF63BE7B"/>
      </colorScale>
    </cfRule>
  </conditionalFormatting>
  <conditionalFormatting sqref="F28:F32">
    <cfRule type="colorScale" priority="3172">
      <colorScale>
        <cfvo type="min"/>
        <cfvo type="percentile" val="50"/>
        <cfvo type="max"/>
        <color rgb="FFF8696B"/>
        <color rgb="FFFFEB84"/>
        <color rgb="FF63BE7B"/>
      </colorScale>
    </cfRule>
  </conditionalFormatting>
  <conditionalFormatting sqref="F10:F31">
    <cfRule type="colorScale" priority="3171">
      <colorScale>
        <cfvo type="min"/>
        <cfvo type="percentile" val="50"/>
        <cfvo type="max"/>
        <color rgb="FFF8696B"/>
        <color rgb="FFFFEB84"/>
        <color rgb="FF63BE7B"/>
      </colorScale>
    </cfRule>
  </conditionalFormatting>
  <conditionalFormatting sqref="F10:F21">
    <cfRule type="colorScale" priority="3170">
      <colorScale>
        <cfvo type="min"/>
        <cfvo type="percentile" val="50"/>
        <cfvo type="max"/>
        <color rgb="FFF8696B"/>
        <color rgb="FFFFEB84"/>
        <color rgb="FF63BE7B"/>
      </colorScale>
    </cfRule>
  </conditionalFormatting>
  <conditionalFormatting sqref="F10:F32">
    <cfRule type="colorScale" priority="3169">
      <colorScale>
        <cfvo type="min"/>
        <cfvo type="percentile" val="50"/>
        <cfvo type="max"/>
        <color rgb="FFF8696B"/>
        <color rgb="FFFFEB84"/>
        <color rgb="FF63BE7B"/>
      </colorScale>
    </cfRule>
  </conditionalFormatting>
  <conditionalFormatting sqref="F10:F32">
    <cfRule type="colorScale" priority="3168">
      <colorScale>
        <cfvo type="min"/>
        <cfvo type="percentile" val="50"/>
        <cfvo type="max"/>
        <color rgb="FFF8696B"/>
        <color rgb="FFFFEB84"/>
        <color rgb="FF63BE7B"/>
      </colorScale>
    </cfRule>
  </conditionalFormatting>
  <conditionalFormatting sqref="F10:F32">
    <cfRule type="colorScale" priority="3167">
      <colorScale>
        <cfvo type="min"/>
        <cfvo type="percentile" val="50"/>
        <cfvo type="max"/>
        <color rgb="FFF8696B"/>
        <color rgb="FFFFEB84"/>
        <color rgb="FF63BE7B"/>
      </colorScale>
    </cfRule>
  </conditionalFormatting>
  <conditionalFormatting sqref="J10:K32">
    <cfRule type="colorScale" priority="3166">
      <colorScale>
        <cfvo type="min"/>
        <cfvo type="percentile" val="50"/>
        <cfvo type="max"/>
        <color rgb="FFF8696B"/>
        <color rgb="FFFFEB84"/>
        <color rgb="FF63BE7B"/>
      </colorScale>
    </cfRule>
  </conditionalFormatting>
  <conditionalFormatting sqref="J10:J31">
    <cfRule type="colorScale" priority="3165">
      <colorScale>
        <cfvo type="min"/>
        <cfvo type="percentile" val="50"/>
        <cfvo type="max"/>
        <color rgb="FFF8696B"/>
        <color rgb="FFFFEB84"/>
        <color rgb="FF63BE7B"/>
      </colorScale>
    </cfRule>
  </conditionalFormatting>
  <conditionalFormatting sqref="J10:J21">
    <cfRule type="colorScale" priority="3164">
      <colorScale>
        <cfvo type="min"/>
        <cfvo type="percentile" val="50"/>
        <cfvo type="max"/>
        <color rgb="FFF8696B"/>
        <color rgb="FFFFEB84"/>
        <color rgb="FF63BE7B"/>
      </colorScale>
    </cfRule>
  </conditionalFormatting>
  <conditionalFormatting sqref="J14:J18">
    <cfRule type="colorScale" priority="3163">
      <colorScale>
        <cfvo type="min"/>
        <cfvo type="percentile" val="50"/>
        <cfvo type="max"/>
        <color rgb="FFF8696B"/>
        <color rgb="FFFFEB84"/>
        <color rgb="FF63BE7B"/>
      </colorScale>
    </cfRule>
  </conditionalFormatting>
  <conditionalFormatting sqref="J32">
    <cfRule type="colorScale" priority="3162">
      <colorScale>
        <cfvo type="min"/>
        <cfvo type="percentile" val="50"/>
        <cfvo type="max"/>
        <color rgb="FFF8696B"/>
        <color rgb="FFFFEB84"/>
        <color rgb="FF63BE7B"/>
      </colorScale>
    </cfRule>
  </conditionalFormatting>
  <conditionalFormatting sqref="K10:K32">
    <cfRule type="colorScale" priority="3161">
      <colorScale>
        <cfvo type="min"/>
        <cfvo type="percentile" val="50"/>
        <cfvo type="max"/>
        <color rgb="FFF8696B"/>
        <color rgb="FFFFEB84"/>
        <color rgb="FF63BE7B"/>
      </colorScale>
    </cfRule>
  </conditionalFormatting>
  <conditionalFormatting sqref="J32">
    <cfRule type="colorScale" priority="3160">
      <colorScale>
        <cfvo type="min"/>
        <cfvo type="percentile" val="50"/>
        <cfvo type="max"/>
        <color rgb="FFF8696B"/>
        <color rgb="FFFFEB84"/>
        <color rgb="FF63BE7B"/>
      </colorScale>
    </cfRule>
  </conditionalFormatting>
  <conditionalFormatting sqref="J32">
    <cfRule type="colorScale" priority="3159">
      <colorScale>
        <cfvo type="min"/>
        <cfvo type="percentile" val="50"/>
        <cfvo type="max"/>
        <color rgb="FFF8696B"/>
        <color rgb="FFFFEB84"/>
        <color rgb="FF63BE7B"/>
      </colorScale>
    </cfRule>
  </conditionalFormatting>
  <conditionalFormatting sqref="K10:K32">
    <cfRule type="colorScale" priority="3158">
      <colorScale>
        <cfvo type="min"/>
        <cfvo type="percentile" val="50"/>
        <cfvo type="max"/>
        <color rgb="FFF8696B"/>
        <color rgb="FFFFEB84"/>
        <color rgb="FF63BE7B"/>
      </colorScale>
    </cfRule>
  </conditionalFormatting>
  <conditionalFormatting sqref="D10:D32">
    <cfRule type="colorScale" priority="3157">
      <colorScale>
        <cfvo type="min"/>
        <cfvo type="percentile" val="50"/>
        <cfvo type="max"/>
        <color rgb="FFF8696B"/>
        <color rgb="FFFFEB84"/>
        <color rgb="FF63BE7B"/>
      </colorScale>
    </cfRule>
  </conditionalFormatting>
  <conditionalFormatting sqref="D10:D31">
    <cfRule type="colorScale" priority="3156">
      <colorScale>
        <cfvo type="min"/>
        <cfvo type="percentile" val="50"/>
        <cfvo type="max"/>
        <color rgb="FFF8696B"/>
        <color rgb="FFFFEB84"/>
        <color rgb="FF63BE7B"/>
      </colorScale>
    </cfRule>
  </conditionalFormatting>
  <conditionalFormatting sqref="D10:D31">
    <cfRule type="colorScale" priority="3155">
      <colorScale>
        <cfvo type="min"/>
        <cfvo type="percentile" val="50"/>
        <cfvo type="max"/>
        <color rgb="FFF8696B"/>
        <color rgb="FFFFEB84"/>
        <color rgb="FF63BE7B"/>
      </colorScale>
    </cfRule>
  </conditionalFormatting>
  <conditionalFormatting sqref="D10:D29">
    <cfRule type="colorScale" priority="3154">
      <colorScale>
        <cfvo type="min"/>
        <cfvo type="percentile" val="50"/>
        <cfvo type="max"/>
        <color rgb="FFF8696B"/>
        <color rgb="FFFFEB84"/>
        <color rgb="FF63BE7B"/>
      </colorScale>
    </cfRule>
  </conditionalFormatting>
  <conditionalFormatting sqref="D10:D21">
    <cfRule type="colorScale" priority="3153">
      <colorScale>
        <cfvo type="min"/>
        <cfvo type="percentile" val="50"/>
        <cfvo type="max"/>
        <color rgb="FFF8696B"/>
        <color rgb="FFFFEB84"/>
        <color rgb="FF63BE7B"/>
      </colorScale>
    </cfRule>
  </conditionalFormatting>
  <conditionalFormatting sqref="D10:D21">
    <cfRule type="colorScale" priority="3152">
      <colorScale>
        <cfvo type="min"/>
        <cfvo type="percentile" val="50"/>
        <cfvo type="max"/>
        <color rgb="FFF8696B"/>
        <color rgb="FFFFEB84"/>
        <color rgb="FF63BE7B"/>
      </colorScale>
    </cfRule>
  </conditionalFormatting>
  <conditionalFormatting sqref="D10:D21">
    <cfRule type="colorScale" priority="3151">
      <colorScale>
        <cfvo type="min"/>
        <cfvo type="percentile" val="50"/>
        <cfvo type="max"/>
        <color rgb="FFF8696B"/>
        <color rgb="FFFFEB84"/>
        <color rgb="FF63BE7B"/>
      </colorScale>
    </cfRule>
  </conditionalFormatting>
  <conditionalFormatting sqref="D10:D32">
    <cfRule type="colorScale" priority="3150">
      <colorScale>
        <cfvo type="min"/>
        <cfvo type="percentile" val="50"/>
        <cfvo type="max"/>
        <color rgb="FFF8696B"/>
        <color rgb="FFFFEB84"/>
        <color rgb="FF63BE7B"/>
      </colorScale>
    </cfRule>
  </conditionalFormatting>
  <conditionalFormatting sqref="D10:D32">
    <cfRule type="colorScale" priority="3149">
      <colorScale>
        <cfvo type="min"/>
        <cfvo type="percentile" val="50"/>
        <cfvo type="max"/>
        <color rgb="FFF8696B"/>
        <color rgb="FFFFEB84"/>
        <color rgb="FF63BE7B"/>
      </colorScale>
    </cfRule>
  </conditionalFormatting>
  <conditionalFormatting sqref="D10:D29">
    <cfRule type="colorScale" priority="3148">
      <colorScale>
        <cfvo type="min"/>
        <cfvo type="percentile" val="50"/>
        <cfvo type="max"/>
        <color rgb="FFF8696B"/>
        <color rgb="FFFFEB84"/>
        <color rgb="FF63BE7B"/>
      </colorScale>
    </cfRule>
  </conditionalFormatting>
  <conditionalFormatting sqref="D29:D31">
    <cfRule type="colorScale" priority="3147">
      <colorScale>
        <cfvo type="min"/>
        <cfvo type="percentile" val="50"/>
        <cfvo type="max"/>
        <color rgb="FFF8696B"/>
        <color rgb="FFFFEB84"/>
        <color rgb="FF63BE7B"/>
      </colorScale>
    </cfRule>
  </conditionalFormatting>
  <conditionalFormatting sqref="D32">
    <cfRule type="colorScale" priority="3146">
      <colorScale>
        <cfvo type="min"/>
        <cfvo type="percentile" val="50"/>
        <cfvo type="max"/>
        <color rgb="FFF8696B"/>
        <color rgb="FFFFEB84"/>
        <color rgb="FF63BE7B"/>
      </colorScale>
    </cfRule>
  </conditionalFormatting>
  <conditionalFormatting sqref="D11:D31">
    <cfRule type="colorScale" priority="3145">
      <colorScale>
        <cfvo type="min"/>
        <cfvo type="percentile" val="50"/>
        <cfvo type="max"/>
        <color rgb="FFF8696B"/>
        <color rgb="FFFFEB84"/>
        <color rgb="FF63BE7B"/>
      </colorScale>
    </cfRule>
  </conditionalFormatting>
  <conditionalFormatting sqref="D11:D29">
    <cfRule type="colorScale" priority="3144">
      <colorScale>
        <cfvo type="min"/>
        <cfvo type="percentile" val="50"/>
        <cfvo type="max"/>
        <color rgb="FFF8696B"/>
        <color rgb="FFFFEB84"/>
        <color rgb="FF63BE7B"/>
      </colorScale>
    </cfRule>
  </conditionalFormatting>
  <conditionalFormatting sqref="D10:D32">
    <cfRule type="colorScale" priority="3143">
      <colorScale>
        <cfvo type="min"/>
        <cfvo type="percentile" val="50"/>
        <cfvo type="max"/>
        <color rgb="FFF8696B"/>
        <color rgb="FFFFEB84"/>
        <color rgb="FF63BE7B"/>
      </colorScale>
    </cfRule>
  </conditionalFormatting>
  <conditionalFormatting sqref="D10:D31">
    <cfRule type="colorScale" priority="3142">
      <colorScale>
        <cfvo type="min"/>
        <cfvo type="percentile" val="50"/>
        <cfvo type="max"/>
        <color rgb="FFF8696B"/>
        <color rgb="FFFFEB84"/>
        <color rgb="FF63BE7B"/>
      </colorScale>
    </cfRule>
  </conditionalFormatting>
  <conditionalFormatting sqref="D10:D21">
    <cfRule type="colorScale" priority="3141">
      <colorScale>
        <cfvo type="min"/>
        <cfvo type="percentile" val="50"/>
        <cfvo type="max"/>
        <color rgb="FFF8696B"/>
        <color rgb="FFFFEB84"/>
        <color rgb="FF63BE7B"/>
      </colorScale>
    </cfRule>
  </conditionalFormatting>
  <conditionalFormatting sqref="D10:D32">
    <cfRule type="colorScale" priority="3140">
      <colorScale>
        <cfvo type="min"/>
        <cfvo type="percentile" val="50"/>
        <cfvo type="max"/>
        <color rgb="FFF8696B"/>
        <color rgb="FFFFEB84"/>
        <color rgb="FF63BE7B"/>
      </colorScale>
    </cfRule>
  </conditionalFormatting>
  <conditionalFormatting sqref="D10:D32">
    <cfRule type="colorScale" priority="3139">
      <colorScale>
        <cfvo type="min"/>
        <cfvo type="percentile" val="50"/>
        <cfvo type="max"/>
        <color rgb="FFF8696B"/>
        <color rgb="FFFFEB84"/>
        <color rgb="FF63BE7B"/>
      </colorScale>
    </cfRule>
  </conditionalFormatting>
  <conditionalFormatting sqref="D10:D32">
    <cfRule type="colorScale" priority="3138">
      <colorScale>
        <cfvo type="min"/>
        <cfvo type="percentile" val="50"/>
        <cfvo type="max"/>
        <color rgb="FFF8696B"/>
        <color rgb="FFFFEB84"/>
        <color rgb="FF63BE7B"/>
      </colorScale>
    </cfRule>
  </conditionalFormatting>
  <conditionalFormatting sqref="E10:E32">
    <cfRule type="colorScale" priority="3137">
      <colorScale>
        <cfvo type="min"/>
        <cfvo type="percentile" val="50"/>
        <cfvo type="max"/>
        <color rgb="FFF8696B"/>
        <color rgb="FFFFEB84"/>
        <color rgb="FF63BE7B"/>
      </colorScale>
    </cfRule>
  </conditionalFormatting>
  <conditionalFormatting sqref="E10:E31">
    <cfRule type="colorScale" priority="3136">
      <colorScale>
        <cfvo type="min"/>
        <cfvo type="percentile" val="50"/>
        <cfvo type="max"/>
        <color rgb="FFF8696B"/>
        <color rgb="FFFFEB84"/>
        <color rgb="FF63BE7B"/>
      </colorScale>
    </cfRule>
  </conditionalFormatting>
  <conditionalFormatting sqref="E10:E31">
    <cfRule type="colorScale" priority="3135">
      <colorScale>
        <cfvo type="min"/>
        <cfvo type="percentile" val="50"/>
        <cfvo type="max"/>
        <color rgb="FFF8696B"/>
        <color rgb="FFFFEB84"/>
        <color rgb="FF63BE7B"/>
      </colorScale>
    </cfRule>
  </conditionalFormatting>
  <conditionalFormatting sqref="E10:E21">
    <cfRule type="colorScale" priority="3134">
      <colorScale>
        <cfvo type="min"/>
        <cfvo type="percentile" val="50"/>
        <cfvo type="max"/>
        <color rgb="FFF8696B"/>
        <color rgb="FFFFEB84"/>
        <color rgb="FF63BE7B"/>
      </colorScale>
    </cfRule>
  </conditionalFormatting>
  <conditionalFormatting sqref="E10:E21">
    <cfRule type="colorScale" priority="3133">
      <colorScale>
        <cfvo type="min"/>
        <cfvo type="percentile" val="50"/>
        <cfvo type="max"/>
        <color rgb="FFF8696B"/>
        <color rgb="FFFFEB84"/>
        <color rgb="FF63BE7B"/>
      </colorScale>
    </cfRule>
  </conditionalFormatting>
  <conditionalFormatting sqref="E10:E32">
    <cfRule type="colorScale" priority="3132">
      <colorScale>
        <cfvo type="min"/>
        <cfvo type="percentile" val="50"/>
        <cfvo type="max"/>
        <color rgb="FFF8696B"/>
        <color rgb="FFFFEB84"/>
        <color rgb="FF63BE7B"/>
      </colorScale>
    </cfRule>
  </conditionalFormatting>
  <conditionalFormatting sqref="E10:E27">
    <cfRule type="colorScale" priority="3131">
      <colorScale>
        <cfvo type="min"/>
        <cfvo type="percentile" val="50"/>
        <cfvo type="max"/>
        <color rgb="FFF8696B"/>
        <color rgb="FFFFEB84"/>
        <color rgb="FF63BE7B"/>
      </colorScale>
    </cfRule>
  </conditionalFormatting>
  <conditionalFormatting sqref="E10:E27">
    <cfRule type="colorScale" priority="3130">
      <colorScale>
        <cfvo type="min"/>
        <cfvo type="percentile" val="50"/>
        <cfvo type="max"/>
        <color rgb="FFF8696B"/>
        <color rgb="FFFFEB84"/>
        <color rgb="FF63BE7B"/>
      </colorScale>
    </cfRule>
  </conditionalFormatting>
  <conditionalFormatting sqref="E22:E27">
    <cfRule type="colorScale" priority="3129">
      <colorScale>
        <cfvo type="min"/>
        <cfvo type="percentile" val="50"/>
        <cfvo type="max"/>
        <color rgb="FFF8696B"/>
        <color rgb="FFFFEB84"/>
        <color rgb="FF63BE7B"/>
      </colorScale>
    </cfRule>
  </conditionalFormatting>
  <conditionalFormatting sqref="E25">
    <cfRule type="colorScale" priority="3128">
      <colorScale>
        <cfvo type="min"/>
        <cfvo type="percentile" val="50"/>
        <cfvo type="max"/>
        <color rgb="FFF8696B"/>
        <color rgb="FFFFEB84"/>
        <color rgb="FF63BE7B"/>
      </colorScale>
    </cfRule>
  </conditionalFormatting>
  <conditionalFormatting sqref="E11:E31">
    <cfRule type="colorScale" priority="3127">
      <colorScale>
        <cfvo type="min"/>
        <cfvo type="percentile" val="50"/>
        <cfvo type="max"/>
        <color rgb="FFF8696B"/>
        <color rgb="FFFFEB84"/>
        <color rgb="FF63BE7B"/>
      </colorScale>
    </cfRule>
  </conditionalFormatting>
  <conditionalFormatting sqref="E11:E28">
    <cfRule type="colorScale" priority="3126">
      <colorScale>
        <cfvo type="min"/>
        <cfvo type="percentile" val="50"/>
        <cfvo type="max"/>
        <color rgb="FFF8696B"/>
        <color rgb="FFFFEB84"/>
        <color rgb="FF63BE7B"/>
      </colorScale>
    </cfRule>
  </conditionalFormatting>
  <conditionalFormatting sqref="E29:E31">
    <cfRule type="colorScale" priority="3125">
      <colorScale>
        <cfvo type="min"/>
        <cfvo type="percentile" val="50"/>
        <cfvo type="max"/>
        <color rgb="FFF8696B"/>
        <color rgb="FFFFEB84"/>
        <color rgb="FF63BE7B"/>
      </colorScale>
    </cfRule>
  </conditionalFormatting>
  <conditionalFormatting sqref="E32">
    <cfRule type="colorScale" priority="3124">
      <colorScale>
        <cfvo type="min"/>
        <cfvo type="percentile" val="50"/>
        <cfvo type="max"/>
        <color rgb="FFF8696B"/>
        <color rgb="FFFFEB84"/>
        <color rgb="FF63BE7B"/>
      </colorScale>
    </cfRule>
  </conditionalFormatting>
  <conditionalFormatting sqref="E10:E32">
    <cfRule type="colorScale" priority="3123">
      <colorScale>
        <cfvo type="min"/>
        <cfvo type="percentile" val="50"/>
        <cfvo type="max"/>
        <color rgb="FFF8696B"/>
        <color rgb="FFFFEB84"/>
        <color rgb="FF63BE7B"/>
      </colorScale>
    </cfRule>
  </conditionalFormatting>
  <conditionalFormatting sqref="E10:E31">
    <cfRule type="colorScale" priority="3122">
      <colorScale>
        <cfvo type="min"/>
        <cfvo type="percentile" val="50"/>
        <cfvo type="max"/>
        <color rgb="FFF8696B"/>
        <color rgb="FFFFEB84"/>
        <color rgb="FF63BE7B"/>
      </colorScale>
    </cfRule>
  </conditionalFormatting>
  <conditionalFormatting sqref="E10:E21">
    <cfRule type="colorScale" priority="3121">
      <colorScale>
        <cfvo type="min"/>
        <cfvo type="percentile" val="50"/>
        <cfvo type="max"/>
        <color rgb="FFF8696B"/>
        <color rgb="FFFFEB84"/>
        <color rgb="FF63BE7B"/>
      </colorScale>
    </cfRule>
  </conditionalFormatting>
  <conditionalFormatting sqref="E10:E32">
    <cfRule type="colorScale" priority="3120">
      <colorScale>
        <cfvo type="min"/>
        <cfvo type="percentile" val="50"/>
        <cfvo type="max"/>
        <color rgb="FFF8696B"/>
        <color rgb="FFFFEB84"/>
        <color rgb="FF63BE7B"/>
      </colorScale>
    </cfRule>
  </conditionalFormatting>
  <conditionalFormatting sqref="E10:E32">
    <cfRule type="colorScale" priority="3119">
      <colorScale>
        <cfvo type="min"/>
        <cfvo type="percentile" val="50"/>
        <cfvo type="max"/>
        <color rgb="FFF8696B"/>
        <color rgb="FFFFEB84"/>
        <color rgb="FF63BE7B"/>
      </colorScale>
    </cfRule>
  </conditionalFormatting>
  <conditionalFormatting sqref="E10:E32">
    <cfRule type="colorScale" priority="3118">
      <colorScale>
        <cfvo type="min"/>
        <cfvo type="percentile" val="50"/>
        <cfvo type="max"/>
        <color rgb="FFF8696B"/>
        <color rgb="FFFFEB84"/>
        <color rgb="FF63BE7B"/>
      </colorScale>
    </cfRule>
  </conditionalFormatting>
  <conditionalFormatting sqref="F10:F32">
    <cfRule type="colorScale" priority="3117">
      <colorScale>
        <cfvo type="min"/>
        <cfvo type="percentile" val="50"/>
        <cfvo type="max"/>
        <color rgb="FFF8696B"/>
        <color rgb="FFFFEB84"/>
        <color rgb="FF63BE7B"/>
      </colorScale>
    </cfRule>
  </conditionalFormatting>
  <conditionalFormatting sqref="F13:F20">
    <cfRule type="colorScale" priority="3116">
      <colorScale>
        <cfvo type="min"/>
        <cfvo type="percentile" val="50"/>
        <cfvo type="max"/>
        <color rgb="FFF8696B"/>
        <color rgb="FFFFEB84"/>
        <color rgb="FF63BE7B"/>
      </colorScale>
    </cfRule>
  </conditionalFormatting>
  <conditionalFormatting sqref="F13:F20">
    <cfRule type="colorScale" priority="3115">
      <colorScale>
        <cfvo type="min"/>
        <cfvo type="percentile" val="50"/>
        <cfvo type="max"/>
        <color rgb="FFF8696B"/>
        <color rgb="FFFFEB84"/>
        <color rgb="FF63BE7B"/>
      </colorScale>
    </cfRule>
  </conditionalFormatting>
  <conditionalFormatting sqref="F13:F20">
    <cfRule type="colorScale" priority="3114">
      <colorScale>
        <cfvo type="min"/>
        <cfvo type="percentile" val="50"/>
        <cfvo type="max"/>
        <color rgb="FFF8696B"/>
        <color rgb="FFFFEB84"/>
        <color rgb="FF63BE7B"/>
      </colorScale>
    </cfRule>
  </conditionalFormatting>
  <conditionalFormatting sqref="F13:F20">
    <cfRule type="colorScale" priority="3113">
      <colorScale>
        <cfvo type="min"/>
        <cfvo type="percentile" val="50"/>
        <cfvo type="max"/>
        <color rgb="FFF8696B"/>
        <color rgb="FFFFEB84"/>
        <color rgb="FF63BE7B"/>
      </colorScale>
    </cfRule>
  </conditionalFormatting>
  <conditionalFormatting sqref="F13:F20">
    <cfRule type="colorScale" priority="3112">
      <colorScale>
        <cfvo type="min"/>
        <cfvo type="percentile" val="50"/>
        <cfvo type="max"/>
        <color rgb="FFF8696B"/>
        <color rgb="FFFFEB84"/>
        <color rgb="FF63BE7B"/>
      </colorScale>
    </cfRule>
  </conditionalFormatting>
  <conditionalFormatting sqref="F13:F20">
    <cfRule type="colorScale" priority="3111">
      <colorScale>
        <cfvo type="min"/>
        <cfvo type="percentile" val="50"/>
        <cfvo type="max"/>
        <color rgb="FFF8696B"/>
        <color rgb="FFFFEB84"/>
        <color rgb="FF63BE7B"/>
      </colorScale>
    </cfRule>
  </conditionalFormatting>
  <conditionalFormatting sqref="F13:F20">
    <cfRule type="colorScale" priority="3110">
      <colorScale>
        <cfvo type="min"/>
        <cfvo type="percentile" val="50"/>
        <cfvo type="max"/>
        <color rgb="FFF8696B"/>
        <color rgb="FFFFEB84"/>
        <color rgb="FF63BE7B"/>
      </colorScale>
    </cfRule>
  </conditionalFormatting>
  <conditionalFormatting sqref="F13:F20">
    <cfRule type="colorScale" priority="3109">
      <colorScale>
        <cfvo type="min"/>
        <cfvo type="percentile" val="50"/>
        <cfvo type="max"/>
        <color rgb="FFF8696B"/>
        <color rgb="FFFFEB84"/>
        <color rgb="FF63BE7B"/>
      </colorScale>
    </cfRule>
  </conditionalFormatting>
  <conditionalFormatting sqref="F13:F20">
    <cfRule type="colorScale" priority="3108">
      <colorScale>
        <cfvo type="min"/>
        <cfvo type="percentile" val="50"/>
        <cfvo type="max"/>
        <color rgb="FFF8696B"/>
        <color rgb="FFFFEB84"/>
        <color rgb="FF63BE7B"/>
      </colorScale>
    </cfRule>
  </conditionalFormatting>
  <conditionalFormatting sqref="F13:F20">
    <cfRule type="colorScale" priority="3107">
      <colorScale>
        <cfvo type="min"/>
        <cfvo type="percentile" val="50"/>
        <cfvo type="max"/>
        <color rgb="FFF8696B"/>
        <color rgb="FFFFEB84"/>
        <color rgb="FF63BE7B"/>
      </colorScale>
    </cfRule>
  </conditionalFormatting>
  <conditionalFormatting sqref="F13:F20">
    <cfRule type="colorScale" priority="3106">
      <colorScale>
        <cfvo type="min"/>
        <cfvo type="percentile" val="50"/>
        <cfvo type="max"/>
        <color rgb="FFF8696B"/>
        <color rgb="FFFFEB84"/>
        <color rgb="FF63BE7B"/>
      </colorScale>
    </cfRule>
  </conditionalFormatting>
  <conditionalFormatting sqref="F13:F20">
    <cfRule type="colorScale" priority="3105">
      <colorScale>
        <cfvo type="min"/>
        <cfvo type="percentile" val="50"/>
        <cfvo type="max"/>
        <color rgb="FFF8696B"/>
        <color rgb="FFFFEB84"/>
        <color rgb="FF63BE7B"/>
      </colorScale>
    </cfRule>
  </conditionalFormatting>
  <conditionalFormatting sqref="F13:F20">
    <cfRule type="colorScale" priority="3104">
      <colorScale>
        <cfvo type="min"/>
        <cfvo type="percentile" val="50"/>
        <cfvo type="max"/>
        <color rgb="FFF8696B"/>
        <color rgb="FFFFEB84"/>
        <color rgb="FF63BE7B"/>
      </colorScale>
    </cfRule>
  </conditionalFormatting>
  <conditionalFormatting sqref="F13:F20">
    <cfRule type="colorScale" priority="3103">
      <colorScale>
        <cfvo type="min"/>
        <cfvo type="percentile" val="50"/>
        <cfvo type="max"/>
        <color rgb="FFF8696B"/>
        <color rgb="FFFFEB84"/>
        <color rgb="FF63BE7B"/>
      </colorScale>
    </cfRule>
  </conditionalFormatting>
  <conditionalFormatting sqref="F13:F20">
    <cfRule type="colorScale" priority="3102">
      <colorScale>
        <cfvo type="min"/>
        <cfvo type="percentile" val="50"/>
        <cfvo type="max"/>
        <color rgb="FFF8696B"/>
        <color rgb="FFFFEB84"/>
        <color rgb="FF63BE7B"/>
      </colorScale>
    </cfRule>
  </conditionalFormatting>
  <conditionalFormatting sqref="F13:F20">
    <cfRule type="colorScale" priority="3101">
      <colorScale>
        <cfvo type="min"/>
        <cfvo type="percentile" val="50"/>
        <cfvo type="max"/>
        <color rgb="FFF8696B"/>
        <color rgb="FFFFEB84"/>
        <color rgb="FF63BE7B"/>
      </colorScale>
    </cfRule>
  </conditionalFormatting>
  <conditionalFormatting sqref="F13:F20">
    <cfRule type="colorScale" priority="3100">
      <colorScale>
        <cfvo type="min"/>
        <cfvo type="percentile" val="50"/>
        <cfvo type="max"/>
        <color rgb="FFF8696B"/>
        <color rgb="FFFFEB84"/>
        <color rgb="FF63BE7B"/>
      </colorScale>
    </cfRule>
  </conditionalFormatting>
  <conditionalFormatting sqref="F13:F20">
    <cfRule type="colorScale" priority="3099">
      <colorScale>
        <cfvo type="min"/>
        <cfvo type="percentile" val="50"/>
        <cfvo type="max"/>
        <color rgb="FFF8696B"/>
        <color rgb="FFFFEB84"/>
        <color rgb="FF63BE7B"/>
      </colorScale>
    </cfRule>
  </conditionalFormatting>
  <conditionalFormatting sqref="F13:F20">
    <cfRule type="colorScale" priority="3098">
      <colorScale>
        <cfvo type="min"/>
        <cfvo type="percentile" val="50"/>
        <cfvo type="max"/>
        <color rgb="FFF8696B"/>
        <color rgb="FFFFEB84"/>
        <color rgb="FF63BE7B"/>
      </colorScale>
    </cfRule>
  </conditionalFormatting>
  <conditionalFormatting sqref="F13:F20">
    <cfRule type="colorScale" priority="3097">
      <colorScale>
        <cfvo type="min"/>
        <cfvo type="percentile" val="50"/>
        <cfvo type="max"/>
        <color rgb="FFF8696B"/>
        <color rgb="FFFFEB84"/>
        <color rgb="FF63BE7B"/>
      </colorScale>
    </cfRule>
  </conditionalFormatting>
  <conditionalFormatting sqref="F13:F20">
    <cfRule type="colorScale" priority="3096">
      <colorScale>
        <cfvo type="min"/>
        <cfvo type="percentile" val="50"/>
        <cfvo type="max"/>
        <color rgb="FFF8696B"/>
        <color rgb="FFFFEB84"/>
        <color rgb="FF63BE7B"/>
      </colorScale>
    </cfRule>
  </conditionalFormatting>
  <conditionalFormatting sqref="F13:F20">
    <cfRule type="colorScale" priority="3095">
      <colorScale>
        <cfvo type="min"/>
        <cfvo type="percentile" val="50"/>
        <cfvo type="max"/>
        <color rgb="FFF8696B"/>
        <color rgb="FFFFEB84"/>
        <color rgb="FF63BE7B"/>
      </colorScale>
    </cfRule>
  </conditionalFormatting>
  <conditionalFormatting sqref="F13:F20">
    <cfRule type="colorScale" priority="3094">
      <colorScale>
        <cfvo type="min"/>
        <cfvo type="percentile" val="50"/>
        <cfvo type="max"/>
        <color rgb="FFF8696B"/>
        <color rgb="FFFFEB84"/>
        <color rgb="FF63BE7B"/>
      </colorScale>
    </cfRule>
  </conditionalFormatting>
  <conditionalFormatting sqref="F13:F20">
    <cfRule type="colorScale" priority="3093">
      <colorScale>
        <cfvo type="min"/>
        <cfvo type="percentile" val="50"/>
        <cfvo type="max"/>
        <color rgb="FFF8696B"/>
        <color rgb="FFFFEB84"/>
        <color rgb="FF63BE7B"/>
      </colorScale>
    </cfRule>
  </conditionalFormatting>
  <conditionalFormatting sqref="F13:F20">
    <cfRule type="colorScale" priority="3092">
      <colorScale>
        <cfvo type="min"/>
        <cfvo type="percentile" val="50"/>
        <cfvo type="max"/>
        <color rgb="FFF8696B"/>
        <color rgb="FFFFEB84"/>
        <color rgb="FF63BE7B"/>
      </colorScale>
    </cfRule>
  </conditionalFormatting>
  <conditionalFormatting sqref="F13:F20">
    <cfRule type="colorScale" priority="3091">
      <colorScale>
        <cfvo type="min"/>
        <cfvo type="percentile" val="50"/>
        <cfvo type="max"/>
        <color rgb="FFF8696B"/>
        <color rgb="FFFFEB84"/>
        <color rgb="FF63BE7B"/>
      </colorScale>
    </cfRule>
  </conditionalFormatting>
  <conditionalFormatting sqref="F13:F20">
    <cfRule type="colorScale" priority="3090">
      <colorScale>
        <cfvo type="min"/>
        <cfvo type="percentile" val="50"/>
        <cfvo type="max"/>
        <color rgb="FFF8696B"/>
        <color rgb="FFFFEB84"/>
        <color rgb="FF63BE7B"/>
      </colorScale>
    </cfRule>
  </conditionalFormatting>
  <conditionalFormatting sqref="F13:F20">
    <cfRule type="colorScale" priority="3089">
      <colorScale>
        <cfvo type="min"/>
        <cfvo type="percentile" val="50"/>
        <cfvo type="max"/>
        <color rgb="FFF8696B"/>
        <color rgb="FFFFEB84"/>
        <color rgb="FF63BE7B"/>
      </colorScale>
    </cfRule>
  </conditionalFormatting>
  <conditionalFormatting sqref="F13:F20">
    <cfRule type="colorScale" priority="3088">
      <colorScale>
        <cfvo type="min"/>
        <cfvo type="percentile" val="50"/>
        <cfvo type="max"/>
        <color rgb="FFF8696B"/>
        <color rgb="FFFFEB84"/>
        <color rgb="FF63BE7B"/>
      </colorScale>
    </cfRule>
  </conditionalFormatting>
  <conditionalFormatting sqref="F13:F20">
    <cfRule type="colorScale" priority="3087">
      <colorScale>
        <cfvo type="min"/>
        <cfvo type="percentile" val="50"/>
        <cfvo type="max"/>
        <color rgb="FFF8696B"/>
        <color rgb="FFFFEB84"/>
        <color rgb="FF63BE7B"/>
      </colorScale>
    </cfRule>
  </conditionalFormatting>
  <conditionalFormatting sqref="F13:F20">
    <cfRule type="colorScale" priority="3086">
      <colorScale>
        <cfvo type="min"/>
        <cfvo type="percentile" val="50"/>
        <cfvo type="max"/>
        <color rgb="FFF8696B"/>
        <color rgb="FFFFEB84"/>
        <color rgb="FF63BE7B"/>
      </colorScale>
    </cfRule>
  </conditionalFormatting>
  <conditionalFormatting sqref="F13:F20">
    <cfRule type="colorScale" priority="3085">
      <colorScale>
        <cfvo type="min"/>
        <cfvo type="percentile" val="50"/>
        <cfvo type="max"/>
        <color rgb="FFF8696B"/>
        <color rgb="FFFFEB84"/>
        <color rgb="FF63BE7B"/>
      </colorScale>
    </cfRule>
  </conditionalFormatting>
  <conditionalFormatting sqref="F13:F20">
    <cfRule type="colorScale" priority="3084">
      <colorScale>
        <cfvo type="min"/>
        <cfvo type="percentile" val="50"/>
        <cfvo type="max"/>
        <color rgb="FFF8696B"/>
        <color rgb="FFFFEB84"/>
        <color rgb="FF63BE7B"/>
      </colorScale>
    </cfRule>
  </conditionalFormatting>
  <conditionalFormatting sqref="F13:F20">
    <cfRule type="colorScale" priority="3083">
      <colorScale>
        <cfvo type="min"/>
        <cfvo type="percentile" val="50"/>
        <cfvo type="max"/>
        <color rgb="FFF8696B"/>
        <color rgb="FFFFEB84"/>
        <color rgb="FF63BE7B"/>
      </colorScale>
    </cfRule>
  </conditionalFormatting>
  <conditionalFormatting sqref="F13:F20">
    <cfRule type="colorScale" priority="3082">
      <colorScale>
        <cfvo type="min"/>
        <cfvo type="percentile" val="50"/>
        <cfvo type="max"/>
        <color rgb="FFF8696B"/>
        <color rgb="FFFFEB84"/>
        <color rgb="FF63BE7B"/>
      </colorScale>
    </cfRule>
  </conditionalFormatting>
  <conditionalFormatting sqref="F13:F20">
    <cfRule type="colorScale" priority="3081">
      <colorScale>
        <cfvo type="min"/>
        <cfvo type="percentile" val="50"/>
        <cfvo type="max"/>
        <color rgb="FFF8696B"/>
        <color rgb="FFFFEB84"/>
        <color rgb="FF63BE7B"/>
      </colorScale>
    </cfRule>
  </conditionalFormatting>
  <conditionalFormatting sqref="F13:F20">
    <cfRule type="colorScale" priority="3080">
      <colorScale>
        <cfvo type="min"/>
        <cfvo type="percentile" val="50"/>
        <cfvo type="max"/>
        <color rgb="FFF8696B"/>
        <color rgb="FFFFEB84"/>
        <color rgb="FF63BE7B"/>
      </colorScale>
    </cfRule>
  </conditionalFormatting>
  <conditionalFormatting sqref="F13:F20">
    <cfRule type="colorScale" priority="3079">
      <colorScale>
        <cfvo type="min"/>
        <cfvo type="percentile" val="50"/>
        <cfvo type="max"/>
        <color rgb="FFF8696B"/>
        <color rgb="FFFFEB84"/>
        <color rgb="FF63BE7B"/>
      </colorScale>
    </cfRule>
  </conditionalFormatting>
  <conditionalFormatting sqref="F13:F20">
    <cfRule type="colorScale" priority="3078">
      <colorScale>
        <cfvo type="min"/>
        <cfvo type="percentile" val="50"/>
        <cfvo type="max"/>
        <color rgb="FFF8696B"/>
        <color rgb="FFFFEB84"/>
        <color rgb="FF63BE7B"/>
      </colorScale>
    </cfRule>
  </conditionalFormatting>
  <conditionalFormatting sqref="F13:F20">
    <cfRule type="colorScale" priority="3077">
      <colorScale>
        <cfvo type="min"/>
        <cfvo type="percentile" val="50"/>
        <cfvo type="max"/>
        <color rgb="FFF8696B"/>
        <color rgb="FFFFEB84"/>
        <color rgb="FF63BE7B"/>
      </colorScale>
    </cfRule>
  </conditionalFormatting>
  <conditionalFormatting sqref="F13:F20">
    <cfRule type="colorScale" priority="3076">
      <colorScale>
        <cfvo type="min"/>
        <cfvo type="percentile" val="50"/>
        <cfvo type="max"/>
        <color rgb="FFF8696B"/>
        <color rgb="FFFFEB84"/>
        <color rgb="FF63BE7B"/>
      </colorScale>
    </cfRule>
  </conditionalFormatting>
  <conditionalFormatting sqref="F13:F20">
    <cfRule type="colorScale" priority="3075">
      <colorScale>
        <cfvo type="min"/>
        <cfvo type="percentile" val="50"/>
        <cfvo type="max"/>
        <color rgb="FFF8696B"/>
        <color rgb="FFFFEB84"/>
        <color rgb="FF63BE7B"/>
      </colorScale>
    </cfRule>
  </conditionalFormatting>
  <conditionalFormatting sqref="F13:F20">
    <cfRule type="colorScale" priority="3074">
      <colorScale>
        <cfvo type="min"/>
        <cfvo type="percentile" val="50"/>
        <cfvo type="max"/>
        <color rgb="FFF8696B"/>
        <color rgb="FFFFEB84"/>
        <color rgb="FF63BE7B"/>
      </colorScale>
    </cfRule>
  </conditionalFormatting>
  <conditionalFormatting sqref="F13:F20">
    <cfRule type="colorScale" priority="3073">
      <colorScale>
        <cfvo type="min"/>
        <cfvo type="percentile" val="50"/>
        <cfvo type="max"/>
        <color rgb="FFF8696B"/>
        <color rgb="FFFFEB84"/>
        <color rgb="FF63BE7B"/>
      </colorScale>
    </cfRule>
  </conditionalFormatting>
  <conditionalFormatting sqref="F13:F20">
    <cfRule type="colorScale" priority="3072">
      <colorScale>
        <cfvo type="min"/>
        <cfvo type="percentile" val="50"/>
        <cfvo type="max"/>
        <color rgb="FFF8696B"/>
        <color rgb="FFFFEB84"/>
        <color rgb="FF63BE7B"/>
      </colorScale>
    </cfRule>
  </conditionalFormatting>
  <conditionalFormatting sqref="F13:F20">
    <cfRule type="colorScale" priority="3071">
      <colorScale>
        <cfvo type="min"/>
        <cfvo type="percentile" val="50"/>
        <cfvo type="max"/>
        <color rgb="FFF8696B"/>
        <color rgb="FFFFEB84"/>
        <color rgb="FF63BE7B"/>
      </colorScale>
    </cfRule>
  </conditionalFormatting>
  <conditionalFormatting sqref="F13:F20">
    <cfRule type="colorScale" priority="3070">
      <colorScale>
        <cfvo type="min"/>
        <cfvo type="percentile" val="50"/>
        <cfvo type="max"/>
        <color rgb="FFF8696B"/>
        <color rgb="FFFFEB84"/>
        <color rgb="FF63BE7B"/>
      </colorScale>
    </cfRule>
  </conditionalFormatting>
  <conditionalFormatting sqref="F13:F20">
    <cfRule type="colorScale" priority="3069">
      <colorScale>
        <cfvo type="min"/>
        <cfvo type="percentile" val="50"/>
        <cfvo type="max"/>
        <color rgb="FFF8696B"/>
        <color rgb="FFFFEB84"/>
        <color rgb="FF63BE7B"/>
      </colorScale>
    </cfRule>
  </conditionalFormatting>
  <conditionalFormatting sqref="F13:F20">
    <cfRule type="colorScale" priority="3068">
      <colorScale>
        <cfvo type="min"/>
        <cfvo type="percentile" val="50"/>
        <cfvo type="max"/>
        <color rgb="FFF8696B"/>
        <color rgb="FFFFEB84"/>
        <color rgb="FF63BE7B"/>
      </colorScale>
    </cfRule>
  </conditionalFormatting>
  <conditionalFormatting sqref="F13:F20">
    <cfRule type="colorScale" priority="3067">
      <colorScale>
        <cfvo type="min"/>
        <cfvo type="percentile" val="50"/>
        <cfvo type="max"/>
        <color rgb="FFF8696B"/>
        <color rgb="FFFFEB84"/>
        <color rgb="FF63BE7B"/>
      </colorScale>
    </cfRule>
  </conditionalFormatting>
  <conditionalFormatting sqref="F13:F20">
    <cfRule type="colorScale" priority="3066">
      <colorScale>
        <cfvo type="min"/>
        <cfvo type="percentile" val="50"/>
        <cfvo type="max"/>
        <color rgb="FFF8696B"/>
        <color rgb="FFFFEB84"/>
        <color rgb="FF63BE7B"/>
      </colorScale>
    </cfRule>
  </conditionalFormatting>
  <conditionalFormatting sqref="F13:F20">
    <cfRule type="colorScale" priority="3065">
      <colorScale>
        <cfvo type="min"/>
        <cfvo type="percentile" val="50"/>
        <cfvo type="max"/>
        <color rgb="FFF8696B"/>
        <color rgb="FFFFEB84"/>
        <color rgb="FF63BE7B"/>
      </colorScale>
    </cfRule>
  </conditionalFormatting>
  <conditionalFormatting sqref="F13:F20">
    <cfRule type="colorScale" priority="3064">
      <colorScale>
        <cfvo type="min"/>
        <cfvo type="percentile" val="50"/>
        <cfvo type="max"/>
        <color rgb="FFF8696B"/>
        <color rgb="FFFFEB84"/>
        <color rgb="FF63BE7B"/>
      </colorScale>
    </cfRule>
  </conditionalFormatting>
  <conditionalFormatting sqref="F13:F20">
    <cfRule type="colorScale" priority="3063">
      <colorScale>
        <cfvo type="min"/>
        <cfvo type="percentile" val="50"/>
        <cfvo type="max"/>
        <color rgb="FFF8696B"/>
        <color rgb="FFFFEB84"/>
        <color rgb="FF63BE7B"/>
      </colorScale>
    </cfRule>
  </conditionalFormatting>
  <conditionalFormatting sqref="F13:F20">
    <cfRule type="colorScale" priority="3062">
      <colorScale>
        <cfvo type="min"/>
        <cfvo type="percentile" val="50"/>
        <cfvo type="max"/>
        <color rgb="FFF8696B"/>
        <color rgb="FFFFEB84"/>
        <color rgb="FF63BE7B"/>
      </colorScale>
    </cfRule>
  </conditionalFormatting>
  <conditionalFormatting sqref="F13:F20">
    <cfRule type="colorScale" priority="3061">
      <colorScale>
        <cfvo type="min"/>
        <cfvo type="percentile" val="50"/>
        <cfvo type="max"/>
        <color rgb="FFF8696B"/>
        <color rgb="FFFFEB84"/>
        <color rgb="FF63BE7B"/>
      </colorScale>
    </cfRule>
  </conditionalFormatting>
  <conditionalFormatting sqref="F13:F20">
    <cfRule type="colorScale" priority="3060">
      <colorScale>
        <cfvo type="min"/>
        <cfvo type="percentile" val="50"/>
        <cfvo type="max"/>
        <color rgb="FFF8696B"/>
        <color rgb="FFFFEB84"/>
        <color rgb="FF63BE7B"/>
      </colorScale>
    </cfRule>
  </conditionalFormatting>
  <conditionalFormatting sqref="F13:F20">
    <cfRule type="colorScale" priority="3059">
      <colorScale>
        <cfvo type="min"/>
        <cfvo type="percentile" val="50"/>
        <cfvo type="max"/>
        <color rgb="FFF8696B"/>
        <color rgb="FFFFEB84"/>
        <color rgb="FF63BE7B"/>
      </colorScale>
    </cfRule>
  </conditionalFormatting>
  <conditionalFormatting sqref="F13:F20">
    <cfRule type="colorScale" priority="3058">
      <colorScale>
        <cfvo type="min"/>
        <cfvo type="percentile" val="50"/>
        <cfvo type="max"/>
        <color rgb="FFF8696B"/>
        <color rgb="FFFFEB84"/>
        <color rgb="FF63BE7B"/>
      </colorScale>
    </cfRule>
  </conditionalFormatting>
  <conditionalFormatting sqref="F13:F20">
    <cfRule type="colorScale" priority="3057">
      <colorScale>
        <cfvo type="min"/>
        <cfvo type="percentile" val="50"/>
        <cfvo type="max"/>
        <color rgb="FFF8696B"/>
        <color rgb="FFFFEB84"/>
        <color rgb="FF63BE7B"/>
      </colorScale>
    </cfRule>
  </conditionalFormatting>
  <conditionalFormatting sqref="F13:F20">
    <cfRule type="colorScale" priority="3056">
      <colorScale>
        <cfvo type="min"/>
        <cfvo type="percentile" val="50"/>
        <cfvo type="max"/>
        <color rgb="FFF8696B"/>
        <color rgb="FFFFEB84"/>
        <color rgb="FF63BE7B"/>
      </colorScale>
    </cfRule>
  </conditionalFormatting>
  <conditionalFormatting sqref="F13:F20">
    <cfRule type="colorScale" priority="3055">
      <colorScale>
        <cfvo type="min"/>
        <cfvo type="percentile" val="50"/>
        <cfvo type="max"/>
        <color rgb="FFF8696B"/>
        <color rgb="FFFFEB84"/>
        <color rgb="FF63BE7B"/>
      </colorScale>
    </cfRule>
  </conditionalFormatting>
  <conditionalFormatting sqref="F13:F20">
    <cfRule type="colorScale" priority="3054">
      <colorScale>
        <cfvo type="min"/>
        <cfvo type="percentile" val="50"/>
        <cfvo type="max"/>
        <color rgb="FFF8696B"/>
        <color rgb="FFFFEB84"/>
        <color rgb="FF63BE7B"/>
      </colorScale>
    </cfRule>
  </conditionalFormatting>
  <conditionalFormatting sqref="F13:F20">
    <cfRule type="colorScale" priority="3053">
      <colorScale>
        <cfvo type="min"/>
        <cfvo type="percentile" val="50"/>
        <cfvo type="max"/>
        <color rgb="FFF8696B"/>
        <color rgb="FFFFEB84"/>
        <color rgb="FF63BE7B"/>
      </colorScale>
    </cfRule>
  </conditionalFormatting>
  <conditionalFormatting sqref="F13:F20">
    <cfRule type="colorScale" priority="3052">
      <colorScale>
        <cfvo type="min"/>
        <cfvo type="percentile" val="50"/>
        <cfvo type="max"/>
        <color rgb="FFF8696B"/>
        <color rgb="FFFFEB84"/>
        <color rgb="FF63BE7B"/>
      </colorScale>
    </cfRule>
  </conditionalFormatting>
  <conditionalFormatting sqref="F13:F20">
    <cfRule type="colorScale" priority="3051">
      <colorScale>
        <cfvo type="min"/>
        <cfvo type="percentile" val="50"/>
        <cfvo type="max"/>
        <color rgb="FFF8696B"/>
        <color rgb="FFFFEB84"/>
        <color rgb="FF63BE7B"/>
      </colorScale>
    </cfRule>
  </conditionalFormatting>
  <conditionalFormatting sqref="F13:F20">
    <cfRule type="colorScale" priority="3050">
      <colorScale>
        <cfvo type="min"/>
        <cfvo type="percentile" val="50"/>
        <cfvo type="max"/>
        <color rgb="FFF8696B"/>
        <color rgb="FFFFEB84"/>
        <color rgb="FF63BE7B"/>
      </colorScale>
    </cfRule>
  </conditionalFormatting>
  <conditionalFormatting sqref="F13:F20">
    <cfRule type="colorScale" priority="3049">
      <colorScale>
        <cfvo type="min"/>
        <cfvo type="percentile" val="50"/>
        <cfvo type="max"/>
        <color rgb="FFF8696B"/>
        <color rgb="FFFFEB84"/>
        <color rgb="FF63BE7B"/>
      </colorScale>
    </cfRule>
  </conditionalFormatting>
  <conditionalFormatting sqref="F13:F20">
    <cfRule type="colorScale" priority="3048">
      <colorScale>
        <cfvo type="min"/>
        <cfvo type="percentile" val="50"/>
        <cfvo type="max"/>
        <color rgb="FFF8696B"/>
        <color rgb="FFFFEB84"/>
        <color rgb="FF63BE7B"/>
      </colorScale>
    </cfRule>
  </conditionalFormatting>
  <conditionalFormatting sqref="F13:F20">
    <cfRule type="colorScale" priority="3047">
      <colorScale>
        <cfvo type="min"/>
        <cfvo type="percentile" val="50"/>
        <cfvo type="max"/>
        <color rgb="FFF8696B"/>
        <color rgb="FFFFEB84"/>
        <color rgb="FF63BE7B"/>
      </colorScale>
    </cfRule>
  </conditionalFormatting>
  <conditionalFormatting sqref="F13:F20">
    <cfRule type="colorScale" priority="3046">
      <colorScale>
        <cfvo type="min"/>
        <cfvo type="percentile" val="50"/>
        <cfvo type="max"/>
        <color rgb="FFF8696B"/>
        <color rgb="FFFFEB84"/>
        <color rgb="FF63BE7B"/>
      </colorScale>
    </cfRule>
  </conditionalFormatting>
  <conditionalFormatting sqref="F13:F20">
    <cfRule type="colorScale" priority="3045">
      <colorScale>
        <cfvo type="min"/>
        <cfvo type="percentile" val="50"/>
        <cfvo type="max"/>
        <color rgb="FFF8696B"/>
        <color rgb="FFFFEB84"/>
        <color rgb="FF63BE7B"/>
      </colorScale>
    </cfRule>
  </conditionalFormatting>
  <conditionalFormatting sqref="F13:F20">
    <cfRule type="colorScale" priority="3044">
      <colorScale>
        <cfvo type="min"/>
        <cfvo type="percentile" val="50"/>
        <cfvo type="max"/>
        <color rgb="FFF8696B"/>
        <color rgb="FFFFEB84"/>
        <color rgb="FF63BE7B"/>
      </colorScale>
    </cfRule>
  </conditionalFormatting>
  <conditionalFormatting sqref="F13:F20">
    <cfRule type="colorScale" priority="3043">
      <colorScale>
        <cfvo type="min"/>
        <cfvo type="percentile" val="50"/>
        <cfvo type="max"/>
        <color rgb="FFF8696B"/>
        <color rgb="FFFFEB84"/>
        <color rgb="FF63BE7B"/>
      </colorScale>
    </cfRule>
  </conditionalFormatting>
  <conditionalFormatting sqref="F13:F20">
    <cfRule type="colorScale" priority="3042">
      <colorScale>
        <cfvo type="min"/>
        <cfvo type="percentile" val="50"/>
        <cfvo type="max"/>
        <color rgb="FFF8696B"/>
        <color rgb="FFFFEB84"/>
        <color rgb="FF63BE7B"/>
      </colorScale>
    </cfRule>
  </conditionalFormatting>
  <conditionalFormatting sqref="F13:F20">
    <cfRule type="colorScale" priority="3041">
      <colorScale>
        <cfvo type="min"/>
        <cfvo type="percentile" val="50"/>
        <cfvo type="max"/>
        <color rgb="FFF8696B"/>
        <color rgb="FFFFEB84"/>
        <color rgb="FF63BE7B"/>
      </colorScale>
    </cfRule>
  </conditionalFormatting>
  <conditionalFormatting sqref="F13:F20">
    <cfRule type="colorScale" priority="3040">
      <colorScale>
        <cfvo type="min"/>
        <cfvo type="percentile" val="50"/>
        <cfvo type="max"/>
        <color rgb="FFF8696B"/>
        <color rgb="FFFFEB84"/>
        <color rgb="FF63BE7B"/>
      </colorScale>
    </cfRule>
  </conditionalFormatting>
  <conditionalFormatting sqref="F13:F20">
    <cfRule type="colorScale" priority="3039">
      <colorScale>
        <cfvo type="min"/>
        <cfvo type="percentile" val="50"/>
        <cfvo type="max"/>
        <color rgb="FFF8696B"/>
        <color rgb="FFFFEB84"/>
        <color rgb="FF63BE7B"/>
      </colorScale>
    </cfRule>
  </conditionalFormatting>
  <conditionalFormatting sqref="F13:F20">
    <cfRule type="colorScale" priority="3038">
      <colorScale>
        <cfvo type="min"/>
        <cfvo type="percentile" val="50"/>
        <cfvo type="max"/>
        <color rgb="FFF8696B"/>
        <color rgb="FFFFEB84"/>
        <color rgb="FF63BE7B"/>
      </colorScale>
    </cfRule>
  </conditionalFormatting>
  <conditionalFormatting sqref="F13:F20">
    <cfRule type="colorScale" priority="3037">
      <colorScale>
        <cfvo type="min"/>
        <cfvo type="percentile" val="50"/>
        <cfvo type="max"/>
        <color rgb="FFF8696B"/>
        <color rgb="FFFFEB84"/>
        <color rgb="FF63BE7B"/>
      </colorScale>
    </cfRule>
  </conditionalFormatting>
  <conditionalFormatting sqref="F13:F20">
    <cfRule type="colorScale" priority="3036">
      <colorScale>
        <cfvo type="min"/>
        <cfvo type="percentile" val="50"/>
        <cfvo type="max"/>
        <color rgb="FFF8696B"/>
        <color rgb="FFFFEB84"/>
        <color rgb="FF63BE7B"/>
      </colorScale>
    </cfRule>
  </conditionalFormatting>
  <conditionalFormatting sqref="F13:F20">
    <cfRule type="colorScale" priority="3035">
      <colorScale>
        <cfvo type="min"/>
        <cfvo type="percentile" val="50"/>
        <cfvo type="max"/>
        <color rgb="FFF8696B"/>
        <color rgb="FFFFEB84"/>
        <color rgb="FF63BE7B"/>
      </colorScale>
    </cfRule>
  </conditionalFormatting>
  <conditionalFormatting sqref="F13:F20">
    <cfRule type="colorScale" priority="3034">
      <colorScale>
        <cfvo type="min"/>
        <cfvo type="percentile" val="50"/>
        <cfvo type="max"/>
        <color rgb="FFF8696B"/>
        <color rgb="FFFFEB84"/>
        <color rgb="FF63BE7B"/>
      </colorScale>
    </cfRule>
  </conditionalFormatting>
  <conditionalFormatting sqref="F13:F20">
    <cfRule type="colorScale" priority="3033">
      <colorScale>
        <cfvo type="min"/>
        <cfvo type="percentile" val="50"/>
        <cfvo type="max"/>
        <color rgb="FFF8696B"/>
        <color rgb="FFFFEB84"/>
        <color rgb="FF63BE7B"/>
      </colorScale>
    </cfRule>
  </conditionalFormatting>
  <conditionalFormatting sqref="F13:F20">
    <cfRule type="colorScale" priority="3032">
      <colorScale>
        <cfvo type="min"/>
        <cfvo type="percentile" val="50"/>
        <cfvo type="max"/>
        <color rgb="FFF8696B"/>
        <color rgb="FFFFEB84"/>
        <color rgb="FF63BE7B"/>
      </colorScale>
    </cfRule>
  </conditionalFormatting>
  <conditionalFormatting sqref="F13:F20">
    <cfRule type="colorScale" priority="3031">
      <colorScale>
        <cfvo type="min"/>
        <cfvo type="percentile" val="50"/>
        <cfvo type="max"/>
        <color rgb="FFF8696B"/>
        <color rgb="FFFFEB84"/>
        <color rgb="FF63BE7B"/>
      </colorScale>
    </cfRule>
  </conditionalFormatting>
  <conditionalFormatting sqref="F13:F20">
    <cfRule type="colorScale" priority="3030">
      <colorScale>
        <cfvo type="min"/>
        <cfvo type="percentile" val="50"/>
        <cfvo type="max"/>
        <color rgb="FFF8696B"/>
        <color rgb="FFFFEB84"/>
        <color rgb="FF63BE7B"/>
      </colorScale>
    </cfRule>
  </conditionalFormatting>
  <conditionalFormatting sqref="F13:F20">
    <cfRule type="colorScale" priority="3029">
      <colorScale>
        <cfvo type="min"/>
        <cfvo type="percentile" val="50"/>
        <cfvo type="max"/>
        <color rgb="FFF8696B"/>
        <color rgb="FFFFEB84"/>
        <color rgb="FF63BE7B"/>
      </colorScale>
    </cfRule>
  </conditionalFormatting>
  <conditionalFormatting sqref="F13:F20">
    <cfRule type="colorScale" priority="3028">
      <colorScale>
        <cfvo type="min"/>
        <cfvo type="percentile" val="50"/>
        <cfvo type="max"/>
        <color rgb="FFF8696B"/>
        <color rgb="FFFFEB84"/>
        <color rgb="FF63BE7B"/>
      </colorScale>
    </cfRule>
  </conditionalFormatting>
  <conditionalFormatting sqref="F13:F20">
    <cfRule type="colorScale" priority="3027">
      <colorScale>
        <cfvo type="min"/>
        <cfvo type="percentile" val="50"/>
        <cfvo type="max"/>
        <color rgb="FFF8696B"/>
        <color rgb="FFFFEB84"/>
        <color rgb="FF63BE7B"/>
      </colorScale>
    </cfRule>
  </conditionalFormatting>
  <conditionalFormatting sqref="F13:F20">
    <cfRule type="colorScale" priority="3026">
      <colorScale>
        <cfvo type="min"/>
        <cfvo type="percentile" val="50"/>
        <cfvo type="max"/>
        <color rgb="FFF8696B"/>
        <color rgb="FFFFEB84"/>
        <color rgb="FF63BE7B"/>
      </colorScale>
    </cfRule>
  </conditionalFormatting>
  <conditionalFormatting sqref="F13:F20">
    <cfRule type="colorScale" priority="3025">
      <colorScale>
        <cfvo type="min"/>
        <cfvo type="percentile" val="50"/>
        <cfvo type="max"/>
        <color rgb="FFF8696B"/>
        <color rgb="FFFFEB84"/>
        <color rgb="FF63BE7B"/>
      </colorScale>
    </cfRule>
  </conditionalFormatting>
  <conditionalFormatting sqref="F13:F20">
    <cfRule type="colorScale" priority="3024">
      <colorScale>
        <cfvo type="min"/>
        <cfvo type="percentile" val="50"/>
        <cfvo type="max"/>
        <color rgb="FFF8696B"/>
        <color rgb="FFFFEB84"/>
        <color rgb="FF63BE7B"/>
      </colorScale>
    </cfRule>
  </conditionalFormatting>
  <conditionalFormatting sqref="F13:F20">
    <cfRule type="colorScale" priority="3023">
      <colorScale>
        <cfvo type="min"/>
        <cfvo type="percentile" val="50"/>
        <cfvo type="max"/>
        <color rgb="FFF8696B"/>
        <color rgb="FFFFEB84"/>
        <color rgb="FF63BE7B"/>
      </colorScale>
    </cfRule>
  </conditionalFormatting>
  <conditionalFormatting sqref="F13:F20">
    <cfRule type="colorScale" priority="3022">
      <colorScale>
        <cfvo type="min"/>
        <cfvo type="percentile" val="50"/>
        <cfvo type="max"/>
        <color rgb="FFF8696B"/>
        <color rgb="FFFFEB84"/>
        <color rgb="FF63BE7B"/>
      </colorScale>
    </cfRule>
  </conditionalFormatting>
  <conditionalFormatting sqref="F13:F20">
    <cfRule type="colorScale" priority="3021">
      <colorScale>
        <cfvo type="min"/>
        <cfvo type="percentile" val="50"/>
        <cfvo type="max"/>
        <color rgb="FFF8696B"/>
        <color rgb="FFFFEB84"/>
        <color rgb="FF63BE7B"/>
      </colorScale>
    </cfRule>
  </conditionalFormatting>
  <conditionalFormatting sqref="F13:F20">
    <cfRule type="colorScale" priority="3020">
      <colorScale>
        <cfvo type="min"/>
        <cfvo type="percentile" val="50"/>
        <cfvo type="max"/>
        <color rgb="FFF8696B"/>
        <color rgb="FFFFEB84"/>
        <color rgb="FF63BE7B"/>
      </colorScale>
    </cfRule>
  </conditionalFormatting>
  <conditionalFormatting sqref="F13:F20">
    <cfRule type="colorScale" priority="3019">
      <colorScale>
        <cfvo type="min"/>
        <cfvo type="percentile" val="50"/>
        <cfvo type="max"/>
        <color rgb="FFF8696B"/>
        <color rgb="FFFFEB84"/>
        <color rgb="FF63BE7B"/>
      </colorScale>
    </cfRule>
  </conditionalFormatting>
  <conditionalFormatting sqref="F13:F20">
    <cfRule type="colorScale" priority="3018">
      <colorScale>
        <cfvo type="min"/>
        <cfvo type="percentile" val="50"/>
        <cfvo type="max"/>
        <color rgb="FFF8696B"/>
        <color rgb="FFFFEB84"/>
        <color rgb="FF63BE7B"/>
      </colorScale>
    </cfRule>
  </conditionalFormatting>
  <conditionalFormatting sqref="F13:F20">
    <cfRule type="colorScale" priority="3017">
      <colorScale>
        <cfvo type="min"/>
        <cfvo type="percentile" val="50"/>
        <cfvo type="max"/>
        <color rgb="FFF8696B"/>
        <color rgb="FFFFEB84"/>
        <color rgb="FF63BE7B"/>
      </colorScale>
    </cfRule>
  </conditionalFormatting>
  <conditionalFormatting sqref="F13:F20">
    <cfRule type="colorScale" priority="3016">
      <colorScale>
        <cfvo type="min"/>
        <cfvo type="percentile" val="50"/>
        <cfvo type="max"/>
        <color rgb="FFF8696B"/>
        <color rgb="FFFFEB84"/>
        <color rgb="FF63BE7B"/>
      </colorScale>
    </cfRule>
  </conditionalFormatting>
  <conditionalFormatting sqref="F13:F20">
    <cfRule type="colorScale" priority="3015">
      <colorScale>
        <cfvo type="min"/>
        <cfvo type="percentile" val="50"/>
        <cfvo type="max"/>
        <color rgb="FFF8696B"/>
        <color rgb="FFFFEB84"/>
        <color rgb="FF63BE7B"/>
      </colorScale>
    </cfRule>
  </conditionalFormatting>
  <conditionalFormatting sqref="F13:F20">
    <cfRule type="colorScale" priority="3014">
      <colorScale>
        <cfvo type="min"/>
        <cfvo type="percentile" val="50"/>
        <cfvo type="max"/>
        <color rgb="FFF8696B"/>
        <color rgb="FFFFEB84"/>
        <color rgb="FF63BE7B"/>
      </colorScale>
    </cfRule>
  </conditionalFormatting>
  <conditionalFormatting sqref="F13:F20">
    <cfRule type="colorScale" priority="3013">
      <colorScale>
        <cfvo type="min"/>
        <cfvo type="percentile" val="50"/>
        <cfvo type="max"/>
        <color rgb="FFF8696B"/>
        <color rgb="FFFFEB84"/>
        <color rgb="FF63BE7B"/>
      </colorScale>
    </cfRule>
  </conditionalFormatting>
  <conditionalFormatting sqref="F13:F20">
    <cfRule type="colorScale" priority="3012">
      <colorScale>
        <cfvo type="min"/>
        <cfvo type="percentile" val="50"/>
        <cfvo type="max"/>
        <color rgb="FFF8696B"/>
        <color rgb="FFFFEB84"/>
        <color rgb="FF63BE7B"/>
      </colorScale>
    </cfRule>
  </conditionalFormatting>
  <conditionalFormatting sqref="F13:F20">
    <cfRule type="colorScale" priority="3011">
      <colorScale>
        <cfvo type="min"/>
        <cfvo type="percentile" val="50"/>
        <cfvo type="max"/>
        <color rgb="FFF8696B"/>
        <color rgb="FFFFEB84"/>
        <color rgb="FF63BE7B"/>
      </colorScale>
    </cfRule>
  </conditionalFormatting>
  <conditionalFormatting sqref="F13:F20">
    <cfRule type="colorScale" priority="3010">
      <colorScale>
        <cfvo type="min"/>
        <cfvo type="percentile" val="50"/>
        <cfvo type="max"/>
        <color rgb="FFF8696B"/>
        <color rgb="FFFFEB84"/>
        <color rgb="FF63BE7B"/>
      </colorScale>
    </cfRule>
  </conditionalFormatting>
  <conditionalFormatting sqref="F13:F20">
    <cfRule type="colorScale" priority="3009">
      <colorScale>
        <cfvo type="min"/>
        <cfvo type="percentile" val="50"/>
        <cfvo type="max"/>
        <color rgb="FFF8696B"/>
        <color rgb="FFFFEB84"/>
        <color rgb="FF63BE7B"/>
      </colorScale>
    </cfRule>
  </conditionalFormatting>
  <conditionalFormatting sqref="F13:F20">
    <cfRule type="colorScale" priority="3008">
      <colorScale>
        <cfvo type="min"/>
        <cfvo type="percentile" val="50"/>
        <cfvo type="max"/>
        <color rgb="FFF8696B"/>
        <color rgb="FFFFEB84"/>
        <color rgb="FF63BE7B"/>
      </colorScale>
    </cfRule>
  </conditionalFormatting>
  <conditionalFormatting sqref="F13:F20">
    <cfRule type="colorScale" priority="3007">
      <colorScale>
        <cfvo type="min"/>
        <cfvo type="percentile" val="50"/>
        <cfvo type="max"/>
        <color rgb="FFF8696B"/>
        <color rgb="FFFFEB84"/>
        <color rgb="FF63BE7B"/>
      </colorScale>
    </cfRule>
  </conditionalFormatting>
  <conditionalFormatting sqref="F13:F20">
    <cfRule type="colorScale" priority="3006">
      <colorScale>
        <cfvo type="min"/>
        <cfvo type="percentile" val="50"/>
        <cfvo type="max"/>
        <color rgb="FFF8696B"/>
        <color rgb="FFFFEB84"/>
        <color rgb="FF63BE7B"/>
      </colorScale>
    </cfRule>
  </conditionalFormatting>
  <conditionalFormatting sqref="F13:F20">
    <cfRule type="colorScale" priority="3005">
      <colorScale>
        <cfvo type="min"/>
        <cfvo type="percentile" val="50"/>
        <cfvo type="max"/>
        <color rgb="FFF8696B"/>
        <color rgb="FFFFEB84"/>
        <color rgb="FF63BE7B"/>
      </colorScale>
    </cfRule>
  </conditionalFormatting>
  <conditionalFormatting sqref="F13:F20">
    <cfRule type="colorScale" priority="3004">
      <colorScale>
        <cfvo type="min"/>
        <cfvo type="percentile" val="50"/>
        <cfvo type="max"/>
        <color rgb="FFF8696B"/>
        <color rgb="FFFFEB84"/>
        <color rgb="FF63BE7B"/>
      </colorScale>
    </cfRule>
  </conditionalFormatting>
  <conditionalFormatting sqref="F13:F20">
    <cfRule type="colorScale" priority="3003">
      <colorScale>
        <cfvo type="min"/>
        <cfvo type="percentile" val="50"/>
        <cfvo type="max"/>
        <color rgb="FFF8696B"/>
        <color rgb="FFFFEB84"/>
        <color rgb="FF63BE7B"/>
      </colorScale>
    </cfRule>
  </conditionalFormatting>
  <conditionalFormatting sqref="F13:F20">
    <cfRule type="colorScale" priority="3002">
      <colorScale>
        <cfvo type="min"/>
        <cfvo type="percentile" val="50"/>
        <cfvo type="max"/>
        <color rgb="FFF8696B"/>
        <color rgb="FFFFEB84"/>
        <color rgb="FF63BE7B"/>
      </colorScale>
    </cfRule>
  </conditionalFormatting>
  <conditionalFormatting sqref="F13:F20">
    <cfRule type="colorScale" priority="3001">
      <colorScale>
        <cfvo type="min"/>
        <cfvo type="percentile" val="50"/>
        <cfvo type="max"/>
        <color rgb="FFF8696B"/>
        <color rgb="FFFFEB84"/>
        <color rgb="FF63BE7B"/>
      </colorScale>
    </cfRule>
  </conditionalFormatting>
  <conditionalFormatting sqref="F13:F20">
    <cfRule type="colorScale" priority="3000">
      <colorScale>
        <cfvo type="min"/>
        <cfvo type="percentile" val="50"/>
        <cfvo type="max"/>
        <color rgb="FFF8696B"/>
        <color rgb="FFFFEB84"/>
        <color rgb="FF63BE7B"/>
      </colorScale>
    </cfRule>
  </conditionalFormatting>
  <conditionalFormatting sqref="F13:F20">
    <cfRule type="colorScale" priority="2999">
      <colorScale>
        <cfvo type="min"/>
        <cfvo type="percentile" val="50"/>
        <cfvo type="max"/>
        <color rgb="FFF8696B"/>
        <color rgb="FFFFEB84"/>
        <color rgb="FF63BE7B"/>
      </colorScale>
    </cfRule>
  </conditionalFormatting>
  <conditionalFormatting sqref="F13:F20">
    <cfRule type="colorScale" priority="2998">
      <colorScale>
        <cfvo type="min"/>
        <cfvo type="percentile" val="50"/>
        <cfvo type="max"/>
        <color rgb="FFF8696B"/>
        <color rgb="FFFFEB84"/>
        <color rgb="FF63BE7B"/>
      </colorScale>
    </cfRule>
  </conditionalFormatting>
  <conditionalFormatting sqref="F13:F20">
    <cfRule type="colorScale" priority="2997">
      <colorScale>
        <cfvo type="min"/>
        <cfvo type="percentile" val="50"/>
        <cfvo type="max"/>
        <color rgb="FFF8696B"/>
        <color rgb="FFFFEB84"/>
        <color rgb="FF63BE7B"/>
      </colorScale>
    </cfRule>
  </conditionalFormatting>
  <conditionalFormatting sqref="F13:F20">
    <cfRule type="colorScale" priority="2996">
      <colorScale>
        <cfvo type="min"/>
        <cfvo type="percentile" val="50"/>
        <cfvo type="max"/>
        <color rgb="FFF8696B"/>
        <color rgb="FFFFEB84"/>
        <color rgb="FF63BE7B"/>
      </colorScale>
    </cfRule>
  </conditionalFormatting>
  <conditionalFormatting sqref="F13:F20">
    <cfRule type="colorScale" priority="2995">
      <colorScale>
        <cfvo type="min"/>
        <cfvo type="percentile" val="50"/>
        <cfvo type="max"/>
        <color rgb="FFF8696B"/>
        <color rgb="FFFFEB84"/>
        <color rgb="FF63BE7B"/>
      </colorScale>
    </cfRule>
  </conditionalFormatting>
  <conditionalFormatting sqref="F13:F20">
    <cfRule type="colorScale" priority="2994">
      <colorScale>
        <cfvo type="min"/>
        <cfvo type="percentile" val="50"/>
        <cfvo type="max"/>
        <color rgb="FFF8696B"/>
        <color rgb="FFFFEB84"/>
        <color rgb="FF63BE7B"/>
      </colorScale>
    </cfRule>
  </conditionalFormatting>
  <conditionalFormatting sqref="F13:F20">
    <cfRule type="colorScale" priority="2993">
      <colorScale>
        <cfvo type="min"/>
        <cfvo type="percentile" val="50"/>
        <cfvo type="max"/>
        <color rgb="FFF8696B"/>
        <color rgb="FFFFEB84"/>
        <color rgb="FF63BE7B"/>
      </colorScale>
    </cfRule>
  </conditionalFormatting>
  <conditionalFormatting sqref="F13:F20">
    <cfRule type="colorScale" priority="2992">
      <colorScale>
        <cfvo type="min"/>
        <cfvo type="percentile" val="50"/>
        <cfvo type="max"/>
        <color rgb="FFF8696B"/>
        <color rgb="FFFFEB84"/>
        <color rgb="FF63BE7B"/>
      </colorScale>
    </cfRule>
  </conditionalFormatting>
  <conditionalFormatting sqref="F13:F20">
    <cfRule type="colorScale" priority="2991">
      <colorScale>
        <cfvo type="min"/>
        <cfvo type="percentile" val="50"/>
        <cfvo type="max"/>
        <color rgb="FFF8696B"/>
        <color rgb="FFFFEB84"/>
        <color rgb="FF63BE7B"/>
      </colorScale>
    </cfRule>
  </conditionalFormatting>
  <conditionalFormatting sqref="F13:F20">
    <cfRule type="colorScale" priority="2990">
      <colorScale>
        <cfvo type="min"/>
        <cfvo type="percentile" val="50"/>
        <cfvo type="max"/>
        <color rgb="FFF8696B"/>
        <color rgb="FFFFEB84"/>
        <color rgb="FF63BE7B"/>
      </colorScale>
    </cfRule>
  </conditionalFormatting>
  <conditionalFormatting sqref="F13:F20">
    <cfRule type="colorScale" priority="2989">
      <colorScale>
        <cfvo type="min"/>
        <cfvo type="percentile" val="50"/>
        <cfvo type="max"/>
        <color rgb="FFF8696B"/>
        <color rgb="FFFFEB84"/>
        <color rgb="FF63BE7B"/>
      </colorScale>
    </cfRule>
  </conditionalFormatting>
  <conditionalFormatting sqref="F13:F20">
    <cfRule type="colorScale" priority="2988">
      <colorScale>
        <cfvo type="min"/>
        <cfvo type="percentile" val="50"/>
        <cfvo type="max"/>
        <color rgb="FFF8696B"/>
        <color rgb="FFFFEB84"/>
        <color rgb="FF63BE7B"/>
      </colorScale>
    </cfRule>
  </conditionalFormatting>
  <conditionalFormatting sqref="F13:F20">
    <cfRule type="colorScale" priority="2987">
      <colorScale>
        <cfvo type="min"/>
        <cfvo type="percentile" val="50"/>
        <cfvo type="max"/>
        <color rgb="FFF8696B"/>
        <color rgb="FFFFEB84"/>
        <color rgb="FF63BE7B"/>
      </colorScale>
    </cfRule>
  </conditionalFormatting>
  <conditionalFormatting sqref="F13:F20">
    <cfRule type="colorScale" priority="2986">
      <colorScale>
        <cfvo type="min"/>
        <cfvo type="percentile" val="50"/>
        <cfvo type="max"/>
        <color rgb="FFF8696B"/>
        <color rgb="FFFFEB84"/>
        <color rgb="FF63BE7B"/>
      </colorScale>
    </cfRule>
  </conditionalFormatting>
  <conditionalFormatting sqref="F13:F20">
    <cfRule type="colorScale" priority="2985">
      <colorScale>
        <cfvo type="min"/>
        <cfvo type="percentile" val="50"/>
        <cfvo type="max"/>
        <color rgb="FFF8696B"/>
        <color rgb="FFFFEB84"/>
        <color rgb="FF63BE7B"/>
      </colorScale>
    </cfRule>
  </conditionalFormatting>
  <conditionalFormatting sqref="F13:F20">
    <cfRule type="colorScale" priority="2984">
      <colorScale>
        <cfvo type="min"/>
        <cfvo type="percentile" val="50"/>
        <cfvo type="max"/>
        <color rgb="FFF8696B"/>
        <color rgb="FFFFEB84"/>
        <color rgb="FF63BE7B"/>
      </colorScale>
    </cfRule>
  </conditionalFormatting>
  <conditionalFormatting sqref="F13:F20">
    <cfRule type="colorScale" priority="2983">
      <colorScale>
        <cfvo type="min"/>
        <cfvo type="percentile" val="50"/>
        <cfvo type="max"/>
        <color rgb="FFF8696B"/>
        <color rgb="FFFFEB84"/>
        <color rgb="FF63BE7B"/>
      </colorScale>
    </cfRule>
  </conditionalFormatting>
  <conditionalFormatting sqref="F13:F20">
    <cfRule type="colorScale" priority="2982">
      <colorScale>
        <cfvo type="min"/>
        <cfvo type="percentile" val="50"/>
        <cfvo type="max"/>
        <color rgb="FFF8696B"/>
        <color rgb="FFFFEB84"/>
        <color rgb="FF63BE7B"/>
      </colorScale>
    </cfRule>
  </conditionalFormatting>
  <conditionalFormatting sqref="F13:F20">
    <cfRule type="colorScale" priority="2981">
      <colorScale>
        <cfvo type="min"/>
        <cfvo type="percentile" val="50"/>
        <cfvo type="max"/>
        <color rgb="FFF8696B"/>
        <color rgb="FFFFEB84"/>
        <color rgb="FF63BE7B"/>
      </colorScale>
    </cfRule>
  </conditionalFormatting>
  <conditionalFormatting sqref="F13:F20">
    <cfRule type="colorScale" priority="2980">
      <colorScale>
        <cfvo type="min"/>
        <cfvo type="percentile" val="50"/>
        <cfvo type="max"/>
        <color rgb="FFF8696B"/>
        <color rgb="FFFFEB84"/>
        <color rgb="FF63BE7B"/>
      </colorScale>
    </cfRule>
  </conditionalFormatting>
  <conditionalFormatting sqref="F13:F20">
    <cfRule type="colorScale" priority="2979">
      <colorScale>
        <cfvo type="min"/>
        <cfvo type="percentile" val="50"/>
        <cfvo type="max"/>
        <color rgb="FFF8696B"/>
        <color rgb="FFFFEB84"/>
        <color rgb="FF63BE7B"/>
      </colorScale>
    </cfRule>
  </conditionalFormatting>
  <conditionalFormatting sqref="F13:F20">
    <cfRule type="colorScale" priority="2978">
      <colorScale>
        <cfvo type="min"/>
        <cfvo type="percentile" val="50"/>
        <cfvo type="max"/>
        <color rgb="FFF8696B"/>
        <color rgb="FFFFEB84"/>
        <color rgb="FF63BE7B"/>
      </colorScale>
    </cfRule>
  </conditionalFormatting>
  <conditionalFormatting sqref="F13:F20">
    <cfRule type="colorScale" priority="2977">
      <colorScale>
        <cfvo type="min"/>
        <cfvo type="percentile" val="50"/>
        <cfvo type="max"/>
        <color rgb="FFF8696B"/>
        <color rgb="FFFFEB84"/>
        <color rgb="FF63BE7B"/>
      </colorScale>
    </cfRule>
  </conditionalFormatting>
  <conditionalFormatting sqref="F13:F20">
    <cfRule type="colorScale" priority="2976">
      <colorScale>
        <cfvo type="min"/>
        <cfvo type="percentile" val="50"/>
        <cfvo type="max"/>
        <color rgb="FFF8696B"/>
        <color rgb="FFFFEB84"/>
        <color rgb="FF63BE7B"/>
      </colorScale>
    </cfRule>
  </conditionalFormatting>
  <conditionalFormatting sqref="F13:F20">
    <cfRule type="colorScale" priority="2975">
      <colorScale>
        <cfvo type="min"/>
        <cfvo type="percentile" val="50"/>
        <cfvo type="max"/>
        <color rgb="FFF8696B"/>
        <color rgb="FFFFEB84"/>
        <color rgb="FF63BE7B"/>
      </colorScale>
    </cfRule>
  </conditionalFormatting>
  <conditionalFormatting sqref="F13:F20">
    <cfRule type="colorScale" priority="2974">
      <colorScale>
        <cfvo type="min"/>
        <cfvo type="percentile" val="50"/>
        <cfvo type="max"/>
        <color rgb="FFF8696B"/>
        <color rgb="FFFFEB84"/>
        <color rgb="FF63BE7B"/>
      </colorScale>
    </cfRule>
  </conditionalFormatting>
  <conditionalFormatting sqref="F13:F20">
    <cfRule type="colorScale" priority="2973">
      <colorScale>
        <cfvo type="min"/>
        <cfvo type="percentile" val="50"/>
        <cfvo type="max"/>
        <color rgb="FFF8696B"/>
        <color rgb="FFFFEB84"/>
        <color rgb="FF63BE7B"/>
      </colorScale>
    </cfRule>
  </conditionalFormatting>
  <conditionalFormatting sqref="F13:F20">
    <cfRule type="colorScale" priority="2972">
      <colorScale>
        <cfvo type="min"/>
        <cfvo type="percentile" val="50"/>
        <cfvo type="max"/>
        <color rgb="FFF8696B"/>
        <color rgb="FFFFEB84"/>
        <color rgb="FF63BE7B"/>
      </colorScale>
    </cfRule>
  </conditionalFormatting>
  <conditionalFormatting sqref="F13:F20">
    <cfRule type="colorScale" priority="2971">
      <colorScale>
        <cfvo type="min"/>
        <cfvo type="percentile" val="50"/>
        <cfvo type="max"/>
        <color rgb="FFF8696B"/>
        <color rgb="FFFFEB84"/>
        <color rgb="FF63BE7B"/>
      </colorScale>
    </cfRule>
  </conditionalFormatting>
  <conditionalFormatting sqref="F13:F20">
    <cfRule type="colorScale" priority="2970">
      <colorScale>
        <cfvo type="min"/>
        <cfvo type="percentile" val="50"/>
        <cfvo type="max"/>
        <color rgb="FFF8696B"/>
        <color rgb="FFFFEB84"/>
        <color rgb="FF63BE7B"/>
      </colorScale>
    </cfRule>
  </conditionalFormatting>
  <conditionalFormatting sqref="F13:F20">
    <cfRule type="colorScale" priority="2969">
      <colorScale>
        <cfvo type="min"/>
        <cfvo type="percentile" val="50"/>
        <cfvo type="max"/>
        <color rgb="FFF8696B"/>
        <color rgb="FFFFEB84"/>
        <color rgb="FF63BE7B"/>
      </colorScale>
    </cfRule>
  </conditionalFormatting>
  <conditionalFormatting sqref="F13:F20">
    <cfRule type="colorScale" priority="2968">
      <colorScale>
        <cfvo type="min"/>
        <cfvo type="percentile" val="50"/>
        <cfvo type="max"/>
        <color rgb="FFF8696B"/>
        <color rgb="FFFFEB84"/>
        <color rgb="FF63BE7B"/>
      </colorScale>
    </cfRule>
  </conditionalFormatting>
  <conditionalFormatting sqref="F21:F28">
    <cfRule type="colorScale" priority="2967">
      <colorScale>
        <cfvo type="min"/>
        <cfvo type="percentile" val="50"/>
        <cfvo type="max"/>
        <color rgb="FFF8696B"/>
        <color rgb="FFFFEB84"/>
        <color rgb="FF63BE7B"/>
      </colorScale>
    </cfRule>
  </conditionalFormatting>
  <conditionalFormatting sqref="F21:F28">
    <cfRule type="colorScale" priority="2966">
      <colorScale>
        <cfvo type="min"/>
        <cfvo type="percentile" val="50"/>
        <cfvo type="max"/>
        <color rgb="FFF8696B"/>
        <color rgb="FFFFEB84"/>
        <color rgb="FF63BE7B"/>
      </colorScale>
    </cfRule>
  </conditionalFormatting>
  <conditionalFormatting sqref="F21:F28">
    <cfRule type="colorScale" priority="2965">
      <colorScale>
        <cfvo type="min"/>
        <cfvo type="percentile" val="50"/>
        <cfvo type="max"/>
        <color rgb="FFF8696B"/>
        <color rgb="FFFFEB84"/>
        <color rgb="FF63BE7B"/>
      </colorScale>
    </cfRule>
  </conditionalFormatting>
  <conditionalFormatting sqref="F21:F28">
    <cfRule type="colorScale" priority="2964">
      <colorScale>
        <cfvo type="min"/>
        <cfvo type="percentile" val="50"/>
        <cfvo type="max"/>
        <color rgb="FFF8696B"/>
        <color rgb="FFFFEB84"/>
        <color rgb="FF63BE7B"/>
      </colorScale>
    </cfRule>
  </conditionalFormatting>
  <conditionalFormatting sqref="F21:F28">
    <cfRule type="colorScale" priority="2963">
      <colorScale>
        <cfvo type="min"/>
        <cfvo type="percentile" val="50"/>
        <cfvo type="max"/>
        <color rgb="FFF8696B"/>
        <color rgb="FFFFEB84"/>
        <color rgb="FF63BE7B"/>
      </colorScale>
    </cfRule>
  </conditionalFormatting>
  <conditionalFormatting sqref="F21:F28">
    <cfRule type="colorScale" priority="2962">
      <colorScale>
        <cfvo type="min"/>
        <cfvo type="percentile" val="50"/>
        <cfvo type="max"/>
        <color rgb="FFF8696B"/>
        <color rgb="FFFFEB84"/>
        <color rgb="FF63BE7B"/>
      </colorScale>
    </cfRule>
  </conditionalFormatting>
  <conditionalFormatting sqref="F21:F28">
    <cfRule type="colorScale" priority="2961">
      <colorScale>
        <cfvo type="min"/>
        <cfvo type="percentile" val="50"/>
        <cfvo type="max"/>
        <color rgb="FFF8696B"/>
        <color rgb="FFFFEB84"/>
        <color rgb="FF63BE7B"/>
      </colorScale>
    </cfRule>
  </conditionalFormatting>
  <conditionalFormatting sqref="F21:F28">
    <cfRule type="colorScale" priority="2960">
      <colorScale>
        <cfvo type="min"/>
        <cfvo type="percentile" val="50"/>
        <cfvo type="max"/>
        <color rgb="FFF8696B"/>
        <color rgb="FFFFEB84"/>
        <color rgb="FF63BE7B"/>
      </colorScale>
    </cfRule>
  </conditionalFormatting>
  <conditionalFormatting sqref="F21:F28">
    <cfRule type="colorScale" priority="2959">
      <colorScale>
        <cfvo type="min"/>
        <cfvo type="percentile" val="50"/>
        <cfvo type="max"/>
        <color rgb="FFF8696B"/>
        <color rgb="FFFFEB84"/>
        <color rgb="FF63BE7B"/>
      </colorScale>
    </cfRule>
  </conditionalFormatting>
  <conditionalFormatting sqref="F21:F28">
    <cfRule type="colorScale" priority="2958">
      <colorScale>
        <cfvo type="min"/>
        <cfvo type="percentile" val="50"/>
        <cfvo type="max"/>
        <color rgb="FFF8696B"/>
        <color rgb="FFFFEB84"/>
        <color rgb="FF63BE7B"/>
      </colorScale>
    </cfRule>
  </conditionalFormatting>
  <conditionalFormatting sqref="F21:F28">
    <cfRule type="colorScale" priority="2957">
      <colorScale>
        <cfvo type="min"/>
        <cfvo type="percentile" val="50"/>
        <cfvo type="max"/>
        <color rgb="FFF8696B"/>
        <color rgb="FFFFEB84"/>
        <color rgb="FF63BE7B"/>
      </colorScale>
    </cfRule>
  </conditionalFormatting>
  <conditionalFormatting sqref="F21:F28">
    <cfRule type="colorScale" priority="2956">
      <colorScale>
        <cfvo type="min"/>
        <cfvo type="percentile" val="50"/>
        <cfvo type="max"/>
        <color rgb="FFF8696B"/>
        <color rgb="FFFFEB84"/>
        <color rgb="FF63BE7B"/>
      </colorScale>
    </cfRule>
  </conditionalFormatting>
  <conditionalFormatting sqref="F21:F28">
    <cfRule type="colorScale" priority="2955">
      <colorScale>
        <cfvo type="min"/>
        <cfvo type="percentile" val="50"/>
        <cfvo type="max"/>
        <color rgb="FFF8696B"/>
        <color rgb="FFFFEB84"/>
        <color rgb="FF63BE7B"/>
      </colorScale>
    </cfRule>
  </conditionalFormatting>
  <conditionalFormatting sqref="F21:F28">
    <cfRule type="colorScale" priority="2954">
      <colorScale>
        <cfvo type="min"/>
        <cfvo type="percentile" val="50"/>
        <cfvo type="max"/>
        <color rgb="FFF8696B"/>
        <color rgb="FFFFEB84"/>
        <color rgb="FF63BE7B"/>
      </colorScale>
    </cfRule>
  </conditionalFormatting>
  <conditionalFormatting sqref="F21:F28">
    <cfRule type="colorScale" priority="2953">
      <colorScale>
        <cfvo type="min"/>
        <cfvo type="percentile" val="50"/>
        <cfvo type="max"/>
        <color rgb="FFF8696B"/>
        <color rgb="FFFFEB84"/>
        <color rgb="FF63BE7B"/>
      </colorScale>
    </cfRule>
  </conditionalFormatting>
  <conditionalFormatting sqref="F21:F28">
    <cfRule type="colorScale" priority="2952">
      <colorScale>
        <cfvo type="min"/>
        <cfvo type="percentile" val="50"/>
        <cfvo type="max"/>
        <color rgb="FFF8696B"/>
        <color rgb="FFFFEB84"/>
        <color rgb="FF63BE7B"/>
      </colorScale>
    </cfRule>
  </conditionalFormatting>
  <conditionalFormatting sqref="F21:F28">
    <cfRule type="colorScale" priority="2951">
      <colorScale>
        <cfvo type="min"/>
        <cfvo type="percentile" val="50"/>
        <cfvo type="max"/>
        <color rgb="FFF8696B"/>
        <color rgb="FFFFEB84"/>
        <color rgb="FF63BE7B"/>
      </colorScale>
    </cfRule>
  </conditionalFormatting>
  <conditionalFormatting sqref="F21:F28">
    <cfRule type="colorScale" priority="2950">
      <colorScale>
        <cfvo type="min"/>
        <cfvo type="percentile" val="50"/>
        <cfvo type="max"/>
        <color rgb="FFF8696B"/>
        <color rgb="FFFFEB84"/>
        <color rgb="FF63BE7B"/>
      </colorScale>
    </cfRule>
  </conditionalFormatting>
  <conditionalFormatting sqref="F21:F28">
    <cfRule type="colorScale" priority="2949">
      <colorScale>
        <cfvo type="min"/>
        <cfvo type="percentile" val="50"/>
        <cfvo type="max"/>
        <color rgb="FFF8696B"/>
        <color rgb="FFFFEB84"/>
        <color rgb="FF63BE7B"/>
      </colorScale>
    </cfRule>
  </conditionalFormatting>
  <conditionalFormatting sqref="F21:F28">
    <cfRule type="colorScale" priority="2948">
      <colorScale>
        <cfvo type="min"/>
        <cfvo type="percentile" val="50"/>
        <cfvo type="max"/>
        <color rgb="FFF8696B"/>
        <color rgb="FFFFEB84"/>
        <color rgb="FF63BE7B"/>
      </colorScale>
    </cfRule>
  </conditionalFormatting>
  <conditionalFormatting sqref="F21:F28">
    <cfRule type="colorScale" priority="2947">
      <colorScale>
        <cfvo type="min"/>
        <cfvo type="percentile" val="50"/>
        <cfvo type="max"/>
        <color rgb="FFF8696B"/>
        <color rgb="FFFFEB84"/>
        <color rgb="FF63BE7B"/>
      </colorScale>
    </cfRule>
  </conditionalFormatting>
  <conditionalFormatting sqref="F21:F28">
    <cfRule type="colorScale" priority="2946">
      <colorScale>
        <cfvo type="min"/>
        <cfvo type="percentile" val="50"/>
        <cfvo type="max"/>
        <color rgb="FFF8696B"/>
        <color rgb="FFFFEB84"/>
        <color rgb="FF63BE7B"/>
      </colorScale>
    </cfRule>
  </conditionalFormatting>
  <conditionalFormatting sqref="F21:F28">
    <cfRule type="colorScale" priority="2945">
      <colorScale>
        <cfvo type="min"/>
        <cfvo type="percentile" val="50"/>
        <cfvo type="max"/>
        <color rgb="FFF8696B"/>
        <color rgb="FFFFEB84"/>
        <color rgb="FF63BE7B"/>
      </colorScale>
    </cfRule>
  </conditionalFormatting>
  <conditionalFormatting sqref="F21:F28">
    <cfRule type="colorScale" priority="2944">
      <colorScale>
        <cfvo type="min"/>
        <cfvo type="percentile" val="50"/>
        <cfvo type="max"/>
        <color rgb="FFF8696B"/>
        <color rgb="FFFFEB84"/>
        <color rgb="FF63BE7B"/>
      </colorScale>
    </cfRule>
  </conditionalFormatting>
  <conditionalFormatting sqref="F21:F28">
    <cfRule type="colorScale" priority="2943">
      <colorScale>
        <cfvo type="min"/>
        <cfvo type="percentile" val="50"/>
        <cfvo type="max"/>
        <color rgb="FFF8696B"/>
        <color rgb="FFFFEB84"/>
        <color rgb="FF63BE7B"/>
      </colorScale>
    </cfRule>
  </conditionalFormatting>
  <conditionalFormatting sqref="F21:F28">
    <cfRule type="colorScale" priority="2942">
      <colorScale>
        <cfvo type="min"/>
        <cfvo type="percentile" val="50"/>
        <cfvo type="max"/>
        <color rgb="FFF8696B"/>
        <color rgb="FFFFEB84"/>
        <color rgb="FF63BE7B"/>
      </colorScale>
    </cfRule>
  </conditionalFormatting>
  <conditionalFormatting sqref="F21:F28">
    <cfRule type="colorScale" priority="2941">
      <colorScale>
        <cfvo type="min"/>
        <cfvo type="percentile" val="50"/>
        <cfvo type="max"/>
        <color rgb="FFF8696B"/>
        <color rgb="FFFFEB84"/>
        <color rgb="FF63BE7B"/>
      </colorScale>
    </cfRule>
  </conditionalFormatting>
  <conditionalFormatting sqref="F21:F28">
    <cfRule type="colorScale" priority="2940">
      <colorScale>
        <cfvo type="min"/>
        <cfvo type="percentile" val="50"/>
        <cfvo type="max"/>
        <color rgb="FFF8696B"/>
        <color rgb="FFFFEB84"/>
        <color rgb="FF63BE7B"/>
      </colorScale>
    </cfRule>
  </conditionalFormatting>
  <conditionalFormatting sqref="F21:F28">
    <cfRule type="colorScale" priority="2939">
      <colorScale>
        <cfvo type="min"/>
        <cfvo type="percentile" val="50"/>
        <cfvo type="max"/>
        <color rgb="FFF8696B"/>
        <color rgb="FFFFEB84"/>
        <color rgb="FF63BE7B"/>
      </colorScale>
    </cfRule>
  </conditionalFormatting>
  <conditionalFormatting sqref="F21:F28">
    <cfRule type="colorScale" priority="2938">
      <colorScale>
        <cfvo type="min"/>
        <cfvo type="percentile" val="50"/>
        <cfvo type="max"/>
        <color rgb="FFF8696B"/>
        <color rgb="FFFFEB84"/>
        <color rgb="FF63BE7B"/>
      </colorScale>
    </cfRule>
  </conditionalFormatting>
  <conditionalFormatting sqref="F21:F28">
    <cfRule type="colorScale" priority="2937">
      <colorScale>
        <cfvo type="min"/>
        <cfvo type="percentile" val="50"/>
        <cfvo type="max"/>
        <color rgb="FFF8696B"/>
        <color rgb="FFFFEB84"/>
        <color rgb="FF63BE7B"/>
      </colorScale>
    </cfRule>
  </conditionalFormatting>
  <conditionalFormatting sqref="F21:F28">
    <cfRule type="colorScale" priority="2936">
      <colorScale>
        <cfvo type="min"/>
        <cfvo type="percentile" val="50"/>
        <cfvo type="max"/>
        <color rgb="FFF8696B"/>
        <color rgb="FFFFEB84"/>
        <color rgb="FF63BE7B"/>
      </colorScale>
    </cfRule>
  </conditionalFormatting>
  <conditionalFormatting sqref="F21:F28">
    <cfRule type="colorScale" priority="2935">
      <colorScale>
        <cfvo type="min"/>
        <cfvo type="percentile" val="50"/>
        <cfvo type="max"/>
        <color rgb="FFF8696B"/>
        <color rgb="FFFFEB84"/>
        <color rgb="FF63BE7B"/>
      </colorScale>
    </cfRule>
  </conditionalFormatting>
  <conditionalFormatting sqref="F21:F28">
    <cfRule type="colorScale" priority="2934">
      <colorScale>
        <cfvo type="min"/>
        <cfvo type="percentile" val="50"/>
        <cfvo type="max"/>
        <color rgb="FFF8696B"/>
        <color rgb="FFFFEB84"/>
        <color rgb="FF63BE7B"/>
      </colorScale>
    </cfRule>
  </conditionalFormatting>
  <conditionalFormatting sqref="F21:F28">
    <cfRule type="colorScale" priority="2933">
      <colorScale>
        <cfvo type="min"/>
        <cfvo type="percentile" val="50"/>
        <cfvo type="max"/>
        <color rgb="FFF8696B"/>
        <color rgb="FFFFEB84"/>
        <color rgb="FF63BE7B"/>
      </colorScale>
    </cfRule>
  </conditionalFormatting>
  <conditionalFormatting sqref="F21:F28">
    <cfRule type="colorScale" priority="2932">
      <colorScale>
        <cfvo type="min"/>
        <cfvo type="percentile" val="50"/>
        <cfvo type="max"/>
        <color rgb="FFF8696B"/>
        <color rgb="FFFFEB84"/>
        <color rgb="FF63BE7B"/>
      </colorScale>
    </cfRule>
  </conditionalFormatting>
  <conditionalFormatting sqref="F21:F28">
    <cfRule type="colorScale" priority="2931">
      <colorScale>
        <cfvo type="min"/>
        <cfvo type="percentile" val="50"/>
        <cfvo type="max"/>
        <color rgb="FFF8696B"/>
        <color rgb="FFFFEB84"/>
        <color rgb="FF63BE7B"/>
      </colorScale>
    </cfRule>
  </conditionalFormatting>
  <conditionalFormatting sqref="F21:F28">
    <cfRule type="colorScale" priority="2930">
      <colorScale>
        <cfvo type="min"/>
        <cfvo type="percentile" val="50"/>
        <cfvo type="max"/>
        <color rgb="FFF8696B"/>
        <color rgb="FFFFEB84"/>
        <color rgb="FF63BE7B"/>
      </colorScale>
    </cfRule>
  </conditionalFormatting>
  <conditionalFormatting sqref="F21:F28">
    <cfRule type="colorScale" priority="2929">
      <colorScale>
        <cfvo type="min"/>
        <cfvo type="percentile" val="50"/>
        <cfvo type="max"/>
        <color rgb="FFF8696B"/>
        <color rgb="FFFFEB84"/>
        <color rgb="FF63BE7B"/>
      </colorScale>
    </cfRule>
  </conditionalFormatting>
  <conditionalFormatting sqref="F21:F28">
    <cfRule type="colorScale" priority="2928">
      <colorScale>
        <cfvo type="min"/>
        <cfvo type="percentile" val="50"/>
        <cfvo type="max"/>
        <color rgb="FFF8696B"/>
        <color rgb="FFFFEB84"/>
        <color rgb="FF63BE7B"/>
      </colorScale>
    </cfRule>
  </conditionalFormatting>
  <conditionalFormatting sqref="F21:F28">
    <cfRule type="colorScale" priority="2927">
      <colorScale>
        <cfvo type="min"/>
        <cfvo type="percentile" val="50"/>
        <cfvo type="max"/>
        <color rgb="FFF8696B"/>
        <color rgb="FFFFEB84"/>
        <color rgb="FF63BE7B"/>
      </colorScale>
    </cfRule>
  </conditionalFormatting>
  <conditionalFormatting sqref="F21:F28">
    <cfRule type="colorScale" priority="2926">
      <colorScale>
        <cfvo type="min"/>
        <cfvo type="percentile" val="50"/>
        <cfvo type="max"/>
        <color rgb="FFF8696B"/>
        <color rgb="FFFFEB84"/>
        <color rgb="FF63BE7B"/>
      </colorScale>
    </cfRule>
  </conditionalFormatting>
  <conditionalFormatting sqref="F21:F28">
    <cfRule type="colorScale" priority="2925">
      <colorScale>
        <cfvo type="min"/>
        <cfvo type="percentile" val="50"/>
        <cfvo type="max"/>
        <color rgb="FFF8696B"/>
        <color rgb="FFFFEB84"/>
        <color rgb="FF63BE7B"/>
      </colorScale>
    </cfRule>
  </conditionalFormatting>
  <conditionalFormatting sqref="F21:F28">
    <cfRule type="colorScale" priority="2924">
      <colorScale>
        <cfvo type="min"/>
        <cfvo type="percentile" val="50"/>
        <cfvo type="max"/>
        <color rgb="FFF8696B"/>
        <color rgb="FFFFEB84"/>
        <color rgb="FF63BE7B"/>
      </colorScale>
    </cfRule>
  </conditionalFormatting>
  <conditionalFormatting sqref="F21:F28">
    <cfRule type="colorScale" priority="2923">
      <colorScale>
        <cfvo type="min"/>
        <cfvo type="percentile" val="50"/>
        <cfvo type="max"/>
        <color rgb="FFF8696B"/>
        <color rgb="FFFFEB84"/>
        <color rgb="FF63BE7B"/>
      </colorScale>
    </cfRule>
  </conditionalFormatting>
  <conditionalFormatting sqref="F21:F28">
    <cfRule type="colorScale" priority="2922">
      <colorScale>
        <cfvo type="min"/>
        <cfvo type="percentile" val="50"/>
        <cfvo type="max"/>
        <color rgb="FFF8696B"/>
        <color rgb="FFFFEB84"/>
        <color rgb="FF63BE7B"/>
      </colorScale>
    </cfRule>
  </conditionalFormatting>
  <conditionalFormatting sqref="F21:F28">
    <cfRule type="colorScale" priority="2921">
      <colorScale>
        <cfvo type="min"/>
        <cfvo type="percentile" val="50"/>
        <cfvo type="max"/>
        <color rgb="FFF8696B"/>
        <color rgb="FFFFEB84"/>
        <color rgb="FF63BE7B"/>
      </colorScale>
    </cfRule>
  </conditionalFormatting>
  <conditionalFormatting sqref="F21:F28">
    <cfRule type="colorScale" priority="2920">
      <colorScale>
        <cfvo type="min"/>
        <cfvo type="percentile" val="50"/>
        <cfvo type="max"/>
        <color rgb="FFF8696B"/>
        <color rgb="FFFFEB84"/>
        <color rgb="FF63BE7B"/>
      </colorScale>
    </cfRule>
  </conditionalFormatting>
  <conditionalFormatting sqref="F21:F28">
    <cfRule type="colorScale" priority="2919">
      <colorScale>
        <cfvo type="min"/>
        <cfvo type="percentile" val="50"/>
        <cfvo type="max"/>
        <color rgb="FFF8696B"/>
        <color rgb="FFFFEB84"/>
        <color rgb="FF63BE7B"/>
      </colorScale>
    </cfRule>
  </conditionalFormatting>
  <conditionalFormatting sqref="F21:F28">
    <cfRule type="colorScale" priority="2918">
      <colorScale>
        <cfvo type="min"/>
        <cfvo type="percentile" val="50"/>
        <cfvo type="max"/>
        <color rgb="FFF8696B"/>
        <color rgb="FFFFEB84"/>
        <color rgb="FF63BE7B"/>
      </colorScale>
    </cfRule>
  </conditionalFormatting>
  <conditionalFormatting sqref="F21:F28">
    <cfRule type="colorScale" priority="2917">
      <colorScale>
        <cfvo type="min"/>
        <cfvo type="percentile" val="50"/>
        <cfvo type="max"/>
        <color rgb="FFF8696B"/>
        <color rgb="FFFFEB84"/>
        <color rgb="FF63BE7B"/>
      </colorScale>
    </cfRule>
  </conditionalFormatting>
  <conditionalFormatting sqref="F21:F28">
    <cfRule type="colorScale" priority="2916">
      <colorScale>
        <cfvo type="min"/>
        <cfvo type="percentile" val="50"/>
        <cfvo type="max"/>
        <color rgb="FFF8696B"/>
        <color rgb="FFFFEB84"/>
        <color rgb="FF63BE7B"/>
      </colorScale>
    </cfRule>
  </conditionalFormatting>
  <conditionalFormatting sqref="F21:F28">
    <cfRule type="colorScale" priority="2915">
      <colorScale>
        <cfvo type="min"/>
        <cfvo type="percentile" val="50"/>
        <cfvo type="max"/>
        <color rgb="FFF8696B"/>
        <color rgb="FFFFEB84"/>
        <color rgb="FF63BE7B"/>
      </colorScale>
    </cfRule>
  </conditionalFormatting>
  <conditionalFormatting sqref="F21:F28">
    <cfRule type="colorScale" priority="2914">
      <colorScale>
        <cfvo type="min"/>
        <cfvo type="percentile" val="50"/>
        <cfvo type="max"/>
        <color rgb="FFF8696B"/>
        <color rgb="FFFFEB84"/>
        <color rgb="FF63BE7B"/>
      </colorScale>
    </cfRule>
  </conditionalFormatting>
  <conditionalFormatting sqref="F21:F28">
    <cfRule type="colorScale" priority="2913">
      <colorScale>
        <cfvo type="min"/>
        <cfvo type="percentile" val="50"/>
        <cfvo type="max"/>
        <color rgb="FFF8696B"/>
        <color rgb="FFFFEB84"/>
        <color rgb="FF63BE7B"/>
      </colorScale>
    </cfRule>
  </conditionalFormatting>
  <conditionalFormatting sqref="F21:F28">
    <cfRule type="colorScale" priority="2912">
      <colorScale>
        <cfvo type="min"/>
        <cfvo type="percentile" val="50"/>
        <cfvo type="max"/>
        <color rgb="FFF8696B"/>
        <color rgb="FFFFEB84"/>
        <color rgb="FF63BE7B"/>
      </colorScale>
    </cfRule>
  </conditionalFormatting>
  <conditionalFormatting sqref="F21:F28">
    <cfRule type="colorScale" priority="2911">
      <colorScale>
        <cfvo type="min"/>
        <cfvo type="percentile" val="50"/>
        <cfvo type="max"/>
        <color rgb="FFF8696B"/>
        <color rgb="FFFFEB84"/>
        <color rgb="FF63BE7B"/>
      </colorScale>
    </cfRule>
  </conditionalFormatting>
  <conditionalFormatting sqref="F21:F28">
    <cfRule type="colorScale" priority="2910">
      <colorScale>
        <cfvo type="min"/>
        <cfvo type="percentile" val="50"/>
        <cfvo type="max"/>
        <color rgb="FFF8696B"/>
        <color rgb="FFFFEB84"/>
        <color rgb="FF63BE7B"/>
      </colorScale>
    </cfRule>
  </conditionalFormatting>
  <conditionalFormatting sqref="F21:F28">
    <cfRule type="colorScale" priority="2909">
      <colorScale>
        <cfvo type="min"/>
        <cfvo type="percentile" val="50"/>
        <cfvo type="max"/>
        <color rgb="FFF8696B"/>
        <color rgb="FFFFEB84"/>
        <color rgb="FF63BE7B"/>
      </colorScale>
    </cfRule>
  </conditionalFormatting>
  <conditionalFormatting sqref="F21:F28">
    <cfRule type="colorScale" priority="2908">
      <colorScale>
        <cfvo type="min"/>
        <cfvo type="percentile" val="50"/>
        <cfvo type="max"/>
        <color rgb="FFF8696B"/>
        <color rgb="FFFFEB84"/>
        <color rgb="FF63BE7B"/>
      </colorScale>
    </cfRule>
  </conditionalFormatting>
  <conditionalFormatting sqref="F21:F28">
    <cfRule type="colorScale" priority="2907">
      <colorScale>
        <cfvo type="min"/>
        <cfvo type="percentile" val="50"/>
        <cfvo type="max"/>
        <color rgb="FFF8696B"/>
        <color rgb="FFFFEB84"/>
        <color rgb="FF63BE7B"/>
      </colorScale>
    </cfRule>
  </conditionalFormatting>
  <conditionalFormatting sqref="F21:F28">
    <cfRule type="colorScale" priority="2906">
      <colorScale>
        <cfvo type="min"/>
        <cfvo type="percentile" val="50"/>
        <cfvo type="max"/>
        <color rgb="FFF8696B"/>
        <color rgb="FFFFEB84"/>
        <color rgb="FF63BE7B"/>
      </colorScale>
    </cfRule>
  </conditionalFormatting>
  <conditionalFormatting sqref="F21:F28">
    <cfRule type="colorScale" priority="2905">
      <colorScale>
        <cfvo type="min"/>
        <cfvo type="percentile" val="50"/>
        <cfvo type="max"/>
        <color rgb="FFF8696B"/>
        <color rgb="FFFFEB84"/>
        <color rgb="FF63BE7B"/>
      </colorScale>
    </cfRule>
  </conditionalFormatting>
  <conditionalFormatting sqref="F21:F28">
    <cfRule type="colorScale" priority="2904">
      <colorScale>
        <cfvo type="min"/>
        <cfvo type="percentile" val="50"/>
        <cfvo type="max"/>
        <color rgb="FFF8696B"/>
        <color rgb="FFFFEB84"/>
        <color rgb="FF63BE7B"/>
      </colorScale>
    </cfRule>
  </conditionalFormatting>
  <conditionalFormatting sqref="F21:F28">
    <cfRule type="colorScale" priority="2903">
      <colorScale>
        <cfvo type="min"/>
        <cfvo type="percentile" val="50"/>
        <cfvo type="max"/>
        <color rgb="FFF8696B"/>
        <color rgb="FFFFEB84"/>
        <color rgb="FF63BE7B"/>
      </colorScale>
    </cfRule>
  </conditionalFormatting>
  <conditionalFormatting sqref="F21:F28">
    <cfRule type="colorScale" priority="2902">
      <colorScale>
        <cfvo type="min"/>
        <cfvo type="percentile" val="50"/>
        <cfvo type="max"/>
        <color rgb="FFF8696B"/>
        <color rgb="FFFFEB84"/>
        <color rgb="FF63BE7B"/>
      </colorScale>
    </cfRule>
  </conditionalFormatting>
  <conditionalFormatting sqref="F21:F28">
    <cfRule type="colorScale" priority="2901">
      <colorScale>
        <cfvo type="min"/>
        <cfvo type="percentile" val="50"/>
        <cfvo type="max"/>
        <color rgb="FFF8696B"/>
        <color rgb="FFFFEB84"/>
        <color rgb="FF63BE7B"/>
      </colorScale>
    </cfRule>
  </conditionalFormatting>
  <conditionalFormatting sqref="F21:F28">
    <cfRule type="colorScale" priority="2900">
      <colorScale>
        <cfvo type="min"/>
        <cfvo type="percentile" val="50"/>
        <cfvo type="max"/>
        <color rgb="FFF8696B"/>
        <color rgb="FFFFEB84"/>
        <color rgb="FF63BE7B"/>
      </colorScale>
    </cfRule>
  </conditionalFormatting>
  <conditionalFormatting sqref="F21:F28">
    <cfRule type="colorScale" priority="2899">
      <colorScale>
        <cfvo type="min"/>
        <cfvo type="percentile" val="50"/>
        <cfvo type="max"/>
        <color rgb="FFF8696B"/>
        <color rgb="FFFFEB84"/>
        <color rgb="FF63BE7B"/>
      </colorScale>
    </cfRule>
  </conditionalFormatting>
  <conditionalFormatting sqref="F21:F28">
    <cfRule type="colorScale" priority="2898">
      <colorScale>
        <cfvo type="min"/>
        <cfvo type="percentile" val="50"/>
        <cfvo type="max"/>
        <color rgb="FFF8696B"/>
        <color rgb="FFFFEB84"/>
        <color rgb="FF63BE7B"/>
      </colorScale>
    </cfRule>
  </conditionalFormatting>
  <conditionalFormatting sqref="F21:F28">
    <cfRule type="colorScale" priority="2897">
      <colorScale>
        <cfvo type="min"/>
        <cfvo type="percentile" val="50"/>
        <cfvo type="max"/>
        <color rgb="FFF8696B"/>
        <color rgb="FFFFEB84"/>
        <color rgb="FF63BE7B"/>
      </colorScale>
    </cfRule>
  </conditionalFormatting>
  <conditionalFormatting sqref="F21:F28">
    <cfRule type="colorScale" priority="2896">
      <colorScale>
        <cfvo type="min"/>
        <cfvo type="percentile" val="50"/>
        <cfvo type="max"/>
        <color rgb="FFF8696B"/>
        <color rgb="FFFFEB84"/>
        <color rgb="FF63BE7B"/>
      </colorScale>
    </cfRule>
  </conditionalFormatting>
  <conditionalFormatting sqref="F21:F28">
    <cfRule type="colorScale" priority="2895">
      <colorScale>
        <cfvo type="min"/>
        <cfvo type="percentile" val="50"/>
        <cfvo type="max"/>
        <color rgb="FFF8696B"/>
        <color rgb="FFFFEB84"/>
        <color rgb="FF63BE7B"/>
      </colorScale>
    </cfRule>
  </conditionalFormatting>
  <conditionalFormatting sqref="F21:F28">
    <cfRule type="colorScale" priority="2894">
      <colorScale>
        <cfvo type="min"/>
        <cfvo type="percentile" val="50"/>
        <cfvo type="max"/>
        <color rgb="FFF8696B"/>
        <color rgb="FFFFEB84"/>
        <color rgb="FF63BE7B"/>
      </colorScale>
    </cfRule>
  </conditionalFormatting>
  <conditionalFormatting sqref="F21:F28">
    <cfRule type="colorScale" priority="2893">
      <colorScale>
        <cfvo type="min"/>
        <cfvo type="percentile" val="50"/>
        <cfvo type="max"/>
        <color rgb="FFF8696B"/>
        <color rgb="FFFFEB84"/>
        <color rgb="FF63BE7B"/>
      </colorScale>
    </cfRule>
  </conditionalFormatting>
  <conditionalFormatting sqref="F21:F28">
    <cfRule type="colorScale" priority="2892">
      <colorScale>
        <cfvo type="min"/>
        <cfvo type="percentile" val="50"/>
        <cfvo type="max"/>
        <color rgb="FFF8696B"/>
        <color rgb="FFFFEB84"/>
        <color rgb="FF63BE7B"/>
      </colorScale>
    </cfRule>
  </conditionalFormatting>
  <conditionalFormatting sqref="F21:F28">
    <cfRule type="colorScale" priority="2891">
      <colorScale>
        <cfvo type="min"/>
        <cfvo type="percentile" val="50"/>
        <cfvo type="max"/>
        <color rgb="FFF8696B"/>
        <color rgb="FFFFEB84"/>
        <color rgb="FF63BE7B"/>
      </colorScale>
    </cfRule>
  </conditionalFormatting>
  <conditionalFormatting sqref="F21:F28">
    <cfRule type="colorScale" priority="2890">
      <colorScale>
        <cfvo type="min"/>
        <cfvo type="percentile" val="50"/>
        <cfvo type="max"/>
        <color rgb="FFF8696B"/>
        <color rgb="FFFFEB84"/>
        <color rgb="FF63BE7B"/>
      </colorScale>
    </cfRule>
  </conditionalFormatting>
  <conditionalFormatting sqref="F21:F28">
    <cfRule type="colorScale" priority="2889">
      <colorScale>
        <cfvo type="min"/>
        <cfvo type="percentile" val="50"/>
        <cfvo type="max"/>
        <color rgb="FFF8696B"/>
        <color rgb="FFFFEB84"/>
        <color rgb="FF63BE7B"/>
      </colorScale>
    </cfRule>
  </conditionalFormatting>
  <conditionalFormatting sqref="F21:F28">
    <cfRule type="colorScale" priority="2888">
      <colorScale>
        <cfvo type="min"/>
        <cfvo type="percentile" val="50"/>
        <cfvo type="max"/>
        <color rgb="FFF8696B"/>
        <color rgb="FFFFEB84"/>
        <color rgb="FF63BE7B"/>
      </colorScale>
    </cfRule>
  </conditionalFormatting>
  <conditionalFormatting sqref="F21:F28">
    <cfRule type="colorScale" priority="2887">
      <colorScale>
        <cfvo type="min"/>
        <cfvo type="percentile" val="50"/>
        <cfvo type="max"/>
        <color rgb="FFF8696B"/>
        <color rgb="FFFFEB84"/>
        <color rgb="FF63BE7B"/>
      </colorScale>
    </cfRule>
  </conditionalFormatting>
  <conditionalFormatting sqref="F21:F28">
    <cfRule type="colorScale" priority="2886">
      <colorScale>
        <cfvo type="min"/>
        <cfvo type="percentile" val="50"/>
        <cfvo type="max"/>
        <color rgb="FFF8696B"/>
        <color rgb="FFFFEB84"/>
        <color rgb="FF63BE7B"/>
      </colorScale>
    </cfRule>
  </conditionalFormatting>
  <conditionalFormatting sqref="F21:F28">
    <cfRule type="colorScale" priority="2885">
      <colorScale>
        <cfvo type="min"/>
        <cfvo type="percentile" val="50"/>
        <cfvo type="max"/>
        <color rgb="FFF8696B"/>
        <color rgb="FFFFEB84"/>
        <color rgb="FF63BE7B"/>
      </colorScale>
    </cfRule>
  </conditionalFormatting>
  <conditionalFormatting sqref="F21:F28">
    <cfRule type="colorScale" priority="2884">
      <colorScale>
        <cfvo type="min"/>
        <cfvo type="percentile" val="50"/>
        <cfvo type="max"/>
        <color rgb="FFF8696B"/>
        <color rgb="FFFFEB84"/>
        <color rgb="FF63BE7B"/>
      </colorScale>
    </cfRule>
  </conditionalFormatting>
  <conditionalFormatting sqref="F21:F28">
    <cfRule type="colorScale" priority="2883">
      <colorScale>
        <cfvo type="min"/>
        <cfvo type="percentile" val="50"/>
        <cfvo type="max"/>
        <color rgb="FFF8696B"/>
        <color rgb="FFFFEB84"/>
        <color rgb="FF63BE7B"/>
      </colorScale>
    </cfRule>
  </conditionalFormatting>
  <conditionalFormatting sqref="F21:F28">
    <cfRule type="colorScale" priority="2882">
      <colorScale>
        <cfvo type="min"/>
        <cfvo type="percentile" val="50"/>
        <cfvo type="max"/>
        <color rgb="FFF8696B"/>
        <color rgb="FFFFEB84"/>
        <color rgb="FF63BE7B"/>
      </colorScale>
    </cfRule>
  </conditionalFormatting>
  <conditionalFormatting sqref="F21:F28">
    <cfRule type="colorScale" priority="2881">
      <colorScale>
        <cfvo type="min"/>
        <cfvo type="percentile" val="50"/>
        <cfvo type="max"/>
        <color rgb="FFF8696B"/>
        <color rgb="FFFFEB84"/>
        <color rgb="FF63BE7B"/>
      </colorScale>
    </cfRule>
  </conditionalFormatting>
  <conditionalFormatting sqref="F21:F28">
    <cfRule type="colorScale" priority="2880">
      <colorScale>
        <cfvo type="min"/>
        <cfvo type="percentile" val="50"/>
        <cfvo type="max"/>
        <color rgb="FFF8696B"/>
        <color rgb="FFFFEB84"/>
        <color rgb="FF63BE7B"/>
      </colorScale>
    </cfRule>
  </conditionalFormatting>
  <conditionalFormatting sqref="F21:F28">
    <cfRule type="colorScale" priority="2879">
      <colorScale>
        <cfvo type="min"/>
        <cfvo type="percentile" val="50"/>
        <cfvo type="max"/>
        <color rgb="FFF8696B"/>
        <color rgb="FFFFEB84"/>
        <color rgb="FF63BE7B"/>
      </colorScale>
    </cfRule>
  </conditionalFormatting>
  <conditionalFormatting sqref="F21:F28">
    <cfRule type="colorScale" priority="2878">
      <colorScale>
        <cfvo type="min"/>
        <cfvo type="percentile" val="50"/>
        <cfvo type="max"/>
        <color rgb="FFF8696B"/>
        <color rgb="FFFFEB84"/>
        <color rgb="FF63BE7B"/>
      </colorScale>
    </cfRule>
  </conditionalFormatting>
  <conditionalFormatting sqref="F21:F28">
    <cfRule type="colorScale" priority="2877">
      <colorScale>
        <cfvo type="min"/>
        <cfvo type="percentile" val="50"/>
        <cfvo type="max"/>
        <color rgb="FFF8696B"/>
        <color rgb="FFFFEB84"/>
        <color rgb="FF63BE7B"/>
      </colorScale>
    </cfRule>
  </conditionalFormatting>
  <conditionalFormatting sqref="F21:F28">
    <cfRule type="colorScale" priority="2876">
      <colorScale>
        <cfvo type="min"/>
        <cfvo type="percentile" val="50"/>
        <cfvo type="max"/>
        <color rgb="FFF8696B"/>
        <color rgb="FFFFEB84"/>
        <color rgb="FF63BE7B"/>
      </colorScale>
    </cfRule>
  </conditionalFormatting>
  <conditionalFormatting sqref="F21:F28">
    <cfRule type="colorScale" priority="2875">
      <colorScale>
        <cfvo type="min"/>
        <cfvo type="percentile" val="50"/>
        <cfvo type="max"/>
        <color rgb="FFF8696B"/>
        <color rgb="FFFFEB84"/>
        <color rgb="FF63BE7B"/>
      </colorScale>
    </cfRule>
  </conditionalFormatting>
  <conditionalFormatting sqref="F21:F28">
    <cfRule type="colorScale" priority="2874">
      <colorScale>
        <cfvo type="min"/>
        <cfvo type="percentile" val="50"/>
        <cfvo type="max"/>
        <color rgb="FFF8696B"/>
        <color rgb="FFFFEB84"/>
        <color rgb="FF63BE7B"/>
      </colorScale>
    </cfRule>
  </conditionalFormatting>
  <conditionalFormatting sqref="F21:F28">
    <cfRule type="colorScale" priority="2873">
      <colorScale>
        <cfvo type="min"/>
        <cfvo type="percentile" val="50"/>
        <cfvo type="max"/>
        <color rgb="FFF8696B"/>
        <color rgb="FFFFEB84"/>
        <color rgb="FF63BE7B"/>
      </colorScale>
    </cfRule>
  </conditionalFormatting>
  <conditionalFormatting sqref="F21:F28">
    <cfRule type="colorScale" priority="2872">
      <colorScale>
        <cfvo type="min"/>
        <cfvo type="percentile" val="50"/>
        <cfvo type="max"/>
        <color rgb="FFF8696B"/>
        <color rgb="FFFFEB84"/>
        <color rgb="FF63BE7B"/>
      </colorScale>
    </cfRule>
  </conditionalFormatting>
  <conditionalFormatting sqref="F21:F28">
    <cfRule type="colorScale" priority="2871">
      <colorScale>
        <cfvo type="min"/>
        <cfvo type="percentile" val="50"/>
        <cfvo type="max"/>
        <color rgb="FFF8696B"/>
        <color rgb="FFFFEB84"/>
        <color rgb="FF63BE7B"/>
      </colorScale>
    </cfRule>
  </conditionalFormatting>
  <conditionalFormatting sqref="F21:F28">
    <cfRule type="colorScale" priority="2870">
      <colorScale>
        <cfvo type="min"/>
        <cfvo type="percentile" val="50"/>
        <cfvo type="max"/>
        <color rgb="FFF8696B"/>
        <color rgb="FFFFEB84"/>
        <color rgb="FF63BE7B"/>
      </colorScale>
    </cfRule>
  </conditionalFormatting>
  <conditionalFormatting sqref="F21:F28">
    <cfRule type="colorScale" priority="2869">
      <colorScale>
        <cfvo type="min"/>
        <cfvo type="percentile" val="50"/>
        <cfvo type="max"/>
        <color rgb="FFF8696B"/>
        <color rgb="FFFFEB84"/>
        <color rgb="FF63BE7B"/>
      </colorScale>
    </cfRule>
  </conditionalFormatting>
  <conditionalFormatting sqref="F21:F28">
    <cfRule type="colorScale" priority="2868">
      <colorScale>
        <cfvo type="min"/>
        <cfvo type="percentile" val="50"/>
        <cfvo type="max"/>
        <color rgb="FFF8696B"/>
        <color rgb="FFFFEB84"/>
        <color rgb="FF63BE7B"/>
      </colorScale>
    </cfRule>
  </conditionalFormatting>
  <conditionalFormatting sqref="F21:F28">
    <cfRule type="colorScale" priority="2867">
      <colorScale>
        <cfvo type="min"/>
        <cfvo type="percentile" val="50"/>
        <cfvo type="max"/>
        <color rgb="FFF8696B"/>
        <color rgb="FFFFEB84"/>
        <color rgb="FF63BE7B"/>
      </colorScale>
    </cfRule>
  </conditionalFormatting>
  <conditionalFormatting sqref="F21:F28">
    <cfRule type="colorScale" priority="2866">
      <colorScale>
        <cfvo type="min"/>
        <cfvo type="percentile" val="50"/>
        <cfvo type="max"/>
        <color rgb="FFF8696B"/>
        <color rgb="FFFFEB84"/>
        <color rgb="FF63BE7B"/>
      </colorScale>
    </cfRule>
  </conditionalFormatting>
  <conditionalFormatting sqref="F21:F28">
    <cfRule type="colorScale" priority="2865">
      <colorScale>
        <cfvo type="min"/>
        <cfvo type="percentile" val="50"/>
        <cfvo type="max"/>
        <color rgb="FFF8696B"/>
        <color rgb="FFFFEB84"/>
        <color rgb="FF63BE7B"/>
      </colorScale>
    </cfRule>
  </conditionalFormatting>
  <conditionalFormatting sqref="F21:F28">
    <cfRule type="colorScale" priority="2864">
      <colorScale>
        <cfvo type="min"/>
        <cfvo type="percentile" val="50"/>
        <cfvo type="max"/>
        <color rgb="FFF8696B"/>
        <color rgb="FFFFEB84"/>
        <color rgb="FF63BE7B"/>
      </colorScale>
    </cfRule>
  </conditionalFormatting>
  <conditionalFormatting sqref="F21:F28">
    <cfRule type="colorScale" priority="2863">
      <colorScale>
        <cfvo type="min"/>
        <cfvo type="percentile" val="50"/>
        <cfvo type="max"/>
        <color rgb="FFF8696B"/>
        <color rgb="FFFFEB84"/>
        <color rgb="FF63BE7B"/>
      </colorScale>
    </cfRule>
  </conditionalFormatting>
  <conditionalFormatting sqref="F21:F28">
    <cfRule type="colorScale" priority="2862">
      <colorScale>
        <cfvo type="min"/>
        <cfvo type="percentile" val="50"/>
        <cfvo type="max"/>
        <color rgb="FFF8696B"/>
        <color rgb="FFFFEB84"/>
        <color rgb="FF63BE7B"/>
      </colorScale>
    </cfRule>
  </conditionalFormatting>
  <conditionalFormatting sqref="F21:F28">
    <cfRule type="colorScale" priority="2861">
      <colorScale>
        <cfvo type="min"/>
        <cfvo type="percentile" val="50"/>
        <cfvo type="max"/>
        <color rgb="FFF8696B"/>
        <color rgb="FFFFEB84"/>
        <color rgb="FF63BE7B"/>
      </colorScale>
    </cfRule>
  </conditionalFormatting>
  <conditionalFormatting sqref="F21:F28">
    <cfRule type="colorScale" priority="2860">
      <colorScale>
        <cfvo type="min"/>
        <cfvo type="percentile" val="50"/>
        <cfvo type="max"/>
        <color rgb="FFF8696B"/>
        <color rgb="FFFFEB84"/>
        <color rgb="FF63BE7B"/>
      </colorScale>
    </cfRule>
  </conditionalFormatting>
  <conditionalFormatting sqref="F21:F28">
    <cfRule type="colorScale" priority="2859">
      <colorScale>
        <cfvo type="min"/>
        <cfvo type="percentile" val="50"/>
        <cfvo type="max"/>
        <color rgb="FFF8696B"/>
        <color rgb="FFFFEB84"/>
        <color rgb="FF63BE7B"/>
      </colorScale>
    </cfRule>
  </conditionalFormatting>
  <conditionalFormatting sqref="F21:F28">
    <cfRule type="colorScale" priority="2858">
      <colorScale>
        <cfvo type="min"/>
        <cfvo type="percentile" val="50"/>
        <cfvo type="max"/>
        <color rgb="FFF8696B"/>
        <color rgb="FFFFEB84"/>
        <color rgb="FF63BE7B"/>
      </colorScale>
    </cfRule>
  </conditionalFormatting>
  <conditionalFormatting sqref="F21:F28">
    <cfRule type="colorScale" priority="2857">
      <colorScale>
        <cfvo type="min"/>
        <cfvo type="percentile" val="50"/>
        <cfvo type="max"/>
        <color rgb="FFF8696B"/>
        <color rgb="FFFFEB84"/>
        <color rgb="FF63BE7B"/>
      </colorScale>
    </cfRule>
  </conditionalFormatting>
  <conditionalFormatting sqref="F21:F28">
    <cfRule type="colorScale" priority="2856">
      <colorScale>
        <cfvo type="min"/>
        <cfvo type="percentile" val="50"/>
        <cfvo type="max"/>
        <color rgb="FFF8696B"/>
        <color rgb="FFFFEB84"/>
        <color rgb="FF63BE7B"/>
      </colorScale>
    </cfRule>
  </conditionalFormatting>
  <conditionalFormatting sqref="F21:F28">
    <cfRule type="colorScale" priority="2855">
      <colorScale>
        <cfvo type="min"/>
        <cfvo type="percentile" val="50"/>
        <cfvo type="max"/>
        <color rgb="FFF8696B"/>
        <color rgb="FFFFEB84"/>
        <color rgb="FF63BE7B"/>
      </colorScale>
    </cfRule>
  </conditionalFormatting>
  <conditionalFormatting sqref="F21:F28">
    <cfRule type="colorScale" priority="2854">
      <colorScale>
        <cfvo type="min"/>
        <cfvo type="percentile" val="50"/>
        <cfvo type="max"/>
        <color rgb="FFF8696B"/>
        <color rgb="FFFFEB84"/>
        <color rgb="FF63BE7B"/>
      </colorScale>
    </cfRule>
  </conditionalFormatting>
  <conditionalFormatting sqref="F21:F28">
    <cfRule type="colorScale" priority="2853">
      <colorScale>
        <cfvo type="min"/>
        <cfvo type="percentile" val="50"/>
        <cfvo type="max"/>
        <color rgb="FFF8696B"/>
        <color rgb="FFFFEB84"/>
        <color rgb="FF63BE7B"/>
      </colorScale>
    </cfRule>
  </conditionalFormatting>
  <conditionalFormatting sqref="F21:F28">
    <cfRule type="colorScale" priority="2852">
      <colorScale>
        <cfvo type="min"/>
        <cfvo type="percentile" val="50"/>
        <cfvo type="max"/>
        <color rgb="FFF8696B"/>
        <color rgb="FFFFEB84"/>
        <color rgb="FF63BE7B"/>
      </colorScale>
    </cfRule>
  </conditionalFormatting>
  <conditionalFormatting sqref="F21:F28">
    <cfRule type="colorScale" priority="2851">
      <colorScale>
        <cfvo type="min"/>
        <cfvo type="percentile" val="50"/>
        <cfvo type="max"/>
        <color rgb="FFF8696B"/>
        <color rgb="FFFFEB84"/>
        <color rgb="FF63BE7B"/>
      </colorScale>
    </cfRule>
  </conditionalFormatting>
  <conditionalFormatting sqref="F21:F28">
    <cfRule type="colorScale" priority="2850">
      <colorScale>
        <cfvo type="min"/>
        <cfvo type="percentile" val="50"/>
        <cfvo type="max"/>
        <color rgb="FFF8696B"/>
        <color rgb="FFFFEB84"/>
        <color rgb="FF63BE7B"/>
      </colorScale>
    </cfRule>
  </conditionalFormatting>
  <conditionalFormatting sqref="F21:F28">
    <cfRule type="colorScale" priority="2849">
      <colorScale>
        <cfvo type="min"/>
        <cfvo type="percentile" val="50"/>
        <cfvo type="max"/>
        <color rgb="FFF8696B"/>
        <color rgb="FFFFEB84"/>
        <color rgb="FF63BE7B"/>
      </colorScale>
    </cfRule>
  </conditionalFormatting>
  <conditionalFormatting sqref="F21:F28">
    <cfRule type="colorScale" priority="2848">
      <colorScale>
        <cfvo type="min"/>
        <cfvo type="percentile" val="50"/>
        <cfvo type="max"/>
        <color rgb="FFF8696B"/>
        <color rgb="FFFFEB84"/>
        <color rgb="FF63BE7B"/>
      </colorScale>
    </cfRule>
  </conditionalFormatting>
  <conditionalFormatting sqref="F21:F28">
    <cfRule type="colorScale" priority="2847">
      <colorScale>
        <cfvo type="min"/>
        <cfvo type="percentile" val="50"/>
        <cfvo type="max"/>
        <color rgb="FFF8696B"/>
        <color rgb="FFFFEB84"/>
        <color rgb="FF63BE7B"/>
      </colorScale>
    </cfRule>
  </conditionalFormatting>
  <conditionalFormatting sqref="F21:F28">
    <cfRule type="colorScale" priority="2846">
      <colorScale>
        <cfvo type="min"/>
        <cfvo type="percentile" val="50"/>
        <cfvo type="max"/>
        <color rgb="FFF8696B"/>
        <color rgb="FFFFEB84"/>
        <color rgb="FF63BE7B"/>
      </colorScale>
    </cfRule>
  </conditionalFormatting>
  <conditionalFormatting sqref="F21:F28">
    <cfRule type="colorScale" priority="2845">
      <colorScale>
        <cfvo type="min"/>
        <cfvo type="percentile" val="50"/>
        <cfvo type="max"/>
        <color rgb="FFF8696B"/>
        <color rgb="FFFFEB84"/>
        <color rgb="FF63BE7B"/>
      </colorScale>
    </cfRule>
  </conditionalFormatting>
  <conditionalFormatting sqref="F21:F28">
    <cfRule type="colorScale" priority="2844">
      <colorScale>
        <cfvo type="min"/>
        <cfvo type="percentile" val="50"/>
        <cfvo type="max"/>
        <color rgb="FFF8696B"/>
        <color rgb="FFFFEB84"/>
        <color rgb="FF63BE7B"/>
      </colorScale>
    </cfRule>
  </conditionalFormatting>
  <conditionalFormatting sqref="F21:F28">
    <cfRule type="colorScale" priority="2843">
      <colorScale>
        <cfvo type="min"/>
        <cfvo type="percentile" val="50"/>
        <cfvo type="max"/>
        <color rgb="FFF8696B"/>
        <color rgb="FFFFEB84"/>
        <color rgb="FF63BE7B"/>
      </colorScale>
    </cfRule>
  </conditionalFormatting>
  <conditionalFormatting sqref="F21:F28">
    <cfRule type="colorScale" priority="2842">
      <colorScale>
        <cfvo type="min"/>
        <cfvo type="percentile" val="50"/>
        <cfvo type="max"/>
        <color rgb="FFF8696B"/>
        <color rgb="FFFFEB84"/>
        <color rgb="FF63BE7B"/>
      </colorScale>
    </cfRule>
  </conditionalFormatting>
  <conditionalFormatting sqref="F21:F28">
    <cfRule type="colorScale" priority="2841">
      <colorScale>
        <cfvo type="min"/>
        <cfvo type="percentile" val="50"/>
        <cfvo type="max"/>
        <color rgb="FFF8696B"/>
        <color rgb="FFFFEB84"/>
        <color rgb="FF63BE7B"/>
      </colorScale>
    </cfRule>
  </conditionalFormatting>
  <conditionalFormatting sqref="F21:F28">
    <cfRule type="colorScale" priority="2840">
      <colorScale>
        <cfvo type="min"/>
        <cfvo type="percentile" val="50"/>
        <cfvo type="max"/>
        <color rgb="FFF8696B"/>
        <color rgb="FFFFEB84"/>
        <color rgb="FF63BE7B"/>
      </colorScale>
    </cfRule>
  </conditionalFormatting>
  <conditionalFormatting sqref="F21:F28">
    <cfRule type="colorScale" priority="2839">
      <colorScale>
        <cfvo type="min"/>
        <cfvo type="percentile" val="50"/>
        <cfvo type="max"/>
        <color rgb="FFF8696B"/>
        <color rgb="FFFFEB84"/>
        <color rgb="FF63BE7B"/>
      </colorScale>
    </cfRule>
  </conditionalFormatting>
  <conditionalFormatting sqref="F21:F28">
    <cfRule type="colorScale" priority="2838">
      <colorScale>
        <cfvo type="min"/>
        <cfvo type="percentile" val="50"/>
        <cfvo type="max"/>
        <color rgb="FFF8696B"/>
        <color rgb="FFFFEB84"/>
        <color rgb="FF63BE7B"/>
      </colorScale>
    </cfRule>
  </conditionalFormatting>
  <conditionalFormatting sqref="F21:F28">
    <cfRule type="colorScale" priority="2837">
      <colorScale>
        <cfvo type="min"/>
        <cfvo type="percentile" val="50"/>
        <cfvo type="max"/>
        <color rgb="FFF8696B"/>
        <color rgb="FFFFEB84"/>
        <color rgb="FF63BE7B"/>
      </colorScale>
    </cfRule>
  </conditionalFormatting>
  <conditionalFormatting sqref="F21:F28">
    <cfRule type="colorScale" priority="2836">
      <colorScale>
        <cfvo type="min"/>
        <cfvo type="percentile" val="50"/>
        <cfvo type="max"/>
        <color rgb="FFF8696B"/>
        <color rgb="FFFFEB84"/>
        <color rgb="FF63BE7B"/>
      </colorScale>
    </cfRule>
  </conditionalFormatting>
  <conditionalFormatting sqref="F21:F28">
    <cfRule type="colorScale" priority="2835">
      <colorScale>
        <cfvo type="min"/>
        <cfvo type="percentile" val="50"/>
        <cfvo type="max"/>
        <color rgb="FFF8696B"/>
        <color rgb="FFFFEB84"/>
        <color rgb="FF63BE7B"/>
      </colorScale>
    </cfRule>
  </conditionalFormatting>
  <conditionalFormatting sqref="F21:F28">
    <cfRule type="colorScale" priority="2834">
      <colorScale>
        <cfvo type="min"/>
        <cfvo type="percentile" val="50"/>
        <cfvo type="max"/>
        <color rgb="FFF8696B"/>
        <color rgb="FFFFEB84"/>
        <color rgb="FF63BE7B"/>
      </colorScale>
    </cfRule>
  </conditionalFormatting>
  <conditionalFormatting sqref="F21:F28">
    <cfRule type="colorScale" priority="2833">
      <colorScale>
        <cfvo type="min"/>
        <cfvo type="percentile" val="50"/>
        <cfvo type="max"/>
        <color rgb="FFF8696B"/>
        <color rgb="FFFFEB84"/>
        <color rgb="FF63BE7B"/>
      </colorScale>
    </cfRule>
  </conditionalFormatting>
  <conditionalFormatting sqref="F21:F28">
    <cfRule type="colorScale" priority="2832">
      <colorScale>
        <cfvo type="min"/>
        <cfvo type="percentile" val="50"/>
        <cfvo type="max"/>
        <color rgb="FFF8696B"/>
        <color rgb="FFFFEB84"/>
        <color rgb="FF63BE7B"/>
      </colorScale>
    </cfRule>
  </conditionalFormatting>
  <conditionalFormatting sqref="F21:F28">
    <cfRule type="colorScale" priority="2831">
      <colorScale>
        <cfvo type="min"/>
        <cfvo type="percentile" val="50"/>
        <cfvo type="max"/>
        <color rgb="FFF8696B"/>
        <color rgb="FFFFEB84"/>
        <color rgb="FF63BE7B"/>
      </colorScale>
    </cfRule>
  </conditionalFormatting>
  <conditionalFormatting sqref="F21:F28">
    <cfRule type="colorScale" priority="2830">
      <colorScale>
        <cfvo type="min"/>
        <cfvo type="percentile" val="50"/>
        <cfvo type="max"/>
        <color rgb="FFF8696B"/>
        <color rgb="FFFFEB84"/>
        <color rgb="FF63BE7B"/>
      </colorScale>
    </cfRule>
  </conditionalFormatting>
  <conditionalFormatting sqref="F21:F28">
    <cfRule type="colorScale" priority="2829">
      <colorScale>
        <cfvo type="min"/>
        <cfvo type="percentile" val="50"/>
        <cfvo type="max"/>
        <color rgb="FFF8696B"/>
        <color rgb="FFFFEB84"/>
        <color rgb="FF63BE7B"/>
      </colorScale>
    </cfRule>
  </conditionalFormatting>
  <conditionalFormatting sqref="F21:F28">
    <cfRule type="colorScale" priority="2828">
      <colorScale>
        <cfvo type="min"/>
        <cfvo type="percentile" val="50"/>
        <cfvo type="max"/>
        <color rgb="FFF8696B"/>
        <color rgb="FFFFEB84"/>
        <color rgb="FF63BE7B"/>
      </colorScale>
    </cfRule>
  </conditionalFormatting>
  <conditionalFormatting sqref="F21:F28">
    <cfRule type="colorScale" priority="2827">
      <colorScale>
        <cfvo type="min"/>
        <cfvo type="percentile" val="50"/>
        <cfvo type="max"/>
        <color rgb="FFF8696B"/>
        <color rgb="FFFFEB84"/>
        <color rgb="FF63BE7B"/>
      </colorScale>
    </cfRule>
  </conditionalFormatting>
  <conditionalFormatting sqref="F21:F28">
    <cfRule type="colorScale" priority="2826">
      <colorScale>
        <cfvo type="min"/>
        <cfvo type="percentile" val="50"/>
        <cfvo type="max"/>
        <color rgb="FFF8696B"/>
        <color rgb="FFFFEB84"/>
        <color rgb="FF63BE7B"/>
      </colorScale>
    </cfRule>
  </conditionalFormatting>
  <conditionalFormatting sqref="F21:F28">
    <cfRule type="colorScale" priority="2825">
      <colorScale>
        <cfvo type="min"/>
        <cfvo type="percentile" val="50"/>
        <cfvo type="max"/>
        <color rgb="FFF8696B"/>
        <color rgb="FFFFEB84"/>
        <color rgb="FF63BE7B"/>
      </colorScale>
    </cfRule>
  </conditionalFormatting>
  <conditionalFormatting sqref="F21:F28">
    <cfRule type="colorScale" priority="2824">
      <colorScale>
        <cfvo type="min"/>
        <cfvo type="percentile" val="50"/>
        <cfvo type="max"/>
        <color rgb="FFF8696B"/>
        <color rgb="FFFFEB84"/>
        <color rgb="FF63BE7B"/>
      </colorScale>
    </cfRule>
  </conditionalFormatting>
  <conditionalFormatting sqref="F21:F28">
    <cfRule type="colorScale" priority="2823">
      <colorScale>
        <cfvo type="min"/>
        <cfvo type="percentile" val="50"/>
        <cfvo type="max"/>
        <color rgb="FFF8696B"/>
        <color rgb="FFFFEB84"/>
        <color rgb="FF63BE7B"/>
      </colorScale>
    </cfRule>
  </conditionalFormatting>
  <conditionalFormatting sqref="F21:F28">
    <cfRule type="colorScale" priority="2822">
      <colorScale>
        <cfvo type="min"/>
        <cfvo type="percentile" val="50"/>
        <cfvo type="max"/>
        <color rgb="FFF8696B"/>
        <color rgb="FFFFEB84"/>
        <color rgb="FF63BE7B"/>
      </colorScale>
    </cfRule>
  </conditionalFormatting>
  <conditionalFormatting sqref="F21:F28">
    <cfRule type="colorScale" priority="2821">
      <colorScale>
        <cfvo type="min"/>
        <cfvo type="percentile" val="50"/>
        <cfvo type="max"/>
        <color rgb="FFF8696B"/>
        <color rgb="FFFFEB84"/>
        <color rgb="FF63BE7B"/>
      </colorScale>
    </cfRule>
  </conditionalFormatting>
  <conditionalFormatting sqref="F21:F28">
    <cfRule type="colorScale" priority="2820">
      <colorScale>
        <cfvo type="min"/>
        <cfvo type="percentile" val="50"/>
        <cfvo type="max"/>
        <color rgb="FFF8696B"/>
        <color rgb="FFFFEB84"/>
        <color rgb="FF63BE7B"/>
      </colorScale>
    </cfRule>
  </conditionalFormatting>
  <conditionalFormatting sqref="F21:F28">
    <cfRule type="colorScale" priority="2819">
      <colorScale>
        <cfvo type="min"/>
        <cfvo type="percentile" val="50"/>
        <cfvo type="max"/>
        <color rgb="FFF8696B"/>
        <color rgb="FFFFEB84"/>
        <color rgb="FF63BE7B"/>
      </colorScale>
    </cfRule>
  </conditionalFormatting>
  <conditionalFormatting sqref="F29:F32">
    <cfRule type="colorScale" priority="2818">
      <colorScale>
        <cfvo type="min"/>
        <cfvo type="percentile" val="50"/>
        <cfvo type="max"/>
        <color rgb="FFF8696B"/>
        <color rgb="FFFFEB84"/>
        <color rgb="FF63BE7B"/>
      </colorScale>
    </cfRule>
  </conditionalFormatting>
  <conditionalFormatting sqref="F29:F32">
    <cfRule type="colorScale" priority="2817">
      <colorScale>
        <cfvo type="min"/>
        <cfvo type="percentile" val="50"/>
        <cfvo type="max"/>
        <color rgb="FFF8696B"/>
        <color rgb="FFFFEB84"/>
        <color rgb="FF63BE7B"/>
      </colorScale>
    </cfRule>
  </conditionalFormatting>
  <conditionalFormatting sqref="F29:F32">
    <cfRule type="colorScale" priority="2816">
      <colorScale>
        <cfvo type="min"/>
        <cfvo type="percentile" val="50"/>
        <cfvo type="max"/>
        <color rgb="FFF8696B"/>
        <color rgb="FFFFEB84"/>
        <color rgb="FF63BE7B"/>
      </colorScale>
    </cfRule>
  </conditionalFormatting>
  <conditionalFormatting sqref="F29:F32">
    <cfRule type="colorScale" priority="2815">
      <colorScale>
        <cfvo type="min"/>
        <cfvo type="percentile" val="50"/>
        <cfvo type="max"/>
        <color rgb="FFF8696B"/>
        <color rgb="FFFFEB84"/>
        <color rgb="FF63BE7B"/>
      </colorScale>
    </cfRule>
  </conditionalFormatting>
  <conditionalFormatting sqref="F29:F32">
    <cfRule type="colorScale" priority="2814">
      <colorScale>
        <cfvo type="min"/>
        <cfvo type="percentile" val="50"/>
        <cfvo type="max"/>
        <color rgb="FFF8696B"/>
        <color rgb="FFFFEB84"/>
        <color rgb="FF63BE7B"/>
      </colorScale>
    </cfRule>
  </conditionalFormatting>
  <conditionalFormatting sqref="F29:F32">
    <cfRule type="colorScale" priority="2813">
      <colorScale>
        <cfvo type="min"/>
        <cfvo type="percentile" val="50"/>
        <cfvo type="max"/>
        <color rgb="FFF8696B"/>
        <color rgb="FFFFEB84"/>
        <color rgb="FF63BE7B"/>
      </colorScale>
    </cfRule>
  </conditionalFormatting>
  <conditionalFormatting sqref="F29:F32">
    <cfRule type="colorScale" priority="2812">
      <colorScale>
        <cfvo type="min"/>
        <cfvo type="percentile" val="50"/>
        <cfvo type="max"/>
        <color rgb="FFF8696B"/>
        <color rgb="FFFFEB84"/>
        <color rgb="FF63BE7B"/>
      </colorScale>
    </cfRule>
  </conditionalFormatting>
  <conditionalFormatting sqref="F29:F32">
    <cfRule type="colorScale" priority="2811">
      <colorScale>
        <cfvo type="min"/>
        <cfvo type="percentile" val="50"/>
        <cfvo type="max"/>
        <color rgb="FFF8696B"/>
        <color rgb="FFFFEB84"/>
        <color rgb="FF63BE7B"/>
      </colorScale>
    </cfRule>
  </conditionalFormatting>
  <conditionalFormatting sqref="F29:F32">
    <cfRule type="colorScale" priority="2810">
      <colorScale>
        <cfvo type="min"/>
        <cfvo type="percentile" val="50"/>
        <cfvo type="max"/>
        <color rgb="FFF8696B"/>
        <color rgb="FFFFEB84"/>
        <color rgb="FF63BE7B"/>
      </colorScale>
    </cfRule>
  </conditionalFormatting>
  <conditionalFormatting sqref="F29:F32">
    <cfRule type="colorScale" priority="2809">
      <colorScale>
        <cfvo type="min"/>
        <cfvo type="percentile" val="50"/>
        <cfvo type="max"/>
        <color rgb="FFF8696B"/>
        <color rgb="FFFFEB84"/>
        <color rgb="FF63BE7B"/>
      </colorScale>
    </cfRule>
  </conditionalFormatting>
  <conditionalFormatting sqref="F29:F32">
    <cfRule type="colorScale" priority="2808">
      <colorScale>
        <cfvo type="min"/>
        <cfvo type="percentile" val="50"/>
        <cfvo type="max"/>
        <color rgb="FFF8696B"/>
        <color rgb="FFFFEB84"/>
        <color rgb="FF63BE7B"/>
      </colorScale>
    </cfRule>
  </conditionalFormatting>
  <conditionalFormatting sqref="F29:F32">
    <cfRule type="colorScale" priority="2807">
      <colorScale>
        <cfvo type="min"/>
        <cfvo type="percentile" val="50"/>
        <cfvo type="max"/>
        <color rgb="FFF8696B"/>
        <color rgb="FFFFEB84"/>
        <color rgb="FF63BE7B"/>
      </colorScale>
    </cfRule>
  </conditionalFormatting>
  <conditionalFormatting sqref="F29:F32">
    <cfRule type="colorScale" priority="2806">
      <colorScale>
        <cfvo type="min"/>
        <cfvo type="percentile" val="50"/>
        <cfvo type="max"/>
        <color rgb="FFF8696B"/>
        <color rgb="FFFFEB84"/>
        <color rgb="FF63BE7B"/>
      </colorScale>
    </cfRule>
  </conditionalFormatting>
  <conditionalFormatting sqref="F29:F32">
    <cfRule type="colorScale" priority="2805">
      <colorScale>
        <cfvo type="min"/>
        <cfvo type="percentile" val="50"/>
        <cfvo type="max"/>
        <color rgb="FFF8696B"/>
        <color rgb="FFFFEB84"/>
        <color rgb="FF63BE7B"/>
      </colorScale>
    </cfRule>
  </conditionalFormatting>
  <conditionalFormatting sqref="F29:F32">
    <cfRule type="colorScale" priority="2804">
      <colorScale>
        <cfvo type="min"/>
        <cfvo type="percentile" val="50"/>
        <cfvo type="max"/>
        <color rgb="FFF8696B"/>
        <color rgb="FFFFEB84"/>
        <color rgb="FF63BE7B"/>
      </colorScale>
    </cfRule>
  </conditionalFormatting>
  <conditionalFormatting sqref="F29:F32">
    <cfRule type="colorScale" priority="2803">
      <colorScale>
        <cfvo type="min"/>
        <cfvo type="percentile" val="50"/>
        <cfvo type="max"/>
        <color rgb="FFF8696B"/>
        <color rgb="FFFFEB84"/>
        <color rgb="FF63BE7B"/>
      </colorScale>
    </cfRule>
  </conditionalFormatting>
  <conditionalFormatting sqref="F29:F32">
    <cfRule type="colorScale" priority="2802">
      <colorScale>
        <cfvo type="min"/>
        <cfvo type="percentile" val="50"/>
        <cfvo type="max"/>
        <color rgb="FFF8696B"/>
        <color rgb="FFFFEB84"/>
        <color rgb="FF63BE7B"/>
      </colorScale>
    </cfRule>
  </conditionalFormatting>
  <conditionalFormatting sqref="F29:F32">
    <cfRule type="colorScale" priority="2801">
      <colorScale>
        <cfvo type="min"/>
        <cfvo type="percentile" val="50"/>
        <cfvo type="max"/>
        <color rgb="FFF8696B"/>
        <color rgb="FFFFEB84"/>
        <color rgb="FF63BE7B"/>
      </colorScale>
    </cfRule>
  </conditionalFormatting>
  <conditionalFormatting sqref="F29:F32">
    <cfRule type="colorScale" priority="2800">
      <colorScale>
        <cfvo type="min"/>
        <cfvo type="percentile" val="50"/>
        <cfvo type="max"/>
        <color rgb="FFF8696B"/>
        <color rgb="FFFFEB84"/>
        <color rgb="FF63BE7B"/>
      </colorScale>
    </cfRule>
  </conditionalFormatting>
  <conditionalFormatting sqref="F29:F32">
    <cfRule type="colorScale" priority="2799">
      <colorScale>
        <cfvo type="min"/>
        <cfvo type="percentile" val="50"/>
        <cfvo type="max"/>
        <color rgb="FFF8696B"/>
        <color rgb="FFFFEB84"/>
        <color rgb="FF63BE7B"/>
      </colorScale>
    </cfRule>
  </conditionalFormatting>
  <conditionalFormatting sqref="F29:F32">
    <cfRule type="colorScale" priority="2798">
      <colorScale>
        <cfvo type="min"/>
        <cfvo type="percentile" val="50"/>
        <cfvo type="max"/>
        <color rgb="FFF8696B"/>
        <color rgb="FFFFEB84"/>
        <color rgb="FF63BE7B"/>
      </colorScale>
    </cfRule>
  </conditionalFormatting>
  <conditionalFormatting sqref="F29:F32">
    <cfRule type="colorScale" priority="2797">
      <colorScale>
        <cfvo type="min"/>
        <cfvo type="percentile" val="50"/>
        <cfvo type="max"/>
        <color rgb="FFF8696B"/>
        <color rgb="FFFFEB84"/>
        <color rgb="FF63BE7B"/>
      </colorScale>
    </cfRule>
  </conditionalFormatting>
  <conditionalFormatting sqref="F29:F32">
    <cfRule type="colorScale" priority="2796">
      <colorScale>
        <cfvo type="min"/>
        <cfvo type="percentile" val="50"/>
        <cfvo type="max"/>
        <color rgb="FFF8696B"/>
        <color rgb="FFFFEB84"/>
        <color rgb="FF63BE7B"/>
      </colorScale>
    </cfRule>
  </conditionalFormatting>
  <conditionalFormatting sqref="F29:F32">
    <cfRule type="colorScale" priority="2795">
      <colorScale>
        <cfvo type="min"/>
        <cfvo type="percentile" val="50"/>
        <cfvo type="max"/>
        <color rgb="FFF8696B"/>
        <color rgb="FFFFEB84"/>
        <color rgb="FF63BE7B"/>
      </colorScale>
    </cfRule>
  </conditionalFormatting>
  <conditionalFormatting sqref="F29:F32">
    <cfRule type="colorScale" priority="2794">
      <colorScale>
        <cfvo type="min"/>
        <cfvo type="percentile" val="50"/>
        <cfvo type="max"/>
        <color rgb="FFF8696B"/>
        <color rgb="FFFFEB84"/>
        <color rgb="FF63BE7B"/>
      </colorScale>
    </cfRule>
  </conditionalFormatting>
  <conditionalFormatting sqref="F29:F32">
    <cfRule type="colorScale" priority="2793">
      <colorScale>
        <cfvo type="min"/>
        <cfvo type="percentile" val="50"/>
        <cfvo type="max"/>
        <color rgb="FFF8696B"/>
        <color rgb="FFFFEB84"/>
        <color rgb="FF63BE7B"/>
      </colorScale>
    </cfRule>
  </conditionalFormatting>
  <conditionalFormatting sqref="F29:F32">
    <cfRule type="colorScale" priority="2792">
      <colorScale>
        <cfvo type="min"/>
        <cfvo type="percentile" val="50"/>
        <cfvo type="max"/>
        <color rgb="FFF8696B"/>
        <color rgb="FFFFEB84"/>
        <color rgb="FF63BE7B"/>
      </colorScale>
    </cfRule>
  </conditionalFormatting>
  <conditionalFormatting sqref="F29:F32">
    <cfRule type="colorScale" priority="2791">
      <colorScale>
        <cfvo type="min"/>
        <cfvo type="percentile" val="50"/>
        <cfvo type="max"/>
        <color rgb="FFF8696B"/>
        <color rgb="FFFFEB84"/>
        <color rgb="FF63BE7B"/>
      </colorScale>
    </cfRule>
  </conditionalFormatting>
  <conditionalFormatting sqref="F29:F32">
    <cfRule type="colorScale" priority="2790">
      <colorScale>
        <cfvo type="min"/>
        <cfvo type="percentile" val="50"/>
        <cfvo type="max"/>
        <color rgb="FFF8696B"/>
        <color rgb="FFFFEB84"/>
        <color rgb="FF63BE7B"/>
      </colorScale>
    </cfRule>
  </conditionalFormatting>
  <conditionalFormatting sqref="F29:F32">
    <cfRule type="colorScale" priority="2789">
      <colorScale>
        <cfvo type="min"/>
        <cfvo type="percentile" val="50"/>
        <cfvo type="max"/>
        <color rgb="FFF8696B"/>
        <color rgb="FFFFEB84"/>
        <color rgb="FF63BE7B"/>
      </colorScale>
    </cfRule>
  </conditionalFormatting>
  <conditionalFormatting sqref="F29:F32">
    <cfRule type="colorScale" priority="2788">
      <colorScale>
        <cfvo type="min"/>
        <cfvo type="percentile" val="50"/>
        <cfvo type="max"/>
        <color rgb="FFF8696B"/>
        <color rgb="FFFFEB84"/>
        <color rgb="FF63BE7B"/>
      </colorScale>
    </cfRule>
  </conditionalFormatting>
  <conditionalFormatting sqref="F29:F32">
    <cfRule type="colorScale" priority="2787">
      <colorScale>
        <cfvo type="min"/>
        <cfvo type="percentile" val="50"/>
        <cfvo type="max"/>
        <color rgb="FFF8696B"/>
        <color rgb="FFFFEB84"/>
        <color rgb="FF63BE7B"/>
      </colorScale>
    </cfRule>
  </conditionalFormatting>
  <conditionalFormatting sqref="F29:F32">
    <cfRule type="colorScale" priority="2786">
      <colorScale>
        <cfvo type="min"/>
        <cfvo type="percentile" val="50"/>
        <cfvo type="max"/>
        <color rgb="FFF8696B"/>
        <color rgb="FFFFEB84"/>
        <color rgb="FF63BE7B"/>
      </colorScale>
    </cfRule>
  </conditionalFormatting>
  <conditionalFormatting sqref="F29:F32">
    <cfRule type="colorScale" priority="2785">
      <colorScale>
        <cfvo type="min"/>
        <cfvo type="percentile" val="50"/>
        <cfvo type="max"/>
        <color rgb="FFF8696B"/>
        <color rgb="FFFFEB84"/>
        <color rgb="FF63BE7B"/>
      </colorScale>
    </cfRule>
  </conditionalFormatting>
  <conditionalFormatting sqref="F29:F32">
    <cfRule type="colorScale" priority="2784">
      <colorScale>
        <cfvo type="min"/>
        <cfvo type="percentile" val="50"/>
        <cfvo type="max"/>
        <color rgb="FFF8696B"/>
        <color rgb="FFFFEB84"/>
        <color rgb="FF63BE7B"/>
      </colorScale>
    </cfRule>
  </conditionalFormatting>
  <conditionalFormatting sqref="F29:F32">
    <cfRule type="colorScale" priority="2783">
      <colorScale>
        <cfvo type="min"/>
        <cfvo type="percentile" val="50"/>
        <cfvo type="max"/>
        <color rgb="FFF8696B"/>
        <color rgb="FFFFEB84"/>
        <color rgb="FF63BE7B"/>
      </colorScale>
    </cfRule>
  </conditionalFormatting>
  <conditionalFormatting sqref="F29:F32">
    <cfRule type="colorScale" priority="2782">
      <colorScale>
        <cfvo type="min"/>
        <cfvo type="percentile" val="50"/>
        <cfvo type="max"/>
        <color rgb="FFF8696B"/>
        <color rgb="FFFFEB84"/>
        <color rgb="FF63BE7B"/>
      </colorScale>
    </cfRule>
  </conditionalFormatting>
  <conditionalFormatting sqref="F29:F32">
    <cfRule type="colorScale" priority="2781">
      <colorScale>
        <cfvo type="min"/>
        <cfvo type="percentile" val="50"/>
        <cfvo type="max"/>
        <color rgb="FFF8696B"/>
        <color rgb="FFFFEB84"/>
        <color rgb="FF63BE7B"/>
      </colorScale>
    </cfRule>
  </conditionalFormatting>
  <conditionalFormatting sqref="F29:F32">
    <cfRule type="colorScale" priority="2780">
      <colorScale>
        <cfvo type="min"/>
        <cfvo type="percentile" val="50"/>
        <cfvo type="max"/>
        <color rgb="FFF8696B"/>
        <color rgb="FFFFEB84"/>
        <color rgb="FF63BE7B"/>
      </colorScale>
    </cfRule>
  </conditionalFormatting>
  <conditionalFormatting sqref="F29:F32">
    <cfRule type="colorScale" priority="2779">
      <colorScale>
        <cfvo type="min"/>
        <cfvo type="percentile" val="50"/>
        <cfvo type="max"/>
        <color rgb="FFF8696B"/>
        <color rgb="FFFFEB84"/>
        <color rgb="FF63BE7B"/>
      </colorScale>
    </cfRule>
  </conditionalFormatting>
  <conditionalFormatting sqref="F29:F32">
    <cfRule type="colorScale" priority="2778">
      <colorScale>
        <cfvo type="min"/>
        <cfvo type="percentile" val="50"/>
        <cfvo type="max"/>
        <color rgb="FFF8696B"/>
        <color rgb="FFFFEB84"/>
        <color rgb="FF63BE7B"/>
      </colorScale>
    </cfRule>
  </conditionalFormatting>
  <conditionalFormatting sqref="F29:F32">
    <cfRule type="colorScale" priority="2777">
      <colorScale>
        <cfvo type="min"/>
        <cfvo type="percentile" val="50"/>
        <cfvo type="max"/>
        <color rgb="FFF8696B"/>
        <color rgb="FFFFEB84"/>
        <color rgb="FF63BE7B"/>
      </colorScale>
    </cfRule>
  </conditionalFormatting>
  <conditionalFormatting sqref="F29:F32">
    <cfRule type="colorScale" priority="2776">
      <colorScale>
        <cfvo type="min"/>
        <cfvo type="percentile" val="50"/>
        <cfvo type="max"/>
        <color rgb="FFF8696B"/>
        <color rgb="FFFFEB84"/>
        <color rgb="FF63BE7B"/>
      </colorScale>
    </cfRule>
  </conditionalFormatting>
  <conditionalFormatting sqref="F29:F32">
    <cfRule type="colorScale" priority="2775">
      <colorScale>
        <cfvo type="min"/>
        <cfvo type="percentile" val="50"/>
        <cfvo type="max"/>
        <color rgb="FFF8696B"/>
        <color rgb="FFFFEB84"/>
        <color rgb="FF63BE7B"/>
      </colorScale>
    </cfRule>
  </conditionalFormatting>
  <conditionalFormatting sqref="F29:F32">
    <cfRule type="colorScale" priority="2774">
      <colorScale>
        <cfvo type="min"/>
        <cfvo type="percentile" val="50"/>
        <cfvo type="max"/>
        <color rgb="FFF8696B"/>
        <color rgb="FFFFEB84"/>
        <color rgb="FF63BE7B"/>
      </colorScale>
    </cfRule>
  </conditionalFormatting>
  <conditionalFormatting sqref="F29:F32">
    <cfRule type="colorScale" priority="2773">
      <colorScale>
        <cfvo type="min"/>
        <cfvo type="percentile" val="50"/>
        <cfvo type="max"/>
        <color rgb="FFF8696B"/>
        <color rgb="FFFFEB84"/>
        <color rgb="FF63BE7B"/>
      </colorScale>
    </cfRule>
  </conditionalFormatting>
  <conditionalFormatting sqref="F29:F32">
    <cfRule type="colorScale" priority="2772">
      <colorScale>
        <cfvo type="min"/>
        <cfvo type="percentile" val="50"/>
        <cfvo type="max"/>
        <color rgb="FFF8696B"/>
        <color rgb="FFFFEB84"/>
        <color rgb="FF63BE7B"/>
      </colorScale>
    </cfRule>
  </conditionalFormatting>
  <conditionalFormatting sqref="F29:F32">
    <cfRule type="colorScale" priority="2771">
      <colorScale>
        <cfvo type="min"/>
        <cfvo type="percentile" val="50"/>
        <cfvo type="max"/>
        <color rgb="FFF8696B"/>
        <color rgb="FFFFEB84"/>
        <color rgb="FF63BE7B"/>
      </colorScale>
    </cfRule>
  </conditionalFormatting>
  <conditionalFormatting sqref="F29:F32">
    <cfRule type="colorScale" priority="2770">
      <colorScale>
        <cfvo type="min"/>
        <cfvo type="percentile" val="50"/>
        <cfvo type="max"/>
        <color rgb="FFF8696B"/>
        <color rgb="FFFFEB84"/>
        <color rgb="FF63BE7B"/>
      </colorScale>
    </cfRule>
  </conditionalFormatting>
  <conditionalFormatting sqref="F29:F32">
    <cfRule type="colorScale" priority="2769">
      <colorScale>
        <cfvo type="min"/>
        <cfvo type="percentile" val="50"/>
        <cfvo type="max"/>
        <color rgb="FFF8696B"/>
        <color rgb="FFFFEB84"/>
        <color rgb="FF63BE7B"/>
      </colorScale>
    </cfRule>
  </conditionalFormatting>
  <conditionalFormatting sqref="F29:F32">
    <cfRule type="colorScale" priority="2768">
      <colorScale>
        <cfvo type="min"/>
        <cfvo type="percentile" val="50"/>
        <cfvo type="max"/>
        <color rgb="FFF8696B"/>
        <color rgb="FFFFEB84"/>
        <color rgb="FF63BE7B"/>
      </colorScale>
    </cfRule>
  </conditionalFormatting>
  <conditionalFormatting sqref="F29:F32">
    <cfRule type="colorScale" priority="2767">
      <colorScale>
        <cfvo type="min"/>
        <cfvo type="percentile" val="50"/>
        <cfvo type="max"/>
        <color rgb="FFF8696B"/>
        <color rgb="FFFFEB84"/>
        <color rgb="FF63BE7B"/>
      </colorScale>
    </cfRule>
  </conditionalFormatting>
  <conditionalFormatting sqref="F29:F32">
    <cfRule type="colorScale" priority="2766">
      <colorScale>
        <cfvo type="min"/>
        <cfvo type="percentile" val="50"/>
        <cfvo type="max"/>
        <color rgb="FFF8696B"/>
        <color rgb="FFFFEB84"/>
        <color rgb="FF63BE7B"/>
      </colorScale>
    </cfRule>
  </conditionalFormatting>
  <conditionalFormatting sqref="F29:F32">
    <cfRule type="colorScale" priority="2765">
      <colorScale>
        <cfvo type="min"/>
        <cfvo type="percentile" val="50"/>
        <cfvo type="max"/>
        <color rgb="FFF8696B"/>
        <color rgb="FFFFEB84"/>
        <color rgb="FF63BE7B"/>
      </colorScale>
    </cfRule>
  </conditionalFormatting>
  <conditionalFormatting sqref="F29:F32">
    <cfRule type="colorScale" priority="2764">
      <colorScale>
        <cfvo type="min"/>
        <cfvo type="percentile" val="50"/>
        <cfvo type="max"/>
        <color rgb="FFF8696B"/>
        <color rgb="FFFFEB84"/>
        <color rgb="FF63BE7B"/>
      </colorScale>
    </cfRule>
  </conditionalFormatting>
  <conditionalFormatting sqref="F29:F32">
    <cfRule type="colorScale" priority="2763">
      <colorScale>
        <cfvo type="min"/>
        <cfvo type="percentile" val="50"/>
        <cfvo type="max"/>
        <color rgb="FFF8696B"/>
        <color rgb="FFFFEB84"/>
        <color rgb="FF63BE7B"/>
      </colorScale>
    </cfRule>
  </conditionalFormatting>
  <conditionalFormatting sqref="F29:F32">
    <cfRule type="colorScale" priority="2762">
      <colorScale>
        <cfvo type="min"/>
        <cfvo type="percentile" val="50"/>
        <cfvo type="max"/>
        <color rgb="FFF8696B"/>
        <color rgb="FFFFEB84"/>
        <color rgb="FF63BE7B"/>
      </colorScale>
    </cfRule>
  </conditionalFormatting>
  <conditionalFormatting sqref="F29:F32">
    <cfRule type="colorScale" priority="2761">
      <colorScale>
        <cfvo type="min"/>
        <cfvo type="percentile" val="50"/>
        <cfvo type="max"/>
        <color rgb="FFF8696B"/>
        <color rgb="FFFFEB84"/>
        <color rgb="FF63BE7B"/>
      </colorScale>
    </cfRule>
  </conditionalFormatting>
  <conditionalFormatting sqref="F29:F32">
    <cfRule type="colorScale" priority="2760">
      <colorScale>
        <cfvo type="min"/>
        <cfvo type="percentile" val="50"/>
        <cfvo type="max"/>
        <color rgb="FFF8696B"/>
        <color rgb="FFFFEB84"/>
        <color rgb="FF63BE7B"/>
      </colorScale>
    </cfRule>
  </conditionalFormatting>
  <conditionalFormatting sqref="F29:F32">
    <cfRule type="colorScale" priority="2759">
      <colorScale>
        <cfvo type="min"/>
        <cfvo type="percentile" val="50"/>
        <cfvo type="max"/>
        <color rgb="FFF8696B"/>
        <color rgb="FFFFEB84"/>
        <color rgb="FF63BE7B"/>
      </colorScale>
    </cfRule>
  </conditionalFormatting>
  <conditionalFormatting sqref="F29:F32">
    <cfRule type="colorScale" priority="2758">
      <colorScale>
        <cfvo type="min"/>
        <cfvo type="percentile" val="50"/>
        <cfvo type="max"/>
        <color rgb="FFF8696B"/>
        <color rgb="FFFFEB84"/>
        <color rgb="FF63BE7B"/>
      </colorScale>
    </cfRule>
  </conditionalFormatting>
  <conditionalFormatting sqref="F29:F32">
    <cfRule type="colorScale" priority="2757">
      <colorScale>
        <cfvo type="min"/>
        <cfvo type="percentile" val="50"/>
        <cfvo type="max"/>
        <color rgb="FFF8696B"/>
        <color rgb="FFFFEB84"/>
        <color rgb="FF63BE7B"/>
      </colorScale>
    </cfRule>
  </conditionalFormatting>
  <conditionalFormatting sqref="F29:F32">
    <cfRule type="colorScale" priority="2756">
      <colorScale>
        <cfvo type="min"/>
        <cfvo type="percentile" val="50"/>
        <cfvo type="max"/>
        <color rgb="FFF8696B"/>
        <color rgb="FFFFEB84"/>
        <color rgb="FF63BE7B"/>
      </colorScale>
    </cfRule>
  </conditionalFormatting>
  <conditionalFormatting sqref="F29:F32">
    <cfRule type="colorScale" priority="2755">
      <colorScale>
        <cfvo type="min"/>
        <cfvo type="percentile" val="50"/>
        <cfvo type="max"/>
        <color rgb="FFF8696B"/>
        <color rgb="FFFFEB84"/>
        <color rgb="FF63BE7B"/>
      </colorScale>
    </cfRule>
  </conditionalFormatting>
  <conditionalFormatting sqref="F29:F32">
    <cfRule type="colorScale" priority="2754">
      <colorScale>
        <cfvo type="min"/>
        <cfvo type="percentile" val="50"/>
        <cfvo type="max"/>
        <color rgb="FFF8696B"/>
        <color rgb="FFFFEB84"/>
        <color rgb="FF63BE7B"/>
      </colorScale>
    </cfRule>
  </conditionalFormatting>
  <conditionalFormatting sqref="F29:F32">
    <cfRule type="colorScale" priority="2753">
      <colorScale>
        <cfvo type="min"/>
        <cfvo type="percentile" val="50"/>
        <cfvo type="max"/>
        <color rgb="FFF8696B"/>
        <color rgb="FFFFEB84"/>
        <color rgb="FF63BE7B"/>
      </colorScale>
    </cfRule>
  </conditionalFormatting>
  <conditionalFormatting sqref="F29:F32">
    <cfRule type="colorScale" priority="2752">
      <colorScale>
        <cfvo type="min"/>
        <cfvo type="percentile" val="50"/>
        <cfvo type="max"/>
        <color rgb="FFF8696B"/>
        <color rgb="FFFFEB84"/>
        <color rgb="FF63BE7B"/>
      </colorScale>
    </cfRule>
  </conditionalFormatting>
  <conditionalFormatting sqref="F29:F32">
    <cfRule type="colorScale" priority="2751">
      <colorScale>
        <cfvo type="min"/>
        <cfvo type="percentile" val="50"/>
        <cfvo type="max"/>
        <color rgb="FFF8696B"/>
        <color rgb="FFFFEB84"/>
        <color rgb="FF63BE7B"/>
      </colorScale>
    </cfRule>
  </conditionalFormatting>
  <conditionalFormatting sqref="F29:F32">
    <cfRule type="colorScale" priority="2750">
      <colorScale>
        <cfvo type="min"/>
        <cfvo type="percentile" val="50"/>
        <cfvo type="max"/>
        <color rgb="FFF8696B"/>
        <color rgb="FFFFEB84"/>
        <color rgb="FF63BE7B"/>
      </colorScale>
    </cfRule>
  </conditionalFormatting>
  <conditionalFormatting sqref="F29:F32">
    <cfRule type="colorScale" priority="2749">
      <colorScale>
        <cfvo type="min"/>
        <cfvo type="percentile" val="50"/>
        <cfvo type="max"/>
        <color rgb="FFF8696B"/>
        <color rgb="FFFFEB84"/>
        <color rgb="FF63BE7B"/>
      </colorScale>
    </cfRule>
  </conditionalFormatting>
  <conditionalFormatting sqref="F29:F32">
    <cfRule type="colorScale" priority="2748">
      <colorScale>
        <cfvo type="min"/>
        <cfvo type="percentile" val="50"/>
        <cfvo type="max"/>
        <color rgb="FFF8696B"/>
        <color rgb="FFFFEB84"/>
        <color rgb="FF63BE7B"/>
      </colorScale>
    </cfRule>
  </conditionalFormatting>
  <conditionalFormatting sqref="F29:F32">
    <cfRule type="colorScale" priority="2747">
      <colorScale>
        <cfvo type="min"/>
        <cfvo type="percentile" val="50"/>
        <cfvo type="max"/>
        <color rgb="FFF8696B"/>
        <color rgb="FFFFEB84"/>
        <color rgb="FF63BE7B"/>
      </colorScale>
    </cfRule>
  </conditionalFormatting>
  <conditionalFormatting sqref="F29:F32">
    <cfRule type="colorScale" priority="2746">
      <colorScale>
        <cfvo type="min"/>
        <cfvo type="percentile" val="50"/>
        <cfvo type="max"/>
        <color rgb="FFF8696B"/>
        <color rgb="FFFFEB84"/>
        <color rgb="FF63BE7B"/>
      </colorScale>
    </cfRule>
  </conditionalFormatting>
  <conditionalFormatting sqref="F29:F32">
    <cfRule type="colorScale" priority="2745">
      <colorScale>
        <cfvo type="min"/>
        <cfvo type="percentile" val="50"/>
        <cfvo type="max"/>
        <color rgb="FFF8696B"/>
        <color rgb="FFFFEB84"/>
        <color rgb="FF63BE7B"/>
      </colorScale>
    </cfRule>
  </conditionalFormatting>
  <conditionalFormatting sqref="F29:F32">
    <cfRule type="colorScale" priority="2744">
      <colorScale>
        <cfvo type="min"/>
        <cfvo type="percentile" val="50"/>
        <cfvo type="max"/>
        <color rgb="FFF8696B"/>
        <color rgb="FFFFEB84"/>
        <color rgb="FF63BE7B"/>
      </colorScale>
    </cfRule>
  </conditionalFormatting>
  <conditionalFormatting sqref="F29:F32">
    <cfRule type="colorScale" priority="2743">
      <colorScale>
        <cfvo type="min"/>
        <cfvo type="percentile" val="50"/>
        <cfvo type="max"/>
        <color rgb="FFF8696B"/>
        <color rgb="FFFFEB84"/>
        <color rgb="FF63BE7B"/>
      </colorScale>
    </cfRule>
  </conditionalFormatting>
  <conditionalFormatting sqref="F29:F32">
    <cfRule type="colorScale" priority="2742">
      <colorScale>
        <cfvo type="min"/>
        <cfvo type="percentile" val="50"/>
        <cfvo type="max"/>
        <color rgb="FFF8696B"/>
        <color rgb="FFFFEB84"/>
        <color rgb="FF63BE7B"/>
      </colorScale>
    </cfRule>
  </conditionalFormatting>
  <conditionalFormatting sqref="F29:F32">
    <cfRule type="colorScale" priority="2741">
      <colorScale>
        <cfvo type="min"/>
        <cfvo type="percentile" val="50"/>
        <cfvo type="max"/>
        <color rgb="FFF8696B"/>
        <color rgb="FFFFEB84"/>
        <color rgb="FF63BE7B"/>
      </colorScale>
    </cfRule>
  </conditionalFormatting>
  <conditionalFormatting sqref="F29:F32">
    <cfRule type="colorScale" priority="2740">
      <colorScale>
        <cfvo type="min"/>
        <cfvo type="percentile" val="50"/>
        <cfvo type="max"/>
        <color rgb="FFF8696B"/>
        <color rgb="FFFFEB84"/>
        <color rgb="FF63BE7B"/>
      </colorScale>
    </cfRule>
  </conditionalFormatting>
  <conditionalFormatting sqref="F29:F32">
    <cfRule type="colorScale" priority="2739">
      <colorScale>
        <cfvo type="min"/>
        <cfvo type="percentile" val="50"/>
        <cfvo type="max"/>
        <color rgb="FFF8696B"/>
        <color rgb="FFFFEB84"/>
        <color rgb="FF63BE7B"/>
      </colorScale>
    </cfRule>
  </conditionalFormatting>
  <conditionalFormatting sqref="F29:F32">
    <cfRule type="colorScale" priority="2738">
      <colorScale>
        <cfvo type="min"/>
        <cfvo type="percentile" val="50"/>
        <cfvo type="max"/>
        <color rgb="FFF8696B"/>
        <color rgb="FFFFEB84"/>
        <color rgb="FF63BE7B"/>
      </colorScale>
    </cfRule>
  </conditionalFormatting>
  <conditionalFormatting sqref="F29:F32">
    <cfRule type="colorScale" priority="2737">
      <colorScale>
        <cfvo type="min"/>
        <cfvo type="percentile" val="50"/>
        <cfvo type="max"/>
        <color rgb="FFF8696B"/>
        <color rgb="FFFFEB84"/>
        <color rgb="FF63BE7B"/>
      </colorScale>
    </cfRule>
  </conditionalFormatting>
  <conditionalFormatting sqref="F29:F32">
    <cfRule type="colorScale" priority="2736">
      <colorScale>
        <cfvo type="min"/>
        <cfvo type="percentile" val="50"/>
        <cfvo type="max"/>
        <color rgb="FFF8696B"/>
        <color rgb="FFFFEB84"/>
        <color rgb="FF63BE7B"/>
      </colorScale>
    </cfRule>
  </conditionalFormatting>
  <conditionalFormatting sqref="F29:F32">
    <cfRule type="colorScale" priority="2735">
      <colorScale>
        <cfvo type="min"/>
        <cfvo type="percentile" val="50"/>
        <cfvo type="max"/>
        <color rgb="FFF8696B"/>
        <color rgb="FFFFEB84"/>
        <color rgb="FF63BE7B"/>
      </colorScale>
    </cfRule>
  </conditionalFormatting>
  <conditionalFormatting sqref="F29:F32">
    <cfRule type="colorScale" priority="2734">
      <colorScale>
        <cfvo type="min"/>
        <cfvo type="percentile" val="50"/>
        <cfvo type="max"/>
        <color rgb="FFF8696B"/>
        <color rgb="FFFFEB84"/>
        <color rgb="FF63BE7B"/>
      </colorScale>
    </cfRule>
  </conditionalFormatting>
  <conditionalFormatting sqref="F29:F32">
    <cfRule type="colorScale" priority="2733">
      <colorScale>
        <cfvo type="min"/>
        <cfvo type="percentile" val="50"/>
        <cfvo type="max"/>
        <color rgb="FFF8696B"/>
        <color rgb="FFFFEB84"/>
        <color rgb="FF63BE7B"/>
      </colorScale>
    </cfRule>
  </conditionalFormatting>
  <conditionalFormatting sqref="F29:F32">
    <cfRule type="colorScale" priority="2732">
      <colorScale>
        <cfvo type="min"/>
        <cfvo type="percentile" val="50"/>
        <cfvo type="max"/>
        <color rgb="FFF8696B"/>
        <color rgb="FFFFEB84"/>
        <color rgb="FF63BE7B"/>
      </colorScale>
    </cfRule>
  </conditionalFormatting>
  <conditionalFormatting sqref="F29:F32">
    <cfRule type="colorScale" priority="2731">
      <colorScale>
        <cfvo type="min"/>
        <cfvo type="percentile" val="50"/>
        <cfvo type="max"/>
        <color rgb="FFF8696B"/>
        <color rgb="FFFFEB84"/>
        <color rgb="FF63BE7B"/>
      </colorScale>
    </cfRule>
  </conditionalFormatting>
  <conditionalFormatting sqref="F29:F32">
    <cfRule type="colorScale" priority="2730">
      <colorScale>
        <cfvo type="min"/>
        <cfvo type="percentile" val="50"/>
        <cfvo type="max"/>
        <color rgb="FFF8696B"/>
        <color rgb="FFFFEB84"/>
        <color rgb="FF63BE7B"/>
      </colorScale>
    </cfRule>
  </conditionalFormatting>
  <conditionalFormatting sqref="F29:F32">
    <cfRule type="colorScale" priority="2729">
      <colorScale>
        <cfvo type="min"/>
        <cfvo type="percentile" val="50"/>
        <cfvo type="max"/>
        <color rgb="FFF8696B"/>
        <color rgb="FFFFEB84"/>
        <color rgb="FF63BE7B"/>
      </colorScale>
    </cfRule>
  </conditionalFormatting>
  <conditionalFormatting sqref="F29:F32">
    <cfRule type="colorScale" priority="2728">
      <colorScale>
        <cfvo type="min"/>
        <cfvo type="percentile" val="50"/>
        <cfvo type="max"/>
        <color rgb="FFF8696B"/>
        <color rgb="FFFFEB84"/>
        <color rgb="FF63BE7B"/>
      </colorScale>
    </cfRule>
  </conditionalFormatting>
  <conditionalFormatting sqref="F29:F32">
    <cfRule type="colorScale" priority="2727">
      <colorScale>
        <cfvo type="min"/>
        <cfvo type="percentile" val="50"/>
        <cfvo type="max"/>
        <color rgb="FFF8696B"/>
        <color rgb="FFFFEB84"/>
        <color rgb="FF63BE7B"/>
      </colorScale>
    </cfRule>
  </conditionalFormatting>
  <conditionalFormatting sqref="F29:F32">
    <cfRule type="colorScale" priority="2726">
      <colorScale>
        <cfvo type="min"/>
        <cfvo type="percentile" val="50"/>
        <cfvo type="max"/>
        <color rgb="FFF8696B"/>
        <color rgb="FFFFEB84"/>
        <color rgb="FF63BE7B"/>
      </colorScale>
    </cfRule>
  </conditionalFormatting>
  <conditionalFormatting sqref="F29:F32">
    <cfRule type="colorScale" priority="2725">
      <colorScale>
        <cfvo type="min"/>
        <cfvo type="percentile" val="50"/>
        <cfvo type="max"/>
        <color rgb="FFF8696B"/>
        <color rgb="FFFFEB84"/>
        <color rgb="FF63BE7B"/>
      </colorScale>
    </cfRule>
  </conditionalFormatting>
  <conditionalFormatting sqref="F29:F32">
    <cfRule type="colorScale" priority="2724">
      <colorScale>
        <cfvo type="min"/>
        <cfvo type="percentile" val="50"/>
        <cfvo type="max"/>
        <color rgb="FFF8696B"/>
        <color rgb="FFFFEB84"/>
        <color rgb="FF63BE7B"/>
      </colorScale>
    </cfRule>
  </conditionalFormatting>
  <conditionalFormatting sqref="F29:F32">
    <cfRule type="colorScale" priority="2723">
      <colorScale>
        <cfvo type="min"/>
        <cfvo type="percentile" val="50"/>
        <cfvo type="max"/>
        <color rgb="FFF8696B"/>
        <color rgb="FFFFEB84"/>
        <color rgb="FF63BE7B"/>
      </colorScale>
    </cfRule>
  </conditionalFormatting>
  <conditionalFormatting sqref="F29:F32">
    <cfRule type="colorScale" priority="2722">
      <colorScale>
        <cfvo type="min"/>
        <cfvo type="percentile" val="50"/>
        <cfvo type="max"/>
        <color rgb="FFF8696B"/>
        <color rgb="FFFFEB84"/>
        <color rgb="FF63BE7B"/>
      </colorScale>
    </cfRule>
  </conditionalFormatting>
  <conditionalFormatting sqref="F29:F32">
    <cfRule type="colorScale" priority="2721">
      <colorScale>
        <cfvo type="min"/>
        <cfvo type="percentile" val="50"/>
        <cfvo type="max"/>
        <color rgb="FFF8696B"/>
        <color rgb="FFFFEB84"/>
        <color rgb="FF63BE7B"/>
      </colorScale>
    </cfRule>
  </conditionalFormatting>
  <conditionalFormatting sqref="F29:F32">
    <cfRule type="colorScale" priority="2720">
      <colorScale>
        <cfvo type="min"/>
        <cfvo type="percentile" val="50"/>
        <cfvo type="max"/>
        <color rgb="FFF8696B"/>
        <color rgb="FFFFEB84"/>
        <color rgb="FF63BE7B"/>
      </colorScale>
    </cfRule>
  </conditionalFormatting>
  <conditionalFormatting sqref="F29:F32">
    <cfRule type="colorScale" priority="2719">
      <colorScale>
        <cfvo type="min"/>
        <cfvo type="percentile" val="50"/>
        <cfvo type="max"/>
        <color rgb="FFF8696B"/>
        <color rgb="FFFFEB84"/>
        <color rgb="FF63BE7B"/>
      </colorScale>
    </cfRule>
  </conditionalFormatting>
  <conditionalFormatting sqref="F29:F32">
    <cfRule type="colorScale" priority="2718">
      <colorScale>
        <cfvo type="min"/>
        <cfvo type="percentile" val="50"/>
        <cfvo type="max"/>
        <color rgb="FFF8696B"/>
        <color rgb="FFFFEB84"/>
        <color rgb="FF63BE7B"/>
      </colorScale>
    </cfRule>
  </conditionalFormatting>
  <conditionalFormatting sqref="F29:F32">
    <cfRule type="colorScale" priority="2717">
      <colorScale>
        <cfvo type="min"/>
        <cfvo type="percentile" val="50"/>
        <cfvo type="max"/>
        <color rgb="FFF8696B"/>
        <color rgb="FFFFEB84"/>
        <color rgb="FF63BE7B"/>
      </colorScale>
    </cfRule>
  </conditionalFormatting>
  <conditionalFormatting sqref="F29:F32">
    <cfRule type="colorScale" priority="2716">
      <colorScale>
        <cfvo type="min"/>
        <cfvo type="percentile" val="50"/>
        <cfvo type="max"/>
        <color rgb="FFF8696B"/>
        <color rgb="FFFFEB84"/>
        <color rgb="FF63BE7B"/>
      </colorScale>
    </cfRule>
  </conditionalFormatting>
  <conditionalFormatting sqref="F29:F32">
    <cfRule type="colorScale" priority="2715">
      <colorScale>
        <cfvo type="min"/>
        <cfvo type="percentile" val="50"/>
        <cfvo type="max"/>
        <color rgb="FFF8696B"/>
        <color rgb="FFFFEB84"/>
        <color rgb="FF63BE7B"/>
      </colorScale>
    </cfRule>
  </conditionalFormatting>
  <conditionalFormatting sqref="F29:F32">
    <cfRule type="colorScale" priority="2714">
      <colorScale>
        <cfvo type="min"/>
        <cfvo type="percentile" val="50"/>
        <cfvo type="max"/>
        <color rgb="FFF8696B"/>
        <color rgb="FFFFEB84"/>
        <color rgb="FF63BE7B"/>
      </colorScale>
    </cfRule>
  </conditionalFormatting>
  <conditionalFormatting sqref="F29:F32">
    <cfRule type="colorScale" priority="2713">
      <colorScale>
        <cfvo type="min"/>
        <cfvo type="percentile" val="50"/>
        <cfvo type="max"/>
        <color rgb="FFF8696B"/>
        <color rgb="FFFFEB84"/>
        <color rgb="FF63BE7B"/>
      </colorScale>
    </cfRule>
  </conditionalFormatting>
  <conditionalFormatting sqref="F29:F32">
    <cfRule type="colorScale" priority="2712">
      <colorScale>
        <cfvo type="min"/>
        <cfvo type="percentile" val="50"/>
        <cfvo type="max"/>
        <color rgb="FFF8696B"/>
        <color rgb="FFFFEB84"/>
        <color rgb="FF63BE7B"/>
      </colorScale>
    </cfRule>
  </conditionalFormatting>
  <conditionalFormatting sqref="F29:F32">
    <cfRule type="colorScale" priority="2711">
      <colorScale>
        <cfvo type="min"/>
        <cfvo type="percentile" val="50"/>
        <cfvo type="max"/>
        <color rgb="FFF8696B"/>
        <color rgb="FFFFEB84"/>
        <color rgb="FF63BE7B"/>
      </colorScale>
    </cfRule>
  </conditionalFormatting>
  <conditionalFormatting sqref="F29:F32">
    <cfRule type="colorScale" priority="2710">
      <colorScale>
        <cfvo type="min"/>
        <cfvo type="percentile" val="50"/>
        <cfvo type="max"/>
        <color rgb="FFF8696B"/>
        <color rgb="FFFFEB84"/>
        <color rgb="FF63BE7B"/>
      </colorScale>
    </cfRule>
  </conditionalFormatting>
  <conditionalFormatting sqref="F29:F32">
    <cfRule type="colorScale" priority="2709">
      <colorScale>
        <cfvo type="min"/>
        <cfvo type="percentile" val="50"/>
        <cfvo type="max"/>
        <color rgb="FFF8696B"/>
        <color rgb="FFFFEB84"/>
        <color rgb="FF63BE7B"/>
      </colorScale>
    </cfRule>
  </conditionalFormatting>
  <conditionalFormatting sqref="F29:F32">
    <cfRule type="colorScale" priority="2708">
      <colorScale>
        <cfvo type="min"/>
        <cfvo type="percentile" val="50"/>
        <cfvo type="max"/>
        <color rgb="FFF8696B"/>
        <color rgb="FFFFEB84"/>
        <color rgb="FF63BE7B"/>
      </colorScale>
    </cfRule>
  </conditionalFormatting>
  <conditionalFormatting sqref="F29:F32">
    <cfRule type="colorScale" priority="2707">
      <colorScale>
        <cfvo type="min"/>
        <cfvo type="percentile" val="50"/>
        <cfvo type="max"/>
        <color rgb="FFF8696B"/>
        <color rgb="FFFFEB84"/>
        <color rgb="FF63BE7B"/>
      </colorScale>
    </cfRule>
  </conditionalFormatting>
  <conditionalFormatting sqref="F29:F32">
    <cfRule type="colorScale" priority="2706">
      <colorScale>
        <cfvo type="min"/>
        <cfvo type="percentile" val="50"/>
        <cfvo type="max"/>
        <color rgb="FFF8696B"/>
        <color rgb="FFFFEB84"/>
        <color rgb="FF63BE7B"/>
      </colorScale>
    </cfRule>
  </conditionalFormatting>
  <conditionalFormatting sqref="F29:F32">
    <cfRule type="colorScale" priority="2705">
      <colorScale>
        <cfvo type="min"/>
        <cfvo type="percentile" val="50"/>
        <cfvo type="max"/>
        <color rgb="FFF8696B"/>
        <color rgb="FFFFEB84"/>
        <color rgb="FF63BE7B"/>
      </colorScale>
    </cfRule>
  </conditionalFormatting>
  <conditionalFormatting sqref="F29:F32">
    <cfRule type="colorScale" priority="2704">
      <colorScale>
        <cfvo type="min"/>
        <cfvo type="percentile" val="50"/>
        <cfvo type="max"/>
        <color rgb="FFF8696B"/>
        <color rgb="FFFFEB84"/>
        <color rgb="FF63BE7B"/>
      </colorScale>
    </cfRule>
  </conditionalFormatting>
  <conditionalFormatting sqref="F29:F32">
    <cfRule type="colorScale" priority="2703">
      <colorScale>
        <cfvo type="min"/>
        <cfvo type="percentile" val="50"/>
        <cfvo type="max"/>
        <color rgb="FFF8696B"/>
        <color rgb="FFFFEB84"/>
        <color rgb="FF63BE7B"/>
      </colorScale>
    </cfRule>
  </conditionalFormatting>
  <conditionalFormatting sqref="F29:F32">
    <cfRule type="colorScale" priority="2702">
      <colorScale>
        <cfvo type="min"/>
        <cfvo type="percentile" val="50"/>
        <cfvo type="max"/>
        <color rgb="FFF8696B"/>
        <color rgb="FFFFEB84"/>
        <color rgb="FF63BE7B"/>
      </colorScale>
    </cfRule>
  </conditionalFormatting>
  <conditionalFormatting sqref="F29:F32">
    <cfRule type="colorScale" priority="2701">
      <colorScale>
        <cfvo type="min"/>
        <cfvo type="percentile" val="50"/>
        <cfvo type="max"/>
        <color rgb="FFF8696B"/>
        <color rgb="FFFFEB84"/>
        <color rgb="FF63BE7B"/>
      </colorScale>
    </cfRule>
  </conditionalFormatting>
  <conditionalFormatting sqref="F29:F32">
    <cfRule type="colorScale" priority="2700">
      <colorScale>
        <cfvo type="min"/>
        <cfvo type="percentile" val="50"/>
        <cfvo type="max"/>
        <color rgb="FFF8696B"/>
        <color rgb="FFFFEB84"/>
        <color rgb="FF63BE7B"/>
      </colorScale>
    </cfRule>
  </conditionalFormatting>
  <conditionalFormatting sqref="F29:F32">
    <cfRule type="colorScale" priority="2699">
      <colorScale>
        <cfvo type="min"/>
        <cfvo type="percentile" val="50"/>
        <cfvo type="max"/>
        <color rgb="FFF8696B"/>
        <color rgb="FFFFEB84"/>
        <color rgb="FF63BE7B"/>
      </colorScale>
    </cfRule>
  </conditionalFormatting>
  <conditionalFormatting sqref="F29:F32">
    <cfRule type="colorScale" priority="2698">
      <colorScale>
        <cfvo type="min"/>
        <cfvo type="percentile" val="50"/>
        <cfvo type="max"/>
        <color rgb="FFF8696B"/>
        <color rgb="FFFFEB84"/>
        <color rgb="FF63BE7B"/>
      </colorScale>
    </cfRule>
  </conditionalFormatting>
  <conditionalFormatting sqref="F29:F32">
    <cfRule type="colorScale" priority="2697">
      <colorScale>
        <cfvo type="min"/>
        <cfvo type="percentile" val="50"/>
        <cfvo type="max"/>
        <color rgb="FFF8696B"/>
        <color rgb="FFFFEB84"/>
        <color rgb="FF63BE7B"/>
      </colorScale>
    </cfRule>
  </conditionalFormatting>
  <conditionalFormatting sqref="F29:F32">
    <cfRule type="colorScale" priority="2696">
      <colorScale>
        <cfvo type="min"/>
        <cfvo type="percentile" val="50"/>
        <cfvo type="max"/>
        <color rgb="FFF8696B"/>
        <color rgb="FFFFEB84"/>
        <color rgb="FF63BE7B"/>
      </colorScale>
    </cfRule>
  </conditionalFormatting>
  <conditionalFormatting sqref="F29:F32">
    <cfRule type="colorScale" priority="2695">
      <colorScale>
        <cfvo type="min"/>
        <cfvo type="percentile" val="50"/>
        <cfvo type="max"/>
        <color rgb="FFF8696B"/>
        <color rgb="FFFFEB84"/>
        <color rgb="FF63BE7B"/>
      </colorScale>
    </cfRule>
  </conditionalFormatting>
  <conditionalFormatting sqref="F29:F32">
    <cfRule type="colorScale" priority="2694">
      <colorScale>
        <cfvo type="min"/>
        <cfvo type="percentile" val="50"/>
        <cfvo type="max"/>
        <color rgb="FFF8696B"/>
        <color rgb="FFFFEB84"/>
        <color rgb="FF63BE7B"/>
      </colorScale>
    </cfRule>
  </conditionalFormatting>
  <conditionalFormatting sqref="F29:F32">
    <cfRule type="colorScale" priority="2693">
      <colorScale>
        <cfvo type="min"/>
        <cfvo type="percentile" val="50"/>
        <cfvo type="max"/>
        <color rgb="FFF8696B"/>
        <color rgb="FFFFEB84"/>
        <color rgb="FF63BE7B"/>
      </colorScale>
    </cfRule>
  </conditionalFormatting>
  <conditionalFormatting sqref="F29:F32">
    <cfRule type="colorScale" priority="2692">
      <colorScale>
        <cfvo type="min"/>
        <cfvo type="percentile" val="50"/>
        <cfvo type="max"/>
        <color rgb="FFF8696B"/>
        <color rgb="FFFFEB84"/>
        <color rgb="FF63BE7B"/>
      </colorScale>
    </cfRule>
  </conditionalFormatting>
  <conditionalFormatting sqref="F29:F32">
    <cfRule type="colorScale" priority="2691">
      <colorScale>
        <cfvo type="min"/>
        <cfvo type="percentile" val="50"/>
        <cfvo type="max"/>
        <color rgb="FFF8696B"/>
        <color rgb="FFFFEB84"/>
        <color rgb="FF63BE7B"/>
      </colorScale>
    </cfRule>
  </conditionalFormatting>
  <conditionalFormatting sqref="F29:F32">
    <cfRule type="colorScale" priority="2690">
      <colorScale>
        <cfvo type="min"/>
        <cfvo type="percentile" val="50"/>
        <cfvo type="max"/>
        <color rgb="FFF8696B"/>
        <color rgb="FFFFEB84"/>
        <color rgb="FF63BE7B"/>
      </colorScale>
    </cfRule>
  </conditionalFormatting>
  <conditionalFormatting sqref="F29:F32">
    <cfRule type="colorScale" priority="2689">
      <colorScale>
        <cfvo type="min"/>
        <cfvo type="percentile" val="50"/>
        <cfvo type="max"/>
        <color rgb="FFF8696B"/>
        <color rgb="FFFFEB84"/>
        <color rgb="FF63BE7B"/>
      </colorScale>
    </cfRule>
  </conditionalFormatting>
  <conditionalFormatting sqref="F29:F32">
    <cfRule type="colorScale" priority="2688">
      <colorScale>
        <cfvo type="min"/>
        <cfvo type="percentile" val="50"/>
        <cfvo type="max"/>
        <color rgb="FFF8696B"/>
        <color rgb="FFFFEB84"/>
        <color rgb="FF63BE7B"/>
      </colorScale>
    </cfRule>
  </conditionalFormatting>
  <conditionalFormatting sqref="F29:F32">
    <cfRule type="colorScale" priority="2687">
      <colorScale>
        <cfvo type="min"/>
        <cfvo type="percentile" val="50"/>
        <cfvo type="max"/>
        <color rgb="FFF8696B"/>
        <color rgb="FFFFEB84"/>
        <color rgb="FF63BE7B"/>
      </colorScale>
    </cfRule>
  </conditionalFormatting>
  <conditionalFormatting sqref="F29:F32">
    <cfRule type="colorScale" priority="2686">
      <colorScale>
        <cfvo type="min"/>
        <cfvo type="percentile" val="50"/>
        <cfvo type="max"/>
        <color rgb="FFF8696B"/>
        <color rgb="FFFFEB84"/>
        <color rgb="FF63BE7B"/>
      </colorScale>
    </cfRule>
  </conditionalFormatting>
  <conditionalFormatting sqref="F29:F32">
    <cfRule type="colorScale" priority="2685">
      <colorScale>
        <cfvo type="min"/>
        <cfvo type="percentile" val="50"/>
        <cfvo type="max"/>
        <color rgb="FFF8696B"/>
        <color rgb="FFFFEB84"/>
        <color rgb="FF63BE7B"/>
      </colorScale>
    </cfRule>
  </conditionalFormatting>
  <conditionalFormatting sqref="F29:F32">
    <cfRule type="colorScale" priority="2684">
      <colorScale>
        <cfvo type="min"/>
        <cfvo type="percentile" val="50"/>
        <cfvo type="max"/>
        <color rgb="FFF8696B"/>
        <color rgb="FFFFEB84"/>
        <color rgb="FF63BE7B"/>
      </colorScale>
    </cfRule>
  </conditionalFormatting>
  <conditionalFormatting sqref="F29:F32">
    <cfRule type="colorScale" priority="2683">
      <colorScale>
        <cfvo type="min"/>
        <cfvo type="percentile" val="50"/>
        <cfvo type="max"/>
        <color rgb="FFF8696B"/>
        <color rgb="FFFFEB84"/>
        <color rgb="FF63BE7B"/>
      </colorScale>
    </cfRule>
  </conditionalFormatting>
  <conditionalFormatting sqref="F29:F32">
    <cfRule type="colorScale" priority="2682">
      <colorScale>
        <cfvo type="min"/>
        <cfvo type="percentile" val="50"/>
        <cfvo type="max"/>
        <color rgb="FFF8696B"/>
        <color rgb="FFFFEB84"/>
        <color rgb="FF63BE7B"/>
      </colorScale>
    </cfRule>
  </conditionalFormatting>
  <conditionalFormatting sqref="F29:F32">
    <cfRule type="colorScale" priority="2681">
      <colorScale>
        <cfvo type="min"/>
        <cfvo type="percentile" val="50"/>
        <cfvo type="max"/>
        <color rgb="FFF8696B"/>
        <color rgb="FFFFEB84"/>
        <color rgb="FF63BE7B"/>
      </colorScale>
    </cfRule>
  </conditionalFormatting>
  <conditionalFormatting sqref="F29:F32">
    <cfRule type="colorScale" priority="2680">
      <colorScale>
        <cfvo type="min"/>
        <cfvo type="percentile" val="50"/>
        <cfvo type="max"/>
        <color rgb="FFF8696B"/>
        <color rgb="FFFFEB84"/>
        <color rgb="FF63BE7B"/>
      </colorScale>
    </cfRule>
  </conditionalFormatting>
  <conditionalFormatting sqref="F29:F32">
    <cfRule type="colorScale" priority="2679">
      <colorScale>
        <cfvo type="min"/>
        <cfvo type="percentile" val="50"/>
        <cfvo type="max"/>
        <color rgb="FFF8696B"/>
        <color rgb="FFFFEB84"/>
        <color rgb="FF63BE7B"/>
      </colorScale>
    </cfRule>
  </conditionalFormatting>
  <conditionalFormatting sqref="F29:F32">
    <cfRule type="colorScale" priority="2678">
      <colorScale>
        <cfvo type="min"/>
        <cfvo type="percentile" val="50"/>
        <cfvo type="max"/>
        <color rgb="FFF8696B"/>
        <color rgb="FFFFEB84"/>
        <color rgb="FF63BE7B"/>
      </colorScale>
    </cfRule>
  </conditionalFormatting>
  <conditionalFormatting sqref="F29:F32">
    <cfRule type="colorScale" priority="2677">
      <colorScale>
        <cfvo type="min"/>
        <cfvo type="percentile" val="50"/>
        <cfvo type="max"/>
        <color rgb="FFF8696B"/>
        <color rgb="FFFFEB84"/>
        <color rgb="FF63BE7B"/>
      </colorScale>
    </cfRule>
  </conditionalFormatting>
  <conditionalFormatting sqref="F29:F32">
    <cfRule type="colorScale" priority="2676">
      <colorScale>
        <cfvo type="min"/>
        <cfvo type="percentile" val="50"/>
        <cfvo type="max"/>
        <color rgb="FFF8696B"/>
        <color rgb="FFFFEB84"/>
        <color rgb="FF63BE7B"/>
      </colorScale>
    </cfRule>
  </conditionalFormatting>
  <conditionalFormatting sqref="F29:F32">
    <cfRule type="colorScale" priority="2675">
      <colorScale>
        <cfvo type="min"/>
        <cfvo type="percentile" val="50"/>
        <cfvo type="max"/>
        <color rgb="FFF8696B"/>
        <color rgb="FFFFEB84"/>
        <color rgb="FF63BE7B"/>
      </colorScale>
    </cfRule>
  </conditionalFormatting>
  <conditionalFormatting sqref="F29:F32">
    <cfRule type="colorScale" priority="2674">
      <colorScale>
        <cfvo type="min"/>
        <cfvo type="percentile" val="50"/>
        <cfvo type="max"/>
        <color rgb="FFF8696B"/>
        <color rgb="FFFFEB84"/>
        <color rgb="FF63BE7B"/>
      </colorScale>
    </cfRule>
  </conditionalFormatting>
  <conditionalFormatting sqref="F29:F32">
    <cfRule type="colorScale" priority="2673">
      <colorScale>
        <cfvo type="min"/>
        <cfvo type="percentile" val="50"/>
        <cfvo type="max"/>
        <color rgb="FFF8696B"/>
        <color rgb="FFFFEB84"/>
        <color rgb="FF63BE7B"/>
      </colorScale>
    </cfRule>
  </conditionalFormatting>
  <conditionalFormatting sqref="F29:F32">
    <cfRule type="colorScale" priority="2672">
      <colorScale>
        <cfvo type="min"/>
        <cfvo type="percentile" val="50"/>
        <cfvo type="max"/>
        <color rgb="FFF8696B"/>
        <color rgb="FFFFEB84"/>
        <color rgb="FF63BE7B"/>
      </colorScale>
    </cfRule>
  </conditionalFormatting>
  <conditionalFormatting sqref="F29:F32">
    <cfRule type="colorScale" priority="2671">
      <colorScale>
        <cfvo type="min"/>
        <cfvo type="percentile" val="50"/>
        <cfvo type="max"/>
        <color rgb="FFF8696B"/>
        <color rgb="FFFFEB84"/>
        <color rgb="FF63BE7B"/>
      </colorScale>
    </cfRule>
  </conditionalFormatting>
  <conditionalFormatting sqref="F29:F32">
    <cfRule type="colorScale" priority="2670">
      <colorScale>
        <cfvo type="min"/>
        <cfvo type="percentile" val="50"/>
        <cfvo type="max"/>
        <color rgb="FFF8696B"/>
        <color rgb="FFFFEB84"/>
        <color rgb="FF63BE7B"/>
      </colorScale>
    </cfRule>
  </conditionalFormatting>
  <conditionalFormatting sqref="F11:F31">
    <cfRule type="colorScale" priority="2669">
      <colorScale>
        <cfvo type="min"/>
        <cfvo type="percentile" val="50"/>
        <cfvo type="max"/>
        <color rgb="FFF8696B"/>
        <color rgb="FFFFEB84"/>
        <color rgb="FF63BE7B"/>
      </colorScale>
    </cfRule>
  </conditionalFormatting>
  <conditionalFormatting sqref="F11:F31">
    <cfRule type="colorScale" priority="2668">
      <colorScale>
        <cfvo type="min"/>
        <cfvo type="percentile" val="50"/>
        <cfvo type="max"/>
        <color rgb="FFF8696B"/>
        <color rgb="FFFFEB84"/>
        <color rgb="FF63BE7B"/>
      </colorScale>
    </cfRule>
  </conditionalFormatting>
  <conditionalFormatting sqref="F11:F31">
    <cfRule type="colorScale" priority="2667">
      <colorScale>
        <cfvo type="min"/>
        <cfvo type="percentile" val="50"/>
        <cfvo type="max"/>
        <color rgb="FFF8696B"/>
        <color rgb="FFFFEB84"/>
        <color rgb="FF63BE7B"/>
      </colorScale>
    </cfRule>
  </conditionalFormatting>
  <conditionalFormatting sqref="F11:F31">
    <cfRule type="colorScale" priority="2666">
      <colorScale>
        <cfvo type="min"/>
        <cfvo type="percentile" val="50"/>
        <cfvo type="max"/>
        <color rgb="FFF8696B"/>
        <color rgb="FFFFEB84"/>
        <color rgb="FF63BE7B"/>
      </colorScale>
    </cfRule>
  </conditionalFormatting>
  <conditionalFormatting sqref="F11:F31">
    <cfRule type="colorScale" priority="2665">
      <colorScale>
        <cfvo type="min"/>
        <cfvo type="percentile" val="50"/>
        <cfvo type="max"/>
        <color rgb="FFF8696B"/>
        <color rgb="FFFFEB84"/>
        <color rgb="FF63BE7B"/>
      </colorScale>
    </cfRule>
  </conditionalFormatting>
  <conditionalFormatting sqref="F11:F31">
    <cfRule type="colorScale" priority="2664">
      <colorScale>
        <cfvo type="min"/>
        <cfvo type="percentile" val="50"/>
        <cfvo type="max"/>
        <color rgb="FFF8696B"/>
        <color rgb="FFFFEB84"/>
        <color rgb="FF63BE7B"/>
      </colorScale>
    </cfRule>
  </conditionalFormatting>
  <conditionalFormatting sqref="F11:F31">
    <cfRule type="colorScale" priority="2663">
      <colorScale>
        <cfvo type="min"/>
        <cfvo type="percentile" val="50"/>
        <cfvo type="max"/>
        <color rgb="FFF8696B"/>
        <color rgb="FFFFEB84"/>
        <color rgb="FF63BE7B"/>
      </colorScale>
    </cfRule>
  </conditionalFormatting>
  <conditionalFormatting sqref="F11:F31">
    <cfRule type="colorScale" priority="2662">
      <colorScale>
        <cfvo type="min"/>
        <cfvo type="percentile" val="50"/>
        <cfvo type="max"/>
        <color rgb="FFF8696B"/>
        <color rgb="FFFFEB84"/>
        <color rgb="FF63BE7B"/>
      </colorScale>
    </cfRule>
  </conditionalFormatting>
  <conditionalFormatting sqref="F11:F31">
    <cfRule type="colorScale" priority="2661">
      <colorScale>
        <cfvo type="min"/>
        <cfvo type="percentile" val="50"/>
        <cfvo type="max"/>
        <color rgb="FFF8696B"/>
        <color rgb="FFFFEB84"/>
        <color rgb="FF63BE7B"/>
      </colorScale>
    </cfRule>
  </conditionalFormatting>
  <conditionalFormatting sqref="F11:F31">
    <cfRule type="colorScale" priority="2660">
      <colorScale>
        <cfvo type="min"/>
        <cfvo type="percentile" val="50"/>
        <cfvo type="max"/>
        <color rgb="FFF8696B"/>
        <color rgb="FFFFEB84"/>
        <color rgb="FF63BE7B"/>
      </colorScale>
    </cfRule>
  </conditionalFormatting>
  <conditionalFormatting sqref="F11:F31">
    <cfRule type="colorScale" priority="2659">
      <colorScale>
        <cfvo type="min"/>
        <cfvo type="percentile" val="50"/>
        <cfvo type="max"/>
        <color rgb="FFF8696B"/>
        <color rgb="FFFFEB84"/>
        <color rgb="FF63BE7B"/>
      </colorScale>
    </cfRule>
  </conditionalFormatting>
  <conditionalFormatting sqref="F11:F31">
    <cfRule type="colorScale" priority="2658">
      <colorScale>
        <cfvo type="min"/>
        <cfvo type="percentile" val="50"/>
        <cfvo type="max"/>
        <color rgb="FFF8696B"/>
        <color rgb="FFFFEB84"/>
        <color rgb="FF63BE7B"/>
      </colorScale>
    </cfRule>
  </conditionalFormatting>
  <conditionalFormatting sqref="F11:F31">
    <cfRule type="colorScale" priority="2657">
      <colorScale>
        <cfvo type="min"/>
        <cfvo type="percentile" val="50"/>
        <cfvo type="max"/>
        <color rgb="FFF8696B"/>
        <color rgb="FFFFEB84"/>
        <color rgb="FF63BE7B"/>
      </colorScale>
    </cfRule>
  </conditionalFormatting>
  <conditionalFormatting sqref="F11:F31">
    <cfRule type="colorScale" priority="2656">
      <colorScale>
        <cfvo type="min"/>
        <cfvo type="percentile" val="50"/>
        <cfvo type="max"/>
        <color rgb="FFF8696B"/>
        <color rgb="FFFFEB84"/>
        <color rgb="FF63BE7B"/>
      </colorScale>
    </cfRule>
  </conditionalFormatting>
  <conditionalFormatting sqref="F11:F31">
    <cfRule type="colorScale" priority="2655">
      <colorScale>
        <cfvo type="min"/>
        <cfvo type="percentile" val="50"/>
        <cfvo type="max"/>
        <color rgb="FFF8696B"/>
        <color rgb="FFFFEB84"/>
        <color rgb="FF63BE7B"/>
      </colorScale>
    </cfRule>
  </conditionalFormatting>
  <conditionalFormatting sqref="F11:F31">
    <cfRule type="colorScale" priority="2654">
      <colorScale>
        <cfvo type="min"/>
        <cfvo type="percentile" val="50"/>
        <cfvo type="max"/>
        <color rgb="FFF8696B"/>
        <color rgb="FFFFEB84"/>
        <color rgb="FF63BE7B"/>
      </colorScale>
    </cfRule>
  </conditionalFormatting>
  <conditionalFormatting sqref="F11:F31">
    <cfRule type="colorScale" priority="2653">
      <colorScale>
        <cfvo type="min"/>
        <cfvo type="percentile" val="50"/>
        <cfvo type="max"/>
        <color rgb="FFF8696B"/>
        <color rgb="FFFFEB84"/>
        <color rgb="FF63BE7B"/>
      </colorScale>
    </cfRule>
  </conditionalFormatting>
  <conditionalFormatting sqref="F11:F31">
    <cfRule type="colorScale" priority="2652">
      <colorScale>
        <cfvo type="min"/>
        <cfvo type="percentile" val="50"/>
        <cfvo type="max"/>
        <color rgb="FFF8696B"/>
        <color rgb="FFFFEB84"/>
        <color rgb="FF63BE7B"/>
      </colorScale>
    </cfRule>
  </conditionalFormatting>
  <conditionalFormatting sqref="F11:F31">
    <cfRule type="colorScale" priority="2651">
      <colorScale>
        <cfvo type="min"/>
        <cfvo type="percentile" val="50"/>
        <cfvo type="max"/>
        <color rgb="FFF8696B"/>
        <color rgb="FFFFEB84"/>
        <color rgb="FF63BE7B"/>
      </colorScale>
    </cfRule>
  </conditionalFormatting>
  <conditionalFormatting sqref="F11:F31">
    <cfRule type="colorScale" priority="2650">
      <colorScale>
        <cfvo type="min"/>
        <cfvo type="percentile" val="50"/>
        <cfvo type="max"/>
        <color rgb="FFF8696B"/>
        <color rgb="FFFFEB84"/>
        <color rgb="FF63BE7B"/>
      </colorScale>
    </cfRule>
  </conditionalFormatting>
  <conditionalFormatting sqref="F11:F31">
    <cfRule type="colorScale" priority="2649">
      <colorScale>
        <cfvo type="min"/>
        <cfvo type="percentile" val="50"/>
        <cfvo type="max"/>
        <color rgb="FFF8696B"/>
        <color rgb="FFFFEB84"/>
        <color rgb="FF63BE7B"/>
      </colorScale>
    </cfRule>
  </conditionalFormatting>
  <conditionalFormatting sqref="F11:F31">
    <cfRule type="colorScale" priority="2648">
      <colorScale>
        <cfvo type="min"/>
        <cfvo type="percentile" val="50"/>
        <cfvo type="max"/>
        <color rgb="FFF8696B"/>
        <color rgb="FFFFEB84"/>
        <color rgb="FF63BE7B"/>
      </colorScale>
    </cfRule>
  </conditionalFormatting>
  <conditionalFormatting sqref="F11:F31">
    <cfRule type="colorScale" priority="2647">
      <colorScale>
        <cfvo type="min"/>
        <cfvo type="percentile" val="50"/>
        <cfvo type="max"/>
        <color rgb="FFF8696B"/>
        <color rgb="FFFFEB84"/>
        <color rgb="FF63BE7B"/>
      </colorScale>
    </cfRule>
  </conditionalFormatting>
  <conditionalFormatting sqref="F11:F31">
    <cfRule type="colorScale" priority="2646">
      <colorScale>
        <cfvo type="min"/>
        <cfvo type="percentile" val="50"/>
        <cfvo type="max"/>
        <color rgb="FFF8696B"/>
        <color rgb="FFFFEB84"/>
        <color rgb="FF63BE7B"/>
      </colorScale>
    </cfRule>
  </conditionalFormatting>
  <conditionalFormatting sqref="F11:F31">
    <cfRule type="colorScale" priority="2645">
      <colorScale>
        <cfvo type="min"/>
        <cfvo type="percentile" val="50"/>
        <cfvo type="max"/>
        <color rgb="FFF8696B"/>
        <color rgb="FFFFEB84"/>
        <color rgb="FF63BE7B"/>
      </colorScale>
    </cfRule>
  </conditionalFormatting>
  <conditionalFormatting sqref="F11:F31">
    <cfRule type="colorScale" priority="2644">
      <colorScale>
        <cfvo type="min"/>
        <cfvo type="percentile" val="50"/>
        <cfvo type="max"/>
        <color rgb="FFF8696B"/>
        <color rgb="FFFFEB84"/>
        <color rgb="FF63BE7B"/>
      </colorScale>
    </cfRule>
  </conditionalFormatting>
  <conditionalFormatting sqref="F11:F31">
    <cfRule type="colorScale" priority="2643">
      <colorScale>
        <cfvo type="min"/>
        <cfvo type="percentile" val="50"/>
        <cfvo type="max"/>
        <color rgb="FFF8696B"/>
        <color rgb="FFFFEB84"/>
        <color rgb="FF63BE7B"/>
      </colorScale>
    </cfRule>
  </conditionalFormatting>
  <conditionalFormatting sqref="F11:F31">
    <cfRule type="colorScale" priority="2642">
      <colorScale>
        <cfvo type="min"/>
        <cfvo type="percentile" val="50"/>
        <cfvo type="max"/>
        <color rgb="FFF8696B"/>
        <color rgb="FFFFEB84"/>
        <color rgb="FF63BE7B"/>
      </colorScale>
    </cfRule>
  </conditionalFormatting>
  <conditionalFormatting sqref="F11:F31">
    <cfRule type="colorScale" priority="2641">
      <colorScale>
        <cfvo type="min"/>
        <cfvo type="percentile" val="50"/>
        <cfvo type="max"/>
        <color rgb="FFF8696B"/>
        <color rgb="FFFFEB84"/>
        <color rgb="FF63BE7B"/>
      </colorScale>
    </cfRule>
  </conditionalFormatting>
  <conditionalFormatting sqref="F11:F31">
    <cfRule type="colorScale" priority="2640">
      <colorScale>
        <cfvo type="min"/>
        <cfvo type="percentile" val="50"/>
        <cfvo type="max"/>
        <color rgb="FFF8696B"/>
        <color rgb="FFFFEB84"/>
        <color rgb="FF63BE7B"/>
      </colorScale>
    </cfRule>
  </conditionalFormatting>
  <conditionalFormatting sqref="F11:F31">
    <cfRule type="colorScale" priority="2639">
      <colorScale>
        <cfvo type="min"/>
        <cfvo type="percentile" val="50"/>
        <cfvo type="max"/>
        <color rgb="FFF8696B"/>
        <color rgb="FFFFEB84"/>
        <color rgb="FF63BE7B"/>
      </colorScale>
    </cfRule>
  </conditionalFormatting>
  <conditionalFormatting sqref="F11:F31">
    <cfRule type="colorScale" priority="2638">
      <colorScale>
        <cfvo type="min"/>
        <cfvo type="percentile" val="50"/>
        <cfvo type="max"/>
        <color rgb="FFF8696B"/>
        <color rgb="FFFFEB84"/>
        <color rgb="FF63BE7B"/>
      </colorScale>
    </cfRule>
  </conditionalFormatting>
  <conditionalFormatting sqref="F11:F31">
    <cfRule type="colorScale" priority="2637">
      <colorScale>
        <cfvo type="min"/>
        <cfvo type="percentile" val="50"/>
        <cfvo type="max"/>
        <color rgb="FFF8696B"/>
        <color rgb="FFFFEB84"/>
        <color rgb="FF63BE7B"/>
      </colorScale>
    </cfRule>
  </conditionalFormatting>
  <conditionalFormatting sqref="F11:F31">
    <cfRule type="colorScale" priority="2636">
      <colorScale>
        <cfvo type="min"/>
        <cfvo type="percentile" val="50"/>
        <cfvo type="max"/>
        <color rgb="FFF8696B"/>
        <color rgb="FFFFEB84"/>
        <color rgb="FF63BE7B"/>
      </colorScale>
    </cfRule>
  </conditionalFormatting>
  <conditionalFormatting sqref="F11:F31">
    <cfRule type="colorScale" priority="2635">
      <colorScale>
        <cfvo type="min"/>
        <cfvo type="percentile" val="50"/>
        <cfvo type="max"/>
        <color rgb="FFF8696B"/>
        <color rgb="FFFFEB84"/>
        <color rgb="FF63BE7B"/>
      </colorScale>
    </cfRule>
  </conditionalFormatting>
  <conditionalFormatting sqref="F11:F31">
    <cfRule type="colorScale" priority="2634">
      <colorScale>
        <cfvo type="min"/>
        <cfvo type="percentile" val="50"/>
        <cfvo type="max"/>
        <color rgb="FFF8696B"/>
        <color rgb="FFFFEB84"/>
        <color rgb="FF63BE7B"/>
      </colorScale>
    </cfRule>
  </conditionalFormatting>
  <conditionalFormatting sqref="F11:F31">
    <cfRule type="colorScale" priority="2633">
      <colorScale>
        <cfvo type="min"/>
        <cfvo type="percentile" val="50"/>
        <cfvo type="max"/>
        <color rgb="FFF8696B"/>
        <color rgb="FFFFEB84"/>
        <color rgb="FF63BE7B"/>
      </colorScale>
    </cfRule>
  </conditionalFormatting>
  <conditionalFormatting sqref="F11:F31">
    <cfRule type="colorScale" priority="2632">
      <colorScale>
        <cfvo type="min"/>
        <cfvo type="percentile" val="50"/>
        <cfvo type="max"/>
        <color rgb="FFF8696B"/>
        <color rgb="FFFFEB84"/>
        <color rgb="FF63BE7B"/>
      </colorScale>
    </cfRule>
  </conditionalFormatting>
  <conditionalFormatting sqref="F11:F31">
    <cfRule type="colorScale" priority="2631">
      <colorScale>
        <cfvo type="min"/>
        <cfvo type="percentile" val="50"/>
        <cfvo type="max"/>
        <color rgb="FFF8696B"/>
        <color rgb="FFFFEB84"/>
        <color rgb="FF63BE7B"/>
      </colorScale>
    </cfRule>
  </conditionalFormatting>
  <conditionalFormatting sqref="F11:F31">
    <cfRule type="colorScale" priority="2630">
      <colorScale>
        <cfvo type="min"/>
        <cfvo type="percentile" val="50"/>
        <cfvo type="max"/>
        <color rgb="FFF8696B"/>
        <color rgb="FFFFEB84"/>
        <color rgb="FF63BE7B"/>
      </colorScale>
    </cfRule>
  </conditionalFormatting>
  <conditionalFormatting sqref="F11:F31">
    <cfRule type="colorScale" priority="2629">
      <colorScale>
        <cfvo type="min"/>
        <cfvo type="percentile" val="50"/>
        <cfvo type="max"/>
        <color rgb="FFF8696B"/>
        <color rgb="FFFFEB84"/>
        <color rgb="FF63BE7B"/>
      </colorScale>
    </cfRule>
  </conditionalFormatting>
  <conditionalFormatting sqref="F11:F31">
    <cfRule type="colorScale" priority="2628">
      <colorScale>
        <cfvo type="min"/>
        <cfvo type="percentile" val="50"/>
        <cfvo type="max"/>
        <color rgb="FFF8696B"/>
        <color rgb="FFFFEB84"/>
        <color rgb="FF63BE7B"/>
      </colorScale>
    </cfRule>
  </conditionalFormatting>
  <conditionalFormatting sqref="F11:F31">
    <cfRule type="colorScale" priority="2627">
      <colorScale>
        <cfvo type="min"/>
        <cfvo type="percentile" val="50"/>
        <cfvo type="max"/>
        <color rgb="FFF8696B"/>
        <color rgb="FFFFEB84"/>
        <color rgb="FF63BE7B"/>
      </colorScale>
    </cfRule>
  </conditionalFormatting>
  <conditionalFormatting sqref="F11:F31">
    <cfRule type="colorScale" priority="2626">
      <colorScale>
        <cfvo type="min"/>
        <cfvo type="percentile" val="50"/>
        <cfvo type="max"/>
        <color rgb="FFF8696B"/>
        <color rgb="FFFFEB84"/>
        <color rgb="FF63BE7B"/>
      </colorScale>
    </cfRule>
  </conditionalFormatting>
  <conditionalFormatting sqref="F11:F31">
    <cfRule type="colorScale" priority="2625">
      <colorScale>
        <cfvo type="min"/>
        <cfvo type="percentile" val="50"/>
        <cfvo type="max"/>
        <color rgb="FFF8696B"/>
        <color rgb="FFFFEB84"/>
        <color rgb="FF63BE7B"/>
      </colorScale>
    </cfRule>
  </conditionalFormatting>
  <conditionalFormatting sqref="F11:F31">
    <cfRule type="colorScale" priority="2624">
      <colorScale>
        <cfvo type="min"/>
        <cfvo type="percentile" val="50"/>
        <cfvo type="max"/>
        <color rgb="FFF8696B"/>
        <color rgb="FFFFEB84"/>
        <color rgb="FF63BE7B"/>
      </colorScale>
    </cfRule>
  </conditionalFormatting>
  <conditionalFormatting sqref="F11:F31">
    <cfRule type="colorScale" priority="2623">
      <colorScale>
        <cfvo type="min"/>
        <cfvo type="percentile" val="50"/>
        <cfvo type="max"/>
        <color rgb="FFF8696B"/>
        <color rgb="FFFFEB84"/>
        <color rgb="FF63BE7B"/>
      </colorScale>
    </cfRule>
  </conditionalFormatting>
  <conditionalFormatting sqref="F11:F31">
    <cfRule type="colorScale" priority="2622">
      <colorScale>
        <cfvo type="min"/>
        <cfvo type="percentile" val="50"/>
        <cfvo type="max"/>
        <color rgb="FFF8696B"/>
        <color rgb="FFFFEB84"/>
        <color rgb="FF63BE7B"/>
      </colorScale>
    </cfRule>
  </conditionalFormatting>
  <conditionalFormatting sqref="F11:F31">
    <cfRule type="colorScale" priority="2621">
      <colorScale>
        <cfvo type="min"/>
        <cfvo type="percentile" val="50"/>
        <cfvo type="max"/>
        <color rgb="FFF8696B"/>
        <color rgb="FFFFEB84"/>
        <color rgb="FF63BE7B"/>
      </colorScale>
    </cfRule>
  </conditionalFormatting>
  <conditionalFormatting sqref="F11:F31">
    <cfRule type="colorScale" priority="2620">
      <colorScale>
        <cfvo type="min"/>
        <cfvo type="percentile" val="50"/>
        <cfvo type="max"/>
        <color rgb="FFF8696B"/>
        <color rgb="FFFFEB84"/>
        <color rgb="FF63BE7B"/>
      </colorScale>
    </cfRule>
  </conditionalFormatting>
  <conditionalFormatting sqref="F11:F31">
    <cfRule type="colorScale" priority="2619">
      <colorScale>
        <cfvo type="min"/>
        <cfvo type="percentile" val="50"/>
        <cfvo type="max"/>
        <color rgb="FFF8696B"/>
        <color rgb="FFFFEB84"/>
        <color rgb="FF63BE7B"/>
      </colorScale>
    </cfRule>
  </conditionalFormatting>
  <conditionalFormatting sqref="F11:F31">
    <cfRule type="colorScale" priority="2618">
      <colorScale>
        <cfvo type="min"/>
        <cfvo type="percentile" val="50"/>
        <cfvo type="max"/>
        <color rgb="FFF8696B"/>
        <color rgb="FFFFEB84"/>
        <color rgb="FF63BE7B"/>
      </colorScale>
    </cfRule>
  </conditionalFormatting>
  <conditionalFormatting sqref="F11:F31">
    <cfRule type="colorScale" priority="2617">
      <colorScale>
        <cfvo type="min"/>
        <cfvo type="percentile" val="50"/>
        <cfvo type="max"/>
        <color rgb="FFF8696B"/>
        <color rgb="FFFFEB84"/>
        <color rgb="FF63BE7B"/>
      </colorScale>
    </cfRule>
  </conditionalFormatting>
  <conditionalFormatting sqref="F11:F31">
    <cfRule type="colorScale" priority="2616">
      <colorScale>
        <cfvo type="min"/>
        <cfvo type="percentile" val="50"/>
        <cfvo type="max"/>
        <color rgb="FFF8696B"/>
        <color rgb="FFFFEB84"/>
        <color rgb="FF63BE7B"/>
      </colorScale>
    </cfRule>
  </conditionalFormatting>
  <conditionalFormatting sqref="F11:F31">
    <cfRule type="colorScale" priority="2615">
      <colorScale>
        <cfvo type="min"/>
        <cfvo type="percentile" val="50"/>
        <cfvo type="max"/>
        <color rgb="FFF8696B"/>
        <color rgb="FFFFEB84"/>
        <color rgb="FF63BE7B"/>
      </colorScale>
    </cfRule>
  </conditionalFormatting>
  <conditionalFormatting sqref="F11:F31">
    <cfRule type="colorScale" priority="2614">
      <colorScale>
        <cfvo type="min"/>
        <cfvo type="percentile" val="50"/>
        <cfvo type="max"/>
        <color rgb="FFF8696B"/>
        <color rgb="FFFFEB84"/>
        <color rgb="FF63BE7B"/>
      </colorScale>
    </cfRule>
  </conditionalFormatting>
  <conditionalFormatting sqref="F11:F31">
    <cfRule type="colorScale" priority="2613">
      <colorScale>
        <cfvo type="min"/>
        <cfvo type="percentile" val="50"/>
        <cfvo type="max"/>
        <color rgb="FFF8696B"/>
        <color rgb="FFFFEB84"/>
        <color rgb="FF63BE7B"/>
      </colorScale>
    </cfRule>
  </conditionalFormatting>
  <conditionalFormatting sqref="F11:F31">
    <cfRule type="colorScale" priority="2612">
      <colorScale>
        <cfvo type="min"/>
        <cfvo type="percentile" val="50"/>
        <cfvo type="max"/>
        <color rgb="FFF8696B"/>
        <color rgb="FFFFEB84"/>
        <color rgb="FF63BE7B"/>
      </colorScale>
    </cfRule>
  </conditionalFormatting>
  <conditionalFormatting sqref="F11:F31">
    <cfRule type="colorScale" priority="2611">
      <colorScale>
        <cfvo type="min"/>
        <cfvo type="percentile" val="50"/>
        <cfvo type="max"/>
        <color rgb="FFF8696B"/>
        <color rgb="FFFFEB84"/>
        <color rgb="FF63BE7B"/>
      </colorScale>
    </cfRule>
  </conditionalFormatting>
  <conditionalFormatting sqref="F11:F31">
    <cfRule type="colorScale" priority="2610">
      <colorScale>
        <cfvo type="min"/>
        <cfvo type="percentile" val="50"/>
        <cfvo type="max"/>
        <color rgb="FFF8696B"/>
        <color rgb="FFFFEB84"/>
        <color rgb="FF63BE7B"/>
      </colorScale>
    </cfRule>
  </conditionalFormatting>
  <conditionalFormatting sqref="F11:F31">
    <cfRule type="colorScale" priority="2609">
      <colorScale>
        <cfvo type="min"/>
        <cfvo type="percentile" val="50"/>
        <cfvo type="max"/>
        <color rgb="FFF8696B"/>
        <color rgb="FFFFEB84"/>
        <color rgb="FF63BE7B"/>
      </colorScale>
    </cfRule>
  </conditionalFormatting>
  <conditionalFormatting sqref="F11:F31">
    <cfRule type="colorScale" priority="2608">
      <colorScale>
        <cfvo type="min"/>
        <cfvo type="percentile" val="50"/>
        <cfvo type="max"/>
        <color rgb="FFF8696B"/>
        <color rgb="FFFFEB84"/>
        <color rgb="FF63BE7B"/>
      </colorScale>
    </cfRule>
  </conditionalFormatting>
  <conditionalFormatting sqref="F11:F31">
    <cfRule type="colorScale" priority="2607">
      <colorScale>
        <cfvo type="min"/>
        <cfvo type="percentile" val="50"/>
        <cfvo type="max"/>
        <color rgb="FFF8696B"/>
        <color rgb="FFFFEB84"/>
        <color rgb="FF63BE7B"/>
      </colorScale>
    </cfRule>
  </conditionalFormatting>
  <conditionalFormatting sqref="F11:F31">
    <cfRule type="colorScale" priority="2606">
      <colorScale>
        <cfvo type="min"/>
        <cfvo type="percentile" val="50"/>
        <cfvo type="max"/>
        <color rgb="FFF8696B"/>
        <color rgb="FFFFEB84"/>
        <color rgb="FF63BE7B"/>
      </colorScale>
    </cfRule>
  </conditionalFormatting>
  <conditionalFormatting sqref="F11:F31">
    <cfRule type="colorScale" priority="2605">
      <colorScale>
        <cfvo type="min"/>
        <cfvo type="percentile" val="50"/>
        <cfvo type="max"/>
        <color rgb="FFF8696B"/>
        <color rgb="FFFFEB84"/>
        <color rgb="FF63BE7B"/>
      </colorScale>
    </cfRule>
  </conditionalFormatting>
  <conditionalFormatting sqref="F11:F31">
    <cfRule type="colorScale" priority="2604">
      <colorScale>
        <cfvo type="min"/>
        <cfvo type="percentile" val="50"/>
        <cfvo type="max"/>
        <color rgb="FFF8696B"/>
        <color rgb="FFFFEB84"/>
        <color rgb="FF63BE7B"/>
      </colorScale>
    </cfRule>
  </conditionalFormatting>
  <conditionalFormatting sqref="F11:F31">
    <cfRule type="colorScale" priority="2603">
      <colorScale>
        <cfvo type="min"/>
        <cfvo type="percentile" val="50"/>
        <cfvo type="max"/>
        <color rgb="FFF8696B"/>
        <color rgb="FFFFEB84"/>
        <color rgb="FF63BE7B"/>
      </colorScale>
    </cfRule>
  </conditionalFormatting>
  <conditionalFormatting sqref="F11:F31">
    <cfRule type="colorScale" priority="2602">
      <colorScale>
        <cfvo type="min"/>
        <cfvo type="percentile" val="50"/>
        <cfvo type="max"/>
        <color rgb="FFF8696B"/>
        <color rgb="FFFFEB84"/>
        <color rgb="FF63BE7B"/>
      </colorScale>
    </cfRule>
  </conditionalFormatting>
  <conditionalFormatting sqref="F11:F31">
    <cfRule type="colorScale" priority="2601">
      <colorScale>
        <cfvo type="min"/>
        <cfvo type="percentile" val="50"/>
        <cfvo type="max"/>
        <color rgb="FFF8696B"/>
        <color rgb="FFFFEB84"/>
        <color rgb="FF63BE7B"/>
      </colorScale>
    </cfRule>
  </conditionalFormatting>
  <conditionalFormatting sqref="F11:F31">
    <cfRule type="colorScale" priority="2600">
      <colorScale>
        <cfvo type="min"/>
        <cfvo type="percentile" val="50"/>
        <cfvo type="max"/>
        <color rgb="FFF8696B"/>
        <color rgb="FFFFEB84"/>
        <color rgb="FF63BE7B"/>
      </colorScale>
    </cfRule>
  </conditionalFormatting>
  <conditionalFormatting sqref="F11:F31">
    <cfRule type="colorScale" priority="2599">
      <colorScale>
        <cfvo type="min"/>
        <cfvo type="percentile" val="50"/>
        <cfvo type="max"/>
        <color rgb="FFF8696B"/>
        <color rgb="FFFFEB84"/>
        <color rgb="FF63BE7B"/>
      </colorScale>
    </cfRule>
  </conditionalFormatting>
  <conditionalFormatting sqref="F11:F31">
    <cfRule type="colorScale" priority="2598">
      <colorScale>
        <cfvo type="min"/>
        <cfvo type="percentile" val="50"/>
        <cfvo type="max"/>
        <color rgb="FFF8696B"/>
        <color rgb="FFFFEB84"/>
        <color rgb="FF63BE7B"/>
      </colorScale>
    </cfRule>
  </conditionalFormatting>
  <conditionalFormatting sqref="F11:F31">
    <cfRule type="colorScale" priority="2597">
      <colorScale>
        <cfvo type="min"/>
        <cfvo type="percentile" val="50"/>
        <cfvo type="max"/>
        <color rgb="FFF8696B"/>
        <color rgb="FFFFEB84"/>
        <color rgb="FF63BE7B"/>
      </colorScale>
    </cfRule>
  </conditionalFormatting>
  <conditionalFormatting sqref="F11:F31">
    <cfRule type="colorScale" priority="2596">
      <colorScale>
        <cfvo type="min"/>
        <cfvo type="percentile" val="50"/>
        <cfvo type="max"/>
        <color rgb="FFF8696B"/>
        <color rgb="FFFFEB84"/>
        <color rgb="FF63BE7B"/>
      </colorScale>
    </cfRule>
  </conditionalFormatting>
  <conditionalFormatting sqref="F11:F31">
    <cfRule type="colorScale" priority="2595">
      <colorScale>
        <cfvo type="min"/>
        <cfvo type="percentile" val="50"/>
        <cfvo type="max"/>
        <color rgb="FFF8696B"/>
        <color rgb="FFFFEB84"/>
        <color rgb="FF63BE7B"/>
      </colorScale>
    </cfRule>
  </conditionalFormatting>
  <conditionalFormatting sqref="F11:F31">
    <cfRule type="colorScale" priority="2594">
      <colorScale>
        <cfvo type="min"/>
        <cfvo type="percentile" val="50"/>
        <cfvo type="max"/>
        <color rgb="FFF8696B"/>
        <color rgb="FFFFEB84"/>
        <color rgb="FF63BE7B"/>
      </colorScale>
    </cfRule>
  </conditionalFormatting>
  <conditionalFormatting sqref="F11:F31">
    <cfRule type="colorScale" priority="2593">
      <colorScale>
        <cfvo type="min"/>
        <cfvo type="percentile" val="50"/>
        <cfvo type="max"/>
        <color rgb="FFF8696B"/>
        <color rgb="FFFFEB84"/>
        <color rgb="FF63BE7B"/>
      </colorScale>
    </cfRule>
  </conditionalFormatting>
  <conditionalFormatting sqref="F11:F31">
    <cfRule type="colorScale" priority="2592">
      <colorScale>
        <cfvo type="min"/>
        <cfvo type="percentile" val="50"/>
        <cfvo type="max"/>
        <color rgb="FFF8696B"/>
        <color rgb="FFFFEB84"/>
        <color rgb="FF63BE7B"/>
      </colorScale>
    </cfRule>
  </conditionalFormatting>
  <conditionalFormatting sqref="F11:F31">
    <cfRule type="colorScale" priority="2591">
      <colorScale>
        <cfvo type="min"/>
        <cfvo type="percentile" val="50"/>
        <cfvo type="max"/>
        <color rgb="FFF8696B"/>
        <color rgb="FFFFEB84"/>
        <color rgb="FF63BE7B"/>
      </colorScale>
    </cfRule>
  </conditionalFormatting>
  <conditionalFormatting sqref="F11:F31">
    <cfRule type="colorScale" priority="2590">
      <colorScale>
        <cfvo type="min"/>
        <cfvo type="percentile" val="50"/>
        <cfvo type="max"/>
        <color rgb="FFF8696B"/>
        <color rgb="FFFFEB84"/>
        <color rgb="FF63BE7B"/>
      </colorScale>
    </cfRule>
  </conditionalFormatting>
  <conditionalFormatting sqref="F11:F31">
    <cfRule type="colorScale" priority="2589">
      <colorScale>
        <cfvo type="min"/>
        <cfvo type="percentile" val="50"/>
        <cfvo type="max"/>
        <color rgb="FFF8696B"/>
        <color rgb="FFFFEB84"/>
        <color rgb="FF63BE7B"/>
      </colorScale>
    </cfRule>
  </conditionalFormatting>
  <conditionalFormatting sqref="F11:F31">
    <cfRule type="colorScale" priority="2588">
      <colorScale>
        <cfvo type="min"/>
        <cfvo type="percentile" val="50"/>
        <cfvo type="max"/>
        <color rgb="FFF8696B"/>
        <color rgb="FFFFEB84"/>
        <color rgb="FF63BE7B"/>
      </colorScale>
    </cfRule>
  </conditionalFormatting>
  <conditionalFormatting sqref="F11:F31">
    <cfRule type="colorScale" priority="2587">
      <colorScale>
        <cfvo type="min"/>
        <cfvo type="percentile" val="50"/>
        <cfvo type="max"/>
        <color rgb="FFF8696B"/>
        <color rgb="FFFFEB84"/>
        <color rgb="FF63BE7B"/>
      </colorScale>
    </cfRule>
  </conditionalFormatting>
  <conditionalFormatting sqref="F11:F31">
    <cfRule type="colorScale" priority="2586">
      <colorScale>
        <cfvo type="min"/>
        <cfvo type="percentile" val="50"/>
        <cfvo type="max"/>
        <color rgb="FFF8696B"/>
        <color rgb="FFFFEB84"/>
        <color rgb="FF63BE7B"/>
      </colorScale>
    </cfRule>
  </conditionalFormatting>
  <conditionalFormatting sqref="F11:F31">
    <cfRule type="colorScale" priority="2585">
      <colorScale>
        <cfvo type="min"/>
        <cfvo type="percentile" val="50"/>
        <cfvo type="max"/>
        <color rgb="FFF8696B"/>
        <color rgb="FFFFEB84"/>
        <color rgb="FF63BE7B"/>
      </colorScale>
    </cfRule>
  </conditionalFormatting>
  <conditionalFormatting sqref="F11:F31">
    <cfRule type="colorScale" priority="2584">
      <colorScale>
        <cfvo type="min"/>
        <cfvo type="percentile" val="50"/>
        <cfvo type="max"/>
        <color rgb="FFF8696B"/>
        <color rgb="FFFFEB84"/>
        <color rgb="FF63BE7B"/>
      </colorScale>
    </cfRule>
  </conditionalFormatting>
  <conditionalFormatting sqref="F11:F31">
    <cfRule type="colorScale" priority="2583">
      <colorScale>
        <cfvo type="min"/>
        <cfvo type="percentile" val="50"/>
        <cfvo type="max"/>
        <color rgb="FFF8696B"/>
        <color rgb="FFFFEB84"/>
        <color rgb="FF63BE7B"/>
      </colorScale>
    </cfRule>
  </conditionalFormatting>
  <conditionalFormatting sqref="F11:F31">
    <cfRule type="colorScale" priority="2582">
      <colorScale>
        <cfvo type="min"/>
        <cfvo type="percentile" val="50"/>
        <cfvo type="max"/>
        <color rgb="FFF8696B"/>
        <color rgb="FFFFEB84"/>
        <color rgb="FF63BE7B"/>
      </colorScale>
    </cfRule>
  </conditionalFormatting>
  <conditionalFormatting sqref="F11:F31">
    <cfRule type="colorScale" priority="2581">
      <colorScale>
        <cfvo type="min"/>
        <cfvo type="percentile" val="50"/>
        <cfvo type="max"/>
        <color rgb="FFF8696B"/>
        <color rgb="FFFFEB84"/>
        <color rgb="FF63BE7B"/>
      </colorScale>
    </cfRule>
  </conditionalFormatting>
  <conditionalFormatting sqref="F11:F31">
    <cfRule type="colorScale" priority="2580">
      <colorScale>
        <cfvo type="min"/>
        <cfvo type="percentile" val="50"/>
        <cfvo type="max"/>
        <color rgb="FFF8696B"/>
        <color rgb="FFFFEB84"/>
        <color rgb="FF63BE7B"/>
      </colorScale>
    </cfRule>
  </conditionalFormatting>
  <conditionalFormatting sqref="F11:F31">
    <cfRule type="colorScale" priority="2579">
      <colorScale>
        <cfvo type="min"/>
        <cfvo type="percentile" val="50"/>
        <cfvo type="max"/>
        <color rgb="FFF8696B"/>
        <color rgb="FFFFEB84"/>
        <color rgb="FF63BE7B"/>
      </colorScale>
    </cfRule>
  </conditionalFormatting>
  <conditionalFormatting sqref="F11:F31">
    <cfRule type="colorScale" priority="2578">
      <colorScale>
        <cfvo type="min"/>
        <cfvo type="percentile" val="50"/>
        <cfvo type="max"/>
        <color rgb="FFF8696B"/>
        <color rgb="FFFFEB84"/>
        <color rgb="FF63BE7B"/>
      </colorScale>
    </cfRule>
  </conditionalFormatting>
  <conditionalFormatting sqref="F11:F31">
    <cfRule type="colorScale" priority="2577">
      <colorScale>
        <cfvo type="min"/>
        <cfvo type="percentile" val="50"/>
        <cfvo type="max"/>
        <color rgb="FFF8696B"/>
        <color rgb="FFFFEB84"/>
        <color rgb="FF63BE7B"/>
      </colorScale>
    </cfRule>
  </conditionalFormatting>
  <conditionalFormatting sqref="F11:F31">
    <cfRule type="colorScale" priority="2576">
      <colorScale>
        <cfvo type="min"/>
        <cfvo type="percentile" val="50"/>
        <cfvo type="max"/>
        <color rgb="FFF8696B"/>
        <color rgb="FFFFEB84"/>
        <color rgb="FF63BE7B"/>
      </colorScale>
    </cfRule>
  </conditionalFormatting>
  <conditionalFormatting sqref="F11:F31">
    <cfRule type="colorScale" priority="2575">
      <colorScale>
        <cfvo type="min"/>
        <cfvo type="percentile" val="50"/>
        <cfvo type="max"/>
        <color rgb="FFF8696B"/>
        <color rgb="FFFFEB84"/>
        <color rgb="FF63BE7B"/>
      </colorScale>
    </cfRule>
  </conditionalFormatting>
  <conditionalFormatting sqref="F11:F31">
    <cfRule type="colorScale" priority="2574">
      <colorScale>
        <cfvo type="min"/>
        <cfvo type="percentile" val="50"/>
        <cfvo type="max"/>
        <color rgb="FFF8696B"/>
        <color rgb="FFFFEB84"/>
        <color rgb="FF63BE7B"/>
      </colorScale>
    </cfRule>
  </conditionalFormatting>
  <conditionalFormatting sqref="F11:F31">
    <cfRule type="colorScale" priority="2573">
      <colorScale>
        <cfvo type="min"/>
        <cfvo type="percentile" val="50"/>
        <cfvo type="max"/>
        <color rgb="FFF8696B"/>
        <color rgb="FFFFEB84"/>
        <color rgb="FF63BE7B"/>
      </colorScale>
    </cfRule>
  </conditionalFormatting>
  <conditionalFormatting sqref="F11:F31">
    <cfRule type="colorScale" priority="2572">
      <colorScale>
        <cfvo type="min"/>
        <cfvo type="percentile" val="50"/>
        <cfvo type="max"/>
        <color rgb="FFF8696B"/>
        <color rgb="FFFFEB84"/>
        <color rgb="FF63BE7B"/>
      </colorScale>
    </cfRule>
  </conditionalFormatting>
  <conditionalFormatting sqref="F11:F31">
    <cfRule type="colorScale" priority="2571">
      <colorScale>
        <cfvo type="min"/>
        <cfvo type="percentile" val="50"/>
        <cfvo type="max"/>
        <color rgb="FFF8696B"/>
        <color rgb="FFFFEB84"/>
        <color rgb="FF63BE7B"/>
      </colorScale>
    </cfRule>
  </conditionalFormatting>
  <conditionalFormatting sqref="F11:F31">
    <cfRule type="colorScale" priority="2570">
      <colorScale>
        <cfvo type="min"/>
        <cfvo type="percentile" val="50"/>
        <cfvo type="max"/>
        <color rgb="FFF8696B"/>
        <color rgb="FFFFEB84"/>
        <color rgb="FF63BE7B"/>
      </colorScale>
    </cfRule>
  </conditionalFormatting>
  <conditionalFormatting sqref="F11:F31">
    <cfRule type="colorScale" priority="2569">
      <colorScale>
        <cfvo type="min"/>
        <cfvo type="percentile" val="50"/>
        <cfvo type="max"/>
        <color rgb="FFF8696B"/>
        <color rgb="FFFFEB84"/>
        <color rgb="FF63BE7B"/>
      </colorScale>
    </cfRule>
  </conditionalFormatting>
  <conditionalFormatting sqref="F11:F31">
    <cfRule type="colorScale" priority="2568">
      <colorScale>
        <cfvo type="min"/>
        <cfvo type="percentile" val="50"/>
        <cfvo type="max"/>
        <color rgb="FFF8696B"/>
        <color rgb="FFFFEB84"/>
        <color rgb="FF63BE7B"/>
      </colorScale>
    </cfRule>
  </conditionalFormatting>
  <conditionalFormatting sqref="F11:F31">
    <cfRule type="colorScale" priority="2567">
      <colorScale>
        <cfvo type="min"/>
        <cfvo type="percentile" val="50"/>
        <cfvo type="max"/>
        <color rgb="FFF8696B"/>
        <color rgb="FFFFEB84"/>
        <color rgb="FF63BE7B"/>
      </colorScale>
    </cfRule>
  </conditionalFormatting>
  <conditionalFormatting sqref="F11:F31">
    <cfRule type="colorScale" priority="2566">
      <colorScale>
        <cfvo type="min"/>
        <cfvo type="percentile" val="50"/>
        <cfvo type="max"/>
        <color rgb="FFF8696B"/>
        <color rgb="FFFFEB84"/>
        <color rgb="FF63BE7B"/>
      </colorScale>
    </cfRule>
  </conditionalFormatting>
  <conditionalFormatting sqref="F11:F31">
    <cfRule type="colorScale" priority="2565">
      <colorScale>
        <cfvo type="min"/>
        <cfvo type="percentile" val="50"/>
        <cfvo type="max"/>
        <color rgb="FFF8696B"/>
        <color rgb="FFFFEB84"/>
        <color rgb="FF63BE7B"/>
      </colorScale>
    </cfRule>
  </conditionalFormatting>
  <conditionalFormatting sqref="F11:F31">
    <cfRule type="colorScale" priority="2564">
      <colorScale>
        <cfvo type="min"/>
        <cfvo type="percentile" val="50"/>
        <cfvo type="max"/>
        <color rgb="FFF8696B"/>
        <color rgb="FFFFEB84"/>
        <color rgb="FF63BE7B"/>
      </colorScale>
    </cfRule>
  </conditionalFormatting>
  <conditionalFormatting sqref="F11:F31">
    <cfRule type="colorScale" priority="2563">
      <colorScale>
        <cfvo type="min"/>
        <cfvo type="percentile" val="50"/>
        <cfvo type="max"/>
        <color rgb="FFF8696B"/>
        <color rgb="FFFFEB84"/>
        <color rgb="FF63BE7B"/>
      </colorScale>
    </cfRule>
  </conditionalFormatting>
  <conditionalFormatting sqref="F11:F31">
    <cfRule type="colorScale" priority="2562">
      <colorScale>
        <cfvo type="min"/>
        <cfvo type="percentile" val="50"/>
        <cfvo type="max"/>
        <color rgb="FFF8696B"/>
        <color rgb="FFFFEB84"/>
        <color rgb="FF63BE7B"/>
      </colorScale>
    </cfRule>
  </conditionalFormatting>
  <conditionalFormatting sqref="F11:F31">
    <cfRule type="colorScale" priority="2561">
      <colorScale>
        <cfvo type="min"/>
        <cfvo type="percentile" val="50"/>
        <cfvo type="max"/>
        <color rgb="FFF8696B"/>
        <color rgb="FFFFEB84"/>
        <color rgb="FF63BE7B"/>
      </colorScale>
    </cfRule>
  </conditionalFormatting>
  <conditionalFormatting sqref="F11:F31">
    <cfRule type="colorScale" priority="2560">
      <colorScale>
        <cfvo type="min"/>
        <cfvo type="percentile" val="50"/>
        <cfvo type="max"/>
        <color rgb="FFF8696B"/>
        <color rgb="FFFFEB84"/>
        <color rgb="FF63BE7B"/>
      </colorScale>
    </cfRule>
  </conditionalFormatting>
  <conditionalFormatting sqref="F11:F31">
    <cfRule type="colorScale" priority="2559">
      <colorScale>
        <cfvo type="min"/>
        <cfvo type="percentile" val="50"/>
        <cfvo type="max"/>
        <color rgb="FFF8696B"/>
        <color rgb="FFFFEB84"/>
        <color rgb="FF63BE7B"/>
      </colorScale>
    </cfRule>
  </conditionalFormatting>
  <conditionalFormatting sqref="F11:F31">
    <cfRule type="colorScale" priority="2558">
      <colorScale>
        <cfvo type="min"/>
        <cfvo type="percentile" val="50"/>
        <cfvo type="max"/>
        <color rgb="FFF8696B"/>
        <color rgb="FFFFEB84"/>
        <color rgb="FF63BE7B"/>
      </colorScale>
    </cfRule>
  </conditionalFormatting>
  <conditionalFormatting sqref="F11:F31">
    <cfRule type="colorScale" priority="2557">
      <colorScale>
        <cfvo type="min"/>
        <cfvo type="percentile" val="50"/>
        <cfvo type="max"/>
        <color rgb="FFF8696B"/>
        <color rgb="FFFFEB84"/>
        <color rgb="FF63BE7B"/>
      </colorScale>
    </cfRule>
  </conditionalFormatting>
  <conditionalFormatting sqref="F11:F31">
    <cfRule type="colorScale" priority="2556">
      <colorScale>
        <cfvo type="min"/>
        <cfvo type="percentile" val="50"/>
        <cfvo type="max"/>
        <color rgb="FFF8696B"/>
        <color rgb="FFFFEB84"/>
        <color rgb="FF63BE7B"/>
      </colorScale>
    </cfRule>
  </conditionalFormatting>
  <conditionalFormatting sqref="F11:F31">
    <cfRule type="colorScale" priority="2555">
      <colorScale>
        <cfvo type="min"/>
        <cfvo type="percentile" val="50"/>
        <cfvo type="max"/>
        <color rgb="FFF8696B"/>
        <color rgb="FFFFEB84"/>
        <color rgb="FF63BE7B"/>
      </colorScale>
    </cfRule>
  </conditionalFormatting>
  <conditionalFormatting sqref="F11:F31">
    <cfRule type="colorScale" priority="2554">
      <colorScale>
        <cfvo type="min"/>
        <cfvo type="percentile" val="50"/>
        <cfvo type="max"/>
        <color rgb="FFF8696B"/>
        <color rgb="FFFFEB84"/>
        <color rgb="FF63BE7B"/>
      </colorScale>
    </cfRule>
  </conditionalFormatting>
  <conditionalFormatting sqref="F11:F31">
    <cfRule type="colorScale" priority="2553">
      <colorScale>
        <cfvo type="min"/>
        <cfvo type="percentile" val="50"/>
        <cfvo type="max"/>
        <color rgb="FFF8696B"/>
        <color rgb="FFFFEB84"/>
        <color rgb="FF63BE7B"/>
      </colorScale>
    </cfRule>
  </conditionalFormatting>
  <conditionalFormatting sqref="F11:F31">
    <cfRule type="colorScale" priority="2552">
      <colorScale>
        <cfvo type="min"/>
        <cfvo type="percentile" val="50"/>
        <cfvo type="max"/>
        <color rgb="FFF8696B"/>
        <color rgb="FFFFEB84"/>
        <color rgb="FF63BE7B"/>
      </colorScale>
    </cfRule>
  </conditionalFormatting>
  <conditionalFormatting sqref="F11:F31">
    <cfRule type="colorScale" priority="2551">
      <colorScale>
        <cfvo type="min"/>
        <cfvo type="percentile" val="50"/>
        <cfvo type="max"/>
        <color rgb="FFF8696B"/>
        <color rgb="FFFFEB84"/>
        <color rgb="FF63BE7B"/>
      </colorScale>
    </cfRule>
  </conditionalFormatting>
  <conditionalFormatting sqref="F11:F31">
    <cfRule type="colorScale" priority="2550">
      <colorScale>
        <cfvo type="min"/>
        <cfvo type="percentile" val="50"/>
        <cfvo type="max"/>
        <color rgb="FFF8696B"/>
        <color rgb="FFFFEB84"/>
        <color rgb="FF63BE7B"/>
      </colorScale>
    </cfRule>
  </conditionalFormatting>
  <conditionalFormatting sqref="F11:F31">
    <cfRule type="colorScale" priority="2549">
      <colorScale>
        <cfvo type="min"/>
        <cfvo type="percentile" val="50"/>
        <cfvo type="max"/>
        <color rgb="FFF8696B"/>
        <color rgb="FFFFEB84"/>
        <color rgb="FF63BE7B"/>
      </colorScale>
    </cfRule>
  </conditionalFormatting>
  <conditionalFormatting sqref="F11:F31">
    <cfRule type="colorScale" priority="2548">
      <colorScale>
        <cfvo type="min"/>
        <cfvo type="percentile" val="50"/>
        <cfvo type="max"/>
        <color rgb="FFF8696B"/>
        <color rgb="FFFFEB84"/>
        <color rgb="FF63BE7B"/>
      </colorScale>
    </cfRule>
  </conditionalFormatting>
  <conditionalFormatting sqref="F11:F31">
    <cfRule type="colorScale" priority="2547">
      <colorScale>
        <cfvo type="min"/>
        <cfvo type="percentile" val="50"/>
        <cfvo type="max"/>
        <color rgb="FFF8696B"/>
        <color rgb="FFFFEB84"/>
        <color rgb="FF63BE7B"/>
      </colorScale>
    </cfRule>
  </conditionalFormatting>
  <conditionalFormatting sqref="F11:F31">
    <cfRule type="colorScale" priority="2546">
      <colorScale>
        <cfvo type="min"/>
        <cfvo type="percentile" val="50"/>
        <cfvo type="max"/>
        <color rgb="FFF8696B"/>
        <color rgb="FFFFEB84"/>
        <color rgb="FF63BE7B"/>
      </colorScale>
    </cfRule>
  </conditionalFormatting>
  <conditionalFormatting sqref="F11:F31">
    <cfRule type="colorScale" priority="2545">
      <colorScale>
        <cfvo type="min"/>
        <cfvo type="percentile" val="50"/>
        <cfvo type="max"/>
        <color rgb="FFF8696B"/>
        <color rgb="FFFFEB84"/>
        <color rgb="FF63BE7B"/>
      </colorScale>
    </cfRule>
  </conditionalFormatting>
  <conditionalFormatting sqref="F11:F31">
    <cfRule type="colorScale" priority="2544">
      <colorScale>
        <cfvo type="min"/>
        <cfvo type="percentile" val="50"/>
        <cfvo type="max"/>
        <color rgb="FFF8696B"/>
        <color rgb="FFFFEB84"/>
        <color rgb="FF63BE7B"/>
      </colorScale>
    </cfRule>
  </conditionalFormatting>
  <conditionalFormatting sqref="F11:F31">
    <cfRule type="colorScale" priority="2543">
      <colorScale>
        <cfvo type="min"/>
        <cfvo type="percentile" val="50"/>
        <cfvo type="max"/>
        <color rgb="FFF8696B"/>
        <color rgb="FFFFEB84"/>
        <color rgb="FF63BE7B"/>
      </colorScale>
    </cfRule>
  </conditionalFormatting>
  <conditionalFormatting sqref="F11:F32">
    <cfRule type="colorScale" priority="2542">
      <colorScale>
        <cfvo type="min"/>
        <cfvo type="percentile" val="50"/>
        <cfvo type="max"/>
        <color rgb="FFF8696B"/>
        <color rgb="FFFFEB84"/>
        <color rgb="FF63BE7B"/>
      </colorScale>
    </cfRule>
  </conditionalFormatting>
  <conditionalFormatting sqref="F11:F32">
    <cfRule type="colorScale" priority="2541">
      <colorScale>
        <cfvo type="min"/>
        <cfvo type="percentile" val="50"/>
        <cfvo type="max"/>
        <color rgb="FFF8696B"/>
        <color rgb="FFFFEB84"/>
        <color rgb="FF63BE7B"/>
      </colorScale>
    </cfRule>
  </conditionalFormatting>
  <conditionalFormatting sqref="F11:F31">
    <cfRule type="colorScale" priority="2540">
      <colorScale>
        <cfvo type="min"/>
        <cfvo type="percentile" val="50"/>
        <cfvo type="max"/>
        <color rgb="FFF8696B"/>
        <color rgb="FFFFEB84"/>
        <color rgb="FF63BE7B"/>
      </colorScale>
    </cfRule>
  </conditionalFormatting>
  <conditionalFormatting sqref="F11:F31">
    <cfRule type="colorScale" priority="2539">
      <colorScale>
        <cfvo type="min"/>
        <cfvo type="percentile" val="50"/>
        <cfvo type="max"/>
        <color rgb="FFF8696B"/>
        <color rgb="FFFFEB84"/>
        <color rgb="FF63BE7B"/>
      </colorScale>
    </cfRule>
  </conditionalFormatting>
  <conditionalFormatting sqref="F11:F31">
    <cfRule type="colorScale" priority="2538">
      <colorScale>
        <cfvo type="min"/>
        <cfvo type="percentile" val="50"/>
        <cfvo type="max"/>
        <color rgb="FFF8696B"/>
        <color rgb="FFFFEB84"/>
        <color rgb="FF63BE7B"/>
      </colorScale>
    </cfRule>
  </conditionalFormatting>
  <conditionalFormatting sqref="F11:F31">
    <cfRule type="colorScale" priority="2537">
      <colorScale>
        <cfvo type="min"/>
        <cfvo type="percentile" val="50"/>
        <cfvo type="max"/>
        <color rgb="FFF8696B"/>
        <color rgb="FFFFEB84"/>
        <color rgb="FF63BE7B"/>
      </colorScale>
    </cfRule>
  </conditionalFormatting>
  <conditionalFormatting sqref="F11:F28">
    <cfRule type="colorScale" priority="2536">
      <colorScale>
        <cfvo type="min"/>
        <cfvo type="percentile" val="50"/>
        <cfvo type="max"/>
        <color rgb="FFF8696B"/>
        <color rgb="FFFFEB84"/>
        <color rgb="FF63BE7B"/>
      </colorScale>
    </cfRule>
  </conditionalFormatting>
  <conditionalFormatting sqref="F11:F28">
    <cfRule type="colorScale" priority="2535">
      <colorScale>
        <cfvo type="min"/>
        <cfvo type="percentile" val="50"/>
        <cfvo type="max"/>
        <color rgb="FFF8696B"/>
        <color rgb="FFFFEB84"/>
        <color rgb="FF63BE7B"/>
      </colorScale>
    </cfRule>
  </conditionalFormatting>
  <conditionalFormatting sqref="F11:F31">
    <cfRule type="colorScale" priority="2534">
      <colorScale>
        <cfvo type="min"/>
        <cfvo type="percentile" val="50"/>
        <cfvo type="max"/>
        <color rgb="FFF8696B"/>
        <color rgb="FFFFEB84"/>
        <color rgb="FF63BE7B"/>
      </colorScale>
    </cfRule>
  </conditionalFormatting>
  <conditionalFormatting sqref="F11:F31">
    <cfRule type="colorScale" priority="2533">
      <colorScale>
        <cfvo type="min"/>
        <cfvo type="percentile" val="50"/>
        <cfvo type="max"/>
        <color rgb="FFF8696B"/>
        <color rgb="FFFFEB84"/>
        <color rgb="FF63BE7B"/>
      </colorScale>
    </cfRule>
  </conditionalFormatting>
  <conditionalFormatting sqref="F11:F32">
    <cfRule type="colorScale" priority="2532">
      <colorScale>
        <cfvo type="min"/>
        <cfvo type="percentile" val="50"/>
        <cfvo type="max"/>
        <color rgb="FFF8696B"/>
        <color rgb="FFFFEB84"/>
        <color rgb="FF63BE7B"/>
      </colorScale>
    </cfRule>
  </conditionalFormatting>
  <conditionalFormatting sqref="F11:F32">
    <cfRule type="colorScale" priority="2531">
      <colorScale>
        <cfvo type="min"/>
        <cfvo type="percentile" val="50"/>
        <cfvo type="max"/>
        <color rgb="FFF8696B"/>
        <color rgb="FFFFEB84"/>
        <color rgb="FF63BE7B"/>
      </colorScale>
    </cfRule>
  </conditionalFormatting>
  <conditionalFormatting sqref="F11:F31">
    <cfRule type="colorScale" priority="2530">
      <colorScale>
        <cfvo type="min"/>
        <cfvo type="percentile" val="50"/>
        <cfvo type="max"/>
        <color rgb="FFF8696B"/>
        <color rgb="FFFFEB84"/>
        <color rgb="FF63BE7B"/>
      </colorScale>
    </cfRule>
  </conditionalFormatting>
  <conditionalFormatting sqref="F11:F31">
    <cfRule type="colorScale" priority="2529">
      <colorScale>
        <cfvo type="min"/>
        <cfvo type="percentile" val="50"/>
        <cfvo type="max"/>
        <color rgb="FFF8696B"/>
        <color rgb="FFFFEB84"/>
        <color rgb="FF63BE7B"/>
      </colorScale>
    </cfRule>
  </conditionalFormatting>
  <conditionalFormatting sqref="F11:F31">
    <cfRule type="colorScale" priority="2528">
      <colorScale>
        <cfvo type="min"/>
        <cfvo type="percentile" val="50"/>
        <cfvo type="max"/>
        <color rgb="FFF8696B"/>
        <color rgb="FFFFEB84"/>
        <color rgb="FF63BE7B"/>
      </colorScale>
    </cfRule>
  </conditionalFormatting>
  <conditionalFormatting sqref="F11:F31">
    <cfRule type="colorScale" priority="2527">
      <colorScale>
        <cfvo type="min"/>
        <cfvo type="percentile" val="50"/>
        <cfvo type="max"/>
        <color rgb="FFF8696B"/>
        <color rgb="FFFFEB84"/>
        <color rgb="FF63BE7B"/>
      </colorScale>
    </cfRule>
  </conditionalFormatting>
  <conditionalFormatting sqref="F11:F31">
    <cfRule type="colorScale" priority="2526">
      <colorScale>
        <cfvo type="min"/>
        <cfvo type="percentile" val="50"/>
        <cfvo type="max"/>
        <color rgb="FFF8696B"/>
        <color rgb="FFFFEB84"/>
        <color rgb="FF63BE7B"/>
      </colorScale>
    </cfRule>
  </conditionalFormatting>
  <conditionalFormatting sqref="F11:F31">
    <cfRule type="colorScale" priority="2525">
      <colorScale>
        <cfvo type="min"/>
        <cfvo type="percentile" val="50"/>
        <cfvo type="max"/>
        <color rgb="FFF8696B"/>
        <color rgb="FFFFEB84"/>
        <color rgb="FF63BE7B"/>
      </colorScale>
    </cfRule>
  </conditionalFormatting>
  <conditionalFormatting sqref="F11:F31">
    <cfRule type="colorScale" priority="2524">
      <colorScale>
        <cfvo type="min"/>
        <cfvo type="percentile" val="50"/>
        <cfvo type="max"/>
        <color rgb="FFF8696B"/>
        <color rgb="FFFFEB84"/>
        <color rgb="FF63BE7B"/>
      </colorScale>
    </cfRule>
  </conditionalFormatting>
  <conditionalFormatting sqref="F11:F31">
    <cfRule type="colorScale" priority="2523">
      <colorScale>
        <cfvo type="min"/>
        <cfvo type="percentile" val="50"/>
        <cfvo type="max"/>
        <color rgb="FFF8696B"/>
        <color rgb="FFFFEB84"/>
        <color rgb="FF63BE7B"/>
      </colorScale>
    </cfRule>
  </conditionalFormatting>
  <conditionalFormatting sqref="F11:F31">
    <cfRule type="colorScale" priority="2522">
      <colorScale>
        <cfvo type="min"/>
        <cfvo type="percentile" val="50"/>
        <cfvo type="max"/>
        <color rgb="FFF8696B"/>
        <color rgb="FFFFEB84"/>
        <color rgb="FF63BE7B"/>
      </colorScale>
    </cfRule>
  </conditionalFormatting>
  <conditionalFormatting sqref="F11:F31">
    <cfRule type="colorScale" priority="2521">
      <colorScale>
        <cfvo type="min"/>
        <cfvo type="percentile" val="50"/>
        <cfvo type="max"/>
        <color rgb="FFF8696B"/>
        <color rgb="FFFFEB84"/>
        <color rgb="FF63BE7B"/>
      </colorScale>
    </cfRule>
  </conditionalFormatting>
  <conditionalFormatting sqref="F29:F31">
    <cfRule type="colorScale" priority="2520">
      <colorScale>
        <cfvo type="min"/>
        <cfvo type="percentile" val="50"/>
        <cfvo type="max"/>
        <color rgb="FFF8696B"/>
        <color rgb="FFFFEB84"/>
        <color rgb="FF63BE7B"/>
      </colorScale>
    </cfRule>
  </conditionalFormatting>
  <conditionalFormatting sqref="F29:F31">
    <cfRule type="colorScale" priority="2519">
      <colorScale>
        <cfvo type="min"/>
        <cfvo type="percentile" val="50"/>
        <cfvo type="max"/>
        <color rgb="FFF8696B"/>
        <color rgb="FFFFEB84"/>
        <color rgb="FF63BE7B"/>
      </colorScale>
    </cfRule>
  </conditionalFormatting>
  <conditionalFormatting sqref="F32">
    <cfRule type="colorScale" priority="2518">
      <colorScale>
        <cfvo type="min"/>
        <cfvo type="percentile" val="50"/>
        <cfvo type="max"/>
        <color rgb="FFF8696B"/>
        <color rgb="FFFFEB84"/>
        <color rgb="FF63BE7B"/>
      </colorScale>
    </cfRule>
  </conditionalFormatting>
  <conditionalFormatting sqref="F32">
    <cfRule type="colorScale" priority="2517">
      <colorScale>
        <cfvo type="min"/>
        <cfvo type="percentile" val="50"/>
        <cfvo type="max"/>
        <color rgb="FFF8696B"/>
        <color rgb="FFFFEB84"/>
        <color rgb="FF63BE7B"/>
      </colorScale>
    </cfRule>
  </conditionalFormatting>
  <conditionalFormatting sqref="F32">
    <cfRule type="colorScale" priority="2516">
      <colorScale>
        <cfvo type="min"/>
        <cfvo type="percentile" val="50"/>
        <cfvo type="max"/>
        <color rgb="FFF8696B"/>
        <color rgb="FFFFEB84"/>
        <color rgb="FF63BE7B"/>
      </colorScale>
    </cfRule>
  </conditionalFormatting>
  <conditionalFormatting sqref="F32">
    <cfRule type="colorScale" priority="2515">
      <colorScale>
        <cfvo type="min"/>
        <cfvo type="percentile" val="50"/>
        <cfvo type="max"/>
        <color rgb="FFF8696B"/>
        <color rgb="FFFFEB84"/>
        <color rgb="FF63BE7B"/>
      </colorScale>
    </cfRule>
  </conditionalFormatting>
  <conditionalFormatting sqref="F32">
    <cfRule type="colorScale" priority="2514">
      <colorScale>
        <cfvo type="min"/>
        <cfvo type="percentile" val="50"/>
        <cfvo type="max"/>
        <color rgb="FFF8696B"/>
        <color rgb="FFFFEB84"/>
        <color rgb="FF63BE7B"/>
      </colorScale>
    </cfRule>
  </conditionalFormatting>
  <conditionalFormatting sqref="F32">
    <cfRule type="colorScale" priority="2513">
      <colorScale>
        <cfvo type="min"/>
        <cfvo type="percentile" val="50"/>
        <cfvo type="max"/>
        <color rgb="FFF8696B"/>
        <color rgb="FFFFEB84"/>
        <color rgb="FF63BE7B"/>
      </colorScale>
    </cfRule>
  </conditionalFormatting>
  <conditionalFormatting sqref="F32">
    <cfRule type="colorScale" priority="2512">
      <colorScale>
        <cfvo type="min"/>
        <cfvo type="percentile" val="50"/>
        <cfvo type="max"/>
        <color rgb="FFF8696B"/>
        <color rgb="FFFFEB84"/>
        <color rgb="FF63BE7B"/>
      </colorScale>
    </cfRule>
  </conditionalFormatting>
  <conditionalFormatting sqref="F32">
    <cfRule type="colorScale" priority="2511">
      <colorScale>
        <cfvo type="min"/>
        <cfvo type="percentile" val="50"/>
        <cfvo type="max"/>
        <color rgb="FFF8696B"/>
        <color rgb="FFFFEB84"/>
        <color rgb="FF63BE7B"/>
      </colorScale>
    </cfRule>
  </conditionalFormatting>
  <conditionalFormatting sqref="F32">
    <cfRule type="colorScale" priority="2510">
      <colorScale>
        <cfvo type="min"/>
        <cfvo type="percentile" val="50"/>
        <cfvo type="max"/>
        <color rgb="FFF8696B"/>
        <color rgb="FFFFEB84"/>
        <color rgb="FF63BE7B"/>
      </colorScale>
    </cfRule>
  </conditionalFormatting>
  <conditionalFormatting sqref="F32">
    <cfRule type="colorScale" priority="2509">
      <colorScale>
        <cfvo type="min"/>
        <cfvo type="percentile" val="50"/>
        <cfvo type="max"/>
        <color rgb="FFF8696B"/>
        <color rgb="FFFFEB84"/>
        <color rgb="FF63BE7B"/>
      </colorScale>
    </cfRule>
  </conditionalFormatting>
  <conditionalFormatting sqref="F32">
    <cfRule type="colorScale" priority="2508">
      <colorScale>
        <cfvo type="min"/>
        <cfvo type="percentile" val="50"/>
        <cfvo type="max"/>
        <color rgb="FFF8696B"/>
        <color rgb="FFFFEB84"/>
        <color rgb="FF63BE7B"/>
      </colorScale>
    </cfRule>
  </conditionalFormatting>
  <conditionalFormatting sqref="F32">
    <cfRule type="colorScale" priority="2507">
      <colorScale>
        <cfvo type="min"/>
        <cfvo type="percentile" val="50"/>
        <cfvo type="max"/>
        <color rgb="FFF8696B"/>
        <color rgb="FFFFEB84"/>
        <color rgb="FF63BE7B"/>
      </colorScale>
    </cfRule>
  </conditionalFormatting>
  <conditionalFormatting sqref="F32">
    <cfRule type="colorScale" priority="2506">
      <colorScale>
        <cfvo type="min"/>
        <cfvo type="percentile" val="50"/>
        <cfvo type="max"/>
        <color rgb="FFF8696B"/>
        <color rgb="FFFFEB84"/>
        <color rgb="FF63BE7B"/>
      </colorScale>
    </cfRule>
  </conditionalFormatting>
  <conditionalFormatting sqref="F32">
    <cfRule type="colorScale" priority="2505">
      <colorScale>
        <cfvo type="min"/>
        <cfvo type="percentile" val="50"/>
        <cfvo type="max"/>
        <color rgb="FFF8696B"/>
        <color rgb="FFFFEB84"/>
        <color rgb="FF63BE7B"/>
      </colorScale>
    </cfRule>
  </conditionalFormatting>
  <conditionalFormatting sqref="F32">
    <cfRule type="colorScale" priority="2504">
      <colorScale>
        <cfvo type="min"/>
        <cfvo type="percentile" val="50"/>
        <cfvo type="max"/>
        <color rgb="FFF8696B"/>
        <color rgb="FFFFEB84"/>
        <color rgb="FF63BE7B"/>
      </colorScale>
    </cfRule>
  </conditionalFormatting>
  <conditionalFormatting sqref="F32">
    <cfRule type="colorScale" priority="2503">
      <colorScale>
        <cfvo type="min"/>
        <cfvo type="percentile" val="50"/>
        <cfvo type="max"/>
        <color rgb="FFF8696B"/>
        <color rgb="FFFFEB84"/>
        <color rgb="FF63BE7B"/>
      </colorScale>
    </cfRule>
  </conditionalFormatting>
  <conditionalFormatting sqref="F32">
    <cfRule type="colorScale" priority="2502">
      <colorScale>
        <cfvo type="min"/>
        <cfvo type="percentile" val="50"/>
        <cfvo type="max"/>
        <color rgb="FFF8696B"/>
        <color rgb="FFFFEB84"/>
        <color rgb="FF63BE7B"/>
      </colorScale>
    </cfRule>
  </conditionalFormatting>
  <conditionalFormatting sqref="F32">
    <cfRule type="colorScale" priority="2501">
      <colorScale>
        <cfvo type="min"/>
        <cfvo type="percentile" val="50"/>
        <cfvo type="max"/>
        <color rgb="FFF8696B"/>
        <color rgb="FFFFEB84"/>
        <color rgb="FF63BE7B"/>
      </colorScale>
    </cfRule>
  </conditionalFormatting>
  <conditionalFormatting sqref="F32">
    <cfRule type="colorScale" priority="2500">
      <colorScale>
        <cfvo type="min"/>
        <cfvo type="percentile" val="50"/>
        <cfvo type="max"/>
        <color rgb="FFF8696B"/>
        <color rgb="FFFFEB84"/>
        <color rgb="FF63BE7B"/>
      </colorScale>
    </cfRule>
  </conditionalFormatting>
  <conditionalFormatting sqref="F32">
    <cfRule type="colorScale" priority="2499">
      <colorScale>
        <cfvo type="min"/>
        <cfvo type="percentile" val="50"/>
        <cfvo type="max"/>
        <color rgb="FFF8696B"/>
        <color rgb="FFFFEB84"/>
        <color rgb="FF63BE7B"/>
      </colorScale>
    </cfRule>
  </conditionalFormatting>
  <conditionalFormatting sqref="F32">
    <cfRule type="colorScale" priority="2498">
      <colorScale>
        <cfvo type="min"/>
        <cfvo type="percentile" val="50"/>
        <cfvo type="max"/>
        <color rgb="FFF8696B"/>
        <color rgb="FFFFEB84"/>
        <color rgb="FF63BE7B"/>
      </colorScale>
    </cfRule>
  </conditionalFormatting>
  <conditionalFormatting sqref="F32">
    <cfRule type="colorScale" priority="2497">
      <colorScale>
        <cfvo type="min"/>
        <cfvo type="percentile" val="50"/>
        <cfvo type="max"/>
        <color rgb="FFF8696B"/>
        <color rgb="FFFFEB84"/>
        <color rgb="FF63BE7B"/>
      </colorScale>
    </cfRule>
  </conditionalFormatting>
  <conditionalFormatting sqref="F32">
    <cfRule type="colorScale" priority="2496">
      <colorScale>
        <cfvo type="min"/>
        <cfvo type="percentile" val="50"/>
        <cfvo type="max"/>
        <color rgb="FFF8696B"/>
        <color rgb="FFFFEB84"/>
        <color rgb="FF63BE7B"/>
      </colorScale>
    </cfRule>
  </conditionalFormatting>
  <conditionalFormatting sqref="F32">
    <cfRule type="colorScale" priority="2495">
      <colorScale>
        <cfvo type="min"/>
        <cfvo type="percentile" val="50"/>
        <cfvo type="max"/>
        <color rgb="FFF8696B"/>
        <color rgb="FFFFEB84"/>
        <color rgb="FF63BE7B"/>
      </colorScale>
    </cfRule>
  </conditionalFormatting>
  <conditionalFormatting sqref="F32">
    <cfRule type="colorScale" priority="2494">
      <colorScale>
        <cfvo type="min"/>
        <cfvo type="percentile" val="50"/>
        <cfvo type="max"/>
        <color rgb="FFF8696B"/>
        <color rgb="FFFFEB84"/>
        <color rgb="FF63BE7B"/>
      </colorScale>
    </cfRule>
  </conditionalFormatting>
  <conditionalFormatting sqref="F32">
    <cfRule type="colorScale" priority="2493">
      <colorScale>
        <cfvo type="min"/>
        <cfvo type="percentile" val="50"/>
        <cfvo type="max"/>
        <color rgb="FFF8696B"/>
        <color rgb="FFFFEB84"/>
        <color rgb="FF63BE7B"/>
      </colorScale>
    </cfRule>
  </conditionalFormatting>
  <conditionalFormatting sqref="F32">
    <cfRule type="colorScale" priority="2492">
      <colorScale>
        <cfvo type="min"/>
        <cfvo type="percentile" val="50"/>
        <cfvo type="max"/>
        <color rgb="FFF8696B"/>
        <color rgb="FFFFEB84"/>
        <color rgb="FF63BE7B"/>
      </colorScale>
    </cfRule>
  </conditionalFormatting>
  <conditionalFormatting sqref="F32">
    <cfRule type="colorScale" priority="2491">
      <colorScale>
        <cfvo type="min"/>
        <cfvo type="percentile" val="50"/>
        <cfvo type="max"/>
        <color rgb="FFF8696B"/>
        <color rgb="FFFFEB84"/>
        <color rgb="FF63BE7B"/>
      </colorScale>
    </cfRule>
  </conditionalFormatting>
  <conditionalFormatting sqref="F32">
    <cfRule type="colorScale" priority="2490">
      <colorScale>
        <cfvo type="min"/>
        <cfvo type="percentile" val="50"/>
        <cfvo type="max"/>
        <color rgb="FFF8696B"/>
        <color rgb="FFFFEB84"/>
        <color rgb="FF63BE7B"/>
      </colorScale>
    </cfRule>
  </conditionalFormatting>
  <conditionalFormatting sqref="F32">
    <cfRule type="colorScale" priority="2489">
      <colorScale>
        <cfvo type="min"/>
        <cfvo type="percentile" val="50"/>
        <cfvo type="max"/>
        <color rgb="FFF8696B"/>
        <color rgb="FFFFEB84"/>
        <color rgb="FF63BE7B"/>
      </colorScale>
    </cfRule>
  </conditionalFormatting>
  <conditionalFormatting sqref="F32">
    <cfRule type="colorScale" priority="2488">
      <colorScale>
        <cfvo type="min"/>
        <cfvo type="percentile" val="50"/>
        <cfvo type="max"/>
        <color rgb="FFF8696B"/>
        <color rgb="FFFFEB84"/>
        <color rgb="FF63BE7B"/>
      </colorScale>
    </cfRule>
  </conditionalFormatting>
  <conditionalFormatting sqref="F32">
    <cfRule type="colorScale" priority="2487">
      <colorScale>
        <cfvo type="min"/>
        <cfvo type="percentile" val="50"/>
        <cfvo type="max"/>
        <color rgb="FFF8696B"/>
        <color rgb="FFFFEB84"/>
        <color rgb="FF63BE7B"/>
      </colorScale>
    </cfRule>
  </conditionalFormatting>
  <conditionalFormatting sqref="F32">
    <cfRule type="colorScale" priority="2486">
      <colorScale>
        <cfvo type="min"/>
        <cfvo type="percentile" val="50"/>
        <cfvo type="max"/>
        <color rgb="FFF8696B"/>
        <color rgb="FFFFEB84"/>
        <color rgb="FF63BE7B"/>
      </colorScale>
    </cfRule>
  </conditionalFormatting>
  <conditionalFormatting sqref="F32">
    <cfRule type="colorScale" priority="2485">
      <colorScale>
        <cfvo type="min"/>
        <cfvo type="percentile" val="50"/>
        <cfvo type="max"/>
        <color rgb="FFF8696B"/>
        <color rgb="FFFFEB84"/>
        <color rgb="FF63BE7B"/>
      </colorScale>
    </cfRule>
  </conditionalFormatting>
  <conditionalFormatting sqref="F32">
    <cfRule type="colorScale" priority="2484">
      <colorScale>
        <cfvo type="min"/>
        <cfvo type="percentile" val="50"/>
        <cfvo type="max"/>
        <color rgb="FFF8696B"/>
        <color rgb="FFFFEB84"/>
        <color rgb="FF63BE7B"/>
      </colorScale>
    </cfRule>
  </conditionalFormatting>
  <conditionalFormatting sqref="F32">
    <cfRule type="colorScale" priority="2483">
      <colorScale>
        <cfvo type="min"/>
        <cfvo type="percentile" val="50"/>
        <cfvo type="max"/>
        <color rgb="FFF8696B"/>
        <color rgb="FFFFEB84"/>
        <color rgb="FF63BE7B"/>
      </colorScale>
    </cfRule>
  </conditionalFormatting>
  <conditionalFormatting sqref="F32">
    <cfRule type="colorScale" priority="2482">
      <colorScale>
        <cfvo type="min"/>
        <cfvo type="percentile" val="50"/>
        <cfvo type="max"/>
        <color rgb="FFF8696B"/>
        <color rgb="FFFFEB84"/>
        <color rgb="FF63BE7B"/>
      </colorScale>
    </cfRule>
  </conditionalFormatting>
  <conditionalFormatting sqref="F32">
    <cfRule type="colorScale" priority="2481">
      <colorScale>
        <cfvo type="min"/>
        <cfvo type="percentile" val="50"/>
        <cfvo type="max"/>
        <color rgb="FFF8696B"/>
        <color rgb="FFFFEB84"/>
        <color rgb="FF63BE7B"/>
      </colorScale>
    </cfRule>
  </conditionalFormatting>
  <conditionalFormatting sqref="F32">
    <cfRule type="colorScale" priority="2480">
      <colorScale>
        <cfvo type="min"/>
        <cfvo type="percentile" val="50"/>
        <cfvo type="max"/>
        <color rgb="FFF8696B"/>
        <color rgb="FFFFEB84"/>
        <color rgb="FF63BE7B"/>
      </colorScale>
    </cfRule>
  </conditionalFormatting>
  <conditionalFormatting sqref="F32">
    <cfRule type="colorScale" priority="2479">
      <colorScale>
        <cfvo type="min"/>
        <cfvo type="percentile" val="50"/>
        <cfvo type="max"/>
        <color rgb="FFF8696B"/>
        <color rgb="FFFFEB84"/>
        <color rgb="FF63BE7B"/>
      </colorScale>
    </cfRule>
  </conditionalFormatting>
  <conditionalFormatting sqref="F32">
    <cfRule type="colorScale" priority="2478">
      <colorScale>
        <cfvo type="min"/>
        <cfvo type="percentile" val="50"/>
        <cfvo type="max"/>
        <color rgb="FFF8696B"/>
        <color rgb="FFFFEB84"/>
        <color rgb="FF63BE7B"/>
      </colorScale>
    </cfRule>
  </conditionalFormatting>
  <conditionalFormatting sqref="F32">
    <cfRule type="colorScale" priority="2477">
      <colorScale>
        <cfvo type="min"/>
        <cfvo type="percentile" val="50"/>
        <cfvo type="max"/>
        <color rgb="FFF8696B"/>
        <color rgb="FFFFEB84"/>
        <color rgb="FF63BE7B"/>
      </colorScale>
    </cfRule>
  </conditionalFormatting>
  <conditionalFormatting sqref="F32">
    <cfRule type="colorScale" priority="2476">
      <colorScale>
        <cfvo type="min"/>
        <cfvo type="percentile" val="50"/>
        <cfvo type="max"/>
        <color rgb="FFF8696B"/>
        <color rgb="FFFFEB84"/>
        <color rgb="FF63BE7B"/>
      </colorScale>
    </cfRule>
  </conditionalFormatting>
  <conditionalFormatting sqref="F32">
    <cfRule type="colorScale" priority="2475">
      <colorScale>
        <cfvo type="min"/>
        <cfvo type="percentile" val="50"/>
        <cfvo type="max"/>
        <color rgb="FFF8696B"/>
        <color rgb="FFFFEB84"/>
        <color rgb="FF63BE7B"/>
      </colorScale>
    </cfRule>
  </conditionalFormatting>
  <conditionalFormatting sqref="F32">
    <cfRule type="colorScale" priority="2474">
      <colorScale>
        <cfvo type="min"/>
        <cfvo type="percentile" val="50"/>
        <cfvo type="max"/>
        <color rgb="FFF8696B"/>
        <color rgb="FFFFEB84"/>
        <color rgb="FF63BE7B"/>
      </colorScale>
    </cfRule>
  </conditionalFormatting>
  <conditionalFormatting sqref="F32">
    <cfRule type="colorScale" priority="2473">
      <colorScale>
        <cfvo type="min"/>
        <cfvo type="percentile" val="50"/>
        <cfvo type="max"/>
        <color rgb="FFF8696B"/>
        <color rgb="FFFFEB84"/>
        <color rgb="FF63BE7B"/>
      </colorScale>
    </cfRule>
  </conditionalFormatting>
  <conditionalFormatting sqref="F32">
    <cfRule type="colorScale" priority="2472">
      <colorScale>
        <cfvo type="min"/>
        <cfvo type="percentile" val="50"/>
        <cfvo type="max"/>
        <color rgb="FFF8696B"/>
        <color rgb="FFFFEB84"/>
        <color rgb="FF63BE7B"/>
      </colorScale>
    </cfRule>
  </conditionalFormatting>
  <conditionalFormatting sqref="F32">
    <cfRule type="colorScale" priority="2471">
      <colorScale>
        <cfvo type="min"/>
        <cfvo type="percentile" val="50"/>
        <cfvo type="max"/>
        <color rgb="FFF8696B"/>
        <color rgb="FFFFEB84"/>
        <color rgb="FF63BE7B"/>
      </colorScale>
    </cfRule>
  </conditionalFormatting>
  <conditionalFormatting sqref="F32">
    <cfRule type="colorScale" priority="2470">
      <colorScale>
        <cfvo type="min"/>
        <cfvo type="percentile" val="50"/>
        <cfvo type="max"/>
        <color rgb="FFF8696B"/>
        <color rgb="FFFFEB84"/>
        <color rgb="FF63BE7B"/>
      </colorScale>
    </cfRule>
  </conditionalFormatting>
  <conditionalFormatting sqref="F32">
    <cfRule type="colorScale" priority="2469">
      <colorScale>
        <cfvo type="min"/>
        <cfvo type="percentile" val="50"/>
        <cfvo type="max"/>
        <color rgb="FFF8696B"/>
        <color rgb="FFFFEB84"/>
        <color rgb="FF63BE7B"/>
      </colorScale>
    </cfRule>
  </conditionalFormatting>
  <conditionalFormatting sqref="F32">
    <cfRule type="colorScale" priority="2468">
      <colorScale>
        <cfvo type="min"/>
        <cfvo type="percentile" val="50"/>
        <cfvo type="max"/>
        <color rgb="FFF8696B"/>
        <color rgb="FFFFEB84"/>
        <color rgb="FF63BE7B"/>
      </colorScale>
    </cfRule>
  </conditionalFormatting>
  <conditionalFormatting sqref="F32">
    <cfRule type="colorScale" priority="2467">
      <colorScale>
        <cfvo type="min"/>
        <cfvo type="percentile" val="50"/>
        <cfvo type="max"/>
        <color rgb="FFF8696B"/>
        <color rgb="FFFFEB84"/>
        <color rgb="FF63BE7B"/>
      </colorScale>
    </cfRule>
  </conditionalFormatting>
  <conditionalFormatting sqref="F32">
    <cfRule type="colorScale" priority="2466">
      <colorScale>
        <cfvo type="min"/>
        <cfvo type="percentile" val="50"/>
        <cfvo type="max"/>
        <color rgb="FFF8696B"/>
        <color rgb="FFFFEB84"/>
        <color rgb="FF63BE7B"/>
      </colorScale>
    </cfRule>
  </conditionalFormatting>
  <conditionalFormatting sqref="F32">
    <cfRule type="colorScale" priority="2465">
      <colorScale>
        <cfvo type="min"/>
        <cfvo type="percentile" val="50"/>
        <cfvo type="max"/>
        <color rgb="FFF8696B"/>
        <color rgb="FFFFEB84"/>
        <color rgb="FF63BE7B"/>
      </colorScale>
    </cfRule>
  </conditionalFormatting>
  <conditionalFormatting sqref="F32">
    <cfRule type="colorScale" priority="2464">
      <colorScale>
        <cfvo type="min"/>
        <cfvo type="percentile" val="50"/>
        <cfvo type="max"/>
        <color rgb="FFF8696B"/>
        <color rgb="FFFFEB84"/>
        <color rgb="FF63BE7B"/>
      </colorScale>
    </cfRule>
  </conditionalFormatting>
  <conditionalFormatting sqref="F32">
    <cfRule type="colorScale" priority="2463">
      <colorScale>
        <cfvo type="min"/>
        <cfvo type="percentile" val="50"/>
        <cfvo type="max"/>
        <color rgb="FFF8696B"/>
        <color rgb="FFFFEB84"/>
        <color rgb="FF63BE7B"/>
      </colorScale>
    </cfRule>
  </conditionalFormatting>
  <conditionalFormatting sqref="F32">
    <cfRule type="colorScale" priority="2462">
      <colorScale>
        <cfvo type="min"/>
        <cfvo type="percentile" val="50"/>
        <cfvo type="max"/>
        <color rgb="FFF8696B"/>
        <color rgb="FFFFEB84"/>
        <color rgb="FF63BE7B"/>
      </colorScale>
    </cfRule>
  </conditionalFormatting>
  <conditionalFormatting sqref="F32">
    <cfRule type="colorScale" priority="2461">
      <colorScale>
        <cfvo type="min"/>
        <cfvo type="percentile" val="50"/>
        <cfvo type="max"/>
        <color rgb="FFF8696B"/>
        <color rgb="FFFFEB84"/>
        <color rgb="FF63BE7B"/>
      </colorScale>
    </cfRule>
  </conditionalFormatting>
  <conditionalFormatting sqref="F32">
    <cfRule type="colorScale" priority="2460">
      <colorScale>
        <cfvo type="min"/>
        <cfvo type="percentile" val="50"/>
        <cfvo type="max"/>
        <color rgb="FFF8696B"/>
        <color rgb="FFFFEB84"/>
        <color rgb="FF63BE7B"/>
      </colorScale>
    </cfRule>
  </conditionalFormatting>
  <conditionalFormatting sqref="F32">
    <cfRule type="colorScale" priority="2459">
      <colorScale>
        <cfvo type="min"/>
        <cfvo type="percentile" val="50"/>
        <cfvo type="max"/>
        <color rgb="FFF8696B"/>
        <color rgb="FFFFEB84"/>
        <color rgb="FF63BE7B"/>
      </colorScale>
    </cfRule>
  </conditionalFormatting>
  <conditionalFormatting sqref="F32">
    <cfRule type="colorScale" priority="2458">
      <colorScale>
        <cfvo type="min"/>
        <cfvo type="percentile" val="50"/>
        <cfvo type="max"/>
        <color rgb="FFF8696B"/>
        <color rgb="FFFFEB84"/>
        <color rgb="FF63BE7B"/>
      </colorScale>
    </cfRule>
  </conditionalFormatting>
  <conditionalFormatting sqref="F32">
    <cfRule type="colorScale" priority="2457">
      <colorScale>
        <cfvo type="min"/>
        <cfvo type="percentile" val="50"/>
        <cfvo type="max"/>
        <color rgb="FFF8696B"/>
        <color rgb="FFFFEB84"/>
        <color rgb="FF63BE7B"/>
      </colorScale>
    </cfRule>
  </conditionalFormatting>
  <conditionalFormatting sqref="F32">
    <cfRule type="colorScale" priority="2456">
      <colorScale>
        <cfvo type="min"/>
        <cfvo type="percentile" val="50"/>
        <cfvo type="max"/>
        <color rgb="FFF8696B"/>
        <color rgb="FFFFEB84"/>
        <color rgb="FF63BE7B"/>
      </colorScale>
    </cfRule>
  </conditionalFormatting>
  <conditionalFormatting sqref="F32">
    <cfRule type="colorScale" priority="2455">
      <colorScale>
        <cfvo type="min"/>
        <cfvo type="percentile" val="50"/>
        <cfvo type="max"/>
        <color rgb="FFF8696B"/>
        <color rgb="FFFFEB84"/>
        <color rgb="FF63BE7B"/>
      </colorScale>
    </cfRule>
  </conditionalFormatting>
  <conditionalFormatting sqref="F32">
    <cfRule type="colorScale" priority="2454">
      <colorScale>
        <cfvo type="min"/>
        <cfvo type="percentile" val="50"/>
        <cfvo type="max"/>
        <color rgb="FFF8696B"/>
        <color rgb="FFFFEB84"/>
        <color rgb="FF63BE7B"/>
      </colorScale>
    </cfRule>
  </conditionalFormatting>
  <conditionalFormatting sqref="F32">
    <cfRule type="colorScale" priority="2453">
      <colorScale>
        <cfvo type="min"/>
        <cfvo type="percentile" val="50"/>
        <cfvo type="max"/>
        <color rgb="FFF8696B"/>
        <color rgb="FFFFEB84"/>
        <color rgb="FF63BE7B"/>
      </colorScale>
    </cfRule>
  </conditionalFormatting>
  <conditionalFormatting sqref="F32">
    <cfRule type="colorScale" priority="2452">
      <colorScale>
        <cfvo type="min"/>
        <cfvo type="percentile" val="50"/>
        <cfvo type="max"/>
        <color rgb="FFF8696B"/>
        <color rgb="FFFFEB84"/>
        <color rgb="FF63BE7B"/>
      </colorScale>
    </cfRule>
  </conditionalFormatting>
  <conditionalFormatting sqref="F32">
    <cfRule type="colorScale" priority="2451">
      <colorScale>
        <cfvo type="min"/>
        <cfvo type="percentile" val="50"/>
        <cfvo type="max"/>
        <color rgb="FFF8696B"/>
        <color rgb="FFFFEB84"/>
        <color rgb="FF63BE7B"/>
      </colorScale>
    </cfRule>
  </conditionalFormatting>
  <conditionalFormatting sqref="F32">
    <cfRule type="colorScale" priority="2450">
      <colorScale>
        <cfvo type="min"/>
        <cfvo type="percentile" val="50"/>
        <cfvo type="max"/>
        <color rgb="FFF8696B"/>
        <color rgb="FFFFEB84"/>
        <color rgb="FF63BE7B"/>
      </colorScale>
    </cfRule>
  </conditionalFormatting>
  <conditionalFormatting sqref="F32">
    <cfRule type="colorScale" priority="2449">
      <colorScale>
        <cfvo type="min"/>
        <cfvo type="percentile" val="50"/>
        <cfvo type="max"/>
        <color rgb="FFF8696B"/>
        <color rgb="FFFFEB84"/>
        <color rgb="FF63BE7B"/>
      </colorScale>
    </cfRule>
  </conditionalFormatting>
  <conditionalFormatting sqref="F32">
    <cfRule type="colorScale" priority="2448">
      <colorScale>
        <cfvo type="min"/>
        <cfvo type="percentile" val="50"/>
        <cfvo type="max"/>
        <color rgb="FFF8696B"/>
        <color rgb="FFFFEB84"/>
        <color rgb="FF63BE7B"/>
      </colorScale>
    </cfRule>
  </conditionalFormatting>
  <conditionalFormatting sqref="F32">
    <cfRule type="colorScale" priority="2447">
      <colorScale>
        <cfvo type="min"/>
        <cfvo type="percentile" val="50"/>
        <cfvo type="max"/>
        <color rgb="FFF8696B"/>
        <color rgb="FFFFEB84"/>
        <color rgb="FF63BE7B"/>
      </colorScale>
    </cfRule>
  </conditionalFormatting>
  <conditionalFormatting sqref="F32">
    <cfRule type="colorScale" priority="2446">
      <colorScale>
        <cfvo type="min"/>
        <cfvo type="percentile" val="50"/>
        <cfvo type="max"/>
        <color rgb="FFF8696B"/>
        <color rgb="FFFFEB84"/>
        <color rgb="FF63BE7B"/>
      </colorScale>
    </cfRule>
  </conditionalFormatting>
  <conditionalFormatting sqref="F32">
    <cfRule type="colorScale" priority="2445">
      <colorScale>
        <cfvo type="min"/>
        <cfvo type="percentile" val="50"/>
        <cfvo type="max"/>
        <color rgb="FFF8696B"/>
        <color rgb="FFFFEB84"/>
        <color rgb="FF63BE7B"/>
      </colorScale>
    </cfRule>
  </conditionalFormatting>
  <conditionalFormatting sqref="F32">
    <cfRule type="colorScale" priority="2444">
      <colorScale>
        <cfvo type="min"/>
        <cfvo type="percentile" val="50"/>
        <cfvo type="max"/>
        <color rgb="FFF8696B"/>
        <color rgb="FFFFEB84"/>
        <color rgb="FF63BE7B"/>
      </colorScale>
    </cfRule>
  </conditionalFormatting>
  <conditionalFormatting sqref="F32">
    <cfRule type="colorScale" priority="2443">
      <colorScale>
        <cfvo type="min"/>
        <cfvo type="percentile" val="50"/>
        <cfvo type="max"/>
        <color rgb="FFF8696B"/>
        <color rgb="FFFFEB84"/>
        <color rgb="FF63BE7B"/>
      </colorScale>
    </cfRule>
  </conditionalFormatting>
  <conditionalFormatting sqref="F32">
    <cfRule type="colorScale" priority="2442">
      <colorScale>
        <cfvo type="min"/>
        <cfvo type="percentile" val="50"/>
        <cfvo type="max"/>
        <color rgb="FFF8696B"/>
        <color rgb="FFFFEB84"/>
        <color rgb="FF63BE7B"/>
      </colorScale>
    </cfRule>
  </conditionalFormatting>
  <conditionalFormatting sqref="F32">
    <cfRule type="colorScale" priority="2441">
      <colorScale>
        <cfvo type="min"/>
        <cfvo type="percentile" val="50"/>
        <cfvo type="max"/>
        <color rgb="FFF8696B"/>
        <color rgb="FFFFEB84"/>
        <color rgb="FF63BE7B"/>
      </colorScale>
    </cfRule>
  </conditionalFormatting>
  <conditionalFormatting sqref="F32">
    <cfRule type="colorScale" priority="2440">
      <colorScale>
        <cfvo type="min"/>
        <cfvo type="percentile" val="50"/>
        <cfvo type="max"/>
        <color rgb="FFF8696B"/>
        <color rgb="FFFFEB84"/>
        <color rgb="FF63BE7B"/>
      </colorScale>
    </cfRule>
  </conditionalFormatting>
  <conditionalFormatting sqref="F32">
    <cfRule type="colorScale" priority="2439">
      <colorScale>
        <cfvo type="min"/>
        <cfvo type="percentile" val="50"/>
        <cfvo type="max"/>
        <color rgb="FFF8696B"/>
        <color rgb="FFFFEB84"/>
        <color rgb="FF63BE7B"/>
      </colorScale>
    </cfRule>
  </conditionalFormatting>
  <conditionalFormatting sqref="F32">
    <cfRule type="colorScale" priority="2438">
      <colorScale>
        <cfvo type="min"/>
        <cfvo type="percentile" val="50"/>
        <cfvo type="max"/>
        <color rgb="FFF8696B"/>
        <color rgb="FFFFEB84"/>
        <color rgb="FF63BE7B"/>
      </colorScale>
    </cfRule>
  </conditionalFormatting>
  <conditionalFormatting sqref="F32">
    <cfRule type="colorScale" priority="2437">
      <colorScale>
        <cfvo type="min"/>
        <cfvo type="percentile" val="50"/>
        <cfvo type="max"/>
        <color rgb="FFF8696B"/>
        <color rgb="FFFFEB84"/>
        <color rgb="FF63BE7B"/>
      </colorScale>
    </cfRule>
  </conditionalFormatting>
  <conditionalFormatting sqref="F32">
    <cfRule type="colorScale" priority="2436">
      <colorScale>
        <cfvo type="min"/>
        <cfvo type="percentile" val="50"/>
        <cfvo type="max"/>
        <color rgb="FFF8696B"/>
        <color rgb="FFFFEB84"/>
        <color rgb="FF63BE7B"/>
      </colorScale>
    </cfRule>
  </conditionalFormatting>
  <conditionalFormatting sqref="F32">
    <cfRule type="colorScale" priority="2435">
      <colorScale>
        <cfvo type="min"/>
        <cfvo type="percentile" val="50"/>
        <cfvo type="max"/>
        <color rgb="FFF8696B"/>
        <color rgb="FFFFEB84"/>
        <color rgb="FF63BE7B"/>
      </colorScale>
    </cfRule>
  </conditionalFormatting>
  <conditionalFormatting sqref="F32">
    <cfRule type="colorScale" priority="2434">
      <colorScale>
        <cfvo type="min"/>
        <cfvo type="percentile" val="50"/>
        <cfvo type="max"/>
        <color rgb="FFF8696B"/>
        <color rgb="FFFFEB84"/>
        <color rgb="FF63BE7B"/>
      </colorScale>
    </cfRule>
  </conditionalFormatting>
  <conditionalFormatting sqref="F32">
    <cfRule type="colorScale" priority="2433">
      <colorScale>
        <cfvo type="min"/>
        <cfvo type="percentile" val="50"/>
        <cfvo type="max"/>
        <color rgb="FFF8696B"/>
        <color rgb="FFFFEB84"/>
        <color rgb="FF63BE7B"/>
      </colorScale>
    </cfRule>
  </conditionalFormatting>
  <conditionalFormatting sqref="F32">
    <cfRule type="colorScale" priority="2432">
      <colorScale>
        <cfvo type="min"/>
        <cfvo type="percentile" val="50"/>
        <cfvo type="max"/>
        <color rgb="FFF8696B"/>
        <color rgb="FFFFEB84"/>
        <color rgb="FF63BE7B"/>
      </colorScale>
    </cfRule>
  </conditionalFormatting>
  <conditionalFormatting sqref="F32">
    <cfRule type="colorScale" priority="2431">
      <colorScale>
        <cfvo type="min"/>
        <cfvo type="percentile" val="50"/>
        <cfvo type="max"/>
        <color rgb="FFF8696B"/>
        <color rgb="FFFFEB84"/>
        <color rgb="FF63BE7B"/>
      </colorScale>
    </cfRule>
  </conditionalFormatting>
  <conditionalFormatting sqref="F32">
    <cfRule type="colorScale" priority="2430">
      <colorScale>
        <cfvo type="min"/>
        <cfvo type="percentile" val="50"/>
        <cfvo type="max"/>
        <color rgb="FFF8696B"/>
        <color rgb="FFFFEB84"/>
        <color rgb="FF63BE7B"/>
      </colorScale>
    </cfRule>
  </conditionalFormatting>
  <conditionalFormatting sqref="F32">
    <cfRule type="colorScale" priority="2429">
      <colorScale>
        <cfvo type="min"/>
        <cfvo type="percentile" val="50"/>
        <cfvo type="max"/>
        <color rgb="FFF8696B"/>
        <color rgb="FFFFEB84"/>
        <color rgb="FF63BE7B"/>
      </colorScale>
    </cfRule>
  </conditionalFormatting>
  <conditionalFormatting sqref="F32">
    <cfRule type="colorScale" priority="2428">
      <colorScale>
        <cfvo type="min"/>
        <cfvo type="percentile" val="50"/>
        <cfvo type="max"/>
        <color rgb="FFF8696B"/>
        <color rgb="FFFFEB84"/>
        <color rgb="FF63BE7B"/>
      </colorScale>
    </cfRule>
  </conditionalFormatting>
  <conditionalFormatting sqref="F32">
    <cfRule type="colorScale" priority="2427">
      <colorScale>
        <cfvo type="min"/>
        <cfvo type="percentile" val="50"/>
        <cfvo type="max"/>
        <color rgb="FFF8696B"/>
        <color rgb="FFFFEB84"/>
        <color rgb="FF63BE7B"/>
      </colorScale>
    </cfRule>
  </conditionalFormatting>
  <conditionalFormatting sqref="F32">
    <cfRule type="colorScale" priority="2426">
      <colorScale>
        <cfvo type="min"/>
        <cfvo type="percentile" val="50"/>
        <cfvo type="max"/>
        <color rgb="FFF8696B"/>
        <color rgb="FFFFEB84"/>
        <color rgb="FF63BE7B"/>
      </colorScale>
    </cfRule>
  </conditionalFormatting>
  <conditionalFormatting sqref="F32">
    <cfRule type="colorScale" priority="2425">
      <colorScale>
        <cfvo type="min"/>
        <cfvo type="percentile" val="50"/>
        <cfvo type="max"/>
        <color rgb="FFF8696B"/>
        <color rgb="FFFFEB84"/>
        <color rgb="FF63BE7B"/>
      </colorScale>
    </cfRule>
  </conditionalFormatting>
  <conditionalFormatting sqref="F32">
    <cfRule type="colorScale" priority="2424">
      <colorScale>
        <cfvo type="min"/>
        <cfvo type="percentile" val="50"/>
        <cfvo type="max"/>
        <color rgb="FFF8696B"/>
        <color rgb="FFFFEB84"/>
        <color rgb="FF63BE7B"/>
      </colorScale>
    </cfRule>
  </conditionalFormatting>
  <conditionalFormatting sqref="F32">
    <cfRule type="colorScale" priority="2423">
      <colorScale>
        <cfvo type="min"/>
        <cfvo type="percentile" val="50"/>
        <cfvo type="max"/>
        <color rgb="FFF8696B"/>
        <color rgb="FFFFEB84"/>
        <color rgb="FF63BE7B"/>
      </colorScale>
    </cfRule>
  </conditionalFormatting>
  <conditionalFormatting sqref="F32">
    <cfRule type="colorScale" priority="2422">
      <colorScale>
        <cfvo type="min"/>
        <cfvo type="percentile" val="50"/>
        <cfvo type="max"/>
        <color rgb="FFF8696B"/>
        <color rgb="FFFFEB84"/>
        <color rgb="FF63BE7B"/>
      </colorScale>
    </cfRule>
  </conditionalFormatting>
  <conditionalFormatting sqref="F32">
    <cfRule type="colorScale" priority="2421">
      <colorScale>
        <cfvo type="min"/>
        <cfvo type="percentile" val="50"/>
        <cfvo type="max"/>
        <color rgb="FFF8696B"/>
        <color rgb="FFFFEB84"/>
        <color rgb="FF63BE7B"/>
      </colorScale>
    </cfRule>
  </conditionalFormatting>
  <conditionalFormatting sqref="F32">
    <cfRule type="colorScale" priority="2420">
      <colorScale>
        <cfvo type="min"/>
        <cfvo type="percentile" val="50"/>
        <cfvo type="max"/>
        <color rgb="FFF8696B"/>
        <color rgb="FFFFEB84"/>
        <color rgb="FF63BE7B"/>
      </colorScale>
    </cfRule>
  </conditionalFormatting>
  <conditionalFormatting sqref="F32">
    <cfRule type="colorScale" priority="2419">
      <colorScale>
        <cfvo type="min"/>
        <cfvo type="percentile" val="50"/>
        <cfvo type="max"/>
        <color rgb="FFF8696B"/>
        <color rgb="FFFFEB84"/>
        <color rgb="FF63BE7B"/>
      </colorScale>
    </cfRule>
  </conditionalFormatting>
  <conditionalFormatting sqref="F32">
    <cfRule type="colorScale" priority="2418">
      <colorScale>
        <cfvo type="min"/>
        <cfvo type="percentile" val="50"/>
        <cfvo type="max"/>
        <color rgb="FFF8696B"/>
        <color rgb="FFFFEB84"/>
        <color rgb="FF63BE7B"/>
      </colorScale>
    </cfRule>
  </conditionalFormatting>
  <conditionalFormatting sqref="F32">
    <cfRule type="colorScale" priority="2417">
      <colorScale>
        <cfvo type="min"/>
        <cfvo type="percentile" val="50"/>
        <cfvo type="max"/>
        <color rgb="FFF8696B"/>
        <color rgb="FFFFEB84"/>
        <color rgb="FF63BE7B"/>
      </colorScale>
    </cfRule>
  </conditionalFormatting>
  <conditionalFormatting sqref="F32">
    <cfRule type="colorScale" priority="2416">
      <colorScale>
        <cfvo type="min"/>
        <cfvo type="percentile" val="50"/>
        <cfvo type="max"/>
        <color rgb="FFF8696B"/>
        <color rgb="FFFFEB84"/>
        <color rgb="FF63BE7B"/>
      </colorScale>
    </cfRule>
  </conditionalFormatting>
  <conditionalFormatting sqref="F32">
    <cfRule type="colorScale" priority="2415">
      <colorScale>
        <cfvo type="min"/>
        <cfvo type="percentile" val="50"/>
        <cfvo type="max"/>
        <color rgb="FFF8696B"/>
        <color rgb="FFFFEB84"/>
        <color rgb="FF63BE7B"/>
      </colorScale>
    </cfRule>
  </conditionalFormatting>
  <conditionalFormatting sqref="F32">
    <cfRule type="colorScale" priority="2414">
      <colorScale>
        <cfvo type="min"/>
        <cfvo type="percentile" val="50"/>
        <cfvo type="max"/>
        <color rgb="FFF8696B"/>
        <color rgb="FFFFEB84"/>
        <color rgb="FF63BE7B"/>
      </colorScale>
    </cfRule>
  </conditionalFormatting>
  <conditionalFormatting sqref="F32">
    <cfRule type="colorScale" priority="2413">
      <colorScale>
        <cfvo type="min"/>
        <cfvo type="percentile" val="50"/>
        <cfvo type="max"/>
        <color rgb="FFF8696B"/>
        <color rgb="FFFFEB84"/>
        <color rgb="FF63BE7B"/>
      </colorScale>
    </cfRule>
  </conditionalFormatting>
  <conditionalFormatting sqref="F32">
    <cfRule type="colorScale" priority="2412">
      <colorScale>
        <cfvo type="min"/>
        <cfvo type="percentile" val="50"/>
        <cfvo type="max"/>
        <color rgb="FFF8696B"/>
        <color rgb="FFFFEB84"/>
        <color rgb="FF63BE7B"/>
      </colorScale>
    </cfRule>
  </conditionalFormatting>
  <conditionalFormatting sqref="F32">
    <cfRule type="colorScale" priority="2411">
      <colorScale>
        <cfvo type="min"/>
        <cfvo type="percentile" val="50"/>
        <cfvo type="max"/>
        <color rgb="FFF8696B"/>
        <color rgb="FFFFEB84"/>
        <color rgb="FF63BE7B"/>
      </colorScale>
    </cfRule>
  </conditionalFormatting>
  <conditionalFormatting sqref="F32">
    <cfRule type="colorScale" priority="2410">
      <colorScale>
        <cfvo type="min"/>
        <cfvo type="percentile" val="50"/>
        <cfvo type="max"/>
        <color rgb="FFF8696B"/>
        <color rgb="FFFFEB84"/>
        <color rgb="FF63BE7B"/>
      </colorScale>
    </cfRule>
  </conditionalFormatting>
  <conditionalFormatting sqref="F32">
    <cfRule type="colorScale" priority="2409">
      <colorScale>
        <cfvo type="min"/>
        <cfvo type="percentile" val="50"/>
        <cfvo type="max"/>
        <color rgb="FFF8696B"/>
        <color rgb="FFFFEB84"/>
        <color rgb="FF63BE7B"/>
      </colorScale>
    </cfRule>
  </conditionalFormatting>
  <conditionalFormatting sqref="F32">
    <cfRule type="colorScale" priority="2408">
      <colorScale>
        <cfvo type="min"/>
        <cfvo type="percentile" val="50"/>
        <cfvo type="max"/>
        <color rgb="FFF8696B"/>
        <color rgb="FFFFEB84"/>
        <color rgb="FF63BE7B"/>
      </colorScale>
    </cfRule>
  </conditionalFormatting>
  <conditionalFormatting sqref="F32">
    <cfRule type="colorScale" priority="2407">
      <colorScale>
        <cfvo type="min"/>
        <cfvo type="percentile" val="50"/>
        <cfvo type="max"/>
        <color rgb="FFF8696B"/>
        <color rgb="FFFFEB84"/>
        <color rgb="FF63BE7B"/>
      </colorScale>
    </cfRule>
  </conditionalFormatting>
  <conditionalFormatting sqref="F32">
    <cfRule type="colorScale" priority="2406">
      <colorScale>
        <cfvo type="min"/>
        <cfvo type="percentile" val="50"/>
        <cfvo type="max"/>
        <color rgb="FFF8696B"/>
        <color rgb="FFFFEB84"/>
        <color rgb="FF63BE7B"/>
      </colorScale>
    </cfRule>
  </conditionalFormatting>
  <conditionalFormatting sqref="F32">
    <cfRule type="colorScale" priority="2405">
      <colorScale>
        <cfvo type="min"/>
        <cfvo type="percentile" val="50"/>
        <cfvo type="max"/>
        <color rgb="FFF8696B"/>
        <color rgb="FFFFEB84"/>
        <color rgb="FF63BE7B"/>
      </colorScale>
    </cfRule>
  </conditionalFormatting>
  <conditionalFormatting sqref="F32">
    <cfRule type="colorScale" priority="2404">
      <colorScale>
        <cfvo type="min"/>
        <cfvo type="percentile" val="50"/>
        <cfvo type="max"/>
        <color rgb="FFF8696B"/>
        <color rgb="FFFFEB84"/>
        <color rgb="FF63BE7B"/>
      </colorScale>
    </cfRule>
  </conditionalFormatting>
  <conditionalFormatting sqref="F32">
    <cfRule type="colorScale" priority="2403">
      <colorScale>
        <cfvo type="min"/>
        <cfvo type="percentile" val="50"/>
        <cfvo type="max"/>
        <color rgb="FFF8696B"/>
        <color rgb="FFFFEB84"/>
        <color rgb="FF63BE7B"/>
      </colorScale>
    </cfRule>
  </conditionalFormatting>
  <conditionalFormatting sqref="F32">
    <cfRule type="colorScale" priority="2402">
      <colorScale>
        <cfvo type="min"/>
        <cfvo type="percentile" val="50"/>
        <cfvo type="max"/>
        <color rgb="FFF8696B"/>
        <color rgb="FFFFEB84"/>
        <color rgb="FF63BE7B"/>
      </colorScale>
    </cfRule>
  </conditionalFormatting>
  <conditionalFormatting sqref="F32">
    <cfRule type="colorScale" priority="2401">
      <colorScale>
        <cfvo type="min"/>
        <cfvo type="percentile" val="50"/>
        <cfvo type="max"/>
        <color rgb="FFF8696B"/>
        <color rgb="FFFFEB84"/>
        <color rgb="FF63BE7B"/>
      </colorScale>
    </cfRule>
  </conditionalFormatting>
  <conditionalFormatting sqref="F32">
    <cfRule type="colorScale" priority="2400">
      <colorScale>
        <cfvo type="min"/>
        <cfvo type="percentile" val="50"/>
        <cfvo type="max"/>
        <color rgb="FFF8696B"/>
        <color rgb="FFFFEB84"/>
        <color rgb="FF63BE7B"/>
      </colorScale>
    </cfRule>
  </conditionalFormatting>
  <conditionalFormatting sqref="F32">
    <cfRule type="colorScale" priority="2399">
      <colorScale>
        <cfvo type="min"/>
        <cfvo type="percentile" val="50"/>
        <cfvo type="max"/>
        <color rgb="FFF8696B"/>
        <color rgb="FFFFEB84"/>
        <color rgb="FF63BE7B"/>
      </colorScale>
    </cfRule>
  </conditionalFormatting>
  <conditionalFormatting sqref="F32">
    <cfRule type="colorScale" priority="2398">
      <colorScale>
        <cfvo type="min"/>
        <cfvo type="percentile" val="50"/>
        <cfvo type="max"/>
        <color rgb="FFF8696B"/>
        <color rgb="FFFFEB84"/>
        <color rgb="FF63BE7B"/>
      </colorScale>
    </cfRule>
  </conditionalFormatting>
  <conditionalFormatting sqref="F32">
    <cfRule type="colorScale" priority="2397">
      <colorScale>
        <cfvo type="min"/>
        <cfvo type="percentile" val="50"/>
        <cfvo type="max"/>
        <color rgb="FFF8696B"/>
        <color rgb="FFFFEB84"/>
        <color rgb="FF63BE7B"/>
      </colorScale>
    </cfRule>
  </conditionalFormatting>
  <conditionalFormatting sqref="F32">
    <cfRule type="colorScale" priority="2396">
      <colorScale>
        <cfvo type="min"/>
        <cfvo type="percentile" val="50"/>
        <cfvo type="max"/>
        <color rgb="FFF8696B"/>
        <color rgb="FFFFEB84"/>
        <color rgb="FF63BE7B"/>
      </colorScale>
    </cfRule>
  </conditionalFormatting>
  <conditionalFormatting sqref="F32">
    <cfRule type="colorScale" priority="2395">
      <colorScale>
        <cfvo type="min"/>
        <cfvo type="percentile" val="50"/>
        <cfvo type="max"/>
        <color rgb="FFF8696B"/>
        <color rgb="FFFFEB84"/>
        <color rgb="FF63BE7B"/>
      </colorScale>
    </cfRule>
  </conditionalFormatting>
  <conditionalFormatting sqref="F32">
    <cfRule type="colorScale" priority="2394">
      <colorScale>
        <cfvo type="min"/>
        <cfvo type="percentile" val="50"/>
        <cfvo type="max"/>
        <color rgb="FFF8696B"/>
        <color rgb="FFFFEB84"/>
        <color rgb="FF63BE7B"/>
      </colorScale>
    </cfRule>
  </conditionalFormatting>
  <conditionalFormatting sqref="F32">
    <cfRule type="colorScale" priority="2393">
      <colorScale>
        <cfvo type="min"/>
        <cfvo type="percentile" val="50"/>
        <cfvo type="max"/>
        <color rgb="FFF8696B"/>
        <color rgb="FFFFEB84"/>
        <color rgb="FF63BE7B"/>
      </colorScale>
    </cfRule>
  </conditionalFormatting>
  <conditionalFormatting sqref="F32">
    <cfRule type="colorScale" priority="2392">
      <colorScale>
        <cfvo type="min"/>
        <cfvo type="percentile" val="50"/>
        <cfvo type="max"/>
        <color rgb="FFF8696B"/>
        <color rgb="FFFFEB84"/>
        <color rgb="FF63BE7B"/>
      </colorScale>
    </cfRule>
  </conditionalFormatting>
  <conditionalFormatting sqref="F32">
    <cfRule type="colorScale" priority="2391">
      <colorScale>
        <cfvo type="min"/>
        <cfvo type="percentile" val="50"/>
        <cfvo type="max"/>
        <color rgb="FFF8696B"/>
        <color rgb="FFFFEB84"/>
        <color rgb="FF63BE7B"/>
      </colorScale>
    </cfRule>
  </conditionalFormatting>
  <conditionalFormatting sqref="F32">
    <cfRule type="colorScale" priority="2390">
      <colorScale>
        <cfvo type="min"/>
        <cfvo type="percentile" val="50"/>
        <cfvo type="max"/>
        <color rgb="FFF8696B"/>
        <color rgb="FFFFEB84"/>
        <color rgb="FF63BE7B"/>
      </colorScale>
    </cfRule>
  </conditionalFormatting>
  <conditionalFormatting sqref="F32">
    <cfRule type="colorScale" priority="2389">
      <colorScale>
        <cfvo type="min"/>
        <cfvo type="percentile" val="50"/>
        <cfvo type="max"/>
        <color rgb="FFF8696B"/>
        <color rgb="FFFFEB84"/>
        <color rgb="FF63BE7B"/>
      </colorScale>
    </cfRule>
  </conditionalFormatting>
  <conditionalFormatting sqref="F32">
    <cfRule type="colorScale" priority="2388">
      <colorScale>
        <cfvo type="min"/>
        <cfvo type="percentile" val="50"/>
        <cfvo type="max"/>
        <color rgb="FFF8696B"/>
        <color rgb="FFFFEB84"/>
        <color rgb="FF63BE7B"/>
      </colorScale>
    </cfRule>
  </conditionalFormatting>
  <conditionalFormatting sqref="F32">
    <cfRule type="colorScale" priority="2387">
      <colorScale>
        <cfvo type="min"/>
        <cfvo type="percentile" val="50"/>
        <cfvo type="max"/>
        <color rgb="FFF8696B"/>
        <color rgb="FFFFEB84"/>
        <color rgb="FF63BE7B"/>
      </colorScale>
    </cfRule>
  </conditionalFormatting>
  <conditionalFormatting sqref="F32">
    <cfRule type="colorScale" priority="2386">
      <colorScale>
        <cfvo type="min"/>
        <cfvo type="percentile" val="50"/>
        <cfvo type="max"/>
        <color rgb="FFF8696B"/>
        <color rgb="FFFFEB84"/>
        <color rgb="FF63BE7B"/>
      </colorScale>
    </cfRule>
  </conditionalFormatting>
  <conditionalFormatting sqref="F32">
    <cfRule type="colorScale" priority="2385">
      <colorScale>
        <cfvo type="min"/>
        <cfvo type="percentile" val="50"/>
        <cfvo type="max"/>
        <color rgb="FFF8696B"/>
        <color rgb="FFFFEB84"/>
        <color rgb="FF63BE7B"/>
      </colorScale>
    </cfRule>
  </conditionalFormatting>
  <conditionalFormatting sqref="F32">
    <cfRule type="colorScale" priority="2384">
      <colorScale>
        <cfvo type="min"/>
        <cfvo type="percentile" val="50"/>
        <cfvo type="max"/>
        <color rgb="FFF8696B"/>
        <color rgb="FFFFEB84"/>
        <color rgb="FF63BE7B"/>
      </colorScale>
    </cfRule>
  </conditionalFormatting>
  <conditionalFormatting sqref="F32">
    <cfRule type="colorScale" priority="2383">
      <colorScale>
        <cfvo type="min"/>
        <cfvo type="percentile" val="50"/>
        <cfvo type="max"/>
        <color rgb="FFF8696B"/>
        <color rgb="FFFFEB84"/>
        <color rgb="FF63BE7B"/>
      </colorScale>
    </cfRule>
  </conditionalFormatting>
  <conditionalFormatting sqref="F32">
    <cfRule type="colorScale" priority="2382">
      <colorScale>
        <cfvo type="min"/>
        <cfvo type="percentile" val="50"/>
        <cfvo type="max"/>
        <color rgb="FFF8696B"/>
        <color rgb="FFFFEB84"/>
        <color rgb="FF63BE7B"/>
      </colorScale>
    </cfRule>
  </conditionalFormatting>
  <conditionalFormatting sqref="F32">
    <cfRule type="colorScale" priority="2381">
      <colorScale>
        <cfvo type="min"/>
        <cfvo type="percentile" val="50"/>
        <cfvo type="max"/>
        <color rgb="FFF8696B"/>
        <color rgb="FFFFEB84"/>
        <color rgb="FF63BE7B"/>
      </colorScale>
    </cfRule>
  </conditionalFormatting>
  <conditionalFormatting sqref="F32">
    <cfRule type="colorScale" priority="2380">
      <colorScale>
        <cfvo type="min"/>
        <cfvo type="percentile" val="50"/>
        <cfvo type="max"/>
        <color rgb="FFF8696B"/>
        <color rgb="FFFFEB84"/>
        <color rgb="FF63BE7B"/>
      </colorScale>
    </cfRule>
  </conditionalFormatting>
  <conditionalFormatting sqref="F32">
    <cfRule type="colorScale" priority="2379">
      <colorScale>
        <cfvo type="min"/>
        <cfvo type="percentile" val="50"/>
        <cfvo type="max"/>
        <color rgb="FFF8696B"/>
        <color rgb="FFFFEB84"/>
        <color rgb="FF63BE7B"/>
      </colorScale>
    </cfRule>
  </conditionalFormatting>
  <conditionalFormatting sqref="F32">
    <cfRule type="colorScale" priority="2378">
      <colorScale>
        <cfvo type="min"/>
        <cfvo type="percentile" val="50"/>
        <cfvo type="max"/>
        <color rgb="FFF8696B"/>
        <color rgb="FFFFEB84"/>
        <color rgb="FF63BE7B"/>
      </colorScale>
    </cfRule>
  </conditionalFormatting>
  <conditionalFormatting sqref="F32">
    <cfRule type="colorScale" priority="2377">
      <colorScale>
        <cfvo type="min"/>
        <cfvo type="percentile" val="50"/>
        <cfvo type="max"/>
        <color rgb="FFF8696B"/>
        <color rgb="FFFFEB84"/>
        <color rgb="FF63BE7B"/>
      </colorScale>
    </cfRule>
  </conditionalFormatting>
  <conditionalFormatting sqref="F32">
    <cfRule type="colorScale" priority="2376">
      <colorScale>
        <cfvo type="min"/>
        <cfvo type="percentile" val="50"/>
        <cfvo type="max"/>
        <color rgb="FFF8696B"/>
        <color rgb="FFFFEB84"/>
        <color rgb="FF63BE7B"/>
      </colorScale>
    </cfRule>
  </conditionalFormatting>
  <conditionalFormatting sqref="F32">
    <cfRule type="colorScale" priority="2375">
      <colorScale>
        <cfvo type="min"/>
        <cfvo type="percentile" val="50"/>
        <cfvo type="max"/>
        <color rgb="FFF8696B"/>
        <color rgb="FFFFEB84"/>
        <color rgb="FF63BE7B"/>
      </colorScale>
    </cfRule>
  </conditionalFormatting>
  <conditionalFormatting sqref="F32">
    <cfRule type="colorScale" priority="2374">
      <colorScale>
        <cfvo type="min"/>
        <cfvo type="percentile" val="50"/>
        <cfvo type="max"/>
        <color rgb="FFF8696B"/>
        <color rgb="FFFFEB84"/>
        <color rgb="FF63BE7B"/>
      </colorScale>
    </cfRule>
  </conditionalFormatting>
  <conditionalFormatting sqref="F13:F20">
    <cfRule type="colorScale" priority="2373">
      <colorScale>
        <cfvo type="min"/>
        <cfvo type="percentile" val="50"/>
        <cfvo type="max"/>
        <color rgb="FFF8696B"/>
        <color rgb="FFFFEB84"/>
        <color rgb="FF63BE7B"/>
      </colorScale>
    </cfRule>
  </conditionalFormatting>
  <conditionalFormatting sqref="F13:F20">
    <cfRule type="colorScale" priority="2372">
      <colorScale>
        <cfvo type="min"/>
        <cfvo type="percentile" val="50"/>
        <cfvo type="max"/>
        <color rgb="FFF8696B"/>
        <color rgb="FFFFEB84"/>
        <color rgb="FF63BE7B"/>
      </colorScale>
    </cfRule>
  </conditionalFormatting>
  <conditionalFormatting sqref="F13:F20">
    <cfRule type="colorScale" priority="2371">
      <colorScale>
        <cfvo type="min"/>
        <cfvo type="percentile" val="50"/>
        <cfvo type="max"/>
        <color rgb="FFF8696B"/>
        <color rgb="FFFFEB84"/>
        <color rgb="FF63BE7B"/>
      </colorScale>
    </cfRule>
  </conditionalFormatting>
  <conditionalFormatting sqref="F13:F20">
    <cfRule type="colorScale" priority="2370">
      <colorScale>
        <cfvo type="min"/>
        <cfvo type="percentile" val="50"/>
        <cfvo type="max"/>
        <color rgb="FFF8696B"/>
        <color rgb="FFFFEB84"/>
        <color rgb="FF63BE7B"/>
      </colorScale>
    </cfRule>
  </conditionalFormatting>
  <conditionalFormatting sqref="F13:F20">
    <cfRule type="colorScale" priority="2369">
      <colorScale>
        <cfvo type="min"/>
        <cfvo type="percentile" val="50"/>
        <cfvo type="max"/>
        <color rgb="FFF8696B"/>
        <color rgb="FFFFEB84"/>
        <color rgb="FF63BE7B"/>
      </colorScale>
    </cfRule>
  </conditionalFormatting>
  <conditionalFormatting sqref="F13:F20">
    <cfRule type="colorScale" priority="2368">
      <colorScale>
        <cfvo type="min"/>
        <cfvo type="percentile" val="50"/>
        <cfvo type="max"/>
        <color rgb="FFF8696B"/>
        <color rgb="FFFFEB84"/>
        <color rgb="FF63BE7B"/>
      </colorScale>
    </cfRule>
  </conditionalFormatting>
  <conditionalFormatting sqref="F13:F20">
    <cfRule type="colorScale" priority="2367">
      <colorScale>
        <cfvo type="min"/>
        <cfvo type="percentile" val="50"/>
        <cfvo type="max"/>
        <color rgb="FFF8696B"/>
        <color rgb="FFFFEB84"/>
        <color rgb="FF63BE7B"/>
      </colorScale>
    </cfRule>
  </conditionalFormatting>
  <conditionalFormatting sqref="F13:F20">
    <cfRule type="colorScale" priority="2366">
      <colorScale>
        <cfvo type="min"/>
        <cfvo type="percentile" val="50"/>
        <cfvo type="max"/>
        <color rgb="FFF8696B"/>
        <color rgb="FFFFEB84"/>
        <color rgb="FF63BE7B"/>
      </colorScale>
    </cfRule>
  </conditionalFormatting>
  <conditionalFormatting sqref="F13:F20">
    <cfRule type="colorScale" priority="2365">
      <colorScale>
        <cfvo type="min"/>
        <cfvo type="percentile" val="50"/>
        <cfvo type="max"/>
        <color rgb="FFF8696B"/>
        <color rgb="FFFFEB84"/>
        <color rgb="FF63BE7B"/>
      </colorScale>
    </cfRule>
  </conditionalFormatting>
  <conditionalFormatting sqref="F13:F20">
    <cfRule type="colorScale" priority="2364">
      <colorScale>
        <cfvo type="min"/>
        <cfvo type="percentile" val="50"/>
        <cfvo type="max"/>
        <color rgb="FFF8696B"/>
        <color rgb="FFFFEB84"/>
        <color rgb="FF63BE7B"/>
      </colorScale>
    </cfRule>
  </conditionalFormatting>
  <conditionalFormatting sqref="F13:F20">
    <cfRule type="colorScale" priority="2363">
      <colorScale>
        <cfvo type="min"/>
        <cfvo type="percentile" val="50"/>
        <cfvo type="max"/>
        <color rgb="FFF8696B"/>
        <color rgb="FFFFEB84"/>
        <color rgb="FF63BE7B"/>
      </colorScale>
    </cfRule>
  </conditionalFormatting>
  <conditionalFormatting sqref="F13:F20">
    <cfRule type="colorScale" priority="2362">
      <colorScale>
        <cfvo type="min"/>
        <cfvo type="percentile" val="50"/>
        <cfvo type="max"/>
        <color rgb="FFF8696B"/>
        <color rgb="FFFFEB84"/>
        <color rgb="FF63BE7B"/>
      </colorScale>
    </cfRule>
  </conditionalFormatting>
  <conditionalFormatting sqref="F13:F20">
    <cfRule type="colorScale" priority="2361">
      <colorScale>
        <cfvo type="min"/>
        <cfvo type="percentile" val="50"/>
        <cfvo type="max"/>
        <color rgb="FFF8696B"/>
        <color rgb="FFFFEB84"/>
        <color rgb="FF63BE7B"/>
      </colorScale>
    </cfRule>
  </conditionalFormatting>
  <conditionalFormatting sqref="F13:F20">
    <cfRule type="colorScale" priority="2360">
      <colorScale>
        <cfvo type="min"/>
        <cfvo type="percentile" val="50"/>
        <cfvo type="max"/>
        <color rgb="FFF8696B"/>
        <color rgb="FFFFEB84"/>
        <color rgb="FF63BE7B"/>
      </colorScale>
    </cfRule>
  </conditionalFormatting>
  <conditionalFormatting sqref="F13:F20">
    <cfRule type="colorScale" priority="2359">
      <colorScale>
        <cfvo type="min"/>
        <cfvo type="percentile" val="50"/>
        <cfvo type="max"/>
        <color rgb="FFF8696B"/>
        <color rgb="FFFFEB84"/>
        <color rgb="FF63BE7B"/>
      </colorScale>
    </cfRule>
  </conditionalFormatting>
  <conditionalFormatting sqref="F13:F20">
    <cfRule type="colorScale" priority="2358">
      <colorScale>
        <cfvo type="min"/>
        <cfvo type="percentile" val="50"/>
        <cfvo type="max"/>
        <color rgb="FFF8696B"/>
        <color rgb="FFFFEB84"/>
        <color rgb="FF63BE7B"/>
      </colorScale>
    </cfRule>
  </conditionalFormatting>
  <conditionalFormatting sqref="F13:F20">
    <cfRule type="colorScale" priority="2357">
      <colorScale>
        <cfvo type="min"/>
        <cfvo type="percentile" val="50"/>
        <cfvo type="max"/>
        <color rgb="FFF8696B"/>
        <color rgb="FFFFEB84"/>
        <color rgb="FF63BE7B"/>
      </colorScale>
    </cfRule>
  </conditionalFormatting>
  <conditionalFormatting sqref="F13:F20">
    <cfRule type="colorScale" priority="2356">
      <colorScale>
        <cfvo type="min"/>
        <cfvo type="percentile" val="50"/>
        <cfvo type="max"/>
        <color rgb="FFF8696B"/>
        <color rgb="FFFFEB84"/>
        <color rgb="FF63BE7B"/>
      </colorScale>
    </cfRule>
  </conditionalFormatting>
  <conditionalFormatting sqref="F13:F20">
    <cfRule type="colorScale" priority="2355">
      <colorScale>
        <cfvo type="min"/>
        <cfvo type="percentile" val="50"/>
        <cfvo type="max"/>
        <color rgb="FFF8696B"/>
        <color rgb="FFFFEB84"/>
        <color rgb="FF63BE7B"/>
      </colorScale>
    </cfRule>
  </conditionalFormatting>
  <conditionalFormatting sqref="F13:F20">
    <cfRule type="colorScale" priority="2354">
      <colorScale>
        <cfvo type="min"/>
        <cfvo type="percentile" val="50"/>
        <cfvo type="max"/>
        <color rgb="FFF8696B"/>
        <color rgb="FFFFEB84"/>
        <color rgb="FF63BE7B"/>
      </colorScale>
    </cfRule>
  </conditionalFormatting>
  <conditionalFormatting sqref="F13:F20">
    <cfRule type="colorScale" priority="2353">
      <colorScale>
        <cfvo type="min"/>
        <cfvo type="percentile" val="50"/>
        <cfvo type="max"/>
        <color rgb="FFF8696B"/>
        <color rgb="FFFFEB84"/>
        <color rgb="FF63BE7B"/>
      </colorScale>
    </cfRule>
  </conditionalFormatting>
  <conditionalFormatting sqref="F13:F20">
    <cfRule type="colorScale" priority="2352">
      <colorScale>
        <cfvo type="min"/>
        <cfvo type="percentile" val="50"/>
        <cfvo type="max"/>
        <color rgb="FFF8696B"/>
        <color rgb="FFFFEB84"/>
        <color rgb="FF63BE7B"/>
      </colorScale>
    </cfRule>
  </conditionalFormatting>
  <conditionalFormatting sqref="F13:F20">
    <cfRule type="colorScale" priority="2351">
      <colorScale>
        <cfvo type="min"/>
        <cfvo type="percentile" val="50"/>
        <cfvo type="max"/>
        <color rgb="FFF8696B"/>
        <color rgb="FFFFEB84"/>
        <color rgb="FF63BE7B"/>
      </colorScale>
    </cfRule>
  </conditionalFormatting>
  <conditionalFormatting sqref="F13:F20">
    <cfRule type="colorScale" priority="2350">
      <colorScale>
        <cfvo type="min"/>
        <cfvo type="percentile" val="50"/>
        <cfvo type="max"/>
        <color rgb="FFF8696B"/>
        <color rgb="FFFFEB84"/>
        <color rgb="FF63BE7B"/>
      </colorScale>
    </cfRule>
  </conditionalFormatting>
  <conditionalFormatting sqref="F13:F20">
    <cfRule type="colorScale" priority="2349">
      <colorScale>
        <cfvo type="min"/>
        <cfvo type="percentile" val="50"/>
        <cfvo type="max"/>
        <color rgb="FFF8696B"/>
        <color rgb="FFFFEB84"/>
        <color rgb="FF63BE7B"/>
      </colorScale>
    </cfRule>
  </conditionalFormatting>
  <conditionalFormatting sqref="F13:F20">
    <cfRule type="colorScale" priority="2348">
      <colorScale>
        <cfvo type="min"/>
        <cfvo type="percentile" val="50"/>
        <cfvo type="max"/>
        <color rgb="FFF8696B"/>
        <color rgb="FFFFEB84"/>
        <color rgb="FF63BE7B"/>
      </colorScale>
    </cfRule>
  </conditionalFormatting>
  <conditionalFormatting sqref="F13:F20">
    <cfRule type="colorScale" priority="2347">
      <colorScale>
        <cfvo type="min"/>
        <cfvo type="percentile" val="50"/>
        <cfvo type="max"/>
        <color rgb="FFF8696B"/>
        <color rgb="FFFFEB84"/>
        <color rgb="FF63BE7B"/>
      </colorScale>
    </cfRule>
  </conditionalFormatting>
  <conditionalFormatting sqref="F13:F20">
    <cfRule type="colorScale" priority="2346">
      <colorScale>
        <cfvo type="min"/>
        <cfvo type="percentile" val="50"/>
        <cfvo type="max"/>
        <color rgb="FFF8696B"/>
        <color rgb="FFFFEB84"/>
        <color rgb="FF63BE7B"/>
      </colorScale>
    </cfRule>
  </conditionalFormatting>
  <conditionalFormatting sqref="F13:F20">
    <cfRule type="colorScale" priority="2345">
      <colorScale>
        <cfvo type="min"/>
        <cfvo type="percentile" val="50"/>
        <cfvo type="max"/>
        <color rgb="FFF8696B"/>
        <color rgb="FFFFEB84"/>
        <color rgb="FF63BE7B"/>
      </colorScale>
    </cfRule>
  </conditionalFormatting>
  <conditionalFormatting sqref="F13:F20">
    <cfRule type="colorScale" priority="2344">
      <colorScale>
        <cfvo type="min"/>
        <cfvo type="percentile" val="50"/>
        <cfvo type="max"/>
        <color rgb="FFF8696B"/>
        <color rgb="FFFFEB84"/>
        <color rgb="FF63BE7B"/>
      </colorScale>
    </cfRule>
  </conditionalFormatting>
  <conditionalFormatting sqref="F13:F20">
    <cfRule type="colorScale" priority="2343">
      <colorScale>
        <cfvo type="min"/>
        <cfvo type="percentile" val="50"/>
        <cfvo type="max"/>
        <color rgb="FFF8696B"/>
        <color rgb="FFFFEB84"/>
        <color rgb="FF63BE7B"/>
      </colorScale>
    </cfRule>
  </conditionalFormatting>
  <conditionalFormatting sqref="F13:F20">
    <cfRule type="colorScale" priority="2342">
      <colorScale>
        <cfvo type="min"/>
        <cfvo type="percentile" val="50"/>
        <cfvo type="max"/>
        <color rgb="FFF8696B"/>
        <color rgb="FFFFEB84"/>
        <color rgb="FF63BE7B"/>
      </colorScale>
    </cfRule>
  </conditionalFormatting>
  <conditionalFormatting sqref="F13:F20">
    <cfRule type="colorScale" priority="2341">
      <colorScale>
        <cfvo type="min"/>
        <cfvo type="percentile" val="50"/>
        <cfvo type="max"/>
        <color rgb="FFF8696B"/>
        <color rgb="FFFFEB84"/>
        <color rgb="FF63BE7B"/>
      </colorScale>
    </cfRule>
  </conditionalFormatting>
  <conditionalFormatting sqref="F13:F20">
    <cfRule type="colorScale" priority="2340">
      <colorScale>
        <cfvo type="min"/>
        <cfvo type="percentile" val="50"/>
        <cfvo type="max"/>
        <color rgb="FFF8696B"/>
        <color rgb="FFFFEB84"/>
        <color rgb="FF63BE7B"/>
      </colorScale>
    </cfRule>
  </conditionalFormatting>
  <conditionalFormatting sqref="F13:F20">
    <cfRule type="colorScale" priority="2339">
      <colorScale>
        <cfvo type="min"/>
        <cfvo type="percentile" val="50"/>
        <cfvo type="max"/>
        <color rgb="FFF8696B"/>
        <color rgb="FFFFEB84"/>
        <color rgb="FF63BE7B"/>
      </colorScale>
    </cfRule>
  </conditionalFormatting>
  <conditionalFormatting sqref="F13:F20">
    <cfRule type="colorScale" priority="2338">
      <colorScale>
        <cfvo type="min"/>
        <cfvo type="percentile" val="50"/>
        <cfvo type="max"/>
        <color rgb="FFF8696B"/>
        <color rgb="FFFFEB84"/>
        <color rgb="FF63BE7B"/>
      </colorScale>
    </cfRule>
  </conditionalFormatting>
  <conditionalFormatting sqref="F13:F20">
    <cfRule type="colorScale" priority="2337">
      <colorScale>
        <cfvo type="min"/>
        <cfvo type="percentile" val="50"/>
        <cfvo type="max"/>
        <color rgb="FFF8696B"/>
        <color rgb="FFFFEB84"/>
        <color rgb="FF63BE7B"/>
      </colorScale>
    </cfRule>
  </conditionalFormatting>
  <conditionalFormatting sqref="F13:F20">
    <cfRule type="colorScale" priority="2336">
      <colorScale>
        <cfvo type="min"/>
        <cfvo type="percentile" val="50"/>
        <cfvo type="max"/>
        <color rgb="FFF8696B"/>
        <color rgb="FFFFEB84"/>
        <color rgb="FF63BE7B"/>
      </colorScale>
    </cfRule>
  </conditionalFormatting>
  <conditionalFormatting sqref="F13:F20">
    <cfRule type="colorScale" priority="2335">
      <colorScale>
        <cfvo type="min"/>
        <cfvo type="percentile" val="50"/>
        <cfvo type="max"/>
        <color rgb="FFF8696B"/>
        <color rgb="FFFFEB84"/>
        <color rgb="FF63BE7B"/>
      </colorScale>
    </cfRule>
  </conditionalFormatting>
  <conditionalFormatting sqref="F13:F20">
    <cfRule type="colorScale" priority="2334">
      <colorScale>
        <cfvo type="min"/>
        <cfvo type="percentile" val="50"/>
        <cfvo type="max"/>
        <color rgb="FFF8696B"/>
        <color rgb="FFFFEB84"/>
        <color rgb="FF63BE7B"/>
      </colorScale>
    </cfRule>
  </conditionalFormatting>
  <conditionalFormatting sqref="F13:F20">
    <cfRule type="colorScale" priority="2333">
      <colorScale>
        <cfvo type="min"/>
        <cfvo type="percentile" val="50"/>
        <cfvo type="max"/>
        <color rgb="FFF8696B"/>
        <color rgb="FFFFEB84"/>
        <color rgb="FF63BE7B"/>
      </colorScale>
    </cfRule>
  </conditionalFormatting>
  <conditionalFormatting sqref="F13:F20">
    <cfRule type="colorScale" priority="2332">
      <colorScale>
        <cfvo type="min"/>
        <cfvo type="percentile" val="50"/>
        <cfvo type="max"/>
        <color rgb="FFF8696B"/>
        <color rgb="FFFFEB84"/>
        <color rgb="FF63BE7B"/>
      </colorScale>
    </cfRule>
  </conditionalFormatting>
  <conditionalFormatting sqref="F13:F20">
    <cfRule type="colorScale" priority="2331">
      <colorScale>
        <cfvo type="min"/>
        <cfvo type="percentile" val="50"/>
        <cfvo type="max"/>
        <color rgb="FFF8696B"/>
        <color rgb="FFFFEB84"/>
        <color rgb="FF63BE7B"/>
      </colorScale>
    </cfRule>
  </conditionalFormatting>
  <conditionalFormatting sqref="F13:F20">
    <cfRule type="colorScale" priority="2330">
      <colorScale>
        <cfvo type="min"/>
        <cfvo type="percentile" val="50"/>
        <cfvo type="max"/>
        <color rgb="FFF8696B"/>
        <color rgb="FFFFEB84"/>
        <color rgb="FF63BE7B"/>
      </colorScale>
    </cfRule>
  </conditionalFormatting>
  <conditionalFormatting sqref="F13:F20">
    <cfRule type="colorScale" priority="2329">
      <colorScale>
        <cfvo type="min"/>
        <cfvo type="percentile" val="50"/>
        <cfvo type="max"/>
        <color rgb="FFF8696B"/>
        <color rgb="FFFFEB84"/>
        <color rgb="FF63BE7B"/>
      </colorScale>
    </cfRule>
  </conditionalFormatting>
  <conditionalFormatting sqref="F13:F20">
    <cfRule type="colorScale" priority="2328">
      <colorScale>
        <cfvo type="min"/>
        <cfvo type="percentile" val="50"/>
        <cfvo type="max"/>
        <color rgb="FFF8696B"/>
        <color rgb="FFFFEB84"/>
        <color rgb="FF63BE7B"/>
      </colorScale>
    </cfRule>
  </conditionalFormatting>
  <conditionalFormatting sqref="F13:F20">
    <cfRule type="colorScale" priority="2327">
      <colorScale>
        <cfvo type="min"/>
        <cfvo type="percentile" val="50"/>
        <cfvo type="max"/>
        <color rgb="FFF8696B"/>
        <color rgb="FFFFEB84"/>
        <color rgb="FF63BE7B"/>
      </colorScale>
    </cfRule>
  </conditionalFormatting>
  <conditionalFormatting sqref="F13:F20">
    <cfRule type="colorScale" priority="2326">
      <colorScale>
        <cfvo type="min"/>
        <cfvo type="percentile" val="50"/>
        <cfvo type="max"/>
        <color rgb="FFF8696B"/>
        <color rgb="FFFFEB84"/>
        <color rgb="FF63BE7B"/>
      </colorScale>
    </cfRule>
  </conditionalFormatting>
  <conditionalFormatting sqref="F13:F20">
    <cfRule type="colorScale" priority="2325">
      <colorScale>
        <cfvo type="min"/>
        <cfvo type="percentile" val="50"/>
        <cfvo type="max"/>
        <color rgb="FFF8696B"/>
        <color rgb="FFFFEB84"/>
        <color rgb="FF63BE7B"/>
      </colorScale>
    </cfRule>
  </conditionalFormatting>
  <conditionalFormatting sqref="F13:F20">
    <cfRule type="colorScale" priority="2324">
      <colorScale>
        <cfvo type="min"/>
        <cfvo type="percentile" val="50"/>
        <cfvo type="max"/>
        <color rgb="FFF8696B"/>
        <color rgb="FFFFEB84"/>
        <color rgb="FF63BE7B"/>
      </colorScale>
    </cfRule>
  </conditionalFormatting>
  <conditionalFormatting sqref="F13:F20">
    <cfRule type="colorScale" priority="2323">
      <colorScale>
        <cfvo type="min"/>
        <cfvo type="percentile" val="50"/>
        <cfvo type="max"/>
        <color rgb="FFF8696B"/>
        <color rgb="FFFFEB84"/>
        <color rgb="FF63BE7B"/>
      </colorScale>
    </cfRule>
  </conditionalFormatting>
  <conditionalFormatting sqref="F13:F20">
    <cfRule type="colorScale" priority="2322">
      <colorScale>
        <cfvo type="min"/>
        <cfvo type="percentile" val="50"/>
        <cfvo type="max"/>
        <color rgb="FFF8696B"/>
        <color rgb="FFFFEB84"/>
        <color rgb="FF63BE7B"/>
      </colorScale>
    </cfRule>
  </conditionalFormatting>
  <conditionalFormatting sqref="F13:F20">
    <cfRule type="colorScale" priority="2321">
      <colorScale>
        <cfvo type="min"/>
        <cfvo type="percentile" val="50"/>
        <cfvo type="max"/>
        <color rgb="FFF8696B"/>
        <color rgb="FFFFEB84"/>
        <color rgb="FF63BE7B"/>
      </colorScale>
    </cfRule>
  </conditionalFormatting>
  <conditionalFormatting sqref="F13:F20">
    <cfRule type="colorScale" priority="2320">
      <colorScale>
        <cfvo type="min"/>
        <cfvo type="percentile" val="50"/>
        <cfvo type="max"/>
        <color rgb="FFF8696B"/>
        <color rgb="FFFFEB84"/>
        <color rgb="FF63BE7B"/>
      </colorScale>
    </cfRule>
  </conditionalFormatting>
  <conditionalFormatting sqref="F13:F20">
    <cfRule type="colorScale" priority="2319">
      <colorScale>
        <cfvo type="min"/>
        <cfvo type="percentile" val="50"/>
        <cfvo type="max"/>
        <color rgb="FFF8696B"/>
        <color rgb="FFFFEB84"/>
        <color rgb="FF63BE7B"/>
      </colorScale>
    </cfRule>
  </conditionalFormatting>
  <conditionalFormatting sqref="F13:F20">
    <cfRule type="colorScale" priority="2318">
      <colorScale>
        <cfvo type="min"/>
        <cfvo type="percentile" val="50"/>
        <cfvo type="max"/>
        <color rgb="FFF8696B"/>
        <color rgb="FFFFEB84"/>
        <color rgb="FF63BE7B"/>
      </colorScale>
    </cfRule>
  </conditionalFormatting>
  <conditionalFormatting sqref="F13:F20">
    <cfRule type="colorScale" priority="2317">
      <colorScale>
        <cfvo type="min"/>
        <cfvo type="percentile" val="50"/>
        <cfvo type="max"/>
        <color rgb="FFF8696B"/>
        <color rgb="FFFFEB84"/>
        <color rgb="FF63BE7B"/>
      </colorScale>
    </cfRule>
  </conditionalFormatting>
  <conditionalFormatting sqref="F13:F20">
    <cfRule type="colorScale" priority="2316">
      <colorScale>
        <cfvo type="min"/>
        <cfvo type="percentile" val="50"/>
        <cfvo type="max"/>
        <color rgb="FFF8696B"/>
        <color rgb="FFFFEB84"/>
        <color rgb="FF63BE7B"/>
      </colorScale>
    </cfRule>
  </conditionalFormatting>
  <conditionalFormatting sqref="F13:F20">
    <cfRule type="colorScale" priority="2315">
      <colorScale>
        <cfvo type="min"/>
        <cfvo type="percentile" val="50"/>
        <cfvo type="max"/>
        <color rgb="FFF8696B"/>
        <color rgb="FFFFEB84"/>
        <color rgb="FF63BE7B"/>
      </colorScale>
    </cfRule>
  </conditionalFormatting>
  <conditionalFormatting sqref="F13:F20">
    <cfRule type="colorScale" priority="2314">
      <colorScale>
        <cfvo type="min"/>
        <cfvo type="percentile" val="50"/>
        <cfvo type="max"/>
        <color rgb="FFF8696B"/>
        <color rgb="FFFFEB84"/>
        <color rgb="FF63BE7B"/>
      </colorScale>
    </cfRule>
  </conditionalFormatting>
  <conditionalFormatting sqref="F13:F20">
    <cfRule type="colorScale" priority="2313">
      <colorScale>
        <cfvo type="min"/>
        <cfvo type="percentile" val="50"/>
        <cfvo type="max"/>
        <color rgb="FFF8696B"/>
        <color rgb="FFFFEB84"/>
        <color rgb="FF63BE7B"/>
      </colorScale>
    </cfRule>
  </conditionalFormatting>
  <conditionalFormatting sqref="F13:F20">
    <cfRule type="colorScale" priority="2312">
      <colorScale>
        <cfvo type="min"/>
        <cfvo type="percentile" val="50"/>
        <cfvo type="max"/>
        <color rgb="FFF8696B"/>
        <color rgb="FFFFEB84"/>
        <color rgb="FF63BE7B"/>
      </colorScale>
    </cfRule>
  </conditionalFormatting>
  <conditionalFormatting sqref="F13:F20">
    <cfRule type="colorScale" priority="2311">
      <colorScale>
        <cfvo type="min"/>
        <cfvo type="percentile" val="50"/>
        <cfvo type="max"/>
        <color rgb="FFF8696B"/>
        <color rgb="FFFFEB84"/>
        <color rgb="FF63BE7B"/>
      </colorScale>
    </cfRule>
  </conditionalFormatting>
  <conditionalFormatting sqref="F13:F20">
    <cfRule type="colorScale" priority="2310">
      <colorScale>
        <cfvo type="min"/>
        <cfvo type="percentile" val="50"/>
        <cfvo type="max"/>
        <color rgb="FFF8696B"/>
        <color rgb="FFFFEB84"/>
        <color rgb="FF63BE7B"/>
      </colorScale>
    </cfRule>
  </conditionalFormatting>
  <conditionalFormatting sqref="F13:F20">
    <cfRule type="colorScale" priority="2309">
      <colorScale>
        <cfvo type="min"/>
        <cfvo type="percentile" val="50"/>
        <cfvo type="max"/>
        <color rgb="FFF8696B"/>
        <color rgb="FFFFEB84"/>
        <color rgb="FF63BE7B"/>
      </colorScale>
    </cfRule>
  </conditionalFormatting>
  <conditionalFormatting sqref="F13:F20">
    <cfRule type="colorScale" priority="2308">
      <colorScale>
        <cfvo type="min"/>
        <cfvo type="percentile" val="50"/>
        <cfvo type="max"/>
        <color rgb="FFF8696B"/>
        <color rgb="FFFFEB84"/>
        <color rgb="FF63BE7B"/>
      </colorScale>
    </cfRule>
  </conditionalFormatting>
  <conditionalFormatting sqref="F13:F20">
    <cfRule type="colorScale" priority="2307">
      <colorScale>
        <cfvo type="min"/>
        <cfvo type="percentile" val="50"/>
        <cfvo type="max"/>
        <color rgb="FFF8696B"/>
        <color rgb="FFFFEB84"/>
        <color rgb="FF63BE7B"/>
      </colorScale>
    </cfRule>
  </conditionalFormatting>
  <conditionalFormatting sqref="F13:F20">
    <cfRule type="colorScale" priority="2306">
      <colorScale>
        <cfvo type="min"/>
        <cfvo type="percentile" val="50"/>
        <cfvo type="max"/>
        <color rgb="FFF8696B"/>
        <color rgb="FFFFEB84"/>
        <color rgb="FF63BE7B"/>
      </colorScale>
    </cfRule>
  </conditionalFormatting>
  <conditionalFormatting sqref="F13:F20">
    <cfRule type="colorScale" priority="2305">
      <colorScale>
        <cfvo type="min"/>
        <cfvo type="percentile" val="50"/>
        <cfvo type="max"/>
        <color rgb="FFF8696B"/>
        <color rgb="FFFFEB84"/>
        <color rgb="FF63BE7B"/>
      </colorScale>
    </cfRule>
  </conditionalFormatting>
  <conditionalFormatting sqref="F13:F20">
    <cfRule type="colorScale" priority="2304">
      <colorScale>
        <cfvo type="min"/>
        <cfvo type="percentile" val="50"/>
        <cfvo type="max"/>
        <color rgb="FFF8696B"/>
        <color rgb="FFFFEB84"/>
        <color rgb="FF63BE7B"/>
      </colorScale>
    </cfRule>
  </conditionalFormatting>
  <conditionalFormatting sqref="F13:F20">
    <cfRule type="colorScale" priority="2303">
      <colorScale>
        <cfvo type="min"/>
        <cfvo type="percentile" val="50"/>
        <cfvo type="max"/>
        <color rgb="FFF8696B"/>
        <color rgb="FFFFEB84"/>
        <color rgb="FF63BE7B"/>
      </colorScale>
    </cfRule>
  </conditionalFormatting>
  <conditionalFormatting sqref="F13:F20">
    <cfRule type="colorScale" priority="2302">
      <colorScale>
        <cfvo type="min"/>
        <cfvo type="percentile" val="50"/>
        <cfvo type="max"/>
        <color rgb="FFF8696B"/>
        <color rgb="FFFFEB84"/>
        <color rgb="FF63BE7B"/>
      </colorScale>
    </cfRule>
  </conditionalFormatting>
  <conditionalFormatting sqref="F13:F20">
    <cfRule type="colorScale" priority="2301">
      <colorScale>
        <cfvo type="min"/>
        <cfvo type="percentile" val="50"/>
        <cfvo type="max"/>
        <color rgb="FFF8696B"/>
        <color rgb="FFFFEB84"/>
        <color rgb="FF63BE7B"/>
      </colorScale>
    </cfRule>
  </conditionalFormatting>
  <conditionalFormatting sqref="F13:F20">
    <cfRule type="colorScale" priority="2300">
      <colorScale>
        <cfvo type="min"/>
        <cfvo type="percentile" val="50"/>
        <cfvo type="max"/>
        <color rgb="FFF8696B"/>
        <color rgb="FFFFEB84"/>
        <color rgb="FF63BE7B"/>
      </colorScale>
    </cfRule>
  </conditionalFormatting>
  <conditionalFormatting sqref="F13:F20">
    <cfRule type="colorScale" priority="2299">
      <colorScale>
        <cfvo type="min"/>
        <cfvo type="percentile" val="50"/>
        <cfvo type="max"/>
        <color rgb="FFF8696B"/>
        <color rgb="FFFFEB84"/>
        <color rgb="FF63BE7B"/>
      </colorScale>
    </cfRule>
  </conditionalFormatting>
  <conditionalFormatting sqref="F13:F20">
    <cfRule type="colorScale" priority="2298">
      <colorScale>
        <cfvo type="min"/>
        <cfvo type="percentile" val="50"/>
        <cfvo type="max"/>
        <color rgb="FFF8696B"/>
        <color rgb="FFFFEB84"/>
        <color rgb="FF63BE7B"/>
      </colorScale>
    </cfRule>
  </conditionalFormatting>
  <conditionalFormatting sqref="F13:F20">
    <cfRule type="colorScale" priority="2297">
      <colorScale>
        <cfvo type="min"/>
        <cfvo type="percentile" val="50"/>
        <cfvo type="max"/>
        <color rgb="FFF8696B"/>
        <color rgb="FFFFEB84"/>
        <color rgb="FF63BE7B"/>
      </colorScale>
    </cfRule>
  </conditionalFormatting>
  <conditionalFormatting sqref="F13:F20">
    <cfRule type="colorScale" priority="2296">
      <colorScale>
        <cfvo type="min"/>
        <cfvo type="percentile" val="50"/>
        <cfvo type="max"/>
        <color rgb="FFF8696B"/>
        <color rgb="FFFFEB84"/>
        <color rgb="FF63BE7B"/>
      </colorScale>
    </cfRule>
  </conditionalFormatting>
  <conditionalFormatting sqref="F13:F20">
    <cfRule type="colorScale" priority="2295">
      <colorScale>
        <cfvo type="min"/>
        <cfvo type="percentile" val="50"/>
        <cfvo type="max"/>
        <color rgb="FFF8696B"/>
        <color rgb="FFFFEB84"/>
        <color rgb="FF63BE7B"/>
      </colorScale>
    </cfRule>
  </conditionalFormatting>
  <conditionalFormatting sqref="F13:F20">
    <cfRule type="colorScale" priority="2294">
      <colorScale>
        <cfvo type="min"/>
        <cfvo type="percentile" val="50"/>
        <cfvo type="max"/>
        <color rgb="FFF8696B"/>
        <color rgb="FFFFEB84"/>
        <color rgb="FF63BE7B"/>
      </colorScale>
    </cfRule>
  </conditionalFormatting>
  <conditionalFormatting sqref="F13:F20">
    <cfRule type="colorScale" priority="2293">
      <colorScale>
        <cfvo type="min"/>
        <cfvo type="percentile" val="50"/>
        <cfvo type="max"/>
        <color rgb="FFF8696B"/>
        <color rgb="FFFFEB84"/>
        <color rgb="FF63BE7B"/>
      </colorScale>
    </cfRule>
  </conditionalFormatting>
  <conditionalFormatting sqref="F13:F20">
    <cfRule type="colorScale" priority="2292">
      <colorScale>
        <cfvo type="min"/>
        <cfvo type="percentile" val="50"/>
        <cfvo type="max"/>
        <color rgb="FFF8696B"/>
        <color rgb="FFFFEB84"/>
        <color rgb="FF63BE7B"/>
      </colorScale>
    </cfRule>
  </conditionalFormatting>
  <conditionalFormatting sqref="F13:F20">
    <cfRule type="colorScale" priority="2291">
      <colorScale>
        <cfvo type="min"/>
        <cfvo type="percentile" val="50"/>
        <cfvo type="max"/>
        <color rgb="FFF8696B"/>
        <color rgb="FFFFEB84"/>
        <color rgb="FF63BE7B"/>
      </colorScale>
    </cfRule>
  </conditionalFormatting>
  <conditionalFormatting sqref="F13:F20">
    <cfRule type="colorScale" priority="2290">
      <colorScale>
        <cfvo type="min"/>
        <cfvo type="percentile" val="50"/>
        <cfvo type="max"/>
        <color rgb="FFF8696B"/>
        <color rgb="FFFFEB84"/>
        <color rgb="FF63BE7B"/>
      </colorScale>
    </cfRule>
  </conditionalFormatting>
  <conditionalFormatting sqref="F13:F20">
    <cfRule type="colorScale" priority="2289">
      <colorScale>
        <cfvo type="min"/>
        <cfvo type="percentile" val="50"/>
        <cfvo type="max"/>
        <color rgb="FFF8696B"/>
        <color rgb="FFFFEB84"/>
        <color rgb="FF63BE7B"/>
      </colorScale>
    </cfRule>
  </conditionalFormatting>
  <conditionalFormatting sqref="F13:F20">
    <cfRule type="colorScale" priority="2288">
      <colorScale>
        <cfvo type="min"/>
        <cfvo type="percentile" val="50"/>
        <cfvo type="max"/>
        <color rgb="FFF8696B"/>
        <color rgb="FFFFEB84"/>
        <color rgb="FF63BE7B"/>
      </colorScale>
    </cfRule>
  </conditionalFormatting>
  <conditionalFormatting sqref="F13:F20">
    <cfRule type="colorScale" priority="2287">
      <colorScale>
        <cfvo type="min"/>
        <cfvo type="percentile" val="50"/>
        <cfvo type="max"/>
        <color rgb="FFF8696B"/>
        <color rgb="FFFFEB84"/>
        <color rgb="FF63BE7B"/>
      </colorScale>
    </cfRule>
  </conditionalFormatting>
  <conditionalFormatting sqref="F13:F20">
    <cfRule type="colorScale" priority="2286">
      <colorScale>
        <cfvo type="min"/>
        <cfvo type="percentile" val="50"/>
        <cfvo type="max"/>
        <color rgb="FFF8696B"/>
        <color rgb="FFFFEB84"/>
        <color rgb="FF63BE7B"/>
      </colorScale>
    </cfRule>
  </conditionalFormatting>
  <conditionalFormatting sqref="F13:F20">
    <cfRule type="colorScale" priority="2285">
      <colorScale>
        <cfvo type="min"/>
        <cfvo type="percentile" val="50"/>
        <cfvo type="max"/>
        <color rgb="FFF8696B"/>
        <color rgb="FFFFEB84"/>
        <color rgb="FF63BE7B"/>
      </colorScale>
    </cfRule>
  </conditionalFormatting>
  <conditionalFormatting sqref="F13:F20">
    <cfRule type="colorScale" priority="2284">
      <colorScale>
        <cfvo type="min"/>
        <cfvo type="percentile" val="50"/>
        <cfvo type="max"/>
        <color rgb="FFF8696B"/>
        <color rgb="FFFFEB84"/>
        <color rgb="FF63BE7B"/>
      </colorScale>
    </cfRule>
  </conditionalFormatting>
  <conditionalFormatting sqref="F13:F20">
    <cfRule type="colorScale" priority="2283">
      <colorScale>
        <cfvo type="min"/>
        <cfvo type="percentile" val="50"/>
        <cfvo type="max"/>
        <color rgb="FFF8696B"/>
        <color rgb="FFFFEB84"/>
        <color rgb="FF63BE7B"/>
      </colorScale>
    </cfRule>
  </conditionalFormatting>
  <conditionalFormatting sqref="F13:F20">
    <cfRule type="colorScale" priority="2282">
      <colorScale>
        <cfvo type="min"/>
        <cfvo type="percentile" val="50"/>
        <cfvo type="max"/>
        <color rgb="FFF8696B"/>
        <color rgb="FFFFEB84"/>
        <color rgb="FF63BE7B"/>
      </colorScale>
    </cfRule>
  </conditionalFormatting>
  <conditionalFormatting sqref="F13:F20">
    <cfRule type="colorScale" priority="2281">
      <colorScale>
        <cfvo type="min"/>
        <cfvo type="percentile" val="50"/>
        <cfvo type="max"/>
        <color rgb="FFF8696B"/>
        <color rgb="FFFFEB84"/>
        <color rgb="FF63BE7B"/>
      </colorScale>
    </cfRule>
  </conditionalFormatting>
  <conditionalFormatting sqref="F13:F20">
    <cfRule type="colorScale" priority="2280">
      <colorScale>
        <cfvo type="min"/>
        <cfvo type="percentile" val="50"/>
        <cfvo type="max"/>
        <color rgb="FFF8696B"/>
        <color rgb="FFFFEB84"/>
        <color rgb="FF63BE7B"/>
      </colorScale>
    </cfRule>
  </conditionalFormatting>
  <conditionalFormatting sqref="F13:F20">
    <cfRule type="colorScale" priority="2279">
      <colorScale>
        <cfvo type="min"/>
        <cfvo type="percentile" val="50"/>
        <cfvo type="max"/>
        <color rgb="FFF8696B"/>
        <color rgb="FFFFEB84"/>
        <color rgb="FF63BE7B"/>
      </colorScale>
    </cfRule>
  </conditionalFormatting>
  <conditionalFormatting sqref="F13:F20">
    <cfRule type="colorScale" priority="2278">
      <colorScale>
        <cfvo type="min"/>
        <cfvo type="percentile" val="50"/>
        <cfvo type="max"/>
        <color rgb="FFF8696B"/>
        <color rgb="FFFFEB84"/>
        <color rgb="FF63BE7B"/>
      </colorScale>
    </cfRule>
  </conditionalFormatting>
  <conditionalFormatting sqref="F13:F20">
    <cfRule type="colorScale" priority="2277">
      <colorScale>
        <cfvo type="min"/>
        <cfvo type="percentile" val="50"/>
        <cfvo type="max"/>
        <color rgb="FFF8696B"/>
        <color rgb="FFFFEB84"/>
        <color rgb="FF63BE7B"/>
      </colorScale>
    </cfRule>
  </conditionalFormatting>
  <conditionalFormatting sqref="F13:F20">
    <cfRule type="colorScale" priority="2276">
      <colorScale>
        <cfvo type="min"/>
        <cfvo type="percentile" val="50"/>
        <cfvo type="max"/>
        <color rgb="FFF8696B"/>
        <color rgb="FFFFEB84"/>
        <color rgb="FF63BE7B"/>
      </colorScale>
    </cfRule>
  </conditionalFormatting>
  <conditionalFormatting sqref="F13:F20">
    <cfRule type="colorScale" priority="2275">
      <colorScale>
        <cfvo type="min"/>
        <cfvo type="percentile" val="50"/>
        <cfvo type="max"/>
        <color rgb="FFF8696B"/>
        <color rgb="FFFFEB84"/>
        <color rgb="FF63BE7B"/>
      </colorScale>
    </cfRule>
  </conditionalFormatting>
  <conditionalFormatting sqref="F13:F20">
    <cfRule type="colorScale" priority="2274">
      <colorScale>
        <cfvo type="min"/>
        <cfvo type="percentile" val="50"/>
        <cfvo type="max"/>
        <color rgb="FFF8696B"/>
        <color rgb="FFFFEB84"/>
        <color rgb="FF63BE7B"/>
      </colorScale>
    </cfRule>
  </conditionalFormatting>
  <conditionalFormatting sqref="F13:F20">
    <cfRule type="colorScale" priority="2273">
      <colorScale>
        <cfvo type="min"/>
        <cfvo type="percentile" val="50"/>
        <cfvo type="max"/>
        <color rgb="FFF8696B"/>
        <color rgb="FFFFEB84"/>
        <color rgb="FF63BE7B"/>
      </colorScale>
    </cfRule>
  </conditionalFormatting>
  <conditionalFormatting sqref="F13:F20">
    <cfRule type="colorScale" priority="2272">
      <colorScale>
        <cfvo type="min"/>
        <cfvo type="percentile" val="50"/>
        <cfvo type="max"/>
        <color rgb="FFF8696B"/>
        <color rgb="FFFFEB84"/>
        <color rgb="FF63BE7B"/>
      </colorScale>
    </cfRule>
  </conditionalFormatting>
  <conditionalFormatting sqref="F13:F20">
    <cfRule type="colorScale" priority="2271">
      <colorScale>
        <cfvo type="min"/>
        <cfvo type="percentile" val="50"/>
        <cfvo type="max"/>
        <color rgb="FFF8696B"/>
        <color rgb="FFFFEB84"/>
        <color rgb="FF63BE7B"/>
      </colorScale>
    </cfRule>
  </conditionalFormatting>
  <conditionalFormatting sqref="F13:F20">
    <cfRule type="colorScale" priority="2270">
      <colorScale>
        <cfvo type="min"/>
        <cfvo type="percentile" val="50"/>
        <cfvo type="max"/>
        <color rgb="FFF8696B"/>
        <color rgb="FFFFEB84"/>
        <color rgb="FF63BE7B"/>
      </colorScale>
    </cfRule>
  </conditionalFormatting>
  <conditionalFormatting sqref="F13:F20">
    <cfRule type="colorScale" priority="2269">
      <colorScale>
        <cfvo type="min"/>
        <cfvo type="percentile" val="50"/>
        <cfvo type="max"/>
        <color rgb="FFF8696B"/>
        <color rgb="FFFFEB84"/>
        <color rgb="FF63BE7B"/>
      </colorScale>
    </cfRule>
  </conditionalFormatting>
  <conditionalFormatting sqref="F13:F20">
    <cfRule type="colorScale" priority="2268">
      <colorScale>
        <cfvo type="min"/>
        <cfvo type="percentile" val="50"/>
        <cfvo type="max"/>
        <color rgb="FFF8696B"/>
        <color rgb="FFFFEB84"/>
        <color rgb="FF63BE7B"/>
      </colorScale>
    </cfRule>
  </conditionalFormatting>
  <conditionalFormatting sqref="F13:F20">
    <cfRule type="colorScale" priority="2267">
      <colorScale>
        <cfvo type="min"/>
        <cfvo type="percentile" val="50"/>
        <cfvo type="max"/>
        <color rgb="FFF8696B"/>
        <color rgb="FFFFEB84"/>
        <color rgb="FF63BE7B"/>
      </colorScale>
    </cfRule>
  </conditionalFormatting>
  <conditionalFormatting sqref="F13:F20">
    <cfRule type="colorScale" priority="2266">
      <colorScale>
        <cfvo type="min"/>
        <cfvo type="percentile" val="50"/>
        <cfvo type="max"/>
        <color rgb="FFF8696B"/>
        <color rgb="FFFFEB84"/>
        <color rgb="FF63BE7B"/>
      </colorScale>
    </cfRule>
  </conditionalFormatting>
  <conditionalFormatting sqref="F13:F20">
    <cfRule type="colorScale" priority="2265">
      <colorScale>
        <cfvo type="min"/>
        <cfvo type="percentile" val="50"/>
        <cfvo type="max"/>
        <color rgb="FFF8696B"/>
        <color rgb="FFFFEB84"/>
        <color rgb="FF63BE7B"/>
      </colorScale>
    </cfRule>
  </conditionalFormatting>
  <conditionalFormatting sqref="F13:F20">
    <cfRule type="colorScale" priority="2264">
      <colorScale>
        <cfvo type="min"/>
        <cfvo type="percentile" val="50"/>
        <cfvo type="max"/>
        <color rgb="FFF8696B"/>
        <color rgb="FFFFEB84"/>
        <color rgb="FF63BE7B"/>
      </colorScale>
    </cfRule>
  </conditionalFormatting>
  <conditionalFormatting sqref="F13:F20">
    <cfRule type="colorScale" priority="2263">
      <colorScale>
        <cfvo type="min"/>
        <cfvo type="percentile" val="50"/>
        <cfvo type="max"/>
        <color rgb="FFF8696B"/>
        <color rgb="FFFFEB84"/>
        <color rgb="FF63BE7B"/>
      </colorScale>
    </cfRule>
  </conditionalFormatting>
  <conditionalFormatting sqref="F13:F20">
    <cfRule type="colorScale" priority="2262">
      <colorScale>
        <cfvo type="min"/>
        <cfvo type="percentile" val="50"/>
        <cfvo type="max"/>
        <color rgb="FFF8696B"/>
        <color rgb="FFFFEB84"/>
        <color rgb="FF63BE7B"/>
      </colorScale>
    </cfRule>
  </conditionalFormatting>
  <conditionalFormatting sqref="F13:F20">
    <cfRule type="colorScale" priority="2261">
      <colorScale>
        <cfvo type="min"/>
        <cfvo type="percentile" val="50"/>
        <cfvo type="max"/>
        <color rgb="FFF8696B"/>
        <color rgb="FFFFEB84"/>
        <color rgb="FF63BE7B"/>
      </colorScale>
    </cfRule>
  </conditionalFormatting>
  <conditionalFormatting sqref="F13:F20">
    <cfRule type="colorScale" priority="2260">
      <colorScale>
        <cfvo type="min"/>
        <cfvo type="percentile" val="50"/>
        <cfvo type="max"/>
        <color rgb="FFF8696B"/>
        <color rgb="FFFFEB84"/>
        <color rgb="FF63BE7B"/>
      </colorScale>
    </cfRule>
  </conditionalFormatting>
  <conditionalFormatting sqref="F13:F20">
    <cfRule type="colorScale" priority="2259">
      <colorScale>
        <cfvo type="min"/>
        <cfvo type="percentile" val="50"/>
        <cfvo type="max"/>
        <color rgb="FFF8696B"/>
        <color rgb="FFFFEB84"/>
        <color rgb="FF63BE7B"/>
      </colorScale>
    </cfRule>
  </conditionalFormatting>
  <conditionalFormatting sqref="F13:F20">
    <cfRule type="colorScale" priority="2258">
      <colorScale>
        <cfvo type="min"/>
        <cfvo type="percentile" val="50"/>
        <cfvo type="max"/>
        <color rgb="FFF8696B"/>
        <color rgb="FFFFEB84"/>
        <color rgb="FF63BE7B"/>
      </colorScale>
    </cfRule>
  </conditionalFormatting>
  <conditionalFormatting sqref="F13:F20">
    <cfRule type="colorScale" priority="2257">
      <colorScale>
        <cfvo type="min"/>
        <cfvo type="percentile" val="50"/>
        <cfvo type="max"/>
        <color rgb="FFF8696B"/>
        <color rgb="FFFFEB84"/>
        <color rgb="FF63BE7B"/>
      </colorScale>
    </cfRule>
  </conditionalFormatting>
  <conditionalFormatting sqref="F13:F20">
    <cfRule type="colorScale" priority="2256">
      <colorScale>
        <cfvo type="min"/>
        <cfvo type="percentile" val="50"/>
        <cfvo type="max"/>
        <color rgb="FFF8696B"/>
        <color rgb="FFFFEB84"/>
        <color rgb="FF63BE7B"/>
      </colorScale>
    </cfRule>
  </conditionalFormatting>
  <conditionalFormatting sqref="F13:F20">
    <cfRule type="colorScale" priority="2255">
      <colorScale>
        <cfvo type="min"/>
        <cfvo type="percentile" val="50"/>
        <cfvo type="max"/>
        <color rgb="FFF8696B"/>
        <color rgb="FFFFEB84"/>
        <color rgb="FF63BE7B"/>
      </colorScale>
    </cfRule>
  </conditionalFormatting>
  <conditionalFormatting sqref="F13:F20">
    <cfRule type="colorScale" priority="2254">
      <colorScale>
        <cfvo type="min"/>
        <cfvo type="percentile" val="50"/>
        <cfvo type="max"/>
        <color rgb="FFF8696B"/>
        <color rgb="FFFFEB84"/>
        <color rgb="FF63BE7B"/>
      </colorScale>
    </cfRule>
  </conditionalFormatting>
  <conditionalFormatting sqref="F13:F20">
    <cfRule type="colorScale" priority="2253">
      <colorScale>
        <cfvo type="min"/>
        <cfvo type="percentile" val="50"/>
        <cfvo type="max"/>
        <color rgb="FFF8696B"/>
        <color rgb="FFFFEB84"/>
        <color rgb="FF63BE7B"/>
      </colorScale>
    </cfRule>
  </conditionalFormatting>
  <conditionalFormatting sqref="F13:F20">
    <cfRule type="colorScale" priority="2252">
      <colorScale>
        <cfvo type="min"/>
        <cfvo type="percentile" val="50"/>
        <cfvo type="max"/>
        <color rgb="FFF8696B"/>
        <color rgb="FFFFEB84"/>
        <color rgb="FF63BE7B"/>
      </colorScale>
    </cfRule>
  </conditionalFormatting>
  <conditionalFormatting sqref="F13:F20">
    <cfRule type="colorScale" priority="2251">
      <colorScale>
        <cfvo type="min"/>
        <cfvo type="percentile" val="50"/>
        <cfvo type="max"/>
        <color rgb="FFF8696B"/>
        <color rgb="FFFFEB84"/>
        <color rgb="FF63BE7B"/>
      </colorScale>
    </cfRule>
  </conditionalFormatting>
  <conditionalFormatting sqref="F13:F20">
    <cfRule type="colorScale" priority="2250">
      <colorScale>
        <cfvo type="min"/>
        <cfvo type="percentile" val="50"/>
        <cfvo type="max"/>
        <color rgb="FFF8696B"/>
        <color rgb="FFFFEB84"/>
        <color rgb="FF63BE7B"/>
      </colorScale>
    </cfRule>
  </conditionalFormatting>
  <conditionalFormatting sqref="F13:F20">
    <cfRule type="colorScale" priority="2249">
      <colorScale>
        <cfvo type="min"/>
        <cfvo type="percentile" val="50"/>
        <cfvo type="max"/>
        <color rgb="FFF8696B"/>
        <color rgb="FFFFEB84"/>
        <color rgb="FF63BE7B"/>
      </colorScale>
    </cfRule>
  </conditionalFormatting>
  <conditionalFormatting sqref="F13:F20">
    <cfRule type="colorScale" priority="2248">
      <colorScale>
        <cfvo type="min"/>
        <cfvo type="percentile" val="50"/>
        <cfvo type="max"/>
        <color rgb="FFF8696B"/>
        <color rgb="FFFFEB84"/>
        <color rgb="FF63BE7B"/>
      </colorScale>
    </cfRule>
  </conditionalFormatting>
  <conditionalFormatting sqref="F13:F20">
    <cfRule type="colorScale" priority="2247">
      <colorScale>
        <cfvo type="min"/>
        <cfvo type="percentile" val="50"/>
        <cfvo type="max"/>
        <color rgb="FFF8696B"/>
        <color rgb="FFFFEB84"/>
        <color rgb="FF63BE7B"/>
      </colorScale>
    </cfRule>
  </conditionalFormatting>
  <conditionalFormatting sqref="F13:F20">
    <cfRule type="colorScale" priority="2246">
      <colorScale>
        <cfvo type="min"/>
        <cfvo type="percentile" val="50"/>
        <cfvo type="max"/>
        <color rgb="FFF8696B"/>
        <color rgb="FFFFEB84"/>
        <color rgb="FF63BE7B"/>
      </colorScale>
    </cfRule>
  </conditionalFormatting>
  <conditionalFormatting sqref="F13:F20">
    <cfRule type="colorScale" priority="2245">
      <colorScale>
        <cfvo type="min"/>
        <cfvo type="percentile" val="50"/>
        <cfvo type="max"/>
        <color rgb="FFF8696B"/>
        <color rgb="FFFFEB84"/>
        <color rgb="FF63BE7B"/>
      </colorScale>
    </cfRule>
  </conditionalFormatting>
  <conditionalFormatting sqref="F13:F20">
    <cfRule type="colorScale" priority="2244">
      <colorScale>
        <cfvo type="min"/>
        <cfvo type="percentile" val="50"/>
        <cfvo type="max"/>
        <color rgb="FFF8696B"/>
        <color rgb="FFFFEB84"/>
        <color rgb="FF63BE7B"/>
      </colorScale>
    </cfRule>
  </conditionalFormatting>
  <conditionalFormatting sqref="F13:F20">
    <cfRule type="colorScale" priority="2243">
      <colorScale>
        <cfvo type="min"/>
        <cfvo type="percentile" val="50"/>
        <cfvo type="max"/>
        <color rgb="FFF8696B"/>
        <color rgb="FFFFEB84"/>
        <color rgb="FF63BE7B"/>
      </colorScale>
    </cfRule>
  </conditionalFormatting>
  <conditionalFormatting sqref="F13:F20">
    <cfRule type="colorScale" priority="2242">
      <colorScale>
        <cfvo type="min"/>
        <cfvo type="percentile" val="50"/>
        <cfvo type="max"/>
        <color rgb="FFF8696B"/>
        <color rgb="FFFFEB84"/>
        <color rgb="FF63BE7B"/>
      </colorScale>
    </cfRule>
  </conditionalFormatting>
  <conditionalFormatting sqref="F13:F20">
    <cfRule type="colorScale" priority="2241">
      <colorScale>
        <cfvo type="min"/>
        <cfvo type="percentile" val="50"/>
        <cfvo type="max"/>
        <color rgb="FFF8696B"/>
        <color rgb="FFFFEB84"/>
        <color rgb="FF63BE7B"/>
      </colorScale>
    </cfRule>
  </conditionalFormatting>
  <conditionalFormatting sqref="F13:F20">
    <cfRule type="colorScale" priority="2240">
      <colorScale>
        <cfvo type="min"/>
        <cfvo type="percentile" val="50"/>
        <cfvo type="max"/>
        <color rgb="FFF8696B"/>
        <color rgb="FFFFEB84"/>
        <color rgb="FF63BE7B"/>
      </colorScale>
    </cfRule>
  </conditionalFormatting>
  <conditionalFormatting sqref="F13:F20">
    <cfRule type="colorScale" priority="2239">
      <colorScale>
        <cfvo type="min"/>
        <cfvo type="percentile" val="50"/>
        <cfvo type="max"/>
        <color rgb="FFF8696B"/>
        <color rgb="FFFFEB84"/>
        <color rgb="FF63BE7B"/>
      </colorScale>
    </cfRule>
  </conditionalFormatting>
  <conditionalFormatting sqref="F13:F20">
    <cfRule type="colorScale" priority="2238">
      <colorScale>
        <cfvo type="min"/>
        <cfvo type="percentile" val="50"/>
        <cfvo type="max"/>
        <color rgb="FFF8696B"/>
        <color rgb="FFFFEB84"/>
        <color rgb="FF63BE7B"/>
      </colorScale>
    </cfRule>
  </conditionalFormatting>
  <conditionalFormatting sqref="F13:F20">
    <cfRule type="colorScale" priority="2237">
      <colorScale>
        <cfvo type="min"/>
        <cfvo type="percentile" val="50"/>
        <cfvo type="max"/>
        <color rgb="FFF8696B"/>
        <color rgb="FFFFEB84"/>
        <color rgb="FF63BE7B"/>
      </colorScale>
    </cfRule>
  </conditionalFormatting>
  <conditionalFormatting sqref="F13:F20">
    <cfRule type="colorScale" priority="2236">
      <colorScale>
        <cfvo type="min"/>
        <cfvo type="percentile" val="50"/>
        <cfvo type="max"/>
        <color rgb="FFF8696B"/>
        <color rgb="FFFFEB84"/>
        <color rgb="FF63BE7B"/>
      </colorScale>
    </cfRule>
  </conditionalFormatting>
  <conditionalFormatting sqref="F13:F20">
    <cfRule type="colorScale" priority="2235">
      <colorScale>
        <cfvo type="min"/>
        <cfvo type="percentile" val="50"/>
        <cfvo type="max"/>
        <color rgb="FFF8696B"/>
        <color rgb="FFFFEB84"/>
        <color rgb="FF63BE7B"/>
      </colorScale>
    </cfRule>
  </conditionalFormatting>
  <conditionalFormatting sqref="F13:F20">
    <cfRule type="colorScale" priority="2234">
      <colorScale>
        <cfvo type="min"/>
        <cfvo type="percentile" val="50"/>
        <cfvo type="max"/>
        <color rgb="FFF8696B"/>
        <color rgb="FFFFEB84"/>
        <color rgb="FF63BE7B"/>
      </colorScale>
    </cfRule>
  </conditionalFormatting>
  <conditionalFormatting sqref="F13:F20">
    <cfRule type="colorScale" priority="2233">
      <colorScale>
        <cfvo type="min"/>
        <cfvo type="percentile" val="50"/>
        <cfvo type="max"/>
        <color rgb="FFF8696B"/>
        <color rgb="FFFFEB84"/>
        <color rgb="FF63BE7B"/>
      </colorScale>
    </cfRule>
  </conditionalFormatting>
  <conditionalFormatting sqref="F13:F20">
    <cfRule type="colorScale" priority="2232">
      <colorScale>
        <cfvo type="min"/>
        <cfvo type="percentile" val="50"/>
        <cfvo type="max"/>
        <color rgb="FFF8696B"/>
        <color rgb="FFFFEB84"/>
        <color rgb="FF63BE7B"/>
      </colorScale>
    </cfRule>
  </conditionalFormatting>
  <conditionalFormatting sqref="F13:F20">
    <cfRule type="colorScale" priority="2231">
      <colorScale>
        <cfvo type="min"/>
        <cfvo type="percentile" val="50"/>
        <cfvo type="max"/>
        <color rgb="FFF8696B"/>
        <color rgb="FFFFEB84"/>
        <color rgb="FF63BE7B"/>
      </colorScale>
    </cfRule>
  </conditionalFormatting>
  <conditionalFormatting sqref="F13:F20">
    <cfRule type="colorScale" priority="2230">
      <colorScale>
        <cfvo type="min"/>
        <cfvo type="percentile" val="50"/>
        <cfvo type="max"/>
        <color rgb="FFF8696B"/>
        <color rgb="FFFFEB84"/>
        <color rgb="FF63BE7B"/>
      </colorScale>
    </cfRule>
  </conditionalFormatting>
  <conditionalFormatting sqref="F13:F20">
    <cfRule type="colorScale" priority="2229">
      <colorScale>
        <cfvo type="min"/>
        <cfvo type="percentile" val="50"/>
        <cfvo type="max"/>
        <color rgb="FFF8696B"/>
        <color rgb="FFFFEB84"/>
        <color rgb="FF63BE7B"/>
      </colorScale>
    </cfRule>
  </conditionalFormatting>
  <conditionalFormatting sqref="F13:F20">
    <cfRule type="colorScale" priority="2228">
      <colorScale>
        <cfvo type="min"/>
        <cfvo type="percentile" val="50"/>
        <cfvo type="max"/>
        <color rgb="FFF8696B"/>
        <color rgb="FFFFEB84"/>
        <color rgb="FF63BE7B"/>
      </colorScale>
    </cfRule>
  </conditionalFormatting>
  <conditionalFormatting sqref="F13:F20">
    <cfRule type="colorScale" priority="2227">
      <colorScale>
        <cfvo type="min"/>
        <cfvo type="percentile" val="50"/>
        <cfvo type="max"/>
        <color rgb="FFF8696B"/>
        <color rgb="FFFFEB84"/>
        <color rgb="FF63BE7B"/>
      </colorScale>
    </cfRule>
  </conditionalFormatting>
  <conditionalFormatting sqref="F13:F20">
    <cfRule type="colorScale" priority="2226">
      <colorScale>
        <cfvo type="min"/>
        <cfvo type="percentile" val="50"/>
        <cfvo type="max"/>
        <color rgb="FFF8696B"/>
        <color rgb="FFFFEB84"/>
        <color rgb="FF63BE7B"/>
      </colorScale>
    </cfRule>
  </conditionalFormatting>
  <conditionalFormatting sqref="F13:F20">
    <cfRule type="colorScale" priority="2225">
      <colorScale>
        <cfvo type="min"/>
        <cfvo type="percentile" val="50"/>
        <cfvo type="max"/>
        <color rgb="FFF8696B"/>
        <color rgb="FFFFEB84"/>
        <color rgb="FF63BE7B"/>
      </colorScale>
    </cfRule>
  </conditionalFormatting>
  <conditionalFormatting sqref="F21:F28">
    <cfRule type="colorScale" priority="2224">
      <colorScale>
        <cfvo type="min"/>
        <cfvo type="percentile" val="50"/>
        <cfvo type="max"/>
        <color rgb="FFF8696B"/>
        <color rgb="FFFFEB84"/>
        <color rgb="FF63BE7B"/>
      </colorScale>
    </cfRule>
  </conditionalFormatting>
  <conditionalFormatting sqref="F21:F28">
    <cfRule type="colorScale" priority="2223">
      <colorScale>
        <cfvo type="min"/>
        <cfvo type="percentile" val="50"/>
        <cfvo type="max"/>
        <color rgb="FFF8696B"/>
        <color rgb="FFFFEB84"/>
        <color rgb="FF63BE7B"/>
      </colorScale>
    </cfRule>
  </conditionalFormatting>
  <conditionalFormatting sqref="F21:F28">
    <cfRule type="colorScale" priority="2222">
      <colorScale>
        <cfvo type="min"/>
        <cfvo type="percentile" val="50"/>
        <cfvo type="max"/>
        <color rgb="FFF8696B"/>
        <color rgb="FFFFEB84"/>
        <color rgb="FF63BE7B"/>
      </colorScale>
    </cfRule>
  </conditionalFormatting>
  <conditionalFormatting sqref="F21:F28">
    <cfRule type="colorScale" priority="2221">
      <colorScale>
        <cfvo type="min"/>
        <cfvo type="percentile" val="50"/>
        <cfvo type="max"/>
        <color rgb="FFF8696B"/>
        <color rgb="FFFFEB84"/>
        <color rgb="FF63BE7B"/>
      </colorScale>
    </cfRule>
  </conditionalFormatting>
  <conditionalFormatting sqref="F21:F28">
    <cfRule type="colorScale" priority="2220">
      <colorScale>
        <cfvo type="min"/>
        <cfvo type="percentile" val="50"/>
        <cfvo type="max"/>
        <color rgb="FFF8696B"/>
        <color rgb="FFFFEB84"/>
        <color rgb="FF63BE7B"/>
      </colorScale>
    </cfRule>
  </conditionalFormatting>
  <conditionalFormatting sqref="F21:F28">
    <cfRule type="colorScale" priority="2219">
      <colorScale>
        <cfvo type="min"/>
        <cfvo type="percentile" val="50"/>
        <cfvo type="max"/>
        <color rgb="FFF8696B"/>
        <color rgb="FFFFEB84"/>
        <color rgb="FF63BE7B"/>
      </colorScale>
    </cfRule>
  </conditionalFormatting>
  <conditionalFormatting sqref="F21:F28">
    <cfRule type="colorScale" priority="2218">
      <colorScale>
        <cfvo type="min"/>
        <cfvo type="percentile" val="50"/>
        <cfvo type="max"/>
        <color rgb="FFF8696B"/>
        <color rgb="FFFFEB84"/>
        <color rgb="FF63BE7B"/>
      </colorScale>
    </cfRule>
  </conditionalFormatting>
  <conditionalFormatting sqref="F21:F28">
    <cfRule type="colorScale" priority="2217">
      <colorScale>
        <cfvo type="min"/>
        <cfvo type="percentile" val="50"/>
        <cfvo type="max"/>
        <color rgb="FFF8696B"/>
        <color rgb="FFFFEB84"/>
        <color rgb="FF63BE7B"/>
      </colorScale>
    </cfRule>
  </conditionalFormatting>
  <conditionalFormatting sqref="F21:F28">
    <cfRule type="colorScale" priority="2216">
      <colorScale>
        <cfvo type="min"/>
        <cfvo type="percentile" val="50"/>
        <cfvo type="max"/>
        <color rgb="FFF8696B"/>
        <color rgb="FFFFEB84"/>
        <color rgb="FF63BE7B"/>
      </colorScale>
    </cfRule>
  </conditionalFormatting>
  <conditionalFormatting sqref="F21:F28">
    <cfRule type="colorScale" priority="2215">
      <colorScale>
        <cfvo type="min"/>
        <cfvo type="percentile" val="50"/>
        <cfvo type="max"/>
        <color rgb="FFF8696B"/>
        <color rgb="FFFFEB84"/>
        <color rgb="FF63BE7B"/>
      </colorScale>
    </cfRule>
  </conditionalFormatting>
  <conditionalFormatting sqref="F21:F28">
    <cfRule type="colorScale" priority="2214">
      <colorScale>
        <cfvo type="min"/>
        <cfvo type="percentile" val="50"/>
        <cfvo type="max"/>
        <color rgb="FFF8696B"/>
        <color rgb="FFFFEB84"/>
        <color rgb="FF63BE7B"/>
      </colorScale>
    </cfRule>
  </conditionalFormatting>
  <conditionalFormatting sqref="F21:F28">
    <cfRule type="colorScale" priority="2213">
      <colorScale>
        <cfvo type="min"/>
        <cfvo type="percentile" val="50"/>
        <cfvo type="max"/>
        <color rgb="FFF8696B"/>
        <color rgb="FFFFEB84"/>
        <color rgb="FF63BE7B"/>
      </colorScale>
    </cfRule>
  </conditionalFormatting>
  <conditionalFormatting sqref="F21:F28">
    <cfRule type="colorScale" priority="2212">
      <colorScale>
        <cfvo type="min"/>
        <cfvo type="percentile" val="50"/>
        <cfvo type="max"/>
        <color rgb="FFF8696B"/>
        <color rgb="FFFFEB84"/>
        <color rgb="FF63BE7B"/>
      </colorScale>
    </cfRule>
  </conditionalFormatting>
  <conditionalFormatting sqref="F21:F28">
    <cfRule type="colorScale" priority="2211">
      <colorScale>
        <cfvo type="min"/>
        <cfvo type="percentile" val="50"/>
        <cfvo type="max"/>
        <color rgb="FFF8696B"/>
        <color rgb="FFFFEB84"/>
        <color rgb="FF63BE7B"/>
      </colorScale>
    </cfRule>
  </conditionalFormatting>
  <conditionalFormatting sqref="F21:F28">
    <cfRule type="colorScale" priority="2210">
      <colorScale>
        <cfvo type="min"/>
        <cfvo type="percentile" val="50"/>
        <cfvo type="max"/>
        <color rgb="FFF8696B"/>
        <color rgb="FFFFEB84"/>
        <color rgb="FF63BE7B"/>
      </colorScale>
    </cfRule>
  </conditionalFormatting>
  <conditionalFormatting sqref="F21:F28">
    <cfRule type="colorScale" priority="2209">
      <colorScale>
        <cfvo type="min"/>
        <cfvo type="percentile" val="50"/>
        <cfvo type="max"/>
        <color rgb="FFF8696B"/>
        <color rgb="FFFFEB84"/>
        <color rgb="FF63BE7B"/>
      </colorScale>
    </cfRule>
  </conditionalFormatting>
  <conditionalFormatting sqref="F21:F28">
    <cfRule type="colorScale" priority="2208">
      <colorScale>
        <cfvo type="min"/>
        <cfvo type="percentile" val="50"/>
        <cfvo type="max"/>
        <color rgb="FFF8696B"/>
        <color rgb="FFFFEB84"/>
        <color rgb="FF63BE7B"/>
      </colorScale>
    </cfRule>
  </conditionalFormatting>
  <conditionalFormatting sqref="F21:F28">
    <cfRule type="colorScale" priority="2207">
      <colorScale>
        <cfvo type="min"/>
        <cfvo type="percentile" val="50"/>
        <cfvo type="max"/>
        <color rgb="FFF8696B"/>
        <color rgb="FFFFEB84"/>
        <color rgb="FF63BE7B"/>
      </colorScale>
    </cfRule>
  </conditionalFormatting>
  <conditionalFormatting sqref="F21:F28">
    <cfRule type="colorScale" priority="2206">
      <colorScale>
        <cfvo type="min"/>
        <cfvo type="percentile" val="50"/>
        <cfvo type="max"/>
        <color rgb="FFF8696B"/>
        <color rgb="FFFFEB84"/>
        <color rgb="FF63BE7B"/>
      </colorScale>
    </cfRule>
  </conditionalFormatting>
  <conditionalFormatting sqref="F21:F28">
    <cfRule type="colorScale" priority="2205">
      <colorScale>
        <cfvo type="min"/>
        <cfvo type="percentile" val="50"/>
        <cfvo type="max"/>
        <color rgb="FFF8696B"/>
        <color rgb="FFFFEB84"/>
        <color rgb="FF63BE7B"/>
      </colorScale>
    </cfRule>
  </conditionalFormatting>
  <conditionalFormatting sqref="F21:F28">
    <cfRule type="colorScale" priority="2204">
      <colorScale>
        <cfvo type="min"/>
        <cfvo type="percentile" val="50"/>
        <cfvo type="max"/>
        <color rgb="FFF8696B"/>
        <color rgb="FFFFEB84"/>
        <color rgb="FF63BE7B"/>
      </colorScale>
    </cfRule>
  </conditionalFormatting>
  <conditionalFormatting sqref="F21:F28">
    <cfRule type="colorScale" priority="2203">
      <colorScale>
        <cfvo type="min"/>
        <cfvo type="percentile" val="50"/>
        <cfvo type="max"/>
        <color rgb="FFF8696B"/>
        <color rgb="FFFFEB84"/>
        <color rgb="FF63BE7B"/>
      </colorScale>
    </cfRule>
  </conditionalFormatting>
  <conditionalFormatting sqref="F21:F28">
    <cfRule type="colorScale" priority="2202">
      <colorScale>
        <cfvo type="min"/>
        <cfvo type="percentile" val="50"/>
        <cfvo type="max"/>
        <color rgb="FFF8696B"/>
        <color rgb="FFFFEB84"/>
        <color rgb="FF63BE7B"/>
      </colorScale>
    </cfRule>
  </conditionalFormatting>
  <conditionalFormatting sqref="F21:F28">
    <cfRule type="colorScale" priority="2201">
      <colorScale>
        <cfvo type="min"/>
        <cfvo type="percentile" val="50"/>
        <cfvo type="max"/>
        <color rgb="FFF8696B"/>
        <color rgb="FFFFEB84"/>
        <color rgb="FF63BE7B"/>
      </colorScale>
    </cfRule>
  </conditionalFormatting>
  <conditionalFormatting sqref="F21:F28">
    <cfRule type="colorScale" priority="2200">
      <colorScale>
        <cfvo type="min"/>
        <cfvo type="percentile" val="50"/>
        <cfvo type="max"/>
        <color rgb="FFF8696B"/>
        <color rgb="FFFFEB84"/>
        <color rgb="FF63BE7B"/>
      </colorScale>
    </cfRule>
  </conditionalFormatting>
  <conditionalFormatting sqref="F21:F28">
    <cfRule type="colorScale" priority="2199">
      <colorScale>
        <cfvo type="min"/>
        <cfvo type="percentile" val="50"/>
        <cfvo type="max"/>
        <color rgb="FFF8696B"/>
        <color rgb="FFFFEB84"/>
        <color rgb="FF63BE7B"/>
      </colorScale>
    </cfRule>
  </conditionalFormatting>
  <conditionalFormatting sqref="F21:F28">
    <cfRule type="colorScale" priority="2198">
      <colorScale>
        <cfvo type="min"/>
        <cfvo type="percentile" val="50"/>
        <cfvo type="max"/>
        <color rgb="FFF8696B"/>
        <color rgb="FFFFEB84"/>
        <color rgb="FF63BE7B"/>
      </colorScale>
    </cfRule>
  </conditionalFormatting>
  <conditionalFormatting sqref="F21:F28">
    <cfRule type="colorScale" priority="2197">
      <colorScale>
        <cfvo type="min"/>
        <cfvo type="percentile" val="50"/>
        <cfvo type="max"/>
        <color rgb="FFF8696B"/>
        <color rgb="FFFFEB84"/>
        <color rgb="FF63BE7B"/>
      </colorScale>
    </cfRule>
  </conditionalFormatting>
  <conditionalFormatting sqref="F21:F28">
    <cfRule type="colorScale" priority="2196">
      <colorScale>
        <cfvo type="min"/>
        <cfvo type="percentile" val="50"/>
        <cfvo type="max"/>
        <color rgb="FFF8696B"/>
        <color rgb="FFFFEB84"/>
        <color rgb="FF63BE7B"/>
      </colorScale>
    </cfRule>
  </conditionalFormatting>
  <conditionalFormatting sqref="F21:F28">
    <cfRule type="colorScale" priority="2195">
      <colorScale>
        <cfvo type="min"/>
        <cfvo type="percentile" val="50"/>
        <cfvo type="max"/>
        <color rgb="FFF8696B"/>
        <color rgb="FFFFEB84"/>
        <color rgb="FF63BE7B"/>
      </colorScale>
    </cfRule>
  </conditionalFormatting>
  <conditionalFormatting sqref="F21:F28">
    <cfRule type="colorScale" priority="2194">
      <colorScale>
        <cfvo type="min"/>
        <cfvo type="percentile" val="50"/>
        <cfvo type="max"/>
        <color rgb="FFF8696B"/>
        <color rgb="FFFFEB84"/>
        <color rgb="FF63BE7B"/>
      </colorScale>
    </cfRule>
  </conditionalFormatting>
  <conditionalFormatting sqref="F21:F28">
    <cfRule type="colorScale" priority="2193">
      <colorScale>
        <cfvo type="min"/>
        <cfvo type="percentile" val="50"/>
        <cfvo type="max"/>
        <color rgb="FFF8696B"/>
        <color rgb="FFFFEB84"/>
        <color rgb="FF63BE7B"/>
      </colorScale>
    </cfRule>
  </conditionalFormatting>
  <conditionalFormatting sqref="F21:F28">
    <cfRule type="colorScale" priority="2192">
      <colorScale>
        <cfvo type="min"/>
        <cfvo type="percentile" val="50"/>
        <cfvo type="max"/>
        <color rgb="FFF8696B"/>
        <color rgb="FFFFEB84"/>
        <color rgb="FF63BE7B"/>
      </colorScale>
    </cfRule>
  </conditionalFormatting>
  <conditionalFormatting sqref="F21:F28">
    <cfRule type="colorScale" priority="2191">
      <colorScale>
        <cfvo type="min"/>
        <cfvo type="percentile" val="50"/>
        <cfvo type="max"/>
        <color rgb="FFF8696B"/>
        <color rgb="FFFFEB84"/>
        <color rgb="FF63BE7B"/>
      </colorScale>
    </cfRule>
  </conditionalFormatting>
  <conditionalFormatting sqref="F21:F28">
    <cfRule type="colorScale" priority="2190">
      <colorScale>
        <cfvo type="min"/>
        <cfvo type="percentile" val="50"/>
        <cfvo type="max"/>
        <color rgb="FFF8696B"/>
        <color rgb="FFFFEB84"/>
        <color rgb="FF63BE7B"/>
      </colorScale>
    </cfRule>
  </conditionalFormatting>
  <conditionalFormatting sqref="F21:F28">
    <cfRule type="colorScale" priority="2189">
      <colorScale>
        <cfvo type="min"/>
        <cfvo type="percentile" val="50"/>
        <cfvo type="max"/>
        <color rgb="FFF8696B"/>
        <color rgb="FFFFEB84"/>
        <color rgb="FF63BE7B"/>
      </colorScale>
    </cfRule>
  </conditionalFormatting>
  <conditionalFormatting sqref="F21:F28">
    <cfRule type="colorScale" priority="2188">
      <colorScale>
        <cfvo type="min"/>
        <cfvo type="percentile" val="50"/>
        <cfvo type="max"/>
        <color rgb="FFF8696B"/>
        <color rgb="FFFFEB84"/>
        <color rgb="FF63BE7B"/>
      </colorScale>
    </cfRule>
  </conditionalFormatting>
  <conditionalFormatting sqref="F21:F28">
    <cfRule type="colorScale" priority="2187">
      <colorScale>
        <cfvo type="min"/>
        <cfvo type="percentile" val="50"/>
        <cfvo type="max"/>
        <color rgb="FFF8696B"/>
        <color rgb="FFFFEB84"/>
        <color rgb="FF63BE7B"/>
      </colorScale>
    </cfRule>
  </conditionalFormatting>
  <conditionalFormatting sqref="F21:F28">
    <cfRule type="colorScale" priority="2186">
      <colorScale>
        <cfvo type="min"/>
        <cfvo type="percentile" val="50"/>
        <cfvo type="max"/>
        <color rgb="FFF8696B"/>
        <color rgb="FFFFEB84"/>
        <color rgb="FF63BE7B"/>
      </colorScale>
    </cfRule>
  </conditionalFormatting>
  <conditionalFormatting sqref="F21:F28">
    <cfRule type="colorScale" priority="2185">
      <colorScale>
        <cfvo type="min"/>
        <cfvo type="percentile" val="50"/>
        <cfvo type="max"/>
        <color rgb="FFF8696B"/>
        <color rgb="FFFFEB84"/>
        <color rgb="FF63BE7B"/>
      </colorScale>
    </cfRule>
  </conditionalFormatting>
  <conditionalFormatting sqref="F21:F28">
    <cfRule type="colorScale" priority="2184">
      <colorScale>
        <cfvo type="min"/>
        <cfvo type="percentile" val="50"/>
        <cfvo type="max"/>
        <color rgb="FFF8696B"/>
        <color rgb="FFFFEB84"/>
        <color rgb="FF63BE7B"/>
      </colorScale>
    </cfRule>
  </conditionalFormatting>
  <conditionalFormatting sqref="F21:F28">
    <cfRule type="colorScale" priority="2183">
      <colorScale>
        <cfvo type="min"/>
        <cfvo type="percentile" val="50"/>
        <cfvo type="max"/>
        <color rgb="FFF8696B"/>
        <color rgb="FFFFEB84"/>
        <color rgb="FF63BE7B"/>
      </colorScale>
    </cfRule>
  </conditionalFormatting>
  <conditionalFormatting sqref="F21:F28">
    <cfRule type="colorScale" priority="2182">
      <colorScale>
        <cfvo type="min"/>
        <cfvo type="percentile" val="50"/>
        <cfvo type="max"/>
        <color rgb="FFF8696B"/>
        <color rgb="FFFFEB84"/>
        <color rgb="FF63BE7B"/>
      </colorScale>
    </cfRule>
  </conditionalFormatting>
  <conditionalFormatting sqref="F21:F28">
    <cfRule type="colorScale" priority="2181">
      <colorScale>
        <cfvo type="min"/>
        <cfvo type="percentile" val="50"/>
        <cfvo type="max"/>
        <color rgb="FFF8696B"/>
        <color rgb="FFFFEB84"/>
        <color rgb="FF63BE7B"/>
      </colorScale>
    </cfRule>
  </conditionalFormatting>
  <conditionalFormatting sqref="F21:F28">
    <cfRule type="colorScale" priority="2180">
      <colorScale>
        <cfvo type="min"/>
        <cfvo type="percentile" val="50"/>
        <cfvo type="max"/>
        <color rgb="FFF8696B"/>
        <color rgb="FFFFEB84"/>
        <color rgb="FF63BE7B"/>
      </colorScale>
    </cfRule>
  </conditionalFormatting>
  <conditionalFormatting sqref="F21:F28">
    <cfRule type="colorScale" priority="2179">
      <colorScale>
        <cfvo type="min"/>
        <cfvo type="percentile" val="50"/>
        <cfvo type="max"/>
        <color rgb="FFF8696B"/>
        <color rgb="FFFFEB84"/>
        <color rgb="FF63BE7B"/>
      </colorScale>
    </cfRule>
  </conditionalFormatting>
  <conditionalFormatting sqref="F21:F28">
    <cfRule type="colorScale" priority="2178">
      <colorScale>
        <cfvo type="min"/>
        <cfvo type="percentile" val="50"/>
        <cfvo type="max"/>
        <color rgb="FFF8696B"/>
        <color rgb="FFFFEB84"/>
        <color rgb="FF63BE7B"/>
      </colorScale>
    </cfRule>
  </conditionalFormatting>
  <conditionalFormatting sqref="F21:F28">
    <cfRule type="colorScale" priority="2177">
      <colorScale>
        <cfvo type="min"/>
        <cfvo type="percentile" val="50"/>
        <cfvo type="max"/>
        <color rgb="FFF8696B"/>
        <color rgb="FFFFEB84"/>
        <color rgb="FF63BE7B"/>
      </colorScale>
    </cfRule>
  </conditionalFormatting>
  <conditionalFormatting sqref="F21:F28">
    <cfRule type="colorScale" priority="2176">
      <colorScale>
        <cfvo type="min"/>
        <cfvo type="percentile" val="50"/>
        <cfvo type="max"/>
        <color rgb="FFF8696B"/>
        <color rgb="FFFFEB84"/>
        <color rgb="FF63BE7B"/>
      </colorScale>
    </cfRule>
  </conditionalFormatting>
  <conditionalFormatting sqref="F21:F28">
    <cfRule type="colorScale" priority="2175">
      <colorScale>
        <cfvo type="min"/>
        <cfvo type="percentile" val="50"/>
        <cfvo type="max"/>
        <color rgb="FFF8696B"/>
        <color rgb="FFFFEB84"/>
        <color rgb="FF63BE7B"/>
      </colorScale>
    </cfRule>
  </conditionalFormatting>
  <conditionalFormatting sqref="F21:F28">
    <cfRule type="colorScale" priority="2174">
      <colorScale>
        <cfvo type="min"/>
        <cfvo type="percentile" val="50"/>
        <cfvo type="max"/>
        <color rgb="FFF8696B"/>
        <color rgb="FFFFEB84"/>
        <color rgb="FF63BE7B"/>
      </colorScale>
    </cfRule>
  </conditionalFormatting>
  <conditionalFormatting sqref="F21:F28">
    <cfRule type="colorScale" priority="2173">
      <colorScale>
        <cfvo type="min"/>
        <cfvo type="percentile" val="50"/>
        <cfvo type="max"/>
        <color rgb="FFF8696B"/>
        <color rgb="FFFFEB84"/>
        <color rgb="FF63BE7B"/>
      </colorScale>
    </cfRule>
  </conditionalFormatting>
  <conditionalFormatting sqref="F21:F28">
    <cfRule type="colorScale" priority="2172">
      <colorScale>
        <cfvo type="min"/>
        <cfvo type="percentile" val="50"/>
        <cfvo type="max"/>
        <color rgb="FFF8696B"/>
        <color rgb="FFFFEB84"/>
        <color rgb="FF63BE7B"/>
      </colorScale>
    </cfRule>
  </conditionalFormatting>
  <conditionalFormatting sqref="F21:F28">
    <cfRule type="colorScale" priority="2171">
      <colorScale>
        <cfvo type="min"/>
        <cfvo type="percentile" val="50"/>
        <cfvo type="max"/>
        <color rgb="FFF8696B"/>
        <color rgb="FFFFEB84"/>
        <color rgb="FF63BE7B"/>
      </colorScale>
    </cfRule>
  </conditionalFormatting>
  <conditionalFormatting sqref="F21:F28">
    <cfRule type="colorScale" priority="2170">
      <colorScale>
        <cfvo type="min"/>
        <cfvo type="percentile" val="50"/>
        <cfvo type="max"/>
        <color rgb="FFF8696B"/>
        <color rgb="FFFFEB84"/>
        <color rgb="FF63BE7B"/>
      </colorScale>
    </cfRule>
  </conditionalFormatting>
  <conditionalFormatting sqref="F21:F28">
    <cfRule type="colorScale" priority="2169">
      <colorScale>
        <cfvo type="min"/>
        <cfvo type="percentile" val="50"/>
        <cfvo type="max"/>
        <color rgb="FFF8696B"/>
        <color rgb="FFFFEB84"/>
        <color rgb="FF63BE7B"/>
      </colorScale>
    </cfRule>
  </conditionalFormatting>
  <conditionalFormatting sqref="F21:F28">
    <cfRule type="colorScale" priority="2168">
      <colorScale>
        <cfvo type="min"/>
        <cfvo type="percentile" val="50"/>
        <cfvo type="max"/>
        <color rgb="FFF8696B"/>
        <color rgb="FFFFEB84"/>
        <color rgb="FF63BE7B"/>
      </colorScale>
    </cfRule>
  </conditionalFormatting>
  <conditionalFormatting sqref="F21:F28">
    <cfRule type="colorScale" priority="2167">
      <colorScale>
        <cfvo type="min"/>
        <cfvo type="percentile" val="50"/>
        <cfvo type="max"/>
        <color rgb="FFF8696B"/>
        <color rgb="FFFFEB84"/>
        <color rgb="FF63BE7B"/>
      </colorScale>
    </cfRule>
  </conditionalFormatting>
  <conditionalFormatting sqref="F21:F28">
    <cfRule type="colorScale" priority="2166">
      <colorScale>
        <cfvo type="min"/>
        <cfvo type="percentile" val="50"/>
        <cfvo type="max"/>
        <color rgb="FFF8696B"/>
        <color rgb="FFFFEB84"/>
        <color rgb="FF63BE7B"/>
      </colorScale>
    </cfRule>
  </conditionalFormatting>
  <conditionalFormatting sqref="F21:F28">
    <cfRule type="colorScale" priority="2165">
      <colorScale>
        <cfvo type="min"/>
        <cfvo type="percentile" val="50"/>
        <cfvo type="max"/>
        <color rgb="FFF8696B"/>
        <color rgb="FFFFEB84"/>
        <color rgb="FF63BE7B"/>
      </colorScale>
    </cfRule>
  </conditionalFormatting>
  <conditionalFormatting sqref="F21:F28">
    <cfRule type="colorScale" priority="2164">
      <colorScale>
        <cfvo type="min"/>
        <cfvo type="percentile" val="50"/>
        <cfvo type="max"/>
        <color rgb="FFF8696B"/>
        <color rgb="FFFFEB84"/>
        <color rgb="FF63BE7B"/>
      </colorScale>
    </cfRule>
  </conditionalFormatting>
  <conditionalFormatting sqref="F21:F28">
    <cfRule type="colorScale" priority="2163">
      <colorScale>
        <cfvo type="min"/>
        <cfvo type="percentile" val="50"/>
        <cfvo type="max"/>
        <color rgb="FFF8696B"/>
        <color rgb="FFFFEB84"/>
        <color rgb="FF63BE7B"/>
      </colorScale>
    </cfRule>
  </conditionalFormatting>
  <conditionalFormatting sqref="F21:F28">
    <cfRule type="colorScale" priority="2162">
      <colorScale>
        <cfvo type="min"/>
        <cfvo type="percentile" val="50"/>
        <cfvo type="max"/>
        <color rgb="FFF8696B"/>
        <color rgb="FFFFEB84"/>
        <color rgb="FF63BE7B"/>
      </colorScale>
    </cfRule>
  </conditionalFormatting>
  <conditionalFormatting sqref="F21:F28">
    <cfRule type="colorScale" priority="2161">
      <colorScale>
        <cfvo type="min"/>
        <cfvo type="percentile" val="50"/>
        <cfvo type="max"/>
        <color rgb="FFF8696B"/>
        <color rgb="FFFFEB84"/>
        <color rgb="FF63BE7B"/>
      </colorScale>
    </cfRule>
  </conditionalFormatting>
  <conditionalFormatting sqref="F21:F28">
    <cfRule type="colorScale" priority="2160">
      <colorScale>
        <cfvo type="min"/>
        <cfvo type="percentile" val="50"/>
        <cfvo type="max"/>
        <color rgb="FFF8696B"/>
        <color rgb="FFFFEB84"/>
        <color rgb="FF63BE7B"/>
      </colorScale>
    </cfRule>
  </conditionalFormatting>
  <conditionalFormatting sqref="F21:F28">
    <cfRule type="colorScale" priority="2159">
      <colorScale>
        <cfvo type="min"/>
        <cfvo type="percentile" val="50"/>
        <cfvo type="max"/>
        <color rgb="FFF8696B"/>
        <color rgb="FFFFEB84"/>
        <color rgb="FF63BE7B"/>
      </colorScale>
    </cfRule>
  </conditionalFormatting>
  <conditionalFormatting sqref="F21:F28">
    <cfRule type="colorScale" priority="2158">
      <colorScale>
        <cfvo type="min"/>
        <cfvo type="percentile" val="50"/>
        <cfvo type="max"/>
        <color rgb="FFF8696B"/>
        <color rgb="FFFFEB84"/>
        <color rgb="FF63BE7B"/>
      </colorScale>
    </cfRule>
  </conditionalFormatting>
  <conditionalFormatting sqref="F21:F28">
    <cfRule type="colorScale" priority="2157">
      <colorScale>
        <cfvo type="min"/>
        <cfvo type="percentile" val="50"/>
        <cfvo type="max"/>
        <color rgb="FFF8696B"/>
        <color rgb="FFFFEB84"/>
        <color rgb="FF63BE7B"/>
      </colorScale>
    </cfRule>
  </conditionalFormatting>
  <conditionalFormatting sqref="F21:F28">
    <cfRule type="colorScale" priority="2156">
      <colorScale>
        <cfvo type="min"/>
        <cfvo type="percentile" val="50"/>
        <cfvo type="max"/>
        <color rgb="FFF8696B"/>
        <color rgb="FFFFEB84"/>
        <color rgb="FF63BE7B"/>
      </colorScale>
    </cfRule>
  </conditionalFormatting>
  <conditionalFormatting sqref="F21:F28">
    <cfRule type="colorScale" priority="2155">
      <colorScale>
        <cfvo type="min"/>
        <cfvo type="percentile" val="50"/>
        <cfvo type="max"/>
        <color rgb="FFF8696B"/>
        <color rgb="FFFFEB84"/>
        <color rgb="FF63BE7B"/>
      </colorScale>
    </cfRule>
  </conditionalFormatting>
  <conditionalFormatting sqref="F21:F28">
    <cfRule type="colorScale" priority="2154">
      <colorScale>
        <cfvo type="min"/>
        <cfvo type="percentile" val="50"/>
        <cfvo type="max"/>
        <color rgb="FFF8696B"/>
        <color rgb="FFFFEB84"/>
        <color rgb="FF63BE7B"/>
      </colorScale>
    </cfRule>
  </conditionalFormatting>
  <conditionalFormatting sqref="F21:F28">
    <cfRule type="colorScale" priority="2153">
      <colorScale>
        <cfvo type="min"/>
        <cfvo type="percentile" val="50"/>
        <cfvo type="max"/>
        <color rgb="FFF8696B"/>
        <color rgb="FFFFEB84"/>
        <color rgb="FF63BE7B"/>
      </colorScale>
    </cfRule>
  </conditionalFormatting>
  <conditionalFormatting sqref="F21:F28">
    <cfRule type="colorScale" priority="2152">
      <colorScale>
        <cfvo type="min"/>
        <cfvo type="percentile" val="50"/>
        <cfvo type="max"/>
        <color rgb="FFF8696B"/>
        <color rgb="FFFFEB84"/>
        <color rgb="FF63BE7B"/>
      </colorScale>
    </cfRule>
  </conditionalFormatting>
  <conditionalFormatting sqref="F21:F28">
    <cfRule type="colorScale" priority="2151">
      <colorScale>
        <cfvo type="min"/>
        <cfvo type="percentile" val="50"/>
        <cfvo type="max"/>
        <color rgb="FFF8696B"/>
        <color rgb="FFFFEB84"/>
        <color rgb="FF63BE7B"/>
      </colorScale>
    </cfRule>
  </conditionalFormatting>
  <conditionalFormatting sqref="F21:F28">
    <cfRule type="colorScale" priority="2150">
      <colorScale>
        <cfvo type="min"/>
        <cfvo type="percentile" val="50"/>
        <cfvo type="max"/>
        <color rgb="FFF8696B"/>
        <color rgb="FFFFEB84"/>
        <color rgb="FF63BE7B"/>
      </colorScale>
    </cfRule>
  </conditionalFormatting>
  <conditionalFormatting sqref="F21:F28">
    <cfRule type="colorScale" priority="2149">
      <colorScale>
        <cfvo type="min"/>
        <cfvo type="percentile" val="50"/>
        <cfvo type="max"/>
        <color rgb="FFF8696B"/>
        <color rgb="FFFFEB84"/>
        <color rgb="FF63BE7B"/>
      </colorScale>
    </cfRule>
  </conditionalFormatting>
  <conditionalFormatting sqref="F21:F28">
    <cfRule type="colorScale" priority="2148">
      <colorScale>
        <cfvo type="min"/>
        <cfvo type="percentile" val="50"/>
        <cfvo type="max"/>
        <color rgb="FFF8696B"/>
        <color rgb="FFFFEB84"/>
        <color rgb="FF63BE7B"/>
      </colorScale>
    </cfRule>
  </conditionalFormatting>
  <conditionalFormatting sqref="F21:F28">
    <cfRule type="colorScale" priority="2147">
      <colorScale>
        <cfvo type="min"/>
        <cfvo type="percentile" val="50"/>
        <cfvo type="max"/>
        <color rgb="FFF8696B"/>
        <color rgb="FFFFEB84"/>
        <color rgb="FF63BE7B"/>
      </colorScale>
    </cfRule>
  </conditionalFormatting>
  <conditionalFormatting sqref="F21:F28">
    <cfRule type="colorScale" priority="2146">
      <colorScale>
        <cfvo type="min"/>
        <cfvo type="percentile" val="50"/>
        <cfvo type="max"/>
        <color rgb="FFF8696B"/>
        <color rgb="FFFFEB84"/>
        <color rgb="FF63BE7B"/>
      </colorScale>
    </cfRule>
  </conditionalFormatting>
  <conditionalFormatting sqref="F21:F28">
    <cfRule type="colorScale" priority="2145">
      <colorScale>
        <cfvo type="min"/>
        <cfvo type="percentile" val="50"/>
        <cfvo type="max"/>
        <color rgb="FFF8696B"/>
        <color rgb="FFFFEB84"/>
        <color rgb="FF63BE7B"/>
      </colorScale>
    </cfRule>
  </conditionalFormatting>
  <conditionalFormatting sqref="F21:F28">
    <cfRule type="colorScale" priority="2144">
      <colorScale>
        <cfvo type="min"/>
        <cfvo type="percentile" val="50"/>
        <cfvo type="max"/>
        <color rgb="FFF8696B"/>
        <color rgb="FFFFEB84"/>
        <color rgb="FF63BE7B"/>
      </colorScale>
    </cfRule>
  </conditionalFormatting>
  <conditionalFormatting sqref="F21:F28">
    <cfRule type="colorScale" priority="2143">
      <colorScale>
        <cfvo type="min"/>
        <cfvo type="percentile" val="50"/>
        <cfvo type="max"/>
        <color rgb="FFF8696B"/>
        <color rgb="FFFFEB84"/>
        <color rgb="FF63BE7B"/>
      </colorScale>
    </cfRule>
  </conditionalFormatting>
  <conditionalFormatting sqref="F21:F28">
    <cfRule type="colorScale" priority="2142">
      <colorScale>
        <cfvo type="min"/>
        <cfvo type="percentile" val="50"/>
        <cfvo type="max"/>
        <color rgb="FFF8696B"/>
        <color rgb="FFFFEB84"/>
        <color rgb="FF63BE7B"/>
      </colorScale>
    </cfRule>
  </conditionalFormatting>
  <conditionalFormatting sqref="F21:F28">
    <cfRule type="colorScale" priority="2141">
      <colorScale>
        <cfvo type="min"/>
        <cfvo type="percentile" val="50"/>
        <cfvo type="max"/>
        <color rgb="FFF8696B"/>
        <color rgb="FFFFEB84"/>
        <color rgb="FF63BE7B"/>
      </colorScale>
    </cfRule>
  </conditionalFormatting>
  <conditionalFormatting sqref="F21:F28">
    <cfRule type="colorScale" priority="2140">
      <colorScale>
        <cfvo type="min"/>
        <cfvo type="percentile" val="50"/>
        <cfvo type="max"/>
        <color rgb="FFF8696B"/>
        <color rgb="FFFFEB84"/>
        <color rgb="FF63BE7B"/>
      </colorScale>
    </cfRule>
  </conditionalFormatting>
  <conditionalFormatting sqref="F21:F28">
    <cfRule type="colorScale" priority="2139">
      <colorScale>
        <cfvo type="min"/>
        <cfvo type="percentile" val="50"/>
        <cfvo type="max"/>
        <color rgb="FFF8696B"/>
        <color rgb="FFFFEB84"/>
        <color rgb="FF63BE7B"/>
      </colorScale>
    </cfRule>
  </conditionalFormatting>
  <conditionalFormatting sqref="F21:F28">
    <cfRule type="colorScale" priority="2138">
      <colorScale>
        <cfvo type="min"/>
        <cfvo type="percentile" val="50"/>
        <cfvo type="max"/>
        <color rgb="FFF8696B"/>
        <color rgb="FFFFEB84"/>
        <color rgb="FF63BE7B"/>
      </colorScale>
    </cfRule>
  </conditionalFormatting>
  <conditionalFormatting sqref="F21:F28">
    <cfRule type="colorScale" priority="2137">
      <colorScale>
        <cfvo type="min"/>
        <cfvo type="percentile" val="50"/>
        <cfvo type="max"/>
        <color rgb="FFF8696B"/>
        <color rgb="FFFFEB84"/>
        <color rgb="FF63BE7B"/>
      </colorScale>
    </cfRule>
  </conditionalFormatting>
  <conditionalFormatting sqref="F21:F28">
    <cfRule type="colorScale" priority="2136">
      <colorScale>
        <cfvo type="min"/>
        <cfvo type="percentile" val="50"/>
        <cfvo type="max"/>
        <color rgb="FFF8696B"/>
        <color rgb="FFFFEB84"/>
        <color rgb="FF63BE7B"/>
      </colorScale>
    </cfRule>
  </conditionalFormatting>
  <conditionalFormatting sqref="F21:F28">
    <cfRule type="colorScale" priority="2135">
      <colorScale>
        <cfvo type="min"/>
        <cfvo type="percentile" val="50"/>
        <cfvo type="max"/>
        <color rgb="FFF8696B"/>
        <color rgb="FFFFEB84"/>
        <color rgb="FF63BE7B"/>
      </colorScale>
    </cfRule>
  </conditionalFormatting>
  <conditionalFormatting sqref="F21:F28">
    <cfRule type="colorScale" priority="2134">
      <colorScale>
        <cfvo type="min"/>
        <cfvo type="percentile" val="50"/>
        <cfvo type="max"/>
        <color rgb="FFF8696B"/>
        <color rgb="FFFFEB84"/>
        <color rgb="FF63BE7B"/>
      </colorScale>
    </cfRule>
  </conditionalFormatting>
  <conditionalFormatting sqref="F21:F28">
    <cfRule type="colorScale" priority="2133">
      <colorScale>
        <cfvo type="min"/>
        <cfvo type="percentile" val="50"/>
        <cfvo type="max"/>
        <color rgb="FFF8696B"/>
        <color rgb="FFFFEB84"/>
        <color rgb="FF63BE7B"/>
      </colorScale>
    </cfRule>
  </conditionalFormatting>
  <conditionalFormatting sqref="F21:F28">
    <cfRule type="colorScale" priority="2132">
      <colorScale>
        <cfvo type="min"/>
        <cfvo type="percentile" val="50"/>
        <cfvo type="max"/>
        <color rgb="FFF8696B"/>
        <color rgb="FFFFEB84"/>
        <color rgb="FF63BE7B"/>
      </colorScale>
    </cfRule>
  </conditionalFormatting>
  <conditionalFormatting sqref="F21:F28">
    <cfRule type="colorScale" priority="2131">
      <colorScale>
        <cfvo type="min"/>
        <cfvo type="percentile" val="50"/>
        <cfvo type="max"/>
        <color rgb="FFF8696B"/>
        <color rgb="FFFFEB84"/>
        <color rgb="FF63BE7B"/>
      </colorScale>
    </cfRule>
  </conditionalFormatting>
  <conditionalFormatting sqref="F21:F28">
    <cfRule type="colorScale" priority="2130">
      <colorScale>
        <cfvo type="min"/>
        <cfvo type="percentile" val="50"/>
        <cfvo type="max"/>
        <color rgb="FFF8696B"/>
        <color rgb="FFFFEB84"/>
        <color rgb="FF63BE7B"/>
      </colorScale>
    </cfRule>
  </conditionalFormatting>
  <conditionalFormatting sqref="F21:F28">
    <cfRule type="colorScale" priority="2129">
      <colorScale>
        <cfvo type="min"/>
        <cfvo type="percentile" val="50"/>
        <cfvo type="max"/>
        <color rgb="FFF8696B"/>
        <color rgb="FFFFEB84"/>
        <color rgb="FF63BE7B"/>
      </colorScale>
    </cfRule>
  </conditionalFormatting>
  <conditionalFormatting sqref="F21:F28">
    <cfRule type="colorScale" priority="2128">
      <colorScale>
        <cfvo type="min"/>
        <cfvo type="percentile" val="50"/>
        <cfvo type="max"/>
        <color rgb="FFF8696B"/>
        <color rgb="FFFFEB84"/>
        <color rgb="FF63BE7B"/>
      </colorScale>
    </cfRule>
  </conditionalFormatting>
  <conditionalFormatting sqref="F21:F28">
    <cfRule type="colorScale" priority="2127">
      <colorScale>
        <cfvo type="min"/>
        <cfvo type="percentile" val="50"/>
        <cfvo type="max"/>
        <color rgb="FFF8696B"/>
        <color rgb="FFFFEB84"/>
        <color rgb="FF63BE7B"/>
      </colorScale>
    </cfRule>
  </conditionalFormatting>
  <conditionalFormatting sqref="F21:F28">
    <cfRule type="colorScale" priority="2126">
      <colorScale>
        <cfvo type="min"/>
        <cfvo type="percentile" val="50"/>
        <cfvo type="max"/>
        <color rgb="FFF8696B"/>
        <color rgb="FFFFEB84"/>
        <color rgb="FF63BE7B"/>
      </colorScale>
    </cfRule>
  </conditionalFormatting>
  <conditionalFormatting sqref="F21:F28">
    <cfRule type="colorScale" priority="2125">
      <colorScale>
        <cfvo type="min"/>
        <cfvo type="percentile" val="50"/>
        <cfvo type="max"/>
        <color rgb="FFF8696B"/>
        <color rgb="FFFFEB84"/>
        <color rgb="FF63BE7B"/>
      </colorScale>
    </cfRule>
  </conditionalFormatting>
  <conditionalFormatting sqref="F21:F28">
    <cfRule type="colorScale" priority="2124">
      <colorScale>
        <cfvo type="min"/>
        <cfvo type="percentile" val="50"/>
        <cfvo type="max"/>
        <color rgb="FFF8696B"/>
        <color rgb="FFFFEB84"/>
        <color rgb="FF63BE7B"/>
      </colorScale>
    </cfRule>
  </conditionalFormatting>
  <conditionalFormatting sqref="F21:F28">
    <cfRule type="colorScale" priority="2123">
      <colorScale>
        <cfvo type="min"/>
        <cfvo type="percentile" val="50"/>
        <cfvo type="max"/>
        <color rgb="FFF8696B"/>
        <color rgb="FFFFEB84"/>
        <color rgb="FF63BE7B"/>
      </colorScale>
    </cfRule>
  </conditionalFormatting>
  <conditionalFormatting sqref="F21:F28">
    <cfRule type="colorScale" priority="2122">
      <colorScale>
        <cfvo type="min"/>
        <cfvo type="percentile" val="50"/>
        <cfvo type="max"/>
        <color rgb="FFF8696B"/>
        <color rgb="FFFFEB84"/>
        <color rgb="FF63BE7B"/>
      </colorScale>
    </cfRule>
  </conditionalFormatting>
  <conditionalFormatting sqref="F21:F28">
    <cfRule type="colorScale" priority="2121">
      <colorScale>
        <cfvo type="min"/>
        <cfvo type="percentile" val="50"/>
        <cfvo type="max"/>
        <color rgb="FFF8696B"/>
        <color rgb="FFFFEB84"/>
        <color rgb="FF63BE7B"/>
      </colorScale>
    </cfRule>
  </conditionalFormatting>
  <conditionalFormatting sqref="F21:F28">
    <cfRule type="colorScale" priority="2120">
      <colorScale>
        <cfvo type="min"/>
        <cfvo type="percentile" val="50"/>
        <cfvo type="max"/>
        <color rgb="FFF8696B"/>
        <color rgb="FFFFEB84"/>
        <color rgb="FF63BE7B"/>
      </colorScale>
    </cfRule>
  </conditionalFormatting>
  <conditionalFormatting sqref="F21:F28">
    <cfRule type="colorScale" priority="2119">
      <colorScale>
        <cfvo type="min"/>
        <cfvo type="percentile" val="50"/>
        <cfvo type="max"/>
        <color rgb="FFF8696B"/>
        <color rgb="FFFFEB84"/>
        <color rgb="FF63BE7B"/>
      </colorScale>
    </cfRule>
  </conditionalFormatting>
  <conditionalFormatting sqref="F21:F28">
    <cfRule type="colorScale" priority="2118">
      <colorScale>
        <cfvo type="min"/>
        <cfvo type="percentile" val="50"/>
        <cfvo type="max"/>
        <color rgb="FFF8696B"/>
        <color rgb="FFFFEB84"/>
        <color rgb="FF63BE7B"/>
      </colorScale>
    </cfRule>
  </conditionalFormatting>
  <conditionalFormatting sqref="F21:F28">
    <cfRule type="colorScale" priority="2117">
      <colorScale>
        <cfvo type="min"/>
        <cfvo type="percentile" val="50"/>
        <cfvo type="max"/>
        <color rgb="FFF8696B"/>
        <color rgb="FFFFEB84"/>
        <color rgb="FF63BE7B"/>
      </colorScale>
    </cfRule>
  </conditionalFormatting>
  <conditionalFormatting sqref="F21:F28">
    <cfRule type="colorScale" priority="2116">
      <colorScale>
        <cfvo type="min"/>
        <cfvo type="percentile" val="50"/>
        <cfvo type="max"/>
        <color rgb="FFF8696B"/>
        <color rgb="FFFFEB84"/>
        <color rgb="FF63BE7B"/>
      </colorScale>
    </cfRule>
  </conditionalFormatting>
  <conditionalFormatting sqref="F21:F28">
    <cfRule type="colorScale" priority="2115">
      <colorScale>
        <cfvo type="min"/>
        <cfvo type="percentile" val="50"/>
        <cfvo type="max"/>
        <color rgb="FFF8696B"/>
        <color rgb="FFFFEB84"/>
        <color rgb="FF63BE7B"/>
      </colorScale>
    </cfRule>
  </conditionalFormatting>
  <conditionalFormatting sqref="F21:F28">
    <cfRule type="colorScale" priority="2114">
      <colorScale>
        <cfvo type="min"/>
        <cfvo type="percentile" val="50"/>
        <cfvo type="max"/>
        <color rgb="FFF8696B"/>
        <color rgb="FFFFEB84"/>
        <color rgb="FF63BE7B"/>
      </colorScale>
    </cfRule>
  </conditionalFormatting>
  <conditionalFormatting sqref="F21:F28">
    <cfRule type="colorScale" priority="2113">
      <colorScale>
        <cfvo type="min"/>
        <cfvo type="percentile" val="50"/>
        <cfvo type="max"/>
        <color rgb="FFF8696B"/>
        <color rgb="FFFFEB84"/>
        <color rgb="FF63BE7B"/>
      </colorScale>
    </cfRule>
  </conditionalFormatting>
  <conditionalFormatting sqref="F21:F28">
    <cfRule type="colorScale" priority="2112">
      <colorScale>
        <cfvo type="min"/>
        <cfvo type="percentile" val="50"/>
        <cfvo type="max"/>
        <color rgb="FFF8696B"/>
        <color rgb="FFFFEB84"/>
        <color rgb="FF63BE7B"/>
      </colorScale>
    </cfRule>
  </conditionalFormatting>
  <conditionalFormatting sqref="F21:F28">
    <cfRule type="colorScale" priority="2111">
      <colorScale>
        <cfvo type="min"/>
        <cfvo type="percentile" val="50"/>
        <cfvo type="max"/>
        <color rgb="FFF8696B"/>
        <color rgb="FFFFEB84"/>
        <color rgb="FF63BE7B"/>
      </colorScale>
    </cfRule>
  </conditionalFormatting>
  <conditionalFormatting sqref="F21:F28">
    <cfRule type="colorScale" priority="2110">
      <colorScale>
        <cfvo type="min"/>
        <cfvo type="percentile" val="50"/>
        <cfvo type="max"/>
        <color rgb="FFF8696B"/>
        <color rgb="FFFFEB84"/>
        <color rgb="FF63BE7B"/>
      </colorScale>
    </cfRule>
  </conditionalFormatting>
  <conditionalFormatting sqref="F21:F28">
    <cfRule type="colorScale" priority="2109">
      <colorScale>
        <cfvo type="min"/>
        <cfvo type="percentile" val="50"/>
        <cfvo type="max"/>
        <color rgb="FFF8696B"/>
        <color rgb="FFFFEB84"/>
        <color rgb="FF63BE7B"/>
      </colorScale>
    </cfRule>
  </conditionalFormatting>
  <conditionalFormatting sqref="F21:F28">
    <cfRule type="colorScale" priority="2108">
      <colorScale>
        <cfvo type="min"/>
        <cfvo type="percentile" val="50"/>
        <cfvo type="max"/>
        <color rgb="FFF8696B"/>
        <color rgb="FFFFEB84"/>
        <color rgb="FF63BE7B"/>
      </colorScale>
    </cfRule>
  </conditionalFormatting>
  <conditionalFormatting sqref="F21:F28">
    <cfRule type="colorScale" priority="2107">
      <colorScale>
        <cfvo type="min"/>
        <cfvo type="percentile" val="50"/>
        <cfvo type="max"/>
        <color rgb="FFF8696B"/>
        <color rgb="FFFFEB84"/>
        <color rgb="FF63BE7B"/>
      </colorScale>
    </cfRule>
  </conditionalFormatting>
  <conditionalFormatting sqref="F21:F28">
    <cfRule type="colorScale" priority="2106">
      <colorScale>
        <cfvo type="min"/>
        <cfvo type="percentile" val="50"/>
        <cfvo type="max"/>
        <color rgb="FFF8696B"/>
        <color rgb="FFFFEB84"/>
        <color rgb="FF63BE7B"/>
      </colorScale>
    </cfRule>
  </conditionalFormatting>
  <conditionalFormatting sqref="F21:F28">
    <cfRule type="colorScale" priority="2105">
      <colorScale>
        <cfvo type="min"/>
        <cfvo type="percentile" val="50"/>
        <cfvo type="max"/>
        <color rgb="FFF8696B"/>
        <color rgb="FFFFEB84"/>
        <color rgb="FF63BE7B"/>
      </colorScale>
    </cfRule>
  </conditionalFormatting>
  <conditionalFormatting sqref="F21:F28">
    <cfRule type="colorScale" priority="2104">
      <colorScale>
        <cfvo type="min"/>
        <cfvo type="percentile" val="50"/>
        <cfvo type="max"/>
        <color rgb="FFF8696B"/>
        <color rgb="FFFFEB84"/>
        <color rgb="FF63BE7B"/>
      </colorScale>
    </cfRule>
  </conditionalFormatting>
  <conditionalFormatting sqref="F21:F28">
    <cfRule type="colorScale" priority="2103">
      <colorScale>
        <cfvo type="min"/>
        <cfvo type="percentile" val="50"/>
        <cfvo type="max"/>
        <color rgb="FFF8696B"/>
        <color rgb="FFFFEB84"/>
        <color rgb="FF63BE7B"/>
      </colorScale>
    </cfRule>
  </conditionalFormatting>
  <conditionalFormatting sqref="F21:F28">
    <cfRule type="colorScale" priority="2102">
      <colorScale>
        <cfvo type="min"/>
        <cfvo type="percentile" val="50"/>
        <cfvo type="max"/>
        <color rgb="FFF8696B"/>
        <color rgb="FFFFEB84"/>
        <color rgb="FF63BE7B"/>
      </colorScale>
    </cfRule>
  </conditionalFormatting>
  <conditionalFormatting sqref="F21:F28">
    <cfRule type="colorScale" priority="2101">
      <colorScale>
        <cfvo type="min"/>
        <cfvo type="percentile" val="50"/>
        <cfvo type="max"/>
        <color rgb="FFF8696B"/>
        <color rgb="FFFFEB84"/>
        <color rgb="FF63BE7B"/>
      </colorScale>
    </cfRule>
  </conditionalFormatting>
  <conditionalFormatting sqref="F21:F28">
    <cfRule type="colorScale" priority="2100">
      <colorScale>
        <cfvo type="min"/>
        <cfvo type="percentile" val="50"/>
        <cfvo type="max"/>
        <color rgb="FFF8696B"/>
        <color rgb="FFFFEB84"/>
        <color rgb="FF63BE7B"/>
      </colorScale>
    </cfRule>
  </conditionalFormatting>
  <conditionalFormatting sqref="F21:F28">
    <cfRule type="colorScale" priority="2099">
      <colorScale>
        <cfvo type="min"/>
        <cfvo type="percentile" val="50"/>
        <cfvo type="max"/>
        <color rgb="FFF8696B"/>
        <color rgb="FFFFEB84"/>
        <color rgb="FF63BE7B"/>
      </colorScale>
    </cfRule>
  </conditionalFormatting>
  <conditionalFormatting sqref="F21:F28">
    <cfRule type="colorScale" priority="2098">
      <colorScale>
        <cfvo type="min"/>
        <cfvo type="percentile" val="50"/>
        <cfvo type="max"/>
        <color rgb="FFF8696B"/>
        <color rgb="FFFFEB84"/>
        <color rgb="FF63BE7B"/>
      </colorScale>
    </cfRule>
  </conditionalFormatting>
  <conditionalFormatting sqref="F21:F28">
    <cfRule type="colorScale" priority="2097">
      <colorScale>
        <cfvo type="min"/>
        <cfvo type="percentile" val="50"/>
        <cfvo type="max"/>
        <color rgb="FFF8696B"/>
        <color rgb="FFFFEB84"/>
        <color rgb="FF63BE7B"/>
      </colorScale>
    </cfRule>
  </conditionalFormatting>
  <conditionalFormatting sqref="F21:F28">
    <cfRule type="colorScale" priority="2096">
      <colorScale>
        <cfvo type="min"/>
        <cfvo type="percentile" val="50"/>
        <cfvo type="max"/>
        <color rgb="FFF8696B"/>
        <color rgb="FFFFEB84"/>
        <color rgb="FF63BE7B"/>
      </colorScale>
    </cfRule>
  </conditionalFormatting>
  <conditionalFormatting sqref="F21:F28">
    <cfRule type="colorScale" priority="2095">
      <colorScale>
        <cfvo type="min"/>
        <cfvo type="percentile" val="50"/>
        <cfvo type="max"/>
        <color rgb="FFF8696B"/>
        <color rgb="FFFFEB84"/>
        <color rgb="FF63BE7B"/>
      </colorScale>
    </cfRule>
  </conditionalFormatting>
  <conditionalFormatting sqref="F21:F28">
    <cfRule type="colorScale" priority="2094">
      <colorScale>
        <cfvo type="min"/>
        <cfvo type="percentile" val="50"/>
        <cfvo type="max"/>
        <color rgb="FFF8696B"/>
        <color rgb="FFFFEB84"/>
        <color rgb="FF63BE7B"/>
      </colorScale>
    </cfRule>
  </conditionalFormatting>
  <conditionalFormatting sqref="F21:F28">
    <cfRule type="colorScale" priority="2093">
      <colorScale>
        <cfvo type="min"/>
        <cfvo type="percentile" val="50"/>
        <cfvo type="max"/>
        <color rgb="FFF8696B"/>
        <color rgb="FFFFEB84"/>
        <color rgb="FF63BE7B"/>
      </colorScale>
    </cfRule>
  </conditionalFormatting>
  <conditionalFormatting sqref="F21:F28">
    <cfRule type="colorScale" priority="2092">
      <colorScale>
        <cfvo type="min"/>
        <cfvo type="percentile" val="50"/>
        <cfvo type="max"/>
        <color rgb="FFF8696B"/>
        <color rgb="FFFFEB84"/>
        <color rgb="FF63BE7B"/>
      </colorScale>
    </cfRule>
  </conditionalFormatting>
  <conditionalFormatting sqref="F21:F28">
    <cfRule type="colorScale" priority="2091">
      <colorScale>
        <cfvo type="min"/>
        <cfvo type="percentile" val="50"/>
        <cfvo type="max"/>
        <color rgb="FFF8696B"/>
        <color rgb="FFFFEB84"/>
        <color rgb="FF63BE7B"/>
      </colorScale>
    </cfRule>
  </conditionalFormatting>
  <conditionalFormatting sqref="F21:F28">
    <cfRule type="colorScale" priority="2090">
      <colorScale>
        <cfvo type="min"/>
        <cfvo type="percentile" val="50"/>
        <cfvo type="max"/>
        <color rgb="FFF8696B"/>
        <color rgb="FFFFEB84"/>
        <color rgb="FF63BE7B"/>
      </colorScale>
    </cfRule>
  </conditionalFormatting>
  <conditionalFormatting sqref="F21:F28">
    <cfRule type="colorScale" priority="2089">
      <colorScale>
        <cfvo type="min"/>
        <cfvo type="percentile" val="50"/>
        <cfvo type="max"/>
        <color rgb="FFF8696B"/>
        <color rgb="FFFFEB84"/>
        <color rgb="FF63BE7B"/>
      </colorScale>
    </cfRule>
  </conditionalFormatting>
  <conditionalFormatting sqref="F21:F28">
    <cfRule type="colorScale" priority="2088">
      <colorScale>
        <cfvo type="min"/>
        <cfvo type="percentile" val="50"/>
        <cfvo type="max"/>
        <color rgb="FFF8696B"/>
        <color rgb="FFFFEB84"/>
        <color rgb="FF63BE7B"/>
      </colorScale>
    </cfRule>
  </conditionalFormatting>
  <conditionalFormatting sqref="F21:F28">
    <cfRule type="colorScale" priority="2087">
      <colorScale>
        <cfvo type="min"/>
        <cfvo type="percentile" val="50"/>
        <cfvo type="max"/>
        <color rgb="FFF8696B"/>
        <color rgb="FFFFEB84"/>
        <color rgb="FF63BE7B"/>
      </colorScale>
    </cfRule>
  </conditionalFormatting>
  <conditionalFormatting sqref="F21:F28">
    <cfRule type="colorScale" priority="2086">
      <colorScale>
        <cfvo type="min"/>
        <cfvo type="percentile" val="50"/>
        <cfvo type="max"/>
        <color rgb="FFF8696B"/>
        <color rgb="FFFFEB84"/>
        <color rgb="FF63BE7B"/>
      </colorScale>
    </cfRule>
  </conditionalFormatting>
  <conditionalFormatting sqref="F21:F28">
    <cfRule type="colorScale" priority="2085">
      <colorScale>
        <cfvo type="min"/>
        <cfvo type="percentile" val="50"/>
        <cfvo type="max"/>
        <color rgb="FFF8696B"/>
        <color rgb="FFFFEB84"/>
        <color rgb="FF63BE7B"/>
      </colorScale>
    </cfRule>
  </conditionalFormatting>
  <conditionalFormatting sqref="F21:F28">
    <cfRule type="colorScale" priority="2084">
      <colorScale>
        <cfvo type="min"/>
        <cfvo type="percentile" val="50"/>
        <cfvo type="max"/>
        <color rgb="FFF8696B"/>
        <color rgb="FFFFEB84"/>
        <color rgb="FF63BE7B"/>
      </colorScale>
    </cfRule>
  </conditionalFormatting>
  <conditionalFormatting sqref="F21:F28">
    <cfRule type="colorScale" priority="2083">
      <colorScale>
        <cfvo type="min"/>
        <cfvo type="percentile" val="50"/>
        <cfvo type="max"/>
        <color rgb="FFF8696B"/>
        <color rgb="FFFFEB84"/>
        <color rgb="FF63BE7B"/>
      </colorScale>
    </cfRule>
  </conditionalFormatting>
  <conditionalFormatting sqref="F21:F28">
    <cfRule type="colorScale" priority="2082">
      <colorScale>
        <cfvo type="min"/>
        <cfvo type="percentile" val="50"/>
        <cfvo type="max"/>
        <color rgb="FFF8696B"/>
        <color rgb="FFFFEB84"/>
        <color rgb="FF63BE7B"/>
      </colorScale>
    </cfRule>
  </conditionalFormatting>
  <conditionalFormatting sqref="F21:F28">
    <cfRule type="colorScale" priority="2081">
      <colorScale>
        <cfvo type="min"/>
        <cfvo type="percentile" val="50"/>
        <cfvo type="max"/>
        <color rgb="FFF8696B"/>
        <color rgb="FFFFEB84"/>
        <color rgb="FF63BE7B"/>
      </colorScale>
    </cfRule>
  </conditionalFormatting>
  <conditionalFormatting sqref="F21:F28">
    <cfRule type="colorScale" priority="2080">
      <colorScale>
        <cfvo type="min"/>
        <cfvo type="percentile" val="50"/>
        <cfvo type="max"/>
        <color rgb="FFF8696B"/>
        <color rgb="FFFFEB84"/>
        <color rgb="FF63BE7B"/>
      </colorScale>
    </cfRule>
  </conditionalFormatting>
  <conditionalFormatting sqref="F21:F28">
    <cfRule type="colorScale" priority="2079">
      <colorScale>
        <cfvo type="min"/>
        <cfvo type="percentile" val="50"/>
        <cfvo type="max"/>
        <color rgb="FFF8696B"/>
        <color rgb="FFFFEB84"/>
        <color rgb="FF63BE7B"/>
      </colorScale>
    </cfRule>
  </conditionalFormatting>
  <conditionalFormatting sqref="F21:F28">
    <cfRule type="colorScale" priority="2078">
      <colorScale>
        <cfvo type="min"/>
        <cfvo type="percentile" val="50"/>
        <cfvo type="max"/>
        <color rgb="FFF8696B"/>
        <color rgb="FFFFEB84"/>
        <color rgb="FF63BE7B"/>
      </colorScale>
    </cfRule>
  </conditionalFormatting>
  <conditionalFormatting sqref="F21:F28">
    <cfRule type="colorScale" priority="2077">
      <colorScale>
        <cfvo type="min"/>
        <cfvo type="percentile" val="50"/>
        <cfvo type="max"/>
        <color rgb="FFF8696B"/>
        <color rgb="FFFFEB84"/>
        <color rgb="FF63BE7B"/>
      </colorScale>
    </cfRule>
  </conditionalFormatting>
  <conditionalFormatting sqref="F21:F28">
    <cfRule type="colorScale" priority="2076">
      <colorScale>
        <cfvo type="min"/>
        <cfvo type="percentile" val="50"/>
        <cfvo type="max"/>
        <color rgb="FFF8696B"/>
        <color rgb="FFFFEB84"/>
        <color rgb="FF63BE7B"/>
      </colorScale>
    </cfRule>
  </conditionalFormatting>
  <conditionalFormatting sqref="F29:F32">
    <cfRule type="colorScale" priority="2075">
      <colorScale>
        <cfvo type="min"/>
        <cfvo type="percentile" val="50"/>
        <cfvo type="max"/>
        <color rgb="FFF8696B"/>
        <color rgb="FFFFEB84"/>
        <color rgb="FF63BE7B"/>
      </colorScale>
    </cfRule>
  </conditionalFormatting>
  <conditionalFormatting sqref="F29:F32">
    <cfRule type="colorScale" priority="2074">
      <colorScale>
        <cfvo type="min"/>
        <cfvo type="percentile" val="50"/>
        <cfvo type="max"/>
        <color rgb="FFF8696B"/>
        <color rgb="FFFFEB84"/>
        <color rgb="FF63BE7B"/>
      </colorScale>
    </cfRule>
  </conditionalFormatting>
  <conditionalFormatting sqref="F29:F32">
    <cfRule type="colorScale" priority="2073">
      <colorScale>
        <cfvo type="min"/>
        <cfvo type="percentile" val="50"/>
        <cfvo type="max"/>
        <color rgb="FFF8696B"/>
        <color rgb="FFFFEB84"/>
        <color rgb="FF63BE7B"/>
      </colorScale>
    </cfRule>
  </conditionalFormatting>
  <conditionalFormatting sqref="F29:F32">
    <cfRule type="colorScale" priority="2072">
      <colorScale>
        <cfvo type="min"/>
        <cfvo type="percentile" val="50"/>
        <cfvo type="max"/>
        <color rgb="FFF8696B"/>
        <color rgb="FFFFEB84"/>
        <color rgb="FF63BE7B"/>
      </colorScale>
    </cfRule>
  </conditionalFormatting>
  <conditionalFormatting sqref="F29:F32">
    <cfRule type="colorScale" priority="2071">
      <colorScale>
        <cfvo type="min"/>
        <cfvo type="percentile" val="50"/>
        <cfvo type="max"/>
        <color rgb="FFF8696B"/>
        <color rgb="FFFFEB84"/>
        <color rgb="FF63BE7B"/>
      </colorScale>
    </cfRule>
  </conditionalFormatting>
  <conditionalFormatting sqref="F29:F32">
    <cfRule type="colorScale" priority="2070">
      <colorScale>
        <cfvo type="min"/>
        <cfvo type="percentile" val="50"/>
        <cfvo type="max"/>
        <color rgb="FFF8696B"/>
        <color rgb="FFFFEB84"/>
        <color rgb="FF63BE7B"/>
      </colorScale>
    </cfRule>
  </conditionalFormatting>
  <conditionalFormatting sqref="F29:F32">
    <cfRule type="colorScale" priority="2069">
      <colorScale>
        <cfvo type="min"/>
        <cfvo type="percentile" val="50"/>
        <cfvo type="max"/>
        <color rgb="FFF8696B"/>
        <color rgb="FFFFEB84"/>
        <color rgb="FF63BE7B"/>
      </colorScale>
    </cfRule>
  </conditionalFormatting>
  <conditionalFormatting sqref="F29:F32">
    <cfRule type="colorScale" priority="2068">
      <colorScale>
        <cfvo type="min"/>
        <cfvo type="percentile" val="50"/>
        <cfvo type="max"/>
        <color rgb="FFF8696B"/>
        <color rgb="FFFFEB84"/>
        <color rgb="FF63BE7B"/>
      </colorScale>
    </cfRule>
  </conditionalFormatting>
  <conditionalFormatting sqref="F29:F32">
    <cfRule type="colorScale" priority="2067">
      <colorScale>
        <cfvo type="min"/>
        <cfvo type="percentile" val="50"/>
        <cfvo type="max"/>
        <color rgb="FFF8696B"/>
        <color rgb="FFFFEB84"/>
        <color rgb="FF63BE7B"/>
      </colorScale>
    </cfRule>
  </conditionalFormatting>
  <conditionalFormatting sqref="F29:F32">
    <cfRule type="colorScale" priority="2066">
      <colorScale>
        <cfvo type="min"/>
        <cfvo type="percentile" val="50"/>
        <cfvo type="max"/>
        <color rgb="FFF8696B"/>
        <color rgb="FFFFEB84"/>
        <color rgb="FF63BE7B"/>
      </colorScale>
    </cfRule>
  </conditionalFormatting>
  <conditionalFormatting sqref="F29:F32">
    <cfRule type="colorScale" priority="2065">
      <colorScale>
        <cfvo type="min"/>
        <cfvo type="percentile" val="50"/>
        <cfvo type="max"/>
        <color rgb="FFF8696B"/>
        <color rgb="FFFFEB84"/>
        <color rgb="FF63BE7B"/>
      </colorScale>
    </cfRule>
  </conditionalFormatting>
  <conditionalFormatting sqref="F29:F32">
    <cfRule type="colorScale" priority="2064">
      <colorScale>
        <cfvo type="min"/>
        <cfvo type="percentile" val="50"/>
        <cfvo type="max"/>
        <color rgb="FFF8696B"/>
        <color rgb="FFFFEB84"/>
        <color rgb="FF63BE7B"/>
      </colorScale>
    </cfRule>
  </conditionalFormatting>
  <conditionalFormatting sqref="F29:F32">
    <cfRule type="colorScale" priority="2063">
      <colorScale>
        <cfvo type="min"/>
        <cfvo type="percentile" val="50"/>
        <cfvo type="max"/>
        <color rgb="FFF8696B"/>
        <color rgb="FFFFEB84"/>
        <color rgb="FF63BE7B"/>
      </colorScale>
    </cfRule>
  </conditionalFormatting>
  <conditionalFormatting sqref="F29:F32">
    <cfRule type="colorScale" priority="2062">
      <colorScale>
        <cfvo type="min"/>
        <cfvo type="percentile" val="50"/>
        <cfvo type="max"/>
        <color rgb="FFF8696B"/>
        <color rgb="FFFFEB84"/>
        <color rgb="FF63BE7B"/>
      </colorScale>
    </cfRule>
  </conditionalFormatting>
  <conditionalFormatting sqref="F29:F32">
    <cfRule type="colorScale" priority="2061">
      <colorScale>
        <cfvo type="min"/>
        <cfvo type="percentile" val="50"/>
        <cfvo type="max"/>
        <color rgb="FFF8696B"/>
        <color rgb="FFFFEB84"/>
        <color rgb="FF63BE7B"/>
      </colorScale>
    </cfRule>
  </conditionalFormatting>
  <conditionalFormatting sqref="F29:F32">
    <cfRule type="colorScale" priority="2060">
      <colorScale>
        <cfvo type="min"/>
        <cfvo type="percentile" val="50"/>
        <cfvo type="max"/>
        <color rgb="FFF8696B"/>
        <color rgb="FFFFEB84"/>
        <color rgb="FF63BE7B"/>
      </colorScale>
    </cfRule>
  </conditionalFormatting>
  <conditionalFormatting sqref="F29:F32">
    <cfRule type="colorScale" priority="2059">
      <colorScale>
        <cfvo type="min"/>
        <cfvo type="percentile" val="50"/>
        <cfvo type="max"/>
        <color rgb="FFF8696B"/>
        <color rgb="FFFFEB84"/>
        <color rgb="FF63BE7B"/>
      </colorScale>
    </cfRule>
  </conditionalFormatting>
  <conditionalFormatting sqref="F29:F32">
    <cfRule type="colorScale" priority="2058">
      <colorScale>
        <cfvo type="min"/>
        <cfvo type="percentile" val="50"/>
        <cfvo type="max"/>
        <color rgb="FFF8696B"/>
        <color rgb="FFFFEB84"/>
        <color rgb="FF63BE7B"/>
      </colorScale>
    </cfRule>
  </conditionalFormatting>
  <conditionalFormatting sqref="F29:F32">
    <cfRule type="colorScale" priority="2057">
      <colorScale>
        <cfvo type="min"/>
        <cfvo type="percentile" val="50"/>
        <cfvo type="max"/>
        <color rgb="FFF8696B"/>
        <color rgb="FFFFEB84"/>
        <color rgb="FF63BE7B"/>
      </colorScale>
    </cfRule>
  </conditionalFormatting>
  <conditionalFormatting sqref="F29:F32">
    <cfRule type="colorScale" priority="2056">
      <colorScale>
        <cfvo type="min"/>
        <cfvo type="percentile" val="50"/>
        <cfvo type="max"/>
        <color rgb="FFF8696B"/>
        <color rgb="FFFFEB84"/>
        <color rgb="FF63BE7B"/>
      </colorScale>
    </cfRule>
  </conditionalFormatting>
  <conditionalFormatting sqref="F29:F32">
    <cfRule type="colorScale" priority="2055">
      <colorScale>
        <cfvo type="min"/>
        <cfvo type="percentile" val="50"/>
        <cfvo type="max"/>
        <color rgb="FFF8696B"/>
        <color rgb="FFFFEB84"/>
        <color rgb="FF63BE7B"/>
      </colorScale>
    </cfRule>
  </conditionalFormatting>
  <conditionalFormatting sqref="F29:F32">
    <cfRule type="colorScale" priority="2054">
      <colorScale>
        <cfvo type="min"/>
        <cfvo type="percentile" val="50"/>
        <cfvo type="max"/>
        <color rgb="FFF8696B"/>
        <color rgb="FFFFEB84"/>
        <color rgb="FF63BE7B"/>
      </colorScale>
    </cfRule>
  </conditionalFormatting>
  <conditionalFormatting sqref="F29:F32">
    <cfRule type="colorScale" priority="2053">
      <colorScale>
        <cfvo type="min"/>
        <cfvo type="percentile" val="50"/>
        <cfvo type="max"/>
        <color rgb="FFF8696B"/>
        <color rgb="FFFFEB84"/>
        <color rgb="FF63BE7B"/>
      </colorScale>
    </cfRule>
  </conditionalFormatting>
  <conditionalFormatting sqref="F29:F32">
    <cfRule type="colorScale" priority="2052">
      <colorScale>
        <cfvo type="min"/>
        <cfvo type="percentile" val="50"/>
        <cfvo type="max"/>
        <color rgb="FFF8696B"/>
        <color rgb="FFFFEB84"/>
        <color rgb="FF63BE7B"/>
      </colorScale>
    </cfRule>
  </conditionalFormatting>
  <conditionalFormatting sqref="F29:F32">
    <cfRule type="colorScale" priority="2051">
      <colorScale>
        <cfvo type="min"/>
        <cfvo type="percentile" val="50"/>
        <cfvo type="max"/>
        <color rgb="FFF8696B"/>
        <color rgb="FFFFEB84"/>
        <color rgb="FF63BE7B"/>
      </colorScale>
    </cfRule>
  </conditionalFormatting>
  <conditionalFormatting sqref="F29:F32">
    <cfRule type="colorScale" priority="2050">
      <colorScale>
        <cfvo type="min"/>
        <cfvo type="percentile" val="50"/>
        <cfvo type="max"/>
        <color rgb="FFF8696B"/>
        <color rgb="FFFFEB84"/>
        <color rgb="FF63BE7B"/>
      </colorScale>
    </cfRule>
  </conditionalFormatting>
  <conditionalFormatting sqref="F29:F32">
    <cfRule type="colorScale" priority="2049">
      <colorScale>
        <cfvo type="min"/>
        <cfvo type="percentile" val="50"/>
        <cfvo type="max"/>
        <color rgb="FFF8696B"/>
        <color rgb="FFFFEB84"/>
        <color rgb="FF63BE7B"/>
      </colorScale>
    </cfRule>
  </conditionalFormatting>
  <conditionalFormatting sqref="F29:F32">
    <cfRule type="colorScale" priority="2048">
      <colorScale>
        <cfvo type="min"/>
        <cfvo type="percentile" val="50"/>
        <cfvo type="max"/>
        <color rgb="FFF8696B"/>
        <color rgb="FFFFEB84"/>
        <color rgb="FF63BE7B"/>
      </colorScale>
    </cfRule>
  </conditionalFormatting>
  <conditionalFormatting sqref="F29:F32">
    <cfRule type="colorScale" priority="2047">
      <colorScale>
        <cfvo type="min"/>
        <cfvo type="percentile" val="50"/>
        <cfvo type="max"/>
        <color rgb="FFF8696B"/>
        <color rgb="FFFFEB84"/>
        <color rgb="FF63BE7B"/>
      </colorScale>
    </cfRule>
  </conditionalFormatting>
  <conditionalFormatting sqref="F29:F32">
    <cfRule type="colorScale" priority="2046">
      <colorScale>
        <cfvo type="min"/>
        <cfvo type="percentile" val="50"/>
        <cfvo type="max"/>
        <color rgb="FFF8696B"/>
        <color rgb="FFFFEB84"/>
        <color rgb="FF63BE7B"/>
      </colorScale>
    </cfRule>
  </conditionalFormatting>
  <conditionalFormatting sqref="F29:F32">
    <cfRule type="colorScale" priority="2045">
      <colorScale>
        <cfvo type="min"/>
        <cfvo type="percentile" val="50"/>
        <cfvo type="max"/>
        <color rgb="FFF8696B"/>
        <color rgb="FFFFEB84"/>
        <color rgb="FF63BE7B"/>
      </colorScale>
    </cfRule>
  </conditionalFormatting>
  <conditionalFormatting sqref="F29:F32">
    <cfRule type="colorScale" priority="2044">
      <colorScale>
        <cfvo type="min"/>
        <cfvo type="percentile" val="50"/>
        <cfvo type="max"/>
        <color rgb="FFF8696B"/>
        <color rgb="FFFFEB84"/>
        <color rgb="FF63BE7B"/>
      </colorScale>
    </cfRule>
  </conditionalFormatting>
  <conditionalFormatting sqref="F29:F32">
    <cfRule type="colorScale" priority="2043">
      <colorScale>
        <cfvo type="min"/>
        <cfvo type="percentile" val="50"/>
        <cfvo type="max"/>
        <color rgb="FFF8696B"/>
        <color rgb="FFFFEB84"/>
        <color rgb="FF63BE7B"/>
      </colorScale>
    </cfRule>
  </conditionalFormatting>
  <conditionalFormatting sqref="F29:F32">
    <cfRule type="colorScale" priority="2042">
      <colorScale>
        <cfvo type="min"/>
        <cfvo type="percentile" val="50"/>
        <cfvo type="max"/>
        <color rgb="FFF8696B"/>
        <color rgb="FFFFEB84"/>
        <color rgb="FF63BE7B"/>
      </colorScale>
    </cfRule>
  </conditionalFormatting>
  <conditionalFormatting sqref="F29:F32">
    <cfRule type="colorScale" priority="2041">
      <colorScale>
        <cfvo type="min"/>
        <cfvo type="percentile" val="50"/>
        <cfvo type="max"/>
        <color rgb="FFF8696B"/>
        <color rgb="FFFFEB84"/>
        <color rgb="FF63BE7B"/>
      </colorScale>
    </cfRule>
  </conditionalFormatting>
  <conditionalFormatting sqref="F29:F32">
    <cfRule type="colorScale" priority="2040">
      <colorScale>
        <cfvo type="min"/>
        <cfvo type="percentile" val="50"/>
        <cfvo type="max"/>
        <color rgb="FFF8696B"/>
        <color rgb="FFFFEB84"/>
        <color rgb="FF63BE7B"/>
      </colorScale>
    </cfRule>
  </conditionalFormatting>
  <conditionalFormatting sqref="F29:F32">
    <cfRule type="colorScale" priority="2039">
      <colorScale>
        <cfvo type="min"/>
        <cfvo type="percentile" val="50"/>
        <cfvo type="max"/>
        <color rgb="FFF8696B"/>
        <color rgb="FFFFEB84"/>
        <color rgb="FF63BE7B"/>
      </colorScale>
    </cfRule>
  </conditionalFormatting>
  <conditionalFormatting sqref="F29:F32">
    <cfRule type="colorScale" priority="2038">
      <colorScale>
        <cfvo type="min"/>
        <cfvo type="percentile" val="50"/>
        <cfvo type="max"/>
        <color rgb="FFF8696B"/>
        <color rgb="FFFFEB84"/>
        <color rgb="FF63BE7B"/>
      </colorScale>
    </cfRule>
  </conditionalFormatting>
  <conditionalFormatting sqref="F29:F32">
    <cfRule type="colorScale" priority="2037">
      <colorScale>
        <cfvo type="min"/>
        <cfvo type="percentile" val="50"/>
        <cfvo type="max"/>
        <color rgb="FFF8696B"/>
        <color rgb="FFFFEB84"/>
        <color rgb="FF63BE7B"/>
      </colorScale>
    </cfRule>
  </conditionalFormatting>
  <conditionalFormatting sqref="F29:F32">
    <cfRule type="colorScale" priority="2036">
      <colorScale>
        <cfvo type="min"/>
        <cfvo type="percentile" val="50"/>
        <cfvo type="max"/>
        <color rgb="FFF8696B"/>
        <color rgb="FFFFEB84"/>
        <color rgb="FF63BE7B"/>
      </colorScale>
    </cfRule>
  </conditionalFormatting>
  <conditionalFormatting sqref="F29:F32">
    <cfRule type="colorScale" priority="2035">
      <colorScale>
        <cfvo type="min"/>
        <cfvo type="percentile" val="50"/>
        <cfvo type="max"/>
        <color rgb="FFF8696B"/>
        <color rgb="FFFFEB84"/>
        <color rgb="FF63BE7B"/>
      </colorScale>
    </cfRule>
  </conditionalFormatting>
  <conditionalFormatting sqref="F29:F32">
    <cfRule type="colorScale" priority="2034">
      <colorScale>
        <cfvo type="min"/>
        <cfvo type="percentile" val="50"/>
        <cfvo type="max"/>
        <color rgb="FFF8696B"/>
        <color rgb="FFFFEB84"/>
        <color rgb="FF63BE7B"/>
      </colorScale>
    </cfRule>
  </conditionalFormatting>
  <conditionalFormatting sqref="F29:F32">
    <cfRule type="colorScale" priority="2033">
      <colorScale>
        <cfvo type="min"/>
        <cfvo type="percentile" val="50"/>
        <cfvo type="max"/>
        <color rgb="FFF8696B"/>
        <color rgb="FFFFEB84"/>
        <color rgb="FF63BE7B"/>
      </colorScale>
    </cfRule>
  </conditionalFormatting>
  <conditionalFormatting sqref="F29:F32">
    <cfRule type="colorScale" priority="2032">
      <colorScale>
        <cfvo type="min"/>
        <cfvo type="percentile" val="50"/>
        <cfvo type="max"/>
        <color rgb="FFF8696B"/>
        <color rgb="FFFFEB84"/>
        <color rgb="FF63BE7B"/>
      </colorScale>
    </cfRule>
  </conditionalFormatting>
  <conditionalFormatting sqref="F29:F32">
    <cfRule type="colorScale" priority="2031">
      <colorScale>
        <cfvo type="min"/>
        <cfvo type="percentile" val="50"/>
        <cfvo type="max"/>
        <color rgb="FFF8696B"/>
        <color rgb="FFFFEB84"/>
        <color rgb="FF63BE7B"/>
      </colorScale>
    </cfRule>
  </conditionalFormatting>
  <conditionalFormatting sqref="F29:F32">
    <cfRule type="colorScale" priority="2030">
      <colorScale>
        <cfvo type="min"/>
        <cfvo type="percentile" val="50"/>
        <cfvo type="max"/>
        <color rgb="FFF8696B"/>
        <color rgb="FFFFEB84"/>
        <color rgb="FF63BE7B"/>
      </colorScale>
    </cfRule>
  </conditionalFormatting>
  <conditionalFormatting sqref="F29:F32">
    <cfRule type="colorScale" priority="2029">
      <colorScale>
        <cfvo type="min"/>
        <cfvo type="percentile" val="50"/>
        <cfvo type="max"/>
        <color rgb="FFF8696B"/>
        <color rgb="FFFFEB84"/>
        <color rgb="FF63BE7B"/>
      </colorScale>
    </cfRule>
  </conditionalFormatting>
  <conditionalFormatting sqref="F29:F32">
    <cfRule type="colorScale" priority="2028">
      <colorScale>
        <cfvo type="min"/>
        <cfvo type="percentile" val="50"/>
        <cfvo type="max"/>
        <color rgb="FFF8696B"/>
        <color rgb="FFFFEB84"/>
        <color rgb="FF63BE7B"/>
      </colorScale>
    </cfRule>
  </conditionalFormatting>
  <conditionalFormatting sqref="F29:F32">
    <cfRule type="colorScale" priority="2027">
      <colorScale>
        <cfvo type="min"/>
        <cfvo type="percentile" val="50"/>
        <cfvo type="max"/>
        <color rgb="FFF8696B"/>
        <color rgb="FFFFEB84"/>
        <color rgb="FF63BE7B"/>
      </colorScale>
    </cfRule>
  </conditionalFormatting>
  <conditionalFormatting sqref="F29:F32">
    <cfRule type="colorScale" priority="2026">
      <colorScale>
        <cfvo type="min"/>
        <cfvo type="percentile" val="50"/>
        <cfvo type="max"/>
        <color rgb="FFF8696B"/>
        <color rgb="FFFFEB84"/>
        <color rgb="FF63BE7B"/>
      </colorScale>
    </cfRule>
  </conditionalFormatting>
  <conditionalFormatting sqref="F29:F32">
    <cfRule type="colorScale" priority="2025">
      <colorScale>
        <cfvo type="min"/>
        <cfvo type="percentile" val="50"/>
        <cfvo type="max"/>
        <color rgb="FFF8696B"/>
        <color rgb="FFFFEB84"/>
        <color rgb="FF63BE7B"/>
      </colorScale>
    </cfRule>
  </conditionalFormatting>
  <conditionalFormatting sqref="F29:F32">
    <cfRule type="colorScale" priority="2024">
      <colorScale>
        <cfvo type="min"/>
        <cfvo type="percentile" val="50"/>
        <cfvo type="max"/>
        <color rgb="FFF8696B"/>
        <color rgb="FFFFEB84"/>
        <color rgb="FF63BE7B"/>
      </colorScale>
    </cfRule>
  </conditionalFormatting>
  <conditionalFormatting sqref="F29:F32">
    <cfRule type="colorScale" priority="2023">
      <colorScale>
        <cfvo type="min"/>
        <cfvo type="percentile" val="50"/>
        <cfvo type="max"/>
        <color rgb="FFF8696B"/>
        <color rgb="FFFFEB84"/>
        <color rgb="FF63BE7B"/>
      </colorScale>
    </cfRule>
  </conditionalFormatting>
  <conditionalFormatting sqref="F29:F32">
    <cfRule type="colorScale" priority="2022">
      <colorScale>
        <cfvo type="min"/>
        <cfvo type="percentile" val="50"/>
        <cfvo type="max"/>
        <color rgb="FFF8696B"/>
        <color rgb="FFFFEB84"/>
        <color rgb="FF63BE7B"/>
      </colorScale>
    </cfRule>
  </conditionalFormatting>
  <conditionalFormatting sqref="F29:F32">
    <cfRule type="colorScale" priority="2021">
      <colorScale>
        <cfvo type="min"/>
        <cfvo type="percentile" val="50"/>
        <cfvo type="max"/>
        <color rgb="FFF8696B"/>
        <color rgb="FFFFEB84"/>
        <color rgb="FF63BE7B"/>
      </colorScale>
    </cfRule>
  </conditionalFormatting>
  <conditionalFormatting sqref="F29:F32">
    <cfRule type="colorScale" priority="2020">
      <colorScale>
        <cfvo type="min"/>
        <cfvo type="percentile" val="50"/>
        <cfvo type="max"/>
        <color rgb="FFF8696B"/>
        <color rgb="FFFFEB84"/>
        <color rgb="FF63BE7B"/>
      </colorScale>
    </cfRule>
  </conditionalFormatting>
  <conditionalFormatting sqref="F29:F32">
    <cfRule type="colorScale" priority="2019">
      <colorScale>
        <cfvo type="min"/>
        <cfvo type="percentile" val="50"/>
        <cfvo type="max"/>
        <color rgb="FFF8696B"/>
        <color rgb="FFFFEB84"/>
        <color rgb="FF63BE7B"/>
      </colorScale>
    </cfRule>
  </conditionalFormatting>
  <conditionalFormatting sqref="F29:F32">
    <cfRule type="colorScale" priority="2018">
      <colorScale>
        <cfvo type="min"/>
        <cfvo type="percentile" val="50"/>
        <cfvo type="max"/>
        <color rgb="FFF8696B"/>
        <color rgb="FFFFEB84"/>
        <color rgb="FF63BE7B"/>
      </colorScale>
    </cfRule>
  </conditionalFormatting>
  <conditionalFormatting sqref="F29:F32">
    <cfRule type="colorScale" priority="2017">
      <colorScale>
        <cfvo type="min"/>
        <cfvo type="percentile" val="50"/>
        <cfvo type="max"/>
        <color rgb="FFF8696B"/>
        <color rgb="FFFFEB84"/>
        <color rgb="FF63BE7B"/>
      </colorScale>
    </cfRule>
  </conditionalFormatting>
  <conditionalFormatting sqref="F29:F32">
    <cfRule type="colorScale" priority="2016">
      <colorScale>
        <cfvo type="min"/>
        <cfvo type="percentile" val="50"/>
        <cfvo type="max"/>
        <color rgb="FFF8696B"/>
        <color rgb="FFFFEB84"/>
        <color rgb="FF63BE7B"/>
      </colorScale>
    </cfRule>
  </conditionalFormatting>
  <conditionalFormatting sqref="F29:F32">
    <cfRule type="colorScale" priority="2015">
      <colorScale>
        <cfvo type="min"/>
        <cfvo type="percentile" val="50"/>
        <cfvo type="max"/>
        <color rgb="FFF8696B"/>
        <color rgb="FFFFEB84"/>
        <color rgb="FF63BE7B"/>
      </colorScale>
    </cfRule>
  </conditionalFormatting>
  <conditionalFormatting sqref="F29:F32">
    <cfRule type="colorScale" priority="2014">
      <colorScale>
        <cfvo type="min"/>
        <cfvo type="percentile" val="50"/>
        <cfvo type="max"/>
        <color rgb="FFF8696B"/>
        <color rgb="FFFFEB84"/>
        <color rgb="FF63BE7B"/>
      </colorScale>
    </cfRule>
  </conditionalFormatting>
  <conditionalFormatting sqref="F29:F32">
    <cfRule type="colorScale" priority="2013">
      <colorScale>
        <cfvo type="min"/>
        <cfvo type="percentile" val="50"/>
        <cfvo type="max"/>
        <color rgb="FFF8696B"/>
        <color rgb="FFFFEB84"/>
        <color rgb="FF63BE7B"/>
      </colorScale>
    </cfRule>
  </conditionalFormatting>
  <conditionalFormatting sqref="F29:F32">
    <cfRule type="colorScale" priority="2012">
      <colorScale>
        <cfvo type="min"/>
        <cfvo type="percentile" val="50"/>
        <cfvo type="max"/>
        <color rgb="FFF8696B"/>
        <color rgb="FFFFEB84"/>
        <color rgb="FF63BE7B"/>
      </colorScale>
    </cfRule>
  </conditionalFormatting>
  <conditionalFormatting sqref="F29:F32">
    <cfRule type="colorScale" priority="2011">
      <colorScale>
        <cfvo type="min"/>
        <cfvo type="percentile" val="50"/>
        <cfvo type="max"/>
        <color rgb="FFF8696B"/>
        <color rgb="FFFFEB84"/>
        <color rgb="FF63BE7B"/>
      </colorScale>
    </cfRule>
  </conditionalFormatting>
  <conditionalFormatting sqref="F29:F32">
    <cfRule type="colorScale" priority="2010">
      <colorScale>
        <cfvo type="min"/>
        <cfvo type="percentile" val="50"/>
        <cfvo type="max"/>
        <color rgb="FFF8696B"/>
        <color rgb="FFFFEB84"/>
        <color rgb="FF63BE7B"/>
      </colorScale>
    </cfRule>
  </conditionalFormatting>
  <conditionalFormatting sqref="F29:F32">
    <cfRule type="colorScale" priority="2009">
      <colorScale>
        <cfvo type="min"/>
        <cfvo type="percentile" val="50"/>
        <cfvo type="max"/>
        <color rgb="FFF8696B"/>
        <color rgb="FFFFEB84"/>
        <color rgb="FF63BE7B"/>
      </colorScale>
    </cfRule>
  </conditionalFormatting>
  <conditionalFormatting sqref="F29:F32">
    <cfRule type="colorScale" priority="2008">
      <colorScale>
        <cfvo type="min"/>
        <cfvo type="percentile" val="50"/>
        <cfvo type="max"/>
        <color rgb="FFF8696B"/>
        <color rgb="FFFFEB84"/>
        <color rgb="FF63BE7B"/>
      </colorScale>
    </cfRule>
  </conditionalFormatting>
  <conditionalFormatting sqref="F29:F32">
    <cfRule type="colorScale" priority="2007">
      <colorScale>
        <cfvo type="min"/>
        <cfvo type="percentile" val="50"/>
        <cfvo type="max"/>
        <color rgb="FFF8696B"/>
        <color rgb="FFFFEB84"/>
        <color rgb="FF63BE7B"/>
      </colorScale>
    </cfRule>
  </conditionalFormatting>
  <conditionalFormatting sqref="F29:F32">
    <cfRule type="colorScale" priority="2006">
      <colorScale>
        <cfvo type="min"/>
        <cfvo type="percentile" val="50"/>
        <cfvo type="max"/>
        <color rgb="FFF8696B"/>
        <color rgb="FFFFEB84"/>
        <color rgb="FF63BE7B"/>
      </colorScale>
    </cfRule>
  </conditionalFormatting>
  <conditionalFormatting sqref="F29:F32">
    <cfRule type="colorScale" priority="2005">
      <colorScale>
        <cfvo type="min"/>
        <cfvo type="percentile" val="50"/>
        <cfvo type="max"/>
        <color rgb="FFF8696B"/>
        <color rgb="FFFFEB84"/>
        <color rgb="FF63BE7B"/>
      </colorScale>
    </cfRule>
  </conditionalFormatting>
  <conditionalFormatting sqref="F29:F32">
    <cfRule type="colorScale" priority="2004">
      <colorScale>
        <cfvo type="min"/>
        <cfvo type="percentile" val="50"/>
        <cfvo type="max"/>
        <color rgb="FFF8696B"/>
        <color rgb="FFFFEB84"/>
        <color rgb="FF63BE7B"/>
      </colorScale>
    </cfRule>
  </conditionalFormatting>
  <conditionalFormatting sqref="F29:F32">
    <cfRule type="colorScale" priority="2003">
      <colorScale>
        <cfvo type="min"/>
        <cfvo type="percentile" val="50"/>
        <cfvo type="max"/>
        <color rgb="FFF8696B"/>
        <color rgb="FFFFEB84"/>
        <color rgb="FF63BE7B"/>
      </colorScale>
    </cfRule>
  </conditionalFormatting>
  <conditionalFormatting sqref="F29:F32">
    <cfRule type="colorScale" priority="2002">
      <colorScale>
        <cfvo type="min"/>
        <cfvo type="percentile" val="50"/>
        <cfvo type="max"/>
        <color rgb="FFF8696B"/>
        <color rgb="FFFFEB84"/>
        <color rgb="FF63BE7B"/>
      </colorScale>
    </cfRule>
  </conditionalFormatting>
  <conditionalFormatting sqref="F29:F32">
    <cfRule type="colorScale" priority="2001">
      <colorScale>
        <cfvo type="min"/>
        <cfvo type="percentile" val="50"/>
        <cfvo type="max"/>
        <color rgb="FFF8696B"/>
        <color rgb="FFFFEB84"/>
        <color rgb="FF63BE7B"/>
      </colorScale>
    </cfRule>
  </conditionalFormatting>
  <conditionalFormatting sqref="F29:F32">
    <cfRule type="colorScale" priority="2000">
      <colorScale>
        <cfvo type="min"/>
        <cfvo type="percentile" val="50"/>
        <cfvo type="max"/>
        <color rgb="FFF8696B"/>
        <color rgb="FFFFEB84"/>
        <color rgb="FF63BE7B"/>
      </colorScale>
    </cfRule>
  </conditionalFormatting>
  <conditionalFormatting sqref="F29:F32">
    <cfRule type="colorScale" priority="1999">
      <colorScale>
        <cfvo type="min"/>
        <cfvo type="percentile" val="50"/>
        <cfvo type="max"/>
        <color rgb="FFF8696B"/>
        <color rgb="FFFFEB84"/>
        <color rgb="FF63BE7B"/>
      </colorScale>
    </cfRule>
  </conditionalFormatting>
  <conditionalFormatting sqref="F29:F32">
    <cfRule type="colorScale" priority="1998">
      <colorScale>
        <cfvo type="min"/>
        <cfvo type="percentile" val="50"/>
        <cfvo type="max"/>
        <color rgb="FFF8696B"/>
        <color rgb="FFFFEB84"/>
        <color rgb="FF63BE7B"/>
      </colorScale>
    </cfRule>
  </conditionalFormatting>
  <conditionalFormatting sqref="F29:F32">
    <cfRule type="colorScale" priority="1997">
      <colorScale>
        <cfvo type="min"/>
        <cfvo type="percentile" val="50"/>
        <cfvo type="max"/>
        <color rgb="FFF8696B"/>
        <color rgb="FFFFEB84"/>
        <color rgb="FF63BE7B"/>
      </colorScale>
    </cfRule>
  </conditionalFormatting>
  <conditionalFormatting sqref="F29:F32">
    <cfRule type="colorScale" priority="1996">
      <colorScale>
        <cfvo type="min"/>
        <cfvo type="percentile" val="50"/>
        <cfvo type="max"/>
        <color rgb="FFF8696B"/>
        <color rgb="FFFFEB84"/>
        <color rgb="FF63BE7B"/>
      </colorScale>
    </cfRule>
  </conditionalFormatting>
  <conditionalFormatting sqref="F29:F32">
    <cfRule type="colorScale" priority="1995">
      <colorScale>
        <cfvo type="min"/>
        <cfvo type="percentile" val="50"/>
        <cfvo type="max"/>
        <color rgb="FFF8696B"/>
        <color rgb="FFFFEB84"/>
        <color rgb="FF63BE7B"/>
      </colorScale>
    </cfRule>
  </conditionalFormatting>
  <conditionalFormatting sqref="F29:F32">
    <cfRule type="colorScale" priority="1994">
      <colorScale>
        <cfvo type="min"/>
        <cfvo type="percentile" val="50"/>
        <cfvo type="max"/>
        <color rgb="FFF8696B"/>
        <color rgb="FFFFEB84"/>
        <color rgb="FF63BE7B"/>
      </colorScale>
    </cfRule>
  </conditionalFormatting>
  <conditionalFormatting sqref="F29:F32">
    <cfRule type="colorScale" priority="1993">
      <colorScale>
        <cfvo type="min"/>
        <cfvo type="percentile" val="50"/>
        <cfvo type="max"/>
        <color rgb="FFF8696B"/>
        <color rgb="FFFFEB84"/>
        <color rgb="FF63BE7B"/>
      </colorScale>
    </cfRule>
  </conditionalFormatting>
  <conditionalFormatting sqref="F29:F32">
    <cfRule type="colorScale" priority="1992">
      <colorScale>
        <cfvo type="min"/>
        <cfvo type="percentile" val="50"/>
        <cfvo type="max"/>
        <color rgb="FFF8696B"/>
        <color rgb="FFFFEB84"/>
        <color rgb="FF63BE7B"/>
      </colorScale>
    </cfRule>
  </conditionalFormatting>
  <conditionalFormatting sqref="F29:F32">
    <cfRule type="colorScale" priority="1991">
      <colorScale>
        <cfvo type="min"/>
        <cfvo type="percentile" val="50"/>
        <cfvo type="max"/>
        <color rgb="FFF8696B"/>
        <color rgb="FFFFEB84"/>
        <color rgb="FF63BE7B"/>
      </colorScale>
    </cfRule>
  </conditionalFormatting>
  <conditionalFormatting sqref="F29:F32">
    <cfRule type="colorScale" priority="1990">
      <colorScale>
        <cfvo type="min"/>
        <cfvo type="percentile" val="50"/>
        <cfvo type="max"/>
        <color rgb="FFF8696B"/>
        <color rgb="FFFFEB84"/>
        <color rgb="FF63BE7B"/>
      </colorScale>
    </cfRule>
  </conditionalFormatting>
  <conditionalFormatting sqref="F29:F32">
    <cfRule type="colorScale" priority="1989">
      <colorScale>
        <cfvo type="min"/>
        <cfvo type="percentile" val="50"/>
        <cfvo type="max"/>
        <color rgb="FFF8696B"/>
        <color rgb="FFFFEB84"/>
        <color rgb="FF63BE7B"/>
      </colorScale>
    </cfRule>
  </conditionalFormatting>
  <conditionalFormatting sqref="F29:F32">
    <cfRule type="colorScale" priority="1988">
      <colorScale>
        <cfvo type="min"/>
        <cfvo type="percentile" val="50"/>
        <cfvo type="max"/>
        <color rgb="FFF8696B"/>
        <color rgb="FFFFEB84"/>
        <color rgb="FF63BE7B"/>
      </colorScale>
    </cfRule>
  </conditionalFormatting>
  <conditionalFormatting sqref="F29:F32">
    <cfRule type="colorScale" priority="1987">
      <colorScale>
        <cfvo type="min"/>
        <cfvo type="percentile" val="50"/>
        <cfvo type="max"/>
        <color rgb="FFF8696B"/>
        <color rgb="FFFFEB84"/>
        <color rgb="FF63BE7B"/>
      </colorScale>
    </cfRule>
  </conditionalFormatting>
  <conditionalFormatting sqref="F29:F32">
    <cfRule type="colorScale" priority="1986">
      <colorScale>
        <cfvo type="min"/>
        <cfvo type="percentile" val="50"/>
        <cfvo type="max"/>
        <color rgb="FFF8696B"/>
        <color rgb="FFFFEB84"/>
        <color rgb="FF63BE7B"/>
      </colorScale>
    </cfRule>
  </conditionalFormatting>
  <conditionalFormatting sqref="F29:F32">
    <cfRule type="colorScale" priority="1985">
      <colorScale>
        <cfvo type="min"/>
        <cfvo type="percentile" val="50"/>
        <cfvo type="max"/>
        <color rgb="FFF8696B"/>
        <color rgb="FFFFEB84"/>
        <color rgb="FF63BE7B"/>
      </colorScale>
    </cfRule>
  </conditionalFormatting>
  <conditionalFormatting sqref="F29:F32">
    <cfRule type="colorScale" priority="1984">
      <colorScale>
        <cfvo type="min"/>
        <cfvo type="percentile" val="50"/>
        <cfvo type="max"/>
        <color rgb="FFF8696B"/>
        <color rgb="FFFFEB84"/>
        <color rgb="FF63BE7B"/>
      </colorScale>
    </cfRule>
  </conditionalFormatting>
  <conditionalFormatting sqref="F29:F32">
    <cfRule type="colorScale" priority="1983">
      <colorScale>
        <cfvo type="min"/>
        <cfvo type="percentile" val="50"/>
        <cfvo type="max"/>
        <color rgb="FFF8696B"/>
        <color rgb="FFFFEB84"/>
        <color rgb="FF63BE7B"/>
      </colorScale>
    </cfRule>
  </conditionalFormatting>
  <conditionalFormatting sqref="F29:F32">
    <cfRule type="colorScale" priority="1982">
      <colorScale>
        <cfvo type="min"/>
        <cfvo type="percentile" val="50"/>
        <cfvo type="max"/>
        <color rgb="FFF8696B"/>
        <color rgb="FFFFEB84"/>
        <color rgb="FF63BE7B"/>
      </colorScale>
    </cfRule>
  </conditionalFormatting>
  <conditionalFormatting sqref="F29:F32">
    <cfRule type="colorScale" priority="1981">
      <colorScale>
        <cfvo type="min"/>
        <cfvo type="percentile" val="50"/>
        <cfvo type="max"/>
        <color rgb="FFF8696B"/>
        <color rgb="FFFFEB84"/>
        <color rgb="FF63BE7B"/>
      </colorScale>
    </cfRule>
  </conditionalFormatting>
  <conditionalFormatting sqref="F29:F32">
    <cfRule type="colorScale" priority="1980">
      <colorScale>
        <cfvo type="min"/>
        <cfvo type="percentile" val="50"/>
        <cfvo type="max"/>
        <color rgb="FFF8696B"/>
        <color rgb="FFFFEB84"/>
        <color rgb="FF63BE7B"/>
      </colorScale>
    </cfRule>
  </conditionalFormatting>
  <conditionalFormatting sqref="F29:F32">
    <cfRule type="colorScale" priority="1979">
      <colorScale>
        <cfvo type="min"/>
        <cfvo type="percentile" val="50"/>
        <cfvo type="max"/>
        <color rgb="FFF8696B"/>
        <color rgb="FFFFEB84"/>
        <color rgb="FF63BE7B"/>
      </colorScale>
    </cfRule>
  </conditionalFormatting>
  <conditionalFormatting sqref="F29:F32">
    <cfRule type="colorScale" priority="1978">
      <colorScale>
        <cfvo type="min"/>
        <cfvo type="percentile" val="50"/>
        <cfvo type="max"/>
        <color rgb="FFF8696B"/>
        <color rgb="FFFFEB84"/>
        <color rgb="FF63BE7B"/>
      </colorScale>
    </cfRule>
  </conditionalFormatting>
  <conditionalFormatting sqref="F29:F32">
    <cfRule type="colorScale" priority="1977">
      <colorScale>
        <cfvo type="min"/>
        <cfvo type="percentile" val="50"/>
        <cfvo type="max"/>
        <color rgb="FFF8696B"/>
        <color rgb="FFFFEB84"/>
        <color rgb="FF63BE7B"/>
      </colorScale>
    </cfRule>
  </conditionalFormatting>
  <conditionalFormatting sqref="F29:F32">
    <cfRule type="colorScale" priority="1976">
      <colorScale>
        <cfvo type="min"/>
        <cfvo type="percentile" val="50"/>
        <cfvo type="max"/>
        <color rgb="FFF8696B"/>
        <color rgb="FFFFEB84"/>
        <color rgb="FF63BE7B"/>
      </colorScale>
    </cfRule>
  </conditionalFormatting>
  <conditionalFormatting sqref="F29:F32">
    <cfRule type="colorScale" priority="1975">
      <colorScale>
        <cfvo type="min"/>
        <cfvo type="percentile" val="50"/>
        <cfvo type="max"/>
        <color rgb="FFF8696B"/>
        <color rgb="FFFFEB84"/>
        <color rgb="FF63BE7B"/>
      </colorScale>
    </cfRule>
  </conditionalFormatting>
  <conditionalFormatting sqref="F29:F32">
    <cfRule type="colorScale" priority="1974">
      <colorScale>
        <cfvo type="min"/>
        <cfvo type="percentile" val="50"/>
        <cfvo type="max"/>
        <color rgb="FFF8696B"/>
        <color rgb="FFFFEB84"/>
        <color rgb="FF63BE7B"/>
      </colorScale>
    </cfRule>
  </conditionalFormatting>
  <conditionalFormatting sqref="F29:F32">
    <cfRule type="colorScale" priority="1973">
      <colorScale>
        <cfvo type="min"/>
        <cfvo type="percentile" val="50"/>
        <cfvo type="max"/>
        <color rgb="FFF8696B"/>
        <color rgb="FFFFEB84"/>
        <color rgb="FF63BE7B"/>
      </colorScale>
    </cfRule>
  </conditionalFormatting>
  <conditionalFormatting sqref="F29:F32">
    <cfRule type="colorScale" priority="1972">
      <colorScale>
        <cfvo type="min"/>
        <cfvo type="percentile" val="50"/>
        <cfvo type="max"/>
        <color rgb="FFF8696B"/>
        <color rgb="FFFFEB84"/>
        <color rgb="FF63BE7B"/>
      </colorScale>
    </cfRule>
  </conditionalFormatting>
  <conditionalFormatting sqref="F29:F32">
    <cfRule type="colorScale" priority="1971">
      <colorScale>
        <cfvo type="min"/>
        <cfvo type="percentile" val="50"/>
        <cfvo type="max"/>
        <color rgb="FFF8696B"/>
        <color rgb="FFFFEB84"/>
        <color rgb="FF63BE7B"/>
      </colorScale>
    </cfRule>
  </conditionalFormatting>
  <conditionalFormatting sqref="F29:F32">
    <cfRule type="colorScale" priority="1970">
      <colorScale>
        <cfvo type="min"/>
        <cfvo type="percentile" val="50"/>
        <cfvo type="max"/>
        <color rgb="FFF8696B"/>
        <color rgb="FFFFEB84"/>
        <color rgb="FF63BE7B"/>
      </colorScale>
    </cfRule>
  </conditionalFormatting>
  <conditionalFormatting sqref="F29:F32">
    <cfRule type="colorScale" priority="1969">
      <colorScale>
        <cfvo type="min"/>
        <cfvo type="percentile" val="50"/>
        <cfvo type="max"/>
        <color rgb="FFF8696B"/>
        <color rgb="FFFFEB84"/>
        <color rgb="FF63BE7B"/>
      </colorScale>
    </cfRule>
  </conditionalFormatting>
  <conditionalFormatting sqref="F29:F32">
    <cfRule type="colorScale" priority="1968">
      <colorScale>
        <cfvo type="min"/>
        <cfvo type="percentile" val="50"/>
        <cfvo type="max"/>
        <color rgb="FFF8696B"/>
        <color rgb="FFFFEB84"/>
        <color rgb="FF63BE7B"/>
      </colorScale>
    </cfRule>
  </conditionalFormatting>
  <conditionalFormatting sqref="F29:F32">
    <cfRule type="colorScale" priority="1967">
      <colorScale>
        <cfvo type="min"/>
        <cfvo type="percentile" val="50"/>
        <cfvo type="max"/>
        <color rgb="FFF8696B"/>
        <color rgb="FFFFEB84"/>
        <color rgb="FF63BE7B"/>
      </colorScale>
    </cfRule>
  </conditionalFormatting>
  <conditionalFormatting sqref="F29:F32">
    <cfRule type="colorScale" priority="1966">
      <colorScale>
        <cfvo type="min"/>
        <cfvo type="percentile" val="50"/>
        <cfvo type="max"/>
        <color rgb="FFF8696B"/>
        <color rgb="FFFFEB84"/>
        <color rgb="FF63BE7B"/>
      </colorScale>
    </cfRule>
  </conditionalFormatting>
  <conditionalFormatting sqref="F29:F32">
    <cfRule type="colorScale" priority="1965">
      <colorScale>
        <cfvo type="min"/>
        <cfvo type="percentile" val="50"/>
        <cfvo type="max"/>
        <color rgb="FFF8696B"/>
        <color rgb="FFFFEB84"/>
        <color rgb="FF63BE7B"/>
      </colorScale>
    </cfRule>
  </conditionalFormatting>
  <conditionalFormatting sqref="F29:F32">
    <cfRule type="colorScale" priority="1964">
      <colorScale>
        <cfvo type="min"/>
        <cfvo type="percentile" val="50"/>
        <cfvo type="max"/>
        <color rgb="FFF8696B"/>
        <color rgb="FFFFEB84"/>
        <color rgb="FF63BE7B"/>
      </colorScale>
    </cfRule>
  </conditionalFormatting>
  <conditionalFormatting sqref="F29:F32">
    <cfRule type="colorScale" priority="1963">
      <colorScale>
        <cfvo type="min"/>
        <cfvo type="percentile" val="50"/>
        <cfvo type="max"/>
        <color rgb="FFF8696B"/>
        <color rgb="FFFFEB84"/>
        <color rgb="FF63BE7B"/>
      </colorScale>
    </cfRule>
  </conditionalFormatting>
  <conditionalFormatting sqref="F29:F32">
    <cfRule type="colorScale" priority="1962">
      <colorScale>
        <cfvo type="min"/>
        <cfvo type="percentile" val="50"/>
        <cfvo type="max"/>
        <color rgb="FFF8696B"/>
        <color rgb="FFFFEB84"/>
        <color rgb="FF63BE7B"/>
      </colorScale>
    </cfRule>
  </conditionalFormatting>
  <conditionalFormatting sqref="F29:F32">
    <cfRule type="colorScale" priority="1961">
      <colorScale>
        <cfvo type="min"/>
        <cfvo type="percentile" val="50"/>
        <cfvo type="max"/>
        <color rgb="FFF8696B"/>
        <color rgb="FFFFEB84"/>
        <color rgb="FF63BE7B"/>
      </colorScale>
    </cfRule>
  </conditionalFormatting>
  <conditionalFormatting sqref="F29:F32">
    <cfRule type="colorScale" priority="1960">
      <colorScale>
        <cfvo type="min"/>
        <cfvo type="percentile" val="50"/>
        <cfvo type="max"/>
        <color rgb="FFF8696B"/>
        <color rgb="FFFFEB84"/>
        <color rgb="FF63BE7B"/>
      </colorScale>
    </cfRule>
  </conditionalFormatting>
  <conditionalFormatting sqref="F29:F32">
    <cfRule type="colorScale" priority="1959">
      <colorScale>
        <cfvo type="min"/>
        <cfvo type="percentile" val="50"/>
        <cfvo type="max"/>
        <color rgb="FFF8696B"/>
        <color rgb="FFFFEB84"/>
        <color rgb="FF63BE7B"/>
      </colorScale>
    </cfRule>
  </conditionalFormatting>
  <conditionalFormatting sqref="F29:F32">
    <cfRule type="colorScale" priority="1958">
      <colorScale>
        <cfvo type="min"/>
        <cfvo type="percentile" val="50"/>
        <cfvo type="max"/>
        <color rgb="FFF8696B"/>
        <color rgb="FFFFEB84"/>
        <color rgb="FF63BE7B"/>
      </colorScale>
    </cfRule>
  </conditionalFormatting>
  <conditionalFormatting sqref="F29:F32">
    <cfRule type="colorScale" priority="1957">
      <colorScale>
        <cfvo type="min"/>
        <cfvo type="percentile" val="50"/>
        <cfvo type="max"/>
        <color rgb="FFF8696B"/>
        <color rgb="FFFFEB84"/>
        <color rgb="FF63BE7B"/>
      </colorScale>
    </cfRule>
  </conditionalFormatting>
  <conditionalFormatting sqref="F29:F32">
    <cfRule type="colorScale" priority="1956">
      <colorScale>
        <cfvo type="min"/>
        <cfvo type="percentile" val="50"/>
        <cfvo type="max"/>
        <color rgb="FFF8696B"/>
        <color rgb="FFFFEB84"/>
        <color rgb="FF63BE7B"/>
      </colorScale>
    </cfRule>
  </conditionalFormatting>
  <conditionalFormatting sqref="F29:F32">
    <cfRule type="colorScale" priority="1955">
      <colorScale>
        <cfvo type="min"/>
        <cfvo type="percentile" val="50"/>
        <cfvo type="max"/>
        <color rgb="FFF8696B"/>
        <color rgb="FFFFEB84"/>
        <color rgb="FF63BE7B"/>
      </colorScale>
    </cfRule>
  </conditionalFormatting>
  <conditionalFormatting sqref="F29:F32">
    <cfRule type="colorScale" priority="1954">
      <colorScale>
        <cfvo type="min"/>
        <cfvo type="percentile" val="50"/>
        <cfvo type="max"/>
        <color rgb="FFF8696B"/>
        <color rgb="FFFFEB84"/>
        <color rgb="FF63BE7B"/>
      </colorScale>
    </cfRule>
  </conditionalFormatting>
  <conditionalFormatting sqref="F29:F32">
    <cfRule type="colorScale" priority="1953">
      <colorScale>
        <cfvo type="min"/>
        <cfvo type="percentile" val="50"/>
        <cfvo type="max"/>
        <color rgb="FFF8696B"/>
        <color rgb="FFFFEB84"/>
        <color rgb="FF63BE7B"/>
      </colorScale>
    </cfRule>
  </conditionalFormatting>
  <conditionalFormatting sqref="F29:F32">
    <cfRule type="colorScale" priority="1952">
      <colorScale>
        <cfvo type="min"/>
        <cfvo type="percentile" val="50"/>
        <cfvo type="max"/>
        <color rgb="FFF8696B"/>
        <color rgb="FFFFEB84"/>
        <color rgb="FF63BE7B"/>
      </colorScale>
    </cfRule>
  </conditionalFormatting>
  <conditionalFormatting sqref="F29:F32">
    <cfRule type="colorScale" priority="1951">
      <colorScale>
        <cfvo type="min"/>
        <cfvo type="percentile" val="50"/>
        <cfvo type="max"/>
        <color rgb="FFF8696B"/>
        <color rgb="FFFFEB84"/>
        <color rgb="FF63BE7B"/>
      </colorScale>
    </cfRule>
  </conditionalFormatting>
  <conditionalFormatting sqref="F29:F32">
    <cfRule type="colorScale" priority="1950">
      <colorScale>
        <cfvo type="min"/>
        <cfvo type="percentile" val="50"/>
        <cfvo type="max"/>
        <color rgb="FFF8696B"/>
        <color rgb="FFFFEB84"/>
        <color rgb="FF63BE7B"/>
      </colorScale>
    </cfRule>
  </conditionalFormatting>
  <conditionalFormatting sqref="F29:F32">
    <cfRule type="colorScale" priority="1949">
      <colorScale>
        <cfvo type="min"/>
        <cfvo type="percentile" val="50"/>
        <cfvo type="max"/>
        <color rgb="FFF8696B"/>
        <color rgb="FFFFEB84"/>
        <color rgb="FF63BE7B"/>
      </colorScale>
    </cfRule>
  </conditionalFormatting>
  <conditionalFormatting sqref="F29:F32">
    <cfRule type="colorScale" priority="1948">
      <colorScale>
        <cfvo type="min"/>
        <cfvo type="percentile" val="50"/>
        <cfvo type="max"/>
        <color rgb="FFF8696B"/>
        <color rgb="FFFFEB84"/>
        <color rgb="FF63BE7B"/>
      </colorScale>
    </cfRule>
  </conditionalFormatting>
  <conditionalFormatting sqref="F29:F32">
    <cfRule type="colorScale" priority="1947">
      <colorScale>
        <cfvo type="min"/>
        <cfvo type="percentile" val="50"/>
        <cfvo type="max"/>
        <color rgb="FFF8696B"/>
        <color rgb="FFFFEB84"/>
        <color rgb="FF63BE7B"/>
      </colorScale>
    </cfRule>
  </conditionalFormatting>
  <conditionalFormatting sqref="F29:F32">
    <cfRule type="colorScale" priority="1946">
      <colorScale>
        <cfvo type="min"/>
        <cfvo type="percentile" val="50"/>
        <cfvo type="max"/>
        <color rgb="FFF8696B"/>
        <color rgb="FFFFEB84"/>
        <color rgb="FF63BE7B"/>
      </colorScale>
    </cfRule>
  </conditionalFormatting>
  <conditionalFormatting sqref="F29:F32">
    <cfRule type="colorScale" priority="1945">
      <colorScale>
        <cfvo type="min"/>
        <cfvo type="percentile" val="50"/>
        <cfvo type="max"/>
        <color rgb="FFF8696B"/>
        <color rgb="FFFFEB84"/>
        <color rgb="FF63BE7B"/>
      </colorScale>
    </cfRule>
  </conditionalFormatting>
  <conditionalFormatting sqref="F29:F32">
    <cfRule type="colorScale" priority="1944">
      <colorScale>
        <cfvo type="min"/>
        <cfvo type="percentile" val="50"/>
        <cfvo type="max"/>
        <color rgb="FFF8696B"/>
        <color rgb="FFFFEB84"/>
        <color rgb="FF63BE7B"/>
      </colorScale>
    </cfRule>
  </conditionalFormatting>
  <conditionalFormatting sqref="F29:F32">
    <cfRule type="colorScale" priority="1943">
      <colorScale>
        <cfvo type="min"/>
        <cfvo type="percentile" val="50"/>
        <cfvo type="max"/>
        <color rgb="FFF8696B"/>
        <color rgb="FFFFEB84"/>
        <color rgb="FF63BE7B"/>
      </colorScale>
    </cfRule>
  </conditionalFormatting>
  <conditionalFormatting sqref="F29:F32">
    <cfRule type="colorScale" priority="1942">
      <colorScale>
        <cfvo type="min"/>
        <cfvo type="percentile" val="50"/>
        <cfvo type="max"/>
        <color rgb="FFF8696B"/>
        <color rgb="FFFFEB84"/>
        <color rgb="FF63BE7B"/>
      </colorScale>
    </cfRule>
  </conditionalFormatting>
  <conditionalFormatting sqref="F29:F32">
    <cfRule type="colorScale" priority="1941">
      <colorScale>
        <cfvo type="min"/>
        <cfvo type="percentile" val="50"/>
        <cfvo type="max"/>
        <color rgb="FFF8696B"/>
        <color rgb="FFFFEB84"/>
        <color rgb="FF63BE7B"/>
      </colorScale>
    </cfRule>
  </conditionalFormatting>
  <conditionalFormatting sqref="F29:F32">
    <cfRule type="colorScale" priority="1940">
      <colorScale>
        <cfvo type="min"/>
        <cfvo type="percentile" val="50"/>
        <cfvo type="max"/>
        <color rgb="FFF8696B"/>
        <color rgb="FFFFEB84"/>
        <color rgb="FF63BE7B"/>
      </colorScale>
    </cfRule>
  </conditionalFormatting>
  <conditionalFormatting sqref="F29:F32">
    <cfRule type="colorScale" priority="1939">
      <colorScale>
        <cfvo type="min"/>
        <cfvo type="percentile" val="50"/>
        <cfvo type="max"/>
        <color rgb="FFF8696B"/>
        <color rgb="FFFFEB84"/>
        <color rgb="FF63BE7B"/>
      </colorScale>
    </cfRule>
  </conditionalFormatting>
  <conditionalFormatting sqref="F29:F32">
    <cfRule type="colorScale" priority="1938">
      <colorScale>
        <cfvo type="min"/>
        <cfvo type="percentile" val="50"/>
        <cfvo type="max"/>
        <color rgb="FFF8696B"/>
        <color rgb="FFFFEB84"/>
        <color rgb="FF63BE7B"/>
      </colorScale>
    </cfRule>
  </conditionalFormatting>
  <conditionalFormatting sqref="F29:F32">
    <cfRule type="colorScale" priority="1937">
      <colorScale>
        <cfvo type="min"/>
        <cfvo type="percentile" val="50"/>
        <cfvo type="max"/>
        <color rgb="FFF8696B"/>
        <color rgb="FFFFEB84"/>
        <color rgb="FF63BE7B"/>
      </colorScale>
    </cfRule>
  </conditionalFormatting>
  <conditionalFormatting sqref="F29:F32">
    <cfRule type="colorScale" priority="1936">
      <colorScale>
        <cfvo type="min"/>
        <cfvo type="percentile" val="50"/>
        <cfvo type="max"/>
        <color rgb="FFF8696B"/>
        <color rgb="FFFFEB84"/>
        <color rgb="FF63BE7B"/>
      </colorScale>
    </cfRule>
  </conditionalFormatting>
  <conditionalFormatting sqref="F29:F32">
    <cfRule type="colorScale" priority="1935">
      <colorScale>
        <cfvo type="min"/>
        <cfvo type="percentile" val="50"/>
        <cfvo type="max"/>
        <color rgb="FFF8696B"/>
        <color rgb="FFFFEB84"/>
        <color rgb="FF63BE7B"/>
      </colorScale>
    </cfRule>
  </conditionalFormatting>
  <conditionalFormatting sqref="F29:F32">
    <cfRule type="colorScale" priority="1934">
      <colorScale>
        <cfvo type="min"/>
        <cfvo type="percentile" val="50"/>
        <cfvo type="max"/>
        <color rgb="FFF8696B"/>
        <color rgb="FFFFEB84"/>
        <color rgb="FF63BE7B"/>
      </colorScale>
    </cfRule>
  </conditionalFormatting>
  <conditionalFormatting sqref="F29:F32">
    <cfRule type="colorScale" priority="1933">
      <colorScale>
        <cfvo type="min"/>
        <cfvo type="percentile" val="50"/>
        <cfvo type="max"/>
        <color rgb="FFF8696B"/>
        <color rgb="FFFFEB84"/>
        <color rgb="FF63BE7B"/>
      </colorScale>
    </cfRule>
  </conditionalFormatting>
  <conditionalFormatting sqref="F29:F32">
    <cfRule type="colorScale" priority="1932">
      <colorScale>
        <cfvo type="min"/>
        <cfvo type="percentile" val="50"/>
        <cfvo type="max"/>
        <color rgb="FFF8696B"/>
        <color rgb="FFFFEB84"/>
        <color rgb="FF63BE7B"/>
      </colorScale>
    </cfRule>
  </conditionalFormatting>
  <conditionalFormatting sqref="F29:F32">
    <cfRule type="colorScale" priority="1931">
      <colorScale>
        <cfvo type="min"/>
        <cfvo type="percentile" val="50"/>
        <cfvo type="max"/>
        <color rgb="FFF8696B"/>
        <color rgb="FFFFEB84"/>
        <color rgb="FF63BE7B"/>
      </colorScale>
    </cfRule>
  </conditionalFormatting>
  <conditionalFormatting sqref="F29:F32">
    <cfRule type="colorScale" priority="1930">
      <colorScale>
        <cfvo type="min"/>
        <cfvo type="percentile" val="50"/>
        <cfvo type="max"/>
        <color rgb="FFF8696B"/>
        <color rgb="FFFFEB84"/>
        <color rgb="FF63BE7B"/>
      </colorScale>
    </cfRule>
  </conditionalFormatting>
  <conditionalFormatting sqref="F29:F32">
    <cfRule type="colorScale" priority="1929">
      <colorScale>
        <cfvo type="min"/>
        <cfvo type="percentile" val="50"/>
        <cfvo type="max"/>
        <color rgb="FFF8696B"/>
        <color rgb="FFFFEB84"/>
        <color rgb="FF63BE7B"/>
      </colorScale>
    </cfRule>
  </conditionalFormatting>
  <conditionalFormatting sqref="F29:F32">
    <cfRule type="colorScale" priority="1928">
      <colorScale>
        <cfvo type="min"/>
        <cfvo type="percentile" val="50"/>
        <cfvo type="max"/>
        <color rgb="FFF8696B"/>
        <color rgb="FFFFEB84"/>
        <color rgb="FF63BE7B"/>
      </colorScale>
    </cfRule>
  </conditionalFormatting>
  <conditionalFormatting sqref="F29:F32">
    <cfRule type="colorScale" priority="1927">
      <colorScale>
        <cfvo type="min"/>
        <cfvo type="percentile" val="50"/>
        <cfvo type="max"/>
        <color rgb="FFF8696B"/>
        <color rgb="FFFFEB84"/>
        <color rgb="FF63BE7B"/>
      </colorScale>
    </cfRule>
  </conditionalFormatting>
  <conditionalFormatting sqref="F11:F31">
    <cfRule type="colorScale" priority="1926">
      <colorScale>
        <cfvo type="min"/>
        <cfvo type="percentile" val="50"/>
        <cfvo type="max"/>
        <color rgb="FFF8696B"/>
        <color rgb="FFFFEB84"/>
        <color rgb="FF63BE7B"/>
      </colorScale>
    </cfRule>
  </conditionalFormatting>
  <conditionalFormatting sqref="F11:F31">
    <cfRule type="colorScale" priority="1925">
      <colorScale>
        <cfvo type="min"/>
        <cfvo type="percentile" val="50"/>
        <cfvo type="max"/>
        <color rgb="FFF8696B"/>
        <color rgb="FFFFEB84"/>
        <color rgb="FF63BE7B"/>
      </colorScale>
    </cfRule>
  </conditionalFormatting>
  <conditionalFormatting sqref="F11:F31">
    <cfRule type="colorScale" priority="1924">
      <colorScale>
        <cfvo type="min"/>
        <cfvo type="percentile" val="50"/>
        <cfvo type="max"/>
        <color rgb="FFF8696B"/>
        <color rgb="FFFFEB84"/>
        <color rgb="FF63BE7B"/>
      </colorScale>
    </cfRule>
  </conditionalFormatting>
  <conditionalFormatting sqref="F11:F31">
    <cfRule type="colorScale" priority="1923">
      <colorScale>
        <cfvo type="min"/>
        <cfvo type="percentile" val="50"/>
        <cfvo type="max"/>
        <color rgb="FFF8696B"/>
        <color rgb="FFFFEB84"/>
        <color rgb="FF63BE7B"/>
      </colorScale>
    </cfRule>
  </conditionalFormatting>
  <conditionalFormatting sqref="F11:F31">
    <cfRule type="colorScale" priority="1922">
      <colorScale>
        <cfvo type="min"/>
        <cfvo type="percentile" val="50"/>
        <cfvo type="max"/>
        <color rgb="FFF8696B"/>
        <color rgb="FFFFEB84"/>
        <color rgb="FF63BE7B"/>
      </colorScale>
    </cfRule>
  </conditionalFormatting>
  <conditionalFormatting sqref="F11:F31">
    <cfRule type="colorScale" priority="1921">
      <colorScale>
        <cfvo type="min"/>
        <cfvo type="percentile" val="50"/>
        <cfvo type="max"/>
        <color rgb="FFF8696B"/>
        <color rgb="FFFFEB84"/>
        <color rgb="FF63BE7B"/>
      </colorScale>
    </cfRule>
  </conditionalFormatting>
  <conditionalFormatting sqref="F11:F31">
    <cfRule type="colorScale" priority="1920">
      <colorScale>
        <cfvo type="min"/>
        <cfvo type="percentile" val="50"/>
        <cfvo type="max"/>
        <color rgb="FFF8696B"/>
        <color rgb="FFFFEB84"/>
        <color rgb="FF63BE7B"/>
      </colorScale>
    </cfRule>
  </conditionalFormatting>
  <conditionalFormatting sqref="F11:F31">
    <cfRule type="colorScale" priority="1919">
      <colorScale>
        <cfvo type="min"/>
        <cfvo type="percentile" val="50"/>
        <cfvo type="max"/>
        <color rgb="FFF8696B"/>
        <color rgb="FFFFEB84"/>
        <color rgb="FF63BE7B"/>
      </colorScale>
    </cfRule>
  </conditionalFormatting>
  <conditionalFormatting sqref="F11:F31">
    <cfRule type="colorScale" priority="1918">
      <colorScale>
        <cfvo type="min"/>
        <cfvo type="percentile" val="50"/>
        <cfvo type="max"/>
        <color rgb="FFF8696B"/>
        <color rgb="FFFFEB84"/>
        <color rgb="FF63BE7B"/>
      </colorScale>
    </cfRule>
  </conditionalFormatting>
  <conditionalFormatting sqref="F11:F31">
    <cfRule type="colorScale" priority="1917">
      <colorScale>
        <cfvo type="min"/>
        <cfvo type="percentile" val="50"/>
        <cfvo type="max"/>
        <color rgb="FFF8696B"/>
        <color rgb="FFFFEB84"/>
        <color rgb="FF63BE7B"/>
      </colorScale>
    </cfRule>
  </conditionalFormatting>
  <conditionalFormatting sqref="F11:F31">
    <cfRule type="colorScale" priority="1916">
      <colorScale>
        <cfvo type="min"/>
        <cfvo type="percentile" val="50"/>
        <cfvo type="max"/>
        <color rgb="FFF8696B"/>
        <color rgb="FFFFEB84"/>
        <color rgb="FF63BE7B"/>
      </colorScale>
    </cfRule>
  </conditionalFormatting>
  <conditionalFormatting sqref="F11:F31">
    <cfRule type="colorScale" priority="1915">
      <colorScale>
        <cfvo type="min"/>
        <cfvo type="percentile" val="50"/>
        <cfvo type="max"/>
        <color rgb="FFF8696B"/>
        <color rgb="FFFFEB84"/>
        <color rgb="FF63BE7B"/>
      </colorScale>
    </cfRule>
  </conditionalFormatting>
  <conditionalFormatting sqref="F11:F31">
    <cfRule type="colorScale" priority="1914">
      <colorScale>
        <cfvo type="min"/>
        <cfvo type="percentile" val="50"/>
        <cfvo type="max"/>
        <color rgb="FFF8696B"/>
        <color rgb="FFFFEB84"/>
        <color rgb="FF63BE7B"/>
      </colorScale>
    </cfRule>
  </conditionalFormatting>
  <conditionalFormatting sqref="F11:F31">
    <cfRule type="colorScale" priority="1913">
      <colorScale>
        <cfvo type="min"/>
        <cfvo type="percentile" val="50"/>
        <cfvo type="max"/>
        <color rgb="FFF8696B"/>
        <color rgb="FFFFEB84"/>
        <color rgb="FF63BE7B"/>
      </colorScale>
    </cfRule>
  </conditionalFormatting>
  <conditionalFormatting sqref="F11:F31">
    <cfRule type="colorScale" priority="1912">
      <colorScale>
        <cfvo type="min"/>
        <cfvo type="percentile" val="50"/>
        <cfvo type="max"/>
        <color rgb="FFF8696B"/>
        <color rgb="FFFFEB84"/>
        <color rgb="FF63BE7B"/>
      </colorScale>
    </cfRule>
  </conditionalFormatting>
  <conditionalFormatting sqref="F11:F31">
    <cfRule type="colorScale" priority="1911">
      <colorScale>
        <cfvo type="min"/>
        <cfvo type="percentile" val="50"/>
        <cfvo type="max"/>
        <color rgb="FFF8696B"/>
        <color rgb="FFFFEB84"/>
        <color rgb="FF63BE7B"/>
      </colorScale>
    </cfRule>
  </conditionalFormatting>
  <conditionalFormatting sqref="F11:F31">
    <cfRule type="colorScale" priority="1910">
      <colorScale>
        <cfvo type="min"/>
        <cfvo type="percentile" val="50"/>
        <cfvo type="max"/>
        <color rgb="FFF8696B"/>
        <color rgb="FFFFEB84"/>
        <color rgb="FF63BE7B"/>
      </colorScale>
    </cfRule>
  </conditionalFormatting>
  <conditionalFormatting sqref="F11:F31">
    <cfRule type="colorScale" priority="1909">
      <colorScale>
        <cfvo type="min"/>
        <cfvo type="percentile" val="50"/>
        <cfvo type="max"/>
        <color rgb="FFF8696B"/>
        <color rgb="FFFFEB84"/>
        <color rgb="FF63BE7B"/>
      </colorScale>
    </cfRule>
  </conditionalFormatting>
  <conditionalFormatting sqref="F11:F31">
    <cfRule type="colorScale" priority="1908">
      <colorScale>
        <cfvo type="min"/>
        <cfvo type="percentile" val="50"/>
        <cfvo type="max"/>
        <color rgb="FFF8696B"/>
        <color rgb="FFFFEB84"/>
        <color rgb="FF63BE7B"/>
      </colorScale>
    </cfRule>
  </conditionalFormatting>
  <conditionalFormatting sqref="F11:F31">
    <cfRule type="colorScale" priority="1907">
      <colorScale>
        <cfvo type="min"/>
        <cfvo type="percentile" val="50"/>
        <cfvo type="max"/>
        <color rgb="FFF8696B"/>
        <color rgb="FFFFEB84"/>
        <color rgb="FF63BE7B"/>
      </colorScale>
    </cfRule>
  </conditionalFormatting>
  <conditionalFormatting sqref="F11:F31">
    <cfRule type="colorScale" priority="1906">
      <colorScale>
        <cfvo type="min"/>
        <cfvo type="percentile" val="50"/>
        <cfvo type="max"/>
        <color rgb="FFF8696B"/>
        <color rgb="FFFFEB84"/>
        <color rgb="FF63BE7B"/>
      </colorScale>
    </cfRule>
  </conditionalFormatting>
  <conditionalFormatting sqref="F11:F31">
    <cfRule type="colorScale" priority="1905">
      <colorScale>
        <cfvo type="min"/>
        <cfvo type="percentile" val="50"/>
        <cfvo type="max"/>
        <color rgb="FFF8696B"/>
        <color rgb="FFFFEB84"/>
        <color rgb="FF63BE7B"/>
      </colorScale>
    </cfRule>
  </conditionalFormatting>
  <conditionalFormatting sqref="F11:F31">
    <cfRule type="colorScale" priority="1904">
      <colorScale>
        <cfvo type="min"/>
        <cfvo type="percentile" val="50"/>
        <cfvo type="max"/>
        <color rgb="FFF8696B"/>
        <color rgb="FFFFEB84"/>
        <color rgb="FF63BE7B"/>
      </colorScale>
    </cfRule>
  </conditionalFormatting>
  <conditionalFormatting sqref="F11:F31">
    <cfRule type="colorScale" priority="1903">
      <colorScale>
        <cfvo type="min"/>
        <cfvo type="percentile" val="50"/>
        <cfvo type="max"/>
        <color rgb="FFF8696B"/>
        <color rgb="FFFFEB84"/>
        <color rgb="FF63BE7B"/>
      </colorScale>
    </cfRule>
  </conditionalFormatting>
  <conditionalFormatting sqref="F11:F31">
    <cfRule type="colorScale" priority="1902">
      <colorScale>
        <cfvo type="min"/>
        <cfvo type="percentile" val="50"/>
        <cfvo type="max"/>
        <color rgb="FFF8696B"/>
        <color rgb="FFFFEB84"/>
        <color rgb="FF63BE7B"/>
      </colorScale>
    </cfRule>
  </conditionalFormatting>
  <conditionalFormatting sqref="F11:F31">
    <cfRule type="colorScale" priority="1901">
      <colorScale>
        <cfvo type="min"/>
        <cfvo type="percentile" val="50"/>
        <cfvo type="max"/>
        <color rgb="FFF8696B"/>
        <color rgb="FFFFEB84"/>
        <color rgb="FF63BE7B"/>
      </colorScale>
    </cfRule>
  </conditionalFormatting>
  <conditionalFormatting sqref="F11:F31">
    <cfRule type="colorScale" priority="1900">
      <colorScale>
        <cfvo type="min"/>
        <cfvo type="percentile" val="50"/>
        <cfvo type="max"/>
        <color rgb="FFF8696B"/>
        <color rgb="FFFFEB84"/>
        <color rgb="FF63BE7B"/>
      </colorScale>
    </cfRule>
  </conditionalFormatting>
  <conditionalFormatting sqref="F11:F31">
    <cfRule type="colorScale" priority="1899">
      <colorScale>
        <cfvo type="min"/>
        <cfvo type="percentile" val="50"/>
        <cfvo type="max"/>
        <color rgb="FFF8696B"/>
        <color rgb="FFFFEB84"/>
        <color rgb="FF63BE7B"/>
      </colorScale>
    </cfRule>
  </conditionalFormatting>
  <conditionalFormatting sqref="F11:F31">
    <cfRule type="colorScale" priority="1898">
      <colorScale>
        <cfvo type="min"/>
        <cfvo type="percentile" val="50"/>
        <cfvo type="max"/>
        <color rgb="FFF8696B"/>
        <color rgb="FFFFEB84"/>
        <color rgb="FF63BE7B"/>
      </colorScale>
    </cfRule>
  </conditionalFormatting>
  <conditionalFormatting sqref="F11:F31">
    <cfRule type="colorScale" priority="1897">
      <colorScale>
        <cfvo type="min"/>
        <cfvo type="percentile" val="50"/>
        <cfvo type="max"/>
        <color rgb="FFF8696B"/>
        <color rgb="FFFFEB84"/>
        <color rgb="FF63BE7B"/>
      </colorScale>
    </cfRule>
  </conditionalFormatting>
  <conditionalFormatting sqref="F11:F31">
    <cfRule type="colorScale" priority="1896">
      <colorScale>
        <cfvo type="min"/>
        <cfvo type="percentile" val="50"/>
        <cfvo type="max"/>
        <color rgb="FFF8696B"/>
        <color rgb="FFFFEB84"/>
        <color rgb="FF63BE7B"/>
      </colorScale>
    </cfRule>
  </conditionalFormatting>
  <conditionalFormatting sqref="F11:F31">
    <cfRule type="colorScale" priority="1895">
      <colorScale>
        <cfvo type="min"/>
        <cfvo type="percentile" val="50"/>
        <cfvo type="max"/>
        <color rgb="FFF8696B"/>
        <color rgb="FFFFEB84"/>
        <color rgb="FF63BE7B"/>
      </colorScale>
    </cfRule>
  </conditionalFormatting>
  <conditionalFormatting sqref="F11:F31">
    <cfRule type="colorScale" priority="1894">
      <colorScale>
        <cfvo type="min"/>
        <cfvo type="percentile" val="50"/>
        <cfvo type="max"/>
        <color rgb="FFF8696B"/>
        <color rgb="FFFFEB84"/>
        <color rgb="FF63BE7B"/>
      </colorScale>
    </cfRule>
  </conditionalFormatting>
  <conditionalFormatting sqref="F11:F31">
    <cfRule type="colorScale" priority="1893">
      <colorScale>
        <cfvo type="min"/>
        <cfvo type="percentile" val="50"/>
        <cfvo type="max"/>
        <color rgb="FFF8696B"/>
        <color rgb="FFFFEB84"/>
        <color rgb="FF63BE7B"/>
      </colorScale>
    </cfRule>
  </conditionalFormatting>
  <conditionalFormatting sqref="F11:F31">
    <cfRule type="colorScale" priority="1892">
      <colorScale>
        <cfvo type="min"/>
        <cfvo type="percentile" val="50"/>
        <cfvo type="max"/>
        <color rgb="FFF8696B"/>
        <color rgb="FFFFEB84"/>
        <color rgb="FF63BE7B"/>
      </colorScale>
    </cfRule>
  </conditionalFormatting>
  <conditionalFormatting sqref="F11:F31">
    <cfRule type="colorScale" priority="1891">
      <colorScale>
        <cfvo type="min"/>
        <cfvo type="percentile" val="50"/>
        <cfvo type="max"/>
        <color rgb="FFF8696B"/>
        <color rgb="FFFFEB84"/>
        <color rgb="FF63BE7B"/>
      </colorScale>
    </cfRule>
  </conditionalFormatting>
  <conditionalFormatting sqref="F11:F31">
    <cfRule type="colorScale" priority="1890">
      <colorScale>
        <cfvo type="min"/>
        <cfvo type="percentile" val="50"/>
        <cfvo type="max"/>
        <color rgb="FFF8696B"/>
        <color rgb="FFFFEB84"/>
        <color rgb="FF63BE7B"/>
      </colorScale>
    </cfRule>
  </conditionalFormatting>
  <conditionalFormatting sqref="F11:F31">
    <cfRule type="colorScale" priority="1889">
      <colorScale>
        <cfvo type="min"/>
        <cfvo type="percentile" val="50"/>
        <cfvo type="max"/>
        <color rgb="FFF8696B"/>
        <color rgb="FFFFEB84"/>
        <color rgb="FF63BE7B"/>
      </colorScale>
    </cfRule>
  </conditionalFormatting>
  <conditionalFormatting sqref="F11:F31">
    <cfRule type="colorScale" priority="1888">
      <colorScale>
        <cfvo type="min"/>
        <cfvo type="percentile" val="50"/>
        <cfvo type="max"/>
        <color rgb="FFF8696B"/>
        <color rgb="FFFFEB84"/>
        <color rgb="FF63BE7B"/>
      </colorScale>
    </cfRule>
  </conditionalFormatting>
  <conditionalFormatting sqref="F11:F31">
    <cfRule type="colorScale" priority="1887">
      <colorScale>
        <cfvo type="min"/>
        <cfvo type="percentile" val="50"/>
        <cfvo type="max"/>
        <color rgb="FFF8696B"/>
        <color rgb="FFFFEB84"/>
        <color rgb="FF63BE7B"/>
      </colorScale>
    </cfRule>
  </conditionalFormatting>
  <conditionalFormatting sqref="F11:F31">
    <cfRule type="colorScale" priority="1886">
      <colorScale>
        <cfvo type="min"/>
        <cfvo type="percentile" val="50"/>
        <cfvo type="max"/>
        <color rgb="FFF8696B"/>
        <color rgb="FFFFEB84"/>
        <color rgb="FF63BE7B"/>
      </colorScale>
    </cfRule>
  </conditionalFormatting>
  <conditionalFormatting sqref="F11:F31">
    <cfRule type="colorScale" priority="1885">
      <colorScale>
        <cfvo type="min"/>
        <cfvo type="percentile" val="50"/>
        <cfvo type="max"/>
        <color rgb="FFF8696B"/>
        <color rgb="FFFFEB84"/>
        <color rgb="FF63BE7B"/>
      </colorScale>
    </cfRule>
  </conditionalFormatting>
  <conditionalFormatting sqref="F11:F31">
    <cfRule type="colorScale" priority="1884">
      <colorScale>
        <cfvo type="min"/>
        <cfvo type="percentile" val="50"/>
        <cfvo type="max"/>
        <color rgb="FFF8696B"/>
        <color rgb="FFFFEB84"/>
        <color rgb="FF63BE7B"/>
      </colorScale>
    </cfRule>
  </conditionalFormatting>
  <conditionalFormatting sqref="F11:F31">
    <cfRule type="colorScale" priority="1883">
      <colorScale>
        <cfvo type="min"/>
        <cfvo type="percentile" val="50"/>
        <cfvo type="max"/>
        <color rgb="FFF8696B"/>
        <color rgb="FFFFEB84"/>
        <color rgb="FF63BE7B"/>
      </colorScale>
    </cfRule>
  </conditionalFormatting>
  <conditionalFormatting sqref="F11:F31">
    <cfRule type="colorScale" priority="1882">
      <colorScale>
        <cfvo type="min"/>
        <cfvo type="percentile" val="50"/>
        <cfvo type="max"/>
        <color rgb="FFF8696B"/>
        <color rgb="FFFFEB84"/>
        <color rgb="FF63BE7B"/>
      </colorScale>
    </cfRule>
  </conditionalFormatting>
  <conditionalFormatting sqref="F11:F31">
    <cfRule type="colorScale" priority="1881">
      <colorScale>
        <cfvo type="min"/>
        <cfvo type="percentile" val="50"/>
        <cfvo type="max"/>
        <color rgb="FFF8696B"/>
        <color rgb="FFFFEB84"/>
        <color rgb="FF63BE7B"/>
      </colorScale>
    </cfRule>
  </conditionalFormatting>
  <conditionalFormatting sqref="F11:F31">
    <cfRule type="colorScale" priority="1880">
      <colorScale>
        <cfvo type="min"/>
        <cfvo type="percentile" val="50"/>
        <cfvo type="max"/>
        <color rgb="FFF8696B"/>
        <color rgb="FFFFEB84"/>
        <color rgb="FF63BE7B"/>
      </colorScale>
    </cfRule>
  </conditionalFormatting>
  <conditionalFormatting sqref="F11:F31">
    <cfRule type="colorScale" priority="1879">
      <colorScale>
        <cfvo type="min"/>
        <cfvo type="percentile" val="50"/>
        <cfvo type="max"/>
        <color rgb="FFF8696B"/>
        <color rgb="FFFFEB84"/>
        <color rgb="FF63BE7B"/>
      </colorScale>
    </cfRule>
  </conditionalFormatting>
  <conditionalFormatting sqref="F11:F31">
    <cfRule type="colorScale" priority="1878">
      <colorScale>
        <cfvo type="min"/>
        <cfvo type="percentile" val="50"/>
        <cfvo type="max"/>
        <color rgb="FFF8696B"/>
        <color rgb="FFFFEB84"/>
        <color rgb="FF63BE7B"/>
      </colorScale>
    </cfRule>
  </conditionalFormatting>
  <conditionalFormatting sqref="F11:F31">
    <cfRule type="colorScale" priority="1877">
      <colorScale>
        <cfvo type="min"/>
        <cfvo type="percentile" val="50"/>
        <cfvo type="max"/>
        <color rgb="FFF8696B"/>
        <color rgb="FFFFEB84"/>
        <color rgb="FF63BE7B"/>
      </colorScale>
    </cfRule>
  </conditionalFormatting>
  <conditionalFormatting sqref="F11:F31">
    <cfRule type="colorScale" priority="1876">
      <colorScale>
        <cfvo type="min"/>
        <cfvo type="percentile" val="50"/>
        <cfvo type="max"/>
        <color rgb="FFF8696B"/>
        <color rgb="FFFFEB84"/>
        <color rgb="FF63BE7B"/>
      </colorScale>
    </cfRule>
  </conditionalFormatting>
  <conditionalFormatting sqref="F11:F31">
    <cfRule type="colorScale" priority="1875">
      <colorScale>
        <cfvo type="min"/>
        <cfvo type="percentile" val="50"/>
        <cfvo type="max"/>
        <color rgb="FFF8696B"/>
        <color rgb="FFFFEB84"/>
        <color rgb="FF63BE7B"/>
      </colorScale>
    </cfRule>
  </conditionalFormatting>
  <conditionalFormatting sqref="F11:F31">
    <cfRule type="colorScale" priority="1874">
      <colorScale>
        <cfvo type="min"/>
        <cfvo type="percentile" val="50"/>
        <cfvo type="max"/>
        <color rgb="FFF8696B"/>
        <color rgb="FFFFEB84"/>
        <color rgb="FF63BE7B"/>
      </colorScale>
    </cfRule>
  </conditionalFormatting>
  <conditionalFormatting sqref="F11:F31">
    <cfRule type="colorScale" priority="1873">
      <colorScale>
        <cfvo type="min"/>
        <cfvo type="percentile" val="50"/>
        <cfvo type="max"/>
        <color rgb="FFF8696B"/>
        <color rgb="FFFFEB84"/>
        <color rgb="FF63BE7B"/>
      </colorScale>
    </cfRule>
  </conditionalFormatting>
  <conditionalFormatting sqref="F11:F31">
    <cfRule type="colorScale" priority="1872">
      <colorScale>
        <cfvo type="min"/>
        <cfvo type="percentile" val="50"/>
        <cfvo type="max"/>
        <color rgb="FFF8696B"/>
        <color rgb="FFFFEB84"/>
        <color rgb="FF63BE7B"/>
      </colorScale>
    </cfRule>
  </conditionalFormatting>
  <conditionalFormatting sqref="F11:F31">
    <cfRule type="colorScale" priority="1871">
      <colorScale>
        <cfvo type="min"/>
        <cfvo type="percentile" val="50"/>
        <cfvo type="max"/>
        <color rgb="FFF8696B"/>
        <color rgb="FFFFEB84"/>
        <color rgb="FF63BE7B"/>
      </colorScale>
    </cfRule>
  </conditionalFormatting>
  <conditionalFormatting sqref="F11:F31">
    <cfRule type="colorScale" priority="1870">
      <colorScale>
        <cfvo type="min"/>
        <cfvo type="percentile" val="50"/>
        <cfvo type="max"/>
        <color rgb="FFF8696B"/>
        <color rgb="FFFFEB84"/>
        <color rgb="FF63BE7B"/>
      </colorScale>
    </cfRule>
  </conditionalFormatting>
  <conditionalFormatting sqref="F11:F31">
    <cfRule type="colorScale" priority="1869">
      <colorScale>
        <cfvo type="min"/>
        <cfvo type="percentile" val="50"/>
        <cfvo type="max"/>
        <color rgb="FFF8696B"/>
        <color rgb="FFFFEB84"/>
        <color rgb="FF63BE7B"/>
      </colorScale>
    </cfRule>
  </conditionalFormatting>
  <conditionalFormatting sqref="F11:F31">
    <cfRule type="colorScale" priority="1868">
      <colorScale>
        <cfvo type="min"/>
        <cfvo type="percentile" val="50"/>
        <cfvo type="max"/>
        <color rgb="FFF8696B"/>
        <color rgb="FFFFEB84"/>
        <color rgb="FF63BE7B"/>
      </colorScale>
    </cfRule>
  </conditionalFormatting>
  <conditionalFormatting sqref="F11:F31">
    <cfRule type="colorScale" priority="1867">
      <colorScale>
        <cfvo type="min"/>
        <cfvo type="percentile" val="50"/>
        <cfvo type="max"/>
        <color rgb="FFF8696B"/>
        <color rgb="FFFFEB84"/>
        <color rgb="FF63BE7B"/>
      </colorScale>
    </cfRule>
  </conditionalFormatting>
  <conditionalFormatting sqref="F11:F31">
    <cfRule type="colorScale" priority="1866">
      <colorScale>
        <cfvo type="min"/>
        <cfvo type="percentile" val="50"/>
        <cfvo type="max"/>
        <color rgb="FFF8696B"/>
        <color rgb="FFFFEB84"/>
        <color rgb="FF63BE7B"/>
      </colorScale>
    </cfRule>
  </conditionalFormatting>
  <conditionalFormatting sqref="F11:F31">
    <cfRule type="colorScale" priority="1865">
      <colorScale>
        <cfvo type="min"/>
        <cfvo type="percentile" val="50"/>
        <cfvo type="max"/>
        <color rgb="FFF8696B"/>
        <color rgb="FFFFEB84"/>
        <color rgb="FF63BE7B"/>
      </colorScale>
    </cfRule>
  </conditionalFormatting>
  <conditionalFormatting sqref="F11:F31">
    <cfRule type="colorScale" priority="1864">
      <colorScale>
        <cfvo type="min"/>
        <cfvo type="percentile" val="50"/>
        <cfvo type="max"/>
        <color rgb="FFF8696B"/>
        <color rgb="FFFFEB84"/>
        <color rgb="FF63BE7B"/>
      </colorScale>
    </cfRule>
  </conditionalFormatting>
  <conditionalFormatting sqref="F11:F31">
    <cfRule type="colorScale" priority="1863">
      <colorScale>
        <cfvo type="min"/>
        <cfvo type="percentile" val="50"/>
        <cfvo type="max"/>
        <color rgb="FFF8696B"/>
        <color rgb="FFFFEB84"/>
        <color rgb="FF63BE7B"/>
      </colorScale>
    </cfRule>
  </conditionalFormatting>
  <conditionalFormatting sqref="F11:F31">
    <cfRule type="colorScale" priority="1862">
      <colorScale>
        <cfvo type="min"/>
        <cfvo type="percentile" val="50"/>
        <cfvo type="max"/>
        <color rgb="FFF8696B"/>
        <color rgb="FFFFEB84"/>
        <color rgb="FF63BE7B"/>
      </colorScale>
    </cfRule>
  </conditionalFormatting>
  <conditionalFormatting sqref="F11:F31">
    <cfRule type="colorScale" priority="1861">
      <colorScale>
        <cfvo type="min"/>
        <cfvo type="percentile" val="50"/>
        <cfvo type="max"/>
        <color rgb="FFF8696B"/>
        <color rgb="FFFFEB84"/>
        <color rgb="FF63BE7B"/>
      </colorScale>
    </cfRule>
  </conditionalFormatting>
  <conditionalFormatting sqref="F11:F31">
    <cfRule type="colorScale" priority="1860">
      <colorScale>
        <cfvo type="min"/>
        <cfvo type="percentile" val="50"/>
        <cfvo type="max"/>
        <color rgb="FFF8696B"/>
        <color rgb="FFFFEB84"/>
        <color rgb="FF63BE7B"/>
      </colorScale>
    </cfRule>
  </conditionalFormatting>
  <conditionalFormatting sqref="F11:F31">
    <cfRule type="colorScale" priority="1859">
      <colorScale>
        <cfvo type="min"/>
        <cfvo type="percentile" val="50"/>
        <cfvo type="max"/>
        <color rgb="FFF8696B"/>
        <color rgb="FFFFEB84"/>
        <color rgb="FF63BE7B"/>
      </colorScale>
    </cfRule>
  </conditionalFormatting>
  <conditionalFormatting sqref="F11:F31">
    <cfRule type="colorScale" priority="1858">
      <colorScale>
        <cfvo type="min"/>
        <cfvo type="percentile" val="50"/>
        <cfvo type="max"/>
        <color rgb="FFF8696B"/>
        <color rgb="FFFFEB84"/>
        <color rgb="FF63BE7B"/>
      </colorScale>
    </cfRule>
  </conditionalFormatting>
  <conditionalFormatting sqref="F11:F31">
    <cfRule type="colorScale" priority="1857">
      <colorScale>
        <cfvo type="min"/>
        <cfvo type="percentile" val="50"/>
        <cfvo type="max"/>
        <color rgb="FFF8696B"/>
        <color rgb="FFFFEB84"/>
        <color rgb="FF63BE7B"/>
      </colorScale>
    </cfRule>
  </conditionalFormatting>
  <conditionalFormatting sqref="F11:F31">
    <cfRule type="colorScale" priority="1856">
      <colorScale>
        <cfvo type="min"/>
        <cfvo type="percentile" val="50"/>
        <cfvo type="max"/>
        <color rgb="FFF8696B"/>
        <color rgb="FFFFEB84"/>
        <color rgb="FF63BE7B"/>
      </colorScale>
    </cfRule>
  </conditionalFormatting>
  <conditionalFormatting sqref="F11:F31">
    <cfRule type="colorScale" priority="1855">
      <colorScale>
        <cfvo type="min"/>
        <cfvo type="percentile" val="50"/>
        <cfvo type="max"/>
        <color rgb="FFF8696B"/>
        <color rgb="FFFFEB84"/>
        <color rgb="FF63BE7B"/>
      </colorScale>
    </cfRule>
  </conditionalFormatting>
  <conditionalFormatting sqref="F11:F31">
    <cfRule type="colorScale" priority="1854">
      <colorScale>
        <cfvo type="min"/>
        <cfvo type="percentile" val="50"/>
        <cfvo type="max"/>
        <color rgb="FFF8696B"/>
        <color rgb="FFFFEB84"/>
        <color rgb="FF63BE7B"/>
      </colorScale>
    </cfRule>
  </conditionalFormatting>
  <conditionalFormatting sqref="F11:F31">
    <cfRule type="colorScale" priority="1853">
      <colorScale>
        <cfvo type="min"/>
        <cfvo type="percentile" val="50"/>
        <cfvo type="max"/>
        <color rgb="FFF8696B"/>
        <color rgb="FFFFEB84"/>
        <color rgb="FF63BE7B"/>
      </colorScale>
    </cfRule>
  </conditionalFormatting>
  <conditionalFormatting sqref="F11:F31">
    <cfRule type="colorScale" priority="1852">
      <colorScale>
        <cfvo type="min"/>
        <cfvo type="percentile" val="50"/>
        <cfvo type="max"/>
        <color rgb="FFF8696B"/>
        <color rgb="FFFFEB84"/>
        <color rgb="FF63BE7B"/>
      </colorScale>
    </cfRule>
  </conditionalFormatting>
  <conditionalFormatting sqref="F11:F31">
    <cfRule type="colorScale" priority="1851">
      <colorScale>
        <cfvo type="min"/>
        <cfvo type="percentile" val="50"/>
        <cfvo type="max"/>
        <color rgb="FFF8696B"/>
        <color rgb="FFFFEB84"/>
        <color rgb="FF63BE7B"/>
      </colorScale>
    </cfRule>
  </conditionalFormatting>
  <conditionalFormatting sqref="F11:F31">
    <cfRule type="colorScale" priority="1850">
      <colorScale>
        <cfvo type="min"/>
        <cfvo type="percentile" val="50"/>
        <cfvo type="max"/>
        <color rgb="FFF8696B"/>
        <color rgb="FFFFEB84"/>
        <color rgb="FF63BE7B"/>
      </colorScale>
    </cfRule>
  </conditionalFormatting>
  <conditionalFormatting sqref="F11:F31">
    <cfRule type="colorScale" priority="1849">
      <colorScale>
        <cfvo type="min"/>
        <cfvo type="percentile" val="50"/>
        <cfvo type="max"/>
        <color rgb="FFF8696B"/>
        <color rgb="FFFFEB84"/>
        <color rgb="FF63BE7B"/>
      </colorScale>
    </cfRule>
  </conditionalFormatting>
  <conditionalFormatting sqref="F11:F31">
    <cfRule type="colorScale" priority="1848">
      <colorScale>
        <cfvo type="min"/>
        <cfvo type="percentile" val="50"/>
        <cfvo type="max"/>
        <color rgb="FFF8696B"/>
        <color rgb="FFFFEB84"/>
        <color rgb="FF63BE7B"/>
      </colorScale>
    </cfRule>
  </conditionalFormatting>
  <conditionalFormatting sqref="F11:F31">
    <cfRule type="colorScale" priority="1847">
      <colorScale>
        <cfvo type="min"/>
        <cfvo type="percentile" val="50"/>
        <cfvo type="max"/>
        <color rgb="FFF8696B"/>
        <color rgb="FFFFEB84"/>
        <color rgb="FF63BE7B"/>
      </colorScale>
    </cfRule>
  </conditionalFormatting>
  <conditionalFormatting sqref="F11:F31">
    <cfRule type="colorScale" priority="1846">
      <colorScale>
        <cfvo type="min"/>
        <cfvo type="percentile" val="50"/>
        <cfvo type="max"/>
        <color rgb="FFF8696B"/>
        <color rgb="FFFFEB84"/>
        <color rgb="FF63BE7B"/>
      </colorScale>
    </cfRule>
  </conditionalFormatting>
  <conditionalFormatting sqref="F11:F31">
    <cfRule type="colorScale" priority="1845">
      <colorScale>
        <cfvo type="min"/>
        <cfvo type="percentile" val="50"/>
        <cfvo type="max"/>
        <color rgb="FFF8696B"/>
        <color rgb="FFFFEB84"/>
        <color rgb="FF63BE7B"/>
      </colorScale>
    </cfRule>
  </conditionalFormatting>
  <conditionalFormatting sqref="F11:F31">
    <cfRule type="colorScale" priority="1844">
      <colorScale>
        <cfvo type="min"/>
        <cfvo type="percentile" val="50"/>
        <cfvo type="max"/>
        <color rgb="FFF8696B"/>
        <color rgb="FFFFEB84"/>
        <color rgb="FF63BE7B"/>
      </colorScale>
    </cfRule>
  </conditionalFormatting>
  <conditionalFormatting sqref="F11:F31">
    <cfRule type="colorScale" priority="1843">
      <colorScale>
        <cfvo type="min"/>
        <cfvo type="percentile" val="50"/>
        <cfvo type="max"/>
        <color rgb="FFF8696B"/>
        <color rgb="FFFFEB84"/>
        <color rgb="FF63BE7B"/>
      </colorScale>
    </cfRule>
  </conditionalFormatting>
  <conditionalFormatting sqref="F11:F31">
    <cfRule type="colorScale" priority="1842">
      <colorScale>
        <cfvo type="min"/>
        <cfvo type="percentile" val="50"/>
        <cfvo type="max"/>
        <color rgb="FFF8696B"/>
        <color rgb="FFFFEB84"/>
        <color rgb="FF63BE7B"/>
      </colorScale>
    </cfRule>
  </conditionalFormatting>
  <conditionalFormatting sqref="F11:F31">
    <cfRule type="colorScale" priority="1841">
      <colorScale>
        <cfvo type="min"/>
        <cfvo type="percentile" val="50"/>
        <cfvo type="max"/>
        <color rgb="FFF8696B"/>
        <color rgb="FFFFEB84"/>
        <color rgb="FF63BE7B"/>
      </colorScale>
    </cfRule>
  </conditionalFormatting>
  <conditionalFormatting sqref="F11:F31">
    <cfRule type="colorScale" priority="1840">
      <colorScale>
        <cfvo type="min"/>
        <cfvo type="percentile" val="50"/>
        <cfvo type="max"/>
        <color rgb="FFF8696B"/>
        <color rgb="FFFFEB84"/>
        <color rgb="FF63BE7B"/>
      </colorScale>
    </cfRule>
  </conditionalFormatting>
  <conditionalFormatting sqref="F11:F31">
    <cfRule type="colorScale" priority="1839">
      <colorScale>
        <cfvo type="min"/>
        <cfvo type="percentile" val="50"/>
        <cfvo type="max"/>
        <color rgb="FFF8696B"/>
        <color rgb="FFFFEB84"/>
        <color rgb="FF63BE7B"/>
      </colorScale>
    </cfRule>
  </conditionalFormatting>
  <conditionalFormatting sqref="F11:F31">
    <cfRule type="colorScale" priority="1838">
      <colorScale>
        <cfvo type="min"/>
        <cfvo type="percentile" val="50"/>
        <cfvo type="max"/>
        <color rgb="FFF8696B"/>
        <color rgb="FFFFEB84"/>
        <color rgb="FF63BE7B"/>
      </colorScale>
    </cfRule>
  </conditionalFormatting>
  <conditionalFormatting sqref="F11:F31">
    <cfRule type="colorScale" priority="1837">
      <colorScale>
        <cfvo type="min"/>
        <cfvo type="percentile" val="50"/>
        <cfvo type="max"/>
        <color rgb="FFF8696B"/>
        <color rgb="FFFFEB84"/>
        <color rgb="FF63BE7B"/>
      </colorScale>
    </cfRule>
  </conditionalFormatting>
  <conditionalFormatting sqref="F11:F31">
    <cfRule type="colorScale" priority="1836">
      <colorScale>
        <cfvo type="min"/>
        <cfvo type="percentile" val="50"/>
        <cfvo type="max"/>
        <color rgb="FFF8696B"/>
        <color rgb="FFFFEB84"/>
        <color rgb="FF63BE7B"/>
      </colorScale>
    </cfRule>
  </conditionalFormatting>
  <conditionalFormatting sqref="F11:F31">
    <cfRule type="colorScale" priority="1835">
      <colorScale>
        <cfvo type="min"/>
        <cfvo type="percentile" val="50"/>
        <cfvo type="max"/>
        <color rgb="FFF8696B"/>
        <color rgb="FFFFEB84"/>
        <color rgb="FF63BE7B"/>
      </colorScale>
    </cfRule>
  </conditionalFormatting>
  <conditionalFormatting sqref="F11:F31">
    <cfRule type="colorScale" priority="1834">
      <colorScale>
        <cfvo type="min"/>
        <cfvo type="percentile" val="50"/>
        <cfvo type="max"/>
        <color rgb="FFF8696B"/>
        <color rgb="FFFFEB84"/>
        <color rgb="FF63BE7B"/>
      </colorScale>
    </cfRule>
  </conditionalFormatting>
  <conditionalFormatting sqref="F11:F31">
    <cfRule type="colorScale" priority="1833">
      <colorScale>
        <cfvo type="min"/>
        <cfvo type="percentile" val="50"/>
        <cfvo type="max"/>
        <color rgb="FFF8696B"/>
        <color rgb="FFFFEB84"/>
        <color rgb="FF63BE7B"/>
      </colorScale>
    </cfRule>
  </conditionalFormatting>
  <conditionalFormatting sqref="F11:F31">
    <cfRule type="colorScale" priority="1832">
      <colorScale>
        <cfvo type="min"/>
        <cfvo type="percentile" val="50"/>
        <cfvo type="max"/>
        <color rgb="FFF8696B"/>
        <color rgb="FFFFEB84"/>
        <color rgb="FF63BE7B"/>
      </colorScale>
    </cfRule>
  </conditionalFormatting>
  <conditionalFormatting sqref="F11:F31">
    <cfRule type="colorScale" priority="1831">
      <colorScale>
        <cfvo type="min"/>
        <cfvo type="percentile" val="50"/>
        <cfvo type="max"/>
        <color rgb="FFF8696B"/>
        <color rgb="FFFFEB84"/>
        <color rgb="FF63BE7B"/>
      </colorScale>
    </cfRule>
  </conditionalFormatting>
  <conditionalFormatting sqref="F11:F31">
    <cfRule type="colorScale" priority="1830">
      <colorScale>
        <cfvo type="min"/>
        <cfvo type="percentile" val="50"/>
        <cfvo type="max"/>
        <color rgb="FFF8696B"/>
        <color rgb="FFFFEB84"/>
        <color rgb="FF63BE7B"/>
      </colorScale>
    </cfRule>
  </conditionalFormatting>
  <conditionalFormatting sqref="F11:F31">
    <cfRule type="colorScale" priority="1829">
      <colorScale>
        <cfvo type="min"/>
        <cfvo type="percentile" val="50"/>
        <cfvo type="max"/>
        <color rgb="FFF8696B"/>
        <color rgb="FFFFEB84"/>
        <color rgb="FF63BE7B"/>
      </colorScale>
    </cfRule>
  </conditionalFormatting>
  <conditionalFormatting sqref="F11:F31">
    <cfRule type="colorScale" priority="1828">
      <colorScale>
        <cfvo type="min"/>
        <cfvo type="percentile" val="50"/>
        <cfvo type="max"/>
        <color rgb="FFF8696B"/>
        <color rgb="FFFFEB84"/>
        <color rgb="FF63BE7B"/>
      </colorScale>
    </cfRule>
  </conditionalFormatting>
  <conditionalFormatting sqref="F11:F31">
    <cfRule type="colorScale" priority="1827">
      <colorScale>
        <cfvo type="min"/>
        <cfvo type="percentile" val="50"/>
        <cfvo type="max"/>
        <color rgb="FFF8696B"/>
        <color rgb="FFFFEB84"/>
        <color rgb="FF63BE7B"/>
      </colorScale>
    </cfRule>
  </conditionalFormatting>
  <conditionalFormatting sqref="F11:F31">
    <cfRule type="colorScale" priority="1826">
      <colorScale>
        <cfvo type="min"/>
        <cfvo type="percentile" val="50"/>
        <cfvo type="max"/>
        <color rgb="FFF8696B"/>
        <color rgb="FFFFEB84"/>
        <color rgb="FF63BE7B"/>
      </colorScale>
    </cfRule>
  </conditionalFormatting>
  <conditionalFormatting sqref="F11:F31">
    <cfRule type="colorScale" priority="1825">
      <colorScale>
        <cfvo type="min"/>
        <cfvo type="percentile" val="50"/>
        <cfvo type="max"/>
        <color rgb="FFF8696B"/>
        <color rgb="FFFFEB84"/>
        <color rgb="FF63BE7B"/>
      </colorScale>
    </cfRule>
  </conditionalFormatting>
  <conditionalFormatting sqref="F11:F31">
    <cfRule type="colorScale" priority="1824">
      <colorScale>
        <cfvo type="min"/>
        <cfvo type="percentile" val="50"/>
        <cfvo type="max"/>
        <color rgb="FFF8696B"/>
        <color rgb="FFFFEB84"/>
        <color rgb="FF63BE7B"/>
      </colorScale>
    </cfRule>
  </conditionalFormatting>
  <conditionalFormatting sqref="F11:F31">
    <cfRule type="colorScale" priority="1823">
      <colorScale>
        <cfvo type="min"/>
        <cfvo type="percentile" val="50"/>
        <cfvo type="max"/>
        <color rgb="FFF8696B"/>
        <color rgb="FFFFEB84"/>
        <color rgb="FF63BE7B"/>
      </colorScale>
    </cfRule>
  </conditionalFormatting>
  <conditionalFormatting sqref="F11:F31">
    <cfRule type="colorScale" priority="1822">
      <colorScale>
        <cfvo type="min"/>
        <cfvo type="percentile" val="50"/>
        <cfvo type="max"/>
        <color rgb="FFF8696B"/>
        <color rgb="FFFFEB84"/>
        <color rgb="FF63BE7B"/>
      </colorScale>
    </cfRule>
  </conditionalFormatting>
  <conditionalFormatting sqref="F11:F31">
    <cfRule type="colorScale" priority="1821">
      <colorScale>
        <cfvo type="min"/>
        <cfvo type="percentile" val="50"/>
        <cfvo type="max"/>
        <color rgb="FFF8696B"/>
        <color rgb="FFFFEB84"/>
        <color rgb="FF63BE7B"/>
      </colorScale>
    </cfRule>
  </conditionalFormatting>
  <conditionalFormatting sqref="F11:F31">
    <cfRule type="colorScale" priority="1820">
      <colorScale>
        <cfvo type="min"/>
        <cfvo type="percentile" val="50"/>
        <cfvo type="max"/>
        <color rgb="FFF8696B"/>
        <color rgb="FFFFEB84"/>
        <color rgb="FF63BE7B"/>
      </colorScale>
    </cfRule>
  </conditionalFormatting>
  <conditionalFormatting sqref="F11:F31">
    <cfRule type="colorScale" priority="1819">
      <colorScale>
        <cfvo type="min"/>
        <cfvo type="percentile" val="50"/>
        <cfvo type="max"/>
        <color rgb="FFF8696B"/>
        <color rgb="FFFFEB84"/>
        <color rgb="FF63BE7B"/>
      </colorScale>
    </cfRule>
  </conditionalFormatting>
  <conditionalFormatting sqref="F11:F31">
    <cfRule type="colorScale" priority="1818">
      <colorScale>
        <cfvo type="min"/>
        <cfvo type="percentile" val="50"/>
        <cfvo type="max"/>
        <color rgb="FFF8696B"/>
        <color rgb="FFFFEB84"/>
        <color rgb="FF63BE7B"/>
      </colorScale>
    </cfRule>
  </conditionalFormatting>
  <conditionalFormatting sqref="F11:F31">
    <cfRule type="colorScale" priority="1817">
      <colorScale>
        <cfvo type="min"/>
        <cfvo type="percentile" val="50"/>
        <cfvo type="max"/>
        <color rgb="FFF8696B"/>
        <color rgb="FFFFEB84"/>
        <color rgb="FF63BE7B"/>
      </colorScale>
    </cfRule>
  </conditionalFormatting>
  <conditionalFormatting sqref="F11:F31">
    <cfRule type="colorScale" priority="1816">
      <colorScale>
        <cfvo type="min"/>
        <cfvo type="percentile" val="50"/>
        <cfvo type="max"/>
        <color rgb="FFF8696B"/>
        <color rgb="FFFFEB84"/>
        <color rgb="FF63BE7B"/>
      </colorScale>
    </cfRule>
  </conditionalFormatting>
  <conditionalFormatting sqref="F11:F31">
    <cfRule type="colorScale" priority="1815">
      <colorScale>
        <cfvo type="min"/>
        <cfvo type="percentile" val="50"/>
        <cfvo type="max"/>
        <color rgb="FFF8696B"/>
        <color rgb="FFFFEB84"/>
        <color rgb="FF63BE7B"/>
      </colorScale>
    </cfRule>
  </conditionalFormatting>
  <conditionalFormatting sqref="F11:F31">
    <cfRule type="colorScale" priority="1814">
      <colorScale>
        <cfvo type="min"/>
        <cfvo type="percentile" val="50"/>
        <cfvo type="max"/>
        <color rgb="FFF8696B"/>
        <color rgb="FFFFEB84"/>
        <color rgb="FF63BE7B"/>
      </colorScale>
    </cfRule>
  </conditionalFormatting>
  <conditionalFormatting sqref="F11:F31">
    <cfRule type="colorScale" priority="1813">
      <colorScale>
        <cfvo type="min"/>
        <cfvo type="percentile" val="50"/>
        <cfvo type="max"/>
        <color rgb="FFF8696B"/>
        <color rgb="FFFFEB84"/>
        <color rgb="FF63BE7B"/>
      </colorScale>
    </cfRule>
  </conditionalFormatting>
  <conditionalFormatting sqref="F11:F31">
    <cfRule type="colorScale" priority="1812">
      <colorScale>
        <cfvo type="min"/>
        <cfvo type="percentile" val="50"/>
        <cfvo type="max"/>
        <color rgb="FFF8696B"/>
        <color rgb="FFFFEB84"/>
        <color rgb="FF63BE7B"/>
      </colorScale>
    </cfRule>
  </conditionalFormatting>
  <conditionalFormatting sqref="F11:F31">
    <cfRule type="colorScale" priority="1811">
      <colorScale>
        <cfvo type="min"/>
        <cfvo type="percentile" val="50"/>
        <cfvo type="max"/>
        <color rgb="FFF8696B"/>
        <color rgb="FFFFEB84"/>
        <color rgb="FF63BE7B"/>
      </colorScale>
    </cfRule>
  </conditionalFormatting>
  <conditionalFormatting sqref="F11:F31">
    <cfRule type="colorScale" priority="1810">
      <colorScale>
        <cfvo type="min"/>
        <cfvo type="percentile" val="50"/>
        <cfvo type="max"/>
        <color rgb="FFF8696B"/>
        <color rgb="FFFFEB84"/>
        <color rgb="FF63BE7B"/>
      </colorScale>
    </cfRule>
  </conditionalFormatting>
  <conditionalFormatting sqref="F11:F31">
    <cfRule type="colorScale" priority="1809">
      <colorScale>
        <cfvo type="min"/>
        <cfvo type="percentile" val="50"/>
        <cfvo type="max"/>
        <color rgb="FFF8696B"/>
        <color rgb="FFFFEB84"/>
        <color rgb="FF63BE7B"/>
      </colorScale>
    </cfRule>
  </conditionalFormatting>
  <conditionalFormatting sqref="F11:F31">
    <cfRule type="colorScale" priority="1808">
      <colorScale>
        <cfvo type="min"/>
        <cfvo type="percentile" val="50"/>
        <cfvo type="max"/>
        <color rgb="FFF8696B"/>
        <color rgb="FFFFEB84"/>
        <color rgb="FF63BE7B"/>
      </colorScale>
    </cfRule>
  </conditionalFormatting>
  <conditionalFormatting sqref="F11:F31">
    <cfRule type="colorScale" priority="1807">
      <colorScale>
        <cfvo type="min"/>
        <cfvo type="percentile" val="50"/>
        <cfvo type="max"/>
        <color rgb="FFF8696B"/>
        <color rgb="FFFFEB84"/>
        <color rgb="FF63BE7B"/>
      </colorScale>
    </cfRule>
  </conditionalFormatting>
  <conditionalFormatting sqref="F11:F31">
    <cfRule type="colorScale" priority="1806">
      <colorScale>
        <cfvo type="min"/>
        <cfvo type="percentile" val="50"/>
        <cfvo type="max"/>
        <color rgb="FFF8696B"/>
        <color rgb="FFFFEB84"/>
        <color rgb="FF63BE7B"/>
      </colorScale>
    </cfRule>
  </conditionalFormatting>
  <conditionalFormatting sqref="F11:F31">
    <cfRule type="colorScale" priority="1805">
      <colorScale>
        <cfvo type="min"/>
        <cfvo type="percentile" val="50"/>
        <cfvo type="max"/>
        <color rgb="FFF8696B"/>
        <color rgb="FFFFEB84"/>
        <color rgb="FF63BE7B"/>
      </colorScale>
    </cfRule>
  </conditionalFormatting>
  <conditionalFormatting sqref="F11:F31">
    <cfRule type="colorScale" priority="1804">
      <colorScale>
        <cfvo type="min"/>
        <cfvo type="percentile" val="50"/>
        <cfvo type="max"/>
        <color rgb="FFF8696B"/>
        <color rgb="FFFFEB84"/>
        <color rgb="FF63BE7B"/>
      </colorScale>
    </cfRule>
  </conditionalFormatting>
  <conditionalFormatting sqref="F11:F31">
    <cfRule type="colorScale" priority="1803">
      <colorScale>
        <cfvo type="min"/>
        <cfvo type="percentile" val="50"/>
        <cfvo type="max"/>
        <color rgb="FFF8696B"/>
        <color rgb="FFFFEB84"/>
        <color rgb="FF63BE7B"/>
      </colorScale>
    </cfRule>
  </conditionalFormatting>
  <conditionalFormatting sqref="F11:F31">
    <cfRule type="colorScale" priority="1802">
      <colorScale>
        <cfvo type="min"/>
        <cfvo type="percentile" val="50"/>
        <cfvo type="max"/>
        <color rgb="FFF8696B"/>
        <color rgb="FFFFEB84"/>
        <color rgb="FF63BE7B"/>
      </colorScale>
    </cfRule>
  </conditionalFormatting>
  <conditionalFormatting sqref="F11:F31">
    <cfRule type="colorScale" priority="1801">
      <colorScale>
        <cfvo type="min"/>
        <cfvo type="percentile" val="50"/>
        <cfvo type="max"/>
        <color rgb="FFF8696B"/>
        <color rgb="FFFFEB84"/>
        <color rgb="FF63BE7B"/>
      </colorScale>
    </cfRule>
  </conditionalFormatting>
  <conditionalFormatting sqref="F11:F31">
    <cfRule type="colorScale" priority="1800">
      <colorScale>
        <cfvo type="min"/>
        <cfvo type="percentile" val="50"/>
        <cfvo type="max"/>
        <color rgb="FFF8696B"/>
        <color rgb="FFFFEB84"/>
        <color rgb="FF63BE7B"/>
      </colorScale>
    </cfRule>
  </conditionalFormatting>
  <conditionalFormatting sqref="F11:F32">
    <cfRule type="colorScale" priority="1799">
      <colorScale>
        <cfvo type="min"/>
        <cfvo type="percentile" val="50"/>
        <cfvo type="max"/>
        <color rgb="FFF8696B"/>
        <color rgb="FFFFEB84"/>
        <color rgb="FF63BE7B"/>
      </colorScale>
    </cfRule>
  </conditionalFormatting>
  <conditionalFormatting sqref="F11:F32">
    <cfRule type="colorScale" priority="1798">
      <colorScale>
        <cfvo type="min"/>
        <cfvo type="percentile" val="50"/>
        <cfvo type="max"/>
        <color rgb="FFF8696B"/>
        <color rgb="FFFFEB84"/>
        <color rgb="FF63BE7B"/>
      </colorScale>
    </cfRule>
  </conditionalFormatting>
  <conditionalFormatting sqref="F11:F31">
    <cfRule type="colorScale" priority="1797">
      <colorScale>
        <cfvo type="min"/>
        <cfvo type="percentile" val="50"/>
        <cfvo type="max"/>
        <color rgb="FFF8696B"/>
        <color rgb="FFFFEB84"/>
        <color rgb="FF63BE7B"/>
      </colorScale>
    </cfRule>
  </conditionalFormatting>
  <conditionalFormatting sqref="F11:F31">
    <cfRule type="colorScale" priority="1796">
      <colorScale>
        <cfvo type="min"/>
        <cfvo type="percentile" val="50"/>
        <cfvo type="max"/>
        <color rgb="FFF8696B"/>
        <color rgb="FFFFEB84"/>
        <color rgb="FF63BE7B"/>
      </colorScale>
    </cfRule>
  </conditionalFormatting>
  <conditionalFormatting sqref="F11:F31">
    <cfRule type="colorScale" priority="1795">
      <colorScale>
        <cfvo type="min"/>
        <cfvo type="percentile" val="50"/>
        <cfvo type="max"/>
        <color rgb="FFF8696B"/>
        <color rgb="FFFFEB84"/>
        <color rgb="FF63BE7B"/>
      </colorScale>
    </cfRule>
  </conditionalFormatting>
  <conditionalFormatting sqref="F11:F31">
    <cfRule type="colorScale" priority="1794">
      <colorScale>
        <cfvo type="min"/>
        <cfvo type="percentile" val="50"/>
        <cfvo type="max"/>
        <color rgb="FFF8696B"/>
        <color rgb="FFFFEB84"/>
        <color rgb="FF63BE7B"/>
      </colorScale>
    </cfRule>
  </conditionalFormatting>
  <conditionalFormatting sqref="F11:F28">
    <cfRule type="colorScale" priority="1793">
      <colorScale>
        <cfvo type="min"/>
        <cfvo type="percentile" val="50"/>
        <cfvo type="max"/>
        <color rgb="FFF8696B"/>
        <color rgb="FFFFEB84"/>
        <color rgb="FF63BE7B"/>
      </colorScale>
    </cfRule>
  </conditionalFormatting>
  <conditionalFormatting sqref="F11:F28">
    <cfRule type="colorScale" priority="1792">
      <colorScale>
        <cfvo type="min"/>
        <cfvo type="percentile" val="50"/>
        <cfvo type="max"/>
        <color rgb="FFF8696B"/>
        <color rgb="FFFFEB84"/>
        <color rgb="FF63BE7B"/>
      </colorScale>
    </cfRule>
  </conditionalFormatting>
  <conditionalFormatting sqref="F11:F31">
    <cfRule type="colorScale" priority="1791">
      <colorScale>
        <cfvo type="min"/>
        <cfvo type="percentile" val="50"/>
        <cfvo type="max"/>
        <color rgb="FFF8696B"/>
        <color rgb="FFFFEB84"/>
        <color rgb="FF63BE7B"/>
      </colorScale>
    </cfRule>
  </conditionalFormatting>
  <conditionalFormatting sqref="F11:F31">
    <cfRule type="colorScale" priority="1790">
      <colorScale>
        <cfvo type="min"/>
        <cfvo type="percentile" val="50"/>
        <cfvo type="max"/>
        <color rgb="FFF8696B"/>
        <color rgb="FFFFEB84"/>
        <color rgb="FF63BE7B"/>
      </colorScale>
    </cfRule>
  </conditionalFormatting>
  <conditionalFormatting sqref="F11:F32">
    <cfRule type="colorScale" priority="1789">
      <colorScale>
        <cfvo type="min"/>
        <cfvo type="percentile" val="50"/>
        <cfvo type="max"/>
        <color rgb="FFF8696B"/>
        <color rgb="FFFFEB84"/>
        <color rgb="FF63BE7B"/>
      </colorScale>
    </cfRule>
  </conditionalFormatting>
  <conditionalFormatting sqref="F11:F32">
    <cfRule type="colorScale" priority="1788">
      <colorScale>
        <cfvo type="min"/>
        <cfvo type="percentile" val="50"/>
        <cfvo type="max"/>
        <color rgb="FFF8696B"/>
        <color rgb="FFFFEB84"/>
        <color rgb="FF63BE7B"/>
      </colorScale>
    </cfRule>
  </conditionalFormatting>
  <conditionalFormatting sqref="F11:F31">
    <cfRule type="colorScale" priority="1787">
      <colorScale>
        <cfvo type="min"/>
        <cfvo type="percentile" val="50"/>
        <cfvo type="max"/>
        <color rgb="FFF8696B"/>
        <color rgb="FFFFEB84"/>
        <color rgb="FF63BE7B"/>
      </colorScale>
    </cfRule>
  </conditionalFormatting>
  <conditionalFormatting sqref="F11:F31">
    <cfRule type="colorScale" priority="1786">
      <colorScale>
        <cfvo type="min"/>
        <cfvo type="percentile" val="50"/>
        <cfvo type="max"/>
        <color rgb="FFF8696B"/>
        <color rgb="FFFFEB84"/>
        <color rgb="FF63BE7B"/>
      </colorScale>
    </cfRule>
  </conditionalFormatting>
  <conditionalFormatting sqref="F11:F31">
    <cfRule type="colorScale" priority="1785">
      <colorScale>
        <cfvo type="min"/>
        <cfvo type="percentile" val="50"/>
        <cfvo type="max"/>
        <color rgb="FFF8696B"/>
        <color rgb="FFFFEB84"/>
        <color rgb="FF63BE7B"/>
      </colorScale>
    </cfRule>
  </conditionalFormatting>
  <conditionalFormatting sqref="F11:F31">
    <cfRule type="colorScale" priority="1784">
      <colorScale>
        <cfvo type="min"/>
        <cfvo type="percentile" val="50"/>
        <cfvo type="max"/>
        <color rgb="FFF8696B"/>
        <color rgb="FFFFEB84"/>
        <color rgb="FF63BE7B"/>
      </colorScale>
    </cfRule>
  </conditionalFormatting>
  <conditionalFormatting sqref="F11:F31">
    <cfRule type="colorScale" priority="1783">
      <colorScale>
        <cfvo type="min"/>
        <cfvo type="percentile" val="50"/>
        <cfvo type="max"/>
        <color rgb="FFF8696B"/>
        <color rgb="FFFFEB84"/>
        <color rgb="FF63BE7B"/>
      </colorScale>
    </cfRule>
  </conditionalFormatting>
  <conditionalFormatting sqref="F11:F31">
    <cfRule type="colorScale" priority="1782">
      <colorScale>
        <cfvo type="min"/>
        <cfvo type="percentile" val="50"/>
        <cfvo type="max"/>
        <color rgb="FFF8696B"/>
        <color rgb="FFFFEB84"/>
        <color rgb="FF63BE7B"/>
      </colorScale>
    </cfRule>
  </conditionalFormatting>
  <conditionalFormatting sqref="F11:F31">
    <cfRule type="colorScale" priority="1781">
      <colorScale>
        <cfvo type="min"/>
        <cfvo type="percentile" val="50"/>
        <cfvo type="max"/>
        <color rgb="FFF8696B"/>
        <color rgb="FFFFEB84"/>
        <color rgb="FF63BE7B"/>
      </colorScale>
    </cfRule>
  </conditionalFormatting>
  <conditionalFormatting sqref="F11:F31">
    <cfRule type="colorScale" priority="1780">
      <colorScale>
        <cfvo type="min"/>
        <cfvo type="percentile" val="50"/>
        <cfvo type="max"/>
        <color rgb="FFF8696B"/>
        <color rgb="FFFFEB84"/>
        <color rgb="FF63BE7B"/>
      </colorScale>
    </cfRule>
  </conditionalFormatting>
  <conditionalFormatting sqref="F11:F31">
    <cfRule type="colorScale" priority="1779">
      <colorScale>
        <cfvo type="min"/>
        <cfvo type="percentile" val="50"/>
        <cfvo type="max"/>
        <color rgb="FFF8696B"/>
        <color rgb="FFFFEB84"/>
        <color rgb="FF63BE7B"/>
      </colorScale>
    </cfRule>
  </conditionalFormatting>
  <conditionalFormatting sqref="F11:F31">
    <cfRule type="colorScale" priority="1778">
      <colorScale>
        <cfvo type="min"/>
        <cfvo type="percentile" val="50"/>
        <cfvo type="max"/>
        <color rgb="FFF8696B"/>
        <color rgb="FFFFEB84"/>
        <color rgb="FF63BE7B"/>
      </colorScale>
    </cfRule>
  </conditionalFormatting>
  <conditionalFormatting sqref="F29:F31">
    <cfRule type="colorScale" priority="1777">
      <colorScale>
        <cfvo type="min"/>
        <cfvo type="percentile" val="50"/>
        <cfvo type="max"/>
        <color rgb="FFF8696B"/>
        <color rgb="FFFFEB84"/>
        <color rgb="FF63BE7B"/>
      </colorScale>
    </cfRule>
  </conditionalFormatting>
  <conditionalFormatting sqref="F29:F31">
    <cfRule type="colorScale" priority="1776">
      <colorScale>
        <cfvo type="min"/>
        <cfvo type="percentile" val="50"/>
        <cfvo type="max"/>
        <color rgb="FFF8696B"/>
        <color rgb="FFFFEB84"/>
        <color rgb="FF63BE7B"/>
      </colorScale>
    </cfRule>
  </conditionalFormatting>
  <conditionalFormatting sqref="F32">
    <cfRule type="colorScale" priority="1775">
      <colorScale>
        <cfvo type="min"/>
        <cfvo type="percentile" val="50"/>
        <cfvo type="max"/>
        <color rgb="FFF8696B"/>
        <color rgb="FFFFEB84"/>
        <color rgb="FF63BE7B"/>
      </colorScale>
    </cfRule>
  </conditionalFormatting>
  <conditionalFormatting sqref="F32">
    <cfRule type="colorScale" priority="1774">
      <colorScale>
        <cfvo type="min"/>
        <cfvo type="percentile" val="50"/>
        <cfvo type="max"/>
        <color rgb="FFF8696B"/>
        <color rgb="FFFFEB84"/>
        <color rgb="FF63BE7B"/>
      </colorScale>
    </cfRule>
  </conditionalFormatting>
  <conditionalFormatting sqref="F32">
    <cfRule type="colorScale" priority="1773">
      <colorScale>
        <cfvo type="min"/>
        <cfvo type="percentile" val="50"/>
        <cfvo type="max"/>
        <color rgb="FFF8696B"/>
        <color rgb="FFFFEB84"/>
        <color rgb="FF63BE7B"/>
      </colorScale>
    </cfRule>
  </conditionalFormatting>
  <conditionalFormatting sqref="F32">
    <cfRule type="colorScale" priority="1772">
      <colorScale>
        <cfvo type="min"/>
        <cfvo type="percentile" val="50"/>
        <cfvo type="max"/>
        <color rgb="FFF8696B"/>
        <color rgb="FFFFEB84"/>
        <color rgb="FF63BE7B"/>
      </colorScale>
    </cfRule>
  </conditionalFormatting>
  <conditionalFormatting sqref="F32">
    <cfRule type="colorScale" priority="1771">
      <colorScale>
        <cfvo type="min"/>
        <cfvo type="percentile" val="50"/>
        <cfvo type="max"/>
        <color rgb="FFF8696B"/>
        <color rgb="FFFFEB84"/>
        <color rgb="FF63BE7B"/>
      </colorScale>
    </cfRule>
  </conditionalFormatting>
  <conditionalFormatting sqref="F32">
    <cfRule type="colorScale" priority="1770">
      <colorScale>
        <cfvo type="min"/>
        <cfvo type="percentile" val="50"/>
        <cfvo type="max"/>
        <color rgb="FFF8696B"/>
        <color rgb="FFFFEB84"/>
        <color rgb="FF63BE7B"/>
      </colorScale>
    </cfRule>
  </conditionalFormatting>
  <conditionalFormatting sqref="F32">
    <cfRule type="colorScale" priority="1769">
      <colorScale>
        <cfvo type="min"/>
        <cfvo type="percentile" val="50"/>
        <cfvo type="max"/>
        <color rgb="FFF8696B"/>
        <color rgb="FFFFEB84"/>
        <color rgb="FF63BE7B"/>
      </colorScale>
    </cfRule>
  </conditionalFormatting>
  <conditionalFormatting sqref="F32">
    <cfRule type="colorScale" priority="1768">
      <colorScale>
        <cfvo type="min"/>
        <cfvo type="percentile" val="50"/>
        <cfvo type="max"/>
        <color rgb="FFF8696B"/>
        <color rgb="FFFFEB84"/>
        <color rgb="FF63BE7B"/>
      </colorScale>
    </cfRule>
  </conditionalFormatting>
  <conditionalFormatting sqref="F32">
    <cfRule type="colorScale" priority="1767">
      <colorScale>
        <cfvo type="min"/>
        <cfvo type="percentile" val="50"/>
        <cfvo type="max"/>
        <color rgb="FFF8696B"/>
        <color rgb="FFFFEB84"/>
        <color rgb="FF63BE7B"/>
      </colorScale>
    </cfRule>
  </conditionalFormatting>
  <conditionalFormatting sqref="F32">
    <cfRule type="colorScale" priority="1766">
      <colorScale>
        <cfvo type="min"/>
        <cfvo type="percentile" val="50"/>
        <cfvo type="max"/>
        <color rgb="FFF8696B"/>
        <color rgb="FFFFEB84"/>
        <color rgb="FF63BE7B"/>
      </colorScale>
    </cfRule>
  </conditionalFormatting>
  <conditionalFormatting sqref="F32">
    <cfRule type="colorScale" priority="1765">
      <colorScale>
        <cfvo type="min"/>
        <cfvo type="percentile" val="50"/>
        <cfvo type="max"/>
        <color rgb="FFF8696B"/>
        <color rgb="FFFFEB84"/>
        <color rgb="FF63BE7B"/>
      </colorScale>
    </cfRule>
  </conditionalFormatting>
  <conditionalFormatting sqref="F32">
    <cfRule type="colorScale" priority="1764">
      <colorScale>
        <cfvo type="min"/>
        <cfvo type="percentile" val="50"/>
        <cfvo type="max"/>
        <color rgb="FFF8696B"/>
        <color rgb="FFFFEB84"/>
        <color rgb="FF63BE7B"/>
      </colorScale>
    </cfRule>
  </conditionalFormatting>
  <conditionalFormatting sqref="F32">
    <cfRule type="colorScale" priority="1763">
      <colorScale>
        <cfvo type="min"/>
        <cfvo type="percentile" val="50"/>
        <cfvo type="max"/>
        <color rgb="FFF8696B"/>
        <color rgb="FFFFEB84"/>
        <color rgb="FF63BE7B"/>
      </colorScale>
    </cfRule>
  </conditionalFormatting>
  <conditionalFormatting sqref="F32">
    <cfRule type="colorScale" priority="1762">
      <colorScale>
        <cfvo type="min"/>
        <cfvo type="percentile" val="50"/>
        <cfvo type="max"/>
        <color rgb="FFF8696B"/>
        <color rgb="FFFFEB84"/>
        <color rgb="FF63BE7B"/>
      </colorScale>
    </cfRule>
  </conditionalFormatting>
  <conditionalFormatting sqref="F32">
    <cfRule type="colorScale" priority="1761">
      <colorScale>
        <cfvo type="min"/>
        <cfvo type="percentile" val="50"/>
        <cfvo type="max"/>
        <color rgb="FFF8696B"/>
        <color rgb="FFFFEB84"/>
        <color rgb="FF63BE7B"/>
      </colorScale>
    </cfRule>
  </conditionalFormatting>
  <conditionalFormatting sqref="F32">
    <cfRule type="colorScale" priority="1760">
      <colorScale>
        <cfvo type="min"/>
        <cfvo type="percentile" val="50"/>
        <cfvo type="max"/>
        <color rgb="FFF8696B"/>
        <color rgb="FFFFEB84"/>
        <color rgb="FF63BE7B"/>
      </colorScale>
    </cfRule>
  </conditionalFormatting>
  <conditionalFormatting sqref="F32">
    <cfRule type="colorScale" priority="1759">
      <colorScale>
        <cfvo type="min"/>
        <cfvo type="percentile" val="50"/>
        <cfvo type="max"/>
        <color rgb="FFF8696B"/>
        <color rgb="FFFFEB84"/>
        <color rgb="FF63BE7B"/>
      </colorScale>
    </cfRule>
  </conditionalFormatting>
  <conditionalFormatting sqref="F32">
    <cfRule type="colorScale" priority="1758">
      <colorScale>
        <cfvo type="min"/>
        <cfvo type="percentile" val="50"/>
        <cfvo type="max"/>
        <color rgb="FFF8696B"/>
        <color rgb="FFFFEB84"/>
        <color rgb="FF63BE7B"/>
      </colorScale>
    </cfRule>
  </conditionalFormatting>
  <conditionalFormatting sqref="F32">
    <cfRule type="colorScale" priority="1757">
      <colorScale>
        <cfvo type="min"/>
        <cfvo type="percentile" val="50"/>
        <cfvo type="max"/>
        <color rgb="FFF8696B"/>
        <color rgb="FFFFEB84"/>
        <color rgb="FF63BE7B"/>
      </colorScale>
    </cfRule>
  </conditionalFormatting>
  <conditionalFormatting sqref="F32">
    <cfRule type="colorScale" priority="1756">
      <colorScale>
        <cfvo type="min"/>
        <cfvo type="percentile" val="50"/>
        <cfvo type="max"/>
        <color rgb="FFF8696B"/>
        <color rgb="FFFFEB84"/>
        <color rgb="FF63BE7B"/>
      </colorScale>
    </cfRule>
  </conditionalFormatting>
  <conditionalFormatting sqref="F32">
    <cfRule type="colorScale" priority="1755">
      <colorScale>
        <cfvo type="min"/>
        <cfvo type="percentile" val="50"/>
        <cfvo type="max"/>
        <color rgb="FFF8696B"/>
        <color rgb="FFFFEB84"/>
        <color rgb="FF63BE7B"/>
      </colorScale>
    </cfRule>
  </conditionalFormatting>
  <conditionalFormatting sqref="F32">
    <cfRule type="colorScale" priority="1754">
      <colorScale>
        <cfvo type="min"/>
        <cfvo type="percentile" val="50"/>
        <cfvo type="max"/>
        <color rgb="FFF8696B"/>
        <color rgb="FFFFEB84"/>
        <color rgb="FF63BE7B"/>
      </colorScale>
    </cfRule>
  </conditionalFormatting>
  <conditionalFormatting sqref="F32">
    <cfRule type="colorScale" priority="1753">
      <colorScale>
        <cfvo type="min"/>
        <cfvo type="percentile" val="50"/>
        <cfvo type="max"/>
        <color rgb="FFF8696B"/>
        <color rgb="FFFFEB84"/>
        <color rgb="FF63BE7B"/>
      </colorScale>
    </cfRule>
  </conditionalFormatting>
  <conditionalFormatting sqref="F32">
    <cfRule type="colorScale" priority="1752">
      <colorScale>
        <cfvo type="min"/>
        <cfvo type="percentile" val="50"/>
        <cfvo type="max"/>
        <color rgb="FFF8696B"/>
        <color rgb="FFFFEB84"/>
        <color rgb="FF63BE7B"/>
      </colorScale>
    </cfRule>
  </conditionalFormatting>
  <conditionalFormatting sqref="F32">
    <cfRule type="colorScale" priority="1751">
      <colorScale>
        <cfvo type="min"/>
        <cfvo type="percentile" val="50"/>
        <cfvo type="max"/>
        <color rgb="FFF8696B"/>
        <color rgb="FFFFEB84"/>
        <color rgb="FF63BE7B"/>
      </colorScale>
    </cfRule>
  </conditionalFormatting>
  <conditionalFormatting sqref="F32">
    <cfRule type="colorScale" priority="1750">
      <colorScale>
        <cfvo type="min"/>
        <cfvo type="percentile" val="50"/>
        <cfvo type="max"/>
        <color rgb="FFF8696B"/>
        <color rgb="FFFFEB84"/>
        <color rgb="FF63BE7B"/>
      </colorScale>
    </cfRule>
  </conditionalFormatting>
  <conditionalFormatting sqref="F32">
    <cfRule type="colorScale" priority="1749">
      <colorScale>
        <cfvo type="min"/>
        <cfvo type="percentile" val="50"/>
        <cfvo type="max"/>
        <color rgb="FFF8696B"/>
        <color rgb="FFFFEB84"/>
        <color rgb="FF63BE7B"/>
      </colorScale>
    </cfRule>
  </conditionalFormatting>
  <conditionalFormatting sqref="F32">
    <cfRule type="colorScale" priority="1748">
      <colorScale>
        <cfvo type="min"/>
        <cfvo type="percentile" val="50"/>
        <cfvo type="max"/>
        <color rgb="FFF8696B"/>
        <color rgb="FFFFEB84"/>
        <color rgb="FF63BE7B"/>
      </colorScale>
    </cfRule>
  </conditionalFormatting>
  <conditionalFormatting sqref="F32">
    <cfRule type="colorScale" priority="1747">
      <colorScale>
        <cfvo type="min"/>
        <cfvo type="percentile" val="50"/>
        <cfvo type="max"/>
        <color rgb="FFF8696B"/>
        <color rgb="FFFFEB84"/>
        <color rgb="FF63BE7B"/>
      </colorScale>
    </cfRule>
  </conditionalFormatting>
  <conditionalFormatting sqref="F32">
    <cfRule type="colorScale" priority="1746">
      <colorScale>
        <cfvo type="min"/>
        <cfvo type="percentile" val="50"/>
        <cfvo type="max"/>
        <color rgb="FFF8696B"/>
        <color rgb="FFFFEB84"/>
        <color rgb="FF63BE7B"/>
      </colorScale>
    </cfRule>
  </conditionalFormatting>
  <conditionalFormatting sqref="F32">
    <cfRule type="colorScale" priority="1745">
      <colorScale>
        <cfvo type="min"/>
        <cfvo type="percentile" val="50"/>
        <cfvo type="max"/>
        <color rgb="FFF8696B"/>
        <color rgb="FFFFEB84"/>
        <color rgb="FF63BE7B"/>
      </colorScale>
    </cfRule>
  </conditionalFormatting>
  <conditionalFormatting sqref="F32">
    <cfRule type="colorScale" priority="1744">
      <colorScale>
        <cfvo type="min"/>
        <cfvo type="percentile" val="50"/>
        <cfvo type="max"/>
        <color rgb="FFF8696B"/>
        <color rgb="FFFFEB84"/>
        <color rgb="FF63BE7B"/>
      </colorScale>
    </cfRule>
  </conditionalFormatting>
  <conditionalFormatting sqref="F32">
    <cfRule type="colorScale" priority="1743">
      <colorScale>
        <cfvo type="min"/>
        <cfvo type="percentile" val="50"/>
        <cfvo type="max"/>
        <color rgb="FFF8696B"/>
        <color rgb="FFFFEB84"/>
        <color rgb="FF63BE7B"/>
      </colorScale>
    </cfRule>
  </conditionalFormatting>
  <conditionalFormatting sqref="F32">
    <cfRule type="colorScale" priority="1742">
      <colorScale>
        <cfvo type="min"/>
        <cfvo type="percentile" val="50"/>
        <cfvo type="max"/>
        <color rgb="FFF8696B"/>
        <color rgb="FFFFEB84"/>
        <color rgb="FF63BE7B"/>
      </colorScale>
    </cfRule>
  </conditionalFormatting>
  <conditionalFormatting sqref="F32">
    <cfRule type="colorScale" priority="1741">
      <colorScale>
        <cfvo type="min"/>
        <cfvo type="percentile" val="50"/>
        <cfvo type="max"/>
        <color rgb="FFF8696B"/>
        <color rgb="FFFFEB84"/>
        <color rgb="FF63BE7B"/>
      </colorScale>
    </cfRule>
  </conditionalFormatting>
  <conditionalFormatting sqref="F32">
    <cfRule type="colorScale" priority="1740">
      <colorScale>
        <cfvo type="min"/>
        <cfvo type="percentile" val="50"/>
        <cfvo type="max"/>
        <color rgb="FFF8696B"/>
        <color rgb="FFFFEB84"/>
        <color rgb="FF63BE7B"/>
      </colorScale>
    </cfRule>
  </conditionalFormatting>
  <conditionalFormatting sqref="F32">
    <cfRule type="colorScale" priority="1739">
      <colorScale>
        <cfvo type="min"/>
        <cfvo type="percentile" val="50"/>
        <cfvo type="max"/>
        <color rgb="FFF8696B"/>
        <color rgb="FFFFEB84"/>
        <color rgb="FF63BE7B"/>
      </colorScale>
    </cfRule>
  </conditionalFormatting>
  <conditionalFormatting sqref="F32">
    <cfRule type="colorScale" priority="1738">
      <colorScale>
        <cfvo type="min"/>
        <cfvo type="percentile" val="50"/>
        <cfvo type="max"/>
        <color rgb="FFF8696B"/>
        <color rgb="FFFFEB84"/>
        <color rgb="FF63BE7B"/>
      </colorScale>
    </cfRule>
  </conditionalFormatting>
  <conditionalFormatting sqref="F32">
    <cfRule type="colorScale" priority="1737">
      <colorScale>
        <cfvo type="min"/>
        <cfvo type="percentile" val="50"/>
        <cfvo type="max"/>
        <color rgb="FFF8696B"/>
        <color rgb="FFFFEB84"/>
        <color rgb="FF63BE7B"/>
      </colorScale>
    </cfRule>
  </conditionalFormatting>
  <conditionalFormatting sqref="F32">
    <cfRule type="colorScale" priority="1736">
      <colorScale>
        <cfvo type="min"/>
        <cfvo type="percentile" val="50"/>
        <cfvo type="max"/>
        <color rgb="FFF8696B"/>
        <color rgb="FFFFEB84"/>
        <color rgb="FF63BE7B"/>
      </colorScale>
    </cfRule>
  </conditionalFormatting>
  <conditionalFormatting sqref="F32">
    <cfRule type="colorScale" priority="1735">
      <colorScale>
        <cfvo type="min"/>
        <cfvo type="percentile" val="50"/>
        <cfvo type="max"/>
        <color rgb="FFF8696B"/>
        <color rgb="FFFFEB84"/>
        <color rgb="FF63BE7B"/>
      </colorScale>
    </cfRule>
  </conditionalFormatting>
  <conditionalFormatting sqref="F32">
    <cfRule type="colorScale" priority="1734">
      <colorScale>
        <cfvo type="min"/>
        <cfvo type="percentile" val="50"/>
        <cfvo type="max"/>
        <color rgb="FFF8696B"/>
        <color rgb="FFFFEB84"/>
        <color rgb="FF63BE7B"/>
      </colorScale>
    </cfRule>
  </conditionalFormatting>
  <conditionalFormatting sqref="F32">
    <cfRule type="colorScale" priority="1733">
      <colorScale>
        <cfvo type="min"/>
        <cfvo type="percentile" val="50"/>
        <cfvo type="max"/>
        <color rgb="FFF8696B"/>
        <color rgb="FFFFEB84"/>
        <color rgb="FF63BE7B"/>
      </colorScale>
    </cfRule>
  </conditionalFormatting>
  <conditionalFormatting sqref="F32">
    <cfRule type="colorScale" priority="1732">
      <colorScale>
        <cfvo type="min"/>
        <cfvo type="percentile" val="50"/>
        <cfvo type="max"/>
        <color rgb="FFF8696B"/>
        <color rgb="FFFFEB84"/>
        <color rgb="FF63BE7B"/>
      </colorScale>
    </cfRule>
  </conditionalFormatting>
  <conditionalFormatting sqref="F32">
    <cfRule type="colorScale" priority="1731">
      <colorScale>
        <cfvo type="min"/>
        <cfvo type="percentile" val="50"/>
        <cfvo type="max"/>
        <color rgb="FFF8696B"/>
        <color rgb="FFFFEB84"/>
        <color rgb="FF63BE7B"/>
      </colorScale>
    </cfRule>
  </conditionalFormatting>
  <conditionalFormatting sqref="F32">
    <cfRule type="colorScale" priority="1730">
      <colorScale>
        <cfvo type="min"/>
        <cfvo type="percentile" val="50"/>
        <cfvo type="max"/>
        <color rgb="FFF8696B"/>
        <color rgb="FFFFEB84"/>
        <color rgb="FF63BE7B"/>
      </colorScale>
    </cfRule>
  </conditionalFormatting>
  <conditionalFormatting sqref="F32">
    <cfRule type="colorScale" priority="1729">
      <colorScale>
        <cfvo type="min"/>
        <cfvo type="percentile" val="50"/>
        <cfvo type="max"/>
        <color rgb="FFF8696B"/>
        <color rgb="FFFFEB84"/>
        <color rgb="FF63BE7B"/>
      </colorScale>
    </cfRule>
  </conditionalFormatting>
  <conditionalFormatting sqref="F32">
    <cfRule type="colorScale" priority="1728">
      <colorScale>
        <cfvo type="min"/>
        <cfvo type="percentile" val="50"/>
        <cfvo type="max"/>
        <color rgb="FFF8696B"/>
        <color rgb="FFFFEB84"/>
        <color rgb="FF63BE7B"/>
      </colorScale>
    </cfRule>
  </conditionalFormatting>
  <conditionalFormatting sqref="F32">
    <cfRule type="colorScale" priority="1727">
      <colorScale>
        <cfvo type="min"/>
        <cfvo type="percentile" val="50"/>
        <cfvo type="max"/>
        <color rgb="FFF8696B"/>
        <color rgb="FFFFEB84"/>
        <color rgb="FF63BE7B"/>
      </colorScale>
    </cfRule>
  </conditionalFormatting>
  <conditionalFormatting sqref="F32">
    <cfRule type="colorScale" priority="1726">
      <colorScale>
        <cfvo type="min"/>
        <cfvo type="percentile" val="50"/>
        <cfvo type="max"/>
        <color rgb="FFF8696B"/>
        <color rgb="FFFFEB84"/>
        <color rgb="FF63BE7B"/>
      </colorScale>
    </cfRule>
  </conditionalFormatting>
  <conditionalFormatting sqref="F32">
    <cfRule type="colorScale" priority="1725">
      <colorScale>
        <cfvo type="min"/>
        <cfvo type="percentile" val="50"/>
        <cfvo type="max"/>
        <color rgb="FFF8696B"/>
        <color rgb="FFFFEB84"/>
        <color rgb="FF63BE7B"/>
      </colorScale>
    </cfRule>
  </conditionalFormatting>
  <conditionalFormatting sqref="F32">
    <cfRule type="colorScale" priority="1724">
      <colorScale>
        <cfvo type="min"/>
        <cfvo type="percentile" val="50"/>
        <cfvo type="max"/>
        <color rgb="FFF8696B"/>
        <color rgb="FFFFEB84"/>
        <color rgb="FF63BE7B"/>
      </colorScale>
    </cfRule>
  </conditionalFormatting>
  <conditionalFormatting sqref="F32">
    <cfRule type="colorScale" priority="1723">
      <colorScale>
        <cfvo type="min"/>
        <cfvo type="percentile" val="50"/>
        <cfvo type="max"/>
        <color rgb="FFF8696B"/>
        <color rgb="FFFFEB84"/>
        <color rgb="FF63BE7B"/>
      </colorScale>
    </cfRule>
  </conditionalFormatting>
  <conditionalFormatting sqref="F32">
    <cfRule type="colorScale" priority="1722">
      <colorScale>
        <cfvo type="min"/>
        <cfvo type="percentile" val="50"/>
        <cfvo type="max"/>
        <color rgb="FFF8696B"/>
        <color rgb="FFFFEB84"/>
        <color rgb="FF63BE7B"/>
      </colorScale>
    </cfRule>
  </conditionalFormatting>
  <conditionalFormatting sqref="F32">
    <cfRule type="colorScale" priority="1721">
      <colorScale>
        <cfvo type="min"/>
        <cfvo type="percentile" val="50"/>
        <cfvo type="max"/>
        <color rgb="FFF8696B"/>
        <color rgb="FFFFEB84"/>
        <color rgb="FF63BE7B"/>
      </colorScale>
    </cfRule>
  </conditionalFormatting>
  <conditionalFormatting sqref="F32">
    <cfRule type="colorScale" priority="1720">
      <colorScale>
        <cfvo type="min"/>
        <cfvo type="percentile" val="50"/>
        <cfvo type="max"/>
        <color rgb="FFF8696B"/>
        <color rgb="FFFFEB84"/>
        <color rgb="FF63BE7B"/>
      </colorScale>
    </cfRule>
  </conditionalFormatting>
  <conditionalFormatting sqref="F32">
    <cfRule type="colorScale" priority="1719">
      <colorScale>
        <cfvo type="min"/>
        <cfvo type="percentile" val="50"/>
        <cfvo type="max"/>
        <color rgb="FFF8696B"/>
        <color rgb="FFFFEB84"/>
        <color rgb="FF63BE7B"/>
      </colorScale>
    </cfRule>
  </conditionalFormatting>
  <conditionalFormatting sqref="F32">
    <cfRule type="colorScale" priority="1718">
      <colorScale>
        <cfvo type="min"/>
        <cfvo type="percentile" val="50"/>
        <cfvo type="max"/>
        <color rgb="FFF8696B"/>
        <color rgb="FFFFEB84"/>
        <color rgb="FF63BE7B"/>
      </colorScale>
    </cfRule>
  </conditionalFormatting>
  <conditionalFormatting sqref="F32">
    <cfRule type="colorScale" priority="1717">
      <colorScale>
        <cfvo type="min"/>
        <cfvo type="percentile" val="50"/>
        <cfvo type="max"/>
        <color rgb="FFF8696B"/>
        <color rgb="FFFFEB84"/>
        <color rgb="FF63BE7B"/>
      </colorScale>
    </cfRule>
  </conditionalFormatting>
  <conditionalFormatting sqref="F32">
    <cfRule type="colorScale" priority="1716">
      <colorScale>
        <cfvo type="min"/>
        <cfvo type="percentile" val="50"/>
        <cfvo type="max"/>
        <color rgb="FFF8696B"/>
        <color rgb="FFFFEB84"/>
        <color rgb="FF63BE7B"/>
      </colorScale>
    </cfRule>
  </conditionalFormatting>
  <conditionalFormatting sqref="F32">
    <cfRule type="colorScale" priority="1715">
      <colorScale>
        <cfvo type="min"/>
        <cfvo type="percentile" val="50"/>
        <cfvo type="max"/>
        <color rgb="FFF8696B"/>
        <color rgb="FFFFEB84"/>
        <color rgb="FF63BE7B"/>
      </colorScale>
    </cfRule>
  </conditionalFormatting>
  <conditionalFormatting sqref="F32">
    <cfRule type="colorScale" priority="1714">
      <colorScale>
        <cfvo type="min"/>
        <cfvo type="percentile" val="50"/>
        <cfvo type="max"/>
        <color rgb="FFF8696B"/>
        <color rgb="FFFFEB84"/>
        <color rgb="FF63BE7B"/>
      </colorScale>
    </cfRule>
  </conditionalFormatting>
  <conditionalFormatting sqref="F32">
    <cfRule type="colorScale" priority="1713">
      <colorScale>
        <cfvo type="min"/>
        <cfvo type="percentile" val="50"/>
        <cfvo type="max"/>
        <color rgb="FFF8696B"/>
        <color rgb="FFFFEB84"/>
        <color rgb="FF63BE7B"/>
      </colorScale>
    </cfRule>
  </conditionalFormatting>
  <conditionalFormatting sqref="F32">
    <cfRule type="colorScale" priority="1712">
      <colorScale>
        <cfvo type="min"/>
        <cfvo type="percentile" val="50"/>
        <cfvo type="max"/>
        <color rgb="FFF8696B"/>
        <color rgb="FFFFEB84"/>
        <color rgb="FF63BE7B"/>
      </colorScale>
    </cfRule>
  </conditionalFormatting>
  <conditionalFormatting sqref="F32">
    <cfRule type="colorScale" priority="1711">
      <colorScale>
        <cfvo type="min"/>
        <cfvo type="percentile" val="50"/>
        <cfvo type="max"/>
        <color rgb="FFF8696B"/>
        <color rgb="FFFFEB84"/>
        <color rgb="FF63BE7B"/>
      </colorScale>
    </cfRule>
  </conditionalFormatting>
  <conditionalFormatting sqref="F32">
    <cfRule type="colorScale" priority="1710">
      <colorScale>
        <cfvo type="min"/>
        <cfvo type="percentile" val="50"/>
        <cfvo type="max"/>
        <color rgb="FFF8696B"/>
        <color rgb="FFFFEB84"/>
        <color rgb="FF63BE7B"/>
      </colorScale>
    </cfRule>
  </conditionalFormatting>
  <conditionalFormatting sqref="F32">
    <cfRule type="colorScale" priority="1709">
      <colorScale>
        <cfvo type="min"/>
        <cfvo type="percentile" val="50"/>
        <cfvo type="max"/>
        <color rgb="FFF8696B"/>
        <color rgb="FFFFEB84"/>
        <color rgb="FF63BE7B"/>
      </colorScale>
    </cfRule>
  </conditionalFormatting>
  <conditionalFormatting sqref="F32">
    <cfRule type="colorScale" priority="1708">
      <colorScale>
        <cfvo type="min"/>
        <cfvo type="percentile" val="50"/>
        <cfvo type="max"/>
        <color rgb="FFF8696B"/>
        <color rgb="FFFFEB84"/>
        <color rgb="FF63BE7B"/>
      </colorScale>
    </cfRule>
  </conditionalFormatting>
  <conditionalFormatting sqref="F32">
    <cfRule type="colorScale" priority="1707">
      <colorScale>
        <cfvo type="min"/>
        <cfvo type="percentile" val="50"/>
        <cfvo type="max"/>
        <color rgb="FFF8696B"/>
        <color rgb="FFFFEB84"/>
        <color rgb="FF63BE7B"/>
      </colorScale>
    </cfRule>
  </conditionalFormatting>
  <conditionalFormatting sqref="F32">
    <cfRule type="colorScale" priority="1706">
      <colorScale>
        <cfvo type="min"/>
        <cfvo type="percentile" val="50"/>
        <cfvo type="max"/>
        <color rgb="FFF8696B"/>
        <color rgb="FFFFEB84"/>
        <color rgb="FF63BE7B"/>
      </colorScale>
    </cfRule>
  </conditionalFormatting>
  <conditionalFormatting sqref="F32">
    <cfRule type="colorScale" priority="1705">
      <colorScale>
        <cfvo type="min"/>
        <cfvo type="percentile" val="50"/>
        <cfvo type="max"/>
        <color rgb="FFF8696B"/>
        <color rgb="FFFFEB84"/>
        <color rgb="FF63BE7B"/>
      </colorScale>
    </cfRule>
  </conditionalFormatting>
  <conditionalFormatting sqref="F32">
    <cfRule type="colorScale" priority="1704">
      <colorScale>
        <cfvo type="min"/>
        <cfvo type="percentile" val="50"/>
        <cfvo type="max"/>
        <color rgb="FFF8696B"/>
        <color rgb="FFFFEB84"/>
        <color rgb="FF63BE7B"/>
      </colorScale>
    </cfRule>
  </conditionalFormatting>
  <conditionalFormatting sqref="F32">
    <cfRule type="colorScale" priority="1703">
      <colorScale>
        <cfvo type="min"/>
        <cfvo type="percentile" val="50"/>
        <cfvo type="max"/>
        <color rgb="FFF8696B"/>
        <color rgb="FFFFEB84"/>
        <color rgb="FF63BE7B"/>
      </colorScale>
    </cfRule>
  </conditionalFormatting>
  <conditionalFormatting sqref="F32">
    <cfRule type="colorScale" priority="1702">
      <colorScale>
        <cfvo type="min"/>
        <cfvo type="percentile" val="50"/>
        <cfvo type="max"/>
        <color rgb="FFF8696B"/>
        <color rgb="FFFFEB84"/>
        <color rgb="FF63BE7B"/>
      </colorScale>
    </cfRule>
  </conditionalFormatting>
  <conditionalFormatting sqref="F32">
    <cfRule type="colorScale" priority="1701">
      <colorScale>
        <cfvo type="min"/>
        <cfvo type="percentile" val="50"/>
        <cfvo type="max"/>
        <color rgb="FFF8696B"/>
        <color rgb="FFFFEB84"/>
        <color rgb="FF63BE7B"/>
      </colorScale>
    </cfRule>
  </conditionalFormatting>
  <conditionalFormatting sqref="F32">
    <cfRule type="colorScale" priority="1700">
      <colorScale>
        <cfvo type="min"/>
        <cfvo type="percentile" val="50"/>
        <cfvo type="max"/>
        <color rgb="FFF8696B"/>
        <color rgb="FFFFEB84"/>
        <color rgb="FF63BE7B"/>
      </colorScale>
    </cfRule>
  </conditionalFormatting>
  <conditionalFormatting sqref="F32">
    <cfRule type="colorScale" priority="1699">
      <colorScale>
        <cfvo type="min"/>
        <cfvo type="percentile" val="50"/>
        <cfvo type="max"/>
        <color rgb="FFF8696B"/>
        <color rgb="FFFFEB84"/>
        <color rgb="FF63BE7B"/>
      </colorScale>
    </cfRule>
  </conditionalFormatting>
  <conditionalFormatting sqref="F32">
    <cfRule type="colorScale" priority="1698">
      <colorScale>
        <cfvo type="min"/>
        <cfvo type="percentile" val="50"/>
        <cfvo type="max"/>
        <color rgb="FFF8696B"/>
        <color rgb="FFFFEB84"/>
        <color rgb="FF63BE7B"/>
      </colorScale>
    </cfRule>
  </conditionalFormatting>
  <conditionalFormatting sqref="F32">
    <cfRule type="colorScale" priority="1697">
      <colorScale>
        <cfvo type="min"/>
        <cfvo type="percentile" val="50"/>
        <cfvo type="max"/>
        <color rgb="FFF8696B"/>
        <color rgb="FFFFEB84"/>
        <color rgb="FF63BE7B"/>
      </colorScale>
    </cfRule>
  </conditionalFormatting>
  <conditionalFormatting sqref="F32">
    <cfRule type="colorScale" priority="1696">
      <colorScale>
        <cfvo type="min"/>
        <cfvo type="percentile" val="50"/>
        <cfvo type="max"/>
        <color rgb="FFF8696B"/>
        <color rgb="FFFFEB84"/>
        <color rgb="FF63BE7B"/>
      </colorScale>
    </cfRule>
  </conditionalFormatting>
  <conditionalFormatting sqref="F32">
    <cfRule type="colorScale" priority="1695">
      <colorScale>
        <cfvo type="min"/>
        <cfvo type="percentile" val="50"/>
        <cfvo type="max"/>
        <color rgb="FFF8696B"/>
        <color rgb="FFFFEB84"/>
        <color rgb="FF63BE7B"/>
      </colorScale>
    </cfRule>
  </conditionalFormatting>
  <conditionalFormatting sqref="F32">
    <cfRule type="colorScale" priority="1694">
      <colorScale>
        <cfvo type="min"/>
        <cfvo type="percentile" val="50"/>
        <cfvo type="max"/>
        <color rgb="FFF8696B"/>
        <color rgb="FFFFEB84"/>
        <color rgb="FF63BE7B"/>
      </colorScale>
    </cfRule>
  </conditionalFormatting>
  <conditionalFormatting sqref="F32">
    <cfRule type="colorScale" priority="1693">
      <colorScale>
        <cfvo type="min"/>
        <cfvo type="percentile" val="50"/>
        <cfvo type="max"/>
        <color rgb="FFF8696B"/>
        <color rgb="FFFFEB84"/>
        <color rgb="FF63BE7B"/>
      </colorScale>
    </cfRule>
  </conditionalFormatting>
  <conditionalFormatting sqref="F32">
    <cfRule type="colorScale" priority="1692">
      <colorScale>
        <cfvo type="min"/>
        <cfvo type="percentile" val="50"/>
        <cfvo type="max"/>
        <color rgb="FFF8696B"/>
        <color rgb="FFFFEB84"/>
        <color rgb="FF63BE7B"/>
      </colorScale>
    </cfRule>
  </conditionalFormatting>
  <conditionalFormatting sqref="F32">
    <cfRule type="colorScale" priority="1691">
      <colorScale>
        <cfvo type="min"/>
        <cfvo type="percentile" val="50"/>
        <cfvo type="max"/>
        <color rgb="FFF8696B"/>
        <color rgb="FFFFEB84"/>
        <color rgb="FF63BE7B"/>
      </colorScale>
    </cfRule>
  </conditionalFormatting>
  <conditionalFormatting sqref="F32">
    <cfRule type="colorScale" priority="1690">
      <colorScale>
        <cfvo type="min"/>
        <cfvo type="percentile" val="50"/>
        <cfvo type="max"/>
        <color rgb="FFF8696B"/>
        <color rgb="FFFFEB84"/>
        <color rgb="FF63BE7B"/>
      </colorScale>
    </cfRule>
  </conditionalFormatting>
  <conditionalFormatting sqref="F32">
    <cfRule type="colorScale" priority="1689">
      <colorScale>
        <cfvo type="min"/>
        <cfvo type="percentile" val="50"/>
        <cfvo type="max"/>
        <color rgb="FFF8696B"/>
        <color rgb="FFFFEB84"/>
        <color rgb="FF63BE7B"/>
      </colorScale>
    </cfRule>
  </conditionalFormatting>
  <conditionalFormatting sqref="F32">
    <cfRule type="colorScale" priority="1688">
      <colorScale>
        <cfvo type="min"/>
        <cfvo type="percentile" val="50"/>
        <cfvo type="max"/>
        <color rgb="FFF8696B"/>
        <color rgb="FFFFEB84"/>
        <color rgb="FF63BE7B"/>
      </colorScale>
    </cfRule>
  </conditionalFormatting>
  <conditionalFormatting sqref="F32">
    <cfRule type="colorScale" priority="1687">
      <colorScale>
        <cfvo type="min"/>
        <cfvo type="percentile" val="50"/>
        <cfvo type="max"/>
        <color rgb="FFF8696B"/>
        <color rgb="FFFFEB84"/>
        <color rgb="FF63BE7B"/>
      </colorScale>
    </cfRule>
  </conditionalFormatting>
  <conditionalFormatting sqref="F32">
    <cfRule type="colorScale" priority="1686">
      <colorScale>
        <cfvo type="min"/>
        <cfvo type="percentile" val="50"/>
        <cfvo type="max"/>
        <color rgb="FFF8696B"/>
        <color rgb="FFFFEB84"/>
        <color rgb="FF63BE7B"/>
      </colorScale>
    </cfRule>
  </conditionalFormatting>
  <conditionalFormatting sqref="F32">
    <cfRule type="colorScale" priority="1685">
      <colorScale>
        <cfvo type="min"/>
        <cfvo type="percentile" val="50"/>
        <cfvo type="max"/>
        <color rgb="FFF8696B"/>
        <color rgb="FFFFEB84"/>
        <color rgb="FF63BE7B"/>
      </colorScale>
    </cfRule>
  </conditionalFormatting>
  <conditionalFormatting sqref="F32">
    <cfRule type="colorScale" priority="1684">
      <colorScale>
        <cfvo type="min"/>
        <cfvo type="percentile" val="50"/>
        <cfvo type="max"/>
        <color rgb="FFF8696B"/>
        <color rgb="FFFFEB84"/>
        <color rgb="FF63BE7B"/>
      </colorScale>
    </cfRule>
  </conditionalFormatting>
  <conditionalFormatting sqref="F32">
    <cfRule type="colorScale" priority="1683">
      <colorScale>
        <cfvo type="min"/>
        <cfvo type="percentile" val="50"/>
        <cfvo type="max"/>
        <color rgb="FFF8696B"/>
        <color rgb="FFFFEB84"/>
        <color rgb="FF63BE7B"/>
      </colorScale>
    </cfRule>
  </conditionalFormatting>
  <conditionalFormatting sqref="F32">
    <cfRule type="colorScale" priority="1682">
      <colorScale>
        <cfvo type="min"/>
        <cfvo type="percentile" val="50"/>
        <cfvo type="max"/>
        <color rgb="FFF8696B"/>
        <color rgb="FFFFEB84"/>
        <color rgb="FF63BE7B"/>
      </colorScale>
    </cfRule>
  </conditionalFormatting>
  <conditionalFormatting sqref="F32">
    <cfRule type="colorScale" priority="1681">
      <colorScale>
        <cfvo type="min"/>
        <cfvo type="percentile" val="50"/>
        <cfvo type="max"/>
        <color rgb="FFF8696B"/>
        <color rgb="FFFFEB84"/>
        <color rgb="FF63BE7B"/>
      </colorScale>
    </cfRule>
  </conditionalFormatting>
  <conditionalFormatting sqref="F32">
    <cfRule type="colorScale" priority="1680">
      <colorScale>
        <cfvo type="min"/>
        <cfvo type="percentile" val="50"/>
        <cfvo type="max"/>
        <color rgb="FFF8696B"/>
        <color rgb="FFFFEB84"/>
        <color rgb="FF63BE7B"/>
      </colorScale>
    </cfRule>
  </conditionalFormatting>
  <conditionalFormatting sqref="F32">
    <cfRule type="colorScale" priority="1679">
      <colorScale>
        <cfvo type="min"/>
        <cfvo type="percentile" val="50"/>
        <cfvo type="max"/>
        <color rgb="FFF8696B"/>
        <color rgb="FFFFEB84"/>
        <color rgb="FF63BE7B"/>
      </colorScale>
    </cfRule>
  </conditionalFormatting>
  <conditionalFormatting sqref="F32">
    <cfRule type="colorScale" priority="1678">
      <colorScale>
        <cfvo type="min"/>
        <cfvo type="percentile" val="50"/>
        <cfvo type="max"/>
        <color rgb="FFF8696B"/>
        <color rgb="FFFFEB84"/>
        <color rgb="FF63BE7B"/>
      </colorScale>
    </cfRule>
  </conditionalFormatting>
  <conditionalFormatting sqref="F32">
    <cfRule type="colorScale" priority="1677">
      <colorScale>
        <cfvo type="min"/>
        <cfvo type="percentile" val="50"/>
        <cfvo type="max"/>
        <color rgb="FFF8696B"/>
        <color rgb="FFFFEB84"/>
        <color rgb="FF63BE7B"/>
      </colorScale>
    </cfRule>
  </conditionalFormatting>
  <conditionalFormatting sqref="F32">
    <cfRule type="colorScale" priority="1676">
      <colorScale>
        <cfvo type="min"/>
        <cfvo type="percentile" val="50"/>
        <cfvo type="max"/>
        <color rgb="FFF8696B"/>
        <color rgb="FFFFEB84"/>
        <color rgb="FF63BE7B"/>
      </colorScale>
    </cfRule>
  </conditionalFormatting>
  <conditionalFormatting sqref="F32">
    <cfRule type="colorScale" priority="1675">
      <colorScale>
        <cfvo type="min"/>
        <cfvo type="percentile" val="50"/>
        <cfvo type="max"/>
        <color rgb="FFF8696B"/>
        <color rgb="FFFFEB84"/>
        <color rgb="FF63BE7B"/>
      </colorScale>
    </cfRule>
  </conditionalFormatting>
  <conditionalFormatting sqref="F32">
    <cfRule type="colorScale" priority="1674">
      <colorScale>
        <cfvo type="min"/>
        <cfvo type="percentile" val="50"/>
        <cfvo type="max"/>
        <color rgb="FFF8696B"/>
        <color rgb="FFFFEB84"/>
        <color rgb="FF63BE7B"/>
      </colorScale>
    </cfRule>
  </conditionalFormatting>
  <conditionalFormatting sqref="F32">
    <cfRule type="colorScale" priority="1673">
      <colorScale>
        <cfvo type="min"/>
        <cfvo type="percentile" val="50"/>
        <cfvo type="max"/>
        <color rgb="FFF8696B"/>
        <color rgb="FFFFEB84"/>
        <color rgb="FF63BE7B"/>
      </colorScale>
    </cfRule>
  </conditionalFormatting>
  <conditionalFormatting sqref="F32">
    <cfRule type="colorScale" priority="1672">
      <colorScale>
        <cfvo type="min"/>
        <cfvo type="percentile" val="50"/>
        <cfvo type="max"/>
        <color rgb="FFF8696B"/>
        <color rgb="FFFFEB84"/>
        <color rgb="FF63BE7B"/>
      </colorScale>
    </cfRule>
  </conditionalFormatting>
  <conditionalFormatting sqref="F32">
    <cfRule type="colorScale" priority="1671">
      <colorScale>
        <cfvo type="min"/>
        <cfvo type="percentile" val="50"/>
        <cfvo type="max"/>
        <color rgb="FFF8696B"/>
        <color rgb="FFFFEB84"/>
        <color rgb="FF63BE7B"/>
      </colorScale>
    </cfRule>
  </conditionalFormatting>
  <conditionalFormatting sqref="F32">
    <cfRule type="colorScale" priority="1670">
      <colorScale>
        <cfvo type="min"/>
        <cfvo type="percentile" val="50"/>
        <cfvo type="max"/>
        <color rgb="FFF8696B"/>
        <color rgb="FFFFEB84"/>
        <color rgb="FF63BE7B"/>
      </colorScale>
    </cfRule>
  </conditionalFormatting>
  <conditionalFormatting sqref="F32">
    <cfRule type="colorScale" priority="1669">
      <colorScale>
        <cfvo type="min"/>
        <cfvo type="percentile" val="50"/>
        <cfvo type="max"/>
        <color rgb="FFF8696B"/>
        <color rgb="FFFFEB84"/>
        <color rgb="FF63BE7B"/>
      </colorScale>
    </cfRule>
  </conditionalFormatting>
  <conditionalFormatting sqref="F32">
    <cfRule type="colorScale" priority="1668">
      <colorScale>
        <cfvo type="min"/>
        <cfvo type="percentile" val="50"/>
        <cfvo type="max"/>
        <color rgb="FFF8696B"/>
        <color rgb="FFFFEB84"/>
        <color rgb="FF63BE7B"/>
      </colorScale>
    </cfRule>
  </conditionalFormatting>
  <conditionalFormatting sqref="F32">
    <cfRule type="colorScale" priority="1667">
      <colorScale>
        <cfvo type="min"/>
        <cfvo type="percentile" val="50"/>
        <cfvo type="max"/>
        <color rgb="FFF8696B"/>
        <color rgb="FFFFEB84"/>
        <color rgb="FF63BE7B"/>
      </colorScale>
    </cfRule>
  </conditionalFormatting>
  <conditionalFormatting sqref="F32">
    <cfRule type="colorScale" priority="1666">
      <colorScale>
        <cfvo type="min"/>
        <cfvo type="percentile" val="50"/>
        <cfvo type="max"/>
        <color rgb="FFF8696B"/>
        <color rgb="FFFFEB84"/>
        <color rgb="FF63BE7B"/>
      </colorScale>
    </cfRule>
  </conditionalFormatting>
  <conditionalFormatting sqref="F32">
    <cfRule type="colorScale" priority="1665">
      <colorScale>
        <cfvo type="min"/>
        <cfvo type="percentile" val="50"/>
        <cfvo type="max"/>
        <color rgb="FFF8696B"/>
        <color rgb="FFFFEB84"/>
        <color rgb="FF63BE7B"/>
      </colorScale>
    </cfRule>
  </conditionalFormatting>
  <conditionalFormatting sqref="F32">
    <cfRule type="colorScale" priority="1664">
      <colorScale>
        <cfvo type="min"/>
        <cfvo type="percentile" val="50"/>
        <cfvo type="max"/>
        <color rgb="FFF8696B"/>
        <color rgb="FFFFEB84"/>
        <color rgb="FF63BE7B"/>
      </colorScale>
    </cfRule>
  </conditionalFormatting>
  <conditionalFormatting sqref="F32">
    <cfRule type="colorScale" priority="1663">
      <colorScale>
        <cfvo type="min"/>
        <cfvo type="percentile" val="50"/>
        <cfvo type="max"/>
        <color rgb="FFF8696B"/>
        <color rgb="FFFFEB84"/>
        <color rgb="FF63BE7B"/>
      </colorScale>
    </cfRule>
  </conditionalFormatting>
  <conditionalFormatting sqref="F32">
    <cfRule type="colorScale" priority="1662">
      <colorScale>
        <cfvo type="min"/>
        <cfvo type="percentile" val="50"/>
        <cfvo type="max"/>
        <color rgb="FFF8696B"/>
        <color rgb="FFFFEB84"/>
        <color rgb="FF63BE7B"/>
      </colorScale>
    </cfRule>
  </conditionalFormatting>
  <conditionalFormatting sqref="F32">
    <cfRule type="colorScale" priority="1661">
      <colorScale>
        <cfvo type="min"/>
        <cfvo type="percentile" val="50"/>
        <cfvo type="max"/>
        <color rgb="FFF8696B"/>
        <color rgb="FFFFEB84"/>
        <color rgb="FF63BE7B"/>
      </colorScale>
    </cfRule>
  </conditionalFormatting>
  <conditionalFormatting sqref="F32">
    <cfRule type="colorScale" priority="1660">
      <colorScale>
        <cfvo type="min"/>
        <cfvo type="percentile" val="50"/>
        <cfvo type="max"/>
        <color rgb="FFF8696B"/>
        <color rgb="FFFFEB84"/>
        <color rgb="FF63BE7B"/>
      </colorScale>
    </cfRule>
  </conditionalFormatting>
  <conditionalFormatting sqref="F32">
    <cfRule type="colorScale" priority="1659">
      <colorScale>
        <cfvo type="min"/>
        <cfvo type="percentile" val="50"/>
        <cfvo type="max"/>
        <color rgb="FFF8696B"/>
        <color rgb="FFFFEB84"/>
        <color rgb="FF63BE7B"/>
      </colorScale>
    </cfRule>
  </conditionalFormatting>
  <conditionalFormatting sqref="F32">
    <cfRule type="colorScale" priority="1658">
      <colorScale>
        <cfvo type="min"/>
        <cfvo type="percentile" val="50"/>
        <cfvo type="max"/>
        <color rgb="FFF8696B"/>
        <color rgb="FFFFEB84"/>
        <color rgb="FF63BE7B"/>
      </colorScale>
    </cfRule>
  </conditionalFormatting>
  <conditionalFormatting sqref="F32">
    <cfRule type="colorScale" priority="1657">
      <colorScale>
        <cfvo type="min"/>
        <cfvo type="percentile" val="50"/>
        <cfvo type="max"/>
        <color rgb="FFF8696B"/>
        <color rgb="FFFFEB84"/>
        <color rgb="FF63BE7B"/>
      </colorScale>
    </cfRule>
  </conditionalFormatting>
  <conditionalFormatting sqref="F32">
    <cfRule type="colorScale" priority="1656">
      <colorScale>
        <cfvo type="min"/>
        <cfvo type="percentile" val="50"/>
        <cfvo type="max"/>
        <color rgb="FFF8696B"/>
        <color rgb="FFFFEB84"/>
        <color rgb="FF63BE7B"/>
      </colorScale>
    </cfRule>
  </conditionalFormatting>
  <conditionalFormatting sqref="F32">
    <cfRule type="colorScale" priority="1655">
      <colorScale>
        <cfvo type="min"/>
        <cfvo type="percentile" val="50"/>
        <cfvo type="max"/>
        <color rgb="FFF8696B"/>
        <color rgb="FFFFEB84"/>
        <color rgb="FF63BE7B"/>
      </colorScale>
    </cfRule>
  </conditionalFormatting>
  <conditionalFormatting sqref="F32">
    <cfRule type="colorScale" priority="1654">
      <colorScale>
        <cfvo type="min"/>
        <cfvo type="percentile" val="50"/>
        <cfvo type="max"/>
        <color rgb="FFF8696B"/>
        <color rgb="FFFFEB84"/>
        <color rgb="FF63BE7B"/>
      </colorScale>
    </cfRule>
  </conditionalFormatting>
  <conditionalFormatting sqref="F32">
    <cfRule type="colorScale" priority="1653">
      <colorScale>
        <cfvo type="min"/>
        <cfvo type="percentile" val="50"/>
        <cfvo type="max"/>
        <color rgb="FFF8696B"/>
        <color rgb="FFFFEB84"/>
        <color rgb="FF63BE7B"/>
      </colorScale>
    </cfRule>
  </conditionalFormatting>
  <conditionalFormatting sqref="F32">
    <cfRule type="colorScale" priority="1652">
      <colorScale>
        <cfvo type="min"/>
        <cfvo type="percentile" val="50"/>
        <cfvo type="max"/>
        <color rgb="FFF8696B"/>
        <color rgb="FFFFEB84"/>
        <color rgb="FF63BE7B"/>
      </colorScale>
    </cfRule>
  </conditionalFormatting>
  <conditionalFormatting sqref="F32">
    <cfRule type="colorScale" priority="1651">
      <colorScale>
        <cfvo type="min"/>
        <cfvo type="percentile" val="50"/>
        <cfvo type="max"/>
        <color rgb="FFF8696B"/>
        <color rgb="FFFFEB84"/>
        <color rgb="FF63BE7B"/>
      </colorScale>
    </cfRule>
  </conditionalFormatting>
  <conditionalFormatting sqref="F32">
    <cfRule type="colorScale" priority="1650">
      <colorScale>
        <cfvo type="min"/>
        <cfvo type="percentile" val="50"/>
        <cfvo type="max"/>
        <color rgb="FFF8696B"/>
        <color rgb="FFFFEB84"/>
        <color rgb="FF63BE7B"/>
      </colorScale>
    </cfRule>
  </conditionalFormatting>
  <conditionalFormatting sqref="F32">
    <cfRule type="colorScale" priority="1649">
      <colorScale>
        <cfvo type="min"/>
        <cfvo type="percentile" val="50"/>
        <cfvo type="max"/>
        <color rgb="FFF8696B"/>
        <color rgb="FFFFEB84"/>
        <color rgb="FF63BE7B"/>
      </colorScale>
    </cfRule>
  </conditionalFormatting>
  <conditionalFormatting sqref="F32">
    <cfRule type="colorScale" priority="1648">
      <colorScale>
        <cfvo type="min"/>
        <cfvo type="percentile" val="50"/>
        <cfvo type="max"/>
        <color rgb="FFF8696B"/>
        <color rgb="FFFFEB84"/>
        <color rgb="FF63BE7B"/>
      </colorScale>
    </cfRule>
  </conditionalFormatting>
  <conditionalFormatting sqref="F32">
    <cfRule type="colorScale" priority="1647">
      <colorScale>
        <cfvo type="min"/>
        <cfvo type="percentile" val="50"/>
        <cfvo type="max"/>
        <color rgb="FFF8696B"/>
        <color rgb="FFFFEB84"/>
        <color rgb="FF63BE7B"/>
      </colorScale>
    </cfRule>
  </conditionalFormatting>
  <conditionalFormatting sqref="F32">
    <cfRule type="colorScale" priority="1646">
      <colorScale>
        <cfvo type="min"/>
        <cfvo type="percentile" val="50"/>
        <cfvo type="max"/>
        <color rgb="FFF8696B"/>
        <color rgb="FFFFEB84"/>
        <color rgb="FF63BE7B"/>
      </colorScale>
    </cfRule>
  </conditionalFormatting>
  <conditionalFormatting sqref="F32">
    <cfRule type="colorScale" priority="1645">
      <colorScale>
        <cfvo type="min"/>
        <cfvo type="percentile" val="50"/>
        <cfvo type="max"/>
        <color rgb="FFF8696B"/>
        <color rgb="FFFFEB84"/>
        <color rgb="FF63BE7B"/>
      </colorScale>
    </cfRule>
  </conditionalFormatting>
  <conditionalFormatting sqref="F32">
    <cfRule type="colorScale" priority="1644">
      <colorScale>
        <cfvo type="min"/>
        <cfvo type="percentile" val="50"/>
        <cfvo type="max"/>
        <color rgb="FFF8696B"/>
        <color rgb="FFFFEB84"/>
        <color rgb="FF63BE7B"/>
      </colorScale>
    </cfRule>
  </conditionalFormatting>
  <conditionalFormatting sqref="F32">
    <cfRule type="colorScale" priority="1643">
      <colorScale>
        <cfvo type="min"/>
        <cfvo type="percentile" val="50"/>
        <cfvo type="max"/>
        <color rgb="FFF8696B"/>
        <color rgb="FFFFEB84"/>
        <color rgb="FF63BE7B"/>
      </colorScale>
    </cfRule>
  </conditionalFormatting>
  <conditionalFormatting sqref="F32">
    <cfRule type="colorScale" priority="1642">
      <colorScale>
        <cfvo type="min"/>
        <cfvo type="percentile" val="50"/>
        <cfvo type="max"/>
        <color rgb="FFF8696B"/>
        <color rgb="FFFFEB84"/>
        <color rgb="FF63BE7B"/>
      </colorScale>
    </cfRule>
  </conditionalFormatting>
  <conditionalFormatting sqref="F32">
    <cfRule type="colorScale" priority="1641">
      <colorScale>
        <cfvo type="min"/>
        <cfvo type="percentile" val="50"/>
        <cfvo type="max"/>
        <color rgb="FFF8696B"/>
        <color rgb="FFFFEB84"/>
        <color rgb="FF63BE7B"/>
      </colorScale>
    </cfRule>
  </conditionalFormatting>
  <conditionalFormatting sqref="F32">
    <cfRule type="colorScale" priority="1640">
      <colorScale>
        <cfvo type="min"/>
        <cfvo type="percentile" val="50"/>
        <cfvo type="max"/>
        <color rgb="FFF8696B"/>
        <color rgb="FFFFEB84"/>
        <color rgb="FF63BE7B"/>
      </colorScale>
    </cfRule>
  </conditionalFormatting>
  <conditionalFormatting sqref="F32">
    <cfRule type="colorScale" priority="1639">
      <colorScale>
        <cfvo type="min"/>
        <cfvo type="percentile" val="50"/>
        <cfvo type="max"/>
        <color rgb="FFF8696B"/>
        <color rgb="FFFFEB84"/>
        <color rgb="FF63BE7B"/>
      </colorScale>
    </cfRule>
  </conditionalFormatting>
  <conditionalFormatting sqref="F32">
    <cfRule type="colorScale" priority="1638">
      <colorScale>
        <cfvo type="min"/>
        <cfvo type="percentile" val="50"/>
        <cfvo type="max"/>
        <color rgb="FFF8696B"/>
        <color rgb="FFFFEB84"/>
        <color rgb="FF63BE7B"/>
      </colorScale>
    </cfRule>
  </conditionalFormatting>
  <conditionalFormatting sqref="F32">
    <cfRule type="colorScale" priority="1637">
      <colorScale>
        <cfvo type="min"/>
        <cfvo type="percentile" val="50"/>
        <cfvo type="max"/>
        <color rgb="FFF8696B"/>
        <color rgb="FFFFEB84"/>
        <color rgb="FF63BE7B"/>
      </colorScale>
    </cfRule>
  </conditionalFormatting>
  <conditionalFormatting sqref="F32">
    <cfRule type="colorScale" priority="1636">
      <colorScale>
        <cfvo type="min"/>
        <cfvo type="percentile" val="50"/>
        <cfvo type="max"/>
        <color rgb="FFF8696B"/>
        <color rgb="FFFFEB84"/>
        <color rgb="FF63BE7B"/>
      </colorScale>
    </cfRule>
  </conditionalFormatting>
  <conditionalFormatting sqref="F32">
    <cfRule type="colorScale" priority="1635">
      <colorScale>
        <cfvo type="min"/>
        <cfvo type="percentile" val="50"/>
        <cfvo type="max"/>
        <color rgb="FFF8696B"/>
        <color rgb="FFFFEB84"/>
        <color rgb="FF63BE7B"/>
      </colorScale>
    </cfRule>
  </conditionalFormatting>
  <conditionalFormatting sqref="F32">
    <cfRule type="colorScale" priority="1634">
      <colorScale>
        <cfvo type="min"/>
        <cfvo type="percentile" val="50"/>
        <cfvo type="max"/>
        <color rgb="FFF8696B"/>
        <color rgb="FFFFEB84"/>
        <color rgb="FF63BE7B"/>
      </colorScale>
    </cfRule>
  </conditionalFormatting>
  <conditionalFormatting sqref="F32">
    <cfRule type="colorScale" priority="1633">
      <colorScale>
        <cfvo type="min"/>
        <cfvo type="percentile" val="50"/>
        <cfvo type="max"/>
        <color rgb="FFF8696B"/>
        <color rgb="FFFFEB84"/>
        <color rgb="FF63BE7B"/>
      </colorScale>
    </cfRule>
  </conditionalFormatting>
  <conditionalFormatting sqref="F32">
    <cfRule type="colorScale" priority="1632">
      <colorScale>
        <cfvo type="min"/>
        <cfvo type="percentile" val="50"/>
        <cfvo type="max"/>
        <color rgb="FFF8696B"/>
        <color rgb="FFFFEB84"/>
        <color rgb="FF63BE7B"/>
      </colorScale>
    </cfRule>
  </conditionalFormatting>
  <conditionalFormatting sqref="F32">
    <cfRule type="colorScale" priority="1631">
      <colorScale>
        <cfvo type="min"/>
        <cfvo type="percentile" val="50"/>
        <cfvo type="max"/>
        <color rgb="FFF8696B"/>
        <color rgb="FFFFEB84"/>
        <color rgb="FF63BE7B"/>
      </colorScale>
    </cfRule>
  </conditionalFormatting>
  <conditionalFormatting sqref="F10:F32">
    <cfRule type="colorScale" priority="1630">
      <colorScale>
        <cfvo type="min"/>
        <cfvo type="percentile" val="50"/>
        <cfvo type="max"/>
        <color rgb="FFF8696B"/>
        <color rgb="FFFFEB84"/>
        <color rgb="FF63BE7B"/>
      </colorScale>
    </cfRule>
  </conditionalFormatting>
  <conditionalFormatting sqref="F10:F32">
    <cfRule type="colorScale" priority="1629">
      <colorScale>
        <cfvo type="min"/>
        <cfvo type="percentile" val="50"/>
        <cfvo type="max"/>
        <color rgb="FFF8696B"/>
        <color rgb="FFFFEB84"/>
        <color rgb="FF63BE7B"/>
      </colorScale>
    </cfRule>
  </conditionalFormatting>
  <conditionalFormatting sqref="F10:F15">
    <cfRule type="colorScale" priority="1628">
      <colorScale>
        <cfvo type="min"/>
        <cfvo type="percentile" val="50"/>
        <cfvo type="max"/>
        <color rgb="FFF8696B"/>
        <color rgb="FFFFEB84"/>
        <color rgb="FF63BE7B"/>
      </colorScale>
    </cfRule>
  </conditionalFormatting>
  <conditionalFormatting sqref="F10:F15">
    <cfRule type="colorScale" priority="1627">
      <colorScale>
        <cfvo type="min"/>
        <cfvo type="percentile" val="50"/>
        <cfvo type="max"/>
        <color rgb="FFF8696B"/>
        <color rgb="FFFFEB84"/>
        <color rgb="FF63BE7B"/>
      </colorScale>
    </cfRule>
  </conditionalFormatting>
  <conditionalFormatting sqref="F10:F15">
    <cfRule type="colorScale" priority="1626">
      <colorScale>
        <cfvo type="min"/>
        <cfvo type="percentile" val="50"/>
        <cfvo type="max"/>
        <color rgb="FFF8696B"/>
        <color rgb="FFFFEB84"/>
        <color rgb="FF63BE7B"/>
      </colorScale>
    </cfRule>
  </conditionalFormatting>
  <conditionalFormatting sqref="F10:F15">
    <cfRule type="colorScale" priority="1625">
      <colorScale>
        <cfvo type="min"/>
        <cfvo type="percentile" val="50"/>
        <cfvo type="max"/>
        <color rgb="FFF8696B"/>
        <color rgb="FFFFEB84"/>
        <color rgb="FF63BE7B"/>
      </colorScale>
    </cfRule>
  </conditionalFormatting>
  <conditionalFormatting sqref="F10:F15">
    <cfRule type="colorScale" priority="1624">
      <colorScale>
        <cfvo type="min"/>
        <cfvo type="percentile" val="50"/>
        <cfvo type="max"/>
        <color rgb="FFF8696B"/>
        <color rgb="FFFFEB84"/>
        <color rgb="FF63BE7B"/>
      </colorScale>
    </cfRule>
  </conditionalFormatting>
  <conditionalFormatting sqref="F10:F15">
    <cfRule type="colorScale" priority="1623">
      <colorScale>
        <cfvo type="min"/>
        <cfvo type="percentile" val="50"/>
        <cfvo type="max"/>
        <color rgb="FFF8696B"/>
        <color rgb="FFFFEB84"/>
        <color rgb="FF63BE7B"/>
      </colorScale>
    </cfRule>
  </conditionalFormatting>
  <conditionalFormatting sqref="F10:F15">
    <cfRule type="colorScale" priority="1622">
      <colorScale>
        <cfvo type="min"/>
        <cfvo type="percentile" val="50"/>
        <cfvo type="max"/>
        <color rgb="FFF8696B"/>
        <color rgb="FFFFEB84"/>
        <color rgb="FF63BE7B"/>
      </colorScale>
    </cfRule>
  </conditionalFormatting>
  <conditionalFormatting sqref="F10:F15">
    <cfRule type="colorScale" priority="1621">
      <colorScale>
        <cfvo type="min"/>
        <cfvo type="percentile" val="50"/>
        <cfvo type="max"/>
        <color rgb="FFF8696B"/>
        <color rgb="FFFFEB84"/>
        <color rgb="FF63BE7B"/>
      </colorScale>
    </cfRule>
  </conditionalFormatting>
  <conditionalFormatting sqref="F10:F15">
    <cfRule type="colorScale" priority="1620">
      <colorScale>
        <cfvo type="min"/>
        <cfvo type="percentile" val="50"/>
        <cfvo type="max"/>
        <color rgb="FFF8696B"/>
        <color rgb="FFFFEB84"/>
        <color rgb="FF63BE7B"/>
      </colorScale>
    </cfRule>
  </conditionalFormatting>
  <conditionalFormatting sqref="F10:F15">
    <cfRule type="colorScale" priority="1619">
      <colorScale>
        <cfvo type="min"/>
        <cfvo type="percentile" val="50"/>
        <cfvo type="max"/>
        <color rgb="FFF8696B"/>
        <color rgb="FFFFEB84"/>
        <color rgb="FF63BE7B"/>
      </colorScale>
    </cfRule>
  </conditionalFormatting>
  <conditionalFormatting sqref="F16:F21">
    <cfRule type="colorScale" priority="1618">
      <colorScale>
        <cfvo type="min"/>
        <cfvo type="percentile" val="50"/>
        <cfvo type="max"/>
        <color rgb="FFF8696B"/>
        <color rgb="FFFFEB84"/>
        <color rgb="FF63BE7B"/>
      </colorScale>
    </cfRule>
  </conditionalFormatting>
  <conditionalFormatting sqref="F16:F21">
    <cfRule type="colorScale" priority="1617">
      <colorScale>
        <cfvo type="min"/>
        <cfvo type="percentile" val="50"/>
        <cfvo type="max"/>
        <color rgb="FFF8696B"/>
        <color rgb="FFFFEB84"/>
        <color rgb="FF63BE7B"/>
      </colorScale>
    </cfRule>
  </conditionalFormatting>
  <conditionalFormatting sqref="F16:F21">
    <cfRule type="colorScale" priority="1616">
      <colorScale>
        <cfvo type="min"/>
        <cfvo type="percentile" val="50"/>
        <cfvo type="max"/>
        <color rgb="FFF8696B"/>
        <color rgb="FFFFEB84"/>
        <color rgb="FF63BE7B"/>
      </colorScale>
    </cfRule>
  </conditionalFormatting>
  <conditionalFormatting sqref="F16:F21">
    <cfRule type="colorScale" priority="1615">
      <colorScale>
        <cfvo type="min"/>
        <cfvo type="percentile" val="50"/>
        <cfvo type="max"/>
        <color rgb="FFF8696B"/>
        <color rgb="FFFFEB84"/>
        <color rgb="FF63BE7B"/>
      </colorScale>
    </cfRule>
  </conditionalFormatting>
  <conditionalFormatting sqref="F16:F21">
    <cfRule type="colorScale" priority="1614">
      <colorScale>
        <cfvo type="min"/>
        <cfvo type="percentile" val="50"/>
        <cfvo type="max"/>
        <color rgb="FFF8696B"/>
        <color rgb="FFFFEB84"/>
        <color rgb="FF63BE7B"/>
      </colorScale>
    </cfRule>
  </conditionalFormatting>
  <conditionalFormatting sqref="F16:F21">
    <cfRule type="colorScale" priority="1613">
      <colorScale>
        <cfvo type="min"/>
        <cfvo type="percentile" val="50"/>
        <cfvo type="max"/>
        <color rgb="FFF8696B"/>
        <color rgb="FFFFEB84"/>
        <color rgb="FF63BE7B"/>
      </colorScale>
    </cfRule>
  </conditionalFormatting>
  <conditionalFormatting sqref="F16:F21">
    <cfRule type="colorScale" priority="1612">
      <colorScale>
        <cfvo type="min"/>
        <cfvo type="percentile" val="50"/>
        <cfvo type="max"/>
        <color rgb="FFF8696B"/>
        <color rgb="FFFFEB84"/>
        <color rgb="FF63BE7B"/>
      </colorScale>
    </cfRule>
  </conditionalFormatting>
  <conditionalFormatting sqref="F16:F21">
    <cfRule type="colorScale" priority="1611">
      <colorScale>
        <cfvo type="min"/>
        <cfvo type="percentile" val="50"/>
        <cfvo type="max"/>
        <color rgb="FFF8696B"/>
        <color rgb="FFFFEB84"/>
        <color rgb="FF63BE7B"/>
      </colorScale>
    </cfRule>
  </conditionalFormatting>
  <conditionalFormatting sqref="F16:F21">
    <cfRule type="colorScale" priority="1610">
      <colorScale>
        <cfvo type="min"/>
        <cfvo type="percentile" val="50"/>
        <cfvo type="max"/>
        <color rgb="FFF8696B"/>
        <color rgb="FFFFEB84"/>
        <color rgb="FF63BE7B"/>
      </colorScale>
    </cfRule>
  </conditionalFormatting>
  <conditionalFormatting sqref="F16:F21">
    <cfRule type="colorScale" priority="1609">
      <colorScale>
        <cfvo type="min"/>
        <cfvo type="percentile" val="50"/>
        <cfvo type="max"/>
        <color rgb="FFF8696B"/>
        <color rgb="FFFFEB84"/>
        <color rgb="FF63BE7B"/>
      </colorScale>
    </cfRule>
  </conditionalFormatting>
  <conditionalFormatting sqref="F22:F27">
    <cfRule type="colorScale" priority="1608">
      <colorScale>
        <cfvo type="min"/>
        <cfvo type="percentile" val="50"/>
        <cfvo type="max"/>
        <color rgb="FFF8696B"/>
        <color rgb="FFFFEB84"/>
        <color rgb="FF63BE7B"/>
      </colorScale>
    </cfRule>
  </conditionalFormatting>
  <conditionalFormatting sqref="F22:F27">
    <cfRule type="colorScale" priority="1607">
      <colorScale>
        <cfvo type="min"/>
        <cfvo type="percentile" val="50"/>
        <cfvo type="max"/>
        <color rgb="FFF8696B"/>
        <color rgb="FFFFEB84"/>
        <color rgb="FF63BE7B"/>
      </colorScale>
    </cfRule>
  </conditionalFormatting>
  <conditionalFormatting sqref="F22:F27">
    <cfRule type="colorScale" priority="1606">
      <colorScale>
        <cfvo type="min"/>
        <cfvo type="percentile" val="50"/>
        <cfvo type="max"/>
        <color rgb="FFF8696B"/>
        <color rgb="FFFFEB84"/>
        <color rgb="FF63BE7B"/>
      </colorScale>
    </cfRule>
  </conditionalFormatting>
  <conditionalFormatting sqref="F22:F27">
    <cfRule type="colorScale" priority="1605">
      <colorScale>
        <cfvo type="min"/>
        <cfvo type="percentile" val="50"/>
        <cfvo type="max"/>
        <color rgb="FFF8696B"/>
        <color rgb="FFFFEB84"/>
        <color rgb="FF63BE7B"/>
      </colorScale>
    </cfRule>
  </conditionalFormatting>
  <conditionalFormatting sqref="F22:F27">
    <cfRule type="colorScale" priority="1604">
      <colorScale>
        <cfvo type="min"/>
        <cfvo type="percentile" val="50"/>
        <cfvo type="max"/>
        <color rgb="FFF8696B"/>
        <color rgb="FFFFEB84"/>
        <color rgb="FF63BE7B"/>
      </colorScale>
    </cfRule>
  </conditionalFormatting>
  <conditionalFormatting sqref="F22:F27">
    <cfRule type="colorScale" priority="1603">
      <colorScale>
        <cfvo type="min"/>
        <cfvo type="percentile" val="50"/>
        <cfvo type="max"/>
        <color rgb="FFF8696B"/>
        <color rgb="FFFFEB84"/>
        <color rgb="FF63BE7B"/>
      </colorScale>
    </cfRule>
  </conditionalFormatting>
  <conditionalFormatting sqref="F22:F27">
    <cfRule type="colorScale" priority="1602">
      <colorScale>
        <cfvo type="min"/>
        <cfvo type="percentile" val="50"/>
        <cfvo type="max"/>
        <color rgb="FFF8696B"/>
        <color rgb="FFFFEB84"/>
        <color rgb="FF63BE7B"/>
      </colorScale>
    </cfRule>
  </conditionalFormatting>
  <conditionalFormatting sqref="F22:F27">
    <cfRule type="colorScale" priority="1601">
      <colorScale>
        <cfvo type="min"/>
        <cfvo type="percentile" val="50"/>
        <cfvo type="max"/>
        <color rgb="FFF8696B"/>
        <color rgb="FFFFEB84"/>
        <color rgb="FF63BE7B"/>
      </colorScale>
    </cfRule>
  </conditionalFormatting>
  <conditionalFormatting sqref="F22:F27">
    <cfRule type="colorScale" priority="1600">
      <colorScale>
        <cfvo type="min"/>
        <cfvo type="percentile" val="50"/>
        <cfvo type="max"/>
        <color rgb="FFF8696B"/>
        <color rgb="FFFFEB84"/>
        <color rgb="FF63BE7B"/>
      </colorScale>
    </cfRule>
  </conditionalFormatting>
  <conditionalFormatting sqref="F22:F27">
    <cfRule type="colorScale" priority="1599">
      <colorScale>
        <cfvo type="min"/>
        <cfvo type="percentile" val="50"/>
        <cfvo type="max"/>
        <color rgb="FFF8696B"/>
        <color rgb="FFFFEB84"/>
        <color rgb="FF63BE7B"/>
      </colorScale>
    </cfRule>
  </conditionalFormatting>
  <conditionalFormatting sqref="F28:F32">
    <cfRule type="colorScale" priority="1598">
      <colorScale>
        <cfvo type="min"/>
        <cfvo type="percentile" val="50"/>
        <cfvo type="max"/>
        <color rgb="FFF8696B"/>
        <color rgb="FFFFEB84"/>
        <color rgb="FF63BE7B"/>
      </colorScale>
    </cfRule>
  </conditionalFormatting>
  <conditionalFormatting sqref="F28:F32">
    <cfRule type="colorScale" priority="1597">
      <colorScale>
        <cfvo type="min"/>
        <cfvo type="percentile" val="50"/>
        <cfvo type="max"/>
        <color rgb="FFF8696B"/>
        <color rgb="FFFFEB84"/>
        <color rgb="FF63BE7B"/>
      </colorScale>
    </cfRule>
  </conditionalFormatting>
  <conditionalFormatting sqref="F28:F32">
    <cfRule type="colorScale" priority="1596">
      <colorScale>
        <cfvo type="min"/>
        <cfvo type="percentile" val="50"/>
        <cfvo type="max"/>
        <color rgb="FFF8696B"/>
        <color rgb="FFFFEB84"/>
        <color rgb="FF63BE7B"/>
      </colorScale>
    </cfRule>
  </conditionalFormatting>
  <conditionalFormatting sqref="F28:F32">
    <cfRule type="colorScale" priority="1595">
      <colorScale>
        <cfvo type="min"/>
        <cfvo type="percentile" val="50"/>
        <cfvo type="max"/>
        <color rgb="FFF8696B"/>
        <color rgb="FFFFEB84"/>
        <color rgb="FF63BE7B"/>
      </colorScale>
    </cfRule>
  </conditionalFormatting>
  <conditionalFormatting sqref="F28:F32">
    <cfRule type="colorScale" priority="1594">
      <colorScale>
        <cfvo type="min"/>
        <cfvo type="percentile" val="50"/>
        <cfvo type="max"/>
        <color rgb="FFF8696B"/>
        <color rgb="FFFFEB84"/>
        <color rgb="FF63BE7B"/>
      </colorScale>
    </cfRule>
  </conditionalFormatting>
  <conditionalFormatting sqref="F28:F32">
    <cfRule type="colorScale" priority="1593">
      <colorScale>
        <cfvo type="min"/>
        <cfvo type="percentile" val="50"/>
        <cfvo type="max"/>
        <color rgb="FFF8696B"/>
        <color rgb="FFFFEB84"/>
        <color rgb="FF63BE7B"/>
      </colorScale>
    </cfRule>
  </conditionalFormatting>
  <conditionalFormatting sqref="F28:F32">
    <cfRule type="colorScale" priority="1592">
      <colorScale>
        <cfvo type="min"/>
        <cfvo type="percentile" val="50"/>
        <cfvo type="max"/>
        <color rgb="FFF8696B"/>
        <color rgb="FFFFEB84"/>
        <color rgb="FF63BE7B"/>
      </colorScale>
    </cfRule>
  </conditionalFormatting>
  <conditionalFormatting sqref="F28:F32">
    <cfRule type="colorScale" priority="1591">
      <colorScale>
        <cfvo type="min"/>
        <cfvo type="percentile" val="50"/>
        <cfvo type="max"/>
        <color rgb="FFF8696B"/>
        <color rgb="FFFFEB84"/>
        <color rgb="FF63BE7B"/>
      </colorScale>
    </cfRule>
  </conditionalFormatting>
  <conditionalFormatting sqref="F28:F32">
    <cfRule type="colorScale" priority="1590">
      <colorScale>
        <cfvo type="min"/>
        <cfvo type="percentile" val="50"/>
        <cfvo type="max"/>
        <color rgb="FFF8696B"/>
        <color rgb="FFFFEB84"/>
        <color rgb="FF63BE7B"/>
      </colorScale>
    </cfRule>
  </conditionalFormatting>
  <conditionalFormatting sqref="F28:F32">
    <cfRule type="colorScale" priority="1589">
      <colorScale>
        <cfvo type="min"/>
        <cfvo type="percentile" val="50"/>
        <cfvo type="max"/>
        <color rgb="FFF8696B"/>
        <color rgb="FFFFEB84"/>
        <color rgb="FF63BE7B"/>
      </colorScale>
    </cfRule>
  </conditionalFormatting>
  <conditionalFormatting sqref="F10:F31">
    <cfRule type="colorScale" priority="1588">
      <colorScale>
        <cfvo type="min"/>
        <cfvo type="percentile" val="50"/>
        <cfvo type="max"/>
        <color rgb="FFF8696B"/>
        <color rgb="FFFFEB84"/>
        <color rgb="FF63BE7B"/>
      </colorScale>
    </cfRule>
  </conditionalFormatting>
  <conditionalFormatting sqref="F10:F21">
    <cfRule type="colorScale" priority="1587">
      <colorScale>
        <cfvo type="min"/>
        <cfvo type="percentile" val="50"/>
        <cfvo type="max"/>
        <color rgb="FFF8696B"/>
        <color rgb="FFFFEB84"/>
        <color rgb="FF63BE7B"/>
      </colorScale>
    </cfRule>
  </conditionalFormatting>
  <conditionalFormatting sqref="F10:F32">
    <cfRule type="colorScale" priority="1586">
      <colorScale>
        <cfvo type="min"/>
        <cfvo type="percentile" val="50"/>
        <cfvo type="max"/>
        <color rgb="FFF8696B"/>
        <color rgb="FFFFEB84"/>
        <color rgb="FF63BE7B"/>
      </colorScale>
    </cfRule>
  </conditionalFormatting>
  <conditionalFormatting sqref="F10:F32">
    <cfRule type="colorScale" priority="1585">
      <colorScale>
        <cfvo type="min"/>
        <cfvo type="percentile" val="50"/>
        <cfvo type="max"/>
        <color rgb="FFF8696B"/>
        <color rgb="FFFFEB84"/>
        <color rgb="FF63BE7B"/>
      </colorScale>
    </cfRule>
  </conditionalFormatting>
  <conditionalFormatting sqref="F10:F32">
    <cfRule type="colorScale" priority="1584">
      <colorScale>
        <cfvo type="min"/>
        <cfvo type="percentile" val="50"/>
        <cfvo type="max"/>
        <color rgb="FFF8696B"/>
        <color rgb="FFFFEB84"/>
        <color rgb="FF63BE7B"/>
      </colorScale>
    </cfRule>
  </conditionalFormatting>
  <conditionalFormatting sqref="J10:K32">
    <cfRule type="colorScale" priority="1583">
      <colorScale>
        <cfvo type="min"/>
        <cfvo type="percentile" val="50"/>
        <cfvo type="max"/>
        <color rgb="FFF8696B"/>
        <color rgb="FFFFEB84"/>
        <color rgb="FF63BE7B"/>
      </colorScale>
    </cfRule>
  </conditionalFormatting>
  <conditionalFormatting sqref="J10:J31">
    <cfRule type="colorScale" priority="1582">
      <colorScale>
        <cfvo type="min"/>
        <cfvo type="percentile" val="50"/>
        <cfvo type="max"/>
        <color rgb="FFF8696B"/>
        <color rgb="FFFFEB84"/>
        <color rgb="FF63BE7B"/>
      </colorScale>
    </cfRule>
  </conditionalFormatting>
  <conditionalFormatting sqref="J10:J21">
    <cfRule type="colorScale" priority="1581">
      <colorScale>
        <cfvo type="min"/>
        <cfvo type="percentile" val="50"/>
        <cfvo type="max"/>
        <color rgb="FFF8696B"/>
        <color rgb="FFFFEB84"/>
        <color rgb="FF63BE7B"/>
      </colorScale>
    </cfRule>
  </conditionalFormatting>
  <conditionalFormatting sqref="J14:J18">
    <cfRule type="colorScale" priority="1580">
      <colorScale>
        <cfvo type="min"/>
        <cfvo type="percentile" val="50"/>
        <cfvo type="max"/>
        <color rgb="FFF8696B"/>
        <color rgb="FFFFEB84"/>
        <color rgb="FF63BE7B"/>
      </colorScale>
    </cfRule>
  </conditionalFormatting>
  <conditionalFormatting sqref="J32">
    <cfRule type="colorScale" priority="1579">
      <colorScale>
        <cfvo type="min"/>
        <cfvo type="percentile" val="50"/>
        <cfvo type="max"/>
        <color rgb="FFF8696B"/>
        <color rgb="FFFFEB84"/>
        <color rgb="FF63BE7B"/>
      </colorScale>
    </cfRule>
  </conditionalFormatting>
  <conditionalFormatting sqref="K10:K32">
    <cfRule type="colorScale" priority="1578">
      <colorScale>
        <cfvo type="min"/>
        <cfvo type="percentile" val="50"/>
        <cfvo type="max"/>
        <color rgb="FFF8696B"/>
        <color rgb="FFFFEB84"/>
        <color rgb="FF63BE7B"/>
      </colorScale>
    </cfRule>
  </conditionalFormatting>
  <conditionalFormatting sqref="J32">
    <cfRule type="colorScale" priority="1577">
      <colorScale>
        <cfvo type="min"/>
        <cfvo type="percentile" val="50"/>
        <cfvo type="max"/>
        <color rgb="FFF8696B"/>
        <color rgb="FFFFEB84"/>
        <color rgb="FF63BE7B"/>
      </colorScale>
    </cfRule>
  </conditionalFormatting>
  <conditionalFormatting sqref="J32">
    <cfRule type="colorScale" priority="1576">
      <colorScale>
        <cfvo type="min"/>
        <cfvo type="percentile" val="50"/>
        <cfvo type="max"/>
        <color rgb="FFF8696B"/>
        <color rgb="FFFFEB84"/>
        <color rgb="FF63BE7B"/>
      </colorScale>
    </cfRule>
  </conditionalFormatting>
  <conditionalFormatting sqref="K10:K32">
    <cfRule type="colorScale" priority="1575">
      <colorScale>
        <cfvo type="min"/>
        <cfvo type="percentile" val="50"/>
        <cfvo type="max"/>
        <color rgb="FFF8696B"/>
        <color rgb="FFFFEB84"/>
        <color rgb="FF63BE7B"/>
      </colorScale>
    </cfRule>
  </conditionalFormatting>
  <conditionalFormatting sqref="D10:F32 H10:K32">
    <cfRule type="colorScale" priority="1574">
      <colorScale>
        <cfvo type="min"/>
        <cfvo type="percentile" val="50"/>
        <cfvo type="max"/>
        <color rgb="FFF8696B"/>
        <color rgb="FFFFEB84"/>
        <color rgb="FF63BE7B"/>
      </colorScale>
    </cfRule>
  </conditionalFormatting>
  <conditionalFormatting sqref="D10:E31">
    <cfRule type="colorScale" priority="1573">
      <colorScale>
        <cfvo type="min"/>
        <cfvo type="percentile" val="50"/>
        <cfvo type="max"/>
        <color rgb="FFF8696B"/>
        <color rgb="FFFFEB84"/>
        <color rgb="FF63BE7B"/>
      </colorScale>
    </cfRule>
  </conditionalFormatting>
  <conditionalFormatting sqref="D10:D31">
    <cfRule type="colorScale" priority="1572">
      <colorScale>
        <cfvo type="min"/>
        <cfvo type="percentile" val="50"/>
        <cfvo type="max"/>
        <color rgb="FFF8696B"/>
        <color rgb="FFFFEB84"/>
        <color rgb="FF63BE7B"/>
      </colorScale>
    </cfRule>
  </conditionalFormatting>
  <conditionalFormatting sqref="E10:E31">
    <cfRule type="colorScale" priority="1571">
      <colorScale>
        <cfvo type="min"/>
        <cfvo type="percentile" val="50"/>
        <cfvo type="max"/>
        <color rgb="FFF8696B"/>
        <color rgb="FFFFEB84"/>
        <color rgb="FF63BE7B"/>
      </colorScale>
    </cfRule>
  </conditionalFormatting>
  <conditionalFormatting sqref="D10:D29">
    <cfRule type="colorScale" priority="1570">
      <colorScale>
        <cfvo type="min"/>
        <cfvo type="percentile" val="50"/>
        <cfvo type="max"/>
        <color rgb="FFF8696B"/>
        <color rgb="FFFFEB84"/>
        <color rgb="FF63BE7B"/>
      </colorScale>
    </cfRule>
  </conditionalFormatting>
  <conditionalFormatting sqref="J10:J31">
    <cfRule type="colorScale" priority="1569">
      <colorScale>
        <cfvo type="min"/>
        <cfvo type="percentile" val="50"/>
        <cfvo type="max"/>
        <color rgb="FFF8696B"/>
        <color rgb="FFFFEB84"/>
        <color rgb="FF63BE7B"/>
      </colorScale>
    </cfRule>
  </conditionalFormatting>
  <conditionalFormatting sqref="D10:E21">
    <cfRule type="colorScale" priority="1568">
      <colorScale>
        <cfvo type="min"/>
        <cfvo type="percentile" val="50"/>
        <cfvo type="max"/>
        <color rgb="FFF8696B"/>
        <color rgb="FFFFEB84"/>
        <color rgb="FF63BE7B"/>
      </colorScale>
    </cfRule>
  </conditionalFormatting>
  <conditionalFormatting sqref="D10:D21">
    <cfRule type="colorScale" priority="1567">
      <colorScale>
        <cfvo type="min"/>
        <cfvo type="percentile" val="50"/>
        <cfvo type="max"/>
        <color rgb="FFF8696B"/>
        <color rgb="FFFFEB84"/>
        <color rgb="FF63BE7B"/>
      </colorScale>
    </cfRule>
  </conditionalFormatting>
  <conditionalFormatting sqref="E10:E21">
    <cfRule type="colorScale" priority="1566">
      <colorScale>
        <cfvo type="min"/>
        <cfvo type="percentile" val="50"/>
        <cfvo type="max"/>
        <color rgb="FFF8696B"/>
        <color rgb="FFFFEB84"/>
        <color rgb="FF63BE7B"/>
      </colorScale>
    </cfRule>
  </conditionalFormatting>
  <conditionalFormatting sqref="D10:D21">
    <cfRule type="colorScale" priority="1565">
      <colorScale>
        <cfvo type="min"/>
        <cfvo type="percentile" val="50"/>
        <cfvo type="max"/>
        <color rgb="FFF8696B"/>
        <color rgb="FFFFEB84"/>
        <color rgb="FF63BE7B"/>
      </colorScale>
    </cfRule>
  </conditionalFormatting>
  <conditionalFormatting sqref="J10:J21">
    <cfRule type="colorScale" priority="1564">
      <colorScale>
        <cfvo type="min"/>
        <cfvo type="percentile" val="50"/>
        <cfvo type="max"/>
        <color rgb="FFF8696B"/>
        <color rgb="FFFFEB84"/>
        <color rgb="FF63BE7B"/>
      </colorScale>
    </cfRule>
  </conditionalFormatting>
  <conditionalFormatting sqref="D10:E32">
    <cfRule type="colorScale" priority="1563">
      <colorScale>
        <cfvo type="min"/>
        <cfvo type="percentile" val="50"/>
        <cfvo type="max"/>
        <color rgb="FFF8696B"/>
        <color rgb="FFFFEB84"/>
        <color rgb="FF63BE7B"/>
      </colorScale>
    </cfRule>
  </conditionalFormatting>
  <conditionalFormatting sqref="D10:D32">
    <cfRule type="colorScale" priority="1562">
      <colorScale>
        <cfvo type="min"/>
        <cfvo type="percentile" val="50"/>
        <cfvo type="max"/>
        <color rgb="FFF8696B"/>
        <color rgb="FFFFEB84"/>
        <color rgb="FF63BE7B"/>
      </colorScale>
    </cfRule>
  </conditionalFormatting>
  <conditionalFormatting sqref="D10:D29">
    <cfRule type="colorScale" priority="1561">
      <colorScale>
        <cfvo type="min"/>
        <cfvo type="percentile" val="50"/>
        <cfvo type="max"/>
        <color rgb="FFF8696B"/>
        <color rgb="FFFFEB84"/>
        <color rgb="FF63BE7B"/>
      </colorScale>
    </cfRule>
  </conditionalFormatting>
  <conditionalFormatting sqref="D29:D31">
    <cfRule type="colorScale" priority="1560">
      <colorScale>
        <cfvo type="min"/>
        <cfvo type="percentile" val="50"/>
        <cfvo type="max"/>
        <color rgb="FFF8696B"/>
        <color rgb="FFFFEB84"/>
        <color rgb="FF63BE7B"/>
      </colorScale>
    </cfRule>
  </conditionalFormatting>
  <conditionalFormatting sqref="D32">
    <cfRule type="colorScale" priority="1559">
      <colorScale>
        <cfvo type="min"/>
        <cfvo type="percentile" val="50"/>
        <cfvo type="max"/>
        <color rgb="FFF8696B"/>
        <color rgb="FFFFEB84"/>
        <color rgb="FF63BE7B"/>
      </colorScale>
    </cfRule>
  </conditionalFormatting>
  <conditionalFormatting sqref="D11:D31">
    <cfRule type="colorScale" priority="1558">
      <colorScale>
        <cfvo type="min"/>
        <cfvo type="percentile" val="50"/>
        <cfvo type="max"/>
        <color rgb="FFF8696B"/>
        <color rgb="FFFFEB84"/>
        <color rgb="FF63BE7B"/>
      </colorScale>
    </cfRule>
  </conditionalFormatting>
  <conditionalFormatting sqref="D11:D29">
    <cfRule type="colorScale" priority="1557">
      <colorScale>
        <cfvo type="min"/>
        <cfvo type="percentile" val="50"/>
        <cfvo type="max"/>
        <color rgb="FFF8696B"/>
        <color rgb="FFFFEB84"/>
        <color rgb="FF63BE7B"/>
      </colorScale>
    </cfRule>
  </conditionalFormatting>
  <conditionalFormatting sqref="E10:E27">
    <cfRule type="colorScale" priority="1556">
      <colorScale>
        <cfvo type="min"/>
        <cfvo type="percentile" val="50"/>
        <cfvo type="max"/>
        <color rgb="FFF8696B"/>
        <color rgb="FFFFEB84"/>
        <color rgb="FF63BE7B"/>
      </colorScale>
    </cfRule>
  </conditionalFormatting>
  <conditionalFormatting sqref="E10:E27">
    <cfRule type="colorScale" priority="1555">
      <colorScale>
        <cfvo type="min"/>
        <cfvo type="percentile" val="50"/>
        <cfvo type="max"/>
        <color rgb="FFF8696B"/>
        <color rgb="FFFFEB84"/>
        <color rgb="FF63BE7B"/>
      </colorScale>
    </cfRule>
  </conditionalFormatting>
  <conditionalFormatting sqref="E22:E27">
    <cfRule type="colorScale" priority="1554">
      <colorScale>
        <cfvo type="min"/>
        <cfvo type="percentile" val="50"/>
        <cfvo type="max"/>
        <color rgb="FFF8696B"/>
        <color rgb="FFFFEB84"/>
        <color rgb="FF63BE7B"/>
      </colorScale>
    </cfRule>
  </conditionalFormatting>
  <conditionalFormatting sqref="E25">
    <cfRule type="colorScale" priority="1553">
      <colorScale>
        <cfvo type="min"/>
        <cfvo type="percentile" val="50"/>
        <cfvo type="max"/>
        <color rgb="FFF8696B"/>
        <color rgb="FFFFEB84"/>
        <color rgb="FF63BE7B"/>
      </colorScale>
    </cfRule>
  </conditionalFormatting>
  <conditionalFormatting sqref="F13:F20">
    <cfRule type="colorScale" priority="1552">
      <colorScale>
        <cfvo type="min"/>
        <cfvo type="percentile" val="50"/>
        <cfvo type="max"/>
        <color rgb="FFF8696B"/>
        <color rgb="FFFFEB84"/>
        <color rgb="FF63BE7B"/>
      </colorScale>
    </cfRule>
  </conditionalFormatting>
  <conditionalFormatting sqref="F13:F20">
    <cfRule type="colorScale" priority="1551">
      <colorScale>
        <cfvo type="min"/>
        <cfvo type="percentile" val="50"/>
        <cfvo type="max"/>
        <color rgb="FFF8696B"/>
        <color rgb="FFFFEB84"/>
        <color rgb="FF63BE7B"/>
      </colorScale>
    </cfRule>
  </conditionalFormatting>
  <conditionalFormatting sqref="F13:F20">
    <cfRule type="colorScale" priority="1550">
      <colorScale>
        <cfvo type="min"/>
        <cfvo type="percentile" val="50"/>
        <cfvo type="max"/>
        <color rgb="FFF8696B"/>
        <color rgb="FFFFEB84"/>
        <color rgb="FF63BE7B"/>
      </colorScale>
    </cfRule>
  </conditionalFormatting>
  <conditionalFormatting sqref="F13:F20">
    <cfRule type="colorScale" priority="1549">
      <colorScale>
        <cfvo type="min"/>
        <cfvo type="percentile" val="50"/>
        <cfvo type="max"/>
        <color rgb="FFF8696B"/>
        <color rgb="FFFFEB84"/>
        <color rgb="FF63BE7B"/>
      </colorScale>
    </cfRule>
  </conditionalFormatting>
  <conditionalFormatting sqref="F13:F20">
    <cfRule type="colorScale" priority="1548">
      <colorScale>
        <cfvo type="min"/>
        <cfvo type="percentile" val="50"/>
        <cfvo type="max"/>
        <color rgb="FFF8696B"/>
        <color rgb="FFFFEB84"/>
        <color rgb="FF63BE7B"/>
      </colorScale>
    </cfRule>
  </conditionalFormatting>
  <conditionalFormatting sqref="F13:F20">
    <cfRule type="colorScale" priority="1547">
      <colorScale>
        <cfvo type="min"/>
        <cfvo type="percentile" val="50"/>
        <cfvo type="max"/>
        <color rgb="FFF8696B"/>
        <color rgb="FFFFEB84"/>
        <color rgb="FF63BE7B"/>
      </colorScale>
    </cfRule>
  </conditionalFormatting>
  <conditionalFormatting sqref="F13:F20">
    <cfRule type="colorScale" priority="1546">
      <colorScale>
        <cfvo type="min"/>
        <cfvo type="percentile" val="50"/>
        <cfvo type="max"/>
        <color rgb="FFF8696B"/>
        <color rgb="FFFFEB84"/>
        <color rgb="FF63BE7B"/>
      </colorScale>
    </cfRule>
  </conditionalFormatting>
  <conditionalFormatting sqref="F13:F20">
    <cfRule type="colorScale" priority="1545">
      <colorScale>
        <cfvo type="min"/>
        <cfvo type="percentile" val="50"/>
        <cfvo type="max"/>
        <color rgb="FFF8696B"/>
        <color rgb="FFFFEB84"/>
        <color rgb="FF63BE7B"/>
      </colorScale>
    </cfRule>
  </conditionalFormatting>
  <conditionalFormatting sqref="F13:F20">
    <cfRule type="colorScale" priority="1544">
      <colorScale>
        <cfvo type="min"/>
        <cfvo type="percentile" val="50"/>
        <cfvo type="max"/>
        <color rgb="FFF8696B"/>
        <color rgb="FFFFEB84"/>
        <color rgb="FF63BE7B"/>
      </colorScale>
    </cfRule>
  </conditionalFormatting>
  <conditionalFormatting sqref="F13:F20">
    <cfRule type="colorScale" priority="1543">
      <colorScale>
        <cfvo type="min"/>
        <cfvo type="percentile" val="50"/>
        <cfvo type="max"/>
        <color rgb="FFF8696B"/>
        <color rgb="FFFFEB84"/>
        <color rgb="FF63BE7B"/>
      </colorScale>
    </cfRule>
  </conditionalFormatting>
  <conditionalFormatting sqref="F13:F20">
    <cfRule type="colorScale" priority="1542">
      <colorScale>
        <cfvo type="min"/>
        <cfvo type="percentile" val="50"/>
        <cfvo type="max"/>
        <color rgb="FFF8696B"/>
        <color rgb="FFFFEB84"/>
        <color rgb="FF63BE7B"/>
      </colorScale>
    </cfRule>
  </conditionalFormatting>
  <conditionalFormatting sqref="F13:F20">
    <cfRule type="colorScale" priority="1541">
      <colorScale>
        <cfvo type="min"/>
        <cfvo type="percentile" val="50"/>
        <cfvo type="max"/>
        <color rgb="FFF8696B"/>
        <color rgb="FFFFEB84"/>
        <color rgb="FF63BE7B"/>
      </colorScale>
    </cfRule>
  </conditionalFormatting>
  <conditionalFormatting sqref="F13:F20">
    <cfRule type="colorScale" priority="1540">
      <colorScale>
        <cfvo type="min"/>
        <cfvo type="percentile" val="50"/>
        <cfvo type="max"/>
        <color rgb="FFF8696B"/>
        <color rgb="FFFFEB84"/>
        <color rgb="FF63BE7B"/>
      </colorScale>
    </cfRule>
  </conditionalFormatting>
  <conditionalFormatting sqref="F13:F20">
    <cfRule type="colorScale" priority="1539">
      <colorScale>
        <cfvo type="min"/>
        <cfvo type="percentile" val="50"/>
        <cfvo type="max"/>
        <color rgb="FFF8696B"/>
        <color rgb="FFFFEB84"/>
        <color rgb="FF63BE7B"/>
      </colorScale>
    </cfRule>
  </conditionalFormatting>
  <conditionalFormatting sqref="F13:F20">
    <cfRule type="colorScale" priority="1538">
      <colorScale>
        <cfvo type="min"/>
        <cfvo type="percentile" val="50"/>
        <cfvo type="max"/>
        <color rgb="FFF8696B"/>
        <color rgb="FFFFEB84"/>
        <color rgb="FF63BE7B"/>
      </colorScale>
    </cfRule>
  </conditionalFormatting>
  <conditionalFormatting sqref="F13:F20">
    <cfRule type="colorScale" priority="1537">
      <colorScale>
        <cfvo type="min"/>
        <cfvo type="percentile" val="50"/>
        <cfvo type="max"/>
        <color rgb="FFF8696B"/>
        <color rgb="FFFFEB84"/>
        <color rgb="FF63BE7B"/>
      </colorScale>
    </cfRule>
  </conditionalFormatting>
  <conditionalFormatting sqref="F13:F20">
    <cfRule type="colorScale" priority="1536">
      <colorScale>
        <cfvo type="min"/>
        <cfvo type="percentile" val="50"/>
        <cfvo type="max"/>
        <color rgb="FFF8696B"/>
        <color rgb="FFFFEB84"/>
        <color rgb="FF63BE7B"/>
      </colorScale>
    </cfRule>
  </conditionalFormatting>
  <conditionalFormatting sqref="F13:F20">
    <cfRule type="colorScale" priority="1535">
      <colorScale>
        <cfvo type="min"/>
        <cfvo type="percentile" val="50"/>
        <cfvo type="max"/>
        <color rgb="FFF8696B"/>
        <color rgb="FFFFEB84"/>
        <color rgb="FF63BE7B"/>
      </colorScale>
    </cfRule>
  </conditionalFormatting>
  <conditionalFormatting sqref="F13:F20">
    <cfRule type="colorScale" priority="1534">
      <colorScale>
        <cfvo type="min"/>
        <cfvo type="percentile" val="50"/>
        <cfvo type="max"/>
        <color rgb="FFF8696B"/>
        <color rgb="FFFFEB84"/>
        <color rgb="FF63BE7B"/>
      </colorScale>
    </cfRule>
  </conditionalFormatting>
  <conditionalFormatting sqref="F13:F20">
    <cfRule type="colorScale" priority="1533">
      <colorScale>
        <cfvo type="min"/>
        <cfvo type="percentile" val="50"/>
        <cfvo type="max"/>
        <color rgb="FFF8696B"/>
        <color rgb="FFFFEB84"/>
        <color rgb="FF63BE7B"/>
      </colorScale>
    </cfRule>
  </conditionalFormatting>
  <conditionalFormatting sqref="F13:F20">
    <cfRule type="colorScale" priority="1532">
      <colorScale>
        <cfvo type="min"/>
        <cfvo type="percentile" val="50"/>
        <cfvo type="max"/>
        <color rgb="FFF8696B"/>
        <color rgb="FFFFEB84"/>
        <color rgb="FF63BE7B"/>
      </colorScale>
    </cfRule>
  </conditionalFormatting>
  <conditionalFormatting sqref="F13:F20">
    <cfRule type="colorScale" priority="1531">
      <colorScale>
        <cfvo type="min"/>
        <cfvo type="percentile" val="50"/>
        <cfvo type="max"/>
        <color rgb="FFF8696B"/>
        <color rgb="FFFFEB84"/>
        <color rgb="FF63BE7B"/>
      </colorScale>
    </cfRule>
  </conditionalFormatting>
  <conditionalFormatting sqref="F13:F20">
    <cfRule type="colorScale" priority="1530">
      <colorScale>
        <cfvo type="min"/>
        <cfvo type="percentile" val="50"/>
        <cfvo type="max"/>
        <color rgb="FFF8696B"/>
        <color rgb="FFFFEB84"/>
        <color rgb="FF63BE7B"/>
      </colorScale>
    </cfRule>
  </conditionalFormatting>
  <conditionalFormatting sqref="F13:F20">
    <cfRule type="colorScale" priority="1529">
      <colorScale>
        <cfvo type="min"/>
        <cfvo type="percentile" val="50"/>
        <cfvo type="max"/>
        <color rgb="FFF8696B"/>
        <color rgb="FFFFEB84"/>
        <color rgb="FF63BE7B"/>
      </colorScale>
    </cfRule>
  </conditionalFormatting>
  <conditionalFormatting sqref="F13:F20">
    <cfRule type="colorScale" priority="1528">
      <colorScale>
        <cfvo type="min"/>
        <cfvo type="percentile" val="50"/>
        <cfvo type="max"/>
        <color rgb="FFF8696B"/>
        <color rgb="FFFFEB84"/>
        <color rgb="FF63BE7B"/>
      </colorScale>
    </cfRule>
  </conditionalFormatting>
  <conditionalFormatting sqref="F13:F20">
    <cfRule type="colorScale" priority="1527">
      <colorScale>
        <cfvo type="min"/>
        <cfvo type="percentile" val="50"/>
        <cfvo type="max"/>
        <color rgb="FFF8696B"/>
        <color rgb="FFFFEB84"/>
        <color rgb="FF63BE7B"/>
      </colorScale>
    </cfRule>
  </conditionalFormatting>
  <conditionalFormatting sqref="F13:F20">
    <cfRule type="colorScale" priority="1526">
      <colorScale>
        <cfvo type="min"/>
        <cfvo type="percentile" val="50"/>
        <cfvo type="max"/>
        <color rgb="FFF8696B"/>
        <color rgb="FFFFEB84"/>
        <color rgb="FF63BE7B"/>
      </colorScale>
    </cfRule>
  </conditionalFormatting>
  <conditionalFormatting sqref="F13:F20">
    <cfRule type="colorScale" priority="1525">
      <colorScale>
        <cfvo type="min"/>
        <cfvo type="percentile" val="50"/>
        <cfvo type="max"/>
        <color rgb="FFF8696B"/>
        <color rgb="FFFFEB84"/>
        <color rgb="FF63BE7B"/>
      </colorScale>
    </cfRule>
  </conditionalFormatting>
  <conditionalFormatting sqref="F13:F20">
    <cfRule type="colorScale" priority="1524">
      <colorScale>
        <cfvo type="min"/>
        <cfvo type="percentile" val="50"/>
        <cfvo type="max"/>
        <color rgb="FFF8696B"/>
        <color rgb="FFFFEB84"/>
        <color rgb="FF63BE7B"/>
      </colorScale>
    </cfRule>
  </conditionalFormatting>
  <conditionalFormatting sqref="F13:F20">
    <cfRule type="colorScale" priority="1523">
      <colorScale>
        <cfvo type="min"/>
        <cfvo type="percentile" val="50"/>
        <cfvo type="max"/>
        <color rgb="FFF8696B"/>
        <color rgb="FFFFEB84"/>
        <color rgb="FF63BE7B"/>
      </colorScale>
    </cfRule>
  </conditionalFormatting>
  <conditionalFormatting sqref="F13:F20">
    <cfRule type="colorScale" priority="1522">
      <colorScale>
        <cfvo type="min"/>
        <cfvo type="percentile" val="50"/>
        <cfvo type="max"/>
        <color rgb="FFF8696B"/>
        <color rgb="FFFFEB84"/>
        <color rgb="FF63BE7B"/>
      </colorScale>
    </cfRule>
  </conditionalFormatting>
  <conditionalFormatting sqref="F13:F20">
    <cfRule type="colorScale" priority="1521">
      <colorScale>
        <cfvo type="min"/>
        <cfvo type="percentile" val="50"/>
        <cfvo type="max"/>
        <color rgb="FFF8696B"/>
        <color rgb="FFFFEB84"/>
        <color rgb="FF63BE7B"/>
      </colorScale>
    </cfRule>
  </conditionalFormatting>
  <conditionalFormatting sqref="F13:F20">
    <cfRule type="colorScale" priority="1520">
      <colorScale>
        <cfvo type="min"/>
        <cfvo type="percentile" val="50"/>
        <cfvo type="max"/>
        <color rgb="FFF8696B"/>
        <color rgb="FFFFEB84"/>
        <color rgb="FF63BE7B"/>
      </colorScale>
    </cfRule>
  </conditionalFormatting>
  <conditionalFormatting sqref="F13:F20">
    <cfRule type="colorScale" priority="1519">
      <colorScale>
        <cfvo type="min"/>
        <cfvo type="percentile" val="50"/>
        <cfvo type="max"/>
        <color rgb="FFF8696B"/>
        <color rgb="FFFFEB84"/>
        <color rgb="FF63BE7B"/>
      </colorScale>
    </cfRule>
  </conditionalFormatting>
  <conditionalFormatting sqref="F13:F20">
    <cfRule type="colorScale" priority="1518">
      <colorScale>
        <cfvo type="min"/>
        <cfvo type="percentile" val="50"/>
        <cfvo type="max"/>
        <color rgb="FFF8696B"/>
        <color rgb="FFFFEB84"/>
        <color rgb="FF63BE7B"/>
      </colorScale>
    </cfRule>
  </conditionalFormatting>
  <conditionalFormatting sqref="F13:F20">
    <cfRule type="colorScale" priority="1517">
      <colorScale>
        <cfvo type="min"/>
        <cfvo type="percentile" val="50"/>
        <cfvo type="max"/>
        <color rgb="FFF8696B"/>
        <color rgb="FFFFEB84"/>
        <color rgb="FF63BE7B"/>
      </colorScale>
    </cfRule>
  </conditionalFormatting>
  <conditionalFormatting sqref="F13:F20">
    <cfRule type="colorScale" priority="1516">
      <colorScale>
        <cfvo type="min"/>
        <cfvo type="percentile" val="50"/>
        <cfvo type="max"/>
        <color rgb="FFF8696B"/>
        <color rgb="FFFFEB84"/>
        <color rgb="FF63BE7B"/>
      </colorScale>
    </cfRule>
  </conditionalFormatting>
  <conditionalFormatting sqref="F13:F20">
    <cfRule type="colorScale" priority="1515">
      <colorScale>
        <cfvo type="min"/>
        <cfvo type="percentile" val="50"/>
        <cfvo type="max"/>
        <color rgb="FFF8696B"/>
        <color rgb="FFFFEB84"/>
        <color rgb="FF63BE7B"/>
      </colorScale>
    </cfRule>
  </conditionalFormatting>
  <conditionalFormatting sqref="F13:F20">
    <cfRule type="colorScale" priority="1514">
      <colorScale>
        <cfvo type="min"/>
        <cfvo type="percentile" val="50"/>
        <cfvo type="max"/>
        <color rgb="FFF8696B"/>
        <color rgb="FFFFEB84"/>
        <color rgb="FF63BE7B"/>
      </colorScale>
    </cfRule>
  </conditionalFormatting>
  <conditionalFormatting sqref="F13:F20">
    <cfRule type="colorScale" priority="1513">
      <colorScale>
        <cfvo type="min"/>
        <cfvo type="percentile" val="50"/>
        <cfvo type="max"/>
        <color rgb="FFF8696B"/>
        <color rgb="FFFFEB84"/>
        <color rgb="FF63BE7B"/>
      </colorScale>
    </cfRule>
  </conditionalFormatting>
  <conditionalFormatting sqref="F13:F20">
    <cfRule type="colorScale" priority="1512">
      <colorScale>
        <cfvo type="min"/>
        <cfvo type="percentile" val="50"/>
        <cfvo type="max"/>
        <color rgb="FFF8696B"/>
        <color rgb="FFFFEB84"/>
        <color rgb="FF63BE7B"/>
      </colorScale>
    </cfRule>
  </conditionalFormatting>
  <conditionalFormatting sqref="F13:F20">
    <cfRule type="colorScale" priority="1511">
      <colorScale>
        <cfvo type="min"/>
        <cfvo type="percentile" val="50"/>
        <cfvo type="max"/>
        <color rgb="FFF8696B"/>
        <color rgb="FFFFEB84"/>
        <color rgb="FF63BE7B"/>
      </colorScale>
    </cfRule>
  </conditionalFormatting>
  <conditionalFormatting sqref="F13:F20">
    <cfRule type="colorScale" priority="1510">
      <colorScale>
        <cfvo type="min"/>
        <cfvo type="percentile" val="50"/>
        <cfvo type="max"/>
        <color rgb="FFF8696B"/>
        <color rgb="FFFFEB84"/>
        <color rgb="FF63BE7B"/>
      </colorScale>
    </cfRule>
  </conditionalFormatting>
  <conditionalFormatting sqref="F13:F20">
    <cfRule type="colorScale" priority="1509">
      <colorScale>
        <cfvo type="min"/>
        <cfvo type="percentile" val="50"/>
        <cfvo type="max"/>
        <color rgb="FFF8696B"/>
        <color rgb="FFFFEB84"/>
        <color rgb="FF63BE7B"/>
      </colorScale>
    </cfRule>
  </conditionalFormatting>
  <conditionalFormatting sqref="F13:F20">
    <cfRule type="colorScale" priority="1508">
      <colorScale>
        <cfvo type="min"/>
        <cfvo type="percentile" val="50"/>
        <cfvo type="max"/>
        <color rgb="FFF8696B"/>
        <color rgb="FFFFEB84"/>
        <color rgb="FF63BE7B"/>
      </colorScale>
    </cfRule>
  </conditionalFormatting>
  <conditionalFormatting sqref="F13:F20">
    <cfRule type="colorScale" priority="1507">
      <colorScale>
        <cfvo type="min"/>
        <cfvo type="percentile" val="50"/>
        <cfvo type="max"/>
        <color rgb="FFF8696B"/>
        <color rgb="FFFFEB84"/>
        <color rgb="FF63BE7B"/>
      </colorScale>
    </cfRule>
  </conditionalFormatting>
  <conditionalFormatting sqref="F13:F20">
    <cfRule type="colorScale" priority="1506">
      <colorScale>
        <cfvo type="min"/>
        <cfvo type="percentile" val="50"/>
        <cfvo type="max"/>
        <color rgb="FFF8696B"/>
        <color rgb="FFFFEB84"/>
        <color rgb="FF63BE7B"/>
      </colorScale>
    </cfRule>
  </conditionalFormatting>
  <conditionalFormatting sqref="F13:F20">
    <cfRule type="colorScale" priority="1505">
      <colorScale>
        <cfvo type="min"/>
        <cfvo type="percentile" val="50"/>
        <cfvo type="max"/>
        <color rgb="FFF8696B"/>
        <color rgb="FFFFEB84"/>
        <color rgb="FF63BE7B"/>
      </colorScale>
    </cfRule>
  </conditionalFormatting>
  <conditionalFormatting sqref="F13:F20">
    <cfRule type="colorScale" priority="1504">
      <colorScale>
        <cfvo type="min"/>
        <cfvo type="percentile" val="50"/>
        <cfvo type="max"/>
        <color rgb="FFF8696B"/>
        <color rgb="FFFFEB84"/>
        <color rgb="FF63BE7B"/>
      </colorScale>
    </cfRule>
  </conditionalFormatting>
  <conditionalFormatting sqref="F13:F20">
    <cfRule type="colorScale" priority="1503">
      <colorScale>
        <cfvo type="min"/>
        <cfvo type="percentile" val="50"/>
        <cfvo type="max"/>
        <color rgb="FFF8696B"/>
        <color rgb="FFFFEB84"/>
        <color rgb="FF63BE7B"/>
      </colorScale>
    </cfRule>
  </conditionalFormatting>
  <conditionalFormatting sqref="F13:F20">
    <cfRule type="colorScale" priority="1502">
      <colorScale>
        <cfvo type="min"/>
        <cfvo type="percentile" val="50"/>
        <cfvo type="max"/>
        <color rgb="FFF8696B"/>
        <color rgb="FFFFEB84"/>
        <color rgb="FF63BE7B"/>
      </colorScale>
    </cfRule>
  </conditionalFormatting>
  <conditionalFormatting sqref="F13:F20">
    <cfRule type="colorScale" priority="1501">
      <colorScale>
        <cfvo type="min"/>
        <cfvo type="percentile" val="50"/>
        <cfvo type="max"/>
        <color rgb="FFF8696B"/>
        <color rgb="FFFFEB84"/>
        <color rgb="FF63BE7B"/>
      </colorScale>
    </cfRule>
  </conditionalFormatting>
  <conditionalFormatting sqref="F13:F20">
    <cfRule type="colorScale" priority="1500">
      <colorScale>
        <cfvo type="min"/>
        <cfvo type="percentile" val="50"/>
        <cfvo type="max"/>
        <color rgb="FFF8696B"/>
        <color rgb="FFFFEB84"/>
        <color rgb="FF63BE7B"/>
      </colorScale>
    </cfRule>
  </conditionalFormatting>
  <conditionalFormatting sqref="F13:F20">
    <cfRule type="colorScale" priority="1499">
      <colorScale>
        <cfvo type="min"/>
        <cfvo type="percentile" val="50"/>
        <cfvo type="max"/>
        <color rgb="FFF8696B"/>
        <color rgb="FFFFEB84"/>
        <color rgb="FF63BE7B"/>
      </colorScale>
    </cfRule>
  </conditionalFormatting>
  <conditionalFormatting sqref="F13:F20">
    <cfRule type="colorScale" priority="1498">
      <colorScale>
        <cfvo type="min"/>
        <cfvo type="percentile" val="50"/>
        <cfvo type="max"/>
        <color rgb="FFF8696B"/>
        <color rgb="FFFFEB84"/>
        <color rgb="FF63BE7B"/>
      </colorScale>
    </cfRule>
  </conditionalFormatting>
  <conditionalFormatting sqref="F13:F20">
    <cfRule type="colorScale" priority="1497">
      <colorScale>
        <cfvo type="min"/>
        <cfvo type="percentile" val="50"/>
        <cfvo type="max"/>
        <color rgb="FFF8696B"/>
        <color rgb="FFFFEB84"/>
        <color rgb="FF63BE7B"/>
      </colorScale>
    </cfRule>
  </conditionalFormatting>
  <conditionalFormatting sqref="F13:F20">
    <cfRule type="colorScale" priority="1496">
      <colorScale>
        <cfvo type="min"/>
        <cfvo type="percentile" val="50"/>
        <cfvo type="max"/>
        <color rgb="FFF8696B"/>
        <color rgb="FFFFEB84"/>
        <color rgb="FF63BE7B"/>
      </colorScale>
    </cfRule>
  </conditionalFormatting>
  <conditionalFormatting sqref="F13:F20">
    <cfRule type="colorScale" priority="1495">
      <colorScale>
        <cfvo type="min"/>
        <cfvo type="percentile" val="50"/>
        <cfvo type="max"/>
        <color rgb="FFF8696B"/>
        <color rgb="FFFFEB84"/>
        <color rgb="FF63BE7B"/>
      </colorScale>
    </cfRule>
  </conditionalFormatting>
  <conditionalFormatting sqref="F13:F20">
    <cfRule type="colorScale" priority="1494">
      <colorScale>
        <cfvo type="min"/>
        <cfvo type="percentile" val="50"/>
        <cfvo type="max"/>
        <color rgb="FFF8696B"/>
        <color rgb="FFFFEB84"/>
        <color rgb="FF63BE7B"/>
      </colorScale>
    </cfRule>
  </conditionalFormatting>
  <conditionalFormatting sqref="F13:F20">
    <cfRule type="colorScale" priority="1493">
      <colorScale>
        <cfvo type="min"/>
        <cfvo type="percentile" val="50"/>
        <cfvo type="max"/>
        <color rgb="FFF8696B"/>
        <color rgb="FFFFEB84"/>
        <color rgb="FF63BE7B"/>
      </colorScale>
    </cfRule>
  </conditionalFormatting>
  <conditionalFormatting sqref="F13:F20">
    <cfRule type="colorScale" priority="1492">
      <colorScale>
        <cfvo type="min"/>
        <cfvo type="percentile" val="50"/>
        <cfvo type="max"/>
        <color rgb="FFF8696B"/>
        <color rgb="FFFFEB84"/>
        <color rgb="FF63BE7B"/>
      </colorScale>
    </cfRule>
  </conditionalFormatting>
  <conditionalFormatting sqref="F13:F20">
    <cfRule type="colorScale" priority="1491">
      <colorScale>
        <cfvo type="min"/>
        <cfvo type="percentile" val="50"/>
        <cfvo type="max"/>
        <color rgb="FFF8696B"/>
        <color rgb="FFFFEB84"/>
        <color rgb="FF63BE7B"/>
      </colorScale>
    </cfRule>
  </conditionalFormatting>
  <conditionalFormatting sqref="F13:F20">
    <cfRule type="colorScale" priority="1490">
      <colorScale>
        <cfvo type="min"/>
        <cfvo type="percentile" val="50"/>
        <cfvo type="max"/>
        <color rgb="FFF8696B"/>
        <color rgb="FFFFEB84"/>
        <color rgb="FF63BE7B"/>
      </colorScale>
    </cfRule>
  </conditionalFormatting>
  <conditionalFormatting sqref="F13:F20">
    <cfRule type="colorScale" priority="1489">
      <colorScale>
        <cfvo type="min"/>
        <cfvo type="percentile" val="50"/>
        <cfvo type="max"/>
        <color rgb="FFF8696B"/>
        <color rgb="FFFFEB84"/>
        <color rgb="FF63BE7B"/>
      </colorScale>
    </cfRule>
  </conditionalFormatting>
  <conditionalFormatting sqref="F13:F20">
    <cfRule type="colorScale" priority="1488">
      <colorScale>
        <cfvo type="min"/>
        <cfvo type="percentile" val="50"/>
        <cfvo type="max"/>
        <color rgb="FFF8696B"/>
        <color rgb="FFFFEB84"/>
        <color rgb="FF63BE7B"/>
      </colorScale>
    </cfRule>
  </conditionalFormatting>
  <conditionalFormatting sqref="F13:F20">
    <cfRule type="colorScale" priority="1487">
      <colorScale>
        <cfvo type="min"/>
        <cfvo type="percentile" val="50"/>
        <cfvo type="max"/>
        <color rgb="FFF8696B"/>
        <color rgb="FFFFEB84"/>
        <color rgb="FF63BE7B"/>
      </colorScale>
    </cfRule>
  </conditionalFormatting>
  <conditionalFormatting sqref="F13:F20">
    <cfRule type="colorScale" priority="1486">
      <colorScale>
        <cfvo type="min"/>
        <cfvo type="percentile" val="50"/>
        <cfvo type="max"/>
        <color rgb="FFF8696B"/>
        <color rgb="FFFFEB84"/>
        <color rgb="FF63BE7B"/>
      </colorScale>
    </cfRule>
  </conditionalFormatting>
  <conditionalFormatting sqref="F13:F20">
    <cfRule type="colorScale" priority="1485">
      <colorScale>
        <cfvo type="min"/>
        <cfvo type="percentile" val="50"/>
        <cfvo type="max"/>
        <color rgb="FFF8696B"/>
        <color rgb="FFFFEB84"/>
        <color rgb="FF63BE7B"/>
      </colorScale>
    </cfRule>
  </conditionalFormatting>
  <conditionalFormatting sqref="F13:F20">
    <cfRule type="colorScale" priority="1484">
      <colorScale>
        <cfvo type="min"/>
        <cfvo type="percentile" val="50"/>
        <cfvo type="max"/>
        <color rgb="FFF8696B"/>
        <color rgb="FFFFEB84"/>
        <color rgb="FF63BE7B"/>
      </colorScale>
    </cfRule>
  </conditionalFormatting>
  <conditionalFormatting sqref="F13:F20">
    <cfRule type="colorScale" priority="1483">
      <colorScale>
        <cfvo type="min"/>
        <cfvo type="percentile" val="50"/>
        <cfvo type="max"/>
        <color rgb="FFF8696B"/>
        <color rgb="FFFFEB84"/>
        <color rgb="FF63BE7B"/>
      </colorScale>
    </cfRule>
  </conditionalFormatting>
  <conditionalFormatting sqref="F13:F20">
    <cfRule type="colorScale" priority="1482">
      <colorScale>
        <cfvo type="min"/>
        <cfvo type="percentile" val="50"/>
        <cfvo type="max"/>
        <color rgb="FFF8696B"/>
        <color rgb="FFFFEB84"/>
        <color rgb="FF63BE7B"/>
      </colorScale>
    </cfRule>
  </conditionalFormatting>
  <conditionalFormatting sqref="F13:F20">
    <cfRule type="colorScale" priority="1481">
      <colorScale>
        <cfvo type="min"/>
        <cfvo type="percentile" val="50"/>
        <cfvo type="max"/>
        <color rgb="FFF8696B"/>
        <color rgb="FFFFEB84"/>
        <color rgb="FF63BE7B"/>
      </colorScale>
    </cfRule>
  </conditionalFormatting>
  <conditionalFormatting sqref="F13:F20">
    <cfRule type="colorScale" priority="1480">
      <colorScale>
        <cfvo type="min"/>
        <cfvo type="percentile" val="50"/>
        <cfvo type="max"/>
        <color rgb="FFF8696B"/>
        <color rgb="FFFFEB84"/>
        <color rgb="FF63BE7B"/>
      </colorScale>
    </cfRule>
  </conditionalFormatting>
  <conditionalFormatting sqref="F13:F20">
    <cfRule type="colorScale" priority="1479">
      <colorScale>
        <cfvo type="min"/>
        <cfvo type="percentile" val="50"/>
        <cfvo type="max"/>
        <color rgb="FFF8696B"/>
        <color rgb="FFFFEB84"/>
        <color rgb="FF63BE7B"/>
      </colorScale>
    </cfRule>
  </conditionalFormatting>
  <conditionalFormatting sqref="F13:F20">
    <cfRule type="colorScale" priority="1478">
      <colorScale>
        <cfvo type="min"/>
        <cfvo type="percentile" val="50"/>
        <cfvo type="max"/>
        <color rgb="FFF8696B"/>
        <color rgb="FFFFEB84"/>
        <color rgb="FF63BE7B"/>
      </colorScale>
    </cfRule>
  </conditionalFormatting>
  <conditionalFormatting sqref="F13:F20">
    <cfRule type="colorScale" priority="1477">
      <colorScale>
        <cfvo type="min"/>
        <cfvo type="percentile" val="50"/>
        <cfvo type="max"/>
        <color rgb="FFF8696B"/>
        <color rgb="FFFFEB84"/>
        <color rgb="FF63BE7B"/>
      </colorScale>
    </cfRule>
  </conditionalFormatting>
  <conditionalFormatting sqref="F13:F20">
    <cfRule type="colorScale" priority="1476">
      <colorScale>
        <cfvo type="min"/>
        <cfvo type="percentile" val="50"/>
        <cfvo type="max"/>
        <color rgb="FFF8696B"/>
        <color rgb="FFFFEB84"/>
        <color rgb="FF63BE7B"/>
      </colorScale>
    </cfRule>
  </conditionalFormatting>
  <conditionalFormatting sqref="F13:F20">
    <cfRule type="colorScale" priority="1475">
      <colorScale>
        <cfvo type="min"/>
        <cfvo type="percentile" val="50"/>
        <cfvo type="max"/>
        <color rgb="FFF8696B"/>
        <color rgb="FFFFEB84"/>
        <color rgb="FF63BE7B"/>
      </colorScale>
    </cfRule>
  </conditionalFormatting>
  <conditionalFormatting sqref="F13:F20">
    <cfRule type="colorScale" priority="1474">
      <colorScale>
        <cfvo type="min"/>
        <cfvo type="percentile" val="50"/>
        <cfvo type="max"/>
        <color rgb="FFF8696B"/>
        <color rgb="FFFFEB84"/>
        <color rgb="FF63BE7B"/>
      </colorScale>
    </cfRule>
  </conditionalFormatting>
  <conditionalFormatting sqref="F13:F20">
    <cfRule type="colorScale" priority="1473">
      <colorScale>
        <cfvo type="min"/>
        <cfvo type="percentile" val="50"/>
        <cfvo type="max"/>
        <color rgb="FFF8696B"/>
        <color rgb="FFFFEB84"/>
        <color rgb="FF63BE7B"/>
      </colorScale>
    </cfRule>
  </conditionalFormatting>
  <conditionalFormatting sqref="F13:F20">
    <cfRule type="colorScale" priority="1472">
      <colorScale>
        <cfvo type="min"/>
        <cfvo type="percentile" val="50"/>
        <cfvo type="max"/>
        <color rgb="FFF8696B"/>
        <color rgb="FFFFEB84"/>
        <color rgb="FF63BE7B"/>
      </colorScale>
    </cfRule>
  </conditionalFormatting>
  <conditionalFormatting sqref="F13:F20">
    <cfRule type="colorScale" priority="1471">
      <colorScale>
        <cfvo type="min"/>
        <cfvo type="percentile" val="50"/>
        <cfvo type="max"/>
        <color rgb="FFF8696B"/>
        <color rgb="FFFFEB84"/>
        <color rgb="FF63BE7B"/>
      </colorScale>
    </cfRule>
  </conditionalFormatting>
  <conditionalFormatting sqref="F13:F20">
    <cfRule type="colorScale" priority="1470">
      <colorScale>
        <cfvo type="min"/>
        <cfvo type="percentile" val="50"/>
        <cfvo type="max"/>
        <color rgb="FFF8696B"/>
        <color rgb="FFFFEB84"/>
        <color rgb="FF63BE7B"/>
      </colorScale>
    </cfRule>
  </conditionalFormatting>
  <conditionalFormatting sqref="F13:F20">
    <cfRule type="colorScale" priority="1469">
      <colorScale>
        <cfvo type="min"/>
        <cfvo type="percentile" val="50"/>
        <cfvo type="max"/>
        <color rgb="FFF8696B"/>
        <color rgb="FFFFEB84"/>
        <color rgb="FF63BE7B"/>
      </colorScale>
    </cfRule>
  </conditionalFormatting>
  <conditionalFormatting sqref="F13:F20">
    <cfRule type="colorScale" priority="1468">
      <colorScale>
        <cfvo type="min"/>
        <cfvo type="percentile" val="50"/>
        <cfvo type="max"/>
        <color rgb="FFF8696B"/>
        <color rgb="FFFFEB84"/>
        <color rgb="FF63BE7B"/>
      </colorScale>
    </cfRule>
  </conditionalFormatting>
  <conditionalFormatting sqref="F13:F20">
    <cfRule type="colorScale" priority="1467">
      <colorScale>
        <cfvo type="min"/>
        <cfvo type="percentile" val="50"/>
        <cfvo type="max"/>
        <color rgb="FFF8696B"/>
        <color rgb="FFFFEB84"/>
        <color rgb="FF63BE7B"/>
      </colorScale>
    </cfRule>
  </conditionalFormatting>
  <conditionalFormatting sqref="F13:F20">
    <cfRule type="colorScale" priority="1466">
      <colorScale>
        <cfvo type="min"/>
        <cfvo type="percentile" val="50"/>
        <cfvo type="max"/>
        <color rgb="FFF8696B"/>
        <color rgb="FFFFEB84"/>
        <color rgb="FF63BE7B"/>
      </colorScale>
    </cfRule>
  </conditionalFormatting>
  <conditionalFormatting sqref="F13:F20">
    <cfRule type="colorScale" priority="1465">
      <colorScale>
        <cfvo type="min"/>
        <cfvo type="percentile" val="50"/>
        <cfvo type="max"/>
        <color rgb="FFF8696B"/>
        <color rgb="FFFFEB84"/>
        <color rgb="FF63BE7B"/>
      </colorScale>
    </cfRule>
  </conditionalFormatting>
  <conditionalFormatting sqref="F13:F20">
    <cfRule type="colorScale" priority="1464">
      <colorScale>
        <cfvo type="min"/>
        <cfvo type="percentile" val="50"/>
        <cfvo type="max"/>
        <color rgb="FFF8696B"/>
        <color rgb="FFFFEB84"/>
        <color rgb="FF63BE7B"/>
      </colorScale>
    </cfRule>
  </conditionalFormatting>
  <conditionalFormatting sqref="F13:F20">
    <cfRule type="colorScale" priority="1463">
      <colorScale>
        <cfvo type="min"/>
        <cfvo type="percentile" val="50"/>
        <cfvo type="max"/>
        <color rgb="FFF8696B"/>
        <color rgb="FFFFEB84"/>
        <color rgb="FF63BE7B"/>
      </colorScale>
    </cfRule>
  </conditionalFormatting>
  <conditionalFormatting sqref="F13:F20">
    <cfRule type="colorScale" priority="1462">
      <colorScale>
        <cfvo type="min"/>
        <cfvo type="percentile" val="50"/>
        <cfvo type="max"/>
        <color rgb="FFF8696B"/>
        <color rgb="FFFFEB84"/>
        <color rgb="FF63BE7B"/>
      </colorScale>
    </cfRule>
  </conditionalFormatting>
  <conditionalFormatting sqref="F13:F20">
    <cfRule type="colorScale" priority="1461">
      <colorScale>
        <cfvo type="min"/>
        <cfvo type="percentile" val="50"/>
        <cfvo type="max"/>
        <color rgb="FFF8696B"/>
        <color rgb="FFFFEB84"/>
        <color rgb="FF63BE7B"/>
      </colorScale>
    </cfRule>
  </conditionalFormatting>
  <conditionalFormatting sqref="F13:F20">
    <cfRule type="colorScale" priority="1460">
      <colorScale>
        <cfvo type="min"/>
        <cfvo type="percentile" val="50"/>
        <cfvo type="max"/>
        <color rgb="FFF8696B"/>
        <color rgb="FFFFEB84"/>
        <color rgb="FF63BE7B"/>
      </colorScale>
    </cfRule>
  </conditionalFormatting>
  <conditionalFormatting sqref="F13:F20">
    <cfRule type="colorScale" priority="1459">
      <colorScale>
        <cfvo type="min"/>
        <cfvo type="percentile" val="50"/>
        <cfvo type="max"/>
        <color rgb="FFF8696B"/>
        <color rgb="FFFFEB84"/>
        <color rgb="FF63BE7B"/>
      </colorScale>
    </cfRule>
  </conditionalFormatting>
  <conditionalFormatting sqref="F13:F20">
    <cfRule type="colorScale" priority="1458">
      <colorScale>
        <cfvo type="min"/>
        <cfvo type="percentile" val="50"/>
        <cfvo type="max"/>
        <color rgb="FFF8696B"/>
        <color rgb="FFFFEB84"/>
        <color rgb="FF63BE7B"/>
      </colorScale>
    </cfRule>
  </conditionalFormatting>
  <conditionalFormatting sqref="F13:F20">
    <cfRule type="colorScale" priority="1457">
      <colorScale>
        <cfvo type="min"/>
        <cfvo type="percentile" val="50"/>
        <cfvo type="max"/>
        <color rgb="FFF8696B"/>
        <color rgb="FFFFEB84"/>
        <color rgb="FF63BE7B"/>
      </colorScale>
    </cfRule>
  </conditionalFormatting>
  <conditionalFormatting sqref="F13:F20">
    <cfRule type="colorScale" priority="1456">
      <colorScale>
        <cfvo type="min"/>
        <cfvo type="percentile" val="50"/>
        <cfvo type="max"/>
        <color rgb="FFF8696B"/>
        <color rgb="FFFFEB84"/>
        <color rgb="FF63BE7B"/>
      </colorScale>
    </cfRule>
  </conditionalFormatting>
  <conditionalFormatting sqref="F13:F20">
    <cfRule type="colorScale" priority="1455">
      <colorScale>
        <cfvo type="min"/>
        <cfvo type="percentile" val="50"/>
        <cfvo type="max"/>
        <color rgb="FFF8696B"/>
        <color rgb="FFFFEB84"/>
        <color rgb="FF63BE7B"/>
      </colorScale>
    </cfRule>
  </conditionalFormatting>
  <conditionalFormatting sqref="F13:F20">
    <cfRule type="colorScale" priority="1454">
      <colorScale>
        <cfvo type="min"/>
        <cfvo type="percentile" val="50"/>
        <cfvo type="max"/>
        <color rgb="FFF8696B"/>
        <color rgb="FFFFEB84"/>
        <color rgb="FF63BE7B"/>
      </colorScale>
    </cfRule>
  </conditionalFormatting>
  <conditionalFormatting sqref="F13:F20">
    <cfRule type="colorScale" priority="1453">
      <colorScale>
        <cfvo type="min"/>
        <cfvo type="percentile" val="50"/>
        <cfvo type="max"/>
        <color rgb="FFF8696B"/>
        <color rgb="FFFFEB84"/>
        <color rgb="FF63BE7B"/>
      </colorScale>
    </cfRule>
  </conditionalFormatting>
  <conditionalFormatting sqref="F13:F20">
    <cfRule type="colorScale" priority="1452">
      <colorScale>
        <cfvo type="min"/>
        <cfvo type="percentile" val="50"/>
        <cfvo type="max"/>
        <color rgb="FFF8696B"/>
        <color rgb="FFFFEB84"/>
        <color rgb="FF63BE7B"/>
      </colorScale>
    </cfRule>
  </conditionalFormatting>
  <conditionalFormatting sqref="F13:F20">
    <cfRule type="colorScale" priority="1451">
      <colorScale>
        <cfvo type="min"/>
        <cfvo type="percentile" val="50"/>
        <cfvo type="max"/>
        <color rgb="FFF8696B"/>
        <color rgb="FFFFEB84"/>
        <color rgb="FF63BE7B"/>
      </colorScale>
    </cfRule>
  </conditionalFormatting>
  <conditionalFormatting sqref="F13:F20">
    <cfRule type="colorScale" priority="1450">
      <colorScale>
        <cfvo type="min"/>
        <cfvo type="percentile" val="50"/>
        <cfvo type="max"/>
        <color rgb="FFF8696B"/>
        <color rgb="FFFFEB84"/>
        <color rgb="FF63BE7B"/>
      </colorScale>
    </cfRule>
  </conditionalFormatting>
  <conditionalFormatting sqref="F13:F20">
    <cfRule type="colorScale" priority="1449">
      <colorScale>
        <cfvo type="min"/>
        <cfvo type="percentile" val="50"/>
        <cfvo type="max"/>
        <color rgb="FFF8696B"/>
        <color rgb="FFFFEB84"/>
        <color rgb="FF63BE7B"/>
      </colorScale>
    </cfRule>
  </conditionalFormatting>
  <conditionalFormatting sqref="F13:F20">
    <cfRule type="colorScale" priority="1448">
      <colorScale>
        <cfvo type="min"/>
        <cfvo type="percentile" val="50"/>
        <cfvo type="max"/>
        <color rgb="FFF8696B"/>
        <color rgb="FFFFEB84"/>
        <color rgb="FF63BE7B"/>
      </colorScale>
    </cfRule>
  </conditionalFormatting>
  <conditionalFormatting sqref="F13:F20">
    <cfRule type="colorScale" priority="1447">
      <colorScale>
        <cfvo type="min"/>
        <cfvo type="percentile" val="50"/>
        <cfvo type="max"/>
        <color rgb="FFF8696B"/>
        <color rgb="FFFFEB84"/>
        <color rgb="FF63BE7B"/>
      </colorScale>
    </cfRule>
  </conditionalFormatting>
  <conditionalFormatting sqref="F13:F20">
    <cfRule type="colorScale" priority="1446">
      <colorScale>
        <cfvo type="min"/>
        <cfvo type="percentile" val="50"/>
        <cfvo type="max"/>
        <color rgb="FFF8696B"/>
        <color rgb="FFFFEB84"/>
        <color rgb="FF63BE7B"/>
      </colorScale>
    </cfRule>
  </conditionalFormatting>
  <conditionalFormatting sqref="F13:F20">
    <cfRule type="colorScale" priority="1445">
      <colorScale>
        <cfvo type="min"/>
        <cfvo type="percentile" val="50"/>
        <cfvo type="max"/>
        <color rgb="FFF8696B"/>
        <color rgb="FFFFEB84"/>
        <color rgb="FF63BE7B"/>
      </colorScale>
    </cfRule>
  </conditionalFormatting>
  <conditionalFormatting sqref="F13:F20">
    <cfRule type="colorScale" priority="1444">
      <colorScale>
        <cfvo type="min"/>
        <cfvo type="percentile" val="50"/>
        <cfvo type="max"/>
        <color rgb="FFF8696B"/>
        <color rgb="FFFFEB84"/>
        <color rgb="FF63BE7B"/>
      </colorScale>
    </cfRule>
  </conditionalFormatting>
  <conditionalFormatting sqref="F13:F20">
    <cfRule type="colorScale" priority="1443">
      <colorScale>
        <cfvo type="min"/>
        <cfvo type="percentile" val="50"/>
        <cfvo type="max"/>
        <color rgb="FFF8696B"/>
        <color rgb="FFFFEB84"/>
        <color rgb="FF63BE7B"/>
      </colorScale>
    </cfRule>
  </conditionalFormatting>
  <conditionalFormatting sqref="F13:F20">
    <cfRule type="colorScale" priority="1442">
      <colorScale>
        <cfvo type="min"/>
        <cfvo type="percentile" val="50"/>
        <cfvo type="max"/>
        <color rgb="FFF8696B"/>
        <color rgb="FFFFEB84"/>
        <color rgb="FF63BE7B"/>
      </colorScale>
    </cfRule>
  </conditionalFormatting>
  <conditionalFormatting sqref="F13:F20">
    <cfRule type="colorScale" priority="1441">
      <colorScale>
        <cfvo type="min"/>
        <cfvo type="percentile" val="50"/>
        <cfvo type="max"/>
        <color rgb="FFF8696B"/>
        <color rgb="FFFFEB84"/>
        <color rgb="FF63BE7B"/>
      </colorScale>
    </cfRule>
  </conditionalFormatting>
  <conditionalFormatting sqref="F13:F20">
    <cfRule type="colorScale" priority="1440">
      <colorScale>
        <cfvo type="min"/>
        <cfvo type="percentile" val="50"/>
        <cfvo type="max"/>
        <color rgb="FFF8696B"/>
        <color rgb="FFFFEB84"/>
        <color rgb="FF63BE7B"/>
      </colorScale>
    </cfRule>
  </conditionalFormatting>
  <conditionalFormatting sqref="F13:F20">
    <cfRule type="colorScale" priority="1439">
      <colorScale>
        <cfvo type="min"/>
        <cfvo type="percentile" val="50"/>
        <cfvo type="max"/>
        <color rgb="FFF8696B"/>
        <color rgb="FFFFEB84"/>
        <color rgb="FF63BE7B"/>
      </colorScale>
    </cfRule>
  </conditionalFormatting>
  <conditionalFormatting sqref="F13:F20">
    <cfRule type="colorScale" priority="1438">
      <colorScale>
        <cfvo type="min"/>
        <cfvo type="percentile" val="50"/>
        <cfvo type="max"/>
        <color rgb="FFF8696B"/>
        <color rgb="FFFFEB84"/>
        <color rgb="FF63BE7B"/>
      </colorScale>
    </cfRule>
  </conditionalFormatting>
  <conditionalFormatting sqref="F13:F20">
    <cfRule type="colorScale" priority="1437">
      <colorScale>
        <cfvo type="min"/>
        <cfvo type="percentile" val="50"/>
        <cfvo type="max"/>
        <color rgb="FFF8696B"/>
        <color rgb="FFFFEB84"/>
        <color rgb="FF63BE7B"/>
      </colorScale>
    </cfRule>
  </conditionalFormatting>
  <conditionalFormatting sqref="F13:F20">
    <cfRule type="colorScale" priority="1436">
      <colorScale>
        <cfvo type="min"/>
        <cfvo type="percentile" val="50"/>
        <cfvo type="max"/>
        <color rgb="FFF8696B"/>
        <color rgb="FFFFEB84"/>
        <color rgb="FF63BE7B"/>
      </colorScale>
    </cfRule>
  </conditionalFormatting>
  <conditionalFormatting sqref="F13:F20">
    <cfRule type="colorScale" priority="1435">
      <colorScale>
        <cfvo type="min"/>
        <cfvo type="percentile" val="50"/>
        <cfvo type="max"/>
        <color rgb="FFF8696B"/>
        <color rgb="FFFFEB84"/>
        <color rgb="FF63BE7B"/>
      </colorScale>
    </cfRule>
  </conditionalFormatting>
  <conditionalFormatting sqref="F13:F20">
    <cfRule type="colorScale" priority="1434">
      <colorScale>
        <cfvo type="min"/>
        <cfvo type="percentile" val="50"/>
        <cfvo type="max"/>
        <color rgb="FFF8696B"/>
        <color rgb="FFFFEB84"/>
        <color rgb="FF63BE7B"/>
      </colorScale>
    </cfRule>
  </conditionalFormatting>
  <conditionalFormatting sqref="F13:F20">
    <cfRule type="colorScale" priority="1433">
      <colorScale>
        <cfvo type="min"/>
        <cfvo type="percentile" val="50"/>
        <cfvo type="max"/>
        <color rgb="FFF8696B"/>
        <color rgb="FFFFEB84"/>
        <color rgb="FF63BE7B"/>
      </colorScale>
    </cfRule>
  </conditionalFormatting>
  <conditionalFormatting sqref="F13:F20">
    <cfRule type="colorScale" priority="1432">
      <colorScale>
        <cfvo type="min"/>
        <cfvo type="percentile" val="50"/>
        <cfvo type="max"/>
        <color rgb="FFF8696B"/>
        <color rgb="FFFFEB84"/>
        <color rgb="FF63BE7B"/>
      </colorScale>
    </cfRule>
  </conditionalFormatting>
  <conditionalFormatting sqref="F13:F20">
    <cfRule type="colorScale" priority="1431">
      <colorScale>
        <cfvo type="min"/>
        <cfvo type="percentile" val="50"/>
        <cfvo type="max"/>
        <color rgb="FFF8696B"/>
        <color rgb="FFFFEB84"/>
        <color rgb="FF63BE7B"/>
      </colorScale>
    </cfRule>
  </conditionalFormatting>
  <conditionalFormatting sqref="F13:F20">
    <cfRule type="colorScale" priority="1430">
      <colorScale>
        <cfvo type="min"/>
        <cfvo type="percentile" val="50"/>
        <cfvo type="max"/>
        <color rgb="FFF8696B"/>
        <color rgb="FFFFEB84"/>
        <color rgb="FF63BE7B"/>
      </colorScale>
    </cfRule>
  </conditionalFormatting>
  <conditionalFormatting sqref="F13:F20">
    <cfRule type="colorScale" priority="1429">
      <colorScale>
        <cfvo type="min"/>
        <cfvo type="percentile" val="50"/>
        <cfvo type="max"/>
        <color rgb="FFF8696B"/>
        <color rgb="FFFFEB84"/>
        <color rgb="FF63BE7B"/>
      </colorScale>
    </cfRule>
  </conditionalFormatting>
  <conditionalFormatting sqref="F13:F20">
    <cfRule type="colorScale" priority="1428">
      <colorScale>
        <cfvo type="min"/>
        <cfvo type="percentile" val="50"/>
        <cfvo type="max"/>
        <color rgb="FFF8696B"/>
        <color rgb="FFFFEB84"/>
        <color rgb="FF63BE7B"/>
      </colorScale>
    </cfRule>
  </conditionalFormatting>
  <conditionalFormatting sqref="F13:F20">
    <cfRule type="colorScale" priority="1427">
      <colorScale>
        <cfvo type="min"/>
        <cfvo type="percentile" val="50"/>
        <cfvo type="max"/>
        <color rgb="FFF8696B"/>
        <color rgb="FFFFEB84"/>
        <color rgb="FF63BE7B"/>
      </colorScale>
    </cfRule>
  </conditionalFormatting>
  <conditionalFormatting sqref="F13:F20">
    <cfRule type="colorScale" priority="1426">
      <colorScale>
        <cfvo type="min"/>
        <cfvo type="percentile" val="50"/>
        <cfvo type="max"/>
        <color rgb="FFF8696B"/>
        <color rgb="FFFFEB84"/>
        <color rgb="FF63BE7B"/>
      </colorScale>
    </cfRule>
  </conditionalFormatting>
  <conditionalFormatting sqref="F13:F20">
    <cfRule type="colorScale" priority="1425">
      <colorScale>
        <cfvo type="min"/>
        <cfvo type="percentile" val="50"/>
        <cfvo type="max"/>
        <color rgb="FFF8696B"/>
        <color rgb="FFFFEB84"/>
        <color rgb="FF63BE7B"/>
      </colorScale>
    </cfRule>
  </conditionalFormatting>
  <conditionalFormatting sqref="F13:F20">
    <cfRule type="colorScale" priority="1424">
      <colorScale>
        <cfvo type="min"/>
        <cfvo type="percentile" val="50"/>
        <cfvo type="max"/>
        <color rgb="FFF8696B"/>
        <color rgb="FFFFEB84"/>
        <color rgb="FF63BE7B"/>
      </colorScale>
    </cfRule>
  </conditionalFormatting>
  <conditionalFormatting sqref="F13:F20">
    <cfRule type="colorScale" priority="1423">
      <colorScale>
        <cfvo type="min"/>
        <cfvo type="percentile" val="50"/>
        <cfvo type="max"/>
        <color rgb="FFF8696B"/>
        <color rgb="FFFFEB84"/>
        <color rgb="FF63BE7B"/>
      </colorScale>
    </cfRule>
  </conditionalFormatting>
  <conditionalFormatting sqref="F13:F20">
    <cfRule type="colorScale" priority="1422">
      <colorScale>
        <cfvo type="min"/>
        <cfvo type="percentile" val="50"/>
        <cfvo type="max"/>
        <color rgb="FFF8696B"/>
        <color rgb="FFFFEB84"/>
        <color rgb="FF63BE7B"/>
      </colorScale>
    </cfRule>
  </conditionalFormatting>
  <conditionalFormatting sqref="F13:F20">
    <cfRule type="colorScale" priority="1421">
      <colorScale>
        <cfvo type="min"/>
        <cfvo type="percentile" val="50"/>
        <cfvo type="max"/>
        <color rgb="FFF8696B"/>
        <color rgb="FFFFEB84"/>
        <color rgb="FF63BE7B"/>
      </colorScale>
    </cfRule>
  </conditionalFormatting>
  <conditionalFormatting sqref="F13:F20">
    <cfRule type="colorScale" priority="1420">
      <colorScale>
        <cfvo type="min"/>
        <cfvo type="percentile" val="50"/>
        <cfvo type="max"/>
        <color rgb="FFF8696B"/>
        <color rgb="FFFFEB84"/>
        <color rgb="FF63BE7B"/>
      </colorScale>
    </cfRule>
  </conditionalFormatting>
  <conditionalFormatting sqref="F13:F20">
    <cfRule type="colorScale" priority="1419">
      <colorScale>
        <cfvo type="min"/>
        <cfvo type="percentile" val="50"/>
        <cfvo type="max"/>
        <color rgb="FFF8696B"/>
        <color rgb="FFFFEB84"/>
        <color rgb="FF63BE7B"/>
      </colorScale>
    </cfRule>
  </conditionalFormatting>
  <conditionalFormatting sqref="F13:F20">
    <cfRule type="colorScale" priority="1418">
      <colorScale>
        <cfvo type="min"/>
        <cfvo type="percentile" val="50"/>
        <cfvo type="max"/>
        <color rgb="FFF8696B"/>
        <color rgb="FFFFEB84"/>
        <color rgb="FF63BE7B"/>
      </colorScale>
    </cfRule>
  </conditionalFormatting>
  <conditionalFormatting sqref="F13:F20">
    <cfRule type="colorScale" priority="1417">
      <colorScale>
        <cfvo type="min"/>
        <cfvo type="percentile" val="50"/>
        <cfvo type="max"/>
        <color rgb="FFF8696B"/>
        <color rgb="FFFFEB84"/>
        <color rgb="FF63BE7B"/>
      </colorScale>
    </cfRule>
  </conditionalFormatting>
  <conditionalFormatting sqref="F13:F20">
    <cfRule type="colorScale" priority="1416">
      <colorScale>
        <cfvo type="min"/>
        <cfvo type="percentile" val="50"/>
        <cfvo type="max"/>
        <color rgb="FFF8696B"/>
        <color rgb="FFFFEB84"/>
        <color rgb="FF63BE7B"/>
      </colorScale>
    </cfRule>
  </conditionalFormatting>
  <conditionalFormatting sqref="F13:F20">
    <cfRule type="colorScale" priority="1415">
      <colorScale>
        <cfvo type="min"/>
        <cfvo type="percentile" val="50"/>
        <cfvo type="max"/>
        <color rgb="FFF8696B"/>
        <color rgb="FFFFEB84"/>
        <color rgb="FF63BE7B"/>
      </colorScale>
    </cfRule>
  </conditionalFormatting>
  <conditionalFormatting sqref="F13:F20">
    <cfRule type="colorScale" priority="1414">
      <colorScale>
        <cfvo type="min"/>
        <cfvo type="percentile" val="50"/>
        <cfvo type="max"/>
        <color rgb="FFF8696B"/>
        <color rgb="FFFFEB84"/>
        <color rgb="FF63BE7B"/>
      </colorScale>
    </cfRule>
  </conditionalFormatting>
  <conditionalFormatting sqref="F13:F20">
    <cfRule type="colorScale" priority="1413">
      <colorScale>
        <cfvo type="min"/>
        <cfvo type="percentile" val="50"/>
        <cfvo type="max"/>
        <color rgb="FFF8696B"/>
        <color rgb="FFFFEB84"/>
        <color rgb="FF63BE7B"/>
      </colorScale>
    </cfRule>
  </conditionalFormatting>
  <conditionalFormatting sqref="F13:F20">
    <cfRule type="colorScale" priority="1412">
      <colorScale>
        <cfvo type="min"/>
        <cfvo type="percentile" val="50"/>
        <cfvo type="max"/>
        <color rgb="FFF8696B"/>
        <color rgb="FFFFEB84"/>
        <color rgb="FF63BE7B"/>
      </colorScale>
    </cfRule>
  </conditionalFormatting>
  <conditionalFormatting sqref="F13:F20">
    <cfRule type="colorScale" priority="1411">
      <colorScale>
        <cfvo type="min"/>
        <cfvo type="percentile" val="50"/>
        <cfvo type="max"/>
        <color rgb="FFF8696B"/>
        <color rgb="FFFFEB84"/>
        <color rgb="FF63BE7B"/>
      </colorScale>
    </cfRule>
  </conditionalFormatting>
  <conditionalFormatting sqref="F13:F20">
    <cfRule type="colorScale" priority="1410">
      <colorScale>
        <cfvo type="min"/>
        <cfvo type="percentile" val="50"/>
        <cfvo type="max"/>
        <color rgb="FFF8696B"/>
        <color rgb="FFFFEB84"/>
        <color rgb="FF63BE7B"/>
      </colorScale>
    </cfRule>
  </conditionalFormatting>
  <conditionalFormatting sqref="F13:F20">
    <cfRule type="colorScale" priority="1409">
      <colorScale>
        <cfvo type="min"/>
        <cfvo type="percentile" val="50"/>
        <cfvo type="max"/>
        <color rgb="FFF8696B"/>
        <color rgb="FFFFEB84"/>
        <color rgb="FF63BE7B"/>
      </colorScale>
    </cfRule>
  </conditionalFormatting>
  <conditionalFormatting sqref="F13:F20">
    <cfRule type="colorScale" priority="1408">
      <colorScale>
        <cfvo type="min"/>
        <cfvo type="percentile" val="50"/>
        <cfvo type="max"/>
        <color rgb="FFF8696B"/>
        <color rgb="FFFFEB84"/>
        <color rgb="FF63BE7B"/>
      </colorScale>
    </cfRule>
  </conditionalFormatting>
  <conditionalFormatting sqref="F13:F20">
    <cfRule type="colorScale" priority="1407">
      <colorScale>
        <cfvo type="min"/>
        <cfvo type="percentile" val="50"/>
        <cfvo type="max"/>
        <color rgb="FFF8696B"/>
        <color rgb="FFFFEB84"/>
        <color rgb="FF63BE7B"/>
      </colorScale>
    </cfRule>
  </conditionalFormatting>
  <conditionalFormatting sqref="F13:F20">
    <cfRule type="colorScale" priority="1406">
      <colorScale>
        <cfvo type="min"/>
        <cfvo type="percentile" val="50"/>
        <cfvo type="max"/>
        <color rgb="FFF8696B"/>
        <color rgb="FFFFEB84"/>
        <color rgb="FF63BE7B"/>
      </colorScale>
    </cfRule>
  </conditionalFormatting>
  <conditionalFormatting sqref="F13:F20">
    <cfRule type="colorScale" priority="1405">
      <colorScale>
        <cfvo type="min"/>
        <cfvo type="percentile" val="50"/>
        <cfvo type="max"/>
        <color rgb="FFF8696B"/>
        <color rgb="FFFFEB84"/>
        <color rgb="FF63BE7B"/>
      </colorScale>
    </cfRule>
  </conditionalFormatting>
  <conditionalFormatting sqref="F13:F20">
    <cfRule type="colorScale" priority="1404">
      <colorScale>
        <cfvo type="min"/>
        <cfvo type="percentile" val="50"/>
        <cfvo type="max"/>
        <color rgb="FFF8696B"/>
        <color rgb="FFFFEB84"/>
        <color rgb="FF63BE7B"/>
      </colorScale>
    </cfRule>
  </conditionalFormatting>
  <conditionalFormatting sqref="F21:F28">
    <cfRule type="colorScale" priority="1403">
      <colorScale>
        <cfvo type="min"/>
        <cfvo type="percentile" val="50"/>
        <cfvo type="max"/>
        <color rgb="FFF8696B"/>
        <color rgb="FFFFEB84"/>
        <color rgb="FF63BE7B"/>
      </colorScale>
    </cfRule>
  </conditionalFormatting>
  <conditionalFormatting sqref="F21:F28">
    <cfRule type="colorScale" priority="1402">
      <colorScale>
        <cfvo type="min"/>
        <cfvo type="percentile" val="50"/>
        <cfvo type="max"/>
        <color rgb="FFF8696B"/>
        <color rgb="FFFFEB84"/>
        <color rgb="FF63BE7B"/>
      </colorScale>
    </cfRule>
  </conditionalFormatting>
  <conditionalFormatting sqref="F21:F28">
    <cfRule type="colorScale" priority="1401">
      <colorScale>
        <cfvo type="min"/>
        <cfvo type="percentile" val="50"/>
        <cfvo type="max"/>
        <color rgb="FFF8696B"/>
        <color rgb="FFFFEB84"/>
        <color rgb="FF63BE7B"/>
      </colorScale>
    </cfRule>
  </conditionalFormatting>
  <conditionalFormatting sqref="F21:F28">
    <cfRule type="colorScale" priority="1400">
      <colorScale>
        <cfvo type="min"/>
        <cfvo type="percentile" val="50"/>
        <cfvo type="max"/>
        <color rgb="FFF8696B"/>
        <color rgb="FFFFEB84"/>
        <color rgb="FF63BE7B"/>
      </colorScale>
    </cfRule>
  </conditionalFormatting>
  <conditionalFormatting sqref="F21:F28">
    <cfRule type="colorScale" priority="1399">
      <colorScale>
        <cfvo type="min"/>
        <cfvo type="percentile" val="50"/>
        <cfvo type="max"/>
        <color rgb="FFF8696B"/>
        <color rgb="FFFFEB84"/>
        <color rgb="FF63BE7B"/>
      </colorScale>
    </cfRule>
  </conditionalFormatting>
  <conditionalFormatting sqref="F21:F28">
    <cfRule type="colorScale" priority="1398">
      <colorScale>
        <cfvo type="min"/>
        <cfvo type="percentile" val="50"/>
        <cfvo type="max"/>
        <color rgb="FFF8696B"/>
        <color rgb="FFFFEB84"/>
        <color rgb="FF63BE7B"/>
      </colorScale>
    </cfRule>
  </conditionalFormatting>
  <conditionalFormatting sqref="F21:F28">
    <cfRule type="colorScale" priority="1397">
      <colorScale>
        <cfvo type="min"/>
        <cfvo type="percentile" val="50"/>
        <cfvo type="max"/>
        <color rgb="FFF8696B"/>
        <color rgb="FFFFEB84"/>
        <color rgb="FF63BE7B"/>
      </colorScale>
    </cfRule>
  </conditionalFormatting>
  <conditionalFormatting sqref="F21:F28">
    <cfRule type="colorScale" priority="1396">
      <colorScale>
        <cfvo type="min"/>
        <cfvo type="percentile" val="50"/>
        <cfvo type="max"/>
        <color rgb="FFF8696B"/>
        <color rgb="FFFFEB84"/>
        <color rgb="FF63BE7B"/>
      </colorScale>
    </cfRule>
  </conditionalFormatting>
  <conditionalFormatting sqref="F21:F28">
    <cfRule type="colorScale" priority="1395">
      <colorScale>
        <cfvo type="min"/>
        <cfvo type="percentile" val="50"/>
        <cfvo type="max"/>
        <color rgb="FFF8696B"/>
        <color rgb="FFFFEB84"/>
        <color rgb="FF63BE7B"/>
      </colorScale>
    </cfRule>
  </conditionalFormatting>
  <conditionalFormatting sqref="F21:F28">
    <cfRule type="colorScale" priority="1394">
      <colorScale>
        <cfvo type="min"/>
        <cfvo type="percentile" val="50"/>
        <cfvo type="max"/>
        <color rgb="FFF8696B"/>
        <color rgb="FFFFEB84"/>
        <color rgb="FF63BE7B"/>
      </colorScale>
    </cfRule>
  </conditionalFormatting>
  <conditionalFormatting sqref="F21:F28">
    <cfRule type="colorScale" priority="1393">
      <colorScale>
        <cfvo type="min"/>
        <cfvo type="percentile" val="50"/>
        <cfvo type="max"/>
        <color rgb="FFF8696B"/>
        <color rgb="FFFFEB84"/>
        <color rgb="FF63BE7B"/>
      </colorScale>
    </cfRule>
  </conditionalFormatting>
  <conditionalFormatting sqref="F21:F28">
    <cfRule type="colorScale" priority="1392">
      <colorScale>
        <cfvo type="min"/>
        <cfvo type="percentile" val="50"/>
        <cfvo type="max"/>
        <color rgb="FFF8696B"/>
        <color rgb="FFFFEB84"/>
        <color rgb="FF63BE7B"/>
      </colorScale>
    </cfRule>
  </conditionalFormatting>
  <conditionalFormatting sqref="F21:F28">
    <cfRule type="colorScale" priority="1391">
      <colorScale>
        <cfvo type="min"/>
        <cfvo type="percentile" val="50"/>
        <cfvo type="max"/>
        <color rgb="FFF8696B"/>
        <color rgb="FFFFEB84"/>
        <color rgb="FF63BE7B"/>
      </colorScale>
    </cfRule>
  </conditionalFormatting>
  <conditionalFormatting sqref="F21:F28">
    <cfRule type="colorScale" priority="1390">
      <colorScale>
        <cfvo type="min"/>
        <cfvo type="percentile" val="50"/>
        <cfvo type="max"/>
        <color rgb="FFF8696B"/>
        <color rgb="FFFFEB84"/>
        <color rgb="FF63BE7B"/>
      </colorScale>
    </cfRule>
  </conditionalFormatting>
  <conditionalFormatting sqref="F21:F28">
    <cfRule type="colorScale" priority="1389">
      <colorScale>
        <cfvo type="min"/>
        <cfvo type="percentile" val="50"/>
        <cfvo type="max"/>
        <color rgb="FFF8696B"/>
        <color rgb="FFFFEB84"/>
        <color rgb="FF63BE7B"/>
      </colorScale>
    </cfRule>
  </conditionalFormatting>
  <conditionalFormatting sqref="F21:F28">
    <cfRule type="colorScale" priority="1388">
      <colorScale>
        <cfvo type="min"/>
        <cfvo type="percentile" val="50"/>
        <cfvo type="max"/>
        <color rgb="FFF8696B"/>
        <color rgb="FFFFEB84"/>
        <color rgb="FF63BE7B"/>
      </colorScale>
    </cfRule>
  </conditionalFormatting>
  <conditionalFormatting sqref="F21:F28">
    <cfRule type="colorScale" priority="1387">
      <colorScale>
        <cfvo type="min"/>
        <cfvo type="percentile" val="50"/>
        <cfvo type="max"/>
        <color rgb="FFF8696B"/>
        <color rgb="FFFFEB84"/>
        <color rgb="FF63BE7B"/>
      </colorScale>
    </cfRule>
  </conditionalFormatting>
  <conditionalFormatting sqref="F21:F28">
    <cfRule type="colorScale" priority="1386">
      <colorScale>
        <cfvo type="min"/>
        <cfvo type="percentile" val="50"/>
        <cfvo type="max"/>
        <color rgb="FFF8696B"/>
        <color rgb="FFFFEB84"/>
        <color rgb="FF63BE7B"/>
      </colorScale>
    </cfRule>
  </conditionalFormatting>
  <conditionalFormatting sqref="F21:F28">
    <cfRule type="colorScale" priority="1385">
      <colorScale>
        <cfvo type="min"/>
        <cfvo type="percentile" val="50"/>
        <cfvo type="max"/>
        <color rgb="FFF8696B"/>
        <color rgb="FFFFEB84"/>
        <color rgb="FF63BE7B"/>
      </colorScale>
    </cfRule>
  </conditionalFormatting>
  <conditionalFormatting sqref="F21:F28">
    <cfRule type="colorScale" priority="1384">
      <colorScale>
        <cfvo type="min"/>
        <cfvo type="percentile" val="50"/>
        <cfvo type="max"/>
        <color rgb="FFF8696B"/>
        <color rgb="FFFFEB84"/>
        <color rgb="FF63BE7B"/>
      </colorScale>
    </cfRule>
  </conditionalFormatting>
  <conditionalFormatting sqref="F21:F28">
    <cfRule type="colorScale" priority="1383">
      <colorScale>
        <cfvo type="min"/>
        <cfvo type="percentile" val="50"/>
        <cfvo type="max"/>
        <color rgb="FFF8696B"/>
        <color rgb="FFFFEB84"/>
        <color rgb="FF63BE7B"/>
      </colorScale>
    </cfRule>
  </conditionalFormatting>
  <conditionalFormatting sqref="F21:F28">
    <cfRule type="colorScale" priority="1382">
      <colorScale>
        <cfvo type="min"/>
        <cfvo type="percentile" val="50"/>
        <cfvo type="max"/>
        <color rgb="FFF8696B"/>
        <color rgb="FFFFEB84"/>
        <color rgb="FF63BE7B"/>
      </colorScale>
    </cfRule>
  </conditionalFormatting>
  <conditionalFormatting sqref="F21:F28">
    <cfRule type="colorScale" priority="1381">
      <colorScale>
        <cfvo type="min"/>
        <cfvo type="percentile" val="50"/>
        <cfvo type="max"/>
        <color rgb="FFF8696B"/>
        <color rgb="FFFFEB84"/>
        <color rgb="FF63BE7B"/>
      </colorScale>
    </cfRule>
  </conditionalFormatting>
  <conditionalFormatting sqref="F21:F28">
    <cfRule type="colorScale" priority="1380">
      <colorScale>
        <cfvo type="min"/>
        <cfvo type="percentile" val="50"/>
        <cfvo type="max"/>
        <color rgb="FFF8696B"/>
        <color rgb="FFFFEB84"/>
        <color rgb="FF63BE7B"/>
      </colorScale>
    </cfRule>
  </conditionalFormatting>
  <conditionalFormatting sqref="F21:F28">
    <cfRule type="colorScale" priority="1379">
      <colorScale>
        <cfvo type="min"/>
        <cfvo type="percentile" val="50"/>
        <cfvo type="max"/>
        <color rgb="FFF8696B"/>
        <color rgb="FFFFEB84"/>
        <color rgb="FF63BE7B"/>
      </colorScale>
    </cfRule>
  </conditionalFormatting>
  <conditionalFormatting sqref="F21:F28">
    <cfRule type="colorScale" priority="1378">
      <colorScale>
        <cfvo type="min"/>
        <cfvo type="percentile" val="50"/>
        <cfvo type="max"/>
        <color rgb="FFF8696B"/>
        <color rgb="FFFFEB84"/>
        <color rgb="FF63BE7B"/>
      </colorScale>
    </cfRule>
  </conditionalFormatting>
  <conditionalFormatting sqref="F21:F28">
    <cfRule type="colorScale" priority="1377">
      <colorScale>
        <cfvo type="min"/>
        <cfvo type="percentile" val="50"/>
        <cfvo type="max"/>
        <color rgb="FFF8696B"/>
        <color rgb="FFFFEB84"/>
        <color rgb="FF63BE7B"/>
      </colorScale>
    </cfRule>
  </conditionalFormatting>
  <conditionalFormatting sqref="F21:F28">
    <cfRule type="colorScale" priority="1376">
      <colorScale>
        <cfvo type="min"/>
        <cfvo type="percentile" val="50"/>
        <cfvo type="max"/>
        <color rgb="FFF8696B"/>
        <color rgb="FFFFEB84"/>
        <color rgb="FF63BE7B"/>
      </colorScale>
    </cfRule>
  </conditionalFormatting>
  <conditionalFormatting sqref="F21:F28">
    <cfRule type="colorScale" priority="1375">
      <colorScale>
        <cfvo type="min"/>
        <cfvo type="percentile" val="50"/>
        <cfvo type="max"/>
        <color rgb="FFF8696B"/>
        <color rgb="FFFFEB84"/>
        <color rgb="FF63BE7B"/>
      </colorScale>
    </cfRule>
  </conditionalFormatting>
  <conditionalFormatting sqref="F21:F28">
    <cfRule type="colorScale" priority="1374">
      <colorScale>
        <cfvo type="min"/>
        <cfvo type="percentile" val="50"/>
        <cfvo type="max"/>
        <color rgb="FFF8696B"/>
        <color rgb="FFFFEB84"/>
        <color rgb="FF63BE7B"/>
      </colorScale>
    </cfRule>
  </conditionalFormatting>
  <conditionalFormatting sqref="F21:F28">
    <cfRule type="colorScale" priority="1373">
      <colorScale>
        <cfvo type="min"/>
        <cfvo type="percentile" val="50"/>
        <cfvo type="max"/>
        <color rgb="FFF8696B"/>
        <color rgb="FFFFEB84"/>
        <color rgb="FF63BE7B"/>
      </colorScale>
    </cfRule>
  </conditionalFormatting>
  <conditionalFormatting sqref="F21:F28">
    <cfRule type="colorScale" priority="1372">
      <colorScale>
        <cfvo type="min"/>
        <cfvo type="percentile" val="50"/>
        <cfvo type="max"/>
        <color rgb="FFF8696B"/>
        <color rgb="FFFFEB84"/>
        <color rgb="FF63BE7B"/>
      </colorScale>
    </cfRule>
  </conditionalFormatting>
  <conditionalFormatting sqref="F21:F28">
    <cfRule type="colorScale" priority="1371">
      <colorScale>
        <cfvo type="min"/>
        <cfvo type="percentile" val="50"/>
        <cfvo type="max"/>
        <color rgb="FFF8696B"/>
        <color rgb="FFFFEB84"/>
        <color rgb="FF63BE7B"/>
      </colorScale>
    </cfRule>
  </conditionalFormatting>
  <conditionalFormatting sqref="F21:F28">
    <cfRule type="colorScale" priority="1370">
      <colorScale>
        <cfvo type="min"/>
        <cfvo type="percentile" val="50"/>
        <cfvo type="max"/>
        <color rgb="FFF8696B"/>
        <color rgb="FFFFEB84"/>
        <color rgb="FF63BE7B"/>
      </colorScale>
    </cfRule>
  </conditionalFormatting>
  <conditionalFormatting sqref="F21:F28">
    <cfRule type="colorScale" priority="1369">
      <colorScale>
        <cfvo type="min"/>
        <cfvo type="percentile" val="50"/>
        <cfvo type="max"/>
        <color rgb="FFF8696B"/>
        <color rgb="FFFFEB84"/>
        <color rgb="FF63BE7B"/>
      </colorScale>
    </cfRule>
  </conditionalFormatting>
  <conditionalFormatting sqref="F21:F28">
    <cfRule type="colorScale" priority="1368">
      <colorScale>
        <cfvo type="min"/>
        <cfvo type="percentile" val="50"/>
        <cfvo type="max"/>
        <color rgb="FFF8696B"/>
        <color rgb="FFFFEB84"/>
        <color rgb="FF63BE7B"/>
      </colorScale>
    </cfRule>
  </conditionalFormatting>
  <conditionalFormatting sqref="F21:F28">
    <cfRule type="colorScale" priority="1367">
      <colorScale>
        <cfvo type="min"/>
        <cfvo type="percentile" val="50"/>
        <cfvo type="max"/>
        <color rgb="FFF8696B"/>
        <color rgb="FFFFEB84"/>
        <color rgb="FF63BE7B"/>
      </colorScale>
    </cfRule>
  </conditionalFormatting>
  <conditionalFormatting sqref="F21:F28">
    <cfRule type="colorScale" priority="1366">
      <colorScale>
        <cfvo type="min"/>
        <cfvo type="percentile" val="50"/>
        <cfvo type="max"/>
        <color rgb="FFF8696B"/>
        <color rgb="FFFFEB84"/>
        <color rgb="FF63BE7B"/>
      </colorScale>
    </cfRule>
  </conditionalFormatting>
  <conditionalFormatting sqref="F21:F28">
    <cfRule type="colorScale" priority="1365">
      <colorScale>
        <cfvo type="min"/>
        <cfvo type="percentile" val="50"/>
        <cfvo type="max"/>
        <color rgb="FFF8696B"/>
        <color rgb="FFFFEB84"/>
        <color rgb="FF63BE7B"/>
      </colorScale>
    </cfRule>
  </conditionalFormatting>
  <conditionalFormatting sqref="F21:F28">
    <cfRule type="colorScale" priority="1364">
      <colorScale>
        <cfvo type="min"/>
        <cfvo type="percentile" val="50"/>
        <cfvo type="max"/>
        <color rgb="FFF8696B"/>
        <color rgb="FFFFEB84"/>
        <color rgb="FF63BE7B"/>
      </colorScale>
    </cfRule>
  </conditionalFormatting>
  <conditionalFormatting sqref="F21:F28">
    <cfRule type="colorScale" priority="1363">
      <colorScale>
        <cfvo type="min"/>
        <cfvo type="percentile" val="50"/>
        <cfvo type="max"/>
        <color rgb="FFF8696B"/>
        <color rgb="FFFFEB84"/>
        <color rgb="FF63BE7B"/>
      </colorScale>
    </cfRule>
  </conditionalFormatting>
  <conditionalFormatting sqref="F21:F28">
    <cfRule type="colorScale" priority="1362">
      <colorScale>
        <cfvo type="min"/>
        <cfvo type="percentile" val="50"/>
        <cfvo type="max"/>
        <color rgb="FFF8696B"/>
        <color rgb="FFFFEB84"/>
        <color rgb="FF63BE7B"/>
      </colorScale>
    </cfRule>
  </conditionalFormatting>
  <conditionalFormatting sqref="F21:F28">
    <cfRule type="colorScale" priority="1361">
      <colorScale>
        <cfvo type="min"/>
        <cfvo type="percentile" val="50"/>
        <cfvo type="max"/>
        <color rgb="FFF8696B"/>
        <color rgb="FFFFEB84"/>
        <color rgb="FF63BE7B"/>
      </colorScale>
    </cfRule>
  </conditionalFormatting>
  <conditionalFormatting sqref="F21:F28">
    <cfRule type="colorScale" priority="1360">
      <colorScale>
        <cfvo type="min"/>
        <cfvo type="percentile" val="50"/>
        <cfvo type="max"/>
        <color rgb="FFF8696B"/>
        <color rgb="FFFFEB84"/>
        <color rgb="FF63BE7B"/>
      </colorScale>
    </cfRule>
  </conditionalFormatting>
  <conditionalFormatting sqref="F21:F28">
    <cfRule type="colorScale" priority="1359">
      <colorScale>
        <cfvo type="min"/>
        <cfvo type="percentile" val="50"/>
        <cfvo type="max"/>
        <color rgb="FFF8696B"/>
        <color rgb="FFFFEB84"/>
        <color rgb="FF63BE7B"/>
      </colorScale>
    </cfRule>
  </conditionalFormatting>
  <conditionalFormatting sqref="F21:F28">
    <cfRule type="colorScale" priority="1358">
      <colorScale>
        <cfvo type="min"/>
        <cfvo type="percentile" val="50"/>
        <cfvo type="max"/>
        <color rgb="FFF8696B"/>
        <color rgb="FFFFEB84"/>
        <color rgb="FF63BE7B"/>
      </colorScale>
    </cfRule>
  </conditionalFormatting>
  <conditionalFormatting sqref="F21:F28">
    <cfRule type="colorScale" priority="1357">
      <colorScale>
        <cfvo type="min"/>
        <cfvo type="percentile" val="50"/>
        <cfvo type="max"/>
        <color rgb="FFF8696B"/>
        <color rgb="FFFFEB84"/>
        <color rgb="FF63BE7B"/>
      </colorScale>
    </cfRule>
  </conditionalFormatting>
  <conditionalFormatting sqref="F21:F28">
    <cfRule type="colorScale" priority="1356">
      <colorScale>
        <cfvo type="min"/>
        <cfvo type="percentile" val="50"/>
        <cfvo type="max"/>
        <color rgb="FFF8696B"/>
        <color rgb="FFFFEB84"/>
        <color rgb="FF63BE7B"/>
      </colorScale>
    </cfRule>
  </conditionalFormatting>
  <conditionalFormatting sqref="F21:F28">
    <cfRule type="colorScale" priority="1355">
      <colorScale>
        <cfvo type="min"/>
        <cfvo type="percentile" val="50"/>
        <cfvo type="max"/>
        <color rgb="FFF8696B"/>
        <color rgb="FFFFEB84"/>
        <color rgb="FF63BE7B"/>
      </colorScale>
    </cfRule>
  </conditionalFormatting>
  <conditionalFormatting sqref="F21:F28">
    <cfRule type="colorScale" priority="1354">
      <colorScale>
        <cfvo type="min"/>
        <cfvo type="percentile" val="50"/>
        <cfvo type="max"/>
        <color rgb="FFF8696B"/>
        <color rgb="FFFFEB84"/>
        <color rgb="FF63BE7B"/>
      </colorScale>
    </cfRule>
  </conditionalFormatting>
  <conditionalFormatting sqref="F21:F28">
    <cfRule type="colorScale" priority="1353">
      <colorScale>
        <cfvo type="min"/>
        <cfvo type="percentile" val="50"/>
        <cfvo type="max"/>
        <color rgb="FFF8696B"/>
        <color rgb="FFFFEB84"/>
        <color rgb="FF63BE7B"/>
      </colorScale>
    </cfRule>
  </conditionalFormatting>
  <conditionalFormatting sqref="F21:F28">
    <cfRule type="colorScale" priority="1352">
      <colorScale>
        <cfvo type="min"/>
        <cfvo type="percentile" val="50"/>
        <cfvo type="max"/>
        <color rgb="FFF8696B"/>
        <color rgb="FFFFEB84"/>
        <color rgb="FF63BE7B"/>
      </colorScale>
    </cfRule>
  </conditionalFormatting>
  <conditionalFormatting sqref="F21:F28">
    <cfRule type="colorScale" priority="1351">
      <colorScale>
        <cfvo type="min"/>
        <cfvo type="percentile" val="50"/>
        <cfvo type="max"/>
        <color rgb="FFF8696B"/>
        <color rgb="FFFFEB84"/>
        <color rgb="FF63BE7B"/>
      </colorScale>
    </cfRule>
  </conditionalFormatting>
  <conditionalFormatting sqref="F21:F28">
    <cfRule type="colorScale" priority="1350">
      <colorScale>
        <cfvo type="min"/>
        <cfvo type="percentile" val="50"/>
        <cfvo type="max"/>
        <color rgb="FFF8696B"/>
        <color rgb="FFFFEB84"/>
        <color rgb="FF63BE7B"/>
      </colorScale>
    </cfRule>
  </conditionalFormatting>
  <conditionalFormatting sqref="F21:F28">
    <cfRule type="colorScale" priority="1349">
      <colorScale>
        <cfvo type="min"/>
        <cfvo type="percentile" val="50"/>
        <cfvo type="max"/>
        <color rgb="FFF8696B"/>
        <color rgb="FFFFEB84"/>
        <color rgb="FF63BE7B"/>
      </colorScale>
    </cfRule>
  </conditionalFormatting>
  <conditionalFormatting sqref="F21:F28">
    <cfRule type="colorScale" priority="1348">
      <colorScale>
        <cfvo type="min"/>
        <cfvo type="percentile" val="50"/>
        <cfvo type="max"/>
        <color rgb="FFF8696B"/>
        <color rgb="FFFFEB84"/>
        <color rgb="FF63BE7B"/>
      </colorScale>
    </cfRule>
  </conditionalFormatting>
  <conditionalFormatting sqref="F21:F28">
    <cfRule type="colorScale" priority="1347">
      <colorScale>
        <cfvo type="min"/>
        <cfvo type="percentile" val="50"/>
        <cfvo type="max"/>
        <color rgb="FFF8696B"/>
        <color rgb="FFFFEB84"/>
        <color rgb="FF63BE7B"/>
      </colorScale>
    </cfRule>
  </conditionalFormatting>
  <conditionalFormatting sqref="F21:F28">
    <cfRule type="colorScale" priority="1346">
      <colorScale>
        <cfvo type="min"/>
        <cfvo type="percentile" val="50"/>
        <cfvo type="max"/>
        <color rgb="FFF8696B"/>
        <color rgb="FFFFEB84"/>
        <color rgb="FF63BE7B"/>
      </colorScale>
    </cfRule>
  </conditionalFormatting>
  <conditionalFormatting sqref="F21:F28">
    <cfRule type="colorScale" priority="1345">
      <colorScale>
        <cfvo type="min"/>
        <cfvo type="percentile" val="50"/>
        <cfvo type="max"/>
        <color rgb="FFF8696B"/>
        <color rgb="FFFFEB84"/>
        <color rgb="FF63BE7B"/>
      </colorScale>
    </cfRule>
  </conditionalFormatting>
  <conditionalFormatting sqref="F21:F28">
    <cfRule type="colorScale" priority="1344">
      <colorScale>
        <cfvo type="min"/>
        <cfvo type="percentile" val="50"/>
        <cfvo type="max"/>
        <color rgb="FFF8696B"/>
        <color rgb="FFFFEB84"/>
        <color rgb="FF63BE7B"/>
      </colorScale>
    </cfRule>
  </conditionalFormatting>
  <conditionalFormatting sqref="F21:F28">
    <cfRule type="colorScale" priority="1343">
      <colorScale>
        <cfvo type="min"/>
        <cfvo type="percentile" val="50"/>
        <cfvo type="max"/>
        <color rgb="FFF8696B"/>
        <color rgb="FFFFEB84"/>
        <color rgb="FF63BE7B"/>
      </colorScale>
    </cfRule>
  </conditionalFormatting>
  <conditionalFormatting sqref="F21:F28">
    <cfRule type="colorScale" priority="1342">
      <colorScale>
        <cfvo type="min"/>
        <cfvo type="percentile" val="50"/>
        <cfvo type="max"/>
        <color rgb="FFF8696B"/>
        <color rgb="FFFFEB84"/>
        <color rgb="FF63BE7B"/>
      </colorScale>
    </cfRule>
  </conditionalFormatting>
  <conditionalFormatting sqref="F21:F28">
    <cfRule type="colorScale" priority="1341">
      <colorScale>
        <cfvo type="min"/>
        <cfvo type="percentile" val="50"/>
        <cfvo type="max"/>
        <color rgb="FFF8696B"/>
        <color rgb="FFFFEB84"/>
        <color rgb="FF63BE7B"/>
      </colorScale>
    </cfRule>
  </conditionalFormatting>
  <conditionalFormatting sqref="F21:F28">
    <cfRule type="colorScale" priority="1340">
      <colorScale>
        <cfvo type="min"/>
        <cfvo type="percentile" val="50"/>
        <cfvo type="max"/>
        <color rgb="FFF8696B"/>
        <color rgb="FFFFEB84"/>
        <color rgb="FF63BE7B"/>
      </colorScale>
    </cfRule>
  </conditionalFormatting>
  <conditionalFormatting sqref="F21:F28">
    <cfRule type="colorScale" priority="1339">
      <colorScale>
        <cfvo type="min"/>
        <cfvo type="percentile" val="50"/>
        <cfvo type="max"/>
        <color rgb="FFF8696B"/>
        <color rgb="FFFFEB84"/>
        <color rgb="FF63BE7B"/>
      </colorScale>
    </cfRule>
  </conditionalFormatting>
  <conditionalFormatting sqref="F21:F28">
    <cfRule type="colorScale" priority="1338">
      <colorScale>
        <cfvo type="min"/>
        <cfvo type="percentile" val="50"/>
        <cfvo type="max"/>
        <color rgb="FFF8696B"/>
        <color rgb="FFFFEB84"/>
        <color rgb="FF63BE7B"/>
      </colorScale>
    </cfRule>
  </conditionalFormatting>
  <conditionalFormatting sqref="F21:F28">
    <cfRule type="colorScale" priority="1337">
      <colorScale>
        <cfvo type="min"/>
        <cfvo type="percentile" val="50"/>
        <cfvo type="max"/>
        <color rgb="FFF8696B"/>
        <color rgb="FFFFEB84"/>
        <color rgb="FF63BE7B"/>
      </colorScale>
    </cfRule>
  </conditionalFormatting>
  <conditionalFormatting sqref="F21:F28">
    <cfRule type="colorScale" priority="1336">
      <colorScale>
        <cfvo type="min"/>
        <cfvo type="percentile" val="50"/>
        <cfvo type="max"/>
        <color rgb="FFF8696B"/>
        <color rgb="FFFFEB84"/>
        <color rgb="FF63BE7B"/>
      </colorScale>
    </cfRule>
  </conditionalFormatting>
  <conditionalFormatting sqref="F21:F28">
    <cfRule type="colorScale" priority="1335">
      <colorScale>
        <cfvo type="min"/>
        <cfvo type="percentile" val="50"/>
        <cfvo type="max"/>
        <color rgb="FFF8696B"/>
        <color rgb="FFFFEB84"/>
        <color rgb="FF63BE7B"/>
      </colorScale>
    </cfRule>
  </conditionalFormatting>
  <conditionalFormatting sqref="F21:F28">
    <cfRule type="colorScale" priority="1334">
      <colorScale>
        <cfvo type="min"/>
        <cfvo type="percentile" val="50"/>
        <cfvo type="max"/>
        <color rgb="FFF8696B"/>
        <color rgb="FFFFEB84"/>
        <color rgb="FF63BE7B"/>
      </colorScale>
    </cfRule>
  </conditionalFormatting>
  <conditionalFormatting sqref="F21:F28">
    <cfRule type="colorScale" priority="1333">
      <colorScale>
        <cfvo type="min"/>
        <cfvo type="percentile" val="50"/>
        <cfvo type="max"/>
        <color rgb="FFF8696B"/>
        <color rgb="FFFFEB84"/>
        <color rgb="FF63BE7B"/>
      </colorScale>
    </cfRule>
  </conditionalFormatting>
  <conditionalFormatting sqref="F21:F28">
    <cfRule type="colorScale" priority="1332">
      <colorScale>
        <cfvo type="min"/>
        <cfvo type="percentile" val="50"/>
        <cfvo type="max"/>
        <color rgb="FFF8696B"/>
        <color rgb="FFFFEB84"/>
        <color rgb="FF63BE7B"/>
      </colorScale>
    </cfRule>
  </conditionalFormatting>
  <conditionalFormatting sqref="F21:F28">
    <cfRule type="colorScale" priority="1331">
      <colorScale>
        <cfvo type="min"/>
        <cfvo type="percentile" val="50"/>
        <cfvo type="max"/>
        <color rgb="FFF8696B"/>
        <color rgb="FFFFEB84"/>
        <color rgb="FF63BE7B"/>
      </colorScale>
    </cfRule>
  </conditionalFormatting>
  <conditionalFormatting sqref="F21:F28">
    <cfRule type="colorScale" priority="1330">
      <colorScale>
        <cfvo type="min"/>
        <cfvo type="percentile" val="50"/>
        <cfvo type="max"/>
        <color rgb="FFF8696B"/>
        <color rgb="FFFFEB84"/>
        <color rgb="FF63BE7B"/>
      </colorScale>
    </cfRule>
  </conditionalFormatting>
  <conditionalFormatting sqref="F21:F28">
    <cfRule type="colorScale" priority="1329">
      <colorScale>
        <cfvo type="min"/>
        <cfvo type="percentile" val="50"/>
        <cfvo type="max"/>
        <color rgb="FFF8696B"/>
        <color rgb="FFFFEB84"/>
        <color rgb="FF63BE7B"/>
      </colorScale>
    </cfRule>
  </conditionalFormatting>
  <conditionalFormatting sqref="F21:F28">
    <cfRule type="colorScale" priority="1328">
      <colorScale>
        <cfvo type="min"/>
        <cfvo type="percentile" val="50"/>
        <cfvo type="max"/>
        <color rgb="FFF8696B"/>
        <color rgb="FFFFEB84"/>
        <color rgb="FF63BE7B"/>
      </colorScale>
    </cfRule>
  </conditionalFormatting>
  <conditionalFormatting sqref="F21:F28">
    <cfRule type="colorScale" priority="1327">
      <colorScale>
        <cfvo type="min"/>
        <cfvo type="percentile" val="50"/>
        <cfvo type="max"/>
        <color rgb="FFF8696B"/>
        <color rgb="FFFFEB84"/>
        <color rgb="FF63BE7B"/>
      </colorScale>
    </cfRule>
  </conditionalFormatting>
  <conditionalFormatting sqref="F21:F28">
    <cfRule type="colorScale" priority="1326">
      <colorScale>
        <cfvo type="min"/>
        <cfvo type="percentile" val="50"/>
        <cfvo type="max"/>
        <color rgb="FFF8696B"/>
        <color rgb="FFFFEB84"/>
        <color rgb="FF63BE7B"/>
      </colorScale>
    </cfRule>
  </conditionalFormatting>
  <conditionalFormatting sqref="F21:F28">
    <cfRule type="colorScale" priority="1325">
      <colorScale>
        <cfvo type="min"/>
        <cfvo type="percentile" val="50"/>
        <cfvo type="max"/>
        <color rgb="FFF8696B"/>
        <color rgb="FFFFEB84"/>
        <color rgb="FF63BE7B"/>
      </colorScale>
    </cfRule>
  </conditionalFormatting>
  <conditionalFormatting sqref="F21:F28">
    <cfRule type="colorScale" priority="1324">
      <colorScale>
        <cfvo type="min"/>
        <cfvo type="percentile" val="50"/>
        <cfvo type="max"/>
        <color rgb="FFF8696B"/>
        <color rgb="FFFFEB84"/>
        <color rgb="FF63BE7B"/>
      </colorScale>
    </cfRule>
  </conditionalFormatting>
  <conditionalFormatting sqref="F21:F28">
    <cfRule type="colorScale" priority="1323">
      <colorScale>
        <cfvo type="min"/>
        <cfvo type="percentile" val="50"/>
        <cfvo type="max"/>
        <color rgb="FFF8696B"/>
        <color rgb="FFFFEB84"/>
        <color rgb="FF63BE7B"/>
      </colorScale>
    </cfRule>
  </conditionalFormatting>
  <conditionalFormatting sqref="F21:F28">
    <cfRule type="colorScale" priority="1322">
      <colorScale>
        <cfvo type="min"/>
        <cfvo type="percentile" val="50"/>
        <cfvo type="max"/>
        <color rgb="FFF8696B"/>
        <color rgb="FFFFEB84"/>
        <color rgb="FF63BE7B"/>
      </colorScale>
    </cfRule>
  </conditionalFormatting>
  <conditionalFormatting sqref="F21:F28">
    <cfRule type="colorScale" priority="1321">
      <colorScale>
        <cfvo type="min"/>
        <cfvo type="percentile" val="50"/>
        <cfvo type="max"/>
        <color rgb="FFF8696B"/>
        <color rgb="FFFFEB84"/>
        <color rgb="FF63BE7B"/>
      </colorScale>
    </cfRule>
  </conditionalFormatting>
  <conditionalFormatting sqref="F21:F28">
    <cfRule type="colorScale" priority="1320">
      <colorScale>
        <cfvo type="min"/>
        <cfvo type="percentile" val="50"/>
        <cfvo type="max"/>
        <color rgb="FFF8696B"/>
        <color rgb="FFFFEB84"/>
        <color rgb="FF63BE7B"/>
      </colorScale>
    </cfRule>
  </conditionalFormatting>
  <conditionalFormatting sqref="F21:F28">
    <cfRule type="colorScale" priority="1319">
      <colorScale>
        <cfvo type="min"/>
        <cfvo type="percentile" val="50"/>
        <cfvo type="max"/>
        <color rgb="FFF8696B"/>
        <color rgb="FFFFEB84"/>
        <color rgb="FF63BE7B"/>
      </colorScale>
    </cfRule>
  </conditionalFormatting>
  <conditionalFormatting sqref="F21:F28">
    <cfRule type="colorScale" priority="1318">
      <colorScale>
        <cfvo type="min"/>
        <cfvo type="percentile" val="50"/>
        <cfvo type="max"/>
        <color rgb="FFF8696B"/>
        <color rgb="FFFFEB84"/>
        <color rgb="FF63BE7B"/>
      </colorScale>
    </cfRule>
  </conditionalFormatting>
  <conditionalFormatting sqref="F21:F28">
    <cfRule type="colorScale" priority="1317">
      <colorScale>
        <cfvo type="min"/>
        <cfvo type="percentile" val="50"/>
        <cfvo type="max"/>
        <color rgb="FFF8696B"/>
        <color rgb="FFFFEB84"/>
        <color rgb="FF63BE7B"/>
      </colorScale>
    </cfRule>
  </conditionalFormatting>
  <conditionalFormatting sqref="F21:F28">
    <cfRule type="colorScale" priority="1316">
      <colorScale>
        <cfvo type="min"/>
        <cfvo type="percentile" val="50"/>
        <cfvo type="max"/>
        <color rgb="FFF8696B"/>
        <color rgb="FFFFEB84"/>
        <color rgb="FF63BE7B"/>
      </colorScale>
    </cfRule>
  </conditionalFormatting>
  <conditionalFormatting sqref="F21:F28">
    <cfRule type="colorScale" priority="1315">
      <colorScale>
        <cfvo type="min"/>
        <cfvo type="percentile" val="50"/>
        <cfvo type="max"/>
        <color rgb="FFF8696B"/>
        <color rgb="FFFFEB84"/>
        <color rgb="FF63BE7B"/>
      </colorScale>
    </cfRule>
  </conditionalFormatting>
  <conditionalFormatting sqref="F21:F28">
    <cfRule type="colorScale" priority="1314">
      <colorScale>
        <cfvo type="min"/>
        <cfvo type="percentile" val="50"/>
        <cfvo type="max"/>
        <color rgb="FFF8696B"/>
        <color rgb="FFFFEB84"/>
        <color rgb="FF63BE7B"/>
      </colorScale>
    </cfRule>
  </conditionalFormatting>
  <conditionalFormatting sqref="F21:F28">
    <cfRule type="colorScale" priority="1313">
      <colorScale>
        <cfvo type="min"/>
        <cfvo type="percentile" val="50"/>
        <cfvo type="max"/>
        <color rgb="FFF8696B"/>
        <color rgb="FFFFEB84"/>
        <color rgb="FF63BE7B"/>
      </colorScale>
    </cfRule>
  </conditionalFormatting>
  <conditionalFormatting sqref="F21:F28">
    <cfRule type="colorScale" priority="1312">
      <colorScale>
        <cfvo type="min"/>
        <cfvo type="percentile" val="50"/>
        <cfvo type="max"/>
        <color rgb="FFF8696B"/>
        <color rgb="FFFFEB84"/>
        <color rgb="FF63BE7B"/>
      </colorScale>
    </cfRule>
  </conditionalFormatting>
  <conditionalFormatting sqref="F21:F28">
    <cfRule type="colorScale" priority="1311">
      <colorScale>
        <cfvo type="min"/>
        <cfvo type="percentile" val="50"/>
        <cfvo type="max"/>
        <color rgb="FFF8696B"/>
        <color rgb="FFFFEB84"/>
        <color rgb="FF63BE7B"/>
      </colorScale>
    </cfRule>
  </conditionalFormatting>
  <conditionalFormatting sqref="F21:F28">
    <cfRule type="colorScale" priority="1310">
      <colorScale>
        <cfvo type="min"/>
        <cfvo type="percentile" val="50"/>
        <cfvo type="max"/>
        <color rgb="FFF8696B"/>
        <color rgb="FFFFEB84"/>
        <color rgb="FF63BE7B"/>
      </colorScale>
    </cfRule>
  </conditionalFormatting>
  <conditionalFormatting sqref="F21:F28">
    <cfRule type="colorScale" priority="1309">
      <colorScale>
        <cfvo type="min"/>
        <cfvo type="percentile" val="50"/>
        <cfvo type="max"/>
        <color rgb="FFF8696B"/>
        <color rgb="FFFFEB84"/>
        <color rgb="FF63BE7B"/>
      </colorScale>
    </cfRule>
  </conditionalFormatting>
  <conditionalFormatting sqref="F21:F28">
    <cfRule type="colorScale" priority="1308">
      <colorScale>
        <cfvo type="min"/>
        <cfvo type="percentile" val="50"/>
        <cfvo type="max"/>
        <color rgb="FFF8696B"/>
        <color rgb="FFFFEB84"/>
        <color rgb="FF63BE7B"/>
      </colorScale>
    </cfRule>
  </conditionalFormatting>
  <conditionalFormatting sqref="F21:F28">
    <cfRule type="colorScale" priority="1307">
      <colorScale>
        <cfvo type="min"/>
        <cfvo type="percentile" val="50"/>
        <cfvo type="max"/>
        <color rgb="FFF8696B"/>
        <color rgb="FFFFEB84"/>
        <color rgb="FF63BE7B"/>
      </colorScale>
    </cfRule>
  </conditionalFormatting>
  <conditionalFormatting sqref="F21:F28">
    <cfRule type="colorScale" priority="1306">
      <colorScale>
        <cfvo type="min"/>
        <cfvo type="percentile" val="50"/>
        <cfvo type="max"/>
        <color rgb="FFF8696B"/>
        <color rgb="FFFFEB84"/>
        <color rgb="FF63BE7B"/>
      </colorScale>
    </cfRule>
  </conditionalFormatting>
  <conditionalFormatting sqref="F21:F28">
    <cfRule type="colorScale" priority="1305">
      <colorScale>
        <cfvo type="min"/>
        <cfvo type="percentile" val="50"/>
        <cfvo type="max"/>
        <color rgb="FFF8696B"/>
        <color rgb="FFFFEB84"/>
        <color rgb="FF63BE7B"/>
      </colorScale>
    </cfRule>
  </conditionalFormatting>
  <conditionalFormatting sqref="F21:F28">
    <cfRule type="colorScale" priority="1304">
      <colorScale>
        <cfvo type="min"/>
        <cfvo type="percentile" val="50"/>
        <cfvo type="max"/>
        <color rgb="FFF8696B"/>
        <color rgb="FFFFEB84"/>
        <color rgb="FF63BE7B"/>
      </colorScale>
    </cfRule>
  </conditionalFormatting>
  <conditionalFormatting sqref="F21:F28">
    <cfRule type="colorScale" priority="1303">
      <colorScale>
        <cfvo type="min"/>
        <cfvo type="percentile" val="50"/>
        <cfvo type="max"/>
        <color rgb="FFF8696B"/>
        <color rgb="FFFFEB84"/>
        <color rgb="FF63BE7B"/>
      </colorScale>
    </cfRule>
  </conditionalFormatting>
  <conditionalFormatting sqref="F21:F28">
    <cfRule type="colorScale" priority="1302">
      <colorScale>
        <cfvo type="min"/>
        <cfvo type="percentile" val="50"/>
        <cfvo type="max"/>
        <color rgb="FFF8696B"/>
        <color rgb="FFFFEB84"/>
        <color rgb="FF63BE7B"/>
      </colorScale>
    </cfRule>
  </conditionalFormatting>
  <conditionalFormatting sqref="F21:F28">
    <cfRule type="colorScale" priority="1301">
      <colorScale>
        <cfvo type="min"/>
        <cfvo type="percentile" val="50"/>
        <cfvo type="max"/>
        <color rgb="FFF8696B"/>
        <color rgb="FFFFEB84"/>
        <color rgb="FF63BE7B"/>
      </colorScale>
    </cfRule>
  </conditionalFormatting>
  <conditionalFormatting sqref="F21:F28">
    <cfRule type="colorScale" priority="1300">
      <colorScale>
        <cfvo type="min"/>
        <cfvo type="percentile" val="50"/>
        <cfvo type="max"/>
        <color rgb="FFF8696B"/>
        <color rgb="FFFFEB84"/>
        <color rgb="FF63BE7B"/>
      </colorScale>
    </cfRule>
  </conditionalFormatting>
  <conditionalFormatting sqref="F21:F28">
    <cfRule type="colorScale" priority="1299">
      <colorScale>
        <cfvo type="min"/>
        <cfvo type="percentile" val="50"/>
        <cfvo type="max"/>
        <color rgb="FFF8696B"/>
        <color rgb="FFFFEB84"/>
        <color rgb="FF63BE7B"/>
      </colorScale>
    </cfRule>
  </conditionalFormatting>
  <conditionalFormatting sqref="F21:F28">
    <cfRule type="colorScale" priority="1298">
      <colorScale>
        <cfvo type="min"/>
        <cfvo type="percentile" val="50"/>
        <cfvo type="max"/>
        <color rgb="FFF8696B"/>
        <color rgb="FFFFEB84"/>
        <color rgb="FF63BE7B"/>
      </colorScale>
    </cfRule>
  </conditionalFormatting>
  <conditionalFormatting sqref="F21:F28">
    <cfRule type="colorScale" priority="1297">
      <colorScale>
        <cfvo type="min"/>
        <cfvo type="percentile" val="50"/>
        <cfvo type="max"/>
        <color rgb="FFF8696B"/>
        <color rgb="FFFFEB84"/>
        <color rgb="FF63BE7B"/>
      </colorScale>
    </cfRule>
  </conditionalFormatting>
  <conditionalFormatting sqref="F21:F28">
    <cfRule type="colorScale" priority="1296">
      <colorScale>
        <cfvo type="min"/>
        <cfvo type="percentile" val="50"/>
        <cfvo type="max"/>
        <color rgb="FFF8696B"/>
        <color rgb="FFFFEB84"/>
        <color rgb="FF63BE7B"/>
      </colorScale>
    </cfRule>
  </conditionalFormatting>
  <conditionalFormatting sqref="F21:F28">
    <cfRule type="colorScale" priority="1295">
      <colorScale>
        <cfvo type="min"/>
        <cfvo type="percentile" val="50"/>
        <cfvo type="max"/>
        <color rgb="FFF8696B"/>
        <color rgb="FFFFEB84"/>
        <color rgb="FF63BE7B"/>
      </colorScale>
    </cfRule>
  </conditionalFormatting>
  <conditionalFormatting sqref="F21:F28">
    <cfRule type="colorScale" priority="1294">
      <colorScale>
        <cfvo type="min"/>
        <cfvo type="percentile" val="50"/>
        <cfvo type="max"/>
        <color rgb="FFF8696B"/>
        <color rgb="FFFFEB84"/>
        <color rgb="FF63BE7B"/>
      </colorScale>
    </cfRule>
  </conditionalFormatting>
  <conditionalFormatting sqref="F21:F28">
    <cfRule type="colorScale" priority="1293">
      <colorScale>
        <cfvo type="min"/>
        <cfvo type="percentile" val="50"/>
        <cfvo type="max"/>
        <color rgb="FFF8696B"/>
        <color rgb="FFFFEB84"/>
        <color rgb="FF63BE7B"/>
      </colorScale>
    </cfRule>
  </conditionalFormatting>
  <conditionalFormatting sqref="F21:F28">
    <cfRule type="colorScale" priority="1292">
      <colorScale>
        <cfvo type="min"/>
        <cfvo type="percentile" val="50"/>
        <cfvo type="max"/>
        <color rgb="FFF8696B"/>
        <color rgb="FFFFEB84"/>
        <color rgb="FF63BE7B"/>
      </colorScale>
    </cfRule>
  </conditionalFormatting>
  <conditionalFormatting sqref="F21:F28">
    <cfRule type="colorScale" priority="1291">
      <colorScale>
        <cfvo type="min"/>
        <cfvo type="percentile" val="50"/>
        <cfvo type="max"/>
        <color rgb="FFF8696B"/>
        <color rgb="FFFFEB84"/>
        <color rgb="FF63BE7B"/>
      </colorScale>
    </cfRule>
  </conditionalFormatting>
  <conditionalFormatting sqref="F21:F28">
    <cfRule type="colorScale" priority="1290">
      <colorScale>
        <cfvo type="min"/>
        <cfvo type="percentile" val="50"/>
        <cfvo type="max"/>
        <color rgb="FFF8696B"/>
        <color rgb="FFFFEB84"/>
        <color rgb="FF63BE7B"/>
      </colorScale>
    </cfRule>
  </conditionalFormatting>
  <conditionalFormatting sqref="F21:F28">
    <cfRule type="colorScale" priority="1289">
      <colorScale>
        <cfvo type="min"/>
        <cfvo type="percentile" val="50"/>
        <cfvo type="max"/>
        <color rgb="FFF8696B"/>
        <color rgb="FFFFEB84"/>
        <color rgb="FF63BE7B"/>
      </colorScale>
    </cfRule>
  </conditionalFormatting>
  <conditionalFormatting sqref="F21:F28">
    <cfRule type="colorScale" priority="1288">
      <colorScale>
        <cfvo type="min"/>
        <cfvo type="percentile" val="50"/>
        <cfvo type="max"/>
        <color rgb="FFF8696B"/>
        <color rgb="FFFFEB84"/>
        <color rgb="FF63BE7B"/>
      </colorScale>
    </cfRule>
  </conditionalFormatting>
  <conditionalFormatting sqref="F21:F28">
    <cfRule type="colorScale" priority="1287">
      <colorScale>
        <cfvo type="min"/>
        <cfvo type="percentile" val="50"/>
        <cfvo type="max"/>
        <color rgb="FFF8696B"/>
        <color rgb="FFFFEB84"/>
        <color rgb="FF63BE7B"/>
      </colorScale>
    </cfRule>
  </conditionalFormatting>
  <conditionalFormatting sqref="F21:F28">
    <cfRule type="colorScale" priority="1286">
      <colorScale>
        <cfvo type="min"/>
        <cfvo type="percentile" val="50"/>
        <cfvo type="max"/>
        <color rgb="FFF8696B"/>
        <color rgb="FFFFEB84"/>
        <color rgb="FF63BE7B"/>
      </colorScale>
    </cfRule>
  </conditionalFormatting>
  <conditionalFormatting sqref="F21:F28">
    <cfRule type="colorScale" priority="1285">
      <colorScale>
        <cfvo type="min"/>
        <cfvo type="percentile" val="50"/>
        <cfvo type="max"/>
        <color rgb="FFF8696B"/>
        <color rgb="FFFFEB84"/>
        <color rgb="FF63BE7B"/>
      </colorScale>
    </cfRule>
  </conditionalFormatting>
  <conditionalFormatting sqref="F21:F28">
    <cfRule type="colorScale" priority="1284">
      <colorScale>
        <cfvo type="min"/>
        <cfvo type="percentile" val="50"/>
        <cfvo type="max"/>
        <color rgb="FFF8696B"/>
        <color rgb="FFFFEB84"/>
        <color rgb="FF63BE7B"/>
      </colorScale>
    </cfRule>
  </conditionalFormatting>
  <conditionalFormatting sqref="F21:F28">
    <cfRule type="colorScale" priority="1283">
      <colorScale>
        <cfvo type="min"/>
        <cfvo type="percentile" val="50"/>
        <cfvo type="max"/>
        <color rgb="FFF8696B"/>
        <color rgb="FFFFEB84"/>
        <color rgb="FF63BE7B"/>
      </colorScale>
    </cfRule>
  </conditionalFormatting>
  <conditionalFormatting sqref="F21:F28">
    <cfRule type="colorScale" priority="1282">
      <colorScale>
        <cfvo type="min"/>
        <cfvo type="percentile" val="50"/>
        <cfvo type="max"/>
        <color rgb="FFF8696B"/>
        <color rgb="FFFFEB84"/>
        <color rgb="FF63BE7B"/>
      </colorScale>
    </cfRule>
  </conditionalFormatting>
  <conditionalFormatting sqref="F21:F28">
    <cfRule type="colorScale" priority="1281">
      <colorScale>
        <cfvo type="min"/>
        <cfvo type="percentile" val="50"/>
        <cfvo type="max"/>
        <color rgb="FFF8696B"/>
        <color rgb="FFFFEB84"/>
        <color rgb="FF63BE7B"/>
      </colorScale>
    </cfRule>
  </conditionalFormatting>
  <conditionalFormatting sqref="F21:F28">
    <cfRule type="colorScale" priority="1280">
      <colorScale>
        <cfvo type="min"/>
        <cfvo type="percentile" val="50"/>
        <cfvo type="max"/>
        <color rgb="FFF8696B"/>
        <color rgb="FFFFEB84"/>
        <color rgb="FF63BE7B"/>
      </colorScale>
    </cfRule>
  </conditionalFormatting>
  <conditionalFormatting sqref="F21:F28">
    <cfRule type="colorScale" priority="1279">
      <colorScale>
        <cfvo type="min"/>
        <cfvo type="percentile" val="50"/>
        <cfvo type="max"/>
        <color rgb="FFF8696B"/>
        <color rgb="FFFFEB84"/>
        <color rgb="FF63BE7B"/>
      </colorScale>
    </cfRule>
  </conditionalFormatting>
  <conditionalFormatting sqref="F21:F28">
    <cfRule type="colorScale" priority="1278">
      <colorScale>
        <cfvo type="min"/>
        <cfvo type="percentile" val="50"/>
        <cfvo type="max"/>
        <color rgb="FFF8696B"/>
        <color rgb="FFFFEB84"/>
        <color rgb="FF63BE7B"/>
      </colorScale>
    </cfRule>
  </conditionalFormatting>
  <conditionalFormatting sqref="F21:F28">
    <cfRule type="colorScale" priority="1277">
      <colorScale>
        <cfvo type="min"/>
        <cfvo type="percentile" val="50"/>
        <cfvo type="max"/>
        <color rgb="FFF8696B"/>
        <color rgb="FFFFEB84"/>
        <color rgb="FF63BE7B"/>
      </colorScale>
    </cfRule>
  </conditionalFormatting>
  <conditionalFormatting sqref="F21:F28">
    <cfRule type="colorScale" priority="1276">
      <colorScale>
        <cfvo type="min"/>
        <cfvo type="percentile" val="50"/>
        <cfvo type="max"/>
        <color rgb="FFF8696B"/>
        <color rgb="FFFFEB84"/>
        <color rgb="FF63BE7B"/>
      </colorScale>
    </cfRule>
  </conditionalFormatting>
  <conditionalFormatting sqref="F21:F28">
    <cfRule type="colorScale" priority="1275">
      <colorScale>
        <cfvo type="min"/>
        <cfvo type="percentile" val="50"/>
        <cfvo type="max"/>
        <color rgb="FFF8696B"/>
        <color rgb="FFFFEB84"/>
        <color rgb="FF63BE7B"/>
      </colorScale>
    </cfRule>
  </conditionalFormatting>
  <conditionalFormatting sqref="F21:F28">
    <cfRule type="colorScale" priority="1274">
      <colorScale>
        <cfvo type="min"/>
        <cfvo type="percentile" val="50"/>
        <cfvo type="max"/>
        <color rgb="FFF8696B"/>
        <color rgb="FFFFEB84"/>
        <color rgb="FF63BE7B"/>
      </colorScale>
    </cfRule>
  </conditionalFormatting>
  <conditionalFormatting sqref="F21:F28">
    <cfRule type="colorScale" priority="1273">
      <colorScale>
        <cfvo type="min"/>
        <cfvo type="percentile" val="50"/>
        <cfvo type="max"/>
        <color rgb="FFF8696B"/>
        <color rgb="FFFFEB84"/>
        <color rgb="FF63BE7B"/>
      </colorScale>
    </cfRule>
  </conditionalFormatting>
  <conditionalFormatting sqref="F21:F28">
    <cfRule type="colorScale" priority="1272">
      <colorScale>
        <cfvo type="min"/>
        <cfvo type="percentile" val="50"/>
        <cfvo type="max"/>
        <color rgb="FFF8696B"/>
        <color rgb="FFFFEB84"/>
        <color rgb="FF63BE7B"/>
      </colorScale>
    </cfRule>
  </conditionalFormatting>
  <conditionalFormatting sqref="F21:F28">
    <cfRule type="colorScale" priority="1271">
      <colorScale>
        <cfvo type="min"/>
        <cfvo type="percentile" val="50"/>
        <cfvo type="max"/>
        <color rgb="FFF8696B"/>
        <color rgb="FFFFEB84"/>
        <color rgb="FF63BE7B"/>
      </colorScale>
    </cfRule>
  </conditionalFormatting>
  <conditionalFormatting sqref="F21:F28">
    <cfRule type="colorScale" priority="1270">
      <colorScale>
        <cfvo type="min"/>
        <cfvo type="percentile" val="50"/>
        <cfvo type="max"/>
        <color rgb="FFF8696B"/>
        <color rgb="FFFFEB84"/>
        <color rgb="FF63BE7B"/>
      </colorScale>
    </cfRule>
  </conditionalFormatting>
  <conditionalFormatting sqref="F21:F28">
    <cfRule type="colorScale" priority="1269">
      <colorScale>
        <cfvo type="min"/>
        <cfvo type="percentile" val="50"/>
        <cfvo type="max"/>
        <color rgb="FFF8696B"/>
        <color rgb="FFFFEB84"/>
        <color rgb="FF63BE7B"/>
      </colorScale>
    </cfRule>
  </conditionalFormatting>
  <conditionalFormatting sqref="F21:F28">
    <cfRule type="colorScale" priority="1268">
      <colorScale>
        <cfvo type="min"/>
        <cfvo type="percentile" val="50"/>
        <cfvo type="max"/>
        <color rgb="FFF8696B"/>
        <color rgb="FFFFEB84"/>
        <color rgb="FF63BE7B"/>
      </colorScale>
    </cfRule>
  </conditionalFormatting>
  <conditionalFormatting sqref="F21:F28">
    <cfRule type="colorScale" priority="1267">
      <colorScale>
        <cfvo type="min"/>
        <cfvo type="percentile" val="50"/>
        <cfvo type="max"/>
        <color rgb="FFF8696B"/>
        <color rgb="FFFFEB84"/>
        <color rgb="FF63BE7B"/>
      </colorScale>
    </cfRule>
  </conditionalFormatting>
  <conditionalFormatting sqref="F21:F28">
    <cfRule type="colorScale" priority="1266">
      <colorScale>
        <cfvo type="min"/>
        <cfvo type="percentile" val="50"/>
        <cfvo type="max"/>
        <color rgb="FFF8696B"/>
        <color rgb="FFFFEB84"/>
        <color rgb="FF63BE7B"/>
      </colorScale>
    </cfRule>
  </conditionalFormatting>
  <conditionalFormatting sqref="F21:F28">
    <cfRule type="colorScale" priority="1265">
      <colorScale>
        <cfvo type="min"/>
        <cfvo type="percentile" val="50"/>
        <cfvo type="max"/>
        <color rgb="FFF8696B"/>
        <color rgb="FFFFEB84"/>
        <color rgb="FF63BE7B"/>
      </colorScale>
    </cfRule>
  </conditionalFormatting>
  <conditionalFormatting sqref="F21:F28">
    <cfRule type="colorScale" priority="1264">
      <colorScale>
        <cfvo type="min"/>
        <cfvo type="percentile" val="50"/>
        <cfvo type="max"/>
        <color rgb="FFF8696B"/>
        <color rgb="FFFFEB84"/>
        <color rgb="FF63BE7B"/>
      </colorScale>
    </cfRule>
  </conditionalFormatting>
  <conditionalFormatting sqref="F21:F28">
    <cfRule type="colorScale" priority="1263">
      <colorScale>
        <cfvo type="min"/>
        <cfvo type="percentile" val="50"/>
        <cfvo type="max"/>
        <color rgb="FFF8696B"/>
        <color rgb="FFFFEB84"/>
        <color rgb="FF63BE7B"/>
      </colorScale>
    </cfRule>
  </conditionalFormatting>
  <conditionalFormatting sqref="F21:F28">
    <cfRule type="colorScale" priority="1262">
      <colorScale>
        <cfvo type="min"/>
        <cfvo type="percentile" val="50"/>
        <cfvo type="max"/>
        <color rgb="FFF8696B"/>
        <color rgb="FFFFEB84"/>
        <color rgb="FF63BE7B"/>
      </colorScale>
    </cfRule>
  </conditionalFormatting>
  <conditionalFormatting sqref="F21:F28">
    <cfRule type="colorScale" priority="1261">
      <colorScale>
        <cfvo type="min"/>
        <cfvo type="percentile" val="50"/>
        <cfvo type="max"/>
        <color rgb="FFF8696B"/>
        <color rgb="FFFFEB84"/>
        <color rgb="FF63BE7B"/>
      </colorScale>
    </cfRule>
  </conditionalFormatting>
  <conditionalFormatting sqref="F21:F28">
    <cfRule type="colorScale" priority="1260">
      <colorScale>
        <cfvo type="min"/>
        <cfvo type="percentile" val="50"/>
        <cfvo type="max"/>
        <color rgb="FFF8696B"/>
        <color rgb="FFFFEB84"/>
        <color rgb="FF63BE7B"/>
      </colorScale>
    </cfRule>
  </conditionalFormatting>
  <conditionalFormatting sqref="F21:F28">
    <cfRule type="colorScale" priority="1259">
      <colorScale>
        <cfvo type="min"/>
        <cfvo type="percentile" val="50"/>
        <cfvo type="max"/>
        <color rgb="FFF8696B"/>
        <color rgb="FFFFEB84"/>
        <color rgb="FF63BE7B"/>
      </colorScale>
    </cfRule>
  </conditionalFormatting>
  <conditionalFormatting sqref="F21:F28">
    <cfRule type="colorScale" priority="1258">
      <colorScale>
        <cfvo type="min"/>
        <cfvo type="percentile" val="50"/>
        <cfvo type="max"/>
        <color rgb="FFF8696B"/>
        <color rgb="FFFFEB84"/>
        <color rgb="FF63BE7B"/>
      </colorScale>
    </cfRule>
  </conditionalFormatting>
  <conditionalFormatting sqref="F21:F28">
    <cfRule type="colorScale" priority="1257">
      <colorScale>
        <cfvo type="min"/>
        <cfvo type="percentile" val="50"/>
        <cfvo type="max"/>
        <color rgb="FFF8696B"/>
        <color rgb="FFFFEB84"/>
        <color rgb="FF63BE7B"/>
      </colorScale>
    </cfRule>
  </conditionalFormatting>
  <conditionalFormatting sqref="F21:F28">
    <cfRule type="colorScale" priority="1256">
      <colorScale>
        <cfvo type="min"/>
        <cfvo type="percentile" val="50"/>
        <cfvo type="max"/>
        <color rgb="FFF8696B"/>
        <color rgb="FFFFEB84"/>
        <color rgb="FF63BE7B"/>
      </colorScale>
    </cfRule>
  </conditionalFormatting>
  <conditionalFormatting sqref="F21:F28">
    <cfRule type="colorScale" priority="1255">
      <colorScale>
        <cfvo type="min"/>
        <cfvo type="percentile" val="50"/>
        <cfvo type="max"/>
        <color rgb="FFF8696B"/>
        <color rgb="FFFFEB84"/>
        <color rgb="FF63BE7B"/>
      </colorScale>
    </cfRule>
  </conditionalFormatting>
  <conditionalFormatting sqref="F29:F32">
    <cfRule type="colorScale" priority="1254">
      <colorScale>
        <cfvo type="min"/>
        <cfvo type="percentile" val="50"/>
        <cfvo type="max"/>
        <color rgb="FFF8696B"/>
        <color rgb="FFFFEB84"/>
        <color rgb="FF63BE7B"/>
      </colorScale>
    </cfRule>
  </conditionalFormatting>
  <conditionalFormatting sqref="F29:F32">
    <cfRule type="colorScale" priority="1253">
      <colorScale>
        <cfvo type="min"/>
        <cfvo type="percentile" val="50"/>
        <cfvo type="max"/>
        <color rgb="FFF8696B"/>
        <color rgb="FFFFEB84"/>
        <color rgb="FF63BE7B"/>
      </colorScale>
    </cfRule>
  </conditionalFormatting>
  <conditionalFormatting sqref="F29:F32">
    <cfRule type="colorScale" priority="1252">
      <colorScale>
        <cfvo type="min"/>
        <cfvo type="percentile" val="50"/>
        <cfvo type="max"/>
        <color rgb="FFF8696B"/>
        <color rgb="FFFFEB84"/>
        <color rgb="FF63BE7B"/>
      </colorScale>
    </cfRule>
  </conditionalFormatting>
  <conditionalFormatting sqref="F29:F32">
    <cfRule type="colorScale" priority="1251">
      <colorScale>
        <cfvo type="min"/>
        <cfvo type="percentile" val="50"/>
        <cfvo type="max"/>
        <color rgb="FFF8696B"/>
        <color rgb="FFFFEB84"/>
        <color rgb="FF63BE7B"/>
      </colorScale>
    </cfRule>
  </conditionalFormatting>
  <conditionalFormatting sqref="F29:F32">
    <cfRule type="colorScale" priority="1250">
      <colorScale>
        <cfvo type="min"/>
        <cfvo type="percentile" val="50"/>
        <cfvo type="max"/>
        <color rgb="FFF8696B"/>
        <color rgb="FFFFEB84"/>
        <color rgb="FF63BE7B"/>
      </colorScale>
    </cfRule>
  </conditionalFormatting>
  <conditionalFormatting sqref="F29:F32">
    <cfRule type="colorScale" priority="1249">
      <colorScale>
        <cfvo type="min"/>
        <cfvo type="percentile" val="50"/>
        <cfvo type="max"/>
        <color rgb="FFF8696B"/>
        <color rgb="FFFFEB84"/>
        <color rgb="FF63BE7B"/>
      </colorScale>
    </cfRule>
  </conditionalFormatting>
  <conditionalFormatting sqref="F29:F32">
    <cfRule type="colorScale" priority="1248">
      <colorScale>
        <cfvo type="min"/>
        <cfvo type="percentile" val="50"/>
        <cfvo type="max"/>
        <color rgb="FFF8696B"/>
        <color rgb="FFFFEB84"/>
        <color rgb="FF63BE7B"/>
      </colorScale>
    </cfRule>
  </conditionalFormatting>
  <conditionalFormatting sqref="F29:F32">
    <cfRule type="colorScale" priority="1247">
      <colorScale>
        <cfvo type="min"/>
        <cfvo type="percentile" val="50"/>
        <cfvo type="max"/>
        <color rgb="FFF8696B"/>
        <color rgb="FFFFEB84"/>
        <color rgb="FF63BE7B"/>
      </colorScale>
    </cfRule>
  </conditionalFormatting>
  <conditionalFormatting sqref="F29:F32">
    <cfRule type="colorScale" priority="1246">
      <colorScale>
        <cfvo type="min"/>
        <cfvo type="percentile" val="50"/>
        <cfvo type="max"/>
        <color rgb="FFF8696B"/>
        <color rgb="FFFFEB84"/>
        <color rgb="FF63BE7B"/>
      </colorScale>
    </cfRule>
  </conditionalFormatting>
  <conditionalFormatting sqref="F29:F32">
    <cfRule type="colorScale" priority="1245">
      <colorScale>
        <cfvo type="min"/>
        <cfvo type="percentile" val="50"/>
        <cfvo type="max"/>
        <color rgb="FFF8696B"/>
        <color rgb="FFFFEB84"/>
        <color rgb="FF63BE7B"/>
      </colorScale>
    </cfRule>
  </conditionalFormatting>
  <conditionalFormatting sqref="F29:F32">
    <cfRule type="colorScale" priority="1244">
      <colorScale>
        <cfvo type="min"/>
        <cfvo type="percentile" val="50"/>
        <cfvo type="max"/>
        <color rgb="FFF8696B"/>
        <color rgb="FFFFEB84"/>
        <color rgb="FF63BE7B"/>
      </colorScale>
    </cfRule>
  </conditionalFormatting>
  <conditionalFormatting sqref="F29:F32">
    <cfRule type="colorScale" priority="1243">
      <colorScale>
        <cfvo type="min"/>
        <cfvo type="percentile" val="50"/>
        <cfvo type="max"/>
        <color rgb="FFF8696B"/>
        <color rgb="FFFFEB84"/>
        <color rgb="FF63BE7B"/>
      </colorScale>
    </cfRule>
  </conditionalFormatting>
  <conditionalFormatting sqref="F29:F32">
    <cfRule type="colorScale" priority="1242">
      <colorScale>
        <cfvo type="min"/>
        <cfvo type="percentile" val="50"/>
        <cfvo type="max"/>
        <color rgb="FFF8696B"/>
        <color rgb="FFFFEB84"/>
        <color rgb="FF63BE7B"/>
      </colorScale>
    </cfRule>
  </conditionalFormatting>
  <conditionalFormatting sqref="F29:F32">
    <cfRule type="colorScale" priority="1241">
      <colorScale>
        <cfvo type="min"/>
        <cfvo type="percentile" val="50"/>
        <cfvo type="max"/>
        <color rgb="FFF8696B"/>
        <color rgb="FFFFEB84"/>
        <color rgb="FF63BE7B"/>
      </colorScale>
    </cfRule>
  </conditionalFormatting>
  <conditionalFormatting sqref="F29:F32">
    <cfRule type="colorScale" priority="1240">
      <colorScale>
        <cfvo type="min"/>
        <cfvo type="percentile" val="50"/>
        <cfvo type="max"/>
        <color rgb="FFF8696B"/>
        <color rgb="FFFFEB84"/>
        <color rgb="FF63BE7B"/>
      </colorScale>
    </cfRule>
  </conditionalFormatting>
  <conditionalFormatting sqref="F29:F32">
    <cfRule type="colorScale" priority="1239">
      <colorScale>
        <cfvo type="min"/>
        <cfvo type="percentile" val="50"/>
        <cfvo type="max"/>
        <color rgb="FFF8696B"/>
        <color rgb="FFFFEB84"/>
        <color rgb="FF63BE7B"/>
      </colorScale>
    </cfRule>
  </conditionalFormatting>
  <conditionalFormatting sqref="F29:F32">
    <cfRule type="colorScale" priority="1238">
      <colorScale>
        <cfvo type="min"/>
        <cfvo type="percentile" val="50"/>
        <cfvo type="max"/>
        <color rgb="FFF8696B"/>
        <color rgb="FFFFEB84"/>
        <color rgb="FF63BE7B"/>
      </colorScale>
    </cfRule>
  </conditionalFormatting>
  <conditionalFormatting sqref="F29:F32">
    <cfRule type="colorScale" priority="1237">
      <colorScale>
        <cfvo type="min"/>
        <cfvo type="percentile" val="50"/>
        <cfvo type="max"/>
        <color rgb="FFF8696B"/>
        <color rgb="FFFFEB84"/>
        <color rgb="FF63BE7B"/>
      </colorScale>
    </cfRule>
  </conditionalFormatting>
  <conditionalFormatting sqref="F29:F32">
    <cfRule type="colorScale" priority="1236">
      <colorScale>
        <cfvo type="min"/>
        <cfvo type="percentile" val="50"/>
        <cfvo type="max"/>
        <color rgb="FFF8696B"/>
        <color rgb="FFFFEB84"/>
        <color rgb="FF63BE7B"/>
      </colorScale>
    </cfRule>
  </conditionalFormatting>
  <conditionalFormatting sqref="F29:F32">
    <cfRule type="colorScale" priority="1235">
      <colorScale>
        <cfvo type="min"/>
        <cfvo type="percentile" val="50"/>
        <cfvo type="max"/>
        <color rgb="FFF8696B"/>
        <color rgb="FFFFEB84"/>
        <color rgb="FF63BE7B"/>
      </colorScale>
    </cfRule>
  </conditionalFormatting>
  <conditionalFormatting sqref="F29:F32">
    <cfRule type="colorScale" priority="1234">
      <colorScale>
        <cfvo type="min"/>
        <cfvo type="percentile" val="50"/>
        <cfvo type="max"/>
        <color rgb="FFF8696B"/>
        <color rgb="FFFFEB84"/>
        <color rgb="FF63BE7B"/>
      </colorScale>
    </cfRule>
  </conditionalFormatting>
  <conditionalFormatting sqref="F29:F32">
    <cfRule type="colorScale" priority="1233">
      <colorScale>
        <cfvo type="min"/>
        <cfvo type="percentile" val="50"/>
        <cfvo type="max"/>
        <color rgb="FFF8696B"/>
        <color rgb="FFFFEB84"/>
        <color rgb="FF63BE7B"/>
      </colorScale>
    </cfRule>
  </conditionalFormatting>
  <conditionalFormatting sqref="F29:F32">
    <cfRule type="colorScale" priority="1232">
      <colorScale>
        <cfvo type="min"/>
        <cfvo type="percentile" val="50"/>
        <cfvo type="max"/>
        <color rgb="FFF8696B"/>
        <color rgb="FFFFEB84"/>
        <color rgb="FF63BE7B"/>
      </colorScale>
    </cfRule>
  </conditionalFormatting>
  <conditionalFormatting sqref="F29:F32">
    <cfRule type="colorScale" priority="1231">
      <colorScale>
        <cfvo type="min"/>
        <cfvo type="percentile" val="50"/>
        <cfvo type="max"/>
        <color rgb="FFF8696B"/>
        <color rgb="FFFFEB84"/>
        <color rgb="FF63BE7B"/>
      </colorScale>
    </cfRule>
  </conditionalFormatting>
  <conditionalFormatting sqref="F29:F32">
    <cfRule type="colorScale" priority="1230">
      <colorScale>
        <cfvo type="min"/>
        <cfvo type="percentile" val="50"/>
        <cfvo type="max"/>
        <color rgb="FFF8696B"/>
        <color rgb="FFFFEB84"/>
        <color rgb="FF63BE7B"/>
      </colorScale>
    </cfRule>
  </conditionalFormatting>
  <conditionalFormatting sqref="F29:F32">
    <cfRule type="colorScale" priority="1229">
      <colorScale>
        <cfvo type="min"/>
        <cfvo type="percentile" val="50"/>
        <cfvo type="max"/>
        <color rgb="FFF8696B"/>
        <color rgb="FFFFEB84"/>
        <color rgb="FF63BE7B"/>
      </colorScale>
    </cfRule>
  </conditionalFormatting>
  <conditionalFormatting sqref="F29:F32">
    <cfRule type="colorScale" priority="1228">
      <colorScale>
        <cfvo type="min"/>
        <cfvo type="percentile" val="50"/>
        <cfvo type="max"/>
        <color rgb="FFF8696B"/>
        <color rgb="FFFFEB84"/>
        <color rgb="FF63BE7B"/>
      </colorScale>
    </cfRule>
  </conditionalFormatting>
  <conditionalFormatting sqref="F29:F32">
    <cfRule type="colorScale" priority="1227">
      <colorScale>
        <cfvo type="min"/>
        <cfvo type="percentile" val="50"/>
        <cfvo type="max"/>
        <color rgb="FFF8696B"/>
        <color rgb="FFFFEB84"/>
        <color rgb="FF63BE7B"/>
      </colorScale>
    </cfRule>
  </conditionalFormatting>
  <conditionalFormatting sqref="F29:F32">
    <cfRule type="colorScale" priority="1226">
      <colorScale>
        <cfvo type="min"/>
        <cfvo type="percentile" val="50"/>
        <cfvo type="max"/>
        <color rgb="FFF8696B"/>
        <color rgb="FFFFEB84"/>
        <color rgb="FF63BE7B"/>
      </colorScale>
    </cfRule>
  </conditionalFormatting>
  <conditionalFormatting sqref="F29:F32">
    <cfRule type="colorScale" priority="1225">
      <colorScale>
        <cfvo type="min"/>
        <cfvo type="percentile" val="50"/>
        <cfvo type="max"/>
        <color rgb="FFF8696B"/>
        <color rgb="FFFFEB84"/>
        <color rgb="FF63BE7B"/>
      </colorScale>
    </cfRule>
  </conditionalFormatting>
  <conditionalFormatting sqref="F29:F32">
    <cfRule type="colorScale" priority="1224">
      <colorScale>
        <cfvo type="min"/>
        <cfvo type="percentile" val="50"/>
        <cfvo type="max"/>
        <color rgb="FFF8696B"/>
        <color rgb="FFFFEB84"/>
        <color rgb="FF63BE7B"/>
      </colorScale>
    </cfRule>
  </conditionalFormatting>
  <conditionalFormatting sqref="F29:F32">
    <cfRule type="colorScale" priority="1223">
      <colorScale>
        <cfvo type="min"/>
        <cfvo type="percentile" val="50"/>
        <cfvo type="max"/>
        <color rgb="FFF8696B"/>
        <color rgb="FFFFEB84"/>
        <color rgb="FF63BE7B"/>
      </colorScale>
    </cfRule>
  </conditionalFormatting>
  <conditionalFormatting sqref="F29:F32">
    <cfRule type="colorScale" priority="1222">
      <colorScale>
        <cfvo type="min"/>
        <cfvo type="percentile" val="50"/>
        <cfvo type="max"/>
        <color rgb="FFF8696B"/>
        <color rgb="FFFFEB84"/>
        <color rgb="FF63BE7B"/>
      </colorScale>
    </cfRule>
  </conditionalFormatting>
  <conditionalFormatting sqref="F29:F32">
    <cfRule type="colorScale" priority="1221">
      <colorScale>
        <cfvo type="min"/>
        <cfvo type="percentile" val="50"/>
        <cfvo type="max"/>
        <color rgb="FFF8696B"/>
        <color rgb="FFFFEB84"/>
        <color rgb="FF63BE7B"/>
      </colorScale>
    </cfRule>
  </conditionalFormatting>
  <conditionalFormatting sqref="F29:F32">
    <cfRule type="colorScale" priority="1220">
      <colorScale>
        <cfvo type="min"/>
        <cfvo type="percentile" val="50"/>
        <cfvo type="max"/>
        <color rgb="FFF8696B"/>
        <color rgb="FFFFEB84"/>
        <color rgb="FF63BE7B"/>
      </colorScale>
    </cfRule>
  </conditionalFormatting>
  <conditionalFormatting sqref="F29:F32">
    <cfRule type="colorScale" priority="1219">
      <colorScale>
        <cfvo type="min"/>
        <cfvo type="percentile" val="50"/>
        <cfvo type="max"/>
        <color rgb="FFF8696B"/>
        <color rgb="FFFFEB84"/>
        <color rgb="FF63BE7B"/>
      </colorScale>
    </cfRule>
  </conditionalFormatting>
  <conditionalFormatting sqref="F29:F32">
    <cfRule type="colorScale" priority="1218">
      <colorScale>
        <cfvo type="min"/>
        <cfvo type="percentile" val="50"/>
        <cfvo type="max"/>
        <color rgb="FFF8696B"/>
        <color rgb="FFFFEB84"/>
        <color rgb="FF63BE7B"/>
      </colorScale>
    </cfRule>
  </conditionalFormatting>
  <conditionalFormatting sqref="F29:F32">
    <cfRule type="colorScale" priority="1217">
      <colorScale>
        <cfvo type="min"/>
        <cfvo type="percentile" val="50"/>
        <cfvo type="max"/>
        <color rgb="FFF8696B"/>
        <color rgb="FFFFEB84"/>
        <color rgb="FF63BE7B"/>
      </colorScale>
    </cfRule>
  </conditionalFormatting>
  <conditionalFormatting sqref="F29:F32">
    <cfRule type="colorScale" priority="1216">
      <colorScale>
        <cfvo type="min"/>
        <cfvo type="percentile" val="50"/>
        <cfvo type="max"/>
        <color rgb="FFF8696B"/>
        <color rgb="FFFFEB84"/>
        <color rgb="FF63BE7B"/>
      </colorScale>
    </cfRule>
  </conditionalFormatting>
  <conditionalFormatting sqref="F29:F32">
    <cfRule type="colorScale" priority="1215">
      <colorScale>
        <cfvo type="min"/>
        <cfvo type="percentile" val="50"/>
        <cfvo type="max"/>
        <color rgb="FFF8696B"/>
        <color rgb="FFFFEB84"/>
        <color rgb="FF63BE7B"/>
      </colorScale>
    </cfRule>
  </conditionalFormatting>
  <conditionalFormatting sqref="F29:F32">
    <cfRule type="colorScale" priority="1214">
      <colorScale>
        <cfvo type="min"/>
        <cfvo type="percentile" val="50"/>
        <cfvo type="max"/>
        <color rgb="FFF8696B"/>
        <color rgb="FFFFEB84"/>
        <color rgb="FF63BE7B"/>
      </colorScale>
    </cfRule>
  </conditionalFormatting>
  <conditionalFormatting sqref="F29:F32">
    <cfRule type="colorScale" priority="1213">
      <colorScale>
        <cfvo type="min"/>
        <cfvo type="percentile" val="50"/>
        <cfvo type="max"/>
        <color rgb="FFF8696B"/>
        <color rgb="FFFFEB84"/>
        <color rgb="FF63BE7B"/>
      </colorScale>
    </cfRule>
  </conditionalFormatting>
  <conditionalFormatting sqref="F29:F32">
    <cfRule type="colorScale" priority="1212">
      <colorScale>
        <cfvo type="min"/>
        <cfvo type="percentile" val="50"/>
        <cfvo type="max"/>
        <color rgb="FFF8696B"/>
        <color rgb="FFFFEB84"/>
        <color rgb="FF63BE7B"/>
      </colorScale>
    </cfRule>
  </conditionalFormatting>
  <conditionalFormatting sqref="F29:F32">
    <cfRule type="colorScale" priority="1211">
      <colorScale>
        <cfvo type="min"/>
        <cfvo type="percentile" val="50"/>
        <cfvo type="max"/>
        <color rgb="FFF8696B"/>
        <color rgb="FFFFEB84"/>
        <color rgb="FF63BE7B"/>
      </colorScale>
    </cfRule>
  </conditionalFormatting>
  <conditionalFormatting sqref="F29:F32">
    <cfRule type="colorScale" priority="1210">
      <colorScale>
        <cfvo type="min"/>
        <cfvo type="percentile" val="50"/>
        <cfvo type="max"/>
        <color rgb="FFF8696B"/>
        <color rgb="FFFFEB84"/>
        <color rgb="FF63BE7B"/>
      </colorScale>
    </cfRule>
  </conditionalFormatting>
  <conditionalFormatting sqref="F29:F32">
    <cfRule type="colorScale" priority="1209">
      <colorScale>
        <cfvo type="min"/>
        <cfvo type="percentile" val="50"/>
        <cfvo type="max"/>
        <color rgb="FFF8696B"/>
        <color rgb="FFFFEB84"/>
        <color rgb="FF63BE7B"/>
      </colorScale>
    </cfRule>
  </conditionalFormatting>
  <conditionalFormatting sqref="F29:F32">
    <cfRule type="colorScale" priority="1208">
      <colorScale>
        <cfvo type="min"/>
        <cfvo type="percentile" val="50"/>
        <cfvo type="max"/>
        <color rgb="FFF8696B"/>
        <color rgb="FFFFEB84"/>
        <color rgb="FF63BE7B"/>
      </colorScale>
    </cfRule>
  </conditionalFormatting>
  <conditionalFormatting sqref="F29:F32">
    <cfRule type="colorScale" priority="1207">
      <colorScale>
        <cfvo type="min"/>
        <cfvo type="percentile" val="50"/>
        <cfvo type="max"/>
        <color rgb="FFF8696B"/>
        <color rgb="FFFFEB84"/>
        <color rgb="FF63BE7B"/>
      </colorScale>
    </cfRule>
  </conditionalFormatting>
  <conditionalFormatting sqref="F29:F32">
    <cfRule type="colorScale" priority="1206">
      <colorScale>
        <cfvo type="min"/>
        <cfvo type="percentile" val="50"/>
        <cfvo type="max"/>
        <color rgb="FFF8696B"/>
        <color rgb="FFFFEB84"/>
        <color rgb="FF63BE7B"/>
      </colorScale>
    </cfRule>
  </conditionalFormatting>
  <conditionalFormatting sqref="F29:F32">
    <cfRule type="colorScale" priority="1205">
      <colorScale>
        <cfvo type="min"/>
        <cfvo type="percentile" val="50"/>
        <cfvo type="max"/>
        <color rgb="FFF8696B"/>
        <color rgb="FFFFEB84"/>
        <color rgb="FF63BE7B"/>
      </colorScale>
    </cfRule>
  </conditionalFormatting>
  <conditionalFormatting sqref="F29:F32">
    <cfRule type="colorScale" priority="1204">
      <colorScale>
        <cfvo type="min"/>
        <cfvo type="percentile" val="50"/>
        <cfvo type="max"/>
        <color rgb="FFF8696B"/>
        <color rgb="FFFFEB84"/>
        <color rgb="FF63BE7B"/>
      </colorScale>
    </cfRule>
  </conditionalFormatting>
  <conditionalFormatting sqref="F29:F32">
    <cfRule type="colorScale" priority="1203">
      <colorScale>
        <cfvo type="min"/>
        <cfvo type="percentile" val="50"/>
        <cfvo type="max"/>
        <color rgb="FFF8696B"/>
        <color rgb="FFFFEB84"/>
        <color rgb="FF63BE7B"/>
      </colorScale>
    </cfRule>
  </conditionalFormatting>
  <conditionalFormatting sqref="F29:F32">
    <cfRule type="colorScale" priority="1202">
      <colorScale>
        <cfvo type="min"/>
        <cfvo type="percentile" val="50"/>
        <cfvo type="max"/>
        <color rgb="FFF8696B"/>
        <color rgb="FFFFEB84"/>
        <color rgb="FF63BE7B"/>
      </colorScale>
    </cfRule>
  </conditionalFormatting>
  <conditionalFormatting sqref="F29:F32">
    <cfRule type="colorScale" priority="1201">
      <colorScale>
        <cfvo type="min"/>
        <cfvo type="percentile" val="50"/>
        <cfvo type="max"/>
        <color rgb="FFF8696B"/>
        <color rgb="FFFFEB84"/>
        <color rgb="FF63BE7B"/>
      </colorScale>
    </cfRule>
  </conditionalFormatting>
  <conditionalFormatting sqref="F29:F32">
    <cfRule type="colorScale" priority="1200">
      <colorScale>
        <cfvo type="min"/>
        <cfvo type="percentile" val="50"/>
        <cfvo type="max"/>
        <color rgb="FFF8696B"/>
        <color rgb="FFFFEB84"/>
        <color rgb="FF63BE7B"/>
      </colorScale>
    </cfRule>
  </conditionalFormatting>
  <conditionalFormatting sqref="F29:F32">
    <cfRule type="colorScale" priority="1199">
      <colorScale>
        <cfvo type="min"/>
        <cfvo type="percentile" val="50"/>
        <cfvo type="max"/>
        <color rgb="FFF8696B"/>
        <color rgb="FFFFEB84"/>
        <color rgb="FF63BE7B"/>
      </colorScale>
    </cfRule>
  </conditionalFormatting>
  <conditionalFormatting sqref="F29:F32">
    <cfRule type="colorScale" priority="1198">
      <colorScale>
        <cfvo type="min"/>
        <cfvo type="percentile" val="50"/>
        <cfvo type="max"/>
        <color rgb="FFF8696B"/>
        <color rgb="FFFFEB84"/>
        <color rgb="FF63BE7B"/>
      </colorScale>
    </cfRule>
  </conditionalFormatting>
  <conditionalFormatting sqref="F29:F32">
    <cfRule type="colorScale" priority="1197">
      <colorScale>
        <cfvo type="min"/>
        <cfvo type="percentile" val="50"/>
        <cfvo type="max"/>
        <color rgb="FFF8696B"/>
        <color rgb="FFFFEB84"/>
        <color rgb="FF63BE7B"/>
      </colorScale>
    </cfRule>
  </conditionalFormatting>
  <conditionalFormatting sqref="F29:F32">
    <cfRule type="colorScale" priority="1196">
      <colorScale>
        <cfvo type="min"/>
        <cfvo type="percentile" val="50"/>
        <cfvo type="max"/>
        <color rgb="FFF8696B"/>
        <color rgb="FFFFEB84"/>
        <color rgb="FF63BE7B"/>
      </colorScale>
    </cfRule>
  </conditionalFormatting>
  <conditionalFormatting sqref="F29:F32">
    <cfRule type="colorScale" priority="1195">
      <colorScale>
        <cfvo type="min"/>
        <cfvo type="percentile" val="50"/>
        <cfvo type="max"/>
        <color rgb="FFF8696B"/>
        <color rgb="FFFFEB84"/>
        <color rgb="FF63BE7B"/>
      </colorScale>
    </cfRule>
  </conditionalFormatting>
  <conditionalFormatting sqref="F29:F32">
    <cfRule type="colorScale" priority="1194">
      <colorScale>
        <cfvo type="min"/>
        <cfvo type="percentile" val="50"/>
        <cfvo type="max"/>
        <color rgb="FFF8696B"/>
        <color rgb="FFFFEB84"/>
        <color rgb="FF63BE7B"/>
      </colorScale>
    </cfRule>
  </conditionalFormatting>
  <conditionalFormatting sqref="F29:F32">
    <cfRule type="colorScale" priority="1193">
      <colorScale>
        <cfvo type="min"/>
        <cfvo type="percentile" val="50"/>
        <cfvo type="max"/>
        <color rgb="FFF8696B"/>
        <color rgb="FFFFEB84"/>
        <color rgb="FF63BE7B"/>
      </colorScale>
    </cfRule>
  </conditionalFormatting>
  <conditionalFormatting sqref="F29:F32">
    <cfRule type="colorScale" priority="1192">
      <colorScale>
        <cfvo type="min"/>
        <cfvo type="percentile" val="50"/>
        <cfvo type="max"/>
        <color rgb="FFF8696B"/>
        <color rgb="FFFFEB84"/>
        <color rgb="FF63BE7B"/>
      </colorScale>
    </cfRule>
  </conditionalFormatting>
  <conditionalFormatting sqref="F29:F32">
    <cfRule type="colorScale" priority="1191">
      <colorScale>
        <cfvo type="min"/>
        <cfvo type="percentile" val="50"/>
        <cfvo type="max"/>
        <color rgb="FFF8696B"/>
        <color rgb="FFFFEB84"/>
        <color rgb="FF63BE7B"/>
      </colorScale>
    </cfRule>
  </conditionalFormatting>
  <conditionalFormatting sqref="F29:F32">
    <cfRule type="colorScale" priority="1190">
      <colorScale>
        <cfvo type="min"/>
        <cfvo type="percentile" val="50"/>
        <cfvo type="max"/>
        <color rgb="FFF8696B"/>
        <color rgb="FFFFEB84"/>
        <color rgb="FF63BE7B"/>
      </colorScale>
    </cfRule>
  </conditionalFormatting>
  <conditionalFormatting sqref="F29:F32">
    <cfRule type="colorScale" priority="1189">
      <colorScale>
        <cfvo type="min"/>
        <cfvo type="percentile" val="50"/>
        <cfvo type="max"/>
        <color rgb="FFF8696B"/>
        <color rgb="FFFFEB84"/>
        <color rgb="FF63BE7B"/>
      </colorScale>
    </cfRule>
  </conditionalFormatting>
  <conditionalFormatting sqref="F29:F32">
    <cfRule type="colorScale" priority="1188">
      <colorScale>
        <cfvo type="min"/>
        <cfvo type="percentile" val="50"/>
        <cfvo type="max"/>
        <color rgb="FFF8696B"/>
        <color rgb="FFFFEB84"/>
        <color rgb="FF63BE7B"/>
      </colorScale>
    </cfRule>
  </conditionalFormatting>
  <conditionalFormatting sqref="F29:F32">
    <cfRule type="colorScale" priority="1187">
      <colorScale>
        <cfvo type="min"/>
        <cfvo type="percentile" val="50"/>
        <cfvo type="max"/>
        <color rgb="FFF8696B"/>
        <color rgb="FFFFEB84"/>
        <color rgb="FF63BE7B"/>
      </colorScale>
    </cfRule>
  </conditionalFormatting>
  <conditionalFormatting sqref="F29:F32">
    <cfRule type="colorScale" priority="1186">
      <colorScale>
        <cfvo type="min"/>
        <cfvo type="percentile" val="50"/>
        <cfvo type="max"/>
        <color rgb="FFF8696B"/>
        <color rgb="FFFFEB84"/>
        <color rgb="FF63BE7B"/>
      </colorScale>
    </cfRule>
  </conditionalFormatting>
  <conditionalFormatting sqref="F29:F32">
    <cfRule type="colorScale" priority="1185">
      <colorScale>
        <cfvo type="min"/>
        <cfvo type="percentile" val="50"/>
        <cfvo type="max"/>
        <color rgb="FFF8696B"/>
        <color rgb="FFFFEB84"/>
        <color rgb="FF63BE7B"/>
      </colorScale>
    </cfRule>
  </conditionalFormatting>
  <conditionalFormatting sqref="F29:F32">
    <cfRule type="colorScale" priority="1184">
      <colorScale>
        <cfvo type="min"/>
        <cfvo type="percentile" val="50"/>
        <cfvo type="max"/>
        <color rgb="FFF8696B"/>
        <color rgb="FFFFEB84"/>
        <color rgb="FF63BE7B"/>
      </colorScale>
    </cfRule>
  </conditionalFormatting>
  <conditionalFormatting sqref="F29:F32">
    <cfRule type="colorScale" priority="1183">
      <colorScale>
        <cfvo type="min"/>
        <cfvo type="percentile" val="50"/>
        <cfvo type="max"/>
        <color rgb="FFF8696B"/>
        <color rgb="FFFFEB84"/>
        <color rgb="FF63BE7B"/>
      </colorScale>
    </cfRule>
  </conditionalFormatting>
  <conditionalFormatting sqref="F29:F32">
    <cfRule type="colorScale" priority="1182">
      <colorScale>
        <cfvo type="min"/>
        <cfvo type="percentile" val="50"/>
        <cfvo type="max"/>
        <color rgb="FFF8696B"/>
        <color rgb="FFFFEB84"/>
        <color rgb="FF63BE7B"/>
      </colorScale>
    </cfRule>
  </conditionalFormatting>
  <conditionalFormatting sqref="F29:F32">
    <cfRule type="colorScale" priority="1181">
      <colorScale>
        <cfvo type="min"/>
        <cfvo type="percentile" val="50"/>
        <cfvo type="max"/>
        <color rgb="FFF8696B"/>
        <color rgb="FFFFEB84"/>
        <color rgb="FF63BE7B"/>
      </colorScale>
    </cfRule>
  </conditionalFormatting>
  <conditionalFormatting sqref="F29:F32">
    <cfRule type="colorScale" priority="1180">
      <colorScale>
        <cfvo type="min"/>
        <cfvo type="percentile" val="50"/>
        <cfvo type="max"/>
        <color rgb="FFF8696B"/>
        <color rgb="FFFFEB84"/>
        <color rgb="FF63BE7B"/>
      </colorScale>
    </cfRule>
  </conditionalFormatting>
  <conditionalFormatting sqref="F29:F32">
    <cfRule type="colorScale" priority="1179">
      <colorScale>
        <cfvo type="min"/>
        <cfvo type="percentile" val="50"/>
        <cfvo type="max"/>
        <color rgb="FFF8696B"/>
        <color rgb="FFFFEB84"/>
        <color rgb="FF63BE7B"/>
      </colorScale>
    </cfRule>
  </conditionalFormatting>
  <conditionalFormatting sqref="F29:F32">
    <cfRule type="colorScale" priority="1178">
      <colorScale>
        <cfvo type="min"/>
        <cfvo type="percentile" val="50"/>
        <cfvo type="max"/>
        <color rgb="FFF8696B"/>
        <color rgb="FFFFEB84"/>
        <color rgb="FF63BE7B"/>
      </colorScale>
    </cfRule>
  </conditionalFormatting>
  <conditionalFormatting sqref="F29:F32">
    <cfRule type="colorScale" priority="1177">
      <colorScale>
        <cfvo type="min"/>
        <cfvo type="percentile" val="50"/>
        <cfvo type="max"/>
        <color rgb="FFF8696B"/>
        <color rgb="FFFFEB84"/>
        <color rgb="FF63BE7B"/>
      </colorScale>
    </cfRule>
  </conditionalFormatting>
  <conditionalFormatting sqref="F29:F32">
    <cfRule type="colorScale" priority="1176">
      <colorScale>
        <cfvo type="min"/>
        <cfvo type="percentile" val="50"/>
        <cfvo type="max"/>
        <color rgb="FFF8696B"/>
        <color rgb="FFFFEB84"/>
        <color rgb="FF63BE7B"/>
      </colorScale>
    </cfRule>
  </conditionalFormatting>
  <conditionalFormatting sqref="F29:F32">
    <cfRule type="colorScale" priority="1175">
      <colorScale>
        <cfvo type="min"/>
        <cfvo type="percentile" val="50"/>
        <cfvo type="max"/>
        <color rgb="FFF8696B"/>
        <color rgb="FFFFEB84"/>
        <color rgb="FF63BE7B"/>
      </colorScale>
    </cfRule>
  </conditionalFormatting>
  <conditionalFormatting sqref="F29:F32">
    <cfRule type="colorScale" priority="1174">
      <colorScale>
        <cfvo type="min"/>
        <cfvo type="percentile" val="50"/>
        <cfvo type="max"/>
        <color rgb="FFF8696B"/>
        <color rgb="FFFFEB84"/>
        <color rgb="FF63BE7B"/>
      </colorScale>
    </cfRule>
  </conditionalFormatting>
  <conditionalFormatting sqref="F29:F32">
    <cfRule type="colorScale" priority="1173">
      <colorScale>
        <cfvo type="min"/>
        <cfvo type="percentile" val="50"/>
        <cfvo type="max"/>
        <color rgb="FFF8696B"/>
        <color rgb="FFFFEB84"/>
        <color rgb="FF63BE7B"/>
      </colorScale>
    </cfRule>
  </conditionalFormatting>
  <conditionalFormatting sqref="F29:F32">
    <cfRule type="colorScale" priority="1172">
      <colorScale>
        <cfvo type="min"/>
        <cfvo type="percentile" val="50"/>
        <cfvo type="max"/>
        <color rgb="FFF8696B"/>
        <color rgb="FFFFEB84"/>
        <color rgb="FF63BE7B"/>
      </colorScale>
    </cfRule>
  </conditionalFormatting>
  <conditionalFormatting sqref="F29:F32">
    <cfRule type="colorScale" priority="1171">
      <colorScale>
        <cfvo type="min"/>
        <cfvo type="percentile" val="50"/>
        <cfvo type="max"/>
        <color rgb="FFF8696B"/>
        <color rgb="FFFFEB84"/>
        <color rgb="FF63BE7B"/>
      </colorScale>
    </cfRule>
  </conditionalFormatting>
  <conditionalFormatting sqref="F29:F32">
    <cfRule type="colorScale" priority="1170">
      <colorScale>
        <cfvo type="min"/>
        <cfvo type="percentile" val="50"/>
        <cfvo type="max"/>
        <color rgb="FFF8696B"/>
        <color rgb="FFFFEB84"/>
        <color rgb="FF63BE7B"/>
      </colorScale>
    </cfRule>
  </conditionalFormatting>
  <conditionalFormatting sqref="F29:F32">
    <cfRule type="colorScale" priority="1169">
      <colorScale>
        <cfvo type="min"/>
        <cfvo type="percentile" val="50"/>
        <cfvo type="max"/>
        <color rgb="FFF8696B"/>
        <color rgb="FFFFEB84"/>
        <color rgb="FF63BE7B"/>
      </colorScale>
    </cfRule>
  </conditionalFormatting>
  <conditionalFormatting sqref="F29:F32">
    <cfRule type="colorScale" priority="1168">
      <colorScale>
        <cfvo type="min"/>
        <cfvo type="percentile" val="50"/>
        <cfvo type="max"/>
        <color rgb="FFF8696B"/>
        <color rgb="FFFFEB84"/>
        <color rgb="FF63BE7B"/>
      </colorScale>
    </cfRule>
  </conditionalFormatting>
  <conditionalFormatting sqref="F29:F32">
    <cfRule type="colorScale" priority="1167">
      <colorScale>
        <cfvo type="min"/>
        <cfvo type="percentile" val="50"/>
        <cfvo type="max"/>
        <color rgb="FFF8696B"/>
        <color rgb="FFFFEB84"/>
        <color rgb="FF63BE7B"/>
      </colorScale>
    </cfRule>
  </conditionalFormatting>
  <conditionalFormatting sqref="F29:F32">
    <cfRule type="colorScale" priority="1166">
      <colorScale>
        <cfvo type="min"/>
        <cfvo type="percentile" val="50"/>
        <cfvo type="max"/>
        <color rgb="FFF8696B"/>
        <color rgb="FFFFEB84"/>
        <color rgb="FF63BE7B"/>
      </colorScale>
    </cfRule>
  </conditionalFormatting>
  <conditionalFormatting sqref="F29:F32">
    <cfRule type="colorScale" priority="1165">
      <colorScale>
        <cfvo type="min"/>
        <cfvo type="percentile" val="50"/>
        <cfvo type="max"/>
        <color rgb="FFF8696B"/>
        <color rgb="FFFFEB84"/>
        <color rgb="FF63BE7B"/>
      </colorScale>
    </cfRule>
  </conditionalFormatting>
  <conditionalFormatting sqref="F29:F32">
    <cfRule type="colorScale" priority="1164">
      <colorScale>
        <cfvo type="min"/>
        <cfvo type="percentile" val="50"/>
        <cfvo type="max"/>
        <color rgb="FFF8696B"/>
        <color rgb="FFFFEB84"/>
        <color rgb="FF63BE7B"/>
      </colorScale>
    </cfRule>
  </conditionalFormatting>
  <conditionalFormatting sqref="F29:F32">
    <cfRule type="colorScale" priority="1163">
      <colorScale>
        <cfvo type="min"/>
        <cfvo type="percentile" val="50"/>
        <cfvo type="max"/>
        <color rgb="FFF8696B"/>
        <color rgb="FFFFEB84"/>
        <color rgb="FF63BE7B"/>
      </colorScale>
    </cfRule>
  </conditionalFormatting>
  <conditionalFormatting sqref="F29:F32">
    <cfRule type="colorScale" priority="1162">
      <colorScale>
        <cfvo type="min"/>
        <cfvo type="percentile" val="50"/>
        <cfvo type="max"/>
        <color rgb="FFF8696B"/>
        <color rgb="FFFFEB84"/>
        <color rgb="FF63BE7B"/>
      </colorScale>
    </cfRule>
  </conditionalFormatting>
  <conditionalFormatting sqref="F29:F32">
    <cfRule type="colorScale" priority="1161">
      <colorScale>
        <cfvo type="min"/>
        <cfvo type="percentile" val="50"/>
        <cfvo type="max"/>
        <color rgb="FFF8696B"/>
        <color rgb="FFFFEB84"/>
        <color rgb="FF63BE7B"/>
      </colorScale>
    </cfRule>
  </conditionalFormatting>
  <conditionalFormatting sqref="F29:F32">
    <cfRule type="colorScale" priority="1160">
      <colorScale>
        <cfvo type="min"/>
        <cfvo type="percentile" val="50"/>
        <cfvo type="max"/>
        <color rgb="FFF8696B"/>
        <color rgb="FFFFEB84"/>
        <color rgb="FF63BE7B"/>
      </colorScale>
    </cfRule>
  </conditionalFormatting>
  <conditionalFormatting sqref="F29:F32">
    <cfRule type="colorScale" priority="1159">
      <colorScale>
        <cfvo type="min"/>
        <cfvo type="percentile" val="50"/>
        <cfvo type="max"/>
        <color rgb="FFF8696B"/>
        <color rgb="FFFFEB84"/>
        <color rgb="FF63BE7B"/>
      </colorScale>
    </cfRule>
  </conditionalFormatting>
  <conditionalFormatting sqref="F29:F32">
    <cfRule type="colorScale" priority="1158">
      <colorScale>
        <cfvo type="min"/>
        <cfvo type="percentile" val="50"/>
        <cfvo type="max"/>
        <color rgb="FFF8696B"/>
        <color rgb="FFFFEB84"/>
        <color rgb="FF63BE7B"/>
      </colorScale>
    </cfRule>
  </conditionalFormatting>
  <conditionalFormatting sqref="F29:F32">
    <cfRule type="colorScale" priority="1157">
      <colorScale>
        <cfvo type="min"/>
        <cfvo type="percentile" val="50"/>
        <cfvo type="max"/>
        <color rgb="FFF8696B"/>
        <color rgb="FFFFEB84"/>
        <color rgb="FF63BE7B"/>
      </colorScale>
    </cfRule>
  </conditionalFormatting>
  <conditionalFormatting sqref="F29:F32">
    <cfRule type="colorScale" priority="1156">
      <colorScale>
        <cfvo type="min"/>
        <cfvo type="percentile" val="50"/>
        <cfvo type="max"/>
        <color rgb="FFF8696B"/>
        <color rgb="FFFFEB84"/>
        <color rgb="FF63BE7B"/>
      </colorScale>
    </cfRule>
  </conditionalFormatting>
  <conditionalFormatting sqref="F29:F32">
    <cfRule type="colorScale" priority="1155">
      <colorScale>
        <cfvo type="min"/>
        <cfvo type="percentile" val="50"/>
        <cfvo type="max"/>
        <color rgb="FFF8696B"/>
        <color rgb="FFFFEB84"/>
        <color rgb="FF63BE7B"/>
      </colorScale>
    </cfRule>
  </conditionalFormatting>
  <conditionalFormatting sqref="F29:F32">
    <cfRule type="colorScale" priority="1154">
      <colorScale>
        <cfvo type="min"/>
        <cfvo type="percentile" val="50"/>
        <cfvo type="max"/>
        <color rgb="FFF8696B"/>
        <color rgb="FFFFEB84"/>
        <color rgb="FF63BE7B"/>
      </colorScale>
    </cfRule>
  </conditionalFormatting>
  <conditionalFormatting sqref="F29:F32">
    <cfRule type="colorScale" priority="1153">
      <colorScale>
        <cfvo type="min"/>
        <cfvo type="percentile" val="50"/>
        <cfvo type="max"/>
        <color rgb="FFF8696B"/>
        <color rgb="FFFFEB84"/>
        <color rgb="FF63BE7B"/>
      </colorScale>
    </cfRule>
  </conditionalFormatting>
  <conditionalFormatting sqref="F29:F32">
    <cfRule type="colorScale" priority="1152">
      <colorScale>
        <cfvo type="min"/>
        <cfvo type="percentile" val="50"/>
        <cfvo type="max"/>
        <color rgb="FFF8696B"/>
        <color rgb="FFFFEB84"/>
        <color rgb="FF63BE7B"/>
      </colorScale>
    </cfRule>
  </conditionalFormatting>
  <conditionalFormatting sqref="F29:F32">
    <cfRule type="colorScale" priority="1151">
      <colorScale>
        <cfvo type="min"/>
        <cfvo type="percentile" val="50"/>
        <cfvo type="max"/>
        <color rgb="FFF8696B"/>
        <color rgb="FFFFEB84"/>
        <color rgb="FF63BE7B"/>
      </colorScale>
    </cfRule>
  </conditionalFormatting>
  <conditionalFormatting sqref="F29:F32">
    <cfRule type="colorScale" priority="1150">
      <colorScale>
        <cfvo type="min"/>
        <cfvo type="percentile" val="50"/>
        <cfvo type="max"/>
        <color rgb="FFF8696B"/>
        <color rgb="FFFFEB84"/>
        <color rgb="FF63BE7B"/>
      </colorScale>
    </cfRule>
  </conditionalFormatting>
  <conditionalFormatting sqref="F29:F32">
    <cfRule type="colorScale" priority="1149">
      <colorScale>
        <cfvo type="min"/>
        <cfvo type="percentile" val="50"/>
        <cfvo type="max"/>
        <color rgb="FFF8696B"/>
        <color rgb="FFFFEB84"/>
        <color rgb="FF63BE7B"/>
      </colorScale>
    </cfRule>
  </conditionalFormatting>
  <conditionalFormatting sqref="F29:F32">
    <cfRule type="colorScale" priority="1148">
      <colorScale>
        <cfvo type="min"/>
        <cfvo type="percentile" val="50"/>
        <cfvo type="max"/>
        <color rgb="FFF8696B"/>
        <color rgb="FFFFEB84"/>
        <color rgb="FF63BE7B"/>
      </colorScale>
    </cfRule>
  </conditionalFormatting>
  <conditionalFormatting sqref="F29:F32">
    <cfRule type="colorScale" priority="1147">
      <colorScale>
        <cfvo type="min"/>
        <cfvo type="percentile" val="50"/>
        <cfvo type="max"/>
        <color rgb="FFF8696B"/>
        <color rgb="FFFFEB84"/>
        <color rgb="FF63BE7B"/>
      </colorScale>
    </cfRule>
  </conditionalFormatting>
  <conditionalFormatting sqref="F29:F32">
    <cfRule type="colorScale" priority="1146">
      <colorScale>
        <cfvo type="min"/>
        <cfvo type="percentile" val="50"/>
        <cfvo type="max"/>
        <color rgb="FFF8696B"/>
        <color rgb="FFFFEB84"/>
        <color rgb="FF63BE7B"/>
      </colorScale>
    </cfRule>
  </conditionalFormatting>
  <conditionalFormatting sqref="F29:F32">
    <cfRule type="colorScale" priority="1145">
      <colorScale>
        <cfvo type="min"/>
        <cfvo type="percentile" val="50"/>
        <cfvo type="max"/>
        <color rgb="FFF8696B"/>
        <color rgb="FFFFEB84"/>
        <color rgb="FF63BE7B"/>
      </colorScale>
    </cfRule>
  </conditionalFormatting>
  <conditionalFormatting sqref="F29:F32">
    <cfRule type="colorScale" priority="1144">
      <colorScale>
        <cfvo type="min"/>
        <cfvo type="percentile" val="50"/>
        <cfvo type="max"/>
        <color rgb="FFF8696B"/>
        <color rgb="FFFFEB84"/>
        <color rgb="FF63BE7B"/>
      </colorScale>
    </cfRule>
  </conditionalFormatting>
  <conditionalFormatting sqref="F29:F32">
    <cfRule type="colorScale" priority="1143">
      <colorScale>
        <cfvo type="min"/>
        <cfvo type="percentile" val="50"/>
        <cfvo type="max"/>
        <color rgb="FFF8696B"/>
        <color rgb="FFFFEB84"/>
        <color rgb="FF63BE7B"/>
      </colorScale>
    </cfRule>
  </conditionalFormatting>
  <conditionalFormatting sqref="F29:F32">
    <cfRule type="colorScale" priority="1142">
      <colorScale>
        <cfvo type="min"/>
        <cfvo type="percentile" val="50"/>
        <cfvo type="max"/>
        <color rgb="FFF8696B"/>
        <color rgb="FFFFEB84"/>
        <color rgb="FF63BE7B"/>
      </colorScale>
    </cfRule>
  </conditionalFormatting>
  <conditionalFormatting sqref="F29:F32">
    <cfRule type="colorScale" priority="1141">
      <colorScale>
        <cfvo type="min"/>
        <cfvo type="percentile" val="50"/>
        <cfvo type="max"/>
        <color rgb="FFF8696B"/>
        <color rgb="FFFFEB84"/>
        <color rgb="FF63BE7B"/>
      </colorScale>
    </cfRule>
  </conditionalFormatting>
  <conditionalFormatting sqref="F29:F32">
    <cfRule type="colorScale" priority="1140">
      <colorScale>
        <cfvo type="min"/>
        <cfvo type="percentile" val="50"/>
        <cfvo type="max"/>
        <color rgb="FFF8696B"/>
        <color rgb="FFFFEB84"/>
        <color rgb="FF63BE7B"/>
      </colorScale>
    </cfRule>
  </conditionalFormatting>
  <conditionalFormatting sqref="F29:F32">
    <cfRule type="colorScale" priority="1139">
      <colorScale>
        <cfvo type="min"/>
        <cfvo type="percentile" val="50"/>
        <cfvo type="max"/>
        <color rgb="FFF8696B"/>
        <color rgb="FFFFEB84"/>
        <color rgb="FF63BE7B"/>
      </colorScale>
    </cfRule>
  </conditionalFormatting>
  <conditionalFormatting sqref="F29:F32">
    <cfRule type="colorScale" priority="1138">
      <colorScale>
        <cfvo type="min"/>
        <cfvo type="percentile" val="50"/>
        <cfvo type="max"/>
        <color rgb="FFF8696B"/>
        <color rgb="FFFFEB84"/>
        <color rgb="FF63BE7B"/>
      </colorScale>
    </cfRule>
  </conditionalFormatting>
  <conditionalFormatting sqref="F29:F32">
    <cfRule type="colorScale" priority="1137">
      <colorScale>
        <cfvo type="min"/>
        <cfvo type="percentile" val="50"/>
        <cfvo type="max"/>
        <color rgb="FFF8696B"/>
        <color rgb="FFFFEB84"/>
        <color rgb="FF63BE7B"/>
      </colorScale>
    </cfRule>
  </conditionalFormatting>
  <conditionalFormatting sqref="F29:F32">
    <cfRule type="colorScale" priority="1136">
      <colorScale>
        <cfvo type="min"/>
        <cfvo type="percentile" val="50"/>
        <cfvo type="max"/>
        <color rgb="FFF8696B"/>
        <color rgb="FFFFEB84"/>
        <color rgb="FF63BE7B"/>
      </colorScale>
    </cfRule>
  </conditionalFormatting>
  <conditionalFormatting sqref="F29:F32">
    <cfRule type="colorScale" priority="1135">
      <colorScale>
        <cfvo type="min"/>
        <cfvo type="percentile" val="50"/>
        <cfvo type="max"/>
        <color rgb="FFF8696B"/>
        <color rgb="FFFFEB84"/>
        <color rgb="FF63BE7B"/>
      </colorScale>
    </cfRule>
  </conditionalFormatting>
  <conditionalFormatting sqref="F29:F32">
    <cfRule type="colorScale" priority="1134">
      <colorScale>
        <cfvo type="min"/>
        <cfvo type="percentile" val="50"/>
        <cfvo type="max"/>
        <color rgb="FFF8696B"/>
        <color rgb="FFFFEB84"/>
        <color rgb="FF63BE7B"/>
      </colorScale>
    </cfRule>
  </conditionalFormatting>
  <conditionalFormatting sqref="F29:F32">
    <cfRule type="colorScale" priority="1133">
      <colorScale>
        <cfvo type="min"/>
        <cfvo type="percentile" val="50"/>
        <cfvo type="max"/>
        <color rgb="FFF8696B"/>
        <color rgb="FFFFEB84"/>
        <color rgb="FF63BE7B"/>
      </colorScale>
    </cfRule>
  </conditionalFormatting>
  <conditionalFormatting sqref="F29:F32">
    <cfRule type="colorScale" priority="1132">
      <colorScale>
        <cfvo type="min"/>
        <cfvo type="percentile" val="50"/>
        <cfvo type="max"/>
        <color rgb="FFF8696B"/>
        <color rgb="FFFFEB84"/>
        <color rgb="FF63BE7B"/>
      </colorScale>
    </cfRule>
  </conditionalFormatting>
  <conditionalFormatting sqref="F29:F32">
    <cfRule type="colorScale" priority="1131">
      <colorScale>
        <cfvo type="min"/>
        <cfvo type="percentile" val="50"/>
        <cfvo type="max"/>
        <color rgb="FFF8696B"/>
        <color rgb="FFFFEB84"/>
        <color rgb="FF63BE7B"/>
      </colorScale>
    </cfRule>
  </conditionalFormatting>
  <conditionalFormatting sqref="F29:F32">
    <cfRule type="colorScale" priority="1130">
      <colorScale>
        <cfvo type="min"/>
        <cfvo type="percentile" val="50"/>
        <cfvo type="max"/>
        <color rgb="FFF8696B"/>
        <color rgb="FFFFEB84"/>
        <color rgb="FF63BE7B"/>
      </colorScale>
    </cfRule>
  </conditionalFormatting>
  <conditionalFormatting sqref="F29:F32">
    <cfRule type="colorScale" priority="1129">
      <colorScale>
        <cfvo type="min"/>
        <cfvo type="percentile" val="50"/>
        <cfvo type="max"/>
        <color rgb="FFF8696B"/>
        <color rgb="FFFFEB84"/>
        <color rgb="FF63BE7B"/>
      </colorScale>
    </cfRule>
  </conditionalFormatting>
  <conditionalFormatting sqref="F29:F32">
    <cfRule type="colorScale" priority="1128">
      <colorScale>
        <cfvo type="min"/>
        <cfvo type="percentile" val="50"/>
        <cfvo type="max"/>
        <color rgb="FFF8696B"/>
        <color rgb="FFFFEB84"/>
        <color rgb="FF63BE7B"/>
      </colorScale>
    </cfRule>
  </conditionalFormatting>
  <conditionalFormatting sqref="F29:F32">
    <cfRule type="colorScale" priority="1127">
      <colorScale>
        <cfvo type="min"/>
        <cfvo type="percentile" val="50"/>
        <cfvo type="max"/>
        <color rgb="FFF8696B"/>
        <color rgb="FFFFEB84"/>
        <color rgb="FF63BE7B"/>
      </colorScale>
    </cfRule>
  </conditionalFormatting>
  <conditionalFormatting sqref="F29:F32">
    <cfRule type="colorScale" priority="1126">
      <colorScale>
        <cfvo type="min"/>
        <cfvo type="percentile" val="50"/>
        <cfvo type="max"/>
        <color rgb="FFF8696B"/>
        <color rgb="FFFFEB84"/>
        <color rgb="FF63BE7B"/>
      </colorScale>
    </cfRule>
  </conditionalFormatting>
  <conditionalFormatting sqref="F29:F32">
    <cfRule type="colorScale" priority="1125">
      <colorScale>
        <cfvo type="min"/>
        <cfvo type="percentile" val="50"/>
        <cfvo type="max"/>
        <color rgb="FFF8696B"/>
        <color rgb="FFFFEB84"/>
        <color rgb="FF63BE7B"/>
      </colorScale>
    </cfRule>
  </conditionalFormatting>
  <conditionalFormatting sqref="F29:F32">
    <cfRule type="colorScale" priority="1124">
      <colorScale>
        <cfvo type="min"/>
        <cfvo type="percentile" val="50"/>
        <cfvo type="max"/>
        <color rgb="FFF8696B"/>
        <color rgb="FFFFEB84"/>
        <color rgb="FF63BE7B"/>
      </colorScale>
    </cfRule>
  </conditionalFormatting>
  <conditionalFormatting sqref="F29:F32">
    <cfRule type="colorScale" priority="1123">
      <colorScale>
        <cfvo type="min"/>
        <cfvo type="percentile" val="50"/>
        <cfvo type="max"/>
        <color rgb="FFF8696B"/>
        <color rgb="FFFFEB84"/>
        <color rgb="FF63BE7B"/>
      </colorScale>
    </cfRule>
  </conditionalFormatting>
  <conditionalFormatting sqref="F29:F32">
    <cfRule type="colorScale" priority="1122">
      <colorScale>
        <cfvo type="min"/>
        <cfvo type="percentile" val="50"/>
        <cfvo type="max"/>
        <color rgb="FFF8696B"/>
        <color rgb="FFFFEB84"/>
        <color rgb="FF63BE7B"/>
      </colorScale>
    </cfRule>
  </conditionalFormatting>
  <conditionalFormatting sqref="F29:F32">
    <cfRule type="colorScale" priority="1121">
      <colorScale>
        <cfvo type="min"/>
        <cfvo type="percentile" val="50"/>
        <cfvo type="max"/>
        <color rgb="FFF8696B"/>
        <color rgb="FFFFEB84"/>
        <color rgb="FF63BE7B"/>
      </colorScale>
    </cfRule>
  </conditionalFormatting>
  <conditionalFormatting sqref="F29:F32">
    <cfRule type="colorScale" priority="1120">
      <colorScale>
        <cfvo type="min"/>
        <cfvo type="percentile" val="50"/>
        <cfvo type="max"/>
        <color rgb="FFF8696B"/>
        <color rgb="FFFFEB84"/>
        <color rgb="FF63BE7B"/>
      </colorScale>
    </cfRule>
  </conditionalFormatting>
  <conditionalFormatting sqref="F29:F32">
    <cfRule type="colorScale" priority="1119">
      <colorScale>
        <cfvo type="min"/>
        <cfvo type="percentile" val="50"/>
        <cfvo type="max"/>
        <color rgb="FFF8696B"/>
        <color rgb="FFFFEB84"/>
        <color rgb="FF63BE7B"/>
      </colorScale>
    </cfRule>
  </conditionalFormatting>
  <conditionalFormatting sqref="F29:F32">
    <cfRule type="colorScale" priority="1118">
      <colorScale>
        <cfvo type="min"/>
        <cfvo type="percentile" val="50"/>
        <cfvo type="max"/>
        <color rgb="FFF8696B"/>
        <color rgb="FFFFEB84"/>
        <color rgb="FF63BE7B"/>
      </colorScale>
    </cfRule>
  </conditionalFormatting>
  <conditionalFormatting sqref="F29:F32">
    <cfRule type="colorScale" priority="1117">
      <colorScale>
        <cfvo type="min"/>
        <cfvo type="percentile" val="50"/>
        <cfvo type="max"/>
        <color rgb="FFF8696B"/>
        <color rgb="FFFFEB84"/>
        <color rgb="FF63BE7B"/>
      </colorScale>
    </cfRule>
  </conditionalFormatting>
  <conditionalFormatting sqref="F29:F32">
    <cfRule type="colorScale" priority="1116">
      <colorScale>
        <cfvo type="min"/>
        <cfvo type="percentile" val="50"/>
        <cfvo type="max"/>
        <color rgb="FFF8696B"/>
        <color rgb="FFFFEB84"/>
        <color rgb="FF63BE7B"/>
      </colorScale>
    </cfRule>
  </conditionalFormatting>
  <conditionalFormatting sqref="F29:F32">
    <cfRule type="colorScale" priority="1115">
      <colorScale>
        <cfvo type="min"/>
        <cfvo type="percentile" val="50"/>
        <cfvo type="max"/>
        <color rgb="FFF8696B"/>
        <color rgb="FFFFEB84"/>
        <color rgb="FF63BE7B"/>
      </colorScale>
    </cfRule>
  </conditionalFormatting>
  <conditionalFormatting sqref="F29:F32">
    <cfRule type="colorScale" priority="1114">
      <colorScale>
        <cfvo type="min"/>
        <cfvo type="percentile" val="50"/>
        <cfvo type="max"/>
        <color rgb="FFF8696B"/>
        <color rgb="FFFFEB84"/>
        <color rgb="FF63BE7B"/>
      </colorScale>
    </cfRule>
  </conditionalFormatting>
  <conditionalFormatting sqref="F29:F32">
    <cfRule type="colorScale" priority="1113">
      <colorScale>
        <cfvo type="min"/>
        <cfvo type="percentile" val="50"/>
        <cfvo type="max"/>
        <color rgb="FFF8696B"/>
        <color rgb="FFFFEB84"/>
        <color rgb="FF63BE7B"/>
      </colorScale>
    </cfRule>
  </conditionalFormatting>
  <conditionalFormatting sqref="F29:F32">
    <cfRule type="colorScale" priority="1112">
      <colorScale>
        <cfvo type="min"/>
        <cfvo type="percentile" val="50"/>
        <cfvo type="max"/>
        <color rgb="FFF8696B"/>
        <color rgb="FFFFEB84"/>
        <color rgb="FF63BE7B"/>
      </colorScale>
    </cfRule>
  </conditionalFormatting>
  <conditionalFormatting sqref="F29:F32">
    <cfRule type="colorScale" priority="1111">
      <colorScale>
        <cfvo type="min"/>
        <cfvo type="percentile" val="50"/>
        <cfvo type="max"/>
        <color rgb="FFF8696B"/>
        <color rgb="FFFFEB84"/>
        <color rgb="FF63BE7B"/>
      </colorScale>
    </cfRule>
  </conditionalFormatting>
  <conditionalFormatting sqref="F29:F32">
    <cfRule type="colorScale" priority="1110">
      <colorScale>
        <cfvo type="min"/>
        <cfvo type="percentile" val="50"/>
        <cfvo type="max"/>
        <color rgb="FFF8696B"/>
        <color rgb="FFFFEB84"/>
        <color rgb="FF63BE7B"/>
      </colorScale>
    </cfRule>
  </conditionalFormatting>
  <conditionalFormatting sqref="F29:F32">
    <cfRule type="colorScale" priority="1109">
      <colorScale>
        <cfvo type="min"/>
        <cfvo type="percentile" val="50"/>
        <cfvo type="max"/>
        <color rgb="FFF8696B"/>
        <color rgb="FFFFEB84"/>
        <color rgb="FF63BE7B"/>
      </colorScale>
    </cfRule>
  </conditionalFormatting>
  <conditionalFormatting sqref="F29:F32">
    <cfRule type="colorScale" priority="1108">
      <colorScale>
        <cfvo type="min"/>
        <cfvo type="percentile" val="50"/>
        <cfvo type="max"/>
        <color rgb="FFF8696B"/>
        <color rgb="FFFFEB84"/>
        <color rgb="FF63BE7B"/>
      </colorScale>
    </cfRule>
  </conditionalFormatting>
  <conditionalFormatting sqref="F29:F32">
    <cfRule type="colorScale" priority="1107">
      <colorScale>
        <cfvo type="min"/>
        <cfvo type="percentile" val="50"/>
        <cfvo type="max"/>
        <color rgb="FFF8696B"/>
        <color rgb="FFFFEB84"/>
        <color rgb="FF63BE7B"/>
      </colorScale>
    </cfRule>
  </conditionalFormatting>
  <conditionalFormatting sqref="F29:F32">
    <cfRule type="colorScale" priority="1106">
      <colorScale>
        <cfvo type="min"/>
        <cfvo type="percentile" val="50"/>
        <cfvo type="max"/>
        <color rgb="FFF8696B"/>
        <color rgb="FFFFEB84"/>
        <color rgb="FF63BE7B"/>
      </colorScale>
    </cfRule>
  </conditionalFormatting>
  <conditionalFormatting sqref="E11:E31">
    <cfRule type="colorScale" priority="1105">
      <colorScale>
        <cfvo type="min"/>
        <cfvo type="percentile" val="50"/>
        <cfvo type="max"/>
        <color rgb="FFF8696B"/>
        <color rgb="FFFFEB84"/>
        <color rgb="FF63BE7B"/>
      </colorScale>
    </cfRule>
  </conditionalFormatting>
  <conditionalFormatting sqref="E11:E28">
    <cfRule type="colorScale" priority="1104">
      <colorScale>
        <cfvo type="min"/>
        <cfvo type="percentile" val="50"/>
        <cfvo type="max"/>
        <color rgb="FFF8696B"/>
        <color rgb="FFFFEB84"/>
        <color rgb="FF63BE7B"/>
      </colorScale>
    </cfRule>
  </conditionalFormatting>
  <conditionalFormatting sqref="E29:E31">
    <cfRule type="colorScale" priority="1103">
      <colorScale>
        <cfvo type="min"/>
        <cfvo type="percentile" val="50"/>
        <cfvo type="max"/>
        <color rgb="FFF8696B"/>
        <color rgb="FFFFEB84"/>
        <color rgb="FF63BE7B"/>
      </colorScale>
    </cfRule>
  </conditionalFormatting>
  <conditionalFormatting sqref="E32">
    <cfRule type="colorScale" priority="1102">
      <colorScale>
        <cfvo type="min"/>
        <cfvo type="percentile" val="50"/>
        <cfvo type="max"/>
        <color rgb="FFF8696B"/>
        <color rgb="FFFFEB84"/>
        <color rgb="FF63BE7B"/>
      </colorScale>
    </cfRule>
  </conditionalFormatting>
  <conditionalFormatting sqref="F11:F31">
    <cfRule type="colorScale" priority="1101">
      <colorScale>
        <cfvo type="min"/>
        <cfvo type="percentile" val="50"/>
        <cfvo type="max"/>
        <color rgb="FFF8696B"/>
        <color rgb="FFFFEB84"/>
        <color rgb="FF63BE7B"/>
      </colorScale>
    </cfRule>
  </conditionalFormatting>
  <conditionalFormatting sqref="F11:F31">
    <cfRule type="colorScale" priority="1100">
      <colorScale>
        <cfvo type="min"/>
        <cfvo type="percentile" val="50"/>
        <cfvo type="max"/>
        <color rgb="FFF8696B"/>
        <color rgb="FFFFEB84"/>
        <color rgb="FF63BE7B"/>
      </colorScale>
    </cfRule>
  </conditionalFormatting>
  <conditionalFormatting sqref="F11:F31">
    <cfRule type="colorScale" priority="1099">
      <colorScale>
        <cfvo type="min"/>
        <cfvo type="percentile" val="50"/>
        <cfvo type="max"/>
        <color rgb="FFF8696B"/>
        <color rgb="FFFFEB84"/>
        <color rgb="FF63BE7B"/>
      </colorScale>
    </cfRule>
  </conditionalFormatting>
  <conditionalFormatting sqref="F11:F31">
    <cfRule type="colorScale" priority="1098">
      <colorScale>
        <cfvo type="min"/>
        <cfvo type="percentile" val="50"/>
        <cfvo type="max"/>
        <color rgb="FFF8696B"/>
        <color rgb="FFFFEB84"/>
        <color rgb="FF63BE7B"/>
      </colorScale>
    </cfRule>
  </conditionalFormatting>
  <conditionalFormatting sqref="F11:F31">
    <cfRule type="colorScale" priority="1097">
      <colorScale>
        <cfvo type="min"/>
        <cfvo type="percentile" val="50"/>
        <cfvo type="max"/>
        <color rgb="FFF8696B"/>
        <color rgb="FFFFEB84"/>
        <color rgb="FF63BE7B"/>
      </colorScale>
    </cfRule>
  </conditionalFormatting>
  <conditionalFormatting sqref="F11:F31">
    <cfRule type="colorScale" priority="1096">
      <colorScale>
        <cfvo type="min"/>
        <cfvo type="percentile" val="50"/>
        <cfvo type="max"/>
        <color rgb="FFF8696B"/>
        <color rgb="FFFFEB84"/>
        <color rgb="FF63BE7B"/>
      </colorScale>
    </cfRule>
  </conditionalFormatting>
  <conditionalFormatting sqref="F11:F31">
    <cfRule type="colorScale" priority="1095">
      <colorScale>
        <cfvo type="min"/>
        <cfvo type="percentile" val="50"/>
        <cfvo type="max"/>
        <color rgb="FFF8696B"/>
        <color rgb="FFFFEB84"/>
        <color rgb="FF63BE7B"/>
      </colorScale>
    </cfRule>
  </conditionalFormatting>
  <conditionalFormatting sqref="F11:F31">
    <cfRule type="colorScale" priority="1094">
      <colorScale>
        <cfvo type="min"/>
        <cfvo type="percentile" val="50"/>
        <cfvo type="max"/>
        <color rgb="FFF8696B"/>
        <color rgb="FFFFEB84"/>
        <color rgb="FF63BE7B"/>
      </colorScale>
    </cfRule>
  </conditionalFormatting>
  <conditionalFormatting sqref="F11:F31">
    <cfRule type="colorScale" priority="1093">
      <colorScale>
        <cfvo type="min"/>
        <cfvo type="percentile" val="50"/>
        <cfvo type="max"/>
        <color rgb="FFF8696B"/>
        <color rgb="FFFFEB84"/>
        <color rgb="FF63BE7B"/>
      </colorScale>
    </cfRule>
  </conditionalFormatting>
  <conditionalFormatting sqref="F11:F31">
    <cfRule type="colorScale" priority="1092">
      <colorScale>
        <cfvo type="min"/>
        <cfvo type="percentile" val="50"/>
        <cfvo type="max"/>
        <color rgb="FFF8696B"/>
        <color rgb="FFFFEB84"/>
        <color rgb="FF63BE7B"/>
      </colorScale>
    </cfRule>
  </conditionalFormatting>
  <conditionalFormatting sqref="F11:F31">
    <cfRule type="colorScale" priority="1091">
      <colorScale>
        <cfvo type="min"/>
        <cfvo type="percentile" val="50"/>
        <cfvo type="max"/>
        <color rgb="FFF8696B"/>
        <color rgb="FFFFEB84"/>
        <color rgb="FF63BE7B"/>
      </colorScale>
    </cfRule>
  </conditionalFormatting>
  <conditionalFormatting sqref="F11:F31">
    <cfRule type="colorScale" priority="1090">
      <colorScale>
        <cfvo type="min"/>
        <cfvo type="percentile" val="50"/>
        <cfvo type="max"/>
        <color rgb="FFF8696B"/>
        <color rgb="FFFFEB84"/>
        <color rgb="FF63BE7B"/>
      </colorScale>
    </cfRule>
  </conditionalFormatting>
  <conditionalFormatting sqref="F11:F31">
    <cfRule type="colorScale" priority="1089">
      <colorScale>
        <cfvo type="min"/>
        <cfvo type="percentile" val="50"/>
        <cfvo type="max"/>
        <color rgb="FFF8696B"/>
        <color rgb="FFFFEB84"/>
        <color rgb="FF63BE7B"/>
      </colorScale>
    </cfRule>
  </conditionalFormatting>
  <conditionalFormatting sqref="F11:F31">
    <cfRule type="colorScale" priority="1088">
      <colorScale>
        <cfvo type="min"/>
        <cfvo type="percentile" val="50"/>
        <cfvo type="max"/>
        <color rgb="FFF8696B"/>
        <color rgb="FFFFEB84"/>
        <color rgb="FF63BE7B"/>
      </colorScale>
    </cfRule>
  </conditionalFormatting>
  <conditionalFormatting sqref="F11:F31">
    <cfRule type="colorScale" priority="1087">
      <colorScale>
        <cfvo type="min"/>
        <cfvo type="percentile" val="50"/>
        <cfvo type="max"/>
        <color rgb="FFF8696B"/>
        <color rgb="FFFFEB84"/>
        <color rgb="FF63BE7B"/>
      </colorScale>
    </cfRule>
  </conditionalFormatting>
  <conditionalFormatting sqref="F11:F31">
    <cfRule type="colorScale" priority="1086">
      <colorScale>
        <cfvo type="min"/>
        <cfvo type="percentile" val="50"/>
        <cfvo type="max"/>
        <color rgb="FFF8696B"/>
        <color rgb="FFFFEB84"/>
        <color rgb="FF63BE7B"/>
      </colorScale>
    </cfRule>
  </conditionalFormatting>
  <conditionalFormatting sqref="F11:F31">
    <cfRule type="colorScale" priority="1085">
      <colorScale>
        <cfvo type="min"/>
        <cfvo type="percentile" val="50"/>
        <cfvo type="max"/>
        <color rgb="FFF8696B"/>
        <color rgb="FFFFEB84"/>
        <color rgb="FF63BE7B"/>
      </colorScale>
    </cfRule>
  </conditionalFormatting>
  <conditionalFormatting sqref="F11:F31">
    <cfRule type="colorScale" priority="1084">
      <colorScale>
        <cfvo type="min"/>
        <cfvo type="percentile" val="50"/>
        <cfvo type="max"/>
        <color rgb="FFF8696B"/>
        <color rgb="FFFFEB84"/>
        <color rgb="FF63BE7B"/>
      </colorScale>
    </cfRule>
  </conditionalFormatting>
  <conditionalFormatting sqref="F11:F31">
    <cfRule type="colorScale" priority="1083">
      <colorScale>
        <cfvo type="min"/>
        <cfvo type="percentile" val="50"/>
        <cfvo type="max"/>
        <color rgb="FFF8696B"/>
        <color rgb="FFFFEB84"/>
        <color rgb="FF63BE7B"/>
      </colorScale>
    </cfRule>
  </conditionalFormatting>
  <conditionalFormatting sqref="F11:F31">
    <cfRule type="colorScale" priority="1082">
      <colorScale>
        <cfvo type="min"/>
        <cfvo type="percentile" val="50"/>
        <cfvo type="max"/>
        <color rgb="FFF8696B"/>
        <color rgb="FFFFEB84"/>
        <color rgb="FF63BE7B"/>
      </colorScale>
    </cfRule>
  </conditionalFormatting>
  <conditionalFormatting sqref="F11:F31">
    <cfRule type="colorScale" priority="1081">
      <colorScale>
        <cfvo type="min"/>
        <cfvo type="percentile" val="50"/>
        <cfvo type="max"/>
        <color rgb="FFF8696B"/>
        <color rgb="FFFFEB84"/>
        <color rgb="FF63BE7B"/>
      </colorScale>
    </cfRule>
  </conditionalFormatting>
  <conditionalFormatting sqref="F11:F31">
    <cfRule type="colorScale" priority="1080">
      <colorScale>
        <cfvo type="min"/>
        <cfvo type="percentile" val="50"/>
        <cfvo type="max"/>
        <color rgb="FFF8696B"/>
        <color rgb="FFFFEB84"/>
        <color rgb="FF63BE7B"/>
      </colorScale>
    </cfRule>
  </conditionalFormatting>
  <conditionalFormatting sqref="F11:F31">
    <cfRule type="colorScale" priority="1079">
      <colorScale>
        <cfvo type="min"/>
        <cfvo type="percentile" val="50"/>
        <cfvo type="max"/>
        <color rgb="FFF8696B"/>
        <color rgb="FFFFEB84"/>
        <color rgb="FF63BE7B"/>
      </colorScale>
    </cfRule>
  </conditionalFormatting>
  <conditionalFormatting sqref="F11:F31">
    <cfRule type="colorScale" priority="1078">
      <colorScale>
        <cfvo type="min"/>
        <cfvo type="percentile" val="50"/>
        <cfvo type="max"/>
        <color rgb="FFF8696B"/>
        <color rgb="FFFFEB84"/>
        <color rgb="FF63BE7B"/>
      </colorScale>
    </cfRule>
  </conditionalFormatting>
  <conditionalFormatting sqref="F11:F31">
    <cfRule type="colorScale" priority="1077">
      <colorScale>
        <cfvo type="min"/>
        <cfvo type="percentile" val="50"/>
        <cfvo type="max"/>
        <color rgb="FFF8696B"/>
        <color rgb="FFFFEB84"/>
        <color rgb="FF63BE7B"/>
      </colorScale>
    </cfRule>
  </conditionalFormatting>
  <conditionalFormatting sqref="F11:F31">
    <cfRule type="colorScale" priority="1076">
      <colorScale>
        <cfvo type="min"/>
        <cfvo type="percentile" val="50"/>
        <cfvo type="max"/>
        <color rgb="FFF8696B"/>
        <color rgb="FFFFEB84"/>
        <color rgb="FF63BE7B"/>
      </colorScale>
    </cfRule>
  </conditionalFormatting>
  <conditionalFormatting sqref="F11:F31">
    <cfRule type="colorScale" priority="1075">
      <colorScale>
        <cfvo type="min"/>
        <cfvo type="percentile" val="50"/>
        <cfvo type="max"/>
        <color rgb="FFF8696B"/>
        <color rgb="FFFFEB84"/>
        <color rgb="FF63BE7B"/>
      </colorScale>
    </cfRule>
  </conditionalFormatting>
  <conditionalFormatting sqref="F11:F31">
    <cfRule type="colorScale" priority="1074">
      <colorScale>
        <cfvo type="min"/>
        <cfvo type="percentile" val="50"/>
        <cfvo type="max"/>
        <color rgb="FFF8696B"/>
        <color rgb="FFFFEB84"/>
        <color rgb="FF63BE7B"/>
      </colorScale>
    </cfRule>
  </conditionalFormatting>
  <conditionalFormatting sqref="F11:F31">
    <cfRule type="colorScale" priority="1073">
      <colorScale>
        <cfvo type="min"/>
        <cfvo type="percentile" val="50"/>
        <cfvo type="max"/>
        <color rgb="FFF8696B"/>
        <color rgb="FFFFEB84"/>
        <color rgb="FF63BE7B"/>
      </colorScale>
    </cfRule>
  </conditionalFormatting>
  <conditionalFormatting sqref="F11:F31">
    <cfRule type="colorScale" priority="1072">
      <colorScale>
        <cfvo type="min"/>
        <cfvo type="percentile" val="50"/>
        <cfvo type="max"/>
        <color rgb="FFF8696B"/>
        <color rgb="FFFFEB84"/>
        <color rgb="FF63BE7B"/>
      </colorScale>
    </cfRule>
  </conditionalFormatting>
  <conditionalFormatting sqref="F11:F31">
    <cfRule type="colorScale" priority="1071">
      <colorScale>
        <cfvo type="min"/>
        <cfvo type="percentile" val="50"/>
        <cfvo type="max"/>
        <color rgb="FFF8696B"/>
        <color rgb="FFFFEB84"/>
        <color rgb="FF63BE7B"/>
      </colorScale>
    </cfRule>
  </conditionalFormatting>
  <conditionalFormatting sqref="F11:F31">
    <cfRule type="colorScale" priority="1070">
      <colorScale>
        <cfvo type="min"/>
        <cfvo type="percentile" val="50"/>
        <cfvo type="max"/>
        <color rgb="FFF8696B"/>
        <color rgb="FFFFEB84"/>
        <color rgb="FF63BE7B"/>
      </colorScale>
    </cfRule>
  </conditionalFormatting>
  <conditionalFormatting sqref="F11:F31">
    <cfRule type="colorScale" priority="1069">
      <colorScale>
        <cfvo type="min"/>
        <cfvo type="percentile" val="50"/>
        <cfvo type="max"/>
        <color rgb="FFF8696B"/>
        <color rgb="FFFFEB84"/>
        <color rgb="FF63BE7B"/>
      </colorScale>
    </cfRule>
  </conditionalFormatting>
  <conditionalFormatting sqref="F11:F31">
    <cfRule type="colorScale" priority="1068">
      <colorScale>
        <cfvo type="min"/>
        <cfvo type="percentile" val="50"/>
        <cfvo type="max"/>
        <color rgb="FFF8696B"/>
        <color rgb="FFFFEB84"/>
        <color rgb="FF63BE7B"/>
      </colorScale>
    </cfRule>
  </conditionalFormatting>
  <conditionalFormatting sqref="F11:F31">
    <cfRule type="colorScale" priority="1067">
      <colorScale>
        <cfvo type="min"/>
        <cfvo type="percentile" val="50"/>
        <cfvo type="max"/>
        <color rgb="FFF8696B"/>
        <color rgb="FFFFEB84"/>
        <color rgb="FF63BE7B"/>
      </colorScale>
    </cfRule>
  </conditionalFormatting>
  <conditionalFormatting sqref="F11:F31">
    <cfRule type="colorScale" priority="1066">
      <colorScale>
        <cfvo type="min"/>
        <cfvo type="percentile" val="50"/>
        <cfvo type="max"/>
        <color rgb="FFF8696B"/>
        <color rgb="FFFFEB84"/>
        <color rgb="FF63BE7B"/>
      </colorScale>
    </cfRule>
  </conditionalFormatting>
  <conditionalFormatting sqref="F11:F31">
    <cfRule type="colorScale" priority="1065">
      <colorScale>
        <cfvo type="min"/>
        <cfvo type="percentile" val="50"/>
        <cfvo type="max"/>
        <color rgb="FFF8696B"/>
        <color rgb="FFFFEB84"/>
        <color rgb="FF63BE7B"/>
      </colorScale>
    </cfRule>
  </conditionalFormatting>
  <conditionalFormatting sqref="F11:F31">
    <cfRule type="colorScale" priority="1064">
      <colorScale>
        <cfvo type="min"/>
        <cfvo type="percentile" val="50"/>
        <cfvo type="max"/>
        <color rgb="FFF8696B"/>
        <color rgb="FFFFEB84"/>
        <color rgb="FF63BE7B"/>
      </colorScale>
    </cfRule>
  </conditionalFormatting>
  <conditionalFormatting sqref="F11:F31">
    <cfRule type="colorScale" priority="1063">
      <colorScale>
        <cfvo type="min"/>
        <cfvo type="percentile" val="50"/>
        <cfvo type="max"/>
        <color rgb="FFF8696B"/>
        <color rgb="FFFFEB84"/>
        <color rgb="FF63BE7B"/>
      </colorScale>
    </cfRule>
  </conditionalFormatting>
  <conditionalFormatting sqref="F11:F31">
    <cfRule type="colorScale" priority="1062">
      <colorScale>
        <cfvo type="min"/>
        <cfvo type="percentile" val="50"/>
        <cfvo type="max"/>
        <color rgb="FFF8696B"/>
        <color rgb="FFFFEB84"/>
        <color rgb="FF63BE7B"/>
      </colorScale>
    </cfRule>
  </conditionalFormatting>
  <conditionalFormatting sqref="F11:F31">
    <cfRule type="colorScale" priority="1061">
      <colorScale>
        <cfvo type="min"/>
        <cfvo type="percentile" val="50"/>
        <cfvo type="max"/>
        <color rgb="FFF8696B"/>
        <color rgb="FFFFEB84"/>
        <color rgb="FF63BE7B"/>
      </colorScale>
    </cfRule>
  </conditionalFormatting>
  <conditionalFormatting sqref="F11:F31">
    <cfRule type="colorScale" priority="1060">
      <colorScale>
        <cfvo type="min"/>
        <cfvo type="percentile" val="50"/>
        <cfvo type="max"/>
        <color rgb="FFF8696B"/>
        <color rgb="FFFFEB84"/>
        <color rgb="FF63BE7B"/>
      </colorScale>
    </cfRule>
  </conditionalFormatting>
  <conditionalFormatting sqref="F11:F31">
    <cfRule type="colorScale" priority="1059">
      <colorScale>
        <cfvo type="min"/>
        <cfvo type="percentile" val="50"/>
        <cfvo type="max"/>
        <color rgb="FFF8696B"/>
        <color rgb="FFFFEB84"/>
        <color rgb="FF63BE7B"/>
      </colorScale>
    </cfRule>
  </conditionalFormatting>
  <conditionalFormatting sqref="F11:F31">
    <cfRule type="colorScale" priority="1058">
      <colorScale>
        <cfvo type="min"/>
        <cfvo type="percentile" val="50"/>
        <cfvo type="max"/>
        <color rgb="FFF8696B"/>
        <color rgb="FFFFEB84"/>
        <color rgb="FF63BE7B"/>
      </colorScale>
    </cfRule>
  </conditionalFormatting>
  <conditionalFormatting sqref="F11:F31">
    <cfRule type="colorScale" priority="1057">
      <colorScale>
        <cfvo type="min"/>
        <cfvo type="percentile" val="50"/>
        <cfvo type="max"/>
        <color rgb="FFF8696B"/>
        <color rgb="FFFFEB84"/>
        <color rgb="FF63BE7B"/>
      </colorScale>
    </cfRule>
  </conditionalFormatting>
  <conditionalFormatting sqref="F11:F31">
    <cfRule type="colorScale" priority="1056">
      <colorScale>
        <cfvo type="min"/>
        <cfvo type="percentile" val="50"/>
        <cfvo type="max"/>
        <color rgb="FFF8696B"/>
        <color rgb="FFFFEB84"/>
        <color rgb="FF63BE7B"/>
      </colorScale>
    </cfRule>
  </conditionalFormatting>
  <conditionalFormatting sqref="F11:F31">
    <cfRule type="colorScale" priority="1055">
      <colorScale>
        <cfvo type="min"/>
        <cfvo type="percentile" val="50"/>
        <cfvo type="max"/>
        <color rgb="FFF8696B"/>
        <color rgb="FFFFEB84"/>
        <color rgb="FF63BE7B"/>
      </colorScale>
    </cfRule>
  </conditionalFormatting>
  <conditionalFormatting sqref="F11:F31">
    <cfRule type="colorScale" priority="1054">
      <colorScale>
        <cfvo type="min"/>
        <cfvo type="percentile" val="50"/>
        <cfvo type="max"/>
        <color rgb="FFF8696B"/>
        <color rgb="FFFFEB84"/>
        <color rgb="FF63BE7B"/>
      </colorScale>
    </cfRule>
  </conditionalFormatting>
  <conditionalFormatting sqref="F11:F31">
    <cfRule type="colorScale" priority="1053">
      <colorScale>
        <cfvo type="min"/>
        <cfvo type="percentile" val="50"/>
        <cfvo type="max"/>
        <color rgb="FFF8696B"/>
        <color rgb="FFFFEB84"/>
        <color rgb="FF63BE7B"/>
      </colorScale>
    </cfRule>
  </conditionalFormatting>
  <conditionalFormatting sqref="F11:F31">
    <cfRule type="colorScale" priority="1052">
      <colorScale>
        <cfvo type="min"/>
        <cfvo type="percentile" val="50"/>
        <cfvo type="max"/>
        <color rgb="FFF8696B"/>
        <color rgb="FFFFEB84"/>
        <color rgb="FF63BE7B"/>
      </colorScale>
    </cfRule>
  </conditionalFormatting>
  <conditionalFormatting sqref="F11:F31">
    <cfRule type="colorScale" priority="1051">
      <colorScale>
        <cfvo type="min"/>
        <cfvo type="percentile" val="50"/>
        <cfvo type="max"/>
        <color rgb="FFF8696B"/>
        <color rgb="FFFFEB84"/>
        <color rgb="FF63BE7B"/>
      </colorScale>
    </cfRule>
  </conditionalFormatting>
  <conditionalFormatting sqref="F11:F31">
    <cfRule type="colorScale" priority="1050">
      <colorScale>
        <cfvo type="min"/>
        <cfvo type="percentile" val="50"/>
        <cfvo type="max"/>
        <color rgb="FFF8696B"/>
        <color rgb="FFFFEB84"/>
        <color rgb="FF63BE7B"/>
      </colorScale>
    </cfRule>
  </conditionalFormatting>
  <conditionalFormatting sqref="F11:F31">
    <cfRule type="colorScale" priority="1049">
      <colorScale>
        <cfvo type="min"/>
        <cfvo type="percentile" val="50"/>
        <cfvo type="max"/>
        <color rgb="FFF8696B"/>
        <color rgb="FFFFEB84"/>
        <color rgb="FF63BE7B"/>
      </colorScale>
    </cfRule>
  </conditionalFormatting>
  <conditionalFormatting sqref="F11:F31">
    <cfRule type="colorScale" priority="1048">
      <colorScale>
        <cfvo type="min"/>
        <cfvo type="percentile" val="50"/>
        <cfvo type="max"/>
        <color rgb="FFF8696B"/>
        <color rgb="FFFFEB84"/>
        <color rgb="FF63BE7B"/>
      </colorScale>
    </cfRule>
  </conditionalFormatting>
  <conditionalFormatting sqref="F11:F31">
    <cfRule type="colorScale" priority="1047">
      <colorScale>
        <cfvo type="min"/>
        <cfvo type="percentile" val="50"/>
        <cfvo type="max"/>
        <color rgb="FFF8696B"/>
        <color rgb="FFFFEB84"/>
        <color rgb="FF63BE7B"/>
      </colorScale>
    </cfRule>
  </conditionalFormatting>
  <conditionalFormatting sqref="F11:F31">
    <cfRule type="colorScale" priority="1046">
      <colorScale>
        <cfvo type="min"/>
        <cfvo type="percentile" val="50"/>
        <cfvo type="max"/>
        <color rgb="FFF8696B"/>
        <color rgb="FFFFEB84"/>
        <color rgb="FF63BE7B"/>
      </colorScale>
    </cfRule>
  </conditionalFormatting>
  <conditionalFormatting sqref="F11:F31">
    <cfRule type="colorScale" priority="1045">
      <colorScale>
        <cfvo type="min"/>
        <cfvo type="percentile" val="50"/>
        <cfvo type="max"/>
        <color rgb="FFF8696B"/>
        <color rgb="FFFFEB84"/>
        <color rgb="FF63BE7B"/>
      </colorScale>
    </cfRule>
  </conditionalFormatting>
  <conditionalFormatting sqref="F11:F31">
    <cfRule type="colorScale" priority="1044">
      <colorScale>
        <cfvo type="min"/>
        <cfvo type="percentile" val="50"/>
        <cfvo type="max"/>
        <color rgb="FFF8696B"/>
        <color rgb="FFFFEB84"/>
        <color rgb="FF63BE7B"/>
      </colorScale>
    </cfRule>
  </conditionalFormatting>
  <conditionalFormatting sqref="F11:F31">
    <cfRule type="colorScale" priority="1043">
      <colorScale>
        <cfvo type="min"/>
        <cfvo type="percentile" val="50"/>
        <cfvo type="max"/>
        <color rgb="FFF8696B"/>
        <color rgb="FFFFEB84"/>
        <color rgb="FF63BE7B"/>
      </colorScale>
    </cfRule>
  </conditionalFormatting>
  <conditionalFormatting sqref="F11:F31">
    <cfRule type="colorScale" priority="1042">
      <colorScale>
        <cfvo type="min"/>
        <cfvo type="percentile" val="50"/>
        <cfvo type="max"/>
        <color rgb="FFF8696B"/>
        <color rgb="FFFFEB84"/>
        <color rgb="FF63BE7B"/>
      </colorScale>
    </cfRule>
  </conditionalFormatting>
  <conditionalFormatting sqref="F11:F31">
    <cfRule type="colorScale" priority="1041">
      <colorScale>
        <cfvo type="min"/>
        <cfvo type="percentile" val="50"/>
        <cfvo type="max"/>
        <color rgb="FFF8696B"/>
        <color rgb="FFFFEB84"/>
        <color rgb="FF63BE7B"/>
      </colorScale>
    </cfRule>
  </conditionalFormatting>
  <conditionalFormatting sqref="F11:F31">
    <cfRule type="colorScale" priority="1040">
      <colorScale>
        <cfvo type="min"/>
        <cfvo type="percentile" val="50"/>
        <cfvo type="max"/>
        <color rgb="FFF8696B"/>
        <color rgb="FFFFEB84"/>
        <color rgb="FF63BE7B"/>
      </colorScale>
    </cfRule>
  </conditionalFormatting>
  <conditionalFormatting sqref="F11:F31">
    <cfRule type="colorScale" priority="1039">
      <colorScale>
        <cfvo type="min"/>
        <cfvo type="percentile" val="50"/>
        <cfvo type="max"/>
        <color rgb="FFF8696B"/>
        <color rgb="FFFFEB84"/>
        <color rgb="FF63BE7B"/>
      </colorScale>
    </cfRule>
  </conditionalFormatting>
  <conditionalFormatting sqref="F11:F31">
    <cfRule type="colorScale" priority="1038">
      <colorScale>
        <cfvo type="min"/>
        <cfvo type="percentile" val="50"/>
        <cfvo type="max"/>
        <color rgb="FFF8696B"/>
        <color rgb="FFFFEB84"/>
        <color rgb="FF63BE7B"/>
      </colorScale>
    </cfRule>
  </conditionalFormatting>
  <conditionalFormatting sqref="F11:F31">
    <cfRule type="colorScale" priority="1037">
      <colorScale>
        <cfvo type="min"/>
        <cfvo type="percentile" val="50"/>
        <cfvo type="max"/>
        <color rgb="FFF8696B"/>
        <color rgb="FFFFEB84"/>
        <color rgb="FF63BE7B"/>
      </colorScale>
    </cfRule>
  </conditionalFormatting>
  <conditionalFormatting sqref="F11:F31">
    <cfRule type="colorScale" priority="1036">
      <colorScale>
        <cfvo type="min"/>
        <cfvo type="percentile" val="50"/>
        <cfvo type="max"/>
        <color rgb="FFF8696B"/>
        <color rgb="FFFFEB84"/>
        <color rgb="FF63BE7B"/>
      </colorScale>
    </cfRule>
  </conditionalFormatting>
  <conditionalFormatting sqref="F11:F31">
    <cfRule type="colorScale" priority="1035">
      <colorScale>
        <cfvo type="min"/>
        <cfvo type="percentile" val="50"/>
        <cfvo type="max"/>
        <color rgb="FFF8696B"/>
        <color rgb="FFFFEB84"/>
        <color rgb="FF63BE7B"/>
      </colorScale>
    </cfRule>
  </conditionalFormatting>
  <conditionalFormatting sqref="F11:F31">
    <cfRule type="colorScale" priority="1034">
      <colorScale>
        <cfvo type="min"/>
        <cfvo type="percentile" val="50"/>
        <cfvo type="max"/>
        <color rgb="FFF8696B"/>
        <color rgb="FFFFEB84"/>
        <color rgb="FF63BE7B"/>
      </colorScale>
    </cfRule>
  </conditionalFormatting>
  <conditionalFormatting sqref="F11:F31">
    <cfRule type="colorScale" priority="1033">
      <colorScale>
        <cfvo type="min"/>
        <cfvo type="percentile" val="50"/>
        <cfvo type="max"/>
        <color rgb="FFF8696B"/>
        <color rgb="FFFFEB84"/>
        <color rgb="FF63BE7B"/>
      </colorScale>
    </cfRule>
  </conditionalFormatting>
  <conditionalFormatting sqref="F11:F31">
    <cfRule type="colorScale" priority="1032">
      <colorScale>
        <cfvo type="min"/>
        <cfvo type="percentile" val="50"/>
        <cfvo type="max"/>
        <color rgb="FFF8696B"/>
        <color rgb="FFFFEB84"/>
        <color rgb="FF63BE7B"/>
      </colorScale>
    </cfRule>
  </conditionalFormatting>
  <conditionalFormatting sqref="F11:F31">
    <cfRule type="colorScale" priority="1031">
      <colorScale>
        <cfvo type="min"/>
        <cfvo type="percentile" val="50"/>
        <cfvo type="max"/>
        <color rgb="FFF8696B"/>
        <color rgb="FFFFEB84"/>
        <color rgb="FF63BE7B"/>
      </colorScale>
    </cfRule>
  </conditionalFormatting>
  <conditionalFormatting sqref="F11:F31">
    <cfRule type="colorScale" priority="1030">
      <colorScale>
        <cfvo type="min"/>
        <cfvo type="percentile" val="50"/>
        <cfvo type="max"/>
        <color rgb="FFF8696B"/>
        <color rgb="FFFFEB84"/>
        <color rgb="FF63BE7B"/>
      </colorScale>
    </cfRule>
  </conditionalFormatting>
  <conditionalFormatting sqref="F11:F31">
    <cfRule type="colorScale" priority="1029">
      <colorScale>
        <cfvo type="min"/>
        <cfvo type="percentile" val="50"/>
        <cfvo type="max"/>
        <color rgb="FFF8696B"/>
        <color rgb="FFFFEB84"/>
        <color rgb="FF63BE7B"/>
      </colorScale>
    </cfRule>
  </conditionalFormatting>
  <conditionalFormatting sqref="F11:F31">
    <cfRule type="colorScale" priority="1028">
      <colorScale>
        <cfvo type="min"/>
        <cfvo type="percentile" val="50"/>
        <cfvo type="max"/>
        <color rgb="FFF8696B"/>
        <color rgb="FFFFEB84"/>
        <color rgb="FF63BE7B"/>
      </colorScale>
    </cfRule>
  </conditionalFormatting>
  <conditionalFormatting sqref="F11:F31">
    <cfRule type="colorScale" priority="1027">
      <colorScale>
        <cfvo type="min"/>
        <cfvo type="percentile" val="50"/>
        <cfvo type="max"/>
        <color rgb="FFF8696B"/>
        <color rgb="FFFFEB84"/>
        <color rgb="FF63BE7B"/>
      </colorScale>
    </cfRule>
  </conditionalFormatting>
  <conditionalFormatting sqref="F11:F31">
    <cfRule type="colorScale" priority="1026">
      <colorScale>
        <cfvo type="min"/>
        <cfvo type="percentile" val="50"/>
        <cfvo type="max"/>
        <color rgb="FFF8696B"/>
        <color rgb="FFFFEB84"/>
        <color rgb="FF63BE7B"/>
      </colorScale>
    </cfRule>
  </conditionalFormatting>
  <conditionalFormatting sqref="F11:F31">
    <cfRule type="colorScale" priority="1025">
      <colorScale>
        <cfvo type="min"/>
        <cfvo type="percentile" val="50"/>
        <cfvo type="max"/>
        <color rgb="FFF8696B"/>
        <color rgb="FFFFEB84"/>
        <color rgb="FF63BE7B"/>
      </colorScale>
    </cfRule>
  </conditionalFormatting>
  <conditionalFormatting sqref="F11:F31">
    <cfRule type="colorScale" priority="1024">
      <colorScale>
        <cfvo type="min"/>
        <cfvo type="percentile" val="50"/>
        <cfvo type="max"/>
        <color rgb="FFF8696B"/>
        <color rgb="FFFFEB84"/>
        <color rgb="FF63BE7B"/>
      </colorScale>
    </cfRule>
  </conditionalFormatting>
  <conditionalFormatting sqref="F11:F31">
    <cfRule type="colorScale" priority="1023">
      <colorScale>
        <cfvo type="min"/>
        <cfvo type="percentile" val="50"/>
        <cfvo type="max"/>
        <color rgb="FFF8696B"/>
        <color rgb="FFFFEB84"/>
        <color rgb="FF63BE7B"/>
      </colorScale>
    </cfRule>
  </conditionalFormatting>
  <conditionalFormatting sqref="F11:F31">
    <cfRule type="colorScale" priority="1022">
      <colorScale>
        <cfvo type="min"/>
        <cfvo type="percentile" val="50"/>
        <cfvo type="max"/>
        <color rgb="FFF8696B"/>
        <color rgb="FFFFEB84"/>
        <color rgb="FF63BE7B"/>
      </colorScale>
    </cfRule>
  </conditionalFormatting>
  <conditionalFormatting sqref="F11:F31">
    <cfRule type="colorScale" priority="1021">
      <colorScale>
        <cfvo type="min"/>
        <cfvo type="percentile" val="50"/>
        <cfvo type="max"/>
        <color rgb="FFF8696B"/>
        <color rgb="FFFFEB84"/>
        <color rgb="FF63BE7B"/>
      </colorScale>
    </cfRule>
  </conditionalFormatting>
  <conditionalFormatting sqref="F11:F31">
    <cfRule type="colorScale" priority="1020">
      <colorScale>
        <cfvo type="min"/>
        <cfvo type="percentile" val="50"/>
        <cfvo type="max"/>
        <color rgb="FFF8696B"/>
        <color rgb="FFFFEB84"/>
        <color rgb="FF63BE7B"/>
      </colorScale>
    </cfRule>
  </conditionalFormatting>
  <conditionalFormatting sqref="F11:F31">
    <cfRule type="colorScale" priority="1019">
      <colorScale>
        <cfvo type="min"/>
        <cfvo type="percentile" val="50"/>
        <cfvo type="max"/>
        <color rgb="FFF8696B"/>
        <color rgb="FFFFEB84"/>
        <color rgb="FF63BE7B"/>
      </colorScale>
    </cfRule>
  </conditionalFormatting>
  <conditionalFormatting sqref="F11:F31">
    <cfRule type="colorScale" priority="1018">
      <colorScale>
        <cfvo type="min"/>
        <cfvo type="percentile" val="50"/>
        <cfvo type="max"/>
        <color rgb="FFF8696B"/>
        <color rgb="FFFFEB84"/>
        <color rgb="FF63BE7B"/>
      </colorScale>
    </cfRule>
  </conditionalFormatting>
  <conditionalFormatting sqref="F11:F31">
    <cfRule type="colorScale" priority="1017">
      <colorScale>
        <cfvo type="min"/>
        <cfvo type="percentile" val="50"/>
        <cfvo type="max"/>
        <color rgb="FFF8696B"/>
        <color rgb="FFFFEB84"/>
        <color rgb="FF63BE7B"/>
      </colorScale>
    </cfRule>
  </conditionalFormatting>
  <conditionalFormatting sqref="F11:F31">
    <cfRule type="colorScale" priority="1016">
      <colorScale>
        <cfvo type="min"/>
        <cfvo type="percentile" val="50"/>
        <cfvo type="max"/>
        <color rgb="FFF8696B"/>
        <color rgb="FFFFEB84"/>
        <color rgb="FF63BE7B"/>
      </colorScale>
    </cfRule>
  </conditionalFormatting>
  <conditionalFormatting sqref="F11:F31">
    <cfRule type="colorScale" priority="1015">
      <colorScale>
        <cfvo type="min"/>
        <cfvo type="percentile" val="50"/>
        <cfvo type="max"/>
        <color rgb="FFF8696B"/>
        <color rgb="FFFFEB84"/>
        <color rgb="FF63BE7B"/>
      </colorScale>
    </cfRule>
  </conditionalFormatting>
  <conditionalFormatting sqref="F11:F31">
    <cfRule type="colorScale" priority="1014">
      <colorScale>
        <cfvo type="min"/>
        <cfvo type="percentile" val="50"/>
        <cfvo type="max"/>
        <color rgb="FFF8696B"/>
        <color rgb="FFFFEB84"/>
        <color rgb="FF63BE7B"/>
      </colorScale>
    </cfRule>
  </conditionalFormatting>
  <conditionalFormatting sqref="F11:F31">
    <cfRule type="colorScale" priority="1013">
      <colorScale>
        <cfvo type="min"/>
        <cfvo type="percentile" val="50"/>
        <cfvo type="max"/>
        <color rgb="FFF8696B"/>
        <color rgb="FFFFEB84"/>
        <color rgb="FF63BE7B"/>
      </colorScale>
    </cfRule>
  </conditionalFormatting>
  <conditionalFormatting sqref="F11:F31">
    <cfRule type="colorScale" priority="1012">
      <colorScale>
        <cfvo type="min"/>
        <cfvo type="percentile" val="50"/>
        <cfvo type="max"/>
        <color rgb="FFF8696B"/>
        <color rgb="FFFFEB84"/>
        <color rgb="FF63BE7B"/>
      </colorScale>
    </cfRule>
  </conditionalFormatting>
  <conditionalFormatting sqref="F11:F31">
    <cfRule type="colorScale" priority="1011">
      <colorScale>
        <cfvo type="min"/>
        <cfvo type="percentile" val="50"/>
        <cfvo type="max"/>
        <color rgb="FFF8696B"/>
        <color rgb="FFFFEB84"/>
        <color rgb="FF63BE7B"/>
      </colorScale>
    </cfRule>
  </conditionalFormatting>
  <conditionalFormatting sqref="F11:F31">
    <cfRule type="colorScale" priority="1010">
      <colorScale>
        <cfvo type="min"/>
        <cfvo type="percentile" val="50"/>
        <cfvo type="max"/>
        <color rgb="FFF8696B"/>
        <color rgb="FFFFEB84"/>
        <color rgb="FF63BE7B"/>
      </colorScale>
    </cfRule>
  </conditionalFormatting>
  <conditionalFormatting sqref="F11:F31">
    <cfRule type="colorScale" priority="1009">
      <colorScale>
        <cfvo type="min"/>
        <cfvo type="percentile" val="50"/>
        <cfvo type="max"/>
        <color rgb="FFF8696B"/>
        <color rgb="FFFFEB84"/>
        <color rgb="FF63BE7B"/>
      </colorScale>
    </cfRule>
  </conditionalFormatting>
  <conditionalFormatting sqref="F11:F31">
    <cfRule type="colorScale" priority="1008">
      <colorScale>
        <cfvo type="min"/>
        <cfvo type="percentile" val="50"/>
        <cfvo type="max"/>
        <color rgb="FFF8696B"/>
        <color rgb="FFFFEB84"/>
        <color rgb="FF63BE7B"/>
      </colorScale>
    </cfRule>
  </conditionalFormatting>
  <conditionalFormatting sqref="F11:F31">
    <cfRule type="colorScale" priority="1007">
      <colorScale>
        <cfvo type="min"/>
        <cfvo type="percentile" val="50"/>
        <cfvo type="max"/>
        <color rgb="FFF8696B"/>
        <color rgb="FFFFEB84"/>
        <color rgb="FF63BE7B"/>
      </colorScale>
    </cfRule>
  </conditionalFormatting>
  <conditionalFormatting sqref="F11:F31">
    <cfRule type="colorScale" priority="1006">
      <colorScale>
        <cfvo type="min"/>
        <cfvo type="percentile" val="50"/>
        <cfvo type="max"/>
        <color rgb="FFF8696B"/>
        <color rgb="FFFFEB84"/>
        <color rgb="FF63BE7B"/>
      </colorScale>
    </cfRule>
  </conditionalFormatting>
  <conditionalFormatting sqref="F11:F31">
    <cfRule type="colorScale" priority="1005">
      <colorScale>
        <cfvo type="min"/>
        <cfvo type="percentile" val="50"/>
        <cfvo type="max"/>
        <color rgb="FFF8696B"/>
        <color rgb="FFFFEB84"/>
        <color rgb="FF63BE7B"/>
      </colorScale>
    </cfRule>
  </conditionalFormatting>
  <conditionalFormatting sqref="F11:F31">
    <cfRule type="colorScale" priority="1004">
      <colorScale>
        <cfvo type="min"/>
        <cfvo type="percentile" val="50"/>
        <cfvo type="max"/>
        <color rgb="FFF8696B"/>
        <color rgb="FFFFEB84"/>
        <color rgb="FF63BE7B"/>
      </colorScale>
    </cfRule>
  </conditionalFormatting>
  <conditionalFormatting sqref="F11:F31">
    <cfRule type="colorScale" priority="1003">
      <colorScale>
        <cfvo type="min"/>
        <cfvo type="percentile" val="50"/>
        <cfvo type="max"/>
        <color rgb="FFF8696B"/>
        <color rgb="FFFFEB84"/>
        <color rgb="FF63BE7B"/>
      </colorScale>
    </cfRule>
  </conditionalFormatting>
  <conditionalFormatting sqref="F11:F31">
    <cfRule type="colorScale" priority="1002">
      <colorScale>
        <cfvo type="min"/>
        <cfvo type="percentile" val="50"/>
        <cfvo type="max"/>
        <color rgb="FFF8696B"/>
        <color rgb="FFFFEB84"/>
        <color rgb="FF63BE7B"/>
      </colorScale>
    </cfRule>
  </conditionalFormatting>
  <conditionalFormatting sqref="F11:F31">
    <cfRule type="colorScale" priority="1001">
      <colorScale>
        <cfvo type="min"/>
        <cfvo type="percentile" val="50"/>
        <cfvo type="max"/>
        <color rgb="FFF8696B"/>
        <color rgb="FFFFEB84"/>
        <color rgb="FF63BE7B"/>
      </colorScale>
    </cfRule>
  </conditionalFormatting>
  <conditionalFormatting sqref="F11:F31">
    <cfRule type="colorScale" priority="1000">
      <colorScale>
        <cfvo type="min"/>
        <cfvo type="percentile" val="50"/>
        <cfvo type="max"/>
        <color rgb="FFF8696B"/>
        <color rgb="FFFFEB84"/>
        <color rgb="FF63BE7B"/>
      </colorScale>
    </cfRule>
  </conditionalFormatting>
  <conditionalFormatting sqref="F11:F31">
    <cfRule type="colorScale" priority="999">
      <colorScale>
        <cfvo type="min"/>
        <cfvo type="percentile" val="50"/>
        <cfvo type="max"/>
        <color rgb="FFF8696B"/>
        <color rgb="FFFFEB84"/>
        <color rgb="FF63BE7B"/>
      </colorScale>
    </cfRule>
  </conditionalFormatting>
  <conditionalFormatting sqref="F11:F31">
    <cfRule type="colorScale" priority="998">
      <colorScale>
        <cfvo type="min"/>
        <cfvo type="percentile" val="50"/>
        <cfvo type="max"/>
        <color rgb="FFF8696B"/>
        <color rgb="FFFFEB84"/>
        <color rgb="FF63BE7B"/>
      </colorScale>
    </cfRule>
  </conditionalFormatting>
  <conditionalFormatting sqref="F11:F31">
    <cfRule type="colorScale" priority="997">
      <colorScale>
        <cfvo type="min"/>
        <cfvo type="percentile" val="50"/>
        <cfvo type="max"/>
        <color rgb="FFF8696B"/>
        <color rgb="FFFFEB84"/>
        <color rgb="FF63BE7B"/>
      </colorScale>
    </cfRule>
  </conditionalFormatting>
  <conditionalFormatting sqref="F11:F31">
    <cfRule type="colorScale" priority="996">
      <colorScale>
        <cfvo type="min"/>
        <cfvo type="percentile" val="50"/>
        <cfvo type="max"/>
        <color rgb="FFF8696B"/>
        <color rgb="FFFFEB84"/>
        <color rgb="FF63BE7B"/>
      </colorScale>
    </cfRule>
  </conditionalFormatting>
  <conditionalFormatting sqref="F11:F31">
    <cfRule type="colorScale" priority="995">
      <colorScale>
        <cfvo type="min"/>
        <cfvo type="percentile" val="50"/>
        <cfvo type="max"/>
        <color rgb="FFF8696B"/>
        <color rgb="FFFFEB84"/>
        <color rgb="FF63BE7B"/>
      </colorScale>
    </cfRule>
  </conditionalFormatting>
  <conditionalFormatting sqref="F11:F31">
    <cfRule type="colorScale" priority="994">
      <colorScale>
        <cfvo type="min"/>
        <cfvo type="percentile" val="50"/>
        <cfvo type="max"/>
        <color rgb="FFF8696B"/>
        <color rgb="FFFFEB84"/>
        <color rgb="FF63BE7B"/>
      </colorScale>
    </cfRule>
  </conditionalFormatting>
  <conditionalFormatting sqref="F11:F31">
    <cfRule type="colorScale" priority="993">
      <colorScale>
        <cfvo type="min"/>
        <cfvo type="percentile" val="50"/>
        <cfvo type="max"/>
        <color rgb="FFF8696B"/>
        <color rgb="FFFFEB84"/>
        <color rgb="FF63BE7B"/>
      </colorScale>
    </cfRule>
  </conditionalFormatting>
  <conditionalFormatting sqref="F11:F31">
    <cfRule type="colorScale" priority="992">
      <colorScale>
        <cfvo type="min"/>
        <cfvo type="percentile" val="50"/>
        <cfvo type="max"/>
        <color rgb="FFF8696B"/>
        <color rgb="FFFFEB84"/>
        <color rgb="FF63BE7B"/>
      </colorScale>
    </cfRule>
  </conditionalFormatting>
  <conditionalFormatting sqref="F11:F31">
    <cfRule type="colorScale" priority="991">
      <colorScale>
        <cfvo type="min"/>
        <cfvo type="percentile" val="50"/>
        <cfvo type="max"/>
        <color rgb="FFF8696B"/>
        <color rgb="FFFFEB84"/>
        <color rgb="FF63BE7B"/>
      </colorScale>
    </cfRule>
  </conditionalFormatting>
  <conditionalFormatting sqref="F11:F31">
    <cfRule type="colorScale" priority="990">
      <colorScale>
        <cfvo type="min"/>
        <cfvo type="percentile" val="50"/>
        <cfvo type="max"/>
        <color rgb="FFF8696B"/>
        <color rgb="FFFFEB84"/>
        <color rgb="FF63BE7B"/>
      </colorScale>
    </cfRule>
  </conditionalFormatting>
  <conditionalFormatting sqref="F11:F31">
    <cfRule type="colorScale" priority="989">
      <colorScale>
        <cfvo type="min"/>
        <cfvo type="percentile" val="50"/>
        <cfvo type="max"/>
        <color rgb="FFF8696B"/>
        <color rgb="FFFFEB84"/>
        <color rgb="FF63BE7B"/>
      </colorScale>
    </cfRule>
  </conditionalFormatting>
  <conditionalFormatting sqref="F11:F31">
    <cfRule type="colorScale" priority="988">
      <colorScale>
        <cfvo type="min"/>
        <cfvo type="percentile" val="50"/>
        <cfvo type="max"/>
        <color rgb="FFF8696B"/>
        <color rgb="FFFFEB84"/>
        <color rgb="FF63BE7B"/>
      </colorScale>
    </cfRule>
  </conditionalFormatting>
  <conditionalFormatting sqref="F11:F31">
    <cfRule type="colorScale" priority="987">
      <colorScale>
        <cfvo type="min"/>
        <cfvo type="percentile" val="50"/>
        <cfvo type="max"/>
        <color rgb="FFF8696B"/>
        <color rgb="FFFFEB84"/>
        <color rgb="FF63BE7B"/>
      </colorScale>
    </cfRule>
  </conditionalFormatting>
  <conditionalFormatting sqref="F11:F31">
    <cfRule type="colorScale" priority="986">
      <colorScale>
        <cfvo type="min"/>
        <cfvo type="percentile" val="50"/>
        <cfvo type="max"/>
        <color rgb="FFF8696B"/>
        <color rgb="FFFFEB84"/>
        <color rgb="FF63BE7B"/>
      </colorScale>
    </cfRule>
  </conditionalFormatting>
  <conditionalFormatting sqref="F11:F31">
    <cfRule type="colorScale" priority="985">
      <colorScale>
        <cfvo type="min"/>
        <cfvo type="percentile" val="50"/>
        <cfvo type="max"/>
        <color rgb="FFF8696B"/>
        <color rgb="FFFFEB84"/>
        <color rgb="FF63BE7B"/>
      </colorScale>
    </cfRule>
  </conditionalFormatting>
  <conditionalFormatting sqref="F11:F31">
    <cfRule type="colorScale" priority="984">
      <colorScale>
        <cfvo type="min"/>
        <cfvo type="percentile" val="50"/>
        <cfvo type="max"/>
        <color rgb="FFF8696B"/>
        <color rgb="FFFFEB84"/>
        <color rgb="FF63BE7B"/>
      </colorScale>
    </cfRule>
  </conditionalFormatting>
  <conditionalFormatting sqref="F11:F31">
    <cfRule type="colorScale" priority="983">
      <colorScale>
        <cfvo type="min"/>
        <cfvo type="percentile" val="50"/>
        <cfvo type="max"/>
        <color rgb="FFF8696B"/>
        <color rgb="FFFFEB84"/>
        <color rgb="FF63BE7B"/>
      </colorScale>
    </cfRule>
  </conditionalFormatting>
  <conditionalFormatting sqref="F11:F31">
    <cfRule type="colorScale" priority="982">
      <colorScale>
        <cfvo type="min"/>
        <cfvo type="percentile" val="50"/>
        <cfvo type="max"/>
        <color rgb="FFF8696B"/>
        <color rgb="FFFFEB84"/>
        <color rgb="FF63BE7B"/>
      </colorScale>
    </cfRule>
  </conditionalFormatting>
  <conditionalFormatting sqref="F11:F31">
    <cfRule type="colorScale" priority="981">
      <colorScale>
        <cfvo type="min"/>
        <cfvo type="percentile" val="50"/>
        <cfvo type="max"/>
        <color rgb="FFF8696B"/>
        <color rgb="FFFFEB84"/>
        <color rgb="FF63BE7B"/>
      </colorScale>
    </cfRule>
  </conditionalFormatting>
  <conditionalFormatting sqref="F11:F31">
    <cfRule type="colorScale" priority="980">
      <colorScale>
        <cfvo type="min"/>
        <cfvo type="percentile" val="50"/>
        <cfvo type="max"/>
        <color rgb="FFF8696B"/>
        <color rgb="FFFFEB84"/>
        <color rgb="FF63BE7B"/>
      </colorScale>
    </cfRule>
  </conditionalFormatting>
  <conditionalFormatting sqref="F11:F31">
    <cfRule type="colorScale" priority="979">
      <colorScale>
        <cfvo type="min"/>
        <cfvo type="percentile" val="50"/>
        <cfvo type="max"/>
        <color rgb="FFF8696B"/>
        <color rgb="FFFFEB84"/>
        <color rgb="FF63BE7B"/>
      </colorScale>
    </cfRule>
  </conditionalFormatting>
  <conditionalFormatting sqref="F11:F31">
    <cfRule type="colorScale" priority="978">
      <colorScale>
        <cfvo type="min"/>
        <cfvo type="percentile" val="50"/>
        <cfvo type="max"/>
        <color rgb="FFF8696B"/>
        <color rgb="FFFFEB84"/>
        <color rgb="FF63BE7B"/>
      </colorScale>
    </cfRule>
  </conditionalFormatting>
  <conditionalFormatting sqref="F11:F31">
    <cfRule type="colorScale" priority="977">
      <colorScale>
        <cfvo type="min"/>
        <cfvo type="percentile" val="50"/>
        <cfvo type="max"/>
        <color rgb="FFF8696B"/>
        <color rgb="FFFFEB84"/>
        <color rgb="FF63BE7B"/>
      </colorScale>
    </cfRule>
  </conditionalFormatting>
  <conditionalFormatting sqref="F11:F31">
    <cfRule type="colorScale" priority="976">
      <colorScale>
        <cfvo type="min"/>
        <cfvo type="percentile" val="50"/>
        <cfvo type="max"/>
        <color rgb="FFF8696B"/>
        <color rgb="FFFFEB84"/>
        <color rgb="FF63BE7B"/>
      </colorScale>
    </cfRule>
  </conditionalFormatting>
  <conditionalFormatting sqref="F11:F31">
    <cfRule type="colorScale" priority="975">
      <colorScale>
        <cfvo type="min"/>
        <cfvo type="percentile" val="50"/>
        <cfvo type="max"/>
        <color rgb="FFF8696B"/>
        <color rgb="FFFFEB84"/>
        <color rgb="FF63BE7B"/>
      </colorScale>
    </cfRule>
  </conditionalFormatting>
  <conditionalFormatting sqref="F11:F32">
    <cfRule type="colorScale" priority="974">
      <colorScale>
        <cfvo type="min"/>
        <cfvo type="percentile" val="50"/>
        <cfvo type="max"/>
        <color rgb="FFF8696B"/>
        <color rgb="FFFFEB84"/>
        <color rgb="FF63BE7B"/>
      </colorScale>
    </cfRule>
  </conditionalFormatting>
  <conditionalFormatting sqref="F11:F32">
    <cfRule type="colorScale" priority="973">
      <colorScale>
        <cfvo type="min"/>
        <cfvo type="percentile" val="50"/>
        <cfvo type="max"/>
        <color rgb="FFF8696B"/>
        <color rgb="FFFFEB84"/>
        <color rgb="FF63BE7B"/>
      </colorScale>
    </cfRule>
  </conditionalFormatting>
  <conditionalFormatting sqref="F11:F31">
    <cfRule type="colorScale" priority="972">
      <colorScale>
        <cfvo type="min"/>
        <cfvo type="percentile" val="50"/>
        <cfvo type="max"/>
        <color rgb="FFF8696B"/>
        <color rgb="FFFFEB84"/>
        <color rgb="FF63BE7B"/>
      </colorScale>
    </cfRule>
  </conditionalFormatting>
  <conditionalFormatting sqref="F11:F31">
    <cfRule type="colorScale" priority="971">
      <colorScale>
        <cfvo type="min"/>
        <cfvo type="percentile" val="50"/>
        <cfvo type="max"/>
        <color rgb="FFF8696B"/>
        <color rgb="FFFFEB84"/>
        <color rgb="FF63BE7B"/>
      </colorScale>
    </cfRule>
  </conditionalFormatting>
  <conditionalFormatting sqref="F11:F31">
    <cfRule type="colorScale" priority="970">
      <colorScale>
        <cfvo type="min"/>
        <cfvo type="percentile" val="50"/>
        <cfvo type="max"/>
        <color rgb="FFF8696B"/>
        <color rgb="FFFFEB84"/>
        <color rgb="FF63BE7B"/>
      </colorScale>
    </cfRule>
  </conditionalFormatting>
  <conditionalFormatting sqref="F11:F31">
    <cfRule type="colorScale" priority="969">
      <colorScale>
        <cfvo type="min"/>
        <cfvo type="percentile" val="50"/>
        <cfvo type="max"/>
        <color rgb="FFF8696B"/>
        <color rgb="FFFFEB84"/>
        <color rgb="FF63BE7B"/>
      </colorScale>
    </cfRule>
  </conditionalFormatting>
  <conditionalFormatting sqref="F11:F28">
    <cfRule type="colorScale" priority="968">
      <colorScale>
        <cfvo type="min"/>
        <cfvo type="percentile" val="50"/>
        <cfvo type="max"/>
        <color rgb="FFF8696B"/>
        <color rgb="FFFFEB84"/>
        <color rgb="FF63BE7B"/>
      </colorScale>
    </cfRule>
  </conditionalFormatting>
  <conditionalFormatting sqref="F11:F28">
    <cfRule type="colorScale" priority="967">
      <colorScale>
        <cfvo type="min"/>
        <cfvo type="percentile" val="50"/>
        <cfvo type="max"/>
        <color rgb="FFF8696B"/>
        <color rgb="FFFFEB84"/>
        <color rgb="FF63BE7B"/>
      </colorScale>
    </cfRule>
  </conditionalFormatting>
  <conditionalFormatting sqref="F11:F31">
    <cfRule type="colorScale" priority="966">
      <colorScale>
        <cfvo type="min"/>
        <cfvo type="percentile" val="50"/>
        <cfvo type="max"/>
        <color rgb="FFF8696B"/>
        <color rgb="FFFFEB84"/>
        <color rgb="FF63BE7B"/>
      </colorScale>
    </cfRule>
  </conditionalFormatting>
  <conditionalFormatting sqref="F11:F31">
    <cfRule type="colorScale" priority="965">
      <colorScale>
        <cfvo type="min"/>
        <cfvo type="percentile" val="50"/>
        <cfvo type="max"/>
        <color rgb="FFF8696B"/>
        <color rgb="FFFFEB84"/>
        <color rgb="FF63BE7B"/>
      </colorScale>
    </cfRule>
  </conditionalFormatting>
  <conditionalFormatting sqref="F11:F32">
    <cfRule type="colorScale" priority="964">
      <colorScale>
        <cfvo type="min"/>
        <cfvo type="percentile" val="50"/>
        <cfvo type="max"/>
        <color rgb="FFF8696B"/>
        <color rgb="FFFFEB84"/>
        <color rgb="FF63BE7B"/>
      </colorScale>
    </cfRule>
  </conditionalFormatting>
  <conditionalFormatting sqref="F11:F32">
    <cfRule type="colorScale" priority="963">
      <colorScale>
        <cfvo type="min"/>
        <cfvo type="percentile" val="50"/>
        <cfvo type="max"/>
        <color rgb="FFF8696B"/>
        <color rgb="FFFFEB84"/>
        <color rgb="FF63BE7B"/>
      </colorScale>
    </cfRule>
  </conditionalFormatting>
  <conditionalFormatting sqref="F11:F31">
    <cfRule type="colorScale" priority="962">
      <colorScale>
        <cfvo type="min"/>
        <cfvo type="percentile" val="50"/>
        <cfvo type="max"/>
        <color rgb="FFF8696B"/>
        <color rgb="FFFFEB84"/>
        <color rgb="FF63BE7B"/>
      </colorScale>
    </cfRule>
  </conditionalFormatting>
  <conditionalFormatting sqref="F11:F31">
    <cfRule type="colorScale" priority="961">
      <colorScale>
        <cfvo type="min"/>
        <cfvo type="percentile" val="50"/>
        <cfvo type="max"/>
        <color rgb="FFF8696B"/>
        <color rgb="FFFFEB84"/>
        <color rgb="FF63BE7B"/>
      </colorScale>
    </cfRule>
  </conditionalFormatting>
  <conditionalFormatting sqref="F11:F31">
    <cfRule type="colorScale" priority="960">
      <colorScale>
        <cfvo type="min"/>
        <cfvo type="percentile" val="50"/>
        <cfvo type="max"/>
        <color rgb="FFF8696B"/>
        <color rgb="FFFFEB84"/>
        <color rgb="FF63BE7B"/>
      </colorScale>
    </cfRule>
  </conditionalFormatting>
  <conditionalFormatting sqref="F11:F31">
    <cfRule type="colorScale" priority="959">
      <colorScale>
        <cfvo type="min"/>
        <cfvo type="percentile" val="50"/>
        <cfvo type="max"/>
        <color rgb="FFF8696B"/>
        <color rgb="FFFFEB84"/>
        <color rgb="FF63BE7B"/>
      </colorScale>
    </cfRule>
  </conditionalFormatting>
  <conditionalFormatting sqref="F11:F31">
    <cfRule type="colorScale" priority="958">
      <colorScale>
        <cfvo type="min"/>
        <cfvo type="percentile" val="50"/>
        <cfvo type="max"/>
        <color rgb="FFF8696B"/>
        <color rgb="FFFFEB84"/>
        <color rgb="FF63BE7B"/>
      </colorScale>
    </cfRule>
  </conditionalFormatting>
  <conditionalFormatting sqref="F11:F31">
    <cfRule type="colorScale" priority="957">
      <colorScale>
        <cfvo type="min"/>
        <cfvo type="percentile" val="50"/>
        <cfvo type="max"/>
        <color rgb="FFF8696B"/>
        <color rgb="FFFFEB84"/>
        <color rgb="FF63BE7B"/>
      </colorScale>
    </cfRule>
  </conditionalFormatting>
  <conditionalFormatting sqref="F11:F31">
    <cfRule type="colorScale" priority="956">
      <colorScale>
        <cfvo type="min"/>
        <cfvo type="percentile" val="50"/>
        <cfvo type="max"/>
        <color rgb="FFF8696B"/>
        <color rgb="FFFFEB84"/>
        <color rgb="FF63BE7B"/>
      </colorScale>
    </cfRule>
  </conditionalFormatting>
  <conditionalFormatting sqref="F11:F31">
    <cfRule type="colorScale" priority="955">
      <colorScale>
        <cfvo type="min"/>
        <cfvo type="percentile" val="50"/>
        <cfvo type="max"/>
        <color rgb="FFF8696B"/>
        <color rgb="FFFFEB84"/>
        <color rgb="FF63BE7B"/>
      </colorScale>
    </cfRule>
  </conditionalFormatting>
  <conditionalFormatting sqref="F11:F31">
    <cfRule type="colorScale" priority="954">
      <colorScale>
        <cfvo type="min"/>
        <cfvo type="percentile" val="50"/>
        <cfvo type="max"/>
        <color rgb="FFF8696B"/>
        <color rgb="FFFFEB84"/>
        <color rgb="FF63BE7B"/>
      </colorScale>
    </cfRule>
  </conditionalFormatting>
  <conditionalFormatting sqref="F11:F31">
    <cfRule type="colorScale" priority="953">
      <colorScale>
        <cfvo type="min"/>
        <cfvo type="percentile" val="50"/>
        <cfvo type="max"/>
        <color rgb="FFF8696B"/>
        <color rgb="FFFFEB84"/>
        <color rgb="FF63BE7B"/>
      </colorScale>
    </cfRule>
  </conditionalFormatting>
  <conditionalFormatting sqref="F29:F31">
    <cfRule type="colorScale" priority="952">
      <colorScale>
        <cfvo type="min"/>
        <cfvo type="percentile" val="50"/>
        <cfvo type="max"/>
        <color rgb="FFF8696B"/>
        <color rgb="FFFFEB84"/>
        <color rgb="FF63BE7B"/>
      </colorScale>
    </cfRule>
  </conditionalFormatting>
  <conditionalFormatting sqref="F29:F31">
    <cfRule type="colorScale" priority="951">
      <colorScale>
        <cfvo type="min"/>
        <cfvo type="percentile" val="50"/>
        <cfvo type="max"/>
        <color rgb="FFF8696B"/>
        <color rgb="FFFFEB84"/>
        <color rgb="FF63BE7B"/>
      </colorScale>
    </cfRule>
  </conditionalFormatting>
  <conditionalFormatting sqref="F32">
    <cfRule type="colorScale" priority="950">
      <colorScale>
        <cfvo type="min"/>
        <cfvo type="percentile" val="50"/>
        <cfvo type="max"/>
        <color rgb="FFF8696B"/>
        <color rgb="FFFFEB84"/>
        <color rgb="FF63BE7B"/>
      </colorScale>
    </cfRule>
  </conditionalFormatting>
  <conditionalFormatting sqref="F32">
    <cfRule type="colorScale" priority="949">
      <colorScale>
        <cfvo type="min"/>
        <cfvo type="percentile" val="50"/>
        <cfvo type="max"/>
        <color rgb="FFF8696B"/>
        <color rgb="FFFFEB84"/>
        <color rgb="FF63BE7B"/>
      </colorScale>
    </cfRule>
  </conditionalFormatting>
  <conditionalFormatting sqref="F32">
    <cfRule type="colorScale" priority="948">
      <colorScale>
        <cfvo type="min"/>
        <cfvo type="percentile" val="50"/>
        <cfvo type="max"/>
        <color rgb="FFF8696B"/>
        <color rgb="FFFFEB84"/>
        <color rgb="FF63BE7B"/>
      </colorScale>
    </cfRule>
  </conditionalFormatting>
  <conditionalFormatting sqref="F32">
    <cfRule type="colorScale" priority="947">
      <colorScale>
        <cfvo type="min"/>
        <cfvo type="percentile" val="50"/>
        <cfvo type="max"/>
        <color rgb="FFF8696B"/>
        <color rgb="FFFFEB84"/>
        <color rgb="FF63BE7B"/>
      </colorScale>
    </cfRule>
  </conditionalFormatting>
  <conditionalFormatting sqref="F32">
    <cfRule type="colorScale" priority="946">
      <colorScale>
        <cfvo type="min"/>
        <cfvo type="percentile" val="50"/>
        <cfvo type="max"/>
        <color rgb="FFF8696B"/>
        <color rgb="FFFFEB84"/>
        <color rgb="FF63BE7B"/>
      </colorScale>
    </cfRule>
  </conditionalFormatting>
  <conditionalFormatting sqref="F32">
    <cfRule type="colorScale" priority="945">
      <colorScale>
        <cfvo type="min"/>
        <cfvo type="percentile" val="50"/>
        <cfvo type="max"/>
        <color rgb="FFF8696B"/>
        <color rgb="FFFFEB84"/>
        <color rgb="FF63BE7B"/>
      </colorScale>
    </cfRule>
  </conditionalFormatting>
  <conditionalFormatting sqref="F32">
    <cfRule type="colorScale" priority="944">
      <colorScale>
        <cfvo type="min"/>
        <cfvo type="percentile" val="50"/>
        <cfvo type="max"/>
        <color rgb="FFF8696B"/>
        <color rgb="FFFFEB84"/>
        <color rgb="FF63BE7B"/>
      </colorScale>
    </cfRule>
  </conditionalFormatting>
  <conditionalFormatting sqref="F32">
    <cfRule type="colorScale" priority="943">
      <colorScale>
        <cfvo type="min"/>
        <cfvo type="percentile" val="50"/>
        <cfvo type="max"/>
        <color rgb="FFF8696B"/>
        <color rgb="FFFFEB84"/>
        <color rgb="FF63BE7B"/>
      </colorScale>
    </cfRule>
  </conditionalFormatting>
  <conditionalFormatting sqref="F32">
    <cfRule type="colorScale" priority="942">
      <colorScale>
        <cfvo type="min"/>
        <cfvo type="percentile" val="50"/>
        <cfvo type="max"/>
        <color rgb="FFF8696B"/>
        <color rgb="FFFFEB84"/>
        <color rgb="FF63BE7B"/>
      </colorScale>
    </cfRule>
  </conditionalFormatting>
  <conditionalFormatting sqref="F32">
    <cfRule type="colorScale" priority="941">
      <colorScale>
        <cfvo type="min"/>
        <cfvo type="percentile" val="50"/>
        <cfvo type="max"/>
        <color rgb="FFF8696B"/>
        <color rgb="FFFFEB84"/>
        <color rgb="FF63BE7B"/>
      </colorScale>
    </cfRule>
  </conditionalFormatting>
  <conditionalFormatting sqref="F32">
    <cfRule type="colorScale" priority="940">
      <colorScale>
        <cfvo type="min"/>
        <cfvo type="percentile" val="50"/>
        <cfvo type="max"/>
        <color rgb="FFF8696B"/>
        <color rgb="FFFFEB84"/>
        <color rgb="FF63BE7B"/>
      </colorScale>
    </cfRule>
  </conditionalFormatting>
  <conditionalFormatting sqref="F32">
    <cfRule type="colorScale" priority="939">
      <colorScale>
        <cfvo type="min"/>
        <cfvo type="percentile" val="50"/>
        <cfvo type="max"/>
        <color rgb="FFF8696B"/>
        <color rgb="FFFFEB84"/>
        <color rgb="FF63BE7B"/>
      </colorScale>
    </cfRule>
  </conditionalFormatting>
  <conditionalFormatting sqref="F32">
    <cfRule type="colorScale" priority="938">
      <colorScale>
        <cfvo type="min"/>
        <cfvo type="percentile" val="50"/>
        <cfvo type="max"/>
        <color rgb="FFF8696B"/>
        <color rgb="FFFFEB84"/>
        <color rgb="FF63BE7B"/>
      </colorScale>
    </cfRule>
  </conditionalFormatting>
  <conditionalFormatting sqref="F32">
    <cfRule type="colorScale" priority="937">
      <colorScale>
        <cfvo type="min"/>
        <cfvo type="percentile" val="50"/>
        <cfvo type="max"/>
        <color rgb="FFF8696B"/>
        <color rgb="FFFFEB84"/>
        <color rgb="FF63BE7B"/>
      </colorScale>
    </cfRule>
  </conditionalFormatting>
  <conditionalFormatting sqref="F32">
    <cfRule type="colorScale" priority="936">
      <colorScale>
        <cfvo type="min"/>
        <cfvo type="percentile" val="50"/>
        <cfvo type="max"/>
        <color rgb="FFF8696B"/>
        <color rgb="FFFFEB84"/>
        <color rgb="FF63BE7B"/>
      </colorScale>
    </cfRule>
  </conditionalFormatting>
  <conditionalFormatting sqref="F32">
    <cfRule type="colorScale" priority="935">
      <colorScale>
        <cfvo type="min"/>
        <cfvo type="percentile" val="50"/>
        <cfvo type="max"/>
        <color rgb="FFF8696B"/>
        <color rgb="FFFFEB84"/>
        <color rgb="FF63BE7B"/>
      </colorScale>
    </cfRule>
  </conditionalFormatting>
  <conditionalFormatting sqref="F32">
    <cfRule type="colorScale" priority="934">
      <colorScale>
        <cfvo type="min"/>
        <cfvo type="percentile" val="50"/>
        <cfvo type="max"/>
        <color rgb="FFF8696B"/>
        <color rgb="FFFFEB84"/>
        <color rgb="FF63BE7B"/>
      </colorScale>
    </cfRule>
  </conditionalFormatting>
  <conditionalFormatting sqref="F32">
    <cfRule type="colorScale" priority="933">
      <colorScale>
        <cfvo type="min"/>
        <cfvo type="percentile" val="50"/>
        <cfvo type="max"/>
        <color rgb="FFF8696B"/>
        <color rgb="FFFFEB84"/>
        <color rgb="FF63BE7B"/>
      </colorScale>
    </cfRule>
  </conditionalFormatting>
  <conditionalFormatting sqref="F32">
    <cfRule type="colorScale" priority="932">
      <colorScale>
        <cfvo type="min"/>
        <cfvo type="percentile" val="50"/>
        <cfvo type="max"/>
        <color rgb="FFF8696B"/>
        <color rgb="FFFFEB84"/>
        <color rgb="FF63BE7B"/>
      </colorScale>
    </cfRule>
  </conditionalFormatting>
  <conditionalFormatting sqref="F32">
    <cfRule type="colorScale" priority="931">
      <colorScale>
        <cfvo type="min"/>
        <cfvo type="percentile" val="50"/>
        <cfvo type="max"/>
        <color rgb="FFF8696B"/>
        <color rgb="FFFFEB84"/>
        <color rgb="FF63BE7B"/>
      </colorScale>
    </cfRule>
  </conditionalFormatting>
  <conditionalFormatting sqref="F32">
    <cfRule type="colorScale" priority="930">
      <colorScale>
        <cfvo type="min"/>
        <cfvo type="percentile" val="50"/>
        <cfvo type="max"/>
        <color rgb="FFF8696B"/>
        <color rgb="FFFFEB84"/>
        <color rgb="FF63BE7B"/>
      </colorScale>
    </cfRule>
  </conditionalFormatting>
  <conditionalFormatting sqref="F32">
    <cfRule type="colorScale" priority="929">
      <colorScale>
        <cfvo type="min"/>
        <cfvo type="percentile" val="50"/>
        <cfvo type="max"/>
        <color rgb="FFF8696B"/>
        <color rgb="FFFFEB84"/>
        <color rgb="FF63BE7B"/>
      </colorScale>
    </cfRule>
  </conditionalFormatting>
  <conditionalFormatting sqref="F32">
    <cfRule type="colorScale" priority="928">
      <colorScale>
        <cfvo type="min"/>
        <cfvo type="percentile" val="50"/>
        <cfvo type="max"/>
        <color rgb="FFF8696B"/>
        <color rgb="FFFFEB84"/>
        <color rgb="FF63BE7B"/>
      </colorScale>
    </cfRule>
  </conditionalFormatting>
  <conditionalFormatting sqref="F32">
    <cfRule type="colorScale" priority="927">
      <colorScale>
        <cfvo type="min"/>
        <cfvo type="percentile" val="50"/>
        <cfvo type="max"/>
        <color rgb="FFF8696B"/>
        <color rgb="FFFFEB84"/>
        <color rgb="FF63BE7B"/>
      </colorScale>
    </cfRule>
  </conditionalFormatting>
  <conditionalFormatting sqref="F32">
    <cfRule type="colorScale" priority="926">
      <colorScale>
        <cfvo type="min"/>
        <cfvo type="percentile" val="50"/>
        <cfvo type="max"/>
        <color rgb="FFF8696B"/>
        <color rgb="FFFFEB84"/>
        <color rgb="FF63BE7B"/>
      </colorScale>
    </cfRule>
  </conditionalFormatting>
  <conditionalFormatting sqref="F32">
    <cfRule type="colorScale" priority="925">
      <colorScale>
        <cfvo type="min"/>
        <cfvo type="percentile" val="50"/>
        <cfvo type="max"/>
        <color rgb="FFF8696B"/>
        <color rgb="FFFFEB84"/>
        <color rgb="FF63BE7B"/>
      </colorScale>
    </cfRule>
  </conditionalFormatting>
  <conditionalFormatting sqref="F32">
    <cfRule type="colorScale" priority="924">
      <colorScale>
        <cfvo type="min"/>
        <cfvo type="percentile" val="50"/>
        <cfvo type="max"/>
        <color rgb="FFF8696B"/>
        <color rgb="FFFFEB84"/>
        <color rgb="FF63BE7B"/>
      </colorScale>
    </cfRule>
  </conditionalFormatting>
  <conditionalFormatting sqref="F32">
    <cfRule type="colorScale" priority="923">
      <colorScale>
        <cfvo type="min"/>
        <cfvo type="percentile" val="50"/>
        <cfvo type="max"/>
        <color rgb="FFF8696B"/>
        <color rgb="FFFFEB84"/>
        <color rgb="FF63BE7B"/>
      </colorScale>
    </cfRule>
  </conditionalFormatting>
  <conditionalFormatting sqref="F32">
    <cfRule type="colorScale" priority="922">
      <colorScale>
        <cfvo type="min"/>
        <cfvo type="percentile" val="50"/>
        <cfvo type="max"/>
        <color rgb="FFF8696B"/>
        <color rgb="FFFFEB84"/>
        <color rgb="FF63BE7B"/>
      </colorScale>
    </cfRule>
  </conditionalFormatting>
  <conditionalFormatting sqref="F32">
    <cfRule type="colorScale" priority="921">
      <colorScale>
        <cfvo type="min"/>
        <cfvo type="percentile" val="50"/>
        <cfvo type="max"/>
        <color rgb="FFF8696B"/>
        <color rgb="FFFFEB84"/>
        <color rgb="FF63BE7B"/>
      </colorScale>
    </cfRule>
  </conditionalFormatting>
  <conditionalFormatting sqref="F32">
    <cfRule type="colorScale" priority="920">
      <colorScale>
        <cfvo type="min"/>
        <cfvo type="percentile" val="50"/>
        <cfvo type="max"/>
        <color rgb="FFF8696B"/>
        <color rgb="FFFFEB84"/>
        <color rgb="FF63BE7B"/>
      </colorScale>
    </cfRule>
  </conditionalFormatting>
  <conditionalFormatting sqref="F32">
    <cfRule type="colorScale" priority="919">
      <colorScale>
        <cfvo type="min"/>
        <cfvo type="percentile" val="50"/>
        <cfvo type="max"/>
        <color rgb="FFF8696B"/>
        <color rgb="FFFFEB84"/>
        <color rgb="FF63BE7B"/>
      </colorScale>
    </cfRule>
  </conditionalFormatting>
  <conditionalFormatting sqref="F32">
    <cfRule type="colorScale" priority="918">
      <colorScale>
        <cfvo type="min"/>
        <cfvo type="percentile" val="50"/>
        <cfvo type="max"/>
        <color rgb="FFF8696B"/>
        <color rgb="FFFFEB84"/>
        <color rgb="FF63BE7B"/>
      </colorScale>
    </cfRule>
  </conditionalFormatting>
  <conditionalFormatting sqref="F32">
    <cfRule type="colorScale" priority="917">
      <colorScale>
        <cfvo type="min"/>
        <cfvo type="percentile" val="50"/>
        <cfvo type="max"/>
        <color rgb="FFF8696B"/>
        <color rgb="FFFFEB84"/>
        <color rgb="FF63BE7B"/>
      </colorScale>
    </cfRule>
  </conditionalFormatting>
  <conditionalFormatting sqref="F32">
    <cfRule type="colorScale" priority="916">
      <colorScale>
        <cfvo type="min"/>
        <cfvo type="percentile" val="50"/>
        <cfvo type="max"/>
        <color rgb="FFF8696B"/>
        <color rgb="FFFFEB84"/>
        <color rgb="FF63BE7B"/>
      </colorScale>
    </cfRule>
  </conditionalFormatting>
  <conditionalFormatting sqref="F32">
    <cfRule type="colorScale" priority="915">
      <colorScale>
        <cfvo type="min"/>
        <cfvo type="percentile" val="50"/>
        <cfvo type="max"/>
        <color rgb="FFF8696B"/>
        <color rgb="FFFFEB84"/>
        <color rgb="FF63BE7B"/>
      </colorScale>
    </cfRule>
  </conditionalFormatting>
  <conditionalFormatting sqref="F32">
    <cfRule type="colorScale" priority="914">
      <colorScale>
        <cfvo type="min"/>
        <cfvo type="percentile" val="50"/>
        <cfvo type="max"/>
        <color rgb="FFF8696B"/>
        <color rgb="FFFFEB84"/>
        <color rgb="FF63BE7B"/>
      </colorScale>
    </cfRule>
  </conditionalFormatting>
  <conditionalFormatting sqref="F32">
    <cfRule type="colorScale" priority="913">
      <colorScale>
        <cfvo type="min"/>
        <cfvo type="percentile" val="50"/>
        <cfvo type="max"/>
        <color rgb="FFF8696B"/>
        <color rgb="FFFFEB84"/>
        <color rgb="FF63BE7B"/>
      </colorScale>
    </cfRule>
  </conditionalFormatting>
  <conditionalFormatting sqref="F32">
    <cfRule type="colorScale" priority="912">
      <colorScale>
        <cfvo type="min"/>
        <cfvo type="percentile" val="50"/>
        <cfvo type="max"/>
        <color rgb="FFF8696B"/>
        <color rgb="FFFFEB84"/>
        <color rgb="FF63BE7B"/>
      </colorScale>
    </cfRule>
  </conditionalFormatting>
  <conditionalFormatting sqref="F32">
    <cfRule type="colorScale" priority="911">
      <colorScale>
        <cfvo type="min"/>
        <cfvo type="percentile" val="50"/>
        <cfvo type="max"/>
        <color rgb="FFF8696B"/>
        <color rgb="FFFFEB84"/>
        <color rgb="FF63BE7B"/>
      </colorScale>
    </cfRule>
  </conditionalFormatting>
  <conditionalFormatting sqref="F32">
    <cfRule type="colorScale" priority="910">
      <colorScale>
        <cfvo type="min"/>
        <cfvo type="percentile" val="50"/>
        <cfvo type="max"/>
        <color rgb="FFF8696B"/>
        <color rgb="FFFFEB84"/>
        <color rgb="FF63BE7B"/>
      </colorScale>
    </cfRule>
  </conditionalFormatting>
  <conditionalFormatting sqref="F32">
    <cfRule type="colorScale" priority="909">
      <colorScale>
        <cfvo type="min"/>
        <cfvo type="percentile" val="50"/>
        <cfvo type="max"/>
        <color rgb="FFF8696B"/>
        <color rgb="FFFFEB84"/>
        <color rgb="FF63BE7B"/>
      </colorScale>
    </cfRule>
  </conditionalFormatting>
  <conditionalFormatting sqref="F32">
    <cfRule type="colorScale" priority="908">
      <colorScale>
        <cfvo type="min"/>
        <cfvo type="percentile" val="50"/>
        <cfvo type="max"/>
        <color rgb="FFF8696B"/>
        <color rgb="FFFFEB84"/>
        <color rgb="FF63BE7B"/>
      </colorScale>
    </cfRule>
  </conditionalFormatting>
  <conditionalFormatting sqref="F32">
    <cfRule type="colorScale" priority="907">
      <colorScale>
        <cfvo type="min"/>
        <cfvo type="percentile" val="50"/>
        <cfvo type="max"/>
        <color rgb="FFF8696B"/>
        <color rgb="FFFFEB84"/>
        <color rgb="FF63BE7B"/>
      </colorScale>
    </cfRule>
  </conditionalFormatting>
  <conditionalFormatting sqref="F32">
    <cfRule type="colorScale" priority="906">
      <colorScale>
        <cfvo type="min"/>
        <cfvo type="percentile" val="50"/>
        <cfvo type="max"/>
        <color rgb="FFF8696B"/>
        <color rgb="FFFFEB84"/>
        <color rgb="FF63BE7B"/>
      </colorScale>
    </cfRule>
  </conditionalFormatting>
  <conditionalFormatting sqref="F32">
    <cfRule type="colorScale" priority="905">
      <colorScale>
        <cfvo type="min"/>
        <cfvo type="percentile" val="50"/>
        <cfvo type="max"/>
        <color rgb="FFF8696B"/>
        <color rgb="FFFFEB84"/>
        <color rgb="FF63BE7B"/>
      </colorScale>
    </cfRule>
  </conditionalFormatting>
  <conditionalFormatting sqref="F32">
    <cfRule type="colorScale" priority="904">
      <colorScale>
        <cfvo type="min"/>
        <cfvo type="percentile" val="50"/>
        <cfvo type="max"/>
        <color rgb="FFF8696B"/>
        <color rgb="FFFFEB84"/>
        <color rgb="FF63BE7B"/>
      </colorScale>
    </cfRule>
  </conditionalFormatting>
  <conditionalFormatting sqref="F32">
    <cfRule type="colorScale" priority="903">
      <colorScale>
        <cfvo type="min"/>
        <cfvo type="percentile" val="50"/>
        <cfvo type="max"/>
        <color rgb="FFF8696B"/>
        <color rgb="FFFFEB84"/>
        <color rgb="FF63BE7B"/>
      </colorScale>
    </cfRule>
  </conditionalFormatting>
  <conditionalFormatting sqref="F32">
    <cfRule type="colorScale" priority="902">
      <colorScale>
        <cfvo type="min"/>
        <cfvo type="percentile" val="50"/>
        <cfvo type="max"/>
        <color rgb="FFF8696B"/>
        <color rgb="FFFFEB84"/>
        <color rgb="FF63BE7B"/>
      </colorScale>
    </cfRule>
  </conditionalFormatting>
  <conditionalFormatting sqref="F32">
    <cfRule type="colorScale" priority="901">
      <colorScale>
        <cfvo type="min"/>
        <cfvo type="percentile" val="50"/>
        <cfvo type="max"/>
        <color rgb="FFF8696B"/>
        <color rgb="FFFFEB84"/>
        <color rgb="FF63BE7B"/>
      </colorScale>
    </cfRule>
  </conditionalFormatting>
  <conditionalFormatting sqref="F32">
    <cfRule type="colorScale" priority="900">
      <colorScale>
        <cfvo type="min"/>
        <cfvo type="percentile" val="50"/>
        <cfvo type="max"/>
        <color rgb="FFF8696B"/>
        <color rgb="FFFFEB84"/>
        <color rgb="FF63BE7B"/>
      </colorScale>
    </cfRule>
  </conditionalFormatting>
  <conditionalFormatting sqref="F32">
    <cfRule type="colorScale" priority="899">
      <colorScale>
        <cfvo type="min"/>
        <cfvo type="percentile" val="50"/>
        <cfvo type="max"/>
        <color rgb="FFF8696B"/>
        <color rgb="FFFFEB84"/>
        <color rgb="FF63BE7B"/>
      </colorScale>
    </cfRule>
  </conditionalFormatting>
  <conditionalFormatting sqref="F32">
    <cfRule type="colorScale" priority="898">
      <colorScale>
        <cfvo type="min"/>
        <cfvo type="percentile" val="50"/>
        <cfvo type="max"/>
        <color rgb="FFF8696B"/>
        <color rgb="FFFFEB84"/>
        <color rgb="FF63BE7B"/>
      </colorScale>
    </cfRule>
  </conditionalFormatting>
  <conditionalFormatting sqref="F32">
    <cfRule type="colorScale" priority="897">
      <colorScale>
        <cfvo type="min"/>
        <cfvo type="percentile" val="50"/>
        <cfvo type="max"/>
        <color rgb="FFF8696B"/>
        <color rgb="FFFFEB84"/>
        <color rgb="FF63BE7B"/>
      </colorScale>
    </cfRule>
  </conditionalFormatting>
  <conditionalFormatting sqref="F32">
    <cfRule type="colorScale" priority="896">
      <colorScale>
        <cfvo type="min"/>
        <cfvo type="percentile" val="50"/>
        <cfvo type="max"/>
        <color rgb="FFF8696B"/>
        <color rgb="FFFFEB84"/>
        <color rgb="FF63BE7B"/>
      </colorScale>
    </cfRule>
  </conditionalFormatting>
  <conditionalFormatting sqref="F32">
    <cfRule type="colorScale" priority="895">
      <colorScale>
        <cfvo type="min"/>
        <cfvo type="percentile" val="50"/>
        <cfvo type="max"/>
        <color rgb="FFF8696B"/>
        <color rgb="FFFFEB84"/>
        <color rgb="FF63BE7B"/>
      </colorScale>
    </cfRule>
  </conditionalFormatting>
  <conditionalFormatting sqref="F32">
    <cfRule type="colorScale" priority="894">
      <colorScale>
        <cfvo type="min"/>
        <cfvo type="percentile" val="50"/>
        <cfvo type="max"/>
        <color rgb="FFF8696B"/>
        <color rgb="FFFFEB84"/>
        <color rgb="FF63BE7B"/>
      </colorScale>
    </cfRule>
  </conditionalFormatting>
  <conditionalFormatting sqref="F32">
    <cfRule type="colorScale" priority="893">
      <colorScale>
        <cfvo type="min"/>
        <cfvo type="percentile" val="50"/>
        <cfvo type="max"/>
        <color rgb="FFF8696B"/>
        <color rgb="FFFFEB84"/>
        <color rgb="FF63BE7B"/>
      </colorScale>
    </cfRule>
  </conditionalFormatting>
  <conditionalFormatting sqref="F32">
    <cfRule type="colorScale" priority="892">
      <colorScale>
        <cfvo type="min"/>
        <cfvo type="percentile" val="50"/>
        <cfvo type="max"/>
        <color rgb="FFF8696B"/>
        <color rgb="FFFFEB84"/>
        <color rgb="FF63BE7B"/>
      </colorScale>
    </cfRule>
  </conditionalFormatting>
  <conditionalFormatting sqref="F32">
    <cfRule type="colorScale" priority="891">
      <colorScale>
        <cfvo type="min"/>
        <cfvo type="percentile" val="50"/>
        <cfvo type="max"/>
        <color rgb="FFF8696B"/>
        <color rgb="FFFFEB84"/>
        <color rgb="FF63BE7B"/>
      </colorScale>
    </cfRule>
  </conditionalFormatting>
  <conditionalFormatting sqref="F32">
    <cfRule type="colorScale" priority="890">
      <colorScale>
        <cfvo type="min"/>
        <cfvo type="percentile" val="50"/>
        <cfvo type="max"/>
        <color rgb="FFF8696B"/>
        <color rgb="FFFFEB84"/>
        <color rgb="FF63BE7B"/>
      </colorScale>
    </cfRule>
  </conditionalFormatting>
  <conditionalFormatting sqref="F32">
    <cfRule type="colorScale" priority="889">
      <colorScale>
        <cfvo type="min"/>
        <cfvo type="percentile" val="50"/>
        <cfvo type="max"/>
        <color rgb="FFF8696B"/>
        <color rgb="FFFFEB84"/>
        <color rgb="FF63BE7B"/>
      </colorScale>
    </cfRule>
  </conditionalFormatting>
  <conditionalFormatting sqref="F32">
    <cfRule type="colorScale" priority="888">
      <colorScale>
        <cfvo type="min"/>
        <cfvo type="percentile" val="50"/>
        <cfvo type="max"/>
        <color rgb="FFF8696B"/>
        <color rgb="FFFFEB84"/>
        <color rgb="FF63BE7B"/>
      </colorScale>
    </cfRule>
  </conditionalFormatting>
  <conditionalFormatting sqref="F32">
    <cfRule type="colorScale" priority="887">
      <colorScale>
        <cfvo type="min"/>
        <cfvo type="percentile" val="50"/>
        <cfvo type="max"/>
        <color rgb="FFF8696B"/>
        <color rgb="FFFFEB84"/>
        <color rgb="FF63BE7B"/>
      </colorScale>
    </cfRule>
  </conditionalFormatting>
  <conditionalFormatting sqref="F32">
    <cfRule type="colorScale" priority="886">
      <colorScale>
        <cfvo type="min"/>
        <cfvo type="percentile" val="50"/>
        <cfvo type="max"/>
        <color rgb="FFF8696B"/>
        <color rgb="FFFFEB84"/>
        <color rgb="FF63BE7B"/>
      </colorScale>
    </cfRule>
  </conditionalFormatting>
  <conditionalFormatting sqref="F32">
    <cfRule type="colorScale" priority="885">
      <colorScale>
        <cfvo type="min"/>
        <cfvo type="percentile" val="50"/>
        <cfvo type="max"/>
        <color rgb="FFF8696B"/>
        <color rgb="FFFFEB84"/>
        <color rgb="FF63BE7B"/>
      </colorScale>
    </cfRule>
  </conditionalFormatting>
  <conditionalFormatting sqref="F32">
    <cfRule type="colorScale" priority="884">
      <colorScale>
        <cfvo type="min"/>
        <cfvo type="percentile" val="50"/>
        <cfvo type="max"/>
        <color rgb="FFF8696B"/>
        <color rgb="FFFFEB84"/>
        <color rgb="FF63BE7B"/>
      </colorScale>
    </cfRule>
  </conditionalFormatting>
  <conditionalFormatting sqref="F32">
    <cfRule type="colorScale" priority="883">
      <colorScale>
        <cfvo type="min"/>
        <cfvo type="percentile" val="50"/>
        <cfvo type="max"/>
        <color rgb="FFF8696B"/>
        <color rgb="FFFFEB84"/>
        <color rgb="FF63BE7B"/>
      </colorScale>
    </cfRule>
  </conditionalFormatting>
  <conditionalFormatting sqref="F32">
    <cfRule type="colorScale" priority="882">
      <colorScale>
        <cfvo type="min"/>
        <cfvo type="percentile" val="50"/>
        <cfvo type="max"/>
        <color rgb="FFF8696B"/>
        <color rgb="FFFFEB84"/>
        <color rgb="FF63BE7B"/>
      </colorScale>
    </cfRule>
  </conditionalFormatting>
  <conditionalFormatting sqref="F32">
    <cfRule type="colorScale" priority="881">
      <colorScale>
        <cfvo type="min"/>
        <cfvo type="percentile" val="50"/>
        <cfvo type="max"/>
        <color rgb="FFF8696B"/>
        <color rgb="FFFFEB84"/>
        <color rgb="FF63BE7B"/>
      </colorScale>
    </cfRule>
  </conditionalFormatting>
  <conditionalFormatting sqref="F32">
    <cfRule type="colorScale" priority="880">
      <colorScale>
        <cfvo type="min"/>
        <cfvo type="percentile" val="50"/>
        <cfvo type="max"/>
        <color rgb="FFF8696B"/>
        <color rgb="FFFFEB84"/>
        <color rgb="FF63BE7B"/>
      </colorScale>
    </cfRule>
  </conditionalFormatting>
  <conditionalFormatting sqref="F32">
    <cfRule type="colorScale" priority="879">
      <colorScale>
        <cfvo type="min"/>
        <cfvo type="percentile" val="50"/>
        <cfvo type="max"/>
        <color rgb="FFF8696B"/>
        <color rgb="FFFFEB84"/>
        <color rgb="FF63BE7B"/>
      </colorScale>
    </cfRule>
  </conditionalFormatting>
  <conditionalFormatting sqref="F32">
    <cfRule type="colorScale" priority="878">
      <colorScale>
        <cfvo type="min"/>
        <cfvo type="percentile" val="50"/>
        <cfvo type="max"/>
        <color rgb="FFF8696B"/>
        <color rgb="FFFFEB84"/>
        <color rgb="FF63BE7B"/>
      </colorScale>
    </cfRule>
  </conditionalFormatting>
  <conditionalFormatting sqref="F32">
    <cfRule type="colorScale" priority="877">
      <colorScale>
        <cfvo type="min"/>
        <cfvo type="percentile" val="50"/>
        <cfvo type="max"/>
        <color rgb="FFF8696B"/>
        <color rgb="FFFFEB84"/>
        <color rgb="FF63BE7B"/>
      </colorScale>
    </cfRule>
  </conditionalFormatting>
  <conditionalFormatting sqref="F32">
    <cfRule type="colorScale" priority="876">
      <colorScale>
        <cfvo type="min"/>
        <cfvo type="percentile" val="50"/>
        <cfvo type="max"/>
        <color rgb="FFF8696B"/>
        <color rgb="FFFFEB84"/>
        <color rgb="FF63BE7B"/>
      </colorScale>
    </cfRule>
  </conditionalFormatting>
  <conditionalFormatting sqref="F32">
    <cfRule type="colorScale" priority="875">
      <colorScale>
        <cfvo type="min"/>
        <cfvo type="percentile" val="50"/>
        <cfvo type="max"/>
        <color rgb="FFF8696B"/>
        <color rgb="FFFFEB84"/>
        <color rgb="FF63BE7B"/>
      </colorScale>
    </cfRule>
  </conditionalFormatting>
  <conditionalFormatting sqref="F32">
    <cfRule type="colorScale" priority="874">
      <colorScale>
        <cfvo type="min"/>
        <cfvo type="percentile" val="50"/>
        <cfvo type="max"/>
        <color rgb="FFF8696B"/>
        <color rgb="FFFFEB84"/>
        <color rgb="FF63BE7B"/>
      </colorScale>
    </cfRule>
  </conditionalFormatting>
  <conditionalFormatting sqref="F32">
    <cfRule type="colorScale" priority="873">
      <colorScale>
        <cfvo type="min"/>
        <cfvo type="percentile" val="50"/>
        <cfvo type="max"/>
        <color rgb="FFF8696B"/>
        <color rgb="FFFFEB84"/>
        <color rgb="FF63BE7B"/>
      </colorScale>
    </cfRule>
  </conditionalFormatting>
  <conditionalFormatting sqref="F32">
    <cfRule type="colorScale" priority="872">
      <colorScale>
        <cfvo type="min"/>
        <cfvo type="percentile" val="50"/>
        <cfvo type="max"/>
        <color rgb="FFF8696B"/>
        <color rgb="FFFFEB84"/>
        <color rgb="FF63BE7B"/>
      </colorScale>
    </cfRule>
  </conditionalFormatting>
  <conditionalFormatting sqref="F32">
    <cfRule type="colorScale" priority="871">
      <colorScale>
        <cfvo type="min"/>
        <cfvo type="percentile" val="50"/>
        <cfvo type="max"/>
        <color rgb="FFF8696B"/>
        <color rgb="FFFFEB84"/>
        <color rgb="FF63BE7B"/>
      </colorScale>
    </cfRule>
  </conditionalFormatting>
  <conditionalFormatting sqref="F32">
    <cfRule type="colorScale" priority="870">
      <colorScale>
        <cfvo type="min"/>
        <cfvo type="percentile" val="50"/>
        <cfvo type="max"/>
        <color rgb="FFF8696B"/>
        <color rgb="FFFFEB84"/>
        <color rgb="FF63BE7B"/>
      </colorScale>
    </cfRule>
  </conditionalFormatting>
  <conditionalFormatting sqref="F32">
    <cfRule type="colorScale" priority="869">
      <colorScale>
        <cfvo type="min"/>
        <cfvo type="percentile" val="50"/>
        <cfvo type="max"/>
        <color rgb="FFF8696B"/>
        <color rgb="FFFFEB84"/>
        <color rgb="FF63BE7B"/>
      </colorScale>
    </cfRule>
  </conditionalFormatting>
  <conditionalFormatting sqref="F32">
    <cfRule type="colorScale" priority="868">
      <colorScale>
        <cfvo type="min"/>
        <cfvo type="percentile" val="50"/>
        <cfvo type="max"/>
        <color rgb="FFF8696B"/>
        <color rgb="FFFFEB84"/>
        <color rgb="FF63BE7B"/>
      </colorScale>
    </cfRule>
  </conditionalFormatting>
  <conditionalFormatting sqref="F32">
    <cfRule type="colorScale" priority="867">
      <colorScale>
        <cfvo type="min"/>
        <cfvo type="percentile" val="50"/>
        <cfvo type="max"/>
        <color rgb="FFF8696B"/>
        <color rgb="FFFFEB84"/>
        <color rgb="FF63BE7B"/>
      </colorScale>
    </cfRule>
  </conditionalFormatting>
  <conditionalFormatting sqref="F32">
    <cfRule type="colorScale" priority="866">
      <colorScale>
        <cfvo type="min"/>
        <cfvo type="percentile" val="50"/>
        <cfvo type="max"/>
        <color rgb="FFF8696B"/>
        <color rgb="FFFFEB84"/>
        <color rgb="FF63BE7B"/>
      </colorScale>
    </cfRule>
  </conditionalFormatting>
  <conditionalFormatting sqref="F32">
    <cfRule type="colorScale" priority="865">
      <colorScale>
        <cfvo type="min"/>
        <cfvo type="percentile" val="50"/>
        <cfvo type="max"/>
        <color rgb="FFF8696B"/>
        <color rgb="FFFFEB84"/>
        <color rgb="FF63BE7B"/>
      </colorScale>
    </cfRule>
  </conditionalFormatting>
  <conditionalFormatting sqref="F32">
    <cfRule type="colorScale" priority="864">
      <colorScale>
        <cfvo type="min"/>
        <cfvo type="percentile" val="50"/>
        <cfvo type="max"/>
        <color rgb="FFF8696B"/>
        <color rgb="FFFFEB84"/>
        <color rgb="FF63BE7B"/>
      </colorScale>
    </cfRule>
  </conditionalFormatting>
  <conditionalFormatting sqref="F32">
    <cfRule type="colorScale" priority="863">
      <colorScale>
        <cfvo type="min"/>
        <cfvo type="percentile" val="50"/>
        <cfvo type="max"/>
        <color rgb="FFF8696B"/>
        <color rgb="FFFFEB84"/>
        <color rgb="FF63BE7B"/>
      </colorScale>
    </cfRule>
  </conditionalFormatting>
  <conditionalFormatting sqref="F32">
    <cfRule type="colorScale" priority="862">
      <colorScale>
        <cfvo type="min"/>
        <cfvo type="percentile" val="50"/>
        <cfvo type="max"/>
        <color rgb="FFF8696B"/>
        <color rgb="FFFFEB84"/>
        <color rgb="FF63BE7B"/>
      </colorScale>
    </cfRule>
  </conditionalFormatting>
  <conditionalFormatting sqref="F32">
    <cfRule type="colorScale" priority="861">
      <colorScale>
        <cfvo type="min"/>
        <cfvo type="percentile" val="50"/>
        <cfvo type="max"/>
        <color rgb="FFF8696B"/>
        <color rgb="FFFFEB84"/>
        <color rgb="FF63BE7B"/>
      </colorScale>
    </cfRule>
  </conditionalFormatting>
  <conditionalFormatting sqref="F32">
    <cfRule type="colorScale" priority="860">
      <colorScale>
        <cfvo type="min"/>
        <cfvo type="percentile" val="50"/>
        <cfvo type="max"/>
        <color rgb="FFF8696B"/>
        <color rgb="FFFFEB84"/>
        <color rgb="FF63BE7B"/>
      </colorScale>
    </cfRule>
  </conditionalFormatting>
  <conditionalFormatting sqref="F32">
    <cfRule type="colorScale" priority="859">
      <colorScale>
        <cfvo type="min"/>
        <cfvo type="percentile" val="50"/>
        <cfvo type="max"/>
        <color rgb="FFF8696B"/>
        <color rgb="FFFFEB84"/>
        <color rgb="FF63BE7B"/>
      </colorScale>
    </cfRule>
  </conditionalFormatting>
  <conditionalFormatting sqref="F32">
    <cfRule type="colorScale" priority="858">
      <colorScale>
        <cfvo type="min"/>
        <cfvo type="percentile" val="50"/>
        <cfvo type="max"/>
        <color rgb="FFF8696B"/>
        <color rgb="FFFFEB84"/>
        <color rgb="FF63BE7B"/>
      </colorScale>
    </cfRule>
  </conditionalFormatting>
  <conditionalFormatting sqref="F32">
    <cfRule type="colorScale" priority="857">
      <colorScale>
        <cfvo type="min"/>
        <cfvo type="percentile" val="50"/>
        <cfvo type="max"/>
        <color rgb="FFF8696B"/>
        <color rgb="FFFFEB84"/>
        <color rgb="FF63BE7B"/>
      </colorScale>
    </cfRule>
  </conditionalFormatting>
  <conditionalFormatting sqref="F32">
    <cfRule type="colorScale" priority="856">
      <colorScale>
        <cfvo type="min"/>
        <cfvo type="percentile" val="50"/>
        <cfvo type="max"/>
        <color rgb="FFF8696B"/>
        <color rgb="FFFFEB84"/>
        <color rgb="FF63BE7B"/>
      </colorScale>
    </cfRule>
  </conditionalFormatting>
  <conditionalFormatting sqref="F32">
    <cfRule type="colorScale" priority="855">
      <colorScale>
        <cfvo type="min"/>
        <cfvo type="percentile" val="50"/>
        <cfvo type="max"/>
        <color rgb="FFF8696B"/>
        <color rgb="FFFFEB84"/>
        <color rgb="FF63BE7B"/>
      </colorScale>
    </cfRule>
  </conditionalFormatting>
  <conditionalFormatting sqref="F32">
    <cfRule type="colorScale" priority="854">
      <colorScale>
        <cfvo type="min"/>
        <cfvo type="percentile" val="50"/>
        <cfvo type="max"/>
        <color rgb="FFF8696B"/>
        <color rgb="FFFFEB84"/>
        <color rgb="FF63BE7B"/>
      </colorScale>
    </cfRule>
  </conditionalFormatting>
  <conditionalFormatting sqref="F32">
    <cfRule type="colorScale" priority="853">
      <colorScale>
        <cfvo type="min"/>
        <cfvo type="percentile" val="50"/>
        <cfvo type="max"/>
        <color rgb="FFF8696B"/>
        <color rgb="FFFFEB84"/>
        <color rgb="FF63BE7B"/>
      </colorScale>
    </cfRule>
  </conditionalFormatting>
  <conditionalFormatting sqref="F32">
    <cfRule type="colorScale" priority="852">
      <colorScale>
        <cfvo type="min"/>
        <cfvo type="percentile" val="50"/>
        <cfvo type="max"/>
        <color rgb="FFF8696B"/>
        <color rgb="FFFFEB84"/>
        <color rgb="FF63BE7B"/>
      </colorScale>
    </cfRule>
  </conditionalFormatting>
  <conditionalFormatting sqref="F32">
    <cfRule type="colorScale" priority="851">
      <colorScale>
        <cfvo type="min"/>
        <cfvo type="percentile" val="50"/>
        <cfvo type="max"/>
        <color rgb="FFF8696B"/>
        <color rgb="FFFFEB84"/>
        <color rgb="FF63BE7B"/>
      </colorScale>
    </cfRule>
  </conditionalFormatting>
  <conditionalFormatting sqref="F32">
    <cfRule type="colorScale" priority="850">
      <colorScale>
        <cfvo type="min"/>
        <cfvo type="percentile" val="50"/>
        <cfvo type="max"/>
        <color rgb="FFF8696B"/>
        <color rgb="FFFFEB84"/>
        <color rgb="FF63BE7B"/>
      </colorScale>
    </cfRule>
  </conditionalFormatting>
  <conditionalFormatting sqref="F32">
    <cfRule type="colorScale" priority="849">
      <colorScale>
        <cfvo type="min"/>
        <cfvo type="percentile" val="50"/>
        <cfvo type="max"/>
        <color rgb="FFF8696B"/>
        <color rgb="FFFFEB84"/>
        <color rgb="FF63BE7B"/>
      </colorScale>
    </cfRule>
  </conditionalFormatting>
  <conditionalFormatting sqref="F32">
    <cfRule type="colorScale" priority="848">
      <colorScale>
        <cfvo type="min"/>
        <cfvo type="percentile" val="50"/>
        <cfvo type="max"/>
        <color rgb="FFF8696B"/>
        <color rgb="FFFFEB84"/>
        <color rgb="FF63BE7B"/>
      </colorScale>
    </cfRule>
  </conditionalFormatting>
  <conditionalFormatting sqref="F32">
    <cfRule type="colorScale" priority="847">
      <colorScale>
        <cfvo type="min"/>
        <cfvo type="percentile" val="50"/>
        <cfvo type="max"/>
        <color rgb="FFF8696B"/>
        <color rgb="FFFFEB84"/>
        <color rgb="FF63BE7B"/>
      </colorScale>
    </cfRule>
  </conditionalFormatting>
  <conditionalFormatting sqref="F32">
    <cfRule type="colorScale" priority="846">
      <colorScale>
        <cfvo type="min"/>
        <cfvo type="percentile" val="50"/>
        <cfvo type="max"/>
        <color rgb="FFF8696B"/>
        <color rgb="FFFFEB84"/>
        <color rgb="FF63BE7B"/>
      </colorScale>
    </cfRule>
  </conditionalFormatting>
  <conditionalFormatting sqref="F32">
    <cfRule type="colorScale" priority="845">
      <colorScale>
        <cfvo type="min"/>
        <cfvo type="percentile" val="50"/>
        <cfvo type="max"/>
        <color rgb="FFF8696B"/>
        <color rgb="FFFFEB84"/>
        <color rgb="FF63BE7B"/>
      </colorScale>
    </cfRule>
  </conditionalFormatting>
  <conditionalFormatting sqref="F32">
    <cfRule type="colorScale" priority="844">
      <colorScale>
        <cfvo type="min"/>
        <cfvo type="percentile" val="50"/>
        <cfvo type="max"/>
        <color rgb="FFF8696B"/>
        <color rgb="FFFFEB84"/>
        <color rgb="FF63BE7B"/>
      </colorScale>
    </cfRule>
  </conditionalFormatting>
  <conditionalFormatting sqref="F32">
    <cfRule type="colorScale" priority="843">
      <colorScale>
        <cfvo type="min"/>
        <cfvo type="percentile" val="50"/>
        <cfvo type="max"/>
        <color rgb="FFF8696B"/>
        <color rgb="FFFFEB84"/>
        <color rgb="FF63BE7B"/>
      </colorScale>
    </cfRule>
  </conditionalFormatting>
  <conditionalFormatting sqref="F32">
    <cfRule type="colorScale" priority="842">
      <colorScale>
        <cfvo type="min"/>
        <cfvo type="percentile" val="50"/>
        <cfvo type="max"/>
        <color rgb="FFF8696B"/>
        <color rgb="FFFFEB84"/>
        <color rgb="FF63BE7B"/>
      </colorScale>
    </cfRule>
  </conditionalFormatting>
  <conditionalFormatting sqref="F32">
    <cfRule type="colorScale" priority="841">
      <colorScale>
        <cfvo type="min"/>
        <cfvo type="percentile" val="50"/>
        <cfvo type="max"/>
        <color rgb="FFF8696B"/>
        <color rgb="FFFFEB84"/>
        <color rgb="FF63BE7B"/>
      </colorScale>
    </cfRule>
  </conditionalFormatting>
  <conditionalFormatting sqref="F32">
    <cfRule type="colorScale" priority="840">
      <colorScale>
        <cfvo type="min"/>
        <cfvo type="percentile" val="50"/>
        <cfvo type="max"/>
        <color rgb="FFF8696B"/>
        <color rgb="FFFFEB84"/>
        <color rgb="FF63BE7B"/>
      </colorScale>
    </cfRule>
  </conditionalFormatting>
  <conditionalFormatting sqref="F32">
    <cfRule type="colorScale" priority="839">
      <colorScale>
        <cfvo type="min"/>
        <cfvo type="percentile" val="50"/>
        <cfvo type="max"/>
        <color rgb="FFF8696B"/>
        <color rgb="FFFFEB84"/>
        <color rgb="FF63BE7B"/>
      </colorScale>
    </cfRule>
  </conditionalFormatting>
  <conditionalFormatting sqref="F32">
    <cfRule type="colorScale" priority="838">
      <colorScale>
        <cfvo type="min"/>
        <cfvo type="percentile" val="50"/>
        <cfvo type="max"/>
        <color rgb="FFF8696B"/>
        <color rgb="FFFFEB84"/>
        <color rgb="FF63BE7B"/>
      </colorScale>
    </cfRule>
  </conditionalFormatting>
  <conditionalFormatting sqref="F32">
    <cfRule type="colorScale" priority="837">
      <colorScale>
        <cfvo type="min"/>
        <cfvo type="percentile" val="50"/>
        <cfvo type="max"/>
        <color rgb="FFF8696B"/>
        <color rgb="FFFFEB84"/>
        <color rgb="FF63BE7B"/>
      </colorScale>
    </cfRule>
  </conditionalFormatting>
  <conditionalFormatting sqref="F32">
    <cfRule type="colorScale" priority="836">
      <colorScale>
        <cfvo type="min"/>
        <cfvo type="percentile" val="50"/>
        <cfvo type="max"/>
        <color rgb="FFF8696B"/>
        <color rgb="FFFFEB84"/>
        <color rgb="FF63BE7B"/>
      </colorScale>
    </cfRule>
  </conditionalFormatting>
  <conditionalFormatting sqref="F32">
    <cfRule type="colorScale" priority="835">
      <colorScale>
        <cfvo type="min"/>
        <cfvo type="percentile" val="50"/>
        <cfvo type="max"/>
        <color rgb="FFF8696B"/>
        <color rgb="FFFFEB84"/>
        <color rgb="FF63BE7B"/>
      </colorScale>
    </cfRule>
  </conditionalFormatting>
  <conditionalFormatting sqref="F32">
    <cfRule type="colorScale" priority="834">
      <colorScale>
        <cfvo type="min"/>
        <cfvo type="percentile" val="50"/>
        <cfvo type="max"/>
        <color rgb="FFF8696B"/>
        <color rgb="FFFFEB84"/>
        <color rgb="FF63BE7B"/>
      </colorScale>
    </cfRule>
  </conditionalFormatting>
  <conditionalFormatting sqref="F32">
    <cfRule type="colorScale" priority="833">
      <colorScale>
        <cfvo type="min"/>
        <cfvo type="percentile" val="50"/>
        <cfvo type="max"/>
        <color rgb="FFF8696B"/>
        <color rgb="FFFFEB84"/>
        <color rgb="FF63BE7B"/>
      </colorScale>
    </cfRule>
  </conditionalFormatting>
  <conditionalFormatting sqref="F32">
    <cfRule type="colorScale" priority="832">
      <colorScale>
        <cfvo type="min"/>
        <cfvo type="percentile" val="50"/>
        <cfvo type="max"/>
        <color rgb="FFF8696B"/>
        <color rgb="FFFFEB84"/>
        <color rgb="FF63BE7B"/>
      </colorScale>
    </cfRule>
  </conditionalFormatting>
  <conditionalFormatting sqref="F32">
    <cfRule type="colorScale" priority="831">
      <colorScale>
        <cfvo type="min"/>
        <cfvo type="percentile" val="50"/>
        <cfvo type="max"/>
        <color rgb="FFF8696B"/>
        <color rgb="FFFFEB84"/>
        <color rgb="FF63BE7B"/>
      </colorScale>
    </cfRule>
  </conditionalFormatting>
  <conditionalFormatting sqref="F32">
    <cfRule type="colorScale" priority="830">
      <colorScale>
        <cfvo type="min"/>
        <cfvo type="percentile" val="50"/>
        <cfvo type="max"/>
        <color rgb="FFF8696B"/>
        <color rgb="FFFFEB84"/>
        <color rgb="FF63BE7B"/>
      </colorScale>
    </cfRule>
  </conditionalFormatting>
  <conditionalFormatting sqref="F32">
    <cfRule type="colorScale" priority="829">
      <colorScale>
        <cfvo type="min"/>
        <cfvo type="percentile" val="50"/>
        <cfvo type="max"/>
        <color rgb="FFF8696B"/>
        <color rgb="FFFFEB84"/>
        <color rgb="FF63BE7B"/>
      </colorScale>
    </cfRule>
  </conditionalFormatting>
  <conditionalFormatting sqref="F32">
    <cfRule type="colorScale" priority="828">
      <colorScale>
        <cfvo type="min"/>
        <cfvo type="percentile" val="50"/>
        <cfvo type="max"/>
        <color rgb="FFF8696B"/>
        <color rgb="FFFFEB84"/>
        <color rgb="FF63BE7B"/>
      </colorScale>
    </cfRule>
  </conditionalFormatting>
  <conditionalFormatting sqref="F32">
    <cfRule type="colorScale" priority="827">
      <colorScale>
        <cfvo type="min"/>
        <cfvo type="percentile" val="50"/>
        <cfvo type="max"/>
        <color rgb="FFF8696B"/>
        <color rgb="FFFFEB84"/>
        <color rgb="FF63BE7B"/>
      </colorScale>
    </cfRule>
  </conditionalFormatting>
  <conditionalFormatting sqref="F32">
    <cfRule type="colorScale" priority="826">
      <colorScale>
        <cfvo type="min"/>
        <cfvo type="percentile" val="50"/>
        <cfvo type="max"/>
        <color rgb="FFF8696B"/>
        <color rgb="FFFFEB84"/>
        <color rgb="FF63BE7B"/>
      </colorScale>
    </cfRule>
  </conditionalFormatting>
  <conditionalFormatting sqref="F32">
    <cfRule type="colorScale" priority="825">
      <colorScale>
        <cfvo type="min"/>
        <cfvo type="percentile" val="50"/>
        <cfvo type="max"/>
        <color rgb="FFF8696B"/>
        <color rgb="FFFFEB84"/>
        <color rgb="FF63BE7B"/>
      </colorScale>
    </cfRule>
  </conditionalFormatting>
  <conditionalFormatting sqref="F32">
    <cfRule type="colorScale" priority="824">
      <colorScale>
        <cfvo type="min"/>
        <cfvo type="percentile" val="50"/>
        <cfvo type="max"/>
        <color rgb="FFF8696B"/>
        <color rgb="FFFFEB84"/>
        <color rgb="FF63BE7B"/>
      </colorScale>
    </cfRule>
  </conditionalFormatting>
  <conditionalFormatting sqref="F32">
    <cfRule type="colorScale" priority="823">
      <colorScale>
        <cfvo type="min"/>
        <cfvo type="percentile" val="50"/>
        <cfvo type="max"/>
        <color rgb="FFF8696B"/>
        <color rgb="FFFFEB84"/>
        <color rgb="FF63BE7B"/>
      </colorScale>
    </cfRule>
  </conditionalFormatting>
  <conditionalFormatting sqref="F32">
    <cfRule type="colorScale" priority="822">
      <colorScale>
        <cfvo type="min"/>
        <cfvo type="percentile" val="50"/>
        <cfvo type="max"/>
        <color rgb="FFF8696B"/>
        <color rgb="FFFFEB84"/>
        <color rgb="FF63BE7B"/>
      </colorScale>
    </cfRule>
  </conditionalFormatting>
  <conditionalFormatting sqref="F32">
    <cfRule type="colorScale" priority="821">
      <colorScale>
        <cfvo type="min"/>
        <cfvo type="percentile" val="50"/>
        <cfvo type="max"/>
        <color rgb="FFF8696B"/>
        <color rgb="FFFFEB84"/>
        <color rgb="FF63BE7B"/>
      </colorScale>
    </cfRule>
  </conditionalFormatting>
  <conditionalFormatting sqref="F32">
    <cfRule type="colorScale" priority="820">
      <colorScale>
        <cfvo type="min"/>
        <cfvo type="percentile" val="50"/>
        <cfvo type="max"/>
        <color rgb="FFF8696B"/>
        <color rgb="FFFFEB84"/>
        <color rgb="FF63BE7B"/>
      </colorScale>
    </cfRule>
  </conditionalFormatting>
  <conditionalFormatting sqref="F32">
    <cfRule type="colorScale" priority="819">
      <colorScale>
        <cfvo type="min"/>
        <cfvo type="percentile" val="50"/>
        <cfvo type="max"/>
        <color rgb="FFF8696B"/>
        <color rgb="FFFFEB84"/>
        <color rgb="FF63BE7B"/>
      </colorScale>
    </cfRule>
  </conditionalFormatting>
  <conditionalFormatting sqref="F32">
    <cfRule type="colorScale" priority="818">
      <colorScale>
        <cfvo type="min"/>
        <cfvo type="percentile" val="50"/>
        <cfvo type="max"/>
        <color rgb="FFF8696B"/>
        <color rgb="FFFFEB84"/>
        <color rgb="FF63BE7B"/>
      </colorScale>
    </cfRule>
  </conditionalFormatting>
  <conditionalFormatting sqref="F32">
    <cfRule type="colorScale" priority="817">
      <colorScale>
        <cfvo type="min"/>
        <cfvo type="percentile" val="50"/>
        <cfvo type="max"/>
        <color rgb="FFF8696B"/>
        <color rgb="FFFFEB84"/>
        <color rgb="FF63BE7B"/>
      </colorScale>
    </cfRule>
  </conditionalFormatting>
  <conditionalFormatting sqref="F32">
    <cfRule type="colorScale" priority="816">
      <colorScale>
        <cfvo type="min"/>
        <cfvo type="percentile" val="50"/>
        <cfvo type="max"/>
        <color rgb="FFF8696B"/>
        <color rgb="FFFFEB84"/>
        <color rgb="FF63BE7B"/>
      </colorScale>
    </cfRule>
  </conditionalFormatting>
  <conditionalFormatting sqref="F32">
    <cfRule type="colorScale" priority="815">
      <colorScale>
        <cfvo type="min"/>
        <cfvo type="percentile" val="50"/>
        <cfvo type="max"/>
        <color rgb="FFF8696B"/>
        <color rgb="FFFFEB84"/>
        <color rgb="FF63BE7B"/>
      </colorScale>
    </cfRule>
  </conditionalFormatting>
  <conditionalFormatting sqref="F32">
    <cfRule type="colorScale" priority="814">
      <colorScale>
        <cfvo type="min"/>
        <cfvo type="percentile" val="50"/>
        <cfvo type="max"/>
        <color rgb="FFF8696B"/>
        <color rgb="FFFFEB84"/>
        <color rgb="FF63BE7B"/>
      </colorScale>
    </cfRule>
  </conditionalFormatting>
  <conditionalFormatting sqref="F32">
    <cfRule type="colorScale" priority="813">
      <colorScale>
        <cfvo type="min"/>
        <cfvo type="percentile" val="50"/>
        <cfvo type="max"/>
        <color rgb="FFF8696B"/>
        <color rgb="FFFFEB84"/>
        <color rgb="FF63BE7B"/>
      </colorScale>
    </cfRule>
  </conditionalFormatting>
  <conditionalFormatting sqref="F32">
    <cfRule type="colorScale" priority="812">
      <colorScale>
        <cfvo type="min"/>
        <cfvo type="percentile" val="50"/>
        <cfvo type="max"/>
        <color rgb="FFF8696B"/>
        <color rgb="FFFFEB84"/>
        <color rgb="FF63BE7B"/>
      </colorScale>
    </cfRule>
  </conditionalFormatting>
  <conditionalFormatting sqref="F32">
    <cfRule type="colorScale" priority="811">
      <colorScale>
        <cfvo type="min"/>
        <cfvo type="percentile" val="50"/>
        <cfvo type="max"/>
        <color rgb="FFF8696B"/>
        <color rgb="FFFFEB84"/>
        <color rgb="FF63BE7B"/>
      </colorScale>
    </cfRule>
  </conditionalFormatting>
  <conditionalFormatting sqref="F32">
    <cfRule type="colorScale" priority="810">
      <colorScale>
        <cfvo type="min"/>
        <cfvo type="percentile" val="50"/>
        <cfvo type="max"/>
        <color rgb="FFF8696B"/>
        <color rgb="FFFFEB84"/>
        <color rgb="FF63BE7B"/>
      </colorScale>
    </cfRule>
  </conditionalFormatting>
  <conditionalFormatting sqref="F32">
    <cfRule type="colorScale" priority="809">
      <colorScale>
        <cfvo type="min"/>
        <cfvo type="percentile" val="50"/>
        <cfvo type="max"/>
        <color rgb="FFF8696B"/>
        <color rgb="FFFFEB84"/>
        <color rgb="FF63BE7B"/>
      </colorScale>
    </cfRule>
  </conditionalFormatting>
  <conditionalFormatting sqref="F32">
    <cfRule type="colorScale" priority="808">
      <colorScale>
        <cfvo type="min"/>
        <cfvo type="percentile" val="50"/>
        <cfvo type="max"/>
        <color rgb="FFF8696B"/>
        <color rgb="FFFFEB84"/>
        <color rgb="FF63BE7B"/>
      </colorScale>
    </cfRule>
  </conditionalFormatting>
  <conditionalFormatting sqref="F32">
    <cfRule type="colorScale" priority="807">
      <colorScale>
        <cfvo type="min"/>
        <cfvo type="percentile" val="50"/>
        <cfvo type="max"/>
        <color rgb="FFF8696B"/>
        <color rgb="FFFFEB84"/>
        <color rgb="FF63BE7B"/>
      </colorScale>
    </cfRule>
  </conditionalFormatting>
  <conditionalFormatting sqref="F32">
    <cfRule type="colorScale" priority="806">
      <colorScale>
        <cfvo type="min"/>
        <cfvo type="percentile" val="50"/>
        <cfvo type="max"/>
        <color rgb="FFF8696B"/>
        <color rgb="FFFFEB84"/>
        <color rgb="FF63BE7B"/>
      </colorScale>
    </cfRule>
  </conditionalFormatting>
  <conditionalFormatting sqref="J14:J18">
    <cfRule type="colorScale" priority="805">
      <colorScale>
        <cfvo type="min"/>
        <cfvo type="percentile" val="50"/>
        <cfvo type="max"/>
        <color rgb="FFF8696B"/>
        <color rgb="FFFFEB84"/>
        <color rgb="FF63BE7B"/>
      </colorScale>
    </cfRule>
  </conditionalFormatting>
  <conditionalFormatting sqref="F13:F20">
    <cfRule type="colorScale" priority="804">
      <colorScale>
        <cfvo type="min"/>
        <cfvo type="percentile" val="50"/>
        <cfvo type="max"/>
        <color rgb="FFF8696B"/>
        <color rgb="FFFFEB84"/>
        <color rgb="FF63BE7B"/>
      </colorScale>
    </cfRule>
  </conditionalFormatting>
  <conditionalFormatting sqref="F13:F20">
    <cfRule type="colorScale" priority="803">
      <colorScale>
        <cfvo type="min"/>
        <cfvo type="percentile" val="50"/>
        <cfvo type="max"/>
        <color rgb="FFF8696B"/>
        <color rgb="FFFFEB84"/>
        <color rgb="FF63BE7B"/>
      </colorScale>
    </cfRule>
  </conditionalFormatting>
  <conditionalFormatting sqref="F13:F20">
    <cfRule type="colorScale" priority="802">
      <colorScale>
        <cfvo type="min"/>
        <cfvo type="percentile" val="50"/>
        <cfvo type="max"/>
        <color rgb="FFF8696B"/>
        <color rgb="FFFFEB84"/>
        <color rgb="FF63BE7B"/>
      </colorScale>
    </cfRule>
  </conditionalFormatting>
  <conditionalFormatting sqref="F13:F20">
    <cfRule type="colorScale" priority="801">
      <colorScale>
        <cfvo type="min"/>
        <cfvo type="percentile" val="50"/>
        <cfvo type="max"/>
        <color rgb="FFF8696B"/>
        <color rgb="FFFFEB84"/>
        <color rgb="FF63BE7B"/>
      </colorScale>
    </cfRule>
  </conditionalFormatting>
  <conditionalFormatting sqref="F13:F20">
    <cfRule type="colorScale" priority="800">
      <colorScale>
        <cfvo type="min"/>
        <cfvo type="percentile" val="50"/>
        <cfvo type="max"/>
        <color rgb="FFF8696B"/>
        <color rgb="FFFFEB84"/>
        <color rgb="FF63BE7B"/>
      </colorScale>
    </cfRule>
  </conditionalFormatting>
  <conditionalFormatting sqref="F13:F20">
    <cfRule type="colorScale" priority="799">
      <colorScale>
        <cfvo type="min"/>
        <cfvo type="percentile" val="50"/>
        <cfvo type="max"/>
        <color rgb="FFF8696B"/>
        <color rgb="FFFFEB84"/>
        <color rgb="FF63BE7B"/>
      </colorScale>
    </cfRule>
  </conditionalFormatting>
  <conditionalFormatting sqref="F13:F20">
    <cfRule type="colorScale" priority="798">
      <colorScale>
        <cfvo type="min"/>
        <cfvo type="percentile" val="50"/>
        <cfvo type="max"/>
        <color rgb="FFF8696B"/>
        <color rgb="FFFFEB84"/>
        <color rgb="FF63BE7B"/>
      </colorScale>
    </cfRule>
  </conditionalFormatting>
  <conditionalFormatting sqref="F13:F20">
    <cfRule type="colorScale" priority="797">
      <colorScale>
        <cfvo type="min"/>
        <cfvo type="percentile" val="50"/>
        <cfvo type="max"/>
        <color rgb="FFF8696B"/>
        <color rgb="FFFFEB84"/>
        <color rgb="FF63BE7B"/>
      </colorScale>
    </cfRule>
  </conditionalFormatting>
  <conditionalFormatting sqref="F13:F20">
    <cfRule type="colorScale" priority="796">
      <colorScale>
        <cfvo type="min"/>
        <cfvo type="percentile" val="50"/>
        <cfvo type="max"/>
        <color rgb="FFF8696B"/>
        <color rgb="FFFFEB84"/>
        <color rgb="FF63BE7B"/>
      </colorScale>
    </cfRule>
  </conditionalFormatting>
  <conditionalFormatting sqref="F13:F20">
    <cfRule type="colorScale" priority="795">
      <colorScale>
        <cfvo type="min"/>
        <cfvo type="percentile" val="50"/>
        <cfvo type="max"/>
        <color rgb="FFF8696B"/>
        <color rgb="FFFFEB84"/>
        <color rgb="FF63BE7B"/>
      </colorScale>
    </cfRule>
  </conditionalFormatting>
  <conditionalFormatting sqref="F13:F20">
    <cfRule type="colorScale" priority="794">
      <colorScale>
        <cfvo type="min"/>
        <cfvo type="percentile" val="50"/>
        <cfvo type="max"/>
        <color rgb="FFF8696B"/>
        <color rgb="FFFFEB84"/>
        <color rgb="FF63BE7B"/>
      </colorScale>
    </cfRule>
  </conditionalFormatting>
  <conditionalFormatting sqref="F13:F20">
    <cfRule type="colorScale" priority="793">
      <colorScale>
        <cfvo type="min"/>
        <cfvo type="percentile" val="50"/>
        <cfvo type="max"/>
        <color rgb="FFF8696B"/>
        <color rgb="FFFFEB84"/>
        <color rgb="FF63BE7B"/>
      </colorScale>
    </cfRule>
  </conditionalFormatting>
  <conditionalFormatting sqref="F13:F20">
    <cfRule type="colorScale" priority="792">
      <colorScale>
        <cfvo type="min"/>
        <cfvo type="percentile" val="50"/>
        <cfvo type="max"/>
        <color rgb="FFF8696B"/>
        <color rgb="FFFFEB84"/>
        <color rgb="FF63BE7B"/>
      </colorScale>
    </cfRule>
  </conditionalFormatting>
  <conditionalFormatting sqref="F13:F20">
    <cfRule type="colorScale" priority="791">
      <colorScale>
        <cfvo type="min"/>
        <cfvo type="percentile" val="50"/>
        <cfvo type="max"/>
        <color rgb="FFF8696B"/>
        <color rgb="FFFFEB84"/>
        <color rgb="FF63BE7B"/>
      </colorScale>
    </cfRule>
  </conditionalFormatting>
  <conditionalFormatting sqref="F13:F20">
    <cfRule type="colorScale" priority="790">
      <colorScale>
        <cfvo type="min"/>
        <cfvo type="percentile" val="50"/>
        <cfvo type="max"/>
        <color rgb="FFF8696B"/>
        <color rgb="FFFFEB84"/>
        <color rgb="FF63BE7B"/>
      </colorScale>
    </cfRule>
  </conditionalFormatting>
  <conditionalFormatting sqref="F13:F20">
    <cfRule type="colorScale" priority="789">
      <colorScale>
        <cfvo type="min"/>
        <cfvo type="percentile" val="50"/>
        <cfvo type="max"/>
        <color rgb="FFF8696B"/>
        <color rgb="FFFFEB84"/>
        <color rgb="FF63BE7B"/>
      </colorScale>
    </cfRule>
  </conditionalFormatting>
  <conditionalFormatting sqref="F13:F20">
    <cfRule type="colorScale" priority="788">
      <colorScale>
        <cfvo type="min"/>
        <cfvo type="percentile" val="50"/>
        <cfvo type="max"/>
        <color rgb="FFF8696B"/>
        <color rgb="FFFFEB84"/>
        <color rgb="FF63BE7B"/>
      </colorScale>
    </cfRule>
  </conditionalFormatting>
  <conditionalFormatting sqref="F13:F20">
    <cfRule type="colorScale" priority="787">
      <colorScale>
        <cfvo type="min"/>
        <cfvo type="percentile" val="50"/>
        <cfvo type="max"/>
        <color rgb="FFF8696B"/>
        <color rgb="FFFFEB84"/>
        <color rgb="FF63BE7B"/>
      </colorScale>
    </cfRule>
  </conditionalFormatting>
  <conditionalFormatting sqref="F13:F20">
    <cfRule type="colorScale" priority="786">
      <colorScale>
        <cfvo type="min"/>
        <cfvo type="percentile" val="50"/>
        <cfvo type="max"/>
        <color rgb="FFF8696B"/>
        <color rgb="FFFFEB84"/>
        <color rgb="FF63BE7B"/>
      </colorScale>
    </cfRule>
  </conditionalFormatting>
  <conditionalFormatting sqref="F13:F20">
    <cfRule type="colorScale" priority="785">
      <colorScale>
        <cfvo type="min"/>
        <cfvo type="percentile" val="50"/>
        <cfvo type="max"/>
        <color rgb="FFF8696B"/>
        <color rgb="FFFFEB84"/>
        <color rgb="FF63BE7B"/>
      </colorScale>
    </cfRule>
  </conditionalFormatting>
  <conditionalFormatting sqref="F13:F20">
    <cfRule type="colorScale" priority="784">
      <colorScale>
        <cfvo type="min"/>
        <cfvo type="percentile" val="50"/>
        <cfvo type="max"/>
        <color rgb="FFF8696B"/>
        <color rgb="FFFFEB84"/>
        <color rgb="FF63BE7B"/>
      </colorScale>
    </cfRule>
  </conditionalFormatting>
  <conditionalFormatting sqref="F13:F20">
    <cfRule type="colorScale" priority="783">
      <colorScale>
        <cfvo type="min"/>
        <cfvo type="percentile" val="50"/>
        <cfvo type="max"/>
        <color rgb="FFF8696B"/>
        <color rgb="FFFFEB84"/>
        <color rgb="FF63BE7B"/>
      </colorScale>
    </cfRule>
  </conditionalFormatting>
  <conditionalFormatting sqref="F13:F20">
    <cfRule type="colorScale" priority="782">
      <colorScale>
        <cfvo type="min"/>
        <cfvo type="percentile" val="50"/>
        <cfvo type="max"/>
        <color rgb="FFF8696B"/>
        <color rgb="FFFFEB84"/>
        <color rgb="FF63BE7B"/>
      </colorScale>
    </cfRule>
  </conditionalFormatting>
  <conditionalFormatting sqref="F13:F20">
    <cfRule type="colorScale" priority="781">
      <colorScale>
        <cfvo type="min"/>
        <cfvo type="percentile" val="50"/>
        <cfvo type="max"/>
        <color rgb="FFF8696B"/>
        <color rgb="FFFFEB84"/>
        <color rgb="FF63BE7B"/>
      </colorScale>
    </cfRule>
  </conditionalFormatting>
  <conditionalFormatting sqref="F13:F20">
    <cfRule type="colorScale" priority="780">
      <colorScale>
        <cfvo type="min"/>
        <cfvo type="percentile" val="50"/>
        <cfvo type="max"/>
        <color rgb="FFF8696B"/>
        <color rgb="FFFFEB84"/>
        <color rgb="FF63BE7B"/>
      </colorScale>
    </cfRule>
  </conditionalFormatting>
  <conditionalFormatting sqref="F13:F20">
    <cfRule type="colorScale" priority="779">
      <colorScale>
        <cfvo type="min"/>
        <cfvo type="percentile" val="50"/>
        <cfvo type="max"/>
        <color rgb="FFF8696B"/>
        <color rgb="FFFFEB84"/>
        <color rgb="FF63BE7B"/>
      </colorScale>
    </cfRule>
  </conditionalFormatting>
  <conditionalFormatting sqref="F13:F20">
    <cfRule type="colorScale" priority="778">
      <colorScale>
        <cfvo type="min"/>
        <cfvo type="percentile" val="50"/>
        <cfvo type="max"/>
        <color rgb="FFF8696B"/>
        <color rgb="FFFFEB84"/>
        <color rgb="FF63BE7B"/>
      </colorScale>
    </cfRule>
  </conditionalFormatting>
  <conditionalFormatting sqref="F13:F20">
    <cfRule type="colorScale" priority="777">
      <colorScale>
        <cfvo type="min"/>
        <cfvo type="percentile" val="50"/>
        <cfvo type="max"/>
        <color rgb="FFF8696B"/>
        <color rgb="FFFFEB84"/>
        <color rgb="FF63BE7B"/>
      </colorScale>
    </cfRule>
  </conditionalFormatting>
  <conditionalFormatting sqref="F13:F20">
    <cfRule type="colorScale" priority="776">
      <colorScale>
        <cfvo type="min"/>
        <cfvo type="percentile" val="50"/>
        <cfvo type="max"/>
        <color rgb="FFF8696B"/>
        <color rgb="FFFFEB84"/>
        <color rgb="FF63BE7B"/>
      </colorScale>
    </cfRule>
  </conditionalFormatting>
  <conditionalFormatting sqref="F13:F20">
    <cfRule type="colorScale" priority="775">
      <colorScale>
        <cfvo type="min"/>
        <cfvo type="percentile" val="50"/>
        <cfvo type="max"/>
        <color rgb="FFF8696B"/>
        <color rgb="FFFFEB84"/>
        <color rgb="FF63BE7B"/>
      </colorScale>
    </cfRule>
  </conditionalFormatting>
  <conditionalFormatting sqref="F13:F20">
    <cfRule type="colorScale" priority="774">
      <colorScale>
        <cfvo type="min"/>
        <cfvo type="percentile" val="50"/>
        <cfvo type="max"/>
        <color rgb="FFF8696B"/>
        <color rgb="FFFFEB84"/>
        <color rgb="FF63BE7B"/>
      </colorScale>
    </cfRule>
  </conditionalFormatting>
  <conditionalFormatting sqref="F13:F20">
    <cfRule type="colorScale" priority="773">
      <colorScale>
        <cfvo type="min"/>
        <cfvo type="percentile" val="50"/>
        <cfvo type="max"/>
        <color rgb="FFF8696B"/>
        <color rgb="FFFFEB84"/>
        <color rgb="FF63BE7B"/>
      </colorScale>
    </cfRule>
  </conditionalFormatting>
  <conditionalFormatting sqref="F13:F20">
    <cfRule type="colorScale" priority="772">
      <colorScale>
        <cfvo type="min"/>
        <cfvo type="percentile" val="50"/>
        <cfvo type="max"/>
        <color rgb="FFF8696B"/>
        <color rgb="FFFFEB84"/>
        <color rgb="FF63BE7B"/>
      </colorScale>
    </cfRule>
  </conditionalFormatting>
  <conditionalFormatting sqref="F13:F20">
    <cfRule type="colorScale" priority="771">
      <colorScale>
        <cfvo type="min"/>
        <cfvo type="percentile" val="50"/>
        <cfvo type="max"/>
        <color rgb="FFF8696B"/>
        <color rgb="FFFFEB84"/>
        <color rgb="FF63BE7B"/>
      </colorScale>
    </cfRule>
  </conditionalFormatting>
  <conditionalFormatting sqref="F13:F20">
    <cfRule type="colorScale" priority="770">
      <colorScale>
        <cfvo type="min"/>
        <cfvo type="percentile" val="50"/>
        <cfvo type="max"/>
        <color rgb="FFF8696B"/>
        <color rgb="FFFFEB84"/>
        <color rgb="FF63BE7B"/>
      </colorScale>
    </cfRule>
  </conditionalFormatting>
  <conditionalFormatting sqref="F13:F20">
    <cfRule type="colorScale" priority="769">
      <colorScale>
        <cfvo type="min"/>
        <cfvo type="percentile" val="50"/>
        <cfvo type="max"/>
        <color rgb="FFF8696B"/>
        <color rgb="FFFFEB84"/>
        <color rgb="FF63BE7B"/>
      </colorScale>
    </cfRule>
  </conditionalFormatting>
  <conditionalFormatting sqref="F13:F20">
    <cfRule type="colorScale" priority="768">
      <colorScale>
        <cfvo type="min"/>
        <cfvo type="percentile" val="50"/>
        <cfvo type="max"/>
        <color rgb="FFF8696B"/>
        <color rgb="FFFFEB84"/>
        <color rgb="FF63BE7B"/>
      </colorScale>
    </cfRule>
  </conditionalFormatting>
  <conditionalFormatting sqref="F13:F20">
    <cfRule type="colorScale" priority="767">
      <colorScale>
        <cfvo type="min"/>
        <cfvo type="percentile" val="50"/>
        <cfvo type="max"/>
        <color rgb="FFF8696B"/>
        <color rgb="FFFFEB84"/>
        <color rgb="FF63BE7B"/>
      </colorScale>
    </cfRule>
  </conditionalFormatting>
  <conditionalFormatting sqref="F13:F20">
    <cfRule type="colorScale" priority="766">
      <colorScale>
        <cfvo type="min"/>
        <cfvo type="percentile" val="50"/>
        <cfvo type="max"/>
        <color rgb="FFF8696B"/>
        <color rgb="FFFFEB84"/>
        <color rgb="FF63BE7B"/>
      </colorScale>
    </cfRule>
  </conditionalFormatting>
  <conditionalFormatting sqref="F13:F20">
    <cfRule type="colorScale" priority="765">
      <colorScale>
        <cfvo type="min"/>
        <cfvo type="percentile" val="50"/>
        <cfvo type="max"/>
        <color rgb="FFF8696B"/>
        <color rgb="FFFFEB84"/>
        <color rgb="FF63BE7B"/>
      </colorScale>
    </cfRule>
  </conditionalFormatting>
  <conditionalFormatting sqref="F13:F20">
    <cfRule type="colorScale" priority="764">
      <colorScale>
        <cfvo type="min"/>
        <cfvo type="percentile" val="50"/>
        <cfvo type="max"/>
        <color rgb="FFF8696B"/>
        <color rgb="FFFFEB84"/>
        <color rgb="FF63BE7B"/>
      </colorScale>
    </cfRule>
  </conditionalFormatting>
  <conditionalFormatting sqref="F13:F20">
    <cfRule type="colorScale" priority="763">
      <colorScale>
        <cfvo type="min"/>
        <cfvo type="percentile" val="50"/>
        <cfvo type="max"/>
        <color rgb="FFF8696B"/>
        <color rgb="FFFFEB84"/>
        <color rgb="FF63BE7B"/>
      </colorScale>
    </cfRule>
  </conditionalFormatting>
  <conditionalFormatting sqref="F13:F20">
    <cfRule type="colorScale" priority="762">
      <colorScale>
        <cfvo type="min"/>
        <cfvo type="percentile" val="50"/>
        <cfvo type="max"/>
        <color rgb="FFF8696B"/>
        <color rgb="FFFFEB84"/>
        <color rgb="FF63BE7B"/>
      </colorScale>
    </cfRule>
  </conditionalFormatting>
  <conditionalFormatting sqref="F13:F20">
    <cfRule type="colorScale" priority="761">
      <colorScale>
        <cfvo type="min"/>
        <cfvo type="percentile" val="50"/>
        <cfvo type="max"/>
        <color rgb="FFF8696B"/>
        <color rgb="FFFFEB84"/>
        <color rgb="FF63BE7B"/>
      </colorScale>
    </cfRule>
  </conditionalFormatting>
  <conditionalFormatting sqref="F13:F20">
    <cfRule type="colorScale" priority="760">
      <colorScale>
        <cfvo type="min"/>
        <cfvo type="percentile" val="50"/>
        <cfvo type="max"/>
        <color rgb="FFF8696B"/>
        <color rgb="FFFFEB84"/>
        <color rgb="FF63BE7B"/>
      </colorScale>
    </cfRule>
  </conditionalFormatting>
  <conditionalFormatting sqref="F13:F20">
    <cfRule type="colorScale" priority="759">
      <colorScale>
        <cfvo type="min"/>
        <cfvo type="percentile" val="50"/>
        <cfvo type="max"/>
        <color rgb="FFF8696B"/>
        <color rgb="FFFFEB84"/>
        <color rgb="FF63BE7B"/>
      </colorScale>
    </cfRule>
  </conditionalFormatting>
  <conditionalFormatting sqref="F13:F20">
    <cfRule type="colorScale" priority="758">
      <colorScale>
        <cfvo type="min"/>
        <cfvo type="percentile" val="50"/>
        <cfvo type="max"/>
        <color rgb="FFF8696B"/>
        <color rgb="FFFFEB84"/>
        <color rgb="FF63BE7B"/>
      </colorScale>
    </cfRule>
  </conditionalFormatting>
  <conditionalFormatting sqref="F13:F20">
    <cfRule type="colorScale" priority="757">
      <colorScale>
        <cfvo type="min"/>
        <cfvo type="percentile" val="50"/>
        <cfvo type="max"/>
        <color rgb="FFF8696B"/>
        <color rgb="FFFFEB84"/>
        <color rgb="FF63BE7B"/>
      </colorScale>
    </cfRule>
  </conditionalFormatting>
  <conditionalFormatting sqref="F13:F20">
    <cfRule type="colorScale" priority="756">
      <colorScale>
        <cfvo type="min"/>
        <cfvo type="percentile" val="50"/>
        <cfvo type="max"/>
        <color rgb="FFF8696B"/>
        <color rgb="FFFFEB84"/>
        <color rgb="FF63BE7B"/>
      </colorScale>
    </cfRule>
  </conditionalFormatting>
  <conditionalFormatting sqref="F13:F20">
    <cfRule type="colorScale" priority="755">
      <colorScale>
        <cfvo type="min"/>
        <cfvo type="percentile" val="50"/>
        <cfvo type="max"/>
        <color rgb="FFF8696B"/>
        <color rgb="FFFFEB84"/>
        <color rgb="FF63BE7B"/>
      </colorScale>
    </cfRule>
  </conditionalFormatting>
  <conditionalFormatting sqref="F13:F20">
    <cfRule type="colorScale" priority="754">
      <colorScale>
        <cfvo type="min"/>
        <cfvo type="percentile" val="50"/>
        <cfvo type="max"/>
        <color rgb="FFF8696B"/>
        <color rgb="FFFFEB84"/>
        <color rgb="FF63BE7B"/>
      </colorScale>
    </cfRule>
  </conditionalFormatting>
  <conditionalFormatting sqref="F13:F20">
    <cfRule type="colorScale" priority="753">
      <colorScale>
        <cfvo type="min"/>
        <cfvo type="percentile" val="50"/>
        <cfvo type="max"/>
        <color rgb="FFF8696B"/>
        <color rgb="FFFFEB84"/>
        <color rgb="FF63BE7B"/>
      </colorScale>
    </cfRule>
  </conditionalFormatting>
  <conditionalFormatting sqref="F13:F20">
    <cfRule type="colorScale" priority="752">
      <colorScale>
        <cfvo type="min"/>
        <cfvo type="percentile" val="50"/>
        <cfvo type="max"/>
        <color rgb="FFF8696B"/>
        <color rgb="FFFFEB84"/>
        <color rgb="FF63BE7B"/>
      </colorScale>
    </cfRule>
  </conditionalFormatting>
  <conditionalFormatting sqref="F13:F20">
    <cfRule type="colorScale" priority="751">
      <colorScale>
        <cfvo type="min"/>
        <cfvo type="percentile" val="50"/>
        <cfvo type="max"/>
        <color rgb="FFF8696B"/>
        <color rgb="FFFFEB84"/>
        <color rgb="FF63BE7B"/>
      </colorScale>
    </cfRule>
  </conditionalFormatting>
  <conditionalFormatting sqref="F13:F20">
    <cfRule type="colorScale" priority="750">
      <colorScale>
        <cfvo type="min"/>
        <cfvo type="percentile" val="50"/>
        <cfvo type="max"/>
        <color rgb="FFF8696B"/>
        <color rgb="FFFFEB84"/>
        <color rgb="FF63BE7B"/>
      </colorScale>
    </cfRule>
  </conditionalFormatting>
  <conditionalFormatting sqref="F13:F20">
    <cfRule type="colorScale" priority="749">
      <colorScale>
        <cfvo type="min"/>
        <cfvo type="percentile" val="50"/>
        <cfvo type="max"/>
        <color rgb="FFF8696B"/>
        <color rgb="FFFFEB84"/>
        <color rgb="FF63BE7B"/>
      </colorScale>
    </cfRule>
  </conditionalFormatting>
  <conditionalFormatting sqref="F13:F20">
    <cfRule type="colorScale" priority="748">
      <colorScale>
        <cfvo type="min"/>
        <cfvo type="percentile" val="50"/>
        <cfvo type="max"/>
        <color rgb="FFF8696B"/>
        <color rgb="FFFFEB84"/>
        <color rgb="FF63BE7B"/>
      </colorScale>
    </cfRule>
  </conditionalFormatting>
  <conditionalFormatting sqref="F13:F20">
    <cfRule type="colorScale" priority="747">
      <colorScale>
        <cfvo type="min"/>
        <cfvo type="percentile" val="50"/>
        <cfvo type="max"/>
        <color rgb="FFF8696B"/>
        <color rgb="FFFFEB84"/>
        <color rgb="FF63BE7B"/>
      </colorScale>
    </cfRule>
  </conditionalFormatting>
  <conditionalFormatting sqref="F13:F20">
    <cfRule type="colorScale" priority="746">
      <colorScale>
        <cfvo type="min"/>
        <cfvo type="percentile" val="50"/>
        <cfvo type="max"/>
        <color rgb="FFF8696B"/>
        <color rgb="FFFFEB84"/>
        <color rgb="FF63BE7B"/>
      </colorScale>
    </cfRule>
  </conditionalFormatting>
  <conditionalFormatting sqref="F13:F20">
    <cfRule type="colorScale" priority="745">
      <colorScale>
        <cfvo type="min"/>
        <cfvo type="percentile" val="50"/>
        <cfvo type="max"/>
        <color rgb="FFF8696B"/>
        <color rgb="FFFFEB84"/>
        <color rgb="FF63BE7B"/>
      </colorScale>
    </cfRule>
  </conditionalFormatting>
  <conditionalFormatting sqref="F13:F20">
    <cfRule type="colorScale" priority="744">
      <colorScale>
        <cfvo type="min"/>
        <cfvo type="percentile" val="50"/>
        <cfvo type="max"/>
        <color rgb="FFF8696B"/>
        <color rgb="FFFFEB84"/>
        <color rgb="FF63BE7B"/>
      </colorScale>
    </cfRule>
  </conditionalFormatting>
  <conditionalFormatting sqref="F13:F20">
    <cfRule type="colorScale" priority="743">
      <colorScale>
        <cfvo type="min"/>
        <cfvo type="percentile" val="50"/>
        <cfvo type="max"/>
        <color rgb="FFF8696B"/>
        <color rgb="FFFFEB84"/>
        <color rgb="FF63BE7B"/>
      </colorScale>
    </cfRule>
  </conditionalFormatting>
  <conditionalFormatting sqref="F13:F20">
    <cfRule type="colorScale" priority="742">
      <colorScale>
        <cfvo type="min"/>
        <cfvo type="percentile" val="50"/>
        <cfvo type="max"/>
        <color rgb="FFF8696B"/>
        <color rgb="FFFFEB84"/>
        <color rgb="FF63BE7B"/>
      </colorScale>
    </cfRule>
  </conditionalFormatting>
  <conditionalFormatting sqref="F13:F20">
    <cfRule type="colorScale" priority="741">
      <colorScale>
        <cfvo type="min"/>
        <cfvo type="percentile" val="50"/>
        <cfvo type="max"/>
        <color rgb="FFF8696B"/>
        <color rgb="FFFFEB84"/>
        <color rgb="FF63BE7B"/>
      </colorScale>
    </cfRule>
  </conditionalFormatting>
  <conditionalFormatting sqref="F13:F20">
    <cfRule type="colorScale" priority="740">
      <colorScale>
        <cfvo type="min"/>
        <cfvo type="percentile" val="50"/>
        <cfvo type="max"/>
        <color rgb="FFF8696B"/>
        <color rgb="FFFFEB84"/>
        <color rgb="FF63BE7B"/>
      </colorScale>
    </cfRule>
  </conditionalFormatting>
  <conditionalFormatting sqref="F13:F20">
    <cfRule type="colorScale" priority="739">
      <colorScale>
        <cfvo type="min"/>
        <cfvo type="percentile" val="50"/>
        <cfvo type="max"/>
        <color rgb="FFF8696B"/>
        <color rgb="FFFFEB84"/>
        <color rgb="FF63BE7B"/>
      </colorScale>
    </cfRule>
  </conditionalFormatting>
  <conditionalFormatting sqref="F13:F20">
    <cfRule type="colorScale" priority="738">
      <colorScale>
        <cfvo type="min"/>
        <cfvo type="percentile" val="50"/>
        <cfvo type="max"/>
        <color rgb="FFF8696B"/>
        <color rgb="FFFFEB84"/>
        <color rgb="FF63BE7B"/>
      </colorScale>
    </cfRule>
  </conditionalFormatting>
  <conditionalFormatting sqref="F13:F20">
    <cfRule type="colorScale" priority="737">
      <colorScale>
        <cfvo type="min"/>
        <cfvo type="percentile" val="50"/>
        <cfvo type="max"/>
        <color rgb="FFF8696B"/>
        <color rgb="FFFFEB84"/>
        <color rgb="FF63BE7B"/>
      </colorScale>
    </cfRule>
  </conditionalFormatting>
  <conditionalFormatting sqref="F13:F20">
    <cfRule type="colorScale" priority="736">
      <colorScale>
        <cfvo type="min"/>
        <cfvo type="percentile" val="50"/>
        <cfvo type="max"/>
        <color rgb="FFF8696B"/>
        <color rgb="FFFFEB84"/>
        <color rgb="FF63BE7B"/>
      </colorScale>
    </cfRule>
  </conditionalFormatting>
  <conditionalFormatting sqref="F13:F20">
    <cfRule type="colorScale" priority="735">
      <colorScale>
        <cfvo type="min"/>
        <cfvo type="percentile" val="50"/>
        <cfvo type="max"/>
        <color rgb="FFF8696B"/>
        <color rgb="FFFFEB84"/>
        <color rgb="FF63BE7B"/>
      </colorScale>
    </cfRule>
  </conditionalFormatting>
  <conditionalFormatting sqref="F13:F20">
    <cfRule type="colorScale" priority="734">
      <colorScale>
        <cfvo type="min"/>
        <cfvo type="percentile" val="50"/>
        <cfvo type="max"/>
        <color rgb="FFF8696B"/>
        <color rgb="FFFFEB84"/>
        <color rgb="FF63BE7B"/>
      </colorScale>
    </cfRule>
  </conditionalFormatting>
  <conditionalFormatting sqref="F13:F20">
    <cfRule type="colorScale" priority="733">
      <colorScale>
        <cfvo type="min"/>
        <cfvo type="percentile" val="50"/>
        <cfvo type="max"/>
        <color rgb="FFF8696B"/>
        <color rgb="FFFFEB84"/>
        <color rgb="FF63BE7B"/>
      </colorScale>
    </cfRule>
  </conditionalFormatting>
  <conditionalFormatting sqref="F13:F20">
    <cfRule type="colorScale" priority="732">
      <colorScale>
        <cfvo type="min"/>
        <cfvo type="percentile" val="50"/>
        <cfvo type="max"/>
        <color rgb="FFF8696B"/>
        <color rgb="FFFFEB84"/>
        <color rgb="FF63BE7B"/>
      </colorScale>
    </cfRule>
  </conditionalFormatting>
  <conditionalFormatting sqref="F13:F20">
    <cfRule type="colorScale" priority="731">
      <colorScale>
        <cfvo type="min"/>
        <cfvo type="percentile" val="50"/>
        <cfvo type="max"/>
        <color rgb="FFF8696B"/>
        <color rgb="FFFFEB84"/>
        <color rgb="FF63BE7B"/>
      </colorScale>
    </cfRule>
  </conditionalFormatting>
  <conditionalFormatting sqref="F13:F20">
    <cfRule type="colorScale" priority="730">
      <colorScale>
        <cfvo type="min"/>
        <cfvo type="percentile" val="50"/>
        <cfvo type="max"/>
        <color rgb="FFF8696B"/>
        <color rgb="FFFFEB84"/>
        <color rgb="FF63BE7B"/>
      </colorScale>
    </cfRule>
  </conditionalFormatting>
  <conditionalFormatting sqref="F13:F20">
    <cfRule type="colorScale" priority="729">
      <colorScale>
        <cfvo type="min"/>
        <cfvo type="percentile" val="50"/>
        <cfvo type="max"/>
        <color rgb="FFF8696B"/>
        <color rgb="FFFFEB84"/>
        <color rgb="FF63BE7B"/>
      </colorScale>
    </cfRule>
  </conditionalFormatting>
  <conditionalFormatting sqref="F13:F20">
    <cfRule type="colorScale" priority="728">
      <colorScale>
        <cfvo type="min"/>
        <cfvo type="percentile" val="50"/>
        <cfvo type="max"/>
        <color rgb="FFF8696B"/>
        <color rgb="FFFFEB84"/>
        <color rgb="FF63BE7B"/>
      </colorScale>
    </cfRule>
  </conditionalFormatting>
  <conditionalFormatting sqref="F13:F20">
    <cfRule type="colorScale" priority="727">
      <colorScale>
        <cfvo type="min"/>
        <cfvo type="percentile" val="50"/>
        <cfvo type="max"/>
        <color rgb="FFF8696B"/>
        <color rgb="FFFFEB84"/>
        <color rgb="FF63BE7B"/>
      </colorScale>
    </cfRule>
  </conditionalFormatting>
  <conditionalFormatting sqref="F13:F20">
    <cfRule type="colorScale" priority="726">
      <colorScale>
        <cfvo type="min"/>
        <cfvo type="percentile" val="50"/>
        <cfvo type="max"/>
        <color rgb="FFF8696B"/>
        <color rgb="FFFFEB84"/>
        <color rgb="FF63BE7B"/>
      </colorScale>
    </cfRule>
  </conditionalFormatting>
  <conditionalFormatting sqref="F13:F20">
    <cfRule type="colorScale" priority="725">
      <colorScale>
        <cfvo type="min"/>
        <cfvo type="percentile" val="50"/>
        <cfvo type="max"/>
        <color rgb="FFF8696B"/>
        <color rgb="FFFFEB84"/>
        <color rgb="FF63BE7B"/>
      </colorScale>
    </cfRule>
  </conditionalFormatting>
  <conditionalFormatting sqref="F13:F20">
    <cfRule type="colorScale" priority="724">
      <colorScale>
        <cfvo type="min"/>
        <cfvo type="percentile" val="50"/>
        <cfvo type="max"/>
        <color rgb="FFF8696B"/>
        <color rgb="FFFFEB84"/>
        <color rgb="FF63BE7B"/>
      </colorScale>
    </cfRule>
  </conditionalFormatting>
  <conditionalFormatting sqref="F13:F20">
    <cfRule type="colorScale" priority="723">
      <colorScale>
        <cfvo type="min"/>
        <cfvo type="percentile" val="50"/>
        <cfvo type="max"/>
        <color rgb="FFF8696B"/>
        <color rgb="FFFFEB84"/>
        <color rgb="FF63BE7B"/>
      </colorScale>
    </cfRule>
  </conditionalFormatting>
  <conditionalFormatting sqref="F13:F20">
    <cfRule type="colorScale" priority="722">
      <colorScale>
        <cfvo type="min"/>
        <cfvo type="percentile" val="50"/>
        <cfvo type="max"/>
        <color rgb="FFF8696B"/>
        <color rgb="FFFFEB84"/>
        <color rgb="FF63BE7B"/>
      </colorScale>
    </cfRule>
  </conditionalFormatting>
  <conditionalFormatting sqref="F13:F20">
    <cfRule type="colorScale" priority="721">
      <colorScale>
        <cfvo type="min"/>
        <cfvo type="percentile" val="50"/>
        <cfvo type="max"/>
        <color rgb="FFF8696B"/>
        <color rgb="FFFFEB84"/>
        <color rgb="FF63BE7B"/>
      </colorScale>
    </cfRule>
  </conditionalFormatting>
  <conditionalFormatting sqref="F13:F20">
    <cfRule type="colorScale" priority="720">
      <colorScale>
        <cfvo type="min"/>
        <cfvo type="percentile" val="50"/>
        <cfvo type="max"/>
        <color rgb="FFF8696B"/>
        <color rgb="FFFFEB84"/>
        <color rgb="FF63BE7B"/>
      </colorScale>
    </cfRule>
  </conditionalFormatting>
  <conditionalFormatting sqref="F13:F20">
    <cfRule type="colorScale" priority="719">
      <colorScale>
        <cfvo type="min"/>
        <cfvo type="percentile" val="50"/>
        <cfvo type="max"/>
        <color rgb="FFF8696B"/>
        <color rgb="FFFFEB84"/>
        <color rgb="FF63BE7B"/>
      </colorScale>
    </cfRule>
  </conditionalFormatting>
  <conditionalFormatting sqref="F13:F20">
    <cfRule type="colorScale" priority="718">
      <colorScale>
        <cfvo type="min"/>
        <cfvo type="percentile" val="50"/>
        <cfvo type="max"/>
        <color rgb="FFF8696B"/>
        <color rgb="FFFFEB84"/>
        <color rgb="FF63BE7B"/>
      </colorScale>
    </cfRule>
  </conditionalFormatting>
  <conditionalFormatting sqref="F13:F20">
    <cfRule type="colorScale" priority="717">
      <colorScale>
        <cfvo type="min"/>
        <cfvo type="percentile" val="50"/>
        <cfvo type="max"/>
        <color rgb="FFF8696B"/>
        <color rgb="FFFFEB84"/>
        <color rgb="FF63BE7B"/>
      </colorScale>
    </cfRule>
  </conditionalFormatting>
  <conditionalFormatting sqref="F13:F20">
    <cfRule type="colorScale" priority="716">
      <colorScale>
        <cfvo type="min"/>
        <cfvo type="percentile" val="50"/>
        <cfvo type="max"/>
        <color rgb="FFF8696B"/>
        <color rgb="FFFFEB84"/>
        <color rgb="FF63BE7B"/>
      </colorScale>
    </cfRule>
  </conditionalFormatting>
  <conditionalFormatting sqref="F13:F20">
    <cfRule type="colorScale" priority="715">
      <colorScale>
        <cfvo type="min"/>
        <cfvo type="percentile" val="50"/>
        <cfvo type="max"/>
        <color rgb="FFF8696B"/>
        <color rgb="FFFFEB84"/>
        <color rgb="FF63BE7B"/>
      </colorScale>
    </cfRule>
  </conditionalFormatting>
  <conditionalFormatting sqref="F13:F20">
    <cfRule type="colorScale" priority="714">
      <colorScale>
        <cfvo type="min"/>
        <cfvo type="percentile" val="50"/>
        <cfvo type="max"/>
        <color rgb="FFF8696B"/>
        <color rgb="FFFFEB84"/>
        <color rgb="FF63BE7B"/>
      </colorScale>
    </cfRule>
  </conditionalFormatting>
  <conditionalFormatting sqref="F13:F20">
    <cfRule type="colorScale" priority="713">
      <colorScale>
        <cfvo type="min"/>
        <cfvo type="percentile" val="50"/>
        <cfvo type="max"/>
        <color rgb="FFF8696B"/>
        <color rgb="FFFFEB84"/>
        <color rgb="FF63BE7B"/>
      </colorScale>
    </cfRule>
  </conditionalFormatting>
  <conditionalFormatting sqref="F13:F20">
    <cfRule type="colorScale" priority="712">
      <colorScale>
        <cfvo type="min"/>
        <cfvo type="percentile" val="50"/>
        <cfvo type="max"/>
        <color rgb="FFF8696B"/>
        <color rgb="FFFFEB84"/>
        <color rgb="FF63BE7B"/>
      </colorScale>
    </cfRule>
  </conditionalFormatting>
  <conditionalFormatting sqref="F13:F20">
    <cfRule type="colorScale" priority="711">
      <colorScale>
        <cfvo type="min"/>
        <cfvo type="percentile" val="50"/>
        <cfvo type="max"/>
        <color rgb="FFF8696B"/>
        <color rgb="FFFFEB84"/>
        <color rgb="FF63BE7B"/>
      </colorScale>
    </cfRule>
  </conditionalFormatting>
  <conditionalFormatting sqref="F13:F20">
    <cfRule type="colorScale" priority="710">
      <colorScale>
        <cfvo type="min"/>
        <cfvo type="percentile" val="50"/>
        <cfvo type="max"/>
        <color rgb="FFF8696B"/>
        <color rgb="FFFFEB84"/>
        <color rgb="FF63BE7B"/>
      </colorScale>
    </cfRule>
  </conditionalFormatting>
  <conditionalFormatting sqref="F13:F20">
    <cfRule type="colorScale" priority="709">
      <colorScale>
        <cfvo type="min"/>
        <cfvo type="percentile" val="50"/>
        <cfvo type="max"/>
        <color rgb="FFF8696B"/>
        <color rgb="FFFFEB84"/>
        <color rgb="FF63BE7B"/>
      </colorScale>
    </cfRule>
  </conditionalFormatting>
  <conditionalFormatting sqref="F13:F20">
    <cfRule type="colorScale" priority="708">
      <colorScale>
        <cfvo type="min"/>
        <cfvo type="percentile" val="50"/>
        <cfvo type="max"/>
        <color rgb="FFF8696B"/>
        <color rgb="FFFFEB84"/>
        <color rgb="FF63BE7B"/>
      </colorScale>
    </cfRule>
  </conditionalFormatting>
  <conditionalFormatting sqref="F13:F20">
    <cfRule type="colorScale" priority="707">
      <colorScale>
        <cfvo type="min"/>
        <cfvo type="percentile" val="50"/>
        <cfvo type="max"/>
        <color rgb="FFF8696B"/>
        <color rgb="FFFFEB84"/>
        <color rgb="FF63BE7B"/>
      </colorScale>
    </cfRule>
  </conditionalFormatting>
  <conditionalFormatting sqref="F13:F20">
    <cfRule type="colorScale" priority="706">
      <colorScale>
        <cfvo type="min"/>
        <cfvo type="percentile" val="50"/>
        <cfvo type="max"/>
        <color rgb="FFF8696B"/>
        <color rgb="FFFFEB84"/>
        <color rgb="FF63BE7B"/>
      </colorScale>
    </cfRule>
  </conditionalFormatting>
  <conditionalFormatting sqref="F13:F20">
    <cfRule type="colorScale" priority="705">
      <colorScale>
        <cfvo type="min"/>
        <cfvo type="percentile" val="50"/>
        <cfvo type="max"/>
        <color rgb="FFF8696B"/>
        <color rgb="FFFFEB84"/>
        <color rgb="FF63BE7B"/>
      </colorScale>
    </cfRule>
  </conditionalFormatting>
  <conditionalFormatting sqref="F13:F20">
    <cfRule type="colorScale" priority="704">
      <colorScale>
        <cfvo type="min"/>
        <cfvo type="percentile" val="50"/>
        <cfvo type="max"/>
        <color rgb="FFF8696B"/>
        <color rgb="FFFFEB84"/>
        <color rgb="FF63BE7B"/>
      </colorScale>
    </cfRule>
  </conditionalFormatting>
  <conditionalFormatting sqref="F13:F20">
    <cfRule type="colorScale" priority="703">
      <colorScale>
        <cfvo type="min"/>
        <cfvo type="percentile" val="50"/>
        <cfvo type="max"/>
        <color rgb="FFF8696B"/>
        <color rgb="FFFFEB84"/>
        <color rgb="FF63BE7B"/>
      </colorScale>
    </cfRule>
  </conditionalFormatting>
  <conditionalFormatting sqref="F13:F20">
    <cfRule type="colorScale" priority="702">
      <colorScale>
        <cfvo type="min"/>
        <cfvo type="percentile" val="50"/>
        <cfvo type="max"/>
        <color rgb="FFF8696B"/>
        <color rgb="FFFFEB84"/>
        <color rgb="FF63BE7B"/>
      </colorScale>
    </cfRule>
  </conditionalFormatting>
  <conditionalFormatting sqref="F13:F20">
    <cfRule type="colorScale" priority="701">
      <colorScale>
        <cfvo type="min"/>
        <cfvo type="percentile" val="50"/>
        <cfvo type="max"/>
        <color rgb="FFF8696B"/>
        <color rgb="FFFFEB84"/>
        <color rgb="FF63BE7B"/>
      </colorScale>
    </cfRule>
  </conditionalFormatting>
  <conditionalFormatting sqref="F13:F20">
    <cfRule type="colorScale" priority="700">
      <colorScale>
        <cfvo type="min"/>
        <cfvo type="percentile" val="50"/>
        <cfvo type="max"/>
        <color rgb="FFF8696B"/>
        <color rgb="FFFFEB84"/>
        <color rgb="FF63BE7B"/>
      </colorScale>
    </cfRule>
  </conditionalFormatting>
  <conditionalFormatting sqref="F13:F20">
    <cfRule type="colorScale" priority="699">
      <colorScale>
        <cfvo type="min"/>
        <cfvo type="percentile" val="50"/>
        <cfvo type="max"/>
        <color rgb="FFF8696B"/>
        <color rgb="FFFFEB84"/>
        <color rgb="FF63BE7B"/>
      </colorScale>
    </cfRule>
  </conditionalFormatting>
  <conditionalFormatting sqref="F13:F20">
    <cfRule type="colorScale" priority="698">
      <colorScale>
        <cfvo type="min"/>
        <cfvo type="percentile" val="50"/>
        <cfvo type="max"/>
        <color rgb="FFF8696B"/>
        <color rgb="FFFFEB84"/>
        <color rgb="FF63BE7B"/>
      </colorScale>
    </cfRule>
  </conditionalFormatting>
  <conditionalFormatting sqref="F13:F20">
    <cfRule type="colorScale" priority="697">
      <colorScale>
        <cfvo type="min"/>
        <cfvo type="percentile" val="50"/>
        <cfvo type="max"/>
        <color rgb="FFF8696B"/>
        <color rgb="FFFFEB84"/>
        <color rgb="FF63BE7B"/>
      </colorScale>
    </cfRule>
  </conditionalFormatting>
  <conditionalFormatting sqref="F13:F20">
    <cfRule type="colorScale" priority="696">
      <colorScale>
        <cfvo type="min"/>
        <cfvo type="percentile" val="50"/>
        <cfvo type="max"/>
        <color rgb="FFF8696B"/>
        <color rgb="FFFFEB84"/>
        <color rgb="FF63BE7B"/>
      </colorScale>
    </cfRule>
  </conditionalFormatting>
  <conditionalFormatting sqref="F13:F20">
    <cfRule type="colorScale" priority="695">
      <colorScale>
        <cfvo type="min"/>
        <cfvo type="percentile" val="50"/>
        <cfvo type="max"/>
        <color rgb="FFF8696B"/>
        <color rgb="FFFFEB84"/>
        <color rgb="FF63BE7B"/>
      </colorScale>
    </cfRule>
  </conditionalFormatting>
  <conditionalFormatting sqref="F13:F20">
    <cfRule type="colorScale" priority="694">
      <colorScale>
        <cfvo type="min"/>
        <cfvo type="percentile" val="50"/>
        <cfvo type="max"/>
        <color rgb="FFF8696B"/>
        <color rgb="FFFFEB84"/>
        <color rgb="FF63BE7B"/>
      </colorScale>
    </cfRule>
  </conditionalFormatting>
  <conditionalFormatting sqref="F13:F20">
    <cfRule type="colorScale" priority="693">
      <colorScale>
        <cfvo type="min"/>
        <cfvo type="percentile" val="50"/>
        <cfvo type="max"/>
        <color rgb="FFF8696B"/>
        <color rgb="FFFFEB84"/>
        <color rgb="FF63BE7B"/>
      </colorScale>
    </cfRule>
  </conditionalFormatting>
  <conditionalFormatting sqref="F13:F20">
    <cfRule type="colorScale" priority="692">
      <colorScale>
        <cfvo type="min"/>
        <cfvo type="percentile" val="50"/>
        <cfvo type="max"/>
        <color rgb="FFF8696B"/>
        <color rgb="FFFFEB84"/>
        <color rgb="FF63BE7B"/>
      </colorScale>
    </cfRule>
  </conditionalFormatting>
  <conditionalFormatting sqref="F13:F20">
    <cfRule type="colorScale" priority="691">
      <colorScale>
        <cfvo type="min"/>
        <cfvo type="percentile" val="50"/>
        <cfvo type="max"/>
        <color rgb="FFF8696B"/>
        <color rgb="FFFFEB84"/>
        <color rgb="FF63BE7B"/>
      </colorScale>
    </cfRule>
  </conditionalFormatting>
  <conditionalFormatting sqref="F13:F20">
    <cfRule type="colorScale" priority="690">
      <colorScale>
        <cfvo type="min"/>
        <cfvo type="percentile" val="50"/>
        <cfvo type="max"/>
        <color rgb="FFF8696B"/>
        <color rgb="FFFFEB84"/>
        <color rgb="FF63BE7B"/>
      </colorScale>
    </cfRule>
  </conditionalFormatting>
  <conditionalFormatting sqref="F13:F20">
    <cfRule type="colorScale" priority="689">
      <colorScale>
        <cfvo type="min"/>
        <cfvo type="percentile" val="50"/>
        <cfvo type="max"/>
        <color rgb="FFF8696B"/>
        <color rgb="FFFFEB84"/>
        <color rgb="FF63BE7B"/>
      </colorScale>
    </cfRule>
  </conditionalFormatting>
  <conditionalFormatting sqref="F13:F20">
    <cfRule type="colorScale" priority="688">
      <colorScale>
        <cfvo type="min"/>
        <cfvo type="percentile" val="50"/>
        <cfvo type="max"/>
        <color rgb="FFF8696B"/>
        <color rgb="FFFFEB84"/>
        <color rgb="FF63BE7B"/>
      </colorScale>
    </cfRule>
  </conditionalFormatting>
  <conditionalFormatting sqref="F13:F20">
    <cfRule type="colorScale" priority="687">
      <colorScale>
        <cfvo type="min"/>
        <cfvo type="percentile" val="50"/>
        <cfvo type="max"/>
        <color rgb="FFF8696B"/>
        <color rgb="FFFFEB84"/>
        <color rgb="FF63BE7B"/>
      </colorScale>
    </cfRule>
  </conditionalFormatting>
  <conditionalFormatting sqref="F13:F20">
    <cfRule type="colorScale" priority="686">
      <colorScale>
        <cfvo type="min"/>
        <cfvo type="percentile" val="50"/>
        <cfvo type="max"/>
        <color rgb="FFF8696B"/>
        <color rgb="FFFFEB84"/>
        <color rgb="FF63BE7B"/>
      </colorScale>
    </cfRule>
  </conditionalFormatting>
  <conditionalFormatting sqref="F13:F20">
    <cfRule type="colorScale" priority="685">
      <colorScale>
        <cfvo type="min"/>
        <cfvo type="percentile" val="50"/>
        <cfvo type="max"/>
        <color rgb="FFF8696B"/>
        <color rgb="FFFFEB84"/>
        <color rgb="FF63BE7B"/>
      </colorScale>
    </cfRule>
  </conditionalFormatting>
  <conditionalFormatting sqref="F13:F20">
    <cfRule type="colorScale" priority="684">
      <colorScale>
        <cfvo type="min"/>
        <cfvo type="percentile" val="50"/>
        <cfvo type="max"/>
        <color rgb="FFF8696B"/>
        <color rgb="FFFFEB84"/>
        <color rgb="FF63BE7B"/>
      </colorScale>
    </cfRule>
  </conditionalFormatting>
  <conditionalFormatting sqref="F13:F20">
    <cfRule type="colorScale" priority="683">
      <colorScale>
        <cfvo type="min"/>
        <cfvo type="percentile" val="50"/>
        <cfvo type="max"/>
        <color rgb="FFF8696B"/>
        <color rgb="FFFFEB84"/>
        <color rgb="FF63BE7B"/>
      </colorScale>
    </cfRule>
  </conditionalFormatting>
  <conditionalFormatting sqref="F13:F20">
    <cfRule type="colorScale" priority="682">
      <colorScale>
        <cfvo type="min"/>
        <cfvo type="percentile" val="50"/>
        <cfvo type="max"/>
        <color rgb="FFF8696B"/>
        <color rgb="FFFFEB84"/>
        <color rgb="FF63BE7B"/>
      </colorScale>
    </cfRule>
  </conditionalFormatting>
  <conditionalFormatting sqref="F13:F20">
    <cfRule type="colorScale" priority="681">
      <colorScale>
        <cfvo type="min"/>
        <cfvo type="percentile" val="50"/>
        <cfvo type="max"/>
        <color rgb="FFF8696B"/>
        <color rgb="FFFFEB84"/>
        <color rgb="FF63BE7B"/>
      </colorScale>
    </cfRule>
  </conditionalFormatting>
  <conditionalFormatting sqref="F13:F20">
    <cfRule type="colorScale" priority="680">
      <colorScale>
        <cfvo type="min"/>
        <cfvo type="percentile" val="50"/>
        <cfvo type="max"/>
        <color rgb="FFF8696B"/>
        <color rgb="FFFFEB84"/>
        <color rgb="FF63BE7B"/>
      </colorScale>
    </cfRule>
  </conditionalFormatting>
  <conditionalFormatting sqref="F13:F20">
    <cfRule type="colorScale" priority="679">
      <colorScale>
        <cfvo type="min"/>
        <cfvo type="percentile" val="50"/>
        <cfvo type="max"/>
        <color rgb="FFF8696B"/>
        <color rgb="FFFFEB84"/>
        <color rgb="FF63BE7B"/>
      </colorScale>
    </cfRule>
  </conditionalFormatting>
  <conditionalFormatting sqref="F13:F20">
    <cfRule type="colorScale" priority="678">
      <colorScale>
        <cfvo type="min"/>
        <cfvo type="percentile" val="50"/>
        <cfvo type="max"/>
        <color rgb="FFF8696B"/>
        <color rgb="FFFFEB84"/>
        <color rgb="FF63BE7B"/>
      </colorScale>
    </cfRule>
  </conditionalFormatting>
  <conditionalFormatting sqref="F13:F20">
    <cfRule type="colorScale" priority="677">
      <colorScale>
        <cfvo type="min"/>
        <cfvo type="percentile" val="50"/>
        <cfvo type="max"/>
        <color rgb="FFF8696B"/>
        <color rgb="FFFFEB84"/>
        <color rgb="FF63BE7B"/>
      </colorScale>
    </cfRule>
  </conditionalFormatting>
  <conditionalFormatting sqref="F13:F20">
    <cfRule type="colorScale" priority="676">
      <colorScale>
        <cfvo type="min"/>
        <cfvo type="percentile" val="50"/>
        <cfvo type="max"/>
        <color rgb="FFF8696B"/>
        <color rgb="FFFFEB84"/>
        <color rgb="FF63BE7B"/>
      </colorScale>
    </cfRule>
  </conditionalFormatting>
  <conditionalFormatting sqref="F13:F20">
    <cfRule type="colorScale" priority="675">
      <colorScale>
        <cfvo type="min"/>
        <cfvo type="percentile" val="50"/>
        <cfvo type="max"/>
        <color rgb="FFF8696B"/>
        <color rgb="FFFFEB84"/>
        <color rgb="FF63BE7B"/>
      </colorScale>
    </cfRule>
  </conditionalFormatting>
  <conditionalFormatting sqref="F13:F20">
    <cfRule type="colorScale" priority="674">
      <colorScale>
        <cfvo type="min"/>
        <cfvo type="percentile" val="50"/>
        <cfvo type="max"/>
        <color rgb="FFF8696B"/>
        <color rgb="FFFFEB84"/>
        <color rgb="FF63BE7B"/>
      </colorScale>
    </cfRule>
  </conditionalFormatting>
  <conditionalFormatting sqref="F13:F20">
    <cfRule type="colorScale" priority="673">
      <colorScale>
        <cfvo type="min"/>
        <cfvo type="percentile" val="50"/>
        <cfvo type="max"/>
        <color rgb="FFF8696B"/>
        <color rgb="FFFFEB84"/>
        <color rgb="FF63BE7B"/>
      </colorScale>
    </cfRule>
  </conditionalFormatting>
  <conditionalFormatting sqref="F13:F20">
    <cfRule type="colorScale" priority="672">
      <colorScale>
        <cfvo type="min"/>
        <cfvo type="percentile" val="50"/>
        <cfvo type="max"/>
        <color rgb="FFF8696B"/>
        <color rgb="FFFFEB84"/>
        <color rgb="FF63BE7B"/>
      </colorScale>
    </cfRule>
  </conditionalFormatting>
  <conditionalFormatting sqref="F13:F20">
    <cfRule type="colorScale" priority="671">
      <colorScale>
        <cfvo type="min"/>
        <cfvo type="percentile" val="50"/>
        <cfvo type="max"/>
        <color rgb="FFF8696B"/>
        <color rgb="FFFFEB84"/>
        <color rgb="FF63BE7B"/>
      </colorScale>
    </cfRule>
  </conditionalFormatting>
  <conditionalFormatting sqref="F13:F20">
    <cfRule type="colorScale" priority="670">
      <colorScale>
        <cfvo type="min"/>
        <cfvo type="percentile" val="50"/>
        <cfvo type="max"/>
        <color rgb="FFF8696B"/>
        <color rgb="FFFFEB84"/>
        <color rgb="FF63BE7B"/>
      </colorScale>
    </cfRule>
  </conditionalFormatting>
  <conditionalFormatting sqref="F13:F20">
    <cfRule type="colorScale" priority="669">
      <colorScale>
        <cfvo type="min"/>
        <cfvo type="percentile" val="50"/>
        <cfvo type="max"/>
        <color rgb="FFF8696B"/>
        <color rgb="FFFFEB84"/>
        <color rgb="FF63BE7B"/>
      </colorScale>
    </cfRule>
  </conditionalFormatting>
  <conditionalFormatting sqref="F13:F20">
    <cfRule type="colorScale" priority="668">
      <colorScale>
        <cfvo type="min"/>
        <cfvo type="percentile" val="50"/>
        <cfvo type="max"/>
        <color rgb="FFF8696B"/>
        <color rgb="FFFFEB84"/>
        <color rgb="FF63BE7B"/>
      </colorScale>
    </cfRule>
  </conditionalFormatting>
  <conditionalFormatting sqref="F13:F20">
    <cfRule type="colorScale" priority="667">
      <colorScale>
        <cfvo type="min"/>
        <cfvo type="percentile" val="50"/>
        <cfvo type="max"/>
        <color rgb="FFF8696B"/>
        <color rgb="FFFFEB84"/>
        <color rgb="FF63BE7B"/>
      </colorScale>
    </cfRule>
  </conditionalFormatting>
  <conditionalFormatting sqref="F13:F20">
    <cfRule type="colorScale" priority="666">
      <colorScale>
        <cfvo type="min"/>
        <cfvo type="percentile" val="50"/>
        <cfvo type="max"/>
        <color rgb="FFF8696B"/>
        <color rgb="FFFFEB84"/>
        <color rgb="FF63BE7B"/>
      </colorScale>
    </cfRule>
  </conditionalFormatting>
  <conditionalFormatting sqref="F13:F20">
    <cfRule type="colorScale" priority="665">
      <colorScale>
        <cfvo type="min"/>
        <cfvo type="percentile" val="50"/>
        <cfvo type="max"/>
        <color rgb="FFF8696B"/>
        <color rgb="FFFFEB84"/>
        <color rgb="FF63BE7B"/>
      </colorScale>
    </cfRule>
  </conditionalFormatting>
  <conditionalFormatting sqref="F13:F20">
    <cfRule type="colorScale" priority="664">
      <colorScale>
        <cfvo type="min"/>
        <cfvo type="percentile" val="50"/>
        <cfvo type="max"/>
        <color rgb="FFF8696B"/>
        <color rgb="FFFFEB84"/>
        <color rgb="FF63BE7B"/>
      </colorScale>
    </cfRule>
  </conditionalFormatting>
  <conditionalFormatting sqref="F13:F20">
    <cfRule type="colorScale" priority="663">
      <colorScale>
        <cfvo type="min"/>
        <cfvo type="percentile" val="50"/>
        <cfvo type="max"/>
        <color rgb="FFF8696B"/>
        <color rgb="FFFFEB84"/>
        <color rgb="FF63BE7B"/>
      </colorScale>
    </cfRule>
  </conditionalFormatting>
  <conditionalFormatting sqref="F13:F20">
    <cfRule type="colorScale" priority="662">
      <colorScale>
        <cfvo type="min"/>
        <cfvo type="percentile" val="50"/>
        <cfvo type="max"/>
        <color rgb="FFF8696B"/>
        <color rgb="FFFFEB84"/>
        <color rgb="FF63BE7B"/>
      </colorScale>
    </cfRule>
  </conditionalFormatting>
  <conditionalFormatting sqref="F13:F20">
    <cfRule type="colorScale" priority="661">
      <colorScale>
        <cfvo type="min"/>
        <cfvo type="percentile" val="50"/>
        <cfvo type="max"/>
        <color rgb="FFF8696B"/>
        <color rgb="FFFFEB84"/>
        <color rgb="FF63BE7B"/>
      </colorScale>
    </cfRule>
  </conditionalFormatting>
  <conditionalFormatting sqref="F13:F20">
    <cfRule type="colorScale" priority="660">
      <colorScale>
        <cfvo type="min"/>
        <cfvo type="percentile" val="50"/>
        <cfvo type="max"/>
        <color rgb="FFF8696B"/>
        <color rgb="FFFFEB84"/>
        <color rgb="FF63BE7B"/>
      </colorScale>
    </cfRule>
  </conditionalFormatting>
  <conditionalFormatting sqref="F13:F20">
    <cfRule type="colorScale" priority="659">
      <colorScale>
        <cfvo type="min"/>
        <cfvo type="percentile" val="50"/>
        <cfvo type="max"/>
        <color rgb="FFF8696B"/>
        <color rgb="FFFFEB84"/>
        <color rgb="FF63BE7B"/>
      </colorScale>
    </cfRule>
  </conditionalFormatting>
  <conditionalFormatting sqref="F13:F20">
    <cfRule type="colorScale" priority="658">
      <colorScale>
        <cfvo type="min"/>
        <cfvo type="percentile" val="50"/>
        <cfvo type="max"/>
        <color rgb="FFF8696B"/>
        <color rgb="FFFFEB84"/>
        <color rgb="FF63BE7B"/>
      </colorScale>
    </cfRule>
  </conditionalFormatting>
  <conditionalFormatting sqref="F13:F20">
    <cfRule type="colorScale" priority="657">
      <colorScale>
        <cfvo type="min"/>
        <cfvo type="percentile" val="50"/>
        <cfvo type="max"/>
        <color rgb="FFF8696B"/>
        <color rgb="FFFFEB84"/>
        <color rgb="FF63BE7B"/>
      </colorScale>
    </cfRule>
  </conditionalFormatting>
  <conditionalFormatting sqref="F13:F20">
    <cfRule type="colorScale" priority="656">
      <colorScale>
        <cfvo type="min"/>
        <cfvo type="percentile" val="50"/>
        <cfvo type="max"/>
        <color rgb="FFF8696B"/>
        <color rgb="FFFFEB84"/>
        <color rgb="FF63BE7B"/>
      </colorScale>
    </cfRule>
  </conditionalFormatting>
  <conditionalFormatting sqref="F21:F28">
    <cfRule type="colorScale" priority="655">
      <colorScale>
        <cfvo type="min"/>
        <cfvo type="percentile" val="50"/>
        <cfvo type="max"/>
        <color rgb="FFF8696B"/>
        <color rgb="FFFFEB84"/>
        <color rgb="FF63BE7B"/>
      </colorScale>
    </cfRule>
  </conditionalFormatting>
  <conditionalFormatting sqref="F21:F28">
    <cfRule type="colorScale" priority="654">
      <colorScale>
        <cfvo type="min"/>
        <cfvo type="percentile" val="50"/>
        <cfvo type="max"/>
        <color rgb="FFF8696B"/>
        <color rgb="FFFFEB84"/>
        <color rgb="FF63BE7B"/>
      </colorScale>
    </cfRule>
  </conditionalFormatting>
  <conditionalFormatting sqref="F21:F28">
    <cfRule type="colorScale" priority="653">
      <colorScale>
        <cfvo type="min"/>
        <cfvo type="percentile" val="50"/>
        <cfvo type="max"/>
        <color rgb="FFF8696B"/>
        <color rgb="FFFFEB84"/>
        <color rgb="FF63BE7B"/>
      </colorScale>
    </cfRule>
  </conditionalFormatting>
  <conditionalFormatting sqref="F21:F28">
    <cfRule type="colorScale" priority="652">
      <colorScale>
        <cfvo type="min"/>
        <cfvo type="percentile" val="50"/>
        <cfvo type="max"/>
        <color rgb="FFF8696B"/>
        <color rgb="FFFFEB84"/>
        <color rgb="FF63BE7B"/>
      </colorScale>
    </cfRule>
  </conditionalFormatting>
  <conditionalFormatting sqref="F21:F28">
    <cfRule type="colorScale" priority="651">
      <colorScale>
        <cfvo type="min"/>
        <cfvo type="percentile" val="50"/>
        <cfvo type="max"/>
        <color rgb="FFF8696B"/>
        <color rgb="FFFFEB84"/>
        <color rgb="FF63BE7B"/>
      </colorScale>
    </cfRule>
  </conditionalFormatting>
  <conditionalFormatting sqref="F21:F28">
    <cfRule type="colorScale" priority="650">
      <colorScale>
        <cfvo type="min"/>
        <cfvo type="percentile" val="50"/>
        <cfvo type="max"/>
        <color rgb="FFF8696B"/>
        <color rgb="FFFFEB84"/>
        <color rgb="FF63BE7B"/>
      </colorScale>
    </cfRule>
  </conditionalFormatting>
  <conditionalFormatting sqref="F21:F28">
    <cfRule type="colorScale" priority="649">
      <colorScale>
        <cfvo type="min"/>
        <cfvo type="percentile" val="50"/>
        <cfvo type="max"/>
        <color rgb="FFF8696B"/>
        <color rgb="FFFFEB84"/>
        <color rgb="FF63BE7B"/>
      </colorScale>
    </cfRule>
  </conditionalFormatting>
  <conditionalFormatting sqref="F21:F28">
    <cfRule type="colorScale" priority="648">
      <colorScale>
        <cfvo type="min"/>
        <cfvo type="percentile" val="50"/>
        <cfvo type="max"/>
        <color rgb="FFF8696B"/>
        <color rgb="FFFFEB84"/>
        <color rgb="FF63BE7B"/>
      </colorScale>
    </cfRule>
  </conditionalFormatting>
  <conditionalFormatting sqref="F21:F28">
    <cfRule type="colorScale" priority="647">
      <colorScale>
        <cfvo type="min"/>
        <cfvo type="percentile" val="50"/>
        <cfvo type="max"/>
        <color rgb="FFF8696B"/>
        <color rgb="FFFFEB84"/>
        <color rgb="FF63BE7B"/>
      </colorScale>
    </cfRule>
  </conditionalFormatting>
  <conditionalFormatting sqref="F21:F28">
    <cfRule type="colorScale" priority="646">
      <colorScale>
        <cfvo type="min"/>
        <cfvo type="percentile" val="50"/>
        <cfvo type="max"/>
        <color rgb="FFF8696B"/>
        <color rgb="FFFFEB84"/>
        <color rgb="FF63BE7B"/>
      </colorScale>
    </cfRule>
  </conditionalFormatting>
  <conditionalFormatting sqref="F21:F28">
    <cfRule type="colorScale" priority="645">
      <colorScale>
        <cfvo type="min"/>
        <cfvo type="percentile" val="50"/>
        <cfvo type="max"/>
        <color rgb="FFF8696B"/>
        <color rgb="FFFFEB84"/>
        <color rgb="FF63BE7B"/>
      </colorScale>
    </cfRule>
  </conditionalFormatting>
  <conditionalFormatting sqref="F21:F28">
    <cfRule type="colorScale" priority="644">
      <colorScale>
        <cfvo type="min"/>
        <cfvo type="percentile" val="50"/>
        <cfvo type="max"/>
        <color rgb="FFF8696B"/>
        <color rgb="FFFFEB84"/>
        <color rgb="FF63BE7B"/>
      </colorScale>
    </cfRule>
  </conditionalFormatting>
  <conditionalFormatting sqref="F21:F28">
    <cfRule type="colorScale" priority="643">
      <colorScale>
        <cfvo type="min"/>
        <cfvo type="percentile" val="50"/>
        <cfvo type="max"/>
        <color rgb="FFF8696B"/>
        <color rgb="FFFFEB84"/>
        <color rgb="FF63BE7B"/>
      </colorScale>
    </cfRule>
  </conditionalFormatting>
  <conditionalFormatting sqref="F21:F28">
    <cfRule type="colorScale" priority="642">
      <colorScale>
        <cfvo type="min"/>
        <cfvo type="percentile" val="50"/>
        <cfvo type="max"/>
        <color rgb="FFF8696B"/>
        <color rgb="FFFFEB84"/>
        <color rgb="FF63BE7B"/>
      </colorScale>
    </cfRule>
  </conditionalFormatting>
  <conditionalFormatting sqref="F21:F28">
    <cfRule type="colorScale" priority="641">
      <colorScale>
        <cfvo type="min"/>
        <cfvo type="percentile" val="50"/>
        <cfvo type="max"/>
        <color rgb="FFF8696B"/>
        <color rgb="FFFFEB84"/>
        <color rgb="FF63BE7B"/>
      </colorScale>
    </cfRule>
  </conditionalFormatting>
  <conditionalFormatting sqref="F21:F28">
    <cfRule type="colorScale" priority="640">
      <colorScale>
        <cfvo type="min"/>
        <cfvo type="percentile" val="50"/>
        <cfvo type="max"/>
        <color rgb="FFF8696B"/>
        <color rgb="FFFFEB84"/>
        <color rgb="FF63BE7B"/>
      </colorScale>
    </cfRule>
  </conditionalFormatting>
  <conditionalFormatting sqref="F21:F28">
    <cfRule type="colorScale" priority="639">
      <colorScale>
        <cfvo type="min"/>
        <cfvo type="percentile" val="50"/>
        <cfvo type="max"/>
        <color rgb="FFF8696B"/>
        <color rgb="FFFFEB84"/>
        <color rgb="FF63BE7B"/>
      </colorScale>
    </cfRule>
  </conditionalFormatting>
  <conditionalFormatting sqref="F21:F28">
    <cfRule type="colorScale" priority="638">
      <colorScale>
        <cfvo type="min"/>
        <cfvo type="percentile" val="50"/>
        <cfvo type="max"/>
        <color rgb="FFF8696B"/>
        <color rgb="FFFFEB84"/>
        <color rgb="FF63BE7B"/>
      </colorScale>
    </cfRule>
  </conditionalFormatting>
  <conditionalFormatting sqref="F21:F28">
    <cfRule type="colorScale" priority="637">
      <colorScale>
        <cfvo type="min"/>
        <cfvo type="percentile" val="50"/>
        <cfvo type="max"/>
        <color rgb="FFF8696B"/>
        <color rgb="FFFFEB84"/>
        <color rgb="FF63BE7B"/>
      </colorScale>
    </cfRule>
  </conditionalFormatting>
  <conditionalFormatting sqref="F21:F28">
    <cfRule type="colorScale" priority="636">
      <colorScale>
        <cfvo type="min"/>
        <cfvo type="percentile" val="50"/>
        <cfvo type="max"/>
        <color rgb="FFF8696B"/>
        <color rgb="FFFFEB84"/>
        <color rgb="FF63BE7B"/>
      </colorScale>
    </cfRule>
  </conditionalFormatting>
  <conditionalFormatting sqref="F21:F28">
    <cfRule type="colorScale" priority="635">
      <colorScale>
        <cfvo type="min"/>
        <cfvo type="percentile" val="50"/>
        <cfvo type="max"/>
        <color rgb="FFF8696B"/>
        <color rgb="FFFFEB84"/>
        <color rgb="FF63BE7B"/>
      </colorScale>
    </cfRule>
  </conditionalFormatting>
  <conditionalFormatting sqref="F21:F28">
    <cfRule type="colorScale" priority="634">
      <colorScale>
        <cfvo type="min"/>
        <cfvo type="percentile" val="50"/>
        <cfvo type="max"/>
        <color rgb="FFF8696B"/>
        <color rgb="FFFFEB84"/>
        <color rgb="FF63BE7B"/>
      </colorScale>
    </cfRule>
  </conditionalFormatting>
  <conditionalFormatting sqref="F21:F28">
    <cfRule type="colorScale" priority="633">
      <colorScale>
        <cfvo type="min"/>
        <cfvo type="percentile" val="50"/>
        <cfvo type="max"/>
        <color rgb="FFF8696B"/>
        <color rgb="FFFFEB84"/>
        <color rgb="FF63BE7B"/>
      </colorScale>
    </cfRule>
  </conditionalFormatting>
  <conditionalFormatting sqref="F21:F28">
    <cfRule type="colorScale" priority="632">
      <colorScale>
        <cfvo type="min"/>
        <cfvo type="percentile" val="50"/>
        <cfvo type="max"/>
        <color rgb="FFF8696B"/>
        <color rgb="FFFFEB84"/>
        <color rgb="FF63BE7B"/>
      </colorScale>
    </cfRule>
  </conditionalFormatting>
  <conditionalFormatting sqref="F21:F28">
    <cfRule type="colorScale" priority="631">
      <colorScale>
        <cfvo type="min"/>
        <cfvo type="percentile" val="50"/>
        <cfvo type="max"/>
        <color rgb="FFF8696B"/>
        <color rgb="FFFFEB84"/>
        <color rgb="FF63BE7B"/>
      </colorScale>
    </cfRule>
  </conditionalFormatting>
  <conditionalFormatting sqref="F21:F28">
    <cfRule type="colorScale" priority="630">
      <colorScale>
        <cfvo type="min"/>
        <cfvo type="percentile" val="50"/>
        <cfvo type="max"/>
        <color rgb="FFF8696B"/>
        <color rgb="FFFFEB84"/>
        <color rgb="FF63BE7B"/>
      </colorScale>
    </cfRule>
  </conditionalFormatting>
  <conditionalFormatting sqref="F21:F28">
    <cfRule type="colorScale" priority="629">
      <colorScale>
        <cfvo type="min"/>
        <cfvo type="percentile" val="50"/>
        <cfvo type="max"/>
        <color rgb="FFF8696B"/>
        <color rgb="FFFFEB84"/>
        <color rgb="FF63BE7B"/>
      </colorScale>
    </cfRule>
  </conditionalFormatting>
  <conditionalFormatting sqref="F21:F28">
    <cfRule type="colorScale" priority="628">
      <colorScale>
        <cfvo type="min"/>
        <cfvo type="percentile" val="50"/>
        <cfvo type="max"/>
        <color rgb="FFF8696B"/>
        <color rgb="FFFFEB84"/>
        <color rgb="FF63BE7B"/>
      </colorScale>
    </cfRule>
  </conditionalFormatting>
  <conditionalFormatting sqref="F21:F28">
    <cfRule type="colorScale" priority="627">
      <colorScale>
        <cfvo type="min"/>
        <cfvo type="percentile" val="50"/>
        <cfvo type="max"/>
        <color rgb="FFF8696B"/>
        <color rgb="FFFFEB84"/>
        <color rgb="FF63BE7B"/>
      </colorScale>
    </cfRule>
  </conditionalFormatting>
  <conditionalFormatting sqref="F21:F28">
    <cfRule type="colorScale" priority="626">
      <colorScale>
        <cfvo type="min"/>
        <cfvo type="percentile" val="50"/>
        <cfvo type="max"/>
        <color rgb="FFF8696B"/>
        <color rgb="FFFFEB84"/>
        <color rgb="FF63BE7B"/>
      </colorScale>
    </cfRule>
  </conditionalFormatting>
  <conditionalFormatting sqref="F21:F28">
    <cfRule type="colorScale" priority="625">
      <colorScale>
        <cfvo type="min"/>
        <cfvo type="percentile" val="50"/>
        <cfvo type="max"/>
        <color rgb="FFF8696B"/>
        <color rgb="FFFFEB84"/>
        <color rgb="FF63BE7B"/>
      </colorScale>
    </cfRule>
  </conditionalFormatting>
  <conditionalFormatting sqref="F21:F28">
    <cfRule type="colorScale" priority="624">
      <colorScale>
        <cfvo type="min"/>
        <cfvo type="percentile" val="50"/>
        <cfvo type="max"/>
        <color rgb="FFF8696B"/>
        <color rgb="FFFFEB84"/>
        <color rgb="FF63BE7B"/>
      </colorScale>
    </cfRule>
  </conditionalFormatting>
  <conditionalFormatting sqref="F21:F28">
    <cfRule type="colorScale" priority="623">
      <colorScale>
        <cfvo type="min"/>
        <cfvo type="percentile" val="50"/>
        <cfvo type="max"/>
        <color rgb="FFF8696B"/>
        <color rgb="FFFFEB84"/>
        <color rgb="FF63BE7B"/>
      </colorScale>
    </cfRule>
  </conditionalFormatting>
  <conditionalFormatting sqref="F21:F28">
    <cfRule type="colorScale" priority="622">
      <colorScale>
        <cfvo type="min"/>
        <cfvo type="percentile" val="50"/>
        <cfvo type="max"/>
        <color rgb="FFF8696B"/>
        <color rgb="FFFFEB84"/>
        <color rgb="FF63BE7B"/>
      </colorScale>
    </cfRule>
  </conditionalFormatting>
  <conditionalFormatting sqref="F21:F28">
    <cfRule type="colorScale" priority="621">
      <colorScale>
        <cfvo type="min"/>
        <cfvo type="percentile" val="50"/>
        <cfvo type="max"/>
        <color rgb="FFF8696B"/>
        <color rgb="FFFFEB84"/>
        <color rgb="FF63BE7B"/>
      </colorScale>
    </cfRule>
  </conditionalFormatting>
  <conditionalFormatting sqref="F21:F28">
    <cfRule type="colorScale" priority="620">
      <colorScale>
        <cfvo type="min"/>
        <cfvo type="percentile" val="50"/>
        <cfvo type="max"/>
        <color rgb="FFF8696B"/>
        <color rgb="FFFFEB84"/>
        <color rgb="FF63BE7B"/>
      </colorScale>
    </cfRule>
  </conditionalFormatting>
  <conditionalFormatting sqref="F21:F28">
    <cfRule type="colorScale" priority="619">
      <colorScale>
        <cfvo type="min"/>
        <cfvo type="percentile" val="50"/>
        <cfvo type="max"/>
        <color rgb="FFF8696B"/>
        <color rgb="FFFFEB84"/>
        <color rgb="FF63BE7B"/>
      </colorScale>
    </cfRule>
  </conditionalFormatting>
  <conditionalFormatting sqref="F21:F28">
    <cfRule type="colorScale" priority="618">
      <colorScale>
        <cfvo type="min"/>
        <cfvo type="percentile" val="50"/>
        <cfvo type="max"/>
        <color rgb="FFF8696B"/>
        <color rgb="FFFFEB84"/>
        <color rgb="FF63BE7B"/>
      </colorScale>
    </cfRule>
  </conditionalFormatting>
  <conditionalFormatting sqref="F21:F28">
    <cfRule type="colorScale" priority="617">
      <colorScale>
        <cfvo type="min"/>
        <cfvo type="percentile" val="50"/>
        <cfvo type="max"/>
        <color rgb="FFF8696B"/>
        <color rgb="FFFFEB84"/>
        <color rgb="FF63BE7B"/>
      </colorScale>
    </cfRule>
  </conditionalFormatting>
  <conditionalFormatting sqref="F21:F28">
    <cfRule type="colorScale" priority="616">
      <colorScale>
        <cfvo type="min"/>
        <cfvo type="percentile" val="50"/>
        <cfvo type="max"/>
        <color rgb="FFF8696B"/>
        <color rgb="FFFFEB84"/>
        <color rgb="FF63BE7B"/>
      </colorScale>
    </cfRule>
  </conditionalFormatting>
  <conditionalFormatting sqref="F21:F28">
    <cfRule type="colorScale" priority="615">
      <colorScale>
        <cfvo type="min"/>
        <cfvo type="percentile" val="50"/>
        <cfvo type="max"/>
        <color rgb="FFF8696B"/>
        <color rgb="FFFFEB84"/>
        <color rgb="FF63BE7B"/>
      </colorScale>
    </cfRule>
  </conditionalFormatting>
  <conditionalFormatting sqref="F21:F28">
    <cfRule type="colorScale" priority="614">
      <colorScale>
        <cfvo type="min"/>
        <cfvo type="percentile" val="50"/>
        <cfvo type="max"/>
        <color rgb="FFF8696B"/>
        <color rgb="FFFFEB84"/>
        <color rgb="FF63BE7B"/>
      </colorScale>
    </cfRule>
  </conditionalFormatting>
  <conditionalFormatting sqref="F21:F28">
    <cfRule type="colorScale" priority="613">
      <colorScale>
        <cfvo type="min"/>
        <cfvo type="percentile" val="50"/>
        <cfvo type="max"/>
        <color rgb="FFF8696B"/>
        <color rgb="FFFFEB84"/>
        <color rgb="FF63BE7B"/>
      </colorScale>
    </cfRule>
  </conditionalFormatting>
  <conditionalFormatting sqref="F21:F28">
    <cfRule type="colorScale" priority="612">
      <colorScale>
        <cfvo type="min"/>
        <cfvo type="percentile" val="50"/>
        <cfvo type="max"/>
        <color rgb="FFF8696B"/>
        <color rgb="FFFFEB84"/>
        <color rgb="FF63BE7B"/>
      </colorScale>
    </cfRule>
  </conditionalFormatting>
  <conditionalFormatting sqref="F21:F28">
    <cfRule type="colorScale" priority="611">
      <colorScale>
        <cfvo type="min"/>
        <cfvo type="percentile" val="50"/>
        <cfvo type="max"/>
        <color rgb="FFF8696B"/>
        <color rgb="FFFFEB84"/>
        <color rgb="FF63BE7B"/>
      </colorScale>
    </cfRule>
  </conditionalFormatting>
  <conditionalFormatting sqref="F21:F28">
    <cfRule type="colorScale" priority="610">
      <colorScale>
        <cfvo type="min"/>
        <cfvo type="percentile" val="50"/>
        <cfvo type="max"/>
        <color rgb="FFF8696B"/>
        <color rgb="FFFFEB84"/>
        <color rgb="FF63BE7B"/>
      </colorScale>
    </cfRule>
  </conditionalFormatting>
  <conditionalFormatting sqref="F21:F28">
    <cfRule type="colorScale" priority="609">
      <colorScale>
        <cfvo type="min"/>
        <cfvo type="percentile" val="50"/>
        <cfvo type="max"/>
        <color rgb="FFF8696B"/>
        <color rgb="FFFFEB84"/>
        <color rgb="FF63BE7B"/>
      </colorScale>
    </cfRule>
  </conditionalFormatting>
  <conditionalFormatting sqref="F21:F28">
    <cfRule type="colorScale" priority="608">
      <colorScale>
        <cfvo type="min"/>
        <cfvo type="percentile" val="50"/>
        <cfvo type="max"/>
        <color rgb="FFF8696B"/>
        <color rgb="FFFFEB84"/>
        <color rgb="FF63BE7B"/>
      </colorScale>
    </cfRule>
  </conditionalFormatting>
  <conditionalFormatting sqref="F21:F28">
    <cfRule type="colorScale" priority="607">
      <colorScale>
        <cfvo type="min"/>
        <cfvo type="percentile" val="50"/>
        <cfvo type="max"/>
        <color rgb="FFF8696B"/>
        <color rgb="FFFFEB84"/>
        <color rgb="FF63BE7B"/>
      </colorScale>
    </cfRule>
  </conditionalFormatting>
  <conditionalFormatting sqref="F21:F28">
    <cfRule type="colorScale" priority="606">
      <colorScale>
        <cfvo type="min"/>
        <cfvo type="percentile" val="50"/>
        <cfvo type="max"/>
        <color rgb="FFF8696B"/>
        <color rgb="FFFFEB84"/>
        <color rgb="FF63BE7B"/>
      </colorScale>
    </cfRule>
  </conditionalFormatting>
  <conditionalFormatting sqref="F21:F28">
    <cfRule type="colorScale" priority="605">
      <colorScale>
        <cfvo type="min"/>
        <cfvo type="percentile" val="50"/>
        <cfvo type="max"/>
        <color rgb="FFF8696B"/>
        <color rgb="FFFFEB84"/>
        <color rgb="FF63BE7B"/>
      </colorScale>
    </cfRule>
  </conditionalFormatting>
  <conditionalFormatting sqref="F21:F28">
    <cfRule type="colorScale" priority="604">
      <colorScale>
        <cfvo type="min"/>
        <cfvo type="percentile" val="50"/>
        <cfvo type="max"/>
        <color rgb="FFF8696B"/>
        <color rgb="FFFFEB84"/>
        <color rgb="FF63BE7B"/>
      </colorScale>
    </cfRule>
  </conditionalFormatting>
  <conditionalFormatting sqref="F21:F28">
    <cfRule type="colorScale" priority="603">
      <colorScale>
        <cfvo type="min"/>
        <cfvo type="percentile" val="50"/>
        <cfvo type="max"/>
        <color rgb="FFF8696B"/>
        <color rgb="FFFFEB84"/>
        <color rgb="FF63BE7B"/>
      </colorScale>
    </cfRule>
  </conditionalFormatting>
  <conditionalFormatting sqref="F21:F28">
    <cfRule type="colorScale" priority="602">
      <colorScale>
        <cfvo type="min"/>
        <cfvo type="percentile" val="50"/>
        <cfvo type="max"/>
        <color rgb="FFF8696B"/>
        <color rgb="FFFFEB84"/>
        <color rgb="FF63BE7B"/>
      </colorScale>
    </cfRule>
  </conditionalFormatting>
  <conditionalFormatting sqref="F21:F28">
    <cfRule type="colorScale" priority="601">
      <colorScale>
        <cfvo type="min"/>
        <cfvo type="percentile" val="50"/>
        <cfvo type="max"/>
        <color rgb="FFF8696B"/>
        <color rgb="FFFFEB84"/>
        <color rgb="FF63BE7B"/>
      </colorScale>
    </cfRule>
  </conditionalFormatting>
  <conditionalFormatting sqref="F21:F28">
    <cfRule type="colorScale" priority="600">
      <colorScale>
        <cfvo type="min"/>
        <cfvo type="percentile" val="50"/>
        <cfvo type="max"/>
        <color rgb="FFF8696B"/>
        <color rgb="FFFFEB84"/>
        <color rgb="FF63BE7B"/>
      </colorScale>
    </cfRule>
  </conditionalFormatting>
  <conditionalFormatting sqref="F21:F28">
    <cfRule type="colorScale" priority="599">
      <colorScale>
        <cfvo type="min"/>
        <cfvo type="percentile" val="50"/>
        <cfvo type="max"/>
        <color rgb="FFF8696B"/>
        <color rgb="FFFFEB84"/>
        <color rgb="FF63BE7B"/>
      </colorScale>
    </cfRule>
  </conditionalFormatting>
  <conditionalFormatting sqref="F21:F28">
    <cfRule type="colorScale" priority="598">
      <colorScale>
        <cfvo type="min"/>
        <cfvo type="percentile" val="50"/>
        <cfvo type="max"/>
        <color rgb="FFF8696B"/>
        <color rgb="FFFFEB84"/>
        <color rgb="FF63BE7B"/>
      </colorScale>
    </cfRule>
  </conditionalFormatting>
  <conditionalFormatting sqref="F21:F28">
    <cfRule type="colorScale" priority="597">
      <colorScale>
        <cfvo type="min"/>
        <cfvo type="percentile" val="50"/>
        <cfvo type="max"/>
        <color rgb="FFF8696B"/>
        <color rgb="FFFFEB84"/>
        <color rgb="FF63BE7B"/>
      </colorScale>
    </cfRule>
  </conditionalFormatting>
  <conditionalFormatting sqref="F21:F28">
    <cfRule type="colorScale" priority="596">
      <colorScale>
        <cfvo type="min"/>
        <cfvo type="percentile" val="50"/>
        <cfvo type="max"/>
        <color rgb="FFF8696B"/>
        <color rgb="FFFFEB84"/>
        <color rgb="FF63BE7B"/>
      </colorScale>
    </cfRule>
  </conditionalFormatting>
  <conditionalFormatting sqref="F21:F28">
    <cfRule type="colorScale" priority="595">
      <colorScale>
        <cfvo type="min"/>
        <cfvo type="percentile" val="50"/>
        <cfvo type="max"/>
        <color rgb="FFF8696B"/>
        <color rgb="FFFFEB84"/>
        <color rgb="FF63BE7B"/>
      </colorScale>
    </cfRule>
  </conditionalFormatting>
  <conditionalFormatting sqref="F21:F28">
    <cfRule type="colorScale" priority="594">
      <colorScale>
        <cfvo type="min"/>
        <cfvo type="percentile" val="50"/>
        <cfvo type="max"/>
        <color rgb="FFF8696B"/>
        <color rgb="FFFFEB84"/>
        <color rgb="FF63BE7B"/>
      </colorScale>
    </cfRule>
  </conditionalFormatting>
  <conditionalFormatting sqref="F21:F28">
    <cfRule type="colorScale" priority="593">
      <colorScale>
        <cfvo type="min"/>
        <cfvo type="percentile" val="50"/>
        <cfvo type="max"/>
        <color rgb="FFF8696B"/>
        <color rgb="FFFFEB84"/>
        <color rgb="FF63BE7B"/>
      </colorScale>
    </cfRule>
  </conditionalFormatting>
  <conditionalFormatting sqref="F21:F28">
    <cfRule type="colorScale" priority="592">
      <colorScale>
        <cfvo type="min"/>
        <cfvo type="percentile" val="50"/>
        <cfvo type="max"/>
        <color rgb="FFF8696B"/>
        <color rgb="FFFFEB84"/>
        <color rgb="FF63BE7B"/>
      </colorScale>
    </cfRule>
  </conditionalFormatting>
  <conditionalFormatting sqref="F21:F28">
    <cfRule type="colorScale" priority="591">
      <colorScale>
        <cfvo type="min"/>
        <cfvo type="percentile" val="50"/>
        <cfvo type="max"/>
        <color rgb="FFF8696B"/>
        <color rgb="FFFFEB84"/>
        <color rgb="FF63BE7B"/>
      </colorScale>
    </cfRule>
  </conditionalFormatting>
  <conditionalFormatting sqref="F21:F28">
    <cfRule type="colorScale" priority="590">
      <colorScale>
        <cfvo type="min"/>
        <cfvo type="percentile" val="50"/>
        <cfvo type="max"/>
        <color rgb="FFF8696B"/>
        <color rgb="FFFFEB84"/>
        <color rgb="FF63BE7B"/>
      </colorScale>
    </cfRule>
  </conditionalFormatting>
  <conditionalFormatting sqref="F21:F28">
    <cfRule type="colorScale" priority="589">
      <colorScale>
        <cfvo type="min"/>
        <cfvo type="percentile" val="50"/>
        <cfvo type="max"/>
        <color rgb="FFF8696B"/>
        <color rgb="FFFFEB84"/>
        <color rgb="FF63BE7B"/>
      </colorScale>
    </cfRule>
  </conditionalFormatting>
  <conditionalFormatting sqref="F21:F28">
    <cfRule type="colorScale" priority="588">
      <colorScale>
        <cfvo type="min"/>
        <cfvo type="percentile" val="50"/>
        <cfvo type="max"/>
        <color rgb="FFF8696B"/>
        <color rgb="FFFFEB84"/>
        <color rgb="FF63BE7B"/>
      </colorScale>
    </cfRule>
  </conditionalFormatting>
  <conditionalFormatting sqref="F21:F28">
    <cfRule type="colorScale" priority="587">
      <colorScale>
        <cfvo type="min"/>
        <cfvo type="percentile" val="50"/>
        <cfvo type="max"/>
        <color rgb="FFF8696B"/>
        <color rgb="FFFFEB84"/>
        <color rgb="FF63BE7B"/>
      </colorScale>
    </cfRule>
  </conditionalFormatting>
  <conditionalFormatting sqref="F21:F28">
    <cfRule type="colorScale" priority="586">
      <colorScale>
        <cfvo type="min"/>
        <cfvo type="percentile" val="50"/>
        <cfvo type="max"/>
        <color rgb="FFF8696B"/>
        <color rgb="FFFFEB84"/>
        <color rgb="FF63BE7B"/>
      </colorScale>
    </cfRule>
  </conditionalFormatting>
  <conditionalFormatting sqref="F21:F28">
    <cfRule type="colorScale" priority="585">
      <colorScale>
        <cfvo type="min"/>
        <cfvo type="percentile" val="50"/>
        <cfvo type="max"/>
        <color rgb="FFF8696B"/>
        <color rgb="FFFFEB84"/>
        <color rgb="FF63BE7B"/>
      </colorScale>
    </cfRule>
  </conditionalFormatting>
  <conditionalFormatting sqref="F21:F28">
    <cfRule type="colorScale" priority="584">
      <colorScale>
        <cfvo type="min"/>
        <cfvo type="percentile" val="50"/>
        <cfvo type="max"/>
        <color rgb="FFF8696B"/>
        <color rgb="FFFFEB84"/>
        <color rgb="FF63BE7B"/>
      </colorScale>
    </cfRule>
  </conditionalFormatting>
  <conditionalFormatting sqref="F21:F28">
    <cfRule type="colorScale" priority="583">
      <colorScale>
        <cfvo type="min"/>
        <cfvo type="percentile" val="50"/>
        <cfvo type="max"/>
        <color rgb="FFF8696B"/>
        <color rgb="FFFFEB84"/>
        <color rgb="FF63BE7B"/>
      </colorScale>
    </cfRule>
  </conditionalFormatting>
  <conditionalFormatting sqref="F21:F28">
    <cfRule type="colorScale" priority="582">
      <colorScale>
        <cfvo type="min"/>
        <cfvo type="percentile" val="50"/>
        <cfvo type="max"/>
        <color rgb="FFF8696B"/>
        <color rgb="FFFFEB84"/>
        <color rgb="FF63BE7B"/>
      </colorScale>
    </cfRule>
  </conditionalFormatting>
  <conditionalFormatting sqref="F21:F28">
    <cfRule type="colorScale" priority="581">
      <colorScale>
        <cfvo type="min"/>
        <cfvo type="percentile" val="50"/>
        <cfvo type="max"/>
        <color rgb="FFF8696B"/>
        <color rgb="FFFFEB84"/>
        <color rgb="FF63BE7B"/>
      </colorScale>
    </cfRule>
  </conditionalFormatting>
  <conditionalFormatting sqref="F21:F28">
    <cfRule type="colorScale" priority="580">
      <colorScale>
        <cfvo type="min"/>
        <cfvo type="percentile" val="50"/>
        <cfvo type="max"/>
        <color rgb="FFF8696B"/>
        <color rgb="FFFFEB84"/>
        <color rgb="FF63BE7B"/>
      </colorScale>
    </cfRule>
  </conditionalFormatting>
  <conditionalFormatting sqref="F21:F28">
    <cfRule type="colorScale" priority="579">
      <colorScale>
        <cfvo type="min"/>
        <cfvo type="percentile" val="50"/>
        <cfvo type="max"/>
        <color rgb="FFF8696B"/>
        <color rgb="FFFFEB84"/>
        <color rgb="FF63BE7B"/>
      </colorScale>
    </cfRule>
  </conditionalFormatting>
  <conditionalFormatting sqref="F21:F28">
    <cfRule type="colorScale" priority="578">
      <colorScale>
        <cfvo type="min"/>
        <cfvo type="percentile" val="50"/>
        <cfvo type="max"/>
        <color rgb="FFF8696B"/>
        <color rgb="FFFFEB84"/>
        <color rgb="FF63BE7B"/>
      </colorScale>
    </cfRule>
  </conditionalFormatting>
  <conditionalFormatting sqref="F21:F28">
    <cfRule type="colorScale" priority="577">
      <colorScale>
        <cfvo type="min"/>
        <cfvo type="percentile" val="50"/>
        <cfvo type="max"/>
        <color rgb="FFF8696B"/>
        <color rgb="FFFFEB84"/>
        <color rgb="FF63BE7B"/>
      </colorScale>
    </cfRule>
  </conditionalFormatting>
  <conditionalFormatting sqref="F21:F28">
    <cfRule type="colorScale" priority="576">
      <colorScale>
        <cfvo type="min"/>
        <cfvo type="percentile" val="50"/>
        <cfvo type="max"/>
        <color rgb="FFF8696B"/>
        <color rgb="FFFFEB84"/>
        <color rgb="FF63BE7B"/>
      </colorScale>
    </cfRule>
  </conditionalFormatting>
  <conditionalFormatting sqref="F21:F28">
    <cfRule type="colorScale" priority="575">
      <colorScale>
        <cfvo type="min"/>
        <cfvo type="percentile" val="50"/>
        <cfvo type="max"/>
        <color rgb="FFF8696B"/>
        <color rgb="FFFFEB84"/>
        <color rgb="FF63BE7B"/>
      </colorScale>
    </cfRule>
  </conditionalFormatting>
  <conditionalFormatting sqref="F21:F28">
    <cfRule type="colorScale" priority="574">
      <colorScale>
        <cfvo type="min"/>
        <cfvo type="percentile" val="50"/>
        <cfvo type="max"/>
        <color rgb="FFF8696B"/>
        <color rgb="FFFFEB84"/>
        <color rgb="FF63BE7B"/>
      </colorScale>
    </cfRule>
  </conditionalFormatting>
  <conditionalFormatting sqref="F21:F28">
    <cfRule type="colorScale" priority="573">
      <colorScale>
        <cfvo type="min"/>
        <cfvo type="percentile" val="50"/>
        <cfvo type="max"/>
        <color rgb="FFF8696B"/>
        <color rgb="FFFFEB84"/>
        <color rgb="FF63BE7B"/>
      </colorScale>
    </cfRule>
  </conditionalFormatting>
  <conditionalFormatting sqref="F21:F28">
    <cfRule type="colorScale" priority="572">
      <colorScale>
        <cfvo type="min"/>
        <cfvo type="percentile" val="50"/>
        <cfvo type="max"/>
        <color rgb="FFF8696B"/>
        <color rgb="FFFFEB84"/>
        <color rgb="FF63BE7B"/>
      </colorScale>
    </cfRule>
  </conditionalFormatting>
  <conditionalFormatting sqref="F21:F28">
    <cfRule type="colorScale" priority="571">
      <colorScale>
        <cfvo type="min"/>
        <cfvo type="percentile" val="50"/>
        <cfvo type="max"/>
        <color rgb="FFF8696B"/>
        <color rgb="FFFFEB84"/>
        <color rgb="FF63BE7B"/>
      </colorScale>
    </cfRule>
  </conditionalFormatting>
  <conditionalFormatting sqref="F21:F28">
    <cfRule type="colorScale" priority="570">
      <colorScale>
        <cfvo type="min"/>
        <cfvo type="percentile" val="50"/>
        <cfvo type="max"/>
        <color rgb="FFF8696B"/>
        <color rgb="FFFFEB84"/>
        <color rgb="FF63BE7B"/>
      </colorScale>
    </cfRule>
  </conditionalFormatting>
  <conditionalFormatting sqref="F21:F28">
    <cfRule type="colorScale" priority="569">
      <colorScale>
        <cfvo type="min"/>
        <cfvo type="percentile" val="50"/>
        <cfvo type="max"/>
        <color rgb="FFF8696B"/>
        <color rgb="FFFFEB84"/>
        <color rgb="FF63BE7B"/>
      </colorScale>
    </cfRule>
  </conditionalFormatting>
  <conditionalFormatting sqref="F21:F28">
    <cfRule type="colorScale" priority="568">
      <colorScale>
        <cfvo type="min"/>
        <cfvo type="percentile" val="50"/>
        <cfvo type="max"/>
        <color rgb="FFF8696B"/>
        <color rgb="FFFFEB84"/>
        <color rgb="FF63BE7B"/>
      </colorScale>
    </cfRule>
  </conditionalFormatting>
  <conditionalFormatting sqref="F21:F28">
    <cfRule type="colorScale" priority="567">
      <colorScale>
        <cfvo type="min"/>
        <cfvo type="percentile" val="50"/>
        <cfvo type="max"/>
        <color rgb="FFF8696B"/>
        <color rgb="FFFFEB84"/>
        <color rgb="FF63BE7B"/>
      </colorScale>
    </cfRule>
  </conditionalFormatting>
  <conditionalFormatting sqref="F21:F28">
    <cfRule type="colorScale" priority="566">
      <colorScale>
        <cfvo type="min"/>
        <cfvo type="percentile" val="50"/>
        <cfvo type="max"/>
        <color rgb="FFF8696B"/>
        <color rgb="FFFFEB84"/>
        <color rgb="FF63BE7B"/>
      </colorScale>
    </cfRule>
  </conditionalFormatting>
  <conditionalFormatting sqref="F21:F28">
    <cfRule type="colorScale" priority="565">
      <colorScale>
        <cfvo type="min"/>
        <cfvo type="percentile" val="50"/>
        <cfvo type="max"/>
        <color rgb="FFF8696B"/>
        <color rgb="FFFFEB84"/>
        <color rgb="FF63BE7B"/>
      </colorScale>
    </cfRule>
  </conditionalFormatting>
  <conditionalFormatting sqref="F21:F28">
    <cfRule type="colorScale" priority="564">
      <colorScale>
        <cfvo type="min"/>
        <cfvo type="percentile" val="50"/>
        <cfvo type="max"/>
        <color rgb="FFF8696B"/>
        <color rgb="FFFFEB84"/>
        <color rgb="FF63BE7B"/>
      </colorScale>
    </cfRule>
  </conditionalFormatting>
  <conditionalFormatting sqref="F21:F28">
    <cfRule type="colorScale" priority="563">
      <colorScale>
        <cfvo type="min"/>
        <cfvo type="percentile" val="50"/>
        <cfvo type="max"/>
        <color rgb="FFF8696B"/>
        <color rgb="FFFFEB84"/>
        <color rgb="FF63BE7B"/>
      </colorScale>
    </cfRule>
  </conditionalFormatting>
  <conditionalFormatting sqref="F21:F28">
    <cfRule type="colorScale" priority="562">
      <colorScale>
        <cfvo type="min"/>
        <cfvo type="percentile" val="50"/>
        <cfvo type="max"/>
        <color rgb="FFF8696B"/>
        <color rgb="FFFFEB84"/>
        <color rgb="FF63BE7B"/>
      </colorScale>
    </cfRule>
  </conditionalFormatting>
  <conditionalFormatting sqref="F21:F28">
    <cfRule type="colorScale" priority="561">
      <colorScale>
        <cfvo type="min"/>
        <cfvo type="percentile" val="50"/>
        <cfvo type="max"/>
        <color rgb="FFF8696B"/>
        <color rgb="FFFFEB84"/>
        <color rgb="FF63BE7B"/>
      </colorScale>
    </cfRule>
  </conditionalFormatting>
  <conditionalFormatting sqref="F21:F28">
    <cfRule type="colorScale" priority="560">
      <colorScale>
        <cfvo type="min"/>
        <cfvo type="percentile" val="50"/>
        <cfvo type="max"/>
        <color rgb="FFF8696B"/>
        <color rgb="FFFFEB84"/>
        <color rgb="FF63BE7B"/>
      </colorScale>
    </cfRule>
  </conditionalFormatting>
  <conditionalFormatting sqref="F21:F28">
    <cfRule type="colorScale" priority="559">
      <colorScale>
        <cfvo type="min"/>
        <cfvo type="percentile" val="50"/>
        <cfvo type="max"/>
        <color rgb="FFF8696B"/>
        <color rgb="FFFFEB84"/>
        <color rgb="FF63BE7B"/>
      </colorScale>
    </cfRule>
  </conditionalFormatting>
  <conditionalFormatting sqref="F21:F28">
    <cfRule type="colorScale" priority="558">
      <colorScale>
        <cfvo type="min"/>
        <cfvo type="percentile" val="50"/>
        <cfvo type="max"/>
        <color rgb="FFF8696B"/>
        <color rgb="FFFFEB84"/>
        <color rgb="FF63BE7B"/>
      </colorScale>
    </cfRule>
  </conditionalFormatting>
  <conditionalFormatting sqref="F21:F28">
    <cfRule type="colorScale" priority="557">
      <colorScale>
        <cfvo type="min"/>
        <cfvo type="percentile" val="50"/>
        <cfvo type="max"/>
        <color rgb="FFF8696B"/>
        <color rgb="FFFFEB84"/>
        <color rgb="FF63BE7B"/>
      </colorScale>
    </cfRule>
  </conditionalFormatting>
  <conditionalFormatting sqref="F21:F28">
    <cfRule type="colorScale" priority="556">
      <colorScale>
        <cfvo type="min"/>
        <cfvo type="percentile" val="50"/>
        <cfvo type="max"/>
        <color rgb="FFF8696B"/>
        <color rgb="FFFFEB84"/>
        <color rgb="FF63BE7B"/>
      </colorScale>
    </cfRule>
  </conditionalFormatting>
  <conditionalFormatting sqref="F21:F28">
    <cfRule type="colorScale" priority="555">
      <colorScale>
        <cfvo type="min"/>
        <cfvo type="percentile" val="50"/>
        <cfvo type="max"/>
        <color rgb="FFF8696B"/>
        <color rgb="FFFFEB84"/>
        <color rgb="FF63BE7B"/>
      </colorScale>
    </cfRule>
  </conditionalFormatting>
  <conditionalFormatting sqref="F21:F28">
    <cfRule type="colorScale" priority="554">
      <colorScale>
        <cfvo type="min"/>
        <cfvo type="percentile" val="50"/>
        <cfvo type="max"/>
        <color rgb="FFF8696B"/>
        <color rgb="FFFFEB84"/>
        <color rgb="FF63BE7B"/>
      </colorScale>
    </cfRule>
  </conditionalFormatting>
  <conditionalFormatting sqref="F21:F28">
    <cfRule type="colorScale" priority="553">
      <colorScale>
        <cfvo type="min"/>
        <cfvo type="percentile" val="50"/>
        <cfvo type="max"/>
        <color rgb="FFF8696B"/>
        <color rgb="FFFFEB84"/>
        <color rgb="FF63BE7B"/>
      </colorScale>
    </cfRule>
  </conditionalFormatting>
  <conditionalFormatting sqref="F21:F28">
    <cfRule type="colorScale" priority="552">
      <colorScale>
        <cfvo type="min"/>
        <cfvo type="percentile" val="50"/>
        <cfvo type="max"/>
        <color rgb="FFF8696B"/>
        <color rgb="FFFFEB84"/>
        <color rgb="FF63BE7B"/>
      </colorScale>
    </cfRule>
  </conditionalFormatting>
  <conditionalFormatting sqref="F21:F28">
    <cfRule type="colorScale" priority="551">
      <colorScale>
        <cfvo type="min"/>
        <cfvo type="percentile" val="50"/>
        <cfvo type="max"/>
        <color rgb="FFF8696B"/>
        <color rgb="FFFFEB84"/>
        <color rgb="FF63BE7B"/>
      </colorScale>
    </cfRule>
  </conditionalFormatting>
  <conditionalFormatting sqref="F21:F28">
    <cfRule type="colorScale" priority="550">
      <colorScale>
        <cfvo type="min"/>
        <cfvo type="percentile" val="50"/>
        <cfvo type="max"/>
        <color rgb="FFF8696B"/>
        <color rgb="FFFFEB84"/>
        <color rgb="FF63BE7B"/>
      </colorScale>
    </cfRule>
  </conditionalFormatting>
  <conditionalFormatting sqref="F21:F28">
    <cfRule type="colorScale" priority="549">
      <colorScale>
        <cfvo type="min"/>
        <cfvo type="percentile" val="50"/>
        <cfvo type="max"/>
        <color rgb="FFF8696B"/>
        <color rgb="FFFFEB84"/>
        <color rgb="FF63BE7B"/>
      </colorScale>
    </cfRule>
  </conditionalFormatting>
  <conditionalFormatting sqref="F21:F28">
    <cfRule type="colorScale" priority="548">
      <colorScale>
        <cfvo type="min"/>
        <cfvo type="percentile" val="50"/>
        <cfvo type="max"/>
        <color rgb="FFF8696B"/>
        <color rgb="FFFFEB84"/>
        <color rgb="FF63BE7B"/>
      </colorScale>
    </cfRule>
  </conditionalFormatting>
  <conditionalFormatting sqref="F21:F28">
    <cfRule type="colorScale" priority="547">
      <colorScale>
        <cfvo type="min"/>
        <cfvo type="percentile" val="50"/>
        <cfvo type="max"/>
        <color rgb="FFF8696B"/>
        <color rgb="FFFFEB84"/>
        <color rgb="FF63BE7B"/>
      </colorScale>
    </cfRule>
  </conditionalFormatting>
  <conditionalFormatting sqref="F21:F28">
    <cfRule type="colorScale" priority="546">
      <colorScale>
        <cfvo type="min"/>
        <cfvo type="percentile" val="50"/>
        <cfvo type="max"/>
        <color rgb="FFF8696B"/>
        <color rgb="FFFFEB84"/>
        <color rgb="FF63BE7B"/>
      </colorScale>
    </cfRule>
  </conditionalFormatting>
  <conditionalFormatting sqref="F21:F28">
    <cfRule type="colorScale" priority="545">
      <colorScale>
        <cfvo type="min"/>
        <cfvo type="percentile" val="50"/>
        <cfvo type="max"/>
        <color rgb="FFF8696B"/>
        <color rgb="FFFFEB84"/>
        <color rgb="FF63BE7B"/>
      </colorScale>
    </cfRule>
  </conditionalFormatting>
  <conditionalFormatting sqref="F21:F28">
    <cfRule type="colorScale" priority="544">
      <colorScale>
        <cfvo type="min"/>
        <cfvo type="percentile" val="50"/>
        <cfvo type="max"/>
        <color rgb="FFF8696B"/>
        <color rgb="FFFFEB84"/>
        <color rgb="FF63BE7B"/>
      </colorScale>
    </cfRule>
  </conditionalFormatting>
  <conditionalFormatting sqref="F21:F28">
    <cfRule type="colorScale" priority="543">
      <colorScale>
        <cfvo type="min"/>
        <cfvo type="percentile" val="50"/>
        <cfvo type="max"/>
        <color rgb="FFF8696B"/>
        <color rgb="FFFFEB84"/>
        <color rgb="FF63BE7B"/>
      </colorScale>
    </cfRule>
  </conditionalFormatting>
  <conditionalFormatting sqref="F21:F28">
    <cfRule type="colorScale" priority="542">
      <colorScale>
        <cfvo type="min"/>
        <cfvo type="percentile" val="50"/>
        <cfvo type="max"/>
        <color rgb="FFF8696B"/>
        <color rgb="FFFFEB84"/>
        <color rgb="FF63BE7B"/>
      </colorScale>
    </cfRule>
  </conditionalFormatting>
  <conditionalFormatting sqref="F21:F28">
    <cfRule type="colorScale" priority="541">
      <colorScale>
        <cfvo type="min"/>
        <cfvo type="percentile" val="50"/>
        <cfvo type="max"/>
        <color rgb="FFF8696B"/>
        <color rgb="FFFFEB84"/>
        <color rgb="FF63BE7B"/>
      </colorScale>
    </cfRule>
  </conditionalFormatting>
  <conditionalFormatting sqref="F21:F28">
    <cfRule type="colorScale" priority="540">
      <colorScale>
        <cfvo type="min"/>
        <cfvo type="percentile" val="50"/>
        <cfvo type="max"/>
        <color rgb="FFF8696B"/>
        <color rgb="FFFFEB84"/>
        <color rgb="FF63BE7B"/>
      </colorScale>
    </cfRule>
  </conditionalFormatting>
  <conditionalFormatting sqref="F21:F28">
    <cfRule type="colorScale" priority="539">
      <colorScale>
        <cfvo type="min"/>
        <cfvo type="percentile" val="50"/>
        <cfvo type="max"/>
        <color rgb="FFF8696B"/>
        <color rgb="FFFFEB84"/>
        <color rgb="FF63BE7B"/>
      </colorScale>
    </cfRule>
  </conditionalFormatting>
  <conditionalFormatting sqref="F21:F28">
    <cfRule type="colorScale" priority="538">
      <colorScale>
        <cfvo type="min"/>
        <cfvo type="percentile" val="50"/>
        <cfvo type="max"/>
        <color rgb="FFF8696B"/>
        <color rgb="FFFFEB84"/>
        <color rgb="FF63BE7B"/>
      </colorScale>
    </cfRule>
  </conditionalFormatting>
  <conditionalFormatting sqref="F21:F28">
    <cfRule type="colorScale" priority="537">
      <colorScale>
        <cfvo type="min"/>
        <cfvo type="percentile" val="50"/>
        <cfvo type="max"/>
        <color rgb="FFF8696B"/>
        <color rgb="FFFFEB84"/>
        <color rgb="FF63BE7B"/>
      </colorScale>
    </cfRule>
  </conditionalFormatting>
  <conditionalFormatting sqref="F21:F28">
    <cfRule type="colorScale" priority="536">
      <colorScale>
        <cfvo type="min"/>
        <cfvo type="percentile" val="50"/>
        <cfvo type="max"/>
        <color rgb="FFF8696B"/>
        <color rgb="FFFFEB84"/>
        <color rgb="FF63BE7B"/>
      </colorScale>
    </cfRule>
  </conditionalFormatting>
  <conditionalFormatting sqref="F21:F28">
    <cfRule type="colorScale" priority="535">
      <colorScale>
        <cfvo type="min"/>
        <cfvo type="percentile" val="50"/>
        <cfvo type="max"/>
        <color rgb="FFF8696B"/>
        <color rgb="FFFFEB84"/>
        <color rgb="FF63BE7B"/>
      </colorScale>
    </cfRule>
  </conditionalFormatting>
  <conditionalFormatting sqref="F21:F28">
    <cfRule type="colorScale" priority="534">
      <colorScale>
        <cfvo type="min"/>
        <cfvo type="percentile" val="50"/>
        <cfvo type="max"/>
        <color rgb="FFF8696B"/>
        <color rgb="FFFFEB84"/>
        <color rgb="FF63BE7B"/>
      </colorScale>
    </cfRule>
  </conditionalFormatting>
  <conditionalFormatting sqref="F21:F28">
    <cfRule type="colorScale" priority="533">
      <colorScale>
        <cfvo type="min"/>
        <cfvo type="percentile" val="50"/>
        <cfvo type="max"/>
        <color rgb="FFF8696B"/>
        <color rgb="FFFFEB84"/>
        <color rgb="FF63BE7B"/>
      </colorScale>
    </cfRule>
  </conditionalFormatting>
  <conditionalFormatting sqref="F21:F28">
    <cfRule type="colorScale" priority="532">
      <colorScale>
        <cfvo type="min"/>
        <cfvo type="percentile" val="50"/>
        <cfvo type="max"/>
        <color rgb="FFF8696B"/>
        <color rgb="FFFFEB84"/>
        <color rgb="FF63BE7B"/>
      </colorScale>
    </cfRule>
  </conditionalFormatting>
  <conditionalFormatting sqref="F21:F28">
    <cfRule type="colorScale" priority="531">
      <colorScale>
        <cfvo type="min"/>
        <cfvo type="percentile" val="50"/>
        <cfvo type="max"/>
        <color rgb="FFF8696B"/>
        <color rgb="FFFFEB84"/>
        <color rgb="FF63BE7B"/>
      </colorScale>
    </cfRule>
  </conditionalFormatting>
  <conditionalFormatting sqref="F21:F28">
    <cfRule type="colorScale" priority="530">
      <colorScale>
        <cfvo type="min"/>
        <cfvo type="percentile" val="50"/>
        <cfvo type="max"/>
        <color rgb="FFF8696B"/>
        <color rgb="FFFFEB84"/>
        <color rgb="FF63BE7B"/>
      </colorScale>
    </cfRule>
  </conditionalFormatting>
  <conditionalFormatting sqref="F21:F28">
    <cfRule type="colorScale" priority="529">
      <colorScale>
        <cfvo type="min"/>
        <cfvo type="percentile" val="50"/>
        <cfvo type="max"/>
        <color rgb="FFF8696B"/>
        <color rgb="FFFFEB84"/>
        <color rgb="FF63BE7B"/>
      </colorScale>
    </cfRule>
  </conditionalFormatting>
  <conditionalFormatting sqref="F21:F28">
    <cfRule type="colorScale" priority="528">
      <colorScale>
        <cfvo type="min"/>
        <cfvo type="percentile" val="50"/>
        <cfvo type="max"/>
        <color rgb="FFF8696B"/>
        <color rgb="FFFFEB84"/>
        <color rgb="FF63BE7B"/>
      </colorScale>
    </cfRule>
  </conditionalFormatting>
  <conditionalFormatting sqref="F21:F28">
    <cfRule type="colorScale" priority="527">
      <colorScale>
        <cfvo type="min"/>
        <cfvo type="percentile" val="50"/>
        <cfvo type="max"/>
        <color rgb="FFF8696B"/>
        <color rgb="FFFFEB84"/>
        <color rgb="FF63BE7B"/>
      </colorScale>
    </cfRule>
  </conditionalFormatting>
  <conditionalFormatting sqref="F21:F28">
    <cfRule type="colorScale" priority="526">
      <colorScale>
        <cfvo type="min"/>
        <cfvo type="percentile" val="50"/>
        <cfvo type="max"/>
        <color rgb="FFF8696B"/>
        <color rgb="FFFFEB84"/>
        <color rgb="FF63BE7B"/>
      </colorScale>
    </cfRule>
  </conditionalFormatting>
  <conditionalFormatting sqref="F21:F28">
    <cfRule type="colorScale" priority="525">
      <colorScale>
        <cfvo type="min"/>
        <cfvo type="percentile" val="50"/>
        <cfvo type="max"/>
        <color rgb="FFF8696B"/>
        <color rgb="FFFFEB84"/>
        <color rgb="FF63BE7B"/>
      </colorScale>
    </cfRule>
  </conditionalFormatting>
  <conditionalFormatting sqref="F21:F28">
    <cfRule type="colorScale" priority="524">
      <colorScale>
        <cfvo type="min"/>
        <cfvo type="percentile" val="50"/>
        <cfvo type="max"/>
        <color rgb="FFF8696B"/>
        <color rgb="FFFFEB84"/>
        <color rgb="FF63BE7B"/>
      </colorScale>
    </cfRule>
  </conditionalFormatting>
  <conditionalFormatting sqref="F21:F28">
    <cfRule type="colorScale" priority="523">
      <colorScale>
        <cfvo type="min"/>
        <cfvo type="percentile" val="50"/>
        <cfvo type="max"/>
        <color rgb="FFF8696B"/>
        <color rgb="FFFFEB84"/>
        <color rgb="FF63BE7B"/>
      </colorScale>
    </cfRule>
  </conditionalFormatting>
  <conditionalFormatting sqref="F21:F28">
    <cfRule type="colorScale" priority="522">
      <colorScale>
        <cfvo type="min"/>
        <cfvo type="percentile" val="50"/>
        <cfvo type="max"/>
        <color rgb="FFF8696B"/>
        <color rgb="FFFFEB84"/>
        <color rgb="FF63BE7B"/>
      </colorScale>
    </cfRule>
  </conditionalFormatting>
  <conditionalFormatting sqref="F21:F28">
    <cfRule type="colorScale" priority="521">
      <colorScale>
        <cfvo type="min"/>
        <cfvo type="percentile" val="50"/>
        <cfvo type="max"/>
        <color rgb="FFF8696B"/>
        <color rgb="FFFFEB84"/>
        <color rgb="FF63BE7B"/>
      </colorScale>
    </cfRule>
  </conditionalFormatting>
  <conditionalFormatting sqref="F21:F28">
    <cfRule type="colorScale" priority="520">
      <colorScale>
        <cfvo type="min"/>
        <cfvo type="percentile" val="50"/>
        <cfvo type="max"/>
        <color rgb="FFF8696B"/>
        <color rgb="FFFFEB84"/>
        <color rgb="FF63BE7B"/>
      </colorScale>
    </cfRule>
  </conditionalFormatting>
  <conditionalFormatting sqref="F21:F28">
    <cfRule type="colorScale" priority="519">
      <colorScale>
        <cfvo type="min"/>
        <cfvo type="percentile" val="50"/>
        <cfvo type="max"/>
        <color rgb="FFF8696B"/>
        <color rgb="FFFFEB84"/>
        <color rgb="FF63BE7B"/>
      </colorScale>
    </cfRule>
  </conditionalFormatting>
  <conditionalFormatting sqref="F21:F28">
    <cfRule type="colorScale" priority="518">
      <colorScale>
        <cfvo type="min"/>
        <cfvo type="percentile" val="50"/>
        <cfvo type="max"/>
        <color rgb="FFF8696B"/>
        <color rgb="FFFFEB84"/>
        <color rgb="FF63BE7B"/>
      </colorScale>
    </cfRule>
  </conditionalFormatting>
  <conditionalFormatting sqref="F21:F28">
    <cfRule type="colorScale" priority="517">
      <colorScale>
        <cfvo type="min"/>
        <cfvo type="percentile" val="50"/>
        <cfvo type="max"/>
        <color rgb="FFF8696B"/>
        <color rgb="FFFFEB84"/>
        <color rgb="FF63BE7B"/>
      </colorScale>
    </cfRule>
  </conditionalFormatting>
  <conditionalFormatting sqref="F21:F28">
    <cfRule type="colorScale" priority="516">
      <colorScale>
        <cfvo type="min"/>
        <cfvo type="percentile" val="50"/>
        <cfvo type="max"/>
        <color rgb="FFF8696B"/>
        <color rgb="FFFFEB84"/>
        <color rgb="FF63BE7B"/>
      </colorScale>
    </cfRule>
  </conditionalFormatting>
  <conditionalFormatting sqref="F21:F28">
    <cfRule type="colorScale" priority="515">
      <colorScale>
        <cfvo type="min"/>
        <cfvo type="percentile" val="50"/>
        <cfvo type="max"/>
        <color rgb="FFF8696B"/>
        <color rgb="FFFFEB84"/>
        <color rgb="FF63BE7B"/>
      </colorScale>
    </cfRule>
  </conditionalFormatting>
  <conditionalFormatting sqref="F21:F28">
    <cfRule type="colorScale" priority="514">
      <colorScale>
        <cfvo type="min"/>
        <cfvo type="percentile" val="50"/>
        <cfvo type="max"/>
        <color rgb="FFF8696B"/>
        <color rgb="FFFFEB84"/>
        <color rgb="FF63BE7B"/>
      </colorScale>
    </cfRule>
  </conditionalFormatting>
  <conditionalFormatting sqref="F21:F28">
    <cfRule type="colorScale" priority="513">
      <colorScale>
        <cfvo type="min"/>
        <cfvo type="percentile" val="50"/>
        <cfvo type="max"/>
        <color rgb="FFF8696B"/>
        <color rgb="FFFFEB84"/>
        <color rgb="FF63BE7B"/>
      </colorScale>
    </cfRule>
  </conditionalFormatting>
  <conditionalFormatting sqref="F21:F28">
    <cfRule type="colorScale" priority="512">
      <colorScale>
        <cfvo type="min"/>
        <cfvo type="percentile" val="50"/>
        <cfvo type="max"/>
        <color rgb="FFF8696B"/>
        <color rgb="FFFFEB84"/>
        <color rgb="FF63BE7B"/>
      </colorScale>
    </cfRule>
  </conditionalFormatting>
  <conditionalFormatting sqref="F21:F28">
    <cfRule type="colorScale" priority="511">
      <colorScale>
        <cfvo type="min"/>
        <cfvo type="percentile" val="50"/>
        <cfvo type="max"/>
        <color rgb="FFF8696B"/>
        <color rgb="FFFFEB84"/>
        <color rgb="FF63BE7B"/>
      </colorScale>
    </cfRule>
  </conditionalFormatting>
  <conditionalFormatting sqref="F21:F28">
    <cfRule type="colorScale" priority="510">
      <colorScale>
        <cfvo type="min"/>
        <cfvo type="percentile" val="50"/>
        <cfvo type="max"/>
        <color rgb="FFF8696B"/>
        <color rgb="FFFFEB84"/>
        <color rgb="FF63BE7B"/>
      </colorScale>
    </cfRule>
  </conditionalFormatting>
  <conditionalFormatting sqref="F21:F28">
    <cfRule type="colorScale" priority="509">
      <colorScale>
        <cfvo type="min"/>
        <cfvo type="percentile" val="50"/>
        <cfvo type="max"/>
        <color rgb="FFF8696B"/>
        <color rgb="FFFFEB84"/>
        <color rgb="FF63BE7B"/>
      </colorScale>
    </cfRule>
  </conditionalFormatting>
  <conditionalFormatting sqref="F21:F28">
    <cfRule type="colorScale" priority="508">
      <colorScale>
        <cfvo type="min"/>
        <cfvo type="percentile" val="50"/>
        <cfvo type="max"/>
        <color rgb="FFF8696B"/>
        <color rgb="FFFFEB84"/>
        <color rgb="FF63BE7B"/>
      </colorScale>
    </cfRule>
  </conditionalFormatting>
  <conditionalFormatting sqref="F21:F28">
    <cfRule type="colorScale" priority="507">
      <colorScale>
        <cfvo type="min"/>
        <cfvo type="percentile" val="50"/>
        <cfvo type="max"/>
        <color rgb="FFF8696B"/>
        <color rgb="FFFFEB84"/>
        <color rgb="FF63BE7B"/>
      </colorScale>
    </cfRule>
  </conditionalFormatting>
  <conditionalFormatting sqref="F29:F32">
    <cfRule type="colorScale" priority="506">
      <colorScale>
        <cfvo type="min"/>
        <cfvo type="percentile" val="50"/>
        <cfvo type="max"/>
        <color rgb="FFF8696B"/>
        <color rgb="FFFFEB84"/>
        <color rgb="FF63BE7B"/>
      </colorScale>
    </cfRule>
  </conditionalFormatting>
  <conditionalFormatting sqref="F29:F32">
    <cfRule type="colorScale" priority="505">
      <colorScale>
        <cfvo type="min"/>
        <cfvo type="percentile" val="50"/>
        <cfvo type="max"/>
        <color rgb="FFF8696B"/>
        <color rgb="FFFFEB84"/>
        <color rgb="FF63BE7B"/>
      </colorScale>
    </cfRule>
  </conditionalFormatting>
  <conditionalFormatting sqref="F29:F32">
    <cfRule type="colorScale" priority="504">
      <colorScale>
        <cfvo type="min"/>
        <cfvo type="percentile" val="50"/>
        <cfvo type="max"/>
        <color rgb="FFF8696B"/>
        <color rgb="FFFFEB84"/>
        <color rgb="FF63BE7B"/>
      </colorScale>
    </cfRule>
  </conditionalFormatting>
  <conditionalFormatting sqref="F29:F32">
    <cfRule type="colorScale" priority="503">
      <colorScale>
        <cfvo type="min"/>
        <cfvo type="percentile" val="50"/>
        <cfvo type="max"/>
        <color rgb="FFF8696B"/>
        <color rgb="FFFFEB84"/>
        <color rgb="FF63BE7B"/>
      </colorScale>
    </cfRule>
  </conditionalFormatting>
  <conditionalFormatting sqref="F29:F32">
    <cfRule type="colorScale" priority="502">
      <colorScale>
        <cfvo type="min"/>
        <cfvo type="percentile" val="50"/>
        <cfvo type="max"/>
        <color rgb="FFF8696B"/>
        <color rgb="FFFFEB84"/>
        <color rgb="FF63BE7B"/>
      </colorScale>
    </cfRule>
  </conditionalFormatting>
  <conditionalFormatting sqref="F29:F32">
    <cfRule type="colorScale" priority="501">
      <colorScale>
        <cfvo type="min"/>
        <cfvo type="percentile" val="50"/>
        <cfvo type="max"/>
        <color rgb="FFF8696B"/>
        <color rgb="FFFFEB84"/>
        <color rgb="FF63BE7B"/>
      </colorScale>
    </cfRule>
  </conditionalFormatting>
  <conditionalFormatting sqref="F29:F32">
    <cfRule type="colorScale" priority="500">
      <colorScale>
        <cfvo type="min"/>
        <cfvo type="percentile" val="50"/>
        <cfvo type="max"/>
        <color rgb="FFF8696B"/>
        <color rgb="FFFFEB84"/>
        <color rgb="FF63BE7B"/>
      </colorScale>
    </cfRule>
  </conditionalFormatting>
  <conditionalFormatting sqref="F29:F32">
    <cfRule type="colorScale" priority="499">
      <colorScale>
        <cfvo type="min"/>
        <cfvo type="percentile" val="50"/>
        <cfvo type="max"/>
        <color rgb="FFF8696B"/>
        <color rgb="FFFFEB84"/>
        <color rgb="FF63BE7B"/>
      </colorScale>
    </cfRule>
  </conditionalFormatting>
  <conditionalFormatting sqref="F29:F32">
    <cfRule type="colorScale" priority="498">
      <colorScale>
        <cfvo type="min"/>
        <cfvo type="percentile" val="50"/>
        <cfvo type="max"/>
        <color rgb="FFF8696B"/>
        <color rgb="FFFFEB84"/>
        <color rgb="FF63BE7B"/>
      </colorScale>
    </cfRule>
  </conditionalFormatting>
  <conditionalFormatting sqref="F29:F32">
    <cfRule type="colorScale" priority="497">
      <colorScale>
        <cfvo type="min"/>
        <cfvo type="percentile" val="50"/>
        <cfvo type="max"/>
        <color rgb="FFF8696B"/>
        <color rgb="FFFFEB84"/>
        <color rgb="FF63BE7B"/>
      </colorScale>
    </cfRule>
  </conditionalFormatting>
  <conditionalFormatting sqref="F29:F32">
    <cfRule type="colorScale" priority="496">
      <colorScale>
        <cfvo type="min"/>
        <cfvo type="percentile" val="50"/>
        <cfvo type="max"/>
        <color rgb="FFF8696B"/>
        <color rgb="FFFFEB84"/>
        <color rgb="FF63BE7B"/>
      </colorScale>
    </cfRule>
  </conditionalFormatting>
  <conditionalFormatting sqref="F29:F32">
    <cfRule type="colorScale" priority="495">
      <colorScale>
        <cfvo type="min"/>
        <cfvo type="percentile" val="50"/>
        <cfvo type="max"/>
        <color rgb="FFF8696B"/>
        <color rgb="FFFFEB84"/>
        <color rgb="FF63BE7B"/>
      </colorScale>
    </cfRule>
  </conditionalFormatting>
  <conditionalFormatting sqref="F29:F32">
    <cfRule type="colorScale" priority="494">
      <colorScale>
        <cfvo type="min"/>
        <cfvo type="percentile" val="50"/>
        <cfvo type="max"/>
        <color rgb="FFF8696B"/>
        <color rgb="FFFFEB84"/>
        <color rgb="FF63BE7B"/>
      </colorScale>
    </cfRule>
  </conditionalFormatting>
  <conditionalFormatting sqref="F29:F32">
    <cfRule type="colorScale" priority="493">
      <colorScale>
        <cfvo type="min"/>
        <cfvo type="percentile" val="50"/>
        <cfvo type="max"/>
        <color rgb="FFF8696B"/>
        <color rgb="FFFFEB84"/>
        <color rgb="FF63BE7B"/>
      </colorScale>
    </cfRule>
  </conditionalFormatting>
  <conditionalFormatting sqref="F29:F32">
    <cfRule type="colorScale" priority="492">
      <colorScale>
        <cfvo type="min"/>
        <cfvo type="percentile" val="50"/>
        <cfvo type="max"/>
        <color rgb="FFF8696B"/>
        <color rgb="FFFFEB84"/>
        <color rgb="FF63BE7B"/>
      </colorScale>
    </cfRule>
  </conditionalFormatting>
  <conditionalFormatting sqref="F29:F32">
    <cfRule type="colorScale" priority="491">
      <colorScale>
        <cfvo type="min"/>
        <cfvo type="percentile" val="50"/>
        <cfvo type="max"/>
        <color rgb="FFF8696B"/>
        <color rgb="FFFFEB84"/>
        <color rgb="FF63BE7B"/>
      </colorScale>
    </cfRule>
  </conditionalFormatting>
  <conditionalFormatting sqref="F29:F32">
    <cfRule type="colorScale" priority="490">
      <colorScale>
        <cfvo type="min"/>
        <cfvo type="percentile" val="50"/>
        <cfvo type="max"/>
        <color rgb="FFF8696B"/>
        <color rgb="FFFFEB84"/>
        <color rgb="FF63BE7B"/>
      </colorScale>
    </cfRule>
  </conditionalFormatting>
  <conditionalFormatting sqref="F29:F32">
    <cfRule type="colorScale" priority="489">
      <colorScale>
        <cfvo type="min"/>
        <cfvo type="percentile" val="50"/>
        <cfvo type="max"/>
        <color rgb="FFF8696B"/>
        <color rgb="FFFFEB84"/>
        <color rgb="FF63BE7B"/>
      </colorScale>
    </cfRule>
  </conditionalFormatting>
  <conditionalFormatting sqref="F29:F32">
    <cfRule type="colorScale" priority="488">
      <colorScale>
        <cfvo type="min"/>
        <cfvo type="percentile" val="50"/>
        <cfvo type="max"/>
        <color rgb="FFF8696B"/>
        <color rgb="FFFFEB84"/>
        <color rgb="FF63BE7B"/>
      </colorScale>
    </cfRule>
  </conditionalFormatting>
  <conditionalFormatting sqref="F29:F32">
    <cfRule type="colorScale" priority="487">
      <colorScale>
        <cfvo type="min"/>
        <cfvo type="percentile" val="50"/>
        <cfvo type="max"/>
        <color rgb="FFF8696B"/>
        <color rgb="FFFFEB84"/>
        <color rgb="FF63BE7B"/>
      </colorScale>
    </cfRule>
  </conditionalFormatting>
  <conditionalFormatting sqref="F29:F32">
    <cfRule type="colorScale" priority="486">
      <colorScale>
        <cfvo type="min"/>
        <cfvo type="percentile" val="50"/>
        <cfvo type="max"/>
        <color rgb="FFF8696B"/>
        <color rgb="FFFFEB84"/>
        <color rgb="FF63BE7B"/>
      </colorScale>
    </cfRule>
  </conditionalFormatting>
  <conditionalFormatting sqref="F29:F32">
    <cfRule type="colorScale" priority="485">
      <colorScale>
        <cfvo type="min"/>
        <cfvo type="percentile" val="50"/>
        <cfvo type="max"/>
        <color rgb="FFF8696B"/>
        <color rgb="FFFFEB84"/>
        <color rgb="FF63BE7B"/>
      </colorScale>
    </cfRule>
  </conditionalFormatting>
  <conditionalFormatting sqref="F29:F32">
    <cfRule type="colorScale" priority="484">
      <colorScale>
        <cfvo type="min"/>
        <cfvo type="percentile" val="50"/>
        <cfvo type="max"/>
        <color rgb="FFF8696B"/>
        <color rgb="FFFFEB84"/>
        <color rgb="FF63BE7B"/>
      </colorScale>
    </cfRule>
  </conditionalFormatting>
  <conditionalFormatting sqref="F29:F32">
    <cfRule type="colorScale" priority="483">
      <colorScale>
        <cfvo type="min"/>
        <cfvo type="percentile" val="50"/>
        <cfvo type="max"/>
        <color rgb="FFF8696B"/>
        <color rgb="FFFFEB84"/>
        <color rgb="FF63BE7B"/>
      </colorScale>
    </cfRule>
  </conditionalFormatting>
  <conditionalFormatting sqref="F29:F32">
    <cfRule type="colorScale" priority="482">
      <colorScale>
        <cfvo type="min"/>
        <cfvo type="percentile" val="50"/>
        <cfvo type="max"/>
        <color rgb="FFF8696B"/>
        <color rgb="FFFFEB84"/>
        <color rgb="FF63BE7B"/>
      </colorScale>
    </cfRule>
  </conditionalFormatting>
  <conditionalFormatting sqref="F29:F32">
    <cfRule type="colorScale" priority="481">
      <colorScale>
        <cfvo type="min"/>
        <cfvo type="percentile" val="50"/>
        <cfvo type="max"/>
        <color rgb="FFF8696B"/>
        <color rgb="FFFFEB84"/>
        <color rgb="FF63BE7B"/>
      </colorScale>
    </cfRule>
  </conditionalFormatting>
  <conditionalFormatting sqref="F29:F32">
    <cfRule type="colorScale" priority="480">
      <colorScale>
        <cfvo type="min"/>
        <cfvo type="percentile" val="50"/>
        <cfvo type="max"/>
        <color rgb="FFF8696B"/>
        <color rgb="FFFFEB84"/>
        <color rgb="FF63BE7B"/>
      </colorScale>
    </cfRule>
  </conditionalFormatting>
  <conditionalFormatting sqref="F29:F32">
    <cfRule type="colorScale" priority="479">
      <colorScale>
        <cfvo type="min"/>
        <cfvo type="percentile" val="50"/>
        <cfvo type="max"/>
        <color rgb="FFF8696B"/>
        <color rgb="FFFFEB84"/>
        <color rgb="FF63BE7B"/>
      </colorScale>
    </cfRule>
  </conditionalFormatting>
  <conditionalFormatting sqref="F29:F32">
    <cfRule type="colorScale" priority="478">
      <colorScale>
        <cfvo type="min"/>
        <cfvo type="percentile" val="50"/>
        <cfvo type="max"/>
        <color rgb="FFF8696B"/>
        <color rgb="FFFFEB84"/>
        <color rgb="FF63BE7B"/>
      </colorScale>
    </cfRule>
  </conditionalFormatting>
  <conditionalFormatting sqref="F29:F32">
    <cfRule type="colorScale" priority="477">
      <colorScale>
        <cfvo type="min"/>
        <cfvo type="percentile" val="50"/>
        <cfvo type="max"/>
        <color rgb="FFF8696B"/>
        <color rgb="FFFFEB84"/>
        <color rgb="FF63BE7B"/>
      </colorScale>
    </cfRule>
  </conditionalFormatting>
  <conditionalFormatting sqref="F29:F32">
    <cfRule type="colorScale" priority="476">
      <colorScale>
        <cfvo type="min"/>
        <cfvo type="percentile" val="50"/>
        <cfvo type="max"/>
        <color rgb="FFF8696B"/>
        <color rgb="FFFFEB84"/>
        <color rgb="FF63BE7B"/>
      </colorScale>
    </cfRule>
  </conditionalFormatting>
  <conditionalFormatting sqref="F29:F32">
    <cfRule type="colorScale" priority="475">
      <colorScale>
        <cfvo type="min"/>
        <cfvo type="percentile" val="50"/>
        <cfvo type="max"/>
        <color rgb="FFF8696B"/>
        <color rgb="FFFFEB84"/>
        <color rgb="FF63BE7B"/>
      </colorScale>
    </cfRule>
  </conditionalFormatting>
  <conditionalFormatting sqref="F29:F32">
    <cfRule type="colorScale" priority="474">
      <colorScale>
        <cfvo type="min"/>
        <cfvo type="percentile" val="50"/>
        <cfvo type="max"/>
        <color rgb="FFF8696B"/>
        <color rgb="FFFFEB84"/>
        <color rgb="FF63BE7B"/>
      </colorScale>
    </cfRule>
  </conditionalFormatting>
  <conditionalFormatting sqref="F29:F32">
    <cfRule type="colorScale" priority="473">
      <colorScale>
        <cfvo type="min"/>
        <cfvo type="percentile" val="50"/>
        <cfvo type="max"/>
        <color rgb="FFF8696B"/>
        <color rgb="FFFFEB84"/>
        <color rgb="FF63BE7B"/>
      </colorScale>
    </cfRule>
  </conditionalFormatting>
  <conditionalFormatting sqref="F29:F32">
    <cfRule type="colorScale" priority="472">
      <colorScale>
        <cfvo type="min"/>
        <cfvo type="percentile" val="50"/>
        <cfvo type="max"/>
        <color rgb="FFF8696B"/>
        <color rgb="FFFFEB84"/>
        <color rgb="FF63BE7B"/>
      </colorScale>
    </cfRule>
  </conditionalFormatting>
  <conditionalFormatting sqref="F29:F32">
    <cfRule type="colorScale" priority="471">
      <colorScale>
        <cfvo type="min"/>
        <cfvo type="percentile" val="50"/>
        <cfvo type="max"/>
        <color rgb="FFF8696B"/>
        <color rgb="FFFFEB84"/>
        <color rgb="FF63BE7B"/>
      </colorScale>
    </cfRule>
  </conditionalFormatting>
  <conditionalFormatting sqref="F29:F32">
    <cfRule type="colorScale" priority="470">
      <colorScale>
        <cfvo type="min"/>
        <cfvo type="percentile" val="50"/>
        <cfvo type="max"/>
        <color rgb="FFF8696B"/>
        <color rgb="FFFFEB84"/>
        <color rgb="FF63BE7B"/>
      </colorScale>
    </cfRule>
  </conditionalFormatting>
  <conditionalFormatting sqref="F29:F32">
    <cfRule type="colorScale" priority="469">
      <colorScale>
        <cfvo type="min"/>
        <cfvo type="percentile" val="50"/>
        <cfvo type="max"/>
        <color rgb="FFF8696B"/>
        <color rgb="FFFFEB84"/>
        <color rgb="FF63BE7B"/>
      </colorScale>
    </cfRule>
  </conditionalFormatting>
  <conditionalFormatting sqref="F29:F32">
    <cfRule type="colorScale" priority="468">
      <colorScale>
        <cfvo type="min"/>
        <cfvo type="percentile" val="50"/>
        <cfvo type="max"/>
        <color rgb="FFF8696B"/>
        <color rgb="FFFFEB84"/>
        <color rgb="FF63BE7B"/>
      </colorScale>
    </cfRule>
  </conditionalFormatting>
  <conditionalFormatting sqref="F29:F32">
    <cfRule type="colorScale" priority="467">
      <colorScale>
        <cfvo type="min"/>
        <cfvo type="percentile" val="50"/>
        <cfvo type="max"/>
        <color rgb="FFF8696B"/>
        <color rgb="FFFFEB84"/>
        <color rgb="FF63BE7B"/>
      </colorScale>
    </cfRule>
  </conditionalFormatting>
  <conditionalFormatting sqref="F29:F32">
    <cfRule type="colorScale" priority="466">
      <colorScale>
        <cfvo type="min"/>
        <cfvo type="percentile" val="50"/>
        <cfvo type="max"/>
        <color rgb="FFF8696B"/>
        <color rgb="FFFFEB84"/>
        <color rgb="FF63BE7B"/>
      </colorScale>
    </cfRule>
  </conditionalFormatting>
  <conditionalFormatting sqref="F29:F32">
    <cfRule type="colorScale" priority="465">
      <colorScale>
        <cfvo type="min"/>
        <cfvo type="percentile" val="50"/>
        <cfvo type="max"/>
        <color rgb="FFF8696B"/>
        <color rgb="FFFFEB84"/>
        <color rgb="FF63BE7B"/>
      </colorScale>
    </cfRule>
  </conditionalFormatting>
  <conditionalFormatting sqref="F29:F32">
    <cfRule type="colorScale" priority="464">
      <colorScale>
        <cfvo type="min"/>
        <cfvo type="percentile" val="50"/>
        <cfvo type="max"/>
        <color rgb="FFF8696B"/>
        <color rgb="FFFFEB84"/>
        <color rgb="FF63BE7B"/>
      </colorScale>
    </cfRule>
  </conditionalFormatting>
  <conditionalFormatting sqref="F29:F32">
    <cfRule type="colorScale" priority="463">
      <colorScale>
        <cfvo type="min"/>
        <cfvo type="percentile" val="50"/>
        <cfvo type="max"/>
        <color rgb="FFF8696B"/>
        <color rgb="FFFFEB84"/>
        <color rgb="FF63BE7B"/>
      </colorScale>
    </cfRule>
  </conditionalFormatting>
  <conditionalFormatting sqref="F29:F32">
    <cfRule type="colorScale" priority="462">
      <colorScale>
        <cfvo type="min"/>
        <cfvo type="percentile" val="50"/>
        <cfvo type="max"/>
        <color rgb="FFF8696B"/>
        <color rgb="FFFFEB84"/>
        <color rgb="FF63BE7B"/>
      </colorScale>
    </cfRule>
  </conditionalFormatting>
  <conditionalFormatting sqref="F29:F32">
    <cfRule type="colorScale" priority="461">
      <colorScale>
        <cfvo type="min"/>
        <cfvo type="percentile" val="50"/>
        <cfvo type="max"/>
        <color rgb="FFF8696B"/>
        <color rgb="FFFFEB84"/>
        <color rgb="FF63BE7B"/>
      </colorScale>
    </cfRule>
  </conditionalFormatting>
  <conditionalFormatting sqref="F29:F32">
    <cfRule type="colorScale" priority="460">
      <colorScale>
        <cfvo type="min"/>
        <cfvo type="percentile" val="50"/>
        <cfvo type="max"/>
        <color rgb="FFF8696B"/>
        <color rgb="FFFFEB84"/>
        <color rgb="FF63BE7B"/>
      </colorScale>
    </cfRule>
  </conditionalFormatting>
  <conditionalFormatting sqref="F29:F32">
    <cfRule type="colorScale" priority="459">
      <colorScale>
        <cfvo type="min"/>
        <cfvo type="percentile" val="50"/>
        <cfvo type="max"/>
        <color rgb="FFF8696B"/>
        <color rgb="FFFFEB84"/>
        <color rgb="FF63BE7B"/>
      </colorScale>
    </cfRule>
  </conditionalFormatting>
  <conditionalFormatting sqref="F29:F32">
    <cfRule type="colorScale" priority="458">
      <colorScale>
        <cfvo type="min"/>
        <cfvo type="percentile" val="50"/>
        <cfvo type="max"/>
        <color rgb="FFF8696B"/>
        <color rgb="FFFFEB84"/>
        <color rgb="FF63BE7B"/>
      </colorScale>
    </cfRule>
  </conditionalFormatting>
  <conditionalFormatting sqref="F29:F32">
    <cfRule type="colorScale" priority="457">
      <colorScale>
        <cfvo type="min"/>
        <cfvo type="percentile" val="50"/>
        <cfvo type="max"/>
        <color rgb="FFF8696B"/>
        <color rgb="FFFFEB84"/>
        <color rgb="FF63BE7B"/>
      </colorScale>
    </cfRule>
  </conditionalFormatting>
  <conditionalFormatting sqref="F29:F32">
    <cfRule type="colorScale" priority="456">
      <colorScale>
        <cfvo type="min"/>
        <cfvo type="percentile" val="50"/>
        <cfvo type="max"/>
        <color rgb="FFF8696B"/>
        <color rgb="FFFFEB84"/>
        <color rgb="FF63BE7B"/>
      </colorScale>
    </cfRule>
  </conditionalFormatting>
  <conditionalFormatting sqref="F29:F32">
    <cfRule type="colorScale" priority="455">
      <colorScale>
        <cfvo type="min"/>
        <cfvo type="percentile" val="50"/>
        <cfvo type="max"/>
        <color rgb="FFF8696B"/>
        <color rgb="FFFFEB84"/>
        <color rgb="FF63BE7B"/>
      </colorScale>
    </cfRule>
  </conditionalFormatting>
  <conditionalFormatting sqref="F29:F32">
    <cfRule type="colorScale" priority="454">
      <colorScale>
        <cfvo type="min"/>
        <cfvo type="percentile" val="50"/>
        <cfvo type="max"/>
        <color rgb="FFF8696B"/>
        <color rgb="FFFFEB84"/>
        <color rgb="FF63BE7B"/>
      </colorScale>
    </cfRule>
  </conditionalFormatting>
  <conditionalFormatting sqref="F29:F32">
    <cfRule type="colorScale" priority="453">
      <colorScale>
        <cfvo type="min"/>
        <cfvo type="percentile" val="50"/>
        <cfvo type="max"/>
        <color rgb="FFF8696B"/>
        <color rgb="FFFFEB84"/>
        <color rgb="FF63BE7B"/>
      </colorScale>
    </cfRule>
  </conditionalFormatting>
  <conditionalFormatting sqref="F29:F32">
    <cfRule type="colorScale" priority="452">
      <colorScale>
        <cfvo type="min"/>
        <cfvo type="percentile" val="50"/>
        <cfvo type="max"/>
        <color rgb="FFF8696B"/>
        <color rgb="FFFFEB84"/>
        <color rgb="FF63BE7B"/>
      </colorScale>
    </cfRule>
  </conditionalFormatting>
  <conditionalFormatting sqref="F29:F32">
    <cfRule type="colorScale" priority="451">
      <colorScale>
        <cfvo type="min"/>
        <cfvo type="percentile" val="50"/>
        <cfvo type="max"/>
        <color rgb="FFF8696B"/>
        <color rgb="FFFFEB84"/>
        <color rgb="FF63BE7B"/>
      </colorScale>
    </cfRule>
  </conditionalFormatting>
  <conditionalFormatting sqref="F29:F32">
    <cfRule type="colorScale" priority="450">
      <colorScale>
        <cfvo type="min"/>
        <cfvo type="percentile" val="50"/>
        <cfvo type="max"/>
        <color rgb="FFF8696B"/>
        <color rgb="FFFFEB84"/>
        <color rgb="FF63BE7B"/>
      </colorScale>
    </cfRule>
  </conditionalFormatting>
  <conditionalFormatting sqref="F29:F32">
    <cfRule type="colorScale" priority="449">
      <colorScale>
        <cfvo type="min"/>
        <cfvo type="percentile" val="50"/>
        <cfvo type="max"/>
        <color rgb="FFF8696B"/>
        <color rgb="FFFFEB84"/>
        <color rgb="FF63BE7B"/>
      </colorScale>
    </cfRule>
  </conditionalFormatting>
  <conditionalFormatting sqref="F29:F32">
    <cfRule type="colorScale" priority="448">
      <colorScale>
        <cfvo type="min"/>
        <cfvo type="percentile" val="50"/>
        <cfvo type="max"/>
        <color rgb="FFF8696B"/>
        <color rgb="FFFFEB84"/>
        <color rgb="FF63BE7B"/>
      </colorScale>
    </cfRule>
  </conditionalFormatting>
  <conditionalFormatting sqref="F29:F32">
    <cfRule type="colorScale" priority="447">
      <colorScale>
        <cfvo type="min"/>
        <cfvo type="percentile" val="50"/>
        <cfvo type="max"/>
        <color rgb="FFF8696B"/>
        <color rgb="FFFFEB84"/>
        <color rgb="FF63BE7B"/>
      </colorScale>
    </cfRule>
  </conditionalFormatting>
  <conditionalFormatting sqref="F29:F32">
    <cfRule type="colorScale" priority="446">
      <colorScale>
        <cfvo type="min"/>
        <cfvo type="percentile" val="50"/>
        <cfvo type="max"/>
        <color rgb="FFF8696B"/>
        <color rgb="FFFFEB84"/>
        <color rgb="FF63BE7B"/>
      </colorScale>
    </cfRule>
  </conditionalFormatting>
  <conditionalFormatting sqref="F29:F32">
    <cfRule type="colorScale" priority="445">
      <colorScale>
        <cfvo type="min"/>
        <cfvo type="percentile" val="50"/>
        <cfvo type="max"/>
        <color rgb="FFF8696B"/>
        <color rgb="FFFFEB84"/>
        <color rgb="FF63BE7B"/>
      </colorScale>
    </cfRule>
  </conditionalFormatting>
  <conditionalFormatting sqref="F29:F32">
    <cfRule type="colorScale" priority="444">
      <colorScale>
        <cfvo type="min"/>
        <cfvo type="percentile" val="50"/>
        <cfvo type="max"/>
        <color rgb="FFF8696B"/>
        <color rgb="FFFFEB84"/>
        <color rgb="FF63BE7B"/>
      </colorScale>
    </cfRule>
  </conditionalFormatting>
  <conditionalFormatting sqref="F29:F32">
    <cfRule type="colorScale" priority="443">
      <colorScale>
        <cfvo type="min"/>
        <cfvo type="percentile" val="50"/>
        <cfvo type="max"/>
        <color rgb="FFF8696B"/>
        <color rgb="FFFFEB84"/>
        <color rgb="FF63BE7B"/>
      </colorScale>
    </cfRule>
  </conditionalFormatting>
  <conditionalFormatting sqref="F29:F32">
    <cfRule type="colorScale" priority="442">
      <colorScale>
        <cfvo type="min"/>
        <cfvo type="percentile" val="50"/>
        <cfvo type="max"/>
        <color rgb="FFF8696B"/>
        <color rgb="FFFFEB84"/>
        <color rgb="FF63BE7B"/>
      </colorScale>
    </cfRule>
  </conditionalFormatting>
  <conditionalFormatting sqref="F29:F32">
    <cfRule type="colorScale" priority="441">
      <colorScale>
        <cfvo type="min"/>
        <cfvo type="percentile" val="50"/>
        <cfvo type="max"/>
        <color rgb="FFF8696B"/>
        <color rgb="FFFFEB84"/>
        <color rgb="FF63BE7B"/>
      </colorScale>
    </cfRule>
  </conditionalFormatting>
  <conditionalFormatting sqref="F29:F32">
    <cfRule type="colorScale" priority="440">
      <colorScale>
        <cfvo type="min"/>
        <cfvo type="percentile" val="50"/>
        <cfvo type="max"/>
        <color rgb="FFF8696B"/>
        <color rgb="FFFFEB84"/>
        <color rgb="FF63BE7B"/>
      </colorScale>
    </cfRule>
  </conditionalFormatting>
  <conditionalFormatting sqref="F29:F32">
    <cfRule type="colorScale" priority="439">
      <colorScale>
        <cfvo type="min"/>
        <cfvo type="percentile" val="50"/>
        <cfvo type="max"/>
        <color rgb="FFF8696B"/>
        <color rgb="FFFFEB84"/>
        <color rgb="FF63BE7B"/>
      </colorScale>
    </cfRule>
  </conditionalFormatting>
  <conditionalFormatting sqref="F29:F32">
    <cfRule type="colorScale" priority="438">
      <colorScale>
        <cfvo type="min"/>
        <cfvo type="percentile" val="50"/>
        <cfvo type="max"/>
        <color rgb="FFF8696B"/>
        <color rgb="FFFFEB84"/>
        <color rgb="FF63BE7B"/>
      </colorScale>
    </cfRule>
  </conditionalFormatting>
  <conditionalFormatting sqref="F29:F32">
    <cfRule type="colorScale" priority="437">
      <colorScale>
        <cfvo type="min"/>
        <cfvo type="percentile" val="50"/>
        <cfvo type="max"/>
        <color rgb="FFF8696B"/>
        <color rgb="FFFFEB84"/>
        <color rgb="FF63BE7B"/>
      </colorScale>
    </cfRule>
  </conditionalFormatting>
  <conditionalFormatting sqref="F29:F32">
    <cfRule type="colorScale" priority="436">
      <colorScale>
        <cfvo type="min"/>
        <cfvo type="percentile" val="50"/>
        <cfvo type="max"/>
        <color rgb="FFF8696B"/>
        <color rgb="FFFFEB84"/>
        <color rgb="FF63BE7B"/>
      </colorScale>
    </cfRule>
  </conditionalFormatting>
  <conditionalFormatting sqref="F29:F32">
    <cfRule type="colorScale" priority="435">
      <colorScale>
        <cfvo type="min"/>
        <cfvo type="percentile" val="50"/>
        <cfvo type="max"/>
        <color rgb="FFF8696B"/>
        <color rgb="FFFFEB84"/>
        <color rgb="FF63BE7B"/>
      </colorScale>
    </cfRule>
  </conditionalFormatting>
  <conditionalFormatting sqref="F29:F32">
    <cfRule type="colorScale" priority="434">
      <colorScale>
        <cfvo type="min"/>
        <cfvo type="percentile" val="50"/>
        <cfvo type="max"/>
        <color rgb="FFF8696B"/>
        <color rgb="FFFFEB84"/>
        <color rgb="FF63BE7B"/>
      </colorScale>
    </cfRule>
  </conditionalFormatting>
  <conditionalFormatting sqref="F29:F32">
    <cfRule type="colorScale" priority="433">
      <colorScale>
        <cfvo type="min"/>
        <cfvo type="percentile" val="50"/>
        <cfvo type="max"/>
        <color rgb="FFF8696B"/>
        <color rgb="FFFFEB84"/>
        <color rgb="FF63BE7B"/>
      </colorScale>
    </cfRule>
  </conditionalFormatting>
  <conditionalFormatting sqref="F29:F32">
    <cfRule type="colorScale" priority="432">
      <colorScale>
        <cfvo type="min"/>
        <cfvo type="percentile" val="50"/>
        <cfvo type="max"/>
        <color rgb="FFF8696B"/>
        <color rgb="FFFFEB84"/>
        <color rgb="FF63BE7B"/>
      </colorScale>
    </cfRule>
  </conditionalFormatting>
  <conditionalFormatting sqref="F29:F32">
    <cfRule type="colorScale" priority="431">
      <colorScale>
        <cfvo type="min"/>
        <cfvo type="percentile" val="50"/>
        <cfvo type="max"/>
        <color rgb="FFF8696B"/>
        <color rgb="FFFFEB84"/>
        <color rgb="FF63BE7B"/>
      </colorScale>
    </cfRule>
  </conditionalFormatting>
  <conditionalFormatting sqref="F29:F32">
    <cfRule type="colorScale" priority="430">
      <colorScale>
        <cfvo type="min"/>
        <cfvo type="percentile" val="50"/>
        <cfvo type="max"/>
        <color rgb="FFF8696B"/>
        <color rgb="FFFFEB84"/>
        <color rgb="FF63BE7B"/>
      </colorScale>
    </cfRule>
  </conditionalFormatting>
  <conditionalFormatting sqref="F29:F32">
    <cfRule type="colorScale" priority="429">
      <colorScale>
        <cfvo type="min"/>
        <cfvo type="percentile" val="50"/>
        <cfvo type="max"/>
        <color rgb="FFF8696B"/>
        <color rgb="FFFFEB84"/>
        <color rgb="FF63BE7B"/>
      </colorScale>
    </cfRule>
  </conditionalFormatting>
  <conditionalFormatting sqref="F29:F32">
    <cfRule type="colorScale" priority="428">
      <colorScale>
        <cfvo type="min"/>
        <cfvo type="percentile" val="50"/>
        <cfvo type="max"/>
        <color rgb="FFF8696B"/>
        <color rgb="FFFFEB84"/>
        <color rgb="FF63BE7B"/>
      </colorScale>
    </cfRule>
  </conditionalFormatting>
  <conditionalFormatting sqref="F29:F32">
    <cfRule type="colorScale" priority="427">
      <colorScale>
        <cfvo type="min"/>
        <cfvo type="percentile" val="50"/>
        <cfvo type="max"/>
        <color rgb="FFF8696B"/>
        <color rgb="FFFFEB84"/>
        <color rgb="FF63BE7B"/>
      </colorScale>
    </cfRule>
  </conditionalFormatting>
  <conditionalFormatting sqref="F29:F32">
    <cfRule type="colorScale" priority="426">
      <colorScale>
        <cfvo type="min"/>
        <cfvo type="percentile" val="50"/>
        <cfvo type="max"/>
        <color rgb="FFF8696B"/>
        <color rgb="FFFFEB84"/>
        <color rgb="FF63BE7B"/>
      </colorScale>
    </cfRule>
  </conditionalFormatting>
  <conditionalFormatting sqref="F29:F32">
    <cfRule type="colorScale" priority="425">
      <colorScale>
        <cfvo type="min"/>
        <cfvo type="percentile" val="50"/>
        <cfvo type="max"/>
        <color rgb="FFF8696B"/>
        <color rgb="FFFFEB84"/>
        <color rgb="FF63BE7B"/>
      </colorScale>
    </cfRule>
  </conditionalFormatting>
  <conditionalFormatting sqref="F29:F32">
    <cfRule type="colorScale" priority="424">
      <colorScale>
        <cfvo type="min"/>
        <cfvo type="percentile" val="50"/>
        <cfvo type="max"/>
        <color rgb="FFF8696B"/>
        <color rgb="FFFFEB84"/>
        <color rgb="FF63BE7B"/>
      </colorScale>
    </cfRule>
  </conditionalFormatting>
  <conditionalFormatting sqref="F29:F32">
    <cfRule type="colorScale" priority="423">
      <colorScale>
        <cfvo type="min"/>
        <cfvo type="percentile" val="50"/>
        <cfvo type="max"/>
        <color rgb="FFF8696B"/>
        <color rgb="FFFFEB84"/>
        <color rgb="FF63BE7B"/>
      </colorScale>
    </cfRule>
  </conditionalFormatting>
  <conditionalFormatting sqref="F29:F32">
    <cfRule type="colorScale" priority="422">
      <colorScale>
        <cfvo type="min"/>
        <cfvo type="percentile" val="50"/>
        <cfvo type="max"/>
        <color rgb="FFF8696B"/>
        <color rgb="FFFFEB84"/>
        <color rgb="FF63BE7B"/>
      </colorScale>
    </cfRule>
  </conditionalFormatting>
  <conditionalFormatting sqref="F29:F32">
    <cfRule type="colorScale" priority="421">
      <colorScale>
        <cfvo type="min"/>
        <cfvo type="percentile" val="50"/>
        <cfvo type="max"/>
        <color rgb="FFF8696B"/>
        <color rgb="FFFFEB84"/>
        <color rgb="FF63BE7B"/>
      </colorScale>
    </cfRule>
  </conditionalFormatting>
  <conditionalFormatting sqref="F29:F32">
    <cfRule type="colorScale" priority="420">
      <colorScale>
        <cfvo type="min"/>
        <cfvo type="percentile" val="50"/>
        <cfvo type="max"/>
        <color rgb="FFF8696B"/>
        <color rgb="FFFFEB84"/>
        <color rgb="FF63BE7B"/>
      </colorScale>
    </cfRule>
  </conditionalFormatting>
  <conditionalFormatting sqref="F29:F32">
    <cfRule type="colorScale" priority="419">
      <colorScale>
        <cfvo type="min"/>
        <cfvo type="percentile" val="50"/>
        <cfvo type="max"/>
        <color rgb="FFF8696B"/>
        <color rgb="FFFFEB84"/>
        <color rgb="FF63BE7B"/>
      </colorScale>
    </cfRule>
  </conditionalFormatting>
  <conditionalFormatting sqref="F29:F32">
    <cfRule type="colorScale" priority="418">
      <colorScale>
        <cfvo type="min"/>
        <cfvo type="percentile" val="50"/>
        <cfvo type="max"/>
        <color rgb="FFF8696B"/>
        <color rgb="FFFFEB84"/>
        <color rgb="FF63BE7B"/>
      </colorScale>
    </cfRule>
  </conditionalFormatting>
  <conditionalFormatting sqref="F29:F32">
    <cfRule type="colorScale" priority="417">
      <colorScale>
        <cfvo type="min"/>
        <cfvo type="percentile" val="50"/>
        <cfvo type="max"/>
        <color rgb="FFF8696B"/>
        <color rgb="FFFFEB84"/>
        <color rgb="FF63BE7B"/>
      </colorScale>
    </cfRule>
  </conditionalFormatting>
  <conditionalFormatting sqref="F29:F32">
    <cfRule type="colorScale" priority="416">
      <colorScale>
        <cfvo type="min"/>
        <cfvo type="percentile" val="50"/>
        <cfvo type="max"/>
        <color rgb="FFF8696B"/>
        <color rgb="FFFFEB84"/>
        <color rgb="FF63BE7B"/>
      </colorScale>
    </cfRule>
  </conditionalFormatting>
  <conditionalFormatting sqref="F29:F32">
    <cfRule type="colorScale" priority="415">
      <colorScale>
        <cfvo type="min"/>
        <cfvo type="percentile" val="50"/>
        <cfvo type="max"/>
        <color rgb="FFF8696B"/>
        <color rgb="FFFFEB84"/>
        <color rgb="FF63BE7B"/>
      </colorScale>
    </cfRule>
  </conditionalFormatting>
  <conditionalFormatting sqref="F29:F32">
    <cfRule type="colorScale" priority="414">
      <colorScale>
        <cfvo type="min"/>
        <cfvo type="percentile" val="50"/>
        <cfvo type="max"/>
        <color rgb="FFF8696B"/>
        <color rgb="FFFFEB84"/>
        <color rgb="FF63BE7B"/>
      </colorScale>
    </cfRule>
  </conditionalFormatting>
  <conditionalFormatting sqref="F29:F32">
    <cfRule type="colorScale" priority="413">
      <colorScale>
        <cfvo type="min"/>
        <cfvo type="percentile" val="50"/>
        <cfvo type="max"/>
        <color rgb="FFF8696B"/>
        <color rgb="FFFFEB84"/>
        <color rgb="FF63BE7B"/>
      </colorScale>
    </cfRule>
  </conditionalFormatting>
  <conditionalFormatting sqref="F29:F32">
    <cfRule type="colorScale" priority="412">
      <colorScale>
        <cfvo type="min"/>
        <cfvo type="percentile" val="50"/>
        <cfvo type="max"/>
        <color rgb="FFF8696B"/>
        <color rgb="FFFFEB84"/>
        <color rgb="FF63BE7B"/>
      </colorScale>
    </cfRule>
  </conditionalFormatting>
  <conditionalFormatting sqref="F29:F32">
    <cfRule type="colorScale" priority="411">
      <colorScale>
        <cfvo type="min"/>
        <cfvo type="percentile" val="50"/>
        <cfvo type="max"/>
        <color rgb="FFF8696B"/>
        <color rgb="FFFFEB84"/>
        <color rgb="FF63BE7B"/>
      </colorScale>
    </cfRule>
  </conditionalFormatting>
  <conditionalFormatting sqref="F29:F32">
    <cfRule type="colorScale" priority="410">
      <colorScale>
        <cfvo type="min"/>
        <cfvo type="percentile" val="50"/>
        <cfvo type="max"/>
        <color rgb="FFF8696B"/>
        <color rgb="FFFFEB84"/>
        <color rgb="FF63BE7B"/>
      </colorScale>
    </cfRule>
  </conditionalFormatting>
  <conditionalFormatting sqref="F29:F32">
    <cfRule type="colorScale" priority="409">
      <colorScale>
        <cfvo type="min"/>
        <cfvo type="percentile" val="50"/>
        <cfvo type="max"/>
        <color rgb="FFF8696B"/>
        <color rgb="FFFFEB84"/>
        <color rgb="FF63BE7B"/>
      </colorScale>
    </cfRule>
  </conditionalFormatting>
  <conditionalFormatting sqref="F29:F32">
    <cfRule type="colorScale" priority="408">
      <colorScale>
        <cfvo type="min"/>
        <cfvo type="percentile" val="50"/>
        <cfvo type="max"/>
        <color rgb="FFF8696B"/>
        <color rgb="FFFFEB84"/>
        <color rgb="FF63BE7B"/>
      </colorScale>
    </cfRule>
  </conditionalFormatting>
  <conditionalFormatting sqref="F29:F32">
    <cfRule type="colorScale" priority="407">
      <colorScale>
        <cfvo type="min"/>
        <cfvo type="percentile" val="50"/>
        <cfvo type="max"/>
        <color rgb="FFF8696B"/>
        <color rgb="FFFFEB84"/>
        <color rgb="FF63BE7B"/>
      </colorScale>
    </cfRule>
  </conditionalFormatting>
  <conditionalFormatting sqref="F29:F32">
    <cfRule type="colorScale" priority="406">
      <colorScale>
        <cfvo type="min"/>
        <cfvo type="percentile" val="50"/>
        <cfvo type="max"/>
        <color rgb="FFF8696B"/>
        <color rgb="FFFFEB84"/>
        <color rgb="FF63BE7B"/>
      </colorScale>
    </cfRule>
  </conditionalFormatting>
  <conditionalFormatting sqref="F29:F32">
    <cfRule type="colorScale" priority="405">
      <colorScale>
        <cfvo type="min"/>
        <cfvo type="percentile" val="50"/>
        <cfvo type="max"/>
        <color rgb="FFF8696B"/>
        <color rgb="FFFFEB84"/>
        <color rgb="FF63BE7B"/>
      </colorScale>
    </cfRule>
  </conditionalFormatting>
  <conditionalFormatting sqref="F29:F32">
    <cfRule type="colorScale" priority="404">
      <colorScale>
        <cfvo type="min"/>
        <cfvo type="percentile" val="50"/>
        <cfvo type="max"/>
        <color rgb="FFF8696B"/>
        <color rgb="FFFFEB84"/>
        <color rgb="FF63BE7B"/>
      </colorScale>
    </cfRule>
  </conditionalFormatting>
  <conditionalFormatting sqref="F29:F32">
    <cfRule type="colorScale" priority="403">
      <colorScale>
        <cfvo type="min"/>
        <cfvo type="percentile" val="50"/>
        <cfvo type="max"/>
        <color rgb="FFF8696B"/>
        <color rgb="FFFFEB84"/>
        <color rgb="FF63BE7B"/>
      </colorScale>
    </cfRule>
  </conditionalFormatting>
  <conditionalFormatting sqref="F29:F32">
    <cfRule type="colorScale" priority="402">
      <colorScale>
        <cfvo type="min"/>
        <cfvo type="percentile" val="50"/>
        <cfvo type="max"/>
        <color rgb="FFF8696B"/>
        <color rgb="FFFFEB84"/>
        <color rgb="FF63BE7B"/>
      </colorScale>
    </cfRule>
  </conditionalFormatting>
  <conditionalFormatting sqref="F29:F32">
    <cfRule type="colorScale" priority="401">
      <colorScale>
        <cfvo type="min"/>
        <cfvo type="percentile" val="50"/>
        <cfvo type="max"/>
        <color rgb="FFF8696B"/>
        <color rgb="FFFFEB84"/>
        <color rgb="FF63BE7B"/>
      </colorScale>
    </cfRule>
  </conditionalFormatting>
  <conditionalFormatting sqref="F29:F32">
    <cfRule type="colorScale" priority="400">
      <colorScale>
        <cfvo type="min"/>
        <cfvo type="percentile" val="50"/>
        <cfvo type="max"/>
        <color rgb="FFF8696B"/>
        <color rgb="FFFFEB84"/>
        <color rgb="FF63BE7B"/>
      </colorScale>
    </cfRule>
  </conditionalFormatting>
  <conditionalFormatting sqref="F29:F32">
    <cfRule type="colorScale" priority="399">
      <colorScale>
        <cfvo type="min"/>
        <cfvo type="percentile" val="50"/>
        <cfvo type="max"/>
        <color rgb="FFF8696B"/>
        <color rgb="FFFFEB84"/>
        <color rgb="FF63BE7B"/>
      </colorScale>
    </cfRule>
  </conditionalFormatting>
  <conditionalFormatting sqref="F29:F32">
    <cfRule type="colorScale" priority="398">
      <colorScale>
        <cfvo type="min"/>
        <cfvo type="percentile" val="50"/>
        <cfvo type="max"/>
        <color rgb="FFF8696B"/>
        <color rgb="FFFFEB84"/>
        <color rgb="FF63BE7B"/>
      </colorScale>
    </cfRule>
  </conditionalFormatting>
  <conditionalFormatting sqref="F29:F32">
    <cfRule type="colorScale" priority="397">
      <colorScale>
        <cfvo type="min"/>
        <cfvo type="percentile" val="50"/>
        <cfvo type="max"/>
        <color rgb="FFF8696B"/>
        <color rgb="FFFFEB84"/>
        <color rgb="FF63BE7B"/>
      </colorScale>
    </cfRule>
  </conditionalFormatting>
  <conditionalFormatting sqref="F29:F32">
    <cfRule type="colorScale" priority="396">
      <colorScale>
        <cfvo type="min"/>
        <cfvo type="percentile" val="50"/>
        <cfvo type="max"/>
        <color rgb="FFF8696B"/>
        <color rgb="FFFFEB84"/>
        <color rgb="FF63BE7B"/>
      </colorScale>
    </cfRule>
  </conditionalFormatting>
  <conditionalFormatting sqref="F29:F32">
    <cfRule type="colorScale" priority="395">
      <colorScale>
        <cfvo type="min"/>
        <cfvo type="percentile" val="50"/>
        <cfvo type="max"/>
        <color rgb="FFF8696B"/>
        <color rgb="FFFFEB84"/>
        <color rgb="FF63BE7B"/>
      </colorScale>
    </cfRule>
  </conditionalFormatting>
  <conditionalFormatting sqref="F29:F32">
    <cfRule type="colorScale" priority="394">
      <colorScale>
        <cfvo type="min"/>
        <cfvo type="percentile" val="50"/>
        <cfvo type="max"/>
        <color rgb="FFF8696B"/>
        <color rgb="FFFFEB84"/>
        <color rgb="FF63BE7B"/>
      </colorScale>
    </cfRule>
  </conditionalFormatting>
  <conditionalFormatting sqref="F29:F32">
    <cfRule type="colorScale" priority="393">
      <colorScale>
        <cfvo type="min"/>
        <cfvo type="percentile" val="50"/>
        <cfvo type="max"/>
        <color rgb="FFF8696B"/>
        <color rgb="FFFFEB84"/>
        <color rgb="FF63BE7B"/>
      </colorScale>
    </cfRule>
  </conditionalFormatting>
  <conditionalFormatting sqref="F29:F32">
    <cfRule type="colorScale" priority="392">
      <colorScale>
        <cfvo type="min"/>
        <cfvo type="percentile" val="50"/>
        <cfvo type="max"/>
        <color rgb="FFF8696B"/>
        <color rgb="FFFFEB84"/>
        <color rgb="FF63BE7B"/>
      </colorScale>
    </cfRule>
  </conditionalFormatting>
  <conditionalFormatting sqref="F29:F32">
    <cfRule type="colorScale" priority="391">
      <colorScale>
        <cfvo type="min"/>
        <cfvo type="percentile" val="50"/>
        <cfvo type="max"/>
        <color rgb="FFF8696B"/>
        <color rgb="FFFFEB84"/>
        <color rgb="FF63BE7B"/>
      </colorScale>
    </cfRule>
  </conditionalFormatting>
  <conditionalFormatting sqref="F29:F32">
    <cfRule type="colorScale" priority="390">
      <colorScale>
        <cfvo type="min"/>
        <cfvo type="percentile" val="50"/>
        <cfvo type="max"/>
        <color rgb="FFF8696B"/>
        <color rgb="FFFFEB84"/>
        <color rgb="FF63BE7B"/>
      </colorScale>
    </cfRule>
  </conditionalFormatting>
  <conditionalFormatting sqref="F29:F32">
    <cfRule type="colorScale" priority="389">
      <colorScale>
        <cfvo type="min"/>
        <cfvo type="percentile" val="50"/>
        <cfvo type="max"/>
        <color rgb="FFF8696B"/>
        <color rgb="FFFFEB84"/>
        <color rgb="FF63BE7B"/>
      </colorScale>
    </cfRule>
  </conditionalFormatting>
  <conditionalFormatting sqref="F29:F32">
    <cfRule type="colorScale" priority="388">
      <colorScale>
        <cfvo type="min"/>
        <cfvo type="percentile" val="50"/>
        <cfvo type="max"/>
        <color rgb="FFF8696B"/>
        <color rgb="FFFFEB84"/>
        <color rgb="FF63BE7B"/>
      </colorScale>
    </cfRule>
  </conditionalFormatting>
  <conditionalFormatting sqref="F29:F32">
    <cfRule type="colorScale" priority="387">
      <colorScale>
        <cfvo type="min"/>
        <cfvo type="percentile" val="50"/>
        <cfvo type="max"/>
        <color rgb="FFF8696B"/>
        <color rgb="FFFFEB84"/>
        <color rgb="FF63BE7B"/>
      </colorScale>
    </cfRule>
  </conditionalFormatting>
  <conditionalFormatting sqref="F29:F32">
    <cfRule type="colorScale" priority="386">
      <colorScale>
        <cfvo type="min"/>
        <cfvo type="percentile" val="50"/>
        <cfvo type="max"/>
        <color rgb="FFF8696B"/>
        <color rgb="FFFFEB84"/>
        <color rgb="FF63BE7B"/>
      </colorScale>
    </cfRule>
  </conditionalFormatting>
  <conditionalFormatting sqref="F29:F32">
    <cfRule type="colorScale" priority="385">
      <colorScale>
        <cfvo type="min"/>
        <cfvo type="percentile" val="50"/>
        <cfvo type="max"/>
        <color rgb="FFF8696B"/>
        <color rgb="FFFFEB84"/>
        <color rgb="FF63BE7B"/>
      </colorScale>
    </cfRule>
  </conditionalFormatting>
  <conditionalFormatting sqref="F29:F32">
    <cfRule type="colorScale" priority="384">
      <colorScale>
        <cfvo type="min"/>
        <cfvo type="percentile" val="50"/>
        <cfvo type="max"/>
        <color rgb="FFF8696B"/>
        <color rgb="FFFFEB84"/>
        <color rgb="FF63BE7B"/>
      </colorScale>
    </cfRule>
  </conditionalFormatting>
  <conditionalFormatting sqref="F29:F32">
    <cfRule type="colorScale" priority="383">
      <colorScale>
        <cfvo type="min"/>
        <cfvo type="percentile" val="50"/>
        <cfvo type="max"/>
        <color rgb="FFF8696B"/>
        <color rgb="FFFFEB84"/>
        <color rgb="FF63BE7B"/>
      </colorScale>
    </cfRule>
  </conditionalFormatting>
  <conditionalFormatting sqref="F29:F32">
    <cfRule type="colorScale" priority="382">
      <colorScale>
        <cfvo type="min"/>
        <cfvo type="percentile" val="50"/>
        <cfvo type="max"/>
        <color rgb="FFF8696B"/>
        <color rgb="FFFFEB84"/>
        <color rgb="FF63BE7B"/>
      </colorScale>
    </cfRule>
  </conditionalFormatting>
  <conditionalFormatting sqref="F29:F32">
    <cfRule type="colorScale" priority="381">
      <colorScale>
        <cfvo type="min"/>
        <cfvo type="percentile" val="50"/>
        <cfvo type="max"/>
        <color rgb="FFF8696B"/>
        <color rgb="FFFFEB84"/>
        <color rgb="FF63BE7B"/>
      </colorScale>
    </cfRule>
  </conditionalFormatting>
  <conditionalFormatting sqref="F29:F32">
    <cfRule type="colorScale" priority="380">
      <colorScale>
        <cfvo type="min"/>
        <cfvo type="percentile" val="50"/>
        <cfvo type="max"/>
        <color rgb="FFF8696B"/>
        <color rgb="FFFFEB84"/>
        <color rgb="FF63BE7B"/>
      </colorScale>
    </cfRule>
  </conditionalFormatting>
  <conditionalFormatting sqref="F29:F32">
    <cfRule type="colorScale" priority="379">
      <colorScale>
        <cfvo type="min"/>
        <cfvo type="percentile" val="50"/>
        <cfvo type="max"/>
        <color rgb="FFF8696B"/>
        <color rgb="FFFFEB84"/>
        <color rgb="FF63BE7B"/>
      </colorScale>
    </cfRule>
  </conditionalFormatting>
  <conditionalFormatting sqref="F29:F32">
    <cfRule type="colorScale" priority="378">
      <colorScale>
        <cfvo type="min"/>
        <cfvo type="percentile" val="50"/>
        <cfvo type="max"/>
        <color rgb="FFF8696B"/>
        <color rgb="FFFFEB84"/>
        <color rgb="FF63BE7B"/>
      </colorScale>
    </cfRule>
  </conditionalFormatting>
  <conditionalFormatting sqref="F29:F32">
    <cfRule type="colorScale" priority="377">
      <colorScale>
        <cfvo type="min"/>
        <cfvo type="percentile" val="50"/>
        <cfvo type="max"/>
        <color rgb="FFF8696B"/>
        <color rgb="FFFFEB84"/>
        <color rgb="FF63BE7B"/>
      </colorScale>
    </cfRule>
  </conditionalFormatting>
  <conditionalFormatting sqref="F29:F32">
    <cfRule type="colorScale" priority="376">
      <colorScale>
        <cfvo type="min"/>
        <cfvo type="percentile" val="50"/>
        <cfvo type="max"/>
        <color rgb="FFF8696B"/>
        <color rgb="FFFFEB84"/>
        <color rgb="FF63BE7B"/>
      </colorScale>
    </cfRule>
  </conditionalFormatting>
  <conditionalFormatting sqref="F29:F32">
    <cfRule type="colorScale" priority="375">
      <colorScale>
        <cfvo type="min"/>
        <cfvo type="percentile" val="50"/>
        <cfvo type="max"/>
        <color rgb="FFF8696B"/>
        <color rgb="FFFFEB84"/>
        <color rgb="FF63BE7B"/>
      </colorScale>
    </cfRule>
  </conditionalFormatting>
  <conditionalFormatting sqref="F29:F32">
    <cfRule type="colorScale" priority="374">
      <colorScale>
        <cfvo type="min"/>
        <cfvo type="percentile" val="50"/>
        <cfvo type="max"/>
        <color rgb="FFF8696B"/>
        <color rgb="FFFFEB84"/>
        <color rgb="FF63BE7B"/>
      </colorScale>
    </cfRule>
  </conditionalFormatting>
  <conditionalFormatting sqref="F29:F32">
    <cfRule type="colorScale" priority="373">
      <colorScale>
        <cfvo type="min"/>
        <cfvo type="percentile" val="50"/>
        <cfvo type="max"/>
        <color rgb="FFF8696B"/>
        <color rgb="FFFFEB84"/>
        <color rgb="FF63BE7B"/>
      </colorScale>
    </cfRule>
  </conditionalFormatting>
  <conditionalFormatting sqref="F29:F32">
    <cfRule type="colorScale" priority="372">
      <colorScale>
        <cfvo type="min"/>
        <cfvo type="percentile" val="50"/>
        <cfvo type="max"/>
        <color rgb="FFF8696B"/>
        <color rgb="FFFFEB84"/>
        <color rgb="FF63BE7B"/>
      </colorScale>
    </cfRule>
  </conditionalFormatting>
  <conditionalFormatting sqref="F29:F32">
    <cfRule type="colorScale" priority="371">
      <colorScale>
        <cfvo type="min"/>
        <cfvo type="percentile" val="50"/>
        <cfvo type="max"/>
        <color rgb="FFF8696B"/>
        <color rgb="FFFFEB84"/>
        <color rgb="FF63BE7B"/>
      </colorScale>
    </cfRule>
  </conditionalFormatting>
  <conditionalFormatting sqref="F29:F32">
    <cfRule type="colorScale" priority="370">
      <colorScale>
        <cfvo type="min"/>
        <cfvo type="percentile" val="50"/>
        <cfvo type="max"/>
        <color rgb="FFF8696B"/>
        <color rgb="FFFFEB84"/>
        <color rgb="FF63BE7B"/>
      </colorScale>
    </cfRule>
  </conditionalFormatting>
  <conditionalFormatting sqref="F29:F32">
    <cfRule type="colorScale" priority="369">
      <colorScale>
        <cfvo type="min"/>
        <cfvo type="percentile" val="50"/>
        <cfvo type="max"/>
        <color rgb="FFF8696B"/>
        <color rgb="FFFFEB84"/>
        <color rgb="FF63BE7B"/>
      </colorScale>
    </cfRule>
  </conditionalFormatting>
  <conditionalFormatting sqref="F29:F32">
    <cfRule type="colorScale" priority="368">
      <colorScale>
        <cfvo type="min"/>
        <cfvo type="percentile" val="50"/>
        <cfvo type="max"/>
        <color rgb="FFF8696B"/>
        <color rgb="FFFFEB84"/>
        <color rgb="FF63BE7B"/>
      </colorScale>
    </cfRule>
  </conditionalFormatting>
  <conditionalFormatting sqref="F29:F32">
    <cfRule type="colorScale" priority="367">
      <colorScale>
        <cfvo type="min"/>
        <cfvo type="percentile" val="50"/>
        <cfvo type="max"/>
        <color rgb="FFF8696B"/>
        <color rgb="FFFFEB84"/>
        <color rgb="FF63BE7B"/>
      </colorScale>
    </cfRule>
  </conditionalFormatting>
  <conditionalFormatting sqref="F29:F32">
    <cfRule type="colorScale" priority="366">
      <colorScale>
        <cfvo type="min"/>
        <cfvo type="percentile" val="50"/>
        <cfvo type="max"/>
        <color rgb="FFF8696B"/>
        <color rgb="FFFFEB84"/>
        <color rgb="FF63BE7B"/>
      </colorScale>
    </cfRule>
  </conditionalFormatting>
  <conditionalFormatting sqref="F29:F32">
    <cfRule type="colorScale" priority="365">
      <colorScale>
        <cfvo type="min"/>
        <cfvo type="percentile" val="50"/>
        <cfvo type="max"/>
        <color rgb="FFF8696B"/>
        <color rgb="FFFFEB84"/>
        <color rgb="FF63BE7B"/>
      </colorScale>
    </cfRule>
  </conditionalFormatting>
  <conditionalFormatting sqref="F29:F32">
    <cfRule type="colorScale" priority="364">
      <colorScale>
        <cfvo type="min"/>
        <cfvo type="percentile" val="50"/>
        <cfvo type="max"/>
        <color rgb="FFF8696B"/>
        <color rgb="FFFFEB84"/>
        <color rgb="FF63BE7B"/>
      </colorScale>
    </cfRule>
  </conditionalFormatting>
  <conditionalFormatting sqref="F29:F32">
    <cfRule type="colorScale" priority="363">
      <colorScale>
        <cfvo type="min"/>
        <cfvo type="percentile" val="50"/>
        <cfvo type="max"/>
        <color rgb="FFF8696B"/>
        <color rgb="FFFFEB84"/>
        <color rgb="FF63BE7B"/>
      </colorScale>
    </cfRule>
  </conditionalFormatting>
  <conditionalFormatting sqref="F29:F32">
    <cfRule type="colorScale" priority="362">
      <colorScale>
        <cfvo type="min"/>
        <cfvo type="percentile" val="50"/>
        <cfvo type="max"/>
        <color rgb="FFF8696B"/>
        <color rgb="FFFFEB84"/>
        <color rgb="FF63BE7B"/>
      </colorScale>
    </cfRule>
  </conditionalFormatting>
  <conditionalFormatting sqref="F29:F32">
    <cfRule type="colorScale" priority="361">
      <colorScale>
        <cfvo type="min"/>
        <cfvo type="percentile" val="50"/>
        <cfvo type="max"/>
        <color rgb="FFF8696B"/>
        <color rgb="FFFFEB84"/>
        <color rgb="FF63BE7B"/>
      </colorScale>
    </cfRule>
  </conditionalFormatting>
  <conditionalFormatting sqref="F29:F32">
    <cfRule type="colorScale" priority="360">
      <colorScale>
        <cfvo type="min"/>
        <cfvo type="percentile" val="50"/>
        <cfvo type="max"/>
        <color rgb="FFF8696B"/>
        <color rgb="FFFFEB84"/>
        <color rgb="FF63BE7B"/>
      </colorScale>
    </cfRule>
  </conditionalFormatting>
  <conditionalFormatting sqref="F29:F32">
    <cfRule type="colorScale" priority="359">
      <colorScale>
        <cfvo type="min"/>
        <cfvo type="percentile" val="50"/>
        <cfvo type="max"/>
        <color rgb="FFF8696B"/>
        <color rgb="FFFFEB84"/>
        <color rgb="FF63BE7B"/>
      </colorScale>
    </cfRule>
  </conditionalFormatting>
  <conditionalFormatting sqref="F29:F32">
    <cfRule type="colorScale" priority="358">
      <colorScale>
        <cfvo type="min"/>
        <cfvo type="percentile" val="50"/>
        <cfvo type="max"/>
        <color rgb="FFF8696B"/>
        <color rgb="FFFFEB84"/>
        <color rgb="FF63BE7B"/>
      </colorScale>
    </cfRule>
  </conditionalFormatting>
  <conditionalFormatting sqref="F11:F31">
    <cfRule type="colorScale" priority="357">
      <colorScale>
        <cfvo type="min"/>
        <cfvo type="percentile" val="50"/>
        <cfvo type="max"/>
        <color rgb="FFF8696B"/>
        <color rgb="FFFFEB84"/>
        <color rgb="FF63BE7B"/>
      </colorScale>
    </cfRule>
  </conditionalFormatting>
  <conditionalFormatting sqref="F11:F31">
    <cfRule type="colorScale" priority="356">
      <colorScale>
        <cfvo type="min"/>
        <cfvo type="percentile" val="50"/>
        <cfvo type="max"/>
        <color rgb="FFF8696B"/>
        <color rgb="FFFFEB84"/>
        <color rgb="FF63BE7B"/>
      </colorScale>
    </cfRule>
  </conditionalFormatting>
  <conditionalFormatting sqref="F11:F31">
    <cfRule type="colorScale" priority="355">
      <colorScale>
        <cfvo type="min"/>
        <cfvo type="percentile" val="50"/>
        <cfvo type="max"/>
        <color rgb="FFF8696B"/>
        <color rgb="FFFFEB84"/>
        <color rgb="FF63BE7B"/>
      </colorScale>
    </cfRule>
  </conditionalFormatting>
  <conditionalFormatting sqref="F11:F31">
    <cfRule type="colorScale" priority="354">
      <colorScale>
        <cfvo type="min"/>
        <cfvo type="percentile" val="50"/>
        <cfvo type="max"/>
        <color rgb="FFF8696B"/>
        <color rgb="FFFFEB84"/>
        <color rgb="FF63BE7B"/>
      </colorScale>
    </cfRule>
  </conditionalFormatting>
  <conditionalFormatting sqref="F11:F31">
    <cfRule type="colorScale" priority="353">
      <colorScale>
        <cfvo type="min"/>
        <cfvo type="percentile" val="50"/>
        <cfvo type="max"/>
        <color rgb="FFF8696B"/>
        <color rgb="FFFFEB84"/>
        <color rgb="FF63BE7B"/>
      </colorScale>
    </cfRule>
  </conditionalFormatting>
  <conditionalFormatting sqref="F11:F31">
    <cfRule type="colorScale" priority="352">
      <colorScale>
        <cfvo type="min"/>
        <cfvo type="percentile" val="50"/>
        <cfvo type="max"/>
        <color rgb="FFF8696B"/>
        <color rgb="FFFFEB84"/>
        <color rgb="FF63BE7B"/>
      </colorScale>
    </cfRule>
  </conditionalFormatting>
  <conditionalFormatting sqref="F11:F31">
    <cfRule type="colorScale" priority="351">
      <colorScale>
        <cfvo type="min"/>
        <cfvo type="percentile" val="50"/>
        <cfvo type="max"/>
        <color rgb="FFF8696B"/>
        <color rgb="FFFFEB84"/>
        <color rgb="FF63BE7B"/>
      </colorScale>
    </cfRule>
  </conditionalFormatting>
  <conditionalFormatting sqref="F11:F31">
    <cfRule type="colorScale" priority="350">
      <colorScale>
        <cfvo type="min"/>
        <cfvo type="percentile" val="50"/>
        <cfvo type="max"/>
        <color rgb="FFF8696B"/>
        <color rgb="FFFFEB84"/>
        <color rgb="FF63BE7B"/>
      </colorScale>
    </cfRule>
  </conditionalFormatting>
  <conditionalFormatting sqref="F11:F31">
    <cfRule type="colorScale" priority="349">
      <colorScale>
        <cfvo type="min"/>
        <cfvo type="percentile" val="50"/>
        <cfvo type="max"/>
        <color rgb="FFF8696B"/>
        <color rgb="FFFFEB84"/>
        <color rgb="FF63BE7B"/>
      </colorScale>
    </cfRule>
  </conditionalFormatting>
  <conditionalFormatting sqref="F11:F31">
    <cfRule type="colorScale" priority="348">
      <colorScale>
        <cfvo type="min"/>
        <cfvo type="percentile" val="50"/>
        <cfvo type="max"/>
        <color rgb="FFF8696B"/>
        <color rgb="FFFFEB84"/>
        <color rgb="FF63BE7B"/>
      </colorScale>
    </cfRule>
  </conditionalFormatting>
  <conditionalFormatting sqref="F11:F31">
    <cfRule type="colorScale" priority="347">
      <colorScale>
        <cfvo type="min"/>
        <cfvo type="percentile" val="50"/>
        <cfvo type="max"/>
        <color rgb="FFF8696B"/>
        <color rgb="FFFFEB84"/>
        <color rgb="FF63BE7B"/>
      </colorScale>
    </cfRule>
  </conditionalFormatting>
  <conditionalFormatting sqref="F11:F31">
    <cfRule type="colorScale" priority="346">
      <colorScale>
        <cfvo type="min"/>
        <cfvo type="percentile" val="50"/>
        <cfvo type="max"/>
        <color rgb="FFF8696B"/>
        <color rgb="FFFFEB84"/>
        <color rgb="FF63BE7B"/>
      </colorScale>
    </cfRule>
  </conditionalFormatting>
  <conditionalFormatting sqref="F11:F31">
    <cfRule type="colorScale" priority="345">
      <colorScale>
        <cfvo type="min"/>
        <cfvo type="percentile" val="50"/>
        <cfvo type="max"/>
        <color rgb="FFF8696B"/>
        <color rgb="FFFFEB84"/>
        <color rgb="FF63BE7B"/>
      </colorScale>
    </cfRule>
  </conditionalFormatting>
  <conditionalFormatting sqref="F11:F31">
    <cfRule type="colorScale" priority="344">
      <colorScale>
        <cfvo type="min"/>
        <cfvo type="percentile" val="50"/>
        <cfvo type="max"/>
        <color rgb="FFF8696B"/>
        <color rgb="FFFFEB84"/>
        <color rgb="FF63BE7B"/>
      </colorScale>
    </cfRule>
  </conditionalFormatting>
  <conditionalFormatting sqref="F11:F31">
    <cfRule type="colorScale" priority="343">
      <colorScale>
        <cfvo type="min"/>
        <cfvo type="percentile" val="50"/>
        <cfvo type="max"/>
        <color rgb="FFF8696B"/>
        <color rgb="FFFFEB84"/>
        <color rgb="FF63BE7B"/>
      </colorScale>
    </cfRule>
  </conditionalFormatting>
  <conditionalFormatting sqref="F11:F31">
    <cfRule type="colorScale" priority="342">
      <colorScale>
        <cfvo type="min"/>
        <cfvo type="percentile" val="50"/>
        <cfvo type="max"/>
        <color rgb="FFF8696B"/>
        <color rgb="FFFFEB84"/>
        <color rgb="FF63BE7B"/>
      </colorScale>
    </cfRule>
  </conditionalFormatting>
  <conditionalFormatting sqref="F11:F31">
    <cfRule type="colorScale" priority="341">
      <colorScale>
        <cfvo type="min"/>
        <cfvo type="percentile" val="50"/>
        <cfvo type="max"/>
        <color rgb="FFF8696B"/>
        <color rgb="FFFFEB84"/>
        <color rgb="FF63BE7B"/>
      </colorScale>
    </cfRule>
  </conditionalFormatting>
  <conditionalFormatting sqref="F11:F31">
    <cfRule type="colorScale" priority="340">
      <colorScale>
        <cfvo type="min"/>
        <cfvo type="percentile" val="50"/>
        <cfvo type="max"/>
        <color rgb="FFF8696B"/>
        <color rgb="FFFFEB84"/>
        <color rgb="FF63BE7B"/>
      </colorScale>
    </cfRule>
  </conditionalFormatting>
  <conditionalFormatting sqref="F11:F31">
    <cfRule type="colorScale" priority="339">
      <colorScale>
        <cfvo type="min"/>
        <cfvo type="percentile" val="50"/>
        <cfvo type="max"/>
        <color rgb="FFF8696B"/>
        <color rgb="FFFFEB84"/>
        <color rgb="FF63BE7B"/>
      </colorScale>
    </cfRule>
  </conditionalFormatting>
  <conditionalFormatting sqref="F11:F31">
    <cfRule type="colorScale" priority="338">
      <colorScale>
        <cfvo type="min"/>
        <cfvo type="percentile" val="50"/>
        <cfvo type="max"/>
        <color rgb="FFF8696B"/>
        <color rgb="FFFFEB84"/>
        <color rgb="FF63BE7B"/>
      </colorScale>
    </cfRule>
  </conditionalFormatting>
  <conditionalFormatting sqref="F11:F31">
    <cfRule type="colorScale" priority="337">
      <colorScale>
        <cfvo type="min"/>
        <cfvo type="percentile" val="50"/>
        <cfvo type="max"/>
        <color rgb="FFF8696B"/>
        <color rgb="FFFFEB84"/>
        <color rgb="FF63BE7B"/>
      </colorScale>
    </cfRule>
  </conditionalFormatting>
  <conditionalFormatting sqref="F11:F31">
    <cfRule type="colorScale" priority="336">
      <colorScale>
        <cfvo type="min"/>
        <cfvo type="percentile" val="50"/>
        <cfvo type="max"/>
        <color rgb="FFF8696B"/>
        <color rgb="FFFFEB84"/>
        <color rgb="FF63BE7B"/>
      </colorScale>
    </cfRule>
  </conditionalFormatting>
  <conditionalFormatting sqref="F11:F31">
    <cfRule type="colorScale" priority="335">
      <colorScale>
        <cfvo type="min"/>
        <cfvo type="percentile" val="50"/>
        <cfvo type="max"/>
        <color rgb="FFF8696B"/>
        <color rgb="FFFFEB84"/>
        <color rgb="FF63BE7B"/>
      </colorScale>
    </cfRule>
  </conditionalFormatting>
  <conditionalFormatting sqref="F11:F31">
    <cfRule type="colorScale" priority="334">
      <colorScale>
        <cfvo type="min"/>
        <cfvo type="percentile" val="50"/>
        <cfvo type="max"/>
        <color rgb="FFF8696B"/>
        <color rgb="FFFFEB84"/>
        <color rgb="FF63BE7B"/>
      </colorScale>
    </cfRule>
  </conditionalFormatting>
  <conditionalFormatting sqref="F11:F31">
    <cfRule type="colorScale" priority="333">
      <colorScale>
        <cfvo type="min"/>
        <cfvo type="percentile" val="50"/>
        <cfvo type="max"/>
        <color rgb="FFF8696B"/>
        <color rgb="FFFFEB84"/>
        <color rgb="FF63BE7B"/>
      </colorScale>
    </cfRule>
  </conditionalFormatting>
  <conditionalFormatting sqref="F11:F31">
    <cfRule type="colorScale" priority="332">
      <colorScale>
        <cfvo type="min"/>
        <cfvo type="percentile" val="50"/>
        <cfvo type="max"/>
        <color rgb="FFF8696B"/>
        <color rgb="FFFFEB84"/>
        <color rgb="FF63BE7B"/>
      </colorScale>
    </cfRule>
  </conditionalFormatting>
  <conditionalFormatting sqref="F11:F31">
    <cfRule type="colorScale" priority="331">
      <colorScale>
        <cfvo type="min"/>
        <cfvo type="percentile" val="50"/>
        <cfvo type="max"/>
        <color rgb="FFF8696B"/>
        <color rgb="FFFFEB84"/>
        <color rgb="FF63BE7B"/>
      </colorScale>
    </cfRule>
  </conditionalFormatting>
  <conditionalFormatting sqref="F11:F31">
    <cfRule type="colorScale" priority="330">
      <colorScale>
        <cfvo type="min"/>
        <cfvo type="percentile" val="50"/>
        <cfvo type="max"/>
        <color rgb="FFF8696B"/>
        <color rgb="FFFFEB84"/>
        <color rgb="FF63BE7B"/>
      </colorScale>
    </cfRule>
  </conditionalFormatting>
  <conditionalFormatting sqref="F11:F31">
    <cfRule type="colorScale" priority="329">
      <colorScale>
        <cfvo type="min"/>
        <cfvo type="percentile" val="50"/>
        <cfvo type="max"/>
        <color rgb="FFF8696B"/>
        <color rgb="FFFFEB84"/>
        <color rgb="FF63BE7B"/>
      </colorScale>
    </cfRule>
  </conditionalFormatting>
  <conditionalFormatting sqref="F11:F31">
    <cfRule type="colorScale" priority="328">
      <colorScale>
        <cfvo type="min"/>
        <cfvo type="percentile" val="50"/>
        <cfvo type="max"/>
        <color rgb="FFF8696B"/>
        <color rgb="FFFFEB84"/>
        <color rgb="FF63BE7B"/>
      </colorScale>
    </cfRule>
  </conditionalFormatting>
  <conditionalFormatting sqref="F11:F31">
    <cfRule type="colorScale" priority="327">
      <colorScale>
        <cfvo type="min"/>
        <cfvo type="percentile" val="50"/>
        <cfvo type="max"/>
        <color rgb="FFF8696B"/>
        <color rgb="FFFFEB84"/>
        <color rgb="FF63BE7B"/>
      </colorScale>
    </cfRule>
  </conditionalFormatting>
  <conditionalFormatting sqref="F11:F31">
    <cfRule type="colorScale" priority="326">
      <colorScale>
        <cfvo type="min"/>
        <cfvo type="percentile" val="50"/>
        <cfvo type="max"/>
        <color rgb="FFF8696B"/>
        <color rgb="FFFFEB84"/>
        <color rgb="FF63BE7B"/>
      </colorScale>
    </cfRule>
  </conditionalFormatting>
  <conditionalFormatting sqref="F11:F31">
    <cfRule type="colorScale" priority="325">
      <colorScale>
        <cfvo type="min"/>
        <cfvo type="percentile" val="50"/>
        <cfvo type="max"/>
        <color rgb="FFF8696B"/>
        <color rgb="FFFFEB84"/>
        <color rgb="FF63BE7B"/>
      </colorScale>
    </cfRule>
  </conditionalFormatting>
  <conditionalFormatting sqref="F11:F31">
    <cfRule type="colorScale" priority="324">
      <colorScale>
        <cfvo type="min"/>
        <cfvo type="percentile" val="50"/>
        <cfvo type="max"/>
        <color rgb="FFF8696B"/>
        <color rgb="FFFFEB84"/>
        <color rgb="FF63BE7B"/>
      </colorScale>
    </cfRule>
  </conditionalFormatting>
  <conditionalFormatting sqref="F11:F31">
    <cfRule type="colorScale" priority="323">
      <colorScale>
        <cfvo type="min"/>
        <cfvo type="percentile" val="50"/>
        <cfvo type="max"/>
        <color rgb="FFF8696B"/>
        <color rgb="FFFFEB84"/>
        <color rgb="FF63BE7B"/>
      </colorScale>
    </cfRule>
  </conditionalFormatting>
  <conditionalFormatting sqref="F11:F31">
    <cfRule type="colorScale" priority="322">
      <colorScale>
        <cfvo type="min"/>
        <cfvo type="percentile" val="50"/>
        <cfvo type="max"/>
        <color rgb="FFF8696B"/>
        <color rgb="FFFFEB84"/>
        <color rgb="FF63BE7B"/>
      </colorScale>
    </cfRule>
  </conditionalFormatting>
  <conditionalFormatting sqref="F11:F31">
    <cfRule type="colorScale" priority="321">
      <colorScale>
        <cfvo type="min"/>
        <cfvo type="percentile" val="50"/>
        <cfvo type="max"/>
        <color rgb="FFF8696B"/>
        <color rgb="FFFFEB84"/>
        <color rgb="FF63BE7B"/>
      </colorScale>
    </cfRule>
  </conditionalFormatting>
  <conditionalFormatting sqref="F11:F31">
    <cfRule type="colorScale" priority="320">
      <colorScale>
        <cfvo type="min"/>
        <cfvo type="percentile" val="50"/>
        <cfvo type="max"/>
        <color rgb="FFF8696B"/>
        <color rgb="FFFFEB84"/>
        <color rgb="FF63BE7B"/>
      </colorScale>
    </cfRule>
  </conditionalFormatting>
  <conditionalFormatting sqref="F11:F31">
    <cfRule type="colorScale" priority="319">
      <colorScale>
        <cfvo type="min"/>
        <cfvo type="percentile" val="50"/>
        <cfvo type="max"/>
        <color rgb="FFF8696B"/>
        <color rgb="FFFFEB84"/>
        <color rgb="FF63BE7B"/>
      </colorScale>
    </cfRule>
  </conditionalFormatting>
  <conditionalFormatting sqref="F11:F31">
    <cfRule type="colorScale" priority="318">
      <colorScale>
        <cfvo type="min"/>
        <cfvo type="percentile" val="50"/>
        <cfvo type="max"/>
        <color rgb="FFF8696B"/>
        <color rgb="FFFFEB84"/>
        <color rgb="FF63BE7B"/>
      </colorScale>
    </cfRule>
  </conditionalFormatting>
  <conditionalFormatting sqref="F11:F31">
    <cfRule type="colorScale" priority="317">
      <colorScale>
        <cfvo type="min"/>
        <cfvo type="percentile" val="50"/>
        <cfvo type="max"/>
        <color rgb="FFF8696B"/>
        <color rgb="FFFFEB84"/>
        <color rgb="FF63BE7B"/>
      </colorScale>
    </cfRule>
  </conditionalFormatting>
  <conditionalFormatting sqref="F11:F31">
    <cfRule type="colorScale" priority="316">
      <colorScale>
        <cfvo type="min"/>
        <cfvo type="percentile" val="50"/>
        <cfvo type="max"/>
        <color rgb="FFF8696B"/>
        <color rgb="FFFFEB84"/>
        <color rgb="FF63BE7B"/>
      </colorScale>
    </cfRule>
  </conditionalFormatting>
  <conditionalFormatting sqref="F11:F31">
    <cfRule type="colorScale" priority="315">
      <colorScale>
        <cfvo type="min"/>
        <cfvo type="percentile" val="50"/>
        <cfvo type="max"/>
        <color rgb="FFF8696B"/>
        <color rgb="FFFFEB84"/>
        <color rgb="FF63BE7B"/>
      </colorScale>
    </cfRule>
  </conditionalFormatting>
  <conditionalFormatting sqref="F11:F31">
    <cfRule type="colorScale" priority="314">
      <colorScale>
        <cfvo type="min"/>
        <cfvo type="percentile" val="50"/>
        <cfvo type="max"/>
        <color rgb="FFF8696B"/>
        <color rgb="FFFFEB84"/>
        <color rgb="FF63BE7B"/>
      </colorScale>
    </cfRule>
  </conditionalFormatting>
  <conditionalFormatting sqref="F11:F31">
    <cfRule type="colorScale" priority="313">
      <colorScale>
        <cfvo type="min"/>
        <cfvo type="percentile" val="50"/>
        <cfvo type="max"/>
        <color rgb="FFF8696B"/>
        <color rgb="FFFFEB84"/>
        <color rgb="FF63BE7B"/>
      </colorScale>
    </cfRule>
  </conditionalFormatting>
  <conditionalFormatting sqref="F11:F31">
    <cfRule type="colorScale" priority="312">
      <colorScale>
        <cfvo type="min"/>
        <cfvo type="percentile" val="50"/>
        <cfvo type="max"/>
        <color rgb="FFF8696B"/>
        <color rgb="FFFFEB84"/>
        <color rgb="FF63BE7B"/>
      </colorScale>
    </cfRule>
  </conditionalFormatting>
  <conditionalFormatting sqref="F11:F31">
    <cfRule type="colorScale" priority="311">
      <colorScale>
        <cfvo type="min"/>
        <cfvo type="percentile" val="50"/>
        <cfvo type="max"/>
        <color rgb="FFF8696B"/>
        <color rgb="FFFFEB84"/>
        <color rgb="FF63BE7B"/>
      </colorScale>
    </cfRule>
  </conditionalFormatting>
  <conditionalFormatting sqref="F11:F31">
    <cfRule type="colorScale" priority="310">
      <colorScale>
        <cfvo type="min"/>
        <cfvo type="percentile" val="50"/>
        <cfvo type="max"/>
        <color rgb="FFF8696B"/>
        <color rgb="FFFFEB84"/>
        <color rgb="FF63BE7B"/>
      </colorScale>
    </cfRule>
  </conditionalFormatting>
  <conditionalFormatting sqref="F11:F31">
    <cfRule type="colorScale" priority="309">
      <colorScale>
        <cfvo type="min"/>
        <cfvo type="percentile" val="50"/>
        <cfvo type="max"/>
        <color rgb="FFF8696B"/>
        <color rgb="FFFFEB84"/>
        <color rgb="FF63BE7B"/>
      </colorScale>
    </cfRule>
  </conditionalFormatting>
  <conditionalFormatting sqref="F11:F31">
    <cfRule type="colorScale" priority="308">
      <colorScale>
        <cfvo type="min"/>
        <cfvo type="percentile" val="50"/>
        <cfvo type="max"/>
        <color rgb="FFF8696B"/>
        <color rgb="FFFFEB84"/>
        <color rgb="FF63BE7B"/>
      </colorScale>
    </cfRule>
  </conditionalFormatting>
  <conditionalFormatting sqref="F11:F31">
    <cfRule type="colorScale" priority="307">
      <colorScale>
        <cfvo type="min"/>
        <cfvo type="percentile" val="50"/>
        <cfvo type="max"/>
        <color rgb="FFF8696B"/>
        <color rgb="FFFFEB84"/>
        <color rgb="FF63BE7B"/>
      </colorScale>
    </cfRule>
  </conditionalFormatting>
  <conditionalFormatting sqref="F11:F31">
    <cfRule type="colorScale" priority="306">
      <colorScale>
        <cfvo type="min"/>
        <cfvo type="percentile" val="50"/>
        <cfvo type="max"/>
        <color rgb="FFF8696B"/>
        <color rgb="FFFFEB84"/>
        <color rgb="FF63BE7B"/>
      </colorScale>
    </cfRule>
  </conditionalFormatting>
  <conditionalFormatting sqref="F11:F31">
    <cfRule type="colorScale" priority="305">
      <colorScale>
        <cfvo type="min"/>
        <cfvo type="percentile" val="50"/>
        <cfvo type="max"/>
        <color rgb="FFF8696B"/>
        <color rgb="FFFFEB84"/>
        <color rgb="FF63BE7B"/>
      </colorScale>
    </cfRule>
  </conditionalFormatting>
  <conditionalFormatting sqref="F11:F31">
    <cfRule type="colorScale" priority="304">
      <colorScale>
        <cfvo type="min"/>
        <cfvo type="percentile" val="50"/>
        <cfvo type="max"/>
        <color rgb="FFF8696B"/>
        <color rgb="FFFFEB84"/>
        <color rgb="FF63BE7B"/>
      </colorScale>
    </cfRule>
  </conditionalFormatting>
  <conditionalFormatting sqref="F11:F31">
    <cfRule type="colorScale" priority="303">
      <colorScale>
        <cfvo type="min"/>
        <cfvo type="percentile" val="50"/>
        <cfvo type="max"/>
        <color rgb="FFF8696B"/>
        <color rgb="FFFFEB84"/>
        <color rgb="FF63BE7B"/>
      </colorScale>
    </cfRule>
  </conditionalFormatting>
  <conditionalFormatting sqref="F11:F31">
    <cfRule type="colorScale" priority="302">
      <colorScale>
        <cfvo type="min"/>
        <cfvo type="percentile" val="50"/>
        <cfvo type="max"/>
        <color rgb="FFF8696B"/>
        <color rgb="FFFFEB84"/>
        <color rgb="FF63BE7B"/>
      </colorScale>
    </cfRule>
  </conditionalFormatting>
  <conditionalFormatting sqref="F11:F31">
    <cfRule type="colorScale" priority="301">
      <colorScale>
        <cfvo type="min"/>
        <cfvo type="percentile" val="50"/>
        <cfvo type="max"/>
        <color rgb="FFF8696B"/>
        <color rgb="FFFFEB84"/>
        <color rgb="FF63BE7B"/>
      </colorScale>
    </cfRule>
  </conditionalFormatting>
  <conditionalFormatting sqref="F11:F31">
    <cfRule type="colorScale" priority="300">
      <colorScale>
        <cfvo type="min"/>
        <cfvo type="percentile" val="50"/>
        <cfvo type="max"/>
        <color rgb="FFF8696B"/>
        <color rgb="FFFFEB84"/>
        <color rgb="FF63BE7B"/>
      </colorScale>
    </cfRule>
  </conditionalFormatting>
  <conditionalFormatting sqref="F11:F31">
    <cfRule type="colorScale" priority="299">
      <colorScale>
        <cfvo type="min"/>
        <cfvo type="percentile" val="50"/>
        <cfvo type="max"/>
        <color rgb="FFF8696B"/>
        <color rgb="FFFFEB84"/>
        <color rgb="FF63BE7B"/>
      </colorScale>
    </cfRule>
  </conditionalFormatting>
  <conditionalFormatting sqref="F11:F31">
    <cfRule type="colorScale" priority="298">
      <colorScale>
        <cfvo type="min"/>
        <cfvo type="percentile" val="50"/>
        <cfvo type="max"/>
        <color rgb="FFF8696B"/>
        <color rgb="FFFFEB84"/>
        <color rgb="FF63BE7B"/>
      </colorScale>
    </cfRule>
  </conditionalFormatting>
  <conditionalFormatting sqref="F11:F31">
    <cfRule type="colorScale" priority="297">
      <colorScale>
        <cfvo type="min"/>
        <cfvo type="percentile" val="50"/>
        <cfvo type="max"/>
        <color rgb="FFF8696B"/>
        <color rgb="FFFFEB84"/>
        <color rgb="FF63BE7B"/>
      </colorScale>
    </cfRule>
  </conditionalFormatting>
  <conditionalFormatting sqref="F11:F31">
    <cfRule type="colorScale" priority="296">
      <colorScale>
        <cfvo type="min"/>
        <cfvo type="percentile" val="50"/>
        <cfvo type="max"/>
        <color rgb="FFF8696B"/>
        <color rgb="FFFFEB84"/>
        <color rgb="FF63BE7B"/>
      </colorScale>
    </cfRule>
  </conditionalFormatting>
  <conditionalFormatting sqref="F11:F31">
    <cfRule type="colorScale" priority="295">
      <colorScale>
        <cfvo type="min"/>
        <cfvo type="percentile" val="50"/>
        <cfvo type="max"/>
        <color rgb="FFF8696B"/>
        <color rgb="FFFFEB84"/>
        <color rgb="FF63BE7B"/>
      </colorScale>
    </cfRule>
  </conditionalFormatting>
  <conditionalFormatting sqref="F11:F31">
    <cfRule type="colorScale" priority="294">
      <colorScale>
        <cfvo type="min"/>
        <cfvo type="percentile" val="50"/>
        <cfvo type="max"/>
        <color rgb="FFF8696B"/>
        <color rgb="FFFFEB84"/>
        <color rgb="FF63BE7B"/>
      </colorScale>
    </cfRule>
  </conditionalFormatting>
  <conditionalFormatting sqref="F11:F31">
    <cfRule type="colorScale" priority="293">
      <colorScale>
        <cfvo type="min"/>
        <cfvo type="percentile" val="50"/>
        <cfvo type="max"/>
        <color rgb="FFF8696B"/>
        <color rgb="FFFFEB84"/>
        <color rgb="FF63BE7B"/>
      </colorScale>
    </cfRule>
  </conditionalFormatting>
  <conditionalFormatting sqref="F11:F31">
    <cfRule type="colorScale" priority="292">
      <colorScale>
        <cfvo type="min"/>
        <cfvo type="percentile" val="50"/>
        <cfvo type="max"/>
        <color rgb="FFF8696B"/>
        <color rgb="FFFFEB84"/>
        <color rgb="FF63BE7B"/>
      </colorScale>
    </cfRule>
  </conditionalFormatting>
  <conditionalFormatting sqref="F11:F31">
    <cfRule type="colorScale" priority="291">
      <colorScale>
        <cfvo type="min"/>
        <cfvo type="percentile" val="50"/>
        <cfvo type="max"/>
        <color rgb="FFF8696B"/>
        <color rgb="FFFFEB84"/>
        <color rgb="FF63BE7B"/>
      </colorScale>
    </cfRule>
  </conditionalFormatting>
  <conditionalFormatting sqref="F11:F31">
    <cfRule type="colorScale" priority="290">
      <colorScale>
        <cfvo type="min"/>
        <cfvo type="percentile" val="50"/>
        <cfvo type="max"/>
        <color rgb="FFF8696B"/>
        <color rgb="FFFFEB84"/>
        <color rgb="FF63BE7B"/>
      </colorScale>
    </cfRule>
  </conditionalFormatting>
  <conditionalFormatting sqref="F11:F31">
    <cfRule type="colorScale" priority="289">
      <colorScale>
        <cfvo type="min"/>
        <cfvo type="percentile" val="50"/>
        <cfvo type="max"/>
        <color rgb="FFF8696B"/>
        <color rgb="FFFFEB84"/>
        <color rgb="FF63BE7B"/>
      </colorScale>
    </cfRule>
  </conditionalFormatting>
  <conditionalFormatting sqref="F11:F31">
    <cfRule type="colorScale" priority="288">
      <colorScale>
        <cfvo type="min"/>
        <cfvo type="percentile" val="50"/>
        <cfvo type="max"/>
        <color rgb="FFF8696B"/>
        <color rgb="FFFFEB84"/>
        <color rgb="FF63BE7B"/>
      </colorScale>
    </cfRule>
  </conditionalFormatting>
  <conditionalFormatting sqref="F11:F31">
    <cfRule type="colorScale" priority="287">
      <colorScale>
        <cfvo type="min"/>
        <cfvo type="percentile" val="50"/>
        <cfvo type="max"/>
        <color rgb="FFF8696B"/>
        <color rgb="FFFFEB84"/>
        <color rgb="FF63BE7B"/>
      </colorScale>
    </cfRule>
  </conditionalFormatting>
  <conditionalFormatting sqref="F11:F31">
    <cfRule type="colorScale" priority="286">
      <colorScale>
        <cfvo type="min"/>
        <cfvo type="percentile" val="50"/>
        <cfvo type="max"/>
        <color rgb="FFF8696B"/>
        <color rgb="FFFFEB84"/>
        <color rgb="FF63BE7B"/>
      </colorScale>
    </cfRule>
  </conditionalFormatting>
  <conditionalFormatting sqref="F11:F31">
    <cfRule type="colorScale" priority="285">
      <colorScale>
        <cfvo type="min"/>
        <cfvo type="percentile" val="50"/>
        <cfvo type="max"/>
        <color rgb="FFF8696B"/>
        <color rgb="FFFFEB84"/>
        <color rgb="FF63BE7B"/>
      </colorScale>
    </cfRule>
  </conditionalFormatting>
  <conditionalFormatting sqref="F11:F31">
    <cfRule type="colorScale" priority="284">
      <colorScale>
        <cfvo type="min"/>
        <cfvo type="percentile" val="50"/>
        <cfvo type="max"/>
        <color rgb="FFF8696B"/>
        <color rgb="FFFFEB84"/>
        <color rgb="FF63BE7B"/>
      </colorScale>
    </cfRule>
  </conditionalFormatting>
  <conditionalFormatting sqref="F11:F31">
    <cfRule type="colorScale" priority="283">
      <colorScale>
        <cfvo type="min"/>
        <cfvo type="percentile" val="50"/>
        <cfvo type="max"/>
        <color rgb="FFF8696B"/>
        <color rgb="FFFFEB84"/>
        <color rgb="FF63BE7B"/>
      </colorScale>
    </cfRule>
  </conditionalFormatting>
  <conditionalFormatting sqref="F11:F31">
    <cfRule type="colorScale" priority="282">
      <colorScale>
        <cfvo type="min"/>
        <cfvo type="percentile" val="50"/>
        <cfvo type="max"/>
        <color rgb="FFF8696B"/>
        <color rgb="FFFFEB84"/>
        <color rgb="FF63BE7B"/>
      </colorScale>
    </cfRule>
  </conditionalFormatting>
  <conditionalFormatting sqref="F11:F31">
    <cfRule type="colorScale" priority="281">
      <colorScale>
        <cfvo type="min"/>
        <cfvo type="percentile" val="50"/>
        <cfvo type="max"/>
        <color rgb="FFF8696B"/>
        <color rgb="FFFFEB84"/>
        <color rgb="FF63BE7B"/>
      </colorScale>
    </cfRule>
  </conditionalFormatting>
  <conditionalFormatting sqref="F11:F31">
    <cfRule type="colorScale" priority="280">
      <colorScale>
        <cfvo type="min"/>
        <cfvo type="percentile" val="50"/>
        <cfvo type="max"/>
        <color rgb="FFF8696B"/>
        <color rgb="FFFFEB84"/>
        <color rgb="FF63BE7B"/>
      </colorScale>
    </cfRule>
  </conditionalFormatting>
  <conditionalFormatting sqref="F11:F31">
    <cfRule type="colorScale" priority="279">
      <colorScale>
        <cfvo type="min"/>
        <cfvo type="percentile" val="50"/>
        <cfvo type="max"/>
        <color rgb="FFF8696B"/>
        <color rgb="FFFFEB84"/>
        <color rgb="FF63BE7B"/>
      </colorScale>
    </cfRule>
  </conditionalFormatting>
  <conditionalFormatting sqref="F11:F31">
    <cfRule type="colorScale" priority="278">
      <colorScale>
        <cfvo type="min"/>
        <cfvo type="percentile" val="50"/>
        <cfvo type="max"/>
        <color rgb="FFF8696B"/>
        <color rgb="FFFFEB84"/>
        <color rgb="FF63BE7B"/>
      </colorScale>
    </cfRule>
  </conditionalFormatting>
  <conditionalFormatting sqref="F11:F31">
    <cfRule type="colorScale" priority="277">
      <colorScale>
        <cfvo type="min"/>
        <cfvo type="percentile" val="50"/>
        <cfvo type="max"/>
        <color rgb="FFF8696B"/>
        <color rgb="FFFFEB84"/>
        <color rgb="FF63BE7B"/>
      </colorScale>
    </cfRule>
  </conditionalFormatting>
  <conditionalFormatting sqref="F11:F31">
    <cfRule type="colorScale" priority="276">
      <colorScale>
        <cfvo type="min"/>
        <cfvo type="percentile" val="50"/>
        <cfvo type="max"/>
        <color rgb="FFF8696B"/>
        <color rgb="FFFFEB84"/>
        <color rgb="FF63BE7B"/>
      </colorScale>
    </cfRule>
  </conditionalFormatting>
  <conditionalFormatting sqref="F11:F31">
    <cfRule type="colorScale" priority="275">
      <colorScale>
        <cfvo type="min"/>
        <cfvo type="percentile" val="50"/>
        <cfvo type="max"/>
        <color rgb="FFF8696B"/>
        <color rgb="FFFFEB84"/>
        <color rgb="FF63BE7B"/>
      </colorScale>
    </cfRule>
  </conditionalFormatting>
  <conditionalFormatting sqref="F11:F31">
    <cfRule type="colorScale" priority="274">
      <colorScale>
        <cfvo type="min"/>
        <cfvo type="percentile" val="50"/>
        <cfvo type="max"/>
        <color rgb="FFF8696B"/>
        <color rgb="FFFFEB84"/>
        <color rgb="FF63BE7B"/>
      </colorScale>
    </cfRule>
  </conditionalFormatting>
  <conditionalFormatting sqref="F11:F31">
    <cfRule type="colorScale" priority="273">
      <colorScale>
        <cfvo type="min"/>
        <cfvo type="percentile" val="50"/>
        <cfvo type="max"/>
        <color rgb="FFF8696B"/>
        <color rgb="FFFFEB84"/>
        <color rgb="FF63BE7B"/>
      </colorScale>
    </cfRule>
  </conditionalFormatting>
  <conditionalFormatting sqref="F11:F31">
    <cfRule type="colorScale" priority="272">
      <colorScale>
        <cfvo type="min"/>
        <cfvo type="percentile" val="50"/>
        <cfvo type="max"/>
        <color rgb="FFF8696B"/>
        <color rgb="FFFFEB84"/>
        <color rgb="FF63BE7B"/>
      </colorScale>
    </cfRule>
  </conditionalFormatting>
  <conditionalFormatting sqref="F11:F31">
    <cfRule type="colorScale" priority="271">
      <colorScale>
        <cfvo type="min"/>
        <cfvo type="percentile" val="50"/>
        <cfvo type="max"/>
        <color rgb="FFF8696B"/>
        <color rgb="FFFFEB84"/>
        <color rgb="FF63BE7B"/>
      </colorScale>
    </cfRule>
  </conditionalFormatting>
  <conditionalFormatting sqref="F11:F31">
    <cfRule type="colorScale" priority="270">
      <colorScale>
        <cfvo type="min"/>
        <cfvo type="percentile" val="50"/>
        <cfvo type="max"/>
        <color rgb="FFF8696B"/>
        <color rgb="FFFFEB84"/>
        <color rgb="FF63BE7B"/>
      </colorScale>
    </cfRule>
  </conditionalFormatting>
  <conditionalFormatting sqref="F11:F31">
    <cfRule type="colorScale" priority="269">
      <colorScale>
        <cfvo type="min"/>
        <cfvo type="percentile" val="50"/>
        <cfvo type="max"/>
        <color rgb="FFF8696B"/>
        <color rgb="FFFFEB84"/>
        <color rgb="FF63BE7B"/>
      </colorScale>
    </cfRule>
  </conditionalFormatting>
  <conditionalFormatting sqref="F11:F31">
    <cfRule type="colorScale" priority="268">
      <colorScale>
        <cfvo type="min"/>
        <cfvo type="percentile" val="50"/>
        <cfvo type="max"/>
        <color rgb="FFF8696B"/>
        <color rgb="FFFFEB84"/>
        <color rgb="FF63BE7B"/>
      </colorScale>
    </cfRule>
  </conditionalFormatting>
  <conditionalFormatting sqref="F11:F31">
    <cfRule type="colorScale" priority="267">
      <colorScale>
        <cfvo type="min"/>
        <cfvo type="percentile" val="50"/>
        <cfvo type="max"/>
        <color rgb="FFF8696B"/>
        <color rgb="FFFFEB84"/>
        <color rgb="FF63BE7B"/>
      </colorScale>
    </cfRule>
  </conditionalFormatting>
  <conditionalFormatting sqref="F11:F31">
    <cfRule type="colorScale" priority="266">
      <colorScale>
        <cfvo type="min"/>
        <cfvo type="percentile" val="50"/>
        <cfvo type="max"/>
        <color rgb="FFF8696B"/>
        <color rgb="FFFFEB84"/>
        <color rgb="FF63BE7B"/>
      </colorScale>
    </cfRule>
  </conditionalFormatting>
  <conditionalFormatting sqref="F11:F31">
    <cfRule type="colorScale" priority="265">
      <colorScale>
        <cfvo type="min"/>
        <cfvo type="percentile" val="50"/>
        <cfvo type="max"/>
        <color rgb="FFF8696B"/>
        <color rgb="FFFFEB84"/>
        <color rgb="FF63BE7B"/>
      </colorScale>
    </cfRule>
  </conditionalFormatting>
  <conditionalFormatting sqref="F11:F31">
    <cfRule type="colorScale" priority="264">
      <colorScale>
        <cfvo type="min"/>
        <cfvo type="percentile" val="50"/>
        <cfvo type="max"/>
        <color rgb="FFF8696B"/>
        <color rgb="FFFFEB84"/>
        <color rgb="FF63BE7B"/>
      </colorScale>
    </cfRule>
  </conditionalFormatting>
  <conditionalFormatting sqref="F11:F31">
    <cfRule type="colorScale" priority="263">
      <colorScale>
        <cfvo type="min"/>
        <cfvo type="percentile" val="50"/>
        <cfvo type="max"/>
        <color rgb="FFF8696B"/>
        <color rgb="FFFFEB84"/>
        <color rgb="FF63BE7B"/>
      </colorScale>
    </cfRule>
  </conditionalFormatting>
  <conditionalFormatting sqref="F11:F31">
    <cfRule type="colorScale" priority="262">
      <colorScale>
        <cfvo type="min"/>
        <cfvo type="percentile" val="50"/>
        <cfvo type="max"/>
        <color rgb="FFF8696B"/>
        <color rgb="FFFFEB84"/>
        <color rgb="FF63BE7B"/>
      </colorScale>
    </cfRule>
  </conditionalFormatting>
  <conditionalFormatting sqref="F11:F31">
    <cfRule type="colorScale" priority="261">
      <colorScale>
        <cfvo type="min"/>
        <cfvo type="percentile" val="50"/>
        <cfvo type="max"/>
        <color rgb="FFF8696B"/>
        <color rgb="FFFFEB84"/>
        <color rgb="FF63BE7B"/>
      </colorScale>
    </cfRule>
  </conditionalFormatting>
  <conditionalFormatting sqref="F11:F31">
    <cfRule type="colorScale" priority="260">
      <colorScale>
        <cfvo type="min"/>
        <cfvo type="percentile" val="50"/>
        <cfvo type="max"/>
        <color rgb="FFF8696B"/>
        <color rgb="FFFFEB84"/>
        <color rgb="FF63BE7B"/>
      </colorScale>
    </cfRule>
  </conditionalFormatting>
  <conditionalFormatting sqref="F11:F31">
    <cfRule type="colorScale" priority="259">
      <colorScale>
        <cfvo type="min"/>
        <cfvo type="percentile" val="50"/>
        <cfvo type="max"/>
        <color rgb="FFF8696B"/>
        <color rgb="FFFFEB84"/>
        <color rgb="FF63BE7B"/>
      </colorScale>
    </cfRule>
  </conditionalFormatting>
  <conditionalFormatting sqref="F11:F31">
    <cfRule type="colorScale" priority="258">
      <colorScale>
        <cfvo type="min"/>
        <cfvo type="percentile" val="50"/>
        <cfvo type="max"/>
        <color rgb="FFF8696B"/>
        <color rgb="FFFFEB84"/>
        <color rgb="FF63BE7B"/>
      </colorScale>
    </cfRule>
  </conditionalFormatting>
  <conditionalFormatting sqref="F11:F31">
    <cfRule type="colorScale" priority="257">
      <colorScale>
        <cfvo type="min"/>
        <cfvo type="percentile" val="50"/>
        <cfvo type="max"/>
        <color rgb="FFF8696B"/>
        <color rgb="FFFFEB84"/>
        <color rgb="FF63BE7B"/>
      </colorScale>
    </cfRule>
  </conditionalFormatting>
  <conditionalFormatting sqref="F11:F31">
    <cfRule type="colorScale" priority="256">
      <colorScale>
        <cfvo type="min"/>
        <cfvo type="percentile" val="50"/>
        <cfvo type="max"/>
        <color rgb="FFF8696B"/>
        <color rgb="FFFFEB84"/>
        <color rgb="FF63BE7B"/>
      </colorScale>
    </cfRule>
  </conditionalFormatting>
  <conditionalFormatting sqref="F11:F31">
    <cfRule type="colorScale" priority="255">
      <colorScale>
        <cfvo type="min"/>
        <cfvo type="percentile" val="50"/>
        <cfvo type="max"/>
        <color rgb="FFF8696B"/>
        <color rgb="FFFFEB84"/>
        <color rgb="FF63BE7B"/>
      </colorScale>
    </cfRule>
  </conditionalFormatting>
  <conditionalFormatting sqref="F11:F31">
    <cfRule type="colorScale" priority="254">
      <colorScale>
        <cfvo type="min"/>
        <cfvo type="percentile" val="50"/>
        <cfvo type="max"/>
        <color rgb="FFF8696B"/>
        <color rgb="FFFFEB84"/>
        <color rgb="FF63BE7B"/>
      </colorScale>
    </cfRule>
  </conditionalFormatting>
  <conditionalFormatting sqref="F11:F31">
    <cfRule type="colorScale" priority="253">
      <colorScale>
        <cfvo type="min"/>
        <cfvo type="percentile" val="50"/>
        <cfvo type="max"/>
        <color rgb="FFF8696B"/>
        <color rgb="FFFFEB84"/>
        <color rgb="FF63BE7B"/>
      </colorScale>
    </cfRule>
  </conditionalFormatting>
  <conditionalFormatting sqref="F11:F31">
    <cfRule type="colorScale" priority="252">
      <colorScale>
        <cfvo type="min"/>
        <cfvo type="percentile" val="50"/>
        <cfvo type="max"/>
        <color rgb="FFF8696B"/>
        <color rgb="FFFFEB84"/>
        <color rgb="FF63BE7B"/>
      </colorScale>
    </cfRule>
  </conditionalFormatting>
  <conditionalFormatting sqref="F11:F31">
    <cfRule type="colorScale" priority="251">
      <colorScale>
        <cfvo type="min"/>
        <cfvo type="percentile" val="50"/>
        <cfvo type="max"/>
        <color rgb="FFF8696B"/>
        <color rgb="FFFFEB84"/>
        <color rgb="FF63BE7B"/>
      </colorScale>
    </cfRule>
  </conditionalFormatting>
  <conditionalFormatting sqref="F11:F31">
    <cfRule type="colorScale" priority="250">
      <colorScale>
        <cfvo type="min"/>
        <cfvo type="percentile" val="50"/>
        <cfvo type="max"/>
        <color rgb="FFF8696B"/>
        <color rgb="FFFFEB84"/>
        <color rgb="FF63BE7B"/>
      </colorScale>
    </cfRule>
  </conditionalFormatting>
  <conditionalFormatting sqref="F11:F31">
    <cfRule type="colorScale" priority="249">
      <colorScale>
        <cfvo type="min"/>
        <cfvo type="percentile" val="50"/>
        <cfvo type="max"/>
        <color rgb="FFF8696B"/>
        <color rgb="FFFFEB84"/>
        <color rgb="FF63BE7B"/>
      </colorScale>
    </cfRule>
  </conditionalFormatting>
  <conditionalFormatting sqref="F11:F31">
    <cfRule type="colorScale" priority="248">
      <colorScale>
        <cfvo type="min"/>
        <cfvo type="percentile" val="50"/>
        <cfvo type="max"/>
        <color rgb="FFF8696B"/>
        <color rgb="FFFFEB84"/>
        <color rgb="FF63BE7B"/>
      </colorScale>
    </cfRule>
  </conditionalFormatting>
  <conditionalFormatting sqref="F11:F31">
    <cfRule type="colorScale" priority="247">
      <colorScale>
        <cfvo type="min"/>
        <cfvo type="percentile" val="50"/>
        <cfvo type="max"/>
        <color rgb="FFF8696B"/>
        <color rgb="FFFFEB84"/>
        <color rgb="FF63BE7B"/>
      </colorScale>
    </cfRule>
  </conditionalFormatting>
  <conditionalFormatting sqref="F11:F31">
    <cfRule type="colorScale" priority="246">
      <colorScale>
        <cfvo type="min"/>
        <cfvo type="percentile" val="50"/>
        <cfvo type="max"/>
        <color rgb="FFF8696B"/>
        <color rgb="FFFFEB84"/>
        <color rgb="FF63BE7B"/>
      </colorScale>
    </cfRule>
  </conditionalFormatting>
  <conditionalFormatting sqref="F11:F31">
    <cfRule type="colorScale" priority="245">
      <colorScale>
        <cfvo type="min"/>
        <cfvo type="percentile" val="50"/>
        <cfvo type="max"/>
        <color rgb="FFF8696B"/>
        <color rgb="FFFFEB84"/>
        <color rgb="FF63BE7B"/>
      </colorScale>
    </cfRule>
  </conditionalFormatting>
  <conditionalFormatting sqref="F11:F31">
    <cfRule type="colorScale" priority="244">
      <colorScale>
        <cfvo type="min"/>
        <cfvo type="percentile" val="50"/>
        <cfvo type="max"/>
        <color rgb="FFF8696B"/>
        <color rgb="FFFFEB84"/>
        <color rgb="FF63BE7B"/>
      </colorScale>
    </cfRule>
  </conditionalFormatting>
  <conditionalFormatting sqref="F11:F31">
    <cfRule type="colorScale" priority="243">
      <colorScale>
        <cfvo type="min"/>
        <cfvo type="percentile" val="50"/>
        <cfvo type="max"/>
        <color rgb="FFF8696B"/>
        <color rgb="FFFFEB84"/>
        <color rgb="FF63BE7B"/>
      </colorScale>
    </cfRule>
  </conditionalFormatting>
  <conditionalFormatting sqref="F11:F31">
    <cfRule type="colorScale" priority="242">
      <colorScale>
        <cfvo type="min"/>
        <cfvo type="percentile" val="50"/>
        <cfvo type="max"/>
        <color rgb="FFF8696B"/>
        <color rgb="FFFFEB84"/>
        <color rgb="FF63BE7B"/>
      </colorScale>
    </cfRule>
  </conditionalFormatting>
  <conditionalFormatting sqref="F11:F31">
    <cfRule type="colorScale" priority="241">
      <colorScale>
        <cfvo type="min"/>
        <cfvo type="percentile" val="50"/>
        <cfvo type="max"/>
        <color rgb="FFF8696B"/>
        <color rgb="FFFFEB84"/>
        <color rgb="FF63BE7B"/>
      </colorScale>
    </cfRule>
  </conditionalFormatting>
  <conditionalFormatting sqref="F11:F31">
    <cfRule type="colorScale" priority="240">
      <colorScale>
        <cfvo type="min"/>
        <cfvo type="percentile" val="50"/>
        <cfvo type="max"/>
        <color rgb="FFF8696B"/>
        <color rgb="FFFFEB84"/>
        <color rgb="FF63BE7B"/>
      </colorScale>
    </cfRule>
  </conditionalFormatting>
  <conditionalFormatting sqref="F11:F31">
    <cfRule type="colorScale" priority="239">
      <colorScale>
        <cfvo type="min"/>
        <cfvo type="percentile" val="50"/>
        <cfvo type="max"/>
        <color rgb="FFF8696B"/>
        <color rgb="FFFFEB84"/>
        <color rgb="FF63BE7B"/>
      </colorScale>
    </cfRule>
  </conditionalFormatting>
  <conditionalFormatting sqref="F11:F31">
    <cfRule type="colorScale" priority="238">
      <colorScale>
        <cfvo type="min"/>
        <cfvo type="percentile" val="50"/>
        <cfvo type="max"/>
        <color rgb="FFF8696B"/>
        <color rgb="FFFFEB84"/>
        <color rgb="FF63BE7B"/>
      </colorScale>
    </cfRule>
  </conditionalFormatting>
  <conditionalFormatting sqref="F11:F31">
    <cfRule type="colorScale" priority="237">
      <colorScale>
        <cfvo type="min"/>
        <cfvo type="percentile" val="50"/>
        <cfvo type="max"/>
        <color rgb="FFF8696B"/>
        <color rgb="FFFFEB84"/>
        <color rgb="FF63BE7B"/>
      </colorScale>
    </cfRule>
  </conditionalFormatting>
  <conditionalFormatting sqref="F11:F31">
    <cfRule type="colorScale" priority="236">
      <colorScale>
        <cfvo type="min"/>
        <cfvo type="percentile" val="50"/>
        <cfvo type="max"/>
        <color rgb="FFF8696B"/>
        <color rgb="FFFFEB84"/>
        <color rgb="FF63BE7B"/>
      </colorScale>
    </cfRule>
  </conditionalFormatting>
  <conditionalFormatting sqref="F11:F31">
    <cfRule type="colorScale" priority="235">
      <colorScale>
        <cfvo type="min"/>
        <cfvo type="percentile" val="50"/>
        <cfvo type="max"/>
        <color rgb="FFF8696B"/>
        <color rgb="FFFFEB84"/>
        <color rgb="FF63BE7B"/>
      </colorScale>
    </cfRule>
  </conditionalFormatting>
  <conditionalFormatting sqref="F11:F31">
    <cfRule type="colorScale" priority="234">
      <colorScale>
        <cfvo type="min"/>
        <cfvo type="percentile" val="50"/>
        <cfvo type="max"/>
        <color rgb="FFF8696B"/>
        <color rgb="FFFFEB84"/>
        <color rgb="FF63BE7B"/>
      </colorScale>
    </cfRule>
  </conditionalFormatting>
  <conditionalFormatting sqref="F11:F31">
    <cfRule type="colorScale" priority="233">
      <colorScale>
        <cfvo type="min"/>
        <cfvo type="percentile" val="50"/>
        <cfvo type="max"/>
        <color rgb="FFF8696B"/>
        <color rgb="FFFFEB84"/>
        <color rgb="FF63BE7B"/>
      </colorScale>
    </cfRule>
  </conditionalFormatting>
  <conditionalFormatting sqref="F11:F31">
    <cfRule type="colorScale" priority="232">
      <colorScale>
        <cfvo type="min"/>
        <cfvo type="percentile" val="50"/>
        <cfvo type="max"/>
        <color rgb="FFF8696B"/>
        <color rgb="FFFFEB84"/>
        <color rgb="FF63BE7B"/>
      </colorScale>
    </cfRule>
  </conditionalFormatting>
  <conditionalFormatting sqref="F11:F31">
    <cfRule type="colorScale" priority="231">
      <colorScale>
        <cfvo type="min"/>
        <cfvo type="percentile" val="50"/>
        <cfvo type="max"/>
        <color rgb="FFF8696B"/>
        <color rgb="FFFFEB84"/>
        <color rgb="FF63BE7B"/>
      </colorScale>
    </cfRule>
  </conditionalFormatting>
  <conditionalFormatting sqref="F11:F32">
    <cfRule type="colorScale" priority="230">
      <colorScale>
        <cfvo type="min"/>
        <cfvo type="percentile" val="50"/>
        <cfvo type="max"/>
        <color rgb="FFF8696B"/>
        <color rgb="FFFFEB84"/>
        <color rgb="FF63BE7B"/>
      </colorScale>
    </cfRule>
  </conditionalFormatting>
  <conditionalFormatting sqref="F11:F32">
    <cfRule type="colorScale" priority="229">
      <colorScale>
        <cfvo type="min"/>
        <cfvo type="percentile" val="50"/>
        <cfvo type="max"/>
        <color rgb="FFF8696B"/>
        <color rgb="FFFFEB84"/>
        <color rgb="FF63BE7B"/>
      </colorScale>
    </cfRule>
  </conditionalFormatting>
  <conditionalFormatting sqref="F11:F31">
    <cfRule type="colorScale" priority="228">
      <colorScale>
        <cfvo type="min"/>
        <cfvo type="percentile" val="50"/>
        <cfvo type="max"/>
        <color rgb="FFF8696B"/>
        <color rgb="FFFFEB84"/>
        <color rgb="FF63BE7B"/>
      </colorScale>
    </cfRule>
  </conditionalFormatting>
  <conditionalFormatting sqref="F11:F31">
    <cfRule type="colorScale" priority="227">
      <colorScale>
        <cfvo type="min"/>
        <cfvo type="percentile" val="50"/>
        <cfvo type="max"/>
        <color rgb="FFF8696B"/>
        <color rgb="FFFFEB84"/>
        <color rgb="FF63BE7B"/>
      </colorScale>
    </cfRule>
  </conditionalFormatting>
  <conditionalFormatting sqref="F11:F31">
    <cfRule type="colorScale" priority="226">
      <colorScale>
        <cfvo type="min"/>
        <cfvo type="percentile" val="50"/>
        <cfvo type="max"/>
        <color rgb="FFF8696B"/>
        <color rgb="FFFFEB84"/>
        <color rgb="FF63BE7B"/>
      </colorScale>
    </cfRule>
  </conditionalFormatting>
  <conditionalFormatting sqref="F11:F31">
    <cfRule type="colorScale" priority="225">
      <colorScale>
        <cfvo type="min"/>
        <cfvo type="percentile" val="50"/>
        <cfvo type="max"/>
        <color rgb="FFF8696B"/>
        <color rgb="FFFFEB84"/>
        <color rgb="FF63BE7B"/>
      </colorScale>
    </cfRule>
  </conditionalFormatting>
  <conditionalFormatting sqref="F11:F28">
    <cfRule type="colorScale" priority="224">
      <colorScale>
        <cfvo type="min"/>
        <cfvo type="percentile" val="50"/>
        <cfvo type="max"/>
        <color rgb="FFF8696B"/>
        <color rgb="FFFFEB84"/>
        <color rgb="FF63BE7B"/>
      </colorScale>
    </cfRule>
  </conditionalFormatting>
  <conditionalFormatting sqref="F11:F28">
    <cfRule type="colorScale" priority="223">
      <colorScale>
        <cfvo type="min"/>
        <cfvo type="percentile" val="50"/>
        <cfvo type="max"/>
        <color rgb="FFF8696B"/>
        <color rgb="FFFFEB84"/>
        <color rgb="FF63BE7B"/>
      </colorScale>
    </cfRule>
  </conditionalFormatting>
  <conditionalFormatting sqref="F11:F31">
    <cfRule type="colorScale" priority="222">
      <colorScale>
        <cfvo type="min"/>
        <cfvo type="percentile" val="50"/>
        <cfvo type="max"/>
        <color rgb="FFF8696B"/>
        <color rgb="FFFFEB84"/>
        <color rgb="FF63BE7B"/>
      </colorScale>
    </cfRule>
  </conditionalFormatting>
  <conditionalFormatting sqref="F11:F31">
    <cfRule type="colorScale" priority="221">
      <colorScale>
        <cfvo type="min"/>
        <cfvo type="percentile" val="50"/>
        <cfvo type="max"/>
        <color rgb="FFF8696B"/>
        <color rgb="FFFFEB84"/>
        <color rgb="FF63BE7B"/>
      </colorScale>
    </cfRule>
  </conditionalFormatting>
  <conditionalFormatting sqref="F11:F32">
    <cfRule type="colorScale" priority="220">
      <colorScale>
        <cfvo type="min"/>
        <cfvo type="percentile" val="50"/>
        <cfvo type="max"/>
        <color rgb="FFF8696B"/>
        <color rgb="FFFFEB84"/>
        <color rgb="FF63BE7B"/>
      </colorScale>
    </cfRule>
  </conditionalFormatting>
  <conditionalFormatting sqref="F11:F32">
    <cfRule type="colorScale" priority="219">
      <colorScale>
        <cfvo type="min"/>
        <cfvo type="percentile" val="50"/>
        <cfvo type="max"/>
        <color rgb="FFF8696B"/>
        <color rgb="FFFFEB84"/>
        <color rgb="FF63BE7B"/>
      </colorScale>
    </cfRule>
  </conditionalFormatting>
  <conditionalFormatting sqref="F11:F31">
    <cfRule type="colorScale" priority="218">
      <colorScale>
        <cfvo type="min"/>
        <cfvo type="percentile" val="50"/>
        <cfvo type="max"/>
        <color rgb="FFF8696B"/>
        <color rgb="FFFFEB84"/>
        <color rgb="FF63BE7B"/>
      </colorScale>
    </cfRule>
  </conditionalFormatting>
  <conditionalFormatting sqref="F11:F31">
    <cfRule type="colorScale" priority="217">
      <colorScale>
        <cfvo type="min"/>
        <cfvo type="percentile" val="50"/>
        <cfvo type="max"/>
        <color rgb="FFF8696B"/>
        <color rgb="FFFFEB84"/>
        <color rgb="FF63BE7B"/>
      </colorScale>
    </cfRule>
  </conditionalFormatting>
  <conditionalFormatting sqref="F11:F31">
    <cfRule type="colorScale" priority="216">
      <colorScale>
        <cfvo type="min"/>
        <cfvo type="percentile" val="50"/>
        <cfvo type="max"/>
        <color rgb="FFF8696B"/>
        <color rgb="FFFFEB84"/>
        <color rgb="FF63BE7B"/>
      </colorScale>
    </cfRule>
  </conditionalFormatting>
  <conditionalFormatting sqref="F11:F31">
    <cfRule type="colorScale" priority="215">
      <colorScale>
        <cfvo type="min"/>
        <cfvo type="percentile" val="50"/>
        <cfvo type="max"/>
        <color rgb="FFF8696B"/>
        <color rgb="FFFFEB84"/>
        <color rgb="FF63BE7B"/>
      </colorScale>
    </cfRule>
  </conditionalFormatting>
  <conditionalFormatting sqref="F11:F31">
    <cfRule type="colorScale" priority="214">
      <colorScale>
        <cfvo type="min"/>
        <cfvo type="percentile" val="50"/>
        <cfvo type="max"/>
        <color rgb="FFF8696B"/>
        <color rgb="FFFFEB84"/>
        <color rgb="FF63BE7B"/>
      </colorScale>
    </cfRule>
  </conditionalFormatting>
  <conditionalFormatting sqref="F11:F31">
    <cfRule type="colorScale" priority="213">
      <colorScale>
        <cfvo type="min"/>
        <cfvo type="percentile" val="50"/>
        <cfvo type="max"/>
        <color rgb="FFF8696B"/>
        <color rgb="FFFFEB84"/>
        <color rgb="FF63BE7B"/>
      </colorScale>
    </cfRule>
  </conditionalFormatting>
  <conditionalFormatting sqref="F11:F31">
    <cfRule type="colorScale" priority="212">
      <colorScale>
        <cfvo type="min"/>
        <cfvo type="percentile" val="50"/>
        <cfvo type="max"/>
        <color rgb="FFF8696B"/>
        <color rgb="FFFFEB84"/>
        <color rgb="FF63BE7B"/>
      </colorScale>
    </cfRule>
  </conditionalFormatting>
  <conditionalFormatting sqref="F11:F31">
    <cfRule type="colorScale" priority="211">
      <colorScale>
        <cfvo type="min"/>
        <cfvo type="percentile" val="50"/>
        <cfvo type="max"/>
        <color rgb="FFF8696B"/>
        <color rgb="FFFFEB84"/>
        <color rgb="FF63BE7B"/>
      </colorScale>
    </cfRule>
  </conditionalFormatting>
  <conditionalFormatting sqref="F11:F31">
    <cfRule type="colorScale" priority="210">
      <colorScale>
        <cfvo type="min"/>
        <cfvo type="percentile" val="50"/>
        <cfvo type="max"/>
        <color rgb="FFF8696B"/>
        <color rgb="FFFFEB84"/>
        <color rgb="FF63BE7B"/>
      </colorScale>
    </cfRule>
  </conditionalFormatting>
  <conditionalFormatting sqref="F11:F31">
    <cfRule type="colorScale" priority="209">
      <colorScale>
        <cfvo type="min"/>
        <cfvo type="percentile" val="50"/>
        <cfvo type="max"/>
        <color rgb="FFF8696B"/>
        <color rgb="FFFFEB84"/>
        <color rgb="FF63BE7B"/>
      </colorScale>
    </cfRule>
  </conditionalFormatting>
  <conditionalFormatting sqref="F29:F31">
    <cfRule type="colorScale" priority="208">
      <colorScale>
        <cfvo type="min"/>
        <cfvo type="percentile" val="50"/>
        <cfvo type="max"/>
        <color rgb="FFF8696B"/>
        <color rgb="FFFFEB84"/>
        <color rgb="FF63BE7B"/>
      </colorScale>
    </cfRule>
  </conditionalFormatting>
  <conditionalFormatting sqref="F29:F31">
    <cfRule type="colorScale" priority="207">
      <colorScale>
        <cfvo type="min"/>
        <cfvo type="percentile" val="50"/>
        <cfvo type="max"/>
        <color rgb="FFF8696B"/>
        <color rgb="FFFFEB84"/>
        <color rgb="FF63BE7B"/>
      </colorScale>
    </cfRule>
  </conditionalFormatting>
  <conditionalFormatting sqref="F32">
    <cfRule type="colorScale" priority="206">
      <colorScale>
        <cfvo type="min"/>
        <cfvo type="percentile" val="50"/>
        <cfvo type="max"/>
        <color rgb="FFF8696B"/>
        <color rgb="FFFFEB84"/>
        <color rgb="FF63BE7B"/>
      </colorScale>
    </cfRule>
  </conditionalFormatting>
  <conditionalFormatting sqref="F32">
    <cfRule type="colorScale" priority="205">
      <colorScale>
        <cfvo type="min"/>
        <cfvo type="percentile" val="50"/>
        <cfvo type="max"/>
        <color rgb="FFF8696B"/>
        <color rgb="FFFFEB84"/>
        <color rgb="FF63BE7B"/>
      </colorScale>
    </cfRule>
  </conditionalFormatting>
  <conditionalFormatting sqref="F32">
    <cfRule type="colorScale" priority="204">
      <colorScale>
        <cfvo type="min"/>
        <cfvo type="percentile" val="50"/>
        <cfvo type="max"/>
        <color rgb="FFF8696B"/>
        <color rgb="FFFFEB84"/>
        <color rgb="FF63BE7B"/>
      </colorScale>
    </cfRule>
  </conditionalFormatting>
  <conditionalFormatting sqref="F32">
    <cfRule type="colorScale" priority="203">
      <colorScale>
        <cfvo type="min"/>
        <cfvo type="percentile" val="50"/>
        <cfvo type="max"/>
        <color rgb="FFF8696B"/>
        <color rgb="FFFFEB84"/>
        <color rgb="FF63BE7B"/>
      </colorScale>
    </cfRule>
  </conditionalFormatting>
  <conditionalFormatting sqref="F32">
    <cfRule type="colorScale" priority="202">
      <colorScale>
        <cfvo type="min"/>
        <cfvo type="percentile" val="50"/>
        <cfvo type="max"/>
        <color rgb="FFF8696B"/>
        <color rgb="FFFFEB84"/>
        <color rgb="FF63BE7B"/>
      </colorScale>
    </cfRule>
  </conditionalFormatting>
  <conditionalFormatting sqref="F32">
    <cfRule type="colorScale" priority="201">
      <colorScale>
        <cfvo type="min"/>
        <cfvo type="percentile" val="50"/>
        <cfvo type="max"/>
        <color rgb="FFF8696B"/>
        <color rgb="FFFFEB84"/>
        <color rgb="FF63BE7B"/>
      </colorScale>
    </cfRule>
  </conditionalFormatting>
  <conditionalFormatting sqref="F32">
    <cfRule type="colorScale" priority="200">
      <colorScale>
        <cfvo type="min"/>
        <cfvo type="percentile" val="50"/>
        <cfvo type="max"/>
        <color rgb="FFF8696B"/>
        <color rgb="FFFFEB84"/>
        <color rgb="FF63BE7B"/>
      </colorScale>
    </cfRule>
  </conditionalFormatting>
  <conditionalFormatting sqref="F32">
    <cfRule type="colorScale" priority="199">
      <colorScale>
        <cfvo type="min"/>
        <cfvo type="percentile" val="50"/>
        <cfvo type="max"/>
        <color rgb="FFF8696B"/>
        <color rgb="FFFFEB84"/>
        <color rgb="FF63BE7B"/>
      </colorScale>
    </cfRule>
  </conditionalFormatting>
  <conditionalFormatting sqref="F32">
    <cfRule type="colorScale" priority="198">
      <colorScale>
        <cfvo type="min"/>
        <cfvo type="percentile" val="50"/>
        <cfvo type="max"/>
        <color rgb="FFF8696B"/>
        <color rgb="FFFFEB84"/>
        <color rgb="FF63BE7B"/>
      </colorScale>
    </cfRule>
  </conditionalFormatting>
  <conditionalFormatting sqref="F32">
    <cfRule type="colorScale" priority="197">
      <colorScale>
        <cfvo type="min"/>
        <cfvo type="percentile" val="50"/>
        <cfvo type="max"/>
        <color rgb="FFF8696B"/>
        <color rgb="FFFFEB84"/>
        <color rgb="FF63BE7B"/>
      </colorScale>
    </cfRule>
  </conditionalFormatting>
  <conditionalFormatting sqref="F32">
    <cfRule type="colorScale" priority="196">
      <colorScale>
        <cfvo type="min"/>
        <cfvo type="percentile" val="50"/>
        <cfvo type="max"/>
        <color rgb="FFF8696B"/>
        <color rgb="FFFFEB84"/>
        <color rgb="FF63BE7B"/>
      </colorScale>
    </cfRule>
  </conditionalFormatting>
  <conditionalFormatting sqref="F32">
    <cfRule type="colorScale" priority="195">
      <colorScale>
        <cfvo type="min"/>
        <cfvo type="percentile" val="50"/>
        <cfvo type="max"/>
        <color rgb="FFF8696B"/>
        <color rgb="FFFFEB84"/>
        <color rgb="FF63BE7B"/>
      </colorScale>
    </cfRule>
  </conditionalFormatting>
  <conditionalFormatting sqref="F32">
    <cfRule type="colorScale" priority="194">
      <colorScale>
        <cfvo type="min"/>
        <cfvo type="percentile" val="50"/>
        <cfvo type="max"/>
        <color rgb="FFF8696B"/>
        <color rgb="FFFFEB84"/>
        <color rgb="FF63BE7B"/>
      </colorScale>
    </cfRule>
  </conditionalFormatting>
  <conditionalFormatting sqref="F32">
    <cfRule type="colorScale" priority="193">
      <colorScale>
        <cfvo type="min"/>
        <cfvo type="percentile" val="50"/>
        <cfvo type="max"/>
        <color rgb="FFF8696B"/>
        <color rgb="FFFFEB84"/>
        <color rgb="FF63BE7B"/>
      </colorScale>
    </cfRule>
  </conditionalFormatting>
  <conditionalFormatting sqref="F32">
    <cfRule type="colorScale" priority="192">
      <colorScale>
        <cfvo type="min"/>
        <cfvo type="percentile" val="50"/>
        <cfvo type="max"/>
        <color rgb="FFF8696B"/>
        <color rgb="FFFFEB84"/>
        <color rgb="FF63BE7B"/>
      </colorScale>
    </cfRule>
  </conditionalFormatting>
  <conditionalFormatting sqref="F32">
    <cfRule type="colorScale" priority="191">
      <colorScale>
        <cfvo type="min"/>
        <cfvo type="percentile" val="50"/>
        <cfvo type="max"/>
        <color rgb="FFF8696B"/>
        <color rgb="FFFFEB84"/>
        <color rgb="FF63BE7B"/>
      </colorScale>
    </cfRule>
  </conditionalFormatting>
  <conditionalFormatting sqref="F32">
    <cfRule type="colorScale" priority="190">
      <colorScale>
        <cfvo type="min"/>
        <cfvo type="percentile" val="50"/>
        <cfvo type="max"/>
        <color rgb="FFF8696B"/>
        <color rgb="FFFFEB84"/>
        <color rgb="FF63BE7B"/>
      </colorScale>
    </cfRule>
  </conditionalFormatting>
  <conditionalFormatting sqref="F32">
    <cfRule type="colorScale" priority="189">
      <colorScale>
        <cfvo type="min"/>
        <cfvo type="percentile" val="50"/>
        <cfvo type="max"/>
        <color rgb="FFF8696B"/>
        <color rgb="FFFFEB84"/>
        <color rgb="FF63BE7B"/>
      </colorScale>
    </cfRule>
  </conditionalFormatting>
  <conditionalFormatting sqref="F32">
    <cfRule type="colorScale" priority="188">
      <colorScale>
        <cfvo type="min"/>
        <cfvo type="percentile" val="50"/>
        <cfvo type="max"/>
        <color rgb="FFF8696B"/>
        <color rgb="FFFFEB84"/>
        <color rgb="FF63BE7B"/>
      </colorScale>
    </cfRule>
  </conditionalFormatting>
  <conditionalFormatting sqref="F32">
    <cfRule type="colorScale" priority="187">
      <colorScale>
        <cfvo type="min"/>
        <cfvo type="percentile" val="50"/>
        <cfvo type="max"/>
        <color rgb="FFF8696B"/>
        <color rgb="FFFFEB84"/>
        <color rgb="FF63BE7B"/>
      </colorScale>
    </cfRule>
  </conditionalFormatting>
  <conditionalFormatting sqref="F32">
    <cfRule type="colorScale" priority="186">
      <colorScale>
        <cfvo type="min"/>
        <cfvo type="percentile" val="50"/>
        <cfvo type="max"/>
        <color rgb="FFF8696B"/>
        <color rgb="FFFFEB84"/>
        <color rgb="FF63BE7B"/>
      </colorScale>
    </cfRule>
  </conditionalFormatting>
  <conditionalFormatting sqref="F32">
    <cfRule type="colorScale" priority="185">
      <colorScale>
        <cfvo type="min"/>
        <cfvo type="percentile" val="50"/>
        <cfvo type="max"/>
        <color rgb="FFF8696B"/>
        <color rgb="FFFFEB84"/>
        <color rgb="FF63BE7B"/>
      </colorScale>
    </cfRule>
  </conditionalFormatting>
  <conditionalFormatting sqref="F32">
    <cfRule type="colorScale" priority="184">
      <colorScale>
        <cfvo type="min"/>
        <cfvo type="percentile" val="50"/>
        <cfvo type="max"/>
        <color rgb="FFF8696B"/>
        <color rgb="FFFFEB84"/>
        <color rgb="FF63BE7B"/>
      </colorScale>
    </cfRule>
  </conditionalFormatting>
  <conditionalFormatting sqref="F32">
    <cfRule type="colorScale" priority="183">
      <colorScale>
        <cfvo type="min"/>
        <cfvo type="percentile" val="50"/>
        <cfvo type="max"/>
        <color rgb="FFF8696B"/>
        <color rgb="FFFFEB84"/>
        <color rgb="FF63BE7B"/>
      </colorScale>
    </cfRule>
  </conditionalFormatting>
  <conditionalFormatting sqref="F32">
    <cfRule type="colorScale" priority="182">
      <colorScale>
        <cfvo type="min"/>
        <cfvo type="percentile" val="50"/>
        <cfvo type="max"/>
        <color rgb="FFF8696B"/>
        <color rgb="FFFFEB84"/>
        <color rgb="FF63BE7B"/>
      </colorScale>
    </cfRule>
  </conditionalFormatting>
  <conditionalFormatting sqref="F32">
    <cfRule type="colorScale" priority="181">
      <colorScale>
        <cfvo type="min"/>
        <cfvo type="percentile" val="50"/>
        <cfvo type="max"/>
        <color rgb="FFF8696B"/>
        <color rgb="FFFFEB84"/>
        <color rgb="FF63BE7B"/>
      </colorScale>
    </cfRule>
  </conditionalFormatting>
  <conditionalFormatting sqref="F32">
    <cfRule type="colorScale" priority="180">
      <colorScale>
        <cfvo type="min"/>
        <cfvo type="percentile" val="50"/>
        <cfvo type="max"/>
        <color rgb="FFF8696B"/>
        <color rgb="FFFFEB84"/>
        <color rgb="FF63BE7B"/>
      </colorScale>
    </cfRule>
  </conditionalFormatting>
  <conditionalFormatting sqref="F32">
    <cfRule type="colorScale" priority="179">
      <colorScale>
        <cfvo type="min"/>
        <cfvo type="percentile" val="50"/>
        <cfvo type="max"/>
        <color rgb="FFF8696B"/>
        <color rgb="FFFFEB84"/>
        <color rgb="FF63BE7B"/>
      </colorScale>
    </cfRule>
  </conditionalFormatting>
  <conditionalFormatting sqref="F32">
    <cfRule type="colorScale" priority="178">
      <colorScale>
        <cfvo type="min"/>
        <cfvo type="percentile" val="50"/>
        <cfvo type="max"/>
        <color rgb="FFF8696B"/>
        <color rgb="FFFFEB84"/>
        <color rgb="FF63BE7B"/>
      </colorScale>
    </cfRule>
  </conditionalFormatting>
  <conditionalFormatting sqref="F32">
    <cfRule type="colorScale" priority="177">
      <colorScale>
        <cfvo type="min"/>
        <cfvo type="percentile" val="50"/>
        <cfvo type="max"/>
        <color rgb="FFF8696B"/>
        <color rgb="FFFFEB84"/>
        <color rgb="FF63BE7B"/>
      </colorScale>
    </cfRule>
  </conditionalFormatting>
  <conditionalFormatting sqref="F32">
    <cfRule type="colorScale" priority="176">
      <colorScale>
        <cfvo type="min"/>
        <cfvo type="percentile" val="50"/>
        <cfvo type="max"/>
        <color rgb="FFF8696B"/>
        <color rgb="FFFFEB84"/>
        <color rgb="FF63BE7B"/>
      </colorScale>
    </cfRule>
  </conditionalFormatting>
  <conditionalFormatting sqref="F32">
    <cfRule type="colorScale" priority="175">
      <colorScale>
        <cfvo type="min"/>
        <cfvo type="percentile" val="50"/>
        <cfvo type="max"/>
        <color rgb="FFF8696B"/>
        <color rgb="FFFFEB84"/>
        <color rgb="FF63BE7B"/>
      </colorScale>
    </cfRule>
  </conditionalFormatting>
  <conditionalFormatting sqref="F32">
    <cfRule type="colorScale" priority="174">
      <colorScale>
        <cfvo type="min"/>
        <cfvo type="percentile" val="50"/>
        <cfvo type="max"/>
        <color rgb="FFF8696B"/>
        <color rgb="FFFFEB84"/>
        <color rgb="FF63BE7B"/>
      </colorScale>
    </cfRule>
  </conditionalFormatting>
  <conditionalFormatting sqref="F32">
    <cfRule type="colorScale" priority="173">
      <colorScale>
        <cfvo type="min"/>
        <cfvo type="percentile" val="50"/>
        <cfvo type="max"/>
        <color rgb="FFF8696B"/>
        <color rgb="FFFFEB84"/>
        <color rgb="FF63BE7B"/>
      </colorScale>
    </cfRule>
  </conditionalFormatting>
  <conditionalFormatting sqref="F32">
    <cfRule type="colorScale" priority="172">
      <colorScale>
        <cfvo type="min"/>
        <cfvo type="percentile" val="50"/>
        <cfvo type="max"/>
        <color rgb="FFF8696B"/>
        <color rgb="FFFFEB84"/>
        <color rgb="FF63BE7B"/>
      </colorScale>
    </cfRule>
  </conditionalFormatting>
  <conditionalFormatting sqref="F32">
    <cfRule type="colorScale" priority="171">
      <colorScale>
        <cfvo type="min"/>
        <cfvo type="percentile" val="50"/>
        <cfvo type="max"/>
        <color rgb="FFF8696B"/>
        <color rgb="FFFFEB84"/>
        <color rgb="FF63BE7B"/>
      </colorScale>
    </cfRule>
  </conditionalFormatting>
  <conditionalFormatting sqref="F32">
    <cfRule type="colorScale" priority="170">
      <colorScale>
        <cfvo type="min"/>
        <cfvo type="percentile" val="50"/>
        <cfvo type="max"/>
        <color rgb="FFF8696B"/>
        <color rgb="FFFFEB84"/>
        <color rgb="FF63BE7B"/>
      </colorScale>
    </cfRule>
  </conditionalFormatting>
  <conditionalFormatting sqref="F32">
    <cfRule type="colorScale" priority="169">
      <colorScale>
        <cfvo type="min"/>
        <cfvo type="percentile" val="50"/>
        <cfvo type="max"/>
        <color rgb="FFF8696B"/>
        <color rgb="FFFFEB84"/>
        <color rgb="FF63BE7B"/>
      </colorScale>
    </cfRule>
  </conditionalFormatting>
  <conditionalFormatting sqref="F32">
    <cfRule type="colorScale" priority="168">
      <colorScale>
        <cfvo type="min"/>
        <cfvo type="percentile" val="50"/>
        <cfvo type="max"/>
        <color rgb="FFF8696B"/>
        <color rgb="FFFFEB84"/>
        <color rgb="FF63BE7B"/>
      </colorScale>
    </cfRule>
  </conditionalFormatting>
  <conditionalFormatting sqref="F32">
    <cfRule type="colorScale" priority="167">
      <colorScale>
        <cfvo type="min"/>
        <cfvo type="percentile" val="50"/>
        <cfvo type="max"/>
        <color rgb="FFF8696B"/>
        <color rgb="FFFFEB84"/>
        <color rgb="FF63BE7B"/>
      </colorScale>
    </cfRule>
  </conditionalFormatting>
  <conditionalFormatting sqref="F32">
    <cfRule type="colorScale" priority="166">
      <colorScale>
        <cfvo type="min"/>
        <cfvo type="percentile" val="50"/>
        <cfvo type="max"/>
        <color rgb="FFF8696B"/>
        <color rgb="FFFFEB84"/>
        <color rgb="FF63BE7B"/>
      </colorScale>
    </cfRule>
  </conditionalFormatting>
  <conditionalFormatting sqref="F32">
    <cfRule type="colorScale" priority="165">
      <colorScale>
        <cfvo type="min"/>
        <cfvo type="percentile" val="50"/>
        <cfvo type="max"/>
        <color rgb="FFF8696B"/>
        <color rgb="FFFFEB84"/>
        <color rgb="FF63BE7B"/>
      </colorScale>
    </cfRule>
  </conditionalFormatting>
  <conditionalFormatting sqref="F32">
    <cfRule type="colorScale" priority="164">
      <colorScale>
        <cfvo type="min"/>
        <cfvo type="percentile" val="50"/>
        <cfvo type="max"/>
        <color rgb="FFF8696B"/>
        <color rgb="FFFFEB84"/>
        <color rgb="FF63BE7B"/>
      </colorScale>
    </cfRule>
  </conditionalFormatting>
  <conditionalFormatting sqref="F32">
    <cfRule type="colorScale" priority="163">
      <colorScale>
        <cfvo type="min"/>
        <cfvo type="percentile" val="50"/>
        <cfvo type="max"/>
        <color rgb="FFF8696B"/>
        <color rgb="FFFFEB84"/>
        <color rgb="FF63BE7B"/>
      </colorScale>
    </cfRule>
  </conditionalFormatting>
  <conditionalFormatting sqref="F32">
    <cfRule type="colorScale" priority="162">
      <colorScale>
        <cfvo type="min"/>
        <cfvo type="percentile" val="50"/>
        <cfvo type="max"/>
        <color rgb="FFF8696B"/>
        <color rgb="FFFFEB84"/>
        <color rgb="FF63BE7B"/>
      </colorScale>
    </cfRule>
  </conditionalFormatting>
  <conditionalFormatting sqref="F32">
    <cfRule type="colorScale" priority="161">
      <colorScale>
        <cfvo type="min"/>
        <cfvo type="percentile" val="50"/>
        <cfvo type="max"/>
        <color rgb="FFF8696B"/>
        <color rgb="FFFFEB84"/>
        <color rgb="FF63BE7B"/>
      </colorScale>
    </cfRule>
  </conditionalFormatting>
  <conditionalFormatting sqref="F32">
    <cfRule type="colorScale" priority="160">
      <colorScale>
        <cfvo type="min"/>
        <cfvo type="percentile" val="50"/>
        <cfvo type="max"/>
        <color rgb="FFF8696B"/>
        <color rgb="FFFFEB84"/>
        <color rgb="FF63BE7B"/>
      </colorScale>
    </cfRule>
  </conditionalFormatting>
  <conditionalFormatting sqref="F32">
    <cfRule type="colorScale" priority="159">
      <colorScale>
        <cfvo type="min"/>
        <cfvo type="percentile" val="50"/>
        <cfvo type="max"/>
        <color rgb="FFF8696B"/>
        <color rgb="FFFFEB84"/>
        <color rgb="FF63BE7B"/>
      </colorScale>
    </cfRule>
  </conditionalFormatting>
  <conditionalFormatting sqref="F32">
    <cfRule type="colorScale" priority="158">
      <colorScale>
        <cfvo type="min"/>
        <cfvo type="percentile" val="50"/>
        <cfvo type="max"/>
        <color rgb="FFF8696B"/>
        <color rgb="FFFFEB84"/>
        <color rgb="FF63BE7B"/>
      </colorScale>
    </cfRule>
  </conditionalFormatting>
  <conditionalFormatting sqref="F32">
    <cfRule type="colorScale" priority="157">
      <colorScale>
        <cfvo type="min"/>
        <cfvo type="percentile" val="50"/>
        <cfvo type="max"/>
        <color rgb="FFF8696B"/>
        <color rgb="FFFFEB84"/>
        <color rgb="FF63BE7B"/>
      </colorScale>
    </cfRule>
  </conditionalFormatting>
  <conditionalFormatting sqref="F32">
    <cfRule type="colorScale" priority="156">
      <colorScale>
        <cfvo type="min"/>
        <cfvo type="percentile" val="50"/>
        <cfvo type="max"/>
        <color rgb="FFF8696B"/>
        <color rgb="FFFFEB84"/>
        <color rgb="FF63BE7B"/>
      </colorScale>
    </cfRule>
  </conditionalFormatting>
  <conditionalFormatting sqref="F32">
    <cfRule type="colorScale" priority="155">
      <colorScale>
        <cfvo type="min"/>
        <cfvo type="percentile" val="50"/>
        <cfvo type="max"/>
        <color rgb="FFF8696B"/>
        <color rgb="FFFFEB84"/>
        <color rgb="FF63BE7B"/>
      </colorScale>
    </cfRule>
  </conditionalFormatting>
  <conditionalFormatting sqref="F32">
    <cfRule type="colorScale" priority="154">
      <colorScale>
        <cfvo type="min"/>
        <cfvo type="percentile" val="50"/>
        <cfvo type="max"/>
        <color rgb="FFF8696B"/>
        <color rgb="FFFFEB84"/>
        <color rgb="FF63BE7B"/>
      </colorScale>
    </cfRule>
  </conditionalFormatting>
  <conditionalFormatting sqref="F32">
    <cfRule type="colorScale" priority="153">
      <colorScale>
        <cfvo type="min"/>
        <cfvo type="percentile" val="50"/>
        <cfvo type="max"/>
        <color rgb="FFF8696B"/>
        <color rgb="FFFFEB84"/>
        <color rgb="FF63BE7B"/>
      </colorScale>
    </cfRule>
  </conditionalFormatting>
  <conditionalFormatting sqref="F32">
    <cfRule type="colorScale" priority="152">
      <colorScale>
        <cfvo type="min"/>
        <cfvo type="percentile" val="50"/>
        <cfvo type="max"/>
        <color rgb="FFF8696B"/>
        <color rgb="FFFFEB84"/>
        <color rgb="FF63BE7B"/>
      </colorScale>
    </cfRule>
  </conditionalFormatting>
  <conditionalFormatting sqref="F32">
    <cfRule type="colorScale" priority="151">
      <colorScale>
        <cfvo type="min"/>
        <cfvo type="percentile" val="50"/>
        <cfvo type="max"/>
        <color rgb="FFF8696B"/>
        <color rgb="FFFFEB84"/>
        <color rgb="FF63BE7B"/>
      </colorScale>
    </cfRule>
  </conditionalFormatting>
  <conditionalFormatting sqref="F32">
    <cfRule type="colorScale" priority="150">
      <colorScale>
        <cfvo type="min"/>
        <cfvo type="percentile" val="50"/>
        <cfvo type="max"/>
        <color rgb="FFF8696B"/>
        <color rgb="FFFFEB84"/>
        <color rgb="FF63BE7B"/>
      </colorScale>
    </cfRule>
  </conditionalFormatting>
  <conditionalFormatting sqref="F32">
    <cfRule type="colorScale" priority="149">
      <colorScale>
        <cfvo type="min"/>
        <cfvo type="percentile" val="50"/>
        <cfvo type="max"/>
        <color rgb="FFF8696B"/>
        <color rgb="FFFFEB84"/>
        <color rgb="FF63BE7B"/>
      </colorScale>
    </cfRule>
  </conditionalFormatting>
  <conditionalFormatting sqref="F32">
    <cfRule type="colorScale" priority="148">
      <colorScale>
        <cfvo type="min"/>
        <cfvo type="percentile" val="50"/>
        <cfvo type="max"/>
        <color rgb="FFF8696B"/>
        <color rgb="FFFFEB84"/>
        <color rgb="FF63BE7B"/>
      </colorScale>
    </cfRule>
  </conditionalFormatting>
  <conditionalFormatting sqref="F32">
    <cfRule type="colorScale" priority="147">
      <colorScale>
        <cfvo type="min"/>
        <cfvo type="percentile" val="50"/>
        <cfvo type="max"/>
        <color rgb="FFF8696B"/>
        <color rgb="FFFFEB84"/>
        <color rgb="FF63BE7B"/>
      </colorScale>
    </cfRule>
  </conditionalFormatting>
  <conditionalFormatting sqref="F32">
    <cfRule type="colorScale" priority="146">
      <colorScale>
        <cfvo type="min"/>
        <cfvo type="percentile" val="50"/>
        <cfvo type="max"/>
        <color rgb="FFF8696B"/>
        <color rgb="FFFFEB84"/>
        <color rgb="FF63BE7B"/>
      </colorScale>
    </cfRule>
  </conditionalFormatting>
  <conditionalFormatting sqref="F32">
    <cfRule type="colorScale" priority="145">
      <colorScale>
        <cfvo type="min"/>
        <cfvo type="percentile" val="50"/>
        <cfvo type="max"/>
        <color rgb="FFF8696B"/>
        <color rgb="FFFFEB84"/>
        <color rgb="FF63BE7B"/>
      </colorScale>
    </cfRule>
  </conditionalFormatting>
  <conditionalFormatting sqref="F32">
    <cfRule type="colorScale" priority="144">
      <colorScale>
        <cfvo type="min"/>
        <cfvo type="percentile" val="50"/>
        <cfvo type="max"/>
        <color rgb="FFF8696B"/>
        <color rgb="FFFFEB84"/>
        <color rgb="FF63BE7B"/>
      </colorScale>
    </cfRule>
  </conditionalFormatting>
  <conditionalFormatting sqref="F32">
    <cfRule type="colorScale" priority="143">
      <colorScale>
        <cfvo type="min"/>
        <cfvo type="percentile" val="50"/>
        <cfvo type="max"/>
        <color rgb="FFF8696B"/>
        <color rgb="FFFFEB84"/>
        <color rgb="FF63BE7B"/>
      </colorScale>
    </cfRule>
  </conditionalFormatting>
  <conditionalFormatting sqref="F32">
    <cfRule type="colorScale" priority="142">
      <colorScale>
        <cfvo type="min"/>
        <cfvo type="percentile" val="50"/>
        <cfvo type="max"/>
        <color rgb="FFF8696B"/>
        <color rgb="FFFFEB84"/>
        <color rgb="FF63BE7B"/>
      </colorScale>
    </cfRule>
  </conditionalFormatting>
  <conditionalFormatting sqref="F32">
    <cfRule type="colorScale" priority="141">
      <colorScale>
        <cfvo type="min"/>
        <cfvo type="percentile" val="50"/>
        <cfvo type="max"/>
        <color rgb="FFF8696B"/>
        <color rgb="FFFFEB84"/>
        <color rgb="FF63BE7B"/>
      </colorScale>
    </cfRule>
  </conditionalFormatting>
  <conditionalFormatting sqref="F32">
    <cfRule type="colorScale" priority="140">
      <colorScale>
        <cfvo type="min"/>
        <cfvo type="percentile" val="50"/>
        <cfvo type="max"/>
        <color rgb="FFF8696B"/>
        <color rgb="FFFFEB84"/>
        <color rgb="FF63BE7B"/>
      </colorScale>
    </cfRule>
  </conditionalFormatting>
  <conditionalFormatting sqref="F32">
    <cfRule type="colorScale" priority="139">
      <colorScale>
        <cfvo type="min"/>
        <cfvo type="percentile" val="50"/>
        <cfvo type="max"/>
        <color rgb="FFF8696B"/>
        <color rgb="FFFFEB84"/>
        <color rgb="FF63BE7B"/>
      </colorScale>
    </cfRule>
  </conditionalFormatting>
  <conditionalFormatting sqref="F32">
    <cfRule type="colorScale" priority="138">
      <colorScale>
        <cfvo type="min"/>
        <cfvo type="percentile" val="50"/>
        <cfvo type="max"/>
        <color rgb="FFF8696B"/>
        <color rgb="FFFFEB84"/>
        <color rgb="FF63BE7B"/>
      </colorScale>
    </cfRule>
  </conditionalFormatting>
  <conditionalFormatting sqref="F32">
    <cfRule type="colorScale" priority="137">
      <colorScale>
        <cfvo type="min"/>
        <cfvo type="percentile" val="50"/>
        <cfvo type="max"/>
        <color rgb="FFF8696B"/>
        <color rgb="FFFFEB84"/>
        <color rgb="FF63BE7B"/>
      </colorScale>
    </cfRule>
  </conditionalFormatting>
  <conditionalFormatting sqref="F32">
    <cfRule type="colorScale" priority="136">
      <colorScale>
        <cfvo type="min"/>
        <cfvo type="percentile" val="50"/>
        <cfvo type="max"/>
        <color rgb="FFF8696B"/>
        <color rgb="FFFFEB84"/>
        <color rgb="FF63BE7B"/>
      </colorScale>
    </cfRule>
  </conditionalFormatting>
  <conditionalFormatting sqref="F32">
    <cfRule type="colorScale" priority="135">
      <colorScale>
        <cfvo type="min"/>
        <cfvo type="percentile" val="50"/>
        <cfvo type="max"/>
        <color rgb="FFF8696B"/>
        <color rgb="FFFFEB84"/>
        <color rgb="FF63BE7B"/>
      </colorScale>
    </cfRule>
  </conditionalFormatting>
  <conditionalFormatting sqref="F32">
    <cfRule type="colorScale" priority="134">
      <colorScale>
        <cfvo type="min"/>
        <cfvo type="percentile" val="50"/>
        <cfvo type="max"/>
        <color rgb="FFF8696B"/>
        <color rgb="FFFFEB84"/>
        <color rgb="FF63BE7B"/>
      </colorScale>
    </cfRule>
  </conditionalFormatting>
  <conditionalFormatting sqref="F32">
    <cfRule type="colorScale" priority="133">
      <colorScale>
        <cfvo type="min"/>
        <cfvo type="percentile" val="50"/>
        <cfvo type="max"/>
        <color rgb="FFF8696B"/>
        <color rgb="FFFFEB84"/>
        <color rgb="FF63BE7B"/>
      </colorScale>
    </cfRule>
  </conditionalFormatting>
  <conditionalFormatting sqref="F32">
    <cfRule type="colorScale" priority="132">
      <colorScale>
        <cfvo type="min"/>
        <cfvo type="percentile" val="50"/>
        <cfvo type="max"/>
        <color rgb="FFF8696B"/>
        <color rgb="FFFFEB84"/>
        <color rgb="FF63BE7B"/>
      </colorScale>
    </cfRule>
  </conditionalFormatting>
  <conditionalFormatting sqref="F32">
    <cfRule type="colorScale" priority="131">
      <colorScale>
        <cfvo type="min"/>
        <cfvo type="percentile" val="50"/>
        <cfvo type="max"/>
        <color rgb="FFF8696B"/>
        <color rgb="FFFFEB84"/>
        <color rgb="FF63BE7B"/>
      </colorScale>
    </cfRule>
  </conditionalFormatting>
  <conditionalFormatting sqref="F32">
    <cfRule type="colorScale" priority="130">
      <colorScale>
        <cfvo type="min"/>
        <cfvo type="percentile" val="50"/>
        <cfvo type="max"/>
        <color rgb="FFF8696B"/>
        <color rgb="FFFFEB84"/>
        <color rgb="FF63BE7B"/>
      </colorScale>
    </cfRule>
  </conditionalFormatting>
  <conditionalFormatting sqref="F32">
    <cfRule type="colorScale" priority="129">
      <colorScale>
        <cfvo type="min"/>
        <cfvo type="percentile" val="50"/>
        <cfvo type="max"/>
        <color rgb="FFF8696B"/>
        <color rgb="FFFFEB84"/>
        <color rgb="FF63BE7B"/>
      </colorScale>
    </cfRule>
  </conditionalFormatting>
  <conditionalFormatting sqref="F32">
    <cfRule type="colorScale" priority="128">
      <colorScale>
        <cfvo type="min"/>
        <cfvo type="percentile" val="50"/>
        <cfvo type="max"/>
        <color rgb="FFF8696B"/>
        <color rgb="FFFFEB84"/>
        <color rgb="FF63BE7B"/>
      </colorScale>
    </cfRule>
  </conditionalFormatting>
  <conditionalFormatting sqref="F32">
    <cfRule type="colorScale" priority="127">
      <colorScale>
        <cfvo type="min"/>
        <cfvo type="percentile" val="50"/>
        <cfvo type="max"/>
        <color rgb="FFF8696B"/>
        <color rgb="FFFFEB84"/>
        <color rgb="FF63BE7B"/>
      </colorScale>
    </cfRule>
  </conditionalFormatting>
  <conditionalFormatting sqref="F32">
    <cfRule type="colorScale" priority="126">
      <colorScale>
        <cfvo type="min"/>
        <cfvo type="percentile" val="50"/>
        <cfvo type="max"/>
        <color rgb="FFF8696B"/>
        <color rgb="FFFFEB84"/>
        <color rgb="FF63BE7B"/>
      </colorScale>
    </cfRule>
  </conditionalFormatting>
  <conditionalFormatting sqref="F32">
    <cfRule type="colorScale" priority="125">
      <colorScale>
        <cfvo type="min"/>
        <cfvo type="percentile" val="50"/>
        <cfvo type="max"/>
        <color rgb="FFF8696B"/>
        <color rgb="FFFFEB84"/>
        <color rgb="FF63BE7B"/>
      </colorScale>
    </cfRule>
  </conditionalFormatting>
  <conditionalFormatting sqref="F32">
    <cfRule type="colorScale" priority="124">
      <colorScale>
        <cfvo type="min"/>
        <cfvo type="percentile" val="50"/>
        <cfvo type="max"/>
        <color rgb="FFF8696B"/>
        <color rgb="FFFFEB84"/>
        <color rgb="FF63BE7B"/>
      </colorScale>
    </cfRule>
  </conditionalFormatting>
  <conditionalFormatting sqref="F32">
    <cfRule type="colorScale" priority="123">
      <colorScale>
        <cfvo type="min"/>
        <cfvo type="percentile" val="50"/>
        <cfvo type="max"/>
        <color rgb="FFF8696B"/>
        <color rgb="FFFFEB84"/>
        <color rgb="FF63BE7B"/>
      </colorScale>
    </cfRule>
  </conditionalFormatting>
  <conditionalFormatting sqref="F32">
    <cfRule type="colorScale" priority="122">
      <colorScale>
        <cfvo type="min"/>
        <cfvo type="percentile" val="50"/>
        <cfvo type="max"/>
        <color rgb="FFF8696B"/>
        <color rgb="FFFFEB84"/>
        <color rgb="FF63BE7B"/>
      </colorScale>
    </cfRule>
  </conditionalFormatting>
  <conditionalFormatting sqref="F32">
    <cfRule type="colorScale" priority="121">
      <colorScale>
        <cfvo type="min"/>
        <cfvo type="percentile" val="50"/>
        <cfvo type="max"/>
        <color rgb="FFF8696B"/>
        <color rgb="FFFFEB84"/>
        <color rgb="FF63BE7B"/>
      </colorScale>
    </cfRule>
  </conditionalFormatting>
  <conditionalFormatting sqref="F32">
    <cfRule type="colorScale" priority="120">
      <colorScale>
        <cfvo type="min"/>
        <cfvo type="percentile" val="50"/>
        <cfvo type="max"/>
        <color rgb="FFF8696B"/>
        <color rgb="FFFFEB84"/>
        <color rgb="FF63BE7B"/>
      </colorScale>
    </cfRule>
  </conditionalFormatting>
  <conditionalFormatting sqref="F32">
    <cfRule type="colorScale" priority="119">
      <colorScale>
        <cfvo type="min"/>
        <cfvo type="percentile" val="50"/>
        <cfvo type="max"/>
        <color rgb="FFF8696B"/>
        <color rgb="FFFFEB84"/>
        <color rgb="FF63BE7B"/>
      </colorScale>
    </cfRule>
  </conditionalFormatting>
  <conditionalFormatting sqref="F32">
    <cfRule type="colorScale" priority="118">
      <colorScale>
        <cfvo type="min"/>
        <cfvo type="percentile" val="50"/>
        <cfvo type="max"/>
        <color rgb="FFF8696B"/>
        <color rgb="FFFFEB84"/>
        <color rgb="FF63BE7B"/>
      </colorScale>
    </cfRule>
  </conditionalFormatting>
  <conditionalFormatting sqref="F32">
    <cfRule type="colorScale" priority="117">
      <colorScale>
        <cfvo type="min"/>
        <cfvo type="percentile" val="50"/>
        <cfvo type="max"/>
        <color rgb="FFF8696B"/>
        <color rgb="FFFFEB84"/>
        <color rgb="FF63BE7B"/>
      </colorScale>
    </cfRule>
  </conditionalFormatting>
  <conditionalFormatting sqref="F32">
    <cfRule type="colorScale" priority="116">
      <colorScale>
        <cfvo type="min"/>
        <cfvo type="percentile" val="50"/>
        <cfvo type="max"/>
        <color rgb="FFF8696B"/>
        <color rgb="FFFFEB84"/>
        <color rgb="FF63BE7B"/>
      </colorScale>
    </cfRule>
  </conditionalFormatting>
  <conditionalFormatting sqref="F32">
    <cfRule type="colorScale" priority="115">
      <colorScale>
        <cfvo type="min"/>
        <cfvo type="percentile" val="50"/>
        <cfvo type="max"/>
        <color rgb="FFF8696B"/>
        <color rgb="FFFFEB84"/>
        <color rgb="FF63BE7B"/>
      </colorScale>
    </cfRule>
  </conditionalFormatting>
  <conditionalFormatting sqref="F32">
    <cfRule type="colorScale" priority="114">
      <colorScale>
        <cfvo type="min"/>
        <cfvo type="percentile" val="50"/>
        <cfvo type="max"/>
        <color rgb="FFF8696B"/>
        <color rgb="FFFFEB84"/>
        <color rgb="FF63BE7B"/>
      </colorScale>
    </cfRule>
  </conditionalFormatting>
  <conditionalFormatting sqref="F32">
    <cfRule type="colorScale" priority="113">
      <colorScale>
        <cfvo type="min"/>
        <cfvo type="percentile" val="50"/>
        <cfvo type="max"/>
        <color rgb="FFF8696B"/>
        <color rgb="FFFFEB84"/>
        <color rgb="FF63BE7B"/>
      </colorScale>
    </cfRule>
  </conditionalFormatting>
  <conditionalFormatting sqref="F32">
    <cfRule type="colorScale" priority="112">
      <colorScale>
        <cfvo type="min"/>
        <cfvo type="percentile" val="50"/>
        <cfvo type="max"/>
        <color rgb="FFF8696B"/>
        <color rgb="FFFFEB84"/>
        <color rgb="FF63BE7B"/>
      </colorScale>
    </cfRule>
  </conditionalFormatting>
  <conditionalFormatting sqref="F32">
    <cfRule type="colorScale" priority="111">
      <colorScale>
        <cfvo type="min"/>
        <cfvo type="percentile" val="50"/>
        <cfvo type="max"/>
        <color rgb="FFF8696B"/>
        <color rgb="FFFFEB84"/>
        <color rgb="FF63BE7B"/>
      </colorScale>
    </cfRule>
  </conditionalFormatting>
  <conditionalFormatting sqref="F32">
    <cfRule type="colorScale" priority="110">
      <colorScale>
        <cfvo type="min"/>
        <cfvo type="percentile" val="50"/>
        <cfvo type="max"/>
        <color rgb="FFF8696B"/>
        <color rgb="FFFFEB84"/>
        <color rgb="FF63BE7B"/>
      </colorScale>
    </cfRule>
  </conditionalFormatting>
  <conditionalFormatting sqref="F32">
    <cfRule type="colorScale" priority="109">
      <colorScale>
        <cfvo type="min"/>
        <cfvo type="percentile" val="50"/>
        <cfvo type="max"/>
        <color rgb="FFF8696B"/>
        <color rgb="FFFFEB84"/>
        <color rgb="FF63BE7B"/>
      </colorScale>
    </cfRule>
  </conditionalFormatting>
  <conditionalFormatting sqref="F32">
    <cfRule type="colorScale" priority="108">
      <colorScale>
        <cfvo type="min"/>
        <cfvo type="percentile" val="50"/>
        <cfvo type="max"/>
        <color rgb="FFF8696B"/>
        <color rgb="FFFFEB84"/>
        <color rgb="FF63BE7B"/>
      </colorScale>
    </cfRule>
  </conditionalFormatting>
  <conditionalFormatting sqref="F32">
    <cfRule type="colorScale" priority="107">
      <colorScale>
        <cfvo type="min"/>
        <cfvo type="percentile" val="50"/>
        <cfvo type="max"/>
        <color rgb="FFF8696B"/>
        <color rgb="FFFFEB84"/>
        <color rgb="FF63BE7B"/>
      </colorScale>
    </cfRule>
  </conditionalFormatting>
  <conditionalFormatting sqref="F32">
    <cfRule type="colorScale" priority="106">
      <colorScale>
        <cfvo type="min"/>
        <cfvo type="percentile" val="50"/>
        <cfvo type="max"/>
        <color rgb="FFF8696B"/>
        <color rgb="FFFFEB84"/>
        <color rgb="FF63BE7B"/>
      </colorScale>
    </cfRule>
  </conditionalFormatting>
  <conditionalFormatting sqref="F32">
    <cfRule type="colorScale" priority="105">
      <colorScale>
        <cfvo type="min"/>
        <cfvo type="percentile" val="50"/>
        <cfvo type="max"/>
        <color rgb="FFF8696B"/>
        <color rgb="FFFFEB84"/>
        <color rgb="FF63BE7B"/>
      </colorScale>
    </cfRule>
  </conditionalFormatting>
  <conditionalFormatting sqref="F32">
    <cfRule type="colorScale" priority="104">
      <colorScale>
        <cfvo type="min"/>
        <cfvo type="percentile" val="50"/>
        <cfvo type="max"/>
        <color rgb="FFF8696B"/>
        <color rgb="FFFFEB84"/>
        <color rgb="FF63BE7B"/>
      </colorScale>
    </cfRule>
  </conditionalFormatting>
  <conditionalFormatting sqref="F32">
    <cfRule type="colorScale" priority="103">
      <colorScale>
        <cfvo type="min"/>
        <cfvo type="percentile" val="50"/>
        <cfvo type="max"/>
        <color rgb="FFF8696B"/>
        <color rgb="FFFFEB84"/>
        <color rgb="FF63BE7B"/>
      </colorScale>
    </cfRule>
  </conditionalFormatting>
  <conditionalFormatting sqref="F32">
    <cfRule type="colorScale" priority="102">
      <colorScale>
        <cfvo type="min"/>
        <cfvo type="percentile" val="50"/>
        <cfvo type="max"/>
        <color rgb="FFF8696B"/>
        <color rgb="FFFFEB84"/>
        <color rgb="FF63BE7B"/>
      </colorScale>
    </cfRule>
  </conditionalFormatting>
  <conditionalFormatting sqref="F32">
    <cfRule type="colorScale" priority="101">
      <colorScale>
        <cfvo type="min"/>
        <cfvo type="percentile" val="50"/>
        <cfvo type="max"/>
        <color rgb="FFF8696B"/>
        <color rgb="FFFFEB84"/>
        <color rgb="FF63BE7B"/>
      </colorScale>
    </cfRule>
  </conditionalFormatting>
  <conditionalFormatting sqref="F32">
    <cfRule type="colorScale" priority="100">
      <colorScale>
        <cfvo type="min"/>
        <cfvo type="percentile" val="50"/>
        <cfvo type="max"/>
        <color rgb="FFF8696B"/>
        <color rgb="FFFFEB84"/>
        <color rgb="FF63BE7B"/>
      </colorScale>
    </cfRule>
  </conditionalFormatting>
  <conditionalFormatting sqref="F32">
    <cfRule type="colorScale" priority="99">
      <colorScale>
        <cfvo type="min"/>
        <cfvo type="percentile" val="50"/>
        <cfvo type="max"/>
        <color rgb="FFF8696B"/>
        <color rgb="FFFFEB84"/>
        <color rgb="FF63BE7B"/>
      </colorScale>
    </cfRule>
  </conditionalFormatting>
  <conditionalFormatting sqref="F32">
    <cfRule type="colorScale" priority="98">
      <colorScale>
        <cfvo type="min"/>
        <cfvo type="percentile" val="50"/>
        <cfvo type="max"/>
        <color rgb="FFF8696B"/>
        <color rgb="FFFFEB84"/>
        <color rgb="FF63BE7B"/>
      </colorScale>
    </cfRule>
  </conditionalFormatting>
  <conditionalFormatting sqref="F32">
    <cfRule type="colorScale" priority="97">
      <colorScale>
        <cfvo type="min"/>
        <cfvo type="percentile" val="50"/>
        <cfvo type="max"/>
        <color rgb="FFF8696B"/>
        <color rgb="FFFFEB84"/>
        <color rgb="FF63BE7B"/>
      </colorScale>
    </cfRule>
  </conditionalFormatting>
  <conditionalFormatting sqref="F32">
    <cfRule type="colorScale" priority="96">
      <colorScale>
        <cfvo type="min"/>
        <cfvo type="percentile" val="50"/>
        <cfvo type="max"/>
        <color rgb="FFF8696B"/>
        <color rgb="FFFFEB84"/>
        <color rgb="FF63BE7B"/>
      </colorScale>
    </cfRule>
  </conditionalFormatting>
  <conditionalFormatting sqref="F32">
    <cfRule type="colorScale" priority="95">
      <colorScale>
        <cfvo type="min"/>
        <cfvo type="percentile" val="50"/>
        <cfvo type="max"/>
        <color rgb="FFF8696B"/>
        <color rgb="FFFFEB84"/>
        <color rgb="FF63BE7B"/>
      </colorScale>
    </cfRule>
  </conditionalFormatting>
  <conditionalFormatting sqref="F32">
    <cfRule type="colorScale" priority="94">
      <colorScale>
        <cfvo type="min"/>
        <cfvo type="percentile" val="50"/>
        <cfvo type="max"/>
        <color rgb="FFF8696B"/>
        <color rgb="FFFFEB84"/>
        <color rgb="FF63BE7B"/>
      </colorScale>
    </cfRule>
  </conditionalFormatting>
  <conditionalFormatting sqref="F32">
    <cfRule type="colorScale" priority="93">
      <colorScale>
        <cfvo type="min"/>
        <cfvo type="percentile" val="50"/>
        <cfvo type="max"/>
        <color rgb="FFF8696B"/>
        <color rgb="FFFFEB84"/>
        <color rgb="FF63BE7B"/>
      </colorScale>
    </cfRule>
  </conditionalFormatting>
  <conditionalFormatting sqref="F32">
    <cfRule type="colorScale" priority="92">
      <colorScale>
        <cfvo type="min"/>
        <cfvo type="percentile" val="50"/>
        <cfvo type="max"/>
        <color rgb="FFF8696B"/>
        <color rgb="FFFFEB84"/>
        <color rgb="FF63BE7B"/>
      </colorScale>
    </cfRule>
  </conditionalFormatting>
  <conditionalFormatting sqref="F32">
    <cfRule type="colorScale" priority="91">
      <colorScale>
        <cfvo type="min"/>
        <cfvo type="percentile" val="50"/>
        <cfvo type="max"/>
        <color rgb="FFF8696B"/>
        <color rgb="FFFFEB84"/>
        <color rgb="FF63BE7B"/>
      </colorScale>
    </cfRule>
  </conditionalFormatting>
  <conditionalFormatting sqref="F32">
    <cfRule type="colorScale" priority="90">
      <colorScale>
        <cfvo type="min"/>
        <cfvo type="percentile" val="50"/>
        <cfvo type="max"/>
        <color rgb="FFF8696B"/>
        <color rgb="FFFFEB84"/>
        <color rgb="FF63BE7B"/>
      </colorScale>
    </cfRule>
  </conditionalFormatting>
  <conditionalFormatting sqref="F32">
    <cfRule type="colorScale" priority="89">
      <colorScale>
        <cfvo type="min"/>
        <cfvo type="percentile" val="50"/>
        <cfvo type="max"/>
        <color rgb="FFF8696B"/>
        <color rgb="FFFFEB84"/>
        <color rgb="FF63BE7B"/>
      </colorScale>
    </cfRule>
  </conditionalFormatting>
  <conditionalFormatting sqref="F32">
    <cfRule type="colorScale" priority="88">
      <colorScale>
        <cfvo type="min"/>
        <cfvo type="percentile" val="50"/>
        <cfvo type="max"/>
        <color rgb="FFF8696B"/>
        <color rgb="FFFFEB84"/>
        <color rgb="FF63BE7B"/>
      </colorScale>
    </cfRule>
  </conditionalFormatting>
  <conditionalFormatting sqref="F32">
    <cfRule type="colorScale" priority="87">
      <colorScale>
        <cfvo type="min"/>
        <cfvo type="percentile" val="50"/>
        <cfvo type="max"/>
        <color rgb="FFF8696B"/>
        <color rgb="FFFFEB84"/>
        <color rgb="FF63BE7B"/>
      </colorScale>
    </cfRule>
  </conditionalFormatting>
  <conditionalFormatting sqref="F32">
    <cfRule type="colorScale" priority="86">
      <colorScale>
        <cfvo type="min"/>
        <cfvo type="percentile" val="50"/>
        <cfvo type="max"/>
        <color rgb="FFF8696B"/>
        <color rgb="FFFFEB84"/>
        <color rgb="FF63BE7B"/>
      </colorScale>
    </cfRule>
  </conditionalFormatting>
  <conditionalFormatting sqref="F32">
    <cfRule type="colorScale" priority="85">
      <colorScale>
        <cfvo type="min"/>
        <cfvo type="percentile" val="50"/>
        <cfvo type="max"/>
        <color rgb="FFF8696B"/>
        <color rgb="FFFFEB84"/>
        <color rgb="FF63BE7B"/>
      </colorScale>
    </cfRule>
  </conditionalFormatting>
  <conditionalFormatting sqref="F32">
    <cfRule type="colorScale" priority="84">
      <colorScale>
        <cfvo type="min"/>
        <cfvo type="percentile" val="50"/>
        <cfvo type="max"/>
        <color rgb="FFF8696B"/>
        <color rgb="FFFFEB84"/>
        <color rgb="FF63BE7B"/>
      </colorScale>
    </cfRule>
  </conditionalFormatting>
  <conditionalFormatting sqref="F32">
    <cfRule type="colorScale" priority="83">
      <colorScale>
        <cfvo type="min"/>
        <cfvo type="percentile" val="50"/>
        <cfvo type="max"/>
        <color rgb="FFF8696B"/>
        <color rgb="FFFFEB84"/>
        <color rgb="FF63BE7B"/>
      </colorScale>
    </cfRule>
  </conditionalFormatting>
  <conditionalFormatting sqref="F32">
    <cfRule type="colorScale" priority="82">
      <colorScale>
        <cfvo type="min"/>
        <cfvo type="percentile" val="50"/>
        <cfvo type="max"/>
        <color rgb="FFF8696B"/>
        <color rgb="FFFFEB84"/>
        <color rgb="FF63BE7B"/>
      </colorScale>
    </cfRule>
  </conditionalFormatting>
  <conditionalFormatting sqref="F32">
    <cfRule type="colorScale" priority="81">
      <colorScale>
        <cfvo type="min"/>
        <cfvo type="percentile" val="50"/>
        <cfvo type="max"/>
        <color rgb="FFF8696B"/>
        <color rgb="FFFFEB84"/>
        <color rgb="FF63BE7B"/>
      </colorScale>
    </cfRule>
  </conditionalFormatting>
  <conditionalFormatting sqref="F32">
    <cfRule type="colorScale" priority="80">
      <colorScale>
        <cfvo type="min"/>
        <cfvo type="percentile" val="50"/>
        <cfvo type="max"/>
        <color rgb="FFF8696B"/>
        <color rgb="FFFFEB84"/>
        <color rgb="FF63BE7B"/>
      </colorScale>
    </cfRule>
  </conditionalFormatting>
  <conditionalFormatting sqref="F32">
    <cfRule type="colorScale" priority="79">
      <colorScale>
        <cfvo type="min"/>
        <cfvo type="percentile" val="50"/>
        <cfvo type="max"/>
        <color rgb="FFF8696B"/>
        <color rgb="FFFFEB84"/>
        <color rgb="FF63BE7B"/>
      </colorScale>
    </cfRule>
  </conditionalFormatting>
  <conditionalFormatting sqref="F32">
    <cfRule type="colorScale" priority="78">
      <colorScale>
        <cfvo type="min"/>
        <cfvo type="percentile" val="50"/>
        <cfvo type="max"/>
        <color rgb="FFF8696B"/>
        <color rgb="FFFFEB84"/>
        <color rgb="FF63BE7B"/>
      </colorScale>
    </cfRule>
  </conditionalFormatting>
  <conditionalFormatting sqref="F32">
    <cfRule type="colorScale" priority="77">
      <colorScale>
        <cfvo type="min"/>
        <cfvo type="percentile" val="50"/>
        <cfvo type="max"/>
        <color rgb="FFF8696B"/>
        <color rgb="FFFFEB84"/>
        <color rgb="FF63BE7B"/>
      </colorScale>
    </cfRule>
  </conditionalFormatting>
  <conditionalFormatting sqref="F32">
    <cfRule type="colorScale" priority="76">
      <colorScale>
        <cfvo type="min"/>
        <cfvo type="percentile" val="50"/>
        <cfvo type="max"/>
        <color rgb="FFF8696B"/>
        <color rgb="FFFFEB84"/>
        <color rgb="FF63BE7B"/>
      </colorScale>
    </cfRule>
  </conditionalFormatting>
  <conditionalFormatting sqref="F32">
    <cfRule type="colorScale" priority="75">
      <colorScale>
        <cfvo type="min"/>
        <cfvo type="percentile" val="50"/>
        <cfvo type="max"/>
        <color rgb="FFF8696B"/>
        <color rgb="FFFFEB84"/>
        <color rgb="FF63BE7B"/>
      </colorScale>
    </cfRule>
  </conditionalFormatting>
  <conditionalFormatting sqref="F32">
    <cfRule type="colorScale" priority="74">
      <colorScale>
        <cfvo type="min"/>
        <cfvo type="percentile" val="50"/>
        <cfvo type="max"/>
        <color rgb="FFF8696B"/>
        <color rgb="FFFFEB84"/>
        <color rgb="FF63BE7B"/>
      </colorScale>
    </cfRule>
  </conditionalFormatting>
  <conditionalFormatting sqref="F32">
    <cfRule type="colorScale" priority="73">
      <colorScale>
        <cfvo type="min"/>
        <cfvo type="percentile" val="50"/>
        <cfvo type="max"/>
        <color rgb="FFF8696B"/>
        <color rgb="FFFFEB84"/>
        <color rgb="FF63BE7B"/>
      </colorScale>
    </cfRule>
  </conditionalFormatting>
  <conditionalFormatting sqref="F32">
    <cfRule type="colorScale" priority="72">
      <colorScale>
        <cfvo type="min"/>
        <cfvo type="percentile" val="50"/>
        <cfvo type="max"/>
        <color rgb="FFF8696B"/>
        <color rgb="FFFFEB84"/>
        <color rgb="FF63BE7B"/>
      </colorScale>
    </cfRule>
  </conditionalFormatting>
  <conditionalFormatting sqref="F32">
    <cfRule type="colorScale" priority="71">
      <colorScale>
        <cfvo type="min"/>
        <cfvo type="percentile" val="50"/>
        <cfvo type="max"/>
        <color rgb="FFF8696B"/>
        <color rgb="FFFFEB84"/>
        <color rgb="FF63BE7B"/>
      </colorScale>
    </cfRule>
  </conditionalFormatting>
  <conditionalFormatting sqref="F32">
    <cfRule type="colorScale" priority="70">
      <colorScale>
        <cfvo type="min"/>
        <cfvo type="percentile" val="50"/>
        <cfvo type="max"/>
        <color rgb="FFF8696B"/>
        <color rgb="FFFFEB84"/>
        <color rgb="FF63BE7B"/>
      </colorScale>
    </cfRule>
  </conditionalFormatting>
  <conditionalFormatting sqref="F32">
    <cfRule type="colorScale" priority="69">
      <colorScale>
        <cfvo type="min"/>
        <cfvo type="percentile" val="50"/>
        <cfvo type="max"/>
        <color rgb="FFF8696B"/>
        <color rgb="FFFFEB84"/>
        <color rgb="FF63BE7B"/>
      </colorScale>
    </cfRule>
  </conditionalFormatting>
  <conditionalFormatting sqref="F32">
    <cfRule type="colorScale" priority="68">
      <colorScale>
        <cfvo type="min"/>
        <cfvo type="percentile" val="50"/>
        <cfvo type="max"/>
        <color rgb="FFF8696B"/>
        <color rgb="FFFFEB84"/>
        <color rgb="FF63BE7B"/>
      </colorScale>
    </cfRule>
  </conditionalFormatting>
  <conditionalFormatting sqref="F32">
    <cfRule type="colorScale" priority="67">
      <colorScale>
        <cfvo type="min"/>
        <cfvo type="percentile" val="50"/>
        <cfvo type="max"/>
        <color rgb="FFF8696B"/>
        <color rgb="FFFFEB84"/>
        <color rgb="FF63BE7B"/>
      </colorScale>
    </cfRule>
  </conditionalFormatting>
  <conditionalFormatting sqref="F32">
    <cfRule type="colorScale" priority="66">
      <colorScale>
        <cfvo type="min"/>
        <cfvo type="percentile" val="50"/>
        <cfvo type="max"/>
        <color rgb="FFF8696B"/>
        <color rgb="FFFFEB84"/>
        <color rgb="FF63BE7B"/>
      </colorScale>
    </cfRule>
  </conditionalFormatting>
  <conditionalFormatting sqref="F32">
    <cfRule type="colorScale" priority="65">
      <colorScale>
        <cfvo type="min"/>
        <cfvo type="percentile" val="50"/>
        <cfvo type="max"/>
        <color rgb="FFF8696B"/>
        <color rgb="FFFFEB84"/>
        <color rgb="FF63BE7B"/>
      </colorScale>
    </cfRule>
  </conditionalFormatting>
  <conditionalFormatting sqref="F32">
    <cfRule type="colorScale" priority="64">
      <colorScale>
        <cfvo type="min"/>
        <cfvo type="percentile" val="50"/>
        <cfvo type="max"/>
        <color rgb="FFF8696B"/>
        <color rgb="FFFFEB84"/>
        <color rgb="FF63BE7B"/>
      </colorScale>
    </cfRule>
  </conditionalFormatting>
  <conditionalFormatting sqref="F32">
    <cfRule type="colorScale" priority="63">
      <colorScale>
        <cfvo type="min"/>
        <cfvo type="percentile" val="50"/>
        <cfvo type="max"/>
        <color rgb="FFF8696B"/>
        <color rgb="FFFFEB84"/>
        <color rgb="FF63BE7B"/>
      </colorScale>
    </cfRule>
  </conditionalFormatting>
  <conditionalFormatting sqref="F32">
    <cfRule type="colorScale" priority="62">
      <colorScale>
        <cfvo type="min"/>
        <cfvo type="percentile" val="50"/>
        <cfvo type="max"/>
        <color rgb="FFF8696B"/>
        <color rgb="FFFFEB84"/>
        <color rgb="FF63BE7B"/>
      </colorScale>
    </cfRule>
  </conditionalFormatting>
  <conditionalFormatting sqref="J32">
    <cfRule type="colorScale" priority="61">
      <colorScale>
        <cfvo type="min"/>
        <cfvo type="percentile" val="50"/>
        <cfvo type="max"/>
        <color rgb="FFF8696B"/>
        <color rgb="FFFFEB84"/>
        <color rgb="FF63BE7B"/>
      </colorScale>
    </cfRule>
  </conditionalFormatting>
  <conditionalFormatting sqref="F10:F32">
    <cfRule type="colorScale" priority="60">
      <colorScale>
        <cfvo type="min"/>
        <cfvo type="percentile" val="50"/>
        <cfvo type="max"/>
        <color rgb="FFF8696B"/>
        <color rgb="FFFFEB84"/>
        <color rgb="FF63BE7B"/>
      </colorScale>
    </cfRule>
  </conditionalFormatting>
  <conditionalFormatting sqref="K10:K32">
    <cfRule type="colorScale" priority="59">
      <colorScale>
        <cfvo type="min"/>
        <cfvo type="percentile" val="50"/>
        <cfvo type="max"/>
        <color rgb="FFF8696B"/>
        <color rgb="FFFFEB84"/>
        <color rgb="FF63BE7B"/>
      </colorScale>
    </cfRule>
  </conditionalFormatting>
  <conditionalFormatting sqref="D10:F32">
    <cfRule type="colorScale" priority="58">
      <colorScale>
        <cfvo type="min"/>
        <cfvo type="percentile" val="50"/>
        <cfvo type="max"/>
        <color rgb="FFF8696B"/>
        <color rgb="FFFFEB84"/>
        <color rgb="FF63BE7B"/>
      </colorScale>
    </cfRule>
  </conditionalFormatting>
  <conditionalFormatting sqref="F10:F15">
    <cfRule type="colorScale" priority="57">
      <colorScale>
        <cfvo type="min"/>
        <cfvo type="percentile" val="50"/>
        <cfvo type="max"/>
        <color rgb="FFF8696B"/>
        <color rgb="FFFFEB84"/>
        <color rgb="FF63BE7B"/>
      </colorScale>
    </cfRule>
  </conditionalFormatting>
  <conditionalFormatting sqref="F10:F15">
    <cfRule type="colorScale" priority="56">
      <colorScale>
        <cfvo type="min"/>
        <cfvo type="percentile" val="50"/>
        <cfvo type="max"/>
        <color rgb="FFF8696B"/>
        <color rgb="FFFFEB84"/>
        <color rgb="FF63BE7B"/>
      </colorScale>
    </cfRule>
  </conditionalFormatting>
  <conditionalFormatting sqref="F10:F15">
    <cfRule type="colorScale" priority="55">
      <colorScale>
        <cfvo type="min"/>
        <cfvo type="percentile" val="50"/>
        <cfvo type="max"/>
        <color rgb="FFF8696B"/>
        <color rgb="FFFFEB84"/>
        <color rgb="FF63BE7B"/>
      </colorScale>
    </cfRule>
  </conditionalFormatting>
  <conditionalFormatting sqref="F10:F15">
    <cfRule type="colorScale" priority="54">
      <colorScale>
        <cfvo type="min"/>
        <cfvo type="percentile" val="50"/>
        <cfvo type="max"/>
        <color rgb="FFF8696B"/>
        <color rgb="FFFFEB84"/>
        <color rgb="FF63BE7B"/>
      </colorScale>
    </cfRule>
  </conditionalFormatting>
  <conditionalFormatting sqref="F10:F15">
    <cfRule type="colorScale" priority="53">
      <colorScale>
        <cfvo type="min"/>
        <cfvo type="percentile" val="50"/>
        <cfvo type="max"/>
        <color rgb="FFF8696B"/>
        <color rgb="FFFFEB84"/>
        <color rgb="FF63BE7B"/>
      </colorScale>
    </cfRule>
  </conditionalFormatting>
  <conditionalFormatting sqref="F10:F15">
    <cfRule type="colorScale" priority="52">
      <colorScale>
        <cfvo type="min"/>
        <cfvo type="percentile" val="50"/>
        <cfvo type="max"/>
        <color rgb="FFF8696B"/>
        <color rgb="FFFFEB84"/>
        <color rgb="FF63BE7B"/>
      </colorScale>
    </cfRule>
  </conditionalFormatting>
  <conditionalFormatting sqref="F10:F15">
    <cfRule type="colorScale" priority="51">
      <colorScale>
        <cfvo type="min"/>
        <cfvo type="percentile" val="50"/>
        <cfvo type="max"/>
        <color rgb="FFF8696B"/>
        <color rgb="FFFFEB84"/>
        <color rgb="FF63BE7B"/>
      </colorScale>
    </cfRule>
  </conditionalFormatting>
  <conditionalFormatting sqref="F10:F15">
    <cfRule type="colorScale" priority="50">
      <colorScale>
        <cfvo type="min"/>
        <cfvo type="percentile" val="50"/>
        <cfvo type="max"/>
        <color rgb="FFF8696B"/>
        <color rgb="FFFFEB84"/>
        <color rgb="FF63BE7B"/>
      </colorScale>
    </cfRule>
  </conditionalFormatting>
  <conditionalFormatting sqref="F10:F15">
    <cfRule type="colorScale" priority="49">
      <colorScale>
        <cfvo type="min"/>
        <cfvo type="percentile" val="50"/>
        <cfvo type="max"/>
        <color rgb="FFF8696B"/>
        <color rgb="FFFFEB84"/>
        <color rgb="FF63BE7B"/>
      </colorScale>
    </cfRule>
  </conditionalFormatting>
  <conditionalFormatting sqref="F10:F15">
    <cfRule type="colorScale" priority="48">
      <colorScale>
        <cfvo type="min"/>
        <cfvo type="percentile" val="50"/>
        <cfvo type="max"/>
        <color rgb="FFF8696B"/>
        <color rgb="FFFFEB84"/>
        <color rgb="FF63BE7B"/>
      </colorScale>
    </cfRule>
  </conditionalFormatting>
  <conditionalFormatting sqref="F16:F21">
    <cfRule type="colorScale" priority="47">
      <colorScale>
        <cfvo type="min"/>
        <cfvo type="percentile" val="50"/>
        <cfvo type="max"/>
        <color rgb="FFF8696B"/>
        <color rgb="FFFFEB84"/>
        <color rgb="FF63BE7B"/>
      </colorScale>
    </cfRule>
  </conditionalFormatting>
  <conditionalFormatting sqref="F16:F21">
    <cfRule type="colorScale" priority="46">
      <colorScale>
        <cfvo type="min"/>
        <cfvo type="percentile" val="50"/>
        <cfvo type="max"/>
        <color rgb="FFF8696B"/>
        <color rgb="FFFFEB84"/>
        <color rgb="FF63BE7B"/>
      </colorScale>
    </cfRule>
  </conditionalFormatting>
  <conditionalFormatting sqref="F16:F21">
    <cfRule type="colorScale" priority="45">
      <colorScale>
        <cfvo type="min"/>
        <cfvo type="percentile" val="50"/>
        <cfvo type="max"/>
        <color rgb="FFF8696B"/>
        <color rgb="FFFFEB84"/>
        <color rgb="FF63BE7B"/>
      </colorScale>
    </cfRule>
  </conditionalFormatting>
  <conditionalFormatting sqref="F16:F21">
    <cfRule type="colorScale" priority="44">
      <colorScale>
        <cfvo type="min"/>
        <cfvo type="percentile" val="50"/>
        <cfvo type="max"/>
        <color rgb="FFF8696B"/>
        <color rgb="FFFFEB84"/>
        <color rgb="FF63BE7B"/>
      </colorScale>
    </cfRule>
  </conditionalFormatting>
  <conditionalFormatting sqref="F16:F21">
    <cfRule type="colorScale" priority="43">
      <colorScale>
        <cfvo type="min"/>
        <cfvo type="percentile" val="50"/>
        <cfvo type="max"/>
        <color rgb="FFF8696B"/>
        <color rgb="FFFFEB84"/>
        <color rgb="FF63BE7B"/>
      </colorScale>
    </cfRule>
  </conditionalFormatting>
  <conditionalFormatting sqref="F16:F21">
    <cfRule type="colorScale" priority="42">
      <colorScale>
        <cfvo type="min"/>
        <cfvo type="percentile" val="50"/>
        <cfvo type="max"/>
        <color rgb="FFF8696B"/>
        <color rgb="FFFFEB84"/>
        <color rgb="FF63BE7B"/>
      </colorScale>
    </cfRule>
  </conditionalFormatting>
  <conditionalFormatting sqref="F16:F21">
    <cfRule type="colorScale" priority="41">
      <colorScale>
        <cfvo type="min"/>
        <cfvo type="percentile" val="50"/>
        <cfvo type="max"/>
        <color rgb="FFF8696B"/>
        <color rgb="FFFFEB84"/>
        <color rgb="FF63BE7B"/>
      </colorScale>
    </cfRule>
  </conditionalFormatting>
  <conditionalFormatting sqref="F16:F21">
    <cfRule type="colorScale" priority="40">
      <colorScale>
        <cfvo type="min"/>
        <cfvo type="percentile" val="50"/>
        <cfvo type="max"/>
        <color rgb="FFF8696B"/>
        <color rgb="FFFFEB84"/>
        <color rgb="FF63BE7B"/>
      </colorScale>
    </cfRule>
  </conditionalFormatting>
  <conditionalFormatting sqref="F16:F21">
    <cfRule type="colorScale" priority="39">
      <colorScale>
        <cfvo type="min"/>
        <cfvo type="percentile" val="50"/>
        <cfvo type="max"/>
        <color rgb="FFF8696B"/>
        <color rgb="FFFFEB84"/>
        <color rgb="FF63BE7B"/>
      </colorScale>
    </cfRule>
  </conditionalFormatting>
  <conditionalFormatting sqref="F16:F21">
    <cfRule type="colorScale" priority="38">
      <colorScale>
        <cfvo type="min"/>
        <cfvo type="percentile" val="50"/>
        <cfvo type="max"/>
        <color rgb="FFF8696B"/>
        <color rgb="FFFFEB84"/>
        <color rgb="FF63BE7B"/>
      </colorScale>
    </cfRule>
  </conditionalFormatting>
  <conditionalFormatting sqref="F22:F27">
    <cfRule type="colorScale" priority="37">
      <colorScale>
        <cfvo type="min"/>
        <cfvo type="percentile" val="50"/>
        <cfvo type="max"/>
        <color rgb="FFF8696B"/>
        <color rgb="FFFFEB84"/>
        <color rgb="FF63BE7B"/>
      </colorScale>
    </cfRule>
  </conditionalFormatting>
  <conditionalFormatting sqref="F22:F27">
    <cfRule type="colorScale" priority="36">
      <colorScale>
        <cfvo type="min"/>
        <cfvo type="percentile" val="50"/>
        <cfvo type="max"/>
        <color rgb="FFF8696B"/>
        <color rgb="FFFFEB84"/>
        <color rgb="FF63BE7B"/>
      </colorScale>
    </cfRule>
  </conditionalFormatting>
  <conditionalFormatting sqref="F22:F27">
    <cfRule type="colorScale" priority="35">
      <colorScale>
        <cfvo type="min"/>
        <cfvo type="percentile" val="50"/>
        <cfvo type="max"/>
        <color rgb="FFF8696B"/>
        <color rgb="FFFFEB84"/>
        <color rgb="FF63BE7B"/>
      </colorScale>
    </cfRule>
  </conditionalFormatting>
  <conditionalFormatting sqref="F22:F27">
    <cfRule type="colorScale" priority="34">
      <colorScale>
        <cfvo type="min"/>
        <cfvo type="percentile" val="50"/>
        <cfvo type="max"/>
        <color rgb="FFF8696B"/>
        <color rgb="FFFFEB84"/>
        <color rgb="FF63BE7B"/>
      </colorScale>
    </cfRule>
  </conditionalFormatting>
  <conditionalFormatting sqref="F22:F27">
    <cfRule type="colorScale" priority="33">
      <colorScale>
        <cfvo type="min"/>
        <cfvo type="percentile" val="50"/>
        <cfvo type="max"/>
        <color rgb="FFF8696B"/>
        <color rgb="FFFFEB84"/>
        <color rgb="FF63BE7B"/>
      </colorScale>
    </cfRule>
  </conditionalFormatting>
  <conditionalFormatting sqref="F22:F27">
    <cfRule type="colorScale" priority="32">
      <colorScale>
        <cfvo type="min"/>
        <cfvo type="percentile" val="50"/>
        <cfvo type="max"/>
        <color rgb="FFF8696B"/>
        <color rgb="FFFFEB84"/>
        <color rgb="FF63BE7B"/>
      </colorScale>
    </cfRule>
  </conditionalFormatting>
  <conditionalFormatting sqref="F22:F27">
    <cfRule type="colorScale" priority="31">
      <colorScale>
        <cfvo type="min"/>
        <cfvo type="percentile" val="50"/>
        <cfvo type="max"/>
        <color rgb="FFF8696B"/>
        <color rgb="FFFFEB84"/>
        <color rgb="FF63BE7B"/>
      </colorScale>
    </cfRule>
  </conditionalFormatting>
  <conditionalFormatting sqref="F22:F27">
    <cfRule type="colorScale" priority="30">
      <colorScale>
        <cfvo type="min"/>
        <cfvo type="percentile" val="50"/>
        <cfvo type="max"/>
        <color rgb="FFF8696B"/>
        <color rgb="FFFFEB84"/>
        <color rgb="FF63BE7B"/>
      </colorScale>
    </cfRule>
  </conditionalFormatting>
  <conditionalFormatting sqref="F22:F27">
    <cfRule type="colorScale" priority="29">
      <colorScale>
        <cfvo type="min"/>
        <cfvo type="percentile" val="50"/>
        <cfvo type="max"/>
        <color rgb="FFF8696B"/>
        <color rgb="FFFFEB84"/>
        <color rgb="FF63BE7B"/>
      </colorScale>
    </cfRule>
  </conditionalFormatting>
  <conditionalFormatting sqref="F22:F27">
    <cfRule type="colorScale" priority="28">
      <colorScale>
        <cfvo type="min"/>
        <cfvo type="percentile" val="50"/>
        <cfvo type="max"/>
        <color rgb="FFF8696B"/>
        <color rgb="FFFFEB84"/>
        <color rgb="FF63BE7B"/>
      </colorScale>
    </cfRule>
  </conditionalFormatting>
  <conditionalFormatting sqref="F28:F32">
    <cfRule type="colorScale" priority="27">
      <colorScale>
        <cfvo type="min"/>
        <cfvo type="percentile" val="50"/>
        <cfvo type="max"/>
        <color rgb="FFF8696B"/>
        <color rgb="FFFFEB84"/>
        <color rgb="FF63BE7B"/>
      </colorScale>
    </cfRule>
  </conditionalFormatting>
  <conditionalFormatting sqref="F28:F32">
    <cfRule type="colorScale" priority="26">
      <colorScale>
        <cfvo type="min"/>
        <cfvo type="percentile" val="50"/>
        <cfvo type="max"/>
        <color rgb="FFF8696B"/>
        <color rgb="FFFFEB84"/>
        <color rgb="FF63BE7B"/>
      </colorScale>
    </cfRule>
  </conditionalFormatting>
  <conditionalFormatting sqref="F28:F32">
    <cfRule type="colorScale" priority="25">
      <colorScale>
        <cfvo type="min"/>
        <cfvo type="percentile" val="50"/>
        <cfvo type="max"/>
        <color rgb="FFF8696B"/>
        <color rgb="FFFFEB84"/>
        <color rgb="FF63BE7B"/>
      </colorScale>
    </cfRule>
  </conditionalFormatting>
  <conditionalFormatting sqref="F28:F32">
    <cfRule type="colorScale" priority="24">
      <colorScale>
        <cfvo type="min"/>
        <cfvo type="percentile" val="50"/>
        <cfvo type="max"/>
        <color rgb="FFF8696B"/>
        <color rgb="FFFFEB84"/>
        <color rgb="FF63BE7B"/>
      </colorScale>
    </cfRule>
  </conditionalFormatting>
  <conditionalFormatting sqref="F28:F32">
    <cfRule type="colorScale" priority="23">
      <colorScale>
        <cfvo type="min"/>
        <cfvo type="percentile" val="50"/>
        <cfvo type="max"/>
        <color rgb="FFF8696B"/>
        <color rgb="FFFFEB84"/>
        <color rgb="FF63BE7B"/>
      </colorScale>
    </cfRule>
  </conditionalFormatting>
  <conditionalFormatting sqref="F28:F32">
    <cfRule type="colorScale" priority="22">
      <colorScale>
        <cfvo type="min"/>
        <cfvo type="percentile" val="50"/>
        <cfvo type="max"/>
        <color rgb="FFF8696B"/>
        <color rgb="FFFFEB84"/>
        <color rgb="FF63BE7B"/>
      </colorScale>
    </cfRule>
  </conditionalFormatting>
  <conditionalFormatting sqref="F28:F32">
    <cfRule type="colorScale" priority="21">
      <colorScale>
        <cfvo type="min"/>
        <cfvo type="percentile" val="50"/>
        <cfvo type="max"/>
        <color rgb="FFF8696B"/>
        <color rgb="FFFFEB84"/>
        <color rgb="FF63BE7B"/>
      </colorScale>
    </cfRule>
  </conditionalFormatting>
  <conditionalFormatting sqref="F28:F32">
    <cfRule type="colorScale" priority="20">
      <colorScale>
        <cfvo type="min"/>
        <cfvo type="percentile" val="50"/>
        <cfvo type="max"/>
        <color rgb="FFF8696B"/>
        <color rgb="FFFFEB84"/>
        <color rgb="FF63BE7B"/>
      </colorScale>
    </cfRule>
  </conditionalFormatting>
  <conditionalFormatting sqref="F28:F32">
    <cfRule type="colorScale" priority="19">
      <colorScale>
        <cfvo type="min"/>
        <cfvo type="percentile" val="50"/>
        <cfvo type="max"/>
        <color rgb="FFF8696B"/>
        <color rgb="FFFFEB84"/>
        <color rgb="FF63BE7B"/>
      </colorScale>
    </cfRule>
  </conditionalFormatting>
  <conditionalFormatting sqref="F28:F32">
    <cfRule type="colorScale" priority="18">
      <colorScale>
        <cfvo type="min"/>
        <cfvo type="percentile" val="50"/>
        <cfvo type="max"/>
        <color rgb="FFF8696B"/>
        <color rgb="FFFFEB84"/>
        <color rgb="FF63BE7B"/>
      </colorScale>
    </cfRule>
  </conditionalFormatting>
  <conditionalFormatting sqref="H10:I31 D10:F31">
    <cfRule type="colorScale" priority="17">
      <colorScale>
        <cfvo type="min"/>
        <cfvo type="percentile" val="50"/>
        <cfvo type="max"/>
        <color rgb="FFF8696B"/>
        <color rgb="FFFFEB84"/>
        <color rgb="FF63BE7B"/>
      </colorScale>
    </cfRule>
  </conditionalFormatting>
  <conditionalFormatting sqref="H10:I21 D10:F21">
    <cfRule type="colorScale" priority="16">
      <colorScale>
        <cfvo type="min"/>
        <cfvo type="percentile" val="50"/>
        <cfvo type="max"/>
        <color rgb="FFF8696B"/>
        <color rgb="FFFFEB84"/>
        <color rgb="FF63BE7B"/>
      </colorScale>
    </cfRule>
  </conditionalFormatting>
  <conditionalFormatting sqref="H10:I32 J32 D10:F32">
    <cfRule type="colorScale" priority="15">
      <colorScale>
        <cfvo type="min"/>
        <cfvo type="percentile" val="50"/>
        <cfvo type="max"/>
        <color rgb="FFF8696B"/>
        <color rgb="FFFFEB84"/>
        <color rgb="FF63BE7B"/>
      </colorScale>
    </cfRule>
  </conditionalFormatting>
  <conditionalFormatting sqref="D10:F32">
    <cfRule type="colorScale" priority="14">
      <colorScale>
        <cfvo type="min"/>
        <cfvo type="percentile" val="50"/>
        <cfvo type="max"/>
        <color rgb="FFF8696B"/>
        <color rgb="FFFFEB84"/>
        <color rgb="FF63BE7B"/>
      </colorScale>
    </cfRule>
  </conditionalFormatting>
  <conditionalFormatting sqref="D10:F32">
    <cfRule type="colorScale" priority="13">
      <colorScale>
        <cfvo type="min"/>
        <cfvo type="percentile" val="50"/>
        <cfvo type="max"/>
        <color rgb="FFF8696B"/>
        <color rgb="FFFFEB84"/>
        <color rgb="FF63BE7B"/>
      </colorScale>
    </cfRule>
  </conditionalFormatting>
  <conditionalFormatting sqref="J32">
    <cfRule type="colorScale" priority="12">
      <colorScale>
        <cfvo type="min"/>
        <cfvo type="percentile" val="50"/>
        <cfvo type="max"/>
        <color rgb="FFF8696B"/>
        <color rgb="FFFFEB84"/>
        <color rgb="FF63BE7B"/>
      </colorScale>
    </cfRule>
  </conditionalFormatting>
  <conditionalFormatting sqref="K10:K32">
    <cfRule type="colorScale" priority="11">
      <colorScale>
        <cfvo type="min"/>
        <cfvo type="percentile" val="50"/>
        <cfvo type="max"/>
        <color rgb="FFF8696B"/>
        <color rgb="FFFFEB84"/>
        <color rgb="FF63BE7B"/>
      </colorScale>
    </cfRule>
  </conditionalFormatting>
  <conditionalFormatting sqref="J10:J32">
    <cfRule type="colorScale" priority="10">
      <colorScale>
        <cfvo type="min"/>
        <cfvo type="percentile" val="50"/>
        <cfvo type="max"/>
        <color rgb="FFF8696B"/>
        <color rgb="FFFFEB84"/>
        <color rgb="FF63BE7B"/>
      </colorScale>
    </cfRule>
  </conditionalFormatting>
  <conditionalFormatting sqref="J10:J32">
    <cfRule type="colorScale" priority="9">
      <colorScale>
        <cfvo type="min"/>
        <cfvo type="percentile" val="50"/>
        <cfvo type="max"/>
        <color rgb="FFF8696B"/>
        <color rgb="FFFFEB84"/>
        <color rgb="FF63BE7B"/>
      </colorScale>
    </cfRule>
  </conditionalFormatting>
  <conditionalFormatting sqref="J10:J32">
    <cfRule type="colorScale" priority="8">
      <colorScale>
        <cfvo type="min"/>
        <cfvo type="percentile" val="50"/>
        <cfvo type="max"/>
        <color rgb="FFF8696B"/>
        <color rgb="FFFFEB84"/>
        <color rgb="FF63BE7B"/>
      </colorScale>
    </cfRule>
  </conditionalFormatting>
  <conditionalFormatting sqref="J10:J32">
    <cfRule type="colorScale" priority="7">
      <colorScale>
        <cfvo type="min"/>
        <cfvo type="percentile" val="50"/>
        <cfvo type="max"/>
        <color rgb="FFF8696B"/>
        <color rgb="FFFFEB84"/>
        <color rgb="FF63BE7B"/>
      </colorScale>
    </cfRule>
  </conditionalFormatting>
  <conditionalFormatting sqref="J10:J32">
    <cfRule type="colorScale" priority="6">
      <colorScale>
        <cfvo type="min"/>
        <cfvo type="percentile" val="50"/>
        <cfvo type="max"/>
        <color rgb="FFF8696B"/>
        <color rgb="FFFFEB84"/>
        <color rgb="FF63BE7B"/>
      </colorScale>
    </cfRule>
  </conditionalFormatting>
  <conditionalFormatting sqref="J10:J32">
    <cfRule type="colorScale" priority="5">
      <colorScale>
        <cfvo type="min"/>
        <cfvo type="percentile" val="50"/>
        <cfvo type="max"/>
        <color rgb="FFF8696B"/>
        <color rgb="FFFFEB84"/>
        <color rgb="FF63BE7B"/>
      </colorScale>
    </cfRule>
  </conditionalFormatting>
  <conditionalFormatting sqref="J10:J32">
    <cfRule type="colorScale" priority="4">
      <colorScale>
        <cfvo type="min"/>
        <cfvo type="percentile" val="50"/>
        <cfvo type="max"/>
        <color rgb="FFF8696B"/>
        <color rgb="FFFFEB84"/>
        <color rgb="FF63BE7B"/>
      </colorScale>
    </cfRule>
  </conditionalFormatting>
  <conditionalFormatting sqref="J10:J32">
    <cfRule type="colorScale" priority="3">
      <colorScale>
        <cfvo type="min"/>
        <cfvo type="percentile" val="50"/>
        <cfvo type="max"/>
        <color rgb="FFF8696B"/>
        <color rgb="FFFFEB84"/>
        <color rgb="FF63BE7B"/>
      </colorScale>
    </cfRule>
  </conditionalFormatting>
  <conditionalFormatting sqref="J10:J32">
    <cfRule type="colorScale" priority="2">
      <colorScale>
        <cfvo type="min"/>
        <cfvo type="percentile" val="50"/>
        <cfvo type="max"/>
        <color rgb="FFF8696B"/>
        <color rgb="FFFFEB84"/>
        <color rgb="FF63BE7B"/>
      </colorScale>
    </cfRule>
  </conditionalFormatting>
  <conditionalFormatting sqref="J10:J32">
    <cfRule type="colorScale" priority="1">
      <colorScale>
        <cfvo type="min"/>
        <cfvo type="percentile" val="50"/>
        <cfvo type="max"/>
        <color rgb="FFF8696B"/>
        <color rgb="FFFFEB84"/>
        <color rgb="FF63BE7B"/>
      </colorScale>
    </cfRule>
  </conditionalFormatting>
  <pageMargins left="0.39370078740157483" right="0.39370078740157483" top="0.23622047244094491" bottom="0.15748031496062992" header="0.11811023622047245" footer="0.1181102362204724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8" r:id="rId4" name="Drop Down 4">
              <controlPr defaultSize="0" autoLine="0" autoPict="0" macro="[0]!TampilInput">
                <anchor moveWithCells="1">
                  <from>
                    <xdr:col>3</xdr:col>
                    <xdr:colOff>0</xdr:colOff>
                    <xdr:row>0</xdr:row>
                    <xdr:rowOff>66675</xdr:rowOff>
                  </from>
                  <to>
                    <xdr:col>7</xdr:col>
                    <xdr:colOff>285750</xdr:colOff>
                    <xdr:row>0</xdr:row>
                    <xdr:rowOff>314325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0"/>
  <dimension ref="B1:EP35"/>
  <sheetViews>
    <sheetView workbookViewId="0">
      <selection activeCell="DG6" sqref="DG6:DO35"/>
    </sheetView>
  </sheetViews>
  <sheetFormatPr defaultRowHeight="15"/>
  <cols>
    <col min="1" max="147" width="4.7109375" customWidth="1"/>
  </cols>
  <sheetData>
    <row r="1" spans="2:146">
      <c r="B1">
        <v>1</v>
      </c>
      <c r="C1">
        <v>2</v>
      </c>
      <c r="D1">
        <v>3</v>
      </c>
      <c r="E1">
        <v>4</v>
      </c>
      <c r="F1">
        <v>5</v>
      </c>
      <c r="G1">
        <v>6</v>
      </c>
      <c r="H1">
        <v>7</v>
      </c>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c r="BL1">
        <v>63</v>
      </c>
      <c r="BM1">
        <v>64</v>
      </c>
      <c r="BN1">
        <v>65</v>
      </c>
      <c r="BO1">
        <v>66</v>
      </c>
      <c r="BP1">
        <v>67</v>
      </c>
      <c r="BQ1">
        <v>68</v>
      </c>
      <c r="BR1">
        <v>69</v>
      </c>
      <c r="BS1">
        <v>70</v>
      </c>
      <c r="BT1">
        <v>71</v>
      </c>
      <c r="BU1">
        <v>72</v>
      </c>
      <c r="BV1">
        <v>73</v>
      </c>
      <c r="BW1">
        <v>74</v>
      </c>
      <c r="BX1">
        <v>75</v>
      </c>
      <c r="BY1">
        <v>76</v>
      </c>
      <c r="BZ1">
        <v>77</v>
      </c>
      <c r="CA1">
        <v>78</v>
      </c>
      <c r="CB1">
        <v>79</v>
      </c>
      <c r="CC1">
        <v>80</v>
      </c>
      <c r="CD1">
        <v>81</v>
      </c>
      <c r="CE1">
        <v>82</v>
      </c>
      <c r="CF1">
        <v>83</v>
      </c>
      <c r="CG1">
        <v>84</v>
      </c>
      <c r="CH1">
        <v>85</v>
      </c>
      <c r="CI1">
        <v>86</v>
      </c>
      <c r="CJ1">
        <v>87</v>
      </c>
      <c r="CK1">
        <v>88</v>
      </c>
      <c r="CL1">
        <v>89</v>
      </c>
      <c r="CM1">
        <v>90</v>
      </c>
      <c r="CN1">
        <v>91</v>
      </c>
      <c r="CO1">
        <v>92</v>
      </c>
      <c r="CP1">
        <v>93</v>
      </c>
      <c r="CQ1">
        <v>94</v>
      </c>
      <c r="CR1">
        <v>95</v>
      </c>
      <c r="CS1">
        <v>96</v>
      </c>
      <c r="CT1">
        <v>97</v>
      </c>
      <c r="CU1">
        <v>98</v>
      </c>
      <c r="CV1">
        <v>99</v>
      </c>
      <c r="CW1">
        <v>100</v>
      </c>
      <c r="CX1">
        <v>101</v>
      </c>
      <c r="CY1">
        <v>102</v>
      </c>
      <c r="CZ1">
        <v>103</v>
      </c>
      <c r="DA1">
        <v>104</v>
      </c>
      <c r="DB1">
        <v>105</v>
      </c>
      <c r="DC1">
        <v>106</v>
      </c>
      <c r="DD1">
        <v>107</v>
      </c>
      <c r="DE1">
        <v>108</v>
      </c>
      <c r="DF1">
        <v>109</v>
      </c>
      <c r="DG1">
        <v>110</v>
      </c>
      <c r="DH1">
        <v>111</v>
      </c>
      <c r="DI1">
        <v>112</v>
      </c>
      <c r="DJ1">
        <v>113</v>
      </c>
      <c r="DK1">
        <v>114</v>
      </c>
      <c r="DL1">
        <v>115</v>
      </c>
      <c r="DM1">
        <v>116</v>
      </c>
      <c r="DN1">
        <v>117</v>
      </c>
      <c r="DO1">
        <v>118</v>
      </c>
      <c r="DP1">
        <v>119</v>
      </c>
      <c r="DQ1">
        <v>120</v>
      </c>
      <c r="DR1">
        <v>121</v>
      </c>
      <c r="DS1">
        <v>122</v>
      </c>
      <c r="DT1">
        <v>123</v>
      </c>
      <c r="DU1">
        <v>124</v>
      </c>
      <c r="DV1">
        <v>125</v>
      </c>
      <c r="DW1">
        <v>126</v>
      </c>
      <c r="DX1">
        <v>127</v>
      </c>
      <c r="DY1">
        <v>128</v>
      </c>
      <c r="DZ1">
        <v>129</v>
      </c>
      <c r="EA1">
        <v>130</v>
      </c>
      <c r="EB1">
        <v>131</v>
      </c>
      <c r="EC1">
        <v>132</v>
      </c>
      <c r="ED1">
        <v>133</v>
      </c>
      <c r="EE1">
        <v>134</v>
      </c>
      <c r="EF1">
        <v>135</v>
      </c>
      <c r="EG1">
        <v>136</v>
      </c>
      <c r="EH1">
        <v>137</v>
      </c>
      <c r="EI1">
        <v>138</v>
      </c>
      <c r="EJ1">
        <v>139</v>
      </c>
      <c r="EK1">
        <v>140</v>
      </c>
      <c r="EL1">
        <v>141</v>
      </c>
      <c r="EM1">
        <v>142</v>
      </c>
      <c r="EN1">
        <v>143</v>
      </c>
      <c r="EO1">
        <v>144</v>
      </c>
      <c r="EP1">
        <v>145</v>
      </c>
    </row>
    <row r="2" spans="2:146">
      <c r="C2">
        <v>1</v>
      </c>
      <c r="D2">
        <v>10</v>
      </c>
      <c r="E2">
        <v>19</v>
      </c>
      <c r="F2">
        <v>28</v>
      </c>
      <c r="G2">
        <v>37</v>
      </c>
      <c r="H2">
        <v>46</v>
      </c>
      <c r="I2">
        <v>55</v>
      </c>
      <c r="J2">
        <v>64</v>
      </c>
      <c r="K2">
        <v>73</v>
      </c>
      <c r="L2">
        <v>82</v>
      </c>
      <c r="M2">
        <v>91</v>
      </c>
      <c r="N2">
        <v>100</v>
      </c>
      <c r="O2">
        <v>109</v>
      </c>
      <c r="P2">
        <v>118</v>
      </c>
      <c r="Q2">
        <v>127</v>
      </c>
      <c r="R2">
        <v>136</v>
      </c>
    </row>
    <row r="3" spans="2:146">
      <c r="C3" s="161">
        <v>1</v>
      </c>
      <c r="D3" s="161">
        <v>2</v>
      </c>
      <c r="E3" s="161">
        <v>3</v>
      </c>
      <c r="F3" s="161">
        <v>4</v>
      </c>
      <c r="G3" s="161">
        <v>5</v>
      </c>
      <c r="H3" s="161">
        <v>6</v>
      </c>
      <c r="I3" s="161">
        <v>7</v>
      </c>
      <c r="J3" s="161">
        <v>8</v>
      </c>
      <c r="K3" s="161">
        <v>9</v>
      </c>
      <c r="L3" s="161">
        <v>10</v>
      </c>
      <c r="M3" s="161">
        <v>11</v>
      </c>
      <c r="N3" s="161">
        <v>12</v>
      </c>
      <c r="O3" s="161">
        <v>13</v>
      </c>
      <c r="P3" s="161">
        <v>14</v>
      </c>
      <c r="Q3" s="161">
        <v>15</v>
      </c>
      <c r="R3" s="161">
        <v>16</v>
      </c>
      <c r="S3" s="161">
        <v>17</v>
      </c>
      <c r="T3" s="161">
        <v>18</v>
      </c>
      <c r="U3" s="161">
        <v>19</v>
      </c>
      <c r="V3" s="161">
        <v>20</v>
      </c>
      <c r="W3" s="161">
        <v>21</v>
      </c>
      <c r="X3" s="161">
        <v>22</v>
      </c>
      <c r="Y3" s="161">
        <v>23</v>
      </c>
      <c r="Z3" s="161">
        <v>24</v>
      </c>
      <c r="AA3" s="161">
        <v>25</v>
      </c>
      <c r="AB3" s="161">
        <v>26</v>
      </c>
      <c r="AC3" s="161">
        <v>27</v>
      </c>
      <c r="AD3" s="161">
        <v>28</v>
      </c>
      <c r="AE3" s="161">
        <v>29</v>
      </c>
      <c r="AF3" s="161">
        <v>30</v>
      </c>
      <c r="AG3" s="161">
        <v>31</v>
      </c>
      <c r="AH3" s="161">
        <v>32</v>
      </c>
      <c r="AI3" s="161">
        <v>33</v>
      </c>
      <c r="AJ3" s="161">
        <v>34</v>
      </c>
      <c r="AK3" s="161">
        <v>35</v>
      </c>
      <c r="AL3" s="161">
        <v>36</v>
      </c>
      <c r="AM3" s="161">
        <v>37</v>
      </c>
      <c r="AN3" s="161">
        <v>38</v>
      </c>
      <c r="AO3" s="161">
        <v>39</v>
      </c>
      <c r="AP3" s="161">
        <v>40</v>
      </c>
      <c r="AQ3" s="161">
        <v>41</v>
      </c>
      <c r="AR3" s="161">
        <v>42</v>
      </c>
      <c r="AS3" s="161">
        <v>43</v>
      </c>
      <c r="AT3" s="161">
        <v>44</v>
      </c>
      <c r="AU3" s="161">
        <v>45</v>
      </c>
      <c r="AV3" s="161">
        <v>46</v>
      </c>
      <c r="AW3" s="161">
        <v>47</v>
      </c>
      <c r="AX3" s="161">
        <v>48</v>
      </c>
      <c r="AY3" s="161">
        <v>49</v>
      </c>
      <c r="AZ3" s="161">
        <v>50</v>
      </c>
      <c r="BA3" s="161">
        <v>51</v>
      </c>
      <c r="BB3" s="161">
        <v>52</v>
      </c>
      <c r="BC3" s="161">
        <v>53</v>
      </c>
      <c r="BD3" s="161">
        <v>54</v>
      </c>
      <c r="BE3" s="161">
        <v>55</v>
      </c>
      <c r="BF3" s="161">
        <v>56</v>
      </c>
      <c r="BG3" s="161">
        <v>57</v>
      </c>
      <c r="BH3" s="161">
        <v>58</v>
      </c>
      <c r="BI3" s="161">
        <v>59</v>
      </c>
      <c r="BJ3" s="161">
        <v>60</v>
      </c>
      <c r="BK3" s="161">
        <v>61</v>
      </c>
      <c r="BL3" s="161">
        <v>62</v>
      </c>
      <c r="BM3" s="161">
        <v>63</v>
      </c>
      <c r="BN3" s="161">
        <v>64</v>
      </c>
      <c r="BO3" s="161">
        <v>65</v>
      </c>
      <c r="BP3" s="161">
        <v>66</v>
      </c>
      <c r="BQ3" s="161">
        <v>67</v>
      </c>
      <c r="BR3" s="161">
        <v>68</v>
      </c>
      <c r="BS3" s="161">
        <v>69</v>
      </c>
      <c r="BT3" s="161">
        <v>70</v>
      </c>
      <c r="BU3" s="161">
        <v>71</v>
      </c>
      <c r="BV3" s="161">
        <v>72</v>
      </c>
      <c r="BW3" s="161">
        <v>73</v>
      </c>
      <c r="BX3" s="161">
        <v>74</v>
      </c>
      <c r="BY3" s="161">
        <v>75</v>
      </c>
      <c r="BZ3" s="161">
        <v>76</v>
      </c>
      <c r="CA3" s="161">
        <v>77</v>
      </c>
      <c r="CB3" s="161">
        <v>78</v>
      </c>
      <c r="CC3" s="161">
        <v>79</v>
      </c>
      <c r="CD3" s="161">
        <v>80</v>
      </c>
      <c r="CE3" s="161">
        <v>81</v>
      </c>
      <c r="CF3" s="161">
        <v>82</v>
      </c>
      <c r="CG3" s="161">
        <v>83</v>
      </c>
      <c r="CH3" s="161">
        <v>84</v>
      </c>
      <c r="CI3" s="161">
        <v>85</v>
      </c>
      <c r="CJ3" s="161">
        <v>86</v>
      </c>
      <c r="CK3" s="161">
        <v>87</v>
      </c>
      <c r="CL3" s="161">
        <v>88</v>
      </c>
      <c r="CM3" s="161">
        <v>89</v>
      </c>
      <c r="CN3" s="161">
        <v>90</v>
      </c>
      <c r="CO3" s="161">
        <v>91</v>
      </c>
      <c r="CP3" s="161">
        <v>92</v>
      </c>
      <c r="CQ3" s="161">
        <v>93</v>
      </c>
      <c r="CR3" s="161">
        <v>94</v>
      </c>
      <c r="CS3" s="161">
        <v>95</v>
      </c>
      <c r="CT3" s="161">
        <v>96</v>
      </c>
      <c r="CU3" s="161">
        <v>97</v>
      </c>
      <c r="CV3" s="161">
        <v>98</v>
      </c>
      <c r="CW3" s="161">
        <v>99</v>
      </c>
      <c r="CX3" s="161">
        <v>100</v>
      </c>
      <c r="CY3" s="161">
        <v>101</v>
      </c>
      <c r="CZ3" s="161">
        <v>102</v>
      </c>
      <c r="DA3" s="161">
        <v>103</v>
      </c>
      <c r="DB3" s="161">
        <v>104</v>
      </c>
      <c r="DC3" s="161">
        <v>105</v>
      </c>
      <c r="DD3" s="161">
        <v>106</v>
      </c>
      <c r="DE3" s="161">
        <v>107</v>
      </c>
      <c r="DF3" s="161">
        <v>108</v>
      </c>
      <c r="DG3" s="161">
        <v>109</v>
      </c>
      <c r="DH3" s="161">
        <v>110</v>
      </c>
      <c r="DI3" s="161">
        <v>111</v>
      </c>
      <c r="DJ3" s="161">
        <v>112</v>
      </c>
      <c r="DK3" s="161">
        <v>113</v>
      </c>
      <c r="DL3" s="161">
        <v>114</v>
      </c>
      <c r="DM3" s="161">
        <v>115</v>
      </c>
      <c r="DN3" s="161">
        <v>116</v>
      </c>
      <c r="DO3" s="161">
        <v>117</v>
      </c>
      <c r="DP3" s="161">
        <v>118</v>
      </c>
      <c r="DQ3" s="161">
        <v>119</v>
      </c>
      <c r="DR3" s="161">
        <v>120</v>
      </c>
      <c r="DS3" s="161">
        <v>121</v>
      </c>
      <c r="DT3" s="161">
        <v>122</v>
      </c>
      <c r="DU3" s="161">
        <v>123</v>
      </c>
      <c r="DV3" s="161">
        <v>124</v>
      </c>
      <c r="DW3" s="161">
        <v>125</v>
      </c>
      <c r="DX3" s="161">
        <v>126</v>
      </c>
      <c r="DY3" s="161">
        <v>127</v>
      </c>
      <c r="DZ3" s="161">
        <v>128</v>
      </c>
      <c r="EA3" s="161">
        <v>129</v>
      </c>
      <c r="EB3" s="161">
        <v>130</v>
      </c>
      <c r="EC3" s="161">
        <v>131</v>
      </c>
      <c r="ED3" s="161">
        <v>132</v>
      </c>
      <c r="EE3" s="161">
        <v>133</v>
      </c>
      <c r="EF3" s="161">
        <v>134</v>
      </c>
      <c r="EG3" s="161">
        <v>135</v>
      </c>
      <c r="EH3" s="161">
        <v>136</v>
      </c>
      <c r="EI3" s="161">
        <v>137</v>
      </c>
      <c r="EJ3" s="161">
        <v>138</v>
      </c>
      <c r="EK3" s="161">
        <v>139</v>
      </c>
      <c r="EL3" s="161">
        <v>140</v>
      </c>
      <c r="EM3" s="161">
        <v>141</v>
      </c>
      <c r="EN3" s="161">
        <v>142</v>
      </c>
      <c r="EO3" s="161">
        <v>143</v>
      </c>
      <c r="EP3" s="161">
        <v>144</v>
      </c>
    </row>
    <row r="4" spans="2:146">
      <c r="C4" s="790">
        <v>1</v>
      </c>
      <c r="D4" s="790"/>
      <c r="E4" s="790"/>
      <c r="F4" s="790"/>
      <c r="G4" s="790"/>
      <c r="H4" s="790"/>
      <c r="I4" s="790"/>
      <c r="J4" s="790"/>
      <c r="K4" s="790"/>
      <c r="L4" s="790">
        <v>2</v>
      </c>
      <c r="M4" s="790"/>
      <c r="N4" s="790"/>
      <c r="O4" s="790"/>
      <c r="P4" s="790"/>
      <c r="Q4" s="790"/>
      <c r="R4" s="790"/>
      <c r="S4" s="790"/>
      <c r="T4" s="790"/>
      <c r="U4" s="790">
        <v>3</v>
      </c>
      <c r="V4" s="790"/>
      <c r="W4" s="790"/>
      <c r="X4" s="790"/>
      <c r="Y4" s="790"/>
      <c r="Z4" s="790"/>
      <c r="AA4" s="790"/>
      <c r="AB4" s="790"/>
      <c r="AC4" s="790"/>
      <c r="AD4" s="790">
        <v>4</v>
      </c>
      <c r="AE4" s="790"/>
      <c r="AF4" s="790"/>
      <c r="AG4" s="790"/>
      <c r="AH4" s="790"/>
      <c r="AI4" s="790"/>
      <c r="AJ4" s="790"/>
      <c r="AK4" s="790"/>
      <c r="AL4" s="790"/>
      <c r="AM4" s="790">
        <v>5</v>
      </c>
      <c r="AN4" s="790"/>
      <c r="AO4" s="790"/>
      <c r="AP4" s="790"/>
      <c r="AQ4" s="790"/>
      <c r="AR4" s="790"/>
      <c r="AS4" s="790"/>
      <c r="AT4" s="790"/>
      <c r="AU4" s="790"/>
      <c r="AV4" s="790">
        <v>6</v>
      </c>
      <c r="AW4" s="790"/>
      <c r="AX4" s="790"/>
      <c r="AY4" s="790"/>
      <c r="AZ4" s="790"/>
      <c r="BA4" s="790"/>
      <c r="BB4" s="790"/>
      <c r="BC4" s="790"/>
      <c r="BD4" s="790"/>
      <c r="BE4" s="790">
        <v>7</v>
      </c>
      <c r="BF4" s="790"/>
      <c r="BG4" s="790"/>
      <c r="BH4" s="790"/>
      <c r="BI4" s="790"/>
      <c r="BJ4" s="790"/>
      <c r="BK4" s="790"/>
      <c r="BL4" s="790"/>
      <c r="BM4" s="790"/>
      <c r="BN4" s="790">
        <v>8</v>
      </c>
      <c r="BO4" s="790"/>
      <c r="BP4" s="790"/>
      <c r="BQ4" s="790"/>
      <c r="BR4" s="790"/>
      <c r="BS4" s="790"/>
      <c r="BT4" s="790"/>
      <c r="BU4" s="790"/>
      <c r="BV4" s="790"/>
      <c r="BW4" s="790">
        <v>9</v>
      </c>
      <c r="BX4" s="790"/>
      <c r="BY4" s="790"/>
      <c r="BZ4" s="790"/>
      <c r="CA4" s="790"/>
      <c r="CB4" s="790"/>
      <c r="CC4" s="790"/>
      <c r="CD4" s="790"/>
      <c r="CE4" s="790"/>
      <c r="CF4" s="790">
        <v>10</v>
      </c>
      <c r="CG4" s="790"/>
      <c r="CH4" s="790"/>
      <c r="CI4" s="790"/>
      <c r="CJ4" s="790"/>
      <c r="CK4" s="790"/>
      <c r="CL4" s="790"/>
      <c r="CM4" s="790"/>
      <c r="CN4" s="790"/>
      <c r="CO4" s="790">
        <v>11</v>
      </c>
      <c r="CP4" s="790"/>
      <c r="CQ4" s="790"/>
      <c r="CR4" s="790"/>
      <c r="CS4" s="790"/>
      <c r="CT4" s="790"/>
      <c r="CU4" s="790"/>
      <c r="CV4" s="790"/>
      <c r="CW4" s="790"/>
      <c r="CX4" s="790">
        <v>12</v>
      </c>
      <c r="CY4" s="790"/>
      <c r="CZ4" s="790"/>
      <c r="DA4" s="790"/>
      <c r="DB4" s="790"/>
      <c r="DC4" s="790"/>
      <c r="DD4" s="790"/>
      <c r="DE4" s="790"/>
      <c r="DF4" s="790"/>
      <c r="DG4" s="790">
        <v>13</v>
      </c>
      <c r="DH4" s="790"/>
      <c r="DI4" s="790"/>
      <c r="DJ4" s="790"/>
      <c r="DK4" s="790"/>
      <c r="DL4" s="790"/>
      <c r="DM4" s="790"/>
      <c r="DN4" s="790"/>
      <c r="DO4" s="790"/>
      <c r="DP4" s="790">
        <v>14</v>
      </c>
      <c r="DQ4" s="790"/>
      <c r="DR4" s="790"/>
      <c r="DS4" s="790"/>
      <c r="DT4" s="790"/>
      <c r="DU4" s="790"/>
      <c r="DV4" s="790"/>
      <c r="DW4" s="790"/>
      <c r="DX4" s="790"/>
      <c r="DY4" s="790">
        <v>15</v>
      </c>
      <c r="DZ4" s="790"/>
      <c r="EA4" s="790"/>
      <c r="EB4" s="790"/>
      <c r="EC4" s="790"/>
      <c r="ED4" s="790"/>
      <c r="EE4" s="790"/>
      <c r="EF4" s="790"/>
      <c r="EG4" s="790"/>
      <c r="EH4" s="790">
        <v>16</v>
      </c>
      <c r="EI4" s="790"/>
      <c r="EJ4" s="790"/>
      <c r="EK4" s="790"/>
      <c r="EL4" s="790"/>
      <c r="EM4" s="790"/>
      <c r="EN4" s="790"/>
      <c r="EO4" s="790"/>
      <c r="EP4" s="790"/>
    </row>
    <row r="5" spans="2:146">
      <c r="C5" t="s">
        <v>1170</v>
      </c>
      <c r="D5" t="s">
        <v>1171</v>
      </c>
      <c r="E5" t="s">
        <v>1172</v>
      </c>
      <c r="F5" t="s">
        <v>1173</v>
      </c>
      <c r="G5" t="s">
        <v>1174</v>
      </c>
      <c r="H5" t="s">
        <v>1175</v>
      </c>
      <c r="I5" t="s">
        <v>1176</v>
      </c>
      <c r="J5" t="s">
        <v>1177</v>
      </c>
      <c r="K5" t="s">
        <v>1179</v>
      </c>
      <c r="L5" t="s">
        <v>1170</v>
      </c>
      <c r="M5" t="s">
        <v>1171</v>
      </c>
      <c r="N5" t="s">
        <v>1172</v>
      </c>
      <c r="O5" t="s">
        <v>1173</v>
      </c>
      <c r="P5" t="s">
        <v>1174</v>
      </c>
      <c r="Q5" t="s">
        <v>1175</v>
      </c>
      <c r="R5" t="s">
        <v>1176</v>
      </c>
      <c r="S5" t="s">
        <v>1177</v>
      </c>
      <c r="T5" t="s">
        <v>1179</v>
      </c>
      <c r="U5" t="s">
        <v>1170</v>
      </c>
      <c r="V5" t="s">
        <v>1171</v>
      </c>
      <c r="W5" t="s">
        <v>1172</v>
      </c>
      <c r="X5" t="s">
        <v>1173</v>
      </c>
      <c r="Y5" t="s">
        <v>1174</v>
      </c>
      <c r="Z5" t="s">
        <v>1175</v>
      </c>
      <c r="AA5" t="s">
        <v>1176</v>
      </c>
      <c r="AB5" t="s">
        <v>1177</v>
      </c>
      <c r="AC5" t="s">
        <v>1179</v>
      </c>
      <c r="AD5" t="s">
        <v>1170</v>
      </c>
      <c r="AE5" t="s">
        <v>1171</v>
      </c>
      <c r="AF5" t="s">
        <v>1172</v>
      </c>
      <c r="AG5" t="s">
        <v>1173</v>
      </c>
      <c r="AH5" t="s">
        <v>1174</v>
      </c>
      <c r="AI5" t="s">
        <v>1175</v>
      </c>
      <c r="AJ5" t="s">
        <v>1176</v>
      </c>
      <c r="AK5" t="s">
        <v>1177</v>
      </c>
      <c r="AL5" t="s">
        <v>1179</v>
      </c>
      <c r="AM5" t="s">
        <v>1170</v>
      </c>
      <c r="AN5" t="s">
        <v>1171</v>
      </c>
      <c r="AO5" t="s">
        <v>1172</v>
      </c>
      <c r="AP5" t="s">
        <v>1173</v>
      </c>
      <c r="AQ5" t="s">
        <v>1174</v>
      </c>
      <c r="AR5" t="s">
        <v>1175</v>
      </c>
      <c r="AS5" t="s">
        <v>1176</v>
      </c>
      <c r="AT5" t="s">
        <v>1177</v>
      </c>
      <c r="AU5" t="s">
        <v>1179</v>
      </c>
      <c r="AV5" t="s">
        <v>1170</v>
      </c>
      <c r="AW5" t="s">
        <v>1171</v>
      </c>
      <c r="AX5" t="s">
        <v>1172</v>
      </c>
      <c r="AY5" t="s">
        <v>1173</v>
      </c>
      <c r="AZ5" t="s">
        <v>1174</v>
      </c>
      <c r="BA5" t="s">
        <v>1175</v>
      </c>
      <c r="BB5" t="s">
        <v>1176</v>
      </c>
      <c r="BC5" t="s">
        <v>1177</v>
      </c>
      <c r="BD5" t="s">
        <v>1179</v>
      </c>
      <c r="BE5" t="s">
        <v>1170</v>
      </c>
      <c r="BF5" t="s">
        <v>1171</v>
      </c>
      <c r="BG5" t="s">
        <v>1172</v>
      </c>
      <c r="BH5" t="s">
        <v>1173</v>
      </c>
      <c r="BI5" t="s">
        <v>1174</v>
      </c>
      <c r="BJ5" t="s">
        <v>1175</v>
      </c>
      <c r="BK5" t="s">
        <v>1176</v>
      </c>
      <c r="BL5" t="s">
        <v>1177</v>
      </c>
      <c r="BM5" t="s">
        <v>1179</v>
      </c>
      <c r="BN5" t="s">
        <v>1170</v>
      </c>
      <c r="BO5" t="s">
        <v>1171</v>
      </c>
      <c r="BP5" t="s">
        <v>1172</v>
      </c>
      <c r="BQ5" t="s">
        <v>1173</v>
      </c>
      <c r="BR5" t="s">
        <v>1174</v>
      </c>
      <c r="BS5" t="s">
        <v>1175</v>
      </c>
      <c r="BT5" t="s">
        <v>1176</v>
      </c>
      <c r="BU5" t="s">
        <v>1177</v>
      </c>
      <c r="BV5" t="s">
        <v>1179</v>
      </c>
      <c r="BW5" t="s">
        <v>1170</v>
      </c>
      <c r="BX5" t="s">
        <v>1171</v>
      </c>
      <c r="BY5" t="s">
        <v>1172</v>
      </c>
      <c r="BZ5" t="s">
        <v>1173</v>
      </c>
      <c r="CA5" t="s">
        <v>1174</v>
      </c>
      <c r="CB5" t="s">
        <v>1175</v>
      </c>
      <c r="CC5" t="s">
        <v>1176</v>
      </c>
      <c r="CD5" t="s">
        <v>1177</v>
      </c>
      <c r="CE5" t="s">
        <v>1179</v>
      </c>
      <c r="CF5" t="s">
        <v>1170</v>
      </c>
      <c r="CG5" t="s">
        <v>1171</v>
      </c>
      <c r="CH5" t="s">
        <v>1172</v>
      </c>
      <c r="CI5" t="s">
        <v>1173</v>
      </c>
      <c r="CJ5" t="s">
        <v>1174</v>
      </c>
      <c r="CK5" t="s">
        <v>1175</v>
      </c>
      <c r="CL5" t="s">
        <v>1176</v>
      </c>
      <c r="CM5" t="s">
        <v>1177</v>
      </c>
      <c r="CN5" t="s">
        <v>1179</v>
      </c>
      <c r="CO5" t="s">
        <v>1170</v>
      </c>
      <c r="CP5" t="s">
        <v>1171</v>
      </c>
      <c r="CQ5" t="s">
        <v>1172</v>
      </c>
      <c r="CR5" t="s">
        <v>1173</v>
      </c>
      <c r="CS5" t="s">
        <v>1174</v>
      </c>
      <c r="CT5" t="s">
        <v>1175</v>
      </c>
      <c r="CU5" t="s">
        <v>1176</v>
      </c>
      <c r="CV5" t="s">
        <v>1177</v>
      </c>
      <c r="CW5" t="s">
        <v>1179</v>
      </c>
      <c r="CX5" t="s">
        <v>1170</v>
      </c>
      <c r="CY5" t="s">
        <v>1171</v>
      </c>
      <c r="CZ5" t="s">
        <v>1172</v>
      </c>
      <c r="DA5" t="s">
        <v>1173</v>
      </c>
      <c r="DB5" t="s">
        <v>1174</v>
      </c>
      <c r="DC5" t="s">
        <v>1175</v>
      </c>
      <c r="DD5" t="s">
        <v>1176</v>
      </c>
      <c r="DE5" t="s">
        <v>1177</v>
      </c>
      <c r="DF5" t="s">
        <v>1179</v>
      </c>
      <c r="DG5" t="s">
        <v>1170</v>
      </c>
      <c r="DH5" t="s">
        <v>1171</v>
      </c>
      <c r="DI5" t="s">
        <v>1172</v>
      </c>
      <c r="DJ5" t="s">
        <v>1173</v>
      </c>
      <c r="DK5" t="s">
        <v>1174</v>
      </c>
      <c r="DL5" t="s">
        <v>1175</v>
      </c>
      <c r="DM5" t="s">
        <v>1176</v>
      </c>
      <c r="DN5" t="s">
        <v>1177</v>
      </c>
      <c r="DO5" t="s">
        <v>1179</v>
      </c>
      <c r="DP5" t="s">
        <v>1170</v>
      </c>
      <c r="DQ5" t="s">
        <v>1171</v>
      </c>
      <c r="DR5" t="s">
        <v>1172</v>
      </c>
      <c r="DS5" t="s">
        <v>1173</v>
      </c>
      <c r="DT5" t="s">
        <v>1174</v>
      </c>
      <c r="DU5" t="s">
        <v>1175</v>
      </c>
      <c r="DV5" t="s">
        <v>1176</v>
      </c>
      <c r="DW5" t="s">
        <v>1177</v>
      </c>
      <c r="DX5" t="s">
        <v>1179</v>
      </c>
      <c r="DY5" t="s">
        <v>1170</v>
      </c>
      <c r="DZ5" t="s">
        <v>1171</v>
      </c>
      <c r="EA5" t="s">
        <v>1172</v>
      </c>
      <c r="EB5" t="s">
        <v>1173</v>
      </c>
      <c r="EC5" t="s">
        <v>1174</v>
      </c>
      <c r="ED5" t="s">
        <v>1175</v>
      </c>
      <c r="EE5" t="s">
        <v>1176</v>
      </c>
      <c r="EF5" t="s">
        <v>1177</v>
      </c>
      <c r="EG5" t="s">
        <v>1179</v>
      </c>
      <c r="EH5" t="s">
        <v>1170</v>
      </c>
      <c r="EI5" t="s">
        <v>1171</v>
      </c>
      <c r="EJ5" t="s">
        <v>1172</v>
      </c>
      <c r="EK5" t="s">
        <v>1173</v>
      </c>
      <c r="EL5" t="s">
        <v>1174</v>
      </c>
      <c r="EM5" t="s">
        <v>1175</v>
      </c>
      <c r="EN5" t="s">
        <v>1176</v>
      </c>
      <c r="EO5" t="s">
        <v>1177</v>
      </c>
      <c r="EP5" t="s">
        <v>1179</v>
      </c>
    </row>
    <row r="6" spans="2:146">
      <c r="B6">
        <v>1</v>
      </c>
      <c r="K6" t="s">
        <v>1180</v>
      </c>
      <c r="T6" t="s">
        <v>1180</v>
      </c>
      <c r="AC6" t="s">
        <v>1180</v>
      </c>
      <c r="AL6" t="s">
        <v>1180</v>
      </c>
      <c r="AM6">
        <v>92</v>
      </c>
      <c r="AN6">
        <v>100</v>
      </c>
      <c r="AO6">
        <v>92</v>
      </c>
      <c r="AP6">
        <v>75</v>
      </c>
      <c r="AS6">
        <v>95</v>
      </c>
      <c r="AT6">
        <v>94</v>
      </c>
      <c r="AU6">
        <v>89.75</v>
      </c>
      <c r="BD6" t="s">
        <v>1180</v>
      </c>
      <c r="BM6" t="s">
        <v>1180</v>
      </c>
      <c r="BV6" t="s">
        <v>1180</v>
      </c>
      <c r="CE6" t="s">
        <v>1180</v>
      </c>
      <c r="CN6" t="s">
        <v>1180</v>
      </c>
      <c r="CW6" t="s">
        <v>1180</v>
      </c>
      <c r="CX6">
        <v>95</v>
      </c>
      <c r="CY6">
        <v>95</v>
      </c>
      <c r="CZ6">
        <v>100</v>
      </c>
      <c r="DD6">
        <v>97</v>
      </c>
      <c r="DE6">
        <v>84</v>
      </c>
      <c r="DF6">
        <v>96.666666666666671</v>
      </c>
      <c r="DO6" t="s">
        <v>1180</v>
      </c>
      <c r="DX6" t="s">
        <v>1180</v>
      </c>
      <c r="DY6">
        <v>80</v>
      </c>
      <c r="DZ6">
        <v>92</v>
      </c>
      <c r="EE6">
        <v>86</v>
      </c>
      <c r="EG6">
        <v>86</v>
      </c>
      <c r="EH6">
        <v>95</v>
      </c>
      <c r="EI6">
        <v>95</v>
      </c>
      <c r="EJ6">
        <v>80</v>
      </c>
      <c r="EN6">
        <v>89</v>
      </c>
      <c r="EP6">
        <v>90</v>
      </c>
    </row>
    <row r="7" spans="2:146">
      <c r="B7">
        <v>2</v>
      </c>
      <c r="K7" t="s">
        <v>1180</v>
      </c>
      <c r="T7" t="s">
        <v>1180</v>
      </c>
      <c r="AC7" t="s">
        <v>1180</v>
      </c>
      <c r="AL7" t="s">
        <v>1180</v>
      </c>
      <c r="AU7" t="s">
        <v>1180</v>
      </c>
      <c r="BD7" t="s">
        <v>1180</v>
      </c>
      <c r="BM7" t="s">
        <v>1180</v>
      </c>
      <c r="BV7" t="s">
        <v>1180</v>
      </c>
      <c r="CE7" t="s">
        <v>1180</v>
      </c>
      <c r="CN7" t="s">
        <v>1180</v>
      </c>
      <c r="CW7" t="s">
        <v>1180</v>
      </c>
      <c r="CX7">
        <v>75</v>
      </c>
      <c r="CY7">
        <v>85</v>
      </c>
      <c r="CZ7">
        <v>75</v>
      </c>
      <c r="DD7">
        <v>78</v>
      </c>
      <c r="DE7">
        <v>91</v>
      </c>
      <c r="DF7">
        <v>78.333333333333329</v>
      </c>
      <c r="DO7" t="s">
        <v>1180</v>
      </c>
      <c r="DX7" t="s">
        <v>1180</v>
      </c>
      <c r="DY7">
        <v>95</v>
      </c>
      <c r="DZ7">
        <v>98</v>
      </c>
      <c r="EE7">
        <v>97</v>
      </c>
      <c r="EG7">
        <v>96.5</v>
      </c>
      <c r="EH7">
        <v>90</v>
      </c>
      <c r="EI7">
        <v>100</v>
      </c>
      <c r="EJ7">
        <v>95</v>
      </c>
      <c r="EN7">
        <v>98</v>
      </c>
      <c r="EP7">
        <v>95</v>
      </c>
    </row>
    <row r="8" spans="2:146">
      <c r="B8">
        <v>3</v>
      </c>
      <c r="K8" t="s">
        <v>1180</v>
      </c>
      <c r="T8" t="s">
        <v>1180</v>
      </c>
      <c r="AC8" t="s">
        <v>1180</v>
      </c>
      <c r="AL8" t="s">
        <v>1180</v>
      </c>
      <c r="AU8" t="s">
        <v>1180</v>
      </c>
      <c r="BD8" t="s">
        <v>1180</v>
      </c>
      <c r="BM8" t="s">
        <v>1180</v>
      </c>
      <c r="BV8" t="s">
        <v>1180</v>
      </c>
      <c r="CE8" t="s">
        <v>1180</v>
      </c>
      <c r="CN8" t="s">
        <v>1180</v>
      </c>
      <c r="CW8" t="s">
        <v>1180</v>
      </c>
      <c r="CX8">
        <v>85</v>
      </c>
      <c r="CY8">
        <v>92</v>
      </c>
      <c r="CZ8">
        <v>100</v>
      </c>
      <c r="DD8">
        <v>92</v>
      </c>
      <c r="DE8">
        <v>88</v>
      </c>
      <c r="DF8">
        <v>92.333333333333329</v>
      </c>
      <c r="DO8" t="s">
        <v>1180</v>
      </c>
      <c r="DX8" t="s">
        <v>1180</v>
      </c>
      <c r="DY8">
        <v>85</v>
      </c>
      <c r="DZ8">
        <v>92</v>
      </c>
      <c r="EE8">
        <v>89</v>
      </c>
      <c r="EG8">
        <v>88.5</v>
      </c>
      <c r="EH8">
        <v>100</v>
      </c>
      <c r="EI8">
        <v>100</v>
      </c>
      <c r="EJ8">
        <v>90</v>
      </c>
      <c r="EN8">
        <v>86</v>
      </c>
      <c r="EP8">
        <v>96.666666666666671</v>
      </c>
    </row>
    <row r="9" spans="2:146">
      <c r="B9">
        <v>4</v>
      </c>
      <c r="K9" t="s">
        <v>1180</v>
      </c>
      <c r="T9" t="s">
        <v>1180</v>
      </c>
      <c r="AC9" t="s">
        <v>1180</v>
      </c>
      <c r="AL9" t="s">
        <v>1180</v>
      </c>
      <c r="AU9" t="s">
        <v>1180</v>
      </c>
      <c r="BD9" t="s">
        <v>1180</v>
      </c>
      <c r="BM9" t="s">
        <v>1180</v>
      </c>
      <c r="BV9" t="s">
        <v>1180</v>
      </c>
      <c r="CE9" t="s">
        <v>1180</v>
      </c>
      <c r="CN9" t="s">
        <v>1180</v>
      </c>
      <c r="CW9" t="s">
        <v>1180</v>
      </c>
      <c r="CX9">
        <v>85</v>
      </c>
      <c r="CY9">
        <v>80</v>
      </c>
      <c r="CZ9">
        <v>100</v>
      </c>
      <c r="DD9">
        <v>88</v>
      </c>
      <c r="DE9">
        <v>97</v>
      </c>
      <c r="DF9">
        <v>88.333333333333329</v>
      </c>
      <c r="DO9" t="s">
        <v>1180</v>
      </c>
      <c r="DX9" t="s">
        <v>1180</v>
      </c>
      <c r="DY9">
        <v>85</v>
      </c>
      <c r="DZ9">
        <v>92</v>
      </c>
      <c r="EE9">
        <v>89</v>
      </c>
      <c r="EG9">
        <v>88.5</v>
      </c>
      <c r="EH9">
        <v>98</v>
      </c>
      <c r="EI9">
        <v>90</v>
      </c>
      <c r="EJ9">
        <v>83</v>
      </c>
      <c r="EN9">
        <v>87</v>
      </c>
      <c r="EP9">
        <v>90.333333333333329</v>
      </c>
    </row>
    <row r="10" spans="2:146">
      <c r="B10">
        <v>5</v>
      </c>
      <c r="K10" t="s">
        <v>1180</v>
      </c>
      <c r="T10" t="s">
        <v>1180</v>
      </c>
      <c r="AC10" t="s">
        <v>1180</v>
      </c>
      <c r="AL10" t="s">
        <v>1180</v>
      </c>
      <c r="AU10" t="s">
        <v>1180</v>
      </c>
      <c r="BD10" t="s">
        <v>1180</v>
      </c>
      <c r="BM10" t="s">
        <v>1180</v>
      </c>
      <c r="BV10" t="s">
        <v>1180</v>
      </c>
      <c r="CE10" t="s">
        <v>1180</v>
      </c>
      <c r="CN10" t="s">
        <v>1180</v>
      </c>
      <c r="CW10" t="s">
        <v>1180</v>
      </c>
      <c r="CX10">
        <v>90</v>
      </c>
      <c r="CY10">
        <v>85</v>
      </c>
      <c r="CZ10">
        <v>100</v>
      </c>
      <c r="DD10">
        <v>92</v>
      </c>
      <c r="DE10">
        <v>94</v>
      </c>
      <c r="DF10">
        <v>91.666666666666671</v>
      </c>
      <c r="DO10" t="s">
        <v>1180</v>
      </c>
      <c r="DX10" t="s">
        <v>1180</v>
      </c>
      <c r="DY10">
        <v>90</v>
      </c>
      <c r="DZ10">
        <v>95</v>
      </c>
      <c r="EE10">
        <v>93</v>
      </c>
      <c r="EG10">
        <v>92.5</v>
      </c>
      <c r="EH10">
        <v>100</v>
      </c>
      <c r="EI10">
        <v>100</v>
      </c>
      <c r="EJ10">
        <v>100</v>
      </c>
      <c r="EN10">
        <v>92</v>
      </c>
      <c r="EP10">
        <v>100</v>
      </c>
    </row>
    <row r="11" spans="2:146">
      <c r="B11">
        <v>6</v>
      </c>
      <c r="K11" t="s">
        <v>1180</v>
      </c>
      <c r="T11" t="s">
        <v>1180</v>
      </c>
      <c r="AC11" t="s">
        <v>1180</v>
      </c>
      <c r="AL11" t="s">
        <v>1180</v>
      </c>
      <c r="AU11" t="s">
        <v>1180</v>
      </c>
      <c r="BD11" t="s">
        <v>1180</v>
      </c>
      <c r="BM11" t="s">
        <v>1180</v>
      </c>
      <c r="BV11" t="s">
        <v>1180</v>
      </c>
      <c r="CE11" t="s">
        <v>1180</v>
      </c>
      <c r="CN11" t="s">
        <v>1180</v>
      </c>
      <c r="CW11" t="s">
        <v>1180</v>
      </c>
      <c r="CX11">
        <v>85</v>
      </c>
      <c r="CY11">
        <v>90</v>
      </c>
      <c r="CZ11">
        <v>100</v>
      </c>
      <c r="DD11">
        <v>92</v>
      </c>
      <c r="DE11">
        <v>91</v>
      </c>
      <c r="DF11">
        <v>91.666666666666671</v>
      </c>
      <c r="DO11" t="s">
        <v>1180</v>
      </c>
      <c r="DX11" t="s">
        <v>1180</v>
      </c>
      <c r="DY11">
        <v>90</v>
      </c>
      <c r="DZ11">
        <v>97</v>
      </c>
      <c r="EE11">
        <v>94</v>
      </c>
      <c r="EG11">
        <v>93.5</v>
      </c>
      <c r="EH11">
        <v>95</v>
      </c>
      <c r="EI11">
        <v>95</v>
      </c>
      <c r="EJ11">
        <v>85</v>
      </c>
      <c r="EN11">
        <v>95</v>
      </c>
      <c r="EP11">
        <v>91.666666666666671</v>
      </c>
    </row>
    <row r="12" spans="2:146">
      <c r="B12">
        <v>7</v>
      </c>
      <c r="K12" t="s">
        <v>1180</v>
      </c>
      <c r="T12" t="s">
        <v>1180</v>
      </c>
      <c r="AC12" t="s">
        <v>1180</v>
      </c>
      <c r="AL12" t="s">
        <v>1180</v>
      </c>
      <c r="AU12" t="s">
        <v>1180</v>
      </c>
      <c r="BD12" t="s">
        <v>1180</v>
      </c>
      <c r="BM12" t="s">
        <v>1180</v>
      </c>
      <c r="BV12" t="s">
        <v>1180</v>
      </c>
      <c r="CE12" t="s">
        <v>1180</v>
      </c>
      <c r="CN12" t="s">
        <v>1180</v>
      </c>
      <c r="CW12" t="s">
        <v>1180</v>
      </c>
      <c r="CX12">
        <v>85</v>
      </c>
      <c r="CY12">
        <v>93</v>
      </c>
      <c r="CZ12">
        <v>96</v>
      </c>
      <c r="DD12">
        <v>91</v>
      </c>
      <c r="DE12">
        <v>94</v>
      </c>
      <c r="DF12">
        <v>91.333333333333329</v>
      </c>
      <c r="DO12" t="s">
        <v>1180</v>
      </c>
      <c r="DX12" t="s">
        <v>1180</v>
      </c>
      <c r="DY12">
        <v>92</v>
      </c>
      <c r="DZ12">
        <v>95</v>
      </c>
      <c r="EE12">
        <v>94</v>
      </c>
      <c r="EG12">
        <v>93.5</v>
      </c>
      <c r="EH12">
        <v>100</v>
      </c>
      <c r="EI12">
        <v>100</v>
      </c>
      <c r="EJ12">
        <v>95</v>
      </c>
      <c r="EN12">
        <v>96</v>
      </c>
      <c r="EP12">
        <v>98.333333333333329</v>
      </c>
    </row>
    <row r="13" spans="2:146">
      <c r="B13">
        <v>8</v>
      </c>
      <c r="K13" t="s">
        <v>1180</v>
      </c>
      <c r="T13" t="s">
        <v>1180</v>
      </c>
      <c r="AC13" t="s">
        <v>1180</v>
      </c>
      <c r="AL13" t="s">
        <v>1180</v>
      </c>
      <c r="AU13" t="s">
        <v>1180</v>
      </c>
      <c r="BD13" t="s">
        <v>1180</v>
      </c>
      <c r="BM13" t="s">
        <v>1180</v>
      </c>
      <c r="BV13" t="s">
        <v>1180</v>
      </c>
      <c r="CE13" t="s">
        <v>1180</v>
      </c>
      <c r="CN13" t="s">
        <v>1180</v>
      </c>
      <c r="CW13" t="s">
        <v>1180</v>
      </c>
      <c r="CX13">
        <v>95</v>
      </c>
      <c r="CY13">
        <v>95</v>
      </c>
      <c r="CZ13">
        <v>100</v>
      </c>
      <c r="DD13">
        <v>97</v>
      </c>
      <c r="DE13">
        <v>97</v>
      </c>
      <c r="DF13">
        <v>96.666666666666671</v>
      </c>
      <c r="DO13" t="s">
        <v>1180</v>
      </c>
      <c r="DX13" t="s">
        <v>1180</v>
      </c>
      <c r="DY13">
        <v>95</v>
      </c>
      <c r="DZ13">
        <v>90</v>
      </c>
      <c r="EE13">
        <v>93</v>
      </c>
      <c r="EG13">
        <v>92.5</v>
      </c>
      <c r="EH13">
        <v>100</v>
      </c>
      <c r="EI13">
        <v>95</v>
      </c>
      <c r="EJ13">
        <v>100</v>
      </c>
      <c r="EN13">
        <v>100</v>
      </c>
      <c r="EP13">
        <v>98.333333333333329</v>
      </c>
    </row>
    <row r="14" spans="2:146">
      <c r="B14">
        <v>9</v>
      </c>
      <c r="K14" t="s">
        <v>1180</v>
      </c>
      <c r="T14" t="s">
        <v>1180</v>
      </c>
      <c r="AC14" t="s">
        <v>1180</v>
      </c>
      <c r="AL14" t="s">
        <v>1180</v>
      </c>
      <c r="AU14" t="s">
        <v>1180</v>
      </c>
      <c r="BD14" t="s">
        <v>1180</v>
      </c>
      <c r="BM14" t="s">
        <v>1180</v>
      </c>
      <c r="BV14" t="s">
        <v>1180</v>
      </c>
      <c r="CE14" t="s">
        <v>1180</v>
      </c>
      <c r="CN14" t="s">
        <v>1180</v>
      </c>
      <c r="CW14" t="s">
        <v>1180</v>
      </c>
      <c r="CX14">
        <v>95</v>
      </c>
      <c r="CY14">
        <v>85</v>
      </c>
      <c r="CZ14">
        <v>100</v>
      </c>
      <c r="DD14">
        <v>93</v>
      </c>
      <c r="DE14">
        <v>94</v>
      </c>
      <c r="DF14">
        <v>93.333333333333329</v>
      </c>
      <c r="DO14" t="s">
        <v>1180</v>
      </c>
      <c r="DX14" t="s">
        <v>1180</v>
      </c>
      <c r="DY14">
        <v>92</v>
      </c>
      <c r="DZ14">
        <v>90</v>
      </c>
      <c r="EE14">
        <v>91</v>
      </c>
      <c r="EG14">
        <v>91</v>
      </c>
      <c r="EH14">
        <v>100</v>
      </c>
      <c r="EI14">
        <v>100</v>
      </c>
      <c r="EJ14">
        <v>98</v>
      </c>
      <c r="EN14">
        <v>94</v>
      </c>
      <c r="EP14">
        <v>99.333333333333329</v>
      </c>
    </row>
    <row r="15" spans="2:146">
      <c r="B15">
        <v>10</v>
      </c>
      <c r="K15" t="s">
        <v>1180</v>
      </c>
      <c r="T15" t="s">
        <v>1180</v>
      </c>
      <c r="AC15" t="s">
        <v>1180</v>
      </c>
      <c r="AL15" t="s">
        <v>1180</v>
      </c>
      <c r="AU15" t="s">
        <v>1180</v>
      </c>
      <c r="BD15" t="s">
        <v>1180</v>
      </c>
      <c r="BM15" t="s">
        <v>1180</v>
      </c>
      <c r="BV15" t="s">
        <v>1180</v>
      </c>
      <c r="CE15" t="s">
        <v>1180</v>
      </c>
      <c r="CN15" t="s">
        <v>1180</v>
      </c>
      <c r="CW15" t="s">
        <v>1180</v>
      </c>
      <c r="CX15">
        <v>85</v>
      </c>
      <c r="CY15">
        <v>86</v>
      </c>
      <c r="CZ15">
        <v>100</v>
      </c>
      <c r="DD15">
        <v>90</v>
      </c>
      <c r="DE15">
        <v>97</v>
      </c>
      <c r="DF15">
        <v>90.333333333333329</v>
      </c>
      <c r="DO15" t="s">
        <v>1180</v>
      </c>
      <c r="DX15" t="s">
        <v>1180</v>
      </c>
      <c r="DY15">
        <v>92</v>
      </c>
      <c r="DZ15">
        <v>85</v>
      </c>
      <c r="EE15">
        <v>89</v>
      </c>
      <c r="EG15">
        <v>88.5</v>
      </c>
      <c r="EH15">
        <v>93</v>
      </c>
      <c r="EI15">
        <v>95</v>
      </c>
      <c r="EJ15">
        <v>88</v>
      </c>
      <c r="EN15">
        <v>88</v>
      </c>
      <c r="EP15">
        <v>92</v>
      </c>
    </row>
    <row r="16" spans="2:146">
      <c r="B16">
        <v>11</v>
      </c>
      <c r="K16" t="s">
        <v>1180</v>
      </c>
      <c r="T16" t="s">
        <v>1180</v>
      </c>
      <c r="AC16" t="s">
        <v>1180</v>
      </c>
      <c r="AL16" t="s">
        <v>1180</v>
      </c>
      <c r="AU16" t="s">
        <v>1180</v>
      </c>
      <c r="BD16" t="s">
        <v>1180</v>
      </c>
      <c r="BM16" t="s">
        <v>1180</v>
      </c>
      <c r="BV16" t="s">
        <v>1180</v>
      </c>
      <c r="CE16" t="s">
        <v>1180</v>
      </c>
      <c r="CN16" t="s">
        <v>1180</v>
      </c>
      <c r="CW16" t="s">
        <v>1180</v>
      </c>
      <c r="CX16">
        <v>85</v>
      </c>
      <c r="CY16">
        <v>80</v>
      </c>
      <c r="CZ16">
        <v>100</v>
      </c>
      <c r="DD16">
        <v>88</v>
      </c>
      <c r="DE16">
        <v>91</v>
      </c>
      <c r="DF16">
        <v>88.333333333333329</v>
      </c>
      <c r="DO16" t="s">
        <v>1180</v>
      </c>
      <c r="DX16" t="s">
        <v>1180</v>
      </c>
      <c r="DY16">
        <v>90</v>
      </c>
      <c r="DZ16">
        <v>92</v>
      </c>
      <c r="EE16">
        <v>91</v>
      </c>
      <c r="EG16">
        <v>91</v>
      </c>
      <c r="EH16">
        <v>88</v>
      </c>
      <c r="EI16">
        <v>95</v>
      </c>
      <c r="EJ16">
        <v>85</v>
      </c>
      <c r="EN16">
        <v>85</v>
      </c>
      <c r="EP16">
        <v>89.333333333333329</v>
      </c>
    </row>
    <row r="17" spans="2:146">
      <c r="B17">
        <v>12</v>
      </c>
      <c r="K17" t="s">
        <v>1180</v>
      </c>
      <c r="T17" t="s">
        <v>1180</v>
      </c>
      <c r="AC17" t="s">
        <v>1180</v>
      </c>
      <c r="AL17" t="s">
        <v>1180</v>
      </c>
      <c r="AU17" t="s">
        <v>1180</v>
      </c>
      <c r="BD17" t="s">
        <v>1180</v>
      </c>
      <c r="BM17" t="s">
        <v>1180</v>
      </c>
      <c r="BV17" t="s">
        <v>1180</v>
      </c>
      <c r="CE17" t="s">
        <v>1180</v>
      </c>
      <c r="CN17" t="s">
        <v>1180</v>
      </c>
      <c r="CW17" t="s">
        <v>1180</v>
      </c>
      <c r="CX17">
        <v>95</v>
      </c>
      <c r="CY17">
        <v>97</v>
      </c>
      <c r="CZ17">
        <v>100</v>
      </c>
      <c r="DD17">
        <v>97</v>
      </c>
      <c r="DE17">
        <v>100</v>
      </c>
      <c r="DF17">
        <v>97.333333333333329</v>
      </c>
      <c r="DO17" t="s">
        <v>1180</v>
      </c>
      <c r="DX17" t="s">
        <v>1180</v>
      </c>
      <c r="DY17">
        <v>80</v>
      </c>
      <c r="DZ17">
        <v>85</v>
      </c>
      <c r="EE17">
        <v>83</v>
      </c>
      <c r="EG17">
        <v>82.5</v>
      </c>
      <c r="EH17">
        <v>93</v>
      </c>
      <c r="EI17">
        <v>100</v>
      </c>
      <c r="EJ17">
        <v>80</v>
      </c>
      <c r="EN17">
        <v>76</v>
      </c>
      <c r="EP17">
        <v>91</v>
      </c>
    </row>
    <row r="18" spans="2:146">
      <c r="B18">
        <v>13</v>
      </c>
      <c r="K18" t="s">
        <v>1180</v>
      </c>
      <c r="T18" t="s">
        <v>1180</v>
      </c>
      <c r="AC18" t="s">
        <v>1180</v>
      </c>
      <c r="AL18" t="s">
        <v>1180</v>
      </c>
      <c r="AU18" t="s">
        <v>1180</v>
      </c>
      <c r="BD18" t="s">
        <v>1180</v>
      </c>
      <c r="BM18" t="s">
        <v>1180</v>
      </c>
      <c r="BV18" t="s">
        <v>1180</v>
      </c>
      <c r="CE18" t="s">
        <v>1180</v>
      </c>
      <c r="CN18" t="s">
        <v>1180</v>
      </c>
      <c r="CW18" t="s">
        <v>1180</v>
      </c>
      <c r="CX18">
        <v>95</v>
      </c>
      <c r="CY18">
        <v>96</v>
      </c>
      <c r="CZ18">
        <v>100</v>
      </c>
      <c r="DD18">
        <v>97</v>
      </c>
      <c r="DE18">
        <v>94</v>
      </c>
      <c r="DF18">
        <v>97</v>
      </c>
      <c r="DO18" t="s">
        <v>1180</v>
      </c>
      <c r="DX18" t="s">
        <v>1180</v>
      </c>
      <c r="DY18">
        <v>80</v>
      </c>
      <c r="DZ18">
        <v>85</v>
      </c>
      <c r="EE18">
        <v>83</v>
      </c>
      <c r="EG18">
        <v>82.5</v>
      </c>
      <c r="EH18">
        <v>90</v>
      </c>
      <c r="EI18">
        <v>95</v>
      </c>
      <c r="EJ18">
        <v>85</v>
      </c>
      <c r="EN18">
        <v>75</v>
      </c>
      <c r="EP18">
        <v>90</v>
      </c>
    </row>
    <row r="19" spans="2:146">
      <c r="B19">
        <v>14</v>
      </c>
      <c r="K19" t="s">
        <v>1180</v>
      </c>
      <c r="T19" t="s">
        <v>1180</v>
      </c>
      <c r="AC19" t="s">
        <v>1180</v>
      </c>
      <c r="AL19" t="s">
        <v>1180</v>
      </c>
      <c r="AU19" t="s">
        <v>1180</v>
      </c>
      <c r="BD19" t="s">
        <v>1180</v>
      </c>
      <c r="BM19" t="s">
        <v>1180</v>
      </c>
      <c r="BV19" t="s">
        <v>1180</v>
      </c>
      <c r="CE19" t="s">
        <v>1180</v>
      </c>
      <c r="CN19" t="s">
        <v>1180</v>
      </c>
      <c r="CW19" t="s">
        <v>1180</v>
      </c>
      <c r="CX19">
        <v>85</v>
      </c>
      <c r="CY19">
        <v>89</v>
      </c>
      <c r="CZ19">
        <v>100</v>
      </c>
      <c r="DD19">
        <v>91</v>
      </c>
      <c r="DE19">
        <v>97</v>
      </c>
      <c r="DF19">
        <v>91.333333333333329</v>
      </c>
      <c r="DO19" t="s">
        <v>1180</v>
      </c>
      <c r="DX19" t="s">
        <v>1180</v>
      </c>
      <c r="DY19">
        <v>90</v>
      </c>
      <c r="DZ19">
        <v>93</v>
      </c>
      <c r="EE19">
        <v>91</v>
      </c>
      <c r="EG19">
        <v>91.5</v>
      </c>
      <c r="EH19">
        <v>90</v>
      </c>
      <c r="EI19">
        <v>80</v>
      </c>
      <c r="EJ19">
        <v>83</v>
      </c>
      <c r="EN19">
        <v>87</v>
      </c>
      <c r="EP19">
        <v>84.333333333333329</v>
      </c>
    </row>
    <row r="20" spans="2:146">
      <c r="B20">
        <v>15</v>
      </c>
      <c r="K20" t="s">
        <v>1180</v>
      </c>
      <c r="T20" t="s">
        <v>1180</v>
      </c>
      <c r="AC20" t="s">
        <v>1180</v>
      </c>
      <c r="AL20" t="s">
        <v>1180</v>
      </c>
      <c r="AU20" t="s">
        <v>1180</v>
      </c>
      <c r="BD20" t="s">
        <v>1180</v>
      </c>
      <c r="BM20" t="s">
        <v>1180</v>
      </c>
      <c r="BV20" t="s">
        <v>1180</v>
      </c>
      <c r="CE20" t="s">
        <v>1180</v>
      </c>
      <c r="CN20" t="s">
        <v>1180</v>
      </c>
      <c r="CW20" t="s">
        <v>1180</v>
      </c>
      <c r="CX20">
        <v>75</v>
      </c>
      <c r="CY20">
        <v>90</v>
      </c>
      <c r="CZ20">
        <v>100</v>
      </c>
      <c r="DD20">
        <v>88</v>
      </c>
      <c r="DE20">
        <v>75</v>
      </c>
      <c r="DF20">
        <v>88.333333333333329</v>
      </c>
      <c r="DO20" t="s">
        <v>1180</v>
      </c>
      <c r="DX20" t="s">
        <v>1180</v>
      </c>
      <c r="DY20">
        <v>85</v>
      </c>
      <c r="DZ20">
        <v>94</v>
      </c>
      <c r="EE20">
        <v>89</v>
      </c>
      <c r="EG20">
        <v>89.5</v>
      </c>
      <c r="EH20">
        <v>93</v>
      </c>
      <c r="EI20">
        <v>80</v>
      </c>
      <c r="EJ20">
        <v>78</v>
      </c>
      <c r="EN20">
        <v>82</v>
      </c>
      <c r="EP20">
        <v>83.666666666666671</v>
      </c>
    </row>
    <row r="21" spans="2:146">
      <c r="B21">
        <v>16</v>
      </c>
      <c r="K21" t="s">
        <v>1180</v>
      </c>
      <c r="T21" t="s">
        <v>1180</v>
      </c>
      <c r="AC21" t="s">
        <v>1180</v>
      </c>
      <c r="AL21" t="s">
        <v>1180</v>
      </c>
      <c r="AU21" t="s">
        <v>1180</v>
      </c>
      <c r="BD21" t="s">
        <v>1180</v>
      </c>
      <c r="BM21" t="s">
        <v>1180</v>
      </c>
      <c r="BV21" t="s">
        <v>1180</v>
      </c>
      <c r="CE21" t="s">
        <v>1180</v>
      </c>
      <c r="CN21" t="s">
        <v>1180</v>
      </c>
      <c r="CW21" t="s">
        <v>1180</v>
      </c>
      <c r="CX21">
        <v>85</v>
      </c>
      <c r="CY21">
        <v>90</v>
      </c>
      <c r="CZ21">
        <v>100</v>
      </c>
      <c r="DD21">
        <v>92</v>
      </c>
      <c r="DE21">
        <v>97</v>
      </c>
      <c r="DF21">
        <v>91.666666666666671</v>
      </c>
      <c r="DO21" t="s">
        <v>1180</v>
      </c>
      <c r="DX21" t="s">
        <v>1180</v>
      </c>
      <c r="DY21">
        <v>85</v>
      </c>
      <c r="DZ21">
        <v>92</v>
      </c>
      <c r="EE21">
        <v>89</v>
      </c>
      <c r="EG21">
        <v>88.5</v>
      </c>
      <c r="EH21">
        <v>95</v>
      </c>
      <c r="EI21">
        <v>95</v>
      </c>
      <c r="EJ21">
        <v>93</v>
      </c>
      <c r="EN21">
        <v>89</v>
      </c>
      <c r="EP21">
        <v>94.333333333333329</v>
      </c>
    </row>
    <row r="22" spans="2:146">
      <c r="B22">
        <v>17</v>
      </c>
      <c r="K22" t="s">
        <v>1180</v>
      </c>
      <c r="T22" t="s">
        <v>1180</v>
      </c>
      <c r="AC22" t="s">
        <v>1180</v>
      </c>
      <c r="AL22" t="s">
        <v>1180</v>
      </c>
      <c r="AU22" t="s">
        <v>1180</v>
      </c>
      <c r="BD22" t="s">
        <v>1180</v>
      </c>
      <c r="BM22" t="s">
        <v>1180</v>
      </c>
      <c r="BV22" t="s">
        <v>1180</v>
      </c>
      <c r="CE22" t="s">
        <v>1180</v>
      </c>
      <c r="CN22" t="s">
        <v>1180</v>
      </c>
      <c r="CW22" t="s">
        <v>1180</v>
      </c>
      <c r="CX22">
        <v>90</v>
      </c>
      <c r="CY22">
        <v>76</v>
      </c>
      <c r="CZ22">
        <v>100</v>
      </c>
      <c r="DD22">
        <v>89</v>
      </c>
      <c r="DE22">
        <v>97</v>
      </c>
      <c r="DF22">
        <v>88.666666666666671</v>
      </c>
      <c r="DO22" t="s">
        <v>1180</v>
      </c>
      <c r="DX22" t="s">
        <v>1180</v>
      </c>
      <c r="DY22">
        <v>85</v>
      </c>
      <c r="DZ22">
        <v>95</v>
      </c>
      <c r="EE22">
        <v>90</v>
      </c>
      <c r="EG22">
        <v>90</v>
      </c>
      <c r="EH22">
        <v>100</v>
      </c>
      <c r="EI22">
        <v>95</v>
      </c>
      <c r="EJ22">
        <v>85</v>
      </c>
      <c r="EN22">
        <v>100</v>
      </c>
      <c r="EP22">
        <v>93.333333333333329</v>
      </c>
    </row>
    <row r="23" spans="2:146">
      <c r="B23">
        <v>18</v>
      </c>
      <c r="K23" t="s">
        <v>1180</v>
      </c>
      <c r="T23" t="s">
        <v>1180</v>
      </c>
      <c r="AC23" t="s">
        <v>1180</v>
      </c>
      <c r="AL23" t="s">
        <v>1180</v>
      </c>
      <c r="AU23" t="s">
        <v>1180</v>
      </c>
      <c r="BD23" t="s">
        <v>1180</v>
      </c>
      <c r="BM23" t="s">
        <v>1180</v>
      </c>
      <c r="BV23" t="s">
        <v>1180</v>
      </c>
      <c r="CE23" t="s">
        <v>1180</v>
      </c>
      <c r="CN23" t="s">
        <v>1180</v>
      </c>
      <c r="CW23" t="s">
        <v>1180</v>
      </c>
      <c r="CX23">
        <v>90</v>
      </c>
      <c r="CY23">
        <v>89</v>
      </c>
      <c r="CZ23">
        <v>100</v>
      </c>
      <c r="DD23">
        <v>93</v>
      </c>
      <c r="DE23">
        <v>84</v>
      </c>
      <c r="DF23">
        <v>93</v>
      </c>
      <c r="DO23" t="s">
        <v>1180</v>
      </c>
      <c r="DX23" t="s">
        <v>1180</v>
      </c>
      <c r="DY23">
        <v>90</v>
      </c>
      <c r="DZ23">
        <v>85</v>
      </c>
      <c r="EE23">
        <v>88</v>
      </c>
      <c r="EG23">
        <v>87.5</v>
      </c>
      <c r="EH23">
        <v>100</v>
      </c>
      <c r="EI23">
        <v>95</v>
      </c>
      <c r="EJ23">
        <v>93</v>
      </c>
      <c r="EN23">
        <v>95</v>
      </c>
      <c r="EP23">
        <v>96</v>
      </c>
    </row>
    <row r="24" spans="2:146">
      <c r="B24">
        <v>19</v>
      </c>
      <c r="K24" t="s">
        <v>1180</v>
      </c>
      <c r="T24" t="s">
        <v>1180</v>
      </c>
      <c r="AC24" t="s">
        <v>1180</v>
      </c>
      <c r="AL24" t="s">
        <v>1180</v>
      </c>
      <c r="AU24" t="s">
        <v>1180</v>
      </c>
      <c r="BD24" t="s">
        <v>1180</v>
      </c>
      <c r="BM24" t="s">
        <v>1180</v>
      </c>
      <c r="BV24" t="s">
        <v>1180</v>
      </c>
      <c r="CE24" t="s">
        <v>1180</v>
      </c>
      <c r="CN24" t="s">
        <v>1180</v>
      </c>
      <c r="CW24" t="s">
        <v>1180</v>
      </c>
      <c r="CX24">
        <v>80</v>
      </c>
      <c r="CY24">
        <v>87</v>
      </c>
      <c r="CZ24">
        <v>100</v>
      </c>
      <c r="DD24">
        <v>89</v>
      </c>
      <c r="DE24">
        <v>78</v>
      </c>
      <c r="DF24">
        <v>89</v>
      </c>
      <c r="DO24" t="s">
        <v>1180</v>
      </c>
      <c r="DX24" t="s">
        <v>1180</v>
      </c>
      <c r="DY24">
        <v>75</v>
      </c>
      <c r="DZ24">
        <v>80</v>
      </c>
      <c r="EE24">
        <v>78</v>
      </c>
      <c r="EG24">
        <v>77.5</v>
      </c>
      <c r="EH24">
        <v>75</v>
      </c>
      <c r="EI24">
        <v>75</v>
      </c>
      <c r="EJ24">
        <v>75</v>
      </c>
      <c r="EN24">
        <v>75</v>
      </c>
      <c r="EP24">
        <v>75</v>
      </c>
    </row>
    <row r="25" spans="2:146">
      <c r="B25">
        <v>20</v>
      </c>
      <c r="K25" t="s">
        <v>1180</v>
      </c>
      <c r="T25" t="s">
        <v>1180</v>
      </c>
      <c r="AC25" t="s">
        <v>1180</v>
      </c>
      <c r="AL25" t="s">
        <v>1180</v>
      </c>
      <c r="AU25" t="s">
        <v>1180</v>
      </c>
      <c r="BD25" t="s">
        <v>1180</v>
      </c>
      <c r="BM25" t="s">
        <v>1180</v>
      </c>
      <c r="BV25" t="s">
        <v>1180</v>
      </c>
      <c r="CE25" t="s">
        <v>1180</v>
      </c>
      <c r="CN25" t="s">
        <v>1180</v>
      </c>
      <c r="CW25" t="s">
        <v>1180</v>
      </c>
      <c r="CX25">
        <v>85</v>
      </c>
      <c r="CY25">
        <v>86</v>
      </c>
      <c r="CZ25">
        <v>100</v>
      </c>
      <c r="DD25">
        <v>90</v>
      </c>
      <c r="DE25">
        <v>75</v>
      </c>
      <c r="DF25">
        <v>90.333333333333329</v>
      </c>
      <c r="DO25" t="s">
        <v>1180</v>
      </c>
      <c r="DX25" t="s">
        <v>1180</v>
      </c>
      <c r="DY25">
        <v>85</v>
      </c>
      <c r="DZ25">
        <v>95</v>
      </c>
      <c r="EE25">
        <v>90</v>
      </c>
      <c r="EG25">
        <v>90</v>
      </c>
      <c r="EH25">
        <v>100</v>
      </c>
      <c r="EI25">
        <v>95</v>
      </c>
      <c r="EJ25">
        <v>75</v>
      </c>
      <c r="EN25">
        <v>93</v>
      </c>
      <c r="EP25">
        <v>90</v>
      </c>
    </row>
    <row r="26" spans="2:146">
      <c r="B26">
        <v>21</v>
      </c>
      <c r="K26" t="s">
        <v>1180</v>
      </c>
      <c r="T26" t="s">
        <v>1180</v>
      </c>
      <c r="AC26" t="s">
        <v>1180</v>
      </c>
      <c r="AL26" t="s">
        <v>1180</v>
      </c>
      <c r="AU26" t="s">
        <v>1180</v>
      </c>
      <c r="BD26" t="s">
        <v>1180</v>
      </c>
      <c r="BM26" t="s">
        <v>1180</v>
      </c>
      <c r="BV26" t="s">
        <v>1180</v>
      </c>
      <c r="CE26" t="s">
        <v>1180</v>
      </c>
      <c r="CN26" t="s">
        <v>1180</v>
      </c>
      <c r="CW26" t="s">
        <v>1180</v>
      </c>
      <c r="CX26">
        <v>85</v>
      </c>
      <c r="CY26">
        <v>86</v>
      </c>
      <c r="CZ26">
        <v>100</v>
      </c>
      <c r="DD26">
        <v>90</v>
      </c>
      <c r="DE26">
        <v>97</v>
      </c>
      <c r="DF26">
        <v>90.333333333333329</v>
      </c>
      <c r="DO26" t="s">
        <v>1180</v>
      </c>
      <c r="DX26" t="s">
        <v>1180</v>
      </c>
      <c r="DY26">
        <v>85</v>
      </c>
      <c r="DZ26">
        <v>89</v>
      </c>
      <c r="EE26">
        <v>87</v>
      </c>
      <c r="EG26">
        <v>87</v>
      </c>
      <c r="EH26">
        <v>75</v>
      </c>
      <c r="EI26">
        <v>95</v>
      </c>
      <c r="EJ26">
        <v>88</v>
      </c>
      <c r="EN26">
        <v>89</v>
      </c>
      <c r="EP26">
        <v>86</v>
      </c>
    </row>
    <row r="27" spans="2:146">
      <c r="B27">
        <v>22</v>
      </c>
      <c r="K27" t="s">
        <v>1180</v>
      </c>
      <c r="T27" t="s">
        <v>1180</v>
      </c>
      <c r="AC27" t="s">
        <v>1180</v>
      </c>
      <c r="AL27" t="s">
        <v>1180</v>
      </c>
      <c r="AU27" t="s">
        <v>1180</v>
      </c>
      <c r="BD27" t="s">
        <v>1180</v>
      </c>
      <c r="BM27" t="s">
        <v>1180</v>
      </c>
      <c r="BV27" t="s">
        <v>1180</v>
      </c>
      <c r="CE27" t="s">
        <v>1180</v>
      </c>
      <c r="CN27" t="s">
        <v>1180</v>
      </c>
      <c r="CW27" t="s">
        <v>1180</v>
      </c>
      <c r="CX27">
        <v>80</v>
      </c>
      <c r="CY27">
        <v>90</v>
      </c>
      <c r="CZ27">
        <v>100</v>
      </c>
      <c r="DD27">
        <v>90</v>
      </c>
      <c r="DE27">
        <v>75</v>
      </c>
      <c r="DF27">
        <v>90</v>
      </c>
      <c r="DO27" t="s">
        <v>1180</v>
      </c>
      <c r="DX27" t="s">
        <v>1180</v>
      </c>
      <c r="DY27">
        <v>80</v>
      </c>
      <c r="DZ27">
        <v>89</v>
      </c>
      <c r="EE27">
        <v>85</v>
      </c>
      <c r="EG27">
        <v>84.5</v>
      </c>
      <c r="EH27">
        <v>83</v>
      </c>
      <c r="EI27">
        <v>75</v>
      </c>
      <c r="EJ27">
        <v>78</v>
      </c>
      <c r="EN27">
        <v>82</v>
      </c>
      <c r="EP27">
        <v>78.666666666666671</v>
      </c>
    </row>
    <row r="28" spans="2:146">
      <c r="B28">
        <v>23</v>
      </c>
      <c r="K28" t="s">
        <v>1180</v>
      </c>
      <c r="T28" t="s">
        <v>1180</v>
      </c>
      <c r="AC28" t="s">
        <v>1180</v>
      </c>
      <c r="AL28" t="s">
        <v>1180</v>
      </c>
      <c r="AU28" t="s">
        <v>1180</v>
      </c>
      <c r="BD28" t="s">
        <v>1180</v>
      </c>
      <c r="BM28" t="s">
        <v>1180</v>
      </c>
      <c r="BV28" t="s">
        <v>1180</v>
      </c>
      <c r="CE28" t="s">
        <v>1180</v>
      </c>
      <c r="CN28" t="s">
        <v>1180</v>
      </c>
      <c r="CW28" t="s">
        <v>1180</v>
      </c>
      <c r="CX28">
        <v>85</v>
      </c>
      <c r="CY28">
        <v>97</v>
      </c>
      <c r="CZ28">
        <v>100</v>
      </c>
      <c r="DD28">
        <v>94</v>
      </c>
      <c r="DE28">
        <v>97</v>
      </c>
      <c r="DF28">
        <v>94</v>
      </c>
      <c r="DO28" t="s">
        <v>1180</v>
      </c>
      <c r="DX28" t="s">
        <v>1180</v>
      </c>
      <c r="DY28">
        <v>95</v>
      </c>
      <c r="DZ28">
        <v>100</v>
      </c>
      <c r="EE28">
        <v>98</v>
      </c>
      <c r="EG28">
        <v>97.5</v>
      </c>
      <c r="EH28">
        <v>100</v>
      </c>
      <c r="EI28">
        <v>95</v>
      </c>
      <c r="EJ28">
        <v>100</v>
      </c>
      <c r="EN28">
        <v>98</v>
      </c>
      <c r="EP28">
        <v>98.333333333333329</v>
      </c>
    </row>
    <row r="29" spans="2:146">
      <c r="B29">
        <v>24</v>
      </c>
      <c r="K29" t="s">
        <v>1180</v>
      </c>
      <c r="T29" t="s">
        <v>1180</v>
      </c>
      <c r="AC29" t="s">
        <v>1180</v>
      </c>
      <c r="AL29" t="s">
        <v>1180</v>
      </c>
      <c r="AU29" t="s">
        <v>1180</v>
      </c>
      <c r="BD29" t="s">
        <v>1180</v>
      </c>
      <c r="BM29" t="s">
        <v>1180</v>
      </c>
      <c r="BV29" t="s">
        <v>1180</v>
      </c>
      <c r="CE29" t="s">
        <v>1180</v>
      </c>
      <c r="CN29" t="s">
        <v>1180</v>
      </c>
      <c r="CW29" t="s">
        <v>1180</v>
      </c>
      <c r="CX29">
        <v>89</v>
      </c>
      <c r="CY29">
        <v>92</v>
      </c>
      <c r="CZ29">
        <v>100</v>
      </c>
      <c r="DD29">
        <v>95</v>
      </c>
      <c r="DE29">
        <v>88</v>
      </c>
      <c r="DF29">
        <v>93.666666666666671</v>
      </c>
      <c r="DO29" t="s">
        <v>1180</v>
      </c>
      <c r="DX29" t="s">
        <v>1180</v>
      </c>
      <c r="DY29">
        <v>80</v>
      </c>
      <c r="DZ29">
        <v>87</v>
      </c>
      <c r="EE29">
        <v>84</v>
      </c>
      <c r="EG29">
        <v>83.5</v>
      </c>
      <c r="EH29">
        <v>75</v>
      </c>
      <c r="EI29">
        <v>75</v>
      </c>
      <c r="EJ29">
        <v>75</v>
      </c>
      <c r="EN29">
        <v>75</v>
      </c>
      <c r="EP29">
        <v>75</v>
      </c>
    </row>
    <row r="30" spans="2:146">
      <c r="B30">
        <v>25</v>
      </c>
      <c r="K30" t="s">
        <v>1180</v>
      </c>
      <c r="T30" t="s">
        <v>1180</v>
      </c>
      <c r="AC30" t="s">
        <v>1180</v>
      </c>
      <c r="AL30" t="s">
        <v>1180</v>
      </c>
      <c r="AU30" t="s">
        <v>1180</v>
      </c>
      <c r="BD30" t="s">
        <v>1180</v>
      </c>
      <c r="BM30" t="s">
        <v>1180</v>
      </c>
      <c r="BV30" t="s">
        <v>1180</v>
      </c>
      <c r="CE30" t="s">
        <v>1180</v>
      </c>
      <c r="CN30" t="s">
        <v>1180</v>
      </c>
      <c r="CW30" t="s">
        <v>1180</v>
      </c>
      <c r="DF30" t="s">
        <v>1180</v>
      </c>
      <c r="DO30" t="s">
        <v>1180</v>
      </c>
      <c r="DX30" t="s">
        <v>1180</v>
      </c>
      <c r="EG30" t="s">
        <v>1180</v>
      </c>
      <c r="EP30" t="s">
        <v>1180</v>
      </c>
    </row>
    <row r="31" spans="2:146">
      <c r="B31">
        <v>26</v>
      </c>
      <c r="K31" t="s">
        <v>1180</v>
      </c>
      <c r="T31" t="s">
        <v>1180</v>
      </c>
      <c r="AC31" t="s">
        <v>1180</v>
      </c>
      <c r="AL31" t="s">
        <v>1180</v>
      </c>
      <c r="AU31" t="s">
        <v>1180</v>
      </c>
      <c r="BD31" t="s">
        <v>1180</v>
      </c>
      <c r="BM31" t="s">
        <v>1180</v>
      </c>
      <c r="BV31" t="s">
        <v>1180</v>
      </c>
      <c r="CE31" t="s">
        <v>1180</v>
      </c>
      <c r="CN31" t="s">
        <v>1180</v>
      </c>
      <c r="CW31" t="s">
        <v>1180</v>
      </c>
      <c r="DF31" t="s">
        <v>1180</v>
      </c>
      <c r="DO31" t="s">
        <v>1180</v>
      </c>
      <c r="DX31" t="s">
        <v>1180</v>
      </c>
      <c r="EG31" t="s">
        <v>1180</v>
      </c>
      <c r="EP31" t="s">
        <v>1180</v>
      </c>
    </row>
    <row r="32" spans="2:146">
      <c r="B32">
        <v>27</v>
      </c>
      <c r="K32" t="s">
        <v>1180</v>
      </c>
      <c r="T32" t="s">
        <v>1180</v>
      </c>
      <c r="AC32" t="s">
        <v>1180</v>
      </c>
      <c r="AL32" t="s">
        <v>1180</v>
      </c>
      <c r="AU32" t="s">
        <v>1180</v>
      </c>
      <c r="BD32" t="s">
        <v>1180</v>
      </c>
      <c r="BM32" t="s">
        <v>1180</v>
      </c>
      <c r="BV32" t="s">
        <v>1180</v>
      </c>
      <c r="CE32" t="s">
        <v>1180</v>
      </c>
      <c r="CN32" t="s">
        <v>1180</v>
      </c>
      <c r="CW32" t="s">
        <v>1180</v>
      </c>
      <c r="DF32" t="s">
        <v>1180</v>
      </c>
      <c r="DO32" t="s">
        <v>1180</v>
      </c>
      <c r="DX32" t="s">
        <v>1180</v>
      </c>
      <c r="EG32" t="s">
        <v>1180</v>
      </c>
      <c r="EP32" t="s">
        <v>1180</v>
      </c>
    </row>
    <row r="33" spans="2:146">
      <c r="B33">
        <v>28</v>
      </c>
      <c r="K33" t="s">
        <v>1180</v>
      </c>
      <c r="T33" t="s">
        <v>1180</v>
      </c>
      <c r="AC33" t="s">
        <v>1180</v>
      </c>
      <c r="AL33" t="s">
        <v>1180</v>
      </c>
      <c r="AU33" t="s">
        <v>1180</v>
      </c>
      <c r="BD33" t="s">
        <v>1180</v>
      </c>
      <c r="BM33" t="s">
        <v>1180</v>
      </c>
      <c r="BV33" t="s">
        <v>1180</v>
      </c>
      <c r="CE33" t="s">
        <v>1180</v>
      </c>
      <c r="CN33" t="s">
        <v>1180</v>
      </c>
      <c r="CW33" t="s">
        <v>1180</v>
      </c>
      <c r="DF33" t="s">
        <v>1180</v>
      </c>
      <c r="DO33" t="s">
        <v>1180</v>
      </c>
      <c r="DX33" t="s">
        <v>1180</v>
      </c>
      <c r="EG33" t="s">
        <v>1180</v>
      </c>
      <c r="EP33" t="s">
        <v>1180</v>
      </c>
    </row>
    <row r="34" spans="2:146">
      <c r="B34">
        <v>29</v>
      </c>
      <c r="K34" t="s">
        <v>1180</v>
      </c>
      <c r="T34" t="s">
        <v>1180</v>
      </c>
      <c r="AC34" t="s">
        <v>1180</v>
      </c>
      <c r="AL34" t="s">
        <v>1180</v>
      </c>
      <c r="AU34" t="s">
        <v>1180</v>
      </c>
      <c r="BD34" t="s">
        <v>1180</v>
      </c>
      <c r="BM34" t="s">
        <v>1180</v>
      </c>
      <c r="BV34" t="s">
        <v>1180</v>
      </c>
      <c r="CE34" t="s">
        <v>1180</v>
      </c>
      <c r="CN34" t="s">
        <v>1180</v>
      </c>
      <c r="CW34" t="s">
        <v>1180</v>
      </c>
      <c r="DF34" t="s">
        <v>1180</v>
      </c>
      <c r="DO34" t="s">
        <v>1180</v>
      </c>
      <c r="DX34" t="s">
        <v>1180</v>
      </c>
      <c r="EG34" t="s">
        <v>1180</v>
      </c>
      <c r="EP34" t="s">
        <v>1180</v>
      </c>
    </row>
    <row r="35" spans="2:146">
      <c r="B35">
        <v>30</v>
      </c>
      <c r="K35" t="s">
        <v>1180</v>
      </c>
      <c r="T35" t="s">
        <v>1180</v>
      </c>
      <c r="AC35" t="s">
        <v>1180</v>
      </c>
      <c r="AL35" t="s">
        <v>1180</v>
      </c>
      <c r="AU35" t="s">
        <v>1180</v>
      </c>
      <c r="BD35" t="s">
        <v>1180</v>
      </c>
      <c r="BM35" t="s">
        <v>1180</v>
      </c>
      <c r="BV35" t="s">
        <v>1180</v>
      </c>
      <c r="CE35" t="s">
        <v>1180</v>
      </c>
      <c r="CN35" t="s">
        <v>1180</v>
      </c>
      <c r="CW35" t="s">
        <v>1180</v>
      </c>
      <c r="DF35" t="s">
        <v>1180</v>
      </c>
      <c r="DO35" t="s">
        <v>1180</v>
      </c>
      <c r="DX35" t="s">
        <v>1180</v>
      </c>
      <c r="EG35" t="s">
        <v>1180</v>
      </c>
      <c r="EP35" t="s">
        <v>1180</v>
      </c>
    </row>
  </sheetData>
  <mergeCells count="16">
    <mergeCell ref="EH4:EP4"/>
    <mergeCell ref="CO4:CW4"/>
    <mergeCell ref="CX4:DF4"/>
    <mergeCell ref="DG4:DO4"/>
    <mergeCell ref="DP4:DX4"/>
    <mergeCell ref="DY4:EG4"/>
    <mergeCell ref="AV4:BD4"/>
    <mergeCell ref="BE4:BM4"/>
    <mergeCell ref="BN4:BV4"/>
    <mergeCell ref="BW4:CE4"/>
    <mergeCell ref="CF4:CN4"/>
    <mergeCell ref="C4:K4"/>
    <mergeCell ref="L4:T4"/>
    <mergeCell ref="U4:AC4"/>
    <mergeCell ref="AD4:AL4"/>
    <mergeCell ref="AM4:AU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AJ35"/>
  <sheetViews>
    <sheetView showGridLines="0" zoomScale="85" zoomScaleNormal="85" workbookViewId="0">
      <pane ySplit="4" topLeftCell="A5" activePane="bottomLeft" state="frozen"/>
      <selection pane="bottomLeft" activeCell="D8" sqref="D8"/>
    </sheetView>
  </sheetViews>
  <sheetFormatPr defaultColWidth="0" defaultRowHeight="15" zeroHeight="1"/>
  <cols>
    <col min="1" max="1" width="16.7109375" customWidth="1"/>
    <col min="2" max="2" width="4.140625" customWidth="1"/>
    <col min="3" max="3" width="20.85546875" customWidth="1"/>
    <col min="4" max="10" width="2.7109375" customWidth="1"/>
    <col min="11" max="16" width="3.7109375" customWidth="1"/>
    <col min="17" max="19" width="3.7109375" hidden="1" customWidth="1"/>
    <col min="20" max="20" width="63.85546875" customWidth="1"/>
    <col min="21" max="21" width="4.28515625" customWidth="1"/>
    <col min="22" max="22" width="18.7109375" customWidth="1"/>
    <col min="23" max="36" width="0" hidden="1" customWidth="1"/>
    <col min="37" max="16384" width="9.140625" hidden="1"/>
  </cols>
  <sheetData>
    <row r="1" spans="1:27" ht="27.75" customHeight="1">
      <c r="A1" s="325">
        <f>INDEX(DBCATATAN!C1:R1,D1)</f>
        <v>52</v>
      </c>
      <c r="B1" s="325">
        <f>INDEX(DBCATATAN!C2:R2,D1)</f>
        <v>68</v>
      </c>
      <c r="C1" s="159" t="s">
        <v>1169</v>
      </c>
      <c r="D1" s="331">
        <v>4</v>
      </c>
      <c r="E1" s="159"/>
      <c r="F1" s="159"/>
      <c r="G1" s="159"/>
      <c r="H1" s="159"/>
      <c r="I1" s="159"/>
      <c r="J1" s="159"/>
      <c r="K1" s="159"/>
      <c r="L1" s="159"/>
      <c r="M1" s="159"/>
      <c r="N1" s="159"/>
      <c r="O1" s="159"/>
      <c r="P1" s="159"/>
      <c r="Q1" s="159"/>
      <c r="R1" s="159"/>
      <c r="S1" s="159"/>
      <c r="T1" s="323">
        <v>4</v>
      </c>
      <c r="U1" s="321"/>
      <c r="V1" s="321"/>
      <c r="W1" s="142"/>
      <c r="X1" s="142"/>
      <c r="Y1" s="160">
        <v>5</v>
      </c>
      <c r="Z1" s="142"/>
      <c r="AA1" s="142"/>
    </row>
    <row r="2" spans="1:27" ht="23.25" customHeight="1">
      <c r="A2" s="156"/>
      <c r="B2" s="791" t="s">
        <v>1187</v>
      </c>
      <c r="C2" s="791"/>
      <c r="D2" s="791"/>
      <c r="E2" s="791"/>
      <c r="F2" s="791"/>
      <c r="G2" s="791"/>
      <c r="H2" s="791"/>
      <c r="I2" s="791"/>
      <c r="J2" s="791"/>
      <c r="K2" s="791"/>
      <c r="L2" s="791"/>
      <c r="M2" s="791"/>
      <c r="N2" s="791"/>
      <c r="O2" s="791"/>
      <c r="P2" s="791"/>
      <c r="Q2" s="791"/>
      <c r="R2" s="791"/>
      <c r="S2" s="791"/>
      <c r="T2" s="791"/>
      <c r="U2" s="156"/>
      <c r="V2" s="156"/>
    </row>
    <row r="3" spans="1:27" ht="15" customHeight="1">
      <c r="A3" s="156"/>
      <c r="B3" s="792" t="s">
        <v>71</v>
      </c>
      <c r="C3" s="792" t="s">
        <v>114</v>
      </c>
      <c r="D3" s="792" t="s">
        <v>1213</v>
      </c>
      <c r="E3" s="792"/>
      <c r="F3" s="792"/>
      <c r="G3" s="792"/>
      <c r="H3" s="792"/>
      <c r="I3" s="792"/>
      <c r="J3" s="792"/>
      <c r="K3" s="792"/>
      <c r="L3" s="792"/>
      <c r="M3" s="792"/>
      <c r="N3" s="792"/>
      <c r="O3" s="792"/>
      <c r="P3" s="792"/>
      <c r="Q3" s="792"/>
      <c r="R3" s="792"/>
      <c r="S3" s="792"/>
      <c r="T3" s="792" t="s">
        <v>1186</v>
      </c>
      <c r="U3" s="156"/>
      <c r="V3" s="156"/>
    </row>
    <row r="4" spans="1:27" ht="13.5" customHeight="1">
      <c r="A4" s="156"/>
      <c r="B4" s="792"/>
      <c r="C4" s="792"/>
      <c r="D4" s="170">
        <v>1</v>
      </c>
      <c r="E4" s="170">
        <v>2</v>
      </c>
      <c r="F4" s="170">
        <v>3</v>
      </c>
      <c r="G4" s="170">
        <v>4</v>
      </c>
      <c r="H4" s="170">
        <v>5</v>
      </c>
      <c r="I4" s="170">
        <v>6</v>
      </c>
      <c r="J4" s="170">
        <v>7</v>
      </c>
      <c r="K4" s="170">
        <v>8</v>
      </c>
      <c r="L4" s="170">
        <v>9</v>
      </c>
      <c r="M4" s="170">
        <v>10</v>
      </c>
      <c r="N4" s="170">
        <v>11</v>
      </c>
      <c r="O4" s="170">
        <v>12</v>
      </c>
      <c r="P4" s="170">
        <v>13</v>
      </c>
      <c r="Q4" s="170">
        <v>14</v>
      </c>
      <c r="R4" s="170">
        <v>15</v>
      </c>
      <c r="S4" s="170">
        <v>16</v>
      </c>
      <c r="T4" s="792"/>
      <c r="U4" s="156"/>
      <c r="V4" s="156"/>
    </row>
    <row r="5" spans="1:27" ht="72" customHeight="1">
      <c r="A5" s="156"/>
      <c r="B5" s="171">
        <v>1</v>
      </c>
      <c r="C5" s="322" t="str">
        <f>DATASISWA!E8</f>
        <v>Anindita Alya Magfiroh</v>
      </c>
      <c r="D5" s="332">
        <v>82.5</v>
      </c>
      <c r="E5" s="332">
        <v>94</v>
      </c>
      <c r="F5" s="332">
        <v>80</v>
      </c>
      <c r="G5" s="332">
        <v>75</v>
      </c>
      <c r="H5" s="332">
        <v>90</v>
      </c>
      <c r="I5" s="332">
        <v>75</v>
      </c>
      <c r="J5" s="332" t="s">
        <v>1180</v>
      </c>
      <c r="K5" s="332" t="s">
        <v>1180</v>
      </c>
      <c r="L5" s="332" t="s">
        <v>1180</v>
      </c>
      <c r="M5" s="332" t="s">
        <v>1180</v>
      </c>
      <c r="N5" s="332" t="s">
        <v>1180</v>
      </c>
      <c r="O5" s="332" t="s">
        <v>1180</v>
      </c>
      <c r="P5" s="332" t="s">
        <v>1180</v>
      </c>
      <c r="Q5" s="332"/>
      <c r="R5" s="332"/>
      <c r="S5" s="332"/>
      <c r="T5" s="172" t="s">
        <v>1983</v>
      </c>
      <c r="U5" s="156"/>
      <c r="V5" s="156"/>
    </row>
    <row r="6" spans="1:27" ht="72" customHeight="1">
      <c r="A6" s="156"/>
      <c r="B6" s="171">
        <v>2</v>
      </c>
      <c r="C6" s="322" t="str">
        <f>DATASISWA!E9</f>
        <v>Annisa Zahirotus. S</v>
      </c>
      <c r="D6" s="332">
        <v>75</v>
      </c>
      <c r="E6" s="332">
        <v>89</v>
      </c>
      <c r="F6" s="332">
        <v>96.666666666666671</v>
      </c>
      <c r="G6" s="332">
        <v>100</v>
      </c>
      <c r="H6" s="332">
        <v>95</v>
      </c>
      <c r="I6" s="332">
        <v>95</v>
      </c>
      <c r="J6" s="332" t="s">
        <v>1180</v>
      </c>
      <c r="K6" s="332" t="s">
        <v>1180</v>
      </c>
      <c r="L6" s="332" t="s">
        <v>1180</v>
      </c>
      <c r="M6" s="332" t="s">
        <v>1180</v>
      </c>
      <c r="N6" s="332" t="s">
        <v>1180</v>
      </c>
      <c r="O6" s="332" t="s">
        <v>1180</v>
      </c>
      <c r="P6" s="332" t="s">
        <v>1180</v>
      </c>
      <c r="Q6" s="332"/>
      <c r="R6" s="332"/>
      <c r="S6" s="332"/>
      <c r="T6" s="172" t="s">
        <v>1982</v>
      </c>
      <c r="U6" s="156"/>
      <c r="V6" s="156"/>
    </row>
    <row r="7" spans="1:27" ht="72" customHeight="1">
      <c r="A7" s="156"/>
      <c r="B7" s="171">
        <v>3</v>
      </c>
      <c r="C7" s="322" t="str">
        <f>DATASISWA!E10</f>
        <v>A.Risky Syarifunnazal</v>
      </c>
      <c r="D7" s="332">
        <v>82.5</v>
      </c>
      <c r="E7" s="332">
        <v>91.6</v>
      </c>
      <c r="F7" s="332">
        <v>75</v>
      </c>
      <c r="G7" s="332">
        <v>75</v>
      </c>
      <c r="H7" s="332">
        <v>75</v>
      </c>
      <c r="I7" s="332">
        <v>75</v>
      </c>
      <c r="J7" s="332" t="s">
        <v>1180</v>
      </c>
      <c r="K7" s="332" t="s">
        <v>1180</v>
      </c>
      <c r="L7" s="332" t="s">
        <v>1180</v>
      </c>
      <c r="M7" s="332" t="s">
        <v>1180</v>
      </c>
      <c r="N7" s="332" t="s">
        <v>1180</v>
      </c>
      <c r="O7" s="332" t="s">
        <v>1180</v>
      </c>
      <c r="P7" s="332" t="s">
        <v>1180</v>
      </c>
      <c r="Q7" s="332"/>
      <c r="R7" s="332"/>
      <c r="S7" s="332"/>
      <c r="T7" s="172" t="s">
        <v>1983</v>
      </c>
      <c r="U7" s="156"/>
      <c r="V7" s="156"/>
    </row>
    <row r="8" spans="1:27" ht="72" customHeight="1">
      <c r="A8" s="156"/>
      <c r="B8" s="171">
        <v>4</v>
      </c>
      <c r="C8" s="322" t="str">
        <f>DATASISWA!E11</f>
        <v>Aliya Noura K</v>
      </c>
      <c r="D8" s="332">
        <v>82.5</v>
      </c>
      <c r="E8" s="332">
        <v>93</v>
      </c>
      <c r="F8" s="332">
        <v>81</v>
      </c>
      <c r="G8" s="332">
        <v>75</v>
      </c>
      <c r="H8" s="332">
        <v>90</v>
      </c>
      <c r="I8" s="332">
        <v>78</v>
      </c>
      <c r="J8" s="332" t="s">
        <v>1180</v>
      </c>
      <c r="K8" s="332" t="s">
        <v>1180</v>
      </c>
      <c r="L8" s="332" t="s">
        <v>1180</v>
      </c>
      <c r="M8" s="332" t="s">
        <v>1180</v>
      </c>
      <c r="N8" s="332" t="s">
        <v>1180</v>
      </c>
      <c r="O8" s="332" t="s">
        <v>1180</v>
      </c>
      <c r="P8" s="332" t="s">
        <v>1180</v>
      </c>
      <c r="Q8" s="332"/>
      <c r="R8" s="332"/>
      <c r="S8" s="332"/>
      <c r="T8" s="172" t="s">
        <v>1983</v>
      </c>
      <c r="U8" s="156"/>
      <c r="V8" s="156"/>
    </row>
    <row r="9" spans="1:27" ht="72" customHeight="1">
      <c r="A9" s="156"/>
      <c r="B9" s="171">
        <v>5</v>
      </c>
      <c r="C9" s="322" t="str">
        <f>DATASISWA!E12</f>
        <v>Alifia Resya Putri Ramadhani</v>
      </c>
      <c r="D9" s="332">
        <v>86.5</v>
      </c>
      <c r="E9" s="332">
        <v>92</v>
      </c>
      <c r="F9" s="332">
        <v>89</v>
      </c>
      <c r="G9" s="332">
        <v>92</v>
      </c>
      <c r="H9" s="332">
        <v>100</v>
      </c>
      <c r="I9" s="332">
        <v>75</v>
      </c>
      <c r="J9" s="332" t="s">
        <v>1180</v>
      </c>
      <c r="K9" s="332" t="s">
        <v>1180</v>
      </c>
      <c r="L9" s="332" t="s">
        <v>1180</v>
      </c>
      <c r="M9" s="332" t="s">
        <v>1180</v>
      </c>
      <c r="N9" s="332" t="s">
        <v>1180</v>
      </c>
      <c r="O9" s="332" t="s">
        <v>1180</v>
      </c>
      <c r="P9" s="332" t="s">
        <v>1180</v>
      </c>
      <c r="Q9" s="332"/>
      <c r="R9" s="332"/>
      <c r="S9" s="332"/>
      <c r="T9" s="172"/>
      <c r="U9" s="156"/>
      <c r="V9" s="156"/>
    </row>
    <row r="10" spans="1:27" ht="72" customHeight="1">
      <c r="A10" s="156"/>
      <c r="B10" s="171">
        <v>6</v>
      </c>
      <c r="C10" s="322" t="str">
        <f>DATASISWA!E13</f>
        <v>Fadhil Rahman</v>
      </c>
      <c r="D10" s="332">
        <v>100</v>
      </c>
      <c r="E10" s="332">
        <v>95.8</v>
      </c>
      <c r="F10" s="332">
        <v>97.666666666666671</v>
      </c>
      <c r="G10" s="332">
        <v>98</v>
      </c>
      <c r="H10" s="332">
        <v>100</v>
      </c>
      <c r="I10" s="332">
        <v>95</v>
      </c>
      <c r="J10" s="332" t="s">
        <v>1180</v>
      </c>
      <c r="K10" s="332" t="s">
        <v>1180</v>
      </c>
      <c r="L10" s="332" t="s">
        <v>1180</v>
      </c>
      <c r="M10" s="332" t="s">
        <v>1180</v>
      </c>
      <c r="N10" s="332" t="s">
        <v>1180</v>
      </c>
      <c r="O10" s="332" t="s">
        <v>1180</v>
      </c>
      <c r="P10" s="332" t="s">
        <v>1180</v>
      </c>
      <c r="Q10" s="332"/>
      <c r="R10" s="332"/>
      <c r="S10" s="332"/>
      <c r="T10" s="172" t="s">
        <v>1984</v>
      </c>
      <c r="U10" s="156"/>
      <c r="V10" s="156"/>
    </row>
    <row r="11" spans="1:27" ht="72" customHeight="1">
      <c r="A11" s="156"/>
      <c r="B11" s="171">
        <v>7</v>
      </c>
      <c r="C11" s="322" t="str">
        <f>DATASISWA!E14</f>
        <v>Griffin Uefa Syam Sabrin</v>
      </c>
      <c r="D11" s="332">
        <v>91</v>
      </c>
      <c r="E11" s="332">
        <v>95.6</v>
      </c>
      <c r="F11" s="332">
        <v>88.333333333333329</v>
      </c>
      <c r="G11" s="332">
        <v>100</v>
      </c>
      <c r="H11" s="332">
        <v>90</v>
      </c>
      <c r="I11" s="332">
        <v>75</v>
      </c>
      <c r="J11" s="332" t="s">
        <v>1180</v>
      </c>
      <c r="K11" s="332" t="s">
        <v>1180</v>
      </c>
      <c r="L11" s="332" t="s">
        <v>1180</v>
      </c>
      <c r="M11" s="332" t="s">
        <v>1180</v>
      </c>
      <c r="N11" s="332" t="s">
        <v>1180</v>
      </c>
      <c r="O11" s="332" t="s">
        <v>1180</v>
      </c>
      <c r="P11" s="332" t="s">
        <v>1180</v>
      </c>
      <c r="Q11" s="332"/>
      <c r="R11" s="332"/>
      <c r="S11" s="332"/>
      <c r="T11" s="172"/>
      <c r="U11" s="156"/>
      <c r="V11" s="156"/>
    </row>
    <row r="12" spans="1:27" ht="72" customHeight="1">
      <c r="A12" s="156"/>
      <c r="B12" s="171">
        <v>8</v>
      </c>
      <c r="C12" s="322" t="str">
        <f>DATASISWA!E15</f>
        <v>Khoiriya Uzlivatul Jannah</v>
      </c>
      <c r="D12" s="332">
        <v>80</v>
      </c>
      <c r="E12" s="332">
        <v>99</v>
      </c>
      <c r="F12" s="332">
        <v>88.333333333333329</v>
      </c>
      <c r="G12" s="332">
        <v>85</v>
      </c>
      <c r="H12" s="332">
        <v>95</v>
      </c>
      <c r="I12" s="332">
        <v>85</v>
      </c>
      <c r="J12" s="332" t="s">
        <v>1180</v>
      </c>
      <c r="K12" s="332" t="s">
        <v>1180</v>
      </c>
      <c r="L12" s="332" t="s">
        <v>1180</v>
      </c>
      <c r="M12" s="332" t="s">
        <v>1180</v>
      </c>
      <c r="N12" s="332" t="s">
        <v>1180</v>
      </c>
      <c r="O12" s="332" t="s">
        <v>1180</v>
      </c>
      <c r="P12" s="332" t="s">
        <v>1180</v>
      </c>
      <c r="Q12" s="332"/>
      <c r="R12" s="332"/>
      <c r="S12" s="332"/>
      <c r="T12" s="172"/>
      <c r="U12" s="156"/>
      <c r="V12" s="156"/>
    </row>
    <row r="13" spans="1:27" ht="72" customHeight="1">
      <c r="A13" s="156"/>
      <c r="B13" s="171">
        <v>9</v>
      </c>
      <c r="C13" s="322" t="str">
        <f>DATASISWA!E16</f>
        <v>Nazlia Azelea Tiarany</v>
      </c>
      <c r="D13" s="332">
        <v>77.5</v>
      </c>
      <c r="E13" s="332">
        <v>93.2</v>
      </c>
      <c r="F13" s="332">
        <v>85</v>
      </c>
      <c r="G13" s="332">
        <v>85</v>
      </c>
      <c r="H13" s="332">
        <v>95</v>
      </c>
      <c r="I13" s="332">
        <v>75</v>
      </c>
      <c r="J13" s="332" t="s">
        <v>1180</v>
      </c>
      <c r="K13" s="332" t="s">
        <v>1180</v>
      </c>
      <c r="L13" s="332" t="s">
        <v>1180</v>
      </c>
      <c r="M13" s="332" t="s">
        <v>1180</v>
      </c>
      <c r="N13" s="332" t="s">
        <v>1180</v>
      </c>
      <c r="O13" s="332" t="s">
        <v>1180</v>
      </c>
      <c r="P13" s="332" t="s">
        <v>1180</v>
      </c>
      <c r="Q13" s="332"/>
      <c r="R13" s="332"/>
      <c r="S13" s="332"/>
      <c r="T13" s="172"/>
      <c r="U13" s="156"/>
      <c r="V13" s="156"/>
    </row>
    <row r="14" spans="1:27" ht="72" customHeight="1">
      <c r="A14" s="156"/>
      <c r="B14" s="171">
        <v>10</v>
      </c>
      <c r="C14" s="322" t="str">
        <f>DATASISWA!E17</f>
        <v>Nero Alvind Nur Pratama</v>
      </c>
      <c r="D14" s="332">
        <v>97.5</v>
      </c>
      <c r="E14" s="332">
        <v>90</v>
      </c>
      <c r="F14" s="332">
        <v>89.333333333333329</v>
      </c>
      <c r="G14" s="332">
        <v>90</v>
      </c>
      <c r="H14" s="332">
        <v>100</v>
      </c>
      <c r="I14" s="332">
        <v>78</v>
      </c>
      <c r="J14" s="332" t="s">
        <v>1180</v>
      </c>
      <c r="K14" s="332" t="s">
        <v>1180</v>
      </c>
      <c r="L14" s="332" t="s">
        <v>1180</v>
      </c>
      <c r="M14" s="332" t="s">
        <v>1180</v>
      </c>
      <c r="N14" s="332" t="s">
        <v>1180</v>
      </c>
      <c r="O14" s="332" t="s">
        <v>1180</v>
      </c>
      <c r="P14" s="332" t="s">
        <v>1180</v>
      </c>
      <c r="Q14" s="332"/>
      <c r="R14" s="332"/>
      <c r="S14" s="332"/>
      <c r="T14" s="172"/>
      <c r="U14" s="156"/>
      <c r="V14" s="156"/>
    </row>
    <row r="15" spans="1:27" ht="72" customHeight="1">
      <c r="A15" s="156"/>
      <c r="B15" s="171">
        <v>11</v>
      </c>
      <c r="C15" s="322" t="str">
        <f>DATASISWA!E18</f>
        <v>Prischa al maira rozida</v>
      </c>
      <c r="D15" s="332">
        <v>87.5</v>
      </c>
      <c r="E15" s="332">
        <v>93.4</v>
      </c>
      <c r="F15" s="332">
        <v>83.333333333333329</v>
      </c>
      <c r="G15" s="332">
        <v>75</v>
      </c>
      <c r="H15" s="332">
        <v>100</v>
      </c>
      <c r="I15" s="332">
        <v>75</v>
      </c>
      <c r="J15" s="332" t="s">
        <v>1180</v>
      </c>
      <c r="K15" s="332" t="s">
        <v>1180</v>
      </c>
      <c r="L15" s="332" t="s">
        <v>1180</v>
      </c>
      <c r="M15" s="332" t="s">
        <v>1180</v>
      </c>
      <c r="N15" s="332" t="s">
        <v>1180</v>
      </c>
      <c r="O15" s="332" t="s">
        <v>1180</v>
      </c>
      <c r="P15" s="332" t="s">
        <v>1180</v>
      </c>
      <c r="Q15" s="332"/>
      <c r="R15" s="332"/>
      <c r="S15" s="332"/>
      <c r="T15" s="172"/>
      <c r="U15" s="156"/>
      <c r="V15" s="156"/>
    </row>
    <row r="16" spans="1:27" ht="72" customHeight="1">
      <c r="A16" s="156"/>
      <c r="B16" s="171">
        <v>12</v>
      </c>
      <c r="C16" s="322" t="str">
        <f>DATASISWA!E19</f>
        <v>Qonita Aulia Nashiroh</v>
      </c>
      <c r="D16" s="332">
        <v>92.5</v>
      </c>
      <c r="E16" s="332">
        <v>98</v>
      </c>
      <c r="F16" s="332">
        <v>85</v>
      </c>
      <c r="G16" s="332">
        <v>85</v>
      </c>
      <c r="H16" s="332">
        <v>100</v>
      </c>
      <c r="I16" s="332">
        <v>70</v>
      </c>
      <c r="J16" s="332" t="s">
        <v>1180</v>
      </c>
      <c r="K16" s="332" t="s">
        <v>1180</v>
      </c>
      <c r="L16" s="332" t="s">
        <v>1180</v>
      </c>
      <c r="M16" s="332" t="s">
        <v>1180</v>
      </c>
      <c r="N16" s="332" t="s">
        <v>1180</v>
      </c>
      <c r="O16" s="332" t="s">
        <v>1180</v>
      </c>
      <c r="P16" s="332" t="s">
        <v>1180</v>
      </c>
      <c r="Q16" s="332"/>
      <c r="R16" s="332"/>
      <c r="S16" s="332"/>
      <c r="T16" s="172"/>
      <c r="U16" s="156"/>
      <c r="V16" s="156"/>
    </row>
    <row r="17" spans="1:22" ht="72" customHeight="1">
      <c r="A17" s="156"/>
      <c r="B17" s="171">
        <v>13</v>
      </c>
      <c r="C17" s="322" t="str">
        <f>DATASISWA!E20</f>
        <v>Diajeng Pradnya Paramita</v>
      </c>
      <c r="D17" s="332">
        <v>87.5</v>
      </c>
      <c r="E17" s="332">
        <v>96.4</v>
      </c>
      <c r="F17" s="332">
        <v>90</v>
      </c>
      <c r="G17" s="332">
        <v>90</v>
      </c>
      <c r="H17" s="332">
        <v>95</v>
      </c>
      <c r="I17" s="332">
        <v>85</v>
      </c>
      <c r="J17" s="332" t="s">
        <v>1180</v>
      </c>
      <c r="K17" s="332" t="s">
        <v>1180</v>
      </c>
      <c r="L17" s="332" t="s">
        <v>1180</v>
      </c>
      <c r="M17" s="332" t="s">
        <v>1180</v>
      </c>
      <c r="N17" s="332" t="s">
        <v>1180</v>
      </c>
      <c r="O17" s="332" t="s">
        <v>1180</v>
      </c>
      <c r="P17" s="332" t="s">
        <v>1180</v>
      </c>
      <c r="Q17" s="332"/>
      <c r="R17" s="332"/>
      <c r="S17" s="332"/>
      <c r="T17" s="172"/>
      <c r="U17" s="156"/>
      <c r="V17" s="156"/>
    </row>
    <row r="18" spans="1:22" ht="72" customHeight="1">
      <c r="A18" s="156"/>
      <c r="B18" s="171">
        <v>14</v>
      </c>
      <c r="C18" s="322" t="str">
        <f>DATASISWA!E21</f>
        <v>Moch. Radit Danu Arta</v>
      </c>
      <c r="D18" s="332">
        <v>82.5</v>
      </c>
      <c r="E18" s="332">
        <v>75</v>
      </c>
      <c r="F18" s="332">
        <v>81.666666666666671</v>
      </c>
      <c r="G18" s="332">
        <v>95</v>
      </c>
      <c r="H18" s="332">
        <v>90</v>
      </c>
      <c r="I18" s="332">
        <v>60</v>
      </c>
      <c r="J18" s="332" t="s">
        <v>1180</v>
      </c>
      <c r="K18" s="332" t="s">
        <v>1180</v>
      </c>
      <c r="L18" s="332" t="s">
        <v>1180</v>
      </c>
      <c r="M18" s="332" t="s">
        <v>1180</v>
      </c>
      <c r="N18" s="332" t="s">
        <v>1180</v>
      </c>
      <c r="O18" s="332" t="s">
        <v>1180</v>
      </c>
      <c r="P18" s="332" t="s">
        <v>1180</v>
      </c>
      <c r="Q18" s="332"/>
      <c r="R18" s="332"/>
      <c r="S18" s="332"/>
      <c r="T18" s="172"/>
      <c r="U18" s="156"/>
      <c r="V18" s="156"/>
    </row>
    <row r="19" spans="1:22" ht="72" customHeight="1">
      <c r="A19" s="156"/>
      <c r="B19" s="171">
        <v>15</v>
      </c>
      <c r="C19" s="322" t="str">
        <f>DATASISWA!E22</f>
        <v>Titania Angelina Saputri</v>
      </c>
      <c r="D19" s="332">
        <v>90</v>
      </c>
      <c r="E19" s="332">
        <v>78</v>
      </c>
      <c r="F19" s="332">
        <v>80</v>
      </c>
      <c r="G19" s="332">
        <v>85</v>
      </c>
      <c r="H19" s="332">
        <v>80</v>
      </c>
      <c r="I19" s="332">
        <v>75</v>
      </c>
      <c r="J19" s="332" t="s">
        <v>1180</v>
      </c>
      <c r="K19" s="332" t="s">
        <v>1180</v>
      </c>
      <c r="L19" s="332" t="s">
        <v>1180</v>
      </c>
      <c r="M19" s="332" t="s">
        <v>1180</v>
      </c>
      <c r="N19" s="332" t="s">
        <v>1180</v>
      </c>
      <c r="O19" s="332" t="s">
        <v>1180</v>
      </c>
      <c r="P19" s="332" t="s">
        <v>1180</v>
      </c>
      <c r="Q19" s="332"/>
      <c r="R19" s="332"/>
      <c r="S19" s="332"/>
      <c r="T19" s="172"/>
      <c r="U19" s="156"/>
      <c r="V19" s="156"/>
    </row>
    <row r="20" spans="1:22" ht="72" customHeight="1">
      <c r="A20" s="156"/>
      <c r="B20" s="171">
        <v>16</v>
      </c>
      <c r="C20" s="322">
        <f>DATASISWA!E23</f>
        <v>0</v>
      </c>
      <c r="D20" s="332">
        <v>82.5</v>
      </c>
      <c r="E20" s="332">
        <v>89</v>
      </c>
      <c r="F20" s="332">
        <v>76.666666666666671</v>
      </c>
      <c r="G20" s="332">
        <v>75</v>
      </c>
      <c r="H20" s="332">
        <v>85</v>
      </c>
      <c r="I20" s="332">
        <v>70</v>
      </c>
      <c r="J20" s="332" t="s">
        <v>1180</v>
      </c>
      <c r="K20" s="332" t="s">
        <v>1180</v>
      </c>
      <c r="L20" s="332" t="s">
        <v>1180</v>
      </c>
      <c r="M20" s="332" t="s">
        <v>1180</v>
      </c>
      <c r="N20" s="332" t="s">
        <v>1180</v>
      </c>
      <c r="O20" s="332" t="s">
        <v>1180</v>
      </c>
      <c r="P20" s="332" t="s">
        <v>1180</v>
      </c>
      <c r="Q20" s="332"/>
      <c r="R20" s="332"/>
      <c r="S20" s="332"/>
      <c r="T20" s="172"/>
      <c r="U20" s="156"/>
      <c r="V20" s="156"/>
    </row>
    <row r="21" spans="1:22" ht="72" customHeight="1">
      <c r="A21" s="156"/>
      <c r="B21" s="171">
        <v>17</v>
      </c>
      <c r="C21" s="322">
        <f>DATASISWA!E24</f>
        <v>0</v>
      </c>
      <c r="D21" s="332">
        <v>100</v>
      </c>
      <c r="E21" s="332">
        <v>96</v>
      </c>
      <c r="F21" s="332">
        <v>94.333333333333329</v>
      </c>
      <c r="G21" s="332">
        <v>98</v>
      </c>
      <c r="H21" s="332">
        <v>100</v>
      </c>
      <c r="I21" s="332">
        <v>85</v>
      </c>
      <c r="J21" s="332" t="s">
        <v>1180</v>
      </c>
      <c r="K21" s="332" t="s">
        <v>1180</v>
      </c>
      <c r="L21" s="332" t="s">
        <v>1180</v>
      </c>
      <c r="M21" s="332" t="s">
        <v>1180</v>
      </c>
      <c r="N21" s="332" t="s">
        <v>1180</v>
      </c>
      <c r="O21" s="332" t="s">
        <v>1180</v>
      </c>
      <c r="P21" s="332" t="s">
        <v>1180</v>
      </c>
      <c r="Q21" s="332"/>
      <c r="R21" s="332"/>
      <c r="S21" s="332"/>
      <c r="T21" s="172" t="s">
        <v>1981</v>
      </c>
      <c r="U21" s="156"/>
      <c r="V21" s="156"/>
    </row>
    <row r="22" spans="1:22" ht="72" customHeight="1">
      <c r="A22" s="156"/>
      <c r="B22" s="171">
        <v>18</v>
      </c>
      <c r="C22" s="322">
        <f>DATASISWA!E25</f>
        <v>0</v>
      </c>
      <c r="D22" s="332">
        <v>99</v>
      </c>
      <c r="E22" s="332">
        <v>92.8</v>
      </c>
      <c r="F22" s="332">
        <v>80</v>
      </c>
      <c r="G22" s="332">
        <v>90</v>
      </c>
      <c r="H22" s="332">
        <v>75</v>
      </c>
      <c r="I22" s="332">
        <v>75</v>
      </c>
      <c r="J22" s="332" t="s">
        <v>1180</v>
      </c>
      <c r="K22" s="332" t="s">
        <v>1180</v>
      </c>
      <c r="L22" s="332" t="s">
        <v>1180</v>
      </c>
      <c r="M22" s="332" t="s">
        <v>1180</v>
      </c>
      <c r="N22" s="332" t="s">
        <v>1180</v>
      </c>
      <c r="O22" s="332" t="s">
        <v>1180</v>
      </c>
      <c r="P22" s="332" t="s">
        <v>1180</v>
      </c>
      <c r="Q22" s="332"/>
      <c r="R22" s="332"/>
      <c r="S22" s="332"/>
      <c r="T22" s="172"/>
      <c r="U22" s="156"/>
      <c r="V22" s="156"/>
    </row>
    <row r="23" spans="1:22" ht="72" customHeight="1">
      <c r="A23" s="156"/>
      <c r="B23" s="171">
        <v>19</v>
      </c>
      <c r="C23" s="322">
        <f>DATASISWA!E26</f>
        <v>0</v>
      </c>
      <c r="D23" s="332">
        <v>82.5</v>
      </c>
      <c r="E23" s="332">
        <v>86.4</v>
      </c>
      <c r="F23" s="332">
        <v>78.333333333333329</v>
      </c>
      <c r="G23" s="332">
        <v>85</v>
      </c>
      <c r="H23" s="332">
        <v>75</v>
      </c>
      <c r="I23" s="332">
        <v>75</v>
      </c>
      <c r="J23" s="332" t="s">
        <v>1180</v>
      </c>
      <c r="K23" s="332" t="s">
        <v>1180</v>
      </c>
      <c r="L23" s="332" t="s">
        <v>1180</v>
      </c>
      <c r="M23" s="332" t="s">
        <v>1180</v>
      </c>
      <c r="N23" s="332" t="s">
        <v>1180</v>
      </c>
      <c r="O23" s="332" t="s">
        <v>1180</v>
      </c>
      <c r="P23" s="332" t="s">
        <v>1180</v>
      </c>
      <c r="Q23" s="332"/>
      <c r="R23" s="332"/>
      <c r="S23" s="332"/>
      <c r="T23" s="172"/>
      <c r="U23" s="156"/>
      <c r="V23" s="156"/>
    </row>
    <row r="24" spans="1:22" ht="72" customHeight="1">
      <c r="A24" s="156"/>
      <c r="B24" s="171">
        <v>20</v>
      </c>
      <c r="C24" s="322">
        <f>DATASISWA!E27</f>
        <v>0</v>
      </c>
      <c r="D24" s="332">
        <v>80</v>
      </c>
      <c r="E24" s="332">
        <v>76</v>
      </c>
      <c r="F24" s="332">
        <v>80</v>
      </c>
      <c r="G24" s="332">
        <v>85</v>
      </c>
      <c r="H24" s="332">
        <v>80</v>
      </c>
      <c r="I24" s="332">
        <v>75</v>
      </c>
      <c r="J24" s="332" t="s">
        <v>1180</v>
      </c>
      <c r="K24" s="332" t="s">
        <v>1180</v>
      </c>
      <c r="L24" s="332" t="s">
        <v>1180</v>
      </c>
      <c r="M24" s="332" t="s">
        <v>1180</v>
      </c>
      <c r="N24" s="332" t="s">
        <v>1180</v>
      </c>
      <c r="O24" s="332" t="s">
        <v>1180</v>
      </c>
      <c r="P24" s="332" t="s">
        <v>1180</v>
      </c>
      <c r="Q24" s="332"/>
      <c r="R24" s="332"/>
      <c r="S24" s="332"/>
      <c r="T24" s="172"/>
      <c r="U24" s="156"/>
      <c r="V24" s="156"/>
    </row>
    <row r="25" spans="1:22" ht="72" customHeight="1">
      <c r="A25" s="156"/>
      <c r="B25" s="171">
        <v>21</v>
      </c>
      <c r="C25" s="322">
        <f>DATASISWA!E28</f>
        <v>0</v>
      </c>
      <c r="D25" s="332">
        <v>95</v>
      </c>
      <c r="E25" s="332">
        <v>94</v>
      </c>
      <c r="F25" s="332">
        <v>86.666666666666671</v>
      </c>
      <c r="G25" s="332">
        <v>80</v>
      </c>
      <c r="H25" s="332">
        <v>100</v>
      </c>
      <c r="I25" s="332">
        <v>80</v>
      </c>
      <c r="J25" s="332" t="s">
        <v>1180</v>
      </c>
      <c r="K25" s="332" t="s">
        <v>1180</v>
      </c>
      <c r="L25" s="332" t="s">
        <v>1180</v>
      </c>
      <c r="M25" s="332" t="s">
        <v>1180</v>
      </c>
      <c r="N25" s="332" t="s">
        <v>1180</v>
      </c>
      <c r="O25" s="332" t="s">
        <v>1180</v>
      </c>
      <c r="P25" s="332" t="s">
        <v>1180</v>
      </c>
      <c r="Q25" s="332"/>
      <c r="R25" s="332"/>
      <c r="S25" s="332"/>
      <c r="T25" s="172"/>
      <c r="U25" s="156"/>
      <c r="V25" s="156"/>
    </row>
    <row r="26" spans="1:22" ht="72" customHeight="1">
      <c r="A26" s="156"/>
      <c r="B26" s="171">
        <v>22</v>
      </c>
      <c r="C26" s="322">
        <f>DATASISWA!E29</f>
        <v>0</v>
      </c>
      <c r="D26" s="332">
        <v>82.5</v>
      </c>
      <c r="E26" s="332">
        <v>90</v>
      </c>
      <c r="F26" s="332">
        <v>89</v>
      </c>
      <c r="G26" s="332">
        <v>92</v>
      </c>
      <c r="H26" s="332">
        <v>95</v>
      </c>
      <c r="I26" s="332">
        <v>80</v>
      </c>
      <c r="J26" s="332" t="s">
        <v>1180</v>
      </c>
      <c r="K26" s="332" t="s">
        <v>1180</v>
      </c>
      <c r="L26" s="332" t="s">
        <v>1180</v>
      </c>
      <c r="M26" s="332" t="s">
        <v>1180</v>
      </c>
      <c r="N26" s="332" t="s">
        <v>1180</v>
      </c>
      <c r="O26" s="332" t="s">
        <v>1180</v>
      </c>
      <c r="P26" s="332" t="s">
        <v>1180</v>
      </c>
      <c r="Q26" s="332"/>
      <c r="R26" s="332"/>
      <c r="S26" s="332"/>
      <c r="T26" s="172"/>
      <c r="U26" s="156"/>
      <c r="V26" s="156"/>
    </row>
    <row r="27" spans="1:22" ht="72" customHeight="1">
      <c r="A27" s="156"/>
      <c r="B27" s="171">
        <v>23</v>
      </c>
      <c r="C27" s="322">
        <f>DATASISWA!E30</f>
        <v>0</v>
      </c>
      <c r="D27" s="332">
        <v>75</v>
      </c>
      <c r="E27" s="332">
        <v>85.6</v>
      </c>
      <c r="F27" s="332">
        <v>90</v>
      </c>
      <c r="G27" s="332">
        <v>95</v>
      </c>
      <c r="H27" s="332">
        <v>100</v>
      </c>
      <c r="I27" s="332">
        <v>75</v>
      </c>
      <c r="J27" s="332" t="s">
        <v>1180</v>
      </c>
      <c r="K27" s="332" t="s">
        <v>1180</v>
      </c>
      <c r="L27" s="332" t="s">
        <v>1180</v>
      </c>
      <c r="M27" s="332" t="s">
        <v>1180</v>
      </c>
      <c r="N27" s="332" t="s">
        <v>1180</v>
      </c>
      <c r="O27" s="332" t="s">
        <v>1180</v>
      </c>
      <c r="P27" s="332" t="s">
        <v>1180</v>
      </c>
      <c r="Q27" s="332"/>
      <c r="R27" s="332"/>
      <c r="S27" s="332"/>
      <c r="T27" s="172"/>
      <c r="U27" s="156"/>
      <c r="V27" s="156"/>
    </row>
    <row r="28" spans="1:22" ht="72" customHeight="1">
      <c r="A28" s="156"/>
      <c r="B28" s="171">
        <v>24</v>
      </c>
      <c r="C28" s="322">
        <f>DATASISWA!E31</f>
        <v>0</v>
      </c>
      <c r="D28" s="332">
        <v>89</v>
      </c>
      <c r="E28" s="332">
        <v>83</v>
      </c>
      <c r="F28" s="332">
        <v>75</v>
      </c>
      <c r="G28" s="332">
        <v>75</v>
      </c>
      <c r="H28" s="332">
        <v>80</v>
      </c>
      <c r="I28" s="332">
        <v>88</v>
      </c>
      <c r="J28" s="332">
        <v>85</v>
      </c>
      <c r="K28" s="332">
        <v>80</v>
      </c>
      <c r="L28" s="332" t="s">
        <v>1180</v>
      </c>
      <c r="M28" s="332" t="s">
        <v>1180</v>
      </c>
      <c r="N28" s="332" t="s">
        <v>1180</v>
      </c>
      <c r="O28" s="332" t="s">
        <v>1180</v>
      </c>
      <c r="P28" s="332" t="s">
        <v>1180</v>
      </c>
      <c r="Q28" s="332"/>
      <c r="R28" s="332"/>
      <c r="S28" s="332"/>
      <c r="T28" s="172"/>
      <c r="U28" s="156"/>
      <c r="V28" s="156"/>
    </row>
    <row r="29" spans="1:22" ht="72" customHeight="1">
      <c r="A29" s="156"/>
      <c r="B29" s="171">
        <v>25</v>
      </c>
      <c r="C29" s="322">
        <f>DATASISWA!E32</f>
        <v>0</v>
      </c>
      <c r="D29" s="332" t="s">
        <v>1180</v>
      </c>
      <c r="E29" s="332" t="s">
        <v>1180</v>
      </c>
      <c r="F29" s="332" t="s">
        <v>1180</v>
      </c>
      <c r="G29" s="332" t="s">
        <v>1180</v>
      </c>
      <c r="H29" s="332" t="s">
        <v>1180</v>
      </c>
      <c r="I29" s="332" t="s">
        <v>1180</v>
      </c>
      <c r="J29" s="332" t="s">
        <v>1180</v>
      </c>
      <c r="K29" s="332" t="s">
        <v>1180</v>
      </c>
      <c r="L29" s="332" t="s">
        <v>1180</v>
      </c>
      <c r="M29" s="332" t="s">
        <v>1180</v>
      </c>
      <c r="N29" s="332" t="s">
        <v>1180</v>
      </c>
      <c r="O29" s="332" t="s">
        <v>1180</v>
      </c>
      <c r="P29" s="332" t="s">
        <v>1180</v>
      </c>
      <c r="Q29" s="332"/>
      <c r="R29" s="332"/>
      <c r="S29" s="332"/>
      <c r="T29" s="172"/>
      <c r="U29" s="156"/>
      <c r="V29" s="156"/>
    </row>
    <row r="30" spans="1:22" ht="72" customHeight="1">
      <c r="A30" s="156"/>
      <c r="B30" s="171">
        <v>26</v>
      </c>
      <c r="C30" s="322">
        <f>DATASISWA!E33</f>
        <v>0</v>
      </c>
      <c r="D30" s="332" t="s">
        <v>1180</v>
      </c>
      <c r="E30" s="332" t="s">
        <v>1180</v>
      </c>
      <c r="F30" s="332" t="s">
        <v>1180</v>
      </c>
      <c r="G30" s="332" t="s">
        <v>1180</v>
      </c>
      <c r="H30" s="332" t="s">
        <v>1180</v>
      </c>
      <c r="I30" s="332" t="s">
        <v>1180</v>
      </c>
      <c r="J30" s="332" t="s">
        <v>1180</v>
      </c>
      <c r="K30" s="332" t="s">
        <v>1180</v>
      </c>
      <c r="L30" s="332" t="s">
        <v>1180</v>
      </c>
      <c r="M30" s="332" t="s">
        <v>1180</v>
      </c>
      <c r="N30" s="332" t="s">
        <v>1180</v>
      </c>
      <c r="O30" s="332" t="s">
        <v>1180</v>
      </c>
      <c r="P30" s="332" t="s">
        <v>1180</v>
      </c>
      <c r="Q30" s="332"/>
      <c r="R30" s="332"/>
      <c r="S30" s="332"/>
      <c r="T30" s="172"/>
      <c r="U30" s="156"/>
      <c r="V30" s="156"/>
    </row>
    <row r="31" spans="1:22" ht="72" customHeight="1">
      <c r="A31" s="156"/>
      <c r="B31" s="171">
        <v>27</v>
      </c>
      <c r="C31" s="322">
        <f>DATASISWA!E34</f>
        <v>0</v>
      </c>
      <c r="D31" s="332" t="s">
        <v>1180</v>
      </c>
      <c r="E31" s="332" t="s">
        <v>1180</v>
      </c>
      <c r="F31" s="332" t="s">
        <v>1180</v>
      </c>
      <c r="G31" s="332" t="s">
        <v>1180</v>
      </c>
      <c r="H31" s="332" t="s">
        <v>1180</v>
      </c>
      <c r="I31" s="332" t="s">
        <v>1180</v>
      </c>
      <c r="J31" s="332" t="s">
        <v>1180</v>
      </c>
      <c r="K31" s="332" t="s">
        <v>1180</v>
      </c>
      <c r="L31" s="332" t="s">
        <v>1180</v>
      </c>
      <c r="M31" s="332" t="s">
        <v>1180</v>
      </c>
      <c r="N31" s="332" t="s">
        <v>1180</v>
      </c>
      <c r="O31" s="332" t="s">
        <v>1180</v>
      </c>
      <c r="P31" s="332" t="s">
        <v>1180</v>
      </c>
      <c r="Q31" s="332"/>
      <c r="R31" s="332"/>
      <c r="S31" s="332"/>
      <c r="T31" s="172"/>
      <c r="U31" s="156"/>
      <c r="V31" s="156"/>
    </row>
    <row r="32" spans="1:22" ht="72" customHeight="1">
      <c r="A32" s="156"/>
      <c r="B32" s="171">
        <v>28</v>
      </c>
      <c r="C32" s="322">
        <f>DATASISWA!E35</f>
        <v>0</v>
      </c>
      <c r="D32" s="332" t="s">
        <v>1180</v>
      </c>
      <c r="E32" s="332" t="s">
        <v>1180</v>
      </c>
      <c r="F32" s="332" t="s">
        <v>1180</v>
      </c>
      <c r="G32" s="332" t="s">
        <v>1180</v>
      </c>
      <c r="H32" s="332" t="s">
        <v>1180</v>
      </c>
      <c r="I32" s="332" t="s">
        <v>1180</v>
      </c>
      <c r="J32" s="332" t="s">
        <v>1180</v>
      </c>
      <c r="K32" s="332" t="s">
        <v>1180</v>
      </c>
      <c r="L32" s="332" t="s">
        <v>1180</v>
      </c>
      <c r="M32" s="332" t="s">
        <v>1180</v>
      </c>
      <c r="N32" s="332" t="s">
        <v>1180</v>
      </c>
      <c r="O32" s="332" t="s">
        <v>1180</v>
      </c>
      <c r="P32" s="332" t="s">
        <v>1180</v>
      </c>
      <c r="Q32" s="332"/>
      <c r="R32" s="332"/>
      <c r="S32" s="332"/>
      <c r="T32" s="172"/>
      <c r="U32" s="156"/>
      <c r="V32" s="156"/>
    </row>
    <row r="33" spans="1:22" ht="72" customHeight="1">
      <c r="A33" s="156"/>
      <c r="B33" s="171">
        <v>29</v>
      </c>
      <c r="C33" s="322">
        <f>DATASISWA!E36</f>
        <v>0</v>
      </c>
      <c r="D33" s="332" t="s">
        <v>1180</v>
      </c>
      <c r="E33" s="332" t="s">
        <v>1180</v>
      </c>
      <c r="F33" s="332" t="s">
        <v>1180</v>
      </c>
      <c r="G33" s="332" t="s">
        <v>1180</v>
      </c>
      <c r="H33" s="332" t="s">
        <v>1180</v>
      </c>
      <c r="I33" s="332" t="s">
        <v>1180</v>
      </c>
      <c r="J33" s="332" t="s">
        <v>1180</v>
      </c>
      <c r="K33" s="332" t="s">
        <v>1180</v>
      </c>
      <c r="L33" s="332" t="s">
        <v>1180</v>
      </c>
      <c r="M33" s="332" t="s">
        <v>1180</v>
      </c>
      <c r="N33" s="332" t="s">
        <v>1180</v>
      </c>
      <c r="O33" s="332" t="s">
        <v>1180</v>
      </c>
      <c r="P33" s="332" t="s">
        <v>1180</v>
      </c>
      <c r="Q33" s="332"/>
      <c r="R33" s="332"/>
      <c r="S33" s="332"/>
      <c r="T33" s="172"/>
      <c r="U33" s="156"/>
      <c r="V33" s="156"/>
    </row>
    <row r="34" spans="1:22" ht="72" customHeight="1">
      <c r="A34" s="156"/>
      <c r="B34" s="171">
        <v>30</v>
      </c>
      <c r="C34" s="322">
        <f>DATASISWA!E37</f>
        <v>0</v>
      </c>
      <c r="D34" s="332" t="s">
        <v>1180</v>
      </c>
      <c r="E34" s="332" t="s">
        <v>1180</v>
      </c>
      <c r="F34" s="332" t="s">
        <v>1180</v>
      </c>
      <c r="G34" s="332" t="s">
        <v>1180</v>
      </c>
      <c r="H34" s="332" t="s">
        <v>1180</v>
      </c>
      <c r="I34" s="332" t="s">
        <v>1180</v>
      </c>
      <c r="J34" s="332" t="s">
        <v>1180</v>
      </c>
      <c r="K34" s="332" t="s">
        <v>1180</v>
      </c>
      <c r="L34" s="332" t="s">
        <v>1180</v>
      </c>
      <c r="M34" s="332" t="s">
        <v>1180</v>
      </c>
      <c r="N34" s="332" t="s">
        <v>1180</v>
      </c>
      <c r="O34" s="332" t="s">
        <v>1180</v>
      </c>
      <c r="P34" s="332" t="s">
        <v>1180</v>
      </c>
      <c r="Q34" s="332"/>
      <c r="R34" s="332"/>
      <c r="S34" s="332"/>
      <c r="T34" s="172"/>
      <c r="U34" s="156"/>
      <c r="V34" s="156"/>
    </row>
    <row r="35" spans="1:22">
      <c r="A35" s="156"/>
      <c r="B35" s="156"/>
      <c r="C35" s="156"/>
      <c r="D35" s="156"/>
      <c r="E35" s="156"/>
      <c r="F35" s="156"/>
      <c r="G35" s="156"/>
      <c r="H35" s="156"/>
      <c r="I35" s="156"/>
      <c r="J35" s="156"/>
      <c r="K35" s="156"/>
      <c r="L35" s="156"/>
      <c r="M35" s="156"/>
      <c r="N35" s="156"/>
      <c r="O35" s="156"/>
      <c r="P35" s="156"/>
      <c r="Q35" s="156"/>
      <c r="R35" s="156"/>
      <c r="S35" s="156"/>
      <c r="T35" s="156"/>
      <c r="U35" s="156"/>
      <c r="V35" s="156"/>
    </row>
  </sheetData>
  <mergeCells count="5">
    <mergeCell ref="B2:T2"/>
    <mergeCell ref="B3:B4"/>
    <mergeCell ref="C3:C4"/>
    <mergeCell ref="D3:S3"/>
    <mergeCell ref="T3:T4"/>
  </mergeCells>
  <conditionalFormatting sqref="D5:S34">
    <cfRule type="iconSet" priority="1">
      <iconSet iconSet="4Arrows">
        <cfvo type="percent" val="0"/>
        <cfvo type="num" val="75"/>
        <cfvo type="num" val="83.25"/>
        <cfvo type="num" val="91.5"/>
      </iconSet>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8657" r:id="rId4" name="Drop Down 1">
              <controlPr defaultSize="0" autoLine="0" autoPict="0" macro="[0]!TampilCatatan">
                <anchor moveWithCells="1">
                  <from>
                    <xdr:col>3</xdr:col>
                    <xdr:colOff>57150</xdr:colOff>
                    <xdr:row>0</xdr:row>
                    <xdr:rowOff>47625</xdr:rowOff>
                  </from>
                  <to>
                    <xdr:col>12</xdr:col>
                    <xdr:colOff>104775</xdr:colOff>
                    <xdr:row>0</xdr:row>
                    <xdr:rowOff>295275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JN35"/>
  <sheetViews>
    <sheetView topLeftCell="W3" workbookViewId="0">
      <selection activeCell="BR6" sqref="BR6:BR35"/>
    </sheetView>
  </sheetViews>
  <sheetFormatPr defaultColWidth="0" defaultRowHeight="15" zeroHeight="1"/>
  <cols>
    <col min="1" max="1" width="9.140625" customWidth="1"/>
    <col min="2" max="2" width="4.7109375" customWidth="1"/>
    <col min="3" max="274" width="3.7109375" customWidth="1"/>
    <col min="275" max="16384" width="9.140625" hidden="1"/>
  </cols>
  <sheetData>
    <row r="1" spans="1:274">
      <c r="A1" s="76"/>
      <c r="B1" s="76"/>
      <c r="C1" s="76">
        <v>1</v>
      </c>
      <c r="D1" s="76">
        <v>18</v>
      </c>
      <c r="E1" s="76">
        <v>35</v>
      </c>
      <c r="F1" s="76">
        <v>52</v>
      </c>
      <c r="G1" s="76">
        <v>69</v>
      </c>
      <c r="H1" s="76">
        <v>86</v>
      </c>
      <c r="I1" s="76">
        <v>103</v>
      </c>
      <c r="J1" s="76">
        <v>120</v>
      </c>
      <c r="K1" s="76">
        <v>137</v>
      </c>
      <c r="L1" s="76">
        <v>154</v>
      </c>
      <c r="M1" s="76">
        <v>171</v>
      </c>
      <c r="N1" s="76">
        <v>188</v>
      </c>
      <c r="O1" s="76">
        <v>205</v>
      </c>
      <c r="P1" s="76">
        <v>222</v>
      </c>
      <c r="Q1" s="76">
        <v>239</v>
      </c>
      <c r="R1" s="76">
        <v>256</v>
      </c>
      <c r="S1" s="76"/>
      <c r="T1" s="76"/>
      <c r="U1" s="76"/>
      <c r="V1" s="76"/>
      <c r="W1" s="76"/>
      <c r="X1" s="76"/>
      <c r="Y1" s="76"/>
      <c r="Z1" s="76"/>
      <c r="AA1" s="76"/>
      <c r="AB1" s="76"/>
      <c r="AC1" s="76"/>
      <c r="AD1" s="76"/>
      <c r="AE1" s="76"/>
      <c r="AF1" s="76"/>
      <c r="AG1" s="76"/>
      <c r="AH1" s="76"/>
      <c r="AI1" s="76"/>
      <c r="AJ1" s="76"/>
      <c r="AK1" s="76"/>
      <c r="AL1" s="76"/>
      <c r="AM1" s="76"/>
      <c r="AN1" s="76"/>
      <c r="AO1" s="76"/>
      <c r="AP1" s="76"/>
      <c r="AQ1" s="76"/>
      <c r="AR1" s="76"/>
      <c r="AS1" s="76"/>
      <c r="AT1" s="76"/>
      <c r="AU1" s="76"/>
      <c r="AV1" s="76"/>
      <c r="AW1" s="76"/>
      <c r="AX1" s="76"/>
      <c r="AY1" s="76"/>
      <c r="AZ1" s="76"/>
      <c r="BA1" s="76"/>
      <c r="BB1" s="76"/>
      <c r="BC1" s="76"/>
      <c r="BD1" s="76"/>
      <c r="BE1" s="76"/>
      <c r="BF1" s="76"/>
      <c r="BG1" s="76"/>
      <c r="BH1" s="76"/>
      <c r="BI1" s="76"/>
      <c r="BJ1" s="76"/>
      <c r="BK1" s="76"/>
      <c r="BL1" s="76"/>
      <c r="BM1" s="76"/>
      <c r="BN1" s="76"/>
      <c r="BO1" s="76"/>
      <c r="BP1" s="76"/>
      <c r="BQ1" s="76"/>
      <c r="BR1" s="76"/>
      <c r="BS1" s="76"/>
      <c r="BT1" s="76"/>
      <c r="BU1" s="76"/>
      <c r="BV1" s="76"/>
      <c r="BW1" s="76"/>
      <c r="BX1" s="76"/>
      <c r="BY1" s="76"/>
      <c r="BZ1" s="76"/>
      <c r="CA1" s="76"/>
      <c r="CB1" s="76"/>
      <c r="CC1" s="76"/>
      <c r="CD1" s="76"/>
      <c r="CE1" s="76"/>
      <c r="CF1" s="76"/>
      <c r="CG1" s="76"/>
      <c r="CH1" s="76"/>
      <c r="CI1" s="76"/>
      <c r="CJ1" s="76"/>
      <c r="CK1" s="76"/>
      <c r="CL1" s="76"/>
      <c r="CM1" s="76"/>
      <c r="CN1" s="76"/>
      <c r="CO1" s="76"/>
      <c r="CP1" s="76"/>
      <c r="CQ1" s="76"/>
      <c r="CR1" s="76"/>
      <c r="CS1" s="76"/>
      <c r="CT1" s="76"/>
      <c r="CU1" s="76"/>
      <c r="CV1" s="76"/>
      <c r="CW1" s="76"/>
      <c r="CX1" s="76"/>
      <c r="CY1" s="76"/>
      <c r="CZ1" s="76"/>
      <c r="DA1" s="76"/>
      <c r="DB1" s="76"/>
      <c r="DC1" s="76"/>
      <c r="DD1" s="76"/>
      <c r="DE1" s="76"/>
      <c r="DF1" s="76"/>
      <c r="DG1" s="76"/>
      <c r="DH1" s="76"/>
      <c r="DI1" s="76"/>
      <c r="DJ1" s="76"/>
      <c r="DK1" s="76"/>
      <c r="DL1" s="76"/>
      <c r="DM1" s="76"/>
      <c r="DN1" s="76"/>
      <c r="DO1" s="76"/>
      <c r="DP1" s="76"/>
      <c r="DQ1" s="76"/>
      <c r="DR1" s="76"/>
      <c r="DS1" s="76"/>
      <c r="DT1" s="76"/>
      <c r="DU1" s="76"/>
      <c r="DV1" s="76"/>
      <c r="DW1" s="76"/>
      <c r="DX1" s="76"/>
      <c r="DY1" s="76"/>
      <c r="DZ1" s="76"/>
      <c r="EA1" s="76"/>
      <c r="EB1" s="76"/>
      <c r="EC1" s="76"/>
      <c r="ED1" s="76"/>
      <c r="EE1" s="76"/>
      <c r="EF1" s="76"/>
      <c r="EG1" s="76"/>
      <c r="EH1" s="76"/>
      <c r="EI1" s="76"/>
      <c r="EJ1" s="76"/>
      <c r="EK1" s="76"/>
      <c r="EL1" s="76"/>
      <c r="EM1" s="76"/>
      <c r="EN1" s="76"/>
      <c r="EO1" s="76"/>
      <c r="EP1" s="76"/>
      <c r="EQ1" s="76"/>
      <c r="ER1" s="76"/>
      <c r="ES1" s="76"/>
      <c r="ET1" s="76"/>
      <c r="EU1" s="76"/>
      <c r="EV1" s="76"/>
      <c r="EW1" s="76"/>
      <c r="EX1" s="76"/>
      <c r="EY1" s="76"/>
      <c r="EZ1" s="76"/>
      <c r="FA1" s="76"/>
      <c r="FB1" s="76"/>
      <c r="FC1" s="76"/>
      <c r="FD1" s="76"/>
      <c r="FE1" s="76"/>
      <c r="FF1" s="76"/>
      <c r="FG1" s="76"/>
      <c r="FH1" s="76"/>
      <c r="FI1" s="76"/>
      <c r="FJ1" s="76"/>
      <c r="FK1" s="76"/>
      <c r="FL1" s="76"/>
      <c r="FM1" s="76"/>
      <c r="FN1" s="76"/>
      <c r="FO1" s="76"/>
      <c r="FP1" s="76"/>
      <c r="FQ1" s="76"/>
      <c r="FR1" s="76"/>
      <c r="FS1" s="76"/>
      <c r="FT1" s="76"/>
      <c r="FU1" s="76"/>
      <c r="FV1" s="76"/>
      <c r="FW1" s="76"/>
      <c r="FX1" s="76"/>
      <c r="FY1" s="76"/>
      <c r="FZ1" s="76"/>
      <c r="GA1" s="76"/>
      <c r="GB1" s="76"/>
      <c r="GC1" s="76"/>
      <c r="GD1" s="76"/>
      <c r="GE1" s="76"/>
      <c r="GF1" s="76"/>
      <c r="GG1" s="76"/>
      <c r="GH1" s="76"/>
      <c r="GI1" s="76"/>
      <c r="GJ1" s="76"/>
      <c r="GK1" s="76"/>
      <c r="GL1" s="76"/>
      <c r="GM1" s="76"/>
      <c r="GN1" s="76"/>
      <c r="GO1" s="76"/>
      <c r="GP1" s="76"/>
      <c r="GQ1" s="76"/>
      <c r="GR1" s="76"/>
      <c r="GS1" s="76"/>
      <c r="GT1" s="76"/>
      <c r="GU1" s="76"/>
      <c r="GV1" s="76"/>
      <c r="GW1" s="76"/>
      <c r="GX1" s="76"/>
      <c r="GY1" s="76"/>
      <c r="GZ1" s="76"/>
      <c r="HA1" s="76"/>
      <c r="HB1" s="76"/>
      <c r="HC1" s="76"/>
      <c r="HD1" s="76"/>
      <c r="HE1" s="76"/>
      <c r="HF1" s="76"/>
      <c r="HG1" s="76"/>
      <c r="HH1" s="76"/>
      <c r="HI1" s="76"/>
      <c r="HJ1" s="76"/>
      <c r="HK1" s="76"/>
      <c r="HL1" s="76"/>
      <c r="HM1" s="76"/>
      <c r="HN1" s="76"/>
      <c r="HO1" s="76"/>
      <c r="HP1" s="76"/>
      <c r="HQ1" s="76"/>
      <c r="HR1" s="76"/>
      <c r="HS1" s="76"/>
      <c r="HT1" s="76"/>
      <c r="HU1" s="76"/>
      <c r="HV1" s="76"/>
      <c r="HW1" s="76"/>
      <c r="HX1" s="76"/>
      <c r="HY1" s="76"/>
      <c r="HZ1" s="76"/>
      <c r="IA1" s="76"/>
      <c r="IB1" s="76"/>
      <c r="IC1" s="76"/>
      <c r="ID1" s="76"/>
      <c r="IE1" s="76"/>
      <c r="IF1" s="76"/>
      <c r="IG1" s="76"/>
      <c r="IH1" s="76"/>
      <c r="II1" s="76"/>
      <c r="IJ1" s="76"/>
      <c r="IK1" s="76"/>
      <c r="IL1" s="76"/>
      <c r="IM1" s="76"/>
      <c r="IN1" s="76"/>
      <c r="IO1" s="76"/>
      <c r="IP1" s="76"/>
      <c r="IQ1" s="76"/>
      <c r="IR1" s="76"/>
      <c r="IS1" s="76"/>
      <c r="IT1" s="76"/>
      <c r="IU1" s="76"/>
      <c r="IV1" s="76"/>
      <c r="IW1" s="76"/>
      <c r="IX1" s="76"/>
      <c r="IY1" s="76"/>
      <c r="IZ1" s="76"/>
      <c r="JA1" s="76"/>
      <c r="JB1" s="76"/>
      <c r="JC1" s="76"/>
      <c r="JD1" s="76"/>
      <c r="JE1" s="76"/>
      <c r="JF1" s="76"/>
      <c r="JG1" s="76"/>
      <c r="JH1" s="76"/>
      <c r="JI1" s="76"/>
      <c r="JJ1" s="76"/>
      <c r="JK1" s="76"/>
      <c r="JL1" s="76"/>
      <c r="JM1" s="76"/>
      <c r="JN1" s="76"/>
    </row>
    <row r="2" spans="1:274">
      <c r="A2" s="76"/>
      <c r="B2" s="76"/>
      <c r="C2" s="76">
        <v>17</v>
      </c>
      <c r="D2" s="76">
        <v>34</v>
      </c>
      <c r="E2" s="76">
        <v>51</v>
      </c>
      <c r="F2" s="76">
        <v>68</v>
      </c>
      <c r="G2" s="76">
        <v>85</v>
      </c>
      <c r="H2" s="76">
        <v>102</v>
      </c>
      <c r="I2" s="76">
        <v>119</v>
      </c>
      <c r="J2" s="76">
        <v>136</v>
      </c>
      <c r="K2" s="76">
        <v>153</v>
      </c>
      <c r="L2" s="76">
        <v>170</v>
      </c>
      <c r="M2" s="76">
        <v>187</v>
      </c>
      <c r="N2" s="76">
        <v>204</v>
      </c>
      <c r="O2" s="76">
        <v>221</v>
      </c>
      <c r="P2" s="76">
        <v>238</v>
      </c>
      <c r="Q2" s="76">
        <v>255</v>
      </c>
      <c r="R2" s="76">
        <v>272</v>
      </c>
      <c r="S2" s="76"/>
      <c r="T2" s="76"/>
      <c r="U2" s="76"/>
      <c r="V2" s="76"/>
      <c r="W2" s="76"/>
      <c r="X2" s="76"/>
      <c r="Y2" s="76"/>
      <c r="Z2" s="76"/>
      <c r="AA2" s="76"/>
      <c r="AB2" s="76"/>
      <c r="AC2" s="76"/>
      <c r="AD2" s="76"/>
      <c r="AE2" s="76"/>
      <c r="AF2" s="76"/>
      <c r="AG2" s="76"/>
      <c r="AH2" s="76"/>
      <c r="AI2" s="76"/>
      <c r="AJ2" s="76"/>
      <c r="AK2" s="76"/>
      <c r="AL2" s="76"/>
      <c r="AM2" s="76"/>
      <c r="AN2" s="76"/>
      <c r="AO2" s="76"/>
      <c r="AP2" s="76"/>
      <c r="AQ2" s="76"/>
      <c r="AR2" s="76"/>
      <c r="AS2" s="76"/>
      <c r="AT2" s="76"/>
      <c r="AU2" s="76"/>
      <c r="AV2" s="76"/>
      <c r="AW2" s="76"/>
      <c r="AX2" s="76"/>
      <c r="AY2" s="76"/>
      <c r="AZ2" s="76"/>
      <c r="BA2" s="76"/>
      <c r="BB2" s="76"/>
      <c r="BC2" s="76"/>
      <c r="BD2" s="76"/>
      <c r="BE2" s="76"/>
      <c r="BF2" s="76"/>
      <c r="BG2" s="76"/>
      <c r="BH2" s="76"/>
      <c r="BI2" s="76"/>
      <c r="BJ2" s="76"/>
      <c r="BK2" s="76"/>
      <c r="BL2" s="76"/>
      <c r="BM2" s="76"/>
      <c r="BN2" s="76"/>
      <c r="BO2" s="76"/>
      <c r="BP2" s="76"/>
      <c r="BQ2" s="76"/>
      <c r="BR2" s="76"/>
      <c r="BS2" s="76"/>
      <c r="BT2" s="76"/>
      <c r="BU2" s="76"/>
      <c r="BV2" s="76"/>
      <c r="BW2" s="76"/>
      <c r="BX2" s="76"/>
      <c r="BY2" s="76"/>
      <c r="BZ2" s="76"/>
      <c r="CA2" s="76"/>
      <c r="CB2" s="76"/>
      <c r="CC2" s="76"/>
      <c r="CD2" s="76"/>
      <c r="CE2" s="76"/>
      <c r="CF2" s="76"/>
      <c r="CG2" s="76"/>
      <c r="CH2" s="76"/>
      <c r="CI2" s="76"/>
      <c r="CJ2" s="76"/>
      <c r="CK2" s="76"/>
      <c r="CL2" s="76"/>
      <c r="CM2" s="76"/>
      <c r="CN2" s="76"/>
      <c r="CO2" s="76"/>
      <c r="CP2" s="76"/>
      <c r="CQ2" s="76"/>
      <c r="CR2" s="76"/>
      <c r="CS2" s="76"/>
      <c r="CT2" s="76"/>
      <c r="CU2" s="76"/>
      <c r="CV2" s="76"/>
      <c r="CW2" s="76"/>
      <c r="CX2" s="76"/>
      <c r="CY2" s="76"/>
      <c r="CZ2" s="76"/>
      <c r="DA2" s="76"/>
      <c r="DB2" s="76"/>
      <c r="DC2" s="76"/>
      <c r="DD2" s="76"/>
      <c r="DE2" s="76"/>
      <c r="DF2" s="76"/>
      <c r="DG2" s="76"/>
      <c r="DH2" s="76"/>
      <c r="DI2" s="76"/>
      <c r="DJ2" s="76"/>
      <c r="DK2" s="76"/>
      <c r="DL2" s="76"/>
      <c r="DM2" s="76"/>
      <c r="DN2" s="76"/>
      <c r="DO2" s="76"/>
      <c r="DP2" s="76"/>
      <c r="DQ2" s="76"/>
      <c r="DR2" s="76"/>
      <c r="DS2" s="76"/>
      <c r="DT2" s="76"/>
      <c r="DU2" s="76"/>
      <c r="DV2" s="76"/>
      <c r="DW2" s="76"/>
      <c r="DX2" s="76"/>
      <c r="DY2" s="76"/>
      <c r="DZ2" s="76"/>
      <c r="EA2" s="76"/>
      <c r="EB2" s="76"/>
      <c r="EC2" s="76"/>
      <c r="ED2" s="76"/>
      <c r="EE2" s="76"/>
      <c r="EF2" s="76"/>
      <c r="EG2" s="76"/>
      <c r="EH2" s="76"/>
      <c r="EI2" s="76"/>
      <c r="EJ2" s="76"/>
      <c r="EK2" s="76"/>
      <c r="EL2" s="76"/>
      <c r="EM2" s="76"/>
      <c r="EN2" s="76"/>
      <c r="EO2" s="76"/>
      <c r="EP2" s="76"/>
      <c r="EQ2" s="76"/>
      <c r="ER2" s="76"/>
      <c r="ES2" s="76"/>
      <c r="ET2" s="76"/>
      <c r="EU2" s="76"/>
      <c r="EV2" s="76"/>
      <c r="EW2" s="76"/>
      <c r="EX2" s="76"/>
      <c r="EY2" s="76"/>
      <c r="EZ2" s="76"/>
      <c r="FA2" s="76"/>
      <c r="FB2" s="76"/>
      <c r="FC2" s="76"/>
      <c r="FD2" s="76"/>
      <c r="FE2" s="76"/>
      <c r="FF2" s="76"/>
      <c r="FG2" s="76"/>
      <c r="FH2" s="76"/>
      <c r="FI2" s="76"/>
      <c r="FJ2" s="76"/>
      <c r="FK2" s="76"/>
      <c r="FL2" s="76"/>
      <c r="FM2" s="76"/>
      <c r="FN2" s="76"/>
      <c r="FO2" s="76"/>
      <c r="FP2" s="76"/>
      <c r="FQ2" s="76"/>
      <c r="FR2" s="76"/>
      <c r="FS2" s="76"/>
      <c r="FT2" s="76"/>
      <c r="FU2" s="76"/>
      <c r="FV2" s="76"/>
      <c r="FW2" s="76"/>
      <c r="FX2" s="76"/>
      <c r="FY2" s="76"/>
      <c r="FZ2" s="76"/>
      <c r="GA2" s="76"/>
      <c r="GB2" s="76"/>
      <c r="GC2" s="76"/>
      <c r="GD2" s="76"/>
      <c r="GE2" s="76"/>
      <c r="GF2" s="76"/>
      <c r="GG2" s="76"/>
      <c r="GH2" s="76"/>
      <c r="GI2" s="76"/>
      <c r="GJ2" s="76"/>
      <c r="GK2" s="76"/>
      <c r="GL2" s="76"/>
      <c r="GM2" s="76"/>
      <c r="GN2" s="76"/>
      <c r="GO2" s="76"/>
      <c r="GP2" s="76"/>
      <c r="GQ2" s="76"/>
      <c r="GR2" s="76"/>
      <c r="GS2" s="76"/>
      <c r="GT2" s="76"/>
      <c r="GU2" s="76"/>
      <c r="GV2" s="76"/>
      <c r="GW2" s="76"/>
      <c r="GX2" s="76"/>
      <c r="GY2" s="76"/>
      <c r="GZ2" s="76"/>
      <c r="HA2" s="76"/>
      <c r="HB2" s="76"/>
      <c r="HC2" s="76"/>
      <c r="HD2" s="76"/>
      <c r="HE2" s="76"/>
      <c r="HF2" s="76"/>
      <c r="HG2" s="76"/>
      <c r="HH2" s="76"/>
      <c r="HI2" s="76"/>
      <c r="HJ2" s="76"/>
      <c r="HK2" s="76"/>
      <c r="HL2" s="76"/>
      <c r="HM2" s="76"/>
      <c r="HN2" s="76"/>
      <c r="HO2" s="76"/>
      <c r="HP2" s="76"/>
      <c r="HQ2" s="76"/>
      <c r="HR2" s="76"/>
      <c r="HS2" s="76"/>
      <c r="HT2" s="76"/>
      <c r="HU2" s="76"/>
      <c r="HV2" s="76"/>
      <c r="HW2" s="76"/>
      <c r="HX2" s="76"/>
      <c r="HY2" s="76"/>
      <c r="HZ2" s="76"/>
      <c r="IA2" s="76"/>
      <c r="IB2" s="76"/>
      <c r="IC2" s="76"/>
      <c r="ID2" s="76"/>
      <c r="IE2" s="76"/>
      <c r="IF2" s="76"/>
      <c r="IG2" s="76"/>
      <c r="IH2" s="76"/>
      <c r="II2" s="76"/>
      <c r="IJ2" s="76"/>
      <c r="IK2" s="76"/>
      <c r="IL2" s="76"/>
      <c r="IM2" s="76"/>
      <c r="IN2" s="76"/>
      <c r="IO2" s="76"/>
      <c r="IP2" s="76"/>
      <c r="IQ2" s="76"/>
      <c r="IR2" s="76"/>
      <c r="IS2" s="76"/>
      <c r="IT2" s="76"/>
      <c r="IU2" s="76"/>
      <c r="IV2" s="76"/>
      <c r="IW2" s="76"/>
      <c r="IX2" s="76"/>
      <c r="IY2" s="76"/>
      <c r="IZ2" s="76"/>
      <c r="JA2" s="76"/>
      <c r="JB2" s="76"/>
      <c r="JC2" s="76"/>
      <c r="JD2" s="76"/>
      <c r="JE2" s="76"/>
      <c r="JF2" s="76"/>
      <c r="JG2" s="76"/>
      <c r="JH2" s="76"/>
      <c r="JI2" s="76"/>
      <c r="JJ2" s="76"/>
      <c r="JK2" s="76"/>
      <c r="JL2" s="76"/>
      <c r="JM2" s="76"/>
      <c r="JN2" s="76"/>
    </row>
    <row r="3" spans="1:274">
      <c r="A3" s="76"/>
      <c r="B3" s="76"/>
      <c r="C3" s="76">
        <v>1</v>
      </c>
      <c r="D3" s="76">
        <v>2</v>
      </c>
      <c r="E3" s="76">
        <v>3</v>
      </c>
      <c r="F3" s="76">
        <v>4</v>
      </c>
      <c r="G3" s="76">
        <v>5</v>
      </c>
      <c r="H3" s="76">
        <v>6</v>
      </c>
      <c r="I3" s="76">
        <v>7</v>
      </c>
      <c r="J3" s="76">
        <v>8</v>
      </c>
      <c r="K3" s="76">
        <v>9</v>
      </c>
      <c r="L3" s="76">
        <v>10</v>
      </c>
      <c r="M3" s="76">
        <v>11</v>
      </c>
      <c r="N3" s="76">
        <v>12</v>
      </c>
      <c r="O3" s="76">
        <v>13</v>
      </c>
      <c r="P3" s="76">
        <v>14</v>
      </c>
      <c r="Q3" s="76">
        <v>15</v>
      </c>
      <c r="R3" s="76">
        <v>16</v>
      </c>
      <c r="S3" s="76">
        <v>17</v>
      </c>
      <c r="T3" s="76">
        <v>18</v>
      </c>
      <c r="U3" s="76">
        <v>19</v>
      </c>
      <c r="V3" s="76">
        <v>20</v>
      </c>
      <c r="W3" s="76">
        <v>21</v>
      </c>
      <c r="X3" s="76">
        <v>22</v>
      </c>
      <c r="Y3" s="76">
        <v>23</v>
      </c>
      <c r="Z3" s="76">
        <v>24</v>
      </c>
      <c r="AA3" s="76">
        <v>25</v>
      </c>
      <c r="AB3" s="76">
        <v>26</v>
      </c>
      <c r="AC3" s="76">
        <v>27</v>
      </c>
      <c r="AD3" s="76">
        <v>28</v>
      </c>
      <c r="AE3" s="76">
        <v>29</v>
      </c>
      <c r="AF3" s="76">
        <v>30</v>
      </c>
      <c r="AG3" s="76">
        <v>31</v>
      </c>
      <c r="AH3" s="76">
        <v>32</v>
      </c>
      <c r="AI3" s="76">
        <v>33</v>
      </c>
      <c r="AJ3" s="76">
        <v>34</v>
      </c>
      <c r="AK3" s="76">
        <v>35</v>
      </c>
      <c r="AL3" s="76">
        <v>36</v>
      </c>
      <c r="AM3" s="76">
        <v>37</v>
      </c>
      <c r="AN3" s="76">
        <v>38</v>
      </c>
      <c r="AO3" s="76">
        <v>39</v>
      </c>
      <c r="AP3" s="76">
        <v>40</v>
      </c>
      <c r="AQ3" s="76">
        <v>41</v>
      </c>
      <c r="AR3" s="76">
        <v>42</v>
      </c>
      <c r="AS3" s="76">
        <v>43</v>
      </c>
      <c r="AT3" s="76">
        <v>44</v>
      </c>
      <c r="AU3" s="76">
        <v>45</v>
      </c>
      <c r="AV3" s="76">
        <v>46</v>
      </c>
      <c r="AW3" s="76">
        <v>47</v>
      </c>
      <c r="AX3" s="76">
        <v>48</v>
      </c>
      <c r="AY3" s="76">
        <v>49</v>
      </c>
      <c r="AZ3" s="76">
        <v>50</v>
      </c>
      <c r="BA3" s="76">
        <v>51</v>
      </c>
      <c r="BB3" s="76">
        <v>52</v>
      </c>
      <c r="BC3" s="76">
        <v>53</v>
      </c>
      <c r="BD3" s="76">
        <v>54</v>
      </c>
      <c r="BE3" s="76">
        <v>55</v>
      </c>
      <c r="BF3" s="76">
        <v>56</v>
      </c>
      <c r="BG3" s="76">
        <v>57</v>
      </c>
      <c r="BH3" s="76">
        <v>58</v>
      </c>
      <c r="BI3" s="76">
        <v>59</v>
      </c>
      <c r="BJ3" s="76">
        <v>60</v>
      </c>
      <c r="BK3" s="76">
        <v>61</v>
      </c>
      <c r="BL3" s="76">
        <v>62</v>
      </c>
      <c r="BM3" s="76">
        <v>63</v>
      </c>
      <c r="BN3" s="76">
        <v>64</v>
      </c>
      <c r="BO3" s="76">
        <v>65</v>
      </c>
      <c r="BP3" s="76">
        <v>66</v>
      </c>
      <c r="BQ3" s="76">
        <v>67</v>
      </c>
      <c r="BR3" s="76">
        <v>68</v>
      </c>
      <c r="BS3" s="76">
        <v>69</v>
      </c>
      <c r="BT3" s="76">
        <v>70</v>
      </c>
      <c r="BU3" s="76">
        <v>71</v>
      </c>
      <c r="BV3" s="76">
        <v>72</v>
      </c>
      <c r="BW3" s="76">
        <v>73</v>
      </c>
      <c r="BX3" s="76">
        <v>74</v>
      </c>
      <c r="BY3" s="76">
        <v>75</v>
      </c>
      <c r="BZ3" s="76">
        <v>76</v>
      </c>
      <c r="CA3" s="76">
        <v>77</v>
      </c>
      <c r="CB3" s="76">
        <v>78</v>
      </c>
      <c r="CC3" s="76">
        <v>79</v>
      </c>
      <c r="CD3" s="76">
        <v>80</v>
      </c>
      <c r="CE3" s="76">
        <v>81</v>
      </c>
      <c r="CF3" s="76">
        <v>82</v>
      </c>
      <c r="CG3" s="76">
        <v>83</v>
      </c>
      <c r="CH3" s="76">
        <v>84</v>
      </c>
      <c r="CI3" s="76">
        <v>85</v>
      </c>
      <c r="CJ3" s="76">
        <v>86</v>
      </c>
      <c r="CK3" s="76">
        <v>87</v>
      </c>
      <c r="CL3" s="76">
        <v>88</v>
      </c>
      <c r="CM3" s="76">
        <v>89</v>
      </c>
      <c r="CN3" s="76">
        <v>90</v>
      </c>
      <c r="CO3" s="76">
        <v>91</v>
      </c>
      <c r="CP3" s="76">
        <v>92</v>
      </c>
      <c r="CQ3" s="76">
        <v>93</v>
      </c>
      <c r="CR3" s="76">
        <v>94</v>
      </c>
      <c r="CS3" s="76">
        <v>95</v>
      </c>
      <c r="CT3" s="76">
        <v>96</v>
      </c>
      <c r="CU3" s="76">
        <v>97</v>
      </c>
      <c r="CV3" s="76">
        <v>98</v>
      </c>
      <c r="CW3" s="76">
        <v>99</v>
      </c>
      <c r="CX3" s="76">
        <v>100</v>
      </c>
      <c r="CY3" s="76">
        <v>101</v>
      </c>
      <c r="CZ3" s="76">
        <v>102</v>
      </c>
      <c r="DA3" s="76">
        <v>103</v>
      </c>
      <c r="DB3" s="76">
        <v>104</v>
      </c>
      <c r="DC3" s="76">
        <v>105</v>
      </c>
      <c r="DD3" s="76">
        <v>106</v>
      </c>
      <c r="DE3" s="76">
        <v>107</v>
      </c>
      <c r="DF3" s="76">
        <v>108</v>
      </c>
      <c r="DG3" s="76">
        <v>109</v>
      </c>
      <c r="DH3" s="76">
        <v>110</v>
      </c>
      <c r="DI3" s="76">
        <v>111</v>
      </c>
      <c r="DJ3" s="76">
        <v>112</v>
      </c>
      <c r="DK3" s="76">
        <v>113</v>
      </c>
      <c r="DL3" s="76">
        <v>114</v>
      </c>
      <c r="DM3" s="76">
        <v>115</v>
      </c>
      <c r="DN3" s="76">
        <v>116</v>
      </c>
      <c r="DO3" s="76">
        <v>117</v>
      </c>
      <c r="DP3" s="76">
        <v>118</v>
      </c>
      <c r="DQ3" s="76">
        <v>119</v>
      </c>
      <c r="DR3" s="76">
        <v>120</v>
      </c>
      <c r="DS3" s="76">
        <v>121</v>
      </c>
      <c r="DT3" s="76">
        <v>122</v>
      </c>
      <c r="DU3" s="76">
        <v>123</v>
      </c>
      <c r="DV3" s="76">
        <v>124</v>
      </c>
      <c r="DW3" s="76">
        <v>125</v>
      </c>
      <c r="DX3" s="76">
        <v>126</v>
      </c>
      <c r="DY3" s="76">
        <v>127</v>
      </c>
      <c r="DZ3" s="76">
        <v>128</v>
      </c>
      <c r="EA3" s="76">
        <v>129</v>
      </c>
      <c r="EB3" s="76">
        <v>130</v>
      </c>
      <c r="EC3" s="76">
        <v>131</v>
      </c>
      <c r="ED3" s="76">
        <v>132</v>
      </c>
      <c r="EE3" s="76">
        <v>133</v>
      </c>
      <c r="EF3" s="76">
        <v>134</v>
      </c>
      <c r="EG3" s="76">
        <v>135</v>
      </c>
      <c r="EH3" s="76">
        <v>136</v>
      </c>
      <c r="EI3" s="76">
        <v>137</v>
      </c>
      <c r="EJ3" s="76">
        <v>138</v>
      </c>
      <c r="EK3" s="76">
        <v>139</v>
      </c>
      <c r="EL3" s="76">
        <v>140</v>
      </c>
      <c r="EM3" s="76">
        <v>141</v>
      </c>
      <c r="EN3" s="76">
        <v>142</v>
      </c>
      <c r="EO3" s="76">
        <v>143</v>
      </c>
      <c r="EP3" s="76">
        <v>144</v>
      </c>
      <c r="EQ3" s="76">
        <v>145</v>
      </c>
      <c r="ER3" s="76">
        <v>146</v>
      </c>
      <c r="ES3" s="76">
        <v>147</v>
      </c>
      <c r="ET3" s="76">
        <v>148</v>
      </c>
      <c r="EU3" s="76">
        <v>149</v>
      </c>
      <c r="EV3" s="76">
        <v>150</v>
      </c>
      <c r="EW3" s="76">
        <v>151</v>
      </c>
      <c r="EX3" s="76">
        <v>152</v>
      </c>
      <c r="EY3" s="76">
        <v>153</v>
      </c>
      <c r="EZ3" s="76">
        <v>154</v>
      </c>
      <c r="FA3" s="76">
        <v>155</v>
      </c>
      <c r="FB3" s="76">
        <v>156</v>
      </c>
      <c r="FC3" s="76">
        <v>157</v>
      </c>
      <c r="FD3" s="76">
        <v>158</v>
      </c>
      <c r="FE3" s="76">
        <v>159</v>
      </c>
      <c r="FF3" s="76">
        <v>160</v>
      </c>
      <c r="FG3" s="76">
        <v>161</v>
      </c>
      <c r="FH3" s="76">
        <v>162</v>
      </c>
      <c r="FI3" s="76">
        <v>163</v>
      </c>
      <c r="FJ3" s="76">
        <v>164</v>
      </c>
      <c r="FK3" s="76">
        <v>165</v>
      </c>
      <c r="FL3" s="76">
        <v>166</v>
      </c>
      <c r="FM3" s="76">
        <v>167</v>
      </c>
      <c r="FN3" s="76">
        <v>168</v>
      </c>
      <c r="FO3" s="76">
        <v>169</v>
      </c>
      <c r="FP3" s="76">
        <v>170</v>
      </c>
      <c r="FQ3" s="76">
        <v>171</v>
      </c>
      <c r="FR3" s="76">
        <v>172</v>
      </c>
      <c r="FS3" s="76">
        <v>173</v>
      </c>
      <c r="FT3" s="76">
        <v>174</v>
      </c>
      <c r="FU3" s="76">
        <v>175</v>
      </c>
      <c r="FV3" s="76">
        <v>176</v>
      </c>
      <c r="FW3" s="76">
        <v>177</v>
      </c>
      <c r="FX3" s="76">
        <v>178</v>
      </c>
      <c r="FY3" s="76">
        <v>179</v>
      </c>
      <c r="FZ3" s="76">
        <v>180</v>
      </c>
      <c r="GA3" s="76">
        <v>181</v>
      </c>
      <c r="GB3" s="76">
        <v>182</v>
      </c>
      <c r="GC3" s="76">
        <v>183</v>
      </c>
      <c r="GD3" s="76">
        <v>184</v>
      </c>
      <c r="GE3" s="76">
        <v>185</v>
      </c>
      <c r="GF3" s="76">
        <v>186</v>
      </c>
      <c r="GG3" s="76">
        <v>187</v>
      </c>
      <c r="GH3" s="76">
        <v>188</v>
      </c>
      <c r="GI3" s="76">
        <v>189</v>
      </c>
      <c r="GJ3" s="76">
        <v>190</v>
      </c>
      <c r="GK3" s="76">
        <v>191</v>
      </c>
      <c r="GL3" s="76">
        <v>192</v>
      </c>
      <c r="GM3" s="76">
        <v>193</v>
      </c>
      <c r="GN3" s="76">
        <v>194</v>
      </c>
      <c r="GO3" s="76">
        <v>195</v>
      </c>
      <c r="GP3" s="76">
        <v>196</v>
      </c>
      <c r="GQ3" s="76">
        <v>197</v>
      </c>
      <c r="GR3" s="76">
        <v>198</v>
      </c>
      <c r="GS3" s="76">
        <v>199</v>
      </c>
      <c r="GT3" s="76">
        <v>200</v>
      </c>
      <c r="GU3" s="76">
        <v>201</v>
      </c>
      <c r="GV3" s="76">
        <v>202</v>
      </c>
      <c r="GW3" s="76">
        <v>203</v>
      </c>
      <c r="GX3" s="76">
        <v>204</v>
      </c>
      <c r="GY3" s="76">
        <v>205</v>
      </c>
      <c r="GZ3" s="76">
        <v>206</v>
      </c>
      <c r="HA3" s="76">
        <v>207</v>
      </c>
      <c r="HB3" s="76">
        <v>208</v>
      </c>
      <c r="HC3" s="76">
        <v>209</v>
      </c>
      <c r="HD3" s="76">
        <v>210</v>
      </c>
      <c r="HE3" s="76">
        <v>211</v>
      </c>
      <c r="HF3" s="76">
        <v>212</v>
      </c>
      <c r="HG3" s="76">
        <v>213</v>
      </c>
      <c r="HH3" s="76">
        <v>214</v>
      </c>
      <c r="HI3" s="76">
        <v>215</v>
      </c>
      <c r="HJ3" s="76">
        <v>216</v>
      </c>
      <c r="HK3" s="76">
        <v>217</v>
      </c>
      <c r="HL3" s="76">
        <v>218</v>
      </c>
      <c r="HM3" s="76">
        <v>219</v>
      </c>
      <c r="HN3" s="76">
        <v>220</v>
      </c>
      <c r="HO3" s="76">
        <v>221</v>
      </c>
      <c r="HP3" s="76">
        <v>222</v>
      </c>
      <c r="HQ3" s="76">
        <v>223</v>
      </c>
      <c r="HR3" s="76">
        <v>224</v>
      </c>
      <c r="HS3" s="76">
        <v>225</v>
      </c>
      <c r="HT3" s="76">
        <v>226</v>
      </c>
      <c r="HU3" s="76">
        <v>227</v>
      </c>
      <c r="HV3" s="76">
        <v>228</v>
      </c>
      <c r="HW3" s="76">
        <v>229</v>
      </c>
      <c r="HX3" s="76">
        <v>230</v>
      </c>
      <c r="HY3" s="76">
        <v>231</v>
      </c>
      <c r="HZ3" s="76">
        <v>232</v>
      </c>
      <c r="IA3" s="76">
        <v>233</v>
      </c>
      <c r="IB3" s="76">
        <v>234</v>
      </c>
      <c r="IC3" s="76">
        <v>235</v>
      </c>
      <c r="ID3" s="76">
        <v>236</v>
      </c>
      <c r="IE3" s="76">
        <v>237</v>
      </c>
      <c r="IF3" s="76">
        <v>238</v>
      </c>
      <c r="IG3" s="76">
        <v>239</v>
      </c>
      <c r="IH3" s="76">
        <v>240</v>
      </c>
      <c r="II3" s="76">
        <v>241</v>
      </c>
      <c r="IJ3" s="76">
        <v>242</v>
      </c>
      <c r="IK3" s="76">
        <v>243</v>
      </c>
      <c r="IL3" s="76">
        <v>244</v>
      </c>
      <c r="IM3" s="76">
        <v>245</v>
      </c>
      <c r="IN3" s="76">
        <v>246</v>
      </c>
      <c r="IO3" s="76">
        <v>247</v>
      </c>
      <c r="IP3" s="76">
        <v>248</v>
      </c>
      <c r="IQ3" s="76">
        <v>249</v>
      </c>
      <c r="IR3" s="76">
        <v>250</v>
      </c>
      <c r="IS3" s="76">
        <v>251</v>
      </c>
      <c r="IT3" s="76">
        <v>252</v>
      </c>
      <c r="IU3" s="76">
        <v>253</v>
      </c>
      <c r="IV3" s="76">
        <v>254</v>
      </c>
      <c r="IW3" s="76">
        <v>255</v>
      </c>
      <c r="IX3" s="76">
        <v>256</v>
      </c>
      <c r="IY3" s="76">
        <v>257</v>
      </c>
      <c r="IZ3" s="76">
        <v>258</v>
      </c>
      <c r="JA3" s="76">
        <v>259</v>
      </c>
      <c r="JB3" s="76">
        <v>260</v>
      </c>
      <c r="JC3" s="76">
        <v>261</v>
      </c>
      <c r="JD3" s="76">
        <v>262</v>
      </c>
      <c r="JE3" s="76">
        <v>263</v>
      </c>
      <c r="JF3" s="76">
        <v>264</v>
      </c>
      <c r="JG3" s="76">
        <v>265</v>
      </c>
      <c r="JH3" s="76">
        <v>266</v>
      </c>
      <c r="JI3" s="76">
        <v>267</v>
      </c>
      <c r="JJ3" s="76">
        <v>268</v>
      </c>
      <c r="JK3" s="76">
        <v>269</v>
      </c>
      <c r="JL3" s="76">
        <v>270</v>
      </c>
      <c r="JM3" s="76">
        <v>271</v>
      </c>
      <c r="JN3" s="76">
        <v>272</v>
      </c>
    </row>
    <row r="4" spans="1:274">
      <c r="A4" s="76"/>
      <c r="B4" s="76"/>
      <c r="C4" s="793" t="s">
        <v>1193</v>
      </c>
      <c r="D4" s="793"/>
      <c r="E4" s="793"/>
      <c r="F4" s="793"/>
      <c r="G4" s="793"/>
      <c r="H4" s="793"/>
      <c r="I4" s="793"/>
      <c r="J4" s="793"/>
      <c r="K4" s="793"/>
      <c r="L4" s="793"/>
      <c r="M4" s="793"/>
      <c r="N4" s="793"/>
      <c r="O4" s="793"/>
      <c r="P4" s="793"/>
      <c r="Q4" s="793"/>
      <c r="R4" s="793"/>
      <c r="S4" s="793"/>
      <c r="T4" s="793" t="s">
        <v>1194</v>
      </c>
      <c r="U4" s="793"/>
      <c r="V4" s="793"/>
      <c r="W4" s="793"/>
      <c r="X4" s="793"/>
      <c r="Y4" s="793"/>
      <c r="Z4" s="793"/>
      <c r="AA4" s="793"/>
      <c r="AB4" s="793"/>
      <c r="AC4" s="793"/>
      <c r="AD4" s="793"/>
      <c r="AE4" s="793"/>
      <c r="AF4" s="793"/>
      <c r="AG4" s="793"/>
      <c r="AH4" s="793"/>
      <c r="AI4" s="793"/>
      <c r="AJ4" s="793"/>
      <c r="AK4" s="793" t="s">
        <v>1195</v>
      </c>
      <c r="AL4" s="793"/>
      <c r="AM4" s="793"/>
      <c r="AN4" s="793"/>
      <c r="AO4" s="793"/>
      <c r="AP4" s="793"/>
      <c r="AQ4" s="793"/>
      <c r="AR4" s="793"/>
      <c r="AS4" s="793"/>
      <c r="AT4" s="793"/>
      <c r="AU4" s="793"/>
      <c r="AV4" s="793"/>
      <c r="AW4" s="793"/>
      <c r="AX4" s="793"/>
      <c r="AY4" s="793"/>
      <c r="AZ4" s="793"/>
      <c r="BA4" s="793"/>
      <c r="BB4" s="793" t="s">
        <v>60</v>
      </c>
      <c r="BC4" s="793"/>
      <c r="BD4" s="793"/>
      <c r="BE4" s="793"/>
      <c r="BF4" s="793"/>
      <c r="BG4" s="793"/>
      <c r="BH4" s="793"/>
      <c r="BI4" s="793"/>
      <c r="BJ4" s="793"/>
      <c r="BK4" s="793"/>
      <c r="BL4" s="793"/>
      <c r="BM4" s="793"/>
      <c r="BN4" s="793"/>
      <c r="BO4" s="793"/>
      <c r="BP4" s="793"/>
      <c r="BQ4" s="793"/>
      <c r="BR4" s="793"/>
      <c r="BS4" s="793" t="s">
        <v>1196</v>
      </c>
      <c r="BT4" s="793"/>
      <c r="BU4" s="793"/>
      <c r="BV4" s="793"/>
      <c r="BW4" s="793"/>
      <c r="BX4" s="793"/>
      <c r="BY4" s="793"/>
      <c r="BZ4" s="793"/>
      <c r="CA4" s="793"/>
      <c r="CB4" s="793"/>
      <c r="CC4" s="793"/>
      <c r="CD4" s="793"/>
      <c r="CE4" s="793"/>
      <c r="CF4" s="793"/>
      <c r="CG4" s="793"/>
      <c r="CH4" s="793"/>
      <c r="CI4" s="793"/>
      <c r="CJ4" s="793" t="s">
        <v>1197</v>
      </c>
      <c r="CK4" s="793"/>
      <c r="CL4" s="793"/>
      <c r="CM4" s="793"/>
      <c r="CN4" s="793"/>
      <c r="CO4" s="793"/>
      <c r="CP4" s="793"/>
      <c r="CQ4" s="793"/>
      <c r="CR4" s="793"/>
      <c r="CS4" s="793"/>
      <c r="CT4" s="793"/>
      <c r="CU4" s="793"/>
      <c r="CV4" s="793"/>
      <c r="CW4" s="793"/>
      <c r="CX4" s="793"/>
      <c r="CY4" s="793"/>
      <c r="CZ4" s="793"/>
      <c r="DA4" s="793" t="s">
        <v>1198</v>
      </c>
      <c r="DB4" s="793"/>
      <c r="DC4" s="793"/>
      <c r="DD4" s="793"/>
      <c r="DE4" s="793"/>
      <c r="DF4" s="793"/>
      <c r="DG4" s="793"/>
      <c r="DH4" s="793"/>
      <c r="DI4" s="793"/>
      <c r="DJ4" s="793"/>
      <c r="DK4" s="793"/>
      <c r="DL4" s="793"/>
      <c r="DM4" s="793"/>
      <c r="DN4" s="793"/>
      <c r="DO4" s="793"/>
      <c r="DP4" s="793"/>
      <c r="DQ4" s="793"/>
      <c r="DR4" s="793" t="s">
        <v>64</v>
      </c>
      <c r="DS4" s="793"/>
      <c r="DT4" s="793"/>
      <c r="DU4" s="793"/>
      <c r="DV4" s="793"/>
      <c r="DW4" s="793"/>
      <c r="DX4" s="793"/>
      <c r="DY4" s="793"/>
      <c r="DZ4" s="793"/>
      <c r="EA4" s="793"/>
      <c r="EB4" s="793"/>
      <c r="EC4" s="793"/>
      <c r="ED4" s="793"/>
      <c r="EE4" s="793"/>
      <c r="EF4" s="793"/>
      <c r="EG4" s="793"/>
      <c r="EH4" s="793"/>
      <c r="EI4" s="793" t="s">
        <v>65</v>
      </c>
      <c r="EJ4" s="793"/>
      <c r="EK4" s="793"/>
      <c r="EL4" s="793"/>
      <c r="EM4" s="793"/>
      <c r="EN4" s="793"/>
      <c r="EO4" s="793"/>
      <c r="EP4" s="793"/>
      <c r="EQ4" s="793"/>
      <c r="ER4" s="793"/>
      <c r="ES4" s="793"/>
      <c r="ET4" s="793"/>
      <c r="EU4" s="793"/>
      <c r="EV4" s="793"/>
      <c r="EW4" s="793"/>
      <c r="EX4" s="793"/>
      <c r="EY4" s="793"/>
      <c r="EZ4" s="793" t="s">
        <v>66</v>
      </c>
      <c r="FA4" s="793"/>
      <c r="FB4" s="793"/>
      <c r="FC4" s="793"/>
      <c r="FD4" s="793"/>
      <c r="FE4" s="793"/>
      <c r="FF4" s="793"/>
      <c r="FG4" s="793"/>
      <c r="FH4" s="793"/>
      <c r="FI4" s="793"/>
      <c r="FJ4" s="793"/>
      <c r="FK4" s="793"/>
      <c r="FL4" s="793"/>
      <c r="FM4" s="793"/>
      <c r="FN4" s="793"/>
      <c r="FO4" s="793"/>
      <c r="FP4" s="793"/>
      <c r="FQ4" s="793" t="s">
        <v>67</v>
      </c>
      <c r="FR4" s="793"/>
      <c r="FS4" s="793"/>
      <c r="FT4" s="793"/>
      <c r="FU4" s="793"/>
      <c r="FV4" s="793"/>
      <c r="FW4" s="793"/>
      <c r="FX4" s="793"/>
      <c r="FY4" s="793"/>
      <c r="FZ4" s="793"/>
      <c r="GA4" s="793"/>
      <c r="GB4" s="793"/>
      <c r="GC4" s="793"/>
      <c r="GD4" s="793"/>
      <c r="GE4" s="793"/>
      <c r="GF4" s="793"/>
      <c r="GG4" s="793"/>
      <c r="GH4" s="793" t="s">
        <v>1199</v>
      </c>
      <c r="GI4" s="793"/>
      <c r="GJ4" s="793"/>
      <c r="GK4" s="793"/>
      <c r="GL4" s="793"/>
      <c r="GM4" s="793"/>
      <c r="GN4" s="793"/>
      <c r="GO4" s="793"/>
      <c r="GP4" s="793"/>
      <c r="GQ4" s="793"/>
      <c r="GR4" s="793"/>
      <c r="GS4" s="793"/>
      <c r="GT4" s="793"/>
      <c r="GU4" s="793"/>
      <c r="GV4" s="793"/>
      <c r="GW4" s="793"/>
      <c r="GX4" s="793"/>
      <c r="GY4" s="793" t="s">
        <v>1200</v>
      </c>
      <c r="GZ4" s="793"/>
      <c r="HA4" s="793"/>
      <c r="HB4" s="793"/>
      <c r="HC4" s="793"/>
      <c r="HD4" s="793"/>
      <c r="HE4" s="793"/>
      <c r="HF4" s="793"/>
      <c r="HG4" s="793"/>
      <c r="HH4" s="793"/>
      <c r="HI4" s="793"/>
      <c r="HJ4" s="793"/>
      <c r="HK4" s="793"/>
      <c r="HL4" s="793"/>
      <c r="HM4" s="793"/>
      <c r="HN4" s="793"/>
      <c r="HO4" s="793"/>
      <c r="HP4" s="793" t="s">
        <v>1201</v>
      </c>
      <c r="HQ4" s="793"/>
      <c r="HR4" s="793"/>
      <c r="HS4" s="793"/>
      <c r="HT4" s="793"/>
      <c r="HU4" s="793"/>
      <c r="HV4" s="793"/>
      <c r="HW4" s="793"/>
      <c r="HX4" s="793"/>
      <c r="HY4" s="793"/>
      <c r="HZ4" s="793"/>
      <c r="IA4" s="793"/>
      <c r="IB4" s="793"/>
      <c r="IC4" s="793"/>
      <c r="ID4" s="793"/>
      <c r="IE4" s="793"/>
      <c r="IF4" s="793"/>
      <c r="IG4" s="793" t="s">
        <v>69</v>
      </c>
      <c r="IH4" s="793"/>
      <c r="II4" s="793"/>
      <c r="IJ4" s="793"/>
      <c r="IK4" s="793"/>
      <c r="IL4" s="793"/>
      <c r="IM4" s="793"/>
      <c r="IN4" s="793"/>
      <c r="IO4" s="793"/>
      <c r="IP4" s="793"/>
      <c r="IQ4" s="793"/>
      <c r="IR4" s="793"/>
      <c r="IS4" s="793"/>
      <c r="IT4" s="793"/>
      <c r="IU4" s="793"/>
      <c r="IV4" s="793"/>
      <c r="IW4" s="793"/>
      <c r="IX4" s="793" t="s">
        <v>1202</v>
      </c>
      <c r="IY4" s="793"/>
      <c r="IZ4" s="793"/>
      <c r="JA4" s="793"/>
      <c r="JB4" s="793"/>
      <c r="JC4" s="793"/>
      <c r="JD4" s="793"/>
      <c r="JE4" s="793"/>
      <c r="JF4" s="793"/>
      <c r="JG4" s="793"/>
      <c r="JH4" s="793"/>
      <c r="JI4" s="793"/>
      <c r="JJ4" s="793"/>
      <c r="JK4" s="793"/>
      <c r="JL4" s="793"/>
      <c r="JM4" s="793"/>
      <c r="JN4" s="793"/>
    </row>
    <row r="5" spans="1:274">
      <c r="A5" s="76"/>
      <c r="B5" s="76"/>
      <c r="C5" s="76">
        <v>1</v>
      </c>
      <c r="D5" s="76">
        <v>2</v>
      </c>
      <c r="E5" s="76">
        <v>3</v>
      </c>
      <c r="F5" s="76">
        <v>4</v>
      </c>
      <c r="G5" s="76">
        <v>5</v>
      </c>
      <c r="H5" s="76">
        <v>6</v>
      </c>
      <c r="I5" s="76">
        <v>7</v>
      </c>
      <c r="J5" s="76">
        <v>8</v>
      </c>
      <c r="K5" s="76">
        <v>9</v>
      </c>
      <c r="L5" s="76">
        <v>10</v>
      </c>
      <c r="M5" s="76">
        <v>11</v>
      </c>
      <c r="N5" s="76">
        <v>12</v>
      </c>
      <c r="O5" s="76">
        <v>13</v>
      </c>
      <c r="P5" s="76">
        <v>14</v>
      </c>
      <c r="Q5" s="76">
        <v>15</v>
      </c>
      <c r="R5" s="76">
        <v>16</v>
      </c>
      <c r="S5" s="76" t="s">
        <v>1192</v>
      </c>
      <c r="T5" s="76">
        <v>1</v>
      </c>
      <c r="U5" s="76">
        <v>2</v>
      </c>
      <c r="V5" s="76">
        <v>3</v>
      </c>
      <c r="W5" s="76">
        <v>4</v>
      </c>
      <c r="X5" s="76">
        <v>5</v>
      </c>
      <c r="Y5" s="76">
        <v>6</v>
      </c>
      <c r="Z5" s="76">
        <v>7</v>
      </c>
      <c r="AA5" s="76">
        <v>8</v>
      </c>
      <c r="AB5" s="76">
        <v>9</v>
      </c>
      <c r="AC5" s="76">
        <v>10</v>
      </c>
      <c r="AD5" s="76">
        <v>11</v>
      </c>
      <c r="AE5" s="76">
        <v>12</v>
      </c>
      <c r="AF5" s="76">
        <v>13</v>
      </c>
      <c r="AG5" s="76">
        <v>14</v>
      </c>
      <c r="AH5" s="76">
        <v>15</v>
      </c>
      <c r="AI5" s="76">
        <v>16</v>
      </c>
      <c r="AJ5" s="76" t="s">
        <v>1192</v>
      </c>
      <c r="AK5" s="76">
        <v>1</v>
      </c>
      <c r="AL5" s="76">
        <v>2</v>
      </c>
      <c r="AM5" s="76">
        <v>3</v>
      </c>
      <c r="AN5" s="76">
        <v>4</v>
      </c>
      <c r="AO5" s="76">
        <v>5</v>
      </c>
      <c r="AP5" s="76">
        <v>6</v>
      </c>
      <c r="AQ5" s="76">
        <v>7</v>
      </c>
      <c r="AR5" s="76">
        <v>8</v>
      </c>
      <c r="AS5" s="76">
        <v>9</v>
      </c>
      <c r="AT5" s="76">
        <v>10</v>
      </c>
      <c r="AU5" s="76">
        <v>11</v>
      </c>
      <c r="AV5" s="76">
        <v>12</v>
      </c>
      <c r="AW5" s="76">
        <v>13</v>
      </c>
      <c r="AX5" s="76">
        <v>14</v>
      </c>
      <c r="AY5" s="76">
        <v>15</v>
      </c>
      <c r="AZ5" s="76">
        <v>16</v>
      </c>
      <c r="BA5" s="76" t="s">
        <v>1192</v>
      </c>
      <c r="BB5" s="76">
        <v>1</v>
      </c>
      <c r="BC5" s="76">
        <v>2</v>
      </c>
      <c r="BD5" s="76">
        <v>3</v>
      </c>
      <c r="BE5" s="76">
        <v>4</v>
      </c>
      <c r="BF5" s="76">
        <v>5</v>
      </c>
      <c r="BG5" s="76">
        <v>6</v>
      </c>
      <c r="BH5" s="76">
        <v>7</v>
      </c>
      <c r="BI5" s="76">
        <v>8</v>
      </c>
      <c r="BJ5" s="76">
        <v>9</v>
      </c>
      <c r="BK5" s="76">
        <v>10</v>
      </c>
      <c r="BL5" s="76">
        <v>11</v>
      </c>
      <c r="BM5" s="76">
        <v>12</v>
      </c>
      <c r="BN5" s="76">
        <v>13</v>
      </c>
      <c r="BO5" s="76">
        <v>14</v>
      </c>
      <c r="BP5" s="76">
        <v>15</v>
      </c>
      <c r="BQ5" s="76">
        <v>16</v>
      </c>
      <c r="BR5" s="76" t="s">
        <v>1192</v>
      </c>
      <c r="BS5" s="76">
        <v>1</v>
      </c>
      <c r="BT5" s="76">
        <v>2</v>
      </c>
      <c r="BU5" s="76">
        <v>3</v>
      </c>
      <c r="BV5" s="76">
        <v>4</v>
      </c>
      <c r="BW5" s="76">
        <v>5</v>
      </c>
      <c r="BX5" s="76">
        <v>6</v>
      </c>
      <c r="BY5" s="76">
        <v>7</v>
      </c>
      <c r="BZ5" s="76">
        <v>8</v>
      </c>
      <c r="CA5" s="76">
        <v>9</v>
      </c>
      <c r="CB5" s="76">
        <v>10</v>
      </c>
      <c r="CC5" s="76">
        <v>11</v>
      </c>
      <c r="CD5" s="76">
        <v>12</v>
      </c>
      <c r="CE5" s="76">
        <v>13</v>
      </c>
      <c r="CF5" s="76">
        <v>14</v>
      </c>
      <c r="CG5" s="76">
        <v>15</v>
      </c>
      <c r="CH5" s="76">
        <v>16</v>
      </c>
      <c r="CI5" s="76" t="s">
        <v>1192</v>
      </c>
      <c r="CJ5" s="76">
        <v>1</v>
      </c>
      <c r="CK5" s="76">
        <v>2</v>
      </c>
      <c r="CL5" s="76">
        <v>3</v>
      </c>
      <c r="CM5" s="76">
        <v>4</v>
      </c>
      <c r="CN5" s="76">
        <v>5</v>
      </c>
      <c r="CO5" s="76">
        <v>6</v>
      </c>
      <c r="CP5" s="76">
        <v>7</v>
      </c>
      <c r="CQ5" s="76">
        <v>8</v>
      </c>
      <c r="CR5" s="76">
        <v>9</v>
      </c>
      <c r="CS5" s="76">
        <v>10</v>
      </c>
      <c r="CT5" s="76">
        <v>11</v>
      </c>
      <c r="CU5" s="76">
        <v>12</v>
      </c>
      <c r="CV5" s="76">
        <v>13</v>
      </c>
      <c r="CW5" s="76">
        <v>14</v>
      </c>
      <c r="CX5" s="76">
        <v>15</v>
      </c>
      <c r="CY5" s="76">
        <v>16</v>
      </c>
      <c r="CZ5" s="76" t="s">
        <v>1192</v>
      </c>
      <c r="DA5" s="76">
        <v>1</v>
      </c>
      <c r="DB5" s="76">
        <v>2</v>
      </c>
      <c r="DC5" s="76">
        <v>3</v>
      </c>
      <c r="DD5" s="76">
        <v>4</v>
      </c>
      <c r="DE5" s="76">
        <v>5</v>
      </c>
      <c r="DF5" s="76">
        <v>6</v>
      </c>
      <c r="DG5" s="76">
        <v>7</v>
      </c>
      <c r="DH5" s="76">
        <v>8</v>
      </c>
      <c r="DI5" s="76">
        <v>9</v>
      </c>
      <c r="DJ5" s="76">
        <v>10</v>
      </c>
      <c r="DK5" s="76">
        <v>11</v>
      </c>
      <c r="DL5" s="76">
        <v>12</v>
      </c>
      <c r="DM5" s="76">
        <v>13</v>
      </c>
      <c r="DN5" s="76">
        <v>14</v>
      </c>
      <c r="DO5" s="76">
        <v>15</v>
      </c>
      <c r="DP5" s="76">
        <v>16</v>
      </c>
      <c r="DQ5" s="76" t="s">
        <v>1192</v>
      </c>
      <c r="DR5" s="76">
        <v>1</v>
      </c>
      <c r="DS5" s="76">
        <v>2</v>
      </c>
      <c r="DT5" s="76">
        <v>3</v>
      </c>
      <c r="DU5" s="76">
        <v>4</v>
      </c>
      <c r="DV5" s="76">
        <v>5</v>
      </c>
      <c r="DW5" s="76">
        <v>6</v>
      </c>
      <c r="DX5" s="76">
        <v>7</v>
      </c>
      <c r="DY5" s="76">
        <v>8</v>
      </c>
      <c r="DZ5" s="76">
        <v>9</v>
      </c>
      <c r="EA5" s="76">
        <v>10</v>
      </c>
      <c r="EB5" s="76">
        <v>11</v>
      </c>
      <c r="EC5" s="76">
        <v>12</v>
      </c>
      <c r="ED5" s="76">
        <v>13</v>
      </c>
      <c r="EE5" s="76">
        <v>14</v>
      </c>
      <c r="EF5" s="76">
        <v>15</v>
      </c>
      <c r="EG5" s="76">
        <v>16</v>
      </c>
      <c r="EH5" s="76" t="s">
        <v>1192</v>
      </c>
      <c r="EI5" s="76">
        <v>1</v>
      </c>
      <c r="EJ5" s="76">
        <v>2</v>
      </c>
      <c r="EK5" s="76">
        <v>3</v>
      </c>
      <c r="EL5" s="76">
        <v>4</v>
      </c>
      <c r="EM5" s="76">
        <v>5</v>
      </c>
      <c r="EN5" s="76">
        <v>6</v>
      </c>
      <c r="EO5" s="76">
        <v>7</v>
      </c>
      <c r="EP5" s="76">
        <v>8</v>
      </c>
      <c r="EQ5" s="76">
        <v>9</v>
      </c>
      <c r="ER5" s="76">
        <v>10</v>
      </c>
      <c r="ES5" s="76">
        <v>11</v>
      </c>
      <c r="ET5" s="76">
        <v>12</v>
      </c>
      <c r="EU5" s="76">
        <v>13</v>
      </c>
      <c r="EV5" s="76">
        <v>14</v>
      </c>
      <c r="EW5" s="76">
        <v>15</v>
      </c>
      <c r="EX5" s="76">
        <v>16</v>
      </c>
      <c r="EY5" s="76" t="s">
        <v>1192</v>
      </c>
      <c r="EZ5" s="76">
        <v>1</v>
      </c>
      <c r="FA5" s="76">
        <v>2</v>
      </c>
      <c r="FB5" s="76">
        <v>3</v>
      </c>
      <c r="FC5" s="76">
        <v>4</v>
      </c>
      <c r="FD5" s="76">
        <v>5</v>
      </c>
      <c r="FE5" s="76">
        <v>6</v>
      </c>
      <c r="FF5" s="76">
        <v>7</v>
      </c>
      <c r="FG5" s="76">
        <v>8</v>
      </c>
      <c r="FH5" s="76">
        <v>9</v>
      </c>
      <c r="FI5" s="76">
        <v>10</v>
      </c>
      <c r="FJ5" s="76">
        <v>11</v>
      </c>
      <c r="FK5" s="76">
        <v>12</v>
      </c>
      <c r="FL5" s="76">
        <v>13</v>
      </c>
      <c r="FM5" s="76">
        <v>14</v>
      </c>
      <c r="FN5" s="76">
        <v>15</v>
      </c>
      <c r="FO5" s="76">
        <v>16</v>
      </c>
      <c r="FP5" s="76" t="s">
        <v>1192</v>
      </c>
      <c r="FQ5" s="76">
        <v>1</v>
      </c>
      <c r="FR5" s="76">
        <v>2</v>
      </c>
      <c r="FS5" s="76">
        <v>3</v>
      </c>
      <c r="FT5" s="76">
        <v>4</v>
      </c>
      <c r="FU5" s="76">
        <v>5</v>
      </c>
      <c r="FV5" s="76">
        <v>6</v>
      </c>
      <c r="FW5" s="76">
        <v>7</v>
      </c>
      <c r="FX5" s="76">
        <v>8</v>
      </c>
      <c r="FY5" s="76">
        <v>9</v>
      </c>
      <c r="FZ5" s="76">
        <v>10</v>
      </c>
      <c r="GA5" s="76">
        <v>11</v>
      </c>
      <c r="GB5" s="76">
        <v>12</v>
      </c>
      <c r="GC5" s="76">
        <v>13</v>
      </c>
      <c r="GD5" s="76">
        <v>14</v>
      </c>
      <c r="GE5" s="76">
        <v>15</v>
      </c>
      <c r="GF5" s="76">
        <v>16</v>
      </c>
      <c r="GG5" s="76" t="s">
        <v>1192</v>
      </c>
      <c r="GH5" s="76">
        <v>1</v>
      </c>
      <c r="GI5" s="76">
        <v>2</v>
      </c>
      <c r="GJ5" s="76">
        <v>3</v>
      </c>
      <c r="GK5" s="76">
        <v>4</v>
      </c>
      <c r="GL5" s="76">
        <v>5</v>
      </c>
      <c r="GM5" s="76">
        <v>6</v>
      </c>
      <c r="GN5" s="76">
        <v>7</v>
      </c>
      <c r="GO5" s="76">
        <v>8</v>
      </c>
      <c r="GP5" s="76">
        <v>9</v>
      </c>
      <c r="GQ5" s="76">
        <v>10</v>
      </c>
      <c r="GR5" s="76">
        <v>11</v>
      </c>
      <c r="GS5" s="76">
        <v>12</v>
      </c>
      <c r="GT5" s="76">
        <v>13</v>
      </c>
      <c r="GU5" s="76">
        <v>14</v>
      </c>
      <c r="GV5" s="76">
        <v>15</v>
      </c>
      <c r="GW5" s="76">
        <v>16</v>
      </c>
      <c r="GX5" s="76" t="s">
        <v>1192</v>
      </c>
      <c r="GY5" s="76">
        <v>1</v>
      </c>
      <c r="GZ5" s="76">
        <v>2</v>
      </c>
      <c r="HA5" s="76">
        <v>3</v>
      </c>
      <c r="HB5" s="76">
        <v>4</v>
      </c>
      <c r="HC5" s="76">
        <v>5</v>
      </c>
      <c r="HD5" s="76">
        <v>6</v>
      </c>
      <c r="HE5" s="76">
        <v>7</v>
      </c>
      <c r="HF5" s="76">
        <v>8</v>
      </c>
      <c r="HG5" s="76">
        <v>9</v>
      </c>
      <c r="HH5" s="76">
        <v>10</v>
      </c>
      <c r="HI5" s="76">
        <v>11</v>
      </c>
      <c r="HJ5" s="76">
        <v>12</v>
      </c>
      <c r="HK5" s="76">
        <v>13</v>
      </c>
      <c r="HL5" s="76">
        <v>14</v>
      </c>
      <c r="HM5" s="76">
        <v>15</v>
      </c>
      <c r="HN5" s="76">
        <v>16</v>
      </c>
      <c r="HO5" s="76" t="s">
        <v>1192</v>
      </c>
      <c r="HP5" s="76">
        <v>1</v>
      </c>
      <c r="HQ5" s="76">
        <v>2</v>
      </c>
      <c r="HR5" s="76">
        <v>3</v>
      </c>
      <c r="HS5" s="76">
        <v>4</v>
      </c>
      <c r="HT5" s="76">
        <v>5</v>
      </c>
      <c r="HU5" s="76">
        <v>6</v>
      </c>
      <c r="HV5" s="76">
        <v>7</v>
      </c>
      <c r="HW5" s="76">
        <v>8</v>
      </c>
      <c r="HX5" s="76">
        <v>9</v>
      </c>
      <c r="HY5" s="76">
        <v>10</v>
      </c>
      <c r="HZ5" s="76">
        <v>11</v>
      </c>
      <c r="IA5" s="76">
        <v>12</v>
      </c>
      <c r="IB5" s="76">
        <v>13</v>
      </c>
      <c r="IC5" s="76">
        <v>14</v>
      </c>
      <c r="ID5" s="76">
        <v>15</v>
      </c>
      <c r="IE5" s="76">
        <v>16</v>
      </c>
      <c r="IF5" s="76" t="s">
        <v>1192</v>
      </c>
      <c r="IG5" s="76">
        <v>1</v>
      </c>
      <c r="IH5" s="76">
        <v>2</v>
      </c>
      <c r="II5" s="76">
        <v>3</v>
      </c>
      <c r="IJ5" s="76">
        <v>4</v>
      </c>
      <c r="IK5" s="76">
        <v>5</v>
      </c>
      <c r="IL5" s="76">
        <v>6</v>
      </c>
      <c r="IM5" s="76">
        <v>7</v>
      </c>
      <c r="IN5" s="76">
        <v>8</v>
      </c>
      <c r="IO5" s="76">
        <v>9</v>
      </c>
      <c r="IP5" s="76">
        <v>10</v>
      </c>
      <c r="IQ5" s="76">
        <v>11</v>
      </c>
      <c r="IR5" s="76">
        <v>12</v>
      </c>
      <c r="IS5" s="76">
        <v>13</v>
      </c>
      <c r="IT5" s="76">
        <v>14</v>
      </c>
      <c r="IU5" s="76">
        <v>15</v>
      </c>
      <c r="IV5" s="76">
        <v>16</v>
      </c>
      <c r="IW5" s="76" t="s">
        <v>1192</v>
      </c>
      <c r="IX5" s="76">
        <v>1</v>
      </c>
      <c r="IY5" s="76">
        <v>2</v>
      </c>
      <c r="IZ5" s="76">
        <v>3</v>
      </c>
      <c r="JA5" s="76">
        <v>4</v>
      </c>
      <c r="JB5" s="76">
        <v>5</v>
      </c>
      <c r="JC5" s="76">
        <v>6</v>
      </c>
      <c r="JD5" s="76">
        <v>7</v>
      </c>
      <c r="JE5" s="76">
        <v>8</v>
      </c>
      <c r="JF5" s="76">
        <v>9</v>
      </c>
      <c r="JG5" s="76">
        <v>10</v>
      </c>
      <c r="JH5" s="76">
        <v>11</v>
      </c>
      <c r="JI5" s="76">
        <v>12</v>
      </c>
      <c r="JJ5" s="76">
        <v>13</v>
      </c>
      <c r="JK5" s="76">
        <v>14</v>
      </c>
      <c r="JL5" s="76">
        <v>15</v>
      </c>
      <c r="JM5" s="76">
        <v>16</v>
      </c>
      <c r="JN5" s="76" t="s">
        <v>1192</v>
      </c>
    </row>
    <row r="6" spans="1:274">
      <c r="A6" s="76"/>
      <c r="B6" s="76">
        <v>1</v>
      </c>
      <c r="C6" s="324">
        <f>WSALQURAN!$E$6</f>
        <v>83.333333333333329</v>
      </c>
      <c r="D6" s="324">
        <f>WSALQURAN!$E$14</f>
        <v>95</v>
      </c>
      <c r="E6" s="324">
        <f>WSALQURAN!$E$22</f>
        <v>90</v>
      </c>
      <c r="F6" s="324">
        <f>WSALQURAN!$E$30</f>
        <v>83.333333333333329</v>
      </c>
      <c r="G6" s="324">
        <f>WSALQURAN!$E$38</f>
        <v>78.333333333333329</v>
      </c>
      <c r="H6" s="324">
        <f>WSALQURAN!$E$46</f>
        <v>80</v>
      </c>
      <c r="I6" s="324">
        <f>WSALQURAN!$E$54</f>
        <v>98</v>
      </c>
      <c r="J6" s="324" t="str">
        <f>WSALQURAN!$E$62</f>
        <v/>
      </c>
      <c r="K6" s="324" t="str">
        <f>WSALQURAN!$E$70</f>
        <v/>
      </c>
      <c r="L6" s="324" t="str">
        <f>WSALQURAN!$E$78</f>
        <v/>
      </c>
      <c r="M6" s="324" t="str">
        <f>WSALQURAN!$E$86</f>
        <v/>
      </c>
      <c r="N6" s="324" t="str">
        <f>WSALQURAN!$E$94</f>
        <v/>
      </c>
      <c r="O6" s="324" t="str">
        <f>WSALQURAN!$E$102</f>
        <v/>
      </c>
      <c r="P6" s="76"/>
      <c r="Q6" s="76"/>
      <c r="R6" s="76"/>
      <c r="S6" s="76" t="s">
        <v>1966</v>
      </c>
      <c r="T6" s="324">
        <f>WSAQIDAH!$E$6</f>
        <v>90</v>
      </c>
      <c r="U6" s="324">
        <f>WSAQIDAH!$E$14</f>
        <v>100</v>
      </c>
      <c r="V6" s="324">
        <f>WSAQIDAH!$E$22</f>
        <v>85</v>
      </c>
      <c r="W6" s="324">
        <f>WSAQIDAH!$E$30</f>
        <v>90</v>
      </c>
      <c r="X6" s="324">
        <f>WSAQIDAH!$E$38</f>
        <v>75</v>
      </c>
      <c r="Y6" s="324">
        <f>WSAQIDAH!$E$46</f>
        <v>100</v>
      </c>
      <c r="Z6" s="324">
        <f>WSAQIDAH!$E$54</f>
        <v>90</v>
      </c>
      <c r="AA6" s="324">
        <f>WSAQIDAH!$E$62</f>
        <v>100</v>
      </c>
      <c r="AB6" s="324">
        <f>WSAQIDAH!$E$70</f>
        <v>100</v>
      </c>
      <c r="AC6" s="324">
        <f>WSAQIDAH!$E$78</f>
        <v>75</v>
      </c>
      <c r="AD6" s="324" t="str">
        <f>WSAQIDAH!$E$86</f>
        <v/>
      </c>
      <c r="AE6" s="324" t="str">
        <f>WSAQIDAH!$E$94</f>
        <v/>
      </c>
      <c r="AF6" s="324" t="str">
        <f>WSAQIDAH!$E$102</f>
        <v/>
      </c>
      <c r="AG6" s="76"/>
      <c r="AH6" s="76"/>
      <c r="AI6" s="76"/>
      <c r="AJ6" s="76" t="s">
        <v>1970</v>
      </c>
      <c r="AK6" s="324">
        <f>WSFIQIH!$E$6</f>
        <v>87.75</v>
      </c>
      <c r="AL6" s="324">
        <f>WSFIQIH!$E$19</f>
        <v>95</v>
      </c>
      <c r="AM6" s="324">
        <f>WSFIQIH!$E$28</f>
        <v>80</v>
      </c>
      <c r="AN6" s="324">
        <f>WSFIQIH!$E$41</f>
        <v>85</v>
      </c>
      <c r="AO6" s="324" t="str">
        <f>WSFIQIH!$E$49</f>
        <v/>
      </c>
      <c r="AP6" s="324">
        <f>WSFIQIH!$E$62</f>
        <v>98</v>
      </c>
      <c r="AQ6" s="324">
        <f>WSFIQIH!$E$71</f>
        <v>90</v>
      </c>
      <c r="AR6" s="324">
        <f>WSFIQIH!$E$80</f>
        <v>78</v>
      </c>
      <c r="AS6" s="324" t="str">
        <f>WSFIQIH!$E$88</f>
        <v/>
      </c>
      <c r="AT6" s="324" t="str">
        <f>WSFIQIH!$E$96</f>
        <v/>
      </c>
      <c r="AU6" s="324" t="str">
        <f>WSFIQIH!$E$104</f>
        <v/>
      </c>
      <c r="AV6" s="324" t="str">
        <f>WSFIQIH!$E$112</f>
        <v/>
      </c>
      <c r="AW6" s="324" t="str">
        <f>WSFIQIH!$E$120</f>
        <v/>
      </c>
      <c r="AX6" s="76"/>
      <c r="AY6" s="76"/>
      <c r="AZ6" s="76"/>
      <c r="BA6" s="76" t="s">
        <v>1221</v>
      </c>
      <c r="BB6" s="324">
        <f>WSSKI!$E$6</f>
        <v>82.5</v>
      </c>
      <c r="BC6" s="324">
        <f>WSSKI!$E$14</f>
        <v>94</v>
      </c>
      <c r="BD6" s="324">
        <f>WSSKI!$E$23</f>
        <v>80</v>
      </c>
      <c r="BE6" s="324">
        <f>WSSKI!$E$31</f>
        <v>75</v>
      </c>
      <c r="BF6" s="324">
        <f>WSSKI!$E$40</f>
        <v>90</v>
      </c>
      <c r="BG6" s="324">
        <f>WSSKI!$E$48</f>
        <v>75</v>
      </c>
      <c r="BH6" s="324" t="str">
        <f>WSSKI!$E$56</f>
        <v/>
      </c>
      <c r="BI6" s="324" t="str">
        <f>WSSKI!$E$64</f>
        <v/>
      </c>
      <c r="BJ6" s="324" t="str">
        <f>WSSKI!$E$72</f>
        <v/>
      </c>
      <c r="BK6" s="324" t="str">
        <f>WSSKI!$E$80</f>
        <v/>
      </c>
      <c r="BL6" s="324" t="str">
        <f>WSSKI!$E$88</f>
        <v/>
      </c>
      <c r="BM6" s="324" t="str">
        <f>WSSKI!$E$96</f>
        <v/>
      </c>
      <c r="BN6" s="324" t="str">
        <f>WSSKI!$E$104</f>
        <v/>
      </c>
      <c r="BO6" s="76"/>
      <c r="BP6" s="76"/>
      <c r="BQ6" s="76"/>
      <c r="BR6" s="76" t="s">
        <v>1983</v>
      </c>
      <c r="BS6" s="324">
        <f>WSPKN!$E$6</f>
        <v>93.125</v>
      </c>
      <c r="BT6" s="324">
        <f>WSPKN!$E$32</f>
        <v>97.666666666666671</v>
      </c>
      <c r="BU6" s="324">
        <f>WSPKN!$E$55</f>
        <v>97.5</v>
      </c>
      <c r="BV6" s="324">
        <f>WSPKN!$E$72</f>
        <v>93.638888888888886</v>
      </c>
      <c r="BW6" s="324">
        <f>WSPKN!$E$86</f>
        <v>94.583333333333329</v>
      </c>
      <c r="BX6" s="324">
        <f>WSPKN!$E$108</f>
        <v>97.666666666666671</v>
      </c>
      <c r="BY6" s="324">
        <f>WSPKN!$E$132</f>
        <v>97.5</v>
      </c>
      <c r="BZ6" s="324">
        <f>WSPKN!$E$148</f>
        <v>94.166666666666671</v>
      </c>
      <c r="CA6" s="324" t="str">
        <f>WSPKN!$E$165</f>
        <v/>
      </c>
      <c r="CB6" s="324" t="str">
        <f>WSPKN!$E$173</f>
        <v/>
      </c>
      <c r="CC6" s="324" t="str">
        <f>WSPKN!$E$181</f>
        <v/>
      </c>
      <c r="CD6" s="324" t="str">
        <f>WSPKN!$E$189</f>
        <v/>
      </c>
      <c r="CE6" s="324" t="str">
        <f>WSPKN!$E$197</f>
        <v/>
      </c>
      <c r="CF6" s="76"/>
      <c r="CG6" s="76"/>
      <c r="CH6" s="76"/>
      <c r="CI6" s="76" t="s">
        <v>1884</v>
      </c>
      <c r="CJ6" s="324">
        <f>WSIND!$E$6</f>
        <v>96.875</v>
      </c>
      <c r="CK6" s="324">
        <f>WSIND!$E$65</f>
        <v>93.541666666666671</v>
      </c>
      <c r="CL6" s="324">
        <f>WSIND!$E$113</f>
        <v>93.888888888888886</v>
      </c>
      <c r="CM6" s="324">
        <f>WSIND!$E$133</f>
        <v>94.666666666666671</v>
      </c>
      <c r="CN6" s="324">
        <f>WSIND!$E$161</f>
        <v>97.272727272727266</v>
      </c>
      <c r="CO6" s="324">
        <f>WSIND!$E$192</f>
        <v>96.739130434782609</v>
      </c>
      <c r="CP6" s="324">
        <f>WSIND!$E$228</f>
        <v>93.541666666666671</v>
      </c>
      <c r="CQ6" s="324">
        <f>WSIND!$E$256</f>
        <v>93.888888888888886</v>
      </c>
      <c r="CR6" s="324">
        <f>WSIND!$E$277</f>
        <v>94.666666666666671</v>
      </c>
      <c r="CS6" s="324">
        <f>WSIND!$E$305</f>
        <v>97.272727272727266</v>
      </c>
      <c r="CT6" s="324" t="str">
        <f>WSIND!$E$329</f>
        <v/>
      </c>
      <c r="CU6" s="324" t="str">
        <f>WSIND!$E$337</f>
        <v/>
      </c>
      <c r="CV6" s="324" t="str">
        <f>WSIND!$E$345</f>
        <v/>
      </c>
      <c r="CW6" s="76"/>
      <c r="CX6" s="76"/>
      <c r="CY6" s="76"/>
      <c r="CZ6" s="76" t="s">
        <v>1891</v>
      </c>
      <c r="DA6" s="324" t="str">
        <f>WSARAB!$E$6</f>
        <v/>
      </c>
      <c r="DB6" s="324" t="str">
        <f>WSARAB!$E$17</f>
        <v/>
      </c>
      <c r="DC6" s="324" t="str">
        <f>WSARAB!$E$29</f>
        <v/>
      </c>
      <c r="DD6" s="324" t="str">
        <f>WSARAB!$E$37</f>
        <v/>
      </c>
      <c r="DE6" s="324" t="str">
        <f>WSARAB!$E$45</f>
        <v/>
      </c>
      <c r="DF6" s="324" t="str">
        <f>WSARAB!$E$53</f>
        <v/>
      </c>
      <c r="DG6" s="324" t="str">
        <f>WSARAB!$E$65</f>
        <v/>
      </c>
      <c r="DH6" s="324" t="str">
        <f>WSARAB!$E$73</f>
        <v/>
      </c>
      <c r="DI6" s="324" t="str">
        <f>WSARAB!$E$81</f>
        <v/>
      </c>
      <c r="DJ6" s="324" t="str">
        <f>WSARAB!$E$89</f>
        <v/>
      </c>
      <c r="DK6" s="324" t="str">
        <f>WSARAB!$E$97</f>
        <v/>
      </c>
      <c r="DL6" s="324" t="str">
        <f>WSARAB!$E$105</f>
        <v/>
      </c>
      <c r="DM6" s="324" t="str">
        <f>WSARAB!$E$113</f>
        <v/>
      </c>
      <c r="DN6" s="76"/>
      <c r="DO6" s="76"/>
      <c r="DP6" s="76"/>
      <c r="DQ6" s="76" t="s">
        <v>1317</v>
      </c>
      <c r="DR6" s="324">
        <f>WSMTK!$E$6</f>
        <v>93</v>
      </c>
      <c r="DS6" s="324">
        <f>WSMTK!$E$22</f>
        <v>93.75</v>
      </c>
      <c r="DT6" s="324">
        <f>WSMTK!$E$35</f>
        <v>94.137931034482762</v>
      </c>
      <c r="DU6" s="324">
        <f>WSMTK!$E$69</f>
        <v>96.5625</v>
      </c>
      <c r="DV6" s="324">
        <f>WSMTK!$E$87</f>
        <v>93</v>
      </c>
      <c r="DW6" s="324">
        <f>WSMTK!$E$99</f>
        <v>93.75</v>
      </c>
      <c r="DX6" s="324">
        <f>WSMTK!$E$113</f>
        <v>94.137931034482762</v>
      </c>
      <c r="DY6" s="324">
        <f>WSMTK!$E$145</f>
        <v>96.333333333333329</v>
      </c>
      <c r="DZ6" s="324" t="str">
        <f>WSMTK!$E$168</f>
        <v/>
      </c>
      <c r="EA6" s="324" t="str">
        <f>WSMTK!$E$176</f>
        <v/>
      </c>
      <c r="EB6" s="324" t="str">
        <f>WSMTK!$E$184</f>
        <v/>
      </c>
      <c r="EC6" s="324" t="str">
        <f>WSMTK!$E$192</f>
        <v/>
      </c>
      <c r="ED6" s="324" t="str">
        <f>WSMTK!$E$200</f>
        <v/>
      </c>
      <c r="EE6" s="76"/>
      <c r="EF6" s="76"/>
      <c r="EG6" s="76"/>
      <c r="EH6" s="76" t="s">
        <v>1303</v>
      </c>
      <c r="EI6" s="324" t="str">
        <f>WSIPA!$E$6</f>
        <v/>
      </c>
      <c r="EJ6" s="324" t="str">
        <f>WSIPA!$E$14</f>
        <v/>
      </c>
      <c r="EK6" s="324" t="str">
        <f>WSIPA!$E$22</f>
        <v/>
      </c>
      <c r="EL6" s="324" t="str">
        <f>WSIPA!$E$30</f>
        <v/>
      </c>
      <c r="EM6" s="324" t="str">
        <f>WSIPA!$E$38</f>
        <v/>
      </c>
      <c r="EN6" s="324" t="str">
        <f>WSIPA!$E$46</f>
        <v/>
      </c>
      <c r="EO6" s="324" t="str">
        <f>WSIPA!$E$54</f>
        <v/>
      </c>
      <c r="EP6" s="324" t="str">
        <f>WSIPA!$E$62</f>
        <v/>
      </c>
      <c r="EQ6" s="324" t="str">
        <f>WSIPA!$E$70</f>
        <v/>
      </c>
      <c r="ER6" s="324" t="str">
        <f>WSIPA!$E$78</f>
        <v/>
      </c>
      <c r="ES6" s="324" t="str">
        <f>WSIPA!$E$86</f>
        <v/>
      </c>
      <c r="ET6" s="324" t="str">
        <f>WSIPA!$E$94</f>
        <v/>
      </c>
      <c r="EU6" s="324" t="str">
        <f>WSIPA!$E$102</f>
        <v/>
      </c>
      <c r="EV6" s="76"/>
      <c r="EW6" s="76"/>
      <c r="EX6" s="76"/>
      <c r="EY6" s="76" t="s">
        <v>1234</v>
      </c>
      <c r="EZ6" s="324" t="str">
        <f>WSIPS!$E$6</f>
        <v/>
      </c>
      <c r="FA6" s="324" t="str">
        <f>WSIPS!$E$14</f>
        <v/>
      </c>
      <c r="FB6" s="324" t="str">
        <f>WSIPS!$E$22</f>
        <v/>
      </c>
      <c r="FC6" s="324" t="str">
        <f>WSIPS!$E$30</f>
        <v/>
      </c>
      <c r="FD6" s="324" t="str">
        <f>WSIPS!$E$38</f>
        <v/>
      </c>
      <c r="FE6" s="324" t="str">
        <f>WSIPS!$E$46</f>
        <v/>
      </c>
      <c r="FF6" s="324" t="str">
        <f>WSIPS!$E$54</f>
        <v/>
      </c>
      <c r="FG6" s="324" t="str">
        <f>WSIPS!$E$62</f>
        <v/>
      </c>
      <c r="FH6" s="324" t="str">
        <f>WSIPS!$E$70</f>
        <v/>
      </c>
      <c r="FI6" s="324" t="str">
        <f>WSIPS!$E$78</f>
        <v/>
      </c>
      <c r="FJ6" s="324" t="str">
        <f>WSIPS!$E$86</f>
        <v/>
      </c>
      <c r="FK6" s="324" t="str">
        <f>WSIPS!$E$94</f>
        <v/>
      </c>
      <c r="FL6" s="324" t="str">
        <f>WSIPS!$E$102</f>
        <v/>
      </c>
      <c r="FM6" s="76"/>
      <c r="FN6" s="76"/>
      <c r="FO6" s="76"/>
      <c r="FP6" s="76" t="s">
        <v>1265</v>
      </c>
      <c r="FQ6" s="324">
        <f>WSSBK!$E$6</f>
        <v>94.375</v>
      </c>
      <c r="FR6" s="324">
        <f>WSSBK!$E$16</f>
        <v>96.25</v>
      </c>
      <c r="FS6" s="324">
        <f>WSSBK!$E$26</f>
        <v>96.25</v>
      </c>
      <c r="FT6" s="324">
        <f>WSSBK!$E$36</f>
        <v>89.375</v>
      </c>
      <c r="FU6" s="324">
        <f>WSSBK!$E$46</f>
        <v>94.375</v>
      </c>
      <c r="FV6" s="324">
        <f>WSSBK!$E$58</f>
        <v>96.25</v>
      </c>
      <c r="FW6" s="324">
        <f>WSSBK!$E$68</f>
        <v>96.25</v>
      </c>
      <c r="FX6" s="324">
        <f>WSSBK!$E$77</f>
        <v>89.375</v>
      </c>
      <c r="FY6" s="324" t="str">
        <f>WSSBK!$E$87</f>
        <v/>
      </c>
      <c r="FZ6" s="324" t="str">
        <f>WSSBK!$E$95</f>
        <v/>
      </c>
      <c r="GA6" s="324" t="str">
        <f>WSSBK!$E$103</f>
        <v/>
      </c>
      <c r="GB6" s="324" t="str">
        <f>WSSBK!$E$111</f>
        <v/>
      </c>
      <c r="GC6" s="324" t="str">
        <f>WSSBK!$E$119</f>
        <v/>
      </c>
      <c r="GD6" s="76"/>
      <c r="GE6" s="76"/>
      <c r="GF6" s="76"/>
      <c r="GG6" s="76" t="s">
        <v>1953</v>
      </c>
      <c r="GH6" s="334">
        <f>WSPENJAS!$E$6</f>
        <v>95</v>
      </c>
      <c r="GI6" s="334">
        <f>WSPENJAS!$E$7</f>
        <v>95</v>
      </c>
      <c r="GJ6" s="334">
        <f>WSPENJAS!$E$8</f>
        <v>95</v>
      </c>
      <c r="GK6" s="334">
        <f>WSPENJAS!$E$9</f>
        <v>95</v>
      </c>
      <c r="GL6" s="334">
        <f>WSPENJAS!$E$10</f>
        <v>95</v>
      </c>
      <c r="GM6" s="334">
        <f>WSPENJAS!$E$11</f>
        <v>95</v>
      </c>
      <c r="GN6" s="334">
        <f>WSPENJAS!$E$12</f>
        <v>95</v>
      </c>
      <c r="GO6" s="334">
        <f>WSPENJAS!$E$13</f>
        <v>95</v>
      </c>
      <c r="GP6" s="334">
        <f>WSPENJAS!$E$14</f>
        <v>95</v>
      </c>
      <c r="GQ6" s="334">
        <f>WSPENJAS!$E$15</f>
        <v>95</v>
      </c>
      <c r="GR6" s="334">
        <f>WSPENJAS!$E$16</f>
        <v>0</v>
      </c>
      <c r="GS6" s="334">
        <f>WSPENJAS!$E$17</f>
        <v>0</v>
      </c>
      <c r="GT6" s="334">
        <f>WSPENJAS!$E$18</f>
        <v>0</v>
      </c>
      <c r="GU6" s="334">
        <f>WSPENJAS!$E$19</f>
        <v>0</v>
      </c>
      <c r="GV6" s="334">
        <f>WSPENJAS!$E$20</f>
        <v>0</v>
      </c>
      <c r="GW6" s="334">
        <f>WSPENJAS!$E$21</f>
        <v>0</v>
      </c>
      <c r="GX6" s="76" t="s">
        <v>1290</v>
      </c>
      <c r="GY6" s="324">
        <f>WSJAWA!$E$6</f>
        <v>100</v>
      </c>
      <c r="GZ6" s="324">
        <f>WSJAWA!$E$14</f>
        <v>86.666666666666671</v>
      </c>
      <c r="HA6" s="324">
        <f>WSJAWA!$E$22</f>
        <v>100</v>
      </c>
      <c r="HB6" s="324">
        <f>WSJAWA!$E$30</f>
        <v>100</v>
      </c>
      <c r="HC6" s="324">
        <f>WSJAWA!$E$38</f>
        <v>100</v>
      </c>
      <c r="HD6" s="324">
        <f>WSJAWA!$E$46</f>
        <v>80</v>
      </c>
      <c r="HE6" s="324">
        <f>WSJAWA!$E$54</f>
        <v>75</v>
      </c>
      <c r="HF6" s="324">
        <f>WSJAWA!$E$62</f>
        <v>93.333333333333329</v>
      </c>
      <c r="HG6" s="324" t="str">
        <f>WSJAWA!$E$70</f>
        <v/>
      </c>
      <c r="HH6" s="324" t="str">
        <f>WSJAWA!$E$78</f>
        <v/>
      </c>
      <c r="HI6" s="324" t="str">
        <f>WSJAWA!$E$86</f>
        <v/>
      </c>
      <c r="HJ6" s="324" t="str">
        <f>WSJAWA!$E$94</f>
        <v/>
      </c>
      <c r="HK6" s="324" t="str">
        <f>WSJAWA!$E$102</f>
        <v/>
      </c>
      <c r="HL6" s="76"/>
      <c r="HM6" s="76"/>
      <c r="HN6" s="76"/>
      <c r="HO6" s="76" t="s">
        <v>1276</v>
      </c>
      <c r="HP6" s="324">
        <f>WSING!$E$6</f>
        <v>87.5</v>
      </c>
      <c r="HQ6" s="324">
        <f>WSING!$E$15</f>
        <v>87.5</v>
      </c>
      <c r="HR6" s="324">
        <f>WSING!$E$24</f>
        <v>89.166666666666671</v>
      </c>
      <c r="HS6" s="324">
        <f>WSING!$E$33</f>
        <v>89.166666666666671</v>
      </c>
      <c r="HT6" s="324" t="str">
        <f>WSING!$E$42</f>
        <v/>
      </c>
      <c r="HU6" s="324" t="str">
        <f>WSING!$E$50</f>
        <v/>
      </c>
      <c r="HV6" s="324" t="str">
        <f>WSING!$E$58</f>
        <v/>
      </c>
      <c r="HW6" s="324" t="str">
        <f>WSING!$E$66</f>
        <v/>
      </c>
      <c r="HX6" s="324" t="str">
        <f>WSING!$E$74</f>
        <v/>
      </c>
      <c r="HY6" s="324" t="str">
        <f>WSING!$E$82</f>
        <v/>
      </c>
      <c r="HZ6" s="324" t="str">
        <f>WSING!$E$90</f>
        <v/>
      </c>
      <c r="IA6" s="324" t="str">
        <f>WSING!$E$98</f>
        <v/>
      </c>
      <c r="IB6" s="324" t="str">
        <f>WSING!$E$106</f>
        <v/>
      </c>
      <c r="IC6" s="76"/>
      <c r="ID6" s="76"/>
      <c r="IE6" s="76"/>
      <c r="IF6" s="76" t="s">
        <v>1241</v>
      </c>
      <c r="IG6" s="324" t="str">
        <f>WSTIK!$E$6</f>
        <v/>
      </c>
      <c r="IH6" s="324" t="str">
        <f>WSTIK!$E$14</f>
        <v/>
      </c>
      <c r="II6" s="324" t="str">
        <f>WSTIK!$E$22</f>
        <v/>
      </c>
      <c r="IJ6" s="324" t="str">
        <f>WSTIK!$E$30</f>
        <v/>
      </c>
      <c r="IK6" s="324" t="str">
        <f>WSTIK!$E$38</f>
        <v/>
      </c>
      <c r="IL6" s="324" t="str">
        <f>WSTIK!$E$46</f>
        <v/>
      </c>
      <c r="IM6" s="324" t="str">
        <f>WSTIK!$E$54</f>
        <v/>
      </c>
      <c r="IN6" s="324" t="str">
        <f>WSTIK!$E$62</f>
        <v/>
      </c>
      <c r="IO6" s="324" t="str">
        <f>WSTIK!$E$70</f>
        <v/>
      </c>
      <c r="IP6" s="324" t="str">
        <f>WSTIK!$E$78</f>
        <v/>
      </c>
      <c r="IQ6" s="324" t="str">
        <f>WSTIK!$E$86</f>
        <v/>
      </c>
      <c r="IR6" s="324" t="str">
        <f>WSTIK!$E$94</f>
        <v/>
      </c>
      <c r="IS6" s="324" t="str">
        <f>WSTIK!$E$102</f>
        <v/>
      </c>
      <c r="IT6" s="76"/>
      <c r="IU6" s="76"/>
      <c r="IV6" s="76"/>
      <c r="IW6" s="76"/>
      <c r="IX6" s="324" t="str">
        <f>WSASWAJA!$E$6</f>
        <v/>
      </c>
      <c r="IY6" s="324" t="str">
        <f>WSASWAJA!$E$14</f>
        <v/>
      </c>
      <c r="IZ6" s="324" t="str">
        <f>WSASWAJA!$E$22</f>
        <v/>
      </c>
      <c r="JA6" s="324" t="str">
        <f>WSASWAJA!$E$30</f>
        <v/>
      </c>
      <c r="JB6" s="324" t="str">
        <f>WSASWAJA!$E$38</f>
        <v/>
      </c>
      <c r="JC6" s="324" t="str">
        <f>WSASWAJA!$E$46</f>
        <v/>
      </c>
      <c r="JD6" s="324" t="str">
        <f>WSASWAJA!$E$54</f>
        <v/>
      </c>
      <c r="JE6" s="324" t="str">
        <f>WSASWAJA!$E$62</f>
        <v/>
      </c>
      <c r="JF6" s="324" t="str">
        <f>WSASWAJA!$E$70</f>
        <v/>
      </c>
      <c r="JG6" s="324" t="str">
        <f>WSASWAJA!$E$78</f>
        <v/>
      </c>
      <c r="JH6" s="324" t="str">
        <f>WSASWAJA!$E$86</f>
        <v/>
      </c>
      <c r="JI6" s="324" t="str">
        <f>WSASWAJA!$E$94</f>
        <v/>
      </c>
      <c r="JJ6" s="324" t="str">
        <f>WSASWAJA!$E$102</f>
        <v/>
      </c>
      <c r="JK6" s="76"/>
      <c r="JL6" s="76"/>
      <c r="JM6" s="76"/>
      <c r="JN6" s="76"/>
    </row>
    <row r="7" spans="1:274">
      <c r="A7" s="76"/>
      <c r="B7" s="76">
        <v>2</v>
      </c>
      <c r="C7" s="324">
        <f>WSALQURAN!$F$6</f>
        <v>83.333333333333329</v>
      </c>
      <c r="D7" s="324">
        <f>WSALQURAN!$F$14</f>
        <v>95</v>
      </c>
      <c r="E7" s="324">
        <f>WSALQURAN!$F$22</f>
        <v>90</v>
      </c>
      <c r="F7" s="324">
        <f>WSALQURAN!$F$30</f>
        <v>83.333333333333329</v>
      </c>
      <c r="G7" s="324">
        <f>WSALQURAN!$F$38</f>
        <v>83.333333333333329</v>
      </c>
      <c r="H7" s="324">
        <f>WSALQURAN!$F$46</f>
        <v>75</v>
      </c>
      <c r="I7" s="324">
        <f>WSALQURAN!$F$54</f>
        <v>96.5</v>
      </c>
      <c r="J7" s="324" t="str">
        <f>WSALQURAN!$F$62</f>
        <v/>
      </c>
      <c r="K7" s="324" t="str">
        <f>WSALQURAN!$F$70</f>
        <v/>
      </c>
      <c r="L7" s="324" t="str">
        <f>WSALQURAN!$F$78</f>
        <v/>
      </c>
      <c r="M7" s="324" t="str">
        <f>WSALQURAN!$F$86</f>
        <v/>
      </c>
      <c r="N7" s="324" t="str">
        <f>WSALQURAN!$F$94</f>
        <v/>
      </c>
      <c r="O7" s="324" t="str">
        <f>WSALQURAN!$F$102</f>
        <v/>
      </c>
      <c r="P7" s="76"/>
      <c r="Q7" s="76"/>
      <c r="R7" s="76"/>
      <c r="S7" s="76" t="s">
        <v>1968</v>
      </c>
      <c r="T7" s="324">
        <f>WSAQIDAH!$F$6</f>
        <v>75</v>
      </c>
      <c r="U7" s="324">
        <f>WSAQIDAH!$F$14</f>
        <v>100</v>
      </c>
      <c r="V7" s="324">
        <f>WSAQIDAH!$F$22</f>
        <v>100</v>
      </c>
      <c r="W7" s="324">
        <f>WSAQIDAH!$F$30</f>
        <v>75</v>
      </c>
      <c r="X7" s="324">
        <f>WSAQIDAH!$F$38</f>
        <v>90</v>
      </c>
      <c r="Y7" s="324">
        <f>WSAQIDAH!$F$46</f>
        <v>80</v>
      </c>
      <c r="Z7" s="324">
        <f>WSAQIDAH!$F$54</f>
        <v>75</v>
      </c>
      <c r="AA7" s="324">
        <f>WSAQIDAH!$F$62</f>
        <v>75</v>
      </c>
      <c r="AB7" s="324">
        <f>WSAQIDAH!$F$70</f>
        <v>75</v>
      </c>
      <c r="AC7" s="324">
        <f>WSAQIDAH!$F$78</f>
        <v>75</v>
      </c>
      <c r="AD7" s="324" t="str">
        <f>WSAQIDAH!$F$86</f>
        <v/>
      </c>
      <c r="AE7" s="324" t="str">
        <f>WSAQIDAH!$F$94</f>
        <v/>
      </c>
      <c r="AF7" s="324" t="str">
        <f>WSAQIDAH!$F$102</f>
        <v/>
      </c>
      <c r="AG7" s="76"/>
      <c r="AH7" s="76"/>
      <c r="AI7" s="76"/>
      <c r="AJ7" s="76" t="s">
        <v>1971</v>
      </c>
      <c r="AK7" s="324">
        <f>WSFIQIH!$F$6</f>
        <v>84.25</v>
      </c>
      <c r="AL7" s="324">
        <f>WSFIQIH!$F$19</f>
        <v>95</v>
      </c>
      <c r="AM7" s="324">
        <f>WSFIQIH!$F$28</f>
        <v>100</v>
      </c>
      <c r="AN7" s="324">
        <f>WSFIQIH!$F$41</f>
        <v>100</v>
      </c>
      <c r="AO7" s="324">
        <f>WSFIQIH!$F$49</f>
        <v>90</v>
      </c>
      <c r="AP7" s="324">
        <f>WSFIQIH!$F$62</f>
        <v>90</v>
      </c>
      <c r="AQ7" s="324">
        <f>WSFIQIH!$F$71</f>
        <v>100</v>
      </c>
      <c r="AR7" s="324">
        <f>WSFIQIH!$F$80</f>
        <v>80</v>
      </c>
      <c r="AS7" s="324" t="str">
        <f>WSFIQIH!$F$88</f>
        <v/>
      </c>
      <c r="AT7" s="324" t="str">
        <f>WSFIQIH!$F$96</f>
        <v/>
      </c>
      <c r="AU7" s="324" t="str">
        <f>WSFIQIH!$F$104</f>
        <v/>
      </c>
      <c r="AV7" s="324" t="str">
        <f>WSFIQIH!$F$112</f>
        <v/>
      </c>
      <c r="AW7" s="324" t="str">
        <f>WSFIQIH!$F$120</f>
        <v/>
      </c>
      <c r="AX7" s="76"/>
      <c r="AY7" s="76"/>
      <c r="AZ7" s="76"/>
      <c r="BA7" s="76" t="s">
        <v>1217</v>
      </c>
      <c r="BB7" s="324">
        <f>WSSKI!$F$6</f>
        <v>75</v>
      </c>
      <c r="BC7" s="324">
        <f>WSSKI!$F$14</f>
        <v>89</v>
      </c>
      <c r="BD7" s="324">
        <f>WSSKI!$F$23</f>
        <v>96.666666666666671</v>
      </c>
      <c r="BE7" s="324">
        <f>WSSKI!$F$31</f>
        <v>100</v>
      </c>
      <c r="BF7" s="324">
        <f>WSSKI!$F$40</f>
        <v>95</v>
      </c>
      <c r="BG7" s="324">
        <f>WSSKI!$F$48</f>
        <v>95</v>
      </c>
      <c r="BH7" s="324" t="str">
        <f>WSSKI!$F$56</f>
        <v/>
      </c>
      <c r="BI7" s="324" t="str">
        <f>WSSKI!$F$64</f>
        <v/>
      </c>
      <c r="BJ7" s="324" t="str">
        <f>WSSKI!$F$72</f>
        <v/>
      </c>
      <c r="BK7" s="324" t="str">
        <f>WSSKI!$F$80</f>
        <v/>
      </c>
      <c r="BL7" s="324" t="str">
        <f>WSSKI!$F$88</f>
        <v/>
      </c>
      <c r="BM7" s="324" t="str">
        <f>WSSKI!$F$96</f>
        <v/>
      </c>
      <c r="BN7" s="324" t="str">
        <f>WSSKI!$F$104</f>
        <v/>
      </c>
      <c r="BO7" s="76"/>
      <c r="BP7" s="76"/>
      <c r="BQ7" s="76"/>
      <c r="BR7" s="76" t="s">
        <v>1982</v>
      </c>
      <c r="BS7" s="324">
        <f>WSPKN!$F$6</f>
        <v>92.5</v>
      </c>
      <c r="BT7" s="324">
        <f>WSPKN!$F$32</f>
        <v>96.666666666666671</v>
      </c>
      <c r="BU7" s="324">
        <f>WSPKN!$F$55</f>
        <v>88.888888888888886</v>
      </c>
      <c r="BV7" s="324">
        <f>WSPKN!$F$72</f>
        <v>90.464285714285708</v>
      </c>
      <c r="BW7" s="324">
        <f>WSPKN!$F$86</f>
        <v>91.5</v>
      </c>
      <c r="BX7" s="324">
        <f>WSPKN!$F$108</f>
        <v>96.666666666666671</v>
      </c>
      <c r="BY7" s="324">
        <f>WSPKN!$F$132</f>
        <v>88.888888888888886</v>
      </c>
      <c r="BZ7" s="324">
        <f>WSPKN!$F$148</f>
        <v>91.818181818181813</v>
      </c>
      <c r="CA7" s="324" t="str">
        <f>WSPKN!$F$165</f>
        <v/>
      </c>
      <c r="CB7" s="324" t="str">
        <f>WSPKN!$F$173</f>
        <v/>
      </c>
      <c r="CC7" s="324" t="str">
        <f>WSPKN!$F$181</f>
        <v/>
      </c>
      <c r="CD7" s="324" t="str">
        <f>WSPKN!$F$189</f>
        <v/>
      </c>
      <c r="CE7" s="324" t="str">
        <f>WSPKN!$F$197</f>
        <v/>
      </c>
      <c r="CF7" s="76"/>
      <c r="CG7" s="76"/>
      <c r="CH7" s="76"/>
      <c r="CI7" s="76" t="s">
        <v>1885</v>
      </c>
      <c r="CJ7" s="324">
        <f>WSIND!$F$6</f>
        <v>95.833333333333329</v>
      </c>
      <c r="CK7" s="324">
        <f>WSIND!$F$65</f>
        <v>92.916666666666671</v>
      </c>
      <c r="CL7" s="324">
        <f>WSIND!$F$113</f>
        <v>90</v>
      </c>
      <c r="CM7" s="324">
        <f>WSIND!$F$133</f>
        <v>83.333333333333329</v>
      </c>
      <c r="CN7" s="324">
        <f>WSIND!$F$161</f>
        <v>95.882352941176464</v>
      </c>
      <c r="CO7" s="324">
        <f>WSIND!$F$192</f>
        <v>95.588235294117652</v>
      </c>
      <c r="CP7" s="324">
        <f>WSIND!$F$228</f>
        <v>92.916666666666671</v>
      </c>
      <c r="CQ7" s="324">
        <f>WSIND!$F$256</f>
        <v>90</v>
      </c>
      <c r="CR7" s="324">
        <f>WSIND!$F$277</f>
        <v>83.333333333333329</v>
      </c>
      <c r="CS7" s="324">
        <f>WSIND!$F$305</f>
        <v>95.882352941176464</v>
      </c>
      <c r="CT7" s="324" t="str">
        <f>WSIND!$F$329</f>
        <v/>
      </c>
      <c r="CU7" s="324" t="str">
        <f>WSIND!$F$337</f>
        <v/>
      </c>
      <c r="CV7" s="324" t="str">
        <f>WSIND!$F$345</f>
        <v/>
      </c>
      <c r="CW7" s="76"/>
      <c r="CX7" s="76"/>
      <c r="CY7" s="76"/>
      <c r="CZ7" s="76" t="s">
        <v>1892</v>
      </c>
      <c r="DA7" s="324" t="str">
        <f>WSARAB!$F$6</f>
        <v/>
      </c>
      <c r="DB7" s="324" t="str">
        <f>WSARAB!$F$17</f>
        <v/>
      </c>
      <c r="DC7" s="324" t="str">
        <f>WSARAB!$F$29</f>
        <v/>
      </c>
      <c r="DD7" s="324" t="str">
        <f>WSARAB!$F$37</f>
        <v/>
      </c>
      <c r="DE7" s="324" t="str">
        <f>WSARAB!$F$45</f>
        <v/>
      </c>
      <c r="DF7" s="324" t="str">
        <f>WSARAB!$F$53</f>
        <v/>
      </c>
      <c r="DG7" s="324" t="str">
        <f>WSARAB!$F$65</f>
        <v/>
      </c>
      <c r="DH7" s="324" t="str">
        <f>WSARAB!$F$73</f>
        <v/>
      </c>
      <c r="DI7" s="324" t="str">
        <f>WSARAB!$F$81</f>
        <v/>
      </c>
      <c r="DJ7" s="324" t="str">
        <f>WSARAB!$F$89</f>
        <v/>
      </c>
      <c r="DK7" s="324" t="str">
        <f>WSARAB!$F$97</f>
        <v/>
      </c>
      <c r="DL7" s="324" t="str">
        <f>WSARAB!$F$105</f>
        <v/>
      </c>
      <c r="DM7" s="324" t="str">
        <f>WSARAB!$F$113</f>
        <v/>
      </c>
      <c r="DN7" s="76"/>
      <c r="DO7" s="76"/>
      <c r="DP7" s="76"/>
      <c r="DQ7" s="76" t="s">
        <v>1318</v>
      </c>
      <c r="DR7" s="324">
        <f>WSMTK!$F$6</f>
        <v>84</v>
      </c>
      <c r="DS7" s="324">
        <f>WSMTK!$F$22</f>
        <v>85</v>
      </c>
      <c r="DT7" s="324">
        <f>WSMTK!$F$35</f>
        <v>91.851851851851848</v>
      </c>
      <c r="DU7" s="324">
        <f>WSMTK!$F$69</f>
        <v>95.384615384615387</v>
      </c>
      <c r="DV7" s="324">
        <f>WSMTK!$F$87</f>
        <v>84</v>
      </c>
      <c r="DW7" s="324">
        <f>WSMTK!$F$99</f>
        <v>85</v>
      </c>
      <c r="DX7" s="324">
        <f>WSMTK!$F$113</f>
        <v>91.851851851851848</v>
      </c>
      <c r="DY7" s="324">
        <f>WSMTK!$F$145</f>
        <v>95.384615384615387</v>
      </c>
      <c r="DZ7" s="324" t="str">
        <f>WSMTK!$F$168</f>
        <v/>
      </c>
      <c r="EA7" s="324" t="str">
        <f>WSMTK!$F$176</f>
        <v/>
      </c>
      <c r="EB7" s="324" t="str">
        <f>WSMTK!$F$184</f>
        <v/>
      </c>
      <c r="EC7" s="324" t="str">
        <f>WSMTK!$F$192</f>
        <v/>
      </c>
      <c r="ED7" s="324" t="str">
        <f>WSMTK!$F$200</f>
        <v/>
      </c>
      <c r="EE7" s="76"/>
      <c r="EF7" s="76"/>
      <c r="EG7" s="76"/>
      <c r="EH7" s="76" t="s">
        <v>1304</v>
      </c>
      <c r="EI7" s="324" t="str">
        <f>WSIPA!$F$6</f>
        <v/>
      </c>
      <c r="EJ7" s="324" t="str">
        <f>WSIPA!$F$14</f>
        <v/>
      </c>
      <c r="EK7" s="324" t="str">
        <f>WSIPA!$F$22</f>
        <v/>
      </c>
      <c r="EL7" s="324" t="str">
        <f>WSIPA!$F$30</f>
        <v/>
      </c>
      <c r="EM7" s="324" t="str">
        <f>WSIPA!$F$38</f>
        <v/>
      </c>
      <c r="EN7" s="324" t="str">
        <f>WSIPA!$F$46</f>
        <v/>
      </c>
      <c r="EO7" s="324" t="str">
        <f>WSIPA!$F$54</f>
        <v/>
      </c>
      <c r="EP7" s="324" t="str">
        <f>WSIPA!$F$62</f>
        <v/>
      </c>
      <c r="EQ7" s="324" t="str">
        <f>WSIPA!$F$70</f>
        <v/>
      </c>
      <c r="ER7" s="324" t="str">
        <f>WSIPA!$F$78</f>
        <v/>
      </c>
      <c r="ES7" s="324" t="str">
        <f>WSIPA!$F$86</f>
        <v/>
      </c>
      <c r="ET7" s="324" t="str">
        <f>WSIPA!$F$94</f>
        <v/>
      </c>
      <c r="EU7" s="324" t="str">
        <f>WSIPA!$F$102</f>
        <v/>
      </c>
      <c r="EV7" s="76"/>
      <c r="EW7" s="76"/>
      <c r="EX7" s="76"/>
      <c r="EY7" s="76" t="s">
        <v>1233</v>
      </c>
      <c r="EZ7" s="324" t="str">
        <f>WSIPS!$F$6</f>
        <v/>
      </c>
      <c r="FA7" s="324" t="str">
        <f>WSIPS!$F$14</f>
        <v/>
      </c>
      <c r="FB7" s="324" t="str">
        <f>WSIPS!$F$22</f>
        <v/>
      </c>
      <c r="FC7" s="324" t="str">
        <f>WSIPS!$F$30</f>
        <v/>
      </c>
      <c r="FD7" s="324" t="str">
        <f>WSIPS!$F$38</f>
        <v/>
      </c>
      <c r="FE7" s="324" t="str">
        <f>WSIPS!$F$46</f>
        <v/>
      </c>
      <c r="FF7" s="324" t="str">
        <f>WSIPS!$F$54</f>
        <v/>
      </c>
      <c r="FG7" s="324" t="str">
        <f>WSIPS!$F$62</f>
        <v/>
      </c>
      <c r="FH7" s="324" t="str">
        <f>WSIPS!$F$70</f>
        <v/>
      </c>
      <c r="FI7" s="324" t="str">
        <f>WSIPS!$F$78</f>
        <v/>
      </c>
      <c r="FJ7" s="324" t="str">
        <f>WSIPS!$F$86</f>
        <v/>
      </c>
      <c r="FK7" s="324" t="str">
        <f>WSIPS!$F$94</f>
        <v/>
      </c>
      <c r="FL7" s="324" t="str">
        <f>WSIPS!$F$102</f>
        <v/>
      </c>
      <c r="FM7" s="76"/>
      <c r="FN7" s="76"/>
      <c r="FO7" s="76"/>
      <c r="FP7" s="76" t="s">
        <v>1244</v>
      </c>
      <c r="FQ7" s="324">
        <f>WSSBK!$F$6</f>
        <v>88.571428571428569</v>
      </c>
      <c r="FR7" s="324">
        <f>WSSBK!$F$16</f>
        <v>92.5</v>
      </c>
      <c r="FS7" s="324">
        <f>WSSBK!$F$26</f>
        <v>89.166666666666671</v>
      </c>
      <c r="FT7" s="324">
        <f>WSSBK!$F$36</f>
        <v>91.25</v>
      </c>
      <c r="FU7" s="324">
        <f>WSSBK!$F$46</f>
        <v>88.571428571428569</v>
      </c>
      <c r="FV7" s="324">
        <f>WSSBK!$F$58</f>
        <v>92.5</v>
      </c>
      <c r="FW7" s="324">
        <f>WSSBK!$F$68</f>
        <v>89.166666666666671</v>
      </c>
      <c r="FX7" s="324">
        <f>WSSBK!$F$77</f>
        <v>91.25</v>
      </c>
      <c r="FY7" s="324" t="str">
        <f>WSSBK!$F$87</f>
        <v/>
      </c>
      <c r="FZ7" s="324" t="str">
        <f>WSSBK!$F$95</f>
        <v/>
      </c>
      <c r="GA7" s="324" t="str">
        <f>WSSBK!$F$103</f>
        <v/>
      </c>
      <c r="GB7" s="324" t="str">
        <f>WSSBK!$F$111</f>
        <v/>
      </c>
      <c r="GC7" s="324" t="str">
        <f>WSSBK!$F$119</f>
        <v/>
      </c>
      <c r="GD7" s="76"/>
      <c r="GE7" s="76"/>
      <c r="GF7" s="76"/>
      <c r="GG7" s="76" t="s">
        <v>1958</v>
      </c>
      <c r="GH7" s="334">
        <f>WSPENJAS!$F$6</f>
        <v>85</v>
      </c>
      <c r="GI7" s="334">
        <f>WSPENJAS!$F$7</f>
        <v>85</v>
      </c>
      <c r="GJ7" s="334">
        <f>WSPENJAS!$F$8</f>
        <v>85</v>
      </c>
      <c r="GK7" s="334">
        <f>WSPENJAS!$F$9</f>
        <v>85</v>
      </c>
      <c r="GL7" s="334">
        <f>WSPENJAS!$F$10</f>
        <v>85</v>
      </c>
      <c r="GM7" s="334">
        <f>WSPENJAS!$F$11</f>
        <v>85</v>
      </c>
      <c r="GN7" s="334">
        <f>WSPENJAS!$F$12</f>
        <v>85</v>
      </c>
      <c r="GO7" s="334">
        <f>WSPENJAS!$F$13</f>
        <v>85</v>
      </c>
      <c r="GP7" s="334">
        <f>WSPENJAS!$F$14</f>
        <v>85</v>
      </c>
      <c r="GQ7" s="334">
        <f>WSPENJAS!$F$15</f>
        <v>85</v>
      </c>
      <c r="GR7" s="334">
        <f>WSPENJAS!$F$16</f>
        <v>0</v>
      </c>
      <c r="GS7" s="334">
        <f>WSPENJAS!$F$17</f>
        <v>0</v>
      </c>
      <c r="GT7" s="334">
        <f>WSPENJAS!$F$18</f>
        <v>0</v>
      </c>
      <c r="GU7" s="334">
        <f>WSPENJAS!$F$19</f>
        <v>0</v>
      </c>
      <c r="GV7" s="334">
        <f>WSPENJAS!$F$20</f>
        <v>0</v>
      </c>
      <c r="GW7" s="334">
        <f>WSPENJAS!$F$21</f>
        <v>0</v>
      </c>
      <c r="GX7" s="76" t="s">
        <v>1291</v>
      </c>
      <c r="GY7" s="324">
        <f>WSJAWA!$F$6</f>
        <v>98.333333333333329</v>
      </c>
      <c r="GZ7" s="324">
        <f>WSJAWA!$F$14</f>
        <v>93.333333333333329</v>
      </c>
      <c r="HA7" s="324">
        <f>WSJAWA!$F$22</f>
        <v>80</v>
      </c>
      <c r="HB7" s="324">
        <f>WSJAWA!$F$30</f>
        <v>100</v>
      </c>
      <c r="HC7" s="324">
        <f>WSJAWA!$F$38</f>
        <v>100</v>
      </c>
      <c r="HD7" s="324">
        <f>WSJAWA!$F$46</f>
        <v>80</v>
      </c>
      <c r="HE7" s="324">
        <f>WSJAWA!$F$54</f>
        <v>100</v>
      </c>
      <c r="HF7" s="324">
        <f>WSJAWA!$F$62</f>
        <v>93.333333333333329</v>
      </c>
      <c r="HG7" s="324" t="str">
        <f>WSJAWA!$F$70</f>
        <v/>
      </c>
      <c r="HH7" s="324" t="str">
        <f>WSJAWA!$F$78</f>
        <v/>
      </c>
      <c r="HI7" s="324" t="str">
        <f>WSJAWA!$F$86</f>
        <v/>
      </c>
      <c r="HJ7" s="324" t="str">
        <f>WSJAWA!$F$94</f>
        <v/>
      </c>
      <c r="HK7" s="324" t="str">
        <f>WSJAWA!$F$102</f>
        <v/>
      </c>
      <c r="HL7" s="76"/>
      <c r="HM7" s="76"/>
      <c r="HN7" s="76"/>
      <c r="HO7" s="76" t="s">
        <v>1277</v>
      </c>
      <c r="HP7" s="324">
        <f>WSING!$F$6</f>
        <v>92.5</v>
      </c>
      <c r="HQ7" s="324">
        <f>WSING!$F$15</f>
        <v>92.5</v>
      </c>
      <c r="HR7" s="324">
        <f>WSING!$F$24</f>
        <v>86.666666666666671</v>
      </c>
      <c r="HS7" s="324">
        <f>WSING!$F$33</f>
        <v>86.666666666666671</v>
      </c>
      <c r="HT7" s="324" t="str">
        <f>WSING!$F$42</f>
        <v/>
      </c>
      <c r="HU7" s="324" t="str">
        <f>WSING!$F$50</f>
        <v/>
      </c>
      <c r="HV7" s="324" t="str">
        <f>WSING!$F$58</f>
        <v/>
      </c>
      <c r="HW7" s="324" t="str">
        <f>WSING!$F$66</f>
        <v/>
      </c>
      <c r="HX7" s="324" t="str">
        <f>WSING!$F$74</f>
        <v/>
      </c>
      <c r="HY7" s="324" t="str">
        <f>WSING!$F$82</f>
        <v/>
      </c>
      <c r="HZ7" s="324" t="str">
        <f>WSING!$F$90</f>
        <v/>
      </c>
      <c r="IA7" s="324" t="str">
        <f>WSING!$F$98</f>
        <v/>
      </c>
      <c r="IB7" s="324" t="str">
        <f>WSING!$F$106</f>
        <v/>
      </c>
      <c r="IC7" s="76"/>
      <c r="ID7" s="76"/>
      <c r="IE7" s="76"/>
      <c r="IF7" s="76" t="s">
        <v>1242</v>
      </c>
      <c r="IG7" s="324" t="str">
        <f>WSTIK!$F$6</f>
        <v/>
      </c>
      <c r="IH7" s="324" t="str">
        <f>WSTIK!$F$14</f>
        <v/>
      </c>
      <c r="II7" s="324" t="str">
        <f>WSTIK!$F$22</f>
        <v/>
      </c>
      <c r="IJ7" s="324" t="str">
        <f>WSTIK!$F$30</f>
        <v/>
      </c>
      <c r="IK7" s="324" t="str">
        <f>WSTIK!$F$38</f>
        <v/>
      </c>
      <c r="IL7" s="324" t="str">
        <f>WSTIK!$F$46</f>
        <v/>
      </c>
      <c r="IM7" s="324" t="str">
        <f>WSTIK!$F$54</f>
        <v/>
      </c>
      <c r="IN7" s="324" t="str">
        <f>WSTIK!$F$62</f>
        <v/>
      </c>
      <c r="IO7" s="324" t="str">
        <f>WSTIK!$F$70</f>
        <v/>
      </c>
      <c r="IP7" s="324" t="str">
        <f>WSTIK!$F$78</f>
        <v/>
      </c>
      <c r="IQ7" s="324" t="str">
        <f>WSTIK!$F$86</f>
        <v/>
      </c>
      <c r="IR7" s="324" t="str">
        <f>WSTIK!$F$94</f>
        <v/>
      </c>
      <c r="IS7" s="324" t="str">
        <f>WSTIK!$F$102</f>
        <v/>
      </c>
      <c r="IT7" s="76"/>
      <c r="IU7" s="76"/>
      <c r="IV7" s="76"/>
      <c r="IW7" s="76"/>
      <c r="IX7" s="324" t="str">
        <f>WSASWAJA!$F$6</f>
        <v/>
      </c>
      <c r="IY7" s="324" t="str">
        <f>WSASWAJA!$F$14</f>
        <v/>
      </c>
      <c r="IZ7" s="324" t="str">
        <f>WSASWAJA!$F$22</f>
        <v/>
      </c>
      <c r="JA7" s="324" t="str">
        <f>WSASWAJA!$F$30</f>
        <v/>
      </c>
      <c r="JB7" s="324" t="str">
        <f>WSASWAJA!$F$38</f>
        <v/>
      </c>
      <c r="JC7" s="324" t="str">
        <f>WSASWAJA!$F$46</f>
        <v/>
      </c>
      <c r="JD7" s="324" t="str">
        <f>WSASWAJA!$F$54</f>
        <v/>
      </c>
      <c r="JE7" s="324" t="str">
        <f>WSASWAJA!$F$62</f>
        <v/>
      </c>
      <c r="JF7" s="324" t="str">
        <f>WSASWAJA!$F$70</f>
        <v/>
      </c>
      <c r="JG7" s="324" t="str">
        <f>WSASWAJA!$F$78</f>
        <v/>
      </c>
      <c r="JH7" s="324" t="str">
        <f>WSASWAJA!$F$86</f>
        <v/>
      </c>
      <c r="JI7" s="324" t="str">
        <f>WSASWAJA!$F$94</f>
        <v/>
      </c>
      <c r="JJ7" s="324" t="str">
        <f>WSASWAJA!$F$102</f>
        <v/>
      </c>
      <c r="JK7" s="76"/>
      <c r="JL7" s="76"/>
      <c r="JM7" s="76"/>
      <c r="JN7" s="76"/>
    </row>
    <row r="8" spans="1:274">
      <c r="A8" s="76"/>
      <c r="B8" s="76">
        <v>3</v>
      </c>
      <c r="C8" s="324">
        <f>WSALQURAN!$G$6</f>
        <v>95</v>
      </c>
      <c r="D8" s="324">
        <f>WSALQURAN!$G$14</f>
        <v>90</v>
      </c>
      <c r="E8" s="324">
        <f>WSALQURAN!$G$22</f>
        <v>80</v>
      </c>
      <c r="F8" s="324">
        <f>WSALQURAN!$G$30</f>
        <v>95</v>
      </c>
      <c r="G8" s="324">
        <f>WSALQURAN!$G$38</f>
        <v>95</v>
      </c>
      <c r="H8" s="324">
        <f>WSALQURAN!$G$46</f>
        <v>80</v>
      </c>
      <c r="I8" s="324">
        <f>WSALQURAN!$G$54</f>
        <v>95</v>
      </c>
      <c r="J8" s="324" t="str">
        <f>WSALQURAN!$G$62</f>
        <v/>
      </c>
      <c r="K8" s="324" t="str">
        <f>WSALQURAN!$G$70</f>
        <v/>
      </c>
      <c r="L8" s="324" t="str">
        <f>WSALQURAN!$G$78</f>
        <v/>
      </c>
      <c r="M8" s="324" t="str">
        <f>WSALQURAN!$G$86</f>
        <v/>
      </c>
      <c r="N8" s="324" t="str">
        <f>WSALQURAN!$G$94</f>
        <v/>
      </c>
      <c r="O8" s="324" t="str">
        <f>WSALQURAN!$G$102</f>
        <v/>
      </c>
      <c r="P8" s="76"/>
      <c r="Q8" s="76"/>
      <c r="R8" s="76"/>
      <c r="S8" s="76" t="s">
        <v>1966</v>
      </c>
      <c r="T8" s="324">
        <f>WSAQIDAH!$G$6</f>
        <v>75</v>
      </c>
      <c r="U8" s="324">
        <f>WSAQIDAH!$G$14</f>
        <v>100</v>
      </c>
      <c r="V8" s="324">
        <f>WSAQIDAH!$G$22</f>
        <v>80</v>
      </c>
      <c r="W8" s="324">
        <f>WSAQIDAH!$G$30</f>
        <v>75</v>
      </c>
      <c r="X8" s="324">
        <f>WSAQIDAH!$G$38</f>
        <v>80</v>
      </c>
      <c r="Y8" s="324">
        <f>WSAQIDAH!$G$46</f>
        <v>90</v>
      </c>
      <c r="Z8" s="324">
        <f>WSAQIDAH!$G$54</f>
        <v>75</v>
      </c>
      <c r="AA8" s="324">
        <f>WSAQIDAH!$G$62</f>
        <v>75</v>
      </c>
      <c r="AB8" s="324">
        <f>WSAQIDAH!$G$70</f>
        <v>75</v>
      </c>
      <c r="AC8" s="324">
        <f>WSAQIDAH!$G$78</f>
        <v>75</v>
      </c>
      <c r="AD8" s="324" t="str">
        <f>WSAQIDAH!$G$86</f>
        <v/>
      </c>
      <c r="AE8" s="324" t="str">
        <f>WSAQIDAH!$G$94</f>
        <v/>
      </c>
      <c r="AF8" s="324" t="str">
        <f>WSAQIDAH!$G$102</f>
        <v/>
      </c>
      <c r="AG8" s="76"/>
      <c r="AH8" s="76"/>
      <c r="AI8" s="76"/>
      <c r="AJ8" s="76" t="s">
        <v>1972</v>
      </c>
      <c r="AK8" s="324">
        <f>WSFIQIH!$G$6</f>
        <v>82.75</v>
      </c>
      <c r="AL8" s="324">
        <f>WSFIQIH!$G$19</f>
        <v>85</v>
      </c>
      <c r="AM8" s="324">
        <f>WSFIQIH!$G$28</f>
        <v>100</v>
      </c>
      <c r="AN8" s="324">
        <f>WSFIQIH!$G$41</f>
        <v>75</v>
      </c>
      <c r="AO8" s="324">
        <f>WSFIQIH!$G$49</f>
        <v>75</v>
      </c>
      <c r="AP8" s="324">
        <f>WSFIQIH!$G$62</f>
        <v>90</v>
      </c>
      <c r="AQ8" s="324">
        <f>WSFIQIH!$G$71</f>
        <v>98</v>
      </c>
      <c r="AR8" s="324">
        <f>WSFIQIH!$G$80</f>
        <v>78</v>
      </c>
      <c r="AS8" s="324" t="str">
        <f>WSFIQIH!$G$88</f>
        <v/>
      </c>
      <c r="AT8" s="324" t="str">
        <f>WSFIQIH!$G$96</f>
        <v/>
      </c>
      <c r="AU8" s="324" t="str">
        <f>WSFIQIH!$G$104</f>
        <v/>
      </c>
      <c r="AV8" s="324" t="str">
        <f>WSFIQIH!$G$112</f>
        <v/>
      </c>
      <c r="AW8" s="324" t="str">
        <f>WSFIQIH!$G$120</f>
        <v/>
      </c>
      <c r="AX8" s="76"/>
      <c r="AY8" s="76"/>
      <c r="AZ8" s="76"/>
      <c r="BA8" s="76" t="s">
        <v>1333</v>
      </c>
      <c r="BB8" s="324">
        <f>WSSKI!$G$6</f>
        <v>82.5</v>
      </c>
      <c r="BC8" s="324">
        <f>WSSKI!$G$14</f>
        <v>91.6</v>
      </c>
      <c r="BD8" s="324">
        <f>WSSKI!$G$23</f>
        <v>75</v>
      </c>
      <c r="BE8" s="324">
        <f>WSSKI!$G$31</f>
        <v>75</v>
      </c>
      <c r="BF8" s="324">
        <f>WSSKI!$G$40</f>
        <v>75</v>
      </c>
      <c r="BG8" s="324">
        <f>WSSKI!$G$48</f>
        <v>75</v>
      </c>
      <c r="BH8" s="324" t="str">
        <f>WSSKI!$G$56</f>
        <v/>
      </c>
      <c r="BI8" s="324" t="str">
        <f>WSSKI!$G$64</f>
        <v/>
      </c>
      <c r="BJ8" s="324" t="str">
        <f>WSSKI!$G$72</f>
        <v/>
      </c>
      <c r="BK8" s="324" t="str">
        <f>WSSKI!$G$80</f>
        <v/>
      </c>
      <c r="BL8" s="324" t="str">
        <f>WSSKI!$G$88</f>
        <v/>
      </c>
      <c r="BM8" s="324" t="str">
        <f>WSSKI!$G$96</f>
        <v/>
      </c>
      <c r="BN8" s="324" t="str">
        <f>WSSKI!$G$104</f>
        <v/>
      </c>
      <c r="BO8" s="76"/>
      <c r="BP8" s="76"/>
      <c r="BQ8" s="76"/>
      <c r="BR8" s="76" t="s">
        <v>1983</v>
      </c>
      <c r="BS8" s="324">
        <f>WSPKN!$G$6</f>
        <v>92.333333333333329</v>
      </c>
      <c r="BT8" s="324">
        <f>WSPKN!$G$32</f>
        <v>96.25</v>
      </c>
      <c r="BU8" s="324">
        <f>WSPKN!$G$55</f>
        <v>93.571428571428569</v>
      </c>
      <c r="BV8" s="324">
        <f>WSPKN!$G$72</f>
        <v>89.060606060606062</v>
      </c>
      <c r="BW8" s="324">
        <f>WSPKN!$G$86</f>
        <v>90.909090909090907</v>
      </c>
      <c r="BX8" s="324">
        <f>WSPKN!$G$108</f>
        <v>96.25</v>
      </c>
      <c r="BY8" s="324">
        <f>WSPKN!$G$132</f>
        <v>93.571428571428569</v>
      </c>
      <c r="BZ8" s="324">
        <f>WSPKN!$G$148</f>
        <v>91.666666666666671</v>
      </c>
      <c r="CA8" s="324" t="str">
        <f>WSPKN!$G$165</f>
        <v/>
      </c>
      <c r="CB8" s="324" t="str">
        <f>WSPKN!$G$173</f>
        <v/>
      </c>
      <c r="CC8" s="324" t="str">
        <f>WSPKN!$G$181</f>
        <v/>
      </c>
      <c r="CD8" s="324" t="str">
        <f>WSPKN!$G$189</f>
        <v/>
      </c>
      <c r="CE8" s="324" t="str">
        <f>WSPKN!$G$197</f>
        <v/>
      </c>
      <c r="CF8" s="76"/>
      <c r="CG8" s="76"/>
      <c r="CH8" s="76"/>
      <c r="CI8" s="76" t="s">
        <v>1886</v>
      </c>
      <c r="CJ8" s="324">
        <f>WSIND!$G$6</f>
        <v>93.333333333333329</v>
      </c>
      <c r="CK8" s="324">
        <f>WSIND!$G$65</f>
        <v>91.416666666666671</v>
      </c>
      <c r="CL8" s="324">
        <f>WSIND!$G$113</f>
        <v>94.444444444444443</v>
      </c>
      <c r="CM8" s="324">
        <f>WSIND!$G$133</f>
        <v>88.666666666666671</v>
      </c>
      <c r="CN8" s="324">
        <f>WSIND!$G$161</f>
        <v>94.130434782608702</v>
      </c>
      <c r="CO8" s="324">
        <f>WSIND!$G$192</f>
        <v>93.333333333333329</v>
      </c>
      <c r="CP8" s="324">
        <f>WSIND!$G$228</f>
        <v>91.416666666666671</v>
      </c>
      <c r="CQ8" s="324">
        <f>WSIND!$G$256</f>
        <v>94.444444444444443</v>
      </c>
      <c r="CR8" s="324">
        <f>WSIND!$G$277</f>
        <v>88.666666666666671</v>
      </c>
      <c r="CS8" s="324">
        <f>WSIND!$G$305</f>
        <v>94.130434782608702</v>
      </c>
      <c r="CT8" s="324" t="str">
        <f>WSIND!$G$329</f>
        <v/>
      </c>
      <c r="CU8" s="324" t="str">
        <f>WSIND!$G$337</f>
        <v/>
      </c>
      <c r="CV8" s="324" t="str">
        <f>WSIND!$G$345</f>
        <v/>
      </c>
      <c r="CW8" s="76"/>
      <c r="CX8" s="76"/>
      <c r="CY8" s="76"/>
      <c r="CZ8" s="76" t="s">
        <v>1893</v>
      </c>
      <c r="DA8" s="324" t="str">
        <f>WSARAB!$G$6</f>
        <v/>
      </c>
      <c r="DB8" s="324" t="str">
        <f>WSARAB!$G$17</f>
        <v/>
      </c>
      <c r="DC8" s="324" t="str">
        <f>WSARAB!$G$29</f>
        <v/>
      </c>
      <c r="DD8" s="324" t="str">
        <f>WSARAB!$G$37</f>
        <v/>
      </c>
      <c r="DE8" s="324" t="str">
        <f>WSARAB!$G$45</f>
        <v/>
      </c>
      <c r="DF8" s="324" t="str">
        <f>WSARAB!$G$53</f>
        <v/>
      </c>
      <c r="DG8" s="324" t="str">
        <f>WSARAB!$G$65</f>
        <v/>
      </c>
      <c r="DH8" s="324" t="str">
        <f>WSARAB!$G$73</f>
        <v/>
      </c>
      <c r="DI8" s="324" t="str">
        <f>WSARAB!$G$81</f>
        <v/>
      </c>
      <c r="DJ8" s="324" t="str">
        <f>WSARAB!$G$89</f>
        <v/>
      </c>
      <c r="DK8" s="324" t="str">
        <f>WSARAB!$G$97</f>
        <v/>
      </c>
      <c r="DL8" s="324" t="str">
        <f>WSARAB!$G$105</f>
        <v/>
      </c>
      <c r="DM8" s="324" t="str">
        <f>WSARAB!$G$113</f>
        <v/>
      </c>
      <c r="DN8" s="76"/>
      <c r="DO8" s="76"/>
      <c r="DP8" s="76"/>
      <c r="DQ8" s="76" t="s">
        <v>1319</v>
      </c>
      <c r="DR8" s="324">
        <f>WSMTK!$G$6</f>
        <v>84.9</v>
      </c>
      <c r="DS8" s="324">
        <f>WSMTK!$G$22</f>
        <v>93.125</v>
      </c>
      <c r="DT8" s="324">
        <f>WSMTK!$G$35</f>
        <v>92</v>
      </c>
      <c r="DU8" s="324">
        <f>WSMTK!$G$69</f>
        <v>92.692307692307693</v>
      </c>
      <c r="DV8" s="324">
        <f>WSMTK!$G$87</f>
        <v>84.9</v>
      </c>
      <c r="DW8" s="324">
        <f>WSMTK!$G$99</f>
        <v>93.125</v>
      </c>
      <c r="DX8" s="324">
        <f>WSMTK!$G$113</f>
        <v>92</v>
      </c>
      <c r="DY8" s="324">
        <f>WSMTK!$G$145</f>
        <v>92.692307692307693</v>
      </c>
      <c r="DZ8" s="324" t="str">
        <f>WSMTK!$G$168</f>
        <v/>
      </c>
      <c r="EA8" s="324" t="str">
        <f>WSMTK!$G$176</f>
        <v/>
      </c>
      <c r="EB8" s="324" t="str">
        <f>WSMTK!$G$184</f>
        <v/>
      </c>
      <c r="EC8" s="324" t="str">
        <f>WSMTK!$G$192</f>
        <v/>
      </c>
      <c r="ED8" s="324" t="str">
        <f>WSMTK!$G$200</f>
        <v/>
      </c>
      <c r="EE8" s="76"/>
      <c r="EF8" s="76"/>
      <c r="EG8" s="76"/>
      <c r="EH8" s="76" t="s">
        <v>1305</v>
      </c>
      <c r="EI8" s="324" t="str">
        <f>WSIPA!$G$6</f>
        <v/>
      </c>
      <c r="EJ8" s="324" t="str">
        <f>WSIPA!$G$14</f>
        <v/>
      </c>
      <c r="EK8" s="324" t="str">
        <f>WSIPA!$G$22</f>
        <v/>
      </c>
      <c r="EL8" s="324" t="str">
        <f>WSIPA!$G$30</f>
        <v/>
      </c>
      <c r="EM8" s="324" t="str">
        <f>WSIPA!$G$38</f>
        <v/>
      </c>
      <c r="EN8" s="324" t="str">
        <f>WSIPA!$G$46</f>
        <v/>
      </c>
      <c r="EO8" s="324" t="str">
        <f>WSIPA!$G$54</f>
        <v/>
      </c>
      <c r="EP8" s="324" t="str">
        <f>WSIPA!$G$62</f>
        <v/>
      </c>
      <c r="EQ8" s="324" t="str">
        <f>WSIPA!$G$70</f>
        <v/>
      </c>
      <c r="ER8" s="324" t="str">
        <f>WSIPA!$G$78</f>
        <v/>
      </c>
      <c r="ES8" s="324" t="str">
        <f>WSIPA!$G$86</f>
        <v/>
      </c>
      <c r="ET8" s="324" t="str">
        <f>WSIPA!$G$94</f>
        <v/>
      </c>
      <c r="EU8" s="324" t="str">
        <f>WSIPA!$G$102</f>
        <v/>
      </c>
      <c r="EV8" s="76"/>
      <c r="EW8" s="76"/>
      <c r="EX8" s="76"/>
      <c r="EY8" s="76" t="s">
        <v>1233</v>
      </c>
      <c r="EZ8" s="324" t="str">
        <f>WSIPS!$G$6</f>
        <v/>
      </c>
      <c r="FA8" s="324" t="str">
        <f>WSIPS!$G$14</f>
        <v/>
      </c>
      <c r="FB8" s="324" t="str">
        <f>WSIPS!$G$22</f>
        <v/>
      </c>
      <c r="FC8" s="324" t="str">
        <f>WSIPS!$G$30</f>
        <v/>
      </c>
      <c r="FD8" s="324" t="str">
        <f>WSIPS!$G$38</f>
        <v/>
      </c>
      <c r="FE8" s="324" t="str">
        <f>WSIPS!$G$46</f>
        <v/>
      </c>
      <c r="FF8" s="324" t="str">
        <f>WSIPS!$G$54</f>
        <v/>
      </c>
      <c r="FG8" s="324" t="str">
        <f>WSIPS!$G$62</f>
        <v/>
      </c>
      <c r="FH8" s="324" t="str">
        <f>WSIPS!$G$70</f>
        <v/>
      </c>
      <c r="FI8" s="324" t="str">
        <f>WSIPS!$G$78</f>
        <v/>
      </c>
      <c r="FJ8" s="324" t="str">
        <f>WSIPS!$G$86</f>
        <v/>
      </c>
      <c r="FK8" s="324" t="str">
        <f>WSIPS!$G$94</f>
        <v/>
      </c>
      <c r="FL8" s="324" t="str">
        <f>WSIPS!$G$102</f>
        <v/>
      </c>
      <c r="FM8" s="76"/>
      <c r="FN8" s="76"/>
      <c r="FO8" s="76"/>
      <c r="FP8" s="76" t="s">
        <v>1245</v>
      </c>
      <c r="FQ8" s="324">
        <f>WSSBK!$G$6</f>
        <v>93.75</v>
      </c>
      <c r="FR8" s="324">
        <f>WSSBK!$G$16</f>
        <v>91.285714285714292</v>
      </c>
      <c r="FS8" s="324">
        <f>WSSBK!$G$26</f>
        <v>86.428571428571431</v>
      </c>
      <c r="FT8" s="324">
        <f>WSSBK!$G$36</f>
        <v>88.75</v>
      </c>
      <c r="FU8" s="324">
        <f>WSSBK!$G$46</f>
        <v>93.75</v>
      </c>
      <c r="FV8" s="324">
        <f>WSSBK!$G$58</f>
        <v>91.285714285714292</v>
      </c>
      <c r="FW8" s="324">
        <f>WSSBK!$G$68</f>
        <v>86.428571428571431</v>
      </c>
      <c r="FX8" s="324">
        <f>WSSBK!$G$77</f>
        <v>88.75</v>
      </c>
      <c r="FY8" s="324" t="str">
        <f>WSSBK!$G$87</f>
        <v/>
      </c>
      <c r="FZ8" s="324" t="str">
        <f>WSSBK!$G$95</f>
        <v/>
      </c>
      <c r="GA8" s="324" t="str">
        <f>WSSBK!$G$103</f>
        <v/>
      </c>
      <c r="GB8" s="324" t="str">
        <f>WSSBK!$G$111</f>
        <v/>
      </c>
      <c r="GC8" s="324" t="str">
        <f>WSSBK!$G$119</f>
        <v/>
      </c>
      <c r="GD8" s="76"/>
      <c r="GE8" s="76"/>
      <c r="GF8" s="76"/>
      <c r="GG8" s="76" t="s">
        <v>1956</v>
      </c>
      <c r="GH8" s="334">
        <f>WSPENJAS!$G$6</f>
        <v>90</v>
      </c>
      <c r="GI8" s="334">
        <f>WSPENJAS!$G$7</f>
        <v>90</v>
      </c>
      <c r="GJ8" s="334">
        <f>WSPENJAS!$G$8</f>
        <v>90</v>
      </c>
      <c r="GK8" s="334">
        <f>WSPENJAS!$G$9</f>
        <v>90</v>
      </c>
      <c r="GL8" s="334">
        <f>WSPENJAS!$G$10</f>
        <v>90</v>
      </c>
      <c r="GM8" s="334">
        <f>WSPENJAS!$G$11</f>
        <v>90</v>
      </c>
      <c r="GN8" s="334">
        <f>WSPENJAS!$G$12</f>
        <v>90</v>
      </c>
      <c r="GO8" s="334">
        <f>WSPENJAS!$G$13</f>
        <v>90</v>
      </c>
      <c r="GP8" s="334">
        <f>WSPENJAS!$G$14</f>
        <v>90</v>
      </c>
      <c r="GQ8" s="334">
        <f>WSPENJAS!$G$15</f>
        <v>90</v>
      </c>
      <c r="GR8" s="334">
        <f>WSPENJAS!$G$16</f>
        <v>0</v>
      </c>
      <c r="GS8" s="334">
        <f>WSPENJAS!$G$17</f>
        <v>0</v>
      </c>
      <c r="GT8" s="334">
        <f>WSPENJAS!$G$18</f>
        <v>0</v>
      </c>
      <c r="GU8" s="334">
        <f>WSPENJAS!$G$19</f>
        <v>0</v>
      </c>
      <c r="GV8" s="334">
        <f>WSPENJAS!$G$20</f>
        <v>0</v>
      </c>
      <c r="GW8" s="334">
        <f>WSPENJAS!$G$21</f>
        <v>0</v>
      </c>
      <c r="GX8" s="76" t="s">
        <v>1289</v>
      </c>
      <c r="GY8" s="324">
        <f>WSJAWA!$G$6</f>
        <v>100</v>
      </c>
      <c r="GZ8" s="324">
        <f>WSJAWA!$G$14</f>
        <v>91.666666666666671</v>
      </c>
      <c r="HA8" s="324">
        <f>WSJAWA!$G$22</f>
        <v>85</v>
      </c>
      <c r="HB8" s="324">
        <f>WSJAWA!$G$30</f>
        <v>88.333333333333329</v>
      </c>
      <c r="HC8" s="324">
        <f>WSJAWA!$G$38</f>
        <v>100</v>
      </c>
      <c r="HD8" s="324">
        <f>WSJAWA!$G$46</f>
        <v>75</v>
      </c>
      <c r="HE8" s="324">
        <f>WSJAWA!$G$54</f>
        <v>90</v>
      </c>
      <c r="HF8" s="324">
        <f>WSJAWA!$G$62</f>
        <v>86.666666666666671</v>
      </c>
      <c r="HG8" s="324" t="str">
        <f>WSJAWA!$G$70</f>
        <v/>
      </c>
      <c r="HH8" s="324" t="str">
        <f>WSJAWA!$G$78</f>
        <v/>
      </c>
      <c r="HI8" s="324" t="str">
        <f>WSJAWA!$G$86</f>
        <v/>
      </c>
      <c r="HJ8" s="324" t="str">
        <f>WSJAWA!$G$94</f>
        <v/>
      </c>
      <c r="HK8" s="324" t="str">
        <f>WSJAWA!$G$102</f>
        <v/>
      </c>
      <c r="HL8" s="76"/>
      <c r="HM8" s="76"/>
      <c r="HN8" s="76"/>
      <c r="HO8" s="76" t="s">
        <v>1279</v>
      </c>
      <c r="HP8" s="324">
        <f>WSING!$G$6</f>
        <v>93.833333333333329</v>
      </c>
      <c r="HQ8" s="324">
        <f>WSING!$G$15</f>
        <v>93.833333333333329</v>
      </c>
      <c r="HR8" s="324">
        <f>WSING!$G$24</f>
        <v>86.666666666666671</v>
      </c>
      <c r="HS8" s="324">
        <f>WSING!$G$33</f>
        <v>86.666666666666671</v>
      </c>
      <c r="HT8" s="324" t="str">
        <f>WSING!$G$42</f>
        <v/>
      </c>
      <c r="HU8" s="324" t="str">
        <f>WSING!$G$50</f>
        <v/>
      </c>
      <c r="HV8" s="324" t="str">
        <f>WSING!$G$58</f>
        <v/>
      </c>
      <c r="HW8" s="324" t="str">
        <f>WSING!$G$66</f>
        <v/>
      </c>
      <c r="HX8" s="324" t="str">
        <f>WSING!$G$74</f>
        <v/>
      </c>
      <c r="HY8" s="324" t="str">
        <f>WSING!$G$82</f>
        <v/>
      </c>
      <c r="HZ8" s="324" t="str">
        <f>WSING!$G$90</f>
        <v/>
      </c>
      <c r="IA8" s="324" t="str">
        <f>WSING!$G$98</f>
        <v/>
      </c>
      <c r="IB8" s="324" t="str">
        <f>WSING!$G$106</f>
        <v/>
      </c>
      <c r="IC8" s="76"/>
      <c r="ID8" s="76"/>
      <c r="IE8" s="76"/>
      <c r="IF8" s="76" t="s">
        <v>1242</v>
      </c>
      <c r="IG8" s="324" t="str">
        <f>WSTIK!$G$6</f>
        <v/>
      </c>
      <c r="IH8" s="324" t="str">
        <f>WSTIK!$G$14</f>
        <v/>
      </c>
      <c r="II8" s="324" t="str">
        <f>WSTIK!$G$22</f>
        <v/>
      </c>
      <c r="IJ8" s="324" t="str">
        <f>WSTIK!$G$30</f>
        <v/>
      </c>
      <c r="IK8" s="324" t="str">
        <f>WSTIK!$G$38</f>
        <v/>
      </c>
      <c r="IL8" s="324" t="str">
        <f>WSTIK!$G$46</f>
        <v/>
      </c>
      <c r="IM8" s="324" t="str">
        <f>WSTIK!$G$54</f>
        <v/>
      </c>
      <c r="IN8" s="324" t="str">
        <f>WSTIK!$G$62</f>
        <v/>
      </c>
      <c r="IO8" s="324" t="str">
        <f>WSTIK!$G$70</f>
        <v/>
      </c>
      <c r="IP8" s="324" t="str">
        <f>WSTIK!$G$78</f>
        <v/>
      </c>
      <c r="IQ8" s="324" t="str">
        <f>WSTIK!$G$86</f>
        <v/>
      </c>
      <c r="IR8" s="324" t="str">
        <f>WSTIK!$G$94</f>
        <v/>
      </c>
      <c r="IS8" s="324" t="str">
        <f>WSTIK!$G$102</f>
        <v/>
      </c>
      <c r="IT8" s="76"/>
      <c r="IU8" s="76"/>
      <c r="IV8" s="76"/>
      <c r="IW8" s="76"/>
      <c r="IX8" s="324" t="str">
        <f>WSASWAJA!$G$6</f>
        <v/>
      </c>
      <c r="IY8" s="324" t="str">
        <f>WSASWAJA!$G$14</f>
        <v/>
      </c>
      <c r="IZ8" s="324" t="str">
        <f>WSASWAJA!$G$22</f>
        <v/>
      </c>
      <c r="JA8" s="324" t="str">
        <f>WSASWAJA!$G$30</f>
        <v/>
      </c>
      <c r="JB8" s="324" t="str">
        <f>WSASWAJA!$G$38</f>
        <v/>
      </c>
      <c r="JC8" s="324" t="str">
        <f>WSASWAJA!$G$46</f>
        <v/>
      </c>
      <c r="JD8" s="324" t="str">
        <f>WSASWAJA!$G$54</f>
        <v/>
      </c>
      <c r="JE8" s="324" t="str">
        <f>WSASWAJA!$G$62</f>
        <v/>
      </c>
      <c r="JF8" s="324" t="str">
        <f>WSASWAJA!$G$70</f>
        <v/>
      </c>
      <c r="JG8" s="324" t="str">
        <f>WSASWAJA!$G$78</f>
        <v/>
      </c>
      <c r="JH8" s="324" t="str">
        <f>WSASWAJA!$G$86</f>
        <v/>
      </c>
      <c r="JI8" s="324" t="str">
        <f>WSASWAJA!$G$94</f>
        <v/>
      </c>
      <c r="JJ8" s="324" t="str">
        <f>WSASWAJA!$G$102</f>
        <v/>
      </c>
      <c r="JK8" s="76"/>
      <c r="JL8" s="76"/>
      <c r="JM8" s="76"/>
      <c r="JN8" s="76"/>
    </row>
    <row r="9" spans="1:274">
      <c r="A9" s="76"/>
      <c r="B9" s="76">
        <v>4</v>
      </c>
      <c r="C9" s="324">
        <f>WSALQURAN!$H$6</f>
        <v>95</v>
      </c>
      <c r="D9" s="324">
        <f>WSALQURAN!$H$14</f>
        <v>95</v>
      </c>
      <c r="E9" s="324">
        <f>WSALQURAN!$H$22</f>
        <v>85</v>
      </c>
      <c r="F9" s="324">
        <f>WSALQURAN!$H$30</f>
        <v>95</v>
      </c>
      <c r="G9" s="324">
        <f>WSALQURAN!$H$38</f>
        <v>91.666666666666671</v>
      </c>
      <c r="H9" s="324">
        <f>WSALQURAN!$H$46</f>
        <v>92</v>
      </c>
      <c r="I9" s="324">
        <f>WSALQURAN!$H$54</f>
        <v>95</v>
      </c>
      <c r="J9" s="324" t="str">
        <f>WSALQURAN!$H$62</f>
        <v/>
      </c>
      <c r="K9" s="324" t="str">
        <f>WSALQURAN!$H$70</f>
        <v/>
      </c>
      <c r="L9" s="324" t="str">
        <f>WSALQURAN!$H$78</f>
        <v/>
      </c>
      <c r="M9" s="324" t="str">
        <f>WSALQURAN!$H$86</f>
        <v/>
      </c>
      <c r="N9" s="324" t="str">
        <f>WSALQURAN!$H$94</f>
        <v/>
      </c>
      <c r="O9" s="324" t="str">
        <f>WSALQURAN!$H$102</f>
        <v/>
      </c>
      <c r="P9" s="76"/>
      <c r="Q9" s="76"/>
      <c r="R9" s="76"/>
      <c r="S9" s="76" t="s">
        <v>1969</v>
      </c>
      <c r="T9" s="324">
        <f>WSAQIDAH!$H$6</f>
        <v>90</v>
      </c>
      <c r="U9" s="324">
        <f>WSAQIDAH!$H$14</f>
        <v>100</v>
      </c>
      <c r="V9" s="324">
        <f>WSAQIDAH!$H$22</f>
        <v>90</v>
      </c>
      <c r="W9" s="324">
        <f>WSAQIDAH!$H$30</f>
        <v>90</v>
      </c>
      <c r="X9" s="324">
        <f>WSAQIDAH!$H$38</f>
        <v>90</v>
      </c>
      <c r="Y9" s="324">
        <f>WSAQIDAH!$H$46</f>
        <v>90</v>
      </c>
      <c r="Z9" s="324">
        <f>WSAQIDAH!$H$54</f>
        <v>90</v>
      </c>
      <c r="AA9" s="324">
        <f>WSAQIDAH!$H$62</f>
        <v>90</v>
      </c>
      <c r="AB9" s="324">
        <f>WSAQIDAH!$H$70</f>
        <v>90</v>
      </c>
      <c r="AC9" s="324">
        <f>WSAQIDAH!$H$78</f>
        <v>90</v>
      </c>
      <c r="AD9" s="324" t="str">
        <f>WSAQIDAH!$H$86</f>
        <v/>
      </c>
      <c r="AE9" s="324" t="str">
        <f>WSAQIDAH!$H$94</f>
        <v/>
      </c>
      <c r="AF9" s="324" t="str">
        <f>WSAQIDAH!$H$102</f>
        <v/>
      </c>
      <c r="AG9" s="76"/>
      <c r="AH9" s="76"/>
      <c r="AI9" s="76"/>
      <c r="AJ9" s="76" t="s">
        <v>1972</v>
      </c>
      <c r="AK9" s="324">
        <f>WSFIQIH!$H$6</f>
        <v>92.75</v>
      </c>
      <c r="AL9" s="324">
        <f>WSFIQIH!$H$19</f>
        <v>80</v>
      </c>
      <c r="AM9" s="324">
        <f>WSFIQIH!$H$28</f>
        <v>85</v>
      </c>
      <c r="AN9" s="324">
        <f>WSFIQIH!$H$41</f>
        <v>100</v>
      </c>
      <c r="AO9" s="324">
        <f>WSFIQIH!$H$49</f>
        <v>90</v>
      </c>
      <c r="AP9" s="324">
        <f>WSFIQIH!$H$62</f>
        <v>90</v>
      </c>
      <c r="AQ9" s="324">
        <f>WSFIQIH!$H$71</f>
        <v>85</v>
      </c>
      <c r="AR9" s="324">
        <f>WSFIQIH!$H$80</f>
        <v>85</v>
      </c>
      <c r="AS9" s="324" t="str">
        <f>WSFIQIH!$H$88</f>
        <v/>
      </c>
      <c r="AT9" s="324" t="str">
        <f>WSFIQIH!$H$96</f>
        <v/>
      </c>
      <c r="AU9" s="324" t="str">
        <f>WSFIQIH!$H$104</f>
        <v/>
      </c>
      <c r="AV9" s="324" t="str">
        <f>WSFIQIH!$H$112</f>
        <v/>
      </c>
      <c r="AW9" s="324" t="str">
        <f>WSFIQIH!$H$120</f>
        <v/>
      </c>
      <c r="AX9" s="76"/>
      <c r="AY9" s="76"/>
      <c r="AZ9" s="76"/>
      <c r="BA9" s="76" t="s">
        <v>1333</v>
      </c>
      <c r="BB9" s="324">
        <f>WSSKI!$H$6</f>
        <v>82.5</v>
      </c>
      <c r="BC9" s="324">
        <f>WSSKI!$H$14</f>
        <v>93</v>
      </c>
      <c r="BD9" s="324">
        <f>WSSKI!$H$23</f>
        <v>81</v>
      </c>
      <c r="BE9" s="324">
        <f>WSSKI!$H$31</f>
        <v>75</v>
      </c>
      <c r="BF9" s="324">
        <f>WSSKI!$H$40</f>
        <v>90</v>
      </c>
      <c r="BG9" s="324">
        <f>WSSKI!$H$48</f>
        <v>78</v>
      </c>
      <c r="BH9" s="324" t="str">
        <f>WSSKI!$H$56</f>
        <v/>
      </c>
      <c r="BI9" s="324" t="str">
        <f>WSSKI!$H$64</f>
        <v/>
      </c>
      <c r="BJ9" s="324" t="str">
        <f>WSSKI!$H$72</f>
        <v/>
      </c>
      <c r="BK9" s="324" t="str">
        <f>WSSKI!$H$80</f>
        <v/>
      </c>
      <c r="BL9" s="324" t="str">
        <f>WSSKI!$H$88</f>
        <v/>
      </c>
      <c r="BM9" s="324" t="str">
        <f>WSSKI!$H$96</f>
        <v/>
      </c>
      <c r="BN9" s="324" t="str">
        <f>WSSKI!$H$104</f>
        <v/>
      </c>
      <c r="BO9" s="76"/>
      <c r="BP9" s="76"/>
      <c r="BQ9" s="76"/>
      <c r="BR9" s="76" t="s">
        <v>1983</v>
      </c>
      <c r="BS9" s="324">
        <f>WSPKN!$H$6</f>
        <v>97.8125</v>
      </c>
      <c r="BT9" s="324">
        <f>WSPKN!$H$32</f>
        <v>95.9375</v>
      </c>
      <c r="BU9" s="324">
        <f>WSPKN!$H$55</f>
        <v>95.357142857142861</v>
      </c>
      <c r="BV9" s="324">
        <f>WSPKN!$H$72</f>
        <v>94.527777777777786</v>
      </c>
      <c r="BW9" s="324">
        <f>WSPKN!$H$86</f>
        <v>97.916666666666671</v>
      </c>
      <c r="BX9" s="324">
        <f>WSPKN!$H$108</f>
        <v>95.9375</v>
      </c>
      <c r="BY9" s="324">
        <f>WSPKN!$H$132</f>
        <v>95.357142857142861</v>
      </c>
      <c r="BZ9" s="324">
        <f>WSPKN!$H$148</f>
        <v>93.333333333333329</v>
      </c>
      <c r="CA9" s="324" t="str">
        <f>WSPKN!$H$165</f>
        <v/>
      </c>
      <c r="CB9" s="324" t="str">
        <f>WSPKN!$H$173</f>
        <v/>
      </c>
      <c r="CC9" s="324" t="str">
        <f>WSPKN!$H$181</f>
        <v/>
      </c>
      <c r="CD9" s="324" t="str">
        <f>WSPKN!$H$189</f>
        <v/>
      </c>
      <c r="CE9" s="324" t="str">
        <f>WSPKN!$H$197</f>
        <v/>
      </c>
      <c r="CF9" s="76"/>
      <c r="CG9" s="76"/>
      <c r="CH9" s="76"/>
      <c r="CI9" s="76" t="s">
        <v>1884</v>
      </c>
      <c r="CJ9" s="324">
        <f>WSIND!$H$6</f>
        <v>98.541666666666671</v>
      </c>
      <c r="CK9" s="324">
        <f>WSIND!$H$65</f>
        <v>94.375</v>
      </c>
      <c r="CL9" s="324">
        <f>WSIND!$H$113</f>
        <v>95.555555555555557</v>
      </c>
      <c r="CM9" s="324">
        <f>WSIND!$H$133</f>
        <v>92.333333333333329</v>
      </c>
      <c r="CN9" s="324">
        <f>WSIND!$H$161</f>
        <v>96.086956521739125</v>
      </c>
      <c r="CO9" s="324">
        <f>WSIND!$H$192</f>
        <v>98.478260869565219</v>
      </c>
      <c r="CP9" s="324">
        <f>WSIND!$H$228</f>
        <v>94.375</v>
      </c>
      <c r="CQ9" s="324">
        <f>WSIND!$H$256</f>
        <v>95.555555555555557</v>
      </c>
      <c r="CR9" s="324">
        <f>WSIND!$H$277</f>
        <v>92.333333333333329</v>
      </c>
      <c r="CS9" s="324">
        <f>WSIND!$H$305</f>
        <v>96.086956521739125</v>
      </c>
      <c r="CT9" s="324" t="str">
        <f>WSIND!$H$329</f>
        <v/>
      </c>
      <c r="CU9" s="324" t="str">
        <f>WSIND!$H$337</f>
        <v/>
      </c>
      <c r="CV9" s="324" t="str">
        <f>WSIND!$H$345</f>
        <v/>
      </c>
      <c r="CW9" s="76"/>
      <c r="CX9" s="76"/>
      <c r="CY9" s="76"/>
      <c r="CZ9" s="76" t="s">
        <v>1894</v>
      </c>
      <c r="DA9" s="324" t="str">
        <f>WSARAB!$H$6</f>
        <v/>
      </c>
      <c r="DB9" s="324" t="str">
        <f>WSARAB!$H$17</f>
        <v/>
      </c>
      <c r="DC9" s="324" t="str">
        <f>WSARAB!$H$29</f>
        <v/>
      </c>
      <c r="DD9" s="324" t="str">
        <f>WSARAB!$H$37</f>
        <v/>
      </c>
      <c r="DE9" s="324" t="str">
        <f>WSARAB!$H$45</f>
        <v/>
      </c>
      <c r="DF9" s="324" t="str">
        <f>WSARAB!$H$53</f>
        <v/>
      </c>
      <c r="DG9" s="324" t="str">
        <f>WSARAB!$H$65</f>
        <v/>
      </c>
      <c r="DH9" s="324" t="str">
        <f>WSARAB!$H$73</f>
        <v/>
      </c>
      <c r="DI9" s="324" t="str">
        <f>WSARAB!$H$81</f>
        <v/>
      </c>
      <c r="DJ9" s="324" t="str">
        <f>WSARAB!$H$89</f>
        <v/>
      </c>
      <c r="DK9" s="324" t="str">
        <f>WSARAB!$H$97</f>
        <v/>
      </c>
      <c r="DL9" s="324" t="str">
        <f>WSARAB!$H$105</f>
        <v/>
      </c>
      <c r="DM9" s="324" t="str">
        <f>WSARAB!$H$113</f>
        <v/>
      </c>
      <c r="DN9" s="76"/>
      <c r="DO9" s="76"/>
      <c r="DP9" s="76"/>
      <c r="DQ9" s="76" t="s">
        <v>1267</v>
      </c>
      <c r="DR9" s="324">
        <f>WSMTK!$H$6</f>
        <v>90.5</v>
      </c>
      <c r="DS9" s="324">
        <f>WSMTK!$H$22</f>
        <v>97.5</v>
      </c>
      <c r="DT9" s="324">
        <f>WSMTK!$H$35</f>
        <v>94.5</v>
      </c>
      <c r="DU9" s="324">
        <f>WSMTK!$H$69</f>
        <v>97.8125</v>
      </c>
      <c r="DV9" s="324">
        <f>WSMTK!$H$87</f>
        <v>90.5</v>
      </c>
      <c r="DW9" s="324">
        <f>WSMTK!$H$99</f>
        <v>97.5</v>
      </c>
      <c r="DX9" s="324">
        <f>WSMTK!$H$113</f>
        <v>94.5</v>
      </c>
      <c r="DY9" s="324">
        <f>WSMTK!$H$145</f>
        <v>97.8125</v>
      </c>
      <c r="DZ9" s="324" t="str">
        <f>WSMTK!$H$168</f>
        <v/>
      </c>
      <c r="EA9" s="324" t="str">
        <f>WSMTK!$H$176</f>
        <v/>
      </c>
      <c r="EB9" s="324" t="str">
        <f>WSMTK!$H$184</f>
        <v/>
      </c>
      <c r="EC9" s="324" t="str">
        <f>WSMTK!$H$192</f>
        <v/>
      </c>
      <c r="ED9" s="324" t="str">
        <f>WSMTK!$H$200</f>
        <v/>
      </c>
      <c r="EE9" s="76"/>
      <c r="EF9" s="76"/>
      <c r="EG9" s="76"/>
      <c r="EH9" s="76" t="s">
        <v>1301</v>
      </c>
      <c r="EI9" s="324" t="str">
        <f>WSIPA!$H$6</f>
        <v/>
      </c>
      <c r="EJ9" s="324" t="str">
        <f>WSIPA!$H$14</f>
        <v/>
      </c>
      <c r="EK9" s="324" t="str">
        <f>WSIPA!$H$22</f>
        <v/>
      </c>
      <c r="EL9" s="324" t="str">
        <f>WSIPA!$H$30</f>
        <v/>
      </c>
      <c r="EM9" s="324" t="str">
        <f>WSIPA!$H$38</f>
        <v/>
      </c>
      <c r="EN9" s="324" t="str">
        <f>WSIPA!$H$46</f>
        <v/>
      </c>
      <c r="EO9" s="324" t="str">
        <f>WSIPA!$H$54</f>
        <v/>
      </c>
      <c r="EP9" s="324" t="str">
        <f>WSIPA!$H$62</f>
        <v/>
      </c>
      <c r="EQ9" s="324" t="str">
        <f>WSIPA!$H$70</f>
        <v/>
      </c>
      <c r="ER9" s="324" t="str">
        <f>WSIPA!$H$78</f>
        <v/>
      </c>
      <c r="ES9" s="324" t="str">
        <f>WSIPA!$H$86</f>
        <v/>
      </c>
      <c r="ET9" s="324" t="str">
        <f>WSIPA!$H$94</f>
        <v/>
      </c>
      <c r="EU9" s="324" t="str">
        <f>WSIPA!$H$102</f>
        <v/>
      </c>
      <c r="EV9" s="76"/>
      <c r="EW9" s="76"/>
      <c r="EX9" s="76"/>
      <c r="EY9" s="76" t="s">
        <v>1234</v>
      </c>
      <c r="EZ9" s="324" t="str">
        <f>WSIPS!$H$6</f>
        <v/>
      </c>
      <c r="FA9" s="324" t="str">
        <f>WSIPS!$H$14</f>
        <v/>
      </c>
      <c r="FB9" s="324" t="str">
        <f>WSIPS!$H$22</f>
        <v/>
      </c>
      <c r="FC9" s="324" t="str">
        <f>WSIPS!$H$30</f>
        <v/>
      </c>
      <c r="FD9" s="324" t="str">
        <f>WSIPS!$H$38</f>
        <v/>
      </c>
      <c r="FE9" s="324" t="str">
        <f>WSIPS!$H$46</f>
        <v/>
      </c>
      <c r="FF9" s="324" t="str">
        <f>WSIPS!$H$54</f>
        <v/>
      </c>
      <c r="FG9" s="324" t="str">
        <f>WSIPS!$H$62</f>
        <v/>
      </c>
      <c r="FH9" s="324" t="str">
        <f>WSIPS!$H$70</f>
        <v/>
      </c>
      <c r="FI9" s="324" t="str">
        <f>WSIPS!$H$78</f>
        <v/>
      </c>
      <c r="FJ9" s="324" t="str">
        <f>WSIPS!$H$86</f>
        <v/>
      </c>
      <c r="FK9" s="324" t="str">
        <f>WSIPS!$H$94</f>
        <v/>
      </c>
      <c r="FL9" s="324" t="str">
        <f>WSIPS!$H$102</f>
        <v/>
      </c>
      <c r="FM9" s="76"/>
      <c r="FN9" s="76"/>
      <c r="FO9" s="76"/>
      <c r="FP9" s="76" t="s">
        <v>1246</v>
      </c>
      <c r="FQ9" s="324">
        <f>WSSBK!$H$6</f>
        <v>92.5</v>
      </c>
      <c r="FR9" s="324">
        <f>WSSBK!$H$16</f>
        <v>96.875</v>
      </c>
      <c r="FS9" s="324">
        <f>WSSBK!$H$26</f>
        <v>92.5</v>
      </c>
      <c r="FT9" s="324">
        <f>WSSBK!$H$36</f>
        <v>96.875</v>
      </c>
      <c r="FU9" s="324">
        <f>WSSBK!$H$46</f>
        <v>92.5</v>
      </c>
      <c r="FV9" s="324">
        <f>WSSBK!$H$58</f>
        <v>96.875</v>
      </c>
      <c r="FW9" s="324">
        <f>WSSBK!$H$68</f>
        <v>92.5</v>
      </c>
      <c r="FX9" s="324">
        <f>WSSBK!$H$77</f>
        <v>96.875</v>
      </c>
      <c r="FY9" s="324" t="str">
        <f>WSSBK!$H$87</f>
        <v/>
      </c>
      <c r="FZ9" s="324" t="str">
        <f>WSSBK!$H$95</f>
        <v/>
      </c>
      <c r="GA9" s="324" t="str">
        <f>WSSBK!$H$103</f>
        <v/>
      </c>
      <c r="GB9" s="324" t="str">
        <f>WSSBK!$H$111</f>
        <v/>
      </c>
      <c r="GC9" s="324" t="str">
        <f>WSSBK!$H$119</f>
        <v/>
      </c>
      <c r="GD9" s="76"/>
      <c r="GE9" s="76"/>
      <c r="GF9" s="76"/>
      <c r="GG9" s="76" t="s">
        <v>1952</v>
      </c>
      <c r="GH9" s="334">
        <f>WSPENJAS!$H$6</f>
        <v>92</v>
      </c>
      <c r="GI9" s="334">
        <f>WSPENJAS!$H$7</f>
        <v>92</v>
      </c>
      <c r="GJ9" s="334">
        <f>WSPENJAS!$H$8</f>
        <v>92</v>
      </c>
      <c r="GK9" s="334">
        <f>WSPENJAS!$H$9</f>
        <v>92</v>
      </c>
      <c r="GL9" s="334">
        <f>WSPENJAS!$H$10</f>
        <v>92</v>
      </c>
      <c r="GM9" s="334">
        <f>WSPENJAS!$H$11</f>
        <v>92</v>
      </c>
      <c r="GN9" s="334">
        <f>WSPENJAS!$H$12</f>
        <v>92</v>
      </c>
      <c r="GO9" s="334">
        <f>WSPENJAS!$H$13</f>
        <v>92</v>
      </c>
      <c r="GP9" s="334">
        <f>WSPENJAS!$H$14</f>
        <v>92</v>
      </c>
      <c r="GQ9" s="334">
        <f>WSPENJAS!$H$15</f>
        <v>92</v>
      </c>
      <c r="GR9" s="334">
        <f>WSPENJAS!$H$16</f>
        <v>0</v>
      </c>
      <c r="GS9" s="334">
        <f>WSPENJAS!$H$17</f>
        <v>0</v>
      </c>
      <c r="GT9" s="334">
        <f>WSPENJAS!$H$18</f>
        <v>0</v>
      </c>
      <c r="GU9" s="334">
        <f>WSPENJAS!$H$19</f>
        <v>0</v>
      </c>
      <c r="GV9" s="334">
        <f>WSPENJAS!$H$20</f>
        <v>0</v>
      </c>
      <c r="GW9" s="334">
        <f>WSPENJAS!$H$21</f>
        <v>0</v>
      </c>
      <c r="GX9" s="76" t="s">
        <v>1291</v>
      </c>
      <c r="GY9" s="324">
        <f>WSJAWA!$H$6</f>
        <v>96.666666666666671</v>
      </c>
      <c r="GZ9" s="324">
        <f>WSJAWA!$H$14</f>
        <v>91.666666666666671</v>
      </c>
      <c r="HA9" s="324">
        <f>WSJAWA!$H$22</f>
        <v>100</v>
      </c>
      <c r="HB9" s="324">
        <f>WSJAWA!$H$30</f>
        <v>100</v>
      </c>
      <c r="HC9" s="324">
        <f>WSJAWA!$H$38</f>
        <v>100</v>
      </c>
      <c r="HD9" s="324">
        <f>WSJAWA!$H$46</f>
        <v>75</v>
      </c>
      <c r="HE9" s="324">
        <f>WSJAWA!$H$54</f>
        <v>100</v>
      </c>
      <c r="HF9" s="324">
        <f>WSJAWA!$H$62</f>
        <v>96.666666666666671</v>
      </c>
      <c r="HG9" s="324" t="str">
        <f>WSJAWA!$H$70</f>
        <v/>
      </c>
      <c r="HH9" s="324" t="str">
        <f>WSJAWA!$H$78</f>
        <v/>
      </c>
      <c r="HI9" s="324" t="str">
        <f>WSJAWA!$H$86</f>
        <v/>
      </c>
      <c r="HJ9" s="324" t="str">
        <f>WSJAWA!$H$94</f>
        <v/>
      </c>
      <c r="HK9" s="324" t="str">
        <f>WSJAWA!$H$102</f>
        <v/>
      </c>
      <c r="HL9" s="76"/>
      <c r="HM9" s="76"/>
      <c r="HN9" s="76"/>
      <c r="HO9" s="76" t="s">
        <v>1277</v>
      </c>
      <c r="HP9" s="324">
        <f>WSING!$H$6</f>
        <v>99.166666666666671</v>
      </c>
      <c r="HQ9" s="324">
        <f>WSING!$H$15</f>
        <v>99.166666666666671</v>
      </c>
      <c r="HR9" s="324">
        <f>WSING!$H$24</f>
        <v>93.333333333333329</v>
      </c>
      <c r="HS9" s="324">
        <f>WSING!$H$33</f>
        <v>93.333333333333329</v>
      </c>
      <c r="HT9" s="324" t="str">
        <f>WSING!$H$42</f>
        <v/>
      </c>
      <c r="HU9" s="324" t="str">
        <f>WSING!$H$50</f>
        <v/>
      </c>
      <c r="HV9" s="324" t="str">
        <f>WSING!$H$58</f>
        <v/>
      </c>
      <c r="HW9" s="324" t="str">
        <f>WSING!$H$66</f>
        <v/>
      </c>
      <c r="HX9" s="324" t="str">
        <f>WSING!$H$74</f>
        <v/>
      </c>
      <c r="HY9" s="324" t="str">
        <f>WSING!$H$82</f>
        <v/>
      </c>
      <c r="HZ9" s="324" t="str">
        <f>WSING!$H$90</f>
        <v/>
      </c>
      <c r="IA9" s="324" t="str">
        <f>WSING!$H$98</f>
        <v/>
      </c>
      <c r="IB9" s="324" t="str">
        <f>WSING!$H$106</f>
        <v/>
      </c>
      <c r="IC9" s="76"/>
      <c r="ID9" s="76"/>
      <c r="IE9" s="76"/>
      <c r="IF9" s="76" t="s">
        <v>1242</v>
      </c>
      <c r="IG9" s="324" t="str">
        <f>WSTIK!$H$6</f>
        <v/>
      </c>
      <c r="IH9" s="324" t="str">
        <f>WSTIK!$H$14</f>
        <v/>
      </c>
      <c r="II9" s="324" t="str">
        <f>WSTIK!$H$22</f>
        <v/>
      </c>
      <c r="IJ9" s="324" t="str">
        <f>WSTIK!$H$30</f>
        <v/>
      </c>
      <c r="IK9" s="324" t="str">
        <f>WSTIK!$H$38</f>
        <v/>
      </c>
      <c r="IL9" s="324" t="str">
        <f>WSTIK!$H$46</f>
        <v/>
      </c>
      <c r="IM9" s="324" t="str">
        <f>WSTIK!$H$54</f>
        <v/>
      </c>
      <c r="IN9" s="324" t="str">
        <f>WSTIK!$H$62</f>
        <v/>
      </c>
      <c r="IO9" s="324" t="str">
        <f>WSTIK!$H$70</f>
        <v/>
      </c>
      <c r="IP9" s="324" t="str">
        <f>WSTIK!$H$78</f>
        <v/>
      </c>
      <c r="IQ9" s="324" t="str">
        <f>WSTIK!$H$86</f>
        <v/>
      </c>
      <c r="IR9" s="324" t="str">
        <f>WSTIK!$H$94</f>
        <v/>
      </c>
      <c r="IS9" s="324" t="str">
        <f>WSTIK!$H$102</f>
        <v/>
      </c>
      <c r="IT9" s="76"/>
      <c r="IU9" s="76"/>
      <c r="IV9" s="76"/>
      <c r="IW9" s="76"/>
      <c r="IX9" s="324" t="str">
        <f>WSASWAJA!$H$6</f>
        <v/>
      </c>
      <c r="IY9" s="324" t="str">
        <f>WSASWAJA!$H$14</f>
        <v/>
      </c>
      <c r="IZ9" s="324" t="str">
        <f>WSASWAJA!$H$22</f>
        <v/>
      </c>
      <c r="JA9" s="324" t="str">
        <f>WSASWAJA!$H$30</f>
        <v/>
      </c>
      <c r="JB9" s="324" t="str">
        <f>WSASWAJA!$H$38</f>
        <v/>
      </c>
      <c r="JC9" s="324" t="str">
        <f>WSASWAJA!$H$46</f>
        <v/>
      </c>
      <c r="JD9" s="324" t="str">
        <f>WSASWAJA!$H$54</f>
        <v/>
      </c>
      <c r="JE9" s="324" t="str">
        <f>WSASWAJA!$H$62</f>
        <v/>
      </c>
      <c r="JF9" s="324" t="str">
        <f>WSASWAJA!$H$70</f>
        <v/>
      </c>
      <c r="JG9" s="324" t="str">
        <f>WSASWAJA!$H$78</f>
        <v/>
      </c>
      <c r="JH9" s="324" t="str">
        <f>WSASWAJA!$H$86</f>
        <v/>
      </c>
      <c r="JI9" s="324" t="str">
        <f>WSASWAJA!$H$94</f>
        <v/>
      </c>
      <c r="JJ9" s="324" t="str">
        <f>WSASWAJA!$H$102</f>
        <v/>
      </c>
      <c r="JK9" s="76"/>
      <c r="JL9" s="76"/>
      <c r="JM9" s="76"/>
      <c r="JN9" s="76"/>
    </row>
    <row r="10" spans="1:274">
      <c r="A10" s="76"/>
      <c r="B10" s="76">
        <v>5</v>
      </c>
      <c r="C10" s="324">
        <f>WSALQURAN!$I$6</f>
        <v>93.333333333333329</v>
      </c>
      <c r="D10" s="324">
        <f>WSALQURAN!$I$14</f>
        <v>100</v>
      </c>
      <c r="E10" s="324">
        <f>WSALQURAN!$I$22</f>
        <v>75</v>
      </c>
      <c r="F10" s="324">
        <f>WSALQURAN!$I$30</f>
        <v>93.333333333333329</v>
      </c>
      <c r="G10" s="324">
        <f>WSALQURAN!$I$38</f>
        <v>96</v>
      </c>
      <c r="H10" s="324">
        <f>WSALQURAN!$I$46</f>
        <v>95</v>
      </c>
      <c r="I10" s="324">
        <f>WSALQURAN!$I$54</f>
        <v>100</v>
      </c>
      <c r="J10" s="324" t="str">
        <f>WSALQURAN!$I$62</f>
        <v/>
      </c>
      <c r="K10" s="324" t="str">
        <f>WSALQURAN!$I$70</f>
        <v/>
      </c>
      <c r="L10" s="324" t="str">
        <f>WSALQURAN!$I$78</f>
        <v/>
      </c>
      <c r="M10" s="324" t="str">
        <f>WSALQURAN!$I$86</f>
        <v/>
      </c>
      <c r="N10" s="324" t="str">
        <f>WSALQURAN!$I$94</f>
        <v/>
      </c>
      <c r="O10" s="324" t="str">
        <f>WSALQURAN!$I$102</f>
        <v/>
      </c>
      <c r="P10" s="76"/>
      <c r="Q10" s="76"/>
      <c r="R10" s="76"/>
      <c r="S10" s="76" t="s">
        <v>1969</v>
      </c>
      <c r="T10" s="324">
        <f>WSAQIDAH!$I$6</f>
        <v>79</v>
      </c>
      <c r="U10" s="324">
        <f>WSAQIDAH!$I$14</f>
        <v>100</v>
      </c>
      <c r="V10" s="324">
        <f>WSAQIDAH!$I$22</f>
        <v>85</v>
      </c>
      <c r="W10" s="324">
        <f>WSAQIDAH!$I$30</f>
        <v>78</v>
      </c>
      <c r="X10" s="324">
        <f>WSAQIDAH!$I$38</f>
        <v>100</v>
      </c>
      <c r="Y10" s="324">
        <f>WSAQIDAH!$I$46</f>
        <v>90</v>
      </c>
      <c r="Z10" s="324">
        <f>WSAQIDAH!$I$54</f>
        <v>78</v>
      </c>
      <c r="AA10" s="324">
        <f>WSAQIDAH!$I$62</f>
        <v>80</v>
      </c>
      <c r="AB10" s="324">
        <f>WSAQIDAH!$I$70</f>
        <v>80</v>
      </c>
      <c r="AC10" s="324">
        <f>WSAQIDAH!$I$78</f>
        <v>80</v>
      </c>
      <c r="AD10" s="324" t="str">
        <f>WSAQIDAH!$I$86</f>
        <v/>
      </c>
      <c r="AE10" s="324" t="str">
        <f>WSAQIDAH!$I$94</f>
        <v/>
      </c>
      <c r="AF10" s="324" t="str">
        <f>WSAQIDAH!$I$102</f>
        <v/>
      </c>
      <c r="AG10" s="76"/>
      <c r="AH10" s="76"/>
      <c r="AI10" s="76"/>
      <c r="AJ10" s="76" t="s">
        <v>1973</v>
      </c>
      <c r="AK10" s="324">
        <f>WSFIQIH!$I$6</f>
        <v>90.25</v>
      </c>
      <c r="AL10" s="324">
        <f>WSFIQIH!$I$19</f>
        <v>85</v>
      </c>
      <c r="AM10" s="324">
        <f>WSFIQIH!$I$28</f>
        <v>90</v>
      </c>
      <c r="AN10" s="324">
        <f>WSFIQIH!$I$41</f>
        <v>100</v>
      </c>
      <c r="AO10" s="324">
        <f>WSFIQIH!$I$49</f>
        <v>100</v>
      </c>
      <c r="AP10" s="324">
        <f>WSFIQIH!$I$62</f>
        <v>100</v>
      </c>
      <c r="AQ10" s="324">
        <f>WSFIQIH!$I$71</f>
        <v>98</v>
      </c>
      <c r="AR10" s="324">
        <f>WSFIQIH!$I$80</f>
        <v>80</v>
      </c>
      <c r="AS10" s="324" t="str">
        <f>WSFIQIH!$I$88</f>
        <v/>
      </c>
      <c r="AT10" s="324" t="str">
        <f>WSFIQIH!$I$96</f>
        <v/>
      </c>
      <c r="AU10" s="324" t="str">
        <f>WSFIQIH!$I$104</f>
        <v/>
      </c>
      <c r="AV10" s="324" t="str">
        <f>WSFIQIH!$I$112</f>
        <v/>
      </c>
      <c r="AW10" s="324" t="str">
        <f>WSFIQIH!$I$120</f>
        <v/>
      </c>
      <c r="AX10" s="76"/>
      <c r="AY10" s="76"/>
      <c r="AZ10" s="76"/>
      <c r="BA10" s="76" t="s">
        <v>1222</v>
      </c>
      <c r="BB10" s="324">
        <f>WSSKI!$I$6</f>
        <v>86.5</v>
      </c>
      <c r="BC10" s="324">
        <f>WSSKI!$I$14</f>
        <v>92</v>
      </c>
      <c r="BD10" s="324">
        <f>WSSKI!$I$23</f>
        <v>89</v>
      </c>
      <c r="BE10" s="324">
        <f>WSSKI!$I$31</f>
        <v>92</v>
      </c>
      <c r="BF10" s="324">
        <f>WSSKI!$I$40</f>
        <v>100</v>
      </c>
      <c r="BG10" s="324">
        <f>WSSKI!$I$48</f>
        <v>75</v>
      </c>
      <c r="BH10" s="324" t="str">
        <f>WSSKI!$I$56</f>
        <v/>
      </c>
      <c r="BI10" s="324" t="str">
        <f>WSSKI!$I$64</f>
        <v/>
      </c>
      <c r="BJ10" s="324" t="str">
        <f>WSSKI!$I$72</f>
        <v/>
      </c>
      <c r="BK10" s="324" t="str">
        <f>WSSKI!$I$80</f>
        <v/>
      </c>
      <c r="BL10" s="324" t="str">
        <f>WSSKI!$I$88</f>
        <v/>
      </c>
      <c r="BM10" s="324" t="str">
        <f>WSSKI!$I$96</f>
        <v/>
      </c>
      <c r="BN10" s="324" t="str">
        <f>WSSKI!$I$104</f>
        <v/>
      </c>
      <c r="BO10" s="76"/>
      <c r="BP10" s="76"/>
      <c r="BQ10" s="76"/>
      <c r="BR10" s="76"/>
      <c r="BS10" s="324">
        <f>WSPKN!$I$6</f>
        <v>98.125</v>
      </c>
      <c r="BT10" s="324">
        <f>WSPKN!$I$32</f>
        <v>97.857142857142861</v>
      </c>
      <c r="BU10" s="324">
        <f>WSPKN!$I$55</f>
        <v>97.142857142857139</v>
      </c>
      <c r="BV10" s="324">
        <f>WSPKN!$I$72</f>
        <v>95.555555555555557</v>
      </c>
      <c r="BW10" s="324">
        <f>WSPKN!$I$86</f>
        <v>98.333333333333329</v>
      </c>
      <c r="BX10" s="324">
        <f>WSPKN!$I$108</f>
        <v>97.857142857142861</v>
      </c>
      <c r="BY10" s="324">
        <f>WSPKN!$I$132</f>
        <v>97.142857142857139</v>
      </c>
      <c r="BZ10" s="324">
        <f>WSPKN!$I$148</f>
        <v>94.583333333333329</v>
      </c>
      <c r="CA10" s="324" t="str">
        <f>WSPKN!$I$165</f>
        <v/>
      </c>
      <c r="CB10" s="324" t="str">
        <f>WSPKN!$I$173</f>
        <v/>
      </c>
      <c r="CC10" s="324" t="str">
        <f>WSPKN!$I$181</f>
        <v/>
      </c>
      <c r="CD10" s="324" t="str">
        <f>WSPKN!$I$189</f>
        <v/>
      </c>
      <c r="CE10" s="324" t="str">
        <f>WSPKN!$I$197</f>
        <v/>
      </c>
      <c r="CF10" s="76"/>
      <c r="CG10" s="76"/>
      <c r="CH10" s="76"/>
      <c r="CI10" s="76" t="s">
        <v>1884</v>
      </c>
      <c r="CJ10" s="324">
        <f>WSIND!$I$6</f>
        <v>97.916666666666671</v>
      </c>
      <c r="CK10" s="324">
        <f>WSIND!$I$65</f>
        <v>96.041666666666671</v>
      </c>
      <c r="CL10" s="324">
        <f>WSIND!$I$113</f>
        <v>98.888888888888886</v>
      </c>
      <c r="CM10" s="324">
        <f>WSIND!$I$133</f>
        <v>95</v>
      </c>
      <c r="CN10" s="324">
        <f>WSIND!$I$161</f>
        <v>95.434782608695656</v>
      </c>
      <c r="CO10" s="324">
        <f>WSIND!$I$192</f>
        <v>97.826086956521735</v>
      </c>
      <c r="CP10" s="324">
        <f>WSIND!$I$228</f>
        <v>96.041666666666671</v>
      </c>
      <c r="CQ10" s="324">
        <f>WSIND!$I$256</f>
        <v>98.888888888888886</v>
      </c>
      <c r="CR10" s="324">
        <f>WSIND!$I$277</f>
        <v>95</v>
      </c>
      <c r="CS10" s="324">
        <f>WSIND!$I$305</f>
        <v>95.476190476190482</v>
      </c>
      <c r="CT10" s="324" t="str">
        <f>WSIND!$I$329</f>
        <v/>
      </c>
      <c r="CU10" s="324" t="str">
        <f>WSIND!$I$337</f>
        <v/>
      </c>
      <c r="CV10" s="324" t="str">
        <f>WSIND!$I$345</f>
        <v/>
      </c>
      <c r="CW10" s="76"/>
      <c r="CX10" s="76"/>
      <c r="CY10" s="76"/>
      <c r="CZ10" s="76" t="s">
        <v>1895</v>
      </c>
      <c r="DA10" s="324" t="str">
        <f>WSARAB!$I$6</f>
        <v/>
      </c>
      <c r="DB10" s="324" t="str">
        <f>WSARAB!$I$17</f>
        <v/>
      </c>
      <c r="DC10" s="324" t="str">
        <f>WSARAB!$I$29</f>
        <v/>
      </c>
      <c r="DD10" s="324" t="str">
        <f>WSARAB!$I$37</f>
        <v/>
      </c>
      <c r="DE10" s="324" t="str">
        <f>WSARAB!$I$45</f>
        <v/>
      </c>
      <c r="DF10" s="324" t="str">
        <f>WSARAB!$I$53</f>
        <v/>
      </c>
      <c r="DG10" s="324" t="str">
        <f>WSARAB!$I$65</f>
        <v/>
      </c>
      <c r="DH10" s="324" t="str">
        <f>WSARAB!$I$73</f>
        <v/>
      </c>
      <c r="DI10" s="324" t="str">
        <f>WSARAB!$I$81</f>
        <v/>
      </c>
      <c r="DJ10" s="324" t="str">
        <f>WSARAB!$I$89</f>
        <v/>
      </c>
      <c r="DK10" s="324" t="str">
        <f>WSARAB!$I$97</f>
        <v/>
      </c>
      <c r="DL10" s="324" t="str">
        <f>WSARAB!$I$105</f>
        <v/>
      </c>
      <c r="DM10" s="324" t="str">
        <f>WSARAB!$I$113</f>
        <v/>
      </c>
      <c r="DN10" s="76"/>
      <c r="DO10" s="76"/>
      <c r="DP10" s="76"/>
      <c r="DQ10" s="76" t="s">
        <v>1270</v>
      </c>
      <c r="DR10" s="324">
        <f>WSMTK!$I$6</f>
        <v>94.5</v>
      </c>
      <c r="DS10" s="324">
        <f>WSMTK!$I$22</f>
        <v>97.5</v>
      </c>
      <c r="DT10" s="324">
        <f>WSMTK!$I$35</f>
        <v>94.333333333333329</v>
      </c>
      <c r="DU10" s="324">
        <f>WSMTK!$I$69</f>
        <v>97.8125</v>
      </c>
      <c r="DV10" s="324">
        <f>WSMTK!$I$87</f>
        <v>94.5</v>
      </c>
      <c r="DW10" s="324">
        <f>WSMTK!$I$99</f>
        <v>97.5</v>
      </c>
      <c r="DX10" s="324">
        <f>WSMTK!$I$113</f>
        <v>94.333333333333329</v>
      </c>
      <c r="DY10" s="324">
        <f>WSMTK!$I$145</f>
        <v>97.8125</v>
      </c>
      <c r="DZ10" s="324" t="str">
        <f>WSMTK!$I$168</f>
        <v/>
      </c>
      <c r="EA10" s="324" t="str">
        <f>WSMTK!$I$176</f>
        <v/>
      </c>
      <c r="EB10" s="324" t="str">
        <f>WSMTK!$I$184</f>
        <v/>
      </c>
      <c r="EC10" s="324" t="str">
        <f>WSMTK!$I$192</f>
        <v/>
      </c>
      <c r="ED10" s="324" t="str">
        <f>WSMTK!$I$200</f>
        <v/>
      </c>
      <c r="EE10" s="76"/>
      <c r="EF10" s="76"/>
      <c r="EG10" s="76"/>
      <c r="EH10" s="76" t="s">
        <v>1300</v>
      </c>
      <c r="EI10" s="324" t="str">
        <f>WSIPA!$I$6</f>
        <v/>
      </c>
      <c r="EJ10" s="324" t="str">
        <f>WSIPA!$I$14</f>
        <v/>
      </c>
      <c r="EK10" s="324" t="str">
        <f>WSIPA!$I$22</f>
        <v/>
      </c>
      <c r="EL10" s="324" t="str">
        <f>WSIPA!$I$30</f>
        <v/>
      </c>
      <c r="EM10" s="324" t="str">
        <f>WSIPA!$I$38</f>
        <v/>
      </c>
      <c r="EN10" s="324" t="str">
        <f>WSIPA!$I$46</f>
        <v/>
      </c>
      <c r="EO10" s="324" t="str">
        <f>WSIPA!$I$54</f>
        <v/>
      </c>
      <c r="EP10" s="324" t="str">
        <f>WSIPA!$I$62</f>
        <v/>
      </c>
      <c r="EQ10" s="324" t="str">
        <f>WSIPA!$I$70</f>
        <v/>
      </c>
      <c r="ER10" s="324" t="str">
        <f>WSIPA!$I$78</f>
        <v/>
      </c>
      <c r="ES10" s="324" t="str">
        <f>WSIPA!$I$86</f>
        <v/>
      </c>
      <c r="ET10" s="324" t="str">
        <f>WSIPA!$I$94</f>
        <v/>
      </c>
      <c r="EU10" s="324" t="str">
        <f>WSIPA!$I$102</f>
        <v/>
      </c>
      <c r="EV10" s="76"/>
      <c r="EW10" s="76"/>
      <c r="EX10" s="76"/>
      <c r="EY10" s="76" t="s">
        <v>1233</v>
      </c>
      <c r="EZ10" s="324" t="str">
        <f>WSIPS!$I$6</f>
        <v/>
      </c>
      <c r="FA10" s="324" t="str">
        <f>WSIPS!$I$14</f>
        <v/>
      </c>
      <c r="FB10" s="324" t="str">
        <f>WSIPS!$I$22</f>
        <v/>
      </c>
      <c r="FC10" s="324" t="str">
        <f>WSIPS!$I$30</f>
        <v/>
      </c>
      <c r="FD10" s="324" t="str">
        <f>WSIPS!$I$38</f>
        <v/>
      </c>
      <c r="FE10" s="324" t="str">
        <f>WSIPS!$I$46</f>
        <v/>
      </c>
      <c r="FF10" s="324" t="str">
        <f>WSIPS!$I$54</f>
        <v/>
      </c>
      <c r="FG10" s="324" t="str">
        <f>WSIPS!$I$62</f>
        <v/>
      </c>
      <c r="FH10" s="324" t="str">
        <f>WSIPS!$I$70</f>
        <v/>
      </c>
      <c r="FI10" s="324" t="str">
        <f>WSIPS!$I$78</f>
        <v/>
      </c>
      <c r="FJ10" s="324" t="str">
        <f>WSIPS!$I$86</f>
        <v/>
      </c>
      <c r="FK10" s="324" t="str">
        <f>WSIPS!$I$94</f>
        <v/>
      </c>
      <c r="FL10" s="324" t="str">
        <f>WSIPS!$I$102</f>
        <v/>
      </c>
      <c r="FM10" s="76"/>
      <c r="FN10" s="76"/>
      <c r="FO10" s="76"/>
      <c r="FP10" s="76" t="s">
        <v>1247</v>
      </c>
      <c r="FQ10" s="324">
        <f>WSSBK!$I$6</f>
        <v>97.5</v>
      </c>
      <c r="FR10" s="324">
        <f>WSSBK!$I$16</f>
        <v>97.5</v>
      </c>
      <c r="FS10" s="324">
        <f>WSSBK!$I$26</f>
        <v>93.125</v>
      </c>
      <c r="FT10" s="324">
        <f>WSSBK!$I$36</f>
        <v>93.75</v>
      </c>
      <c r="FU10" s="324">
        <f>WSSBK!$I$46</f>
        <v>97.5</v>
      </c>
      <c r="FV10" s="324">
        <f>WSSBK!$I$58</f>
        <v>97.5</v>
      </c>
      <c r="FW10" s="324">
        <f>WSSBK!$I$68</f>
        <v>93.125</v>
      </c>
      <c r="FX10" s="324">
        <f>WSSBK!$I$77</f>
        <v>93.75</v>
      </c>
      <c r="FY10" s="324" t="str">
        <f>WSSBK!$I$87</f>
        <v/>
      </c>
      <c r="FZ10" s="324" t="str">
        <f>WSSBK!$I$95</f>
        <v/>
      </c>
      <c r="GA10" s="324" t="str">
        <f>WSSBK!$I$103</f>
        <v/>
      </c>
      <c r="GB10" s="324" t="str">
        <f>WSSBK!$I$111</f>
        <v/>
      </c>
      <c r="GC10" s="324" t="str">
        <f>WSSBK!$I$119</f>
        <v/>
      </c>
      <c r="GD10" s="76"/>
      <c r="GE10" s="76"/>
      <c r="GF10" s="76"/>
      <c r="GG10" s="76" t="s">
        <v>1952</v>
      </c>
      <c r="GH10" s="334">
        <f>WSPENJAS!$I$6</f>
        <v>96</v>
      </c>
      <c r="GI10" s="334">
        <f>WSPENJAS!$I$7</f>
        <v>96</v>
      </c>
      <c r="GJ10" s="334">
        <f>WSPENJAS!$I$8</f>
        <v>96</v>
      </c>
      <c r="GK10" s="334">
        <f>WSPENJAS!$I$9</f>
        <v>96</v>
      </c>
      <c r="GL10" s="334">
        <f>WSPENJAS!$I$10</f>
        <v>96</v>
      </c>
      <c r="GM10" s="334">
        <f>WSPENJAS!$I$11</f>
        <v>96</v>
      </c>
      <c r="GN10" s="334">
        <f>WSPENJAS!$I$12</f>
        <v>96</v>
      </c>
      <c r="GO10" s="334">
        <f>WSPENJAS!$I$13</f>
        <v>96</v>
      </c>
      <c r="GP10" s="334">
        <f>WSPENJAS!$I$14</f>
        <v>96</v>
      </c>
      <c r="GQ10" s="334">
        <f>WSPENJAS!$I$15</f>
        <v>96</v>
      </c>
      <c r="GR10" s="334">
        <f>WSPENJAS!$I$16</f>
        <v>0</v>
      </c>
      <c r="GS10" s="334">
        <f>WSPENJAS!$I$17</f>
        <v>0</v>
      </c>
      <c r="GT10" s="334">
        <f>WSPENJAS!$I$18</f>
        <v>0</v>
      </c>
      <c r="GU10" s="334">
        <f>WSPENJAS!$I$19</f>
        <v>0</v>
      </c>
      <c r="GV10" s="334">
        <f>WSPENJAS!$I$20</f>
        <v>0</v>
      </c>
      <c r="GW10" s="334">
        <f>WSPENJAS!$I$21</f>
        <v>0</v>
      </c>
      <c r="GX10" s="76" t="s">
        <v>1291</v>
      </c>
      <c r="GY10" s="324">
        <f>WSJAWA!$I$6</f>
        <v>96.666666666666671</v>
      </c>
      <c r="GZ10" s="324">
        <f>WSJAWA!$I$14</f>
        <v>96.666666666666671</v>
      </c>
      <c r="HA10" s="324">
        <f>WSJAWA!$I$22</f>
        <v>100</v>
      </c>
      <c r="HB10" s="324">
        <f>WSJAWA!$I$30</f>
        <v>90</v>
      </c>
      <c r="HC10" s="324">
        <f>WSJAWA!$I$38</f>
        <v>100</v>
      </c>
      <c r="HD10" s="324">
        <f>WSJAWA!$I$46</f>
        <v>100</v>
      </c>
      <c r="HE10" s="324">
        <f>WSJAWA!$I$54</f>
        <v>100</v>
      </c>
      <c r="HF10" s="324">
        <f>WSJAWA!$I$62</f>
        <v>91.666666666666671</v>
      </c>
      <c r="HG10" s="324" t="str">
        <f>WSJAWA!$I$70</f>
        <v/>
      </c>
      <c r="HH10" s="324" t="str">
        <f>WSJAWA!$I$78</f>
        <v/>
      </c>
      <c r="HI10" s="324" t="str">
        <f>WSJAWA!$I$86</f>
        <v/>
      </c>
      <c r="HJ10" s="324" t="str">
        <f>WSJAWA!$I$94</f>
        <v/>
      </c>
      <c r="HK10" s="324" t="str">
        <f>WSJAWA!$I$102</f>
        <v/>
      </c>
      <c r="HL10" s="76"/>
      <c r="HM10" s="76"/>
      <c r="HN10" s="76"/>
      <c r="HO10" s="76" t="s">
        <v>1282</v>
      </c>
      <c r="HP10" s="324">
        <f>WSING!$I$6</f>
        <v>93.833333333333329</v>
      </c>
      <c r="HQ10" s="324">
        <f>WSING!$I$15</f>
        <v>93.833333333333329</v>
      </c>
      <c r="HR10" s="324">
        <f>WSING!$I$24</f>
        <v>96.666666666666671</v>
      </c>
      <c r="HS10" s="324">
        <f>WSING!$I$33</f>
        <v>96.666666666666671</v>
      </c>
      <c r="HT10" s="324" t="str">
        <f>WSING!$I$42</f>
        <v/>
      </c>
      <c r="HU10" s="324" t="str">
        <f>WSING!$I$50</f>
        <v/>
      </c>
      <c r="HV10" s="324" t="str">
        <f>WSING!$I$58</f>
        <v/>
      </c>
      <c r="HW10" s="324" t="str">
        <f>WSING!$I$66</f>
        <v/>
      </c>
      <c r="HX10" s="324" t="str">
        <f>WSING!$I$74</f>
        <v/>
      </c>
      <c r="HY10" s="324" t="str">
        <f>WSING!$I$82</f>
        <v/>
      </c>
      <c r="HZ10" s="324" t="str">
        <f>WSING!$I$90</f>
        <v/>
      </c>
      <c r="IA10" s="324" t="str">
        <f>WSING!$I$98</f>
        <v/>
      </c>
      <c r="IB10" s="324" t="str">
        <f>WSING!$I$106</f>
        <v/>
      </c>
      <c r="IC10" s="76"/>
      <c r="ID10" s="76"/>
      <c r="IE10" s="76"/>
      <c r="IF10" s="76" t="s">
        <v>1242</v>
      </c>
      <c r="IG10" s="324" t="str">
        <f>WSTIK!$I$6</f>
        <v/>
      </c>
      <c r="IH10" s="324" t="str">
        <f>WSTIK!$I$14</f>
        <v/>
      </c>
      <c r="II10" s="324" t="str">
        <f>WSTIK!$I$22</f>
        <v/>
      </c>
      <c r="IJ10" s="324" t="str">
        <f>WSTIK!$I$30</f>
        <v/>
      </c>
      <c r="IK10" s="324" t="str">
        <f>WSTIK!$I$38</f>
        <v/>
      </c>
      <c r="IL10" s="324" t="str">
        <f>WSTIK!$I$46</f>
        <v/>
      </c>
      <c r="IM10" s="324" t="str">
        <f>WSTIK!$I$54</f>
        <v/>
      </c>
      <c r="IN10" s="324" t="str">
        <f>WSTIK!$I$62</f>
        <v/>
      </c>
      <c r="IO10" s="324" t="str">
        <f>WSTIK!$I$70</f>
        <v/>
      </c>
      <c r="IP10" s="324" t="str">
        <f>WSTIK!$I$78</f>
        <v/>
      </c>
      <c r="IQ10" s="324" t="str">
        <f>WSTIK!$I$86</f>
        <v/>
      </c>
      <c r="IR10" s="324" t="str">
        <f>WSTIK!$I$94</f>
        <v/>
      </c>
      <c r="IS10" s="324" t="str">
        <f>WSTIK!$I$102</f>
        <v/>
      </c>
      <c r="IT10" s="76"/>
      <c r="IU10" s="76"/>
      <c r="IV10" s="76"/>
      <c r="IW10" s="76"/>
      <c r="IX10" s="324" t="str">
        <f>WSASWAJA!$I$6</f>
        <v/>
      </c>
      <c r="IY10" s="324" t="str">
        <f>WSASWAJA!$I$14</f>
        <v/>
      </c>
      <c r="IZ10" s="324" t="str">
        <f>WSASWAJA!$I$22</f>
        <v/>
      </c>
      <c r="JA10" s="324" t="str">
        <f>WSASWAJA!$I$30</f>
        <v/>
      </c>
      <c r="JB10" s="324" t="str">
        <f>WSASWAJA!$I$38</f>
        <v/>
      </c>
      <c r="JC10" s="324" t="str">
        <f>WSASWAJA!$I$46</f>
        <v/>
      </c>
      <c r="JD10" s="324" t="str">
        <f>WSASWAJA!$I$54</f>
        <v/>
      </c>
      <c r="JE10" s="324" t="str">
        <f>WSASWAJA!$I$62</f>
        <v/>
      </c>
      <c r="JF10" s="324" t="str">
        <f>WSASWAJA!$I$70</f>
        <v/>
      </c>
      <c r="JG10" s="324" t="str">
        <f>WSASWAJA!$I$78</f>
        <v/>
      </c>
      <c r="JH10" s="324" t="str">
        <f>WSASWAJA!$I$86</f>
        <v/>
      </c>
      <c r="JI10" s="324" t="str">
        <f>WSASWAJA!$I$94</f>
        <v/>
      </c>
      <c r="JJ10" s="324" t="str">
        <f>WSASWAJA!$I$102</f>
        <v/>
      </c>
      <c r="JK10" s="76"/>
      <c r="JL10" s="76"/>
      <c r="JM10" s="76"/>
      <c r="JN10" s="76"/>
    </row>
    <row r="11" spans="1:274">
      <c r="A11" s="76"/>
      <c r="B11" s="76">
        <v>6</v>
      </c>
      <c r="C11" s="324">
        <f>WSALQURAN!$J$6</f>
        <v>100</v>
      </c>
      <c r="D11" s="324">
        <f>WSALQURAN!$J$14</f>
        <v>80</v>
      </c>
      <c r="E11" s="324">
        <f>WSALQURAN!$J$22</f>
        <v>100</v>
      </c>
      <c r="F11" s="324">
        <f>WSALQURAN!$J$30</f>
        <v>100</v>
      </c>
      <c r="G11" s="324">
        <f>WSALQURAN!$J$38</f>
        <v>98.333333333333329</v>
      </c>
      <c r="H11" s="324">
        <f>WSALQURAN!$J$46</f>
        <v>90</v>
      </c>
      <c r="I11" s="324">
        <f>WSALQURAN!$J$54</f>
        <v>94</v>
      </c>
      <c r="J11" s="324" t="str">
        <f>WSALQURAN!$J$62</f>
        <v/>
      </c>
      <c r="K11" s="324" t="str">
        <f>WSALQURAN!$J$70</f>
        <v/>
      </c>
      <c r="L11" s="324" t="str">
        <f>WSALQURAN!$J$78</f>
        <v/>
      </c>
      <c r="M11" s="324" t="str">
        <f>WSALQURAN!$J$86</f>
        <v/>
      </c>
      <c r="N11" s="324" t="str">
        <f>WSALQURAN!$J$94</f>
        <v/>
      </c>
      <c r="O11" s="324" t="str">
        <f>WSALQURAN!$J$102</f>
        <v/>
      </c>
      <c r="P11" s="76"/>
      <c r="Q11" s="76"/>
      <c r="R11" s="76"/>
      <c r="S11" s="76"/>
      <c r="T11" s="324">
        <f>WSAQIDAH!$J$6</f>
        <v>90</v>
      </c>
      <c r="U11" s="324">
        <f>WSAQIDAH!$J$14</f>
        <v>100</v>
      </c>
      <c r="V11" s="324">
        <f>WSAQIDAH!$J$22</f>
        <v>98</v>
      </c>
      <c r="W11" s="324">
        <f>WSAQIDAH!$J$30</f>
        <v>90</v>
      </c>
      <c r="X11" s="324">
        <f>WSAQIDAH!$J$38</f>
        <v>100</v>
      </c>
      <c r="Y11" s="324">
        <f>WSAQIDAH!$J$46</f>
        <v>100</v>
      </c>
      <c r="Z11" s="324">
        <f>WSAQIDAH!$J$54</f>
        <v>90</v>
      </c>
      <c r="AA11" s="324">
        <f>WSAQIDAH!$J$62</f>
        <v>90</v>
      </c>
      <c r="AB11" s="324">
        <f>WSAQIDAH!$J$70</f>
        <v>90</v>
      </c>
      <c r="AC11" s="324">
        <f>WSAQIDAH!$J$78</f>
        <v>90</v>
      </c>
      <c r="AD11" s="324" t="str">
        <f>WSAQIDAH!$J$86</f>
        <v/>
      </c>
      <c r="AE11" s="324" t="str">
        <f>WSAQIDAH!$J$94</f>
        <v/>
      </c>
      <c r="AF11" s="324" t="str">
        <f>WSAQIDAH!$J$102</f>
        <v/>
      </c>
      <c r="AG11" s="76"/>
      <c r="AH11" s="76"/>
      <c r="AI11" s="76"/>
      <c r="AJ11" s="76" t="s">
        <v>1974</v>
      </c>
      <c r="AK11" s="324">
        <f>WSFIQIH!$J$6</f>
        <v>97.75</v>
      </c>
      <c r="AL11" s="324">
        <f>WSFIQIH!$J$19</f>
        <v>90</v>
      </c>
      <c r="AM11" s="324">
        <f>WSFIQIH!$J$28</f>
        <v>85</v>
      </c>
      <c r="AN11" s="324">
        <f>WSFIQIH!$J$41</f>
        <v>90</v>
      </c>
      <c r="AO11" s="324">
        <f>WSFIQIH!$J$49</f>
        <v>90</v>
      </c>
      <c r="AP11" s="324">
        <f>WSFIQIH!$J$62</f>
        <v>98</v>
      </c>
      <c r="AQ11" s="324">
        <f>WSFIQIH!$J$71</f>
        <v>98</v>
      </c>
      <c r="AR11" s="324">
        <f>WSFIQIH!$J$80</f>
        <v>80</v>
      </c>
      <c r="AS11" s="324" t="str">
        <f>WSFIQIH!$J$88</f>
        <v/>
      </c>
      <c r="AT11" s="324" t="str">
        <f>WSFIQIH!$J$96</f>
        <v/>
      </c>
      <c r="AU11" s="324" t="str">
        <f>WSFIQIH!$J$104</f>
        <v/>
      </c>
      <c r="AV11" s="324" t="str">
        <f>WSFIQIH!$J$112</f>
        <v/>
      </c>
      <c r="AW11" s="324" t="str">
        <f>WSFIQIH!$J$120</f>
        <v/>
      </c>
      <c r="AX11" s="76"/>
      <c r="AY11" s="76"/>
      <c r="AZ11" s="76"/>
      <c r="BA11" s="76" t="s">
        <v>1223</v>
      </c>
      <c r="BB11" s="324">
        <f>WSSKI!$J$6</f>
        <v>100</v>
      </c>
      <c r="BC11" s="324">
        <f>WSSKI!$J$14</f>
        <v>95.8</v>
      </c>
      <c r="BD11" s="324">
        <f>WSSKI!$J$23</f>
        <v>97.666666666666671</v>
      </c>
      <c r="BE11" s="324">
        <f>WSSKI!$J$31</f>
        <v>98</v>
      </c>
      <c r="BF11" s="324">
        <f>WSSKI!$J$40</f>
        <v>100</v>
      </c>
      <c r="BG11" s="324">
        <f>WSSKI!$J$48</f>
        <v>95</v>
      </c>
      <c r="BH11" s="324" t="str">
        <f>WSSKI!$J$56</f>
        <v/>
      </c>
      <c r="BI11" s="324" t="str">
        <f>WSSKI!$J$64</f>
        <v/>
      </c>
      <c r="BJ11" s="324" t="str">
        <f>WSSKI!$J$72</f>
        <v/>
      </c>
      <c r="BK11" s="324" t="str">
        <f>WSSKI!$J$80</f>
        <v/>
      </c>
      <c r="BL11" s="324" t="str">
        <f>WSSKI!$J$88</f>
        <v/>
      </c>
      <c r="BM11" s="324" t="str">
        <f>WSSKI!$J$96</f>
        <v/>
      </c>
      <c r="BN11" s="324" t="str">
        <f>WSSKI!$J$104</f>
        <v/>
      </c>
      <c r="BO11" s="76"/>
      <c r="BP11" s="76"/>
      <c r="BQ11" s="76"/>
      <c r="BR11" s="76" t="s">
        <v>1984</v>
      </c>
      <c r="BS11" s="324">
        <f>WSPKN!$J$6</f>
        <v>99.375</v>
      </c>
      <c r="BT11" s="324">
        <f>WSPKN!$J$32</f>
        <v>96.875</v>
      </c>
      <c r="BU11" s="324">
        <f>WSPKN!$J$55</f>
        <v>98.928571428571431</v>
      </c>
      <c r="BV11" s="324">
        <f>WSPKN!$J$72</f>
        <v>96.36904761904762</v>
      </c>
      <c r="BW11" s="324">
        <f>WSPKN!$J$86</f>
        <v>99.166666666666671</v>
      </c>
      <c r="BX11" s="324">
        <f>WSPKN!$J$108</f>
        <v>96.875</v>
      </c>
      <c r="BY11" s="324">
        <f>WSPKN!$J$132</f>
        <v>98.928571428571431</v>
      </c>
      <c r="BZ11" s="324">
        <f>WSPKN!$J$148</f>
        <v>95.909090909090907</v>
      </c>
      <c r="CA11" s="324" t="str">
        <f>WSPKN!$J$165</f>
        <v/>
      </c>
      <c r="CB11" s="324" t="str">
        <f>WSPKN!$J$173</f>
        <v/>
      </c>
      <c r="CC11" s="324" t="str">
        <f>WSPKN!$J$181</f>
        <v/>
      </c>
      <c r="CD11" s="324" t="str">
        <f>WSPKN!$J$189</f>
        <v/>
      </c>
      <c r="CE11" s="324" t="str">
        <f>WSPKN!$J$197</f>
        <v/>
      </c>
      <c r="CF11" s="76"/>
      <c r="CG11" s="76"/>
      <c r="CH11" s="76"/>
      <c r="CI11" s="76" t="s">
        <v>1884</v>
      </c>
      <c r="CJ11" s="324">
        <f>WSIND!$J$6</f>
        <v>98.260869565217391</v>
      </c>
      <c r="CK11" s="324">
        <f>WSIND!$J$65</f>
        <v>97.291666666666671</v>
      </c>
      <c r="CL11" s="324">
        <f>WSIND!$J$113</f>
        <v>99.444444444444443</v>
      </c>
      <c r="CM11" s="324">
        <f>WSIND!$J$133</f>
        <v>99.333333333333329</v>
      </c>
      <c r="CN11" s="324">
        <f>WSIND!$J$161</f>
        <v>97.173913043478265</v>
      </c>
      <c r="CO11" s="324">
        <f>WSIND!$J$192</f>
        <v>98.181818181818187</v>
      </c>
      <c r="CP11" s="324">
        <f>WSIND!$J$228</f>
        <v>97.291666666666671</v>
      </c>
      <c r="CQ11" s="324">
        <f>WSIND!$J$256</f>
        <v>99.444444444444443</v>
      </c>
      <c r="CR11" s="324">
        <f>WSIND!$J$277</f>
        <v>99.333333333333329</v>
      </c>
      <c r="CS11" s="324">
        <f>WSIND!$J$305</f>
        <v>97.173913043478265</v>
      </c>
      <c r="CT11" s="324" t="str">
        <f>WSIND!$J$329</f>
        <v/>
      </c>
      <c r="CU11" s="324" t="str">
        <f>WSIND!$J$337</f>
        <v/>
      </c>
      <c r="CV11" s="324" t="str">
        <f>WSIND!$J$345</f>
        <v/>
      </c>
      <c r="CW11" s="76"/>
      <c r="CX11" s="76"/>
      <c r="CY11" s="76"/>
      <c r="CZ11" s="76" t="s">
        <v>1896</v>
      </c>
      <c r="DA11" s="324" t="str">
        <f>WSARAB!$J$6</f>
        <v/>
      </c>
      <c r="DB11" s="324" t="str">
        <f>WSARAB!$J$17</f>
        <v/>
      </c>
      <c r="DC11" s="324" t="str">
        <f>WSARAB!$J$29</f>
        <v/>
      </c>
      <c r="DD11" s="324" t="str">
        <f>WSARAB!$J$37</f>
        <v/>
      </c>
      <c r="DE11" s="324" t="str">
        <f>WSARAB!$J$45</f>
        <v/>
      </c>
      <c r="DF11" s="324" t="str">
        <f>WSARAB!$J$53</f>
        <v/>
      </c>
      <c r="DG11" s="324" t="str">
        <f>WSARAB!$J$65</f>
        <v/>
      </c>
      <c r="DH11" s="324" t="str">
        <f>WSARAB!$J$73</f>
        <v/>
      </c>
      <c r="DI11" s="324" t="str">
        <f>WSARAB!$J$81</f>
        <v/>
      </c>
      <c r="DJ11" s="324" t="str">
        <f>WSARAB!$J$89</f>
        <v/>
      </c>
      <c r="DK11" s="324" t="str">
        <f>WSARAB!$J$97</f>
        <v/>
      </c>
      <c r="DL11" s="324" t="str">
        <f>WSARAB!$J$105</f>
        <v/>
      </c>
      <c r="DM11" s="324" t="str">
        <f>WSARAB!$J$113</f>
        <v/>
      </c>
      <c r="DN11" s="76"/>
      <c r="DO11" s="76"/>
      <c r="DP11" s="76"/>
      <c r="DQ11" s="76" t="s">
        <v>1269</v>
      </c>
      <c r="DR11" s="324">
        <f>WSMTK!$J$6</f>
        <v>98</v>
      </c>
      <c r="DS11" s="324">
        <f>WSMTK!$J$22</f>
        <v>99.375</v>
      </c>
      <c r="DT11" s="324">
        <f>WSMTK!$J$35</f>
        <v>97.166666666666671</v>
      </c>
      <c r="DU11" s="324">
        <f>WSMTK!$J$69</f>
        <v>97.5</v>
      </c>
      <c r="DV11" s="324">
        <f>WSMTK!$J$87</f>
        <v>98</v>
      </c>
      <c r="DW11" s="324">
        <f>WSMTK!$J$99</f>
        <v>99.375</v>
      </c>
      <c r="DX11" s="324">
        <f>WSMTK!$J$113</f>
        <v>97.166666666666671</v>
      </c>
      <c r="DY11" s="324">
        <f>WSMTK!$J$145</f>
        <v>97.5</v>
      </c>
      <c r="DZ11" s="324" t="str">
        <f>WSMTK!$J$168</f>
        <v/>
      </c>
      <c r="EA11" s="324" t="str">
        <f>WSMTK!$J$176</f>
        <v/>
      </c>
      <c r="EB11" s="324" t="str">
        <f>WSMTK!$J$184</f>
        <v/>
      </c>
      <c r="EC11" s="324" t="str">
        <f>WSMTK!$J$192</f>
        <v/>
      </c>
      <c r="ED11" s="324" t="str">
        <f>WSMTK!$J$200</f>
        <v/>
      </c>
      <c r="EE11" s="76"/>
      <c r="EF11" s="76"/>
      <c r="EG11" s="76"/>
      <c r="EH11" s="76" t="s">
        <v>1306</v>
      </c>
      <c r="EI11" s="324" t="str">
        <f>WSIPA!$J$6</f>
        <v/>
      </c>
      <c r="EJ11" s="324" t="str">
        <f>WSIPA!$J$14</f>
        <v/>
      </c>
      <c r="EK11" s="324" t="str">
        <f>WSIPA!$J$22</f>
        <v/>
      </c>
      <c r="EL11" s="324" t="str">
        <f>WSIPA!$J$30</f>
        <v/>
      </c>
      <c r="EM11" s="324" t="str">
        <f>WSIPA!$J$38</f>
        <v/>
      </c>
      <c r="EN11" s="324" t="str">
        <f>WSIPA!$J$46</f>
        <v/>
      </c>
      <c r="EO11" s="324" t="str">
        <f>WSIPA!$J$54</f>
        <v/>
      </c>
      <c r="EP11" s="324" t="str">
        <f>WSIPA!$J$62</f>
        <v/>
      </c>
      <c r="EQ11" s="324" t="str">
        <f>WSIPA!$J$70</f>
        <v/>
      </c>
      <c r="ER11" s="324" t="str">
        <f>WSIPA!$J$78</f>
        <v/>
      </c>
      <c r="ES11" s="324" t="str">
        <f>WSIPA!$J$86</f>
        <v/>
      </c>
      <c r="ET11" s="324" t="str">
        <f>WSIPA!$J$94</f>
        <v/>
      </c>
      <c r="EU11" s="324" t="str">
        <f>WSIPA!$J$102</f>
        <v/>
      </c>
      <c r="EV11" s="76"/>
      <c r="EW11" s="76"/>
      <c r="EX11" s="76"/>
      <c r="EY11" s="76" t="s">
        <v>1233</v>
      </c>
      <c r="EZ11" s="324" t="str">
        <f>WSIPS!$J$6</f>
        <v/>
      </c>
      <c r="FA11" s="324" t="str">
        <f>WSIPS!$J$14</f>
        <v/>
      </c>
      <c r="FB11" s="324" t="str">
        <f>WSIPS!$J$22</f>
        <v/>
      </c>
      <c r="FC11" s="324" t="str">
        <f>WSIPS!$J$30</f>
        <v/>
      </c>
      <c r="FD11" s="324" t="str">
        <f>WSIPS!$J$38</f>
        <v/>
      </c>
      <c r="FE11" s="324" t="str">
        <f>WSIPS!$J$46</f>
        <v/>
      </c>
      <c r="FF11" s="324" t="str">
        <f>WSIPS!$J$54</f>
        <v/>
      </c>
      <c r="FG11" s="324" t="str">
        <f>WSIPS!$J$62</f>
        <v/>
      </c>
      <c r="FH11" s="324" t="str">
        <f>WSIPS!$J$70</f>
        <v/>
      </c>
      <c r="FI11" s="324" t="str">
        <f>WSIPS!$J$78</f>
        <v/>
      </c>
      <c r="FJ11" s="324" t="str">
        <f>WSIPS!$J$86</f>
        <v/>
      </c>
      <c r="FK11" s="324" t="str">
        <f>WSIPS!$J$94</f>
        <v/>
      </c>
      <c r="FL11" s="324" t="str">
        <f>WSIPS!$J$102</f>
        <v/>
      </c>
      <c r="FM11" s="76"/>
      <c r="FN11" s="76"/>
      <c r="FO11" s="76"/>
      <c r="FP11" s="76" t="s">
        <v>1248</v>
      </c>
      <c r="FQ11" s="324">
        <f>WSSBK!$J$6</f>
        <v>99.375</v>
      </c>
      <c r="FR11" s="324">
        <f>WSSBK!$J$16</f>
        <v>96.25</v>
      </c>
      <c r="FS11" s="324">
        <f>WSSBK!$J$26</f>
        <v>98.125</v>
      </c>
      <c r="FT11" s="324">
        <f>WSSBK!$J$36</f>
        <v>98.125</v>
      </c>
      <c r="FU11" s="324">
        <f>WSSBK!$J$46</f>
        <v>99.375</v>
      </c>
      <c r="FV11" s="324">
        <f>WSSBK!$J$58</f>
        <v>96.25</v>
      </c>
      <c r="FW11" s="324">
        <f>WSSBK!$J$68</f>
        <v>98.125</v>
      </c>
      <c r="FX11" s="324">
        <f>WSSBK!$J$77</f>
        <v>98.125</v>
      </c>
      <c r="FY11" s="324" t="str">
        <f>WSSBK!$J$87</f>
        <v/>
      </c>
      <c r="FZ11" s="324" t="str">
        <f>WSSBK!$J$95</f>
        <v/>
      </c>
      <c r="GA11" s="324" t="str">
        <f>WSSBK!$J$103</f>
        <v/>
      </c>
      <c r="GB11" s="324" t="str">
        <f>WSSBK!$J$111</f>
        <v/>
      </c>
      <c r="GC11" s="324" t="str">
        <f>WSSBK!$J$119</f>
        <v/>
      </c>
      <c r="GD11" s="76"/>
      <c r="GE11" s="76"/>
      <c r="GF11" s="76"/>
      <c r="GG11" s="76" t="s">
        <v>1952</v>
      </c>
      <c r="GH11" s="334">
        <f>WSPENJAS!$J$6</f>
        <v>89</v>
      </c>
      <c r="GI11" s="334">
        <f>WSPENJAS!$J$7</f>
        <v>89</v>
      </c>
      <c r="GJ11" s="334">
        <f>WSPENJAS!$J$8</f>
        <v>89</v>
      </c>
      <c r="GK11" s="334">
        <f>WSPENJAS!$J$9</f>
        <v>89</v>
      </c>
      <c r="GL11" s="334">
        <f>WSPENJAS!$J$10</f>
        <v>89</v>
      </c>
      <c r="GM11" s="334">
        <f>WSPENJAS!$J$11</f>
        <v>89</v>
      </c>
      <c r="GN11" s="334">
        <f>WSPENJAS!$J$12</f>
        <v>89</v>
      </c>
      <c r="GO11" s="334">
        <f>WSPENJAS!$J$13</f>
        <v>89</v>
      </c>
      <c r="GP11" s="334">
        <f>WSPENJAS!$J$14</f>
        <v>89</v>
      </c>
      <c r="GQ11" s="334">
        <f>WSPENJAS!$J$15</f>
        <v>89</v>
      </c>
      <c r="GR11" s="334">
        <f>WSPENJAS!$J$16</f>
        <v>0</v>
      </c>
      <c r="GS11" s="334">
        <f>WSPENJAS!$J$17</f>
        <v>0</v>
      </c>
      <c r="GT11" s="334">
        <f>WSPENJAS!$J$18</f>
        <v>0</v>
      </c>
      <c r="GU11" s="334">
        <f>WSPENJAS!$J$19</f>
        <v>0</v>
      </c>
      <c r="GV11" s="334">
        <f>WSPENJAS!$J$20</f>
        <v>0</v>
      </c>
      <c r="GW11" s="334">
        <f>WSPENJAS!$J$21</f>
        <v>0</v>
      </c>
      <c r="GX11" s="76" t="s">
        <v>1291</v>
      </c>
      <c r="GY11" s="324">
        <f>WSJAWA!$J$6</f>
        <v>100</v>
      </c>
      <c r="GZ11" s="324">
        <f>WSJAWA!$J$14</f>
        <v>96.666666666666671</v>
      </c>
      <c r="HA11" s="324">
        <f>WSJAWA!$J$22</f>
        <v>100</v>
      </c>
      <c r="HB11" s="324">
        <f>WSJAWA!$J$30</f>
        <v>93.333333333333329</v>
      </c>
      <c r="HC11" s="324">
        <f>WSJAWA!$J$38</f>
        <v>100</v>
      </c>
      <c r="HD11" s="324">
        <f>WSJAWA!$J$46</f>
        <v>100</v>
      </c>
      <c r="HE11" s="324">
        <f>WSJAWA!$J$54</f>
        <v>100</v>
      </c>
      <c r="HF11" s="324">
        <f>WSJAWA!$J$62</f>
        <v>90</v>
      </c>
      <c r="HG11" s="324" t="str">
        <f>WSJAWA!$J$70</f>
        <v/>
      </c>
      <c r="HH11" s="324" t="str">
        <f>WSJAWA!$J$78</f>
        <v/>
      </c>
      <c r="HI11" s="324" t="str">
        <f>WSJAWA!$J$86</f>
        <v/>
      </c>
      <c r="HJ11" s="324" t="str">
        <f>WSJAWA!$J$94</f>
        <v/>
      </c>
      <c r="HK11" s="324" t="str">
        <f>WSJAWA!$J$102</f>
        <v/>
      </c>
      <c r="HL11" s="76"/>
      <c r="HM11" s="76"/>
      <c r="HN11" s="76"/>
      <c r="HO11" s="76" t="s">
        <v>1279</v>
      </c>
      <c r="HP11" s="324">
        <f>WSING!$J$6</f>
        <v>98</v>
      </c>
      <c r="HQ11" s="324">
        <f>WSING!$J$15</f>
        <v>98</v>
      </c>
      <c r="HR11" s="324">
        <f>WSING!$J$24</f>
        <v>95</v>
      </c>
      <c r="HS11" s="324">
        <f>WSING!$J$33</f>
        <v>95</v>
      </c>
      <c r="HT11" s="324" t="str">
        <f>WSING!$J$42</f>
        <v/>
      </c>
      <c r="HU11" s="324" t="str">
        <f>WSING!$J$50</f>
        <v/>
      </c>
      <c r="HV11" s="324" t="str">
        <f>WSING!$J$58</f>
        <v/>
      </c>
      <c r="HW11" s="324" t="str">
        <f>WSING!$J$66</f>
        <v/>
      </c>
      <c r="HX11" s="324" t="str">
        <f>WSING!$J$74</f>
        <v/>
      </c>
      <c r="HY11" s="324" t="str">
        <f>WSING!$J$82</f>
        <v/>
      </c>
      <c r="HZ11" s="324" t="str">
        <f>WSING!$J$90</f>
        <v/>
      </c>
      <c r="IA11" s="324" t="str">
        <f>WSING!$J$98</f>
        <v/>
      </c>
      <c r="IB11" s="324" t="str">
        <f>WSING!$J$106</f>
        <v/>
      </c>
      <c r="IC11" s="76"/>
      <c r="ID11" s="76"/>
      <c r="IE11" s="76"/>
      <c r="IF11" s="76" t="s">
        <v>1242</v>
      </c>
      <c r="IG11" s="324" t="str">
        <f>WSTIK!$J$6</f>
        <v/>
      </c>
      <c r="IH11" s="324" t="str">
        <f>WSTIK!$J$14</f>
        <v/>
      </c>
      <c r="II11" s="324" t="str">
        <f>WSTIK!$J$22</f>
        <v/>
      </c>
      <c r="IJ11" s="324" t="str">
        <f>WSTIK!$J$30</f>
        <v/>
      </c>
      <c r="IK11" s="324" t="str">
        <f>WSTIK!$J$38</f>
        <v/>
      </c>
      <c r="IL11" s="324" t="str">
        <f>WSTIK!$J$46</f>
        <v/>
      </c>
      <c r="IM11" s="324" t="str">
        <f>WSTIK!$J$54</f>
        <v/>
      </c>
      <c r="IN11" s="324" t="str">
        <f>WSTIK!$J$62</f>
        <v/>
      </c>
      <c r="IO11" s="324" t="str">
        <f>WSTIK!$J$70</f>
        <v/>
      </c>
      <c r="IP11" s="324" t="str">
        <f>WSTIK!$J$78</f>
        <v/>
      </c>
      <c r="IQ11" s="324" t="str">
        <f>WSTIK!$J$86</f>
        <v/>
      </c>
      <c r="IR11" s="324" t="str">
        <f>WSTIK!$J$94</f>
        <v/>
      </c>
      <c r="IS11" s="324" t="str">
        <f>WSTIK!$J$102</f>
        <v/>
      </c>
      <c r="IT11" s="76"/>
      <c r="IU11" s="76"/>
      <c r="IV11" s="76"/>
      <c r="IW11" s="76"/>
      <c r="IX11" s="324" t="str">
        <f>WSASWAJA!$J$6</f>
        <v/>
      </c>
      <c r="IY11" s="324" t="str">
        <f>WSASWAJA!$J$14</f>
        <v/>
      </c>
      <c r="IZ11" s="324" t="str">
        <f>WSASWAJA!$J$22</f>
        <v/>
      </c>
      <c r="JA11" s="324" t="str">
        <f>WSASWAJA!$J$30</f>
        <v/>
      </c>
      <c r="JB11" s="324" t="str">
        <f>WSASWAJA!$J$38</f>
        <v/>
      </c>
      <c r="JC11" s="324" t="str">
        <f>WSASWAJA!$J$46</f>
        <v/>
      </c>
      <c r="JD11" s="324" t="str">
        <f>WSASWAJA!$J$54</f>
        <v/>
      </c>
      <c r="JE11" s="324" t="str">
        <f>WSASWAJA!$J$62</f>
        <v/>
      </c>
      <c r="JF11" s="324" t="str">
        <f>WSASWAJA!$J$70</f>
        <v/>
      </c>
      <c r="JG11" s="324" t="str">
        <f>WSASWAJA!$J$78</f>
        <v/>
      </c>
      <c r="JH11" s="324" t="str">
        <f>WSASWAJA!$J$86</f>
        <v/>
      </c>
      <c r="JI11" s="324" t="str">
        <f>WSASWAJA!$J$94</f>
        <v/>
      </c>
      <c r="JJ11" s="324" t="str">
        <f>WSASWAJA!$J$102</f>
        <v/>
      </c>
      <c r="JK11" s="76"/>
      <c r="JL11" s="76"/>
      <c r="JM11" s="76"/>
      <c r="JN11" s="76"/>
    </row>
    <row r="12" spans="1:274">
      <c r="A12" s="76"/>
      <c r="B12" s="76">
        <v>7</v>
      </c>
      <c r="C12" s="324">
        <f>WSALQURAN!$K$6</f>
        <v>100</v>
      </c>
      <c r="D12" s="324">
        <f>WSALQURAN!$K$14</f>
        <v>100</v>
      </c>
      <c r="E12" s="324">
        <f>WSALQURAN!$K$22</f>
        <v>100</v>
      </c>
      <c r="F12" s="324">
        <f>WSALQURAN!$K$30</f>
        <v>100</v>
      </c>
      <c r="G12" s="324">
        <f>WSALQURAN!$K$38</f>
        <v>99.333333333333329</v>
      </c>
      <c r="H12" s="324">
        <f>WSALQURAN!$K$46</f>
        <v>95</v>
      </c>
      <c r="I12" s="324">
        <f>WSALQURAN!$K$54</f>
        <v>95</v>
      </c>
      <c r="J12" s="324" t="str">
        <f>WSALQURAN!$K$62</f>
        <v/>
      </c>
      <c r="K12" s="324" t="str">
        <f>WSALQURAN!$K$70</f>
        <v/>
      </c>
      <c r="L12" s="324" t="str">
        <f>WSALQURAN!$K$78</f>
        <v/>
      </c>
      <c r="M12" s="324" t="str">
        <f>WSALQURAN!$K$86</f>
        <v/>
      </c>
      <c r="N12" s="324" t="str">
        <f>WSALQURAN!$K$94</f>
        <v/>
      </c>
      <c r="O12" s="324" t="str">
        <f>WSALQURAN!$K$102</f>
        <v/>
      </c>
      <c r="P12" s="76"/>
      <c r="Q12" s="76"/>
      <c r="R12" s="76"/>
      <c r="S12" s="76" t="s">
        <v>1969</v>
      </c>
      <c r="T12" s="324">
        <f>WSAQIDAH!$K$6</f>
        <v>100</v>
      </c>
      <c r="U12" s="324">
        <f>WSAQIDAH!$K$14</f>
        <v>100</v>
      </c>
      <c r="V12" s="324">
        <f>WSAQIDAH!$K$22</f>
        <v>75</v>
      </c>
      <c r="W12" s="324">
        <f>WSAQIDAH!$K$30</f>
        <v>100</v>
      </c>
      <c r="X12" s="324">
        <f>WSAQIDAH!$K$38</f>
        <v>100</v>
      </c>
      <c r="Y12" s="324">
        <f>WSAQIDAH!$K$46</f>
        <v>90</v>
      </c>
      <c r="Z12" s="324">
        <f>WSAQIDAH!$K$54</f>
        <v>100</v>
      </c>
      <c r="AA12" s="324">
        <f>WSAQIDAH!$K$62</f>
        <v>100</v>
      </c>
      <c r="AB12" s="324">
        <f>WSAQIDAH!$K$70</f>
        <v>100</v>
      </c>
      <c r="AC12" s="324">
        <f>WSAQIDAH!$K$78</f>
        <v>100</v>
      </c>
      <c r="AD12" s="324" t="str">
        <f>WSAQIDAH!$K$86</f>
        <v/>
      </c>
      <c r="AE12" s="324" t="str">
        <f>WSAQIDAH!$K$94</f>
        <v/>
      </c>
      <c r="AF12" s="324" t="str">
        <f>WSAQIDAH!$K$102</f>
        <v/>
      </c>
      <c r="AG12" s="76"/>
      <c r="AH12" s="76"/>
      <c r="AI12" s="76"/>
      <c r="AJ12" s="76" t="s">
        <v>1975</v>
      </c>
      <c r="AK12" s="324">
        <f>WSFIQIH!$K$6</f>
        <v>100</v>
      </c>
      <c r="AL12" s="324">
        <f>WSFIQIH!$K$19</f>
        <v>85</v>
      </c>
      <c r="AM12" s="324">
        <f>WSFIQIH!$K$28</f>
        <v>100</v>
      </c>
      <c r="AN12" s="324">
        <f>WSFIQIH!$K$41</f>
        <v>100</v>
      </c>
      <c r="AO12" s="324">
        <f>WSFIQIH!$K$49</f>
        <v>100</v>
      </c>
      <c r="AP12" s="324">
        <f>WSFIQIH!$K$62</f>
        <v>100</v>
      </c>
      <c r="AQ12" s="324">
        <f>WSFIQIH!$K$71</f>
        <v>85</v>
      </c>
      <c r="AR12" s="324">
        <f>WSFIQIH!$K$80</f>
        <v>85</v>
      </c>
      <c r="AS12" s="324" t="str">
        <f>WSFIQIH!$K$88</f>
        <v/>
      </c>
      <c r="AT12" s="324" t="str">
        <f>WSFIQIH!$K$96</f>
        <v/>
      </c>
      <c r="AU12" s="324" t="str">
        <f>WSFIQIH!$K$104</f>
        <v/>
      </c>
      <c r="AV12" s="324" t="str">
        <f>WSFIQIH!$K$112</f>
        <v/>
      </c>
      <c r="AW12" s="324" t="str">
        <f>WSFIQIH!$K$120</f>
        <v/>
      </c>
      <c r="AX12" s="76"/>
      <c r="AY12" s="76"/>
      <c r="AZ12" s="76"/>
      <c r="BA12" s="76" t="s">
        <v>1334</v>
      </c>
      <c r="BB12" s="324">
        <f>WSSKI!$K$6</f>
        <v>91</v>
      </c>
      <c r="BC12" s="324">
        <f>WSSKI!$K$14</f>
        <v>95.6</v>
      </c>
      <c r="BD12" s="324">
        <f>WSSKI!$K$23</f>
        <v>88.333333333333329</v>
      </c>
      <c r="BE12" s="324">
        <f>WSSKI!$K$31</f>
        <v>100</v>
      </c>
      <c r="BF12" s="324">
        <f>WSSKI!$K$40</f>
        <v>90</v>
      </c>
      <c r="BG12" s="324">
        <f>WSSKI!$K$48</f>
        <v>75</v>
      </c>
      <c r="BH12" s="324" t="str">
        <f>WSSKI!$K$56</f>
        <v/>
      </c>
      <c r="BI12" s="324" t="str">
        <f>WSSKI!$K$64</f>
        <v/>
      </c>
      <c r="BJ12" s="324" t="str">
        <f>WSSKI!$K$72</f>
        <v/>
      </c>
      <c r="BK12" s="324" t="str">
        <f>WSSKI!$K$80</f>
        <v/>
      </c>
      <c r="BL12" s="324" t="str">
        <f>WSSKI!$K$88</f>
        <v/>
      </c>
      <c r="BM12" s="324" t="str">
        <f>WSSKI!$K$96</f>
        <v/>
      </c>
      <c r="BN12" s="324" t="str">
        <f>WSSKI!$K$104</f>
        <v/>
      </c>
      <c r="BO12" s="76"/>
      <c r="BP12" s="76"/>
      <c r="BQ12" s="76"/>
      <c r="BR12" s="76"/>
      <c r="BS12" s="324">
        <f>WSPKN!$K$6</f>
        <v>98.75</v>
      </c>
      <c r="BT12" s="324">
        <f>WSPKN!$K$32</f>
        <v>98.75</v>
      </c>
      <c r="BU12" s="324">
        <f>WSPKN!$K$55</f>
        <v>99.642857142857139</v>
      </c>
      <c r="BV12" s="324">
        <f>WSPKN!$K$72</f>
        <v>99.555555555555557</v>
      </c>
      <c r="BW12" s="324">
        <f>WSPKN!$K$86</f>
        <v>98.333333333333329</v>
      </c>
      <c r="BX12" s="324">
        <f>WSPKN!$K$108</f>
        <v>98.75</v>
      </c>
      <c r="BY12" s="324">
        <f>WSPKN!$K$132</f>
        <v>99.642857142857139</v>
      </c>
      <c r="BZ12" s="324">
        <f>WSPKN!$K$148</f>
        <v>100</v>
      </c>
      <c r="CA12" s="324" t="str">
        <f>WSPKN!$K$165</f>
        <v/>
      </c>
      <c r="CB12" s="324" t="str">
        <f>WSPKN!$K$173</f>
        <v/>
      </c>
      <c r="CC12" s="324" t="str">
        <f>WSPKN!$K$181</f>
        <v/>
      </c>
      <c r="CD12" s="324" t="str">
        <f>WSPKN!$K$189</f>
        <v/>
      </c>
      <c r="CE12" s="324" t="str">
        <f>WSPKN!$K$197</f>
        <v/>
      </c>
      <c r="CF12" s="76"/>
      <c r="CG12" s="76"/>
      <c r="CH12" s="76"/>
      <c r="CI12" s="76" t="s">
        <v>1884</v>
      </c>
      <c r="CJ12" s="324">
        <f>WSIND!$K$6</f>
        <v>97.708333333333329</v>
      </c>
      <c r="CK12" s="324">
        <f>WSIND!$K$65</f>
        <v>98.541666666666671</v>
      </c>
      <c r="CL12" s="324">
        <f>WSIND!$K$113</f>
        <v>97.222222222222229</v>
      </c>
      <c r="CM12" s="324">
        <f>WSIND!$K$133</f>
        <v>98.666666666666671</v>
      </c>
      <c r="CN12" s="324">
        <f>WSIND!$K$161</f>
        <v>98.695652173913047</v>
      </c>
      <c r="CO12" s="324">
        <f>WSIND!$K$192</f>
        <v>97.608695652173907</v>
      </c>
      <c r="CP12" s="324">
        <f>WSIND!$K$228</f>
        <v>98.541666666666671</v>
      </c>
      <c r="CQ12" s="324">
        <f>WSIND!$K$256</f>
        <v>97.222222222222229</v>
      </c>
      <c r="CR12" s="324">
        <f>WSIND!$K$277</f>
        <v>98.666666666666671</v>
      </c>
      <c r="CS12" s="324">
        <f>WSIND!$K$305</f>
        <v>98.695652173913047</v>
      </c>
      <c r="CT12" s="324" t="str">
        <f>WSIND!$K$329</f>
        <v/>
      </c>
      <c r="CU12" s="324" t="str">
        <f>WSIND!$K$337</f>
        <v/>
      </c>
      <c r="CV12" s="324" t="str">
        <f>WSIND!$K$345</f>
        <v/>
      </c>
      <c r="CW12" s="76"/>
      <c r="CX12" s="76"/>
      <c r="CY12" s="76"/>
      <c r="CZ12" s="76" t="s">
        <v>1897</v>
      </c>
      <c r="DA12" s="324" t="str">
        <f>WSARAB!$K$6</f>
        <v/>
      </c>
      <c r="DB12" s="324" t="str">
        <f>WSARAB!$K$17</f>
        <v/>
      </c>
      <c r="DC12" s="324" t="str">
        <f>WSARAB!$K$29</f>
        <v/>
      </c>
      <c r="DD12" s="324" t="str">
        <f>WSARAB!$K$37</f>
        <v/>
      </c>
      <c r="DE12" s="324" t="str">
        <f>WSARAB!$K$45</f>
        <v/>
      </c>
      <c r="DF12" s="324" t="str">
        <f>WSARAB!$K$53</f>
        <v/>
      </c>
      <c r="DG12" s="324" t="str">
        <f>WSARAB!$K$65</f>
        <v/>
      </c>
      <c r="DH12" s="324" t="str">
        <f>WSARAB!$K$73</f>
        <v/>
      </c>
      <c r="DI12" s="324" t="str">
        <f>WSARAB!$K$81</f>
        <v/>
      </c>
      <c r="DJ12" s="324" t="str">
        <f>WSARAB!$K$89</f>
        <v/>
      </c>
      <c r="DK12" s="324" t="str">
        <f>WSARAB!$K$97</f>
        <v/>
      </c>
      <c r="DL12" s="324" t="str">
        <f>WSARAB!$K$105</f>
        <v/>
      </c>
      <c r="DM12" s="324" t="str">
        <f>WSARAB!$K$113</f>
        <v/>
      </c>
      <c r="DN12" s="76"/>
      <c r="DO12" s="76"/>
      <c r="DP12" s="76"/>
      <c r="DQ12" s="76" t="s">
        <v>1268</v>
      </c>
      <c r="DR12" s="324">
        <f>WSMTK!$K$6</f>
        <v>98</v>
      </c>
      <c r="DS12" s="324">
        <f>WSMTK!$K$22</f>
        <v>97.5</v>
      </c>
      <c r="DT12" s="324">
        <f>WSMTK!$K$35</f>
        <v>97.833333333333329</v>
      </c>
      <c r="DU12" s="324">
        <f>WSMTK!$K$69</f>
        <v>97.1875</v>
      </c>
      <c r="DV12" s="324">
        <f>WSMTK!$K$87</f>
        <v>98</v>
      </c>
      <c r="DW12" s="324">
        <f>WSMTK!$K$99</f>
        <v>97.5</v>
      </c>
      <c r="DX12" s="324">
        <f>WSMTK!$K$113</f>
        <v>97.833333333333329</v>
      </c>
      <c r="DY12" s="324">
        <f>WSMTK!$K$145</f>
        <v>97.1875</v>
      </c>
      <c r="DZ12" s="324" t="str">
        <f>WSMTK!$K$168</f>
        <v/>
      </c>
      <c r="EA12" s="324" t="str">
        <f>WSMTK!$K$176</f>
        <v/>
      </c>
      <c r="EB12" s="324" t="str">
        <f>WSMTK!$K$184</f>
        <v/>
      </c>
      <c r="EC12" s="324" t="str">
        <f>WSMTK!$K$192</f>
        <v/>
      </c>
      <c r="ED12" s="324" t="str">
        <f>WSMTK!$K$200</f>
        <v/>
      </c>
      <c r="EE12" s="76"/>
      <c r="EF12" s="76"/>
      <c r="EG12" s="76"/>
      <c r="EH12" s="76" t="s">
        <v>1307</v>
      </c>
      <c r="EI12" s="324" t="str">
        <f>WSIPA!$K$6</f>
        <v/>
      </c>
      <c r="EJ12" s="324" t="str">
        <f>WSIPA!$K$14</f>
        <v/>
      </c>
      <c r="EK12" s="324" t="str">
        <f>WSIPA!$K$22</f>
        <v/>
      </c>
      <c r="EL12" s="324" t="str">
        <f>WSIPA!$K$30</f>
        <v/>
      </c>
      <c r="EM12" s="324" t="str">
        <f>WSIPA!$K$38</f>
        <v/>
      </c>
      <c r="EN12" s="324" t="str">
        <f>WSIPA!$K$46</f>
        <v/>
      </c>
      <c r="EO12" s="324" t="str">
        <f>WSIPA!$K$54</f>
        <v/>
      </c>
      <c r="EP12" s="324" t="str">
        <f>WSIPA!$K$62</f>
        <v/>
      </c>
      <c r="EQ12" s="324" t="str">
        <f>WSIPA!$K$70</f>
        <v/>
      </c>
      <c r="ER12" s="324" t="str">
        <f>WSIPA!$K$78</f>
        <v/>
      </c>
      <c r="ES12" s="324" t="str">
        <f>WSIPA!$K$86</f>
        <v/>
      </c>
      <c r="ET12" s="324" t="str">
        <f>WSIPA!$K$94</f>
        <v/>
      </c>
      <c r="EU12" s="324" t="str">
        <f>WSIPA!$K$102</f>
        <v/>
      </c>
      <c r="EV12" s="76"/>
      <c r="EW12" s="76"/>
      <c r="EX12" s="76"/>
      <c r="EY12" s="76" t="s">
        <v>1233</v>
      </c>
      <c r="EZ12" s="324" t="str">
        <f>WSIPS!$K$6</f>
        <v/>
      </c>
      <c r="FA12" s="324" t="str">
        <f>WSIPS!$K$14</f>
        <v/>
      </c>
      <c r="FB12" s="324" t="str">
        <f>WSIPS!$K$22</f>
        <v/>
      </c>
      <c r="FC12" s="324" t="str">
        <f>WSIPS!$K$30</f>
        <v/>
      </c>
      <c r="FD12" s="324" t="str">
        <f>WSIPS!$K$38</f>
        <v/>
      </c>
      <c r="FE12" s="324" t="str">
        <f>WSIPS!$K$46</f>
        <v/>
      </c>
      <c r="FF12" s="324" t="str">
        <f>WSIPS!$K$54</f>
        <v/>
      </c>
      <c r="FG12" s="324" t="str">
        <f>WSIPS!$K$62</f>
        <v/>
      </c>
      <c r="FH12" s="324" t="str">
        <f>WSIPS!$K$70</f>
        <v/>
      </c>
      <c r="FI12" s="324" t="str">
        <f>WSIPS!$K$78</f>
        <v/>
      </c>
      <c r="FJ12" s="324" t="str">
        <f>WSIPS!$K$86</f>
        <v/>
      </c>
      <c r="FK12" s="324" t="str">
        <f>WSIPS!$K$94</f>
        <v/>
      </c>
      <c r="FL12" s="324" t="str">
        <f>WSIPS!$K$102</f>
        <v/>
      </c>
      <c r="FM12" s="76"/>
      <c r="FN12" s="76"/>
      <c r="FO12" s="76"/>
      <c r="FP12" s="76" t="s">
        <v>1249</v>
      </c>
      <c r="FQ12" s="324">
        <f>WSSBK!$K$6</f>
        <v>96.25</v>
      </c>
      <c r="FR12" s="324">
        <f>WSSBK!$K$16</f>
        <v>98.75</v>
      </c>
      <c r="FS12" s="324">
        <f>WSSBK!$K$26</f>
        <v>95.625</v>
      </c>
      <c r="FT12" s="324">
        <f>WSSBK!$K$36</f>
        <v>94.375</v>
      </c>
      <c r="FU12" s="324">
        <f>WSSBK!$K$46</f>
        <v>96.25</v>
      </c>
      <c r="FV12" s="324">
        <f>WSSBK!$K$58</f>
        <v>98.75</v>
      </c>
      <c r="FW12" s="324">
        <f>WSSBK!$K$68</f>
        <v>95.625</v>
      </c>
      <c r="FX12" s="324">
        <f>WSSBK!$K$77</f>
        <v>94.375</v>
      </c>
      <c r="FY12" s="324" t="str">
        <f>WSSBK!$K$87</f>
        <v/>
      </c>
      <c r="FZ12" s="324" t="str">
        <f>WSSBK!$K$95</f>
        <v/>
      </c>
      <c r="GA12" s="324" t="str">
        <f>WSSBK!$K$103</f>
        <v/>
      </c>
      <c r="GB12" s="324" t="str">
        <f>WSSBK!$K$111</f>
        <v/>
      </c>
      <c r="GC12" s="324" t="str">
        <f>WSSBK!$K$119</f>
        <v/>
      </c>
      <c r="GD12" s="76"/>
      <c r="GE12" s="76"/>
      <c r="GF12" s="76"/>
      <c r="GG12" s="76" t="s">
        <v>1952</v>
      </c>
      <c r="GH12" s="334">
        <f>WSPENJAS!$K$6</f>
        <v>90</v>
      </c>
      <c r="GI12" s="334">
        <f>WSPENJAS!$K$7</f>
        <v>90</v>
      </c>
      <c r="GJ12" s="334">
        <f>WSPENJAS!$K$8</f>
        <v>90</v>
      </c>
      <c r="GK12" s="334">
        <f>WSPENJAS!$K$9</f>
        <v>90</v>
      </c>
      <c r="GL12" s="334">
        <f>WSPENJAS!$K$10</f>
        <v>90</v>
      </c>
      <c r="GM12" s="334">
        <f>WSPENJAS!$K$11</f>
        <v>90</v>
      </c>
      <c r="GN12" s="334">
        <f>WSPENJAS!$K$12</f>
        <v>90</v>
      </c>
      <c r="GO12" s="334">
        <f>WSPENJAS!$K$13</f>
        <v>90</v>
      </c>
      <c r="GP12" s="334">
        <f>WSPENJAS!$K$14</f>
        <v>90</v>
      </c>
      <c r="GQ12" s="334">
        <f>WSPENJAS!$K$15</f>
        <v>90</v>
      </c>
      <c r="GR12" s="334">
        <f>WSPENJAS!$K$16</f>
        <v>0</v>
      </c>
      <c r="GS12" s="334">
        <f>WSPENJAS!$K$17</f>
        <v>0</v>
      </c>
      <c r="GT12" s="334">
        <f>WSPENJAS!$K$18</f>
        <v>0</v>
      </c>
      <c r="GU12" s="334">
        <f>WSPENJAS!$K$19</f>
        <v>0</v>
      </c>
      <c r="GV12" s="334">
        <f>WSPENJAS!$K$20</f>
        <v>0</v>
      </c>
      <c r="GW12" s="334">
        <f>WSPENJAS!$K$21</f>
        <v>0</v>
      </c>
      <c r="GX12" s="76" t="s">
        <v>1291</v>
      </c>
      <c r="GY12" s="324">
        <f>WSJAWA!$K$6</f>
        <v>100</v>
      </c>
      <c r="GZ12" s="324">
        <f>WSJAWA!$K$14</f>
        <v>96.666666666666671</v>
      </c>
      <c r="HA12" s="324">
        <f>WSJAWA!$K$22</f>
        <v>100</v>
      </c>
      <c r="HB12" s="324">
        <f>WSJAWA!$K$30</f>
        <v>100</v>
      </c>
      <c r="HC12" s="324">
        <f>WSJAWA!$K$38</f>
        <v>100</v>
      </c>
      <c r="HD12" s="324">
        <f>WSJAWA!$K$46</f>
        <v>100</v>
      </c>
      <c r="HE12" s="324">
        <f>WSJAWA!$K$54</f>
        <v>100</v>
      </c>
      <c r="HF12" s="324">
        <f>WSJAWA!$K$62</f>
        <v>96.666666666666671</v>
      </c>
      <c r="HG12" s="324" t="str">
        <f>WSJAWA!$K$70</f>
        <v/>
      </c>
      <c r="HH12" s="324" t="str">
        <f>WSJAWA!$K$78</f>
        <v/>
      </c>
      <c r="HI12" s="324" t="str">
        <f>WSJAWA!$K$86</f>
        <v/>
      </c>
      <c r="HJ12" s="324" t="str">
        <f>WSJAWA!$K$94</f>
        <v/>
      </c>
      <c r="HK12" s="324" t="str">
        <f>WSJAWA!$K$102</f>
        <v/>
      </c>
      <c r="HL12" s="76"/>
      <c r="HM12" s="76"/>
      <c r="HN12" s="76"/>
      <c r="HO12" s="76" t="s">
        <v>1279</v>
      </c>
      <c r="HP12" s="324">
        <f>WSING!$K$6</f>
        <v>95</v>
      </c>
      <c r="HQ12" s="324">
        <f>WSING!$K$15</f>
        <v>95</v>
      </c>
      <c r="HR12" s="324">
        <f>WSING!$K$24</f>
        <v>98.333333333333329</v>
      </c>
      <c r="HS12" s="324">
        <f>WSING!$K$33</f>
        <v>98.333333333333329</v>
      </c>
      <c r="HT12" s="324" t="str">
        <f>WSING!$K$42</f>
        <v/>
      </c>
      <c r="HU12" s="324" t="str">
        <f>WSING!$K$50</f>
        <v/>
      </c>
      <c r="HV12" s="324" t="str">
        <f>WSING!$K$58</f>
        <v/>
      </c>
      <c r="HW12" s="324" t="str">
        <f>WSING!$K$66</f>
        <v/>
      </c>
      <c r="HX12" s="324" t="str">
        <f>WSING!$K$74</f>
        <v/>
      </c>
      <c r="HY12" s="324" t="str">
        <f>WSING!$K$82</f>
        <v/>
      </c>
      <c r="HZ12" s="324" t="str">
        <f>WSING!$K$90</f>
        <v/>
      </c>
      <c r="IA12" s="324" t="str">
        <f>WSING!$K$98</f>
        <v/>
      </c>
      <c r="IB12" s="324" t="str">
        <f>WSING!$K$106</f>
        <v/>
      </c>
      <c r="IC12" s="76"/>
      <c r="ID12" s="76"/>
      <c r="IE12" s="76"/>
      <c r="IF12" s="76" t="s">
        <v>1242</v>
      </c>
      <c r="IG12" s="324" t="str">
        <f>WSTIK!$K$6</f>
        <v/>
      </c>
      <c r="IH12" s="324" t="str">
        <f>WSTIK!$K$14</f>
        <v/>
      </c>
      <c r="II12" s="324" t="str">
        <f>WSTIK!$K$22</f>
        <v/>
      </c>
      <c r="IJ12" s="324" t="str">
        <f>WSTIK!$K$30</f>
        <v/>
      </c>
      <c r="IK12" s="324" t="str">
        <f>WSTIK!$K$38</f>
        <v/>
      </c>
      <c r="IL12" s="324" t="str">
        <f>WSTIK!$K$46</f>
        <v/>
      </c>
      <c r="IM12" s="324" t="str">
        <f>WSTIK!$K$54</f>
        <v/>
      </c>
      <c r="IN12" s="324" t="str">
        <f>WSTIK!$K$62</f>
        <v/>
      </c>
      <c r="IO12" s="324" t="str">
        <f>WSTIK!$K$70</f>
        <v/>
      </c>
      <c r="IP12" s="324" t="str">
        <f>WSTIK!$K$78</f>
        <v/>
      </c>
      <c r="IQ12" s="324" t="str">
        <f>WSTIK!$K$86</f>
        <v/>
      </c>
      <c r="IR12" s="324" t="str">
        <f>WSTIK!$K$94</f>
        <v/>
      </c>
      <c r="IS12" s="324" t="str">
        <f>WSTIK!$K$102</f>
        <v/>
      </c>
      <c r="IT12" s="76"/>
      <c r="IU12" s="76"/>
      <c r="IV12" s="76"/>
      <c r="IW12" s="76"/>
      <c r="IX12" s="324" t="str">
        <f>WSASWAJA!$K$6</f>
        <v/>
      </c>
      <c r="IY12" s="324" t="str">
        <f>WSASWAJA!$K$14</f>
        <v/>
      </c>
      <c r="IZ12" s="324" t="str">
        <f>WSASWAJA!$K$22</f>
        <v/>
      </c>
      <c r="JA12" s="324" t="str">
        <f>WSASWAJA!$K$30</f>
        <v/>
      </c>
      <c r="JB12" s="324" t="str">
        <f>WSASWAJA!$K$38</f>
        <v/>
      </c>
      <c r="JC12" s="324" t="str">
        <f>WSASWAJA!$K$46</f>
        <v/>
      </c>
      <c r="JD12" s="324" t="str">
        <f>WSASWAJA!$K$54</f>
        <v/>
      </c>
      <c r="JE12" s="324" t="str">
        <f>WSASWAJA!$K$62</f>
        <v/>
      </c>
      <c r="JF12" s="324" t="str">
        <f>WSASWAJA!$K$70</f>
        <v/>
      </c>
      <c r="JG12" s="324" t="str">
        <f>WSASWAJA!$K$78</f>
        <v/>
      </c>
      <c r="JH12" s="324" t="str">
        <f>WSASWAJA!$K$86</f>
        <v/>
      </c>
      <c r="JI12" s="324" t="str">
        <f>WSASWAJA!$K$94</f>
        <v/>
      </c>
      <c r="JJ12" s="324" t="str">
        <f>WSASWAJA!$K$102</f>
        <v/>
      </c>
      <c r="JK12" s="76"/>
      <c r="JL12" s="76"/>
      <c r="JM12" s="76"/>
      <c r="JN12" s="76"/>
    </row>
    <row r="13" spans="1:274">
      <c r="A13" s="76"/>
      <c r="B13" s="76">
        <v>8</v>
      </c>
      <c r="C13" s="324">
        <f>WSALQURAN!$L$6</f>
        <v>91.666666666666671</v>
      </c>
      <c r="D13" s="324">
        <f>WSALQURAN!$L$14</f>
        <v>100</v>
      </c>
      <c r="E13" s="324">
        <f>WSALQURAN!$L$22</f>
        <v>85</v>
      </c>
      <c r="F13" s="324">
        <f>WSALQURAN!$L$30</f>
        <v>91.666666666666671</v>
      </c>
      <c r="G13" s="324">
        <f>WSALQURAN!$L$38</f>
        <v>83.333333333333329</v>
      </c>
      <c r="H13" s="324">
        <f>WSALQURAN!$L$46</f>
        <v>90</v>
      </c>
      <c r="I13" s="324">
        <f>WSALQURAN!$L$54</f>
        <v>95</v>
      </c>
      <c r="J13" s="324" t="str">
        <f>WSALQURAN!$L$62</f>
        <v/>
      </c>
      <c r="K13" s="324" t="str">
        <f>WSALQURAN!$L$70</f>
        <v/>
      </c>
      <c r="L13" s="324" t="str">
        <f>WSALQURAN!$L$78</f>
        <v/>
      </c>
      <c r="M13" s="324" t="str">
        <f>WSALQURAN!$L$86</f>
        <v/>
      </c>
      <c r="N13" s="324" t="str">
        <f>WSALQURAN!$L$94</f>
        <v/>
      </c>
      <c r="O13" s="324" t="str">
        <f>WSALQURAN!$L$102</f>
        <v/>
      </c>
      <c r="P13" s="76"/>
      <c r="Q13" s="76"/>
      <c r="R13" s="76"/>
      <c r="S13" s="76" t="s">
        <v>1966</v>
      </c>
      <c r="T13" s="324">
        <f>WSAQIDAH!$L$6</f>
        <v>87.5</v>
      </c>
      <c r="U13" s="324">
        <f>WSAQIDAH!$L$14</f>
        <v>100</v>
      </c>
      <c r="V13" s="324">
        <f>WSAQIDAH!$L$22</f>
        <v>100</v>
      </c>
      <c r="W13" s="324">
        <f>WSAQIDAH!$L$30</f>
        <v>100</v>
      </c>
      <c r="X13" s="324">
        <f>WSAQIDAH!$L$38</f>
        <v>100</v>
      </c>
      <c r="Y13" s="324">
        <f>WSAQIDAH!$L$46</f>
        <v>100</v>
      </c>
      <c r="Z13" s="324">
        <f>WSAQIDAH!$L$54</f>
        <v>100</v>
      </c>
      <c r="AA13" s="324">
        <f>WSAQIDAH!$L$62</f>
        <v>75</v>
      </c>
      <c r="AB13" s="324">
        <f>WSAQIDAH!$L$70</f>
        <v>75</v>
      </c>
      <c r="AC13" s="324">
        <f>WSAQIDAH!$L$78</f>
        <v>75</v>
      </c>
      <c r="AD13" s="324" t="str">
        <f>WSAQIDAH!$L$86</f>
        <v/>
      </c>
      <c r="AE13" s="324" t="str">
        <f>WSAQIDAH!$L$94</f>
        <v/>
      </c>
      <c r="AF13" s="324" t="str">
        <f>WSAQIDAH!$L$102</f>
        <v/>
      </c>
      <c r="AG13" s="76"/>
      <c r="AH13" s="76"/>
      <c r="AI13" s="76"/>
      <c r="AJ13" s="76" t="s">
        <v>1977</v>
      </c>
      <c r="AK13" s="324">
        <f>WSFIQIH!$L$6</f>
        <v>100</v>
      </c>
      <c r="AL13" s="324">
        <f>WSFIQIH!$L$19</f>
        <v>90</v>
      </c>
      <c r="AM13" s="324">
        <f>WSFIQIH!$L$28</f>
        <v>100</v>
      </c>
      <c r="AN13" s="324">
        <f>WSFIQIH!$L$41</f>
        <v>100</v>
      </c>
      <c r="AO13" s="324" t="str">
        <f>WSFIQIH!$L$49</f>
        <v/>
      </c>
      <c r="AP13" s="324">
        <f>WSFIQIH!$L$62</f>
        <v>100</v>
      </c>
      <c r="AQ13" s="324">
        <f>WSFIQIH!$L$71</f>
        <v>98</v>
      </c>
      <c r="AR13" s="324">
        <f>WSFIQIH!$L$80</f>
        <v>80</v>
      </c>
      <c r="AS13" s="324" t="str">
        <f>WSFIQIH!$L$88</f>
        <v/>
      </c>
      <c r="AT13" s="324" t="str">
        <f>WSFIQIH!$L$96</f>
        <v/>
      </c>
      <c r="AU13" s="324" t="str">
        <f>WSFIQIH!$L$104</f>
        <v/>
      </c>
      <c r="AV13" s="324" t="str">
        <f>WSFIQIH!$L$112</f>
        <v/>
      </c>
      <c r="AW13" s="324" t="str">
        <f>WSFIQIH!$L$120</f>
        <v/>
      </c>
      <c r="AX13" s="76"/>
      <c r="AY13" s="76"/>
      <c r="AZ13" s="76"/>
      <c r="BA13" s="76" t="s">
        <v>1334</v>
      </c>
      <c r="BB13" s="324">
        <f>WSSKI!$L$6</f>
        <v>80</v>
      </c>
      <c r="BC13" s="324">
        <f>WSSKI!$L$14</f>
        <v>99</v>
      </c>
      <c r="BD13" s="324">
        <f>WSSKI!$L$23</f>
        <v>88.333333333333329</v>
      </c>
      <c r="BE13" s="324">
        <f>WSSKI!$L$31</f>
        <v>85</v>
      </c>
      <c r="BF13" s="324">
        <f>WSSKI!$L$40</f>
        <v>95</v>
      </c>
      <c r="BG13" s="324">
        <f>WSSKI!$L$48</f>
        <v>85</v>
      </c>
      <c r="BH13" s="324" t="str">
        <f>WSSKI!$L$56</f>
        <v/>
      </c>
      <c r="BI13" s="324" t="str">
        <f>WSSKI!$L$64</f>
        <v/>
      </c>
      <c r="BJ13" s="324" t="str">
        <f>WSSKI!$L$72</f>
        <v/>
      </c>
      <c r="BK13" s="324" t="str">
        <f>WSSKI!$L$80</f>
        <v/>
      </c>
      <c r="BL13" s="324" t="str">
        <f>WSSKI!$L$88</f>
        <v/>
      </c>
      <c r="BM13" s="324" t="str">
        <f>WSSKI!$L$96</f>
        <v/>
      </c>
      <c r="BN13" s="324" t="str">
        <f>WSSKI!$L$104</f>
        <v/>
      </c>
      <c r="BO13" s="76"/>
      <c r="BP13" s="76"/>
      <c r="BQ13" s="76"/>
      <c r="BR13" s="76"/>
      <c r="BS13" s="324">
        <f>WSPKN!$L$6</f>
        <v>98.4375</v>
      </c>
      <c r="BT13" s="324">
        <f>WSPKN!$L$32</f>
        <v>96.5625</v>
      </c>
      <c r="BU13" s="324">
        <f>WSPKN!$L$55</f>
        <v>97.5</v>
      </c>
      <c r="BV13" s="324">
        <f>WSPKN!$L$72</f>
        <v>96.305555555555557</v>
      </c>
      <c r="BW13" s="324">
        <f>WSPKN!$L$86</f>
        <v>99.583333333333329</v>
      </c>
      <c r="BX13" s="324">
        <f>WSPKN!$L$108</f>
        <v>96.5625</v>
      </c>
      <c r="BY13" s="324">
        <f>WSPKN!$L$132</f>
        <v>97.5</v>
      </c>
      <c r="BZ13" s="324">
        <f>WSPKN!$L$148</f>
        <v>95.416666666666671</v>
      </c>
      <c r="CA13" s="324" t="str">
        <f>WSPKN!$L$165</f>
        <v/>
      </c>
      <c r="CB13" s="324" t="str">
        <f>WSPKN!$L$173</f>
        <v/>
      </c>
      <c r="CC13" s="324" t="str">
        <f>WSPKN!$L$181</f>
        <v/>
      </c>
      <c r="CD13" s="324" t="str">
        <f>WSPKN!$L$189</f>
        <v/>
      </c>
      <c r="CE13" s="324" t="str">
        <f>WSPKN!$L$197</f>
        <v/>
      </c>
      <c r="CF13" s="76"/>
      <c r="CG13" s="76"/>
      <c r="CH13" s="76"/>
      <c r="CI13" s="76" t="s">
        <v>1884</v>
      </c>
      <c r="CJ13" s="324">
        <f>WSIND!$L$6</f>
        <v>97.083333333333329</v>
      </c>
      <c r="CK13" s="324">
        <f>WSIND!$L$65</f>
        <v>95.208333333333329</v>
      </c>
      <c r="CL13" s="324">
        <f>WSIND!$L$113</f>
        <v>95</v>
      </c>
      <c r="CM13" s="324">
        <f>WSIND!$L$133</f>
        <v>97.666666666666671</v>
      </c>
      <c r="CN13" s="324">
        <f>WSIND!$L$161</f>
        <v>99.130434782608702</v>
      </c>
      <c r="CO13" s="324">
        <f>WSIND!$L$192</f>
        <v>96.956521739130437</v>
      </c>
      <c r="CP13" s="324">
        <f>WSIND!$L$228</f>
        <v>95.208333333333329</v>
      </c>
      <c r="CQ13" s="324">
        <f>WSIND!$L$256</f>
        <v>95</v>
      </c>
      <c r="CR13" s="324">
        <f>WSIND!$L$277</f>
        <v>97.666666666666671</v>
      </c>
      <c r="CS13" s="324">
        <f>WSIND!$L$305</f>
        <v>99.130434782608702</v>
      </c>
      <c r="CT13" s="324" t="str">
        <f>WSIND!$L$329</f>
        <v/>
      </c>
      <c r="CU13" s="324" t="str">
        <f>WSIND!$L$337</f>
        <v/>
      </c>
      <c r="CV13" s="324" t="str">
        <f>WSIND!$L$345</f>
        <v/>
      </c>
      <c r="CW13" s="76"/>
      <c r="CX13" s="76"/>
      <c r="CY13" s="76"/>
      <c r="CZ13" s="76" t="s">
        <v>1898</v>
      </c>
      <c r="DA13" s="324" t="str">
        <f>WSARAB!$L$6</f>
        <v/>
      </c>
      <c r="DB13" s="324" t="str">
        <f>WSARAB!$L$17</f>
        <v/>
      </c>
      <c r="DC13" s="324" t="str">
        <f>WSARAB!$L$29</f>
        <v/>
      </c>
      <c r="DD13" s="324" t="str">
        <f>WSARAB!$L$37</f>
        <v/>
      </c>
      <c r="DE13" s="324" t="str">
        <f>WSARAB!$L$45</f>
        <v/>
      </c>
      <c r="DF13" s="324" t="str">
        <f>WSARAB!$L$53</f>
        <v/>
      </c>
      <c r="DG13" s="324" t="str">
        <f>WSARAB!$L$65</f>
        <v/>
      </c>
      <c r="DH13" s="324" t="str">
        <f>WSARAB!$L$73</f>
        <v/>
      </c>
      <c r="DI13" s="324" t="str">
        <f>WSARAB!$L$81</f>
        <v/>
      </c>
      <c r="DJ13" s="324" t="str">
        <f>WSARAB!$L$89</f>
        <v/>
      </c>
      <c r="DK13" s="324" t="str">
        <f>WSARAB!$L$97</f>
        <v/>
      </c>
      <c r="DL13" s="324" t="str">
        <f>WSARAB!$L$105</f>
        <v/>
      </c>
      <c r="DM13" s="324" t="str">
        <f>WSARAB!$L$113</f>
        <v/>
      </c>
      <c r="DN13" s="76"/>
      <c r="DO13" s="76"/>
      <c r="DP13" s="76"/>
      <c r="DQ13" s="76" t="s">
        <v>1322</v>
      </c>
      <c r="DR13" s="324">
        <f>WSMTK!$L$6</f>
        <v>99.5</v>
      </c>
      <c r="DS13" s="324">
        <f>WSMTK!$L$22</f>
        <v>95.625</v>
      </c>
      <c r="DT13" s="324">
        <f>WSMTK!$L$35</f>
        <v>96.833333333333329</v>
      </c>
      <c r="DU13" s="324">
        <f>WSMTK!$L$69</f>
        <v>95.9375</v>
      </c>
      <c r="DV13" s="324">
        <f>WSMTK!$L$87</f>
        <v>99.5</v>
      </c>
      <c r="DW13" s="324">
        <f>WSMTK!$L$99</f>
        <v>95.625</v>
      </c>
      <c r="DX13" s="324">
        <f>WSMTK!$L$113</f>
        <v>96.833333333333329</v>
      </c>
      <c r="DY13" s="324">
        <f>WSMTK!$L$145</f>
        <v>95.9375</v>
      </c>
      <c r="DZ13" s="324" t="str">
        <f>WSMTK!$L$168</f>
        <v/>
      </c>
      <c r="EA13" s="324" t="str">
        <f>WSMTK!$L$176</f>
        <v/>
      </c>
      <c r="EB13" s="324" t="str">
        <f>WSMTK!$L$184</f>
        <v/>
      </c>
      <c r="EC13" s="324" t="str">
        <f>WSMTK!$L$192</f>
        <v/>
      </c>
      <c r="ED13" s="324" t="str">
        <f>WSMTK!$L$200</f>
        <v/>
      </c>
      <c r="EE13" s="76"/>
      <c r="EF13" s="76"/>
      <c r="EG13" s="76"/>
      <c r="EH13" s="76" t="s">
        <v>1308</v>
      </c>
      <c r="EI13" s="324" t="str">
        <f>WSIPA!$L$6</f>
        <v/>
      </c>
      <c r="EJ13" s="324" t="str">
        <f>WSIPA!$L$14</f>
        <v/>
      </c>
      <c r="EK13" s="324" t="str">
        <f>WSIPA!$L$22</f>
        <v/>
      </c>
      <c r="EL13" s="324" t="str">
        <f>WSIPA!$L$30</f>
        <v/>
      </c>
      <c r="EM13" s="324" t="str">
        <f>WSIPA!$L$38</f>
        <v/>
      </c>
      <c r="EN13" s="324" t="str">
        <f>WSIPA!$L$46</f>
        <v/>
      </c>
      <c r="EO13" s="324" t="str">
        <f>WSIPA!$L$54</f>
        <v/>
      </c>
      <c r="EP13" s="324" t="str">
        <f>WSIPA!$L$62</f>
        <v/>
      </c>
      <c r="EQ13" s="324" t="str">
        <f>WSIPA!$L$70</f>
        <v/>
      </c>
      <c r="ER13" s="324" t="str">
        <f>WSIPA!$L$78</f>
        <v/>
      </c>
      <c r="ES13" s="324" t="str">
        <f>WSIPA!$L$86</f>
        <v/>
      </c>
      <c r="ET13" s="324" t="str">
        <f>WSIPA!$L$94</f>
        <v/>
      </c>
      <c r="EU13" s="324" t="str">
        <f>WSIPA!$L$102</f>
        <v/>
      </c>
      <c r="EV13" s="76"/>
      <c r="EW13" s="76"/>
      <c r="EX13" s="76"/>
      <c r="EY13" s="76" t="s">
        <v>1233</v>
      </c>
      <c r="EZ13" s="324" t="str">
        <f>WSIPS!$L$6</f>
        <v/>
      </c>
      <c r="FA13" s="324" t="str">
        <f>WSIPS!$L$14</f>
        <v/>
      </c>
      <c r="FB13" s="324" t="str">
        <f>WSIPS!$L$22</f>
        <v/>
      </c>
      <c r="FC13" s="324" t="str">
        <f>WSIPS!$L$30</f>
        <v/>
      </c>
      <c r="FD13" s="324" t="str">
        <f>WSIPS!$L$38</f>
        <v/>
      </c>
      <c r="FE13" s="324" t="str">
        <f>WSIPS!$L$46</f>
        <v/>
      </c>
      <c r="FF13" s="324" t="str">
        <f>WSIPS!$L$54</f>
        <v/>
      </c>
      <c r="FG13" s="324" t="str">
        <f>WSIPS!$L$62</f>
        <v/>
      </c>
      <c r="FH13" s="324" t="str">
        <f>WSIPS!$L$70</f>
        <v/>
      </c>
      <c r="FI13" s="324" t="str">
        <f>WSIPS!$L$78</f>
        <v/>
      </c>
      <c r="FJ13" s="324" t="str">
        <f>WSIPS!$L$86</f>
        <v/>
      </c>
      <c r="FK13" s="324" t="str">
        <f>WSIPS!$L$94</f>
        <v/>
      </c>
      <c r="FL13" s="324" t="str">
        <f>WSIPS!$L$102</f>
        <v/>
      </c>
      <c r="FM13" s="76"/>
      <c r="FN13" s="76"/>
      <c r="FO13" s="76"/>
      <c r="FP13" s="76" t="s">
        <v>1250</v>
      </c>
      <c r="FQ13" s="324">
        <f>WSSBK!$L$6</f>
        <v>94.375</v>
      </c>
      <c r="FR13" s="324">
        <f>WSSBK!$L$16</f>
        <v>97.5</v>
      </c>
      <c r="FS13" s="324">
        <f>WSSBK!$L$26</f>
        <v>93.75</v>
      </c>
      <c r="FT13" s="324">
        <f>WSSBK!$L$36</f>
        <v>98.125</v>
      </c>
      <c r="FU13" s="324">
        <f>WSSBK!$L$46</f>
        <v>94.375</v>
      </c>
      <c r="FV13" s="324">
        <f>WSSBK!$L$58</f>
        <v>97.5</v>
      </c>
      <c r="FW13" s="324">
        <f>WSSBK!$L$68</f>
        <v>93.75</v>
      </c>
      <c r="FX13" s="324">
        <f>WSSBK!$L$77</f>
        <v>98.125</v>
      </c>
      <c r="FY13" s="324" t="str">
        <f>WSSBK!$L$87</f>
        <v/>
      </c>
      <c r="FZ13" s="324" t="str">
        <f>WSSBK!$L$95</f>
        <v/>
      </c>
      <c r="GA13" s="324" t="str">
        <f>WSSBK!$L$103</f>
        <v/>
      </c>
      <c r="GB13" s="324" t="str">
        <f>WSSBK!$L$111</f>
        <v/>
      </c>
      <c r="GC13" s="324" t="str">
        <f>WSSBK!$L$119</f>
        <v/>
      </c>
      <c r="GD13" s="76"/>
      <c r="GE13" s="76"/>
      <c r="GF13" s="76"/>
      <c r="GG13" s="76" t="s">
        <v>1952</v>
      </c>
      <c r="GH13" s="334">
        <f>WSPENJAS!$L$6</f>
        <v>94</v>
      </c>
      <c r="GI13" s="334">
        <f>WSPENJAS!$L$7</f>
        <v>94</v>
      </c>
      <c r="GJ13" s="334">
        <f>WSPENJAS!$L$8</f>
        <v>94</v>
      </c>
      <c r="GK13" s="334">
        <f>WSPENJAS!$L$9</f>
        <v>94</v>
      </c>
      <c r="GL13" s="334">
        <f>WSPENJAS!$L$10</f>
        <v>94</v>
      </c>
      <c r="GM13" s="334">
        <f>WSPENJAS!$L$11</f>
        <v>94</v>
      </c>
      <c r="GN13" s="334">
        <f>WSPENJAS!$L$12</f>
        <v>94</v>
      </c>
      <c r="GO13" s="334">
        <f>WSPENJAS!$L$13</f>
        <v>94</v>
      </c>
      <c r="GP13" s="334">
        <f>WSPENJAS!$L$14</f>
        <v>94</v>
      </c>
      <c r="GQ13" s="334">
        <f>WSPENJAS!$L$15</f>
        <v>94</v>
      </c>
      <c r="GR13" s="334">
        <f>WSPENJAS!$L$16</f>
        <v>0</v>
      </c>
      <c r="GS13" s="334">
        <f>WSPENJAS!$L$17</f>
        <v>0</v>
      </c>
      <c r="GT13" s="334">
        <f>WSPENJAS!$L$18</f>
        <v>0</v>
      </c>
      <c r="GU13" s="334">
        <f>WSPENJAS!$L$19</f>
        <v>0</v>
      </c>
      <c r="GV13" s="334">
        <f>WSPENJAS!$L$20</f>
        <v>0</v>
      </c>
      <c r="GW13" s="334">
        <f>WSPENJAS!$L$21</f>
        <v>0</v>
      </c>
      <c r="GX13" s="76" t="s">
        <v>1332</v>
      </c>
      <c r="GY13" s="324">
        <f>WSJAWA!$L$6</f>
        <v>98.333333333333329</v>
      </c>
      <c r="GZ13" s="324">
        <f>WSJAWA!$L$14</f>
        <v>96.666666666666671</v>
      </c>
      <c r="HA13" s="324">
        <f>WSJAWA!$L$22</f>
        <v>95</v>
      </c>
      <c r="HB13" s="324">
        <f>WSJAWA!$L$30</f>
        <v>96.666666666666671</v>
      </c>
      <c r="HC13" s="324">
        <f>WSJAWA!$L$38</f>
        <v>100</v>
      </c>
      <c r="HD13" s="324">
        <f>WSJAWA!$L$46</f>
        <v>90</v>
      </c>
      <c r="HE13" s="324">
        <f>WSJAWA!$L$54</f>
        <v>100</v>
      </c>
      <c r="HF13" s="324">
        <f>WSJAWA!$L$62</f>
        <v>100</v>
      </c>
      <c r="HG13" s="324" t="str">
        <f>WSJAWA!$L$70</f>
        <v/>
      </c>
      <c r="HH13" s="324" t="str">
        <f>WSJAWA!$L$78</f>
        <v/>
      </c>
      <c r="HI13" s="324" t="str">
        <f>WSJAWA!$L$86</f>
        <v/>
      </c>
      <c r="HJ13" s="324" t="str">
        <f>WSJAWA!$L$94</f>
        <v/>
      </c>
      <c r="HK13" s="324" t="str">
        <f>WSJAWA!$L$102</f>
        <v/>
      </c>
      <c r="HL13" s="76"/>
      <c r="HM13" s="76"/>
      <c r="HN13" s="76"/>
      <c r="HO13" s="76" t="s">
        <v>1277</v>
      </c>
      <c r="HP13" s="324">
        <f>WSING!$L$6</f>
        <v>99.666666666666671</v>
      </c>
      <c r="HQ13" s="324">
        <f>WSING!$L$15</f>
        <v>99.666666666666671</v>
      </c>
      <c r="HR13" s="324">
        <f>WSING!$L$24</f>
        <v>95.5</v>
      </c>
      <c r="HS13" s="324">
        <f>WSING!$L$33</f>
        <v>95.5</v>
      </c>
      <c r="HT13" s="324" t="str">
        <f>WSING!$L$42</f>
        <v/>
      </c>
      <c r="HU13" s="324" t="str">
        <f>WSING!$L$50</f>
        <v/>
      </c>
      <c r="HV13" s="324" t="str">
        <f>WSING!$L$58</f>
        <v/>
      </c>
      <c r="HW13" s="324" t="str">
        <f>WSING!$L$66</f>
        <v/>
      </c>
      <c r="HX13" s="324" t="str">
        <f>WSING!$L$74</f>
        <v/>
      </c>
      <c r="HY13" s="324" t="str">
        <f>WSING!$L$82</f>
        <v/>
      </c>
      <c r="HZ13" s="324" t="str">
        <f>WSING!$L$90</f>
        <v/>
      </c>
      <c r="IA13" s="324" t="str">
        <f>WSING!$L$98</f>
        <v/>
      </c>
      <c r="IB13" s="324" t="str">
        <f>WSING!$L$106</f>
        <v/>
      </c>
      <c r="IC13" s="76"/>
      <c r="ID13" s="76"/>
      <c r="IE13" s="76"/>
      <c r="IF13" s="76" t="s">
        <v>1242</v>
      </c>
      <c r="IG13" s="324" t="str">
        <f>WSTIK!$L$6</f>
        <v/>
      </c>
      <c r="IH13" s="324" t="str">
        <f>WSTIK!$L$14</f>
        <v/>
      </c>
      <c r="II13" s="324" t="str">
        <f>WSTIK!$L$22</f>
        <v/>
      </c>
      <c r="IJ13" s="324" t="str">
        <f>WSTIK!$L$30</f>
        <v/>
      </c>
      <c r="IK13" s="324" t="str">
        <f>WSTIK!$L$38</f>
        <v/>
      </c>
      <c r="IL13" s="324" t="str">
        <f>WSTIK!$L$46</f>
        <v/>
      </c>
      <c r="IM13" s="324" t="str">
        <f>WSTIK!$L$54</f>
        <v/>
      </c>
      <c r="IN13" s="324" t="str">
        <f>WSTIK!$L$62</f>
        <v/>
      </c>
      <c r="IO13" s="324" t="str">
        <f>WSTIK!$L$70</f>
        <v/>
      </c>
      <c r="IP13" s="324" t="str">
        <f>WSTIK!$L$78</f>
        <v/>
      </c>
      <c r="IQ13" s="324" t="str">
        <f>WSTIK!$L$86</f>
        <v/>
      </c>
      <c r="IR13" s="324" t="str">
        <f>WSTIK!$L$94</f>
        <v/>
      </c>
      <c r="IS13" s="324" t="str">
        <f>WSTIK!$L$102</f>
        <v/>
      </c>
      <c r="IT13" s="76"/>
      <c r="IU13" s="76"/>
      <c r="IV13" s="76"/>
      <c r="IW13" s="76"/>
      <c r="IX13" s="324" t="str">
        <f>WSASWAJA!$L$6</f>
        <v/>
      </c>
      <c r="IY13" s="324" t="str">
        <f>WSASWAJA!$L$14</f>
        <v/>
      </c>
      <c r="IZ13" s="324" t="str">
        <f>WSASWAJA!$L$22</f>
        <v/>
      </c>
      <c r="JA13" s="324" t="str">
        <f>WSASWAJA!$L$30</f>
        <v/>
      </c>
      <c r="JB13" s="324" t="str">
        <f>WSASWAJA!$L$38</f>
        <v/>
      </c>
      <c r="JC13" s="324" t="str">
        <f>WSASWAJA!$L$46</f>
        <v/>
      </c>
      <c r="JD13" s="324" t="str">
        <f>WSASWAJA!$L$54</f>
        <v/>
      </c>
      <c r="JE13" s="324" t="str">
        <f>WSASWAJA!$L$62</f>
        <v/>
      </c>
      <c r="JF13" s="324" t="str">
        <f>WSASWAJA!$L$70</f>
        <v/>
      </c>
      <c r="JG13" s="324" t="str">
        <f>WSASWAJA!$L$78</f>
        <v/>
      </c>
      <c r="JH13" s="324" t="str">
        <f>WSASWAJA!$L$86</f>
        <v/>
      </c>
      <c r="JI13" s="324" t="str">
        <f>WSASWAJA!$L$94</f>
        <v/>
      </c>
      <c r="JJ13" s="324" t="str">
        <f>WSASWAJA!$L$102</f>
        <v/>
      </c>
      <c r="JK13" s="76"/>
      <c r="JL13" s="76"/>
      <c r="JM13" s="76"/>
      <c r="JN13" s="76"/>
    </row>
    <row r="14" spans="1:274">
      <c r="A14" s="76"/>
      <c r="B14" s="76">
        <v>9</v>
      </c>
      <c r="C14" s="324">
        <f>WSALQURAN!$M$6</f>
        <v>96.666666666666671</v>
      </c>
      <c r="D14" s="324">
        <f>WSALQURAN!$M$14</f>
        <v>90</v>
      </c>
      <c r="E14" s="324">
        <f>WSALQURAN!$M$22</f>
        <v>80</v>
      </c>
      <c r="F14" s="324">
        <f>WSALQURAN!$M$30</f>
        <v>96.666666666666671</v>
      </c>
      <c r="G14" s="324">
        <f>WSALQURAN!$M$38</f>
        <v>94</v>
      </c>
      <c r="H14" s="324">
        <f>WSALQURAN!$M$46</f>
        <v>85</v>
      </c>
      <c r="I14" s="324">
        <f>WSALQURAN!$M$54</f>
        <v>94</v>
      </c>
      <c r="J14" s="324" t="str">
        <f>WSALQURAN!$M$62</f>
        <v/>
      </c>
      <c r="K14" s="324" t="str">
        <f>WSALQURAN!$M$70</f>
        <v/>
      </c>
      <c r="L14" s="324" t="str">
        <f>WSALQURAN!$M$78</f>
        <v/>
      </c>
      <c r="M14" s="324" t="str">
        <f>WSALQURAN!$M$86</f>
        <v/>
      </c>
      <c r="N14" s="324" t="str">
        <f>WSALQURAN!$M$94</f>
        <v/>
      </c>
      <c r="O14" s="324" t="str">
        <f>WSALQURAN!$M$102</f>
        <v/>
      </c>
      <c r="P14" s="76"/>
      <c r="Q14" s="76"/>
      <c r="R14" s="76"/>
      <c r="S14" s="76" t="s">
        <v>1966</v>
      </c>
      <c r="T14" s="324">
        <f>WSAQIDAH!$M$6</f>
        <v>87.5</v>
      </c>
      <c r="U14" s="324">
        <f>WSAQIDAH!$M$14</f>
        <v>100</v>
      </c>
      <c r="V14" s="324">
        <f>WSAQIDAH!$M$22</f>
        <v>98</v>
      </c>
      <c r="W14" s="324">
        <f>WSAQIDAH!$M$30</f>
        <v>100</v>
      </c>
      <c r="X14" s="324">
        <f>WSAQIDAH!$M$38</f>
        <v>90</v>
      </c>
      <c r="Y14" s="324">
        <f>WSAQIDAH!$M$46</f>
        <v>95</v>
      </c>
      <c r="Z14" s="324">
        <f>WSAQIDAH!$M$54</f>
        <v>100</v>
      </c>
      <c r="AA14" s="324">
        <f>WSAQIDAH!$M$62</f>
        <v>75</v>
      </c>
      <c r="AB14" s="324">
        <f>WSAQIDAH!$M$70</f>
        <v>75</v>
      </c>
      <c r="AC14" s="324">
        <f>WSAQIDAH!$M$78</f>
        <v>75</v>
      </c>
      <c r="AD14" s="324" t="str">
        <f>WSAQIDAH!$M$86</f>
        <v/>
      </c>
      <c r="AE14" s="324" t="str">
        <f>WSAQIDAH!$M$94</f>
        <v/>
      </c>
      <c r="AF14" s="324" t="str">
        <f>WSAQIDAH!$M$102</f>
        <v/>
      </c>
      <c r="AG14" s="76"/>
      <c r="AH14" s="76"/>
      <c r="AI14" s="76"/>
      <c r="AJ14" s="76" t="s">
        <v>1975</v>
      </c>
      <c r="AK14" s="324">
        <f>WSFIQIH!$M$6</f>
        <v>90.5</v>
      </c>
      <c r="AL14" s="324">
        <f>WSFIQIH!$M$19</f>
        <v>75</v>
      </c>
      <c r="AM14" s="324">
        <f>WSFIQIH!$M$28</f>
        <v>85</v>
      </c>
      <c r="AN14" s="324">
        <f>WSFIQIH!$M$41</f>
        <v>100</v>
      </c>
      <c r="AO14" s="324">
        <f>WSFIQIH!$M$49</f>
        <v>85</v>
      </c>
      <c r="AP14" s="324">
        <f>WSFIQIH!$M$62</f>
        <v>100</v>
      </c>
      <c r="AQ14" s="324">
        <f>WSFIQIH!$M$71</f>
        <v>100</v>
      </c>
      <c r="AR14" s="324">
        <f>WSFIQIH!$M$80</f>
        <v>78</v>
      </c>
      <c r="AS14" s="324" t="str">
        <f>WSFIQIH!$M$88</f>
        <v/>
      </c>
      <c r="AT14" s="324" t="str">
        <f>WSFIQIH!$M$96</f>
        <v/>
      </c>
      <c r="AU14" s="324" t="str">
        <f>WSFIQIH!$M$104</f>
        <v/>
      </c>
      <c r="AV14" s="324" t="str">
        <f>WSFIQIH!$M$112</f>
        <v/>
      </c>
      <c r="AW14" s="324" t="str">
        <f>WSFIQIH!$M$120</f>
        <v/>
      </c>
      <c r="AX14" s="76"/>
      <c r="AY14" s="76"/>
      <c r="AZ14" s="76"/>
      <c r="BA14" s="76" t="s">
        <v>1224</v>
      </c>
      <c r="BB14" s="324">
        <f>WSSKI!$M$6</f>
        <v>77.5</v>
      </c>
      <c r="BC14" s="324">
        <f>WSSKI!$M$14</f>
        <v>93.2</v>
      </c>
      <c r="BD14" s="324">
        <f>WSSKI!$M$23</f>
        <v>85</v>
      </c>
      <c r="BE14" s="324">
        <f>WSSKI!$M$31</f>
        <v>85</v>
      </c>
      <c r="BF14" s="324">
        <f>WSSKI!$M$40</f>
        <v>95</v>
      </c>
      <c r="BG14" s="324">
        <f>WSSKI!$M$48</f>
        <v>75</v>
      </c>
      <c r="BH14" s="324" t="str">
        <f>WSSKI!$M$56</f>
        <v/>
      </c>
      <c r="BI14" s="324" t="str">
        <f>WSSKI!$M$64</f>
        <v/>
      </c>
      <c r="BJ14" s="324" t="str">
        <f>WSSKI!$M$72</f>
        <v/>
      </c>
      <c r="BK14" s="324" t="str">
        <f>WSSKI!$M$80</f>
        <v/>
      </c>
      <c r="BL14" s="324" t="str">
        <f>WSSKI!$M$88</f>
        <v/>
      </c>
      <c r="BM14" s="324" t="str">
        <f>WSSKI!$M$96</f>
        <v/>
      </c>
      <c r="BN14" s="324" t="str">
        <f>WSSKI!$M$104</f>
        <v/>
      </c>
      <c r="BO14" s="76"/>
      <c r="BP14" s="76"/>
      <c r="BQ14" s="76"/>
      <c r="BR14" s="76"/>
      <c r="BS14" s="324">
        <f>WSPKN!$M$6</f>
        <v>95</v>
      </c>
      <c r="BT14" s="324">
        <f>WSPKN!$M$32</f>
        <v>96.25</v>
      </c>
      <c r="BU14" s="324">
        <f>WSPKN!$M$55</f>
        <v>97.857142857142861</v>
      </c>
      <c r="BV14" s="324">
        <f>WSPKN!$M$72</f>
        <v>90.666666666666671</v>
      </c>
      <c r="BW14" s="324">
        <f>WSPKN!$M$86</f>
        <v>95</v>
      </c>
      <c r="BX14" s="324">
        <f>WSPKN!$M$108</f>
        <v>96.25</v>
      </c>
      <c r="BY14" s="324">
        <f>WSPKN!$M$132</f>
        <v>97.857142857142861</v>
      </c>
      <c r="BZ14" s="324">
        <f>WSPKN!$M$148</f>
        <v>90.416666666666671</v>
      </c>
      <c r="CA14" s="324" t="str">
        <f>WSPKN!$M$165</f>
        <v/>
      </c>
      <c r="CB14" s="324" t="str">
        <f>WSPKN!$M$173</f>
        <v/>
      </c>
      <c r="CC14" s="324" t="str">
        <f>WSPKN!$M$181</f>
        <v/>
      </c>
      <c r="CD14" s="324" t="str">
        <f>WSPKN!$M$189</f>
        <v/>
      </c>
      <c r="CE14" s="324" t="str">
        <f>WSPKN!$M$197</f>
        <v/>
      </c>
      <c r="CF14" s="76"/>
      <c r="CG14" s="76"/>
      <c r="CH14" s="76"/>
      <c r="CI14" s="76" t="s">
        <v>1887</v>
      </c>
      <c r="CJ14" s="324">
        <f>WSIND!$M$6</f>
        <v>94.375</v>
      </c>
      <c r="CK14" s="324">
        <f>WSIND!$M$65</f>
        <v>92.083333333333329</v>
      </c>
      <c r="CL14" s="324">
        <f>WSIND!$M$113</f>
        <v>96.666666666666671</v>
      </c>
      <c r="CM14" s="324">
        <f>WSIND!$M$133</f>
        <v>94.333333333333329</v>
      </c>
      <c r="CN14" s="324">
        <f>WSIND!$M$161</f>
        <v>95.652173913043484</v>
      </c>
      <c r="CO14" s="324">
        <f>WSIND!$M$192</f>
        <v>94.347826086956516</v>
      </c>
      <c r="CP14" s="324">
        <f>WSIND!$M$228</f>
        <v>92.083333333333329</v>
      </c>
      <c r="CQ14" s="324">
        <f>WSIND!$M$256</f>
        <v>96.666666666666671</v>
      </c>
      <c r="CR14" s="324">
        <f>WSIND!$M$277</f>
        <v>94.333333333333329</v>
      </c>
      <c r="CS14" s="324">
        <f>WSIND!$M$305</f>
        <v>95.652173913043484</v>
      </c>
      <c r="CT14" s="324" t="str">
        <f>WSIND!$M$329</f>
        <v/>
      </c>
      <c r="CU14" s="324" t="str">
        <f>WSIND!$M$337</f>
        <v/>
      </c>
      <c r="CV14" s="324" t="str">
        <f>WSIND!$M$345</f>
        <v/>
      </c>
      <c r="CW14" s="76"/>
      <c r="CX14" s="76"/>
      <c r="CY14" s="76"/>
      <c r="CZ14" s="76" t="s">
        <v>1899</v>
      </c>
      <c r="DA14" s="324" t="str">
        <f>WSARAB!$M$6</f>
        <v/>
      </c>
      <c r="DB14" s="324" t="str">
        <f>WSARAB!$M$17</f>
        <v/>
      </c>
      <c r="DC14" s="324" t="str">
        <f>WSARAB!$M$29</f>
        <v/>
      </c>
      <c r="DD14" s="324" t="str">
        <f>WSARAB!$M$37</f>
        <v/>
      </c>
      <c r="DE14" s="324" t="str">
        <f>WSARAB!$M$45</f>
        <v/>
      </c>
      <c r="DF14" s="324" t="str">
        <f>WSARAB!$M$53</f>
        <v/>
      </c>
      <c r="DG14" s="324" t="str">
        <f>WSARAB!$M$65</f>
        <v/>
      </c>
      <c r="DH14" s="324" t="str">
        <f>WSARAB!$M$73</f>
        <v/>
      </c>
      <c r="DI14" s="324" t="str">
        <f>WSARAB!$M$81</f>
        <v/>
      </c>
      <c r="DJ14" s="324" t="str">
        <f>WSARAB!$M$89</f>
        <v/>
      </c>
      <c r="DK14" s="324" t="str">
        <f>WSARAB!$M$97</f>
        <v/>
      </c>
      <c r="DL14" s="324" t="str">
        <f>WSARAB!$M$105</f>
        <v/>
      </c>
      <c r="DM14" s="324" t="str">
        <f>WSARAB!$M$113</f>
        <v/>
      </c>
      <c r="DN14" s="76"/>
      <c r="DO14" s="76"/>
      <c r="DP14" s="76"/>
      <c r="DQ14" s="76" t="s">
        <v>1320</v>
      </c>
      <c r="DR14" s="324">
        <f>WSMTK!$M$6</f>
        <v>95.5</v>
      </c>
      <c r="DS14" s="324">
        <f>WSMTK!$M$22</f>
        <v>95.625</v>
      </c>
      <c r="DT14" s="324">
        <f>WSMTK!$M$35</f>
        <v>94</v>
      </c>
      <c r="DU14" s="324">
        <f>WSMTK!$M$69</f>
        <v>92.5</v>
      </c>
      <c r="DV14" s="324">
        <f>WSMTK!$M$87</f>
        <v>95.5</v>
      </c>
      <c r="DW14" s="324">
        <f>WSMTK!$M$99</f>
        <v>95.625</v>
      </c>
      <c r="DX14" s="324">
        <f>WSMTK!$M$113</f>
        <v>94</v>
      </c>
      <c r="DY14" s="324">
        <f>WSMTK!$M$145</f>
        <v>92.5</v>
      </c>
      <c r="DZ14" s="324" t="str">
        <f>WSMTK!$M$168</f>
        <v/>
      </c>
      <c r="EA14" s="324" t="str">
        <f>WSMTK!$M$176</f>
        <v/>
      </c>
      <c r="EB14" s="324" t="str">
        <f>WSMTK!$M$184</f>
        <v/>
      </c>
      <c r="EC14" s="324" t="str">
        <f>WSMTK!$M$192</f>
        <v/>
      </c>
      <c r="ED14" s="324" t="str">
        <f>WSMTK!$M$200</f>
        <v/>
      </c>
      <c r="EE14" s="76"/>
      <c r="EF14" s="76"/>
      <c r="EG14" s="76"/>
      <c r="EH14" s="76" t="s">
        <v>1309</v>
      </c>
      <c r="EI14" s="324" t="str">
        <f>WSIPA!$M$6</f>
        <v/>
      </c>
      <c r="EJ14" s="324" t="str">
        <f>WSIPA!$M$14</f>
        <v/>
      </c>
      <c r="EK14" s="324" t="str">
        <f>WSIPA!$M$22</f>
        <v/>
      </c>
      <c r="EL14" s="324" t="str">
        <f>WSIPA!$M$30</f>
        <v/>
      </c>
      <c r="EM14" s="324" t="str">
        <f>WSIPA!$M$38</f>
        <v/>
      </c>
      <c r="EN14" s="324" t="str">
        <f>WSIPA!$M$46</f>
        <v/>
      </c>
      <c r="EO14" s="324" t="str">
        <f>WSIPA!$M$54</f>
        <v/>
      </c>
      <c r="EP14" s="324" t="str">
        <f>WSIPA!$M$62</f>
        <v/>
      </c>
      <c r="EQ14" s="324" t="str">
        <f>WSIPA!$M$70</f>
        <v/>
      </c>
      <c r="ER14" s="324" t="str">
        <f>WSIPA!$M$78</f>
        <v/>
      </c>
      <c r="ES14" s="324" t="str">
        <f>WSIPA!$M$86</f>
        <v/>
      </c>
      <c r="ET14" s="324" t="str">
        <f>WSIPA!$M$94</f>
        <v/>
      </c>
      <c r="EU14" s="324" t="str">
        <f>WSIPA!$M$102</f>
        <v/>
      </c>
      <c r="EV14" s="76"/>
      <c r="EW14" s="76"/>
      <c r="EX14" s="76"/>
      <c r="EY14" s="76" t="s">
        <v>1235</v>
      </c>
      <c r="EZ14" s="324" t="str">
        <f>WSIPS!$M$6</f>
        <v/>
      </c>
      <c r="FA14" s="324" t="str">
        <f>WSIPS!$M$14</f>
        <v/>
      </c>
      <c r="FB14" s="324" t="str">
        <f>WSIPS!$M$22</f>
        <v/>
      </c>
      <c r="FC14" s="324" t="str">
        <f>WSIPS!$M$30</f>
        <v/>
      </c>
      <c r="FD14" s="324" t="str">
        <f>WSIPS!$M$38</f>
        <v/>
      </c>
      <c r="FE14" s="324" t="str">
        <f>WSIPS!$M$46</f>
        <v/>
      </c>
      <c r="FF14" s="324" t="str">
        <f>WSIPS!$M$54</f>
        <v/>
      </c>
      <c r="FG14" s="324" t="str">
        <f>WSIPS!$M$62</f>
        <v/>
      </c>
      <c r="FH14" s="324" t="str">
        <f>WSIPS!$M$70</f>
        <v/>
      </c>
      <c r="FI14" s="324" t="str">
        <f>WSIPS!$M$78</f>
        <v/>
      </c>
      <c r="FJ14" s="324" t="str">
        <f>WSIPS!$M$86</f>
        <v/>
      </c>
      <c r="FK14" s="324" t="str">
        <f>WSIPS!$M$94</f>
        <v/>
      </c>
      <c r="FL14" s="324" t="str">
        <f>WSIPS!$M$102</f>
        <v/>
      </c>
      <c r="FM14" s="76"/>
      <c r="FN14" s="76"/>
      <c r="FO14" s="76"/>
      <c r="FP14" s="76" t="s">
        <v>1251</v>
      </c>
      <c r="FQ14" s="324">
        <f>WSSBK!$M$6</f>
        <v>98.75</v>
      </c>
      <c r="FR14" s="324">
        <f>WSSBK!$M$16</f>
        <v>93.125</v>
      </c>
      <c r="FS14" s="324">
        <f>WSSBK!$M$26</f>
        <v>90</v>
      </c>
      <c r="FT14" s="324">
        <f>WSSBK!$M$36</f>
        <v>88.75</v>
      </c>
      <c r="FU14" s="324">
        <f>WSSBK!$M$46</f>
        <v>98.75</v>
      </c>
      <c r="FV14" s="324">
        <f>WSSBK!$M$58</f>
        <v>93.125</v>
      </c>
      <c r="FW14" s="324">
        <f>WSSBK!$M$68</f>
        <v>90</v>
      </c>
      <c r="FX14" s="324">
        <f>WSSBK!$M$77</f>
        <v>88.75</v>
      </c>
      <c r="FY14" s="324" t="str">
        <f>WSSBK!$M$87</f>
        <v/>
      </c>
      <c r="FZ14" s="324" t="str">
        <f>WSSBK!$M$95</f>
        <v/>
      </c>
      <c r="GA14" s="324" t="str">
        <f>WSSBK!$M$103</f>
        <v/>
      </c>
      <c r="GB14" s="324" t="str">
        <f>WSSBK!$M$111</f>
        <v/>
      </c>
      <c r="GC14" s="324" t="str">
        <f>WSSBK!$M$119</f>
        <v/>
      </c>
      <c r="GD14" s="76"/>
      <c r="GE14" s="76"/>
      <c r="GF14" s="76"/>
      <c r="GG14" s="76" t="s">
        <v>1957</v>
      </c>
      <c r="GH14" s="334">
        <f>WSPENJAS!$M$6</f>
        <v>90</v>
      </c>
      <c r="GI14" s="334">
        <f>WSPENJAS!$M$7</f>
        <v>90</v>
      </c>
      <c r="GJ14" s="334">
        <f>WSPENJAS!$M$8</f>
        <v>90</v>
      </c>
      <c r="GK14" s="334">
        <f>WSPENJAS!$M$9</f>
        <v>90</v>
      </c>
      <c r="GL14" s="334">
        <f>WSPENJAS!$M$10</f>
        <v>90</v>
      </c>
      <c r="GM14" s="334">
        <f>WSPENJAS!$M$11</f>
        <v>90</v>
      </c>
      <c r="GN14" s="334">
        <f>WSPENJAS!$M$12</f>
        <v>90</v>
      </c>
      <c r="GO14" s="334">
        <f>WSPENJAS!$M$13</f>
        <v>90</v>
      </c>
      <c r="GP14" s="334">
        <f>WSPENJAS!$M$14</f>
        <v>90</v>
      </c>
      <c r="GQ14" s="334">
        <f>WSPENJAS!$M$15</f>
        <v>90</v>
      </c>
      <c r="GR14" s="334">
        <f>WSPENJAS!$M$16</f>
        <v>0</v>
      </c>
      <c r="GS14" s="334">
        <f>WSPENJAS!$M$17</f>
        <v>0</v>
      </c>
      <c r="GT14" s="334">
        <f>WSPENJAS!$M$18</f>
        <v>0</v>
      </c>
      <c r="GU14" s="334">
        <f>WSPENJAS!$M$19</f>
        <v>0</v>
      </c>
      <c r="GV14" s="334">
        <f>WSPENJAS!$M$20</f>
        <v>0</v>
      </c>
      <c r="GW14" s="334">
        <f>WSPENJAS!$M$21</f>
        <v>0</v>
      </c>
      <c r="GX14" s="76" t="s">
        <v>1290</v>
      </c>
      <c r="GY14" s="324">
        <f>WSJAWA!$M$6</f>
        <v>100</v>
      </c>
      <c r="GZ14" s="324">
        <f>WSJAWA!$M$14</f>
        <v>96.666666666666671</v>
      </c>
      <c r="HA14" s="324">
        <f>WSJAWA!$M$22</f>
        <v>100</v>
      </c>
      <c r="HB14" s="324">
        <f>WSJAWA!$M$30</f>
        <v>100</v>
      </c>
      <c r="HC14" s="324">
        <f>WSJAWA!$M$38</f>
        <v>100</v>
      </c>
      <c r="HD14" s="324">
        <f>WSJAWA!$M$46</f>
        <v>100</v>
      </c>
      <c r="HE14" s="324">
        <f>WSJAWA!$M$54</f>
        <v>100</v>
      </c>
      <c r="HF14" s="324">
        <f>WSJAWA!$M$62</f>
        <v>93.333333333333329</v>
      </c>
      <c r="HG14" s="324" t="str">
        <f>WSJAWA!$M$70</f>
        <v/>
      </c>
      <c r="HH14" s="324" t="str">
        <f>WSJAWA!$M$78</f>
        <v/>
      </c>
      <c r="HI14" s="324" t="str">
        <f>WSJAWA!$M$86</f>
        <v/>
      </c>
      <c r="HJ14" s="324" t="str">
        <f>WSJAWA!$M$94</f>
        <v/>
      </c>
      <c r="HK14" s="324" t="str">
        <f>WSJAWA!$M$102</f>
        <v/>
      </c>
      <c r="HL14" s="76"/>
      <c r="HM14" s="76"/>
      <c r="HN14" s="76"/>
      <c r="HO14" s="76" t="s">
        <v>1280</v>
      </c>
      <c r="HP14" s="324">
        <f>WSING!$M$6</f>
        <v>97</v>
      </c>
      <c r="HQ14" s="324">
        <f>WSING!$M$15</f>
        <v>97</v>
      </c>
      <c r="HR14" s="324">
        <f>WSING!$M$24</f>
        <v>93.333333333333329</v>
      </c>
      <c r="HS14" s="324">
        <f>WSING!$M$33</f>
        <v>93.333333333333329</v>
      </c>
      <c r="HT14" s="324" t="str">
        <f>WSING!$M$42</f>
        <v/>
      </c>
      <c r="HU14" s="324" t="str">
        <f>WSING!$M$50</f>
        <v/>
      </c>
      <c r="HV14" s="324" t="str">
        <f>WSING!$M$58</f>
        <v/>
      </c>
      <c r="HW14" s="324" t="str">
        <f>WSING!$M$66</f>
        <v/>
      </c>
      <c r="HX14" s="324" t="str">
        <f>WSING!$M$74</f>
        <v/>
      </c>
      <c r="HY14" s="324" t="str">
        <f>WSING!$M$82</f>
        <v/>
      </c>
      <c r="HZ14" s="324" t="str">
        <f>WSING!$M$90</f>
        <v/>
      </c>
      <c r="IA14" s="324" t="str">
        <f>WSING!$M$98</f>
        <v/>
      </c>
      <c r="IB14" s="324" t="str">
        <f>WSING!$M$106</f>
        <v/>
      </c>
      <c r="IC14" s="76"/>
      <c r="ID14" s="76"/>
      <c r="IE14" s="76"/>
      <c r="IF14" s="76" t="s">
        <v>1242</v>
      </c>
      <c r="IG14" s="324" t="str">
        <f>WSTIK!$M$6</f>
        <v/>
      </c>
      <c r="IH14" s="324" t="str">
        <f>WSTIK!$M$14</f>
        <v/>
      </c>
      <c r="II14" s="324" t="str">
        <f>WSTIK!$M$22</f>
        <v/>
      </c>
      <c r="IJ14" s="324" t="str">
        <f>WSTIK!$M$30</f>
        <v/>
      </c>
      <c r="IK14" s="324" t="str">
        <f>WSTIK!$M$38</f>
        <v/>
      </c>
      <c r="IL14" s="324" t="str">
        <f>WSTIK!$M$46</f>
        <v/>
      </c>
      <c r="IM14" s="324" t="str">
        <f>WSTIK!$M$54</f>
        <v/>
      </c>
      <c r="IN14" s="324" t="str">
        <f>WSTIK!$M$62</f>
        <v/>
      </c>
      <c r="IO14" s="324" t="str">
        <f>WSTIK!$M$70</f>
        <v/>
      </c>
      <c r="IP14" s="324" t="str">
        <f>WSTIK!$M$78</f>
        <v/>
      </c>
      <c r="IQ14" s="324" t="str">
        <f>WSTIK!$M$86</f>
        <v/>
      </c>
      <c r="IR14" s="324" t="str">
        <f>WSTIK!$M$94</f>
        <v/>
      </c>
      <c r="IS14" s="324" t="str">
        <f>WSTIK!$M$102</f>
        <v/>
      </c>
      <c r="IT14" s="76"/>
      <c r="IU14" s="76"/>
      <c r="IV14" s="76"/>
      <c r="IW14" s="76"/>
      <c r="IX14" s="324" t="str">
        <f>WSASWAJA!$M$6</f>
        <v/>
      </c>
      <c r="IY14" s="324" t="str">
        <f>WSASWAJA!$M$14</f>
        <v/>
      </c>
      <c r="IZ14" s="324" t="str">
        <f>WSASWAJA!$M$22</f>
        <v/>
      </c>
      <c r="JA14" s="324" t="str">
        <f>WSASWAJA!$M$30</f>
        <v/>
      </c>
      <c r="JB14" s="324" t="str">
        <f>WSASWAJA!$M$38</f>
        <v/>
      </c>
      <c r="JC14" s="324" t="str">
        <f>WSASWAJA!$M$46</f>
        <v/>
      </c>
      <c r="JD14" s="324" t="str">
        <f>WSASWAJA!$M$54</f>
        <v/>
      </c>
      <c r="JE14" s="324" t="str">
        <f>WSASWAJA!$M$62</f>
        <v/>
      </c>
      <c r="JF14" s="324" t="str">
        <f>WSASWAJA!$M$70</f>
        <v/>
      </c>
      <c r="JG14" s="324" t="str">
        <f>WSASWAJA!$M$78</f>
        <v/>
      </c>
      <c r="JH14" s="324" t="str">
        <f>WSASWAJA!$M$86</f>
        <v/>
      </c>
      <c r="JI14" s="324" t="str">
        <f>WSASWAJA!$M$94</f>
        <v/>
      </c>
      <c r="JJ14" s="324" t="str">
        <f>WSASWAJA!$M$102</f>
        <v/>
      </c>
      <c r="JK14" s="76"/>
      <c r="JL14" s="76"/>
      <c r="JM14" s="76"/>
      <c r="JN14" s="76"/>
    </row>
    <row r="15" spans="1:274">
      <c r="A15" s="76"/>
      <c r="B15" s="76">
        <v>10</v>
      </c>
      <c r="C15" s="324">
        <f>WSALQURAN!$N$6</f>
        <v>91.666666666666671</v>
      </c>
      <c r="D15" s="324">
        <f>WSALQURAN!$N$14</f>
        <v>98</v>
      </c>
      <c r="E15" s="324">
        <f>WSALQURAN!$N$22</f>
        <v>90</v>
      </c>
      <c r="F15" s="324">
        <f>WSALQURAN!$N$30</f>
        <v>91.666666666666671</v>
      </c>
      <c r="G15" s="324">
        <f>WSALQURAN!$N$38</f>
        <v>98.333333333333329</v>
      </c>
      <c r="H15" s="324">
        <f>WSALQURAN!$N$46</f>
        <v>98</v>
      </c>
      <c r="I15" s="324">
        <f>WSALQURAN!$N$54</f>
        <v>97.5</v>
      </c>
      <c r="J15" s="324" t="str">
        <f>WSALQURAN!$N$62</f>
        <v/>
      </c>
      <c r="K15" s="324" t="str">
        <f>WSALQURAN!$N$70</f>
        <v/>
      </c>
      <c r="L15" s="324" t="str">
        <f>WSALQURAN!$N$78</f>
        <v/>
      </c>
      <c r="M15" s="324" t="str">
        <f>WSALQURAN!$N$86</f>
        <v/>
      </c>
      <c r="N15" s="324" t="str">
        <f>WSALQURAN!$N$94</f>
        <v/>
      </c>
      <c r="O15" s="324" t="str">
        <f>WSALQURAN!$N$102</f>
        <v/>
      </c>
      <c r="P15" s="76"/>
      <c r="Q15" s="76"/>
      <c r="R15" s="76"/>
      <c r="S15" s="76" t="s">
        <v>1967</v>
      </c>
      <c r="T15" s="324">
        <f>WSAQIDAH!$N$6</f>
        <v>95</v>
      </c>
      <c r="U15" s="324">
        <f>WSAQIDAH!$N$14</f>
        <v>100</v>
      </c>
      <c r="V15" s="324">
        <f>WSAQIDAH!$N$22</f>
        <v>75</v>
      </c>
      <c r="W15" s="324">
        <f>WSAQIDAH!$N$30</f>
        <v>100</v>
      </c>
      <c r="X15" s="324">
        <f>WSAQIDAH!$N$38</f>
        <v>95</v>
      </c>
      <c r="Y15" s="324">
        <f>WSAQIDAH!$N$46</f>
        <v>90</v>
      </c>
      <c r="Z15" s="324">
        <f>WSAQIDAH!$N$54</f>
        <v>100</v>
      </c>
      <c r="AA15" s="324">
        <f>WSAQIDAH!$N$62</f>
        <v>90</v>
      </c>
      <c r="AB15" s="324">
        <f>WSAQIDAH!$N$70</f>
        <v>90</v>
      </c>
      <c r="AC15" s="324">
        <f>WSAQIDAH!$N$78</f>
        <v>90</v>
      </c>
      <c r="AD15" s="324" t="str">
        <f>WSAQIDAH!$N$86</f>
        <v/>
      </c>
      <c r="AE15" s="324" t="str">
        <f>WSAQIDAH!$N$94</f>
        <v/>
      </c>
      <c r="AF15" s="324" t="str">
        <f>WSAQIDAH!$N$102</f>
        <v/>
      </c>
      <c r="AG15" s="76"/>
      <c r="AH15" s="76"/>
      <c r="AI15" s="76"/>
      <c r="AJ15" s="76" t="s">
        <v>1975</v>
      </c>
      <c r="AK15" s="324">
        <f>WSFIQIH!$N$6</f>
        <v>88</v>
      </c>
      <c r="AL15" s="324">
        <f>WSFIQIH!$N$19</f>
        <v>90</v>
      </c>
      <c r="AM15" s="324">
        <f>WSFIQIH!$N$28</f>
        <v>100</v>
      </c>
      <c r="AN15" s="324">
        <f>WSFIQIH!$N$41</f>
        <v>100</v>
      </c>
      <c r="AO15" s="324">
        <f>WSFIQIH!$N$49</f>
        <v>95</v>
      </c>
      <c r="AP15" s="324">
        <f>WSFIQIH!$N$62</f>
        <v>90</v>
      </c>
      <c r="AQ15" s="324">
        <f>WSFIQIH!$N$71</f>
        <v>100</v>
      </c>
      <c r="AR15" s="324">
        <f>WSFIQIH!$N$80</f>
        <v>80</v>
      </c>
      <c r="AS15" s="324" t="str">
        <f>WSFIQIH!$N$88</f>
        <v/>
      </c>
      <c r="AT15" s="324" t="str">
        <f>WSFIQIH!$N$96</f>
        <v/>
      </c>
      <c r="AU15" s="324" t="str">
        <f>WSFIQIH!$N$104</f>
        <v/>
      </c>
      <c r="AV15" s="324" t="str">
        <f>WSFIQIH!$N$112</f>
        <v/>
      </c>
      <c r="AW15" s="324" t="str">
        <f>WSFIQIH!$N$120</f>
        <v/>
      </c>
      <c r="AX15" s="76"/>
      <c r="AY15" s="76"/>
      <c r="AZ15" s="76"/>
      <c r="BA15" s="76" t="s">
        <v>1225</v>
      </c>
      <c r="BB15" s="324">
        <f>WSSKI!$N$6</f>
        <v>97.5</v>
      </c>
      <c r="BC15" s="324">
        <f>WSSKI!$N$14</f>
        <v>90</v>
      </c>
      <c r="BD15" s="324">
        <f>WSSKI!$N$23</f>
        <v>89.333333333333329</v>
      </c>
      <c r="BE15" s="324">
        <f>WSSKI!$N$31</f>
        <v>90</v>
      </c>
      <c r="BF15" s="324">
        <f>WSSKI!$N$40</f>
        <v>100</v>
      </c>
      <c r="BG15" s="324">
        <f>WSSKI!$N$48</f>
        <v>78</v>
      </c>
      <c r="BH15" s="324" t="str">
        <f>WSSKI!$N$56</f>
        <v/>
      </c>
      <c r="BI15" s="324" t="str">
        <f>WSSKI!$N$64</f>
        <v/>
      </c>
      <c r="BJ15" s="324" t="str">
        <f>WSSKI!$N$72</f>
        <v/>
      </c>
      <c r="BK15" s="324" t="str">
        <f>WSSKI!$N$80</f>
        <v/>
      </c>
      <c r="BL15" s="324" t="str">
        <f>WSSKI!$N$88</f>
        <v/>
      </c>
      <c r="BM15" s="324" t="str">
        <f>WSSKI!$N$96</f>
        <v/>
      </c>
      <c r="BN15" s="324" t="str">
        <f>WSSKI!$N$104</f>
        <v/>
      </c>
      <c r="BO15" s="76"/>
      <c r="BP15" s="76"/>
      <c r="BQ15" s="76"/>
      <c r="BR15" s="76"/>
      <c r="BS15" s="324">
        <f>WSPKN!$N$6</f>
        <v>96.25</v>
      </c>
      <c r="BT15" s="324">
        <f>WSPKN!$N$32</f>
        <v>100</v>
      </c>
      <c r="BU15" s="324">
        <f>WSPKN!$N$55</f>
        <v>98.571428571428569</v>
      </c>
      <c r="BV15" s="324">
        <f>WSPKN!$N$72</f>
        <v>95.388888888888886</v>
      </c>
      <c r="BW15" s="324">
        <f>WSPKN!$N$86</f>
        <v>95.833333333333329</v>
      </c>
      <c r="BX15" s="324">
        <f>WSPKN!$N$108</f>
        <v>100</v>
      </c>
      <c r="BY15" s="324">
        <f>WSPKN!$N$132</f>
        <v>98.571428571428569</v>
      </c>
      <c r="BZ15" s="324">
        <f>WSPKN!$N$148</f>
        <v>94.583333333333329</v>
      </c>
      <c r="CA15" s="324" t="str">
        <f>WSPKN!$N$165</f>
        <v/>
      </c>
      <c r="CB15" s="324" t="str">
        <f>WSPKN!$N$173</f>
        <v/>
      </c>
      <c r="CC15" s="324" t="str">
        <f>WSPKN!$N$181</f>
        <v/>
      </c>
      <c r="CD15" s="324" t="str">
        <f>WSPKN!$N$189</f>
        <v/>
      </c>
      <c r="CE15" s="324" t="str">
        <f>WSPKN!$N$197</f>
        <v/>
      </c>
      <c r="CF15" s="76"/>
      <c r="CG15" s="76"/>
      <c r="CH15" s="76"/>
      <c r="CI15" s="76" t="s">
        <v>1888</v>
      </c>
      <c r="CJ15" s="324">
        <f>WSIND!$N$6</f>
        <v>98.125</v>
      </c>
      <c r="CK15" s="324">
        <f>WSIND!$N$65</f>
        <v>95.416666666666671</v>
      </c>
      <c r="CL15" s="324">
        <f>WSIND!$N$113</f>
        <v>97.777777777777771</v>
      </c>
      <c r="CM15" s="324">
        <f>WSIND!$N$133</f>
        <v>96.666666666666671</v>
      </c>
      <c r="CN15" s="324">
        <f>WSIND!$N$161</f>
        <v>98.913043478260875</v>
      </c>
      <c r="CO15" s="324">
        <f>WSIND!$N$192</f>
        <v>98.043478260869563</v>
      </c>
      <c r="CP15" s="324">
        <f>WSIND!$N$228</f>
        <v>95.416666666666671</v>
      </c>
      <c r="CQ15" s="324">
        <f>WSIND!$N$256</f>
        <v>97.777777777777771</v>
      </c>
      <c r="CR15" s="324">
        <f>WSIND!$N$277</f>
        <v>96.666666666666671</v>
      </c>
      <c r="CS15" s="324">
        <f>WSIND!$N$305</f>
        <v>98.913043478260875</v>
      </c>
      <c r="CT15" s="324" t="str">
        <f>WSIND!$N$329</f>
        <v/>
      </c>
      <c r="CU15" s="324" t="str">
        <f>WSIND!$N$337</f>
        <v/>
      </c>
      <c r="CV15" s="324" t="str">
        <f>WSIND!$N$345</f>
        <v/>
      </c>
      <c r="CW15" s="76"/>
      <c r="CX15" s="76"/>
      <c r="CY15" s="76"/>
      <c r="CZ15" s="76" t="s">
        <v>1900</v>
      </c>
      <c r="DA15" s="324" t="str">
        <f>WSARAB!$N$6</f>
        <v/>
      </c>
      <c r="DB15" s="324" t="str">
        <f>WSARAB!$N$17</f>
        <v/>
      </c>
      <c r="DC15" s="324" t="str">
        <f>WSARAB!$N$29</f>
        <v/>
      </c>
      <c r="DD15" s="324" t="str">
        <f>WSARAB!$N$37</f>
        <v/>
      </c>
      <c r="DE15" s="324" t="str">
        <f>WSARAB!$N$45</f>
        <v/>
      </c>
      <c r="DF15" s="324" t="str">
        <f>WSARAB!$N$53</f>
        <v/>
      </c>
      <c r="DG15" s="324" t="str">
        <f>WSARAB!$N$65</f>
        <v/>
      </c>
      <c r="DH15" s="324" t="str">
        <f>WSARAB!$N$73</f>
        <v/>
      </c>
      <c r="DI15" s="324" t="str">
        <f>WSARAB!$N$81</f>
        <v/>
      </c>
      <c r="DJ15" s="324" t="str">
        <f>WSARAB!$N$89</f>
        <v/>
      </c>
      <c r="DK15" s="324" t="str">
        <f>WSARAB!$N$97</f>
        <v/>
      </c>
      <c r="DL15" s="324" t="str">
        <f>WSARAB!$N$105</f>
        <v/>
      </c>
      <c r="DM15" s="324" t="str">
        <f>WSARAB!$N$113</f>
        <v/>
      </c>
      <c r="DN15" s="76"/>
      <c r="DO15" s="76"/>
      <c r="DP15" s="76"/>
      <c r="DQ15" s="76" t="s">
        <v>1321</v>
      </c>
      <c r="DR15" s="324">
        <f>WSMTK!$N$6</f>
        <v>97</v>
      </c>
      <c r="DS15" s="324">
        <f>WSMTK!$N$22</f>
        <v>97.5</v>
      </c>
      <c r="DT15" s="324">
        <f>WSMTK!$N$35</f>
        <v>97</v>
      </c>
      <c r="DU15" s="324">
        <f>WSMTK!$N$69</f>
        <v>99.0625</v>
      </c>
      <c r="DV15" s="324">
        <f>WSMTK!$N$87</f>
        <v>97</v>
      </c>
      <c r="DW15" s="324">
        <f>WSMTK!$N$99</f>
        <v>97.5</v>
      </c>
      <c r="DX15" s="324">
        <f>WSMTK!$N$113</f>
        <v>97</v>
      </c>
      <c r="DY15" s="324">
        <f>WSMTK!$N$145</f>
        <v>99.0625</v>
      </c>
      <c r="DZ15" s="324" t="str">
        <f>WSMTK!$N$168</f>
        <v/>
      </c>
      <c r="EA15" s="324" t="str">
        <f>WSMTK!$N$176</f>
        <v/>
      </c>
      <c r="EB15" s="324" t="str">
        <f>WSMTK!$N$184</f>
        <v/>
      </c>
      <c r="EC15" s="324" t="str">
        <f>WSMTK!$N$192</f>
        <v/>
      </c>
      <c r="ED15" s="324" t="str">
        <f>WSMTK!$N$200</f>
        <v/>
      </c>
      <c r="EE15" s="76"/>
      <c r="EF15" s="76"/>
      <c r="EG15" s="76"/>
      <c r="EH15" s="76" t="s">
        <v>1297</v>
      </c>
      <c r="EI15" s="324" t="str">
        <f>WSIPA!$N$6</f>
        <v/>
      </c>
      <c r="EJ15" s="324" t="str">
        <f>WSIPA!$N$14</f>
        <v/>
      </c>
      <c r="EK15" s="324" t="str">
        <f>WSIPA!$N$22</f>
        <v/>
      </c>
      <c r="EL15" s="324" t="str">
        <f>WSIPA!$N$30</f>
        <v/>
      </c>
      <c r="EM15" s="324" t="str">
        <f>WSIPA!$N$38</f>
        <v/>
      </c>
      <c r="EN15" s="324" t="str">
        <f>WSIPA!$N$46</f>
        <v/>
      </c>
      <c r="EO15" s="324" t="str">
        <f>WSIPA!$N$54</f>
        <v/>
      </c>
      <c r="EP15" s="324" t="str">
        <f>WSIPA!$N$62</f>
        <v/>
      </c>
      <c r="EQ15" s="324" t="str">
        <f>WSIPA!$N$70</f>
        <v/>
      </c>
      <c r="ER15" s="324" t="str">
        <f>WSIPA!$N$78</f>
        <v/>
      </c>
      <c r="ES15" s="324" t="str">
        <f>WSIPA!$N$86</f>
        <v/>
      </c>
      <c r="ET15" s="324" t="str">
        <f>WSIPA!$N$94</f>
        <v/>
      </c>
      <c r="EU15" s="324" t="str">
        <f>WSIPA!$N$102</f>
        <v/>
      </c>
      <c r="EV15" s="76"/>
      <c r="EW15" s="76"/>
      <c r="EX15" s="76"/>
      <c r="EY15" s="76" t="s">
        <v>1237</v>
      </c>
      <c r="EZ15" s="324" t="str">
        <f>WSIPS!$N$6</f>
        <v/>
      </c>
      <c r="FA15" s="324" t="str">
        <f>WSIPS!$N$14</f>
        <v/>
      </c>
      <c r="FB15" s="324" t="str">
        <f>WSIPS!$N$22</f>
        <v/>
      </c>
      <c r="FC15" s="324" t="str">
        <f>WSIPS!$N$30</f>
        <v/>
      </c>
      <c r="FD15" s="324" t="str">
        <f>WSIPS!$N$38</f>
        <v/>
      </c>
      <c r="FE15" s="324" t="str">
        <f>WSIPS!$N$46</f>
        <v/>
      </c>
      <c r="FF15" s="324" t="str">
        <f>WSIPS!$N$54</f>
        <v/>
      </c>
      <c r="FG15" s="324" t="str">
        <f>WSIPS!$N$62</f>
        <v/>
      </c>
      <c r="FH15" s="324" t="str">
        <f>WSIPS!$N$70</f>
        <v/>
      </c>
      <c r="FI15" s="324" t="str">
        <f>WSIPS!$N$78</f>
        <v/>
      </c>
      <c r="FJ15" s="324" t="str">
        <f>WSIPS!$N$86</f>
        <v/>
      </c>
      <c r="FK15" s="324" t="str">
        <f>WSIPS!$N$94</f>
        <v/>
      </c>
      <c r="FL15" s="324" t="str">
        <f>WSIPS!$N$102</f>
        <v/>
      </c>
      <c r="FM15" s="76"/>
      <c r="FN15" s="76"/>
      <c r="FO15" s="76"/>
      <c r="FP15" s="76" t="s">
        <v>1252</v>
      </c>
      <c r="FQ15" s="324">
        <f>WSSBK!$N$6</f>
        <v>97.5</v>
      </c>
      <c r="FR15" s="324">
        <f>WSSBK!$N$16</f>
        <v>100</v>
      </c>
      <c r="FS15" s="324">
        <f>WSSBK!$N$26</f>
        <v>93.75</v>
      </c>
      <c r="FT15" s="324">
        <f>WSSBK!$N$36</f>
        <v>94.375</v>
      </c>
      <c r="FU15" s="324">
        <f>WSSBK!$N$46</f>
        <v>97.5</v>
      </c>
      <c r="FV15" s="324">
        <f>WSSBK!$N$58</f>
        <v>100</v>
      </c>
      <c r="FW15" s="324">
        <f>WSSBK!$N$68</f>
        <v>93.75</v>
      </c>
      <c r="FX15" s="324">
        <f>WSSBK!$N$77</f>
        <v>94.375</v>
      </c>
      <c r="FY15" s="324" t="str">
        <f>WSSBK!$N$87</f>
        <v/>
      </c>
      <c r="FZ15" s="324" t="str">
        <f>WSSBK!$N$95</f>
        <v/>
      </c>
      <c r="GA15" s="324" t="str">
        <f>WSSBK!$N$103</f>
        <v/>
      </c>
      <c r="GB15" s="324" t="str">
        <f>WSSBK!$N$111</f>
        <v/>
      </c>
      <c r="GC15" s="324" t="str">
        <f>WSSBK!$N$119</f>
        <v/>
      </c>
      <c r="GD15" s="76"/>
      <c r="GE15" s="76"/>
      <c r="GF15" s="76"/>
      <c r="GG15" s="76" t="s">
        <v>1952</v>
      </c>
      <c r="GH15" s="334">
        <f>WSPENJAS!$N$6</f>
        <v>89</v>
      </c>
      <c r="GI15" s="334">
        <f>WSPENJAS!$N$7</f>
        <v>89</v>
      </c>
      <c r="GJ15" s="334">
        <f>WSPENJAS!$N$8</f>
        <v>89</v>
      </c>
      <c r="GK15" s="334">
        <f>WSPENJAS!$N$9</f>
        <v>89</v>
      </c>
      <c r="GL15" s="334">
        <f>WSPENJAS!$N$10</f>
        <v>89</v>
      </c>
      <c r="GM15" s="334">
        <f>WSPENJAS!$N$11</f>
        <v>89</v>
      </c>
      <c r="GN15" s="334">
        <f>WSPENJAS!$N$12</f>
        <v>89</v>
      </c>
      <c r="GO15" s="334">
        <f>WSPENJAS!$N$13</f>
        <v>89</v>
      </c>
      <c r="GP15" s="334">
        <f>WSPENJAS!$N$14</f>
        <v>89</v>
      </c>
      <c r="GQ15" s="334">
        <f>WSPENJAS!$N$15</f>
        <v>89</v>
      </c>
      <c r="GR15" s="334">
        <f>WSPENJAS!$N$16</f>
        <v>0</v>
      </c>
      <c r="GS15" s="334">
        <f>WSPENJAS!$N$17</f>
        <v>0</v>
      </c>
      <c r="GT15" s="334">
        <f>WSPENJAS!$N$18</f>
        <v>0</v>
      </c>
      <c r="GU15" s="334">
        <f>WSPENJAS!$N$19</f>
        <v>0</v>
      </c>
      <c r="GV15" s="334">
        <f>WSPENJAS!$N$20</f>
        <v>0</v>
      </c>
      <c r="GW15" s="334">
        <f>WSPENJAS!$N$21</f>
        <v>0</v>
      </c>
      <c r="GX15" s="76" t="s">
        <v>1291</v>
      </c>
      <c r="GY15" s="324">
        <f>WSJAWA!$N$6</f>
        <v>100</v>
      </c>
      <c r="GZ15" s="324">
        <f>WSJAWA!$N$14</f>
        <v>91.666666666666671</v>
      </c>
      <c r="HA15" s="324">
        <f>WSJAWA!$N$22</f>
        <v>95</v>
      </c>
      <c r="HB15" s="324">
        <f>WSJAWA!$N$30</f>
        <v>100</v>
      </c>
      <c r="HC15" s="324">
        <f>WSJAWA!$N$38</f>
        <v>100</v>
      </c>
      <c r="HD15" s="324">
        <f>WSJAWA!$N$46</f>
        <v>90</v>
      </c>
      <c r="HE15" s="324">
        <f>WSJAWA!$N$54</f>
        <v>90</v>
      </c>
      <c r="HF15" s="324">
        <f>WSJAWA!$N$62</f>
        <v>95</v>
      </c>
      <c r="HG15" s="324" t="str">
        <f>WSJAWA!$N$70</f>
        <v/>
      </c>
      <c r="HH15" s="324" t="str">
        <f>WSJAWA!$N$78</f>
        <v/>
      </c>
      <c r="HI15" s="324" t="str">
        <f>WSJAWA!$N$86</f>
        <v/>
      </c>
      <c r="HJ15" s="324" t="str">
        <f>WSJAWA!$N$94</f>
        <v/>
      </c>
      <c r="HK15" s="324" t="str">
        <f>WSJAWA!$N$102</f>
        <v/>
      </c>
      <c r="HL15" s="76"/>
      <c r="HM15" s="76"/>
      <c r="HN15" s="76"/>
      <c r="HO15" s="76" t="s">
        <v>1284</v>
      </c>
      <c r="HP15" s="324">
        <f>WSING!$N$6</f>
        <v>99.166666666666671</v>
      </c>
      <c r="HQ15" s="324">
        <f>WSING!$N$15</f>
        <v>99.166666666666671</v>
      </c>
      <c r="HR15" s="324">
        <f>WSING!$N$24</f>
        <v>97.5</v>
      </c>
      <c r="HS15" s="324">
        <f>WSING!$N$33</f>
        <v>97.5</v>
      </c>
      <c r="HT15" s="324" t="str">
        <f>WSING!$N$42</f>
        <v/>
      </c>
      <c r="HU15" s="324" t="str">
        <f>WSING!$N$50</f>
        <v/>
      </c>
      <c r="HV15" s="324" t="str">
        <f>WSING!$N$58</f>
        <v/>
      </c>
      <c r="HW15" s="324" t="str">
        <f>WSING!$N$66</f>
        <v/>
      </c>
      <c r="HX15" s="324" t="str">
        <f>WSING!$N$74</f>
        <v/>
      </c>
      <c r="HY15" s="324" t="str">
        <f>WSING!$N$82</f>
        <v/>
      </c>
      <c r="HZ15" s="324" t="str">
        <f>WSING!$N$90</f>
        <v/>
      </c>
      <c r="IA15" s="324" t="str">
        <f>WSING!$N$98</f>
        <v/>
      </c>
      <c r="IB15" s="324" t="str">
        <f>WSING!$N$106</f>
        <v/>
      </c>
      <c r="IC15" s="76"/>
      <c r="ID15" s="76"/>
      <c r="IE15" s="76"/>
      <c r="IF15" s="76" t="s">
        <v>1242</v>
      </c>
      <c r="IG15" s="324" t="str">
        <f>WSTIK!$N$6</f>
        <v/>
      </c>
      <c r="IH15" s="324" t="str">
        <f>WSTIK!$N$14</f>
        <v/>
      </c>
      <c r="II15" s="324" t="str">
        <f>WSTIK!$N$22</f>
        <v/>
      </c>
      <c r="IJ15" s="324" t="str">
        <f>WSTIK!$N$30</f>
        <v/>
      </c>
      <c r="IK15" s="324" t="str">
        <f>WSTIK!$N$38</f>
        <v/>
      </c>
      <c r="IL15" s="324" t="str">
        <f>WSTIK!$N$46</f>
        <v/>
      </c>
      <c r="IM15" s="324" t="str">
        <f>WSTIK!$N$54</f>
        <v/>
      </c>
      <c r="IN15" s="324" t="str">
        <f>WSTIK!$N$62</f>
        <v/>
      </c>
      <c r="IO15" s="324" t="str">
        <f>WSTIK!$N$70</f>
        <v/>
      </c>
      <c r="IP15" s="324" t="str">
        <f>WSTIK!$N$78</f>
        <v/>
      </c>
      <c r="IQ15" s="324" t="str">
        <f>WSTIK!$N$86</f>
        <v/>
      </c>
      <c r="IR15" s="324" t="str">
        <f>WSTIK!$N$94</f>
        <v/>
      </c>
      <c r="IS15" s="324" t="str">
        <f>WSTIK!$N$102</f>
        <v/>
      </c>
      <c r="IT15" s="76"/>
      <c r="IU15" s="76"/>
      <c r="IV15" s="76"/>
      <c r="IW15" s="76"/>
      <c r="IX15" s="324" t="str">
        <f>WSASWAJA!$N$6</f>
        <v/>
      </c>
      <c r="IY15" s="324" t="str">
        <f>WSASWAJA!$N$14</f>
        <v/>
      </c>
      <c r="IZ15" s="324" t="str">
        <f>WSASWAJA!$N$22</f>
        <v/>
      </c>
      <c r="JA15" s="324" t="str">
        <f>WSASWAJA!$N$30</f>
        <v/>
      </c>
      <c r="JB15" s="324" t="str">
        <f>WSASWAJA!$N$38</f>
        <v/>
      </c>
      <c r="JC15" s="324" t="str">
        <f>WSASWAJA!$N$46</f>
        <v/>
      </c>
      <c r="JD15" s="324" t="str">
        <f>WSASWAJA!$N$54</f>
        <v/>
      </c>
      <c r="JE15" s="324" t="str">
        <f>WSASWAJA!$N$62</f>
        <v/>
      </c>
      <c r="JF15" s="324" t="str">
        <f>WSASWAJA!$N$70</f>
        <v/>
      </c>
      <c r="JG15" s="324" t="str">
        <f>WSASWAJA!$N$78</f>
        <v/>
      </c>
      <c r="JH15" s="324" t="str">
        <f>WSASWAJA!$N$86</f>
        <v/>
      </c>
      <c r="JI15" s="324" t="str">
        <f>WSASWAJA!$N$94</f>
        <v/>
      </c>
      <c r="JJ15" s="324" t="str">
        <f>WSASWAJA!$N$102</f>
        <v/>
      </c>
      <c r="JK15" s="76"/>
      <c r="JL15" s="76"/>
      <c r="JM15" s="76"/>
      <c r="JN15" s="76"/>
    </row>
    <row r="16" spans="1:274">
      <c r="A16" s="76"/>
      <c r="B16" s="76">
        <v>11</v>
      </c>
      <c r="C16" s="324">
        <f>WSALQURAN!$O$6</f>
        <v>100</v>
      </c>
      <c r="D16" s="324">
        <f>WSALQURAN!$O$14</f>
        <v>100</v>
      </c>
      <c r="E16" s="324">
        <f>WSALQURAN!$O$22</f>
        <v>100</v>
      </c>
      <c r="F16" s="324">
        <f>WSALQURAN!$O$30</f>
        <v>100</v>
      </c>
      <c r="G16" s="324">
        <f>WSALQURAN!$O$38</f>
        <v>99.333333333333329</v>
      </c>
      <c r="H16" s="324">
        <f>WSALQURAN!$O$46</f>
        <v>92</v>
      </c>
      <c r="I16" s="324">
        <f>WSALQURAN!$O$54</f>
        <v>97.5</v>
      </c>
      <c r="J16" s="324" t="str">
        <f>WSALQURAN!$O$62</f>
        <v/>
      </c>
      <c r="K16" s="324" t="str">
        <f>WSALQURAN!$O$70</f>
        <v/>
      </c>
      <c r="L16" s="324" t="str">
        <f>WSALQURAN!$O$78</f>
        <v/>
      </c>
      <c r="M16" s="324" t="str">
        <f>WSALQURAN!$O$86</f>
        <v/>
      </c>
      <c r="N16" s="324" t="str">
        <f>WSALQURAN!$O$94</f>
        <v/>
      </c>
      <c r="O16" s="324" t="str">
        <f>WSALQURAN!$O$102</f>
        <v/>
      </c>
      <c r="P16" s="76"/>
      <c r="Q16" s="76"/>
      <c r="R16" s="76"/>
      <c r="S16" s="76" t="s">
        <v>1967</v>
      </c>
      <c r="T16" s="324">
        <f>WSAQIDAH!$O$6</f>
        <v>90</v>
      </c>
      <c r="U16" s="324">
        <f>WSAQIDAH!$O$14</f>
        <v>100</v>
      </c>
      <c r="V16" s="324">
        <f>WSAQIDAH!$O$22</f>
        <v>100</v>
      </c>
      <c r="W16" s="324">
        <f>WSAQIDAH!$O$30</f>
        <v>100</v>
      </c>
      <c r="X16" s="324">
        <f>WSAQIDAH!$O$38</f>
        <v>100</v>
      </c>
      <c r="Y16" s="324">
        <f>WSAQIDAH!$O$46</f>
        <v>95</v>
      </c>
      <c r="Z16" s="324">
        <f>WSAQIDAH!$O$54</f>
        <v>100</v>
      </c>
      <c r="AA16" s="324">
        <f>WSAQIDAH!$O$62</f>
        <v>80</v>
      </c>
      <c r="AB16" s="324">
        <f>WSAQIDAH!$O$70</f>
        <v>80</v>
      </c>
      <c r="AC16" s="324">
        <f>WSAQIDAH!$O$78</f>
        <v>80</v>
      </c>
      <c r="AD16" s="324" t="str">
        <f>WSAQIDAH!$O$86</f>
        <v/>
      </c>
      <c r="AE16" s="324" t="str">
        <f>WSAQIDAH!$O$94</f>
        <v/>
      </c>
      <c r="AF16" s="324" t="str">
        <f>WSAQIDAH!$O$102</f>
        <v/>
      </c>
      <c r="AG16" s="76"/>
      <c r="AH16" s="76"/>
      <c r="AI16" s="76"/>
      <c r="AJ16" s="76" t="s">
        <v>1977</v>
      </c>
      <c r="AK16" s="324">
        <f>WSFIQIH!$O$6</f>
        <v>100</v>
      </c>
      <c r="AL16" s="324">
        <f>WSFIQIH!$O$19</f>
        <v>100</v>
      </c>
      <c r="AM16" s="324">
        <f>WSFIQIH!$O$28</f>
        <v>100</v>
      </c>
      <c r="AN16" s="324">
        <f>WSFIQIH!$O$41</f>
        <v>100</v>
      </c>
      <c r="AO16" s="324">
        <f>WSFIQIH!$O$49</f>
        <v>80</v>
      </c>
      <c r="AP16" s="324">
        <f>WSFIQIH!$O$62</f>
        <v>100</v>
      </c>
      <c r="AQ16" s="324">
        <f>WSFIQIH!$O$71</f>
        <v>98</v>
      </c>
      <c r="AR16" s="324">
        <f>WSFIQIH!$O$80</f>
        <v>85</v>
      </c>
      <c r="AS16" s="324" t="str">
        <f>WSFIQIH!$O$88</f>
        <v/>
      </c>
      <c r="AT16" s="324" t="str">
        <f>WSFIQIH!$O$96</f>
        <v/>
      </c>
      <c r="AU16" s="324" t="str">
        <f>WSFIQIH!$O$104</f>
        <v/>
      </c>
      <c r="AV16" s="324" t="str">
        <f>WSFIQIH!$O$112</f>
        <v/>
      </c>
      <c r="AW16" s="324" t="str">
        <f>WSFIQIH!$O$120</f>
        <v/>
      </c>
      <c r="AX16" s="76"/>
      <c r="AY16" s="76"/>
      <c r="AZ16" s="76"/>
      <c r="BA16" s="76" t="s">
        <v>1335</v>
      </c>
      <c r="BB16" s="324">
        <f>WSSKI!$O$6</f>
        <v>87.5</v>
      </c>
      <c r="BC16" s="324">
        <f>WSSKI!$O$14</f>
        <v>93.4</v>
      </c>
      <c r="BD16" s="324">
        <f>WSSKI!$O$23</f>
        <v>83.333333333333329</v>
      </c>
      <c r="BE16" s="324">
        <f>WSSKI!$O$31</f>
        <v>75</v>
      </c>
      <c r="BF16" s="324">
        <f>WSSKI!$O$40</f>
        <v>100</v>
      </c>
      <c r="BG16" s="324">
        <f>WSSKI!$O$48</f>
        <v>75</v>
      </c>
      <c r="BH16" s="324" t="str">
        <f>WSSKI!$O$56</f>
        <v/>
      </c>
      <c r="BI16" s="324" t="str">
        <f>WSSKI!$O$64</f>
        <v/>
      </c>
      <c r="BJ16" s="324" t="str">
        <f>WSSKI!$O$72</f>
        <v/>
      </c>
      <c r="BK16" s="324" t="str">
        <f>WSSKI!$O$80</f>
        <v/>
      </c>
      <c r="BL16" s="324" t="str">
        <f>WSSKI!$O$88</f>
        <v/>
      </c>
      <c r="BM16" s="324" t="str">
        <f>WSSKI!$O$96</f>
        <v/>
      </c>
      <c r="BN16" s="324" t="str">
        <f>WSSKI!$O$104</f>
        <v/>
      </c>
      <c r="BO16" s="76"/>
      <c r="BP16" s="76"/>
      <c r="BQ16" s="76"/>
      <c r="BR16" s="76"/>
      <c r="BS16" s="324">
        <f>WSPKN!$O$6</f>
        <v>98.4375</v>
      </c>
      <c r="BT16" s="324">
        <f>WSPKN!$O$32</f>
        <v>98.75</v>
      </c>
      <c r="BU16" s="324">
        <f>WSPKN!$O$55</f>
        <v>99.285714285714292</v>
      </c>
      <c r="BV16" s="324">
        <f>WSPKN!$O$72</f>
        <v>99.472222222222214</v>
      </c>
      <c r="BW16" s="324">
        <f>WSPKN!$O$86</f>
        <v>97.083333333333329</v>
      </c>
      <c r="BX16" s="324">
        <f>WSPKN!$O$108</f>
        <v>98.75</v>
      </c>
      <c r="BY16" s="324">
        <f>WSPKN!$O$132</f>
        <v>99.285714285714292</v>
      </c>
      <c r="BZ16" s="324">
        <f>WSPKN!$O$148</f>
        <v>99.583333333333329</v>
      </c>
      <c r="CA16" s="324" t="str">
        <f>WSPKN!$O$165</f>
        <v/>
      </c>
      <c r="CB16" s="324" t="str">
        <f>WSPKN!$O$173</f>
        <v/>
      </c>
      <c r="CC16" s="324" t="str">
        <f>WSPKN!$O$181</f>
        <v/>
      </c>
      <c r="CD16" s="324" t="str">
        <f>WSPKN!$O$189</f>
        <v/>
      </c>
      <c r="CE16" s="324" t="str">
        <f>WSPKN!$O$197</f>
        <v/>
      </c>
      <c r="CF16" s="76"/>
      <c r="CG16" s="76"/>
      <c r="CH16" s="76"/>
      <c r="CI16" s="76" t="s">
        <v>1888</v>
      </c>
      <c r="CJ16" s="324">
        <f>WSIND!$O$6</f>
        <v>97.291666666666671</v>
      </c>
      <c r="CK16" s="324">
        <f>WSIND!$O$65</f>
        <v>98.958333333333329</v>
      </c>
      <c r="CL16" s="324">
        <f>WSIND!$O$113</f>
        <v>98.888888888888886</v>
      </c>
      <c r="CM16" s="324">
        <f>WSIND!$O$133</f>
        <v>98.333333333333329</v>
      </c>
      <c r="CN16" s="324">
        <f>WSIND!$O$161</f>
        <v>98.260869565217391</v>
      </c>
      <c r="CO16" s="324">
        <f>WSIND!$O$192</f>
        <v>97.608695652173907</v>
      </c>
      <c r="CP16" s="324">
        <f>WSIND!$O$228</f>
        <v>98.958333333333329</v>
      </c>
      <c r="CQ16" s="324">
        <f>WSIND!$O$256</f>
        <v>98.888888888888886</v>
      </c>
      <c r="CR16" s="324">
        <f>WSIND!$O$277</f>
        <v>98.333333333333329</v>
      </c>
      <c r="CS16" s="324">
        <f>WSIND!$O$305</f>
        <v>98.260869565217391</v>
      </c>
      <c r="CT16" s="324" t="str">
        <f>WSIND!$O$329</f>
        <v/>
      </c>
      <c r="CU16" s="324" t="str">
        <f>WSIND!$O$337</f>
        <v/>
      </c>
      <c r="CV16" s="324" t="str">
        <f>WSIND!$O$345</f>
        <v/>
      </c>
      <c r="CW16" s="76"/>
      <c r="CX16" s="76"/>
      <c r="CY16" s="76"/>
      <c r="CZ16" s="76" t="s">
        <v>1901</v>
      </c>
      <c r="DA16" s="324" t="str">
        <f>WSARAB!$O$6</f>
        <v/>
      </c>
      <c r="DB16" s="324" t="str">
        <f>WSARAB!$O$17</f>
        <v/>
      </c>
      <c r="DC16" s="324" t="str">
        <f>WSARAB!$O$29</f>
        <v/>
      </c>
      <c r="DD16" s="324" t="str">
        <f>WSARAB!$O$37</f>
        <v/>
      </c>
      <c r="DE16" s="324" t="str">
        <f>WSARAB!$O$45</f>
        <v/>
      </c>
      <c r="DF16" s="324" t="str">
        <f>WSARAB!$O$53</f>
        <v/>
      </c>
      <c r="DG16" s="324" t="str">
        <f>WSARAB!$O$65</f>
        <v/>
      </c>
      <c r="DH16" s="324" t="str">
        <f>WSARAB!$O$73</f>
        <v/>
      </c>
      <c r="DI16" s="324" t="str">
        <f>WSARAB!$O$81</f>
        <v/>
      </c>
      <c r="DJ16" s="324" t="str">
        <f>WSARAB!$O$89</f>
        <v/>
      </c>
      <c r="DK16" s="324" t="str">
        <f>WSARAB!$O$97</f>
        <v/>
      </c>
      <c r="DL16" s="324" t="str">
        <f>WSARAB!$O$105</f>
        <v/>
      </c>
      <c r="DM16" s="324" t="str">
        <f>WSARAB!$O$113</f>
        <v/>
      </c>
      <c r="DN16" s="76"/>
      <c r="DO16" s="76"/>
      <c r="DP16" s="76"/>
      <c r="DQ16" s="76" t="s">
        <v>1323</v>
      </c>
      <c r="DR16" s="324">
        <f>WSMTK!$O$6</f>
        <v>97.5</v>
      </c>
      <c r="DS16" s="324">
        <f>WSMTK!$O$22</f>
        <v>99.375</v>
      </c>
      <c r="DT16" s="324">
        <f>WSMTK!$O$35</f>
        <v>97.833333333333329</v>
      </c>
      <c r="DU16" s="324">
        <f>WSMTK!$O$69</f>
        <v>97.1875</v>
      </c>
      <c r="DV16" s="324">
        <f>WSMTK!$O$87</f>
        <v>97.5</v>
      </c>
      <c r="DW16" s="324">
        <f>WSMTK!$O$99</f>
        <v>99.375</v>
      </c>
      <c r="DX16" s="324">
        <f>WSMTK!$O$113</f>
        <v>97.833333333333329</v>
      </c>
      <c r="DY16" s="324">
        <f>WSMTK!$O$145</f>
        <v>97.1875</v>
      </c>
      <c r="DZ16" s="324" t="str">
        <f>WSMTK!$O$168</f>
        <v/>
      </c>
      <c r="EA16" s="324" t="str">
        <f>WSMTK!$O$176</f>
        <v/>
      </c>
      <c r="EB16" s="324" t="str">
        <f>WSMTK!$O$184</f>
        <v/>
      </c>
      <c r="EC16" s="324" t="str">
        <f>WSMTK!$O$192</f>
        <v/>
      </c>
      <c r="ED16" s="324" t="str">
        <f>WSMTK!$O$200</f>
        <v/>
      </c>
      <c r="EE16" s="76"/>
      <c r="EF16" s="76"/>
      <c r="EG16" s="76"/>
      <c r="EH16" s="76" t="s">
        <v>1298</v>
      </c>
      <c r="EI16" s="324" t="str">
        <f>WSIPA!$O$6</f>
        <v/>
      </c>
      <c r="EJ16" s="324" t="str">
        <f>WSIPA!$O$14</f>
        <v/>
      </c>
      <c r="EK16" s="324" t="str">
        <f>WSIPA!$O$22</f>
        <v/>
      </c>
      <c r="EL16" s="324" t="str">
        <f>WSIPA!$O$30</f>
        <v/>
      </c>
      <c r="EM16" s="324" t="str">
        <f>WSIPA!$O$38</f>
        <v/>
      </c>
      <c r="EN16" s="324" t="str">
        <f>WSIPA!$O$46</f>
        <v/>
      </c>
      <c r="EO16" s="324" t="str">
        <f>WSIPA!$O$54</f>
        <v/>
      </c>
      <c r="EP16" s="324" t="str">
        <f>WSIPA!$O$62</f>
        <v/>
      </c>
      <c r="EQ16" s="324" t="str">
        <f>WSIPA!$O$70</f>
        <v/>
      </c>
      <c r="ER16" s="324" t="str">
        <f>WSIPA!$O$78</f>
        <v/>
      </c>
      <c r="ES16" s="324" t="str">
        <f>WSIPA!$O$86</f>
        <v/>
      </c>
      <c r="ET16" s="324" t="str">
        <f>WSIPA!$O$94</f>
        <v/>
      </c>
      <c r="EU16" s="324" t="str">
        <f>WSIPA!$O$102</f>
        <v/>
      </c>
      <c r="EV16" s="76"/>
      <c r="EW16" s="76"/>
      <c r="EX16" s="76"/>
      <c r="EY16" s="76" t="s">
        <v>1238</v>
      </c>
      <c r="EZ16" s="324" t="str">
        <f>WSIPS!$O$6</f>
        <v/>
      </c>
      <c r="FA16" s="324" t="str">
        <f>WSIPS!$O$14</f>
        <v/>
      </c>
      <c r="FB16" s="324" t="str">
        <f>WSIPS!$O$22</f>
        <v/>
      </c>
      <c r="FC16" s="324" t="str">
        <f>WSIPS!$O$30</f>
        <v/>
      </c>
      <c r="FD16" s="324" t="str">
        <f>WSIPS!$O$38</f>
        <v/>
      </c>
      <c r="FE16" s="324" t="str">
        <f>WSIPS!$O$46</f>
        <v/>
      </c>
      <c r="FF16" s="324" t="str">
        <f>WSIPS!$O$54</f>
        <v/>
      </c>
      <c r="FG16" s="324" t="str">
        <f>WSIPS!$O$62</f>
        <v/>
      </c>
      <c r="FH16" s="324" t="str">
        <f>WSIPS!$O$70</f>
        <v/>
      </c>
      <c r="FI16" s="324" t="str">
        <f>WSIPS!$O$78</f>
        <v/>
      </c>
      <c r="FJ16" s="324" t="str">
        <f>WSIPS!$O$86</f>
        <v/>
      </c>
      <c r="FK16" s="324" t="str">
        <f>WSIPS!$O$94</f>
        <v/>
      </c>
      <c r="FL16" s="324" t="str">
        <f>WSIPS!$O$102</f>
        <v/>
      </c>
      <c r="FM16" s="76"/>
      <c r="FN16" s="76"/>
      <c r="FO16" s="76"/>
      <c r="FP16" s="76" t="s">
        <v>1253</v>
      </c>
      <c r="FQ16" s="324">
        <f>WSSBK!$O$6</f>
        <v>97.5</v>
      </c>
      <c r="FR16" s="324">
        <f>WSSBK!$O$16</f>
        <v>97.5</v>
      </c>
      <c r="FS16" s="324">
        <f>WSSBK!$O$26</f>
        <v>98.75</v>
      </c>
      <c r="FT16" s="324">
        <f>WSSBK!$O$36</f>
        <v>95.625</v>
      </c>
      <c r="FU16" s="324">
        <f>WSSBK!$O$46</f>
        <v>97.5</v>
      </c>
      <c r="FV16" s="324">
        <f>WSSBK!$O$58</f>
        <v>97.5</v>
      </c>
      <c r="FW16" s="324">
        <f>WSSBK!$O$68</f>
        <v>98.75</v>
      </c>
      <c r="FX16" s="324">
        <f>WSSBK!$O$77</f>
        <v>95.625</v>
      </c>
      <c r="FY16" s="324" t="str">
        <f>WSSBK!$O$87</f>
        <v/>
      </c>
      <c r="FZ16" s="324" t="str">
        <f>WSSBK!$O$95</f>
        <v/>
      </c>
      <c r="GA16" s="324" t="str">
        <f>WSSBK!$O$103</f>
        <v/>
      </c>
      <c r="GB16" s="324" t="str">
        <f>WSSBK!$O$111</f>
        <v/>
      </c>
      <c r="GC16" s="324" t="str">
        <f>WSSBK!$O$119</f>
        <v/>
      </c>
      <c r="GD16" s="76"/>
      <c r="GE16" s="76"/>
      <c r="GF16" s="76"/>
      <c r="GG16" s="76" t="s">
        <v>1952</v>
      </c>
      <c r="GH16" s="334">
        <f>WSPENJAS!$O$6</f>
        <v>90</v>
      </c>
      <c r="GI16" s="334">
        <f>WSPENJAS!$O$7</f>
        <v>90</v>
      </c>
      <c r="GJ16" s="334">
        <f>WSPENJAS!$O$8</f>
        <v>90</v>
      </c>
      <c r="GK16" s="334">
        <f>WSPENJAS!$O$9</f>
        <v>90</v>
      </c>
      <c r="GL16" s="334">
        <f>WSPENJAS!$O$10</f>
        <v>90</v>
      </c>
      <c r="GM16" s="334">
        <f>WSPENJAS!$O$11</f>
        <v>90</v>
      </c>
      <c r="GN16" s="334">
        <f>WSPENJAS!$O$12</f>
        <v>90</v>
      </c>
      <c r="GO16" s="334">
        <f>WSPENJAS!$O$13</f>
        <v>90</v>
      </c>
      <c r="GP16" s="334">
        <f>WSPENJAS!$O$14</f>
        <v>90</v>
      </c>
      <c r="GQ16" s="334">
        <f>WSPENJAS!$O$15</f>
        <v>90</v>
      </c>
      <c r="GR16" s="334">
        <f>WSPENJAS!$O$16</f>
        <v>0</v>
      </c>
      <c r="GS16" s="334">
        <f>WSPENJAS!$O$17</f>
        <v>0</v>
      </c>
      <c r="GT16" s="334">
        <f>WSPENJAS!$O$18</f>
        <v>0</v>
      </c>
      <c r="GU16" s="334">
        <f>WSPENJAS!$O$19</f>
        <v>0</v>
      </c>
      <c r="GV16" s="334">
        <f>WSPENJAS!$O$20</f>
        <v>0</v>
      </c>
      <c r="GW16" s="334">
        <f>WSPENJAS!$O$21</f>
        <v>0</v>
      </c>
      <c r="GX16" s="76" t="s">
        <v>1291</v>
      </c>
      <c r="GY16" s="324">
        <f>WSJAWA!$O$6</f>
        <v>100</v>
      </c>
      <c r="GZ16" s="324">
        <f>WSJAWA!$O$14</f>
        <v>93.333333333333329</v>
      </c>
      <c r="HA16" s="324">
        <f>WSJAWA!$O$22</f>
        <v>100</v>
      </c>
      <c r="HB16" s="324">
        <f>WSJAWA!$O$30</f>
        <v>100</v>
      </c>
      <c r="HC16" s="324">
        <f>WSJAWA!$O$38</f>
        <v>100</v>
      </c>
      <c r="HD16" s="324">
        <f>WSJAWA!$O$46</f>
        <v>80</v>
      </c>
      <c r="HE16" s="324">
        <f>WSJAWA!$O$54</f>
        <v>100</v>
      </c>
      <c r="HF16" s="324">
        <f>WSJAWA!$O$62</f>
        <v>98.333333333333329</v>
      </c>
      <c r="HG16" s="324" t="str">
        <f>WSJAWA!$O$70</f>
        <v/>
      </c>
      <c r="HH16" s="324" t="str">
        <f>WSJAWA!$O$78</f>
        <v/>
      </c>
      <c r="HI16" s="324" t="str">
        <f>WSJAWA!$O$86</f>
        <v/>
      </c>
      <c r="HJ16" s="324" t="str">
        <f>WSJAWA!$O$94</f>
        <v/>
      </c>
      <c r="HK16" s="324" t="str">
        <f>WSJAWA!$O$102</f>
        <v/>
      </c>
      <c r="HL16" s="76"/>
      <c r="HM16" s="76"/>
      <c r="HN16" s="76"/>
      <c r="HO16" s="76" t="s">
        <v>1277</v>
      </c>
      <c r="HP16" s="324">
        <f>WSING!$O$6</f>
        <v>99.666666666666671</v>
      </c>
      <c r="HQ16" s="324">
        <f>WSING!$O$15</f>
        <v>99.666666666666671</v>
      </c>
      <c r="HR16" s="324">
        <f>WSING!$O$24</f>
        <v>96.666666666666671</v>
      </c>
      <c r="HS16" s="324">
        <f>WSING!$O$33</f>
        <v>96.666666666666671</v>
      </c>
      <c r="HT16" s="324" t="str">
        <f>WSING!$O$42</f>
        <v/>
      </c>
      <c r="HU16" s="324" t="str">
        <f>WSING!$O$50</f>
        <v/>
      </c>
      <c r="HV16" s="324" t="str">
        <f>WSING!$O$58</f>
        <v/>
      </c>
      <c r="HW16" s="324" t="str">
        <f>WSING!$O$66</f>
        <v/>
      </c>
      <c r="HX16" s="324" t="str">
        <f>WSING!$O$74</f>
        <v/>
      </c>
      <c r="HY16" s="324" t="str">
        <f>WSING!$O$82</f>
        <v/>
      </c>
      <c r="HZ16" s="324" t="str">
        <f>WSING!$O$90</f>
        <v/>
      </c>
      <c r="IA16" s="324" t="str">
        <f>WSING!$O$98</f>
        <v/>
      </c>
      <c r="IB16" s="324" t="str">
        <f>WSING!$O$106</f>
        <v/>
      </c>
      <c r="IC16" s="76"/>
      <c r="ID16" s="76"/>
      <c r="IE16" s="76"/>
      <c r="IF16" s="76" t="s">
        <v>1242</v>
      </c>
      <c r="IG16" s="324" t="str">
        <f>WSTIK!$O$6</f>
        <v/>
      </c>
      <c r="IH16" s="324" t="str">
        <f>WSTIK!$O$14</f>
        <v/>
      </c>
      <c r="II16" s="324" t="str">
        <f>WSTIK!$O$22</f>
        <v/>
      </c>
      <c r="IJ16" s="324" t="str">
        <f>WSTIK!$O$30</f>
        <v/>
      </c>
      <c r="IK16" s="324" t="str">
        <f>WSTIK!$O$38</f>
        <v/>
      </c>
      <c r="IL16" s="324" t="str">
        <f>WSTIK!$O$46</f>
        <v/>
      </c>
      <c r="IM16" s="324" t="str">
        <f>WSTIK!$O$54</f>
        <v/>
      </c>
      <c r="IN16" s="324" t="str">
        <f>WSTIK!$O$62</f>
        <v/>
      </c>
      <c r="IO16" s="324" t="str">
        <f>WSTIK!$O$70</f>
        <v/>
      </c>
      <c r="IP16" s="324" t="str">
        <f>WSTIK!$O$78</f>
        <v/>
      </c>
      <c r="IQ16" s="324" t="str">
        <f>WSTIK!$O$86</f>
        <v/>
      </c>
      <c r="IR16" s="324" t="str">
        <f>WSTIK!$O$94</f>
        <v/>
      </c>
      <c r="IS16" s="324" t="str">
        <f>WSTIK!$O$102</f>
        <v/>
      </c>
      <c r="IT16" s="76"/>
      <c r="IU16" s="76"/>
      <c r="IV16" s="76"/>
      <c r="IW16" s="76"/>
      <c r="IX16" s="324" t="str">
        <f>WSASWAJA!$O$6</f>
        <v/>
      </c>
      <c r="IY16" s="324" t="str">
        <f>WSASWAJA!$O$14</f>
        <v/>
      </c>
      <c r="IZ16" s="324" t="str">
        <f>WSASWAJA!$O$22</f>
        <v/>
      </c>
      <c r="JA16" s="324" t="str">
        <f>WSASWAJA!$O$30</f>
        <v/>
      </c>
      <c r="JB16" s="324" t="str">
        <f>WSASWAJA!$O$38</f>
        <v/>
      </c>
      <c r="JC16" s="324" t="str">
        <f>WSASWAJA!$O$46</f>
        <v/>
      </c>
      <c r="JD16" s="324" t="str">
        <f>WSASWAJA!$O$54</f>
        <v/>
      </c>
      <c r="JE16" s="324" t="str">
        <f>WSASWAJA!$O$62</f>
        <v/>
      </c>
      <c r="JF16" s="324" t="str">
        <f>WSASWAJA!$O$70</f>
        <v/>
      </c>
      <c r="JG16" s="324" t="str">
        <f>WSASWAJA!$O$78</f>
        <v/>
      </c>
      <c r="JH16" s="324" t="str">
        <f>WSASWAJA!$O$86</f>
        <v/>
      </c>
      <c r="JI16" s="324" t="str">
        <f>WSASWAJA!$O$94</f>
        <v/>
      </c>
      <c r="JJ16" s="324" t="str">
        <f>WSASWAJA!$O$102</f>
        <v/>
      </c>
      <c r="JK16" s="76"/>
      <c r="JL16" s="76"/>
      <c r="JM16" s="76"/>
      <c r="JN16" s="76"/>
    </row>
    <row r="17" spans="1:274">
      <c r="A17" s="76"/>
      <c r="B17" s="76">
        <v>12</v>
      </c>
      <c r="C17" s="324">
        <f>WSALQURAN!$P$6</f>
        <v>100</v>
      </c>
      <c r="D17" s="324">
        <f>WSALQURAN!$P$14</f>
        <v>100</v>
      </c>
      <c r="E17" s="324">
        <f>WSALQURAN!$P$22</f>
        <v>100</v>
      </c>
      <c r="F17" s="324">
        <f>WSALQURAN!$P$30</f>
        <v>100</v>
      </c>
      <c r="G17" s="324">
        <f>WSALQURAN!$P$38</f>
        <v>98.333333333333329</v>
      </c>
      <c r="H17" s="324">
        <f>WSALQURAN!$P$46</f>
        <v>92</v>
      </c>
      <c r="I17" s="324">
        <f>WSALQURAN!$P$54</f>
        <v>95</v>
      </c>
      <c r="J17" s="324" t="str">
        <f>WSALQURAN!$P$62</f>
        <v/>
      </c>
      <c r="K17" s="324" t="str">
        <f>WSALQURAN!$P$70</f>
        <v/>
      </c>
      <c r="L17" s="324" t="str">
        <f>WSALQURAN!$P$78</f>
        <v/>
      </c>
      <c r="M17" s="324" t="str">
        <f>WSALQURAN!$P$86</f>
        <v/>
      </c>
      <c r="N17" s="324" t="str">
        <f>WSALQURAN!$P$94</f>
        <v/>
      </c>
      <c r="O17" s="324" t="str">
        <f>WSALQURAN!$P$102</f>
        <v/>
      </c>
      <c r="P17" s="76"/>
      <c r="Q17" s="76"/>
      <c r="R17" s="76"/>
      <c r="S17" s="76" t="s">
        <v>1967</v>
      </c>
      <c r="T17" s="324">
        <f>WSAQIDAH!$P$6</f>
        <v>90</v>
      </c>
      <c r="U17" s="324">
        <f>WSAQIDAH!$P$14</f>
        <v>100</v>
      </c>
      <c r="V17" s="324">
        <f>WSAQIDAH!$P$22</f>
        <v>75</v>
      </c>
      <c r="W17" s="324">
        <f>WSAQIDAH!$P$30</f>
        <v>90</v>
      </c>
      <c r="X17" s="324">
        <f>WSAQIDAH!$P$38</f>
        <v>100</v>
      </c>
      <c r="Y17" s="324">
        <f>WSAQIDAH!$P$46</f>
        <v>100</v>
      </c>
      <c r="Z17" s="324">
        <f>WSAQIDAH!$P$54</f>
        <v>90</v>
      </c>
      <c r="AA17" s="324">
        <f>WSAQIDAH!$P$62</f>
        <v>90</v>
      </c>
      <c r="AB17" s="324">
        <f>WSAQIDAH!$P$70</f>
        <v>90</v>
      </c>
      <c r="AC17" s="324">
        <f>WSAQIDAH!$P$78</f>
        <v>90</v>
      </c>
      <c r="AD17" s="324" t="str">
        <f>WSAQIDAH!$P$86</f>
        <v/>
      </c>
      <c r="AE17" s="324" t="str">
        <f>WSAQIDAH!$P$94</f>
        <v/>
      </c>
      <c r="AF17" s="324" t="str">
        <f>WSAQIDAH!$P$102</f>
        <v/>
      </c>
      <c r="AG17" s="76"/>
      <c r="AH17" s="76"/>
      <c r="AI17" s="76"/>
      <c r="AJ17" s="76" t="s">
        <v>1976</v>
      </c>
      <c r="AK17" s="324">
        <f>WSFIQIH!$P$6</f>
        <v>86.5</v>
      </c>
      <c r="AL17" s="324">
        <f>WSFIQIH!$P$19</f>
        <v>95</v>
      </c>
      <c r="AM17" s="324">
        <f>WSFIQIH!$P$28</f>
        <v>100</v>
      </c>
      <c r="AN17" s="324">
        <f>WSFIQIH!$P$41</f>
        <v>95</v>
      </c>
      <c r="AO17" s="324">
        <f>WSFIQIH!$P$49</f>
        <v>90</v>
      </c>
      <c r="AP17" s="324">
        <f>WSFIQIH!$P$62</f>
        <v>100</v>
      </c>
      <c r="AQ17" s="324">
        <f>WSFIQIH!$P$71</f>
        <v>98</v>
      </c>
      <c r="AR17" s="324">
        <f>WSFIQIH!$P$80</f>
        <v>80</v>
      </c>
      <c r="AS17" s="324" t="str">
        <f>WSFIQIH!$P$88</f>
        <v/>
      </c>
      <c r="AT17" s="324" t="str">
        <f>WSFIQIH!$P$96</f>
        <v/>
      </c>
      <c r="AU17" s="324" t="str">
        <f>WSFIQIH!$P$104</f>
        <v/>
      </c>
      <c r="AV17" s="324" t="str">
        <f>WSFIQIH!$P$112</f>
        <v/>
      </c>
      <c r="AW17" s="324" t="str">
        <f>WSFIQIH!$P$120</f>
        <v/>
      </c>
      <c r="AX17" s="76"/>
      <c r="AY17" s="76"/>
      <c r="AZ17" s="76"/>
      <c r="BA17" s="76" t="s">
        <v>1336</v>
      </c>
      <c r="BB17" s="324">
        <f>WSSKI!$P$6</f>
        <v>92.5</v>
      </c>
      <c r="BC17" s="324">
        <f>WSSKI!$P$14</f>
        <v>98</v>
      </c>
      <c r="BD17" s="324">
        <f>WSSKI!$P$23</f>
        <v>85</v>
      </c>
      <c r="BE17" s="324">
        <f>WSSKI!$P$31</f>
        <v>85</v>
      </c>
      <c r="BF17" s="324">
        <f>WSSKI!$P$40</f>
        <v>100</v>
      </c>
      <c r="BG17" s="324">
        <f>WSSKI!$P$48</f>
        <v>70</v>
      </c>
      <c r="BH17" s="324" t="str">
        <f>WSSKI!$P$56</f>
        <v/>
      </c>
      <c r="BI17" s="324" t="str">
        <f>WSSKI!$P$64</f>
        <v/>
      </c>
      <c r="BJ17" s="324" t="str">
        <f>WSSKI!$P$72</f>
        <v/>
      </c>
      <c r="BK17" s="324" t="str">
        <f>WSSKI!$P$80</f>
        <v/>
      </c>
      <c r="BL17" s="324" t="str">
        <f>WSSKI!$P$88</f>
        <v/>
      </c>
      <c r="BM17" s="324" t="str">
        <f>WSSKI!$P$96</f>
        <v/>
      </c>
      <c r="BN17" s="324" t="str">
        <f>WSSKI!$P$104</f>
        <v/>
      </c>
      <c r="BO17" s="76"/>
      <c r="BP17" s="76"/>
      <c r="BQ17" s="76"/>
      <c r="BR17" s="76"/>
      <c r="BS17" s="324">
        <f>WSPKN!$P$6</f>
        <v>97.5</v>
      </c>
      <c r="BT17" s="324">
        <f>WSPKN!$P$32</f>
        <v>98.75</v>
      </c>
      <c r="BU17" s="324">
        <f>WSPKN!$P$55</f>
        <v>98.571428571428569</v>
      </c>
      <c r="BV17" s="324">
        <f>WSPKN!$P$72</f>
        <v>98.527777777777786</v>
      </c>
      <c r="BW17" s="324">
        <f>WSPKN!$P$86</f>
        <v>97.916666666666671</v>
      </c>
      <c r="BX17" s="324">
        <f>WSPKN!$P$108</f>
        <v>98.75</v>
      </c>
      <c r="BY17" s="324">
        <f>WSPKN!$P$132</f>
        <v>98.571428571428569</v>
      </c>
      <c r="BZ17" s="324">
        <f>WSPKN!$P$148</f>
        <v>98.333333333333329</v>
      </c>
      <c r="CA17" s="324" t="str">
        <f>WSPKN!$P$165</f>
        <v/>
      </c>
      <c r="CB17" s="324" t="str">
        <f>WSPKN!$P$173</f>
        <v/>
      </c>
      <c r="CC17" s="324" t="str">
        <f>WSPKN!$P$181</f>
        <v/>
      </c>
      <c r="CD17" s="324" t="str">
        <f>WSPKN!$P$189</f>
        <v/>
      </c>
      <c r="CE17" s="324" t="str">
        <f>WSPKN!$P$197</f>
        <v/>
      </c>
      <c r="CF17" s="76"/>
      <c r="CG17" s="76"/>
      <c r="CH17" s="76"/>
      <c r="CI17" s="76" t="s">
        <v>1888</v>
      </c>
      <c r="CJ17" s="324">
        <f>WSIND!$P$6</f>
        <v>97.5</v>
      </c>
      <c r="CK17" s="324">
        <f>WSIND!$P$65</f>
        <v>97.916666666666671</v>
      </c>
      <c r="CL17" s="324">
        <f>WSIND!$P$113</f>
        <v>95.555555555555557</v>
      </c>
      <c r="CM17" s="324">
        <f>WSIND!$P$133</f>
        <v>97</v>
      </c>
      <c r="CN17" s="324">
        <f>WSIND!$P$161</f>
        <v>97.608695652173907</v>
      </c>
      <c r="CO17" s="324">
        <f>WSIND!$P$192</f>
        <v>97.391304347826093</v>
      </c>
      <c r="CP17" s="324">
        <f>WSIND!$P$228</f>
        <v>97.916666666666671</v>
      </c>
      <c r="CQ17" s="324">
        <f>WSIND!$P$256</f>
        <v>95.555555555555557</v>
      </c>
      <c r="CR17" s="324">
        <f>WSIND!$P$277</f>
        <v>97</v>
      </c>
      <c r="CS17" s="324">
        <f>WSIND!$P$305</f>
        <v>97.608695652173907</v>
      </c>
      <c r="CT17" s="324" t="str">
        <f>WSIND!$P$329</f>
        <v/>
      </c>
      <c r="CU17" s="324" t="str">
        <f>WSIND!$P$337</f>
        <v/>
      </c>
      <c r="CV17" s="324" t="str">
        <f>WSIND!$P$345</f>
        <v/>
      </c>
      <c r="CW17" s="76"/>
      <c r="CX17" s="76"/>
      <c r="CY17" s="76"/>
      <c r="CZ17" s="76" t="s">
        <v>1902</v>
      </c>
      <c r="DA17" s="324" t="str">
        <f>WSARAB!$P$6</f>
        <v/>
      </c>
      <c r="DB17" s="324" t="str">
        <f>WSARAB!$P$17</f>
        <v/>
      </c>
      <c r="DC17" s="324" t="str">
        <f>WSARAB!$P$29</f>
        <v/>
      </c>
      <c r="DD17" s="324" t="str">
        <f>WSARAB!$P$37</f>
        <v/>
      </c>
      <c r="DE17" s="324" t="str">
        <f>WSARAB!$P$45</f>
        <v/>
      </c>
      <c r="DF17" s="324" t="str">
        <f>WSARAB!$P$53</f>
        <v/>
      </c>
      <c r="DG17" s="324" t="str">
        <f>WSARAB!$P$65</f>
        <v/>
      </c>
      <c r="DH17" s="324" t="str">
        <f>WSARAB!$P$73</f>
        <v/>
      </c>
      <c r="DI17" s="324" t="str">
        <f>WSARAB!$P$81</f>
        <v/>
      </c>
      <c r="DJ17" s="324" t="str">
        <f>WSARAB!$P$89</f>
        <v/>
      </c>
      <c r="DK17" s="324" t="str">
        <f>WSARAB!$P$97</f>
        <v/>
      </c>
      <c r="DL17" s="324" t="str">
        <f>WSARAB!$P$105</f>
        <v/>
      </c>
      <c r="DM17" s="324" t="str">
        <f>WSARAB!$P$113</f>
        <v/>
      </c>
      <c r="DN17" s="76"/>
      <c r="DO17" s="76"/>
      <c r="DP17" s="76"/>
      <c r="DQ17" s="76" t="s">
        <v>1271</v>
      </c>
      <c r="DR17" s="324">
        <f>WSMTK!$P$6</f>
        <v>97</v>
      </c>
      <c r="DS17" s="324">
        <f>WSMTK!$P$22</f>
        <v>96.25</v>
      </c>
      <c r="DT17" s="324">
        <f>WSMTK!$P$35</f>
        <v>96.833333333333329</v>
      </c>
      <c r="DU17" s="324">
        <f>WSMTK!$P$69</f>
        <v>96.25</v>
      </c>
      <c r="DV17" s="324">
        <f>WSMTK!$P$87</f>
        <v>97</v>
      </c>
      <c r="DW17" s="324">
        <f>WSMTK!$P$99</f>
        <v>96.25</v>
      </c>
      <c r="DX17" s="324">
        <f>WSMTK!$P$113</f>
        <v>96.833333333333329</v>
      </c>
      <c r="DY17" s="324">
        <f>WSMTK!$P$145</f>
        <v>96.25</v>
      </c>
      <c r="DZ17" s="324" t="str">
        <f>WSMTK!$P$168</f>
        <v/>
      </c>
      <c r="EA17" s="324" t="str">
        <f>WSMTK!$P$176</f>
        <v/>
      </c>
      <c r="EB17" s="324" t="str">
        <f>WSMTK!$P$184</f>
        <v/>
      </c>
      <c r="EC17" s="324" t="str">
        <f>WSMTK!$P$192</f>
        <v/>
      </c>
      <c r="ED17" s="324" t="str">
        <f>WSMTK!$P$200</f>
        <v/>
      </c>
      <c r="EE17" s="76"/>
      <c r="EF17" s="76"/>
      <c r="EG17" s="76"/>
      <c r="EH17" s="76" t="s">
        <v>1310</v>
      </c>
      <c r="EI17" s="324" t="str">
        <f>WSIPA!$P$6</f>
        <v/>
      </c>
      <c r="EJ17" s="324" t="str">
        <f>WSIPA!$P$14</f>
        <v/>
      </c>
      <c r="EK17" s="324" t="str">
        <f>WSIPA!$P$22</f>
        <v/>
      </c>
      <c r="EL17" s="324" t="str">
        <f>WSIPA!$P$30</f>
        <v/>
      </c>
      <c r="EM17" s="324" t="str">
        <f>WSIPA!$P$38</f>
        <v/>
      </c>
      <c r="EN17" s="324" t="str">
        <f>WSIPA!$P$46</f>
        <v/>
      </c>
      <c r="EO17" s="324" t="str">
        <f>WSIPA!$P$54</f>
        <v/>
      </c>
      <c r="EP17" s="324" t="str">
        <f>WSIPA!$P$62</f>
        <v/>
      </c>
      <c r="EQ17" s="324" t="str">
        <f>WSIPA!$P$70</f>
        <v/>
      </c>
      <c r="ER17" s="324" t="str">
        <f>WSIPA!$P$78</f>
        <v/>
      </c>
      <c r="ES17" s="324" t="str">
        <f>WSIPA!$P$86</f>
        <v/>
      </c>
      <c r="ET17" s="324" t="str">
        <f>WSIPA!$P$94</f>
        <v/>
      </c>
      <c r="EU17" s="324" t="str">
        <f>WSIPA!$P$102</f>
        <v/>
      </c>
      <c r="EV17" s="76"/>
      <c r="EW17" s="76"/>
      <c r="EX17" s="76"/>
      <c r="EY17" s="76" t="s">
        <v>1234</v>
      </c>
      <c r="EZ17" s="324" t="str">
        <f>WSIPS!$P$6</f>
        <v/>
      </c>
      <c r="FA17" s="324" t="str">
        <f>WSIPS!$P$14</f>
        <v/>
      </c>
      <c r="FB17" s="324" t="str">
        <f>WSIPS!$P$22</f>
        <v/>
      </c>
      <c r="FC17" s="324" t="str">
        <f>WSIPS!$P$30</f>
        <v/>
      </c>
      <c r="FD17" s="324" t="str">
        <f>WSIPS!$P$38</f>
        <v/>
      </c>
      <c r="FE17" s="324" t="str">
        <f>WSIPS!$P$46</f>
        <v/>
      </c>
      <c r="FF17" s="324" t="str">
        <f>WSIPS!$P$54</f>
        <v/>
      </c>
      <c r="FG17" s="324" t="str">
        <f>WSIPS!$P$62</f>
        <v/>
      </c>
      <c r="FH17" s="324" t="str">
        <f>WSIPS!$P$70</f>
        <v/>
      </c>
      <c r="FI17" s="324" t="str">
        <f>WSIPS!$P$78</f>
        <v/>
      </c>
      <c r="FJ17" s="324" t="str">
        <f>WSIPS!$P$86</f>
        <v/>
      </c>
      <c r="FK17" s="324" t="str">
        <f>WSIPS!$P$94</f>
        <v/>
      </c>
      <c r="FL17" s="324" t="str">
        <f>WSIPS!$P$102</f>
        <v/>
      </c>
      <c r="FM17" s="76"/>
      <c r="FN17" s="76"/>
      <c r="FO17" s="76"/>
      <c r="FP17" s="76" t="s">
        <v>1254</v>
      </c>
      <c r="FQ17" s="324">
        <f>WSSBK!$P$6</f>
        <v>96.875</v>
      </c>
      <c r="FR17" s="324">
        <f>WSSBK!$P$16</f>
        <v>95</v>
      </c>
      <c r="FS17" s="324">
        <f>WSSBK!$P$26</f>
        <v>95.625</v>
      </c>
      <c r="FT17" s="324">
        <f>WSSBK!$P$36</f>
        <v>93.125</v>
      </c>
      <c r="FU17" s="324">
        <f>WSSBK!$P$46</f>
        <v>96.875</v>
      </c>
      <c r="FV17" s="324">
        <f>WSSBK!$P$58</f>
        <v>95</v>
      </c>
      <c r="FW17" s="324">
        <f>WSSBK!$P$68</f>
        <v>95.625</v>
      </c>
      <c r="FX17" s="324">
        <f>WSSBK!$P$77</f>
        <v>93.125</v>
      </c>
      <c r="FY17" s="324" t="str">
        <f>WSSBK!$P$87</f>
        <v/>
      </c>
      <c r="FZ17" s="324" t="str">
        <f>WSSBK!$P$95</f>
        <v/>
      </c>
      <c r="GA17" s="324" t="str">
        <f>WSSBK!$P$103</f>
        <v/>
      </c>
      <c r="GB17" s="324" t="str">
        <f>WSSBK!$P$111</f>
        <v/>
      </c>
      <c r="GC17" s="324" t="str">
        <f>WSSBK!$P$119</f>
        <v/>
      </c>
      <c r="GD17" s="76"/>
      <c r="GE17" s="76"/>
      <c r="GF17" s="76"/>
      <c r="GG17" s="76" t="s">
        <v>1952</v>
      </c>
      <c r="GH17" s="334">
        <f>WSPENJAS!$P$6</f>
        <v>95</v>
      </c>
      <c r="GI17" s="334">
        <f>WSPENJAS!$P$7</f>
        <v>95</v>
      </c>
      <c r="GJ17" s="334">
        <f>WSPENJAS!$P$8</f>
        <v>95</v>
      </c>
      <c r="GK17" s="334">
        <f>WSPENJAS!$P$9</f>
        <v>95</v>
      </c>
      <c r="GL17" s="334">
        <f>WSPENJAS!$P$10</f>
        <v>95</v>
      </c>
      <c r="GM17" s="334">
        <f>WSPENJAS!$P$11</f>
        <v>95</v>
      </c>
      <c r="GN17" s="334">
        <f>WSPENJAS!$P$12</f>
        <v>95</v>
      </c>
      <c r="GO17" s="334">
        <f>WSPENJAS!$P$13</f>
        <v>95</v>
      </c>
      <c r="GP17" s="334">
        <f>WSPENJAS!$P$14</f>
        <v>95</v>
      </c>
      <c r="GQ17" s="334">
        <f>WSPENJAS!$P$15</f>
        <v>95</v>
      </c>
      <c r="GR17" s="334">
        <f>WSPENJAS!$P$16</f>
        <v>0</v>
      </c>
      <c r="GS17" s="334">
        <f>WSPENJAS!$P$17</f>
        <v>0</v>
      </c>
      <c r="GT17" s="334">
        <f>WSPENJAS!$P$18</f>
        <v>0</v>
      </c>
      <c r="GU17" s="334">
        <f>WSPENJAS!$P$19</f>
        <v>0</v>
      </c>
      <c r="GV17" s="334">
        <f>WSPENJAS!$P$20</f>
        <v>0</v>
      </c>
      <c r="GW17" s="334">
        <f>WSPENJAS!$P$21</f>
        <v>0</v>
      </c>
      <c r="GX17" s="76" t="s">
        <v>1293</v>
      </c>
      <c r="GY17" s="324">
        <f>WSJAWA!$P$6</f>
        <v>100</v>
      </c>
      <c r="GZ17" s="324">
        <f>WSJAWA!$P$14</f>
        <v>93.333333333333329</v>
      </c>
      <c r="HA17" s="324">
        <f>WSJAWA!$P$22</f>
        <v>100</v>
      </c>
      <c r="HB17" s="324">
        <f>WSJAWA!$P$30</f>
        <v>96.666666666666671</v>
      </c>
      <c r="HC17" s="324">
        <f>WSJAWA!$P$38</f>
        <v>100</v>
      </c>
      <c r="HD17" s="324">
        <f>WSJAWA!$P$46</f>
        <v>80</v>
      </c>
      <c r="HE17" s="324">
        <f>WSJAWA!$P$54</f>
        <v>100</v>
      </c>
      <c r="HF17" s="324">
        <f>WSJAWA!$P$62</f>
        <v>93.333333333333329</v>
      </c>
      <c r="HG17" s="324" t="str">
        <f>WSJAWA!$P$70</f>
        <v/>
      </c>
      <c r="HH17" s="324" t="str">
        <f>WSJAWA!$P$78</f>
        <v/>
      </c>
      <c r="HI17" s="324" t="str">
        <f>WSJAWA!$P$86</f>
        <v/>
      </c>
      <c r="HJ17" s="324" t="str">
        <f>WSJAWA!$P$94</f>
        <v/>
      </c>
      <c r="HK17" s="324" t="str">
        <f>WSJAWA!$P$102</f>
        <v/>
      </c>
      <c r="HL17" s="76"/>
      <c r="HM17" s="76"/>
      <c r="HN17" s="76"/>
      <c r="HO17" s="76" t="s">
        <v>1277</v>
      </c>
      <c r="HP17" s="324">
        <f>WSING!$P$6</f>
        <v>97.5</v>
      </c>
      <c r="HQ17" s="324">
        <f>WSING!$P$15</f>
        <v>97.5</v>
      </c>
      <c r="HR17" s="324">
        <f>WSING!$P$24</f>
        <v>93.333333333333329</v>
      </c>
      <c r="HS17" s="324">
        <f>WSING!$P$33</f>
        <v>93.333333333333329</v>
      </c>
      <c r="HT17" s="324" t="str">
        <f>WSING!$P$42</f>
        <v/>
      </c>
      <c r="HU17" s="324" t="str">
        <f>WSING!$P$50</f>
        <v/>
      </c>
      <c r="HV17" s="324" t="str">
        <f>WSING!$P$58</f>
        <v/>
      </c>
      <c r="HW17" s="324" t="str">
        <f>WSING!$P$66</f>
        <v/>
      </c>
      <c r="HX17" s="324" t="str">
        <f>WSING!$P$74</f>
        <v/>
      </c>
      <c r="HY17" s="324" t="str">
        <f>WSING!$P$82</f>
        <v/>
      </c>
      <c r="HZ17" s="324" t="str">
        <f>WSING!$P$90</f>
        <v/>
      </c>
      <c r="IA17" s="324" t="str">
        <f>WSING!$P$98</f>
        <v/>
      </c>
      <c r="IB17" s="324" t="str">
        <f>WSING!$P$106</f>
        <v/>
      </c>
      <c r="IC17" s="76"/>
      <c r="ID17" s="76"/>
      <c r="IE17" s="76"/>
      <c r="IF17" s="76" t="s">
        <v>1242</v>
      </c>
      <c r="IG17" s="324" t="str">
        <f>WSTIK!$P$6</f>
        <v/>
      </c>
      <c r="IH17" s="324" t="str">
        <f>WSTIK!$P$14</f>
        <v/>
      </c>
      <c r="II17" s="324" t="str">
        <f>WSTIK!$P$22</f>
        <v/>
      </c>
      <c r="IJ17" s="324" t="str">
        <f>WSTIK!$P$30</f>
        <v/>
      </c>
      <c r="IK17" s="324" t="str">
        <f>WSTIK!$P$38</f>
        <v/>
      </c>
      <c r="IL17" s="324" t="str">
        <f>WSTIK!$P$46</f>
        <v/>
      </c>
      <c r="IM17" s="324" t="str">
        <f>WSTIK!$P$54</f>
        <v/>
      </c>
      <c r="IN17" s="324" t="str">
        <f>WSTIK!$P$62</f>
        <v/>
      </c>
      <c r="IO17" s="324" t="str">
        <f>WSTIK!$P$70</f>
        <v/>
      </c>
      <c r="IP17" s="324" t="str">
        <f>WSTIK!$P$78</f>
        <v/>
      </c>
      <c r="IQ17" s="324" t="str">
        <f>WSTIK!$P$86</f>
        <v/>
      </c>
      <c r="IR17" s="324" t="str">
        <f>WSTIK!$P$94</f>
        <v/>
      </c>
      <c r="IS17" s="324" t="str">
        <f>WSTIK!$P$102</f>
        <v/>
      </c>
      <c r="IT17" s="76"/>
      <c r="IU17" s="76"/>
      <c r="IV17" s="76"/>
      <c r="IW17" s="76"/>
      <c r="IX17" s="324" t="str">
        <f>WSASWAJA!$P$6</f>
        <v/>
      </c>
      <c r="IY17" s="324" t="str">
        <f>WSASWAJA!$P$14</f>
        <v/>
      </c>
      <c r="IZ17" s="324" t="str">
        <f>WSASWAJA!$P$22</f>
        <v/>
      </c>
      <c r="JA17" s="324" t="str">
        <f>WSASWAJA!$P$30</f>
        <v/>
      </c>
      <c r="JB17" s="324" t="str">
        <f>WSASWAJA!$P$38</f>
        <v/>
      </c>
      <c r="JC17" s="324" t="str">
        <f>WSASWAJA!$P$46</f>
        <v/>
      </c>
      <c r="JD17" s="324" t="str">
        <f>WSASWAJA!$P$54</f>
        <v/>
      </c>
      <c r="JE17" s="324" t="str">
        <f>WSASWAJA!$P$62</f>
        <v/>
      </c>
      <c r="JF17" s="324" t="str">
        <f>WSASWAJA!$P$70</f>
        <v/>
      </c>
      <c r="JG17" s="324" t="str">
        <f>WSASWAJA!$P$78</f>
        <v/>
      </c>
      <c r="JH17" s="324" t="str">
        <f>WSASWAJA!$P$86</f>
        <v/>
      </c>
      <c r="JI17" s="324" t="str">
        <f>WSASWAJA!$P$94</f>
        <v/>
      </c>
      <c r="JJ17" s="324" t="str">
        <f>WSASWAJA!$P$102</f>
        <v/>
      </c>
      <c r="JK17" s="76"/>
      <c r="JL17" s="76"/>
      <c r="JM17" s="76"/>
      <c r="JN17" s="76"/>
    </row>
    <row r="18" spans="1:274">
      <c r="A18" s="76"/>
      <c r="B18" s="76">
        <v>13</v>
      </c>
      <c r="C18" s="324">
        <f>WSALQURAN!$Q$6</f>
        <v>90</v>
      </c>
      <c r="D18" s="324">
        <f>WSALQURAN!$Q$14</f>
        <v>100</v>
      </c>
      <c r="E18" s="324">
        <f>WSALQURAN!$Q$22</f>
        <v>100</v>
      </c>
      <c r="F18" s="324">
        <f>WSALQURAN!$Q$30</f>
        <v>90</v>
      </c>
      <c r="G18" s="324">
        <f>WSALQURAN!$Q$38</f>
        <v>93.333333333333329</v>
      </c>
      <c r="H18" s="324">
        <f>WSALQURAN!$Q$46</f>
        <v>90</v>
      </c>
      <c r="I18" s="324">
        <f>WSALQURAN!$Q$54</f>
        <v>97.5</v>
      </c>
      <c r="J18" s="324" t="str">
        <f>WSALQURAN!$Q$62</f>
        <v/>
      </c>
      <c r="K18" s="324" t="str">
        <f>WSALQURAN!$Q$70</f>
        <v/>
      </c>
      <c r="L18" s="324" t="str">
        <f>WSALQURAN!$Q$78</f>
        <v/>
      </c>
      <c r="M18" s="324" t="str">
        <f>WSALQURAN!$Q$86</f>
        <v/>
      </c>
      <c r="N18" s="324" t="str">
        <f>WSALQURAN!$Q$94</f>
        <v/>
      </c>
      <c r="O18" s="324" t="str">
        <f>WSALQURAN!$Q$102</f>
        <v/>
      </c>
      <c r="P18" s="76"/>
      <c r="Q18" s="76"/>
      <c r="R18" s="76"/>
      <c r="S18" s="76" t="s">
        <v>1966</v>
      </c>
      <c r="T18" s="324">
        <f>WSAQIDAH!$Q$6</f>
        <v>89</v>
      </c>
      <c r="U18" s="324">
        <f>WSAQIDAH!$Q$14</f>
        <v>100</v>
      </c>
      <c r="V18" s="324">
        <f>WSAQIDAH!$Q$22</f>
        <v>100</v>
      </c>
      <c r="W18" s="324">
        <f>WSAQIDAH!$Q$30</f>
        <v>100</v>
      </c>
      <c r="X18" s="324">
        <f>WSAQIDAH!$Q$38</f>
        <v>100</v>
      </c>
      <c r="Y18" s="324">
        <f>WSAQIDAH!$Q$46</f>
        <v>100</v>
      </c>
      <c r="Z18" s="324">
        <f>WSAQIDAH!$Q$54</f>
        <v>100</v>
      </c>
      <c r="AA18" s="324">
        <f>WSAQIDAH!$Q$62</f>
        <v>78</v>
      </c>
      <c r="AB18" s="324">
        <f>WSAQIDAH!$Q$70</f>
        <v>78</v>
      </c>
      <c r="AC18" s="324">
        <f>WSAQIDAH!$Q$78</f>
        <v>78</v>
      </c>
      <c r="AD18" s="324" t="str">
        <f>WSAQIDAH!$Q$86</f>
        <v/>
      </c>
      <c r="AE18" s="324" t="str">
        <f>WSAQIDAH!$Q$94</f>
        <v/>
      </c>
      <c r="AF18" s="324" t="str">
        <f>WSAQIDAH!$Q$102</f>
        <v/>
      </c>
      <c r="AG18" s="76"/>
      <c r="AH18" s="76"/>
      <c r="AI18" s="76"/>
      <c r="AJ18" s="76" t="s">
        <v>1977</v>
      </c>
      <c r="AK18" s="324">
        <f>WSFIQIH!$Q$6</f>
        <v>93.75</v>
      </c>
      <c r="AL18" s="324">
        <f>WSFIQIH!$Q$19</f>
        <v>95</v>
      </c>
      <c r="AM18" s="324">
        <f>WSFIQIH!$Q$28</f>
        <v>100</v>
      </c>
      <c r="AN18" s="324">
        <f>WSFIQIH!$Q$41</f>
        <v>100</v>
      </c>
      <c r="AO18" s="324">
        <f>WSFIQIH!$Q$49</f>
        <v>100</v>
      </c>
      <c r="AP18" s="324">
        <f>WSFIQIH!$Q$62</f>
        <v>100</v>
      </c>
      <c r="AQ18" s="324">
        <f>WSFIQIH!$Q$71</f>
        <v>98</v>
      </c>
      <c r="AR18" s="324">
        <f>WSFIQIH!$Q$80</f>
        <v>80</v>
      </c>
      <c r="AS18" s="324" t="str">
        <f>WSFIQIH!$Q$88</f>
        <v/>
      </c>
      <c r="AT18" s="324" t="str">
        <f>WSFIQIH!$Q$96</f>
        <v/>
      </c>
      <c r="AU18" s="324" t="str">
        <f>WSFIQIH!$Q$104</f>
        <v/>
      </c>
      <c r="AV18" s="324" t="str">
        <f>WSFIQIH!$Q$112</f>
        <v/>
      </c>
      <c r="AW18" s="324" t="str">
        <f>WSFIQIH!$Q$120</f>
        <v/>
      </c>
      <c r="AX18" s="76"/>
      <c r="AY18" s="76"/>
      <c r="AZ18" s="76"/>
      <c r="BA18" s="76" t="s">
        <v>1219</v>
      </c>
      <c r="BB18" s="324">
        <f>WSSKI!$Q$6</f>
        <v>87.5</v>
      </c>
      <c r="BC18" s="324">
        <f>WSSKI!$Q$14</f>
        <v>96.4</v>
      </c>
      <c r="BD18" s="324">
        <f>WSSKI!$Q$23</f>
        <v>90</v>
      </c>
      <c r="BE18" s="324">
        <f>WSSKI!$Q$31</f>
        <v>90</v>
      </c>
      <c r="BF18" s="324">
        <f>WSSKI!$Q$40</f>
        <v>95</v>
      </c>
      <c r="BG18" s="324">
        <f>WSSKI!$Q$48</f>
        <v>85</v>
      </c>
      <c r="BH18" s="324" t="str">
        <f>WSSKI!$Q$56</f>
        <v/>
      </c>
      <c r="BI18" s="324" t="str">
        <f>WSSKI!$Q$64</f>
        <v/>
      </c>
      <c r="BJ18" s="324" t="str">
        <f>WSSKI!$Q$72</f>
        <v/>
      </c>
      <c r="BK18" s="324" t="str">
        <f>WSSKI!$Q$80</f>
        <v/>
      </c>
      <c r="BL18" s="324" t="str">
        <f>WSSKI!$Q$88</f>
        <v/>
      </c>
      <c r="BM18" s="324" t="str">
        <f>WSSKI!$Q$96</f>
        <v/>
      </c>
      <c r="BN18" s="324" t="str">
        <f>WSSKI!$Q$104</f>
        <v/>
      </c>
      <c r="BO18" s="76"/>
      <c r="BP18" s="76"/>
      <c r="BQ18" s="76"/>
      <c r="BR18" s="76"/>
      <c r="BS18" s="324">
        <f>WSPKN!$Q$6</f>
        <v>97.5</v>
      </c>
      <c r="BT18" s="324">
        <f>WSPKN!$Q$32</f>
        <v>98.4375</v>
      </c>
      <c r="BU18" s="324">
        <f>WSPKN!$Q$55</f>
        <v>97.857142857142861</v>
      </c>
      <c r="BV18" s="324">
        <f>WSPKN!$Q$72</f>
        <v>97.472222222222214</v>
      </c>
      <c r="BW18" s="324">
        <f>WSPKN!$Q$86</f>
        <v>97.083333333333329</v>
      </c>
      <c r="BX18" s="324">
        <f>WSPKN!$Q$108</f>
        <v>98.4375</v>
      </c>
      <c r="BY18" s="324">
        <f>WSPKN!$Q$132</f>
        <v>97.857142857142861</v>
      </c>
      <c r="BZ18" s="324">
        <f>WSPKN!$Q$148</f>
        <v>97.5</v>
      </c>
      <c r="CA18" s="324" t="str">
        <f>WSPKN!$Q$165</f>
        <v/>
      </c>
      <c r="CB18" s="324" t="str">
        <f>WSPKN!$Q$173</f>
        <v/>
      </c>
      <c r="CC18" s="324" t="str">
        <f>WSPKN!$Q$181</f>
        <v/>
      </c>
      <c r="CD18" s="324" t="str">
        <f>WSPKN!$Q$189</f>
        <v/>
      </c>
      <c r="CE18" s="324" t="str">
        <f>WSPKN!$Q$197</f>
        <v/>
      </c>
      <c r="CF18" s="76"/>
      <c r="CG18" s="76"/>
      <c r="CH18" s="76"/>
      <c r="CI18" s="76" t="s">
        <v>1888</v>
      </c>
      <c r="CJ18" s="324">
        <f>WSIND!$Q$6</f>
        <v>97.291666666666671</v>
      </c>
      <c r="CK18" s="324">
        <f>WSIND!$Q$65</f>
        <v>96.458333333333329</v>
      </c>
      <c r="CL18" s="324">
        <f>WSIND!$Q$113</f>
        <v>98.333333333333329</v>
      </c>
      <c r="CM18" s="324">
        <f>WSIND!$Q$133</f>
        <v>95.333333333333329</v>
      </c>
      <c r="CN18" s="324">
        <f>WSIND!$Q$161</f>
        <v>96.521739130434781</v>
      </c>
      <c r="CO18" s="324">
        <f>WSIND!$Q$192</f>
        <v>97.173913043478265</v>
      </c>
      <c r="CP18" s="324">
        <f>WSIND!$Q$228</f>
        <v>96.458333333333329</v>
      </c>
      <c r="CQ18" s="324">
        <f>WSIND!$Q$256</f>
        <v>98.333333333333329</v>
      </c>
      <c r="CR18" s="324">
        <f>WSIND!$Q$277</f>
        <v>95.333333333333329</v>
      </c>
      <c r="CS18" s="324">
        <f>WSIND!$Q$305</f>
        <v>96.521739130434781</v>
      </c>
      <c r="CT18" s="324" t="str">
        <f>WSIND!$Q$329</f>
        <v/>
      </c>
      <c r="CU18" s="324" t="str">
        <f>WSIND!$Q$337</f>
        <v/>
      </c>
      <c r="CV18" s="324" t="str">
        <f>WSIND!$Q$345</f>
        <v/>
      </c>
      <c r="CW18" s="76"/>
      <c r="CX18" s="76"/>
      <c r="CY18" s="76"/>
      <c r="CZ18" s="76" t="s">
        <v>1903</v>
      </c>
      <c r="DA18" s="324" t="str">
        <f>WSARAB!$Q$6</f>
        <v/>
      </c>
      <c r="DB18" s="324" t="str">
        <f>WSARAB!$Q$17</f>
        <v/>
      </c>
      <c r="DC18" s="324" t="str">
        <f>WSARAB!$Q$29</f>
        <v/>
      </c>
      <c r="DD18" s="324" t="str">
        <f>WSARAB!$Q$37</f>
        <v/>
      </c>
      <c r="DE18" s="324" t="str">
        <f>WSARAB!$Q$45</f>
        <v/>
      </c>
      <c r="DF18" s="324" t="str">
        <f>WSARAB!$Q$53</f>
        <v/>
      </c>
      <c r="DG18" s="324" t="str">
        <f>WSARAB!$Q$65</f>
        <v/>
      </c>
      <c r="DH18" s="324" t="str">
        <f>WSARAB!$Q$73</f>
        <v/>
      </c>
      <c r="DI18" s="324" t="str">
        <f>WSARAB!$Q$81</f>
        <v/>
      </c>
      <c r="DJ18" s="324" t="str">
        <f>WSARAB!$Q$89</f>
        <v/>
      </c>
      <c r="DK18" s="324" t="str">
        <f>WSARAB!$Q$97</f>
        <v/>
      </c>
      <c r="DL18" s="324" t="str">
        <f>WSARAB!$Q$105</f>
        <v/>
      </c>
      <c r="DM18" s="324" t="str">
        <f>WSARAB!$Q$113</f>
        <v/>
      </c>
      <c r="DN18" s="76"/>
      <c r="DO18" s="76"/>
      <c r="DP18" s="76"/>
      <c r="DQ18" s="76" t="s">
        <v>1324</v>
      </c>
      <c r="DR18" s="324">
        <f>WSMTK!$Q$6</f>
        <v>95</v>
      </c>
      <c r="DS18" s="324">
        <f>WSMTK!$Q$22</f>
        <v>97.5</v>
      </c>
      <c r="DT18" s="324">
        <f>WSMTK!$Q$35</f>
        <v>95.166666666666671</v>
      </c>
      <c r="DU18" s="324">
        <f>WSMTK!$Q$69</f>
        <v>96.875</v>
      </c>
      <c r="DV18" s="324">
        <f>WSMTK!$Q$87</f>
        <v>95</v>
      </c>
      <c r="DW18" s="324">
        <f>WSMTK!$Q$99</f>
        <v>97.5</v>
      </c>
      <c r="DX18" s="324">
        <f>WSMTK!$Q$113</f>
        <v>95.166666666666671</v>
      </c>
      <c r="DY18" s="324">
        <f>WSMTK!$Q$145</f>
        <v>96.875</v>
      </c>
      <c r="DZ18" s="324" t="str">
        <f>WSMTK!$Q$168</f>
        <v/>
      </c>
      <c r="EA18" s="324" t="str">
        <f>WSMTK!$Q$176</f>
        <v/>
      </c>
      <c r="EB18" s="324" t="str">
        <f>WSMTK!$Q$184</f>
        <v/>
      </c>
      <c r="EC18" s="324" t="str">
        <f>WSMTK!$Q$192</f>
        <v/>
      </c>
      <c r="ED18" s="324" t="str">
        <f>WSMTK!$Q$200</f>
        <v/>
      </c>
      <c r="EE18" s="76"/>
      <c r="EF18" s="76"/>
      <c r="EG18" s="76"/>
      <c r="EH18" s="76" t="s">
        <v>1299</v>
      </c>
      <c r="EI18" s="324" t="str">
        <f>WSIPA!$Q$6</f>
        <v/>
      </c>
      <c r="EJ18" s="324" t="str">
        <f>WSIPA!$Q$14</f>
        <v/>
      </c>
      <c r="EK18" s="324" t="str">
        <f>WSIPA!$Q$22</f>
        <v/>
      </c>
      <c r="EL18" s="324" t="str">
        <f>WSIPA!$Q$30</f>
        <v/>
      </c>
      <c r="EM18" s="324" t="str">
        <f>WSIPA!$Q$38</f>
        <v/>
      </c>
      <c r="EN18" s="324" t="str">
        <f>WSIPA!$Q$46</f>
        <v/>
      </c>
      <c r="EO18" s="324" t="str">
        <f>WSIPA!$Q$54</f>
        <v/>
      </c>
      <c r="EP18" s="324" t="str">
        <f>WSIPA!$Q$62</f>
        <v/>
      </c>
      <c r="EQ18" s="324" t="str">
        <f>WSIPA!$Q$70</f>
        <v/>
      </c>
      <c r="ER18" s="324" t="str">
        <f>WSIPA!$Q$78</f>
        <v/>
      </c>
      <c r="ES18" s="324" t="str">
        <f>WSIPA!$Q$86</f>
        <v/>
      </c>
      <c r="ET18" s="324" t="str">
        <f>WSIPA!$Q$94</f>
        <v/>
      </c>
      <c r="EU18" s="324" t="str">
        <f>WSIPA!$Q$102</f>
        <v/>
      </c>
      <c r="EV18" s="76"/>
      <c r="EW18" s="76"/>
      <c r="EX18" s="76"/>
      <c r="EY18" s="76" t="s">
        <v>1233</v>
      </c>
      <c r="EZ18" s="324" t="str">
        <f>WSIPS!$Q$6</f>
        <v/>
      </c>
      <c r="FA18" s="324" t="str">
        <f>WSIPS!$Q$14</f>
        <v/>
      </c>
      <c r="FB18" s="324" t="str">
        <f>WSIPS!$Q$22</f>
        <v/>
      </c>
      <c r="FC18" s="324" t="str">
        <f>WSIPS!$Q$30</f>
        <v/>
      </c>
      <c r="FD18" s="324" t="str">
        <f>WSIPS!$Q$38</f>
        <v/>
      </c>
      <c r="FE18" s="324" t="str">
        <f>WSIPS!$Q$46</f>
        <v/>
      </c>
      <c r="FF18" s="324" t="str">
        <f>WSIPS!$Q$54</f>
        <v/>
      </c>
      <c r="FG18" s="324" t="str">
        <f>WSIPS!$Q$62</f>
        <v/>
      </c>
      <c r="FH18" s="324" t="str">
        <f>WSIPS!$Q$70</f>
        <v/>
      </c>
      <c r="FI18" s="324" t="str">
        <f>WSIPS!$Q$78</f>
        <v/>
      </c>
      <c r="FJ18" s="324" t="str">
        <f>WSIPS!$Q$86</f>
        <v/>
      </c>
      <c r="FK18" s="324" t="str">
        <f>WSIPS!$Q$94</f>
        <v/>
      </c>
      <c r="FL18" s="324" t="str">
        <f>WSIPS!$Q$102</f>
        <v/>
      </c>
      <c r="FM18" s="76"/>
      <c r="FN18" s="76"/>
      <c r="FO18" s="76"/>
      <c r="FP18" s="76" t="s">
        <v>1255</v>
      </c>
      <c r="FQ18" s="324">
        <f>WSSBK!$Q$6</f>
        <v>94.375</v>
      </c>
      <c r="FR18" s="324">
        <f>WSSBK!$Q$16</f>
        <v>96.875</v>
      </c>
      <c r="FS18" s="324">
        <f>WSSBK!$Q$26</f>
        <v>93.75</v>
      </c>
      <c r="FT18" s="324">
        <f>WSSBK!$Q$36</f>
        <v>95.625</v>
      </c>
      <c r="FU18" s="324">
        <f>WSSBK!$Q$46</f>
        <v>94.375</v>
      </c>
      <c r="FV18" s="324">
        <f>WSSBK!$Q$58</f>
        <v>96.875</v>
      </c>
      <c r="FW18" s="324">
        <f>WSSBK!$Q$68</f>
        <v>93.75</v>
      </c>
      <c r="FX18" s="324">
        <f>WSSBK!$Q$77</f>
        <v>95.625</v>
      </c>
      <c r="FY18" s="324" t="str">
        <f>WSSBK!$Q$87</f>
        <v/>
      </c>
      <c r="FZ18" s="324" t="str">
        <f>WSSBK!$Q$95</f>
        <v/>
      </c>
      <c r="GA18" s="324" t="str">
        <f>WSSBK!$Q$103</f>
        <v/>
      </c>
      <c r="GB18" s="324" t="str">
        <f>WSSBK!$Q$111</f>
        <v/>
      </c>
      <c r="GC18" s="324" t="str">
        <f>WSSBK!$Q$119</f>
        <v/>
      </c>
      <c r="GD18" s="76"/>
      <c r="GE18" s="76"/>
      <c r="GF18" s="76"/>
      <c r="GG18" s="76" t="s">
        <v>1952</v>
      </c>
      <c r="GH18" s="334">
        <f>WSPENJAS!$Q$6</f>
        <v>90</v>
      </c>
      <c r="GI18" s="334">
        <f>WSPENJAS!$Q$7</f>
        <v>90</v>
      </c>
      <c r="GJ18" s="334">
        <f>WSPENJAS!$Q$8</f>
        <v>90</v>
      </c>
      <c r="GK18" s="334">
        <f>WSPENJAS!$Q$9</f>
        <v>90</v>
      </c>
      <c r="GL18" s="334">
        <f>WSPENJAS!$Q$10</f>
        <v>90</v>
      </c>
      <c r="GM18" s="334">
        <f>WSPENJAS!$Q$11</f>
        <v>90</v>
      </c>
      <c r="GN18" s="334">
        <f>WSPENJAS!$Q$12</f>
        <v>90</v>
      </c>
      <c r="GO18" s="334">
        <f>WSPENJAS!$Q$13</f>
        <v>90</v>
      </c>
      <c r="GP18" s="334">
        <f>WSPENJAS!$Q$14</f>
        <v>90</v>
      </c>
      <c r="GQ18" s="334">
        <f>WSPENJAS!$Q$15</f>
        <v>90</v>
      </c>
      <c r="GR18" s="334">
        <f>WSPENJAS!$Q$16</f>
        <v>0</v>
      </c>
      <c r="GS18" s="334">
        <f>WSPENJAS!$Q$17</f>
        <v>0</v>
      </c>
      <c r="GT18" s="334">
        <f>WSPENJAS!$Q$18</f>
        <v>0</v>
      </c>
      <c r="GU18" s="334">
        <f>WSPENJAS!$Q$19</f>
        <v>0</v>
      </c>
      <c r="GV18" s="334">
        <f>WSPENJAS!$Q$20</f>
        <v>0</v>
      </c>
      <c r="GW18" s="334">
        <f>WSPENJAS!$Q$21</f>
        <v>0</v>
      </c>
      <c r="GX18" s="76" t="s">
        <v>1292</v>
      </c>
      <c r="GY18" s="324">
        <f>WSJAWA!$Q$6</f>
        <v>100</v>
      </c>
      <c r="GZ18" s="324">
        <f>WSJAWA!$Q$14</f>
        <v>96.666666666666671</v>
      </c>
      <c r="HA18" s="324">
        <f>WSJAWA!$Q$22</f>
        <v>100</v>
      </c>
      <c r="HB18" s="324">
        <f>WSJAWA!$Q$30</f>
        <v>100</v>
      </c>
      <c r="HC18" s="324">
        <f>WSJAWA!$Q$38</f>
        <v>100</v>
      </c>
      <c r="HD18" s="324">
        <f>WSJAWA!$Q$46</f>
        <v>90</v>
      </c>
      <c r="HE18" s="324">
        <f>WSJAWA!$Q$54</f>
        <v>100</v>
      </c>
      <c r="HF18" s="324">
        <f>WSJAWA!$Q$62</f>
        <v>93.333333333333329</v>
      </c>
      <c r="HG18" s="324" t="str">
        <f>WSJAWA!$Q$70</f>
        <v/>
      </c>
      <c r="HH18" s="324" t="str">
        <f>WSJAWA!$Q$78</f>
        <v/>
      </c>
      <c r="HI18" s="324" t="str">
        <f>WSJAWA!$Q$86</f>
        <v/>
      </c>
      <c r="HJ18" s="324" t="str">
        <f>WSJAWA!$Q$94</f>
        <v/>
      </c>
      <c r="HK18" s="324" t="str">
        <f>WSJAWA!$Q$102</f>
        <v/>
      </c>
      <c r="HL18" s="76"/>
      <c r="HM18" s="76"/>
      <c r="HN18" s="76"/>
      <c r="HO18" s="76" t="s">
        <v>1283</v>
      </c>
      <c r="HP18" s="324">
        <f>WSING!$Q$6</f>
        <v>97.333333333333329</v>
      </c>
      <c r="HQ18" s="324">
        <f>WSING!$Q$15</f>
        <v>97.333333333333329</v>
      </c>
      <c r="HR18" s="324">
        <f>WSING!$Q$24</f>
        <v>95</v>
      </c>
      <c r="HS18" s="324">
        <f>WSING!$Q$33</f>
        <v>95</v>
      </c>
      <c r="HT18" s="324" t="str">
        <f>WSING!$Q$42</f>
        <v/>
      </c>
      <c r="HU18" s="324" t="str">
        <f>WSING!$Q$50</f>
        <v/>
      </c>
      <c r="HV18" s="324" t="str">
        <f>WSING!$Q$58</f>
        <v/>
      </c>
      <c r="HW18" s="324" t="str">
        <f>WSING!$Q$66</f>
        <v/>
      </c>
      <c r="HX18" s="324" t="str">
        <f>WSING!$Q$74</f>
        <v/>
      </c>
      <c r="HY18" s="324" t="str">
        <f>WSING!$Q$82</f>
        <v/>
      </c>
      <c r="HZ18" s="324" t="str">
        <f>WSING!$Q$90</f>
        <v/>
      </c>
      <c r="IA18" s="324" t="str">
        <f>WSING!$Q$98</f>
        <v/>
      </c>
      <c r="IB18" s="324" t="str">
        <f>WSING!$Q$106</f>
        <v/>
      </c>
      <c r="IC18" s="76"/>
      <c r="ID18" s="76"/>
      <c r="IE18" s="76"/>
      <c r="IF18" s="76" t="s">
        <v>1242</v>
      </c>
      <c r="IG18" s="324" t="str">
        <f>WSTIK!$Q$6</f>
        <v/>
      </c>
      <c r="IH18" s="324" t="str">
        <f>WSTIK!$Q$14</f>
        <v/>
      </c>
      <c r="II18" s="324" t="str">
        <f>WSTIK!$Q$22</f>
        <v/>
      </c>
      <c r="IJ18" s="324" t="str">
        <f>WSTIK!$Q$30</f>
        <v/>
      </c>
      <c r="IK18" s="324" t="str">
        <f>WSTIK!$Q$38</f>
        <v/>
      </c>
      <c r="IL18" s="324" t="str">
        <f>WSTIK!$Q$46</f>
        <v/>
      </c>
      <c r="IM18" s="324" t="str">
        <f>WSTIK!$Q$54</f>
        <v/>
      </c>
      <c r="IN18" s="324" t="str">
        <f>WSTIK!$Q$62</f>
        <v/>
      </c>
      <c r="IO18" s="324" t="str">
        <f>WSTIK!$Q$70</f>
        <v/>
      </c>
      <c r="IP18" s="324" t="str">
        <f>WSTIK!$Q$78</f>
        <v/>
      </c>
      <c r="IQ18" s="324" t="str">
        <f>WSTIK!$Q$86</f>
        <v/>
      </c>
      <c r="IR18" s="324" t="str">
        <f>WSTIK!$Q$94</f>
        <v/>
      </c>
      <c r="IS18" s="324" t="str">
        <f>WSTIK!$Q$102</f>
        <v/>
      </c>
      <c r="IT18" s="76"/>
      <c r="IU18" s="76"/>
      <c r="IV18" s="76"/>
      <c r="IW18" s="76"/>
      <c r="IX18" s="324" t="str">
        <f>WSASWAJA!$Q$6</f>
        <v/>
      </c>
      <c r="IY18" s="324" t="str">
        <f>WSASWAJA!$Q$14</f>
        <v/>
      </c>
      <c r="IZ18" s="324" t="str">
        <f>WSASWAJA!$Q$22</f>
        <v/>
      </c>
      <c r="JA18" s="324" t="str">
        <f>WSASWAJA!$Q$30</f>
        <v/>
      </c>
      <c r="JB18" s="324" t="str">
        <f>WSASWAJA!$Q$38</f>
        <v/>
      </c>
      <c r="JC18" s="324" t="str">
        <f>WSASWAJA!$Q$46</f>
        <v/>
      </c>
      <c r="JD18" s="324" t="str">
        <f>WSASWAJA!$Q$54</f>
        <v/>
      </c>
      <c r="JE18" s="324" t="str">
        <f>WSASWAJA!$Q$62</f>
        <v/>
      </c>
      <c r="JF18" s="324" t="str">
        <f>WSASWAJA!$Q$70</f>
        <v/>
      </c>
      <c r="JG18" s="324" t="str">
        <f>WSASWAJA!$Q$78</f>
        <v/>
      </c>
      <c r="JH18" s="324" t="str">
        <f>WSASWAJA!$Q$86</f>
        <v/>
      </c>
      <c r="JI18" s="324" t="str">
        <f>WSASWAJA!$Q$94</f>
        <v/>
      </c>
      <c r="JJ18" s="324" t="str">
        <f>WSASWAJA!$Q$102</f>
        <v/>
      </c>
      <c r="JK18" s="76"/>
      <c r="JL18" s="76"/>
      <c r="JM18" s="76"/>
      <c r="JN18" s="76"/>
    </row>
    <row r="19" spans="1:274">
      <c r="A19" s="76"/>
      <c r="B19" s="76">
        <v>14</v>
      </c>
      <c r="C19" s="324">
        <f>WSALQURAN!$R$6</f>
        <v>86.666666666666671</v>
      </c>
      <c r="D19" s="324">
        <f>WSALQURAN!$R$14</f>
        <v>100</v>
      </c>
      <c r="E19" s="324">
        <f>WSALQURAN!$R$22</f>
        <v>90</v>
      </c>
      <c r="F19" s="324">
        <f>WSALQURAN!$R$30</f>
        <v>86.666666666666671</v>
      </c>
      <c r="G19" s="324">
        <f>WSALQURAN!$R$38</f>
        <v>86.666666666666671</v>
      </c>
      <c r="H19" s="324">
        <f>WSALQURAN!$R$46</f>
        <v>78</v>
      </c>
      <c r="I19" s="324">
        <f>WSALQURAN!$R$54</f>
        <v>97.5</v>
      </c>
      <c r="J19" s="324" t="str">
        <f>WSALQURAN!$R$62</f>
        <v/>
      </c>
      <c r="K19" s="324" t="str">
        <f>WSALQURAN!$R$70</f>
        <v/>
      </c>
      <c r="L19" s="324" t="str">
        <f>WSALQURAN!$R$78</f>
        <v/>
      </c>
      <c r="M19" s="324" t="str">
        <f>WSALQURAN!$R$86</f>
        <v/>
      </c>
      <c r="N19" s="324" t="str">
        <f>WSALQURAN!$R$94</f>
        <v/>
      </c>
      <c r="O19" s="324" t="str">
        <f>WSALQURAN!$R$102</f>
        <v/>
      </c>
      <c r="P19" s="76"/>
      <c r="Q19" s="76"/>
      <c r="R19" s="76"/>
      <c r="S19" s="76" t="s">
        <v>1966</v>
      </c>
      <c r="T19" s="324">
        <f>WSAQIDAH!$R$6</f>
        <v>100</v>
      </c>
      <c r="U19" s="324">
        <f>WSAQIDAH!$R$14</f>
        <v>100</v>
      </c>
      <c r="V19" s="324">
        <f>WSAQIDAH!$R$22</f>
        <v>75</v>
      </c>
      <c r="W19" s="324">
        <f>WSAQIDAH!$R$30</f>
        <v>100</v>
      </c>
      <c r="X19" s="324">
        <f>WSAQIDAH!$R$38</f>
        <v>75</v>
      </c>
      <c r="Y19" s="324">
        <f>WSAQIDAH!$R$46</f>
        <v>90</v>
      </c>
      <c r="Z19" s="324">
        <f>WSAQIDAH!$R$54</f>
        <v>100</v>
      </c>
      <c r="AA19" s="324">
        <f>WSAQIDAH!$R$62</f>
        <v>100</v>
      </c>
      <c r="AB19" s="324">
        <f>WSAQIDAH!$R$70</f>
        <v>100</v>
      </c>
      <c r="AC19" s="324">
        <f>WSAQIDAH!$R$78</f>
        <v>100</v>
      </c>
      <c r="AD19" s="324" t="str">
        <f>WSAQIDAH!$R$86</f>
        <v/>
      </c>
      <c r="AE19" s="324" t="str">
        <f>WSAQIDAH!$R$94</f>
        <v/>
      </c>
      <c r="AF19" s="324" t="str">
        <f>WSAQIDAH!$R$102</f>
        <v/>
      </c>
      <c r="AG19" s="76"/>
      <c r="AH19" s="76"/>
      <c r="AI19" s="76"/>
      <c r="AJ19" s="76" t="s">
        <v>1977</v>
      </c>
      <c r="AK19" s="324">
        <f>WSFIQIH!$R$6</f>
        <v>87.75</v>
      </c>
      <c r="AL19" s="324">
        <f>WSFIQIH!$R$19</f>
        <v>80</v>
      </c>
      <c r="AM19" s="324">
        <f>WSFIQIH!$R$28</f>
        <v>80</v>
      </c>
      <c r="AN19" s="324">
        <f>WSFIQIH!$R$41</f>
        <v>100</v>
      </c>
      <c r="AO19" s="324">
        <f>WSFIQIH!$R$49</f>
        <v>85</v>
      </c>
      <c r="AP19" s="324">
        <f>WSFIQIH!$R$62</f>
        <v>100</v>
      </c>
      <c r="AQ19" s="324">
        <f>WSFIQIH!$R$71</f>
        <v>98</v>
      </c>
      <c r="AR19" s="324">
        <f>WSFIQIH!$R$80</f>
        <v>81</v>
      </c>
      <c r="AS19" s="324" t="str">
        <f>WSFIQIH!$R$88</f>
        <v/>
      </c>
      <c r="AT19" s="324" t="str">
        <f>WSFIQIH!$R$96</f>
        <v/>
      </c>
      <c r="AU19" s="324" t="str">
        <f>WSFIQIH!$R$104</f>
        <v/>
      </c>
      <c r="AV19" s="324" t="str">
        <f>WSFIQIH!$R$112</f>
        <v/>
      </c>
      <c r="AW19" s="324" t="str">
        <f>WSFIQIH!$R$120</f>
        <v/>
      </c>
      <c r="AX19" s="76"/>
      <c r="AY19" s="76"/>
      <c r="AZ19" s="76"/>
      <c r="BA19" s="76" t="s">
        <v>1220</v>
      </c>
      <c r="BB19" s="324">
        <f>WSSKI!$R$6</f>
        <v>82.5</v>
      </c>
      <c r="BC19" s="324">
        <f>WSSKI!$R$14</f>
        <v>75</v>
      </c>
      <c r="BD19" s="324">
        <f>WSSKI!$R$23</f>
        <v>81.666666666666671</v>
      </c>
      <c r="BE19" s="324">
        <f>WSSKI!$R$31</f>
        <v>95</v>
      </c>
      <c r="BF19" s="324">
        <f>WSSKI!$R$40</f>
        <v>90</v>
      </c>
      <c r="BG19" s="324">
        <f>WSSKI!$R$48</f>
        <v>60</v>
      </c>
      <c r="BH19" s="324" t="str">
        <f>WSSKI!$R$56</f>
        <v/>
      </c>
      <c r="BI19" s="324" t="str">
        <f>WSSKI!$R$64</f>
        <v/>
      </c>
      <c r="BJ19" s="324" t="str">
        <f>WSSKI!$R$72</f>
        <v/>
      </c>
      <c r="BK19" s="324" t="str">
        <f>WSSKI!$R$80</f>
        <v/>
      </c>
      <c r="BL19" s="324" t="str">
        <f>WSSKI!$R$88</f>
        <v/>
      </c>
      <c r="BM19" s="324" t="str">
        <f>WSSKI!$R$96</f>
        <v/>
      </c>
      <c r="BN19" s="324" t="str">
        <f>WSSKI!$R$104</f>
        <v/>
      </c>
      <c r="BO19" s="76"/>
      <c r="BP19" s="76"/>
      <c r="BQ19" s="76"/>
      <c r="BR19" s="76"/>
      <c r="BS19" s="324">
        <f>WSPKN!$R$6</f>
        <v>95.625</v>
      </c>
      <c r="BT19" s="324">
        <f>WSPKN!$R$32</f>
        <v>98.125</v>
      </c>
      <c r="BU19" s="324">
        <f>WSPKN!$R$55</f>
        <v>96.785714285714292</v>
      </c>
      <c r="BV19" s="324">
        <f>WSPKN!$R$72</f>
        <v>95.694444444444443</v>
      </c>
      <c r="BW19" s="324">
        <f>WSPKN!$R$86</f>
        <v>95.416666666666671</v>
      </c>
      <c r="BX19" s="324">
        <f>WSPKN!$R$108</f>
        <v>98.125</v>
      </c>
      <c r="BY19" s="324">
        <f>WSPKN!$R$132</f>
        <v>96.785714285714292</v>
      </c>
      <c r="BZ19" s="324">
        <f>WSPKN!$R$148</f>
        <v>97.5</v>
      </c>
      <c r="CA19" s="324" t="str">
        <f>WSPKN!$R$165</f>
        <v/>
      </c>
      <c r="CB19" s="324" t="str">
        <f>WSPKN!$R$173</f>
        <v/>
      </c>
      <c r="CC19" s="324" t="str">
        <f>WSPKN!$R$181</f>
        <v/>
      </c>
      <c r="CD19" s="324" t="str">
        <f>WSPKN!$R$189</f>
        <v/>
      </c>
      <c r="CE19" s="324" t="str">
        <f>WSPKN!$R$197</f>
        <v/>
      </c>
      <c r="CF19" s="76"/>
      <c r="CG19" s="76"/>
      <c r="CH19" s="76"/>
      <c r="CI19" s="76" t="s">
        <v>1888</v>
      </c>
      <c r="CJ19" s="324">
        <f>WSIND!$R$6</f>
        <v>98.055555555555557</v>
      </c>
      <c r="CK19" s="324">
        <f>WSIND!$R$65</f>
        <v>94.130434782608702</v>
      </c>
      <c r="CL19" s="324">
        <f>WSIND!$R$113</f>
        <v>95.555555555555557</v>
      </c>
      <c r="CM19" s="324">
        <f>WSIND!$R$133</f>
        <v>93.666666666666671</v>
      </c>
      <c r="CN19" s="324">
        <f>WSIND!$R$161</f>
        <v>96.521739130434781</v>
      </c>
      <c r="CO19" s="324">
        <f>WSIND!$R$192</f>
        <v>97.941176470588232</v>
      </c>
      <c r="CP19" s="324">
        <f>WSIND!$R$228</f>
        <v>94.130434782608702</v>
      </c>
      <c r="CQ19" s="324">
        <f>WSIND!$R$256</f>
        <v>95.555555555555557</v>
      </c>
      <c r="CR19" s="324">
        <f>WSIND!$R$277</f>
        <v>93.666666666666671</v>
      </c>
      <c r="CS19" s="324">
        <f>WSIND!$R$305</f>
        <v>96.521739130434781</v>
      </c>
      <c r="CT19" s="324" t="str">
        <f>WSIND!$R$329</f>
        <v/>
      </c>
      <c r="CU19" s="324" t="str">
        <f>WSIND!$R$337</f>
        <v/>
      </c>
      <c r="CV19" s="324" t="str">
        <f>WSIND!$R$345</f>
        <v/>
      </c>
      <c r="CW19" s="76"/>
      <c r="CX19" s="76"/>
      <c r="CY19" s="76"/>
      <c r="CZ19" s="76" t="s">
        <v>1894</v>
      </c>
      <c r="DA19" s="324" t="str">
        <f>WSARAB!$R$6</f>
        <v/>
      </c>
      <c r="DB19" s="324" t="str">
        <f>WSARAB!$R$17</f>
        <v/>
      </c>
      <c r="DC19" s="324" t="str">
        <f>WSARAB!$R$29</f>
        <v/>
      </c>
      <c r="DD19" s="324" t="str">
        <f>WSARAB!$R$37</f>
        <v/>
      </c>
      <c r="DE19" s="324" t="str">
        <f>WSARAB!$R$45</f>
        <v/>
      </c>
      <c r="DF19" s="324" t="str">
        <f>WSARAB!$R$53</f>
        <v/>
      </c>
      <c r="DG19" s="324" t="str">
        <f>WSARAB!$R$65</f>
        <v/>
      </c>
      <c r="DH19" s="324" t="str">
        <f>WSARAB!$R$73</f>
        <v/>
      </c>
      <c r="DI19" s="324" t="str">
        <f>WSARAB!$R$81</f>
        <v/>
      </c>
      <c r="DJ19" s="324" t="str">
        <f>WSARAB!$R$89</f>
        <v/>
      </c>
      <c r="DK19" s="324" t="str">
        <f>WSARAB!$R$97</f>
        <v/>
      </c>
      <c r="DL19" s="324" t="str">
        <f>WSARAB!$R$105</f>
        <v/>
      </c>
      <c r="DM19" s="324" t="str">
        <f>WSARAB!$R$113</f>
        <v/>
      </c>
      <c r="DN19" s="76"/>
      <c r="DO19" s="76"/>
      <c r="DP19" s="76"/>
      <c r="DQ19" s="76" t="s">
        <v>1272</v>
      </c>
      <c r="DR19" s="324">
        <f>WSMTK!$R$6</f>
        <v>92.5</v>
      </c>
      <c r="DS19" s="324">
        <f>WSMTK!$R$22</f>
        <v>94.375</v>
      </c>
      <c r="DT19" s="324">
        <f>WSMTK!$R$35</f>
        <v>94.137931034482762</v>
      </c>
      <c r="DU19" s="324">
        <f>WSMTK!$R$69</f>
        <v>98.333333333333329</v>
      </c>
      <c r="DV19" s="324">
        <f>WSMTK!$R$87</f>
        <v>92.5</v>
      </c>
      <c r="DW19" s="324">
        <f>WSMTK!$R$99</f>
        <v>94.375</v>
      </c>
      <c r="DX19" s="324">
        <f>WSMTK!$R$113</f>
        <v>94.137931034482762</v>
      </c>
      <c r="DY19" s="324">
        <f>WSMTK!$R$145</f>
        <v>98.333333333333329</v>
      </c>
      <c r="DZ19" s="324" t="str">
        <f>WSMTK!$R$168</f>
        <v/>
      </c>
      <c r="EA19" s="324" t="str">
        <f>WSMTK!$R$176</f>
        <v/>
      </c>
      <c r="EB19" s="324" t="str">
        <f>WSMTK!$R$184</f>
        <v/>
      </c>
      <c r="EC19" s="324" t="str">
        <f>WSMTK!$R$192</f>
        <v/>
      </c>
      <c r="ED19" s="324" t="str">
        <f>WSMTK!$R$200</f>
        <v/>
      </c>
      <c r="EE19" s="76"/>
      <c r="EF19" s="76"/>
      <c r="EG19" s="76"/>
      <c r="EH19" s="76" t="s">
        <v>1302</v>
      </c>
      <c r="EI19" s="324" t="str">
        <f>WSIPA!$R$6</f>
        <v/>
      </c>
      <c r="EJ19" s="324" t="str">
        <f>WSIPA!$R$14</f>
        <v/>
      </c>
      <c r="EK19" s="324" t="str">
        <f>WSIPA!$R$22</f>
        <v/>
      </c>
      <c r="EL19" s="324" t="str">
        <f>WSIPA!$R$30</f>
        <v/>
      </c>
      <c r="EM19" s="324" t="str">
        <f>WSIPA!$R$38</f>
        <v/>
      </c>
      <c r="EN19" s="324" t="str">
        <f>WSIPA!$R$46</f>
        <v/>
      </c>
      <c r="EO19" s="324" t="str">
        <f>WSIPA!$R$54</f>
        <v/>
      </c>
      <c r="EP19" s="324" t="str">
        <f>WSIPA!$R$62</f>
        <v/>
      </c>
      <c r="EQ19" s="324" t="str">
        <f>WSIPA!$R$70</f>
        <v/>
      </c>
      <c r="ER19" s="324" t="str">
        <f>WSIPA!$R$78</f>
        <v/>
      </c>
      <c r="ES19" s="324" t="str">
        <f>WSIPA!$R$86</f>
        <v/>
      </c>
      <c r="ET19" s="324" t="str">
        <f>WSIPA!$R$94</f>
        <v/>
      </c>
      <c r="EU19" s="324" t="str">
        <f>WSIPA!$R$102</f>
        <v/>
      </c>
      <c r="EV19" s="76"/>
      <c r="EW19" s="76"/>
      <c r="EX19" s="76"/>
      <c r="EY19" s="76" t="s">
        <v>1239</v>
      </c>
      <c r="EZ19" s="324" t="str">
        <f>WSIPS!$R$6</f>
        <v/>
      </c>
      <c r="FA19" s="324" t="str">
        <f>WSIPS!$R$14</f>
        <v/>
      </c>
      <c r="FB19" s="324" t="str">
        <f>WSIPS!$R$22</f>
        <v/>
      </c>
      <c r="FC19" s="324" t="str">
        <f>WSIPS!$R$30</f>
        <v/>
      </c>
      <c r="FD19" s="324" t="str">
        <f>WSIPS!$R$38</f>
        <v/>
      </c>
      <c r="FE19" s="324" t="str">
        <f>WSIPS!$R$46</f>
        <v/>
      </c>
      <c r="FF19" s="324" t="str">
        <f>WSIPS!$R$54</f>
        <v/>
      </c>
      <c r="FG19" s="324" t="str">
        <f>WSIPS!$R$62</f>
        <v/>
      </c>
      <c r="FH19" s="324" t="str">
        <f>WSIPS!$R$70</f>
        <v/>
      </c>
      <c r="FI19" s="324" t="str">
        <f>WSIPS!$R$78</f>
        <v/>
      </c>
      <c r="FJ19" s="324" t="str">
        <f>WSIPS!$R$86</f>
        <v/>
      </c>
      <c r="FK19" s="324" t="str">
        <f>WSIPS!$R$94</f>
        <v/>
      </c>
      <c r="FL19" s="324" t="str">
        <f>WSIPS!$R$102</f>
        <v/>
      </c>
      <c r="FM19" s="76"/>
      <c r="FN19" s="76"/>
      <c r="FO19" s="76"/>
      <c r="FP19" s="76" t="s">
        <v>1256</v>
      </c>
      <c r="FQ19" s="324">
        <f>WSSBK!$R$6</f>
        <v>96.875</v>
      </c>
      <c r="FR19" s="324">
        <f>WSSBK!$R$16</f>
        <v>95</v>
      </c>
      <c r="FS19" s="324">
        <f>WSSBK!$R$26</f>
        <v>93.75</v>
      </c>
      <c r="FT19" s="324">
        <f>WSSBK!$R$36</f>
        <v>87</v>
      </c>
      <c r="FU19" s="324">
        <f>WSSBK!$R$46</f>
        <v>96.875</v>
      </c>
      <c r="FV19" s="324">
        <f>WSSBK!$R$58</f>
        <v>95</v>
      </c>
      <c r="FW19" s="324">
        <f>WSSBK!$R$68</f>
        <v>93.75</v>
      </c>
      <c r="FX19" s="324">
        <f>WSSBK!$R$77</f>
        <v>87</v>
      </c>
      <c r="FY19" s="324" t="str">
        <f>WSSBK!$R$87</f>
        <v/>
      </c>
      <c r="FZ19" s="324" t="str">
        <f>WSSBK!$R$95</f>
        <v/>
      </c>
      <c r="GA19" s="324" t="str">
        <f>WSSBK!$R$103</f>
        <v/>
      </c>
      <c r="GB19" s="324" t="str">
        <f>WSSBK!$R$111</f>
        <v/>
      </c>
      <c r="GC19" s="324" t="str">
        <f>WSSBK!$R$119</f>
        <v/>
      </c>
      <c r="GD19" s="76"/>
      <c r="GE19" s="76"/>
      <c r="GF19" s="76"/>
      <c r="GG19" s="76" t="s">
        <v>1953</v>
      </c>
      <c r="GH19" s="334">
        <f>WSPENJAS!$R$6</f>
        <v>95</v>
      </c>
      <c r="GI19" s="334">
        <f>WSPENJAS!$R$7</f>
        <v>95</v>
      </c>
      <c r="GJ19" s="334">
        <f>WSPENJAS!$R$8</f>
        <v>95</v>
      </c>
      <c r="GK19" s="334">
        <f>WSPENJAS!$R$9</f>
        <v>95</v>
      </c>
      <c r="GL19" s="334">
        <f>WSPENJAS!$R$10</f>
        <v>95</v>
      </c>
      <c r="GM19" s="334">
        <f>WSPENJAS!$R$11</f>
        <v>95</v>
      </c>
      <c r="GN19" s="334">
        <f>WSPENJAS!$R$12</f>
        <v>95</v>
      </c>
      <c r="GO19" s="334">
        <f>WSPENJAS!$R$13</f>
        <v>95</v>
      </c>
      <c r="GP19" s="334">
        <f>WSPENJAS!$R$14</f>
        <v>95</v>
      </c>
      <c r="GQ19" s="334">
        <f>WSPENJAS!$R$15</f>
        <v>95</v>
      </c>
      <c r="GR19" s="334">
        <f>WSPENJAS!$R$16</f>
        <v>0</v>
      </c>
      <c r="GS19" s="334">
        <f>WSPENJAS!$R$17</f>
        <v>0</v>
      </c>
      <c r="GT19" s="334">
        <f>WSPENJAS!$R$18</f>
        <v>0</v>
      </c>
      <c r="GU19" s="334">
        <f>WSPENJAS!$R$19</f>
        <v>0</v>
      </c>
      <c r="GV19" s="334">
        <f>WSPENJAS!$R$20</f>
        <v>0</v>
      </c>
      <c r="GW19" s="334">
        <f>WSPENJAS!$R$21</f>
        <v>0</v>
      </c>
      <c r="GX19" s="76" t="s">
        <v>1293</v>
      </c>
      <c r="GY19" s="324">
        <f>WSJAWA!$R$6</f>
        <v>100</v>
      </c>
      <c r="GZ19" s="324">
        <f>WSJAWA!$R$14</f>
        <v>93.333333333333329</v>
      </c>
      <c r="HA19" s="324">
        <f>WSJAWA!$R$22</f>
        <v>95</v>
      </c>
      <c r="HB19" s="324">
        <f>WSJAWA!$R$30</f>
        <v>90</v>
      </c>
      <c r="HC19" s="324">
        <f>WSJAWA!$R$38</f>
        <v>100</v>
      </c>
      <c r="HD19" s="324">
        <f>WSJAWA!$R$46</f>
        <v>100</v>
      </c>
      <c r="HE19" s="324">
        <f>WSJAWA!$R$54</f>
        <v>90</v>
      </c>
      <c r="HF19" s="324">
        <f>WSJAWA!$R$62</f>
        <v>91.666666666666671</v>
      </c>
      <c r="HG19" s="324" t="str">
        <f>WSJAWA!$R$70</f>
        <v/>
      </c>
      <c r="HH19" s="324" t="str">
        <f>WSJAWA!$R$78</f>
        <v/>
      </c>
      <c r="HI19" s="324" t="str">
        <f>WSJAWA!$R$86</f>
        <v/>
      </c>
      <c r="HJ19" s="324" t="str">
        <f>WSJAWA!$R$94</f>
        <v/>
      </c>
      <c r="HK19" s="324" t="str">
        <f>WSJAWA!$R$102</f>
        <v/>
      </c>
      <c r="HL19" s="76"/>
      <c r="HM19" s="76"/>
      <c r="HN19" s="76"/>
      <c r="HO19" s="76" t="s">
        <v>1281</v>
      </c>
      <c r="HP19" s="324">
        <f>WSING!$R$6</f>
        <v>94.166666666666671</v>
      </c>
      <c r="HQ19" s="324">
        <f>WSING!$R$15</f>
        <v>94.166666666666671</v>
      </c>
      <c r="HR19" s="324">
        <f>WSING!$R$24</f>
        <v>92.5</v>
      </c>
      <c r="HS19" s="324">
        <f>WSING!$R$33</f>
        <v>92.5</v>
      </c>
      <c r="HT19" s="324" t="str">
        <f>WSING!$R$42</f>
        <v/>
      </c>
      <c r="HU19" s="324" t="str">
        <f>WSING!$R$50</f>
        <v/>
      </c>
      <c r="HV19" s="324" t="str">
        <f>WSING!$R$58</f>
        <v/>
      </c>
      <c r="HW19" s="324" t="str">
        <f>WSING!$R$66</f>
        <v/>
      </c>
      <c r="HX19" s="324" t="str">
        <f>WSING!$R$74</f>
        <v/>
      </c>
      <c r="HY19" s="324" t="str">
        <f>WSING!$R$82</f>
        <v/>
      </c>
      <c r="HZ19" s="324" t="str">
        <f>WSING!$R$90</f>
        <v/>
      </c>
      <c r="IA19" s="324" t="str">
        <f>WSING!$R$98</f>
        <v/>
      </c>
      <c r="IB19" s="324" t="str">
        <f>WSING!$R$106</f>
        <v/>
      </c>
      <c r="IC19" s="76"/>
      <c r="ID19" s="76"/>
      <c r="IE19" s="76"/>
      <c r="IF19" s="76" t="s">
        <v>1242</v>
      </c>
      <c r="IG19" s="324" t="str">
        <f>WSTIK!$R$6</f>
        <v/>
      </c>
      <c r="IH19" s="324" t="str">
        <f>WSTIK!$R$14</f>
        <v/>
      </c>
      <c r="II19" s="324" t="str">
        <f>WSTIK!$R$22</f>
        <v/>
      </c>
      <c r="IJ19" s="324" t="str">
        <f>WSTIK!$R$30</f>
        <v/>
      </c>
      <c r="IK19" s="324" t="str">
        <f>WSTIK!$R$38</f>
        <v/>
      </c>
      <c r="IL19" s="324" t="str">
        <f>WSTIK!$R$46</f>
        <v/>
      </c>
      <c r="IM19" s="324" t="str">
        <f>WSTIK!$R$54</f>
        <v/>
      </c>
      <c r="IN19" s="324" t="str">
        <f>WSTIK!$R$62</f>
        <v/>
      </c>
      <c r="IO19" s="324" t="str">
        <f>WSTIK!$R$70</f>
        <v/>
      </c>
      <c r="IP19" s="324" t="str">
        <f>WSTIK!$R$78</f>
        <v/>
      </c>
      <c r="IQ19" s="324" t="str">
        <f>WSTIK!$R$86</f>
        <v/>
      </c>
      <c r="IR19" s="324" t="str">
        <f>WSTIK!$R$94</f>
        <v/>
      </c>
      <c r="IS19" s="324" t="str">
        <f>WSTIK!$R$102</f>
        <v/>
      </c>
      <c r="IT19" s="76"/>
      <c r="IU19" s="76"/>
      <c r="IV19" s="76"/>
      <c r="IW19" s="76"/>
      <c r="IX19" s="324" t="str">
        <f>WSASWAJA!$R$6</f>
        <v/>
      </c>
      <c r="IY19" s="324" t="str">
        <f>WSASWAJA!$R$14</f>
        <v/>
      </c>
      <c r="IZ19" s="324" t="str">
        <f>WSASWAJA!$R$22</f>
        <v/>
      </c>
      <c r="JA19" s="324" t="str">
        <f>WSASWAJA!$R$30</f>
        <v/>
      </c>
      <c r="JB19" s="324" t="str">
        <f>WSASWAJA!$R$38</f>
        <v/>
      </c>
      <c r="JC19" s="324" t="str">
        <f>WSASWAJA!$R$46</f>
        <v/>
      </c>
      <c r="JD19" s="324" t="str">
        <f>WSASWAJA!$R$54</f>
        <v/>
      </c>
      <c r="JE19" s="324" t="str">
        <f>WSASWAJA!$R$62</f>
        <v/>
      </c>
      <c r="JF19" s="324" t="str">
        <f>WSASWAJA!$R$70</f>
        <v/>
      </c>
      <c r="JG19" s="324" t="str">
        <f>WSASWAJA!$R$78</f>
        <v/>
      </c>
      <c r="JH19" s="324" t="str">
        <f>WSASWAJA!$R$86</f>
        <v/>
      </c>
      <c r="JI19" s="324" t="str">
        <f>WSASWAJA!$R$94</f>
        <v/>
      </c>
      <c r="JJ19" s="324" t="str">
        <f>WSASWAJA!$R$102</f>
        <v/>
      </c>
      <c r="JK19" s="76"/>
      <c r="JL19" s="76"/>
      <c r="JM19" s="76"/>
      <c r="JN19" s="76"/>
    </row>
    <row r="20" spans="1:274">
      <c r="A20" s="76"/>
      <c r="B20" s="76">
        <v>15</v>
      </c>
      <c r="C20" s="324">
        <f>WSALQURAN!$S$6</f>
        <v>91.666666666666671</v>
      </c>
      <c r="D20" s="324">
        <f>WSALQURAN!$S$14</f>
        <v>90</v>
      </c>
      <c r="E20" s="324">
        <f>WSALQURAN!$S$22</f>
        <v>80</v>
      </c>
      <c r="F20" s="324">
        <f>WSALQURAN!$S$30</f>
        <v>91.666666666666671</v>
      </c>
      <c r="G20" s="324">
        <f>WSALQURAN!$S$38</f>
        <v>91.666666666666671</v>
      </c>
      <c r="H20" s="324">
        <f>WSALQURAN!$S$46</f>
        <v>75</v>
      </c>
      <c r="I20" s="324">
        <f>WSALQURAN!$S$54</f>
        <v>91</v>
      </c>
      <c r="J20" s="324" t="str">
        <f>WSALQURAN!$S$62</f>
        <v/>
      </c>
      <c r="K20" s="324" t="str">
        <f>WSALQURAN!$S$70</f>
        <v/>
      </c>
      <c r="L20" s="324" t="str">
        <f>WSALQURAN!$S$78</f>
        <v/>
      </c>
      <c r="M20" s="324" t="str">
        <f>WSALQURAN!$S$86</f>
        <v/>
      </c>
      <c r="N20" s="324" t="str">
        <f>WSALQURAN!$S$94</f>
        <v/>
      </c>
      <c r="O20" s="324" t="str">
        <f>WSALQURAN!$S$102</f>
        <v/>
      </c>
      <c r="P20" s="76"/>
      <c r="Q20" s="76"/>
      <c r="R20" s="76"/>
      <c r="S20" s="76" t="s">
        <v>1966</v>
      </c>
      <c r="T20" s="324">
        <f>WSAQIDAH!$S$6</f>
        <v>75</v>
      </c>
      <c r="U20" s="324">
        <f>WSAQIDAH!$S$14</f>
        <v>100</v>
      </c>
      <c r="V20" s="324">
        <f>WSAQIDAH!$S$22</f>
        <v>75</v>
      </c>
      <c r="W20" s="324">
        <f>WSAQIDAH!$S$30</f>
        <v>75</v>
      </c>
      <c r="X20" s="324">
        <f>WSAQIDAH!$S$38</f>
        <v>100</v>
      </c>
      <c r="Y20" s="324">
        <f>WSAQIDAH!$S$46</f>
        <v>80</v>
      </c>
      <c r="Z20" s="324">
        <f>WSAQIDAH!$S$54</f>
        <v>75</v>
      </c>
      <c r="AA20" s="324">
        <f>WSAQIDAH!$S$62</f>
        <v>75</v>
      </c>
      <c r="AB20" s="324">
        <f>WSAQIDAH!$S$70</f>
        <v>75</v>
      </c>
      <c r="AC20" s="324">
        <f>WSAQIDAH!$S$78</f>
        <v>75</v>
      </c>
      <c r="AD20" s="324" t="str">
        <f>WSAQIDAH!$S$86</f>
        <v/>
      </c>
      <c r="AE20" s="324" t="str">
        <f>WSAQIDAH!$S$94</f>
        <v/>
      </c>
      <c r="AF20" s="324" t="str">
        <f>WSAQIDAH!$S$102</f>
        <v/>
      </c>
      <c r="AG20" s="76"/>
      <c r="AH20" s="76"/>
      <c r="AI20" s="76"/>
      <c r="AJ20" s="76" t="s">
        <v>1973</v>
      </c>
      <c r="AK20" s="324">
        <f>WSFIQIH!$S$6</f>
        <v>79.25</v>
      </c>
      <c r="AL20" s="324">
        <f>WSFIQIH!$S$19</f>
        <v>75</v>
      </c>
      <c r="AM20" s="324">
        <f>WSFIQIH!$S$28</f>
        <v>80</v>
      </c>
      <c r="AN20" s="324">
        <f>WSFIQIH!$S$41</f>
        <v>80</v>
      </c>
      <c r="AO20" s="324">
        <f>WSFIQIH!$S$49</f>
        <v>75</v>
      </c>
      <c r="AP20" s="324">
        <f>WSFIQIH!$S$62</f>
        <v>88</v>
      </c>
      <c r="AQ20" s="324">
        <f>WSFIQIH!$S$71</f>
        <v>85</v>
      </c>
      <c r="AR20" s="324">
        <f>WSFIQIH!$S$80</f>
        <v>78</v>
      </c>
      <c r="AS20" s="324" t="str">
        <f>WSFIQIH!$S$88</f>
        <v/>
      </c>
      <c r="AT20" s="324" t="str">
        <f>WSFIQIH!$S$96</f>
        <v/>
      </c>
      <c r="AU20" s="324" t="str">
        <f>WSFIQIH!$S$104</f>
        <v/>
      </c>
      <c r="AV20" s="324" t="str">
        <f>WSFIQIH!$S$112</f>
        <v/>
      </c>
      <c r="AW20" s="324" t="str">
        <f>WSFIQIH!$S$120</f>
        <v/>
      </c>
      <c r="AX20" s="76"/>
      <c r="AY20" s="76"/>
      <c r="AZ20" s="76"/>
      <c r="BA20" s="76" t="s">
        <v>1221</v>
      </c>
      <c r="BB20" s="324">
        <f>WSSKI!$S$6</f>
        <v>90</v>
      </c>
      <c r="BC20" s="324">
        <f>WSSKI!$S$14</f>
        <v>78</v>
      </c>
      <c r="BD20" s="324">
        <f>WSSKI!$S$23</f>
        <v>80</v>
      </c>
      <c r="BE20" s="324">
        <f>WSSKI!$S$31</f>
        <v>85</v>
      </c>
      <c r="BF20" s="324">
        <f>WSSKI!$S$40</f>
        <v>80</v>
      </c>
      <c r="BG20" s="324">
        <f>WSSKI!$S$48</f>
        <v>75</v>
      </c>
      <c r="BH20" s="324" t="str">
        <f>WSSKI!$S$56</f>
        <v/>
      </c>
      <c r="BI20" s="324" t="str">
        <f>WSSKI!$S$64</f>
        <v/>
      </c>
      <c r="BJ20" s="324" t="str">
        <f>WSSKI!$S$72</f>
        <v/>
      </c>
      <c r="BK20" s="324" t="str">
        <f>WSSKI!$S$80</f>
        <v/>
      </c>
      <c r="BL20" s="324" t="str">
        <f>WSSKI!$S$88</f>
        <v/>
      </c>
      <c r="BM20" s="324" t="str">
        <f>WSSKI!$S$96</f>
        <v/>
      </c>
      <c r="BN20" s="324" t="str">
        <f>WSSKI!$S$104</f>
        <v/>
      </c>
      <c r="BO20" s="76"/>
      <c r="BP20" s="76"/>
      <c r="BQ20" s="76"/>
      <c r="BR20" s="76"/>
      <c r="BS20" s="324">
        <f>WSPKN!$S$6</f>
        <v>91.5625</v>
      </c>
      <c r="BT20" s="324">
        <f>WSPKN!$S$32</f>
        <v>96.071428571428569</v>
      </c>
      <c r="BU20" s="324">
        <f>WSPKN!$S$55</f>
        <v>91.538461538461533</v>
      </c>
      <c r="BV20" s="324">
        <f>WSPKN!$S$72</f>
        <v>83.972222222222214</v>
      </c>
      <c r="BW20" s="324">
        <f>WSPKN!$S$86</f>
        <v>89.583333333333329</v>
      </c>
      <c r="BX20" s="324">
        <f>WSPKN!$S$108</f>
        <v>96.071428571428569</v>
      </c>
      <c r="BY20" s="324">
        <f>WSPKN!$S$132</f>
        <v>91.538461538461533</v>
      </c>
      <c r="BZ20" s="324">
        <f>WSPKN!$S$148</f>
        <v>85.416666666666671</v>
      </c>
      <c r="CA20" s="324" t="str">
        <f>WSPKN!$S$165</f>
        <v/>
      </c>
      <c r="CB20" s="324" t="str">
        <f>WSPKN!$S$173</f>
        <v/>
      </c>
      <c r="CC20" s="324" t="str">
        <f>WSPKN!$S$181</f>
        <v/>
      </c>
      <c r="CD20" s="324" t="str">
        <f>WSPKN!$S$189</f>
        <v/>
      </c>
      <c r="CE20" s="324" t="str">
        <f>WSPKN!$S$197</f>
        <v/>
      </c>
      <c r="CF20" s="76"/>
      <c r="CG20" s="76"/>
      <c r="CH20" s="76"/>
      <c r="CI20" s="76" t="s">
        <v>1889</v>
      </c>
      <c r="CJ20" s="324">
        <f>WSIND!$S$6</f>
        <v>91.904761904761898</v>
      </c>
      <c r="CK20" s="324">
        <f>WSIND!$S$65</f>
        <v>88.541666666666671</v>
      </c>
      <c r="CL20" s="324">
        <f>WSIND!$S$113</f>
        <v>87.777777777777771</v>
      </c>
      <c r="CM20" s="324">
        <f>WSIND!$S$133</f>
        <v>88.333333333333329</v>
      </c>
      <c r="CN20" s="324">
        <f>WSIND!$S$161</f>
        <v>96.428571428571431</v>
      </c>
      <c r="CO20" s="324">
        <f>WSIND!$S$192</f>
        <v>92</v>
      </c>
      <c r="CP20" s="324">
        <f>WSIND!$S$228</f>
        <v>88.541666666666671</v>
      </c>
      <c r="CQ20" s="324">
        <f>WSIND!$S$256</f>
        <v>87.777777777777771</v>
      </c>
      <c r="CR20" s="324">
        <f>WSIND!$S$277</f>
        <v>88.333333333333329</v>
      </c>
      <c r="CS20" s="324">
        <f>WSIND!$S$305</f>
        <v>96.428571428571431</v>
      </c>
      <c r="CT20" s="324" t="str">
        <f>WSIND!$S$329</f>
        <v/>
      </c>
      <c r="CU20" s="324" t="str">
        <f>WSIND!$S$337</f>
        <v/>
      </c>
      <c r="CV20" s="324" t="str">
        <f>WSIND!$S$345</f>
        <v/>
      </c>
      <c r="CW20" s="76"/>
      <c r="CX20" s="76"/>
      <c r="CY20" s="76"/>
      <c r="CZ20" s="76" t="s">
        <v>1904</v>
      </c>
      <c r="DA20" s="324" t="str">
        <f>WSARAB!$S$6</f>
        <v/>
      </c>
      <c r="DB20" s="324" t="str">
        <f>WSARAB!$S$17</f>
        <v/>
      </c>
      <c r="DC20" s="324" t="str">
        <f>WSARAB!$S$29</f>
        <v/>
      </c>
      <c r="DD20" s="324" t="str">
        <f>WSARAB!$S$37</f>
        <v/>
      </c>
      <c r="DE20" s="324" t="str">
        <f>WSARAB!$S$45</f>
        <v/>
      </c>
      <c r="DF20" s="324" t="str">
        <f>WSARAB!$S$53</f>
        <v/>
      </c>
      <c r="DG20" s="324" t="str">
        <f>WSARAB!$S$65</f>
        <v/>
      </c>
      <c r="DH20" s="324" t="str">
        <f>WSARAB!$S$73</f>
        <v/>
      </c>
      <c r="DI20" s="324" t="str">
        <f>WSARAB!$S$81</f>
        <v/>
      </c>
      <c r="DJ20" s="324" t="str">
        <f>WSARAB!$S$89</f>
        <v/>
      </c>
      <c r="DK20" s="324" t="str">
        <f>WSARAB!$S$97</f>
        <v/>
      </c>
      <c r="DL20" s="324" t="str">
        <f>WSARAB!$S$105</f>
        <v/>
      </c>
      <c r="DM20" s="324" t="str">
        <f>WSARAB!$S$113</f>
        <v/>
      </c>
      <c r="DN20" s="76"/>
      <c r="DO20" s="76"/>
      <c r="DP20" s="76"/>
      <c r="DQ20" s="76" t="s">
        <v>1325</v>
      </c>
      <c r="DR20" s="324">
        <f>WSMTK!$S$6</f>
        <v>88.5</v>
      </c>
      <c r="DS20" s="324">
        <f>WSMTK!$S$22</f>
        <v>86.25</v>
      </c>
      <c r="DT20" s="324">
        <f>WSMTK!$S$35</f>
        <v>91.071428571428569</v>
      </c>
      <c r="DU20" s="324">
        <f>WSMTK!$S$69</f>
        <v>91.428571428571431</v>
      </c>
      <c r="DV20" s="324">
        <f>WSMTK!$S$87</f>
        <v>88.5</v>
      </c>
      <c r="DW20" s="324">
        <f>WSMTK!$S$99</f>
        <v>86.25</v>
      </c>
      <c r="DX20" s="324">
        <f>WSMTK!$S$113</f>
        <v>91.071428571428569</v>
      </c>
      <c r="DY20" s="324">
        <f>WSMTK!$S$145</f>
        <v>91.428571428571431</v>
      </c>
      <c r="DZ20" s="324" t="str">
        <f>WSMTK!$S$168</f>
        <v/>
      </c>
      <c r="EA20" s="324" t="str">
        <f>WSMTK!$S$176</f>
        <v/>
      </c>
      <c r="EB20" s="324" t="str">
        <f>WSMTK!$S$184</f>
        <v/>
      </c>
      <c r="EC20" s="324" t="str">
        <f>WSMTK!$S$192</f>
        <v/>
      </c>
      <c r="ED20" s="324" t="str">
        <f>WSMTK!$S$200</f>
        <v/>
      </c>
      <c r="EE20" s="76"/>
      <c r="EF20" s="76"/>
      <c r="EG20" s="76"/>
      <c r="EH20" s="76" t="s">
        <v>1296</v>
      </c>
      <c r="EI20" s="324" t="str">
        <f>WSIPA!$S$6</f>
        <v/>
      </c>
      <c r="EJ20" s="324" t="str">
        <f>WSIPA!$S$14</f>
        <v/>
      </c>
      <c r="EK20" s="324" t="str">
        <f>WSIPA!$S$22</f>
        <v/>
      </c>
      <c r="EL20" s="324" t="str">
        <f>WSIPA!$S$30</f>
        <v/>
      </c>
      <c r="EM20" s="324" t="str">
        <f>WSIPA!$S$38</f>
        <v/>
      </c>
      <c r="EN20" s="324" t="str">
        <f>WSIPA!$S$46</f>
        <v/>
      </c>
      <c r="EO20" s="324" t="str">
        <f>WSIPA!$S$54</f>
        <v/>
      </c>
      <c r="EP20" s="324" t="str">
        <f>WSIPA!$S$62</f>
        <v/>
      </c>
      <c r="EQ20" s="324" t="str">
        <f>WSIPA!$S$70</f>
        <v/>
      </c>
      <c r="ER20" s="324" t="str">
        <f>WSIPA!$S$78</f>
        <v/>
      </c>
      <c r="ES20" s="324" t="str">
        <f>WSIPA!$S$86</f>
        <v/>
      </c>
      <c r="ET20" s="324" t="str">
        <f>WSIPA!$S$94</f>
        <v/>
      </c>
      <c r="EU20" s="324" t="str">
        <f>WSIPA!$S$102</f>
        <v/>
      </c>
      <c r="EV20" s="76"/>
      <c r="EW20" s="76"/>
      <c r="EX20" s="76"/>
      <c r="EY20" s="76" t="s">
        <v>1233</v>
      </c>
      <c r="EZ20" s="324" t="str">
        <f>WSIPS!$S$6</f>
        <v/>
      </c>
      <c r="FA20" s="324" t="str">
        <f>WSIPS!$S$14</f>
        <v/>
      </c>
      <c r="FB20" s="324" t="str">
        <f>WSIPS!$S$22</f>
        <v/>
      </c>
      <c r="FC20" s="324" t="str">
        <f>WSIPS!$S$30</f>
        <v/>
      </c>
      <c r="FD20" s="324" t="str">
        <f>WSIPS!$S$38</f>
        <v/>
      </c>
      <c r="FE20" s="324" t="str">
        <f>WSIPS!$S$46</f>
        <v/>
      </c>
      <c r="FF20" s="324" t="str">
        <f>WSIPS!$S$54</f>
        <v/>
      </c>
      <c r="FG20" s="324" t="str">
        <f>WSIPS!$S$62</f>
        <v/>
      </c>
      <c r="FH20" s="324" t="str">
        <f>WSIPS!$S$70</f>
        <v/>
      </c>
      <c r="FI20" s="324" t="str">
        <f>WSIPS!$S$78</f>
        <v/>
      </c>
      <c r="FJ20" s="324" t="str">
        <f>WSIPS!$S$86</f>
        <v/>
      </c>
      <c r="FK20" s="324" t="str">
        <f>WSIPS!$S$94</f>
        <v/>
      </c>
      <c r="FL20" s="324" t="str">
        <f>WSIPS!$S$102</f>
        <v/>
      </c>
      <c r="FM20" s="76"/>
      <c r="FN20" s="76"/>
      <c r="FO20" s="76"/>
      <c r="FP20" s="76" t="s">
        <v>1257</v>
      </c>
      <c r="FQ20" s="324">
        <f>WSSBK!$S$6</f>
        <v>93.333333333333329</v>
      </c>
      <c r="FR20" s="324">
        <f>WSSBK!$S$16</f>
        <v>88.125</v>
      </c>
      <c r="FS20" s="324">
        <f>WSSBK!$S$26</f>
        <v>87.5</v>
      </c>
      <c r="FT20" s="324">
        <f>WSSBK!$S$36</f>
        <v>88.125</v>
      </c>
      <c r="FU20" s="324">
        <f>WSSBK!$S$46</f>
        <v>93.333333333333329</v>
      </c>
      <c r="FV20" s="324">
        <f>WSSBK!$S$58</f>
        <v>88.125</v>
      </c>
      <c r="FW20" s="324">
        <f>WSSBK!$S$68</f>
        <v>87.5</v>
      </c>
      <c r="FX20" s="324">
        <f>WSSBK!$S$77</f>
        <v>88.125</v>
      </c>
      <c r="FY20" s="324" t="str">
        <f>WSSBK!$S$87</f>
        <v/>
      </c>
      <c r="FZ20" s="324" t="str">
        <f>WSSBK!$S$95</f>
        <v/>
      </c>
      <c r="GA20" s="324" t="str">
        <f>WSSBK!$S$103</f>
        <v/>
      </c>
      <c r="GB20" s="324" t="str">
        <f>WSSBK!$S$111</f>
        <v/>
      </c>
      <c r="GC20" s="324" t="str">
        <f>WSSBK!$S$119</f>
        <v/>
      </c>
      <c r="GD20" s="76"/>
      <c r="GE20" s="76"/>
      <c r="GF20" s="76"/>
      <c r="GG20" s="76" t="s">
        <v>1956</v>
      </c>
      <c r="GH20" s="334">
        <f>WSPENJAS!$S$6</f>
        <v>85</v>
      </c>
      <c r="GI20" s="334">
        <f>WSPENJAS!$S$7</f>
        <v>85</v>
      </c>
      <c r="GJ20" s="334">
        <f>WSPENJAS!$S$8</f>
        <v>85</v>
      </c>
      <c r="GK20" s="334">
        <f>WSPENJAS!$S$9</f>
        <v>85</v>
      </c>
      <c r="GL20" s="334">
        <f>WSPENJAS!$S$10</f>
        <v>85</v>
      </c>
      <c r="GM20" s="334">
        <f>WSPENJAS!$S$11</f>
        <v>85</v>
      </c>
      <c r="GN20" s="334">
        <f>WSPENJAS!$S$12</f>
        <v>85</v>
      </c>
      <c r="GO20" s="334">
        <f>WSPENJAS!$S$13</f>
        <v>85</v>
      </c>
      <c r="GP20" s="334">
        <f>WSPENJAS!$S$14</f>
        <v>85</v>
      </c>
      <c r="GQ20" s="334">
        <f>WSPENJAS!$S$15</f>
        <v>85</v>
      </c>
      <c r="GR20" s="334">
        <f>WSPENJAS!$S$16</f>
        <v>0</v>
      </c>
      <c r="GS20" s="334">
        <f>WSPENJAS!$S$17</f>
        <v>0</v>
      </c>
      <c r="GT20" s="334">
        <f>WSPENJAS!$S$18</f>
        <v>0</v>
      </c>
      <c r="GU20" s="334">
        <f>WSPENJAS!$S$19</f>
        <v>0</v>
      </c>
      <c r="GV20" s="334">
        <f>WSPENJAS!$S$20</f>
        <v>0</v>
      </c>
      <c r="GW20" s="334">
        <f>WSPENJAS!$S$21</f>
        <v>0</v>
      </c>
      <c r="GX20" s="76" t="s">
        <v>1291</v>
      </c>
      <c r="GY20" s="324">
        <f>WSJAWA!$S$6</f>
        <v>100</v>
      </c>
      <c r="GZ20" s="324">
        <f>WSJAWA!$S$14</f>
        <v>93.333333333333329</v>
      </c>
      <c r="HA20" s="324">
        <f>WSJAWA!$S$22</f>
        <v>85</v>
      </c>
      <c r="HB20" s="324">
        <f>WSJAWA!$S$30</f>
        <v>100</v>
      </c>
      <c r="HC20" s="324">
        <f>WSJAWA!$S$38</f>
        <v>100</v>
      </c>
      <c r="HD20" s="324">
        <f>WSJAWA!$S$46</f>
        <v>100</v>
      </c>
      <c r="HE20" s="324">
        <f>WSJAWA!$S$54</f>
        <v>90</v>
      </c>
      <c r="HF20" s="324">
        <f>WSJAWA!$S$62</f>
        <v>81.666666666666671</v>
      </c>
      <c r="HG20" s="324" t="str">
        <f>WSJAWA!$S$70</f>
        <v/>
      </c>
      <c r="HH20" s="324" t="str">
        <f>WSJAWA!$S$78</f>
        <v/>
      </c>
      <c r="HI20" s="324" t="str">
        <f>WSJAWA!$S$86</f>
        <v/>
      </c>
      <c r="HJ20" s="324" t="str">
        <f>WSJAWA!$S$94</f>
        <v/>
      </c>
      <c r="HK20" s="324" t="str">
        <f>WSJAWA!$S$102</f>
        <v/>
      </c>
      <c r="HL20" s="76"/>
      <c r="HM20" s="76"/>
      <c r="HN20" s="76"/>
      <c r="HO20" s="76" t="s">
        <v>1285</v>
      </c>
      <c r="HP20" s="324">
        <f>WSING!$S$6</f>
        <v>99.166666666666671</v>
      </c>
      <c r="HQ20" s="324">
        <f>WSING!$S$15</f>
        <v>99.166666666666671</v>
      </c>
      <c r="HR20" s="324">
        <f>WSING!$S$24</f>
        <v>82.5</v>
      </c>
      <c r="HS20" s="324">
        <f>WSING!$S$33</f>
        <v>82.5</v>
      </c>
      <c r="HT20" s="324" t="str">
        <f>WSING!$S$42</f>
        <v/>
      </c>
      <c r="HU20" s="324" t="str">
        <f>WSING!$S$50</f>
        <v/>
      </c>
      <c r="HV20" s="324" t="str">
        <f>WSING!$S$58</f>
        <v/>
      </c>
      <c r="HW20" s="324" t="str">
        <f>WSING!$S$66</f>
        <v/>
      </c>
      <c r="HX20" s="324" t="str">
        <f>WSING!$S$74</f>
        <v/>
      </c>
      <c r="HY20" s="324" t="str">
        <f>WSING!$S$82</f>
        <v/>
      </c>
      <c r="HZ20" s="324" t="str">
        <f>WSING!$S$90</f>
        <v/>
      </c>
      <c r="IA20" s="324" t="str">
        <f>WSING!$S$98</f>
        <v/>
      </c>
      <c r="IB20" s="324" t="str">
        <f>WSING!$S$106</f>
        <v/>
      </c>
      <c r="IC20" s="76"/>
      <c r="ID20" s="76"/>
      <c r="IE20" s="76"/>
      <c r="IF20" s="76" t="s">
        <v>1242</v>
      </c>
      <c r="IG20" s="324" t="str">
        <f>WSTIK!$S$6</f>
        <v/>
      </c>
      <c r="IH20" s="324" t="str">
        <f>WSTIK!$S$14</f>
        <v/>
      </c>
      <c r="II20" s="324" t="str">
        <f>WSTIK!$S$22</f>
        <v/>
      </c>
      <c r="IJ20" s="324" t="str">
        <f>WSTIK!$S$30</f>
        <v/>
      </c>
      <c r="IK20" s="324" t="str">
        <f>WSTIK!$S$38</f>
        <v/>
      </c>
      <c r="IL20" s="324" t="str">
        <f>WSTIK!$S$46</f>
        <v/>
      </c>
      <c r="IM20" s="324" t="str">
        <f>WSTIK!$S$54</f>
        <v/>
      </c>
      <c r="IN20" s="324" t="str">
        <f>WSTIK!$S$62</f>
        <v/>
      </c>
      <c r="IO20" s="324" t="str">
        <f>WSTIK!$S$70</f>
        <v/>
      </c>
      <c r="IP20" s="324" t="str">
        <f>WSTIK!$S$78</f>
        <v/>
      </c>
      <c r="IQ20" s="324" t="str">
        <f>WSTIK!$S$86</f>
        <v/>
      </c>
      <c r="IR20" s="324" t="str">
        <f>WSTIK!$S$94</f>
        <v/>
      </c>
      <c r="IS20" s="324" t="str">
        <f>WSTIK!$S$102</f>
        <v/>
      </c>
      <c r="IT20" s="76"/>
      <c r="IU20" s="76"/>
      <c r="IV20" s="76"/>
      <c r="IW20" s="76"/>
      <c r="IX20" s="324" t="str">
        <f>WSASWAJA!$S$6</f>
        <v/>
      </c>
      <c r="IY20" s="324" t="str">
        <f>WSASWAJA!$S$14</f>
        <v/>
      </c>
      <c r="IZ20" s="324" t="str">
        <f>WSASWAJA!$S$22</f>
        <v/>
      </c>
      <c r="JA20" s="324" t="str">
        <f>WSASWAJA!$S$30</f>
        <v/>
      </c>
      <c r="JB20" s="324" t="str">
        <f>WSASWAJA!$S$38</f>
        <v/>
      </c>
      <c r="JC20" s="324" t="str">
        <f>WSASWAJA!$S$46</f>
        <v/>
      </c>
      <c r="JD20" s="324" t="str">
        <f>WSASWAJA!$S$54</f>
        <v/>
      </c>
      <c r="JE20" s="324" t="str">
        <f>WSASWAJA!$S$62</f>
        <v/>
      </c>
      <c r="JF20" s="324" t="str">
        <f>WSASWAJA!$S$70</f>
        <v/>
      </c>
      <c r="JG20" s="324" t="str">
        <f>WSASWAJA!$S$78</f>
        <v/>
      </c>
      <c r="JH20" s="324" t="str">
        <f>WSASWAJA!$S$86</f>
        <v/>
      </c>
      <c r="JI20" s="324" t="str">
        <f>WSASWAJA!$S$94</f>
        <v/>
      </c>
      <c r="JJ20" s="324" t="str">
        <f>WSASWAJA!$S$102</f>
        <v/>
      </c>
      <c r="JK20" s="76"/>
      <c r="JL20" s="76"/>
      <c r="JM20" s="76"/>
      <c r="JN20" s="76"/>
    </row>
    <row r="21" spans="1:274">
      <c r="A21" s="76"/>
      <c r="B21" s="76">
        <v>16</v>
      </c>
      <c r="C21" s="324">
        <f>WSALQURAN!$T$6</f>
        <v>95</v>
      </c>
      <c r="D21" s="324">
        <f>WSALQURAN!$T$14</f>
        <v>95</v>
      </c>
      <c r="E21" s="324">
        <f>WSALQURAN!$T$22</f>
        <v>75</v>
      </c>
      <c r="F21" s="324">
        <f>WSALQURAN!$T$30</f>
        <v>95</v>
      </c>
      <c r="G21" s="324">
        <f>WSALQURAN!$T$38</f>
        <v>91.666666666666671</v>
      </c>
      <c r="H21" s="324">
        <f>WSALQURAN!$T$46</f>
        <v>100</v>
      </c>
      <c r="I21" s="324">
        <f>WSALQURAN!$T$54</f>
        <v>90</v>
      </c>
      <c r="J21" s="324" t="str">
        <f>WSALQURAN!$T$62</f>
        <v/>
      </c>
      <c r="K21" s="324" t="str">
        <f>WSALQURAN!$T$70</f>
        <v/>
      </c>
      <c r="L21" s="324" t="str">
        <f>WSALQURAN!$T$78</f>
        <v/>
      </c>
      <c r="M21" s="324" t="str">
        <f>WSALQURAN!$T$86</f>
        <v/>
      </c>
      <c r="N21" s="324" t="str">
        <f>WSALQURAN!$T$94</f>
        <v/>
      </c>
      <c r="O21" s="324" t="str">
        <f>WSALQURAN!$T$102</f>
        <v/>
      </c>
      <c r="P21" s="76"/>
      <c r="Q21" s="76"/>
      <c r="R21" s="76"/>
      <c r="S21" s="76" t="s">
        <v>1967</v>
      </c>
      <c r="T21" s="324">
        <f>WSAQIDAH!$T$6</f>
        <v>75</v>
      </c>
      <c r="U21" s="324">
        <f>WSAQIDAH!$T$14</f>
        <v>100</v>
      </c>
      <c r="V21" s="324">
        <f>WSAQIDAH!$T$22</f>
        <v>92</v>
      </c>
      <c r="W21" s="324">
        <f>WSAQIDAH!$T$30</f>
        <v>75</v>
      </c>
      <c r="X21" s="324">
        <f>WSAQIDAH!$T$38</f>
        <v>100</v>
      </c>
      <c r="Y21" s="324">
        <f>WSAQIDAH!$T$46</f>
        <v>80</v>
      </c>
      <c r="Z21" s="324">
        <f>WSAQIDAH!$T$54</f>
        <v>75</v>
      </c>
      <c r="AA21" s="324">
        <f>WSAQIDAH!$T$62</f>
        <v>75</v>
      </c>
      <c r="AB21" s="324">
        <f>WSAQIDAH!$T$70</f>
        <v>75</v>
      </c>
      <c r="AC21" s="324">
        <f>WSAQIDAH!$T$78</f>
        <v>75</v>
      </c>
      <c r="AD21" s="324" t="str">
        <f>WSAQIDAH!$T$86</f>
        <v/>
      </c>
      <c r="AE21" s="324" t="str">
        <f>WSAQIDAH!$T$94</f>
        <v/>
      </c>
      <c r="AF21" s="324" t="str">
        <f>WSAQIDAH!$T$102</f>
        <v/>
      </c>
      <c r="AG21" s="76"/>
      <c r="AH21" s="76"/>
      <c r="AI21" s="76"/>
      <c r="AJ21" s="76" t="s">
        <v>1973</v>
      </c>
      <c r="AK21" s="324">
        <f>WSFIQIH!$T$6</f>
        <v>89</v>
      </c>
      <c r="AL21" s="324">
        <f>WSFIQIH!$T$19</f>
        <v>95</v>
      </c>
      <c r="AM21" s="324">
        <f>WSFIQIH!$T$28</f>
        <v>80</v>
      </c>
      <c r="AN21" s="324">
        <f>WSFIQIH!$T$41</f>
        <v>90</v>
      </c>
      <c r="AO21" s="324">
        <f>WSFIQIH!$T$49</f>
        <v>100</v>
      </c>
      <c r="AP21" s="324">
        <f>WSFIQIH!$T$62</f>
        <v>83</v>
      </c>
      <c r="AQ21" s="324">
        <f>WSFIQIH!$T$71</f>
        <v>98</v>
      </c>
      <c r="AR21" s="324">
        <f>WSFIQIH!$T$80</f>
        <v>80</v>
      </c>
      <c r="AS21" s="324" t="str">
        <f>WSFIQIH!$T$88</f>
        <v/>
      </c>
      <c r="AT21" s="324" t="str">
        <f>WSFIQIH!$T$96</f>
        <v/>
      </c>
      <c r="AU21" s="324" t="str">
        <f>WSFIQIH!$T$104</f>
        <v/>
      </c>
      <c r="AV21" s="324" t="str">
        <f>WSFIQIH!$T$112</f>
        <v/>
      </c>
      <c r="AW21" s="324" t="str">
        <f>WSFIQIH!$T$120</f>
        <v/>
      </c>
      <c r="AX21" s="76"/>
      <c r="AY21" s="76"/>
      <c r="AZ21" s="76"/>
      <c r="BA21" s="76" t="s">
        <v>1216</v>
      </c>
      <c r="BB21" s="324">
        <f>WSSKI!$T$6</f>
        <v>82.5</v>
      </c>
      <c r="BC21" s="324">
        <f>WSSKI!$T$14</f>
        <v>89</v>
      </c>
      <c r="BD21" s="324">
        <f>WSSKI!$T$23</f>
        <v>76.666666666666671</v>
      </c>
      <c r="BE21" s="324">
        <f>WSSKI!$T$31</f>
        <v>75</v>
      </c>
      <c r="BF21" s="324">
        <f>WSSKI!$T$40</f>
        <v>85</v>
      </c>
      <c r="BG21" s="324">
        <f>WSSKI!$T$48</f>
        <v>70</v>
      </c>
      <c r="BH21" s="324" t="str">
        <f>WSSKI!$T$56</f>
        <v/>
      </c>
      <c r="BI21" s="324" t="str">
        <f>WSSKI!$T$64</f>
        <v/>
      </c>
      <c r="BJ21" s="324" t="str">
        <f>WSSKI!$T$72</f>
        <v/>
      </c>
      <c r="BK21" s="324" t="str">
        <f>WSSKI!$T$80</f>
        <v/>
      </c>
      <c r="BL21" s="324" t="str">
        <f>WSSKI!$T$88</f>
        <v/>
      </c>
      <c r="BM21" s="324" t="str">
        <f>WSSKI!$T$96</f>
        <v/>
      </c>
      <c r="BN21" s="324" t="str">
        <f>WSSKI!$T$104</f>
        <v/>
      </c>
      <c r="BO21" s="76"/>
      <c r="BP21" s="76"/>
      <c r="BQ21" s="76"/>
      <c r="BR21" s="76"/>
      <c r="BS21" s="324">
        <f>WSPKN!$T$6</f>
        <v>95.625</v>
      </c>
      <c r="BT21" s="324">
        <f>WSPKN!$T$32</f>
        <v>95.3125</v>
      </c>
      <c r="BU21" s="324">
        <f>WSPKN!$T$55</f>
        <v>98.214285714285708</v>
      </c>
      <c r="BV21" s="324">
        <f>WSPKN!$T$72</f>
        <v>96.694444444444443</v>
      </c>
      <c r="BW21" s="324">
        <f>WSPKN!$T$86</f>
        <v>95.416666666666671</v>
      </c>
      <c r="BX21" s="324">
        <f>WSPKN!$T$108</f>
        <v>95.3125</v>
      </c>
      <c r="BY21" s="324">
        <f>WSPKN!$T$132</f>
        <v>98.214285714285708</v>
      </c>
      <c r="BZ21" s="324">
        <f>WSPKN!$T$148</f>
        <v>96.666666666666671</v>
      </c>
      <c r="CA21" s="324" t="str">
        <f>WSPKN!$T$165</f>
        <v/>
      </c>
      <c r="CB21" s="324" t="str">
        <f>WSPKN!$T$173</f>
        <v/>
      </c>
      <c r="CC21" s="324" t="str">
        <f>WSPKN!$T$181</f>
        <v/>
      </c>
      <c r="CD21" s="324" t="str">
        <f>WSPKN!$T$189</f>
        <v/>
      </c>
      <c r="CE21" s="324" t="str">
        <f>WSPKN!$T$197</f>
        <v/>
      </c>
      <c r="CF21" s="76"/>
      <c r="CG21" s="76"/>
      <c r="CH21" s="76"/>
      <c r="CI21" s="76" t="s">
        <v>1888</v>
      </c>
      <c r="CJ21" s="324">
        <f>WSIND!$T$6</f>
        <v>95.208333333333329</v>
      </c>
      <c r="CK21" s="324">
        <f>WSIND!$T$65</f>
        <v>94.166666666666671</v>
      </c>
      <c r="CL21" s="324">
        <f>WSIND!$T$113</f>
        <v>93.333333333333329</v>
      </c>
      <c r="CM21" s="324">
        <f>WSIND!$T$133</f>
        <v>97.666666666666671</v>
      </c>
      <c r="CN21" s="324">
        <f>WSIND!$T$161</f>
        <v>96.956521739130437</v>
      </c>
      <c r="CO21" s="324">
        <f>WSIND!$T$192</f>
        <v>95</v>
      </c>
      <c r="CP21" s="324">
        <f>WSIND!$T$228</f>
        <v>94.166666666666671</v>
      </c>
      <c r="CQ21" s="324">
        <f>WSIND!$T$256</f>
        <v>93.333333333333329</v>
      </c>
      <c r="CR21" s="324">
        <f>WSIND!$T$277</f>
        <v>97.666666666666671</v>
      </c>
      <c r="CS21" s="324">
        <f>WSIND!$T$305</f>
        <v>96.956521739130437</v>
      </c>
      <c r="CT21" s="324" t="str">
        <f>WSIND!$T$329</f>
        <v/>
      </c>
      <c r="CU21" s="324" t="str">
        <f>WSIND!$T$337</f>
        <v/>
      </c>
      <c r="CV21" s="324" t="str">
        <f>WSIND!$T$345</f>
        <v/>
      </c>
      <c r="CW21" s="76"/>
      <c r="CX21" s="76"/>
      <c r="CY21" s="76"/>
      <c r="CZ21" s="76" t="s">
        <v>1905</v>
      </c>
      <c r="DA21" s="324" t="str">
        <f>WSARAB!$T$6</f>
        <v/>
      </c>
      <c r="DB21" s="324" t="str">
        <f>WSARAB!$T$17</f>
        <v/>
      </c>
      <c r="DC21" s="324" t="str">
        <f>WSARAB!$T$29</f>
        <v/>
      </c>
      <c r="DD21" s="324" t="str">
        <f>WSARAB!$T$37</f>
        <v/>
      </c>
      <c r="DE21" s="324" t="str">
        <f>WSARAB!$T$45</f>
        <v/>
      </c>
      <c r="DF21" s="324" t="str">
        <f>WSARAB!$T$53</f>
        <v/>
      </c>
      <c r="DG21" s="324" t="str">
        <f>WSARAB!$T$65</f>
        <v/>
      </c>
      <c r="DH21" s="324" t="str">
        <f>WSARAB!$T$73</f>
        <v/>
      </c>
      <c r="DI21" s="324" t="str">
        <f>WSARAB!$T$81</f>
        <v/>
      </c>
      <c r="DJ21" s="324" t="str">
        <f>WSARAB!$T$89</f>
        <v/>
      </c>
      <c r="DK21" s="324" t="str">
        <f>WSARAB!$T$97</f>
        <v/>
      </c>
      <c r="DL21" s="324" t="str">
        <f>WSARAB!$T$105</f>
        <v/>
      </c>
      <c r="DM21" s="324" t="str">
        <f>WSARAB!$T$113</f>
        <v/>
      </c>
      <c r="DN21" s="76"/>
      <c r="DO21" s="76"/>
      <c r="DP21" s="76"/>
      <c r="DQ21" s="76" t="s">
        <v>1326</v>
      </c>
      <c r="DR21" s="324">
        <f>WSMTK!$T$6</f>
        <v>96.5</v>
      </c>
      <c r="DS21" s="324">
        <f>WSMTK!$T$22</f>
        <v>95</v>
      </c>
      <c r="DT21" s="324">
        <f>WSMTK!$T$35</f>
        <v>94</v>
      </c>
      <c r="DU21" s="324">
        <f>WSMTK!$T$69</f>
        <v>94.6875</v>
      </c>
      <c r="DV21" s="324">
        <f>WSMTK!$T$87</f>
        <v>96.5</v>
      </c>
      <c r="DW21" s="324">
        <f>WSMTK!$T$99</f>
        <v>95</v>
      </c>
      <c r="DX21" s="324">
        <f>WSMTK!$T$113</f>
        <v>94</v>
      </c>
      <c r="DY21" s="324">
        <f>WSMTK!$T$145</f>
        <v>94.6875</v>
      </c>
      <c r="DZ21" s="324" t="str">
        <f>WSMTK!$T$168</f>
        <v/>
      </c>
      <c r="EA21" s="324" t="str">
        <f>WSMTK!$T$176</f>
        <v/>
      </c>
      <c r="EB21" s="324" t="str">
        <f>WSMTK!$T$184</f>
        <v/>
      </c>
      <c r="EC21" s="324" t="str">
        <f>WSMTK!$T$192</f>
        <v/>
      </c>
      <c r="ED21" s="324" t="str">
        <f>WSMTK!$T$200</f>
        <v/>
      </c>
      <c r="EE21" s="76"/>
      <c r="EF21" s="76"/>
      <c r="EG21" s="76"/>
      <c r="EH21" s="76" t="s">
        <v>1295</v>
      </c>
      <c r="EI21" s="324" t="str">
        <f>WSIPA!$T$6</f>
        <v/>
      </c>
      <c r="EJ21" s="324" t="str">
        <f>WSIPA!$T$14</f>
        <v/>
      </c>
      <c r="EK21" s="324" t="str">
        <f>WSIPA!$T$22</f>
        <v/>
      </c>
      <c r="EL21" s="324" t="str">
        <f>WSIPA!$T$30</f>
        <v/>
      </c>
      <c r="EM21" s="324" t="str">
        <f>WSIPA!$T$38</f>
        <v/>
      </c>
      <c r="EN21" s="324" t="str">
        <f>WSIPA!$T$46</f>
        <v/>
      </c>
      <c r="EO21" s="324" t="str">
        <f>WSIPA!$T$54</f>
        <v/>
      </c>
      <c r="EP21" s="324" t="str">
        <f>WSIPA!$T$62</f>
        <v/>
      </c>
      <c r="EQ21" s="324" t="str">
        <f>WSIPA!$T$70</f>
        <v/>
      </c>
      <c r="ER21" s="324" t="str">
        <f>WSIPA!$T$78</f>
        <v/>
      </c>
      <c r="ES21" s="324" t="str">
        <f>WSIPA!$T$86</f>
        <v/>
      </c>
      <c r="ET21" s="324" t="str">
        <f>WSIPA!$T$94</f>
        <v/>
      </c>
      <c r="EU21" s="324" t="str">
        <f>WSIPA!$T$102</f>
        <v/>
      </c>
      <c r="EV21" s="76"/>
      <c r="EW21" s="76"/>
      <c r="EX21" s="76"/>
      <c r="EY21" s="76" t="s">
        <v>1233</v>
      </c>
      <c r="EZ21" s="324" t="str">
        <f>WSIPS!$T$6</f>
        <v/>
      </c>
      <c r="FA21" s="324" t="str">
        <f>WSIPS!$T$14</f>
        <v/>
      </c>
      <c r="FB21" s="324" t="str">
        <f>WSIPS!$T$22</f>
        <v/>
      </c>
      <c r="FC21" s="324" t="str">
        <f>WSIPS!$T$30</f>
        <v/>
      </c>
      <c r="FD21" s="324" t="str">
        <f>WSIPS!$T$38</f>
        <v/>
      </c>
      <c r="FE21" s="324" t="str">
        <f>WSIPS!$T$46</f>
        <v/>
      </c>
      <c r="FF21" s="324" t="str">
        <f>WSIPS!$T$54</f>
        <v/>
      </c>
      <c r="FG21" s="324" t="str">
        <f>WSIPS!$T$62</f>
        <v/>
      </c>
      <c r="FH21" s="324" t="str">
        <f>WSIPS!$T$70</f>
        <v/>
      </c>
      <c r="FI21" s="324" t="str">
        <f>WSIPS!$T$78</f>
        <v/>
      </c>
      <c r="FJ21" s="324" t="str">
        <f>WSIPS!$T$86</f>
        <v/>
      </c>
      <c r="FK21" s="324" t="str">
        <f>WSIPS!$T$94</f>
        <v/>
      </c>
      <c r="FL21" s="324" t="str">
        <f>WSIPS!$T$102</f>
        <v/>
      </c>
      <c r="FM21" s="76"/>
      <c r="FN21" s="76"/>
      <c r="FO21" s="76"/>
      <c r="FP21" s="76" t="s">
        <v>1258</v>
      </c>
      <c r="FQ21" s="324">
        <f>WSSBK!$T$6</f>
        <v>95</v>
      </c>
      <c r="FR21" s="324">
        <f>WSSBK!$T$16</f>
        <v>95.625</v>
      </c>
      <c r="FS21" s="324">
        <f>WSSBK!$T$26</f>
        <v>91.875</v>
      </c>
      <c r="FT21" s="324">
        <f>WSSBK!$T$36</f>
        <v>90.625</v>
      </c>
      <c r="FU21" s="324">
        <f>WSSBK!$T$46</f>
        <v>95</v>
      </c>
      <c r="FV21" s="324">
        <f>WSSBK!$T$58</f>
        <v>95.625</v>
      </c>
      <c r="FW21" s="324">
        <f>WSSBK!$T$68</f>
        <v>91.875</v>
      </c>
      <c r="FX21" s="324">
        <f>WSSBK!$T$77</f>
        <v>90.625</v>
      </c>
      <c r="FY21" s="324" t="str">
        <f>WSSBK!$T$87</f>
        <v/>
      </c>
      <c r="FZ21" s="324" t="str">
        <f>WSSBK!$T$95</f>
        <v/>
      </c>
      <c r="GA21" s="324" t="str">
        <f>WSSBK!$T$103</f>
        <v/>
      </c>
      <c r="GB21" s="324" t="str">
        <f>WSSBK!$T$111</f>
        <v/>
      </c>
      <c r="GC21" s="324" t="str">
        <f>WSSBK!$T$119</f>
        <v/>
      </c>
      <c r="GD21" s="76"/>
      <c r="GE21" s="76"/>
      <c r="GF21" s="76"/>
      <c r="GG21" s="76" t="s">
        <v>1953</v>
      </c>
      <c r="GH21" s="334">
        <f>WSPENJAS!$T$6</f>
        <v>92</v>
      </c>
      <c r="GI21" s="334">
        <f>WSPENJAS!$T$7</f>
        <v>92</v>
      </c>
      <c r="GJ21" s="334">
        <f>WSPENJAS!$T$8</f>
        <v>92</v>
      </c>
      <c r="GK21" s="334">
        <f>WSPENJAS!$T$9</f>
        <v>92</v>
      </c>
      <c r="GL21" s="334">
        <f>WSPENJAS!$T$10</f>
        <v>92</v>
      </c>
      <c r="GM21" s="334">
        <f>WSPENJAS!$T$11</f>
        <v>92</v>
      </c>
      <c r="GN21" s="334">
        <f>WSPENJAS!$T$12</f>
        <v>92</v>
      </c>
      <c r="GO21" s="334">
        <f>WSPENJAS!$T$13</f>
        <v>92</v>
      </c>
      <c r="GP21" s="334">
        <f>WSPENJAS!$T$14</f>
        <v>92</v>
      </c>
      <c r="GQ21" s="334">
        <f>WSPENJAS!$T$15</f>
        <v>92</v>
      </c>
      <c r="GR21" s="334">
        <f>WSPENJAS!$T$16</f>
        <v>0</v>
      </c>
      <c r="GS21" s="334">
        <f>WSPENJAS!$T$17</f>
        <v>0</v>
      </c>
      <c r="GT21" s="334">
        <f>WSPENJAS!$T$18</f>
        <v>0</v>
      </c>
      <c r="GU21" s="334">
        <f>WSPENJAS!$T$19</f>
        <v>0</v>
      </c>
      <c r="GV21" s="334">
        <f>WSPENJAS!$T$20</f>
        <v>0</v>
      </c>
      <c r="GW21" s="334">
        <f>WSPENJAS!$T$21</f>
        <v>0</v>
      </c>
      <c r="GX21" s="76" t="s">
        <v>1291</v>
      </c>
      <c r="GY21" s="324">
        <f>WSJAWA!$T$6</f>
        <v>96.666666666666671</v>
      </c>
      <c r="GZ21" s="324">
        <f>WSJAWA!$T$14</f>
        <v>90</v>
      </c>
      <c r="HA21" s="324">
        <f>WSJAWA!$T$22</f>
        <v>90</v>
      </c>
      <c r="HB21" s="324">
        <f>WSJAWA!$T$30</f>
        <v>96.666666666666671</v>
      </c>
      <c r="HC21" s="324">
        <f>WSJAWA!$T$38</f>
        <v>90</v>
      </c>
      <c r="HD21" s="324">
        <f>WSJAWA!$T$46</f>
        <v>80</v>
      </c>
      <c r="HE21" s="324">
        <f>WSJAWA!$T$54</f>
        <v>100</v>
      </c>
      <c r="HF21" s="324">
        <f>WSJAWA!$T$62</f>
        <v>93.333333333333329</v>
      </c>
      <c r="HG21" s="324" t="str">
        <f>WSJAWA!$T$70</f>
        <v/>
      </c>
      <c r="HH21" s="324" t="str">
        <f>WSJAWA!$T$78</f>
        <v/>
      </c>
      <c r="HI21" s="324" t="str">
        <f>WSJAWA!$T$86</f>
        <v/>
      </c>
      <c r="HJ21" s="324" t="str">
        <f>WSJAWA!$T$94</f>
        <v/>
      </c>
      <c r="HK21" s="324" t="str">
        <f>WSJAWA!$T$102</f>
        <v/>
      </c>
      <c r="HL21" s="76"/>
      <c r="HM21" s="76"/>
      <c r="HN21" s="76"/>
      <c r="HO21" s="76" t="s">
        <v>1279</v>
      </c>
      <c r="HP21" s="324">
        <f>WSING!$T$6</f>
        <v>92.666666666666671</v>
      </c>
      <c r="HQ21" s="324">
        <f>WSING!$T$15</f>
        <v>92.666666666666671</v>
      </c>
      <c r="HR21" s="324">
        <f>WSING!$T$24</f>
        <v>98</v>
      </c>
      <c r="HS21" s="324">
        <f>WSING!$T$33</f>
        <v>98</v>
      </c>
      <c r="HT21" s="324" t="str">
        <f>WSING!$T$42</f>
        <v/>
      </c>
      <c r="HU21" s="324" t="str">
        <f>WSING!$T$50</f>
        <v/>
      </c>
      <c r="HV21" s="324" t="str">
        <f>WSING!$T$58</f>
        <v/>
      </c>
      <c r="HW21" s="324" t="str">
        <f>WSING!$T$66</f>
        <v/>
      </c>
      <c r="HX21" s="324" t="str">
        <f>WSING!$T$74</f>
        <v/>
      </c>
      <c r="HY21" s="324" t="str">
        <f>WSING!$T$82</f>
        <v/>
      </c>
      <c r="HZ21" s="324" t="str">
        <f>WSING!$T$90</f>
        <v/>
      </c>
      <c r="IA21" s="324" t="str">
        <f>WSING!$T$98</f>
        <v/>
      </c>
      <c r="IB21" s="324" t="str">
        <f>WSING!$T$106</f>
        <v/>
      </c>
      <c r="IC21" s="76"/>
      <c r="ID21" s="76"/>
      <c r="IE21" s="76"/>
      <c r="IF21" s="76" t="s">
        <v>1242</v>
      </c>
      <c r="IG21" s="324" t="str">
        <f>WSTIK!$T$6</f>
        <v/>
      </c>
      <c r="IH21" s="324" t="str">
        <f>WSTIK!$T$14</f>
        <v/>
      </c>
      <c r="II21" s="324" t="str">
        <f>WSTIK!$T$22</f>
        <v/>
      </c>
      <c r="IJ21" s="324" t="str">
        <f>WSTIK!$T$30</f>
        <v/>
      </c>
      <c r="IK21" s="324" t="str">
        <f>WSTIK!$T$38</f>
        <v/>
      </c>
      <c r="IL21" s="324" t="str">
        <f>WSTIK!$T$46</f>
        <v/>
      </c>
      <c r="IM21" s="324" t="str">
        <f>WSTIK!$T$54</f>
        <v/>
      </c>
      <c r="IN21" s="324" t="str">
        <f>WSTIK!$T$62</f>
        <v/>
      </c>
      <c r="IO21" s="324" t="str">
        <f>WSTIK!$T$70</f>
        <v/>
      </c>
      <c r="IP21" s="324" t="str">
        <f>WSTIK!$T$78</f>
        <v/>
      </c>
      <c r="IQ21" s="324" t="str">
        <f>WSTIK!$T$86</f>
        <v/>
      </c>
      <c r="IR21" s="324" t="str">
        <f>WSTIK!$T$94</f>
        <v/>
      </c>
      <c r="IS21" s="324" t="str">
        <f>WSTIK!$T$102</f>
        <v/>
      </c>
      <c r="IT21" s="76"/>
      <c r="IU21" s="76"/>
      <c r="IV21" s="76"/>
      <c r="IW21" s="76"/>
      <c r="IX21" s="324" t="str">
        <f>WSASWAJA!$T$6</f>
        <v/>
      </c>
      <c r="IY21" s="324" t="str">
        <f>WSASWAJA!$T$14</f>
        <v/>
      </c>
      <c r="IZ21" s="324" t="str">
        <f>WSASWAJA!$T$22</f>
        <v/>
      </c>
      <c r="JA21" s="324" t="str">
        <f>WSASWAJA!$T$30</f>
        <v/>
      </c>
      <c r="JB21" s="324" t="str">
        <f>WSASWAJA!$T$38</f>
        <v/>
      </c>
      <c r="JC21" s="324" t="str">
        <f>WSASWAJA!$T$46</f>
        <v/>
      </c>
      <c r="JD21" s="324" t="str">
        <f>WSASWAJA!$T$54</f>
        <v/>
      </c>
      <c r="JE21" s="324" t="str">
        <f>WSASWAJA!$T$62</f>
        <v/>
      </c>
      <c r="JF21" s="324" t="str">
        <f>WSASWAJA!$T$70</f>
        <v/>
      </c>
      <c r="JG21" s="324" t="str">
        <f>WSASWAJA!$T$78</f>
        <v/>
      </c>
      <c r="JH21" s="324" t="str">
        <f>WSASWAJA!$T$86</f>
        <v/>
      </c>
      <c r="JI21" s="324" t="str">
        <f>WSASWAJA!$T$94</f>
        <v/>
      </c>
      <c r="JJ21" s="324" t="str">
        <f>WSASWAJA!$T$102</f>
        <v/>
      </c>
      <c r="JK21" s="76"/>
      <c r="JL21" s="76"/>
      <c r="JM21" s="76"/>
      <c r="JN21" s="76"/>
    </row>
    <row r="22" spans="1:274">
      <c r="A22" s="76"/>
      <c r="B22" s="76">
        <v>17</v>
      </c>
      <c r="C22" s="324">
        <f>WSALQURAN!$U$6</f>
        <v>91.666666666666671</v>
      </c>
      <c r="D22" s="324">
        <f>WSALQURAN!$U$14</f>
        <v>100</v>
      </c>
      <c r="E22" s="324">
        <f>WSALQURAN!$U$22</f>
        <v>90</v>
      </c>
      <c r="F22" s="324">
        <f>WSALQURAN!$U$30</f>
        <v>91.666666666666671</v>
      </c>
      <c r="G22" s="324">
        <f>WSALQURAN!$U$38</f>
        <v>94.333333333333329</v>
      </c>
      <c r="H22" s="324">
        <f>WSALQURAN!$U$46</f>
        <v>91</v>
      </c>
      <c r="I22" s="324">
        <f>WSALQURAN!$U$54</f>
        <v>82.5</v>
      </c>
      <c r="J22" s="324" t="str">
        <f>WSALQURAN!$U$62</f>
        <v/>
      </c>
      <c r="K22" s="324" t="str">
        <f>WSALQURAN!$U$70</f>
        <v/>
      </c>
      <c r="L22" s="324" t="str">
        <f>WSALQURAN!$U$78</f>
        <v/>
      </c>
      <c r="M22" s="324" t="str">
        <f>WSALQURAN!$U$86</f>
        <v/>
      </c>
      <c r="N22" s="324" t="str">
        <f>WSALQURAN!$U$94</f>
        <v/>
      </c>
      <c r="O22" s="324" t="str">
        <f>WSALQURAN!$U$102</f>
        <v/>
      </c>
      <c r="P22" s="76"/>
      <c r="Q22" s="76"/>
      <c r="R22" s="76"/>
      <c r="S22" s="76" t="s">
        <v>1966</v>
      </c>
      <c r="T22" s="324">
        <f>WSAQIDAH!$U$6</f>
        <v>97.5</v>
      </c>
      <c r="U22" s="324">
        <f>WSAQIDAH!$U$14</f>
        <v>100</v>
      </c>
      <c r="V22" s="324">
        <f>WSAQIDAH!$U$22</f>
        <v>98</v>
      </c>
      <c r="W22" s="324">
        <f>WSAQIDAH!$U$30</f>
        <v>100</v>
      </c>
      <c r="X22" s="324">
        <f>WSAQIDAH!$U$38</f>
        <v>100</v>
      </c>
      <c r="Y22" s="324">
        <f>WSAQIDAH!$U$46</f>
        <v>95</v>
      </c>
      <c r="Z22" s="324">
        <f>WSAQIDAH!$U$54</f>
        <v>100</v>
      </c>
      <c r="AA22" s="324">
        <f>WSAQIDAH!$U$62</f>
        <v>95</v>
      </c>
      <c r="AB22" s="324">
        <f>WSAQIDAH!$U$70</f>
        <v>95</v>
      </c>
      <c r="AC22" s="324">
        <f>WSAQIDAH!$U$78</f>
        <v>95</v>
      </c>
      <c r="AD22" s="324" t="str">
        <f>WSAQIDAH!$U$86</f>
        <v/>
      </c>
      <c r="AE22" s="324" t="str">
        <f>WSAQIDAH!$U$94</f>
        <v/>
      </c>
      <c r="AF22" s="324" t="str">
        <f>WSAQIDAH!$U$102</f>
        <v/>
      </c>
      <c r="AG22" s="76"/>
      <c r="AH22" s="76"/>
      <c r="AI22" s="76"/>
      <c r="AJ22" s="76" t="s">
        <v>1975</v>
      </c>
      <c r="AK22" s="324">
        <f>WSFIQIH!$U$6</f>
        <v>92.75</v>
      </c>
      <c r="AL22" s="324">
        <f>WSFIQIH!$U$19</f>
        <v>90</v>
      </c>
      <c r="AM22" s="324">
        <f>WSFIQIH!$U$28</f>
        <v>100</v>
      </c>
      <c r="AN22" s="324">
        <f>WSFIQIH!$U$41</f>
        <v>100</v>
      </c>
      <c r="AO22" s="324">
        <f>WSFIQIH!$U$49</f>
        <v>100</v>
      </c>
      <c r="AP22" s="324">
        <f>WSFIQIH!$U$62</f>
        <v>98</v>
      </c>
      <c r="AQ22" s="324">
        <f>WSFIQIH!$U$71</f>
        <v>90</v>
      </c>
      <c r="AR22" s="324">
        <f>WSFIQIH!$U$80</f>
        <v>80</v>
      </c>
      <c r="AS22" s="324" t="str">
        <f>WSFIQIH!$U$88</f>
        <v/>
      </c>
      <c r="AT22" s="324" t="str">
        <f>WSFIQIH!$U$96</f>
        <v/>
      </c>
      <c r="AU22" s="324" t="str">
        <f>WSFIQIH!$U$104</f>
        <v/>
      </c>
      <c r="AV22" s="324" t="str">
        <f>WSFIQIH!$U$112</f>
        <v/>
      </c>
      <c r="AW22" s="324" t="str">
        <f>WSFIQIH!$U$120</f>
        <v/>
      </c>
      <c r="AX22" s="76"/>
      <c r="AY22" s="76"/>
      <c r="AZ22" s="76"/>
      <c r="BA22" s="76" t="s">
        <v>1226</v>
      </c>
      <c r="BB22" s="324">
        <f>WSSKI!$U$6</f>
        <v>100</v>
      </c>
      <c r="BC22" s="324">
        <f>WSSKI!$U$14</f>
        <v>96</v>
      </c>
      <c r="BD22" s="324">
        <f>WSSKI!$U$23</f>
        <v>94.333333333333329</v>
      </c>
      <c r="BE22" s="324">
        <f>WSSKI!$U$31</f>
        <v>98</v>
      </c>
      <c r="BF22" s="324">
        <f>WSSKI!$U$40</f>
        <v>100</v>
      </c>
      <c r="BG22" s="324">
        <f>WSSKI!$U$48</f>
        <v>85</v>
      </c>
      <c r="BH22" s="324" t="str">
        <f>WSSKI!$U$56</f>
        <v/>
      </c>
      <c r="BI22" s="324" t="str">
        <f>WSSKI!$U$64</f>
        <v/>
      </c>
      <c r="BJ22" s="324" t="str">
        <f>WSSKI!$U$72</f>
        <v/>
      </c>
      <c r="BK22" s="324" t="str">
        <f>WSSKI!$U$80</f>
        <v/>
      </c>
      <c r="BL22" s="324" t="str">
        <f>WSSKI!$U$88</f>
        <v/>
      </c>
      <c r="BM22" s="324" t="str">
        <f>WSSKI!$U$96</f>
        <v/>
      </c>
      <c r="BN22" s="324" t="str">
        <f>WSSKI!$U$104</f>
        <v/>
      </c>
      <c r="BO22" s="76"/>
      <c r="BP22" s="76"/>
      <c r="BQ22" s="76"/>
      <c r="BR22" s="76" t="s">
        <v>1981</v>
      </c>
      <c r="BS22" s="324">
        <f>WSPKN!$U$6</f>
        <v>99.375</v>
      </c>
      <c r="BT22" s="324">
        <f>WSPKN!$U$32</f>
        <v>99.375</v>
      </c>
      <c r="BU22" s="324">
        <f>WSPKN!$U$55</f>
        <v>98.928571428571431</v>
      </c>
      <c r="BV22" s="324">
        <f>WSPKN!$U$72</f>
        <v>98.277777777777786</v>
      </c>
      <c r="BW22" s="324">
        <f>WSPKN!$U$86</f>
        <v>99.166666666666671</v>
      </c>
      <c r="BX22" s="324">
        <f>WSPKN!$U$108</f>
        <v>99.375</v>
      </c>
      <c r="BY22" s="324">
        <f>WSPKN!$U$132</f>
        <v>98.928571428571431</v>
      </c>
      <c r="BZ22" s="324">
        <f>WSPKN!$U$148</f>
        <v>97.916666666666671</v>
      </c>
      <c r="CA22" s="324" t="str">
        <f>WSPKN!$U$165</f>
        <v/>
      </c>
      <c r="CB22" s="324" t="str">
        <f>WSPKN!$U$173</f>
        <v/>
      </c>
      <c r="CC22" s="324" t="str">
        <f>WSPKN!$U$181</f>
        <v/>
      </c>
      <c r="CD22" s="324" t="str">
        <f>WSPKN!$U$189</f>
        <v/>
      </c>
      <c r="CE22" s="324" t="str">
        <f>WSPKN!$U$197</f>
        <v/>
      </c>
      <c r="CF22" s="76"/>
      <c r="CG22" s="76"/>
      <c r="CH22" s="76"/>
      <c r="CI22" s="76" t="s">
        <v>1888</v>
      </c>
      <c r="CJ22" s="324">
        <f>WSIND!$U$6</f>
        <v>98.958333333333329</v>
      </c>
      <c r="CK22" s="324">
        <f>WSIND!$U$65</f>
        <v>98.958333333333329</v>
      </c>
      <c r="CL22" s="324">
        <f>WSIND!$U$113</f>
        <v>97.777777777777771</v>
      </c>
      <c r="CM22" s="324">
        <f>WSIND!$U$133</f>
        <v>98</v>
      </c>
      <c r="CN22" s="324">
        <f>WSIND!$U$161</f>
        <v>99.347826086956516</v>
      </c>
      <c r="CO22" s="324">
        <f>WSIND!$U$192</f>
        <v>98.913043478260875</v>
      </c>
      <c r="CP22" s="324">
        <f>WSIND!$U$228</f>
        <v>98.958333333333329</v>
      </c>
      <c r="CQ22" s="324">
        <f>WSIND!$U$256</f>
        <v>97.777777777777771</v>
      </c>
      <c r="CR22" s="324">
        <f>WSIND!$U$277</f>
        <v>98</v>
      </c>
      <c r="CS22" s="324">
        <f>WSIND!$U$305</f>
        <v>99.347826086956516</v>
      </c>
      <c r="CT22" s="324" t="str">
        <f>WSIND!$U$329</f>
        <v/>
      </c>
      <c r="CU22" s="324" t="str">
        <f>WSIND!$U$337</f>
        <v/>
      </c>
      <c r="CV22" s="324" t="str">
        <f>WSIND!$U$345</f>
        <v/>
      </c>
      <c r="CW22" s="76"/>
      <c r="CX22" s="76"/>
      <c r="CY22" s="76"/>
      <c r="CZ22" s="76" t="s">
        <v>1894</v>
      </c>
      <c r="DA22" s="324" t="str">
        <f>WSARAB!$U$6</f>
        <v/>
      </c>
      <c r="DB22" s="324" t="str">
        <f>WSARAB!$U$17</f>
        <v/>
      </c>
      <c r="DC22" s="324" t="str">
        <f>WSARAB!$U$29</f>
        <v/>
      </c>
      <c r="DD22" s="324" t="str">
        <f>WSARAB!$U$37</f>
        <v/>
      </c>
      <c r="DE22" s="324" t="str">
        <f>WSARAB!$U$45</f>
        <v/>
      </c>
      <c r="DF22" s="324" t="str">
        <f>WSARAB!$U$53</f>
        <v/>
      </c>
      <c r="DG22" s="324" t="str">
        <f>WSARAB!$U$65</f>
        <v/>
      </c>
      <c r="DH22" s="324" t="str">
        <f>WSARAB!$U$73</f>
        <v/>
      </c>
      <c r="DI22" s="324" t="str">
        <f>WSARAB!$U$81</f>
        <v/>
      </c>
      <c r="DJ22" s="324" t="str">
        <f>WSARAB!$U$89</f>
        <v/>
      </c>
      <c r="DK22" s="324" t="str">
        <f>WSARAB!$U$97</f>
        <v/>
      </c>
      <c r="DL22" s="324" t="str">
        <f>WSARAB!$U$105</f>
        <v/>
      </c>
      <c r="DM22" s="324" t="str">
        <f>WSARAB!$U$113</f>
        <v/>
      </c>
      <c r="DN22" s="76"/>
      <c r="DO22" s="76"/>
      <c r="DP22" s="76"/>
      <c r="DQ22" s="76" t="s">
        <v>1273</v>
      </c>
      <c r="DR22" s="324">
        <f>WSMTK!$U$6</f>
        <v>98</v>
      </c>
      <c r="DS22" s="324">
        <f>WSMTK!$U$22</f>
        <v>98.75</v>
      </c>
      <c r="DT22" s="324">
        <f>WSMTK!$U$35</f>
        <v>98.666666666666671</v>
      </c>
      <c r="DU22" s="324">
        <f>WSMTK!$U$69</f>
        <v>98.4375</v>
      </c>
      <c r="DV22" s="324">
        <f>WSMTK!$U$87</f>
        <v>98</v>
      </c>
      <c r="DW22" s="324">
        <f>WSMTK!$U$99</f>
        <v>98.75</v>
      </c>
      <c r="DX22" s="324">
        <f>WSMTK!$U$113</f>
        <v>98.666666666666671</v>
      </c>
      <c r="DY22" s="324">
        <f>WSMTK!$U$145</f>
        <v>98.4375</v>
      </c>
      <c r="DZ22" s="324" t="str">
        <f>WSMTK!$U$168</f>
        <v/>
      </c>
      <c r="EA22" s="324" t="str">
        <f>WSMTK!$U$176</f>
        <v/>
      </c>
      <c r="EB22" s="324" t="str">
        <f>WSMTK!$U$184</f>
        <v/>
      </c>
      <c r="EC22" s="324" t="str">
        <f>WSMTK!$U$192</f>
        <v/>
      </c>
      <c r="ED22" s="324" t="str">
        <f>WSMTK!$U$200</f>
        <v/>
      </c>
      <c r="EE22" s="76"/>
      <c r="EF22" s="76"/>
      <c r="EG22" s="76"/>
      <c r="EH22" s="76" t="s">
        <v>1311</v>
      </c>
      <c r="EI22" s="324" t="str">
        <f>WSIPA!$U$6</f>
        <v/>
      </c>
      <c r="EJ22" s="324" t="str">
        <f>WSIPA!$U$14</f>
        <v/>
      </c>
      <c r="EK22" s="324" t="str">
        <f>WSIPA!$U$22</f>
        <v/>
      </c>
      <c r="EL22" s="324" t="str">
        <f>WSIPA!$U$30</f>
        <v/>
      </c>
      <c r="EM22" s="324" t="str">
        <f>WSIPA!$U$38</f>
        <v/>
      </c>
      <c r="EN22" s="324" t="str">
        <f>WSIPA!$U$46</f>
        <v/>
      </c>
      <c r="EO22" s="324" t="str">
        <f>WSIPA!$U$54</f>
        <v/>
      </c>
      <c r="EP22" s="324" t="str">
        <f>WSIPA!$U$62</f>
        <v/>
      </c>
      <c r="EQ22" s="324" t="str">
        <f>WSIPA!$U$70</f>
        <v/>
      </c>
      <c r="ER22" s="324" t="str">
        <f>WSIPA!$U$78</f>
        <v/>
      </c>
      <c r="ES22" s="324" t="str">
        <f>WSIPA!$U$86</f>
        <v/>
      </c>
      <c r="ET22" s="324" t="str">
        <f>WSIPA!$U$94</f>
        <v/>
      </c>
      <c r="EU22" s="324" t="str">
        <f>WSIPA!$U$102</f>
        <v/>
      </c>
      <c r="EV22" s="76"/>
      <c r="EW22" s="76"/>
      <c r="EX22" s="76"/>
      <c r="EY22" s="76" t="s">
        <v>1233</v>
      </c>
      <c r="EZ22" s="324" t="str">
        <f>WSIPS!$U$6</f>
        <v/>
      </c>
      <c r="FA22" s="324" t="str">
        <f>WSIPS!$U$14</f>
        <v/>
      </c>
      <c r="FB22" s="324" t="str">
        <f>WSIPS!$U$22</f>
        <v/>
      </c>
      <c r="FC22" s="324" t="str">
        <f>WSIPS!$U$30</f>
        <v/>
      </c>
      <c r="FD22" s="324" t="str">
        <f>WSIPS!$U$38</f>
        <v/>
      </c>
      <c r="FE22" s="324" t="str">
        <f>WSIPS!$U$46</f>
        <v/>
      </c>
      <c r="FF22" s="324" t="str">
        <f>WSIPS!$U$54</f>
        <v/>
      </c>
      <c r="FG22" s="324" t="str">
        <f>WSIPS!$U$62</f>
        <v/>
      </c>
      <c r="FH22" s="324" t="str">
        <f>WSIPS!$U$70</f>
        <v/>
      </c>
      <c r="FI22" s="324" t="str">
        <f>WSIPS!$U$78</f>
        <v/>
      </c>
      <c r="FJ22" s="324" t="str">
        <f>WSIPS!$U$86</f>
        <v/>
      </c>
      <c r="FK22" s="324" t="str">
        <f>WSIPS!$U$94</f>
        <v/>
      </c>
      <c r="FL22" s="324" t="str">
        <f>WSIPS!$U$102</f>
        <v/>
      </c>
      <c r="FM22" s="76"/>
      <c r="FN22" s="76"/>
      <c r="FO22" s="76"/>
      <c r="FP22" s="76" t="s">
        <v>1259</v>
      </c>
      <c r="FQ22" s="324">
        <f>WSSBK!$U$6</f>
        <v>97.5</v>
      </c>
      <c r="FR22" s="324">
        <f>WSSBK!$U$16</f>
        <v>100</v>
      </c>
      <c r="FS22" s="324">
        <f>WSSBK!$U$26</f>
        <v>97.5</v>
      </c>
      <c r="FT22" s="324">
        <f>WSSBK!$U$36</f>
        <v>98.125</v>
      </c>
      <c r="FU22" s="324">
        <f>WSSBK!$U$46</f>
        <v>97.5</v>
      </c>
      <c r="FV22" s="324">
        <f>WSSBK!$U$58</f>
        <v>100</v>
      </c>
      <c r="FW22" s="324">
        <f>WSSBK!$U$68</f>
        <v>97.5</v>
      </c>
      <c r="FX22" s="324">
        <f>WSSBK!$U$77</f>
        <v>98.125</v>
      </c>
      <c r="FY22" s="324" t="str">
        <f>WSSBK!$U$87</f>
        <v/>
      </c>
      <c r="FZ22" s="324" t="str">
        <f>WSSBK!$U$95</f>
        <v/>
      </c>
      <c r="GA22" s="324" t="str">
        <f>WSSBK!$U$103</f>
        <v/>
      </c>
      <c r="GB22" s="324" t="str">
        <f>WSSBK!$U$111</f>
        <v/>
      </c>
      <c r="GC22" s="324" t="str">
        <f>WSSBK!$U$119</f>
        <v/>
      </c>
      <c r="GD22" s="76"/>
      <c r="GE22" s="76"/>
      <c r="GF22" s="76"/>
      <c r="GG22" s="76" t="s">
        <v>1952</v>
      </c>
      <c r="GH22" s="334">
        <f>WSPENJAS!$U$6</f>
        <v>0</v>
      </c>
      <c r="GI22" s="334">
        <f>WSPENJAS!$U$7</f>
        <v>94</v>
      </c>
      <c r="GJ22" s="334">
        <f>WSPENJAS!$U$8</f>
        <v>94</v>
      </c>
      <c r="GK22" s="334">
        <f>WSPENJAS!$U$9</f>
        <v>94</v>
      </c>
      <c r="GL22" s="334">
        <f>WSPENJAS!$U$10</f>
        <v>94</v>
      </c>
      <c r="GM22" s="334">
        <f>WSPENJAS!$U$11</f>
        <v>94</v>
      </c>
      <c r="GN22" s="334">
        <f>WSPENJAS!$U$12</f>
        <v>94</v>
      </c>
      <c r="GO22" s="334">
        <f>WSPENJAS!$U$13</f>
        <v>94</v>
      </c>
      <c r="GP22" s="334">
        <f>WSPENJAS!$U$14</f>
        <v>94</v>
      </c>
      <c r="GQ22" s="334">
        <f>WSPENJAS!$U$15</f>
        <v>94</v>
      </c>
      <c r="GR22" s="334">
        <f>WSPENJAS!$U$16</f>
        <v>0</v>
      </c>
      <c r="GS22" s="334">
        <f>WSPENJAS!$U$17</f>
        <v>0</v>
      </c>
      <c r="GT22" s="334">
        <f>WSPENJAS!$U$18</f>
        <v>0</v>
      </c>
      <c r="GU22" s="334">
        <f>WSPENJAS!$U$19</f>
        <v>0</v>
      </c>
      <c r="GV22" s="334">
        <f>WSPENJAS!$U$20</f>
        <v>0</v>
      </c>
      <c r="GW22" s="334">
        <f>WSPENJAS!$U$21</f>
        <v>0</v>
      </c>
      <c r="GX22" s="76" t="s">
        <v>1291</v>
      </c>
      <c r="GY22" s="324">
        <f>WSJAWA!$U$6</f>
        <v>100</v>
      </c>
      <c r="GZ22" s="324">
        <f>WSJAWA!$U$14</f>
        <v>95</v>
      </c>
      <c r="HA22" s="324">
        <f>WSJAWA!$U$22</f>
        <v>100</v>
      </c>
      <c r="HB22" s="324">
        <f>WSJAWA!$U$30</f>
        <v>100</v>
      </c>
      <c r="HC22" s="324">
        <f>WSJAWA!$U$38</f>
        <v>100</v>
      </c>
      <c r="HD22" s="324">
        <f>WSJAWA!$U$46</f>
        <v>85</v>
      </c>
      <c r="HE22" s="324">
        <f>WSJAWA!$U$54</f>
        <v>100</v>
      </c>
      <c r="HF22" s="324">
        <f>WSJAWA!$U$62</f>
        <v>98.333333333333329</v>
      </c>
      <c r="HG22" s="324" t="str">
        <f>WSJAWA!$U$70</f>
        <v/>
      </c>
      <c r="HH22" s="324" t="str">
        <f>WSJAWA!$U$78</f>
        <v/>
      </c>
      <c r="HI22" s="324" t="str">
        <f>WSJAWA!$U$86</f>
        <v/>
      </c>
      <c r="HJ22" s="324" t="str">
        <f>WSJAWA!$U$94</f>
        <v/>
      </c>
      <c r="HK22" s="324" t="str">
        <f>WSJAWA!$U$102</f>
        <v/>
      </c>
      <c r="HL22" s="76"/>
      <c r="HM22" s="76"/>
      <c r="HN22" s="76"/>
      <c r="HO22" s="76" t="s">
        <v>1280</v>
      </c>
      <c r="HP22" s="324">
        <f>WSING!$U$6</f>
        <v>99.666666666666671</v>
      </c>
      <c r="HQ22" s="324">
        <f>WSING!$U$15</f>
        <v>99.666666666666671</v>
      </c>
      <c r="HR22" s="324">
        <f>WSING!$U$24</f>
        <v>91.666666666666671</v>
      </c>
      <c r="HS22" s="324">
        <f>WSING!$U$33</f>
        <v>91.666666666666671</v>
      </c>
      <c r="HT22" s="324" t="str">
        <f>WSING!$U$42</f>
        <v/>
      </c>
      <c r="HU22" s="324" t="str">
        <f>WSING!$U$50</f>
        <v/>
      </c>
      <c r="HV22" s="324" t="str">
        <f>WSING!$U$58</f>
        <v/>
      </c>
      <c r="HW22" s="324" t="str">
        <f>WSING!$U$66</f>
        <v/>
      </c>
      <c r="HX22" s="324" t="str">
        <f>WSING!$U$74</f>
        <v/>
      </c>
      <c r="HY22" s="324" t="str">
        <f>WSING!$U$82</f>
        <v/>
      </c>
      <c r="HZ22" s="324" t="str">
        <f>WSING!$U$90</f>
        <v/>
      </c>
      <c r="IA22" s="324" t="str">
        <f>WSING!$U$98</f>
        <v/>
      </c>
      <c r="IB22" s="324" t="str">
        <f>WSING!$U$106</f>
        <v/>
      </c>
      <c r="IC22" s="76"/>
      <c r="ID22" s="76"/>
      <c r="IE22" s="76"/>
      <c r="IF22" s="76" t="s">
        <v>1242</v>
      </c>
      <c r="IG22" s="324" t="str">
        <f>WSTIK!$U$6</f>
        <v/>
      </c>
      <c r="IH22" s="324" t="str">
        <f>WSTIK!$U$14</f>
        <v/>
      </c>
      <c r="II22" s="324" t="str">
        <f>WSTIK!$U$22</f>
        <v/>
      </c>
      <c r="IJ22" s="324" t="str">
        <f>WSTIK!$U$30</f>
        <v/>
      </c>
      <c r="IK22" s="324" t="str">
        <f>WSTIK!$U$38</f>
        <v/>
      </c>
      <c r="IL22" s="324" t="str">
        <f>WSTIK!$U$46</f>
        <v/>
      </c>
      <c r="IM22" s="324" t="str">
        <f>WSTIK!$U$54</f>
        <v/>
      </c>
      <c r="IN22" s="324" t="str">
        <f>WSTIK!$U$62</f>
        <v/>
      </c>
      <c r="IO22" s="324" t="str">
        <f>WSTIK!$U$70</f>
        <v/>
      </c>
      <c r="IP22" s="324" t="str">
        <f>WSTIK!$U$78</f>
        <v/>
      </c>
      <c r="IQ22" s="324" t="str">
        <f>WSTIK!$U$86</f>
        <v/>
      </c>
      <c r="IR22" s="324" t="str">
        <f>WSTIK!$U$94</f>
        <v/>
      </c>
      <c r="IS22" s="324" t="str">
        <f>WSTIK!$U$102</f>
        <v/>
      </c>
      <c r="IT22" s="76"/>
      <c r="IU22" s="76"/>
      <c r="IV22" s="76"/>
      <c r="IW22" s="76"/>
      <c r="IX22" s="324" t="str">
        <f>WSASWAJA!$U$6</f>
        <v/>
      </c>
      <c r="IY22" s="324" t="str">
        <f>WSASWAJA!$U$14</f>
        <v/>
      </c>
      <c r="IZ22" s="324" t="str">
        <f>WSASWAJA!$U$22</f>
        <v/>
      </c>
      <c r="JA22" s="324" t="str">
        <f>WSASWAJA!$U$30</f>
        <v/>
      </c>
      <c r="JB22" s="324" t="str">
        <f>WSASWAJA!$U$38</f>
        <v/>
      </c>
      <c r="JC22" s="324" t="str">
        <f>WSASWAJA!$U$46</f>
        <v/>
      </c>
      <c r="JD22" s="324" t="str">
        <f>WSASWAJA!$U$54</f>
        <v/>
      </c>
      <c r="JE22" s="324" t="str">
        <f>WSASWAJA!$U$62</f>
        <v/>
      </c>
      <c r="JF22" s="324" t="str">
        <f>WSASWAJA!$U$70</f>
        <v/>
      </c>
      <c r="JG22" s="324" t="str">
        <f>WSASWAJA!$U$78</f>
        <v/>
      </c>
      <c r="JH22" s="324" t="str">
        <f>WSASWAJA!$U$86</f>
        <v/>
      </c>
      <c r="JI22" s="324" t="str">
        <f>WSASWAJA!$U$94</f>
        <v/>
      </c>
      <c r="JJ22" s="324" t="str">
        <f>WSASWAJA!$U$102</f>
        <v/>
      </c>
      <c r="JK22" s="76"/>
      <c r="JL22" s="76"/>
      <c r="JM22" s="76"/>
      <c r="JN22" s="76"/>
    </row>
    <row r="23" spans="1:274">
      <c r="A23" s="76"/>
      <c r="B23" s="76">
        <v>18</v>
      </c>
      <c r="C23" s="324">
        <f>WSALQURAN!$V$6</f>
        <v>96.666666666666671</v>
      </c>
      <c r="D23" s="324">
        <f>WSALQURAN!$V$14</f>
        <v>100</v>
      </c>
      <c r="E23" s="324">
        <f>WSALQURAN!$V$22</f>
        <v>95</v>
      </c>
      <c r="F23" s="324">
        <f>WSALQURAN!$V$30</f>
        <v>96.666666666666671</v>
      </c>
      <c r="G23" s="324">
        <f>WSALQURAN!$V$38</f>
        <v>98.333333333333329</v>
      </c>
      <c r="H23" s="324">
        <f>WSALQURAN!$V$46</f>
        <v>85</v>
      </c>
      <c r="I23" s="324">
        <f>WSALQURAN!$V$54</f>
        <v>95</v>
      </c>
      <c r="J23" s="324" t="str">
        <f>WSALQURAN!$V$62</f>
        <v/>
      </c>
      <c r="K23" s="324" t="str">
        <f>WSALQURAN!$V$70</f>
        <v/>
      </c>
      <c r="L23" s="324" t="str">
        <f>WSALQURAN!$V$78</f>
        <v/>
      </c>
      <c r="M23" s="324" t="str">
        <f>WSALQURAN!$V$86</f>
        <v/>
      </c>
      <c r="N23" s="324" t="str">
        <f>WSALQURAN!$V$94</f>
        <v/>
      </c>
      <c r="O23" s="324" t="str">
        <f>WSALQURAN!$V$102</f>
        <v/>
      </c>
      <c r="P23" s="76"/>
      <c r="Q23" s="76"/>
      <c r="R23" s="76"/>
      <c r="S23" s="76" t="s">
        <v>1967</v>
      </c>
      <c r="T23" s="324">
        <f>WSAQIDAH!$V$6</f>
        <v>90</v>
      </c>
      <c r="U23" s="324">
        <f>WSAQIDAH!$V$14</f>
        <v>100</v>
      </c>
      <c r="V23" s="324">
        <f>WSAQIDAH!$V$22</f>
        <v>92</v>
      </c>
      <c r="W23" s="324">
        <f>WSAQIDAH!$V$30</f>
        <v>100</v>
      </c>
      <c r="X23" s="324">
        <f>WSAQIDAH!$V$38</f>
        <v>95</v>
      </c>
      <c r="Y23" s="324">
        <f>WSAQIDAH!$V$46</f>
        <v>90</v>
      </c>
      <c r="Z23" s="324">
        <f>WSAQIDAH!$V$54</f>
        <v>100</v>
      </c>
      <c r="AA23" s="324">
        <f>WSAQIDAH!$V$62</f>
        <v>80</v>
      </c>
      <c r="AB23" s="324">
        <f>WSAQIDAH!$V$70</f>
        <v>80</v>
      </c>
      <c r="AC23" s="324">
        <f>WSAQIDAH!$V$78</f>
        <v>80</v>
      </c>
      <c r="AD23" s="324" t="str">
        <f>WSAQIDAH!$V$86</f>
        <v/>
      </c>
      <c r="AE23" s="324" t="str">
        <f>WSAQIDAH!$V$94</f>
        <v/>
      </c>
      <c r="AF23" s="324" t="str">
        <f>WSAQIDAH!$V$102</f>
        <v/>
      </c>
      <c r="AG23" s="76"/>
      <c r="AH23" s="76"/>
      <c r="AI23" s="76"/>
      <c r="AJ23" s="76" t="s">
        <v>1977</v>
      </c>
      <c r="AK23" s="324">
        <f>WSFIQIH!$V$6</f>
        <v>93</v>
      </c>
      <c r="AL23" s="324">
        <f>WSFIQIH!$V$19</f>
        <v>100</v>
      </c>
      <c r="AM23" s="324">
        <f>WSFIQIH!$V$28</f>
        <v>100</v>
      </c>
      <c r="AN23" s="324">
        <f>WSFIQIH!$V$41</f>
        <v>100</v>
      </c>
      <c r="AO23" s="324">
        <f>WSFIQIH!$V$49</f>
        <v>100</v>
      </c>
      <c r="AP23" s="324">
        <f>WSFIQIH!$V$62</f>
        <v>100</v>
      </c>
      <c r="AQ23" s="324">
        <f>WSFIQIH!$V$71</f>
        <v>90</v>
      </c>
      <c r="AR23" s="324">
        <f>WSFIQIH!$V$80</f>
        <v>80</v>
      </c>
      <c r="AS23" s="324" t="str">
        <f>WSFIQIH!$V$88</f>
        <v/>
      </c>
      <c r="AT23" s="324" t="str">
        <f>WSFIQIH!$V$96</f>
        <v/>
      </c>
      <c r="AU23" s="324" t="str">
        <f>WSFIQIH!$V$104</f>
        <v/>
      </c>
      <c r="AV23" s="324" t="str">
        <f>WSFIQIH!$V$112</f>
        <v/>
      </c>
      <c r="AW23" s="324" t="str">
        <f>WSFIQIH!$V$120</f>
        <v/>
      </c>
      <c r="AX23" s="76"/>
      <c r="AY23" s="76"/>
      <c r="AZ23" s="76"/>
      <c r="BA23" s="76" t="s">
        <v>1227</v>
      </c>
      <c r="BB23" s="324">
        <f>WSSKI!$V$6</f>
        <v>99</v>
      </c>
      <c r="BC23" s="324">
        <f>WSSKI!$V$14</f>
        <v>92.8</v>
      </c>
      <c r="BD23" s="324">
        <f>WSSKI!$V$23</f>
        <v>80</v>
      </c>
      <c r="BE23" s="324">
        <f>WSSKI!$V$31</f>
        <v>90</v>
      </c>
      <c r="BF23" s="324">
        <f>WSSKI!$V$40</f>
        <v>75</v>
      </c>
      <c r="BG23" s="324">
        <f>WSSKI!$V$48</f>
        <v>75</v>
      </c>
      <c r="BH23" s="324" t="str">
        <f>WSSKI!$V$56</f>
        <v/>
      </c>
      <c r="BI23" s="324" t="str">
        <f>WSSKI!$V$64</f>
        <v/>
      </c>
      <c r="BJ23" s="324" t="str">
        <f>WSSKI!$V$72</f>
        <v/>
      </c>
      <c r="BK23" s="324" t="str">
        <f>WSSKI!$V$80</f>
        <v/>
      </c>
      <c r="BL23" s="324" t="str">
        <f>WSSKI!$V$88</f>
        <v/>
      </c>
      <c r="BM23" s="324" t="str">
        <f>WSSKI!$V$96</f>
        <v/>
      </c>
      <c r="BN23" s="324" t="str">
        <f>WSSKI!$V$104</f>
        <v/>
      </c>
      <c r="BO23" s="76"/>
      <c r="BP23" s="76"/>
      <c r="BQ23" s="76"/>
      <c r="BR23" s="76"/>
      <c r="BS23" s="324">
        <f>WSPKN!$V$6</f>
        <v>94.375</v>
      </c>
      <c r="BT23" s="324">
        <f>WSPKN!$V$32</f>
        <v>95.3125</v>
      </c>
      <c r="BU23" s="324">
        <f>WSPKN!$V$55</f>
        <v>94.285714285714292</v>
      </c>
      <c r="BV23" s="324">
        <f>WSPKN!$V$72</f>
        <v>93.944444444444443</v>
      </c>
      <c r="BW23" s="324">
        <f>WSPKN!$V$86</f>
        <v>94.166666666666671</v>
      </c>
      <c r="BX23" s="324">
        <f>WSPKN!$V$108</f>
        <v>95.3125</v>
      </c>
      <c r="BY23" s="324">
        <f>WSPKN!$V$132</f>
        <v>94.285714285714292</v>
      </c>
      <c r="BZ23" s="324">
        <f>WSPKN!$V$148</f>
        <v>93.333333333333329</v>
      </c>
      <c r="CA23" s="324" t="str">
        <f>WSPKN!$V$165</f>
        <v/>
      </c>
      <c r="CB23" s="324" t="str">
        <f>WSPKN!$V$173</f>
        <v/>
      </c>
      <c r="CC23" s="324" t="str">
        <f>WSPKN!$V$181</f>
        <v/>
      </c>
      <c r="CD23" s="324" t="str">
        <f>WSPKN!$V$189</f>
        <v/>
      </c>
      <c r="CE23" s="324" t="str">
        <f>WSPKN!$V$197</f>
        <v/>
      </c>
      <c r="CF23" s="76"/>
      <c r="CG23" s="76"/>
      <c r="CH23" s="76"/>
      <c r="CI23" s="76" t="s">
        <v>1888</v>
      </c>
      <c r="CJ23" s="324">
        <f>WSIND!$V$6</f>
        <v>94.583333333333329</v>
      </c>
      <c r="CK23" s="324">
        <f>WSIND!$V$65</f>
        <v>92.5</v>
      </c>
      <c r="CL23" s="324">
        <f>WSIND!$V$113</f>
        <v>92.777777777777771</v>
      </c>
      <c r="CM23" s="324">
        <f>WSIND!$V$133</f>
        <v>94.666666666666671</v>
      </c>
      <c r="CN23" s="324">
        <f>WSIND!$V$161</f>
        <v>95.476190476190482</v>
      </c>
      <c r="CO23" s="324">
        <f>WSIND!$V$192</f>
        <v>94.347826086956516</v>
      </c>
      <c r="CP23" s="324">
        <f>WSIND!$V$228</f>
        <v>92.5</v>
      </c>
      <c r="CQ23" s="324">
        <f>WSIND!$V$256</f>
        <v>92.777777777777771</v>
      </c>
      <c r="CR23" s="324">
        <f>WSIND!$V$277</f>
        <v>94.666666666666671</v>
      </c>
      <c r="CS23" s="324">
        <f>WSIND!$V$305</f>
        <v>95.476190476190482</v>
      </c>
      <c r="CT23" s="324" t="str">
        <f>WSIND!$V$329</f>
        <v/>
      </c>
      <c r="CU23" s="324" t="str">
        <f>WSIND!$V$337</f>
        <v/>
      </c>
      <c r="CV23" s="324" t="str">
        <f>WSIND!$V$345</f>
        <v/>
      </c>
      <c r="CW23" s="76"/>
      <c r="CX23" s="76"/>
      <c r="CY23" s="76"/>
      <c r="CZ23" s="76" t="s">
        <v>1906</v>
      </c>
      <c r="DA23" s="324" t="str">
        <f>WSARAB!$V$6</f>
        <v/>
      </c>
      <c r="DB23" s="324" t="str">
        <f>WSARAB!$V$17</f>
        <v/>
      </c>
      <c r="DC23" s="324" t="str">
        <f>WSARAB!$V$29</f>
        <v/>
      </c>
      <c r="DD23" s="324" t="str">
        <f>WSARAB!$V$37</f>
        <v/>
      </c>
      <c r="DE23" s="324" t="str">
        <f>WSARAB!$V$45</f>
        <v/>
      </c>
      <c r="DF23" s="324" t="str">
        <f>WSARAB!$V$53</f>
        <v/>
      </c>
      <c r="DG23" s="324" t="str">
        <f>WSARAB!$V$65</f>
        <v/>
      </c>
      <c r="DH23" s="324" t="str">
        <f>WSARAB!$V$73</f>
        <v/>
      </c>
      <c r="DI23" s="324" t="str">
        <f>WSARAB!$V$81</f>
        <v/>
      </c>
      <c r="DJ23" s="324" t="str">
        <f>WSARAB!$V$89</f>
        <v/>
      </c>
      <c r="DK23" s="324" t="str">
        <f>WSARAB!$V$97</f>
        <v/>
      </c>
      <c r="DL23" s="324" t="str">
        <f>WSARAB!$V$105</f>
        <v/>
      </c>
      <c r="DM23" s="324" t="str">
        <f>WSARAB!$V$113</f>
        <v/>
      </c>
      <c r="DN23" s="76"/>
      <c r="DO23" s="76"/>
      <c r="DP23" s="76"/>
      <c r="DQ23" s="76" t="s">
        <v>1327</v>
      </c>
      <c r="DR23" s="324">
        <f>WSMTK!$V$6</f>
        <v>93.5</v>
      </c>
      <c r="DS23" s="324">
        <f>WSMTK!$V$22</f>
        <v>93.75</v>
      </c>
      <c r="DT23" s="324">
        <f>WSMTK!$V$35</f>
        <v>94.482758620689651</v>
      </c>
      <c r="DU23" s="324">
        <f>WSMTK!$V$69</f>
        <v>94.0625</v>
      </c>
      <c r="DV23" s="324">
        <f>WSMTK!$V$87</f>
        <v>93.5</v>
      </c>
      <c r="DW23" s="324">
        <f>WSMTK!$V$99</f>
        <v>93.75</v>
      </c>
      <c r="DX23" s="324">
        <f>WSMTK!$V$113</f>
        <v>94.482758620689651</v>
      </c>
      <c r="DY23" s="324">
        <f>WSMTK!$V$145</f>
        <v>94.0625</v>
      </c>
      <c r="DZ23" s="324" t="str">
        <f>WSMTK!$V$168</f>
        <v/>
      </c>
      <c r="EA23" s="324" t="str">
        <f>WSMTK!$V$176</f>
        <v/>
      </c>
      <c r="EB23" s="324" t="str">
        <f>WSMTK!$V$184</f>
        <v/>
      </c>
      <c r="EC23" s="324" t="str">
        <f>WSMTK!$V$192</f>
        <v/>
      </c>
      <c r="ED23" s="324" t="str">
        <f>WSMTK!$V$200</f>
        <v/>
      </c>
      <c r="EE23" s="76"/>
      <c r="EF23" s="76"/>
      <c r="EG23" s="76"/>
      <c r="EH23" s="76" t="s">
        <v>1312</v>
      </c>
      <c r="EI23" s="324" t="str">
        <f>WSIPA!$V$6</f>
        <v/>
      </c>
      <c r="EJ23" s="324" t="str">
        <f>WSIPA!$V$14</f>
        <v/>
      </c>
      <c r="EK23" s="324" t="str">
        <f>WSIPA!$V$22</f>
        <v/>
      </c>
      <c r="EL23" s="324" t="str">
        <f>WSIPA!$V$30</f>
        <v/>
      </c>
      <c r="EM23" s="324" t="str">
        <f>WSIPA!$V$38</f>
        <v/>
      </c>
      <c r="EN23" s="324" t="str">
        <f>WSIPA!$V$46</f>
        <v/>
      </c>
      <c r="EO23" s="324" t="str">
        <f>WSIPA!$V$54</f>
        <v/>
      </c>
      <c r="EP23" s="324" t="str">
        <f>WSIPA!$V$62</f>
        <v/>
      </c>
      <c r="EQ23" s="324" t="str">
        <f>WSIPA!$V$70</f>
        <v/>
      </c>
      <c r="ER23" s="324" t="str">
        <f>WSIPA!$V$78</f>
        <v/>
      </c>
      <c r="ES23" s="324" t="str">
        <f>WSIPA!$V$86</f>
        <v/>
      </c>
      <c r="ET23" s="324" t="str">
        <f>WSIPA!$V$94</f>
        <v/>
      </c>
      <c r="EU23" s="324" t="str">
        <f>WSIPA!$V$102</f>
        <v/>
      </c>
      <c r="EV23" s="76"/>
      <c r="EW23" s="76"/>
      <c r="EX23" s="76"/>
      <c r="EY23" s="76" t="s">
        <v>1233</v>
      </c>
      <c r="EZ23" s="324" t="str">
        <f>WSIPS!$V$6</f>
        <v/>
      </c>
      <c r="FA23" s="324" t="str">
        <f>WSIPS!$V$14</f>
        <v/>
      </c>
      <c r="FB23" s="324" t="str">
        <f>WSIPS!$V$22</f>
        <v/>
      </c>
      <c r="FC23" s="324" t="str">
        <f>WSIPS!$V$30</f>
        <v/>
      </c>
      <c r="FD23" s="324" t="str">
        <f>WSIPS!$V$38</f>
        <v/>
      </c>
      <c r="FE23" s="324" t="str">
        <f>WSIPS!$V$46</f>
        <v/>
      </c>
      <c r="FF23" s="324" t="str">
        <f>WSIPS!$V$54</f>
        <v/>
      </c>
      <c r="FG23" s="324" t="str">
        <f>WSIPS!$V$62</f>
        <v/>
      </c>
      <c r="FH23" s="324" t="str">
        <f>WSIPS!$V$70</f>
        <v/>
      </c>
      <c r="FI23" s="324" t="str">
        <f>WSIPS!$V$78</f>
        <v/>
      </c>
      <c r="FJ23" s="324" t="str">
        <f>WSIPS!$V$86</f>
        <v/>
      </c>
      <c r="FK23" s="324" t="str">
        <f>WSIPS!$V$94</f>
        <v/>
      </c>
      <c r="FL23" s="324" t="str">
        <f>WSIPS!$V$102</f>
        <v/>
      </c>
      <c r="FM23" s="76"/>
      <c r="FN23" s="76"/>
      <c r="FO23" s="76"/>
      <c r="FP23" s="76" t="s">
        <v>1260</v>
      </c>
      <c r="FQ23" s="324">
        <f>WSSBK!$V$6</f>
        <v>94.375</v>
      </c>
      <c r="FR23" s="324">
        <f>WSSBK!$V$16</f>
        <v>92.5</v>
      </c>
      <c r="FS23" s="324">
        <f>WSSBK!$V$26</f>
        <v>95</v>
      </c>
      <c r="FT23" s="324">
        <f>WSSBK!$V$36</f>
        <v>91.428571428571431</v>
      </c>
      <c r="FU23" s="324">
        <f>WSSBK!$V$46</f>
        <v>94.375</v>
      </c>
      <c r="FV23" s="324">
        <f>WSSBK!$V$58</f>
        <v>92.5</v>
      </c>
      <c r="FW23" s="324">
        <f>WSSBK!$V$68</f>
        <v>95</v>
      </c>
      <c r="FX23" s="324">
        <f>WSSBK!$V$77</f>
        <v>91.428571428571431</v>
      </c>
      <c r="FY23" s="324" t="str">
        <f>WSSBK!$V$87</f>
        <v/>
      </c>
      <c r="FZ23" s="324" t="str">
        <f>WSSBK!$V$95</f>
        <v/>
      </c>
      <c r="GA23" s="324" t="str">
        <f>WSSBK!$V$103</f>
        <v/>
      </c>
      <c r="GB23" s="324" t="str">
        <f>WSSBK!$V$111</f>
        <v/>
      </c>
      <c r="GC23" s="324" t="str">
        <f>WSSBK!$V$119</f>
        <v/>
      </c>
      <c r="GD23" s="76"/>
      <c r="GE23" s="76"/>
      <c r="GF23" s="76"/>
      <c r="GG23" s="76" t="s">
        <v>1953</v>
      </c>
      <c r="GH23" s="334">
        <f>WSPENJAS!$V$6</f>
        <v>0</v>
      </c>
      <c r="GI23" s="334">
        <f>WSPENJAS!$V$7</f>
        <v>89</v>
      </c>
      <c r="GJ23" s="334">
        <f>WSPENJAS!$V$8</f>
        <v>89</v>
      </c>
      <c r="GK23" s="334">
        <f>WSPENJAS!$V$9</f>
        <v>89</v>
      </c>
      <c r="GL23" s="334">
        <f>WSPENJAS!$V$10</f>
        <v>89</v>
      </c>
      <c r="GM23" s="334">
        <f>WSPENJAS!$V$11</f>
        <v>89</v>
      </c>
      <c r="GN23" s="334">
        <f>WSPENJAS!$V$12</f>
        <v>89</v>
      </c>
      <c r="GO23" s="334">
        <f>WSPENJAS!$V$13</f>
        <v>89</v>
      </c>
      <c r="GP23" s="334">
        <f>WSPENJAS!$V$14</f>
        <v>89</v>
      </c>
      <c r="GQ23" s="334">
        <f>WSPENJAS!$V$15</f>
        <v>89</v>
      </c>
      <c r="GR23" s="334">
        <f>WSPENJAS!$V$16</f>
        <v>0</v>
      </c>
      <c r="GS23" s="334">
        <f>WSPENJAS!$V$17</f>
        <v>0</v>
      </c>
      <c r="GT23" s="334">
        <f>WSPENJAS!$V$18</f>
        <v>0</v>
      </c>
      <c r="GU23" s="334">
        <f>WSPENJAS!$V$19</f>
        <v>0</v>
      </c>
      <c r="GV23" s="334">
        <f>WSPENJAS!$V$20</f>
        <v>0</v>
      </c>
      <c r="GW23" s="334">
        <f>WSPENJAS!$V$21</f>
        <v>0</v>
      </c>
      <c r="GX23" s="76" t="s">
        <v>1291</v>
      </c>
      <c r="GY23" s="324">
        <f>WSJAWA!$V$6</f>
        <v>100</v>
      </c>
      <c r="GZ23" s="324">
        <f>WSJAWA!$V$14</f>
        <v>100</v>
      </c>
      <c r="HA23" s="324">
        <f>WSJAWA!$V$22</f>
        <v>100</v>
      </c>
      <c r="HB23" s="324">
        <f>WSJAWA!$V$30</f>
        <v>100</v>
      </c>
      <c r="HC23" s="324">
        <f>WSJAWA!$V$38</f>
        <v>100</v>
      </c>
      <c r="HD23" s="324">
        <f>WSJAWA!$V$46</f>
        <v>100</v>
      </c>
      <c r="HE23" s="324">
        <f>WSJAWA!$V$54</f>
        <v>100</v>
      </c>
      <c r="HF23" s="324">
        <f>WSJAWA!$V$62</f>
        <v>96.666666666666671</v>
      </c>
      <c r="HG23" s="324" t="str">
        <f>WSJAWA!$V$70</f>
        <v/>
      </c>
      <c r="HH23" s="324" t="str">
        <f>WSJAWA!$V$78</f>
        <v/>
      </c>
      <c r="HI23" s="324" t="str">
        <f>WSJAWA!$V$86</f>
        <v/>
      </c>
      <c r="HJ23" s="324" t="str">
        <f>WSJAWA!$V$94</f>
        <v/>
      </c>
      <c r="HK23" s="324" t="str">
        <f>WSJAWA!$V$102</f>
        <v/>
      </c>
      <c r="HL23" s="76"/>
      <c r="HM23" s="76"/>
      <c r="HN23" s="76"/>
      <c r="HO23" s="76" t="s">
        <v>1282</v>
      </c>
      <c r="HP23" s="324">
        <f>WSING!$V$6</f>
        <v>95.833333333333329</v>
      </c>
      <c r="HQ23" s="324">
        <f>WSING!$V$15</f>
        <v>95.833333333333329</v>
      </c>
      <c r="HR23" s="324">
        <f>WSING!$V$24</f>
        <v>96.666666666666671</v>
      </c>
      <c r="HS23" s="324">
        <f>WSING!$V$33</f>
        <v>96.666666666666671</v>
      </c>
      <c r="HT23" s="324" t="str">
        <f>WSING!$V$42</f>
        <v/>
      </c>
      <c r="HU23" s="324" t="str">
        <f>WSING!$V$50</f>
        <v/>
      </c>
      <c r="HV23" s="324" t="str">
        <f>WSING!$V$58</f>
        <v/>
      </c>
      <c r="HW23" s="324" t="str">
        <f>WSING!$V$66</f>
        <v/>
      </c>
      <c r="HX23" s="324" t="str">
        <f>WSING!$V$74</f>
        <v/>
      </c>
      <c r="HY23" s="324" t="str">
        <f>WSING!$V$82</f>
        <v/>
      </c>
      <c r="HZ23" s="324" t="str">
        <f>WSING!$V$90</f>
        <v/>
      </c>
      <c r="IA23" s="324" t="str">
        <f>WSING!$V$98</f>
        <v/>
      </c>
      <c r="IB23" s="324" t="str">
        <f>WSING!$V$106</f>
        <v/>
      </c>
      <c r="IC23" s="76"/>
      <c r="ID23" s="76"/>
      <c r="IE23" s="76"/>
      <c r="IF23" s="76" t="s">
        <v>1242</v>
      </c>
      <c r="IG23" s="324" t="str">
        <f>WSTIK!$V$6</f>
        <v/>
      </c>
      <c r="IH23" s="324" t="str">
        <f>WSTIK!$V$14</f>
        <v/>
      </c>
      <c r="II23" s="324" t="str">
        <f>WSTIK!$V$22</f>
        <v/>
      </c>
      <c r="IJ23" s="324" t="str">
        <f>WSTIK!$V$30</f>
        <v/>
      </c>
      <c r="IK23" s="324" t="str">
        <f>WSTIK!$V$38</f>
        <v/>
      </c>
      <c r="IL23" s="324" t="str">
        <f>WSTIK!$V$46</f>
        <v/>
      </c>
      <c r="IM23" s="324" t="str">
        <f>WSTIK!$V$54</f>
        <v/>
      </c>
      <c r="IN23" s="324" t="str">
        <f>WSTIK!$V$62</f>
        <v/>
      </c>
      <c r="IO23" s="324" t="str">
        <f>WSTIK!$V$70</f>
        <v/>
      </c>
      <c r="IP23" s="324" t="str">
        <f>WSTIK!$V$78</f>
        <v/>
      </c>
      <c r="IQ23" s="324" t="str">
        <f>WSTIK!$V$86</f>
        <v/>
      </c>
      <c r="IR23" s="324" t="str">
        <f>WSTIK!$V$94</f>
        <v/>
      </c>
      <c r="IS23" s="324" t="str">
        <f>WSTIK!$V$102</f>
        <v/>
      </c>
      <c r="IT23" s="76"/>
      <c r="IU23" s="76"/>
      <c r="IV23" s="76"/>
      <c r="IW23" s="76"/>
      <c r="IX23" s="324" t="str">
        <f>WSASWAJA!$V$6</f>
        <v/>
      </c>
      <c r="IY23" s="324" t="str">
        <f>WSASWAJA!$V$14</f>
        <v/>
      </c>
      <c r="IZ23" s="324" t="str">
        <f>WSASWAJA!$V$22</f>
        <v/>
      </c>
      <c r="JA23" s="324" t="str">
        <f>WSASWAJA!$V$30</f>
        <v/>
      </c>
      <c r="JB23" s="324" t="str">
        <f>WSASWAJA!$V$38</f>
        <v/>
      </c>
      <c r="JC23" s="324" t="str">
        <f>WSASWAJA!$V$46</f>
        <v/>
      </c>
      <c r="JD23" s="324" t="str">
        <f>WSASWAJA!$V$54</f>
        <v/>
      </c>
      <c r="JE23" s="324" t="str">
        <f>WSASWAJA!$V$62</f>
        <v/>
      </c>
      <c r="JF23" s="324" t="str">
        <f>WSASWAJA!$V$70</f>
        <v/>
      </c>
      <c r="JG23" s="324" t="str">
        <f>WSASWAJA!$V$78</f>
        <v/>
      </c>
      <c r="JH23" s="324" t="str">
        <f>WSASWAJA!$V$86</f>
        <v/>
      </c>
      <c r="JI23" s="324" t="str">
        <f>WSASWAJA!$V$94</f>
        <v/>
      </c>
      <c r="JJ23" s="324" t="str">
        <f>WSASWAJA!$V$102</f>
        <v/>
      </c>
      <c r="JK23" s="76"/>
      <c r="JL23" s="76"/>
      <c r="JM23" s="76"/>
      <c r="JN23" s="76"/>
    </row>
    <row r="24" spans="1:274">
      <c r="A24" s="76"/>
      <c r="B24" s="76">
        <v>19</v>
      </c>
      <c r="C24" s="324">
        <f>WSALQURAN!$W$6</f>
        <v>80</v>
      </c>
      <c r="D24" s="324">
        <f>WSALQURAN!$W$14</f>
        <v>85</v>
      </c>
      <c r="E24" s="324">
        <f>WSALQURAN!$W$22</f>
        <v>92</v>
      </c>
      <c r="F24" s="324">
        <f>WSALQURAN!$W$30</f>
        <v>80</v>
      </c>
      <c r="G24" s="324">
        <f>WSALQURAN!$W$38</f>
        <v>80</v>
      </c>
      <c r="H24" s="324">
        <f>WSALQURAN!$W$46</f>
        <v>85</v>
      </c>
      <c r="I24" s="324">
        <f>WSALQURAN!$W$54</f>
        <v>90</v>
      </c>
      <c r="J24" s="324" t="str">
        <f>WSALQURAN!$W$62</f>
        <v/>
      </c>
      <c r="K24" s="324" t="str">
        <f>WSALQURAN!$W$70</f>
        <v/>
      </c>
      <c r="L24" s="324" t="str">
        <f>WSALQURAN!$W$78</f>
        <v/>
      </c>
      <c r="M24" s="324" t="str">
        <f>WSALQURAN!$W$86</f>
        <v/>
      </c>
      <c r="N24" s="324" t="str">
        <f>WSALQURAN!$W$94</f>
        <v/>
      </c>
      <c r="O24" s="324" t="str">
        <f>WSALQURAN!$W$102</f>
        <v/>
      </c>
      <c r="P24" s="76"/>
      <c r="Q24" s="76"/>
      <c r="R24" s="76"/>
      <c r="S24" s="76" t="s">
        <v>1966</v>
      </c>
      <c r="T24" s="324">
        <f>WSAQIDAH!$W$6</f>
        <v>82.5</v>
      </c>
      <c r="U24" s="324">
        <f>WSAQIDAH!$W$14</f>
        <v>100</v>
      </c>
      <c r="V24" s="324">
        <f>WSAQIDAH!$W$22</f>
        <v>75</v>
      </c>
      <c r="W24" s="324">
        <f>WSAQIDAH!$W$30</f>
        <v>90</v>
      </c>
      <c r="X24" s="324">
        <f>WSAQIDAH!$W$38</f>
        <v>100</v>
      </c>
      <c r="Y24" s="324">
        <f>WSAQIDAH!$W$46</f>
        <v>100</v>
      </c>
      <c r="Z24" s="324">
        <f>WSAQIDAH!$W$54</f>
        <v>90</v>
      </c>
      <c r="AA24" s="324">
        <f>WSAQIDAH!$W$62</f>
        <v>75</v>
      </c>
      <c r="AB24" s="324">
        <f>WSAQIDAH!$W$70</f>
        <v>75</v>
      </c>
      <c r="AC24" s="324">
        <f>WSAQIDAH!$W$78</f>
        <v>75</v>
      </c>
      <c r="AD24" s="324" t="str">
        <f>WSAQIDAH!$W$86</f>
        <v/>
      </c>
      <c r="AE24" s="324" t="str">
        <f>WSAQIDAH!$W$94</f>
        <v/>
      </c>
      <c r="AF24" s="324" t="str">
        <f>WSAQIDAH!$W$102</f>
        <v/>
      </c>
      <c r="AG24" s="76"/>
      <c r="AH24" s="76"/>
      <c r="AI24" s="76"/>
      <c r="AJ24" s="76" t="s">
        <v>1976</v>
      </c>
      <c r="AK24" s="324">
        <f>WSFIQIH!$W$6</f>
        <v>78</v>
      </c>
      <c r="AL24" s="324">
        <f>WSFIQIH!$W$19</f>
        <v>95</v>
      </c>
      <c r="AM24" s="324">
        <f>WSFIQIH!$W$28</f>
        <v>75</v>
      </c>
      <c r="AN24" s="324">
        <f>WSFIQIH!$W$41</f>
        <v>75</v>
      </c>
      <c r="AO24" s="324">
        <f>WSFIQIH!$W$49</f>
        <v>80</v>
      </c>
      <c r="AP24" s="324">
        <f>WSFIQIH!$W$62</f>
        <v>88</v>
      </c>
      <c r="AQ24" s="324">
        <f>WSFIQIH!$W$71</f>
        <v>98</v>
      </c>
      <c r="AR24" s="324">
        <f>WSFIQIH!$W$80</f>
        <v>78</v>
      </c>
      <c r="AS24" s="324" t="str">
        <f>WSFIQIH!$W$88</f>
        <v/>
      </c>
      <c r="AT24" s="324" t="str">
        <f>WSFIQIH!$W$96</f>
        <v/>
      </c>
      <c r="AU24" s="324" t="str">
        <f>WSFIQIH!$W$104</f>
        <v/>
      </c>
      <c r="AV24" s="324" t="str">
        <f>WSFIQIH!$W$112</f>
        <v/>
      </c>
      <c r="AW24" s="324" t="str">
        <f>WSFIQIH!$W$120</f>
        <v/>
      </c>
      <c r="AX24" s="76"/>
      <c r="AY24" s="76"/>
      <c r="AZ24" s="76"/>
      <c r="BA24" s="76" t="s">
        <v>1228</v>
      </c>
      <c r="BB24" s="324">
        <f>WSSKI!$W$6</f>
        <v>82.5</v>
      </c>
      <c r="BC24" s="324">
        <f>WSSKI!$W$14</f>
        <v>86.4</v>
      </c>
      <c r="BD24" s="324">
        <f>WSSKI!$W$23</f>
        <v>78.333333333333329</v>
      </c>
      <c r="BE24" s="324">
        <f>WSSKI!$W$31</f>
        <v>85</v>
      </c>
      <c r="BF24" s="324">
        <f>WSSKI!$W$40</f>
        <v>75</v>
      </c>
      <c r="BG24" s="324">
        <f>WSSKI!$W$48</f>
        <v>75</v>
      </c>
      <c r="BH24" s="324" t="str">
        <f>WSSKI!$W$56</f>
        <v/>
      </c>
      <c r="BI24" s="324" t="str">
        <f>WSSKI!$W$64</f>
        <v/>
      </c>
      <c r="BJ24" s="324" t="str">
        <f>WSSKI!$W$72</f>
        <v/>
      </c>
      <c r="BK24" s="324" t="str">
        <f>WSSKI!$W$80</f>
        <v/>
      </c>
      <c r="BL24" s="324" t="str">
        <f>WSSKI!$W$88</f>
        <v/>
      </c>
      <c r="BM24" s="324" t="str">
        <f>WSSKI!$W$96</f>
        <v/>
      </c>
      <c r="BN24" s="324" t="str">
        <f>WSSKI!$W$104</f>
        <v/>
      </c>
      <c r="BO24" s="76"/>
      <c r="BP24" s="76"/>
      <c r="BQ24" s="76"/>
      <c r="BR24" s="76"/>
      <c r="BS24" s="324">
        <f>WSPKN!$W$6</f>
        <v>92.5</v>
      </c>
      <c r="BT24" s="324">
        <f>WSPKN!$W$32</f>
        <v>96</v>
      </c>
      <c r="BU24" s="324">
        <f>WSPKN!$W$55</f>
        <v>93.928571428571431</v>
      </c>
      <c r="BV24" s="324">
        <f>WSPKN!$W$72</f>
        <v>93.861111111111114</v>
      </c>
      <c r="BW24" s="324">
        <f>WSPKN!$W$86</f>
        <v>92.916666666666671</v>
      </c>
      <c r="BX24" s="324">
        <f>WSPKN!$W$108</f>
        <v>96</v>
      </c>
      <c r="BY24" s="324">
        <f>WSPKN!$W$132</f>
        <v>93.928571428571431</v>
      </c>
      <c r="BZ24" s="324">
        <f>WSPKN!$W$148</f>
        <v>95</v>
      </c>
      <c r="CA24" s="324" t="str">
        <f>WSPKN!$W$165</f>
        <v/>
      </c>
      <c r="CB24" s="324" t="str">
        <f>WSPKN!$W$173</f>
        <v/>
      </c>
      <c r="CC24" s="324" t="str">
        <f>WSPKN!$W$181</f>
        <v/>
      </c>
      <c r="CD24" s="324" t="str">
        <f>WSPKN!$W$189</f>
        <v/>
      </c>
      <c r="CE24" s="324" t="str">
        <f>WSPKN!$W$197</f>
        <v/>
      </c>
      <c r="CF24" s="76"/>
      <c r="CG24" s="76"/>
      <c r="CH24" s="76"/>
      <c r="CI24" s="76" t="s">
        <v>1888</v>
      </c>
      <c r="CJ24" s="324">
        <f>WSIND!$W$6</f>
        <v>94.375</v>
      </c>
      <c r="CK24" s="324">
        <f>WSIND!$W$65</f>
        <v>92.875</v>
      </c>
      <c r="CL24" s="324">
        <f>WSIND!$W$113</f>
        <v>95.555555555555557</v>
      </c>
      <c r="CM24" s="324">
        <f>WSIND!$W$133</f>
        <v>90.666666666666671</v>
      </c>
      <c r="CN24" s="324">
        <f>WSIND!$W$161</f>
        <v>94</v>
      </c>
      <c r="CO24" s="324">
        <f>WSIND!$W$192</f>
        <v>94.130434782608702</v>
      </c>
      <c r="CP24" s="324">
        <f>WSIND!$W$228</f>
        <v>92.875</v>
      </c>
      <c r="CQ24" s="324">
        <f>WSIND!$W$256</f>
        <v>95.555555555555557</v>
      </c>
      <c r="CR24" s="324">
        <f>WSIND!$W$277</f>
        <v>90.666666666666671</v>
      </c>
      <c r="CS24" s="324">
        <f>WSIND!$W$305</f>
        <v>94</v>
      </c>
      <c r="CT24" s="324" t="str">
        <f>WSIND!$W$329</f>
        <v/>
      </c>
      <c r="CU24" s="324" t="str">
        <f>WSIND!$W$337</f>
        <v/>
      </c>
      <c r="CV24" s="324" t="str">
        <f>WSIND!$W$345</f>
        <v/>
      </c>
      <c r="CW24" s="76"/>
      <c r="CX24" s="76"/>
      <c r="CY24" s="76"/>
      <c r="CZ24" s="76" t="s">
        <v>1907</v>
      </c>
      <c r="DA24" s="324" t="str">
        <f>WSARAB!$W$6</f>
        <v/>
      </c>
      <c r="DB24" s="324" t="str">
        <f>WSARAB!$W$17</f>
        <v/>
      </c>
      <c r="DC24" s="324" t="str">
        <f>WSARAB!$W$29</f>
        <v/>
      </c>
      <c r="DD24" s="324" t="str">
        <f>WSARAB!$W$37</f>
        <v/>
      </c>
      <c r="DE24" s="324" t="str">
        <f>WSARAB!$W$45</f>
        <v/>
      </c>
      <c r="DF24" s="324" t="str">
        <f>WSARAB!$W$53</f>
        <v/>
      </c>
      <c r="DG24" s="324" t="str">
        <f>WSARAB!$W$65</f>
        <v/>
      </c>
      <c r="DH24" s="324" t="str">
        <f>WSARAB!$W$73</f>
        <v/>
      </c>
      <c r="DI24" s="324" t="str">
        <f>WSARAB!$W$81</f>
        <v/>
      </c>
      <c r="DJ24" s="324" t="str">
        <f>WSARAB!$W$89</f>
        <v/>
      </c>
      <c r="DK24" s="324" t="str">
        <f>WSARAB!$W$97</f>
        <v/>
      </c>
      <c r="DL24" s="324" t="str">
        <f>WSARAB!$W$105</f>
        <v/>
      </c>
      <c r="DM24" s="324" t="str">
        <f>WSARAB!$W$113</f>
        <v/>
      </c>
      <c r="DN24" s="76"/>
      <c r="DO24" s="76"/>
      <c r="DP24" s="76"/>
      <c r="DQ24" s="76" t="s">
        <v>1328</v>
      </c>
      <c r="DR24" s="324">
        <f>WSMTK!$W$6</f>
        <v>90.9</v>
      </c>
      <c r="DS24" s="324">
        <f>WSMTK!$W$22</f>
        <v>91.25</v>
      </c>
      <c r="DT24" s="324">
        <f>WSMTK!$W$35</f>
        <v>93.541666666666671</v>
      </c>
      <c r="DU24" s="324">
        <f>WSMTK!$W$69</f>
        <v>92.8125</v>
      </c>
      <c r="DV24" s="324">
        <f>WSMTK!$W$87</f>
        <v>90.9</v>
      </c>
      <c r="DW24" s="324">
        <f>WSMTK!$W$99</f>
        <v>91.25</v>
      </c>
      <c r="DX24" s="324">
        <f>WSMTK!$W$113</f>
        <v>93.541666666666671</v>
      </c>
      <c r="DY24" s="324">
        <f>WSMTK!$W$145</f>
        <v>92.8125</v>
      </c>
      <c r="DZ24" s="324" t="str">
        <f>WSMTK!$W$168</f>
        <v/>
      </c>
      <c r="EA24" s="324" t="str">
        <f>WSMTK!$W$176</f>
        <v/>
      </c>
      <c r="EB24" s="324" t="str">
        <f>WSMTK!$W$184</f>
        <v/>
      </c>
      <c r="EC24" s="324" t="str">
        <f>WSMTK!$W$192</f>
        <v/>
      </c>
      <c r="ED24" s="324" t="str">
        <f>WSMTK!$W$200</f>
        <v/>
      </c>
      <c r="EE24" s="76"/>
      <c r="EF24" s="76"/>
      <c r="EG24" s="76"/>
      <c r="EH24" s="76" t="s">
        <v>1313</v>
      </c>
      <c r="EI24" s="324" t="str">
        <f>WSIPA!$W$6</f>
        <v/>
      </c>
      <c r="EJ24" s="324" t="str">
        <f>WSIPA!$W$14</f>
        <v/>
      </c>
      <c r="EK24" s="324" t="str">
        <f>WSIPA!$W$22</f>
        <v/>
      </c>
      <c r="EL24" s="324" t="str">
        <f>WSIPA!$W$30</f>
        <v/>
      </c>
      <c r="EM24" s="324" t="str">
        <f>WSIPA!$W$38</f>
        <v/>
      </c>
      <c r="EN24" s="324" t="str">
        <f>WSIPA!$W$46</f>
        <v/>
      </c>
      <c r="EO24" s="324" t="str">
        <f>WSIPA!$W$54</f>
        <v/>
      </c>
      <c r="EP24" s="324" t="str">
        <f>WSIPA!$W$62</f>
        <v/>
      </c>
      <c r="EQ24" s="324" t="str">
        <f>WSIPA!$W$70</f>
        <v/>
      </c>
      <c r="ER24" s="324" t="str">
        <f>WSIPA!$W$78</f>
        <v/>
      </c>
      <c r="ES24" s="324" t="str">
        <f>WSIPA!$W$86</f>
        <v/>
      </c>
      <c r="ET24" s="324" t="str">
        <f>WSIPA!$W$94</f>
        <v/>
      </c>
      <c r="EU24" s="324" t="str">
        <f>WSIPA!$W$102</f>
        <v/>
      </c>
      <c r="EV24" s="76"/>
      <c r="EW24" s="76"/>
      <c r="EX24" s="76"/>
      <c r="EY24" s="76" t="s">
        <v>1236</v>
      </c>
      <c r="EZ24" s="324" t="str">
        <f>WSIPS!$W$6</f>
        <v/>
      </c>
      <c r="FA24" s="324" t="str">
        <f>WSIPS!$W$14</f>
        <v/>
      </c>
      <c r="FB24" s="324" t="str">
        <f>WSIPS!$W$22</f>
        <v/>
      </c>
      <c r="FC24" s="324" t="str">
        <f>WSIPS!$W$30</f>
        <v/>
      </c>
      <c r="FD24" s="324" t="str">
        <f>WSIPS!$W$38</f>
        <v/>
      </c>
      <c r="FE24" s="324" t="str">
        <f>WSIPS!$W$46</f>
        <v/>
      </c>
      <c r="FF24" s="324" t="str">
        <f>WSIPS!$W$54</f>
        <v/>
      </c>
      <c r="FG24" s="324" t="str">
        <f>WSIPS!$W$62</f>
        <v/>
      </c>
      <c r="FH24" s="324" t="str">
        <f>WSIPS!$W$70</f>
        <v/>
      </c>
      <c r="FI24" s="324" t="str">
        <f>WSIPS!$W$78</f>
        <v/>
      </c>
      <c r="FJ24" s="324" t="str">
        <f>WSIPS!$W$86</f>
        <v/>
      </c>
      <c r="FK24" s="324" t="str">
        <f>WSIPS!$W$94</f>
        <v/>
      </c>
      <c r="FL24" s="324" t="str">
        <f>WSIPS!$W$102</f>
        <v/>
      </c>
      <c r="FM24" s="76"/>
      <c r="FN24" s="76"/>
      <c r="FO24" s="76"/>
      <c r="FP24" s="76" t="s">
        <v>1266</v>
      </c>
      <c r="FQ24" s="324">
        <f>WSSBK!$W$6</f>
        <v>90</v>
      </c>
      <c r="FR24" s="324">
        <f>WSSBK!$W$16</f>
        <v>93</v>
      </c>
      <c r="FS24" s="324">
        <f>WSSBK!$W$26</f>
        <v>95</v>
      </c>
      <c r="FT24" s="324">
        <f>WSSBK!$W$36</f>
        <v>93.125</v>
      </c>
      <c r="FU24" s="324">
        <f>WSSBK!$W$46</f>
        <v>90</v>
      </c>
      <c r="FV24" s="324">
        <f>WSSBK!$W$58</f>
        <v>93</v>
      </c>
      <c r="FW24" s="324">
        <f>WSSBK!$W$68</f>
        <v>95</v>
      </c>
      <c r="FX24" s="324">
        <f>WSSBK!$W$77</f>
        <v>93.125</v>
      </c>
      <c r="FY24" s="324" t="str">
        <f>WSSBK!$W$87</f>
        <v/>
      </c>
      <c r="FZ24" s="324" t="str">
        <f>WSSBK!$W$95</f>
        <v/>
      </c>
      <c r="GA24" s="324" t="str">
        <f>WSSBK!$W$103</f>
        <v/>
      </c>
      <c r="GB24" s="324" t="str">
        <f>WSSBK!$W$111</f>
        <v/>
      </c>
      <c r="GC24" s="324" t="str">
        <f>WSSBK!$W$119</f>
        <v/>
      </c>
      <c r="GD24" s="76"/>
      <c r="GE24" s="76"/>
      <c r="GF24" s="76"/>
      <c r="GG24" s="76" t="s">
        <v>1955</v>
      </c>
      <c r="GH24" s="334">
        <f>WSPENJAS!$W$6</f>
        <v>0</v>
      </c>
      <c r="GI24" s="334">
        <f>WSPENJAS!$W$7</f>
        <v>85</v>
      </c>
      <c r="GJ24" s="334">
        <f>WSPENJAS!$W$8</f>
        <v>85</v>
      </c>
      <c r="GK24" s="334">
        <f>WSPENJAS!$W$9</f>
        <v>85</v>
      </c>
      <c r="GL24" s="334">
        <f>WSPENJAS!$W$10</f>
        <v>85</v>
      </c>
      <c r="GM24" s="334">
        <f>WSPENJAS!$W$11</f>
        <v>85</v>
      </c>
      <c r="GN24" s="334">
        <f>WSPENJAS!$W$12</f>
        <v>85</v>
      </c>
      <c r="GO24" s="334">
        <f>WSPENJAS!$W$13</f>
        <v>85</v>
      </c>
      <c r="GP24" s="334">
        <f>WSPENJAS!$W$14</f>
        <v>85</v>
      </c>
      <c r="GQ24" s="334">
        <f>WSPENJAS!$W$15</f>
        <v>85</v>
      </c>
      <c r="GR24" s="334">
        <f>WSPENJAS!$W$16</f>
        <v>0</v>
      </c>
      <c r="GS24" s="334">
        <f>WSPENJAS!$W$17</f>
        <v>0</v>
      </c>
      <c r="GT24" s="334">
        <f>WSPENJAS!$W$18</f>
        <v>0</v>
      </c>
      <c r="GU24" s="334">
        <f>WSPENJAS!$W$19</f>
        <v>0</v>
      </c>
      <c r="GV24" s="334">
        <f>WSPENJAS!$W$20</f>
        <v>0</v>
      </c>
      <c r="GW24" s="334">
        <f>WSPENJAS!$W$21</f>
        <v>0</v>
      </c>
      <c r="GX24" s="76" t="s">
        <v>1288</v>
      </c>
      <c r="GY24" s="324">
        <f>WSJAWA!$W$6</f>
        <v>100</v>
      </c>
      <c r="GZ24" s="324">
        <f>WSJAWA!$W$14</f>
        <v>90</v>
      </c>
      <c r="HA24" s="324">
        <f>WSJAWA!$W$22</f>
        <v>100</v>
      </c>
      <c r="HB24" s="324">
        <f>WSJAWA!$W$30</f>
        <v>100</v>
      </c>
      <c r="HC24" s="324">
        <f>WSJAWA!$W$38</f>
        <v>90</v>
      </c>
      <c r="HD24" s="324">
        <f>WSJAWA!$W$46</f>
        <v>90</v>
      </c>
      <c r="HE24" s="324">
        <f>WSJAWA!$W$54</f>
        <v>75</v>
      </c>
      <c r="HF24" s="324">
        <f>WSJAWA!$W$62</f>
        <v>95</v>
      </c>
      <c r="HG24" s="324" t="str">
        <f>WSJAWA!$W$70</f>
        <v/>
      </c>
      <c r="HH24" s="324" t="str">
        <f>WSJAWA!$W$78</f>
        <v/>
      </c>
      <c r="HI24" s="324" t="str">
        <f>WSJAWA!$W$86</f>
        <v/>
      </c>
      <c r="HJ24" s="324" t="str">
        <f>WSJAWA!$W$94</f>
        <v/>
      </c>
      <c r="HK24" s="324" t="str">
        <f>WSJAWA!$W$102</f>
        <v/>
      </c>
      <c r="HL24" s="76"/>
      <c r="HM24" s="76"/>
      <c r="HN24" s="76"/>
      <c r="HO24" s="76" t="s">
        <v>1286</v>
      </c>
      <c r="HP24" s="324">
        <f>WSING!$W$6</f>
        <v>90</v>
      </c>
      <c r="HQ24" s="324">
        <f>WSING!$W$15</f>
        <v>90</v>
      </c>
      <c r="HR24" s="324">
        <f>WSING!$W$24</f>
        <v>90</v>
      </c>
      <c r="HS24" s="324">
        <f>WSING!$W$33</f>
        <v>90</v>
      </c>
      <c r="HT24" s="324" t="str">
        <f>WSING!$W$42</f>
        <v/>
      </c>
      <c r="HU24" s="324" t="str">
        <f>WSING!$W$50</f>
        <v/>
      </c>
      <c r="HV24" s="324" t="str">
        <f>WSING!$W$58</f>
        <v/>
      </c>
      <c r="HW24" s="324" t="str">
        <f>WSING!$W$66</f>
        <v/>
      </c>
      <c r="HX24" s="324" t="str">
        <f>WSING!$W$74</f>
        <v/>
      </c>
      <c r="HY24" s="324" t="str">
        <f>WSING!$W$82</f>
        <v/>
      </c>
      <c r="HZ24" s="324" t="str">
        <f>WSING!$W$90</f>
        <v/>
      </c>
      <c r="IA24" s="324" t="str">
        <f>WSING!$W$98</f>
        <v/>
      </c>
      <c r="IB24" s="324" t="str">
        <f>WSING!$W$106</f>
        <v/>
      </c>
      <c r="IC24" s="76"/>
      <c r="ID24" s="76"/>
      <c r="IE24" s="76"/>
      <c r="IF24" s="76" t="s">
        <v>1242</v>
      </c>
      <c r="IG24" s="324" t="str">
        <f>WSTIK!$W$6</f>
        <v/>
      </c>
      <c r="IH24" s="324" t="str">
        <f>WSTIK!$W$14</f>
        <v/>
      </c>
      <c r="II24" s="324" t="str">
        <f>WSTIK!$W$22</f>
        <v/>
      </c>
      <c r="IJ24" s="324" t="str">
        <f>WSTIK!$W$30</f>
        <v/>
      </c>
      <c r="IK24" s="324" t="str">
        <f>WSTIK!$W$38</f>
        <v/>
      </c>
      <c r="IL24" s="324" t="str">
        <f>WSTIK!$W$46</f>
        <v/>
      </c>
      <c r="IM24" s="324" t="str">
        <f>WSTIK!$W$54</f>
        <v/>
      </c>
      <c r="IN24" s="324" t="str">
        <f>WSTIK!$W$62</f>
        <v/>
      </c>
      <c r="IO24" s="324" t="str">
        <f>WSTIK!$W$70</f>
        <v/>
      </c>
      <c r="IP24" s="324" t="str">
        <f>WSTIK!$W$78</f>
        <v/>
      </c>
      <c r="IQ24" s="324" t="str">
        <f>WSTIK!$W$86</f>
        <v/>
      </c>
      <c r="IR24" s="324" t="str">
        <f>WSTIK!$W$94</f>
        <v/>
      </c>
      <c r="IS24" s="324" t="str">
        <f>WSTIK!$W$102</f>
        <v/>
      </c>
      <c r="IT24" s="76"/>
      <c r="IU24" s="76"/>
      <c r="IV24" s="76"/>
      <c r="IW24" s="76"/>
      <c r="IX24" s="324" t="str">
        <f>WSASWAJA!$W$6</f>
        <v/>
      </c>
      <c r="IY24" s="324" t="str">
        <f>WSASWAJA!$W$14</f>
        <v/>
      </c>
      <c r="IZ24" s="324" t="str">
        <f>WSASWAJA!$W$22</f>
        <v/>
      </c>
      <c r="JA24" s="324" t="str">
        <f>WSASWAJA!$W$30</f>
        <v/>
      </c>
      <c r="JB24" s="324" t="str">
        <f>WSASWAJA!$W$38</f>
        <v/>
      </c>
      <c r="JC24" s="324" t="str">
        <f>WSASWAJA!$W$46</f>
        <v/>
      </c>
      <c r="JD24" s="324" t="str">
        <f>WSASWAJA!$W$54</f>
        <v/>
      </c>
      <c r="JE24" s="324" t="str">
        <f>WSASWAJA!$W$62</f>
        <v/>
      </c>
      <c r="JF24" s="324" t="str">
        <f>WSASWAJA!$W$70</f>
        <v/>
      </c>
      <c r="JG24" s="324" t="str">
        <f>WSASWAJA!$W$78</f>
        <v/>
      </c>
      <c r="JH24" s="324" t="str">
        <f>WSASWAJA!$W$86</f>
        <v/>
      </c>
      <c r="JI24" s="324" t="str">
        <f>WSASWAJA!$W$94</f>
        <v/>
      </c>
      <c r="JJ24" s="324" t="str">
        <f>WSASWAJA!$W$102</f>
        <v/>
      </c>
      <c r="JK24" s="76"/>
      <c r="JL24" s="76"/>
      <c r="JM24" s="76"/>
      <c r="JN24" s="76"/>
    </row>
    <row r="25" spans="1:274">
      <c r="A25" s="76"/>
      <c r="B25" s="76">
        <v>20</v>
      </c>
      <c r="C25" s="324">
        <f>WSALQURAN!$X$6</f>
        <v>87.666666666666671</v>
      </c>
      <c r="D25" s="324">
        <f>WSALQURAN!$X$14</f>
        <v>92</v>
      </c>
      <c r="E25" s="324">
        <f>WSALQURAN!$X$22</f>
        <v>80</v>
      </c>
      <c r="F25" s="324">
        <f>WSALQURAN!$X$30</f>
        <v>87.666666666666671</v>
      </c>
      <c r="G25" s="324">
        <f>WSALQURAN!$X$38</f>
        <v>85.666666666666671</v>
      </c>
      <c r="H25" s="324">
        <f>WSALQURAN!$X$46</f>
        <v>92</v>
      </c>
      <c r="I25" s="324">
        <f>WSALQURAN!$X$54</f>
        <v>83.5</v>
      </c>
      <c r="J25" s="324" t="str">
        <f>WSALQURAN!$X$62</f>
        <v/>
      </c>
      <c r="K25" s="324" t="str">
        <f>WSALQURAN!$X$70</f>
        <v/>
      </c>
      <c r="L25" s="324" t="str">
        <f>WSALQURAN!$X$78</f>
        <v/>
      </c>
      <c r="M25" s="324" t="str">
        <f>WSALQURAN!$X$86</f>
        <v/>
      </c>
      <c r="N25" s="324" t="str">
        <f>WSALQURAN!$X$94</f>
        <v/>
      </c>
      <c r="O25" s="324" t="str">
        <f>WSALQURAN!$X$102</f>
        <v/>
      </c>
      <c r="P25" s="76"/>
      <c r="Q25" s="76"/>
      <c r="R25" s="76"/>
      <c r="S25" s="76"/>
      <c r="T25" s="324">
        <f>WSAQIDAH!$X$6</f>
        <v>90</v>
      </c>
      <c r="U25" s="324">
        <f>WSAQIDAH!$X$14</f>
        <v>100</v>
      </c>
      <c r="V25" s="324">
        <f>WSAQIDAH!$X$22</f>
        <v>92</v>
      </c>
      <c r="W25" s="324">
        <f>WSAQIDAH!$X$30</f>
        <v>80</v>
      </c>
      <c r="X25" s="324">
        <f>WSAQIDAH!$X$38</f>
        <v>90</v>
      </c>
      <c r="Y25" s="324">
        <f>WSAQIDAH!$X$46</f>
        <v>75</v>
      </c>
      <c r="Z25" s="324">
        <f>WSAQIDAH!$X$54</f>
        <v>80</v>
      </c>
      <c r="AA25" s="324">
        <f>WSAQIDAH!$X$62</f>
        <v>100</v>
      </c>
      <c r="AB25" s="324">
        <f>WSAQIDAH!$X$70</f>
        <v>100</v>
      </c>
      <c r="AC25" s="324">
        <f>WSAQIDAH!$X$78</f>
        <v>100</v>
      </c>
      <c r="AD25" s="324" t="str">
        <f>WSAQIDAH!$X$86</f>
        <v/>
      </c>
      <c r="AE25" s="324" t="str">
        <f>WSAQIDAH!$X$94</f>
        <v/>
      </c>
      <c r="AF25" s="324" t="str">
        <f>WSAQIDAH!$X$102</f>
        <v/>
      </c>
      <c r="AG25" s="76"/>
      <c r="AH25" s="76"/>
      <c r="AI25" s="76"/>
      <c r="AJ25" s="76" t="s">
        <v>1980</v>
      </c>
      <c r="AK25" s="324">
        <f>WSFIQIH!$X$6</f>
        <v>81.75</v>
      </c>
      <c r="AL25" s="324">
        <f>WSFIQIH!$X$19</f>
        <v>85</v>
      </c>
      <c r="AM25" s="324">
        <f>WSFIQIH!$X$28</f>
        <v>75</v>
      </c>
      <c r="AN25" s="324">
        <f>WSFIQIH!$X$41</f>
        <v>90</v>
      </c>
      <c r="AO25" s="324">
        <f>WSFIQIH!$X$49</f>
        <v>80</v>
      </c>
      <c r="AP25" s="324">
        <f>WSFIQIH!$X$62</f>
        <v>83</v>
      </c>
      <c r="AQ25" s="324">
        <f>WSFIQIH!$X$71</f>
        <v>80</v>
      </c>
      <c r="AR25" s="324">
        <f>WSFIQIH!$X$80</f>
        <v>80</v>
      </c>
      <c r="AS25" s="324" t="str">
        <f>WSFIQIH!$X$88</f>
        <v/>
      </c>
      <c r="AT25" s="324" t="str">
        <f>WSFIQIH!$X$96</f>
        <v/>
      </c>
      <c r="AU25" s="324" t="str">
        <f>WSFIQIH!$X$104</f>
        <v/>
      </c>
      <c r="AV25" s="324" t="str">
        <f>WSFIQIH!$X$112</f>
        <v/>
      </c>
      <c r="AW25" s="324" t="str">
        <f>WSFIQIH!$X$120</f>
        <v/>
      </c>
      <c r="AX25" s="76"/>
      <c r="AY25" s="76"/>
      <c r="AZ25" s="76"/>
      <c r="BA25" s="76" t="s">
        <v>1229</v>
      </c>
      <c r="BB25" s="324">
        <f>WSSKI!$X$6</f>
        <v>80</v>
      </c>
      <c r="BC25" s="324">
        <f>WSSKI!$X$14</f>
        <v>76</v>
      </c>
      <c r="BD25" s="324">
        <f>WSSKI!$X$23</f>
        <v>80</v>
      </c>
      <c r="BE25" s="324">
        <f>WSSKI!$X$31</f>
        <v>85</v>
      </c>
      <c r="BF25" s="324">
        <f>WSSKI!$X$40</f>
        <v>80</v>
      </c>
      <c r="BG25" s="324">
        <f>WSSKI!$X$48</f>
        <v>75</v>
      </c>
      <c r="BH25" s="324" t="str">
        <f>WSSKI!$X$56</f>
        <v/>
      </c>
      <c r="BI25" s="324" t="str">
        <f>WSSKI!$X$64</f>
        <v/>
      </c>
      <c r="BJ25" s="324" t="str">
        <f>WSSKI!$X$72</f>
        <v/>
      </c>
      <c r="BK25" s="324" t="str">
        <f>WSSKI!$X$80</f>
        <v/>
      </c>
      <c r="BL25" s="324" t="str">
        <f>WSSKI!$X$88</f>
        <v/>
      </c>
      <c r="BM25" s="324" t="str">
        <f>WSSKI!$X$96</f>
        <v/>
      </c>
      <c r="BN25" s="324" t="str">
        <f>WSSKI!$X$104</f>
        <v/>
      </c>
      <c r="BO25" s="76"/>
      <c r="BP25" s="76"/>
      <c r="BQ25" s="76"/>
      <c r="BR25" s="76"/>
      <c r="BS25" s="324">
        <f>WSPKN!$X$6</f>
        <v>93.125</v>
      </c>
      <c r="BT25" s="324">
        <f>WSPKN!$X$32</f>
        <v>91.25</v>
      </c>
      <c r="BU25" s="324">
        <f>WSPKN!$X$55</f>
        <v>92.857142857142861</v>
      </c>
      <c r="BV25" s="324">
        <f>WSPKN!$X$72</f>
        <v>95.055555555555557</v>
      </c>
      <c r="BW25" s="324">
        <f>WSPKN!$X$86</f>
        <v>95.833333333333329</v>
      </c>
      <c r="BX25" s="324">
        <f>WSPKN!$X$108</f>
        <v>91.25</v>
      </c>
      <c r="BY25" s="324">
        <f>WSPKN!$X$132</f>
        <v>92.857142857142861</v>
      </c>
      <c r="BZ25" s="324">
        <f>WSPKN!$X$148</f>
        <v>94.583333333333329</v>
      </c>
      <c r="CA25" s="324" t="str">
        <f>WSPKN!$X$165</f>
        <v/>
      </c>
      <c r="CB25" s="324" t="str">
        <f>WSPKN!$X$173</f>
        <v/>
      </c>
      <c r="CC25" s="324" t="str">
        <f>WSPKN!$X$181</f>
        <v/>
      </c>
      <c r="CD25" s="324" t="str">
        <f>WSPKN!$X$189</f>
        <v/>
      </c>
      <c r="CE25" s="324" t="str">
        <f>WSPKN!$X$197</f>
        <v/>
      </c>
      <c r="CF25" s="76"/>
      <c r="CG25" s="76"/>
      <c r="CH25" s="76"/>
      <c r="CI25" s="76" t="s">
        <v>1890</v>
      </c>
      <c r="CJ25" s="324">
        <f>WSIND!$X$6</f>
        <v>95.416666666666671</v>
      </c>
      <c r="CK25" s="324">
        <f>WSIND!$X$65</f>
        <v>92.5</v>
      </c>
      <c r="CL25" s="324">
        <f>WSIND!$X$113</f>
        <v>90.555555555555557</v>
      </c>
      <c r="CM25" s="324">
        <f>WSIND!$X$133</f>
        <v>93.333333333333329</v>
      </c>
      <c r="CN25" s="324">
        <f>WSIND!$X$161</f>
        <v>89.347826086956516</v>
      </c>
      <c r="CO25" s="324">
        <f>WSIND!$X$192</f>
        <v>95.217391304347828</v>
      </c>
      <c r="CP25" s="324">
        <f>WSIND!$X$228</f>
        <v>92.5</v>
      </c>
      <c r="CQ25" s="324">
        <f>WSIND!$X$256</f>
        <v>90.555555555555557</v>
      </c>
      <c r="CR25" s="324">
        <f>WSIND!$X$277</f>
        <v>93.333333333333329</v>
      </c>
      <c r="CS25" s="324">
        <f>WSIND!$X$305</f>
        <v>89.347826086956516</v>
      </c>
      <c r="CT25" s="324" t="str">
        <f>WSIND!$X$329</f>
        <v/>
      </c>
      <c r="CU25" s="324" t="str">
        <f>WSIND!$X$337</f>
        <v/>
      </c>
      <c r="CV25" s="324" t="str">
        <f>WSIND!$X$345</f>
        <v/>
      </c>
      <c r="CW25" s="76"/>
      <c r="CX25" s="76"/>
      <c r="CY25" s="76"/>
      <c r="CZ25" s="76" t="s">
        <v>1908</v>
      </c>
      <c r="DA25" s="324" t="str">
        <f>WSARAB!$X$6</f>
        <v/>
      </c>
      <c r="DB25" s="324" t="str">
        <f>WSARAB!$X$17</f>
        <v/>
      </c>
      <c r="DC25" s="324" t="str">
        <f>WSARAB!$X$29</f>
        <v/>
      </c>
      <c r="DD25" s="324" t="str">
        <f>WSARAB!$X$37</f>
        <v/>
      </c>
      <c r="DE25" s="324" t="str">
        <f>WSARAB!$X$45</f>
        <v/>
      </c>
      <c r="DF25" s="324" t="str">
        <f>WSARAB!$X$53</f>
        <v/>
      </c>
      <c r="DG25" s="324" t="str">
        <f>WSARAB!$X$65</f>
        <v/>
      </c>
      <c r="DH25" s="324" t="str">
        <f>WSARAB!$X$73</f>
        <v/>
      </c>
      <c r="DI25" s="324" t="str">
        <f>WSARAB!$X$81</f>
        <v/>
      </c>
      <c r="DJ25" s="324" t="str">
        <f>WSARAB!$X$89</f>
        <v/>
      </c>
      <c r="DK25" s="324" t="str">
        <f>WSARAB!$X$97</f>
        <v/>
      </c>
      <c r="DL25" s="324" t="str">
        <f>WSARAB!$X$105</f>
        <v/>
      </c>
      <c r="DM25" s="324" t="str">
        <f>WSARAB!$X$113</f>
        <v/>
      </c>
      <c r="DN25" s="76"/>
      <c r="DO25" s="76"/>
      <c r="DP25" s="76"/>
      <c r="DQ25" s="76" t="s">
        <v>1329</v>
      </c>
      <c r="DR25" s="324">
        <f>WSMTK!$X$6</f>
        <v>93.5</v>
      </c>
      <c r="DS25" s="324">
        <f>WSMTK!$X$22</f>
        <v>91.25</v>
      </c>
      <c r="DT25" s="324">
        <f>WSMTK!$X$35</f>
        <v>90.333333333333329</v>
      </c>
      <c r="DU25" s="324">
        <f>WSMTK!$X$69</f>
        <v>95</v>
      </c>
      <c r="DV25" s="324">
        <f>WSMTK!$X$87</f>
        <v>93.5</v>
      </c>
      <c r="DW25" s="324">
        <f>WSMTK!$X$99</f>
        <v>91.25</v>
      </c>
      <c r="DX25" s="324">
        <f>WSMTK!$X$113</f>
        <v>90.333333333333329</v>
      </c>
      <c r="DY25" s="324">
        <f>WSMTK!$X$145</f>
        <v>95</v>
      </c>
      <c r="DZ25" s="324" t="str">
        <f>WSMTK!$X$168</f>
        <v/>
      </c>
      <c r="EA25" s="324" t="str">
        <f>WSMTK!$X$176</f>
        <v/>
      </c>
      <c r="EB25" s="324" t="str">
        <f>WSMTK!$X$184</f>
        <v/>
      </c>
      <c r="EC25" s="324" t="str">
        <f>WSMTK!$X$192</f>
        <v/>
      </c>
      <c r="ED25" s="324" t="str">
        <f>WSMTK!$X$200</f>
        <v/>
      </c>
      <c r="EE25" s="76"/>
      <c r="EF25" s="76"/>
      <c r="EG25" s="76"/>
      <c r="EH25" s="76" t="s">
        <v>1314</v>
      </c>
      <c r="EI25" s="324" t="str">
        <f>WSIPA!$X$6</f>
        <v/>
      </c>
      <c r="EJ25" s="324" t="str">
        <f>WSIPA!$X$14</f>
        <v/>
      </c>
      <c r="EK25" s="324" t="str">
        <f>WSIPA!$X$22</f>
        <v/>
      </c>
      <c r="EL25" s="324" t="str">
        <f>WSIPA!$X$30</f>
        <v/>
      </c>
      <c r="EM25" s="324" t="str">
        <f>WSIPA!$X$38</f>
        <v/>
      </c>
      <c r="EN25" s="324" t="str">
        <f>WSIPA!$X$46</f>
        <v/>
      </c>
      <c r="EO25" s="324" t="str">
        <f>WSIPA!$X$54</f>
        <v/>
      </c>
      <c r="EP25" s="324" t="str">
        <f>WSIPA!$X$62</f>
        <v/>
      </c>
      <c r="EQ25" s="324" t="str">
        <f>WSIPA!$X$70</f>
        <v/>
      </c>
      <c r="ER25" s="324" t="str">
        <f>WSIPA!$X$78</f>
        <v/>
      </c>
      <c r="ES25" s="324" t="str">
        <f>WSIPA!$X$86</f>
        <v/>
      </c>
      <c r="ET25" s="324" t="str">
        <f>WSIPA!$X$94</f>
        <v/>
      </c>
      <c r="EU25" s="324" t="str">
        <f>WSIPA!$X$102</f>
        <v/>
      </c>
      <c r="EV25" s="76"/>
      <c r="EW25" s="76"/>
      <c r="EX25" s="76"/>
      <c r="EY25" s="76" t="s">
        <v>1237</v>
      </c>
      <c r="EZ25" s="324" t="str">
        <f>WSIPS!$X$6</f>
        <v/>
      </c>
      <c r="FA25" s="324" t="str">
        <f>WSIPS!$X$14</f>
        <v/>
      </c>
      <c r="FB25" s="324" t="str">
        <f>WSIPS!$X$22</f>
        <v/>
      </c>
      <c r="FC25" s="324" t="str">
        <f>WSIPS!$X$30</f>
        <v/>
      </c>
      <c r="FD25" s="324" t="str">
        <f>WSIPS!$X$38</f>
        <v/>
      </c>
      <c r="FE25" s="324" t="str">
        <f>WSIPS!$X$46</f>
        <v/>
      </c>
      <c r="FF25" s="324" t="str">
        <f>WSIPS!$X$54</f>
        <v/>
      </c>
      <c r="FG25" s="324" t="str">
        <f>WSIPS!$X$62</f>
        <v/>
      </c>
      <c r="FH25" s="324" t="str">
        <f>WSIPS!$X$70</f>
        <v/>
      </c>
      <c r="FI25" s="324" t="str">
        <f>WSIPS!$X$78</f>
        <v/>
      </c>
      <c r="FJ25" s="324" t="str">
        <f>WSIPS!$X$86</f>
        <v/>
      </c>
      <c r="FK25" s="324" t="str">
        <f>WSIPS!$X$94</f>
        <v/>
      </c>
      <c r="FL25" s="324" t="str">
        <f>WSIPS!$X$102</f>
        <v/>
      </c>
      <c r="FM25" s="76"/>
      <c r="FN25" s="76"/>
      <c r="FO25" s="76"/>
      <c r="FP25" s="76" t="s">
        <v>1261</v>
      </c>
      <c r="FQ25" s="324">
        <f>WSSBK!$X$6</f>
        <v>94.375</v>
      </c>
      <c r="FR25" s="324">
        <f>WSSBK!$X$16</f>
        <v>93.125</v>
      </c>
      <c r="FS25" s="324">
        <f>WSSBK!$X$26</f>
        <v>82.5</v>
      </c>
      <c r="FT25" s="324">
        <f>WSSBK!$X$36</f>
        <v>93.75</v>
      </c>
      <c r="FU25" s="324">
        <f>WSSBK!$X$46</f>
        <v>94.375</v>
      </c>
      <c r="FV25" s="324">
        <f>WSSBK!$X$58</f>
        <v>93.125</v>
      </c>
      <c r="FW25" s="324">
        <f>WSSBK!$X$68</f>
        <v>82.5</v>
      </c>
      <c r="FX25" s="324">
        <f>WSSBK!$X$77</f>
        <v>93.75</v>
      </c>
      <c r="FY25" s="324" t="str">
        <f>WSSBK!$X$87</f>
        <v/>
      </c>
      <c r="FZ25" s="324" t="str">
        <f>WSSBK!$X$95</f>
        <v/>
      </c>
      <c r="GA25" s="324" t="str">
        <f>WSSBK!$X$103</f>
        <v/>
      </c>
      <c r="GB25" s="324" t="str">
        <f>WSSBK!$X$111</f>
        <v/>
      </c>
      <c r="GC25" s="324" t="str">
        <f>WSSBK!$X$119</f>
        <v/>
      </c>
      <c r="GD25" s="76"/>
      <c r="GE25" s="76"/>
      <c r="GF25" s="76"/>
      <c r="GG25" s="76" t="s">
        <v>1954</v>
      </c>
      <c r="GH25" s="334">
        <f>WSPENJAS!$X$6</f>
        <v>0</v>
      </c>
      <c r="GI25" s="334">
        <f>WSPENJAS!$X$7</f>
        <v>85</v>
      </c>
      <c r="GJ25" s="334">
        <f>WSPENJAS!$X$8</f>
        <v>85</v>
      </c>
      <c r="GK25" s="334">
        <f>WSPENJAS!$X$9</f>
        <v>85</v>
      </c>
      <c r="GL25" s="334">
        <f>WSPENJAS!$X$10</f>
        <v>85</v>
      </c>
      <c r="GM25" s="334">
        <f>WSPENJAS!$X$11</f>
        <v>85</v>
      </c>
      <c r="GN25" s="334">
        <f>WSPENJAS!$X$12</f>
        <v>85</v>
      </c>
      <c r="GO25" s="334">
        <f>WSPENJAS!$X$13</f>
        <v>85</v>
      </c>
      <c r="GP25" s="334">
        <f>WSPENJAS!$X$14</f>
        <v>85</v>
      </c>
      <c r="GQ25" s="334">
        <f>WSPENJAS!$X$15</f>
        <v>85</v>
      </c>
      <c r="GR25" s="334">
        <f>WSPENJAS!$X$16</f>
        <v>0</v>
      </c>
      <c r="GS25" s="334">
        <f>WSPENJAS!$X$17</f>
        <v>0</v>
      </c>
      <c r="GT25" s="334">
        <f>WSPENJAS!$X$18</f>
        <v>0</v>
      </c>
      <c r="GU25" s="334">
        <f>WSPENJAS!$X$19</f>
        <v>0</v>
      </c>
      <c r="GV25" s="334">
        <f>WSPENJAS!$X$20</f>
        <v>0</v>
      </c>
      <c r="GW25" s="334">
        <f>WSPENJAS!$X$21</f>
        <v>0</v>
      </c>
      <c r="GX25" s="76" t="s">
        <v>1291</v>
      </c>
      <c r="GY25" s="324">
        <f>WSJAWA!$X$6</f>
        <v>100</v>
      </c>
      <c r="GZ25" s="324">
        <f>WSJAWA!$X$14</f>
        <v>88.333333333333329</v>
      </c>
      <c r="HA25" s="324">
        <f>WSJAWA!$X$22</f>
        <v>90</v>
      </c>
      <c r="HB25" s="324">
        <f>WSJAWA!$X$30</f>
        <v>100</v>
      </c>
      <c r="HC25" s="324">
        <f>WSJAWA!$X$38</f>
        <v>100</v>
      </c>
      <c r="HD25" s="324">
        <f>WSJAWA!$X$46</f>
        <v>80</v>
      </c>
      <c r="HE25" s="324">
        <f>WSJAWA!$X$54</f>
        <v>100</v>
      </c>
      <c r="HF25" s="324">
        <f>WSJAWA!$X$62</f>
        <v>91.666666666666671</v>
      </c>
      <c r="HG25" s="324" t="str">
        <f>WSJAWA!$X$70</f>
        <v/>
      </c>
      <c r="HH25" s="324" t="str">
        <f>WSJAWA!$X$78</f>
        <v/>
      </c>
      <c r="HI25" s="324" t="str">
        <f>WSJAWA!$X$86</f>
        <v/>
      </c>
      <c r="HJ25" s="324" t="str">
        <f>WSJAWA!$X$94</f>
        <v/>
      </c>
      <c r="HK25" s="324" t="str">
        <f>WSJAWA!$X$102</f>
        <v/>
      </c>
      <c r="HL25" s="76"/>
      <c r="HM25" s="76"/>
      <c r="HN25" s="76"/>
      <c r="HO25" s="76" t="s">
        <v>1280</v>
      </c>
      <c r="HP25" s="324">
        <f>WSING!$X$6</f>
        <v>97</v>
      </c>
      <c r="HQ25" s="324">
        <f>WSING!$X$15</f>
        <v>97</v>
      </c>
      <c r="HR25" s="324">
        <f>WSING!$X$24</f>
        <v>85.833333333333329</v>
      </c>
      <c r="HS25" s="324">
        <f>WSING!$X$33</f>
        <v>85.833333333333329</v>
      </c>
      <c r="HT25" s="324" t="str">
        <f>WSING!$X$42</f>
        <v/>
      </c>
      <c r="HU25" s="324" t="str">
        <f>WSING!$X$50</f>
        <v/>
      </c>
      <c r="HV25" s="324" t="str">
        <f>WSING!$X$58</f>
        <v/>
      </c>
      <c r="HW25" s="324" t="str">
        <f>WSING!$X$66</f>
        <v/>
      </c>
      <c r="HX25" s="324" t="str">
        <f>WSING!$X$74</f>
        <v/>
      </c>
      <c r="HY25" s="324" t="str">
        <f>WSING!$X$82</f>
        <v/>
      </c>
      <c r="HZ25" s="324" t="str">
        <f>WSING!$X$90</f>
        <v/>
      </c>
      <c r="IA25" s="324" t="str">
        <f>WSING!$X$98</f>
        <v/>
      </c>
      <c r="IB25" s="324" t="str">
        <f>WSING!$X$106</f>
        <v/>
      </c>
      <c r="IC25" s="76"/>
      <c r="ID25" s="76"/>
      <c r="IE25" s="76"/>
      <c r="IF25" s="76" t="s">
        <v>1243</v>
      </c>
      <c r="IG25" s="324" t="str">
        <f>WSTIK!$X$6</f>
        <v/>
      </c>
      <c r="IH25" s="324" t="str">
        <f>WSTIK!$X$14</f>
        <v/>
      </c>
      <c r="II25" s="324" t="str">
        <f>WSTIK!$X$22</f>
        <v/>
      </c>
      <c r="IJ25" s="324" t="str">
        <f>WSTIK!$X$30</f>
        <v/>
      </c>
      <c r="IK25" s="324" t="str">
        <f>WSTIK!$X$38</f>
        <v/>
      </c>
      <c r="IL25" s="324" t="str">
        <f>WSTIK!$X$46</f>
        <v/>
      </c>
      <c r="IM25" s="324" t="str">
        <f>WSTIK!$X$54</f>
        <v/>
      </c>
      <c r="IN25" s="324" t="str">
        <f>WSTIK!$X$62</f>
        <v/>
      </c>
      <c r="IO25" s="324" t="str">
        <f>WSTIK!$X$70</f>
        <v/>
      </c>
      <c r="IP25" s="324" t="str">
        <f>WSTIK!$X$78</f>
        <v/>
      </c>
      <c r="IQ25" s="324" t="str">
        <f>WSTIK!$X$86</f>
        <v/>
      </c>
      <c r="IR25" s="324" t="str">
        <f>WSTIK!$X$94</f>
        <v/>
      </c>
      <c r="IS25" s="324" t="str">
        <f>WSTIK!$X$102</f>
        <v/>
      </c>
      <c r="IT25" s="76"/>
      <c r="IU25" s="76"/>
      <c r="IV25" s="76"/>
      <c r="IW25" s="76"/>
      <c r="IX25" s="324" t="str">
        <f>WSASWAJA!$X$6</f>
        <v/>
      </c>
      <c r="IY25" s="324" t="str">
        <f>WSASWAJA!$X$14</f>
        <v/>
      </c>
      <c r="IZ25" s="324" t="str">
        <f>WSASWAJA!$X$22</f>
        <v/>
      </c>
      <c r="JA25" s="324" t="str">
        <f>WSASWAJA!$X$30</f>
        <v/>
      </c>
      <c r="JB25" s="324" t="str">
        <f>WSASWAJA!$X$38</f>
        <v/>
      </c>
      <c r="JC25" s="324" t="str">
        <f>WSASWAJA!$X$46</f>
        <v/>
      </c>
      <c r="JD25" s="324" t="str">
        <f>WSASWAJA!$X$54</f>
        <v/>
      </c>
      <c r="JE25" s="324" t="str">
        <f>WSASWAJA!$X$62</f>
        <v/>
      </c>
      <c r="JF25" s="324" t="str">
        <f>WSASWAJA!$X$70</f>
        <v/>
      </c>
      <c r="JG25" s="324" t="str">
        <f>WSASWAJA!$X$78</f>
        <v/>
      </c>
      <c r="JH25" s="324" t="str">
        <f>WSASWAJA!$X$86</f>
        <v/>
      </c>
      <c r="JI25" s="324" t="str">
        <f>WSASWAJA!$X$94</f>
        <v/>
      </c>
      <c r="JJ25" s="324" t="str">
        <f>WSASWAJA!$X$102</f>
        <v/>
      </c>
      <c r="JK25" s="76"/>
      <c r="JL25" s="76"/>
      <c r="JM25" s="76"/>
      <c r="JN25" s="76"/>
    </row>
    <row r="26" spans="1:274">
      <c r="A26" s="76"/>
      <c r="B26" s="76">
        <v>21</v>
      </c>
      <c r="C26" s="324">
        <f>WSALQURAN!$Y$6</f>
        <v>99.333333333333329</v>
      </c>
      <c r="D26" s="324">
        <f>WSALQURAN!$Y$14</f>
        <v>100</v>
      </c>
      <c r="E26" s="324">
        <f>WSALQURAN!$Y$22</f>
        <v>75</v>
      </c>
      <c r="F26" s="324">
        <f>WSALQURAN!$Y$30</f>
        <v>99.333333333333329</v>
      </c>
      <c r="G26" s="324">
        <f>WSALQURAN!$Y$38</f>
        <v>98.333333333333329</v>
      </c>
      <c r="H26" s="324">
        <f>WSALQURAN!$Y$46</f>
        <v>92</v>
      </c>
      <c r="I26" s="324">
        <f>WSALQURAN!$Y$54</f>
        <v>97.5</v>
      </c>
      <c r="J26" s="324" t="str">
        <f>WSALQURAN!$Y$62</f>
        <v/>
      </c>
      <c r="K26" s="324" t="str">
        <f>WSALQURAN!$Y$70</f>
        <v/>
      </c>
      <c r="L26" s="324" t="str">
        <f>WSALQURAN!$Y$78</f>
        <v/>
      </c>
      <c r="M26" s="324" t="str">
        <f>WSALQURAN!$Y$86</f>
        <v/>
      </c>
      <c r="N26" s="324" t="str">
        <f>WSALQURAN!$Y$94</f>
        <v/>
      </c>
      <c r="O26" s="324" t="str">
        <f>WSALQURAN!$Y$102</f>
        <v/>
      </c>
      <c r="P26" s="76"/>
      <c r="Q26" s="76"/>
      <c r="R26" s="76"/>
      <c r="S26" s="76" t="s">
        <v>1967</v>
      </c>
      <c r="T26" s="324">
        <f>WSAQIDAH!$Y$6</f>
        <v>90</v>
      </c>
      <c r="U26" s="324">
        <f>WSAQIDAH!$Y$14</f>
        <v>100</v>
      </c>
      <c r="V26" s="324">
        <f>WSAQIDAH!$Y$22</f>
        <v>92</v>
      </c>
      <c r="W26" s="324">
        <f>WSAQIDAH!$Y$30</f>
        <v>100</v>
      </c>
      <c r="X26" s="324">
        <f>WSAQIDAH!$Y$38</f>
        <v>100</v>
      </c>
      <c r="Y26" s="324">
        <f>WSAQIDAH!$Y$46</f>
        <v>90</v>
      </c>
      <c r="Z26" s="324">
        <f>WSAQIDAH!$Y$54</f>
        <v>100</v>
      </c>
      <c r="AA26" s="324">
        <f>WSAQIDAH!$Y$62</f>
        <v>80</v>
      </c>
      <c r="AB26" s="324">
        <f>WSAQIDAH!$Y$70</f>
        <v>80</v>
      </c>
      <c r="AC26" s="324">
        <f>WSAQIDAH!$Y$78</f>
        <v>80</v>
      </c>
      <c r="AD26" s="324" t="str">
        <f>WSAQIDAH!$Y$86</f>
        <v/>
      </c>
      <c r="AE26" s="324" t="str">
        <f>WSAQIDAH!$Y$94</f>
        <v/>
      </c>
      <c r="AF26" s="324" t="str">
        <f>WSAQIDAH!$Y$102</f>
        <v/>
      </c>
      <c r="AG26" s="76"/>
      <c r="AH26" s="76"/>
      <c r="AI26" s="76"/>
      <c r="AJ26" s="76" t="s">
        <v>1979</v>
      </c>
      <c r="AK26" s="324">
        <f>WSFIQIH!$Y$6</f>
        <v>100</v>
      </c>
      <c r="AL26" s="324">
        <f>WSFIQIH!$Y$19</f>
        <v>90</v>
      </c>
      <c r="AM26" s="324">
        <f>WSFIQIH!$Y$28</f>
        <v>85</v>
      </c>
      <c r="AN26" s="324">
        <f>WSFIQIH!$Y$41</f>
        <v>100</v>
      </c>
      <c r="AO26" s="324">
        <f>WSFIQIH!$Y$49</f>
        <v>80</v>
      </c>
      <c r="AP26" s="324">
        <f>WSFIQIH!$Y$62</f>
        <v>89</v>
      </c>
      <c r="AQ26" s="324">
        <f>WSFIQIH!$Y$71</f>
        <v>85</v>
      </c>
      <c r="AR26" s="324">
        <f>WSFIQIH!$Y$80</f>
        <v>85</v>
      </c>
      <c r="AS26" s="324" t="str">
        <f>WSFIQIH!$Y$88</f>
        <v/>
      </c>
      <c r="AT26" s="324" t="str">
        <f>WSFIQIH!$Y$96</f>
        <v/>
      </c>
      <c r="AU26" s="324" t="str">
        <f>WSFIQIH!$Y$104</f>
        <v/>
      </c>
      <c r="AV26" s="324" t="str">
        <f>WSFIQIH!$Y$112</f>
        <v/>
      </c>
      <c r="AW26" s="324" t="str">
        <f>WSFIQIH!$Y$120</f>
        <v/>
      </c>
      <c r="AX26" s="76"/>
      <c r="AY26" s="76"/>
      <c r="AZ26" s="76"/>
      <c r="BA26" s="76" t="s">
        <v>1230</v>
      </c>
      <c r="BB26" s="324">
        <f>WSSKI!$Y$6</f>
        <v>95</v>
      </c>
      <c r="BC26" s="324">
        <f>WSSKI!$Y$14</f>
        <v>94</v>
      </c>
      <c r="BD26" s="324">
        <f>WSSKI!$Y$23</f>
        <v>86.666666666666671</v>
      </c>
      <c r="BE26" s="324">
        <f>WSSKI!$Y$31</f>
        <v>80</v>
      </c>
      <c r="BF26" s="324">
        <f>WSSKI!$Y$40</f>
        <v>100</v>
      </c>
      <c r="BG26" s="324">
        <f>WSSKI!$Y$48</f>
        <v>80</v>
      </c>
      <c r="BH26" s="324" t="str">
        <f>WSSKI!$Y$56</f>
        <v/>
      </c>
      <c r="BI26" s="324" t="str">
        <f>WSSKI!$Y$64</f>
        <v/>
      </c>
      <c r="BJ26" s="324" t="str">
        <f>WSSKI!$Y$72</f>
        <v/>
      </c>
      <c r="BK26" s="324" t="str">
        <f>WSSKI!$Y$80</f>
        <v/>
      </c>
      <c r="BL26" s="324" t="str">
        <f>WSSKI!$Y$88</f>
        <v/>
      </c>
      <c r="BM26" s="324" t="str">
        <f>WSSKI!$Y$96</f>
        <v/>
      </c>
      <c r="BN26" s="324" t="str">
        <f>WSSKI!$Y$104</f>
        <v/>
      </c>
      <c r="BO26" s="76"/>
      <c r="BP26" s="76"/>
      <c r="BQ26" s="76"/>
      <c r="BR26" s="76"/>
      <c r="BS26" s="324">
        <f>WSPKN!$Y$6</f>
        <v>97.1875</v>
      </c>
      <c r="BT26" s="324">
        <f>WSPKN!$Y$32</f>
        <v>97.5</v>
      </c>
      <c r="BU26" s="324">
        <f>WSPKN!$Y$55</f>
        <v>98.571428571428569</v>
      </c>
      <c r="BV26" s="324">
        <f>WSPKN!$Y$72</f>
        <v>95.25</v>
      </c>
      <c r="BW26" s="324">
        <f>WSPKN!$Y$86</f>
        <v>98.75</v>
      </c>
      <c r="BX26" s="324">
        <f>WSPKN!$Y$108</f>
        <v>97.5</v>
      </c>
      <c r="BY26" s="324">
        <f>WSPKN!$Y$132</f>
        <v>98.571428571428569</v>
      </c>
      <c r="BZ26" s="324">
        <f>WSPKN!$Y$148</f>
        <v>94.166666666666671</v>
      </c>
      <c r="CA26" s="324" t="str">
        <f>WSPKN!$Y$165</f>
        <v/>
      </c>
      <c r="CB26" s="324" t="str">
        <f>WSPKN!$Y$173</f>
        <v/>
      </c>
      <c r="CC26" s="324" t="str">
        <f>WSPKN!$Y$181</f>
        <v/>
      </c>
      <c r="CD26" s="324" t="str">
        <f>WSPKN!$Y$189</f>
        <v/>
      </c>
      <c r="CE26" s="324" t="str">
        <f>WSPKN!$Y$197</f>
        <v/>
      </c>
      <c r="CF26" s="76"/>
      <c r="CG26" s="76"/>
      <c r="CH26" s="76"/>
      <c r="CI26" s="76" t="s">
        <v>1888</v>
      </c>
      <c r="CJ26" s="324">
        <f>WSIND!$Y$6</f>
        <v>97.916666666666671</v>
      </c>
      <c r="CK26" s="324">
        <f>WSIND!$Y$65</f>
        <v>95</v>
      </c>
      <c r="CL26" s="324">
        <f>WSIND!$Y$113</f>
        <v>97.777777777777771</v>
      </c>
      <c r="CM26" s="324">
        <f>WSIND!$Y$133</f>
        <v>97</v>
      </c>
      <c r="CN26" s="324">
        <f>WSIND!$Y$161</f>
        <v>97.391304347826093</v>
      </c>
      <c r="CO26" s="324">
        <f>WSIND!$Y$192</f>
        <v>97.826086956521735</v>
      </c>
      <c r="CP26" s="324">
        <f>WSIND!$Y$228</f>
        <v>95</v>
      </c>
      <c r="CQ26" s="324">
        <f>WSIND!$Y$256</f>
        <v>97.777777777777771</v>
      </c>
      <c r="CR26" s="324">
        <f>WSIND!$Y$277</f>
        <v>97</v>
      </c>
      <c r="CS26" s="324">
        <f>WSIND!$Y$305</f>
        <v>97.391304347826093</v>
      </c>
      <c r="CT26" s="324" t="str">
        <f>WSIND!$Y$329</f>
        <v/>
      </c>
      <c r="CU26" s="324" t="str">
        <f>WSIND!$Y$337</f>
        <v/>
      </c>
      <c r="CV26" s="324" t="str">
        <f>WSIND!$Y$345</f>
        <v/>
      </c>
      <c r="CW26" s="76"/>
      <c r="CX26" s="76"/>
      <c r="CY26" s="76"/>
      <c r="CZ26" s="76" t="s">
        <v>1909</v>
      </c>
      <c r="DA26" s="324" t="str">
        <f>WSARAB!$Y$6</f>
        <v/>
      </c>
      <c r="DB26" s="324" t="str">
        <f>WSARAB!$Y$17</f>
        <v/>
      </c>
      <c r="DC26" s="324" t="str">
        <f>WSARAB!$Y$29</f>
        <v/>
      </c>
      <c r="DD26" s="324" t="str">
        <f>WSARAB!$Y$37</f>
        <v/>
      </c>
      <c r="DE26" s="324" t="str">
        <f>WSARAB!$Y$45</f>
        <v/>
      </c>
      <c r="DF26" s="324" t="str">
        <f>WSARAB!$Y$53</f>
        <v/>
      </c>
      <c r="DG26" s="324" t="str">
        <f>WSARAB!$Y$65</f>
        <v/>
      </c>
      <c r="DH26" s="324" t="str">
        <f>WSARAB!$Y$73</f>
        <v/>
      </c>
      <c r="DI26" s="324" t="str">
        <f>WSARAB!$Y$81</f>
        <v/>
      </c>
      <c r="DJ26" s="324" t="str">
        <f>WSARAB!$Y$89</f>
        <v/>
      </c>
      <c r="DK26" s="324" t="str">
        <f>WSARAB!$Y$97</f>
        <v/>
      </c>
      <c r="DL26" s="324" t="str">
        <f>WSARAB!$Y$105</f>
        <v/>
      </c>
      <c r="DM26" s="324" t="str">
        <f>WSARAB!$Y$113</f>
        <v/>
      </c>
      <c r="DN26" s="76"/>
      <c r="DO26" s="76"/>
      <c r="DP26" s="76"/>
      <c r="DQ26" s="76" t="s">
        <v>1330</v>
      </c>
      <c r="DR26" s="324">
        <f>WSMTK!$Y$6</f>
        <v>97.5</v>
      </c>
      <c r="DS26" s="324">
        <f>WSMTK!$Y$22</f>
        <v>97.5</v>
      </c>
      <c r="DT26" s="324">
        <f>WSMTK!$Y$35</f>
        <v>95.666666666666671</v>
      </c>
      <c r="DU26" s="324">
        <f>WSMTK!$Y$69</f>
        <v>96.875</v>
      </c>
      <c r="DV26" s="324">
        <f>WSMTK!$Y$87</f>
        <v>97.5</v>
      </c>
      <c r="DW26" s="324">
        <f>WSMTK!$Y$99</f>
        <v>97.5</v>
      </c>
      <c r="DX26" s="324">
        <f>WSMTK!$Y$113</f>
        <v>95.666666666666671</v>
      </c>
      <c r="DY26" s="324">
        <f>WSMTK!$Y$145</f>
        <v>96.875</v>
      </c>
      <c r="DZ26" s="324" t="str">
        <f>WSMTK!$Y$168</f>
        <v/>
      </c>
      <c r="EA26" s="324" t="str">
        <f>WSMTK!$Y$176</f>
        <v/>
      </c>
      <c r="EB26" s="324" t="str">
        <f>WSMTK!$Y$184</f>
        <v/>
      </c>
      <c r="EC26" s="324" t="str">
        <f>WSMTK!$Y$192</f>
        <v/>
      </c>
      <c r="ED26" s="324" t="str">
        <f>WSMTK!$Y$200</f>
        <v/>
      </c>
      <c r="EE26" s="76"/>
      <c r="EF26" s="76"/>
      <c r="EG26" s="76"/>
      <c r="EH26" s="76" t="s">
        <v>1294</v>
      </c>
      <c r="EI26" s="324" t="str">
        <f>WSIPA!$Y$6</f>
        <v/>
      </c>
      <c r="EJ26" s="324" t="str">
        <f>WSIPA!$Y$14</f>
        <v/>
      </c>
      <c r="EK26" s="324" t="str">
        <f>WSIPA!$Y$22</f>
        <v/>
      </c>
      <c r="EL26" s="324" t="str">
        <f>WSIPA!$Y$30</f>
        <v/>
      </c>
      <c r="EM26" s="324" t="str">
        <f>WSIPA!$Y$38</f>
        <v/>
      </c>
      <c r="EN26" s="324" t="str">
        <f>WSIPA!$Y$46</f>
        <v/>
      </c>
      <c r="EO26" s="324" t="str">
        <f>WSIPA!$Y$54</f>
        <v/>
      </c>
      <c r="EP26" s="324" t="str">
        <f>WSIPA!$Y$62</f>
        <v/>
      </c>
      <c r="EQ26" s="324" t="str">
        <f>WSIPA!$Y$70</f>
        <v/>
      </c>
      <c r="ER26" s="324" t="str">
        <f>WSIPA!$Y$78</f>
        <v/>
      </c>
      <c r="ES26" s="324" t="str">
        <f>WSIPA!$Y$86</f>
        <v/>
      </c>
      <c r="ET26" s="324" t="str">
        <f>WSIPA!$Y$94</f>
        <v/>
      </c>
      <c r="EU26" s="324" t="str">
        <f>WSIPA!$Y$102</f>
        <v/>
      </c>
      <c r="EV26" s="76"/>
      <c r="EW26" s="76"/>
      <c r="EX26" s="76"/>
      <c r="EY26" s="76" t="s">
        <v>1233</v>
      </c>
      <c r="EZ26" s="324" t="str">
        <f>WSIPS!$Y$6</f>
        <v/>
      </c>
      <c r="FA26" s="324" t="str">
        <f>WSIPS!$Y$14</f>
        <v/>
      </c>
      <c r="FB26" s="324" t="str">
        <f>WSIPS!$Y$22</f>
        <v/>
      </c>
      <c r="FC26" s="324" t="str">
        <f>WSIPS!$Y$30</f>
        <v/>
      </c>
      <c r="FD26" s="324" t="str">
        <f>WSIPS!$Y$38</f>
        <v/>
      </c>
      <c r="FE26" s="324" t="str">
        <f>WSIPS!$Y$46</f>
        <v/>
      </c>
      <c r="FF26" s="324" t="str">
        <f>WSIPS!$Y$54</f>
        <v/>
      </c>
      <c r="FG26" s="324" t="str">
        <f>WSIPS!$Y$62</f>
        <v/>
      </c>
      <c r="FH26" s="324" t="str">
        <f>WSIPS!$Y$70</f>
        <v/>
      </c>
      <c r="FI26" s="324" t="str">
        <f>WSIPS!$Y$78</f>
        <v/>
      </c>
      <c r="FJ26" s="324" t="str">
        <f>WSIPS!$Y$86</f>
        <v/>
      </c>
      <c r="FK26" s="324" t="str">
        <f>WSIPS!$Y$94</f>
        <v/>
      </c>
      <c r="FL26" s="324" t="str">
        <f>WSIPS!$Y$102</f>
        <v/>
      </c>
      <c r="FM26" s="76"/>
      <c r="FN26" s="76"/>
      <c r="FO26" s="76"/>
      <c r="FP26" s="76" t="s">
        <v>1262</v>
      </c>
      <c r="FQ26" s="324">
        <f>WSSBK!$Y$6</f>
        <v>94.375</v>
      </c>
      <c r="FR26" s="324">
        <f>WSSBK!$Y$16</f>
        <v>93.75</v>
      </c>
      <c r="FS26" s="324">
        <f>WSSBK!$Y$26</f>
        <v>94.375</v>
      </c>
      <c r="FT26" s="324">
        <f>WSSBK!$Y$36</f>
        <v>98.75</v>
      </c>
      <c r="FU26" s="324">
        <f>WSSBK!$Y$46</f>
        <v>94.375</v>
      </c>
      <c r="FV26" s="324">
        <f>WSSBK!$Y$58</f>
        <v>93.75</v>
      </c>
      <c r="FW26" s="324">
        <f>WSSBK!$Y$68</f>
        <v>94.375</v>
      </c>
      <c r="FX26" s="324">
        <f>WSSBK!$Y$77</f>
        <v>98.75</v>
      </c>
      <c r="FY26" s="324" t="str">
        <f>WSSBK!$Y$87</f>
        <v/>
      </c>
      <c r="FZ26" s="324" t="str">
        <f>WSSBK!$Y$95</f>
        <v/>
      </c>
      <c r="GA26" s="324" t="str">
        <f>WSSBK!$Y$103</f>
        <v/>
      </c>
      <c r="GB26" s="324" t="str">
        <f>WSSBK!$Y$111</f>
        <v/>
      </c>
      <c r="GC26" s="324" t="str">
        <f>WSSBK!$Y$119</f>
        <v/>
      </c>
      <c r="GD26" s="76"/>
      <c r="GE26" s="76"/>
      <c r="GF26" s="76"/>
      <c r="GG26" s="76" t="s">
        <v>1952</v>
      </c>
      <c r="GH26" s="334">
        <f>WSPENJAS!$Y$6</f>
        <v>0</v>
      </c>
      <c r="GI26" s="334">
        <f>WSPENJAS!$Y$7</f>
        <v>91</v>
      </c>
      <c r="GJ26" s="334">
        <f>WSPENJAS!$Y$8</f>
        <v>91</v>
      </c>
      <c r="GK26" s="334">
        <f>WSPENJAS!$Y$9</f>
        <v>91</v>
      </c>
      <c r="GL26" s="334">
        <f>WSPENJAS!$Y$10</f>
        <v>91</v>
      </c>
      <c r="GM26" s="334">
        <f>WSPENJAS!$Y$11</f>
        <v>91</v>
      </c>
      <c r="GN26" s="334">
        <f>WSPENJAS!$Y$12</f>
        <v>91</v>
      </c>
      <c r="GO26" s="334">
        <f>WSPENJAS!$Y$13</f>
        <v>91</v>
      </c>
      <c r="GP26" s="334">
        <f>WSPENJAS!$Y$14</f>
        <v>91</v>
      </c>
      <c r="GQ26" s="334">
        <f>WSPENJAS!$Y$15</f>
        <v>91</v>
      </c>
      <c r="GR26" s="334">
        <f>WSPENJAS!$Y$16</f>
        <v>0</v>
      </c>
      <c r="GS26" s="334">
        <f>WSPENJAS!$Y$17</f>
        <v>0</v>
      </c>
      <c r="GT26" s="334">
        <f>WSPENJAS!$Y$18</f>
        <v>0</v>
      </c>
      <c r="GU26" s="334">
        <f>WSPENJAS!$Y$19</f>
        <v>0</v>
      </c>
      <c r="GV26" s="334">
        <f>WSPENJAS!$Y$20</f>
        <v>0</v>
      </c>
      <c r="GW26" s="334">
        <f>WSPENJAS!$Y$21</f>
        <v>0</v>
      </c>
      <c r="GX26" s="76" t="s">
        <v>1291</v>
      </c>
      <c r="GY26" s="324">
        <f>WSJAWA!$Y$6</f>
        <v>100</v>
      </c>
      <c r="GZ26" s="324">
        <f>WSJAWA!$Y$14</f>
        <v>96.666666666666671</v>
      </c>
      <c r="HA26" s="324">
        <f>WSJAWA!$Y$22</f>
        <v>95</v>
      </c>
      <c r="HB26" s="324">
        <f>WSJAWA!$Y$30</f>
        <v>100</v>
      </c>
      <c r="HC26" s="324">
        <f>WSJAWA!$Y$38</f>
        <v>100</v>
      </c>
      <c r="HD26" s="324">
        <f>WSJAWA!$Y$46</f>
        <v>100</v>
      </c>
      <c r="HE26" s="324">
        <f>WSJAWA!$Y$54</f>
        <v>100</v>
      </c>
      <c r="HF26" s="324">
        <f>WSJAWA!$Y$62</f>
        <v>95</v>
      </c>
      <c r="HG26" s="324" t="str">
        <f>WSJAWA!$Y$70</f>
        <v/>
      </c>
      <c r="HH26" s="324" t="str">
        <f>WSJAWA!$Y$78</f>
        <v/>
      </c>
      <c r="HI26" s="324" t="str">
        <f>WSJAWA!$Y$86</f>
        <v/>
      </c>
      <c r="HJ26" s="324" t="str">
        <f>WSJAWA!$Y$94</f>
        <v/>
      </c>
      <c r="HK26" s="324" t="str">
        <f>WSJAWA!$Y$102</f>
        <v/>
      </c>
      <c r="HL26" s="76"/>
      <c r="HM26" s="76"/>
      <c r="HN26" s="76"/>
      <c r="HO26" s="76" t="s">
        <v>1287</v>
      </c>
      <c r="HP26" s="324">
        <f>WSING!$Y$6</f>
        <v>98</v>
      </c>
      <c r="HQ26" s="324">
        <f>WSING!$Y$15</f>
        <v>98</v>
      </c>
      <c r="HR26" s="324">
        <f>WSING!$Y$24</f>
        <v>96.833333333333329</v>
      </c>
      <c r="HS26" s="324">
        <f>WSING!$Y$33</f>
        <v>96.833333333333329</v>
      </c>
      <c r="HT26" s="324" t="str">
        <f>WSING!$Y$42</f>
        <v/>
      </c>
      <c r="HU26" s="324" t="str">
        <f>WSING!$Y$50</f>
        <v/>
      </c>
      <c r="HV26" s="324" t="str">
        <f>WSING!$Y$58</f>
        <v/>
      </c>
      <c r="HW26" s="324" t="str">
        <f>WSING!$Y$66</f>
        <v/>
      </c>
      <c r="HX26" s="324" t="str">
        <f>WSING!$Y$74</f>
        <v/>
      </c>
      <c r="HY26" s="324" t="str">
        <f>WSING!$Y$82</f>
        <v/>
      </c>
      <c r="HZ26" s="324" t="str">
        <f>WSING!$Y$90</f>
        <v/>
      </c>
      <c r="IA26" s="324" t="str">
        <f>WSING!$Y$98</f>
        <v/>
      </c>
      <c r="IB26" s="324" t="str">
        <f>WSING!$Y$106</f>
        <v/>
      </c>
      <c r="IC26" s="76"/>
      <c r="ID26" s="76"/>
      <c r="IE26" s="76"/>
      <c r="IF26" s="76" t="s">
        <v>1242</v>
      </c>
      <c r="IG26" s="324" t="str">
        <f>WSTIK!$Y$6</f>
        <v/>
      </c>
      <c r="IH26" s="324" t="str">
        <f>WSTIK!$Y$14</f>
        <v/>
      </c>
      <c r="II26" s="324" t="str">
        <f>WSTIK!$Y$22</f>
        <v/>
      </c>
      <c r="IJ26" s="324" t="str">
        <f>WSTIK!$Y$30</f>
        <v/>
      </c>
      <c r="IK26" s="324" t="str">
        <f>WSTIK!$Y$38</f>
        <v/>
      </c>
      <c r="IL26" s="324" t="str">
        <f>WSTIK!$Y$46</f>
        <v/>
      </c>
      <c r="IM26" s="324" t="str">
        <f>WSTIK!$Y$54</f>
        <v/>
      </c>
      <c r="IN26" s="324" t="str">
        <f>WSTIK!$Y$62</f>
        <v/>
      </c>
      <c r="IO26" s="324" t="str">
        <f>WSTIK!$Y$70</f>
        <v/>
      </c>
      <c r="IP26" s="324" t="str">
        <f>WSTIK!$Y$78</f>
        <v/>
      </c>
      <c r="IQ26" s="324" t="str">
        <f>WSTIK!$Y$86</f>
        <v/>
      </c>
      <c r="IR26" s="324" t="str">
        <f>WSTIK!$Y$94</f>
        <v/>
      </c>
      <c r="IS26" s="324" t="str">
        <f>WSTIK!$Y$102</f>
        <v/>
      </c>
      <c r="IT26" s="76"/>
      <c r="IU26" s="76"/>
      <c r="IV26" s="76"/>
      <c r="IW26" s="76"/>
      <c r="IX26" s="324" t="str">
        <f>WSASWAJA!$Y$6</f>
        <v/>
      </c>
      <c r="IY26" s="324" t="str">
        <f>WSASWAJA!$Y$14</f>
        <v/>
      </c>
      <c r="IZ26" s="324" t="str">
        <f>WSASWAJA!$Y$22</f>
        <v/>
      </c>
      <c r="JA26" s="324" t="str">
        <f>WSASWAJA!$Y$30</f>
        <v/>
      </c>
      <c r="JB26" s="324" t="str">
        <f>WSASWAJA!$Y$38</f>
        <v/>
      </c>
      <c r="JC26" s="324" t="str">
        <f>WSASWAJA!$Y$46</f>
        <v/>
      </c>
      <c r="JD26" s="324" t="str">
        <f>WSASWAJA!$Y$54</f>
        <v/>
      </c>
      <c r="JE26" s="324" t="str">
        <f>WSASWAJA!$Y$62</f>
        <v/>
      </c>
      <c r="JF26" s="324" t="str">
        <f>WSASWAJA!$Y$70</f>
        <v/>
      </c>
      <c r="JG26" s="324" t="str">
        <f>WSASWAJA!$Y$78</f>
        <v/>
      </c>
      <c r="JH26" s="324" t="str">
        <f>WSASWAJA!$Y$86</f>
        <v/>
      </c>
      <c r="JI26" s="324" t="str">
        <f>WSASWAJA!$Y$94</f>
        <v/>
      </c>
      <c r="JJ26" s="324" t="str">
        <f>WSASWAJA!$Y$102</f>
        <v/>
      </c>
      <c r="JK26" s="76"/>
      <c r="JL26" s="76"/>
      <c r="JM26" s="76"/>
      <c r="JN26" s="76"/>
    </row>
    <row r="27" spans="1:274">
      <c r="A27" s="76"/>
      <c r="B27" s="76">
        <v>22</v>
      </c>
      <c r="C27" s="324">
        <f>WSALQURAN!$Z$6</f>
        <v>83.333333333333329</v>
      </c>
      <c r="D27" s="324">
        <f>WSALQURAN!$Z$14</f>
        <v>100</v>
      </c>
      <c r="E27" s="324">
        <f>WSALQURAN!$Z$22</f>
        <v>90</v>
      </c>
      <c r="F27" s="324">
        <f>WSALQURAN!$Z$30</f>
        <v>83.333333333333329</v>
      </c>
      <c r="G27" s="324">
        <f>WSALQURAN!$Z$38</f>
        <v>83.333333333333329</v>
      </c>
      <c r="H27" s="324">
        <f>WSALQURAN!$Z$46</f>
        <v>75</v>
      </c>
      <c r="I27" s="324">
        <f>WSALQURAN!$Z$54</f>
        <v>95</v>
      </c>
      <c r="J27" s="324" t="str">
        <f>WSALQURAN!$Z$62</f>
        <v/>
      </c>
      <c r="K27" s="324" t="str">
        <f>WSALQURAN!$Z$70</f>
        <v/>
      </c>
      <c r="L27" s="324" t="str">
        <f>WSALQURAN!$Z$78</f>
        <v/>
      </c>
      <c r="M27" s="324" t="str">
        <f>WSALQURAN!$Z$86</f>
        <v/>
      </c>
      <c r="N27" s="324" t="str">
        <f>WSALQURAN!$Z$94</f>
        <v/>
      </c>
      <c r="O27" s="324" t="str">
        <f>WSALQURAN!$Z$102</f>
        <v/>
      </c>
      <c r="P27" s="76"/>
      <c r="Q27" s="76"/>
      <c r="R27" s="76"/>
      <c r="S27" s="76" t="s">
        <v>1966</v>
      </c>
      <c r="T27" s="324">
        <f>WSAQIDAH!$Z$6</f>
        <v>75</v>
      </c>
      <c r="U27" s="324">
        <f>WSAQIDAH!$Z$14</f>
        <v>100</v>
      </c>
      <c r="V27" s="324">
        <f>WSAQIDAH!$Z$22</f>
        <v>75</v>
      </c>
      <c r="W27" s="324">
        <f>WSAQIDAH!$Z$30</f>
        <v>75</v>
      </c>
      <c r="X27" s="324">
        <f>WSAQIDAH!$Z$38</f>
        <v>90</v>
      </c>
      <c r="Y27" s="324">
        <f>WSAQIDAH!$Z$46</f>
        <v>85</v>
      </c>
      <c r="Z27" s="324">
        <f>WSAQIDAH!$Z$54</f>
        <v>75</v>
      </c>
      <c r="AA27" s="324">
        <f>WSAQIDAH!$Z$62</f>
        <v>75</v>
      </c>
      <c r="AB27" s="324">
        <f>WSAQIDAH!$Z$70</f>
        <v>75</v>
      </c>
      <c r="AC27" s="324">
        <f>WSAQIDAH!$Z$78</f>
        <v>75</v>
      </c>
      <c r="AD27" s="324" t="str">
        <f>WSAQIDAH!$Z$86</f>
        <v/>
      </c>
      <c r="AE27" s="324" t="str">
        <f>WSAQIDAH!$Z$94</f>
        <v/>
      </c>
      <c r="AF27" s="324" t="str">
        <f>WSAQIDAH!$Z$102</f>
        <v/>
      </c>
      <c r="AG27" s="76"/>
      <c r="AH27" s="76"/>
      <c r="AI27" s="76"/>
      <c r="AJ27" s="76" t="s">
        <v>1972</v>
      </c>
      <c r="AK27" s="324">
        <f>WSFIQIH!$Z$6</f>
        <v>93.75</v>
      </c>
      <c r="AL27" s="324">
        <f>WSFIQIH!$Z$19</f>
        <v>90</v>
      </c>
      <c r="AM27" s="324">
        <f>WSFIQIH!$Z$28</f>
        <v>80</v>
      </c>
      <c r="AN27" s="324">
        <f>WSFIQIH!$Z$41</f>
        <v>90</v>
      </c>
      <c r="AO27" s="324">
        <f>WSFIQIH!$Z$49</f>
        <v>80</v>
      </c>
      <c r="AP27" s="324">
        <f>WSFIQIH!$Z$62</f>
        <v>100</v>
      </c>
      <c r="AQ27" s="324">
        <f>WSFIQIH!$Z$71</f>
        <v>98</v>
      </c>
      <c r="AR27" s="324">
        <f>WSFIQIH!$Z$80</f>
        <v>80</v>
      </c>
      <c r="AS27" s="324" t="str">
        <f>WSFIQIH!$Z$88</f>
        <v/>
      </c>
      <c r="AT27" s="324" t="str">
        <f>WSFIQIH!$Z$96</f>
        <v/>
      </c>
      <c r="AU27" s="324" t="str">
        <f>WSFIQIH!$Z$104</f>
        <v/>
      </c>
      <c r="AV27" s="324" t="str">
        <f>WSFIQIH!$Z$112</f>
        <v/>
      </c>
      <c r="AW27" s="324" t="str">
        <f>WSFIQIH!$Z$120</f>
        <v/>
      </c>
      <c r="AX27" s="76"/>
      <c r="AY27" s="76"/>
      <c r="AZ27" s="76"/>
      <c r="BA27" s="76" t="s">
        <v>1231</v>
      </c>
      <c r="BB27" s="324">
        <f>WSSKI!$Z$6</f>
        <v>82.5</v>
      </c>
      <c r="BC27" s="324">
        <f>WSSKI!$Z$14</f>
        <v>90</v>
      </c>
      <c r="BD27" s="324">
        <f>WSSKI!$Z$23</f>
        <v>89</v>
      </c>
      <c r="BE27" s="324">
        <f>WSSKI!$Z$31</f>
        <v>92</v>
      </c>
      <c r="BF27" s="324">
        <f>WSSKI!$Z$40</f>
        <v>95</v>
      </c>
      <c r="BG27" s="324">
        <f>WSSKI!$Z$48</f>
        <v>80</v>
      </c>
      <c r="BH27" s="324" t="str">
        <f>WSSKI!$Z$56</f>
        <v/>
      </c>
      <c r="BI27" s="324" t="str">
        <f>WSSKI!$Z$64</f>
        <v/>
      </c>
      <c r="BJ27" s="324" t="str">
        <f>WSSKI!$Z$72</f>
        <v/>
      </c>
      <c r="BK27" s="324" t="str">
        <f>WSSKI!$Z$80</f>
        <v/>
      </c>
      <c r="BL27" s="324" t="str">
        <f>WSSKI!$Z$88</f>
        <v/>
      </c>
      <c r="BM27" s="324" t="str">
        <f>WSSKI!$Z$96</f>
        <v/>
      </c>
      <c r="BN27" s="324" t="str">
        <f>WSSKI!$Z$104</f>
        <v/>
      </c>
      <c r="BO27" s="76"/>
      <c r="BP27" s="76"/>
      <c r="BQ27" s="76"/>
      <c r="BR27" s="76"/>
      <c r="BS27" s="324">
        <f>WSPKN!$Z$6</f>
        <v>95.3125</v>
      </c>
      <c r="BT27" s="324">
        <f>WSPKN!$Z$32</f>
        <v>98.928571428571431</v>
      </c>
      <c r="BU27" s="324">
        <f>WSPKN!$Z$55</f>
        <v>91.785714285714292</v>
      </c>
      <c r="BV27" s="324">
        <f>WSPKN!$Z$72</f>
        <v>93.611111111111114</v>
      </c>
      <c r="BW27" s="324">
        <f>WSPKN!$Z$86</f>
        <v>94.166666666666671</v>
      </c>
      <c r="BX27" s="324">
        <f>WSPKN!$Z$108</f>
        <v>98.928571428571431</v>
      </c>
      <c r="BY27" s="324">
        <f>WSPKN!$Z$132</f>
        <v>91.785714285714292</v>
      </c>
      <c r="BZ27" s="324">
        <f>WSPKN!$Z$148</f>
        <v>93.75</v>
      </c>
      <c r="CA27" s="324" t="str">
        <f>WSPKN!$Z$165</f>
        <v/>
      </c>
      <c r="CB27" s="324" t="str">
        <f>WSPKN!$Z$173</f>
        <v/>
      </c>
      <c r="CC27" s="324" t="str">
        <f>WSPKN!$Z$181</f>
        <v/>
      </c>
      <c r="CD27" s="324" t="str">
        <f>WSPKN!$Z$189</f>
        <v/>
      </c>
      <c r="CE27" s="324" t="str">
        <f>WSPKN!$Z$197</f>
        <v/>
      </c>
      <c r="CF27" s="76"/>
      <c r="CG27" s="76"/>
      <c r="CH27" s="76"/>
      <c r="CI27" s="76" t="s">
        <v>1888</v>
      </c>
      <c r="CJ27" s="324">
        <f>WSIND!$Z$6</f>
        <v>94.166666666666671</v>
      </c>
      <c r="CK27" s="324">
        <f>WSIND!$Z$65</f>
        <v>93.125</v>
      </c>
      <c r="CL27" s="324">
        <f>WSIND!$Z$113</f>
        <v>96.111111111111114</v>
      </c>
      <c r="CM27" s="324">
        <f>WSIND!$Z$133</f>
        <v>93.333333333333329</v>
      </c>
      <c r="CN27" s="324">
        <f>WSIND!$Z$161</f>
        <v>97.857142857142861</v>
      </c>
      <c r="CO27" s="324">
        <f>WSIND!$Z$192</f>
        <v>93.913043478260875</v>
      </c>
      <c r="CP27" s="324">
        <f>WSIND!$Z$228</f>
        <v>93.125</v>
      </c>
      <c r="CQ27" s="324">
        <f>WSIND!$Z$256</f>
        <v>96.111111111111114</v>
      </c>
      <c r="CR27" s="324">
        <f>WSIND!$Z$277</f>
        <v>93.333333333333329</v>
      </c>
      <c r="CS27" s="324">
        <f>WSIND!$Z$305</f>
        <v>97.857142857142861</v>
      </c>
      <c r="CT27" s="324" t="str">
        <f>WSIND!$Z$329</f>
        <v/>
      </c>
      <c r="CU27" s="324" t="str">
        <f>WSIND!$Z$337</f>
        <v/>
      </c>
      <c r="CV27" s="324" t="str">
        <f>WSIND!$Z$345</f>
        <v/>
      </c>
      <c r="CW27" s="76"/>
      <c r="CX27" s="76"/>
      <c r="CY27" s="76"/>
      <c r="CZ27" s="76" t="s">
        <v>1910</v>
      </c>
      <c r="DA27" s="324" t="str">
        <f>WSARAB!$Z$6</f>
        <v/>
      </c>
      <c r="DB27" s="324" t="str">
        <f>WSARAB!$Z$17</f>
        <v/>
      </c>
      <c r="DC27" s="324" t="str">
        <f>WSARAB!$Z$29</f>
        <v/>
      </c>
      <c r="DD27" s="324" t="str">
        <f>WSARAB!$Z$37</f>
        <v/>
      </c>
      <c r="DE27" s="324" t="str">
        <f>WSARAB!$Z$45</f>
        <v/>
      </c>
      <c r="DF27" s="324" t="str">
        <f>WSARAB!$Z$53</f>
        <v/>
      </c>
      <c r="DG27" s="324" t="str">
        <f>WSARAB!$Z$65</f>
        <v/>
      </c>
      <c r="DH27" s="324" t="str">
        <f>WSARAB!$Z$73</f>
        <v/>
      </c>
      <c r="DI27" s="324" t="str">
        <f>WSARAB!$Z$81</f>
        <v/>
      </c>
      <c r="DJ27" s="324" t="str">
        <f>WSARAB!$Z$89</f>
        <v/>
      </c>
      <c r="DK27" s="324" t="str">
        <f>WSARAB!$Z$97</f>
        <v/>
      </c>
      <c r="DL27" s="324" t="str">
        <f>WSARAB!$Z$105</f>
        <v/>
      </c>
      <c r="DM27" s="324" t="str">
        <f>WSARAB!$Z$113</f>
        <v/>
      </c>
      <c r="DN27" s="76"/>
      <c r="DO27" s="76"/>
      <c r="DP27" s="76"/>
      <c r="DQ27" s="76" t="s">
        <v>1274</v>
      </c>
      <c r="DR27" s="324">
        <f>WSMTK!$Z$6</f>
        <v>92.5</v>
      </c>
      <c r="DS27" s="324">
        <f>WSMTK!$Z$22</f>
        <v>94.375</v>
      </c>
      <c r="DT27" s="324">
        <f>WSMTK!$Z$35</f>
        <v>94.642857142857139</v>
      </c>
      <c r="DU27" s="324">
        <f>WSMTK!$Z$69</f>
        <v>92.1875</v>
      </c>
      <c r="DV27" s="324">
        <f>WSMTK!$Z$87</f>
        <v>92.5</v>
      </c>
      <c r="DW27" s="324">
        <f>WSMTK!$Z$99</f>
        <v>94.375</v>
      </c>
      <c r="DX27" s="324">
        <f>WSMTK!$Z$113</f>
        <v>94.642857142857139</v>
      </c>
      <c r="DY27" s="324">
        <f>WSMTK!$Z$145</f>
        <v>92.1875</v>
      </c>
      <c r="DZ27" s="324" t="str">
        <f>WSMTK!$Z$168</f>
        <v/>
      </c>
      <c r="EA27" s="324" t="str">
        <f>WSMTK!$Z$176</f>
        <v/>
      </c>
      <c r="EB27" s="324" t="str">
        <f>WSMTK!$Z$184</f>
        <v/>
      </c>
      <c r="EC27" s="324" t="str">
        <f>WSMTK!$Z$192</f>
        <v/>
      </c>
      <c r="ED27" s="324" t="str">
        <f>WSMTK!$Z$200</f>
        <v/>
      </c>
      <c r="EE27" s="76"/>
      <c r="EF27" s="76"/>
      <c r="EG27" s="76"/>
      <c r="EH27" s="76" t="s">
        <v>1316</v>
      </c>
      <c r="EI27" s="324" t="str">
        <f>WSIPA!$Z$6</f>
        <v/>
      </c>
      <c r="EJ27" s="324" t="str">
        <f>WSIPA!$Z$14</f>
        <v/>
      </c>
      <c r="EK27" s="324" t="str">
        <f>WSIPA!$Z$22</f>
        <v/>
      </c>
      <c r="EL27" s="324" t="str">
        <f>WSIPA!$Z$30</f>
        <v/>
      </c>
      <c r="EM27" s="324" t="str">
        <f>WSIPA!$Z$38</f>
        <v/>
      </c>
      <c r="EN27" s="324" t="str">
        <f>WSIPA!$Z$46</f>
        <v/>
      </c>
      <c r="EO27" s="324" t="str">
        <f>WSIPA!$Z$54</f>
        <v/>
      </c>
      <c r="EP27" s="324" t="str">
        <f>WSIPA!$Z$62</f>
        <v/>
      </c>
      <c r="EQ27" s="324" t="str">
        <f>WSIPA!$Z$70</f>
        <v/>
      </c>
      <c r="ER27" s="324" t="str">
        <f>WSIPA!$Z$78</f>
        <v/>
      </c>
      <c r="ES27" s="324" t="str">
        <f>WSIPA!$Z$86</f>
        <v/>
      </c>
      <c r="ET27" s="324" t="str">
        <f>WSIPA!$Z$94</f>
        <v/>
      </c>
      <c r="EU27" s="324" t="str">
        <f>WSIPA!$Z$102</f>
        <v/>
      </c>
      <c r="EV27" s="76"/>
      <c r="EW27" s="76"/>
      <c r="EX27" s="76"/>
      <c r="EY27" s="76" t="s">
        <v>1240</v>
      </c>
      <c r="EZ27" s="324" t="str">
        <f>WSIPS!$Z$6</f>
        <v/>
      </c>
      <c r="FA27" s="324" t="str">
        <f>WSIPS!$Z$14</f>
        <v/>
      </c>
      <c r="FB27" s="324" t="str">
        <f>WSIPS!$Z$22</f>
        <v/>
      </c>
      <c r="FC27" s="324" t="str">
        <f>WSIPS!$Z$30</f>
        <v/>
      </c>
      <c r="FD27" s="324" t="str">
        <f>WSIPS!$Z$38</f>
        <v/>
      </c>
      <c r="FE27" s="324" t="str">
        <f>WSIPS!$Z$46</f>
        <v/>
      </c>
      <c r="FF27" s="324" t="str">
        <f>WSIPS!$Z$54</f>
        <v/>
      </c>
      <c r="FG27" s="324" t="str">
        <f>WSIPS!$Z$62</f>
        <v/>
      </c>
      <c r="FH27" s="324" t="str">
        <f>WSIPS!$Z$70</f>
        <v/>
      </c>
      <c r="FI27" s="324" t="str">
        <f>WSIPS!$Z$78</f>
        <v/>
      </c>
      <c r="FJ27" s="324" t="str">
        <f>WSIPS!$Z$86</f>
        <v/>
      </c>
      <c r="FK27" s="324" t="str">
        <f>WSIPS!$Z$94</f>
        <v/>
      </c>
      <c r="FL27" s="324" t="str">
        <f>WSIPS!$Z$102</f>
        <v/>
      </c>
      <c r="FM27" s="76"/>
      <c r="FN27" s="76"/>
      <c r="FO27" s="76"/>
      <c r="FP27" s="76" t="s">
        <v>1263</v>
      </c>
      <c r="FQ27" s="324">
        <f>WSSBK!$Z$6</f>
        <v>93.75</v>
      </c>
      <c r="FR27" s="324">
        <f>WSSBK!$Z$16</f>
        <v>96.875</v>
      </c>
      <c r="FS27" s="324">
        <f>WSSBK!$Z$26</f>
        <v>96.875</v>
      </c>
      <c r="FT27" s="324">
        <f>WSSBK!$Z$36</f>
        <v>90</v>
      </c>
      <c r="FU27" s="324">
        <f>WSSBK!$Z$46</f>
        <v>93.75</v>
      </c>
      <c r="FV27" s="324">
        <f>WSSBK!$Z$58</f>
        <v>96.875</v>
      </c>
      <c r="FW27" s="324">
        <f>WSSBK!$Z$68</f>
        <v>96.875</v>
      </c>
      <c r="FX27" s="324">
        <f>WSSBK!$Z$77</f>
        <v>90</v>
      </c>
      <c r="FY27" s="324" t="str">
        <f>WSSBK!$Z$87</f>
        <v/>
      </c>
      <c r="FZ27" s="324" t="str">
        <f>WSSBK!$Z$95</f>
        <v/>
      </c>
      <c r="GA27" s="324" t="str">
        <f>WSSBK!$Z$103</f>
        <v/>
      </c>
      <c r="GB27" s="324" t="str">
        <f>WSSBK!$Z$111</f>
        <v/>
      </c>
      <c r="GC27" s="324" t="str">
        <f>WSSBK!$Z$119</f>
        <v/>
      </c>
      <c r="GD27" s="76"/>
      <c r="GE27" s="76"/>
      <c r="GF27" s="76"/>
      <c r="GG27" s="76" t="s">
        <v>1953</v>
      </c>
      <c r="GH27" s="334">
        <f>WSPENJAS!$Z$6</f>
        <v>0</v>
      </c>
      <c r="GI27" s="334">
        <f>WSPENJAS!$Z$7</f>
        <v>0</v>
      </c>
      <c r="GJ27" s="334">
        <f>WSPENJAS!$Z$8</f>
        <v>94</v>
      </c>
      <c r="GK27" s="334">
        <f>WSPENJAS!$Z$9</f>
        <v>94</v>
      </c>
      <c r="GL27" s="334">
        <f>WSPENJAS!$Z$10</f>
        <v>94</v>
      </c>
      <c r="GM27" s="334">
        <f>WSPENJAS!$Z$11</f>
        <v>94</v>
      </c>
      <c r="GN27" s="334">
        <f>WSPENJAS!$Z$12</f>
        <v>94</v>
      </c>
      <c r="GO27" s="334">
        <f>WSPENJAS!$Z$13</f>
        <v>94</v>
      </c>
      <c r="GP27" s="334">
        <f>WSPENJAS!$Z$14</f>
        <v>94</v>
      </c>
      <c r="GQ27" s="334">
        <f>WSPENJAS!$Z$15</f>
        <v>94</v>
      </c>
      <c r="GR27" s="334">
        <f>WSPENJAS!$Z$16</f>
        <v>0</v>
      </c>
      <c r="GS27" s="334">
        <f>WSPENJAS!$Z$17</f>
        <v>0</v>
      </c>
      <c r="GT27" s="334">
        <f>WSPENJAS!$Z$18</f>
        <v>0</v>
      </c>
      <c r="GU27" s="334">
        <f>WSPENJAS!$Z$19</f>
        <v>0</v>
      </c>
      <c r="GV27" s="334">
        <f>WSPENJAS!$Z$20</f>
        <v>0</v>
      </c>
      <c r="GW27" s="334">
        <f>WSPENJAS!$Z$21</f>
        <v>0</v>
      </c>
      <c r="GX27" s="76" t="s">
        <v>1291</v>
      </c>
      <c r="GY27" s="324">
        <f>WSJAWA!$Z$6</f>
        <v>100</v>
      </c>
      <c r="GZ27" s="324">
        <f>WSJAWA!$Z$14</f>
        <v>91.666666666666671</v>
      </c>
      <c r="HA27" s="324">
        <f>WSJAWA!$Z$22</f>
        <v>100</v>
      </c>
      <c r="HB27" s="324">
        <f>WSJAWA!$Z$30</f>
        <v>100</v>
      </c>
      <c r="HC27" s="324">
        <f>WSJAWA!$Z$38</f>
        <v>100</v>
      </c>
      <c r="HD27" s="324">
        <f>WSJAWA!$Z$46</f>
        <v>75</v>
      </c>
      <c r="HE27" s="324">
        <f>WSJAWA!$Z$54</f>
        <v>100</v>
      </c>
      <c r="HF27" s="324">
        <f>WSJAWA!$Z$62</f>
        <v>95</v>
      </c>
      <c r="HG27" s="324" t="str">
        <f>WSJAWA!$Z$70</f>
        <v/>
      </c>
      <c r="HH27" s="324" t="str">
        <f>WSJAWA!$Z$78</f>
        <v/>
      </c>
      <c r="HI27" s="324" t="str">
        <f>WSJAWA!$Z$86</f>
        <v/>
      </c>
      <c r="HJ27" s="324" t="str">
        <f>WSJAWA!$Z$94</f>
        <v/>
      </c>
      <c r="HK27" s="324" t="str">
        <f>WSJAWA!$Z$102</f>
        <v/>
      </c>
      <c r="HL27" s="76"/>
      <c r="HM27" s="76"/>
      <c r="HN27" s="76"/>
      <c r="HO27" s="76" t="s">
        <v>1287</v>
      </c>
      <c r="HP27" s="324">
        <f>WSING!$Z$6</f>
        <v>93.666666666666671</v>
      </c>
      <c r="HQ27" s="324">
        <f>WSING!$Z$15</f>
        <v>93.666666666666671</v>
      </c>
      <c r="HR27" s="324">
        <f>WSING!$Z$24</f>
        <v>82.5</v>
      </c>
      <c r="HS27" s="324">
        <f>WSING!$Z$33</f>
        <v>82.5</v>
      </c>
      <c r="HT27" s="324" t="str">
        <f>WSING!$Z$42</f>
        <v/>
      </c>
      <c r="HU27" s="324" t="str">
        <f>WSING!$Z$50</f>
        <v/>
      </c>
      <c r="HV27" s="324" t="str">
        <f>WSING!$Z$58</f>
        <v/>
      </c>
      <c r="HW27" s="324" t="str">
        <f>WSING!$Z$66</f>
        <v/>
      </c>
      <c r="HX27" s="324" t="str">
        <f>WSING!$Z$74</f>
        <v/>
      </c>
      <c r="HY27" s="324" t="str">
        <f>WSING!$Z$82</f>
        <v/>
      </c>
      <c r="HZ27" s="324" t="str">
        <f>WSING!$Z$90</f>
        <v/>
      </c>
      <c r="IA27" s="324" t="str">
        <f>WSING!$Z$98</f>
        <v/>
      </c>
      <c r="IB27" s="324" t="str">
        <f>WSING!$Z$106</f>
        <v/>
      </c>
      <c r="IC27" s="76"/>
      <c r="ID27" s="76"/>
      <c r="IE27" s="76"/>
      <c r="IF27" s="76" t="s">
        <v>1242</v>
      </c>
      <c r="IG27" s="324" t="str">
        <f>WSTIK!$Z$6</f>
        <v/>
      </c>
      <c r="IH27" s="324" t="str">
        <f>WSTIK!$Z$14</f>
        <v/>
      </c>
      <c r="II27" s="324" t="str">
        <f>WSTIK!$Z$22</f>
        <v/>
      </c>
      <c r="IJ27" s="324" t="str">
        <f>WSTIK!$Z$30</f>
        <v/>
      </c>
      <c r="IK27" s="324" t="str">
        <f>WSTIK!$Z$38</f>
        <v/>
      </c>
      <c r="IL27" s="324" t="str">
        <f>WSTIK!$Z$46</f>
        <v/>
      </c>
      <c r="IM27" s="324" t="str">
        <f>WSTIK!$Z$54</f>
        <v/>
      </c>
      <c r="IN27" s="324" t="str">
        <f>WSTIK!$Z$62</f>
        <v/>
      </c>
      <c r="IO27" s="324" t="str">
        <f>WSTIK!$Z$70</f>
        <v/>
      </c>
      <c r="IP27" s="324" t="str">
        <f>WSTIK!$Z$78</f>
        <v/>
      </c>
      <c r="IQ27" s="324" t="str">
        <f>WSTIK!$Z$86</f>
        <v/>
      </c>
      <c r="IR27" s="324" t="str">
        <f>WSTIK!$Z$94</f>
        <v/>
      </c>
      <c r="IS27" s="324" t="str">
        <f>WSTIK!$Z$102</f>
        <v/>
      </c>
      <c r="IT27" s="76"/>
      <c r="IU27" s="76"/>
      <c r="IV27" s="76"/>
      <c r="IW27" s="76"/>
      <c r="IX27" s="324" t="str">
        <f>WSASWAJA!$Z$6</f>
        <v/>
      </c>
      <c r="IY27" s="324" t="str">
        <f>WSASWAJA!$Z$14</f>
        <v/>
      </c>
      <c r="IZ27" s="324" t="str">
        <f>WSASWAJA!$Z$22</f>
        <v/>
      </c>
      <c r="JA27" s="324" t="str">
        <f>WSASWAJA!$Z$30</f>
        <v/>
      </c>
      <c r="JB27" s="324" t="str">
        <f>WSASWAJA!$Z$38</f>
        <v/>
      </c>
      <c r="JC27" s="324" t="str">
        <f>WSASWAJA!$Z$46</f>
        <v/>
      </c>
      <c r="JD27" s="324" t="str">
        <f>WSASWAJA!$Z$54</f>
        <v/>
      </c>
      <c r="JE27" s="324" t="str">
        <f>WSASWAJA!$Z$62</f>
        <v/>
      </c>
      <c r="JF27" s="324" t="str">
        <f>WSASWAJA!$Z$70</f>
        <v/>
      </c>
      <c r="JG27" s="324" t="str">
        <f>WSASWAJA!$Z$78</f>
        <v/>
      </c>
      <c r="JH27" s="324" t="str">
        <f>WSASWAJA!$Z$86</f>
        <v/>
      </c>
      <c r="JI27" s="324" t="str">
        <f>WSASWAJA!$Z$94</f>
        <v/>
      </c>
      <c r="JJ27" s="324" t="str">
        <f>WSASWAJA!$Z$102</f>
        <v/>
      </c>
      <c r="JK27" s="76"/>
      <c r="JL27" s="76"/>
      <c r="JM27" s="76"/>
      <c r="JN27" s="76"/>
    </row>
    <row r="28" spans="1:274">
      <c r="A28" s="76"/>
      <c r="B28" s="76">
        <v>23</v>
      </c>
      <c r="C28" s="324">
        <f>WSALQURAN!$AA$6</f>
        <v>83.333333333333329</v>
      </c>
      <c r="D28" s="324">
        <f>WSALQURAN!$AA$14</f>
        <v>90</v>
      </c>
      <c r="E28" s="324">
        <f>WSALQURAN!$AA$22</f>
        <v>90</v>
      </c>
      <c r="F28" s="324">
        <f>WSALQURAN!$AA$30</f>
        <v>83.333333333333329</v>
      </c>
      <c r="G28" s="324">
        <f>WSALQURAN!$AA$38</f>
        <v>92.666666666666671</v>
      </c>
      <c r="H28" s="324">
        <f>WSALQURAN!$AA$46</f>
        <v>75</v>
      </c>
      <c r="I28" s="324">
        <f>WSALQURAN!$AA$54</f>
        <v>80</v>
      </c>
      <c r="J28" s="324" t="str">
        <f>WSALQURAN!$AA$62</f>
        <v/>
      </c>
      <c r="K28" s="324" t="str">
        <f>WSALQURAN!$AA$70</f>
        <v/>
      </c>
      <c r="L28" s="324" t="str">
        <f>WSALQURAN!$AA$78</f>
        <v/>
      </c>
      <c r="M28" s="324" t="str">
        <f>WSALQURAN!$AA$86</f>
        <v/>
      </c>
      <c r="N28" s="324" t="str">
        <f>WSALQURAN!$AA$94</f>
        <v/>
      </c>
      <c r="O28" s="324" t="str">
        <f>WSALQURAN!$AA$102</f>
        <v/>
      </c>
      <c r="P28" s="76"/>
      <c r="Q28" s="76"/>
      <c r="R28" s="76"/>
      <c r="S28" s="76" t="s">
        <v>1966</v>
      </c>
      <c r="T28" s="324">
        <f>WSAQIDAH!$AA$6</f>
        <v>92.5</v>
      </c>
      <c r="U28" s="324">
        <f>WSAQIDAH!$AA$14</f>
        <v>100</v>
      </c>
      <c r="V28" s="324">
        <f>WSAQIDAH!$AA$22</f>
        <v>80</v>
      </c>
      <c r="W28" s="324">
        <f>WSAQIDAH!$AA$30</f>
        <v>100</v>
      </c>
      <c r="X28" s="324">
        <f>WSAQIDAH!$AA$38</f>
        <v>90</v>
      </c>
      <c r="Y28" s="324">
        <f>WSAQIDAH!$AA$46</f>
        <v>100</v>
      </c>
      <c r="Z28" s="324">
        <f>WSAQIDAH!$AA$54</f>
        <v>100</v>
      </c>
      <c r="AA28" s="324">
        <f>WSAQIDAH!$AA$62</f>
        <v>85</v>
      </c>
      <c r="AB28" s="324">
        <f>WSAQIDAH!$AA$70</f>
        <v>85</v>
      </c>
      <c r="AC28" s="324">
        <f>WSAQIDAH!$AA$78</f>
        <v>85</v>
      </c>
      <c r="AD28" s="324" t="str">
        <f>WSAQIDAH!$AA$86</f>
        <v/>
      </c>
      <c r="AE28" s="324" t="str">
        <f>WSAQIDAH!$AA$94</f>
        <v/>
      </c>
      <c r="AF28" s="324" t="str">
        <f>WSAQIDAH!$AA$102</f>
        <v/>
      </c>
      <c r="AG28" s="76"/>
      <c r="AH28" s="76"/>
      <c r="AI28" s="76"/>
      <c r="AJ28" s="76" t="s">
        <v>1978</v>
      </c>
      <c r="AK28" s="324">
        <f>WSFIQIH!$AA$6</f>
        <v>91.5</v>
      </c>
      <c r="AL28" s="324">
        <f>WSFIQIH!$AA$19</f>
        <v>92</v>
      </c>
      <c r="AM28" s="324">
        <f>WSFIQIH!$AA$28</f>
        <v>80</v>
      </c>
      <c r="AN28" s="324">
        <f>WSFIQIH!$AA$41</f>
        <v>100</v>
      </c>
      <c r="AO28" s="324">
        <f>WSFIQIH!$AA$49</f>
        <v>85</v>
      </c>
      <c r="AP28" s="324">
        <f>WSFIQIH!$AA$62</f>
        <v>100</v>
      </c>
      <c r="AQ28" s="324">
        <f>WSFIQIH!$AA$71</f>
        <v>98</v>
      </c>
      <c r="AR28" s="324">
        <f>WSFIQIH!$AA$80</f>
        <v>80</v>
      </c>
      <c r="AS28" s="324" t="str">
        <f>WSFIQIH!$AA$88</f>
        <v/>
      </c>
      <c r="AT28" s="324" t="str">
        <f>WSFIQIH!$AA$96</f>
        <v/>
      </c>
      <c r="AU28" s="324" t="str">
        <f>WSFIQIH!$AA$104</f>
        <v/>
      </c>
      <c r="AV28" s="324" t="str">
        <f>WSFIQIH!$AA$112</f>
        <v/>
      </c>
      <c r="AW28" s="324" t="str">
        <f>WSFIQIH!$AA$120</f>
        <v/>
      </c>
      <c r="AX28" s="76"/>
      <c r="AY28" s="76"/>
      <c r="AZ28" s="76"/>
      <c r="BA28" s="76" t="s">
        <v>1232</v>
      </c>
      <c r="BB28" s="324">
        <f>WSSKI!$AA$6</f>
        <v>75</v>
      </c>
      <c r="BC28" s="324">
        <f>WSSKI!$AA$14</f>
        <v>85.6</v>
      </c>
      <c r="BD28" s="324">
        <f>WSSKI!$AA$23</f>
        <v>90</v>
      </c>
      <c r="BE28" s="324">
        <f>WSSKI!$AA$31</f>
        <v>95</v>
      </c>
      <c r="BF28" s="324">
        <f>WSSKI!$AA$40</f>
        <v>100</v>
      </c>
      <c r="BG28" s="324">
        <f>WSSKI!$AA$48</f>
        <v>75</v>
      </c>
      <c r="BH28" s="324" t="str">
        <f>WSSKI!$AA$56</f>
        <v/>
      </c>
      <c r="BI28" s="324" t="str">
        <f>WSSKI!$AA$64</f>
        <v/>
      </c>
      <c r="BJ28" s="324" t="str">
        <f>WSSKI!$AA$72</f>
        <v/>
      </c>
      <c r="BK28" s="324" t="str">
        <f>WSSKI!$AA$80</f>
        <v/>
      </c>
      <c r="BL28" s="324" t="str">
        <f>WSSKI!$AA$88</f>
        <v/>
      </c>
      <c r="BM28" s="324" t="str">
        <f>WSSKI!$AA$96</f>
        <v/>
      </c>
      <c r="BN28" s="324" t="str">
        <f>WSSKI!$AA$104</f>
        <v/>
      </c>
      <c r="BO28" s="76"/>
      <c r="BP28" s="76"/>
      <c r="BQ28" s="76"/>
      <c r="BR28" s="76"/>
      <c r="BS28" s="324">
        <f>WSPKN!$AA$6</f>
        <v>98.75</v>
      </c>
      <c r="BT28" s="324">
        <f>WSPKN!$AA$32</f>
        <v>97.5</v>
      </c>
      <c r="BU28" s="324">
        <f>WSPKN!$AA$55</f>
        <v>96.785714285714292</v>
      </c>
      <c r="BV28" s="324">
        <f>WSPKN!$AA$72</f>
        <v>97.277777777777786</v>
      </c>
      <c r="BW28" s="324">
        <f>WSPKN!$AA$86</f>
        <v>99.166666666666671</v>
      </c>
      <c r="BX28" s="324">
        <f>WSPKN!$AA$108</f>
        <v>97.5</v>
      </c>
      <c r="BY28" s="324">
        <f>WSPKN!$AA$132</f>
        <v>96.785714285714292</v>
      </c>
      <c r="BZ28" s="324">
        <f>WSPKN!$AA$148</f>
        <v>96.666666666666671</v>
      </c>
      <c r="CA28" s="324" t="str">
        <f>WSPKN!$AA$165</f>
        <v/>
      </c>
      <c r="CB28" s="324" t="str">
        <f>WSPKN!$AA$173</f>
        <v/>
      </c>
      <c r="CC28" s="324" t="str">
        <f>WSPKN!$AA$181</f>
        <v/>
      </c>
      <c r="CD28" s="324" t="str">
        <f>WSPKN!$AA$189</f>
        <v/>
      </c>
      <c r="CE28" s="324" t="str">
        <f>WSPKN!$AA$197</f>
        <v/>
      </c>
      <c r="CF28" s="76"/>
      <c r="CG28" s="76"/>
      <c r="CH28" s="76"/>
      <c r="CI28" s="76" t="s">
        <v>1888</v>
      </c>
      <c r="CJ28" s="324">
        <f>WSIND!$AA$6</f>
        <v>98.541666666666671</v>
      </c>
      <c r="CK28" s="324">
        <f>WSIND!$AA$65</f>
        <v>96.666666666666671</v>
      </c>
      <c r="CL28" s="324">
        <f>WSIND!$AA$113</f>
        <v>98.888888888888886</v>
      </c>
      <c r="CM28" s="324">
        <f>WSIND!$AA$133</f>
        <v>96.666666666666671</v>
      </c>
      <c r="CN28" s="324">
        <f>WSIND!$AA$161</f>
        <v>98.260869565217391</v>
      </c>
      <c r="CO28" s="324">
        <f>WSIND!$AA$192</f>
        <v>98.478260869565219</v>
      </c>
      <c r="CP28" s="324">
        <f>WSIND!$AA$228</f>
        <v>96.666666666666671</v>
      </c>
      <c r="CQ28" s="324">
        <f>WSIND!$AA$256</f>
        <v>98.888888888888886</v>
      </c>
      <c r="CR28" s="324">
        <f>WSIND!$AA$277</f>
        <v>96.666666666666671</v>
      </c>
      <c r="CS28" s="324">
        <f>WSIND!$AA$305</f>
        <v>98.260869565217391</v>
      </c>
      <c r="CT28" s="324" t="str">
        <f>WSIND!$AA$329</f>
        <v/>
      </c>
      <c r="CU28" s="324" t="str">
        <f>WSIND!$AA$337</f>
        <v/>
      </c>
      <c r="CV28" s="324" t="str">
        <f>WSIND!$AA$345</f>
        <v/>
      </c>
      <c r="CW28" s="76"/>
      <c r="CX28" s="76"/>
      <c r="CY28" s="76"/>
      <c r="CZ28" s="76" t="s">
        <v>1911</v>
      </c>
      <c r="DA28" s="324" t="str">
        <f>WSARAB!$AA$6</f>
        <v/>
      </c>
      <c r="DB28" s="324" t="str">
        <f>WSARAB!$AA$17</f>
        <v/>
      </c>
      <c r="DC28" s="324" t="str">
        <f>WSARAB!$AA$29</f>
        <v/>
      </c>
      <c r="DD28" s="324" t="str">
        <f>WSARAB!$AA$37</f>
        <v/>
      </c>
      <c r="DE28" s="324" t="str">
        <f>WSARAB!$AA$45</f>
        <v/>
      </c>
      <c r="DF28" s="324" t="str">
        <f>WSARAB!$AA$53</f>
        <v/>
      </c>
      <c r="DG28" s="324" t="str">
        <f>WSARAB!$AA$65</f>
        <v/>
      </c>
      <c r="DH28" s="324" t="str">
        <f>WSARAB!$AA$73</f>
        <v/>
      </c>
      <c r="DI28" s="324" t="str">
        <f>WSARAB!$AA$81</f>
        <v/>
      </c>
      <c r="DJ28" s="324" t="str">
        <f>WSARAB!$AA$89</f>
        <v/>
      </c>
      <c r="DK28" s="324" t="str">
        <f>WSARAB!$AA$97</f>
        <v/>
      </c>
      <c r="DL28" s="324" t="str">
        <f>WSARAB!$AA$105</f>
        <v/>
      </c>
      <c r="DM28" s="324" t="str">
        <f>WSARAB!$AA$113</f>
        <v/>
      </c>
      <c r="DN28" s="76"/>
      <c r="DO28" s="76"/>
      <c r="DP28" s="76"/>
      <c r="DQ28" s="76" t="s">
        <v>1331</v>
      </c>
      <c r="DR28" s="324">
        <f>WSMTK!$AA$6</f>
        <v>96</v>
      </c>
      <c r="DS28" s="324">
        <f>WSMTK!$AA$22</f>
        <v>98.75</v>
      </c>
      <c r="DT28" s="324">
        <f>WSMTK!$AA$35</f>
        <v>96.333333333333329</v>
      </c>
      <c r="DU28" s="324">
        <f>WSMTK!$AA$69</f>
        <v>97.8125</v>
      </c>
      <c r="DV28" s="324">
        <f>WSMTK!$AA$87</f>
        <v>96</v>
      </c>
      <c r="DW28" s="324">
        <f>WSMTK!$AA$99</f>
        <v>98.75</v>
      </c>
      <c r="DX28" s="324">
        <f>WSMTK!$AA$113</f>
        <v>96.333333333333329</v>
      </c>
      <c r="DY28" s="324">
        <f>WSMTK!$AA$145</f>
        <v>97.8125</v>
      </c>
      <c r="DZ28" s="324" t="str">
        <f>WSMTK!$AA$168</f>
        <v/>
      </c>
      <c r="EA28" s="324" t="str">
        <f>WSMTK!$AA$176</f>
        <v/>
      </c>
      <c r="EB28" s="324" t="str">
        <f>WSMTK!$AA$184</f>
        <v/>
      </c>
      <c r="EC28" s="324" t="str">
        <f>WSMTK!$AA$192</f>
        <v/>
      </c>
      <c r="ED28" s="324" t="str">
        <f>WSMTK!$AA$200</f>
        <v/>
      </c>
      <c r="EE28" s="76"/>
      <c r="EF28" s="76"/>
      <c r="EG28" s="76"/>
      <c r="EH28" s="76" t="s">
        <v>1315</v>
      </c>
      <c r="EI28" s="324" t="str">
        <f>WSIPA!$AA$6</f>
        <v/>
      </c>
      <c r="EJ28" s="324" t="str">
        <f>WSIPA!$AA$14</f>
        <v/>
      </c>
      <c r="EK28" s="324" t="str">
        <f>WSIPA!$AA$22</f>
        <v/>
      </c>
      <c r="EL28" s="324" t="str">
        <f>WSIPA!$AA$30</f>
        <v/>
      </c>
      <c r="EM28" s="324" t="str">
        <f>WSIPA!$AA$38</f>
        <v/>
      </c>
      <c r="EN28" s="324" t="str">
        <f>WSIPA!$AA$46</f>
        <v/>
      </c>
      <c r="EO28" s="324" t="str">
        <f>WSIPA!$AA$54</f>
        <v/>
      </c>
      <c r="EP28" s="324" t="str">
        <f>WSIPA!$AA$62</f>
        <v/>
      </c>
      <c r="EQ28" s="324" t="str">
        <f>WSIPA!$AA$70</f>
        <v/>
      </c>
      <c r="ER28" s="324" t="str">
        <f>WSIPA!$AA$78</f>
        <v/>
      </c>
      <c r="ES28" s="324" t="str">
        <f>WSIPA!$AA$86</f>
        <v/>
      </c>
      <c r="ET28" s="324" t="str">
        <f>WSIPA!$AA$94</f>
        <v/>
      </c>
      <c r="EU28" s="324" t="str">
        <f>WSIPA!$AA$102</f>
        <v/>
      </c>
      <c r="EV28" s="76"/>
      <c r="EW28" s="76"/>
      <c r="EX28" s="76"/>
      <c r="EY28" s="76" t="s">
        <v>1233</v>
      </c>
      <c r="EZ28" s="324" t="str">
        <f>WSIPS!$AA$6</f>
        <v/>
      </c>
      <c r="FA28" s="324" t="str">
        <f>WSIPS!$AA$14</f>
        <v/>
      </c>
      <c r="FB28" s="324" t="str">
        <f>WSIPS!$AA$22</f>
        <v/>
      </c>
      <c r="FC28" s="324" t="str">
        <f>WSIPS!$AA$30</f>
        <v/>
      </c>
      <c r="FD28" s="324" t="str">
        <f>WSIPS!$AA$38</f>
        <v/>
      </c>
      <c r="FE28" s="324" t="str">
        <f>WSIPS!$AA$46</f>
        <v/>
      </c>
      <c r="FF28" s="324" t="str">
        <f>WSIPS!$AA$54</f>
        <v/>
      </c>
      <c r="FG28" s="324" t="str">
        <f>WSIPS!$AA$62</f>
        <v/>
      </c>
      <c r="FH28" s="324" t="str">
        <f>WSIPS!$AA$70</f>
        <v/>
      </c>
      <c r="FI28" s="324" t="str">
        <f>WSIPS!$AA$78</f>
        <v/>
      </c>
      <c r="FJ28" s="324" t="str">
        <f>WSIPS!$AA$86</f>
        <v/>
      </c>
      <c r="FK28" s="324" t="str">
        <f>WSIPS!$AA$94</f>
        <v/>
      </c>
      <c r="FL28" s="324" t="str">
        <f>WSIPS!$AA$102</f>
        <v/>
      </c>
      <c r="FM28" s="76"/>
      <c r="FN28" s="76"/>
      <c r="FO28" s="76"/>
      <c r="FP28" s="76" t="s">
        <v>1264</v>
      </c>
      <c r="FQ28" s="324">
        <f>WSSBK!$AA$6</f>
        <v>96.25</v>
      </c>
      <c r="FR28" s="324">
        <f>WSSBK!$AA$16</f>
        <v>98.75</v>
      </c>
      <c r="FS28" s="324">
        <f>WSSBK!$AA$26</f>
        <v>96.875</v>
      </c>
      <c r="FT28" s="324">
        <f>WSSBK!$AA$36</f>
        <v>98.75</v>
      </c>
      <c r="FU28" s="324">
        <f>WSSBK!$AA$46</f>
        <v>96.25</v>
      </c>
      <c r="FV28" s="324">
        <f>WSSBK!$AA$58</f>
        <v>98.75</v>
      </c>
      <c r="FW28" s="324">
        <f>WSSBK!$AA$68</f>
        <v>96.875</v>
      </c>
      <c r="FX28" s="324">
        <f>WSSBK!$AA$77</f>
        <v>98.75</v>
      </c>
      <c r="FY28" s="324" t="str">
        <f>WSSBK!$AA$87</f>
        <v/>
      </c>
      <c r="FZ28" s="324" t="str">
        <f>WSSBK!$AA$95</f>
        <v/>
      </c>
      <c r="GA28" s="324" t="str">
        <f>WSSBK!$AA$103</f>
        <v/>
      </c>
      <c r="GB28" s="324" t="str">
        <f>WSSBK!$AA$111</f>
        <v/>
      </c>
      <c r="GC28" s="324" t="str">
        <f>WSSBK!$AA$119</f>
        <v/>
      </c>
      <c r="GD28" s="76"/>
      <c r="GE28" s="76"/>
      <c r="GF28" s="76"/>
      <c r="GG28" s="76" t="s">
        <v>1952</v>
      </c>
      <c r="GH28" s="334">
        <f>WSPENJAS!$AA$6</f>
        <v>0</v>
      </c>
      <c r="GI28" s="334">
        <f>WSPENJAS!$AA$7</f>
        <v>0</v>
      </c>
      <c r="GJ28" s="334">
        <f>WSPENJAS!$AA$8</f>
        <v>94</v>
      </c>
      <c r="GK28" s="334">
        <f>WSPENJAS!$AA$9</f>
        <v>94</v>
      </c>
      <c r="GL28" s="334">
        <f>WSPENJAS!$AA$10</f>
        <v>94</v>
      </c>
      <c r="GM28" s="334">
        <f>WSPENJAS!$AA$11</f>
        <v>94</v>
      </c>
      <c r="GN28" s="334">
        <f>WSPENJAS!$AA$12</f>
        <v>94</v>
      </c>
      <c r="GO28" s="334">
        <f>WSPENJAS!$AA$13</f>
        <v>94</v>
      </c>
      <c r="GP28" s="334">
        <f>WSPENJAS!$AA$14</f>
        <v>94</v>
      </c>
      <c r="GQ28" s="334">
        <f>WSPENJAS!$AA$15</f>
        <v>94</v>
      </c>
      <c r="GR28" s="334">
        <f>WSPENJAS!$AA$16</f>
        <v>0</v>
      </c>
      <c r="GS28" s="334">
        <f>WSPENJAS!$AA$17</f>
        <v>0</v>
      </c>
      <c r="GT28" s="334">
        <f>WSPENJAS!$AA$18</f>
        <v>0</v>
      </c>
      <c r="GU28" s="334">
        <f>WSPENJAS!$AA$19</f>
        <v>0</v>
      </c>
      <c r="GV28" s="334">
        <f>WSPENJAS!$AA$20</f>
        <v>0</v>
      </c>
      <c r="GW28" s="334">
        <f>WSPENJAS!$AA$21</f>
        <v>0</v>
      </c>
      <c r="GX28" s="76" t="s">
        <v>1291</v>
      </c>
      <c r="GY28" s="324">
        <f>WSJAWA!$AA$6</f>
        <v>100</v>
      </c>
      <c r="GZ28" s="324">
        <f>WSJAWA!$AA$14</f>
        <v>91.666666666666671</v>
      </c>
      <c r="HA28" s="324">
        <f>WSJAWA!$AA$22</f>
        <v>100</v>
      </c>
      <c r="HB28" s="324">
        <f>WSJAWA!$AA$30</f>
        <v>100</v>
      </c>
      <c r="HC28" s="324">
        <f>WSJAWA!$AA$38</f>
        <v>100</v>
      </c>
      <c r="HD28" s="324">
        <f>WSJAWA!$AA$46</f>
        <v>75</v>
      </c>
      <c r="HE28" s="324">
        <f>WSJAWA!$AA$54</f>
        <v>100</v>
      </c>
      <c r="HF28" s="324">
        <f>WSJAWA!$AA$62</f>
        <v>95</v>
      </c>
      <c r="HG28" s="324" t="str">
        <f>WSJAWA!$AA$70</f>
        <v/>
      </c>
      <c r="HH28" s="324" t="str">
        <f>WSJAWA!$AA$78</f>
        <v/>
      </c>
      <c r="HI28" s="324" t="str">
        <f>WSJAWA!$AA$86</f>
        <v/>
      </c>
      <c r="HJ28" s="324" t="str">
        <f>WSJAWA!$AA$94</f>
        <v/>
      </c>
      <c r="HK28" s="324" t="str">
        <f>WSJAWA!$AA$102</f>
        <v/>
      </c>
      <c r="HL28" s="76"/>
      <c r="HM28" s="76"/>
      <c r="HN28" s="76"/>
      <c r="HO28" s="76" t="s">
        <v>1278</v>
      </c>
      <c r="HP28" s="324">
        <f>WSING!$AA$6</f>
        <v>85.5</v>
      </c>
      <c r="HQ28" s="324">
        <f>WSING!$AA$15</f>
        <v>85.5</v>
      </c>
      <c r="HR28" s="324">
        <f>WSING!$AA$24</f>
        <v>87.5</v>
      </c>
      <c r="HS28" s="324">
        <f>WSING!$AA$33</f>
        <v>87.5</v>
      </c>
      <c r="HT28" s="324" t="str">
        <f>WSING!$AA$42</f>
        <v/>
      </c>
      <c r="HU28" s="324" t="str">
        <f>WSING!$AA$50</f>
        <v/>
      </c>
      <c r="HV28" s="324" t="str">
        <f>WSING!$AA$58</f>
        <v/>
      </c>
      <c r="HW28" s="324" t="str">
        <f>WSING!$AA$66</f>
        <v/>
      </c>
      <c r="HX28" s="324" t="str">
        <f>WSING!$AA$74</f>
        <v/>
      </c>
      <c r="HY28" s="324" t="str">
        <f>WSING!$AA$82</f>
        <v/>
      </c>
      <c r="HZ28" s="324" t="str">
        <f>WSING!$AA$90</f>
        <v/>
      </c>
      <c r="IA28" s="324" t="str">
        <f>WSING!$AA$98</f>
        <v/>
      </c>
      <c r="IB28" s="324" t="str">
        <f>WSING!$AA$106</f>
        <v/>
      </c>
      <c r="IC28" s="76"/>
      <c r="ID28" s="76"/>
      <c r="IE28" s="76"/>
      <c r="IF28" s="76" t="s">
        <v>1242</v>
      </c>
      <c r="IG28" s="324" t="str">
        <f>WSTIK!$AA$6</f>
        <v/>
      </c>
      <c r="IH28" s="324" t="str">
        <f>WSTIK!$AA$14</f>
        <v/>
      </c>
      <c r="II28" s="324" t="str">
        <f>WSTIK!$AA$22</f>
        <v/>
      </c>
      <c r="IJ28" s="324" t="str">
        <f>WSTIK!$AA$30</f>
        <v/>
      </c>
      <c r="IK28" s="324" t="str">
        <f>WSTIK!$AA$38</f>
        <v/>
      </c>
      <c r="IL28" s="324" t="str">
        <f>WSTIK!$AA$46</f>
        <v/>
      </c>
      <c r="IM28" s="324" t="str">
        <f>WSTIK!$AA$54</f>
        <v/>
      </c>
      <c r="IN28" s="324" t="str">
        <f>WSTIK!$AA$62</f>
        <v/>
      </c>
      <c r="IO28" s="324" t="str">
        <f>WSTIK!$AA$70</f>
        <v/>
      </c>
      <c r="IP28" s="324" t="str">
        <f>WSTIK!$AA$78</f>
        <v/>
      </c>
      <c r="IQ28" s="324" t="str">
        <f>WSTIK!$AA$86</f>
        <v/>
      </c>
      <c r="IR28" s="324" t="str">
        <f>WSTIK!$AA$94</f>
        <v/>
      </c>
      <c r="IS28" s="324" t="str">
        <f>WSTIK!$AA$102</f>
        <v/>
      </c>
      <c r="IT28" s="76"/>
      <c r="IU28" s="76"/>
      <c r="IV28" s="76"/>
      <c r="IW28" s="76"/>
      <c r="IX28" s="324" t="str">
        <f>WSASWAJA!$AA$6</f>
        <v/>
      </c>
      <c r="IY28" s="324" t="str">
        <f>WSASWAJA!$AA$14</f>
        <v/>
      </c>
      <c r="IZ28" s="324" t="str">
        <f>WSASWAJA!$AA$22</f>
        <v/>
      </c>
      <c r="JA28" s="324" t="str">
        <f>WSASWAJA!$AA$30</f>
        <v/>
      </c>
      <c r="JB28" s="324" t="str">
        <f>WSASWAJA!$AA$38</f>
        <v/>
      </c>
      <c r="JC28" s="324" t="str">
        <f>WSASWAJA!$AA$46</f>
        <v/>
      </c>
      <c r="JD28" s="324" t="str">
        <f>WSASWAJA!$AA$54</f>
        <v/>
      </c>
      <c r="JE28" s="324" t="str">
        <f>WSASWAJA!$AA$62</f>
        <v/>
      </c>
      <c r="JF28" s="324" t="str">
        <f>WSASWAJA!$AA$70</f>
        <v/>
      </c>
      <c r="JG28" s="324" t="str">
        <f>WSASWAJA!$AA$78</f>
        <v/>
      </c>
      <c r="JH28" s="324" t="str">
        <f>WSASWAJA!$AA$86</f>
        <v/>
      </c>
      <c r="JI28" s="324" t="str">
        <f>WSASWAJA!$AA$94</f>
        <v/>
      </c>
      <c r="JJ28" s="324" t="str">
        <f>WSASWAJA!$AA$102</f>
        <v/>
      </c>
      <c r="JK28" s="76"/>
      <c r="JL28" s="76"/>
      <c r="JM28" s="76"/>
      <c r="JN28" s="76"/>
    </row>
    <row r="29" spans="1:274">
      <c r="A29" s="76"/>
      <c r="B29" s="76">
        <v>24</v>
      </c>
      <c r="C29" s="324">
        <f>WSALQURAN!$AB$6</f>
        <v>96.666666666666671</v>
      </c>
      <c r="D29" s="324">
        <f>WSALQURAN!$AB$14</f>
        <v>95</v>
      </c>
      <c r="E29" s="324">
        <f>WSALQURAN!$AB$22</f>
        <v>95</v>
      </c>
      <c r="F29" s="324">
        <f>WSALQURAN!$AB$30</f>
        <v>96.666666666666671</v>
      </c>
      <c r="G29" s="324">
        <f>WSALQURAN!$AB$38</f>
        <v>95</v>
      </c>
      <c r="H29" s="324">
        <f>WSALQURAN!$AB$46</f>
        <v>86</v>
      </c>
      <c r="I29" s="324">
        <f>WSALQURAN!$AB$54</f>
        <v>95</v>
      </c>
      <c r="J29" s="324" t="str">
        <f>WSALQURAN!$AB$62</f>
        <v/>
      </c>
      <c r="K29" s="324" t="str">
        <f>WSALQURAN!$AB$70</f>
        <v/>
      </c>
      <c r="L29" s="324" t="str">
        <f>WSALQURAN!$AB$78</f>
        <v/>
      </c>
      <c r="M29" s="324" t="str">
        <f>WSALQURAN!$AB$86</f>
        <v/>
      </c>
      <c r="N29" s="324" t="str">
        <f>WSALQURAN!$AB$94</f>
        <v/>
      </c>
      <c r="O29" s="324" t="str">
        <f>WSALQURAN!$AB$102</f>
        <v/>
      </c>
      <c r="P29" s="76"/>
      <c r="Q29" s="76"/>
      <c r="R29" s="76"/>
      <c r="S29" s="76" t="s">
        <v>1967</v>
      </c>
      <c r="T29" s="324">
        <f>WSAQIDAH!$AB$6</f>
        <v>92.5</v>
      </c>
      <c r="U29" s="324">
        <f>WSAQIDAH!$AB$14</f>
        <v>100</v>
      </c>
      <c r="V29" s="324">
        <f>WSAQIDAH!$AB$22</f>
        <v>92</v>
      </c>
      <c r="W29" s="324">
        <f>WSAQIDAH!$AB$30</f>
        <v>100</v>
      </c>
      <c r="X29" s="324">
        <f>WSAQIDAH!$AB$38</f>
        <v>100</v>
      </c>
      <c r="Y29" s="324">
        <f>WSAQIDAH!$AB$46</f>
        <v>95</v>
      </c>
      <c r="Z29" s="324">
        <f>WSAQIDAH!$AB$54</f>
        <v>100</v>
      </c>
      <c r="AA29" s="324">
        <f>WSAQIDAH!$AB$62</f>
        <v>85</v>
      </c>
      <c r="AB29" s="324">
        <f>WSAQIDAH!$AB$70</f>
        <v>85</v>
      </c>
      <c r="AC29" s="324">
        <f>WSAQIDAH!$AB$78</f>
        <v>85</v>
      </c>
      <c r="AD29" s="324" t="str">
        <f>WSAQIDAH!$AB$86</f>
        <v/>
      </c>
      <c r="AE29" s="324" t="str">
        <f>WSAQIDAH!$AB$94</f>
        <v/>
      </c>
      <c r="AF29" s="324" t="str">
        <f>WSAQIDAH!$AB$102</f>
        <v/>
      </c>
      <c r="AG29" s="76"/>
      <c r="AH29" s="76"/>
      <c r="AI29" s="76"/>
      <c r="AJ29" s="76" t="s">
        <v>1975</v>
      </c>
      <c r="AK29" s="324">
        <f>WSSKI!$AB$6</f>
        <v>100</v>
      </c>
      <c r="AL29" s="324">
        <f>WSSKI!$AB$14</f>
        <v>92</v>
      </c>
      <c r="AM29" s="324">
        <f>WSSKI!$AB$23</f>
        <v>91.666666666666671</v>
      </c>
      <c r="AN29" s="324">
        <f>WSSKI!$AB$31</f>
        <v>90</v>
      </c>
      <c r="AO29" s="324">
        <f>WSSKI!$AB$40</f>
        <v>100</v>
      </c>
      <c r="AP29" s="324">
        <f>WSSKI!$AB$48</f>
        <v>85</v>
      </c>
      <c r="AQ29" s="324" t="str">
        <f>WSSKI!$AB$56</f>
        <v/>
      </c>
      <c r="AR29" s="324" t="str">
        <f>WSSKI!$AB$64</f>
        <v/>
      </c>
      <c r="AS29" s="324" t="str">
        <f>WSSKI!$AB$72</f>
        <v/>
      </c>
      <c r="AT29" s="324" t="str">
        <f>WSSKI!$AB$80</f>
        <v/>
      </c>
      <c r="AU29" s="324" t="str">
        <f>WSSKI!$AB$88</f>
        <v/>
      </c>
      <c r="AV29" s="324" t="str">
        <f>WSSKI!$AB$96</f>
        <v/>
      </c>
      <c r="AW29" s="324" t="str">
        <f>WSSKI!$AB$104</f>
        <v/>
      </c>
      <c r="AX29" s="76"/>
      <c r="AY29" s="76"/>
      <c r="AZ29" s="76"/>
      <c r="BA29" s="76"/>
      <c r="BB29" s="324">
        <f>WSFIQIH!$AB$6</f>
        <v>89</v>
      </c>
      <c r="BC29" s="324">
        <f>WSFIQIH!$AB$19</f>
        <v>83</v>
      </c>
      <c r="BD29" s="324">
        <f>WSFIQIH!$AB$28</f>
        <v>75</v>
      </c>
      <c r="BE29" s="324">
        <f>WSFIQIH!$AB$41</f>
        <v>75</v>
      </c>
      <c r="BF29" s="324">
        <f>WSFIQIH!$AB$49</f>
        <v>80</v>
      </c>
      <c r="BG29" s="324">
        <f>WSFIQIH!$AB$62</f>
        <v>88</v>
      </c>
      <c r="BH29" s="324">
        <f>WSFIQIH!$AB$71</f>
        <v>85</v>
      </c>
      <c r="BI29" s="324">
        <f>WSFIQIH!$AB$80</f>
        <v>80</v>
      </c>
      <c r="BJ29" s="324" t="str">
        <f>WSFIQIH!$AB$88</f>
        <v/>
      </c>
      <c r="BK29" s="324" t="str">
        <f>WSFIQIH!$AB$96</f>
        <v/>
      </c>
      <c r="BL29" s="324" t="str">
        <f>WSFIQIH!$AB$104</f>
        <v/>
      </c>
      <c r="BM29" s="324" t="str">
        <f>WSFIQIH!$AB$112</f>
        <v/>
      </c>
      <c r="BN29" s="324" t="str">
        <f>WSFIQIH!$AB$120</f>
        <v/>
      </c>
      <c r="BO29" s="76"/>
      <c r="BP29" s="76"/>
      <c r="BQ29" s="76"/>
      <c r="BR29" s="76"/>
      <c r="BS29" s="324">
        <f>WSPKN!$AB$6</f>
        <v>93.125</v>
      </c>
      <c r="BT29" s="324">
        <f>WSPKN!$AB$32</f>
        <v>95</v>
      </c>
      <c r="BU29" s="324">
        <f>WSPKN!$AB$55</f>
        <v>94.642857142857139</v>
      </c>
      <c r="BV29" s="324">
        <f>WSPKN!$AB$72</f>
        <v>93.18452380952381</v>
      </c>
      <c r="BW29" s="324">
        <f>WSPKN!$AB$86</f>
        <v>94.583333333333329</v>
      </c>
      <c r="BX29" s="324">
        <f>WSPKN!$AB$108</f>
        <v>95</v>
      </c>
      <c r="BY29" s="324">
        <f>WSPKN!$AB$132</f>
        <v>94.642857142857139</v>
      </c>
      <c r="BZ29" s="324">
        <f>WSPKN!$AB$148</f>
        <v>92.727272727272734</v>
      </c>
      <c r="CA29" s="324" t="str">
        <f>WSPKN!$AB$165</f>
        <v/>
      </c>
      <c r="CB29" s="324" t="str">
        <f>WSPKN!$AB$173</f>
        <v/>
      </c>
      <c r="CC29" s="324" t="str">
        <f>WSPKN!$AB$181</f>
        <v/>
      </c>
      <c r="CD29" s="324" t="str">
        <f>WSPKN!$AB$189</f>
        <v/>
      </c>
      <c r="CE29" s="324" t="str">
        <f>WSPKN!$AB$197</f>
        <v/>
      </c>
      <c r="CF29" s="76"/>
      <c r="CG29" s="76"/>
      <c r="CH29" s="76"/>
      <c r="CI29" s="76" t="s">
        <v>1888</v>
      </c>
      <c r="CJ29" s="324">
        <f>WSIND!$AB$6</f>
        <v>92.5</v>
      </c>
      <c r="CK29" s="324">
        <f>WSIND!$AB$65</f>
        <v>93.695652173913047</v>
      </c>
      <c r="CL29" s="324">
        <f>WSIND!$AB$113</f>
        <v>95</v>
      </c>
      <c r="CM29" s="324">
        <f>WSIND!$AB$133</f>
        <v>94.666666666666671</v>
      </c>
      <c r="CN29" s="324">
        <f>WSIND!$AB$161</f>
        <v>93.478260869565219</v>
      </c>
      <c r="CO29" s="324">
        <f>WSIND!$AB$192</f>
        <v>92.173913043478265</v>
      </c>
      <c r="CP29" s="324">
        <f>WSIND!$AB$228</f>
        <v>93.695652173913047</v>
      </c>
      <c r="CQ29" s="324">
        <f>WSIND!$AB$256</f>
        <v>95</v>
      </c>
      <c r="CR29" s="324">
        <f>WSIND!$AB$277</f>
        <v>94.666666666666671</v>
      </c>
      <c r="CS29" s="324">
        <f>WSIND!$AB$305</f>
        <v>93.478260869565219</v>
      </c>
      <c r="CT29" s="324" t="str">
        <f>WSIND!$AB$329</f>
        <v/>
      </c>
      <c r="CU29" s="324" t="str">
        <f>WSIND!$AB$337</f>
        <v/>
      </c>
      <c r="CV29" s="324" t="str">
        <f>WSIND!$AB$345</f>
        <v/>
      </c>
      <c r="CW29" s="76"/>
      <c r="CX29" s="76"/>
      <c r="CY29" s="76"/>
      <c r="CZ29" s="76" t="s">
        <v>1912</v>
      </c>
      <c r="DA29" s="324" t="str">
        <f>WSARAB!$AB$6</f>
        <v/>
      </c>
      <c r="DB29" s="324" t="str">
        <f>WSARAB!$AB$17</f>
        <v/>
      </c>
      <c r="DC29" s="324" t="str">
        <f>WSARAB!$AB$29</f>
        <v/>
      </c>
      <c r="DD29" s="324" t="str">
        <f>WSARAB!$AB$37</f>
        <v/>
      </c>
      <c r="DE29" s="324" t="str">
        <f>WSARAB!$AB$45</f>
        <v/>
      </c>
      <c r="DF29" s="324" t="str">
        <f>WSARAB!$AB$53</f>
        <v/>
      </c>
      <c r="DG29" s="324" t="str">
        <f>WSARAB!$AB$65</f>
        <v/>
      </c>
      <c r="DH29" s="324" t="str">
        <f>WSARAB!$AB$73</f>
        <v/>
      </c>
      <c r="DI29" s="324" t="str">
        <f>WSARAB!$AB$81</f>
        <v/>
      </c>
      <c r="DJ29" s="324" t="str">
        <f>WSARAB!$AB$89</f>
        <v/>
      </c>
      <c r="DK29" s="324" t="str">
        <f>WSARAB!$AB$97</f>
        <v/>
      </c>
      <c r="DL29" s="324" t="str">
        <f>WSARAB!$AB$105</f>
        <v/>
      </c>
      <c r="DM29" s="324" t="str">
        <f>WSARAB!$AB$113</f>
        <v/>
      </c>
      <c r="DN29" s="76"/>
      <c r="DO29" s="76"/>
      <c r="DP29" s="76"/>
      <c r="DQ29" s="76"/>
      <c r="DR29" s="324">
        <f>WSMTK!$AB$6</f>
        <v>97</v>
      </c>
      <c r="DS29" s="324">
        <f>WSMTK!$AB$22</f>
        <v>91.875</v>
      </c>
      <c r="DT29" s="324">
        <f>WSMTK!$AB$35</f>
        <v>92.333333333333329</v>
      </c>
      <c r="DU29" s="324">
        <f>WSMTK!$AB$69</f>
        <v>91.5625</v>
      </c>
      <c r="DV29" s="324">
        <f>WSMTK!$AB$87</f>
        <v>97</v>
      </c>
      <c r="DW29" s="324">
        <f>WSMTK!$AB$99</f>
        <v>91.875</v>
      </c>
      <c r="DX29" s="324">
        <f>WSMTK!$AB$113</f>
        <v>92.333333333333329</v>
      </c>
      <c r="DY29" s="324">
        <f>WSMTK!$AB$145</f>
        <v>91.5625</v>
      </c>
      <c r="DZ29" s="324" t="str">
        <f>WSMTK!$AB$168</f>
        <v/>
      </c>
      <c r="EA29" s="324" t="str">
        <f>WSMTK!$AB$176</f>
        <v/>
      </c>
      <c r="EB29" s="324" t="str">
        <f>WSMTK!$AB$184</f>
        <v/>
      </c>
      <c r="EC29" s="324" t="str">
        <f>WSMTK!$AB$192</f>
        <v/>
      </c>
      <c r="ED29" s="324" t="str">
        <f>WSMTK!$AB$200</f>
        <v/>
      </c>
      <c r="EE29" s="76"/>
      <c r="EF29" s="76"/>
      <c r="EG29" s="76"/>
      <c r="EH29" s="76" t="s">
        <v>1275</v>
      </c>
      <c r="EI29" s="324" t="str">
        <f>WSIPA!$AB$6</f>
        <v/>
      </c>
      <c r="EJ29" s="324" t="str">
        <f>WSIPA!$AB$14</f>
        <v/>
      </c>
      <c r="EK29" s="324" t="str">
        <f>WSIPA!$AB$22</f>
        <v/>
      </c>
      <c r="EL29" s="324" t="str">
        <f>WSIPA!$AB$30</f>
        <v/>
      </c>
      <c r="EM29" s="324" t="str">
        <f>WSIPA!$AB$38</f>
        <v/>
      </c>
      <c r="EN29" s="324" t="str">
        <f>WSIPA!$AB$46</f>
        <v/>
      </c>
      <c r="EO29" s="324" t="str">
        <f>WSIPA!$AB$54</f>
        <v/>
      </c>
      <c r="EP29" s="324" t="str">
        <f>WSIPA!$AB$62</f>
        <v/>
      </c>
      <c r="EQ29" s="324" t="str">
        <f>WSIPA!$AB$70</f>
        <v/>
      </c>
      <c r="ER29" s="324" t="str">
        <f>WSIPA!$AB$78</f>
        <v/>
      </c>
      <c r="ES29" s="324" t="str">
        <f>WSIPA!$AB$86</f>
        <v/>
      </c>
      <c r="ET29" s="324" t="str">
        <f>WSIPA!$AB$94</f>
        <v/>
      </c>
      <c r="EU29" s="324" t="str">
        <f>WSIPA!$AB$102</f>
        <v/>
      </c>
      <c r="EV29" s="76"/>
      <c r="EW29" s="76"/>
      <c r="EX29" s="76"/>
      <c r="EY29" s="76"/>
      <c r="EZ29" s="324" t="str">
        <f>WSIPS!$AB$6</f>
        <v/>
      </c>
      <c r="FA29" s="324" t="str">
        <f>WSIPS!$AB$14</f>
        <v/>
      </c>
      <c r="FB29" s="324" t="str">
        <f>WSIPS!$AB$22</f>
        <v/>
      </c>
      <c r="FC29" s="324" t="str">
        <f>WSIPS!$AB$30</f>
        <v/>
      </c>
      <c r="FD29" s="324" t="str">
        <f>WSIPS!$AB$38</f>
        <v/>
      </c>
      <c r="FE29" s="324" t="str">
        <f>WSIPS!$AB$46</f>
        <v/>
      </c>
      <c r="FF29" s="324" t="str">
        <f>WSIPS!$AB$54</f>
        <v/>
      </c>
      <c r="FG29" s="324" t="str">
        <f>WSIPS!$AB$62</f>
        <v/>
      </c>
      <c r="FH29" s="324" t="str">
        <f>WSIPS!$AB$70</f>
        <v/>
      </c>
      <c r="FI29" s="324" t="str">
        <f>WSIPS!$AB$78</f>
        <v/>
      </c>
      <c r="FJ29" s="324" t="str">
        <f>WSIPS!$AB$86</f>
        <v/>
      </c>
      <c r="FK29" s="324" t="str">
        <f>WSIPS!$AB$94</f>
        <v/>
      </c>
      <c r="FL29" s="324" t="str">
        <f>WSIPS!$AB$102</f>
        <v/>
      </c>
      <c r="FM29" s="76"/>
      <c r="FN29" s="76"/>
      <c r="FO29" s="76"/>
      <c r="FP29" s="76"/>
      <c r="FQ29" s="324">
        <f>WSSBK!$AB$6</f>
        <v>95</v>
      </c>
      <c r="FR29" s="324">
        <f>WSSBK!$AB$16</f>
        <v>96.875</v>
      </c>
      <c r="FS29" s="324">
        <f>WSSBK!$AB$26</f>
        <v>94.375</v>
      </c>
      <c r="FT29" s="324">
        <f>WSSBK!$AB$36</f>
        <v>85.625</v>
      </c>
      <c r="FU29" s="324">
        <f>WSSBK!$AB$46</f>
        <v>95</v>
      </c>
      <c r="FV29" s="324">
        <f>WSSBK!$AB$58</f>
        <v>96.875</v>
      </c>
      <c r="FW29" s="324">
        <f>WSSBK!$AB$68</f>
        <v>94.375</v>
      </c>
      <c r="FX29" s="324">
        <f>WSSBK!$AB$77</f>
        <v>85.625</v>
      </c>
      <c r="FY29" s="324" t="str">
        <f>WSSBK!$AB$87</f>
        <v/>
      </c>
      <c r="FZ29" s="324" t="str">
        <f>WSSBK!$AB$95</f>
        <v/>
      </c>
      <c r="GA29" s="324" t="str">
        <f>WSSBK!$AB$103</f>
        <v/>
      </c>
      <c r="GB29" s="324" t="str">
        <f>WSSBK!$AB$111</f>
        <v/>
      </c>
      <c r="GC29" s="324" t="str">
        <f>WSSBK!$AB$119</f>
        <v/>
      </c>
      <c r="GD29" s="76"/>
      <c r="GE29" s="76"/>
      <c r="GF29" s="76"/>
      <c r="GG29" s="76" t="s">
        <v>1953</v>
      </c>
      <c r="GH29" s="334">
        <f>WSPENJAS!$AB$6</f>
        <v>0</v>
      </c>
      <c r="GI29" s="334">
        <f>WSPENJAS!$AB$7</f>
        <v>0</v>
      </c>
      <c r="GJ29" s="334">
        <f>WSPENJAS!$AB$8</f>
        <v>90</v>
      </c>
      <c r="GK29" s="334">
        <f>WSPENJAS!$AB$9</f>
        <v>90</v>
      </c>
      <c r="GL29" s="334">
        <f>WSPENJAS!$AB$10</f>
        <v>90</v>
      </c>
      <c r="GM29" s="334">
        <f>WSPENJAS!$AB$11</f>
        <v>90</v>
      </c>
      <c r="GN29" s="334">
        <f>WSPENJAS!$AB$12</f>
        <v>90</v>
      </c>
      <c r="GO29" s="334">
        <f>WSPENJAS!$AB$13</f>
        <v>90</v>
      </c>
      <c r="GP29" s="334">
        <f>WSPENJAS!$AB$14</f>
        <v>90</v>
      </c>
      <c r="GQ29" s="334">
        <f>WSPENJAS!$AB$15</f>
        <v>90</v>
      </c>
      <c r="GR29" s="334">
        <f>WSPENJAS!$AB$16</f>
        <v>0</v>
      </c>
      <c r="GS29" s="334">
        <f>WSPENJAS!$AB$17</f>
        <v>0</v>
      </c>
      <c r="GT29" s="334">
        <f>WSPENJAS!$AB$18</f>
        <v>0</v>
      </c>
      <c r="GU29" s="334">
        <f>WSPENJAS!$AB$19</f>
        <v>0</v>
      </c>
      <c r="GV29" s="334">
        <f>WSPENJAS!$AB$20</f>
        <v>0</v>
      </c>
      <c r="GW29" s="334">
        <f>WSPENJAS!$AB$21</f>
        <v>0</v>
      </c>
      <c r="GX29" s="76"/>
      <c r="GY29" s="324">
        <f>WSJAWA!$AB$6</f>
        <v>100</v>
      </c>
      <c r="GZ29" s="324">
        <f>WSJAWA!$AB$14</f>
        <v>95</v>
      </c>
      <c r="HA29" s="324">
        <f>WSJAWA!$AB$22</f>
        <v>90</v>
      </c>
      <c r="HB29" s="324">
        <f>WSJAWA!$AB$30</f>
        <v>100</v>
      </c>
      <c r="HC29" s="324">
        <f>WSJAWA!$AB$38</f>
        <v>100</v>
      </c>
      <c r="HD29" s="324">
        <f>WSJAWA!$AB$46</f>
        <v>90</v>
      </c>
      <c r="HE29" s="324">
        <f>WSJAWA!$AB$54</f>
        <v>75</v>
      </c>
      <c r="HF29" s="324">
        <f>WSJAWA!$AB$62</f>
        <v>91.666666666666671</v>
      </c>
      <c r="HG29" s="324" t="str">
        <f>WSJAWA!$AB$70</f>
        <v/>
      </c>
      <c r="HH29" s="324" t="str">
        <f>WSJAWA!$AB$78</f>
        <v/>
      </c>
      <c r="HI29" s="324" t="str">
        <f>WSJAWA!$AB$86</f>
        <v/>
      </c>
      <c r="HJ29" s="324" t="str">
        <f>WSJAWA!$AB$94</f>
        <v/>
      </c>
      <c r="HK29" s="324" t="str">
        <f>WSJAWA!$AB$102</f>
        <v/>
      </c>
      <c r="HL29" s="76"/>
      <c r="HM29" s="76"/>
      <c r="HN29" s="76"/>
      <c r="HO29" s="76"/>
      <c r="HP29" s="324">
        <f>WSING!$AB$6</f>
        <v>99.833333333333329</v>
      </c>
      <c r="HQ29" s="324">
        <f>WSING!$AB$15</f>
        <v>99.833333333333329</v>
      </c>
      <c r="HR29" s="324">
        <f>WSING!$AB$24</f>
        <v>95</v>
      </c>
      <c r="HS29" s="324">
        <f>WSING!$AB$33</f>
        <v>95</v>
      </c>
      <c r="HT29" s="324" t="str">
        <f>WSING!$AB$42</f>
        <v/>
      </c>
      <c r="HU29" s="324" t="str">
        <f>WSING!$AB$50</f>
        <v/>
      </c>
      <c r="HV29" s="324" t="str">
        <f>WSING!$AB$58</f>
        <v/>
      </c>
      <c r="HW29" s="324" t="str">
        <f>WSING!$AB$66</f>
        <v/>
      </c>
      <c r="HX29" s="324" t="str">
        <f>WSING!$AB$74</f>
        <v/>
      </c>
      <c r="HY29" s="324" t="str">
        <f>WSING!$AB$82</f>
        <v/>
      </c>
      <c r="HZ29" s="324" t="str">
        <f>WSING!$AB$90</f>
        <v/>
      </c>
      <c r="IA29" s="324" t="str">
        <f>WSING!$AB$98</f>
        <v/>
      </c>
      <c r="IB29" s="324" t="str">
        <f>WSING!$AB$106</f>
        <v/>
      </c>
      <c r="IC29" s="76"/>
      <c r="ID29" s="76"/>
      <c r="IE29" s="76"/>
      <c r="IF29" s="76"/>
      <c r="IG29" s="324" t="str">
        <f>WSTIK!$AB$6</f>
        <v/>
      </c>
      <c r="IH29" s="324" t="str">
        <f>WSTIK!$AB$14</f>
        <v/>
      </c>
      <c r="II29" s="324" t="str">
        <f>WSTIK!$AB$22</f>
        <v/>
      </c>
      <c r="IJ29" s="324" t="str">
        <f>WSTIK!$AB$30</f>
        <v/>
      </c>
      <c r="IK29" s="324" t="str">
        <f>WSTIK!$AB$38</f>
        <v/>
      </c>
      <c r="IL29" s="324" t="str">
        <f>WSTIK!$AB$46</f>
        <v/>
      </c>
      <c r="IM29" s="324" t="str">
        <f>WSTIK!$AB$54</f>
        <v/>
      </c>
      <c r="IN29" s="324" t="str">
        <f>WSTIK!$AB$62</f>
        <v/>
      </c>
      <c r="IO29" s="324" t="str">
        <f>WSTIK!$AB$70</f>
        <v/>
      </c>
      <c r="IP29" s="324" t="str">
        <f>WSTIK!$AB$78</f>
        <v/>
      </c>
      <c r="IQ29" s="324" t="str">
        <f>WSTIK!$AB$86</f>
        <v/>
      </c>
      <c r="IR29" s="324" t="str">
        <f>WSTIK!$AB$94</f>
        <v/>
      </c>
      <c r="IS29" s="324" t="str">
        <f>WSTIK!$AB$102</f>
        <v/>
      </c>
      <c r="IT29" s="76"/>
      <c r="IU29" s="76"/>
      <c r="IV29" s="76"/>
      <c r="IW29" s="76"/>
      <c r="IX29" s="324" t="str">
        <f>WSASWAJA!$AB$6</f>
        <v/>
      </c>
      <c r="IY29" s="324" t="str">
        <f>WSASWAJA!$AB$14</f>
        <v/>
      </c>
      <c r="IZ29" s="324" t="str">
        <f>WSASWAJA!$AB$22</f>
        <v/>
      </c>
      <c r="JA29" s="324" t="str">
        <f>WSASWAJA!$AB$30</f>
        <v/>
      </c>
      <c r="JB29" s="324" t="str">
        <f>WSASWAJA!$AB$38</f>
        <v/>
      </c>
      <c r="JC29" s="324" t="str">
        <f>WSASWAJA!$AB$46</f>
        <v/>
      </c>
      <c r="JD29" s="324" t="str">
        <f>WSASWAJA!$AB$54</f>
        <v/>
      </c>
      <c r="JE29" s="324" t="str">
        <f>WSASWAJA!$AB$62</f>
        <v/>
      </c>
      <c r="JF29" s="324" t="str">
        <f>WSASWAJA!$AB$70</f>
        <v/>
      </c>
      <c r="JG29" s="324" t="str">
        <f>WSASWAJA!$AB$78</f>
        <v/>
      </c>
      <c r="JH29" s="324" t="str">
        <f>WSASWAJA!$AB$86</f>
        <v/>
      </c>
      <c r="JI29" s="324" t="str">
        <f>WSASWAJA!$AB$94</f>
        <v/>
      </c>
      <c r="JJ29" s="324" t="str">
        <f>WSASWAJA!$AB$102</f>
        <v/>
      </c>
      <c r="JK29" s="76"/>
      <c r="JL29" s="76"/>
      <c r="JM29" s="76"/>
      <c r="JN29" s="76"/>
    </row>
    <row r="30" spans="1:274">
      <c r="A30" s="76"/>
      <c r="B30" s="76">
        <v>25</v>
      </c>
      <c r="C30" s="324" t="str">
        <f>WSALQURAN!$AC$6</f>
        <v/>
      </c>
      <c r="D30" s="324" t="str">
        <f>WSALQURAN!$AC$14</f>
        <v/>
      </c>
      <c r="E30" s="324" t="str">
        <f>WSALQURAN!$AC$22</f>
        <v/>
      </c>
      <c r="F30" s="324" t="str">
        <f>WSALQURAN!$AC$30</f>
        <v/>
      </c>
      <c r="G30" s="324" t="str">
        <f>WSALQURAN!$AC$38</f>
        <v/>
      </c>
      <c r="H30" s="324" t="str">
        <f>WSALQURAN!$AC$46</f>
        <v/>
      </c>
      <c r="I30" s="324" t="str">
        <f>WSALQURAN!$AC$54</f>
        <v/>
      </c>
      <c r="J30" s="324" t="str">
        <f>WSALQURAN!$AC$62</f>
        <v/>
      </c>
      <c r="K30" s="324" t="str">
        <f>WSALQURAN!$AC$70</f>
        <v/>
      </c>
      <c r="L30" s="324" t="str">
        <f>WSALQURAN!$AC$78</f>
        <v/>
      </c>
      <c r="M30" s="324" t="str">
        <f>WSALQURAN!$AC$86</f>
        <v/>
      </c>
      <c r="N30" s="324" t="str">
        <f>WSALQURAN!$AC$94</f>
        <v/>
      </c>
      <c r="O30" s="324" t="str">
        <f>WSALQURAN!$AC$102</f>
        <v/>
      </c>
      <c r="P30" s="76"/>
      <c r="Q30" s="76"/>
      <c r="R30" s="76"/>
      <c r="S30" s="76"/>
      <c r="T30" s="324" t="str">
        <f>WSAQIDAH!$AC$6</f>
        <v/>
      </c>
      <c r="U30" s="324" t="str">
        <f>WSAQIDAH!$AC$14</f>
        <v/>
      </c>
      <c r="V30" s="324" t="str">
        <f>WSAQIDAH!$AC$22</f>
        <v/>
      </c>
      <c r="W30" s="324" t="str">
        <f>WSAQIDAH!$AC$30</f>
        <v/>
      </c>
      <c r="X30" s="324" t="str">
        <f>WSAQIDAH!$AC$38</f>
        <v/>
      </c>
      <c r="Y30" s="324" t="str">
        <f>WSAQIDAH!$AC$46</f>
        <v/>
      </c>
      <c r="Z30" s="324" t="str">
        <f>WSAQIDAH!$AC$54</f>
        <v/>
      </c>
      <c r="AA30" s="324" t="str">
        <f>WSAQIDAH!$AC$62</f>
        <v/>
      </c>
      <c r="AB30" s="324" t="str">
        <f>WSAQIDAH!$AC$70</f>
        <v/>
      </c>
      <c r="AC30" s="324" t="str">
        <f>WSAQIDAH!$AC$78</f>
        <v/>
      </c>
      <c r="AD30" s="324" t="str">
        <f>WSAQIDAH!$AC$86</f>
        <v/>
      </c>
      <c r="AE30" s="324" t="str">
        <f>WSAQIDAH!$AC$94</f>
        <v/>
      </c>
      <c r="AF30" s="324" t="str">
        <f>WSAQIDAH!$AC$102</f>
        <v/>
      </c>
      <c r="AG30" s="76"/>
      <c r="AH30" s="76"/>
      <c r="AI30" s="76"/>
      <c r="AJ30" s="76"/>
      <c r="AK30" s="324" t="str">
        <f>WSSKI!$AC$6</f>
        <v/>
      </c>
      <c r="AL30" s="324" t="str">
        <f>WSSKI!$AC$14</f>
        <v/>
      </c>
      <c r="AM30" s="324" t="str">
        <f>WSSKI!$AC$23</f>
        <v/>
      </c>
      <c r="AN30" s="324" t="str">
        <f>WSSKI!$AC$31</f>
        <v/>
      </c>
      <c r="AO30" s="324" t="str">
        <f>WSSKI!$AC$40</f>
        <v/>
      </c>
      <c r="AP30" s="324" t="str">
        <f>WSSKI!$AC$48</f>
        <v/>
      </c>
      <c r="AQ30" s="324" t="str">
        <f>WSSKI!$AC$56</f>
        <v/>
      </c>
      <c r="AR30" s="324" t="str">
        <f>WSSKI!$AC$64</f>
        <v/>
      </c>
      <c r="AS30" s="324" t="str">
        <f>WSSKI!$AC$72</f>
        <v/>
      </c>
      <c r="AT30" s="324" t="str">
        <f>WSSKI!$AC$80</f>
        <v/>
      </c>
      <c r="AU30" s="324" t="str">
        <f>WSSKI!$AC$88</f>
        <v/>
      </c>
      <c r="AV30" s="324" t="str">
        <f>WSSKI!$AC$96</f>
        <v/>
      </c>
      <c r="AW30" s="324" t="str">
        <f>WSSKI!$AC$104</f>
        <v/>
      </c>
      <c r="AX30" s="76"/>
      <c r="AY30" s="76"/>
      <c r="AZ30" s="76"/>
      <c r="BA30" s="76"/>
      <c r="BB30" s="324" t="str">
        <f>WSFIQIH!$AC$6</f>
        <v/>
      </c>
      <c r="BC30" s="324" t="str">
        <f>WSFIQIH!$AC$19</f>
        <v/>
      </c>
      <c r="BD30" s="324" t="str">
        <f>WSFIQIH!$AC$28</f>
        <v/>
      </c>
      <c r="BE30" s="324" t="str">
        <f>WSFIQIH!$AC$41</f>
        <v/>
      </c>
      <c r="BF30" s="324" t="str">
        <f>WSFIQIH!$AC$49</f>
        <v/>
      </c>
      <c r="BG30" s="324" t="str">
        <f>WSFIQIH!$AC$62</f>
        <v/>
      </c>
      <c r="BH30" s="324" t="str">
        <f>WSFIQIH!$AC$71</f>
        <v/>
      </c>
      <c r="BI30" s="324" t="str">
        <f>WSFIQIH!$AC$80</f>
        <v/>
      </c>
      <c r="BJ30" s="324" t="str">
        <f>WSFIQIH!$AC$88</f>
        <v/>
      </c>
      <c r="BK30" s="324" t="str">
        <f>WSFIQIH!$AC$96</f>
        <v/>
      </c>
      <c r="BL30" s="324" t="str">
        <f>WSFIQIH!$AC$104</f>
        <v/>
      </c>
      <c r="BM30" s="324" t="str">
        <f>WSFIQIH!$AC$112</f>
        <v/>
      </c>
      <c r="BN30" s="324" t="str">
        <f>WSFIQIH!$AC$120</f>
        <v/>
      </c>
      <c r="BO30" s="76"/>
      <c r="BP30" s="76"/>
      <c r="BQ30" s="76"/>
      <c r="BR30" s="76"/>
      <c r="BS30" s="324" t="str">
        <f>WSPKN!$AC$6</f>
        <v/>
      </c>
      <c r="BT30" s="324" t="str">
        <f>WSPKN!$AC$32</f>
        <v/>
      </c>
      <c r="BU30" s="324" t="str">
        <f>WSPKN!$AC$55</f>
        <v/>
      </c>
      <c r="BV30" s="324" t="str">
        <f>WSPKN!$AC$72</f>
        <v/>
      </c>
      <c r="BW30" s="324" t="str">
        <f>WSPKN!$AC$86</f>
        <v/>
      </c>
      <c r="BX30" s="324" t="str">
        <f>WSPKN!$AC$108</f>
        <v/>
      </c>
      <c r="BY30" s="324" t="str">
        <f>WSPKN!$AC$132</f>
        <v/>
      </c>
      <c r="BZ30" s="324" t="str">
        <f>WSPKN!$AC$148</f>
        <v/>
      </c>
      <c r="CA30" s="324" t="str">
        <f>WSPKN!$AC$165</f>
        <v/>
      </c>
      <c r="CB30" s="324" t="str">
        <f>WSPKN!$AC$173</f>
        <v/>
      </c>
      <c r="CC30" s="324" t="str">
        <f>WSPKN!$AC$181</f>
        <v/>
      </c>
      <c r="CD30" s="324" t="str">
        <f>WSPKN!$AC$189</f>
        <v/>
      </c>
      <c r="CE30" s="324" t="str">
        <f>WSPKN!$AC$197</f>
        <v/>
      </c>
      <c r="CF30" s="76"/>
      <c r="CG30" s="76"/>
      <c r="CH30" s="76"/>
      <c r="CI30" s="76"/>
      <c r="CJ30" s="324" t="str">
        <f>WSIND!$AC$6</f>
        <v/>
      </c>
      <c r="CK30" s="324" t="str">
        <f>WSIND!$AC$65</f>
        <v/>
      </c>
      <c r="CL30" s="324" t="str">
        <f>WSIND!$AC$113</f>
        <v/>
      </c>
      <c r="CM30" s="324" t="str">
        <f>WSIND!$AC$133</f>
        <v/>
      </c>
      <c r="CN30" s="324" t="str">
        <f>WSIND!$AC$161</f>
        <v/>
      </c>
      <c r="CO30" s="324" t="str">
        <f>WSIND!$AC$192</f>
        <v/>
      </c>
      <c r="CP30" s="324" t="str">
        <f>WSIND!$AC$228</f>
        <v/>
      </c>
      <c r="CQ30" s="324" t="str">
        <f>WSIND!$AC$256</f>
        <v/>
      </c>
      <c r="CR30" s="324" t="str">
        <f>WSIND!$AC$277</f>
        <v/>
      </c>
      <c r="CS30" s="324" t="str">
        <f>WSIND!$AC$305</f>
        <v/>
      </c>
      <c r="CT30" s="324" t="str">
        <f>WSIND!$AC$329</f>
        <v/>
      </c>
      <c r="CU30" s="324" t="str">
        <f>WSIND!$AC$337</f>
        <v/>
      </c>
      <c r="CV30" s="324" t="str">
        <f>WSIND!$AC$345</f>
        <v/>
      </c>
      <c r="CW30" s="76"/>
      <c r="CX30" s="76"/>
      <c r="CY30" s="76"/>
      <c r="CZ30" s="76"/>
      <c r="DA30" s="324" t="str">
        <f>WSARAB!$AC$6</f>
        <v/>
      </c>
      <c r="DB30" s="324" t="str">
        <f>WSARAB!$AC$17</f>
        <v/>
      </c>
      <c r="DC30" s="324" t="str">
        <f>WSARAB!$AC$29</f>
        <v/>
      </c>
      <c r="DD30" s="324" t="str">
        <f>WSARAB!$AC$37</f>
        <v/>
      </c>
      <c r="DE30" s="324" t="str">
        <f>WSARAB!$AC$45</f>
        <v/>
      </c>
      <c r="DF30" s="324" t="str">
        <f>WSARAB!$AC$53</f>
        <v/>
      </c>
      <c r="DG30" s="324" t="str">
        <f>WSARAB!$AC$65</f>
        <v/>
      </c>
      <c r="DH30" s="324" t="str">
        <f>WSARAB!$AC$73</f>
        <v/>
      </c>
      <c r="DI30" s="324" t="str">
        <f>WSARAB!$AC$81</f>
        <v/>
      </c>
      <c r="DJ30" s="324" t="str">
        <f>WSARAB!$AC$89</f>
        <v/>
      </c>
      <c r="DK30" s="324" t="str">
        <f>WSARAB!$AC$97</f>
        <v/>
      </c>
      <c r="DL30" s="324" t="str">
        <f>WSARAB!$AC$105</f>
        <v/>
      </c>
      <c r="DM30" s="324" t="str">
        <f>WSARAB!$AC$113</f>
        <v/>
      </c>
      <c r="DN30" s="76"/>
      <c r="DO30" s="76"/>
      <c r="DP30" s="76"/>
      <c r="DQ30" s="76"/>
      <c r="DR30" s="324" t="str">
        <f>WSMTK!$AC$6</f>
        <v/>
      </c>
      <c r="DS30" s="324" t="str">
        <f>WSMTK!$AC$22</f>
        <v/>
      </c>
      <c r="DT30" s="324" t="str">
        <f>WSMTK!$AC$35</f>
        <v/>
      </c>
      <c r="DU30" s="324" t="str">
        <f>WSMTK!$AC$69</f>
        <v/>
      </c>
      <c r="DV30" s="324" t="str">
        <f>WSMTK!$AC$87</f>
        <v/>
      </c>
      <c r="DW30" s="324" t="str">
        <f>WSMTK!$AC$99</f>
        <v/>
      </c>
      <c r="DX30" s="324" t="str">
        <f>WSMTK!$AC$113</f>
        <v/>
      </c>
      <c r="DY30" s="324" t="str">
        <f>WSMTK!$AC$145</f>
        <v/>
      </c>
      <c r="DZ30" s="324" t="str">
        <f>WSMTK!$AC$168</f>
        <v/>
      </c>
      <c r="EA30" s="324" t="str">
        <f>WSMTK!$AC$176</f>
        <v/>
      </c>
      <c r="EB30" s="324" t="str">
        <f>WSMTK!$AC$184</f>
        <v/>
      </c>
      <c r="EC30" s="324" t="str">
        <f>WSMTK!$AC$192</f>
        <v/>
      </c>
      <c r="ED30" s="324" t="str">
        <f>WSMTK!$AC$200</f>
        <v/>
      </c>
      <c r="EE30" s="76"/>
      <c r="EF30" s="76"/>
      <c r="EG30" s="76"/>
      <c r="EH30" s="76" t="s">
        <v>1275</v>
      </c>
      <c r="EI30" s="324" t="str">
        <f>WSIPA!$AC$6</f>
        <v/>
      </c>
      <c r="EJ30" s="324" t="str">
        <f>WSIPA!$AC$14</f>
        <v/>
      </c>
      <c r="EK30" s="324" t="str">
        <f>WSIPA!$AC$22</f>
        <v/>
      </c>
      <c r="EL30" s="324" t="str">
        <f>WSIPA!$AC$30</f>
        <v/>
      </c>
      <c r="EM30" s="324" t="str">
        <f>WSIPA!$AC$38</f>
        <v/>
      </c>
      <c r="EN30" s="324" t="str">
        <f>WSIPA!$AC$46</f>
        <v/>
      </c>
      <c r="EO30" s="324" t="str">
        <f>WSIPA!$AC$54</f>
        <v/>
      </c>
      <c r="EP30" s="324" t="str">
        <f>WSIPA!$AC$62</f>
        <v/>
      </c>
      <c r="EQ30" s="324" t="str">
        <f>WSIPA!$AC$70</f>
        <v/>
      </c>
      <c r="ER30" s="324" t="str">
        <f>WSIPA!$AC$78</f>
        <v/>
      </c>
      <c r="ES30" s="324" t="str">
        <f>WSIPA!$AC$86</f>
        <v/>
      </c>
      <c r="ET30" s="324" t="str">
        <f>WSIPA!$AC$94</f>
        <v/>
      </c>
      <c r="EU30" s="324" t="str">
        <f>WSIPA!$AC$102</f>
        <v/>
      </c>
      <c r="EV30" s="76"/>
      <c r="EW30" s="76"/>
      <c r="EX30" s="76"/>
      <c r="EY30" s="76"/>
      <c r="EZ30" s="324" t="str">
        <f>WSIPS!$AC$6</f>
        <v/>
      </c>
      <c r="FA30" s="324" t="str">
        <f>WSIPS!$AC$14</f>
        <v/>
      </c>
      <c r="FB30" s="324" t="str">
        <f>WSIPS!$AC$22</f>
        <v/>
      </c>
      <c r="FC30" s="324" t="str">
        <f>WSIPS!$AC$30</f>
        <v/>
      </c>
      <c r="FD30" s="324" t="str">
        <f>WSIPS!$AC$38</f>
        <v/>
      </c>
      <c r="FE30" s="324" t="str">
        <f>WSIPS!$AC$46</f>
        <v/>
      </c>
      <c r="FF30" s="324" t="str">
        <f>WSIPS!$AC$54</f>
        <v/>
      </c>
      <c r="FG30" s="324" t="str">
        <f>WSIPS!$AC$62</f>
        <v/>
      </c>
      <c r="FH30" s="324" t="str">
        <f>WSIPS!$AC$70</f>
        <v/>
      </c>
      <c r="FI30" s="324" t="str">
        <f>WSIPS!$AC$78</f>
        <v/>
      </c>
      <c r="FJ30" s="324" t="str">
        <f>WSIPS!$AC$86</f>
        <v/>
      </c>
      <c r="FK30" s="324" t="str">
        <f>WSIPS!$AC$94</f>
        <v/>
      </c>
      <c r="FL30" s="324" t="str">
        <f>WSIPS!$AC$102</f>
        <v/>
      </c>
      <c r="FM30" s="76"/>
      <c r="FN30" s="76"/>
      <c r="FO30" s="76"/>
      <c r="FP30" s="76"/>
      <c r="FQ30" s="324" t="str">
        <f>WSSBK!$AC$6</f>
        <v/>
      </c>
      <c r="FR30" s="324" t="str">
        <f>WSSBK!$AC$16</f>
        <v/>
      </c>
      <c r="FS30" s="324" t="str">
        <f>WSSBK!$AC$26</f>
        <v/>
      </c>
      <c r="FT30" s="324" t="str">
        <f>WSSBK!$AC$36</f>
        <v/>
      </c>
      <c r="FU30" s="324" t="str">
        <f>WSSBK!$AC$46</f>
        <v/>
      </c>
      <c r="FV30" s="324" t="str">
        <f>WSSBK!$AC$58</f>
        <v/>
      </c>
      <c r="FW30" s="324" t="str">
        <f>WSSBK!$AC$68</f>
        <v/>
      </c>
      <c r="FX30" s="324" t="str">
        <f>WSSBK!$AC$77</f>
        <v/>
      </c>
      <c r="FY30" s="324" t="str">
        <f>WSSBK!$AC$87</f>
        <v/>
      </c>
      <c r="FZ30" s="324" t="str">
        <f>WSSBK!$AC$95</f>
        <v/>
      </c>
      <c r="GA30" s="324" t="str">
        <f>WSSBK!$AC$103</f>
        <v/>
      </c>
      <c r="GB30" s="324" t="str">
        <f>WSSBK!$AC$111</f>
        <v/>
      </c>
      <c r="GC30" s="324" t="str">
        <f>WSSBK!$AC$119</f>
        <v/>
      </c>
      <c r="GD30" s="76"/>
      <c r="GE30" s="76"/>
      <c r="GF30" s="76"/>
      <c r="GG30" s="76"/>
      <c r="GH30" s="334">
        <f>WSPENJAS!$AC$6</f>
        <v>0</v>
      </c>
      <c r="GI30" s="334">
        <f>WSPENJAS!$AC$7</f>
        <v>0</v>
      </c>
      <c r="GJ30" s="334">
        <f>WSPENJAS!$AC$8</f>
        <v>0</v>
      </c>
      <c r="GK30" s="334">
        <f>WSPENJAS!$AC$9</f>
        <v>0</v>
      </c>
      <c r="GL30" s="334">
        <f>WSPENJAS!$AC$10</f>
        <v>0</v>
      </c>
      <c r="GM30" s="334">
        <f>WSPENJAS!$AC$11</f>
        <v>0</v>
      </c>
      <c r="GN30" s="334">
        <f>WSPENJAS!$AC$12</f>
        <v>0</v>
      </c>
      <c r="GO30" s="334">
        <f>WSPENJAS!$AC$13</f>
        <v>0</v>
      </c>
      <c r="GP30" s="334">
        <f>WSPENJAS!$AC$14</f>
        <v>0</v>
      </c>
      <c r="GQ30" s="334">
        <f>WSPENJAS!$AC$15</f>
        <v>0</v>
      </c>
      <c r="GR30" s="334">
        <f>WSPENJAS!$AC$16</f>
        <v>0</v>
      </c>
      <c r="GS30" s="334">
        <f>WSPENJAS!$AC$17</f>
        <v>0</v>
      </c>
      <c r="GT30" s="334">
        <f>WSPENJAS!$AC$18</f>
        <v>0</v>
      </c>
      <c r="GU30" s="334">
        <f>WSPENJAS!$AC$19</f>
        <v>0</v>
      </c>
      <c r="GV30" s="334">
        <f>WSPENJAS!$AC$20</f>
        <v>0</v>
      </c>
      <c r="GW30" s="334">
        <f>WSPENJAS!$AC$21</f>
        <v>0</v>
      </c>
      <c r="GX30" s="76"/>
      <c r="GY30" s="324" t="str">
        <f>WSJAWA!$AC$6</f>
        <v/>
      </c>
      <c r="GZ30" s="324" t="str">
        <f>WSJAWA!$AC$14</f>
        <v/>
      </c>
      <c r="HA30" s="324" t="str">
        <f>WSJAWA!$AC$22</f>
        <v/>
      </c>
      <c r="HB30" s="324" t="str">
        <f>WSJAWA!$AC$30</f>
        <v/>
      </c>
      <c r="HC30" s="324" t="str">
        <f>WSJAWA!$AC$38</f>
        <v/>
      </c>
      <c r="HD30" s="324" t="str">
        <f>WSJAWA!$AC$46</f>
        <v/>
      </c>
      <c r="HE30" s="324" t="str">
        <f>WSJAWA!$AC$54</f>
        <v/>
      </c>
      <c r="HF30" s="324" t="str">
        <f>WSJAWA!$AC$62</f>
        <v/>
      </c>
      <c r="HG30" s="324" t="str">
        <f>WSJAWA!$AC$70</f>
        <v/>
      </c>
      <c r="HH30" s="324" t="str">
        <f>WSJAWA!$AC$78</f>
        <v/>
      </c>
      <c r="HI30" s="324" t="str">
        <f>WSJAWA!$AC$86</f>
        <v/>
      </c>
      <c r="HJ30" s="324" t="str">
        <f>WSJAWA!$AC$94</f>
        <v/>
      </c>
      <c r="HK30" s="324" t="str">
        <f>WSJAWA!$AC$102</f>
        <v/>
      </c>
      <c r="HL30" s="76"/>
      <c r="HM30" s="76"/>
      <c r="HN30" s="76"/>
      <c r="HO30" s="76"/>
      <c r="HP30" s="324" t="str">
        <f>WSING!$AC$6</f>
        <v/>
      </c>
      <c r="HQ30" s="324" t="str">
        <f>WSING!$AC$15</f>
        <v/>
      </c>
      <c r="HR30" s="324" t="str">
        <f>WSING!$AC$24</f>
        <v/>
      </c>
      <c r="HS30" s="324" t="str">
        <f>WSING!$AC$33</f>
        <v/>
      </c>
      <c r="HT30" s="324" t="str">
        <f>WSING!$AC$42</f>
        <v/>
      </c>
      <c r="HU30" s="324" t="str">
        <f>WSING!$AC$50</f>
        <v/>
      </c>
      <c r="HV30" s="324" t="str">
        <f>WSING!$AC$58</f>
        <v/>
      </c>
      <c r="HW30" s="324" t="str">
        <f>WSING!$AC$66</f>
        <v/>
      </c>
      <c r="HX30" s="324" t="str">
        <f>WSING!$AC$74</f>
        <v/>
      </c>
      <c r="HY30" s="324" t="str">
        <f>WSING!$AC$82</f>
        <v/>
      </c>
      <c r="HZ30" s="324" t="str">
        <f>WSING!$AC$90</f>
        <v/>
      </c>
      <c r="IA30" s="324" t="str">
        <f>WSING!$AC$98</f>
        <v/>
      </c>
      <c r="IB30" s="324" t="str">
        <f>WSING!$AC$106</f>
        <v/>
      </c>
      <c r="IC30" s="76"/>
      <c r="ID30" s="76"/>
      <c r="IE30" s="76"/>
      <c r="IF30" s="76"/>
      <c r="IG30" s="324" t="str">
        <f>WSTIK!$AC$6</f>
        <v/>
      </c>
      <c r="IH30" s="324" t="str">
        <f>WSTIK!$AC$14</f>
        <v/>
      </c>
      <c r="II30" s="324" t="str">
        <f>WSTIK!$AC$22</f>
        <v/>
      </c>
      <c r="IJ30" s="324" t="str">
        <f>WSTIK!$AC$30</f>
        <v/>
      </c>
      <c r="IK30" s="324" t="str">
        <f>WSTIK!$AC$38</f>
        <v/>
      </c>
      <c r="IL30" s="324" t="str">
        <f>WSTIK!$AC$46</f>
        <v/>
      </c>
      <c r="IM30" s="324" t="str">
        <f>WSTIK!$AC$54</f>
        <v/>
      </c>
      <c r="IN30" s="324" t="str">
        <f>WSTIK!$AC$62</f>
        <v/>
      </c>
      <c r="IO30" s="324" t="str">
        <f>WSTIK!$AC$70</f>
        <v/>
      </c>
      <c r="IP30" s="324" t="str">
        <f>WSTIK!$AC$78</f>
        <v/>
      </c>
      <c r="IQ30" s="324" t="str">
        <f>WSTIK!$AC$86</f>
        <v/>
      </c>
      <c r="IR30" s="324" t="str">
        <f>WSTIK!$AC$94</f>
        <v/>
      </c>
      <c r="IS30" s="324" t="str">
        <f>WSTIK!$AC$102</f>
        <v/>
      </c>
      <c r="IT30" s="76"/>
      <c r="IU30" s="76"/>
      <c r="IV30" s="76"/>
      <c r="IW30" s="76"/>
      <c r="IX30" s="324" t="str">
        <f>WSASWAJA!$AC$6</f>
        <v/>
      </c>
      <c r="IY30" s="324" t="str">
        <f>WSASWAJA!$AC$14</f>
        <v/>
      </c>
      <c r="IZ30" s="324" t="str">
        <f>WSASWAJA!$AC$22</f>
        <v/>
      </c>
      <c r="JA30" s="324" t="str">
        <f>WSASWAJA!$AC$30</f>
        <v/>
      </c>
      <c r="JB30" s="324" t="str">
        <f>WSASWAJA!$AC$38</f>
        <v/>
      </c>
      <c r="JC30" s="324" t="str">
        <f>WSASWAJA!$AC$46</f>
        <v/>
      </c>
      <c r="JD30" s="324" t="str">
        <f>WSASWAJA!$AC$54</f>
        <v/>
      </c>
      <c r="JE30" s="324" t="str">
        <f>WSASWAJA!$AC$62</f>
        <v/>
      </c>
      <c r="JF30" s="324" t="str">
        <f>WSASWAJA!$AC$70</f>
        <v/>
      </c>
      <c r="JG30" s="324" t="str">
        <f>WSASWAJA!$AC$78</f>
        <v/>
      </c>
      <c r="JH30" s="324" t="str">
        <f>WSASWAJA!$AC$86</f>
        <v/>
      </c>
      <c r="JI30" s="324" t="str">
        <f>WSASWAJA!$AC$94</f>
        <v/>
      </c>
      <c r="JJ30" s="324" t="str">
        <f>WSASWAJA!$AC$102</f>
        <v/>
      </c>
      <c r="JK30" s="76"/>
      <c r="JL30" s="76"/>
      <c r="JM30" s="76"/>
      <c r="JN30" s="76"/>
    </row>
    <row r="31" spans="1:274">
      <c r="A31" s="76"/>
      <c r="B31" s="76">
        <v>26</v>
      </c>
      <c r="C31" s="324" t="str">
        <f>WSALQURAN!$AD$6</f>
        <v/>
      </c>
      <c r="D31" s="324" t="str">
        <f>WSALQURAN!$AD$14</f>
        <v/>
      </c>
      <c r="E31" s="324" t="str">
        <f>WSALQURAN!$AD$22</f>
        <v/>
      </c>
      <c r="F31" s="324" t="str">
        <f>WSALQURAN!$AD$30</f>
        <v/>
      </c>
      <c r="G31" s="324" t="str">
        <f>WSALQURAN!$AD$38</f>
        <v/>
      </c>
      <c r="H31" s="324" t="str">
        <f>WSALQURAN!$AD$46</f>
        <v/>
      </c>
      <c r="I31" s="324" t="str">
        <f>WSALQURAN!$AD$54</f>
        <v/>
      </c>
      <c r="J31" s="324" t="str">
        <f>WSALQURAN!$AD$62</f>
        <v/>
      </c>
      <c r="K31" s="324" t="str">
        <f>WSALQURAN!$AD$70</f>
        <v/>
      </c>
      <c r="L31" s="324" t="str">
        <f>WSALQURAN!$AD$78</f>
        <v/>
      </c>
      <c r="M31" s="324" t="str">
        <f>WSALQURAN!$AD$86</f>
        <v/>
      </c>
      <c r="N31" s="324" t="str">
        <f>WSALQURAN!$AD$94</f>
        <v/>
      </c>
      <c r="O31" s="324" t="str">
        <f>WSALQURAN!$AD$102</f>
        <v/>
      </c>
      <c r="P31" s="76"/>
      <c r="Q31" s="76"/>
      <c r="R31" s="76"/>
      <c r="S31" s="76"/>
      <c r="T31" s="324" t="str">
        <f>WSAQIDAH!$AD$6</f>
        <v/>
      </c>
      <c r="U31" s="324" t="str">
        <f>WSAQIDAH!$AD$14</f>
        <v/>
      </c>
      <c r="V31" s="324" t="str">
        <f>WSAQIDAH!$AD$22</f>
        <v/>
      </c>
      <c r="W31" s="324" t="str">
        <f>WSAQIDAH!$AD$30</f>
        <v/>
      </c>
      <c r="X31" s="324" t="str">
        <f>WSAQIDAH!$AD$38</f>
        <v/>
      </c>
      <c r="Y31" s="324" t="str">
        <f>WSAQIDAH!$AD$46</f>
        <v/>
      </c>
      <c r="Z31" s="324" t="str">
        <f>WSAQIDAH!$AD$54</f>
        <v/>
      </c>
      <c r="AA31" s="324" t="str">
        <f>WSAQIDAH!$AD$62</f>
        <v/>
      </c>
      <c r="AB31" s="324" t="str">
        <f>WSAQIDAH!$AD$70</f>
        <v/>
      </c>
      <c r="AC31" s="324" t="str">
        <f>WSAQIDAH!$AD$78</f>
        <v/>
      </c>
      <c r="AD31" s="324" t="str">
        <f>WSAQIDAH!$AD$86</f>
        <v/>
      </c>
      <c r="AE31" s="324" t="str">
        <f>WSAQIDAH!$AD$94</f>
        <v/>
      </c>
      <c r="AF31" s="324" t="str">
        <f>WSAQIDAH!$AD$102</f>
        <v/>
      </c>
      <c r="AG31" s="76"/>
      <c r="AH31" s="76"/>
      <c r="AI31" s="76"/>
      <c r="AJ31" s="76"/>
      <c r="AK31" s="324" t="str">
        <f>WSSKI!$AD$6</f>
        <v/>
      </c>
      <c r="AL31" s="324" t="str">
        <f>WSSKI!$AD$14</f>
        <v/>
      </c>
      <c r="AM31" s="324" t="str">
        <f>WSSKI!$AD$23</f>
        <v/>
      </c>
      <c r="AN31" s="324" t="str">
        <f>WSSKI!$AD$31</f>
        <v/>
      </c>
      <c r="AO31" s="324" t="str">
        <f>WSSKI!$AD$40</f>
        <v/>
      </c>
      <c r="AP31" s="324" t="str">
        <f>WSSKI!$AD$48</f>
        <v/>
      </c>
      <c r="AQ31" s="324" t="str">
        <f>WSSKI!$AD$56</f>
        <v/>
      </c>
      <c r="AR31" s="324" t="str">
        <f>WSSKI!$AD$64</f>
        <v/>
      </c>
      <c r="AS31" s="324" t="str">
        <f>WSSKI!$AD$72</f>
        <v/>
      </c>
      <c r="AT31" s="324" t="str">
        <f>WSSKI!$AD$80</f>
        <v/>
      </c>
      <c r="AU31" s="324" t="str">
        <f>WSSKI!$AD$88</f>
        <v/>
      </c>
      <c r="AV31" s="324" t="str">
        <f>WSSKI!$AD$96</f>
        <v/>
      </c>
      <c r="AW31" s="324" t="str">
        <f>WSSKI!$AD$104</f>
        <v/>
      </c>
      <c r="AX31" s="76"/>
      <c r="AY31" s="76"/>
      <c r="AZ31" s="76"/>
      <c r="BA31" s="76"/>
      <c r="BB31" s="324" t="str">
        <f>WSFIQIH!$AD$6</f>
        <v/>
      </c>
      <c r="BC31" s="324" t="str">
        <f>WSFIQIH!$AD$19</f>
        <v/>
      </c>
      <c r="BD31" s="324" t="str">
        <f>WSFIQIH!$AD$28</f>
        <v/>
      </c>
      <c r="BE31" s="324" t="str">
        <f>WSFIQIH!$AD$41</f>
        <v/>
      </c>
      <c r="BF31" s="324" t="str">
        <f>WSFIQIH!$AD$49</f>
        <v/>
      </c>
      <c r="BG31" s="324" t="str">
        <f>WSFIQIH!$AD$62</f>
        <v/>
      </c>
      <c r="BH31" s="324" t="str">
        <f>WSFIQIH!$AD$71</f>
        <v/>
      </c>
      <c r="BI31" s="324" t="str">
        <f>WSFIQIH!$AD$80</f>
        <v/>
      </c>
      <c r="BJ31" s="324" t="str">
        <f>WSFIQIH!$AD$88</f>
        <v/>
      </c>
      <c r="BK31" s="324" t="str">
        <f>WSFIQIH!$AD$96</f>
        <v/>
      </c>
      <c r="BL31" s="324" t="str">
        <f>WSFIQIH!$AD$104</f>
        <v/>
      </c>
      <c r="BM31" s="324" t="str">
        <f>WSFIQIH!$AD$112</f>
        <v/>
      </c>
      <c r="BN31" s="324" t="str">
        <f>WSFIQIH!$AD$120</f>
        <v/>
      </c>
      <c r="BO31" s="76"/>
      <c r="BP31" s="76"/>
      <c r="BQ31" s="76"/>
      <c r="BR31" s="76"/>
      <c r="BS31" s="324" t="str">
        <f>WSPKN!$AD$6</f>
        <v/>
      </c>
      <c r="BT31" s="324" t="str">
        <f>WSPKN!$AD$32</f>
        <v/>
      </c>
      <c r="BU31" s="324" t="str">
        <f>WSPKN!$AD$55</f>
        <v/>
      </c>
      <c r="BV31" s="324" t="str">
        <f>WSPKN!$AD$72</f>
        <v/>
      </c>
      <c r="BW31" s="324" t="str">
        <f>WSPKN!$AD$86</f>
        <v/>
      </c>
      <c r="BX31" s="324" t="str">
        <f>WSPKN!$AD$108</f>
        <v/>
      </c>
      <c r="BY31" s="324" t="str">
        <f>WSPKN!$AD$132</f>
        <v/>
      </c>
      <c r="BZ31" s="324" t="str">
        <f>WSPKN!$AD$148</f>
        <v/>
      </c>
      <c r="CA31" s="324" t="str">
        <f>WSPKN!$AD$165</f>
        <v/>
      </c>
      <c r="CB31" s="324" t="str">
        <f>WSPKN!$AD$173</f>
        <v/>
      </c>
      <c r="CC31" s="324" t="str">
        <f>WSPKN!$AD$181</f>
        <v/>
      </c>
      <c r="CD31" s="324" t="str">
        <f>WSPKN!$AD$189</f>
        <v/>
      </c>
      <c r="CE31" s="324" t="str">
        <f>WSPKN!$AD$197</f>
        <v/>
      </c>
      <c r="CF31" s="76"/>
      <c r="CG31" s="76"/>
      <c r="CH31" s="76"/>
      <c r="CI31" s="76"/>
      <c r="CJ31" s="324" t="str">
        <f>WSIND!$AD$6</f>
        <v/>
      </c>
      <c r="CK31" s="324" t="str">
        <f>WSIND!$AD$65</f>
        <v/>
      </c>
      <c r="CL31" s="324" t="str">
        <f>WSIND!$AD$113</f>
        <v/>
      </c>
      <c r="CM31" s="324" t="str">
        <f>WSIND!$AD$133</f>
        <v/>
      </c>
      <c r="CN31" s="324" t="str">
        <f>WSIND!$AD$161</f>
        <v/>
      </c>
      <c r="CO31" s="324" t="str">
        <f>WSIND!$AD$192</f>
        <v/>
      </c>
      <c r="CP31" s="324" t="str">
        <f>WSIND!$AD$228</f>
        <v/>
      </c>
      <c r="CQ31" s="324" t="str">
        <f>WSIND!$AD$256</f>
        <v/>
      </c>
      <c r="CR31" s="324" t="str">
        <f>WSIND!$AD$277</f>
        <v/>
      </c>
      <c r="CS31" s="324" t="str">
        <f>WSIND!$AD$305</f>
        <v/>
      </c>
      <c r="CT31" s="324" t="str">
        <f>WSIND!$AD$329</f>
        <v/>
      </c>
      <c r="CU31" s="324" t="str">
        <f>WSIND!$AD$337</f>
        <v/>
      </c>
      <c r="CV31" s="324" t="str">
        <f>WSIND!$AD$345</f>
        <v/>
      </c>
      <c r="CW31" s="76"/>
      <c r="CX31" s="76"/>
      <c r="CY31" s="76"/>
      <c r="CZ31" s="76"/>
      <c r="DA31" s="324" t="str">
        <f>WSARAB!$AD$6</f>
        <v/>
      </c>
      <c r="DB31" s="324" t="str">
        <f>WSARAB!$AD$17</f>
        <v/>
      </c>
      <c r="DC31" s="324" t="str">
        <f>WSARAB!$AD$29</f>
        <v/>
      </c>
      <c r="DD31" s="324" t="str">
        <f>WSARAB!$AD$37</f>
        <v/>
      </c>
      <c r="DE31" s="324" t="str">
        <f>WSARAB!$AD$45</f>
        <v/>
      </c>
      <c r="DF31" s="324" t="str">
        <f>WSARAB!$AD$53</f>
        <v/>
      </c>
      <c r="DG31" s="324" t="str">
        <f>WSARAB!$AD$65</f>
        <v/>
      </c>
      <c r="DH31" s="324" t="str">
        <f>WSARAB!$AD$73</f>
        <v/>
      </c>
      <c r="DI31" s="324" t="str">
        <f>WSARAB!$AD$81</f>
        <v/>
      </c>
      <c r="DJ31" s="324" t="str">
        <f>WSARAB!$AD$89</f>
        <v/>
      </c>
      <c r="DK31" s="324" t="str">
        <f>WSARAB!$AD$97</f>
        <v/>
      </c>
      <c r="DL31" s="324" t="str">
        <f>WSARAB!$AD$105</f>
        <v/>
      </c>
      <c r="DM31" s="324" t="str">
        <f>WSARAB!$AD$113</f>
        <v/>
      </c>
      <c r="DN31" s="76"/>
      <c r="DO31" s="76"/>
      <c r="DP31" s="76"/>
      <c r="DQ31" s="76"/>
      <c r="DR31" s="324" t="str">
        <f>WSMTK!$AD$6</f>
        <v/>
      </c>
      <c r="DS31" s="324" t="str">
        <f>WSMTK!$AD$22</f>
        <v/>
      </c>
      <c r="DT31" s="324" t="str">
        <f>WSMTK!$AD$35</f>
        <v/>
      </c>
      <c r="DU31" s="324" t="str">
        <f>WSMTK!$AD$69</f>
        <v/>
      </c>
      <c r="DV31" s="324" t="str">
        <f>WSMTK!$AD$87</f>
        <v/>
      </c>
      <c r="DW31" s="324" t="str">
        <f>WSMTK!$AD$99</f>
        <v/>
      </c>
      <c r="DX31" s="324" t="str">
        <f>WSMTK!$AD$113</f>
        <v/>
      </c>
      <c r="DY31" s="324" t="str">
        <f>WSMTK!$AD$145</f>
        <v/>
      </c>
      <c r="DZ31" s="324" t="str">
        <f>WSMTK!$AD$168</f>
        <v/>
      </c>
      <c r="EA31" s="324" t="str">
        <f>WSMTK!$AD$176</f>
        <v/>
      </c>
      <c r="EB31" s="324" t="str">
        <f>WSMTK!$AD$184</f>
        <v/>
      </c>
      <c r="EC31" s="324" t="str">
        <f>WSMTK!$AD$192</f>
        <v/>
      </c>
      <c r="ED31" s="324" t="str">
        <f>WSMTK!$AD$200</f>
        <v/>
      </c>
      <c r="EE31" s="76"/>
      <c r="EF31" s="76"/>
      <c r="EG31" s="76"/>
      <c r="EH31" s="76"/>
      <c r="EI31" s="324" t="str">
        <f>WSIPA!$AD$6</f>
        <v/>
      </c>
      <c r="EJ31" s="324" t="str">
        <f>WSIPA!$AD$14</f>
        <v/>
      </c>
      <c r="EK31" s="324" t="str">
        <f>WSIPA!$AD$22</f>
        <v/>
      </c>
      <c r="EL31" s="324" t="str">
        <f>WSIPA!$AD$30</f>
        <v/>
      </c>
      <c r="EM31" s="324" t="str">
        <f>WSIPA!$AD$38</f>
        <v/>
      </c>
      <c r="EN31" s="324" t="str">
        <f>WSIPA!$AD$46</f>
        <v/>
      </c>
      <c r="EO31" s="324" t="str">
        <f>WSIPA!$AD$54</f>
        <v/>
      </c>
      <c r="EP31" s="324" t="str">
        <f>WSIPA!$AD$62</f>
        <v/>
      </c>
      <c r="EQ31" s="324" t="str">
        <f>WSIPA!$AD$70</f>
        <v/>
      </c>
      <c r="ER31" s="324" t="str">
        <f>WSIPA!$AD$78</f>
        <v/>
      </c>
      <c r="ES31" s="324" t="str">
        <f>WSIPA!$AD$86</f>
        <v/>
      </c>
      <c r="ET31" s="324" t="str">
        <f>WSIPA!$AD$94</f>
        <v/>
      </c>
      <c r="EU31" s="324" t="str">
        <f>WSIPA!$AD$102</f>
        <v/>
      </c>
      <c r="EV31" s="76"/>
      <c r="EW31" s="76"/>
      <c r="EX31" s="76"/>
      <c r="EY31" s="76"/>
      <c r="EZ31" s="324" t="str">
        <f>WSIPS!$AD$6</f>
        <v/>
      </c>
      <c r="FA31" s="324" t="str">
        <f>WSIPS!$AD$14</f>
        <v/>
      </c>
      <c r="FB31" s="324" t="str">
        <f>WSIPS!$AD$22</f>
        <v/>
      </c>
      <c r="FC31" s="324" t="str">
        <f>WSIPS!$AD$30</f>
        <v/>
      </c>
      <c r="FD31" s="324" t="str">
        <f>WSIPS!$AD$38</f>
        <v/>
      </c>
      <c r="FE31" s="324" t="str">
        <f>WSIPS!$AD$46</f>
        <v/>
      </c>
      <c r="FF31" s="324" t="str">
        <f>WSIPS!$AD$54</f>
        <v/>
      </c>
      <c r="FG31" s="324" t="str">
        <f>WSIPS!$AD$62</f>
        <v/>
      </c>
      <c r="FH31" s="324" t="str">
        <f>WSIPS!$AD$70</f>
        <v/>
      </c>
      <c r="FI31" s="324" t="str">
        <f>WSIPS!$AD$78</f>
        <v/>
      </c>
      <c r="FJ31" s="324" t="str">
        <f>WSIPS!$AD$86</f>
        <v/>
      </c>
      <c r="FK31" s="324" t="str">
        <f>WSIPS!$AD$94</f>
        <v/>
      </c>
      <c r="FL31" s="324" t="str">
        <f>WSIPS!$AD$102</f>
        <v/>
      </c>
      <c r="FM31" s="76"/>
      <c r="FN31" s="76"/>
      <c r="FO31" s="76"/>
      <c r="FP31" s="76"/>
      <c r="FQ31" s="324" t="str">
        <f>WSSBK!$AD$6</f>
        <v/>
      </c>
      <c r="FR31" s="324" t="str">
        <f>WSSBK!$AD$16</f>
        <v/>
      </c>
      <c r="FS31" s="324" t="str">
        <f>WSSBK!$AD$26</f>
        <v/>
      </c>
      <c r="FT31" s="324" t="str">
        <f>WSSBK!$AD$36</f>
        <v/>
      </c>
      <c r="FU31" s="324" t="str">
        <f>WSSBK!$AD$46</f>
        <v/>
      </c>
      <c r="FV31" s="324" t="str">
        <f>WSSBK!$AD$58</f>
        <v/>
      </c>
      <c r="FW31" s="324" t="str">
        <f>WSSBK!$AD$68</f>
        <v/>
      </c>
      <c r="FX31" s="324" t="str">
        <f>WSSBK!$AD$77</f>
        <v/>
      </c>
      <c r="FY31" s="324" t="str">
        <f>WSSBK!$AD$87</f>
        <v/>
      </c>
      <c r="FZ31" s="324" t="str">
        <f>WSSBK!$AD$95</f>
        <v/>
      </c>
      <c r="GA31" s="324" t="str">
        <f>WSSBK!$AD$103</f>
        <v/>
      </c>
      <c r="GB31" s="324" t="str">
        <f>WSSBK!$AD$111</f>
        <v/>
      </c>
      <c r="GC31" s="324" t="str">
        <f>WSSBK!$AD$119</f>
        <v/>
      </c>
      <c r="GD31" s="76"/>
      <c r="GE31" s="76"/>
      <c r="GF31" s="76"/>
      <c r="GG31" s="76"/>
      <c r="GH31" s="334">
        <f>WSPENJAS!$AD$6</f>
        <v>0</v>
      </c>
      <c r="GI31" s="334">
        <f>WSPENJAS!$AD$7</f>
        <v>0</v>
      </c>
      <c r="GJ31" s="334">
        <f>WSPENJAS!$AD$8</f>
        <v>0</v>
      </c>
      <c r="GK31" s="334">
        <f>WSPENJAS!$AD$9</f>
        <v>0</v>
      </c>
      <c r="GL31" s="334">
        <f>WSPENJAS!$AD$10</f>
        <v>0</v>
      </c>
      <c r="GM31" s="334">
        <f>WSPENJAS!$AD$11</f>
        <v>0</v>
      </c>
      <c r="GN31" s="334">
        <f>WSPENJAS!$AD$12</f>
        <v>0</v>
      </c>
      <c r="GO31" s="334">
        <f>WSPENJAS!$AD$13</f>
        <v>0</v>
      </c>
      <c r="GP31" s="334">
        <f>WSPENJAS!$AD$14</f>
        <v>0</v>
      </c>
      <c r="GQ31" s="334">
        <f>WSPENJAS!$AD$15</f>
        <v>0</v>
      </c>
      <c r="GR31" s="334">
        <f>WSPENJAS!$AD$16</f>
        <v>0</v>
      </c>
      <c r="GS31" s="334">
        <f>WSPENJAS!$AD$17</f>
        <v>0</v>
      </c>
      <c r="GT31" s="334">
        <f>WSPENJAS!$AD$18</f>
        <v>0</v>
      </c>
      <c r="GU31" s="334">
        <f>WSPENJAS!$AD$19</f>
        <v>0</v>
      </c>
      <c r="GV31" s="334">
        <f>WSPENJAS!$AD$20</f>
        <v>0</v>
      </c>
      <c r="GW31" s="334">
        <f>WSPENJAS!$AD$21</f>
        <v>0</v>
      </c>
      <c r="GX31" s="76"/>
      <c r="GY31" s="324" t="str">
        <f>WSJAWA!$AD$6</f>
        <v/>
      </c>
      <c r="GZ31" s="324" t="str">
        <f>WSJAWA!$AD$14</f>
        <v/>
      </c>
      <c r="HA31" s="324" t="str">
        <f>WSJAWA!$AD$22</f>
        <v/>
      </c>
      <c r="HB31" s="324" t="str">
        <f>WSJAWA!$AD$30</f>
        <v/>
      </c>
      <c r="HC31" s="324" t="str">
        <f>WSJAWA!$AD$38</f>
        <v/>
      </c>
      <c r="HD31" s="324" t="str">
        <f>WSJAWA!$AD$46</f>
        <v/>
      </c>
      <c r="HE31" s="324" t="str">
        <f>WSJAWA!$AD$54</f>
        <v/>
      </c>
      <c r="HF31" s="324" t="str">
        <f>WSJAWA!$AD$62</f>
        <v/>
      </c>
      <c r="HG31" s="324" t="str">
        <f>WSJAWA!$AD$70</f>
        <v/>
      </c>
      <c r="HH31" s="324" t="str">
        <f>WSJAWA!$AD$78</f>
        <v/>
      </c>
      <c r="HI31" s="324" t="str">
        <f>WSJAWA!$AD$86</f>
        <v/>
      </c>
      <c r="HJ31" s="324" t="str">
        <f>WSJAWA!$AD$94</f>
        <v/>
      </c>
      <c r="HK31" s="324" t="str">
        <f>WSJAWA!$AD$102</f>
        <v/>
      </c>
      <c r="HL31" s="76"/>
      <c r="HM31" s="76"/>
      <c r="HN31" s="76"/>
      <c r="HO31" s="76"/>
      <c r="HP31" s="324" t="str">
        <f>WSING!$AD$6</f>
        <v/>
      </c>
      <c r="HQ31" s="324" t="str">
        <f>WSING!$AD$15</f>
        <v/>
      </c>
      <c r="HR31" s="324" t="str">
        <f>WSING!$AD$24</f>
        <v/>
      </c>
      <c r="HS31" s="324" t="str">
        <f>WSING!$AD$33</f>
        <v/>
      </c>
      <c r="HT31" s="324" t="str">
        <f>WSING!$AD$42</f>
        <v/>
      </c>
      <c r="HU31" s="324" t="str">
        <f>WSING!$AD$50</f>
        <v/>
      </c>
      <c r="HV31" s="324" t="str">
        <f>WSING!$AD$58</f>
        <v/>
      </c>
      <c r="HW31" s="324" t="str">
        <f>WSING!$AD$66</f>
        <v/>
      </c>
      <c r="HX31" s="324" t="str">
        <f>WSING!$AD$74</f>
        <v/>
      </c>
      <c r="HY31" s="324" t="str">
        <f>WSING!$AD$82</f>
        <v/>
      </c>
      <c r="HZ31" s="324" t="str">
        <f>WSING!$AD$90</f>
        <v/>
      </c>
      <c r="IA31" s="324" t="str">
        <f>WSING!$AD$98</f>
        <v/>
      </c>
      <c r="IB31" s="324" t="str">
        <f>WSING!$AD$106</f>
        <v/>
      </c>
      <c r="IC31" s="76"/>
      <c r="ID31" s="76"/>
      <c r="IE31" s="76"/>
      <c r="IF31" s="76"/>
      <c r="IG31" s="324" t="str">
        <f>WSTIK!$AD$6</f>
        <v/>
      </c>
      <c r="IH31" s="324" t="str">
        <f>WSTIK!$AD$14</f>
        <v/>
      </c>
      <c r="II31" s="324" t="str">
        <f>WSTIK!$AD$22</f>
        <v/>
      </c>
      <c r="IJ31" s="324" t="str">
        <f>WSTIK!$AD$30</f>
        <v/>
      </c>
      <c r="IK31" s="324" t="str">
        <f>WSTIK!$AD$38</f>
        <v/>
      </c>
      <c r="IL31" s="324" t="str">
        <f>WSTIK!$AD$46</f>
        <v/>
      </c>
      <c r="IM31" s="324" t="str">
        <f>WSTIK!$AD$54</f>
        <v/>
      </c>
      <c r="IN31" s="324" t="str">
        <f>WSTIK!$AD$62</f>
        <v/>
      </c>
      <c r="IO31" s="324" t="str">
        <f>WSTIK!$AD$70</f>
        <v/>
      </c>
      <c r="IP31" s="324" t="str">
        <f>WSTIK!$AD$78</f>
        <v/>
      </c>
      <c r="IQ31" s="324" t="str">
        <f>WSTIK!$AD$86</f>
        <v/>
      </c>
      <c r="IR31" s="324" t="str">
        <f>WSTIK!$AD$94</f>
        <v/>
      </c>
      <c r="IS31" s="324" t="str">
        <f>WSTIK!$AD$102</f>
        <v/>
      </c>
      <c r="IT31" s="76"/>
      <c r="IU31" s="76"/>
      <c r="IV31" s="76"/>
      <c r="IW31" s="76"/>
      <c r="IX31" s="324" t="str">
        <f>WSASWAJA!$AD$6</f>
        <v/>
      </c>
      <c r="IY31" s="324" t="str">
        <f>WSASWAJA!$AD$14</f>
        <v/>
      </c>
      <c r="IZ31" s="324" t="str">
        <f>WSASWAJA!$AD$22</f>
        <v/>
      </c>
      <c r="JA31" s="324" t="str">
        <f>WSASWAJA!$AD$30</f>
        <v/>
      </c>
      <c r="JB31" s="324" t="str">
        <f>WSASWAJA!$AD$38</f>
        <v/>
      </c>
      <c r="JC31" s="324" t="str">
        <f>WSASWAJA!$AD$46</f>
        <v/>
      </c>
      <c r="JD31" s="324" t="str">
        <f>WSASWAJA!$AD$54</f>
        <v/>
      </c>
      <c r="JE31" s="324" t="str">
        <f>WSASWAJA!$AD$62</f>
        <v/>
      </c>
      <c r="JF31" s="324" t="str">
        <f>WSASWAJA!$AD$70</f>
        <v/>
      </c>
      <c r="JG31" s="324" t="str">
        <f>WSASWAJA!$AD$78</f>
        <v/>
      </c>
      <c r="JH31" s="324" t="str">
        <f>WSASWAJA!$AD$86</f>
        <v/>
      </c>
      <c r="JI31" s="324" t="str">
        <f>WSASWAJA!$AD$94</f>
        <v/>
      </c>
      <c r="JJ31" s="324" t="str">
        <f>WSASWAJA!$AD$102</f>
        <v/>
      </c>
      <c r="JK31" s="76"/>
      <c r="JL31" s="76"/>
      <c r="JM31" s="76"/>
      <c r="JN31" s="76"/>
    </row>
    <row r="32" spans="1:274">
      <c r="A32" s="76"/>
      <c r="B32" s="76">
        <v>27</v>
      </c>
      <c r="C32" s="324" t="str">
        <f>WSALQURAN!$AE$6</f>
        <v/>
      </c>
      <c r="D32" s="324" t="str">
        <f>WSALQURAN!$AE$14</f>
        <v/>
      </c>
      <c r="E32" s="324" t="str">
        <f>WSALQURAN!$AE$22</f>
        <v/>
      </c>
      <c r="F32" s="324" t="str">
        <f>WSALQURAN!$AE$30</f>
        <v/>
      </c>
      <c r="G32" s="324" t="str">
        <f>WSALQURAN!$AE$38</f>
        <v/>
      </c>
      <c r="H32" s="324" t="str">
        <f>WSALQURAN!$AE$46</f>
        <v/>
      </c>
      <c r="I32" s="324" t="str">
        <f>WSALQURAN!$AE$54</f>
        <v/>
      </c>
      <c r="J32" s="324" t="str">
        <f>WSALQURAN!$AE$62</f>
        <v/>
      </c>
      <c r="K32" s="324" t="str">
        <f>WSALQURAN!$AE$70</f>
        <v/>
      </c>
      <c r="L32" s="324" t="str">
        <f>WSALQURAN!$AE$78</f>
        <v/>
      </c>
      <c r="M32" s="324" t="str">
        <f>WSALQURAN!$AE$86</f>
        <v/>
      </c>
      <c r="N32" s="324" t="str">
        <f>WSALQURAN!$AE$94</f>
        <v/>
      </c>
      <c r="O32" s="324" t="str">
        <f>WSALQURAN!$AE$102</f>
        <v/>
      </c>
      <c r="P32" s="76"/>
      <c r="Q32" s="76"/>
      <c r="R32" s="76"/>
      <c r="S32" s="76"/>
      <c r="T32" s="324" t="str">
        <f>WSAQIDAH!$AE$6</f>
        <v/>
      </c>
      <c r="U32" s="324" t="str">
        <f>WSAQIDAH!$AE$14</f>
        <v/>
      </c>
      <c r="V32" s="324" t="str">
        <f>WSAQIDAH!$AE$22</f>
        <v/>
      </c>
      <c r="W32" s="324" t="str">
        <f>WSAQIDAH!$AE$30</f>
        <v/>
      </c>
      <c r="X32" s="324" t="str">
        <f>WSAQIDAH!$AE$38</f>
        <v/>
      </c>
      <c r="Y32" s="324" t="str">
        <f>WSAQIDAH!$AE$46</f>
        <v/>
      </c>
      <c r="Z32" s="324" t="str">
        <f>WSAQIDAH!$AE$54</f>
        <v/>
      </c>
      <c r="AA32" s="324" t="str">
        <f>WSAQIDAH!$AE$62</f>
        <v/>
      </c>
      <c r="AB32" s="324" t="str">
        <f>WSAQIDAH!$AE$70</f>
        <v/>
      </c>
      <c r="AC32" s="324" t="str">
        <f>WSAQIDAH!$AE$78</f>
        <v/>
      </c>
      <c r="AD32" s="324" t="str">
        <f>WSAQIDAH!$AE$86</f>
        <v/>
      </c>
      <c r="AE32" s="324" t="str">
        <f>WSAQIDAH!$AE$94</f>
        <v/>
      </c>
      <c r="AF32" s="324" t="str">
        <f>WSAQIDAH!$AE$102</f>
        <v/>
      </c>
      <c r="AG32" s="76"/>
      <c r="AH32" s="76"/>
      <c r="AI32" s="76"/>
      <c r="AJ32" s="76"/>
      <c r="AK32" s="324" t="str">
        <f>WSSKI!$AE$6</f>
        <v/>
      </c>
      <c r="AL32" s="324" t="str">
        <f>WSSKI!$AE$14</f>
        <v/>
      </c>
      <c r="AM32" s="324" t="str">
        <f>WSSKI!$AE$23</f>
        <v/>
      </c>
      <c r="AN32" s="324" t="str">
        <f>WSSKI!$AE$31</f>
        <v/>
      </c>
      <c r="AO32" s="324" t="str">
        <f>WSSKI!$AE$40</f>
        <v/>
      </c>
      <c r="AP32" s="324" t="str">
        <f>WSSKI!$AE$48</f>
        <v/>
      </c>
      <c r="AQ32" s="324" t="str">
        <f>WSSKI!$AE$56</f>
        <v/>
      </c>
      <c r="AR32" s="324" t="str">
        <f>WSSKI!$AE$64</f>
        <v/>
      </c>
      <c r="AS32" s="324" t="str">
        <f>WSSKI!$AE$72</f>
        <v/>
      </c>
      <c r="AT32" s="324" t="str">
        <f>WSSKI!$AE$80</f>
        <v/>
      </c>
      <c r="AU32" s="324" t="str">
        <f>WSSKI!$AE$88</f>
        <v/>
      </c>
      <c r="AV32" s="324" t="str">
        <f>WSSKI!$AE$96</f>
        <v/>
      </c>
      <c r="AW32" s="324" t="str">
        <f>WSSKI!$AE$104</f>
        <v/>
      </c>
      <c r="AX32" s="76"/>
      <c r="AY32" s="76"/>
      <c r="AZ32" s="76"/>
      <c r="BA32" s="76"/>
      <c r="BB32" s="324" t="str">
        <f>WSFIQIH!$AE$6</f>
        <v/>
      </c>
      <c r="BC32" s="324" t="str">
        <f>WSFIQIH!$AE$19</f>
        <v/>
      </c>
      <c r="BD32" s="324" t="str">
        <f>WSFIQIH!$AE$28</f>
        <v/>
      </c>
      <c r="BE32" s="324" t="str">
        <f>WSFIQIH!$AE$41</f>
        <v/>
      </c>
      <c r="BF32" s="324" t="str">
        <f>WSFIQIH!$AE$49</f>
        <v/>
      </c>
      <c r="BG32" s="324" t="str">
        <f>WSFIQIH!$AE$62</f>
        <v/>
      </c>
      <c r="BH32" s="324" t="str">
        <f>WSFIQIH!$AE$71</f>
        <v/>
      </c>
      <c r="BI32" s="324" t="str">
        <f>WSFIQIH!$AE$80</f>
        <v/>
      </c>
      <c r="BJ32" s="324" t="str">
        <f>WSFIQIH!$AE$88</f>
        <v/>
      </c>
      <c r="BK32" s="324" t="str">
        <f>WSFIQIH!$AE$96</f>
        <v/>
      </c>
      <c r="BL32" s="324" t="str">
        <f>WSFIQIH!$AE$104</f>
        <v/>
      </c>
      <c r="BM32" s="324" t="str">
        <f>WSFIQIH!$AE$112</f>
        <v/>
      </c>
      <c r="BN32" s="324" t="str">
        <f>WSFIQIH!$AE$120</f>
        <v/>
      </c>
      <c r="BO32" s="76"/>
      <c r="BP32" s="76"/>
      <c r="BQ32" s="76"/>
      <c r="BR32" s="76"/>
      <c r="BS32" s="324" t="str">
        <f>WSPKN!$AE$6</f>
        <v/>
      </c>
      <c r="BT32" s="324" t="str">
        <f>WSPKN!$AE$32</f>
        <v/>
      </c>
      <c r="BU32" s="324" t="str">
        <f>WSPKN!$AE$55</f>
        <v/>
      </c>
      <c r="BV32" s="324" t="str">
        <f>WSPKN!$AE$72</f>
        <v/>
      </c>
      <c r="BW32" s="324" t="str">
        <f>WSPKN!$AE$86</f>
        <v/>
      </c>
      <c r="BX32" s="324" t="str">
        <f>WSPKN!$AE$108</f>
        <v/>
      </c>
      <c r="BY32" s="324" t="str">
        <f>WSPKN!$AE$132</f>
        <v/>
      </c>
      <c r="BZ32" s="324" t="str">
        <f>WSPKN!$AE$148</f>
        <v/>
      </c>
      <c r="CA32" s="324" t="str">
        <f>WSPKN!$AE$165</f>
        <v/>
      </c>
      <c r="CB32" s="324" t="str">
        <f>WSPKN!$AE$173</f>
        <v/>
      </c>
      <c r="CC32" s="324" t="str">
        <f>WSPKN!$AE$181</f>
        <v/>
      </c>
      <c r="CD32" s="324" t="str">
        <f>WSPKN!$AE$189</f>
        <v/>
      </c>
      <c r="CE32" s="324" t="str">
        <f>WSPKN!$AE$197</f>
        <v/>
      </c>
      <c r="CF32" s="76"/>
      <c r="CG32" s="76"/>
      <c r="CH32" s="76"/>
      <c r="CI32" s="76"/>
      <c r="CJ32" s="324" t="str">
        <f>WSIND!$AE$6</f>
        <v/>
      </c>
      <c r="CK32" s="324" t="str">
        <f>WSIND!$AE$65</f>
        <v/>
      </c>
      <c r="CL32" s="324" t="str">
        <f>WSIND!$AE$113</f>
        <v/>
      </c>
      <c r="CM32" s="324" t="str">
        <f>WSIND!$AE$133</f>
        <v/>
      </c>
      <c r="CN32" s="324" t="str">
        <f>WSIND!$AE$161</f>
        <v/>
      </c>
      <c r="CO32" s="324" t="str">
        <f>WSIND!$AE$192</f>
        <v/>
      </c>
      <c r="CP32" s="324" t="str">
        <f>WSIND!$AE$228</f>
        <v/>
      </c>
      <c r="CQ32" s="324" t="str">
        <f>WSIND!$AE$256</f>
        <v/>
      </c>
      <c r="CR32" s="324" t="str">
        <f>WSIND!$AE$277</f>
        <v/>
      </c>
      <c r="CS32" s="324" t="str">
        <f>WSIND!$AE$305</f>
        <v/>
      </c>
      <c r="CT32" s="324" t="str">
        <f>WSIND!$AE$329</f>
        <v/>
      </c>
      <c r="CU32" s="324" t="str">
        <f>WSIND!$AE$337</f>
        <v/>
      </c>
      <c r="CV32" s="324" t="str">
        <f>WSIND!$AE$345</f>
        <v/>
      </c>
      <c r="CW32" s="76"/>
      <c r="CX32" s="76"/>
      <c r="CY32" s="76"/>
      <c r="CZ32" s="76"/>
      <c r="DA32" s="324" t="str">
        <f>WSARAB!$AE$6</f>
        <v/>
      </c>
      <c r="DB32" s="324" t="str">
        <f>WSARAB!$AE$17</f>
        <v/>
      </c>
      <c r="DC32" s="324" t="str">
        <f>WSARAB!$AE$29</f>
        <v/>
      </c>
      <c r="DD32" s="324" t="str">
        <f>WSARAB!$AE$37</f>
        <v/>
      </c>
      <c r="DE32" s="324" t="str">
        <f>WSARAB!$AE$45</f>
        <v/>
      </c>
      <c r="DF32" s="324" t="str">
        <f>WSARAB!$AE$53</f>
        <v/>
      </c>
      <c r="DG32" s="324" t="str">
        <f>WSARAB!$AE$65</f>
        <v/>
      </c>
      <c r="DH32" s="324" t="str">
        <f>WSARAB!$AE$73</f>
        <v/>
      </c>
      <c r="DI32" s="324" t="str">
        <f>WSARAB!$AE$81</f>
        <v/>
      </c>
      <c r="DJ32" s="324" t="str">
        <f>WSARAB!$AE$89</f>
        <v/>
      </c>
      <c r="DK32" s="324" t="str">
        <f>WSARAB!$AE$97</f>
        <v/>
      </c>
      <c r="DL32" s="324" t="str">
        <f>WSARAB!$AE$105</f>
        <v/>
      </c>
      <c r="DM32" s="324" t="str">
        <f>WSARAB!$AE$113</f>
        <v/>
      </c>
      <c r="DN32" s="76"/>
      <c r="DO32" s="76"/>
      <c r="DP32" s="76"/>
      <c r="DQ32" s="76"/>
      <c r="DR32" s="324" t="str">
        <f>WSMTK!$AE$6</f>
        <v/>
      </c>
      <c r="DS32" s="324" t="str">
        <f>WSMTK!$AE$22</f>
        <v/>
      </c>
      <c r="DT32" s="324" t="str">
        <f>WSMTK!$AE$35</f>
        <v/>
      </c>
      <c r="DU32" s="324" t="str">
        <f>WSMTK!$AE$69</f>
        <v/>
      </c>
      <c r="DV32" s="324" t="str">
        <f>WSMTK!$AE$87</f>
        <v/>
      </c>
      <c r="DW32" s="324" t="str">
        <f>WSMTK!$AE$99</f>
        <v/>
      </c>
      <c r="DX32" s="324" t="str">
        <f>WSMTK!$AE$113</f>
        <v/>
      </c>
      <c r="DY32" s="324" t="str">
        <f>WSMTK!$AE$145</f>
        <v/>
      </c>
      <c r="DZ32" s="324" t="str">
        <f>WSMTK!$AE$168</f>
        <v/>
      </c>
      <c r="EA32" s="324" t="str">
        <f>WSMTK!$AE$176</f>
        <v/>
      </c>
      <c r="EB32" s="324" t="str">
        <f>WSMTK!$AE$184</f>
        <v/>
      </c>
      <c r="EC32" s="324" t="str">
        <f>WSMTK!$AE$192</f>
        <v/>
      </c>
      <c r="ED32" s="324" t="str">
        <f>WSMTK!$AE$200</f>
        <v/>
      </c>
      <c r="EE32" s="76"/>
      <c r="EF32" s="76"/>
      <c r="EG32" s="76"/>
      <c r="EH32" s="76"/>
      <c r="EI32" s="324" t="str">
        <f>WSIPA!$AE$6</f>
        <v/>
      </c>
      <c r="EJ32" s="324" t="str">
        <f>WSIPA!$AE$14</f>
        <v/>
      </c>
      <c r="EK32" s="324" t="str">
        <f>WSIPA!$AE$22</f>
        <v/>
      </c>
      <c r="EL32" s="324" t="str">
        <f>WSIPA!$AE$30</f>
        <v/>
      </c>
      <c r="EM32" s="324" t="str">
        <f>WSIPA!$AE$38</f>
        <v/>
      </c>
      <c r="EN32" s="324" t="str">
        <f>WSIPA!$AE$46</f>
        <v/>
      </c>
      <c r="EO32" s="324" t="str">
        <f>WSIPA!$AE$54</f>
        <v/>
      </c>
      <c r="EP32" s="324" t="str">
        <f>WSIPA!$AE$62</f>
        <v/>
      </c>
      <c r="EQ32" s="324" t="str">
        <f>WSIPA!$AE$70</f>
        <v/>
      </c>
      <c r="ER32" s="324" t="str">
        <f>WSIPA!$AE$78</f>
        <v/>
      </c>
      <c r="ES32" s="324" t="str">
        <f>WSIPA!$AE$86</f>
        <v/>
      </c>
      <c r="ET32" s="324" t="str">
        <f>WSIPA!$AE$94</f>
        <v/>
      </c>
      <c r="EU32" s="324" t="str">
        <f>WSIPA!$AE$102</f>
        <v/>
      </c>
      <c r="EV32" s="76"/>
      <c r="EW32" s="76"/>
      <c r="EX32" s="76"/>
      <c r="EY32" s="76"/>
      <c r="EZ32" s="324" t="str">
        <f>WSIPS!$AE$6</f>
        <v/>
      </c>
      <c r="FA32" s="324" t="str">
        <f>WSIPS!$AE$14</f>
        <v/>
      </c>
      <c r="FB32" s="324" t="str">
        <f>WSIPS!$AE$22</f>
        <v/>
      </c>
      <c r="FC32" s="324" t="str">
        <f>WSIPS!$AE$30</f>
        <v/>
      </c>
      <c r="FD32" s="324" t="str">
        <f>WSIPS!$AE$38</f>
        <v/>
      </c>
      <c r="FE32" s="324" t="str">
        <f>WSIPS!$AE$46</f>
        <v/>
      </c>
      <c r="FF32" s="324" t="str">
        <f>WSIPS!$AE$54</f>
        <v/>
      </c>
      <c r="FG32" s="324" t="str">
        <f>WSIPS!$AE$62</f>
        <v/>
      </c>
      <c r="FH32" s="324" t="str">
        <f>WSIPS!$AE$70</f>
        <v/>
      </c>
      <c r="FI32" s="324" t="str">
        <f>WSIPS!$AE$78</f>
        <v/>
      </c>
      <c r="FJ32" s="324" t="str">
        <f>WSIPS!$AE$86</f>
        <v/>
      </c>
      <c r="FK32" s="324" t="str">
        <f>WSIPS!$AE$94</f>
        <v/>
      </c>
      <c r="FL32" s="324" t="str">
        <f>WSIPS!$AE$102</f>
        <v/>
      </c>
      <c r="FM32" s="76"/>
      <c r="FN32" s="76"/>
      <c r="FO32" s="76"/>
      <c r="FP32" s="76"/>
      <c r="FQ32" s="324" t="str">
        <f>WSSBK!$AE$6</f>
        <v/>
      </c>
      <c r="FR32" s="324" t="str">
        <f>WSSBK!$AE$16</f>
        <v/>
      </c>
      <c r="FS32" s="324" t="str">
        <f>WSSBK!$AE$26</f>
        <v/>
      </c>
      <c r="FT32" s="324" t="str">
        <f>WSSBK!$AE$36</f>
        <v/>
      </c>
      <c r="FU32" s="324" t="str">
        <f>WSSBK!$AE$46</f>
        <v/>
      </c>
      <c r="FV32" s="324" t="str">
        <f>WSSBK!$AE$58</f>
        <v/>
      </c>
      <c r="FW32" s="324" t="str">
        <f>WSSBK!$AE$68</f>
        <v/>
      </c>
      <c r="FX32" s="324" t="str">
        <f>WSSBK!$AE$77</f>
        <v/>
      </c>
      <c r="FY32" s="324" t="str">
        <f>WSSBK!$AE$87</f>
        <v/>
      </c>
      <c r="FZ32" s="324" t="str">
        <f>WSSBK!$AE$95</f>
        <v/>
      </c>
      <c r="GA32" s="324" t="str">
        <f>WSSBK!$AE$103</f>
        <v/>
      </c>
      <c r="GB32" s="324" t="str">
        <f>WSSBK!$AE$111</f>
        <v/>
      </c>
      <c r="GC32" s="324" t="str">
        <f>WSSBK!$AE$119</f>
        <v/>
      </c>
      <c r="GD32" s="76"/>
      <c r="GE32" s="76"/>
      <c r="GF32" s="76"/>
      <c r="GG32" s="76"/>
      <c r="GH32" s="334">
        <f>WSPENJAS!$AE$6</f>
        <v>0</v>
      </c>
      <c r="GI32" s="334">
        <f>WSPENJAS!$AE$7</f>
        <v>0</v>
      </c>
      <c r="GJ32" s="334">
        <f>WSPENJAS!$AE$8</f>
        <v>0</v>
      </c>
      <c r="GK32" s="334">
        <f>WSPENJAS!$AE$9</f>
        <v>0</v>
      </c>
      <c r="GL32" s="334">
        <f>WSPENJAS!$AE$10</f>
        <v>0</v>
      </c>
      <c r="GM32" s="334">
        <f>WSPENJAS!$AE$11</f>
        <v>0</v>
      </c>
      <c r="GN32" s="334">
        <f>WSPENJAS!$AE$12</f>
        <v>0</v>
      </c>
      <c r="GO32" s="334">
        <f>WSPENJAS!$AE$13</f>
        <v>0</v>
      </c>
      <c r="GP32" s="334">
        <f>WSPENJAS!$AE$14</f>
        <v>0</v>
      </c>
      <c r="GQ32" s="334">
        <f>WSPENJAS!$AE$15</f>
        <v>0</v>
      </c>
      <c r="GR32" s="334">
        <f>WSPENJAS!$AE$16</f>
        <v>0</v>
      </c>
      <c r="GS32" s="334">
        <f>WSPENJAS!$AE$17</f>
        <v>0</v>
      </c>
      <c r="GT32" s="334">
        <f>WSPENJAS!$AE$18</f>
        <v>0</v>
      </c>
      <c r="GU32" s="334">
        <f>WSPENJAS!$AE$19</f>
        <v>0</v>
      </c>
      <c r="GV32" s="334">
        <f>WSPENJAS!$AE$20</f>
        <v>0</v>
      </c>
      <c r="GW32" s="334">
        <f>WSPENJAS!$AE$21</f>
        <v>0</v>
      </c>
      <c r="GX32" s="76"/>
      <c r="GY32" s="324" t="str">
        <f>WSJAWA!$AE$6</f>
        <v/>
      </c>
      <c r="GZ32" s="324" t="str">
        <f>WSJAWA!$AE$14</f>
        <v/>
      </c>
      <c r="HA32" s="324" t="str">
        <f>WSJAWA!$AE$22</f>
        <v/>
      </c>
      <c r="HB32" s="324" t="str">
        <f>WSJAWA!$AE$30</f>
        <v/>
      </c>
      <c r="HC32" s="324" t="str">
        <f>WSJAWA!$AE$38</f>
        <v/>
      </c>
      <c r="HD32" s="324" t="str">
        <f>WSJAWA!$AE$46</f>
        <v/>
      </c>
      <c r="HE32" s="324" t="str">
        <f>WSJAWA!$AE$54</f>
        <v/>
      </c>
      <c r="HF32" s="324" t="str">
        <f>WSJAWA!$AE$62</f>
        <v/>
      </c>
      <c r="HG32" s="324" t="str">
        <f>WSJAWA!$AE$70</f>
        <v/>
      </c>
      <c r="HH32" s="324" t="str">
        <f>WSJAWA!$AE$78</f>
        <v/>
      </c>
      <c r="HI32" s="324" t="str">
        <f>WSJAWA!$AE$86</f>
        <v/>
      </c>
      <c r="HJ32" s="324" t="str">
        <f>WSJAWA!$AE$94</f>
        <v/>
      </c>
      <c r="HK32" s="324" t="str">
        <f>WSJAWA!$AE$102</f>
        <v/>
      </c>
      <c r="HL32" s="76"/>
      <c r="HM32" s="76"/>
      <c r="HN32" s="76"/>
      <c r="HO32" s="76"/>
      <c r="HP32" s="324" t="str">
        <f>WSING!$AE$6</f>
        <v/>
      </c>
      <c r="HQ32" s="324" t="str">
        <f>WSING!$AE$15</f>
        <v/>
      </c>
      <c r="HR32" s="324" t="str">
        <f>WSING!$AE$24</f>
        <v/>
      </c>
      <c r="HS32" s="324" t="str">
        <f>WSING!$AE$33</f>
        <v/>
      </c>
      <c r="HT32" s="324" t="str">
        <f>WSING!$AE$42</f>
        <v/>
      </c>
      <c r="HU32" s="324" t="str">
        <f>WSING!$AE$50</f>
        <v/>
      </c>
      <c r="HV32" s="324" t="str">
        <f>WSING!$AE$58</f>
        <v/>
      </c>
      <c r="HW32" s="324" t="str">
        <f>WSING!$AE$66</f>
        <v/>
      </c>
      <c r="HX32" s="324" t="str">
        <f>WSING!$AE$74</f>
        <v/>
      </c>
      <c r="HY32" s="324" t="str">
        <f>WSING!$AE$82</f>
        <v/>
      </c>
      <c r="HZ32" s="324" t="str">
        <f>WSING!$AE$90</f>
        <v/>
      </c>
      <c r="IA32" s="324" t="str">
        <f>WSING!$AE$98</f>
        <v/>
      </c>
      <c r="IB32" s="324" t="str">
        <f>WSING!$AE$106</f>
        <v/>
      </c>
      <c r="IC32" s="76"/>
      <c r="ID32" s="76"/>
      <c r="IE32" s="76"/>
      <c r="IF32" s="76"/>
      <c r="IG32" s="324" t="str">
        <f>WSTIK!$AE$6</f>
        <v/>
      </c>
      <c r="IH32" s="324" t="str">
        <f>WSTIK!$AE$14</f>
        <v/>
      </c>
      <c r="II32" s="324" t="str">
        <f>WSTIK!$AE$22</f>
        <v/>
      </c>
      <c r="IJ32" s="324" t="str">
        <f>WSTIK!$AE$30</f>
        <v/>
      </c>
      <c r="IK32" s="324" t="str">
        <f>WSTIK!$AE$38</f>
        <v/>
      </c>
      <c r="IL32" s="324" t="str">
        <f>WSTIK!$AE$46</f>
        <v/>
      </c>
      <c r="IM32" s="324" t="str">
        <f>WSTIK!$AE$54</f>
        <v/>
      </c>
      <c r="IN32" s="324" t="str">
        <f>WSTIK!$AE$62</f>
        <v/>
      </c>
      <c r="IO32" s="324" t="str">
        <f>WSTIK!$AE$70</f>
        <v/>
      </c>
      <c r="IP32" s="324" t="str">
        <f>WSTIK!$AE$78</f>
        <v/>
      </c>
      <c r="IQ32" s="324" t="str">
        <f>WSTIK!$AE$86</f>
        <v/>
      </c>
      <c r="IR32" s="324" t="str">
        <f>WSTIK!$AE$94</f>
        <v/>
      </c>
      <c r="IS32" s="324" t="str">
        <f>WSTIK!$AE$102</f>
        <v/>
      </c>
      <c r="IT32" s="76"/>
      <c r="IU32" s="76"/>
      <c r="IV32" s="76"/>
      <c r="IW32" s="76"/>
      <c r="IX32" s="324" t="str">
        <f>WSASWAJA!$AE$6</f>
        <v/>
      </c>
      <c r="IY32" s="324" t="str">
        <f>WSASWAJA!$AE$14</f>
        <v/>
      </c>
      <c r="IZ32" s="324" t="str">
        <f>WSASWAJA!$AE$22</f>
        <v/>
      </c>
      <c r="JA32" s="324" t="str">
        <f>WSASWAJA!$AE$30</f>
        <v/>
      </c>
      <c r="JB32" s="324" t="str">
        <f>WSASWAJA!$AE$38</f>
        <v/>
      </c>
      <c r="JC32" s="324" t="str">
        <f>WSASWAJA!$AE$46</f>
        <v/>
      </c>
      <c r="JD32" s="324" t="str">
        <f>WSASWAJA!$AE$54</f>
        <v/>
      </c>
      <c r="JE32" s="324" t="str">
        <f>WSASWAJA!$AE$62</f>
        <v/>
      </c>
      <c r="JF32" s="324" t="str">
        <f>WSASWAJA!$AE$70</f>
        <v/>
      </c>
      <c r="JG32" s="324" t="str">
        <f>WSASWAJA!$AE$78</f>
        <v/>
      </c>
      <c r="JH32" s="324" t="str">
        <f>WSASWAJA!$AE$86</f>
        <v/>
      </c>
      <c r="JI32" s="324" t="str">
        <f>WSASWAJA!$AE$94</f>
        <v/>
      </c>
      <c r="JJ32" s="324" t="str">
        <f>WSASWAJA!$AE$102</f>
        <v/>
      </c>
      <c r="JK32" s="76"/>
      <c r="JL32" s="76"/>
      <c r="JM32" s="76"/>
      <c r="JN32" s="76"/>
    </row>
    <row r="33" spans="1:274">
      <c r="A33" s="76"/>
      <c r="B33" s="76">
        <v>28</v>
      </c>
      <c r="C33" s="324" t="str">
        <f>WSALQURAN!$AF$6</f>
        <v/>
      </c>
      <c r="D33" s="324" t="str">
        <f>WSALQURAN!$AF$14</f>
        <v/>
      </c>
      <c r="E33" s="324" t="str">
        <f>WSALQURAN!$AF$22</f>
        <v/>
      </c>
      <c r="F33" s="324" t="str">
        <f>WSALQURAN!$AF$30</f>
        <v/>
      </c>
      <c r="G33" s="324" t="str">
        <f>WSALQURAN!$AF$38</f>
        <v/>
      </c>
      <c r="H33" s="324" t="str">
        <f>WSALQURAN!$AF$46</f>
        <v/>
      </c>
      <c r="I33" s="324" t="str">
        <f>WSALQURAN!$AF$54</f>
        <v/>
      </c>
      <c r="J33" s="324" t="str">
        <f>WSALQURAN!$AF$62</f>
        <v/>
      </c>
      <c r="K33" s="324" t="str">
        <f>WSALQURAN!$AF$70</f>
        <v/>
      </c>
      <c r="L33" s="324" t="str">
        <f>WSALQURAN!$AF$78</f>
        <v/>
      </c>
      <c r="M33" s="324" t="str">
        <f>WSALQURAN!$AF$86</f>
        <v/>
      </c>
      <c r="N33" s="324" t="str">
        <f>WSALQURAN!$AF$94</f>
        <v/>
      </c>
      <c r="O33" s="324" t="str">
        <f>WSALQURAN!$AF$102</f>
        <v/>
      </c>
      <c r="P33" s="76"/>
      <c r="Q33" s="76"/>
      <c r="R33" s="76"/>
      <c r="S33" s="76"/>
      <c r="T33" s="324" t="str">
        <f>WSAQIDAH!$AF$6</f>
        <v/>
      </c>
      <c r="U33" s="324" t="str">
        <f>WSAQIDAH!$AF$14</f>
        <v/>
      </c>
      <c r="V33" s="324" t="str">
        <f>WSAQIDAH!$AF$22</f>
        <v/>
      </c>
      <c r="W33" s="324" t="str">
        <f>WSAQIDAH!$AF$30</f>
        <v/>
      </c>
      <c r="X33" s="324" t="str">
        <f>WSAQIDAH!$AF$38</f>
        <v/>
      </c>
      <c r="Y33" s="324" t="str">
        <f>WSAQIDAH!$AF$46</f>
        <v/>
      </c>
      <c r="Z33" s="324" t="str">
        <f>WSAQIDAH!$AF$54</f>
        <v/>
      </c>
      <c r="AA33" s="324" t="str">
        <f>WSAQIDAH!$AF$62</f>
        <v/>
      </c>
      <c r="AB33" s="324" t="str">
        <f>WSAQIDAH!$AF$70</f>
        <v/>
      </c>
      <c r="AC33" s="324" t="str">
        <f>WSAQIDAH!$AF$78</f>
        <v/>
      </c>
      <c r="AD33" s="324" t="str">
        <f>WSAQIDAH!$AF$86</f>
        <v/>
      </c>
      <c r="AE33" s="324" t="str">
        <f>WSAQIDAH!$AF$94</f>
        <v/>
      </c>
      <c r="AF33" s="324" t="str">
        <f>WSAQIDAH!$AF$102</f>
        <v/>
      </c>
      <c r="AG33" s="76"/>
      <c r="AH33" s="76"/>
      <c r="AI33" s="76"/>
      <c r="AJ33" s="76"/>
      <c r="AK33" s="324" t="str">
        <f>WSSKI!$AF$6</f>
        <v/>
      </c>
      <c r="AL33" s="324" t="str">
        <f>WSSKI!$AF$14</f>
        <v/>
      </c>
      <c r="AM33" s="324" t="str">
        <f>WSSKI!$AF$23</f>
        <v/>
      </c>
      <c r="AN33" s="324" t="str">
        <f>WSSKI!$AF$31</f>
        <v/>
      </c>
      <c r="AO33" s="324" t="str">
        <f>WSSKI!$AF$40</f>
        <v/>
      </c>
      <c r="AP33" s="324" t="str">
        <f>WSSKI!$AF$48</f>
        <v/>
      </c>
      <c r="AQ33" s="324" t="str">
        <f>WSSKI!$AF$56</f>
        <v/>
      </c>
      <c r="AR33" s="324" t="str">
        <f>WSSKI!$AF$64</f>
        <v/>
      </c>
      <c r="AS33" s="324" t="str">
        <f>WSSKI!$AF$72</f>
        <v/>
      </c>
      <c r="AT33" s="324" t="str">
        <f>WSSKI!$AF$80</f>
        <v/>
      </c>
      <c r="AU33" s="324" t="str">
        <f>WSSKI!$AF$88</f>
        <v/>
      </c>
      <c r="AV33" s="324" t="str">
        <f>WSSKI!$AF$96</f>
        <v/>
      </c>
      <c r="AW33" s="324" t="str">
        <f>WSSKI!$AF$104</f>
        <v/>
      </c>
      <c r="AX33" s="76"/>
      <c r="AY33" s="76"/>
      <c r="AZ33" s="76"/>
      <c r="BA33" s="76"/>
      <c r="BB33" s="324" t="str">
        <f>WSFIQIH!$AF$6</f>
        <v/>
      </c>
      <c r="BC33" s="324" t="str">
        <f>WSFIQIH!$AF$19</f>
        <v/>
      </c>
      <c r="BD33" s="324" t="str">
        <f>WSFIQIH!$AF$28</f>
        <v/>
      </c>
      <c r="BE33" s="324" t="str">
        <f>WSFIQIH!$AF$41</f>
        <v/>
      </c>
      <c r="BF33" s="324" t="str">
        <f>WSFIQIH!$AF$49</f>
        <v/>
      </c>
      <c r="BG33" s="324" t="str">
        <f>WSFIQIH!$AF$62</f>
        <v/>
      </c>
      <c r="BH33" s="324" t="str">
        <f>WSFIQIH!$AF$71</f>
        <v/>
      </c>
      <c r="BI33" s="324" t="str">
        <f>WSFIQIH!$AF$80</f>
        <v/>
      </c>
      <c r="BJ33" s="324" t="str">
        <f>WSFIQIH!$AF$88</f>
        <v/>
      </c>
      <c r="BK33" s="324" t="str">
        <f>WSFIQIH!$AF$96</f>
        <v/>
      </c>
      <c r="BL33" s="324" t="str">
        <f>WSFIQIH!$AF$104</f>
        <v/>
      </c>
      <c r="BM33" s="324" t="str">
        <f>WSFIQIH!$AF$112</f>
        <v/>
      </c>
      <c r="BN33" s="324" t="str">
        <f>WSFIQIH!$AF$120</f>
        <v/>
      </c>
      <c r="BO33" s="76"/>
      <c r="BP33" s="76"/>
      <c r="BQ33" s="76"/>
      <c r="BR33" s="76"/>
      <c r="BS33" s="324" t="str">
        <f>WSPKN!$AF$6</f>
        <v/>
      </c>
      <c r="BT33" s="324" t="str">
        <f>WSPKN!$AF$32</f>
        <v/>
      </c>
      <c r="BU33" s="324" t="str">
        <f>WSPKN!$AF$55</f>
        <v/>
      </c>
      <c r="BV33" s="324" t="str">
        <f>WSPKN!$AF$72</f>
        <v/>
      </c>
      <c r="BW33" s="324" t="str">
        <f>WSPKN!$AF$86</f>
        <v/>
      </c>
      <c r="BX33" s="324" t="str">
        <f>WSPKN!$AF$108</f>
        <v/>
      </c>
      <c r="BY33" s="324" t="str">
        <f>WSPKN!$AF$132</f>
        <v/>
      </c>
      <c r="BZ33" s="324" t="str">
        <f>WSPKN!$AF$148</f>
        <v/>
      </c>
      <c r="CA33" s="324" t="str">
        <f>WSPKN!$AF$165</f>
        <v/>
      </c>
      <c r="CB33" s="324" t="str">
        <f>WSPKN!$AF$173</f>
        <v/>
      </c>
      <c r="CC33" s="324" t="str">
        <f>WSPKN!$AF$181</f>
        <v/>
      </c>
      <c r="CD33" s="324" t="str">
        <f>WSPKN!$AF$189</f>
        <v/>
      </c>
      <c r="CE33" s="324" t="str">
        <f>WSPKN!$AF$197</f>
        <v/>
      </c>
      <c r="CF33" s="76"/>
      <c r="CG33" s="76"/>
      <c r="CH33" s="76"/>
      <c r="CI33" s="76"/>
      <c r="CJ33" s="324" t="str">
        <f>WSIND!$AF$6</f>
        <v/>
      </c>
      <c r="CK33" s="324" t="str">
        <f>WSIND!$AF$65</f>
        <v/>
      </c>
      <c r="CL33" s="324" t="str">
        <f>WSIND!$AF$113</f>
        <v/>
      </c>
      <c r="CM33" s="324" t="str">
        <f>WSIND!$AF$133</f>
        <v/>
      </c>
      <c r="CN33" s="324" t="str">
        <f>WSIND!$AF$161</f>
        <v/>
      </c>
      <c r="CO33" s="324" t="str">
        <f>WSIND!$AF$192</f>
        <v/>
      </c>
      <c r="CP33" s="324" t="str">
        <f>WSIND!$AF$228</f>
        <v/>
      </c>
      <c r="CQ33" s="324" t="str">
        <f>WSIND!$AF$256</f>
        <v/>
      </c>
      <c r="CR33" s="324" t="str">
        <f>WSIND!$AF$277</f>
        <v/>
      </c>
      <c r="CS33" s="324" t="str">
        <f>WSIND!$AF$305</f>
        <v/>
      </c>
      <c r="CT33" s="324" t="str">
        <f>WSIND!$AF$329</f>
        <v/>
      </c>
      <c r="CU33" s="324" t="str">
        <f>WSIND!$AF$337</f>
        <v/>
      </c>
      <c r="CV33" s="324" t="str">
        <f>WSIND!$AF$345</f>
        <v/>
      </c>
      <c r="CW33" s="76"/>
      <c r="CX33" s="76"/>
      <c r="CY33" s="76"/>
      <c r="CZ33" s="76"/>
      <c r="DA33" s="324" t="str">
        <f>WSARAB!$AF$6</f>
        <v/>
      </c>
      <c r="DB33" s="324" t="str">
        <f>WSARAB!$AF$17</f>
        <v/>
      </c>
      <c r="DC33" s="324" t="str">
        <f>WSARAB!$AF$29</f>
        <v/>
      </c>
      <c r="DD33" s="324" t="str">
        <f>WSARAB!$AF$37</f>
        <v/>
      </c>
      <c r="DE33" s="324" t="str">
        <f>WSARAB!$AF$45</f>
        <v/>
      </c>
      <c r="DF33" s="324" t="str">
        <f>WSARAB!$AF$53</f>
        <v/>
      </c>
      <c r="DG33" s="324" t="str">
        <f>WSARAB!$AF$65</f>
        <v/>
      </c>
      <c r="DH33" s="324" t="str">
        <f>WSARAB!$AF$73</f>
        <v/>
      </c>
      <c r="DI33" s="324" t="str">
        <f>WSARAB!$AF$81</f>
        <v/>
      </c>
      <c r="DJ33" s="324" t="str">
        <f>WSARAB!$AF$89</f>
        <v/>
      </c>
      <c r="DK33" s="324" t="str">
        <f>WSARAB!$AF$97</f>
        <v/>
      </c>
      <c r="DL33" s="324" t="str">
        <f>WSARAB!$AF$105</f>
        <v/>
      </c>
      <c r="DM33" s="324" t="str">
        <f>WSARAB!$AF$113</f>
        <v/>
      </c>
      <c r="DN33" s="76"/>
      <c r="DO33" s="76"/>
      <c r="DP33" s="76"/>
      <c r="DQ33" s="76"/>
      <c r="DR33" s="324" t="str">
        <f>WSMTK!$AF$6</f>
        <v/>
      </c>
      <c r="DS33" s="324" t="str">
        <f>WSMTK!$AF$22</f>
        <v/>
      </c>
      <c r="DT33" s="324" t="str">
        <f>WSMTK!$AF$35</f>
        <v/>
      </c>
      <c r="DU33" s="324" t="str">
        <f>WSMTK!$AF$69</f>
        <v/>
      </c>
      <c r="DV33" s="324" t="str">
        <f>WSMTK!$AF$87</f>
        <v/>
      </c>
      <c r="DW33" s="324" t="str">
        <f>WSMTK!$AF$99</f>
        <v/>
      </c>
      <c r="DX33" s="324" t="str">
        <f>WSMTK!$AF$113</f>
        <v/>
      </c>
      <c r="DY33" s="324" t="str">
        <f>WSMTK!$AF$145</f>
        <v/>
      </c>
      <c r="DZ33" s="324" t="str">
        <f>WSMTK!$AF$168</f>
        <v/>
      </c>
      <c r="EA33" s="324" t="str">
        <f>WSMTK!$AF$176</f>
        <v/>
      </c>
      <c r="EB33" s="324" t="str">
        <f>WSMTK!$AF$184</f>
        <v/>
      </c>
      <c r="EC33" s="324" t="str">
        <f>WSMTK!$AF$192</f>
        <v/>
      </c>
      <c r="ED33" s="324" t="str">
        <f>WSMTK!$AF$200</f>
        <v/>
      </c>
      <c r="EE33" s="76"/>
      <c r="EF33" s="76"/>
      <c r="EG33" s="76"/>
      <c r="EH33" s="76"/>
      <c r="EI33" s="324" t="str">
        <f>WSIPA!$AF$6</f>
        <v/>
      </c>
      <c r="EJ33" s="324" t="str">
        <f>WSIPA!$AF$14</f>
        <v/>
      </c>
      <c r="EK33" s="324" t="str">
        <f>WSIPA!$AF$22</f>
        <v/>
      </c>
      <c r="EL33" s="324" t="str">
        <f>WSIPA!$AF$30</f>
        <v/>
      </c>
      <c r="EM33" s="324" t="str">
        <f>WSIPA!$AF$38</f>
        <v/>
      </c>
      <c r="EN33" s="324" t="str">
        <f>WSIPA!$AF$46</f>
        <v/>
      </c>
      <c r="EO33" s="324" t="str">
        <f>WSIPA!$AF$54</f>
        <v/>
      </c>
      <c r="EP33" s="324" t="str">
        <f>WSIPA!$AF$62</f>
        <v/>
      </c>
      <c r="EQ33" s="324" t="str">
        <f>WSIPA!$AF$70</f>
        <v/>
      </c>
      <c r="ER33" s="324" t="str">
        <f>WSIPA!$AF$78</f>
        <v/>
      </c>
      <c r="ES33" s="324" t="str">
        <f>WSIPA!$AF$86</f>
        <v/>
      </c>
      <c r="ET33" s="324" t="str">
        <f>WSIPA!$AF$94</f>
        <v/>
      </c>
      <c r="EU33" s="324" t="str">
        <f>WSIPA!$AF$102</f>
        <v/>
      </c>
      <c r="EV33" s="76"/>
      <c r="EW33" s="76"/>
      <c r="EX33" s="76"/>
      <c r="EY33" s="76"/>
      <c r="EZ33" s="324" t="str">
        <f>WSIPS!$AF$6</f>
        <v/>
      </c>
      <c r="FA33" s="324" t="str">
        <f>WSIPS!$AF$14</f>
        <v/>
      </c>
      <c r="FB33" s="324" t="str">
        <f>WSIPS!$AF$22</f>
        <v/>
      </c>
      <c r="FC33" s="324" t="str">
        <f>WSIPS!$AF$30</f>
        <v/>
      </c>
      <c r="FD33" s="324" t="str">
        <f>WSIPS!$AF$38</f>
        <v/>
      </c>
      <c r="FE33" s="324" t="str">
        <f>WSIPS!$AF$46</f>
        <v/>
      </c>
      <c r="FF33" s="324" t="str">
        <f>WSIPS!$AF$54</f>
        <v/>
      </c>
      <c r="FG33" s="324" t="str">
        <f>WSIPS!$AF$62</f>
        <v/>
      </c>
      <c r="FH33" s="324" t="str">
        <f>WSIPS!$AF$70</f>
        <v/>
      </c>
      <c r="FI33" s="324" t="str">
        <f>WSIPS!$AF$78</f>
        <v/>
      </c>
      <c r="FJ33" s="324" t="str">
        <f>WSIPS!$AF$86</f>
        <v/>
      </c>
      <c r="FK33" s="324" t="str">
        <f>WSIPS!$AF$94</f>
        <v/>
      </c>
      <c r="FL33" s="324" t="str">
        <f>WSIPS!$AF$102</f>
        <v/>
      </c>
      <c r="FM33" s="76"/>
      <c r="FN33" s="76"/>
      <c r="FO33" s="76"/>
      <c r="FP33" s="76"/>
      <c r="FQ33" s="324" t="str">
        <f>WSSBK!$AF$6</f>
        <v/>
      </c>
      <c r="FR33" s="324" t="str">
        <f>WSSBK!$AF$16</f>
        <v/>
      </c>
      <c r="FS33" s="324" t="str">
        <f>WSSBK!$AF$26</f>
        <v/>
      </c>
      <c r="FT33" s="324" t="str">
        <f>WSSBK!$AF$36</f>
        <v/>
      </c>
      <c r="FU33" s="324" t="str">
        <f>WSSBK!$AF$46</f>
        <v/>
      </c>
      <c r="FV33" s="324" t="str">
        <f>WSSBK!$AF$58</f>
        <v/>
      </c>
      <c r="FW33" s="324" t="str">
        <f>WSSBK!$AF$68</f>
        <v/>
      </c>
      <c r="FX33" s="324" t="str">
        <f>WSSBK!$AF$77</f>
        <v/>
      </c>
      <c r="FY33" s="324" t="str">
        <f>WSSBK!$AF$87</f>
        <v/>
      </c>
      <c r="FZ33" s="324" t="str">
        <f>WSSBK!$AF$95</f>
        <v/>
      </c>
      <c r="GA33" s="324" t="str">
        <f>WSSBK!$AF$103</f>
        <v/>
      </c>
      <c r="GB33" s="324" t="str">
        <f>WSSBK!$AF$111</f>
        <v/>
      </c>
      <c r="GC33" s="324" t="str">
        <f>WSSBK!$AF$119</f>
        <v/>
      </c>
      <c r="GD33" s="76"/>
      <c r="GE33" s="76"/>
      <c r="GF33" s="76"/>
      <c r="GG33" s="76"/>
      <c r="GH33" s="334">
        <f>WSPENJAS!$AF$6</f>
        <v>0</v>
      </c>
      <c r="GI33" s="334">
        <f>WSPENJAS!$AF$7</f>
        <v>0</v>
      </c>
      <c r="GJ33" s="334">
        <f>WSPENJAS!$AF$8</f>
        <v>0</v>
      </c>
      <c r="GK33" s="334">
        <f>WSPENJAS!$AF$9</f>
        <v>0</v>
      </c>
      <c r="GL33" s="334">
        <f>WSPENJAS!$AF$10</f>
        <v>0</v>
      </c>
      <c r="GM33" s="334">
        <f>WSPENJAS!$AF$11</f>
        <v>0</v>
      </c>
      <c r="GN33" s="334">
        <f>WSPENJAS!$AF$12</f>
        <v>0</v>
      </c>
      <c r="GO33" s="334">
        <f>WSPENJAS!$AF$13</f>
        <v>0</v>
      </c>
      <c r="GP33" s="334">
        <f>WSPENJAS!$AF$14</f>
        <v>0</v>
      </c>
      <c r="GQ33" s="334">
        <f>WSPENJAS!$AF$15</f>
        <v>0</v>
      </c>
      <c r="GR33" s="334">
        <f>WSPENJAS!$AF$16</f>
        <v>0</v>
      </c>
      <c r="GS33" s="334">
        <f>WSPENJAS!$AF$17</f>
        <v>0</v>
      </c>
      <c r="GT33" s="334">
        <f>WSPENJAS!$AF$18</f>
        <v>0</v>
      </c>
      <c r="GU33" s="334">
        <f>WSPENJAS!$AF$19</f>
        <v>0</v>
      </c>
      <c r="GV33" s="334">
        <f>WSPENJAS!$AF$20</f>
        <v>0</v>
      </c>
      <c r="GW33" s="334">
        <f>WSPENJAS!$AF$21</f>
        <v>0</v>
      </c>
      <c r="GX33" s="76"/>
      <c r="GY33" s="324" t="str">
        <f>WSJAWA!$AF$6</f>
        <v/>
      </c>
      <c r="GZ33" s="324" t="str">
        <f>WSJAWA!$AF$14</f>
        <v/>
      </c>
      <c r="HA33" s="324" t="str">
        <f>WSJAWA!$AF$22</f>
        <v/>
      </c>
      <c r="HB33" s="324" t="str">
        <f>WSJAWA!$AF$30</f>
        <v/>
      </c>
      <c r="HC33" s="324" t="str">
        <f>WSJAWA!$AF$38</f>
        <v/>
      </c>
      <c r="HD33" s="324" t="str">
        <f>WSJAWA!$AF$46</f>
        <v/>
      </c>
      <c r="HE33" s="324" t="str">
        <f>WSJAWA!$AF$54</f>
        <v/>
      </c>
      <c r="HF33" s="324" t="str">
        <f>WSJAWA!$AF$62</f>
        <v/>
      </c>
      <c r="HG33" s="324" t="str">
        <f>WSJAWA!$AF$70</f>
        <v/>
      </c>
      <c r="HH33" s="324" t="str">
        <f>WSJAWA!$AF$78</f>
        <v/>
      </c>
      <c r="HI33" s="324" t="str">
        <f>WSJAWA!$AF$86</f>
        <v/>
      </c>
      <c r="HJ33" s="324" t="str">
        <f>WSJAWA!$AF$94</f>
        <v/>
      </c>
      <c r="HK33" s="324" t="str">
        <f>WSJAWA!$AF$102</f>
        <v/>
      </c>
      <c r="HL33" s="76"/>
      <c r="HM33" s="76"/>
      <c r="HN33" s="76"/>
      <c r="HO33" s="76"/>
      <c r="HP33" s="324" t="str">
        <f>WSING!$AF$6</f>
        <v/>
      </c>
      <c r="HQ33" s="324" t="str">
        <f>WSING!$AF$15</f>
        <v/>
      </c>
      <c r="HR33" s="324" t="str">
        <f>WSING!$AF$24</f>
        <v/>
      </c>
      <c r="HS33" s="324" t="str">
        <f>WSING!$AF$33</f>
        <v/>
      </c>
      <c r="HT33" s="324" t="str">
        <f>WSING!$AF$42</f>
        <v/>
      </c>
      <c r="HU33" s="324" t="str">
        <f>WSING!$AF$50</f>
        <v/>
      </c>
      <c r="HV33" s="324" t="str">
        <f>WSING!$AF$58</f>
        <v/>
      </c>
      <c r="HW33" s="324" t="str">
        <f>WSING!$AF$66</f>
        <v/>
      </c>
      <c r="HX33" s="324" t="str">
        <f>WSING!$AF$74</f>
        <v/>
      </c>
      <c r="HY33" s="324" t="str">
        <f>WSING!$AF$82</f>
        <v/>
      </c>
      <c r="HZ33" s="324" t="str">
        <f>WSING!$AF$90</f>
        <v/>
      </c>
      <c r="IA33" s="324" t="str">
        <f>WSING!$AF$98</f>
        <v/>
      </c>
      <c r="IB33" s="324" t="str">
        <f>WSING!$AF$106</f>
        <v/>
      </c>
      <c r="IC33" s="76"/>
      <c r="ID33" s="76"/>
      <c r="IE33" s="76"/>
      <c r="IF33" s="76"/>
      <c r="IG33" s="324" t="str">
        <f>WSTIK!$AF$6</f>
        <v/>
      </c>
      <c r="IH33" s="324" t="str">
        <f>WSTIK!$AF$14</f>
        <v/>
      </c>
      <c r="II33" s="324" t="str">
        <f>WSTIK!$AF$22</f>
        <v/>
      </c>
      <c r="IJ33" s="324" t="str">
        <f>WSTIK!$AF$30</f>
        <v/>
      </c>
      <c r="IK33" s="324" t="str">
        <f>WSTIK!$AF$38</f>
        <v/>
      </c>
      <c r="IL33" s="324" t="str">
        <f>WSTIK!$AF$46</f>
        <v/>
      </c>
      <c r="IM33" s="324" t="str">
        <f>WSTIK!$AF$54</f>
        <v/>
      </c>
      <c r="IN33" s="324" t="str">
        <f>WSTIK!$AF$62</f>
        <v/>
      </c>
      <c r="IO33" s="324" t="str">
        <f>WSTIK!$AF$70</f>
        <v/>
      </c>
      <c r="IP33" s="324" t="str">
        <f>WSTIK!$AF$78</f>
        <v/>
      </c>
      <c r="IQ33" s="324" t="str">
        <f>WSTIK!$AF$86</f>
        <v/>
      </c>
      <c r="IR33" s="324" t="str">
        <f>WSTIK!$AF$94</f>
        <v/>
      </c>
      <c r="IS33" s="324" t="str">
        <f>WSTIK!$AF$102</f>
        <v/>
      </c>
      <c r="IT33" s="76"/>
      <c r="IU33" s="76"/>
      <c r="IV33" s="76"/>
      <c r="IW33" s="76"/>
      <c r="IX33" s="324" t="str">
        <f>WSASWAJA!$AF$6</f>
        <v/>
      </c>
      <c r="IY33" s="324" t="str">
        <f>WSASWAJA!$AF$14</f>
        <v/>
      </c>
      <c r="IZ33" s="324" t="str">
        <f>WSASWAJA!$AF$22</f>
        <v/>
      </c>
      <c r="JA33" s="324" t="str">
        <f>WSASWAJA!$AF$30</f>
        <v/>
      </c>
      <c r="JB33" s="324" t="str">
        <f>WSASWAJA!$AF$38</f>
        <v/>
      </c>
      <c r="JC33" s="324" t="str">
        <f>WSASWAJA!$AF$46</f>
        <v/>
      </c>
      <c r="JD33" s="324" t="str">
        <f>WSASWAJA!$AF$54</f>
        <v/>
      </c>
      <c r="JE33" s="324" t="str">
        <f>WSASWAJA!$AF$62</f>
        <v/>
      </c>
      <c r="JF33" s="324" t="str">
        <f>WSASWAJA!$AF$70</f>
        <v/>
      </c>
      <c r="JG33" s="324" t="str">
        <f>WSASWAJA!$AF$78</f>
        <v/>
      </c>
      <c r="JH33" s="324" t="str">
        <f>WSASWAJA!$AF$86</f>
        <v/>
      </c>
      <c r="JI33" s="324" t="str">
        <f>WSASWAJA!$AF$94</f>
        <v/>
      </c>
      <c r="JJ33" s="324" t="str">
        <f>WSASWAJA!$AF$102</f>
        <v/>
      </c>
      <c r="JK33" s="76"/>
      <c r="JL33" s="76"/>
      <c r="JM33" s="76"/>
      <c r="JN33" s="76"/>
    </row>
    <row r="34" spans="1:274">
      <c r="A34" s="76"/>
      <c r="B34" s="76">
        <v>29</v>
      </c>
      <c r="C34" s="324" t="str">
        <f>WSALQURAN!$AG$6</f>
        <v/>
      </c>
      <c r="D34" s="324" t="str">
        <f>WSALQURAN!$AG$14</f>
        <v/>
      </c>
      <c r="E34" s="324" t="str">
        <f>WSALQURAN!$AG$22</f>
        <v/>
      </c>
      <c r="F34" s="324" t="str">
        <f>WSALQURAN!$AG$30</f>
        <v/>
      </c>
      <c r="G34" s="324" t="str">
        <f>WSALQURAN!$AG$38</f>
        <v/>
      </c>
      <c r="H34" s="324" t="str">
        <f>WSALQURAN!$AG$46</f>
        <v/>
      </c>
      <c r="I34" s="324" t="str">
        <f>WSALQURAN!$AG$54</f>
        <v/>
      </c>
      <c r="J34" s="324" t="str">
        <f>WSALQURAN!$AG$62</f>
        <v/>
      </c>
      <c r="K34" s="324" t="str">
        <f>WSALQURAN!$AG$70</f>
        <v/>
      </c>
      <c r="L34" s="324" t="str">
        <f>WSALQURAN!$AG$78</f>
        <v/>
      </c>
      <c r="M34" s="324" t="str">
        <f>WSALQURAN!$AG$86</f>
        <v/>
      </c>
      <c r="N34" s="324" t="str">
        <f>WSALQURAN!$AG$94</f>
        <v/>
      </c>
      <c r="O34" s="324" t="str">
        <f>WSALQURAN!$AG$102</f>
        <v/>
      </c>
      <c r="P34" s="76"/>
      <c r="Q34" s="76"/>
      <c r="R34" s="76"/>
      <c r="S34" s="76"/>
      <c r="T34" s="324" t="str">
        <f>WSAQIDAH!$AG$6</f>
        <v/>
      </c>
      <c r="U34" s="324" t="str">
        <f>WSAQIDAH!$AG$14</f>
        <v/>
      </c>
      <c r="V34" s="324" t="str">
        <f>WSAQIDAH!$AG$22</f>
        <v/>
      </c>
      <c r="W34" s="324" t="str">
        <f>WSAQIDAH!$AG$30</f>
        <v/>
      </c>
      <c r="X34" s="324" t="str">
        <f>WSAQIDAH!$AG$38</f>
        <v/>
      </c>
      <c r="Y34" s="324" t="str">
        <f>WSAQIDAH!$AG$46</f>
        <v/>
      </c>
      <c r="Z34" s="324" t="str">
        <f>WSAQIDAH!$AG$54</f>
        <v/>
      </c>
      <c r="AA34" s="324" t="str">
        <f>WSAQIDAH!$AG$62</f>
        <v/>
      </c>
      <c r="AB34" s="324" t="str">
        <f>WSAQIDAH!$AG$70</f>
        <v/>
      </c>
      <c r="AC34" s="324" t="str">
        <f>WSAQIDAH!$AG$78</f>
        <v/>
      </c>
      <c r="AD34" s="324" t="str">
        <f>WSAQIDAH!$AG$86</f>
        <v/>
      </c>
      <c r="AE34" s="324" t="str">
        <f>WSAQIDAH!$AG$94</f>
        <v/>
      </c>
      <c r="AF34" s="324" t="str">
        <f>WSAQIDAH!$AG$102</f>
        <v/>
      </c>
      <c r="AG34" s="76"/>
      <c r="AH34" s="76"/>
      <c r="AI34" s="76"/>
      <c r="AJ34" s="76"/>
      <c r="AK34" s="324" t="str">
        <f>WSSKI!$AG$6</f>
        <v/>
      </c>
      <c r="AL34" s="324" t="str">
        <f>WSSKI!$AG$14</f>
        <v/>
      </c>
      <c r="AM34" s="324" t="str">
        <f>WSSKI!$AG$23</f>
        <v/>
      </c>
      <c r="AN34" s="324" t="str">
        <f>WSSKI!$AG$31</f>
        <v/>
      </c>
      <c r="AO34" s="324" t="str">
        <f>WSSKI!$AG$40</f>
        <v/>
      </c>
      <c r="AP34" s="324" t="str">
        <f>WSSKI!$AG$48</f>
        <v/>
      </c>
      <c r="AQ34" s="324" t="str">
        <f>WSSKI!$AG$56</f>
        <v/>
      </c>
      <c r="AR34" s="324" t="str">
        <f>WSSKI!$AG$64</f>
        <v/>
      </c>
      <c r="AS34" s="324" t="str">
        <f>WSSKI!$AG$72</f>
        <v/>
      </c>
      <c r="AT34" s="324" t="str">
        <f>WSSKI!$AG$80</f>
        <v/>
      </c>
      <c r="AU34" s="324" t="str">
        <f>WSSKI!$AG$88</f>
        <v/>
      </c>
      <c r="AV34" s="324" t="str">
        <f>WSSKI!$AG$96</f>
        <v/>
      </c>
      <c r="AW34" s="324" t="str">
        <f>WSSKI!$AG$104</f>
        <v/>
      </c>
      <c r="AX34" s="76"/>
      <c r="AY34" s="76"/>
      <c r="AZ34" s="76"/>
      <c r="BA34" s="76"/>
      <c r="BB34" s="324" t="str">
        <f>WSFIQIH!$AG$6</f>
        <v/>
      </c>
      <c r="BC34" s="324" t="str">
        <f>WSFIQIH!$AG$19</f>
        <v/>
      </c>
      <c r="BD34" s="324" t="str">
        <f>WSFIQIH!$AG$28</f>
        <v/>
      </c>
      <c r="BE34" s="324" t="str">
        <f>WSFIQIH!$AG$41</f>
        <v/>
      </c>
      <c r="BF34" s="324" t="str">
        <f>WSFIQIH!$AG$49</f>
        <v/>
      </c>
      <c r="BG34" s="324" t="str">
        <f>WSFIQIH!$AG$62</f>
        <v/>
      </c>
      <c r="BH34" s="324" t="str">
        <f>WSFIQIH!$AG$71</f>
        <v/>
      </c>
      <c r="BI34" s="324" t="str">
        <f>WSFIQIH!$AG$80</f>
        <v/>
      </c>
      <c r="BJ34" s="324" t="str">
        <f>WSFIQIH!$AG$88</f>
        <v/>
      </c>
      <c r="BK34" s="324" t="str">
        <f>WSFIQIH!$AG$96</f>
        <v/>
      </c>
      <c r="BL34" s="324" t="str">
        <f>WSFIQIH!$AG$104</f>
        <v/>
      </c>
      <c r="BM34" s="324" t="str">
        <f>WSFIQIH!$AG$112</f>
        <v/>
      </c>
      <c r="BN34" s="324" t="str">
        <f>WSFIQIH!$AG$120</f>
        <v/>
      </c>
      <c r="BO34" s="76"/>
      <c r="BP34" s="76"/>
      <c r="BQ34" s="76"/>
      <c r="BR34" s="76"/>
      <c r="BS34" s="324" t="str">
        <f>WSPKN!$AG$6</f>
        <v/>
      </c>
      <c r="BT34" s="324" t="str">
        <f>WSPKN!$AG$32</f>
        <v/>
      </c>
      <c r="BU34" s="324" t="str">
        <f>WSPKN!$AG$55</f>
        <v/>
      </c>
      <c r="BV34" s="324" t="str">
        <f>WSPKN!$AG$72</f>
        <v/>
      </c>
      <c r="BW34" s="324" t="str">
        <f>WSPKN!$AG$86</f>
        <v/>
      </c>
      <c r="BX34" s="324" t="str">
        <f>WSPKN!$AG$108</f>
        <v/>
      </c>
      <c r="BY34" s="324" t="str">
        <f>WSPKN!$AG$132</f>
        <v/>
      </c>
      <c r="BZ34" s="324" t="str">
        <f>WSPKN!$AG$148</f>
        <v/>
      </c>
      <c r="CA34" s="324" t="str">
        <f>WSPKN!$AG$165</f>
        <v/>
      </c>
      <c r="CB34" s="324" t="str">
        <f>WSPKN!$AG$173</f>
        <v/>
      </c>
      <c r="CC34" s="324" t="str">
        <f>WSPKN!$AG$181</f>
        <v/>
      </c>
      <c r="CD34" s="324" t="str">
        <f>WSPKN!$AG$189</f>
        <v/>
      </c>
      <c r="CE34" s="324" t="str">
        <f>WSPKN!$AG$197</f>
        <v/>
      </c>
      <c r="CF34" s="76"/>
      <c r="CG34" s="76"/>
      <c r="CH34" s="76"/>
      <c r="CI34" s="76"/>
      <c r="CJ34" s="324" t="str">
        <f>WSIND!$AG$6</f>
        <v/>
      </c>
      <c r="CK34" s="324" t="str">
        <f>WSIND!$AG$65</f>
        <v/>
      </c>
      <c r="CL34" s="324" t="str">
        <f>WSIND!$AG$113</f>
        <v/>
      </c>
      <c r="CM34" s="324" t="str">
        <f>WSIND!$AG$133</f>
        <v/>
      </c>
      <c r="CN34" s="324" t="str">
        <f>WSIND!$AG$161</f>
        <v/>
      </c>
      <c r="CO34" s="324" t="str">
        <f>WSIND!$AG$192</f>
        <v/>
      </c>
      <c r="CP34" s="324" t="str">
        <f>WSIND!$AG$228</f>
        <v/>
      </c>
      <c r="CQ34" s="324" t="str">
        <f>WSIND!$AG$256</f>
        <v/>
      </c>
      <c r="CR34" s="324" t="str">
        <f>WSIND!$AG$277</f>
        <v/>
      </c>
      <c r="CS34" s="324" t="str">
        <f>WSIND!$AG$305</f>
        <v/>
      </c>
      <c r="CT34" s="324" t="str">
        <f>WSIND!$AG$329</f>
        <v/>
      </c>
      <c r="CU34" s="324" t="str">
        <f>WSIND!$AG$337</f>
        <v/>
      </c>
      <c r="CV34" s="324" t="str">
        <f>WSIND!$AG$345</f>
        <v/>
      </c>
      <c r="CW34" s="76"/>
      <c r="CX34" s="76"/>
      <c r="CY34" s="76"/>
      <c r="CZ34" s="76"/>
      <c r="DA34" s="324" t="str">
        <f>WSARAB!$AG$6</f>
        <v/>
      </c>
      <c r="DB34" s="324" t="str">
        <f>WSARAB!$AG$17</f>
        <v/>
      </c>
      <c r="DC34" s="324" t="str">
        <f>WSARAB!$AG$29</f>
        <v/>
      </c>
      <c r="DD34" s="324" t="str">
        <f>WSARAB!$AG$37</f>
        <v/>
      </c>
      <c r="DE34" s="324" t="str">
        <f>WSARAB!$AG$45</f>
        <v/>
      </c>
      <c r="DF34" s="324" t="str">
        <f>WSARAB!$AG$53</f>
        <v/>
      </c>
      <c r="DG34" s="324" t="str">
        <f>WSARAB!$AG$65</f>
        <v/>
      </c>
      <c r="DH34" s="324" t="str">
        <f>WSARAB!$AG$73</f>
        <v/>
      </c>
      <c r="DI34" s="324" t="str">
        <f>WSARAB!$AG$81</f>
        <v/>
      </c>
      <c r="DJ34" s="324" t="str">
        <f>WSARAB!$AG$89</f>
        <v/>
      </c>
      <c r="DK34" s="324" t="str">
        <f>WSARAB!$AG$97</f>
        <v/>
      </c>
      <c r="DL34" s="324" t="str">
        <f>WSARAB!$AG$105</f>
        <v/>
      </c>
      <c r="DM34" s="324" t="str">
        <f>WSARAB!$AG$113</f>
        <v/>
      </c>
      <c r="DN34" s="76"/>
      <c r="DO34" s="76"/>
      <c r="DP34" s="76"/>
      <c r="DQ34" s="76"/>
      <c r="DR34" s="324" t="str">
        <f>WSMTK!$AG$6</f>
        <v/>
      </c>
      <c r="DS34" s="324" t="str">
        <f>WSMTK!$AG$22</f>
        <v/>
      </c>
      <c r="DT34" s="324" t="str">
        <f>WSMTK!$AG$35</f>
        <v/>
      </c>
      <c r="DU34" s="324" t="str">
        <f>WSMTK!$AG$69</f>
        <v/>
      </c>
      <c r="DV34" s="324" t="str">
        <f>WSMTK!$AG$87</f>
        <v/>
      </c>
      <c r="DW34" s="324" t="str">
        <f>WSMTK!$AG$99</f>
        <v/>
      </c>
      <c r="DX34" s="324" t="str">
        <f>WSMTK!$AG$113</f>
        <v/>
      </c>
      <c r="DY34" s="324" t="str">
        <f>WSMTK!$AG$145</f>
        <v/>
      </c>
      <c r="DZ34" s="324" t="str">
        <f>WSMTK!$AG$168</f>
        <v/>
      </c>
      <c r="EA34" s="324" t="str">
        <f>WSMTK!$AG$176</f>
        <v/>
      </c>
      <c r="EB34" s="324" t="str">
        <f>WSMTK!$AG$184</f>
        <v/>
      </c>
      <c r="EC34" s="324" t="str">
        <f>WSMTK!$AG$192</f>
        <v/>
      </c>
      <c r="ED34" s="324" t="str">
        <f>WSMTK!$AG$200</f>
        <v/>
      </c>
      <c r="EE34" s="76"/>
      <c r="EF34" s="76"/>
      <c r="EG34" s="76"/>
      <c r="EH34" s="76"/>
      <c r="EI34" s="324" t="str">
        <f>WSIPA!$AG$6</f>
        <v/>
      </c>
      <c r="EJ34" s="324" t="str">
        <f>WSIPA!$AG$14</f>
        <v/>
      </c>
      <c r="EK34" s="324" t="str">
        <f>WSIPA!$AG$22</f>
        <v/>
      </c>
      <c r="EL34" s="324" t="str">
        <f>WSIPA!$AG$30</f>
        <v/>
      </c>
      <c r="EM34" s="324" t="str">
        <f>WSIPA!$AG$38</f>
        <v/>
      </c>
      <c r="EN34" s="324" t="str">
        <f>WSIPA!$AG$46</f>
        <v/>
      </c>
      <c r="EO34" s="324" t="str">
        <f>WSIPA!$AG$54</f>
        <v/>
      </c>
      <c r="EP34" s="324" t="str">
        <f>WSIPA!$AG$62</f>
        <v/>
      </c>
      <c r="EQ34" s="324" t="str">
        <f>WSIPA!$AG$70</f>
        <v/>
      </c>
      <c r="ER34" s="324" t="str">
        <f>WSIPA!$AG$78</f>
        <v/>
      </c>
      <c r="ES34" s="324" t="str">
        <f>WSIPA!$AG$86</f>
        <v/>
      </c>
      <c r="ET34" s="324" t="str">
        <f>WSIPA!$AG$94</f>
        <v/>
      </c>
      <c r="EU34" s="324" t="str">
        <f>WSIPA!$AG$102</f>
        <v/>
      </c>
      <c r="EV34" s="76"/>
      <c r="EW34" s="76"/>
      <c r="EX34" s="76"/>
      <c r="EY34" s="76"/>
      <c r="EZ34" s="324" t="str">
        <f>WSIPS!$AG$6</f>
        <v/>
      </c>
      <c r="FA34" s="324" t="str">
        <f>WSIPS!$AG$14</f>
        <v/>
      </c>
      <c r="FB34" s="324" t="str">
        <f>WSIPS!$AG$22</f>
        <v/>
      </c>
      <c r="FC34" s="324" t="str">
        <f>WSIPS!$AG$30</f>
        <v/>
      </c>
      <c r="FD34" s="324" t="str">
        <f>WSIPS!$AG$38</f>
        <v/>
      </c>
      <c r="FE34" s="324" t="str">
        <f>WSIPS!$AG$46</f>
        <v/>
      </c>
      <c r="FF34" s="324" t="str">
        <f>WSIPS!$AG$54</f>
        <v/>
      </c>
      <c r="FG34" s="324" t="str">
        <f>WSIPS!$AG$62</f>
        <v/>
      </c>
      <c r="FH34" s="324" t="str">
        <f>WSIPS!$AG$70</f>
        <v/>
      </c>
      <c r="FI34" s="324" t="str">
        <f>WSIPS!$AG$78</f>
        <v/>
      </c>
      <c r="FJ34" s="324" t="str">
        <f>WSIPS!$AG$86</f>
        <v/>
      </c>
      <c r="FK34" s="324" t="str">
        <f>WSIPS!$AG$94</f>
        <v/>
      </c>
      <c r="FL34" s="324" t="str">
        <f>WSIPS!$AG$102</f>
        <v/>
      </c>
      <c r="FM34" s="76"/>
      <c r="FN34" s="76"/>
      <c r="FO34" s="76"/>
      <c r="FP34" s="76"/>
      <c r="FQ34" s="324" t="str">
        <f>WSSBK!$AG$6</f>
        <v/>
      </c>
      <c r="FR34" s="324" t="str">
        <f>WSSBK!$AG$16</f>
        <v/>
      </c>
      <c r="FS34" s="324" t="str">
        <f>WSSBK!$AG$26</f>
        <v/>
      </c>
      <c r="FT34" s="324" t="str">
        <f>WSSBK!$AG$36</f>
        <v/>
      </c>
      <c r="FU34" s="324" t="str">
        <f>WSSBK!$AG$46</f>
        <v/>
      </c>
      <c r="FV34" s="324" t="str">
        <f>WSSBK!$AG$58</f>
        <v/>
      </c>
      <c r="FW34" s="324" t="str">
        <f>WSSBK!$AG$68</f>
        <v/>
      </c>
      <c r="FX34" s="324" t="str">
        <f>WSSBK!$AG$77</f>
        <v/>
      </c>
      <c r="FY34" s="324" t="str">
        <f>WSSBK!$AG$87</f>
        <v/>
      </c>
      <c r="FZ34" s="324" t="str">
        <f>WSSBK!$AG$95</f>
        <v/>
      </c>
      <c r="GA34" s="324" t="str">
        <f>WSSBK!$AG$103</f>
        <v/>
      </c>
      <c r="GB34" s="324" t="str">
        <f>WSSBK!$AG$111</f>
        <v/>
      </c>
      <c r="GC34" s="324" t="str">
        <f>WSSBK!$AG$119</f>
        <v/>
      </c>
      <c r="GD34" s="76"/>
      <c r="GE34" s="76"/>
      <c r="GF34" s="76"/>
      <c r="GG34" s="76"/>
      <c r="GH34" s="334">
        <f>WSPENJAS!$AG$6</f>
        <v>0</v>
      </c>
      <c r="GI34" s="334">
        <f>WSPENJAS!$AG$7</f>
        <v>0</v>
      </c>
      <c r="GJ34" s="334">
        <f>WSPENJAS!$AG$8</f>
        <v>0</v>
      </c>
      <c r="GK34" s="334">
        <f>WSPENJAS!$AG$9</f>
        <v>0</v>
      </c>
      <c r="GL34" s="334">
        <f>WSPENJAS!$AG$10</f>
        <v>0</v>
      </c>
      <c r="GM34" s="334">
        <f>WSPENJAS!$AG$11</f>
        <v>0</v>
      </c>
      <c r="GN34" s="334">
        <f>WSPENJAS!$AG$12</f>
        <v>0</v>
      </c>
      <c r="GO34" s="334">
        <f>WSPENJAS!$AG$13</f>
        <v>0</v>
      </c>
      <c r="GP34" s="334">
        <f>WSPENJAS!$AG$14</f>
        <v>0</v>
      </c>
      <c r="GQ34" s="334">
        <f>WSPENJAS!$AG$15</f>
        <v>0</v>
      </c>
      <c r="GR34" s="334">
        <f>WSPENJAS!$AG$16</f>
        <v>0</v>
      </c>
      <c r="GS34" s="334">
        <f>WSPENJAS!$AG$17</f>
        <v>0</v>
      </c>
      <c r="GT34" s="334">
        <f>WSPENJAS!$AG$18</f>
        <v>0</v>
      </c>
      <c r="GU34" s="334">
        <f>WSPENJAS!$AG$19</f>
        <v>0</v>
      </c>
      <c r="GV34" s="334">
        <f>WSPENJAS!$AG$20</f>
        <v>0</v>
      </c>
      <c r="GW34" s="334">
        <f>WSPENJAS!$AG$21</f>
        <v>0</v>
      </c>
      <c r="GX34" s="76"/>
      <c r="GY34" s="324" t="str">
        <f>WSJAWA!$AG$6</f>
        <v/>
      </c>
      <c r="GZ34" s="324" t="str">
        <f>WSJAWA!$AG$14</f>
        <v/>
      </c>
      <c r="HA34" s="324" t="str">
        <f>WSJAWA!$AG$22</f>
        <v/>
      </c>
      <c r="HB34" s="324" t="str">
        <f>WSJAWA!$AG$30</f>
        <v/>
      </c>
      <c r="HC34" s="324" t="str">
        <f>WSJAWA!$AG$38</f>
        <v/>
      </c>
      <c r="HD34" s="324" t="str">
        <f>WSJAWA!$AG$46</f>
        <v/>
      </c>
      <c r="HE34" s="324" t="str">
        <f>WSJAWA!$AG$54</f>
        <v/>
      </c>
      <c r="HF34" s="324" t="str">
        <f>WSJAWA!$AG$62</f>
        <v/>
      </c>
      <c r="HG34" s="324" t="str">
        <f>WSJAWA!$AG$70</f>
        <v/>
      </c>
      <c r="HH34" s="324" t="str">
        <f>WSJAWA!$AG$78</f>
        <v/>
      </c>
      <c r="HI34" s="324" t="str">
        <f>WSJAWA!$AG$86</f>
        <v/>
      </c>
      <c r="HJ34" s="324" t="str">
        <f>WSJAWA!$AG$94</f>
        <v/>
      </c>
      <c r="HK34" s="324" t="str">
        <f>WSJAWA!$AG$102</f>
        <v/>
      </c>
      <c r="HL34" s="76"/>
      <c r="HM34" s="76"/>
      <c r="HN34" s="76"/>
      <c r="HO34" s="76"/>
      <c r="HP34" s="324" t="str">
        <f>WSING!$AG$6</f>
        <v/>
      </c>
      <c r="HQ34" s="324" t="str">
        <f>WSING!$AG$15</f>
        <v/>
      </c>
      <c r="HR34" s="324" t="str">
        <f>WSING!$AG$24</f>
        <v/>
      </c>
      <c r="HS34" s="324" t="str">
        <f>WSING!$AG$33</f>
        <v/>
      </c>
      <c r="HT34" s="324" t="str">
        <f>WSING!$AG$42</f>
        <v/>
      </c>
      <c r="HU34" s="324" t="str">
        <f>WSING!$AG$50</f>
        <v/>
      </c>
      <c r="HV34" s="324" t="str">
        <f>WSING!$AG$58</f>
        <v/>
      </c>
      <c r="HW34" s="324" t="str">
        <f>WSING!$AG$66</f>
        <v/>
      </c>
      <c r="HX34" s="324" t="str">
        <f>WSING!$AG$74</f>
        <v/>
      </c>
      <c r="HY34" s="324" t="str">
        <f>WSING!$AG$82</f>
        <v/>
      </c>
      <c r="HZ34" s="324" t="str">
        <f>WSING!$AG$90</f>
        <v/>
      </c>
      <c r="IA34" s="324" t="str">
        <f>WSING!$AG$98</f>
        <v/>
      </c>
      <c r="IB34" s="324" t="str">
        <f>WSING!$AG$106</f>
        <v/>
      </c>
      <c r="IC34" s="76"/>
      <c r="ID34" s="76"/>
      <c r="IE34" s="76"/>
      <c r="IF34" s="76"/>
      <c r="IG34" s="324" t="str">
        <f>WSTIK!$AG$6</f>
        <v/>
      </c>
      <c r="IH34" s="324" t="str">
        <f>WSTIK!$AG$14</f>
        <v/>
      </c>
      <c r="II34" s="324" t="str">
        <f>WSTIK!$AG$22</f>
        <v/>
      </c>
      <c r="IJ34" s="324" t="str">
        <f>WSTIK!$AG$30</f>
        <v/>
      </c>
      <c r="IK34" s="324" t="str">
        <f>WSTIK!$AG$38</f>
        <v/>
      </c>
      <c r="IL34" s="324" t="str">
        <f>WSTIK!$AG$46</f>
        <v/>
      </c>
      <c r="IM34" s="324" t="str">
        <f>WSTIK!$AG$54</f>
        <v/>
      </c>
      <c r="IN34" s="324" t="str">
        <f>WSTIK!$AG$62</f>
        <v/>
      </c>
      <c r="IO34" s="324" t="str">
        <f>WSTIK!$AG$70</f>
        <v/>
      </c>
      <c r="IP34" s="324" t="str">
        <f>WSTIK!$AG$78</f>
        <v/>
      </c>
      <c r="IQ34" s="324" t="str">
        <f>WSTIK!$AG$86</f>
        <v/>
      </c>
      <c r="IR34" s="324" t="str">
        <f>WSTIK!$AG$94</f>
        <v/>
      </c>
      <c r="IS34" s="324" t="str">
        <f>WSTIK!$AG$102</f>
        <v/>
      </c>
      <c r="IT34" s="76"/>
      <c r="IU34" s="76"/>
      <c r="IV34" s="76"/>
      <c r="IW34" s="76"/>
      <c r="IX34" s="324" t="str">
        <f>WSASWAJA!$AG$6</f>
        <v/>
      </c>
      <c r="IY34" s="324" t="str">
        <f>WSASWAJA!$AG$14</f>
        <v/>
      </c>
      <c r="IZ34" s="324" t="str">
        <f>WSASWAJA!$AG$22</f>
        <v/>
      </c>
      <c r="JA34" s="324" t="str">
        <f>WSASWAJA!$AG$30</f>
        <v/>
      </c>
      <c r="JB34" s="324" t="str">
        <f>WSASWAJA!$AG$38</f>
        <v/>
      </c>
      <c r="JC34" s="324" t="str">
        <f>WSASWAJA!$AG$46</f>
        <v/>
      </c>
      <c r="JD34" s="324" t="str">
        <f>WSASWAJA!$AG$54</f>
        <v/>
      </c>
      <c r="JE34" s="324" t="str">
        <f>WSASWAJA!$AG$62</f>
        <v/>
      </c>
      <c r="JF34" s="324" t="str">
        <f>WSASWAJA!$AG$70</f>
        <v/>
      </c>
      <c r="JG34" s="324" t="str">
        <f>WSASWAJA!$AG$78</f>
        <v/>
      </c>
      <c r="JH34" s="324" t="str">
        <f>WSASWAJA!$AG$86</f>
        <v/>
      </c>
      <c r="JI34" s="324" t="str">
        <f>WSASWAJA!$AG$94</f>
        <v/>
      </c>
      <c r="JJ34" s="324" t="str">
        <f>WSASWAJA!$AG$102</f>
        <v/>
      </c>
      <c r="JK34" s="76"/>
      <c r="JL34" s="76"/>
      <c r="JM34" s="76"/>
      <c r="JN34" s="76"/>
    </row>
    <row r="35" spans="1:274">
      <c r="A35" s="76"/>
      <c r="B35" s="76">
        <v>30</v>
      </c>
      <c r="C35" s="324" t="str">
        <f>WSALQURAN!$AG$6</f>
        <v/>
      </c>
      <c r="D35" s="324" t="str">
        <f>WSALQURAN!$AG$14</f>
        <v/>
      </c>
      <c r="E35" s="324" t="str">
        <f>WSALQURAN!$AG$22</f>
        <v/>
      </c>
      <c r="F35" s="324" t="str">
        <f>WSALQURAN!$AG$30</f>
        <v/>
      </c>
      <c r="G35" s="324" t="str">
        <f>WSALQURAN!$AG$38</f>
        <v/>
      </c>
      <c r="H35" s="324" t="str">
        <f>WSALQURAN!$AG$46</f>
        <v/>
      </c>
      <c r="I35" s="324" t="str">
        <f>WSALQURAN!$AG$54</f>
        <v/>
      </c>
      <c r="J35" s="324" t="str">
        <f>WSALQURAN!$AG$62</f>
        <v/>
      </c>
      <c r="K35" s="324" t="str">
        <f>WSALQURAN!$AG$70</f>
        <v/>
      </c>
      <c r="L35" s="324" t="str">
        <f>WSALQURAN!$AG$78</f>
        <v/>
      </c>
      <c r="M35" s="324" t="str">
        <f>WSALQURAN!$AG$86</f>
        <v/>
      </c>
      <c r="N35" s="324" t="str">
        <f>WSALQURAN!$AG$94</f>
        <v/>
      </c>
      <c r="O35" s="324" t="str">
        <f>WSALQURAN!$AG$102</f>
        <v/>
      </c>
      <c r="P35" s="76"/>
      <c r="Q35" s="76"/>
      <c r="R35" s="76"/>
      <c r="S35" s="76"/>
      <c r="T35" s="324" t="str">
        <f>WSAQIDAH!$AG$6</f>
        <v/>
      </c>
      <c r="U35" s="324" t="str">
        <f>WSAQIDAH!$AG$14</f>
        <v/>
      </c>
      <c r="V35" s="324" t="str">
        <f>WSAQIDAH!$AG$22</f>
        <v/>
      </c>
      <c r="W35" s="324" t="str">
        <f>WSAQIDAH!$AG$30</f>
        <v/>
      </c>
      <c r="X35" s="324" t="str">
        <f>WSAQIDAH!$AG$38</f>
        <v/>
      </c>
      <c r="Y35" s="324" t="str">
        <f>WSAQIDAH!$AG$46</f>
        <v/>
      </c>
      <c r="Z35" s="324" t="str">
        <f>WSAQIDAH!$AG$54</f>
        <v/>
      </c>
      <c r="AA35" s="324" t="str">
        <f>WSAQIDAH!$AG$62</f>
        <v/>
      </c>
      <c r="AB35" s="324" t="str">
        <f>WSAQIDAH!$AG$70</f>
        <v/>
      </c>
      <c r="AC35" s="324" t="str">
        <f>WSAQIDAH!$AG$78</f>
        <v/>
      </c>
      <c r="AD35" s="324" t="str">
        <f>WSAQIDAH!$AG$86</f>
        <v/>
      </c>
      <c r="AE35" s="324" t="str">
        <f>WSAQIDAH!$AG$94</f>
        <v/>
      </c>
      <c r="AF35" s="324" t="str">
        <f>WSAQIDAH!$AG$102</f>
        <v/>
      </c>
      <c r="AG35" s="76"/>
      <c r="AH35" s="76"/>
      <c r="AI35" s="76"/>
      <c r="AJ35" s="76"/>
      <c r="AK35" s="324" t="str">
        <f>WSSKI!$AG$6</f>
        <v/>
      </c>
      <c r="AL35" s="324" t="str">
        <f>WSSKI!$AG$14</f>
        <v/>
      </c>
      <c r="AM35" s="324" t="str">
        <f>WSSKI!$AG$23</f>
        <v/>
      </c>
      <c r="AN35" s="324" t="str">
        <f>WSSKI!$AG$31</f>
        <v/>
      </c>
      <c r="AO35" s="324" t="str">
        <f>WSSKI!$AG$40</f>
        <v/>
      </c>
      <c r="AP35" s="324" t="str">
        <f>WSSKI!$AG$48</f>
        <v/>
      </c>
      <c r="AQ35" s="324" t="str">
        <f>WSSKI!$AG$56</f>
        <v/>
      </c>
      <c r="AR35" s="324" t="str">
        <f>WSSKI!$AG$64</f>
        <v/>
      </c>
      <c r="AS35" s="324" t="str">
        <f>WSSKI!$AG$72</f>
        <v/>
      </c>
      <c r="AT35" s="324" t="str">
        <f>WSSKI!$AG$80</f>
        <v/>
      </c>
      <c r="AU35" s="324" t="str">
        <f>WSSKI!$AG$88</f>
        <v/>
      </c>
      <c r="AV35" s="324" t="str">
        <f>WSSKI!$AG$96</f>
        <v/>
      </c>
      <c r="AW35" s="324" t="str">
        <f>WSSKI!$AG$104</f>
        <v/>
      </c>
      <c r="AX35" s="76"/>
      <c r="AY35" s="76"/>
      <c r="AZ35" s="76"/>
      <c r="BA35" s="76"/>
      <c r="BB35" s="324" t="str">
        <f>WSFIQIH!$AG$6</f>
        <v/>
      </c>
      <c r="BC35" s="324" t="str">
        <f>WSFIQIH!$AG$19</f>
        <v/>
      </c>
      <c r="BD35" s="324" t="str">
        <f>WSFIQIH!$AG$28</f>
        <v/>
      </c>
      <c r="BE35" s="324" t="str">
        <f>WSFIQIH!$AG$41</f>
        <v/>
      </c>
      <c r="BF35" s="324" t="str">
        <f>WSFIQIH!$AG$49</f>
        <v/>
      </c>
      <c r="BG35" s="324" t="str">
        <f>WSFIQIH!$AG$62</f>
        <v/>
      </c>
      <c r="BH35" s="324" t="str">
        <f>WSFIQIH!$AG$71</f>
        <v/>
      </c>
      <c r="BI35" s="324" t="str">
        <f>WSFIQIH!$AG$80</f>
        <v/>
      </c>
      <c r="BJ35" s="324" t="str">
        <f>WSFIQIH!$AG$88</f>
        <v/>
      </c>
      <c r="BK35" s="324" t="str">
        <f>WSFIQIH!$AG$96</f>
        <v/>
      </c>
      <c r="BL35" s="324" t="str">
        <f>WSFIQIH!$AG$104</f>
        <v/>
      </c>
      <c r="BM35" s="324" t="str">
        <f>WSFIQIH!$AG$112</f>
        <v/>
      </c>
      <c r="BN35" s="324" t="str">
        <f>WSFIQIH!$AG$120</f>
        <v/>
      </c>
      <c r="BO35" s="76"/>
      <c r="BP35" s="76"/>
      <c r="BQ35" s="76"/>
      <c r="BR35" s="76"/>
      <c r="BS35" s="324" t="str">
        <f>WSPKN!$AG$6</f>
        <v/>
      </c>
      <c r="BT35" s="324" t="str">
        <f>WSPKN!$AG$32</f>
        <v/>
      </c>
      <c r="BU35" s="324" t="str">
        <f>WSPKN!$AG$55</f>
        <v/>
      </c>
      <c r="BV35" s="324" t="str">
        <f>WSPKN!$AG$72</f>
        <v/>
      </c>
      <c r="BW35" s="324" t="str">
        <f>WSPKN!$AG$86</f>
        <v/>
      </c>
      <c r="BX35" s="324" t="str">
        <f>WSPKN!$AG$108</f>
        <v/>
      </c>
      <c r="BY35" s="324" t="str">
        <f>WSPKN!$AG$132</f>
        <v/>
      </c>
      <c r="BZ35" s="324" t="str">
        <f>WSPKN!$AG$148</f>
        <v/>
      </c>
      <c r="CA35" s="324" t="str">
        <f>WSPKN!$AG$165</f>
        <v/>
      </c>
      <c r="CB35" s="324" t="str">
        <f>WSPKN!$AG$173</f>
        <v/>
      </c>
      <c r="CC35" s="324" t="str">
        <f>WSPKN!$AG$181</f>
        <v/>
      </c>
      <c r="CD35" s="324" t="str">
        <f>WSPKN!$AG$189</f>
        <v/>
      </c>
      <c r="CE35" s="324" t="str">
        <f>WSPKN!$AG$197</f>
        <v/>
      </c>
      <c r="CF35" s="76"/>
      <c r="CG35" s="76"/>
      <c r="CH35" s="76"/>
      <c r="CI35" s="76"/>
      <c r="CJ35" s="324" t="str">
        <f>WSIND!$AG$6</f>
        <v/>
      </c>
      <c r="CK35" s="324" t="str">
        <f>WSIND!$AG$65</f>
        <v/>
      </c>
      <c r="CL35" s="324" t="str">
        <f>WSIND!$AG$113</f>
        <v/>
      </c>
      <c r="CM35" s="324" t="str">
        <f>WSIND!$AG$133</f>
        <v/>
      </c>
      <c r="CN35" s="324" t="str">
        <f>WSIND!$AG$161</f>
        <v/>
      </c>
      <c r="CO35" s="324" t="str">
        <f>WSIND!$AG$192</f>
        <v/>
      </c>
      <c r="CP35" s="324" t="str">
        <f>WSIND!$AG$228</f>
        <v/>
      </c>
      <c r="CQ35" s="324" t="str">
        <f>WSIND!$AG$256</f>
        <v/>
      </c>
      <c r="CR35" s="324" t="str">
        <f>WSIND!$AG$277</f>
        <v/>
      </c>
      <c r="CS35" s="324" t="str">
        <f>WSIND!$AG$305</f>
        <v/>
      </c>
      <c r="CT35" s="324" t="str">
        <f>WSIND!$AG$329</f>
        <v/>
      </c>
      <c r="CU35" s="324" t="str">
        <f>WSIND!$AG$337</f>
        <v/>
      </c>
      <c r="CV35" s="324" t="str">
        <f>WSIND!$AG$345</f>
        <v/>
      </c>
      <c r="CW35" s="76"/>
      <c r="CX35" s="76"/>
      <c r="CY35" s="76"/>
      <c r="CZ35" s="76"/>
      <c r="DA35" s="324" t="str">
        <f>WSARAB!$AG$6</f>
        <v/>
      </c>
      <c r="DB35" s="324" t="str">
        <f>WSARAB!$AG$17</f>
        <v/>
      </c>
      <c r="DC35" s="324" t="str">
        <f>WSARAB!$AG$29</f>
        <v/>
      </c>
      <c r="DD35" s="324" t="str">
        <f>WSARAB!$AG$37</f>
        <v/>
      </c>
      <c r="DE35" s="324" t="str">
        <f>WSARAB!$AG$45</f>
        <v/>
      </c>
      <c r="DF35" s="324" t="str">
        <f>WSARAB!$AG$53</f>
        <v/>
      </c>
      <c r="DG35" s="324" t="str">
        <f>WSARAB!$AG$65</f>
        <v/>
      </c>
      <c r="DH35" s="324" t="str">
        <f>WSARAB!$AG$73</f>
        <v/>
      </c>
      <c r="DI35" s="324" t="str">
        <f>WSARAB!$AG$81</f>
        <v/>
      </c>
      <c r="DJ35" s="324" t="str">
        <f>WSARAB!$AG$89</f>
        <v/>
      </c>
      <c r="DK35" s="324" t="str">
        <f>WSARAB!$AG$97</f>
        <v/>
      </c>
      <c r="DL35" s="324" t="str">
        <f>WSARAB!$AG$105</f>
        <v/>
      </c>
      <c r="DM35" s="324" t="str">
        <f>WSARAB!$AG$113</f>
        <v/>
      </c>
      <c r="DN35" s="76"/>
      <c r="DO35" s="76"/>
      <c r="DP35" s="76"/>
      <c r="DQ35" s="76"/>
      <c r="DR35" s="324" t="str">
        <f>WSMTK!$AG$6</f>
        <v/>
      </c>
      <c r="DS35" s="324" t="str">
        <f>WSMTK!$AG$22</f>
        <v/>
      </c>
      <c r="DT35" s="324" t="str">
        <f>WSMTK!$AG$35</f>
        <v/>
      </c>
      <c r="DU35" s="324" t="str">
        <f>WSMTK!$AG$69</f>
        <v/>
      </c>
      <c r="DV35" s="324" t="str">
        <f>WSMTK!$AG$87</f>
        <v/>
      </c>
      <c r="DW35" s="324" t="str">
        <f>WSMTK!$AG$99</f>
        <v/>
      </c>
      <c r="DX35" s="324" t="str">
        <f>WSMTK!$AG$113</f>
        <v/>
      </c>
      <c r="DY35" s="324" t="str">
        <f>WSMTK!$AG$145</f>
        <v/>
      </c>
      <c r="DZ35" s="324" t="str">
        <f>WSMTK!$AG$168</f>
        <v/>
      </c>
      <c r="EA35" s="324" t="str">
        <f>WSMTK!$AG$176</f>
        <v/>
      </c>
      <c r="EB35" s="324" t="str">
        <f>WSMTK!$AG$184</f>
        <v/>
      </c>
      <c r="EC35" s="324" t="str">
        <f>WSMTK!$AG$192</f>
        <v/>
      </c>
      <c r="ED35" s="324" t="str">
        <f>WSMTK!$AG$200</f>
        <v/>
      </c>
      <c r="EE35" s="76"/>
      <c r="EF35" s="76"/>
      <c r="EG35" s="76"/>
      <c r="EH35" s="76"/>
      <c r="EI35" s="324" t="str">
        <f>WSIPA!$AG$6</f>
        <v/>
      </c>
      <c r="EJ35" s="324" t="str">
        <f>WSIPA!$AG$14</f>
        <v/>
      </c>
      <c r="EK35" s="324" t="str">
        <f>WSIPA!$AG$22</f>
        <v/>
      </c>
      <c r="EL35" s="324" t="str">
        <f>WSIPA!$AG$30</f>
        <v/>
      </c>
      <c r="EM35" s="324" t="str">
        <f>WSIPA!$AG$38</f>
        <v/>
      </c>
      <c r="EN35" s="324" t="str">
        <f>WSIPA!$AG$46</f>
        <v/>
      </c>
      <c r="EO35" s="324" t="str">
        <f>WSIPA!$AG$54</f>
        <v/>
      </c>
      <c r="EP35" s="324" t="str">
        <f>WSIPA!$AG$62</f>
        <v/>
      </c>
      <c r="EQ35" s="324" t="str">
        <f>WSIPA!$AG$70</f>
        <v/>
      </c>
      <c r="ER35" s="324" t="str">
        <f>WSIPA!$AG$78</f>
        <v/>
      </c>
      <c r="ES35" s="324" t="str">
        <f>WSIPA!$AG$86</f>
        <v/>
      </c>
      <c r="ET35" s="324" t="str">
        <f>WSIPA!$AG$94</f>
        <v/>
      </c>
      <c r="EU35" s="324" t="str">
        <f>WSIPA!$AG$102</f>
        <v/>
      </c>
      <c r="EV35" s="76"/>
      <c r="EW35" s="76"/>
      <c r="EX35" s="76"/>
      <c r="EY35" s="76"/>
      <c r="EZ35" s="324" t="str">
        <f>WSIPS!$AG$6</f>
        <v/>
      </c>
      <c r="FA35" s="324" t="str">
        <f>WSIPS!$AG$14</f>
        <v/>
      </c>
      <c r="FB35" s="324" t="str">
        <f>WSIPS!$AG$22</f>
        <v/>
      </c>
      <c r="FC35" s="324" t="str">
        <f>WSIPS!$AG$30</f>
        <v/>
      </c>
      <c r="FD35" s="324" t="str">
        <f>WSIPS!$AG$38</f>
        <v/>
      </c>
      <c r="FE35" s="324" t="str">
        <f>WSIPS!$AG$46</f>
        <v/>
      </c>
      <c r="FF35" s="324" t="str">
        <f>WSIPS!$AG$54</f>
        <v/>
      </c>
      <c r="FG35" s="324" t="str">
        <f>WSIPS!$AG$62</f>
        <v/>
      </c>
      <c r="FH35" s="324" t="str">
        <f>WSIPS!$AG$70</f>
        <v/>
      </c>
      <c r="FI35" s="324" t="str">
        <f>WSIPS!$AG$78</f>
        <v/>
      </c>
      <c r="FJ35" s="324" t="str">
        <f>WSIPS!$AG$86</f>
        <v/>
      </c>
      <c r="FK35" s="324" t="str">
        <f>WSIPS!$AG$94</f>
        <v/>
      </c>
      <c r="FL35" s="324" t="str">
        <f>WSIPS!$AG$102</f>
        <v/>
      </c>
      <c r="FM35" s="76"/>
      <c r="FN35" s="76"/>
      <c r="FO35" s="76"/>
      <c r="FP35" s="76"/>
      <c r="FQ35" s="324" t="str">
        <f>WSSBK!$AG$6</f>
        <v/>
      </c>
      <c r="FR35" s="324" t="str">
        <f>WSSBK!$AG$16</f>
        <v/>
      </c>
      <c r="FS35" s="324" t="str">
        <f>WSSBK!$AG$26</f>
        <v/>
      </c>
      <c r="FT35" s="324" t="str">
        <f>WSSBK!$AG$36</f>
        <v/>
      </c>
      <c r="FU35" s="324" t="str">
        <f>WSSBK!$AG$46</f>
        <v/>
      </c>
      <c r="FV35" s="324" t="str">
        <f>WSSBK!$AG$58</f>
        <v/>
      </c>
      <c r="FW35" s="324" t="str">
        <f>WSSBK!$AG$68</f>
        <v/>
      </c>
      <c r="FX35" s="324" t="str">
        <f>WSSBK!$AG$77</f>
        <v/>
      </c>
      <c r="FY35" s="324" t="str">
        <f>WSSBK!$AG$87</f>
        <v/>
      </c>
      <c r="FZ35" s="324" t="str">
        <f>WSSBK!$AG$95</f>
        <v/>
      </c>
      <c r="GA35" s="324" t="str">
        <f>WSSBK!$AG$103</f>
        <v/>
      </c>
      <c r="GB35" s="324" t="str">
        <f>WSSBK!$AG$111</f>
        <v/>
      </c>
      <c r="GC35" s="324" t="str">
        <f>WSSBK!$AG$119</f>
        <v/>
      </c>
      <c r="GD35" s="76"/>
      <c r="GE35" s="76"/>
      <c r="GF35" s="76"/>
      <c r="GG35" s="76"/>
      <c r="GH35" s="334">
        <f>WSPENJAS!$AG$6</f>
        <v>0</v>
      </c>
      <c r="GI35" s="334">
        <f>WSPENJAS!$AG$7</f>
        <v>0</v>
      </c>
      <c r="GJ35" s="334">
        <f>WSPENJAS!$AG$8</f>
        <v>0</v>
      </c>
      <c r="GK35" s="334">
        <f>WSPENJAS!$AG$9</f>
        <v>0</v>
      </c>
      <c r="GL35" s="334">
        <f>WSPENJAS!$AG$10</f>
        <v>0</v>
      </c>
      <c r="GM35" s="334">
        <f>WSPENJAS!$AG$11</f>
        <v>0</v>
      </c>
      <c r="GN35" s="334">
        <f>WSPENJAS!$AG$12</f>
        <v>0</v>
      </c>
      <c r="GO35" s="334">
        <f>WSPENJAS!$AG$13</f>
        <v>0</v>
      </c>
      <c r="GP35" s="334">
        <f>WSPENJAS!$AG$14</f>
        <v>0</v>
      </c>
      <c r="GQ35" s="334">
        <f>WSPENJAS!$AG$15</f>
        <v>0</v>
      </c>
      <c r="GR35" s="334">
        <f>WSPENJAS!$AG$16</f>
        <v>0</v>
      </c>
      <c r="GS35" s="334">
        <f>WSPENJAS!$AG$17</f>
        <v>0</v>
      </c>
      <c r="GT35" s="334">
        <f>WSPENJAS!$AG$18</f>
        <v>0</v>
      </c>
      <c r="GU35" s="334">
        <f>WSPENJAS!$AG$19</f>
        <v>0</v>
      </c>
      <c r="GV35" s="334">
        <f>WSPENJAS!$AG$20</f>
        <v>0</v>
      </c>
      <c r="GW35" s="334">
        <f>WSPENJAS!$AG$21</f>
        <v>0</v>
      </c>
      <c r="GX35" s="76"/>
      <c r="GY35" s="324" t="str">
        <f>WSJAWA!$AG$6</f>
        <v/>
      </c>
      <c r="GZ35" s="324" t="str">
        <f>WSJAWA!$AG$14</f>
        <v/>
      </c>
      <c r="HA35" s="324" t="str">
        <f>WSJAWA!$AG$22</f>
        <v/>
      </c>
      <c r="HB35" s="324" t="str">
        <f>WSJAWA!$AG$30</f>
        <v/>
      </c>
      <c r="HC35" s="324" t="str">
        <f>WSJAWA!$AG$38</f>
        <v/>
      </c>
      <c r="HD35" s="324" t="str">
        <f>WSJAWA!$AG$46</f>
        <v/>
      </c>
      <c r="HE35" s="324" t="str">
        <f>WSJAWA!$AG$54</f>
        <v/>
      </c>
      <c r="HF35" s="324" t="str">
        <f>WSJAWA!$AG$62</f>
        <v/>
      </c>
      <c r="HG35" s="324" t="str">
        <f>WSJAWA!$AG$70</f>
        <v/>
      </c>
      <c r="HH35" s="324" t="str">
        <f>WSJAWA!$AG$78</f>
        <v/>
      </c>
      <c r="HI35" s="324" t="str">
        <f>WSJAWA!$AG$86</f>
        <v/>
      </c>
      <c r="HJ35" s="324" t="str">
        <f>WSJAWA!$AG$94</f>
        <v/>
      </c>
      <c r="HK35" s="324" t="str">
        <f>WSJAWA!$AG$102</f>
        <v/>
      </c>
      <c r="HL35" s="76"/>
      <c r="HM35" s="76"/>
      <c r="HN35" s="76"/>
      <c r="HO35" s="76"/>
      <c r="HP35" s="324" t="str">
        <f>WSING!$AG$6</f>
        <v/>
      </c>
      <c r="HQ35" s="324" t="str">
        <f>WSING!$AG$15</f>
        <v/>
      </c>
      <c r="HR35" s="324" t="str">
        <f>WSING!$AG$24</f>
        <v/>
      </c>
      <c r="HS35" s="324" t="str">
        <f>WSING!$AG$33</f>
        <v/>
      </c>
      <c r="HT35" s="324" t="str">
        <f>WSING!$AG$42</f>
        <v/>
      </c>
      <c r="HU35" s="324" t="str">
        <f>WSING!$AG$50</f>
        <v/>
      </c>
      <c r="HV35" s="324" t="str">
        <f>WSING!$AG$58</f>
        <v/>
      </c>
      <c r="HW35" s="324" t="str">
        <f>WSING!$AG$66</f>
        <v/>
      </c>
      <c r="HX35" s="324" t="str">
        <f>WSING!$AG$74</f>
        <v/>
      </c>
      <c r="HY35" s="324" t="str">
        <f>WSING!$AG$82</f>
        <v/>
      </c>
      <c r="HZ35" s="324" t="str">
        <f>WSING!$AG$90</f>
        <v/>
      </c>
      <c r="IA35" s="324" t="str">
        <f>WSING!$AG$98</f>
        <v/>
      </c>
      <c r="IB35" s="324" t="str">
        <f>WSING!$AG$106</f>
        <v/>
      </c>
      <c r="IC35" s="76"/>
      <c r="ID35" s="76"/>
      <c r="IE35" s="76"/>
      <c r="IF35" s="76"/>
      <c r="IG35" s="324" t="str">
        <f>WSTIK!$AG$6</f>
        <v/>
      </c>
      <c r="IH35" s="324" t="str">
        <f>WSTIK!$AG$14</f>
        <v/>
      </c>
      <c r="II35" s="324" t="str">
        <f>WSTIK!$AG$22</f>
        <v/>
      </c>
      <c r="IJ35" s="324" t="str">
        <f>WSTIK!$AG$30</f>
        <v/>
      </c>
      <c r="IK35" s="324" t="str">
        <f>WSTIK!$AG$38</f>
        <v/>
      </c>
      <c r="IL35" s="324" t="str">
        <f>WSTIK!$AG$46</f>
        <v/>
      </c>
      <c r="IM35" s="324" t="str">
        <f>WSTIK!$AG$54</f>
        <v/>
      </c>
      <c r="IN35" s="324" t="str">
        <f>WSTIK!$AG$62</f>
        <v/>
      </c>
      <c r="IO35" s="324" t="str">
        <f>WSTIK!$AG$70</f>
        <v/>
      </c>
      <c r="IP35" s="324" t="str">
        <f>WSTIK!$AG$78</f>
        <v/>
      </c>
      <c r="IQ35" s="324" t="str">
        <f>WSTIK!$AG$86</f>
        <v/>
      </c>
      <c r="IR35" s="324" t="str">
        <f>WSTIK!$AG$94</f>
        <v/>
      </c>
      <c r="IS35" s="324" t="str">
        <f>WSTIK!$AG$102</f>
        <v/>
      </c>
      <c r="IT35" s="76"/>
      <c r="IU35" s="76"/>
      <c r="IV35" s="76"/>
      <c r="IW35" s="76"/>
      <c r="IX35" s="324" t="str">
        <f>WSASWAJA!$AG$6</f>
        <v/>
      </c>
      <c r="IY35" s="324" t="str">
        <f>WSASWAJA!$AG$14</f>
        <v/>
      </c>
      <c r="IZ35" s="324" t="str">
        <f>WSASWAJA!$AG$22</f>
        <v/>
      </c>
      <c r="JA35" s="324" t="str">
        <f>WSASWAJA!$AG$30</f>
        <v/>
      </c>
      <c r="JB35" s="324" t="str">
        <f>WSASWAJA!$AG$38</f>
        <v/>
      </c>
      <c r="JC35" s="324" t="str">
        <f>WSASWAJA!$AG$46</f>
        <v/>
      </c>
      <c r="JD35" s="324" t="str">
        <f>WSASWAJA!$AG$54</f>
        <v/>
      </c>
      <c r="JE35" s="324" t="str">
        <f>WSASWAJA!$AG$62</f>
        <v/>
      </c>
      <c r="JF35" s="324" t="str">
        <f>WSASWAJA!$AG$70</f>
        <v/>
      </c>
      <c r="JG35" s="324" t="str">
        <f>WSASWAJA!$AG$78</f>
        <v/>
      </c>
      <c r="JH35" s="324" t="str">
        <f>WSASWAJA!$AG$86</f>
        <v/>
      </c>
      <c r="JI35" s="324" t="str">
        <f>WSASWAJA!$AG$94</f>
        <v/>
      </c>
      <c r="JJ35" s="324" t="str">
        <f>WSASWAJA!$AG$102</f>
        <v/>
      </c>
      <c r="JK35" s="76"/>
      <c r="JL35" s="76"/>
      <c r="JM35" s="76"/>
      <c r="JN35" s="76"/>
    </row>
  </sheetData>
  <mergeCells count="16">
    <mergeCell ref="CJ4:CZ4"/>
    <mergeCell ref="C4:S4"/>
    <mergeCell ref="T4:AJ4"/>
    <mergeCell ref="AK4:BA4"/>
    <mergeCell ref="BB4:BR4"/>
    <mergeCell ref="BS4:CI4"/>
    <mergeCell ref="GY4:HO4"/>
    <mergeCell ref="HP4:IF4"/>
    <mergeCell ref="IG4:IW4"/>
    <mergeCell ref="IX4:JN4"/>
    <mergeCell ref="DA4:DQ4"/>
    <mergeCell ref="DR4:EH4"/>
    <mergeCell ref="EI4:EY4"/>
    <mergeCell ref="EZ4:FP4"/>
    <mergeCell ref="FQ4:GG4"/>
    <mergeCell ref="GH4:GX4"/>
  </mergeCells>
  <pageMargins left="0.7" right="0.7" top="0.75" bottom="0.75" header="0.3" footer="0.3"/>
  <pageSetup paperSize="9" orientation="portrait" horizontalDpi="4294967293"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3"/>
  <dimension ref="A1:XFD178"/>
  <sheetViews>
    <sheetView showGridLines="0" zoomScale="85" zoomScaleNormal="85" workbookViewId="0">
      <pane ySplit="5" topLeftCell="A39" activePane="bottomLeft" state="frozen"/>
      <selection activeCell="K33" sqref="K33"/>
      <selection pane="bottomLeft" activeCell="C6" sqref="C6:D6"/>
    </sheetView>
  </sheetViews>
  <sheetFormatPr defaultColWidth="0" defaultRowHeight="15" customHeight="1" zeroHeight="1"/>
  <cols>
    <col min="1" max="1" width="1" style="29" customWidth="1"/>
    <col min="2" max="2" width="3.7109375" style="33" customWidth="1"/>
    <col min="3" max="3" width="46.140625" style="33" customWidth="1"/>
    <col min="4" max="4" width="10.28515625" style="29" customWidth="1"/>
    <col min="5" max="34" width="5.7109375" style="29" customWidth="1"/>
    <col min="35" max="49" width="5.7109375" hidden="1" customWidth="1"/>
    <col min="50" max="16384" width="9.140625" hidden="1"/>
  </cols>
  <sheetData>
    <row r="1" spans="1:16384">
      <c r="A1" s="803" t="s">
        <v>142</v>
      </c>
      <c r="B1" s="803"/>
      <c r="C1" s="803"/>
      <c r="D1" s="803"/>
      <c r="E1" s="803"/>
      <c r="F1" s="803"/>
      <c r="G1" s="803"/>
      <c r="H1" s="803"/>
      <c r="I1" s="803"/>
      <c r="J1" s="803"/>
      <c r="K1" s="803"/>
      <c r="L1" s="803"/>
      <c r="M1" s="803"/>
      <c r="N1" s="803"/>
      <c r="O1" s="803"/>
      <c r="P1" s="803"/>
      <c r="Q1" s="803"/>
      <c r="R1" s="803"/>
      <c r="S1" s="803"/>
      <c r="T1" s="803"/>
      <c r="U1" s="803"/>
      <c r="V1" s="803"/>
      <c r="W1" s="803"/>
      <c r="X1" s="803"/>
      <c r="Y1" s="803"/>
      <c r="Z1" s="803"/>
      <c r="AA1" s="803"/>
      <c r="AB1" s="803"/>
      <c r="AC1" s="803"/>
      <c r="AD1" s="803"/>
      <c r="AE1" s="803"/>
      <c r="AF1" s="803"/>
      <c r="AG1" s="803"/>
      <c r="AH1" s="803"/>
    </row>
    <row r="2" spans="1:16384" ht="15" customHeight="1">
      <c r="A2" s="803"/>
      <c r="B2" s="803"/>
      <c r="C2" s="803"/>
      <c r="D2" s="803"/>
      <c r="E2" s="803"/>
      <c r="F2" s="803"/>
      <c r="G2" s="803"/>
      <c r="H2" s="803"/>
      <c r="I2" s="803"/>
      <c r="J2" s="803"/>
      <c r="K2" s="803"/>
      <c r="L2" s="803"/>
      <c r="M2" s="803"/>
      <c r="N2" s="803"/>
      <c r="O2" s="803"/>
      <c r="P2" s="803"/>
      <c r="Q2" s="803"/>
      <c r="R2" s="803"/>
      <c r="S2" s="803"/>
      <c r="T2" s="803"/>
      <c r="U2" s="803"/>
      <c r="V2" s="803"/>
      <c r="W2" s="803"/>
      <c r="X2" s="803"/>
      <c r="Y2" s="803"/>
      <c r="Z2" s="803"/>
      <c r="AA2" s="803"/>
      <c r="AB2" s="803"/>
      <c r="AC2" s="803"/>
      <c r="AD2" s="803"/>
      <c r="AE2" s="803"/>
      <c r="AF2" s="803"/>
      <c r="AG2" s="803"/>
      <c r="AH2" s="803"/>
    </row>
    <row r="3" spans="1:16384" ht="15" customHeight="1">
      <c r="B3" s="804"/>
      <c r="C3" s="804"/>
      <c r="D3" s="80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row>
    <row r="4" spans="1:16384" ht="15" customHeight="1">
      <c r="B4" s="805" t="s">
        <v>5</v>
      </c>
      <c r="C4" s="805" t="s">
        <v>125</v>
      </c>
      <c r="D4" s="806" t="s">
        <v>126</v>
      </c>
      <c r="E4" s="807" t="s">
        <v>57</v>
      </c>
      <c r="F4" s="807"/>
      <c r="G4" s="807"/>
      <c r="H4" s="807"/>
      <c r="I4" s="807"/>
      <c r="J4" s="807"/>
      <c r="K4" s="807"/>
      <c r="L4" s="807"/>
      <c r="M4" s="807"/>
      <c r="N4" s="807"/>
      <c r="O4" s="807"/>
      <c r="P4" s="807"/>
      <c r="Q4" s="807"/>
      <c r="R4" s="807"/>
      <c r="S4" s="807"/>
      <c r="T4" s="807"/>
      <c r="U4" s="807"/>
      <c r="V4" s="807"/>
      <c r="W4" s="807"/>
      <c r="X4" s="807"/>
      <c r="Y4" s="807"/>
      <c r="Z4" s="807"/>
      <c r="AA4" s="807"/>
      <c r="AB4" s="807"/>
      <c r="AC4" s="807"/>
      <c r="AD4" s="807"/>
      <c r="AE4" s="807"/>
      <c r="AF4" s="807"/>
      <c r="AG4" s="807"/>
      <c r="AH4" s="807"/>
    </row>
    <row r="5" spans="1:16384" ht="12.75" customHeight="1">
      <c r="B5" s="805"/>
      <c r="C5" s="805"/>
      <c r="D5" s="806"/>
      <c r="E5" s="35" t="str">
        <f>DATASISWA!$F$8</f>
        <v>Dita</v>
      </c>
      <c r="F5" s="35" t="str">
        <f>DATASISWA!$F$9</f>
        <v>Annisa</v>
      </c>
      <c r="G5" s="35" t="str">
        <f>DATASISWA!$F$10</f>
        <v>Kiki</v>
      </c>
      <c r="H5" s="35" t="str">
        <f>DATASISWA!$F$11</f>
        <v>Lily</v>
      </c>
      <c r="I5" s="35" t="str">
        <f>DATASISWA!$F$12</f>
        <v>Rere</v>
      </c>
      <c r="J5" s="35" t="str">
        <f>DATASISWA!$F$13</f>
        <v>Fadhil</v>
      </c>
      <c r="K5" s="35" t="str">
        <f>DATASISWA!$F$14</f>
        <v>Yuefa</v>
      </c>
      <c r="L5" s="35" t="str">
        <f>DATASISWA!$F$15</f>
        <v>Ria</v>
      </c>
      <c r="M5" s="35" t="str">
        <f>DATASISWA!$F$16</f>
        <v>Tiara</v>
      </c>
      <c r="N5" s="35" t="str">
        <f>DATASISWA!$F$17</f>
        <v>Alvind</v>
      </c>
      <c r="O5" s="35" t="str">
        <f>DATASISWA!$F$18</f>
        <v>Icha</v>
      </c>
      <c r="P5" s="35" t="str">
        <f>DATASISWA!$F$19</f>
        <v>Qonita</v>
      </c>
      <c r="Q5" s="35" t="str">
        <f>DATASISWA!$F$20</f>
        <v>Anya</v>
      </c>
      <c r="R5" s="35" t="str">
        <f>DATASISWA!$F$21</f>
        <v>Radit</v>
      </c>
      <c r="S5" s="35" t="str">
        <f>DATASISWA!$F$22</f>
        <v>angel</v>
      </c>
      <c r="T5" s="35">
        <f>DATASISWA!$F$23</f>
        <v>0</v>
      </c>
      <c r="U5" s="35">
        <f>DATASISWA!$F$24</f>
        <v>0</v>
      </c>
      <c r="V5" s="35">
        <f>DATASISWA!$F$25</f>
        <v>0</v>
      </c>
      <c r="W5" s="35">
        <f>DATASISWA!$F$26</f>
        <v>0</v>
      </c>
      <c r="X5" s="35">
        <f>DATASISWA!$F$27</f>
        <v>0</v>
      </c>
      <c r="Y5" s="35">
        <f>DATASISWA!$F$28</f>
        <v>0</v>
      </c>
      <c r="Z5" s="35">
        <f>DATASISWA!$F$29</f>
        <v>0</v>
      </c>
      <c r="AA5" s="35">
        <f>DATASISWA!$F$30</f>
        <v>0</v>
      </c>
      <c r="AB5" s="35">
        <f>DATASISWA!$F$31</f>
        <v>0</v>
      </c>
      <c r="AC5" s="35">
        <f>DATASISWA!$F$32</f>
        <v>0</v>
      </c>
      <c r="AD5" s="35">
        <f>DATASISWA!$F$33</f>
        <v>0</v>
      </c>
      <c r="AE5" s="35">
        <f>DATASISWA!$F$34</f>
        <v>0</v>
      </c>
      <c r="AF5" s="35">
        <f>DATASISWA!$F$35</f>
        <v>0</v>
      </c>
      <c r="AG5" s="35">
        <f>DATASISWA!$F$36</f>
        <v>0</v>
      </c>
      <c r="AH5" s="35">
        <f>DATASISWA!$F$37</f>
        <v>0</v>
      </c>
    </row>
    <row r="6" spans="1:16384" ht="27" customHeight="1">
      <c r="A6" s="30"/>
      <c r="B6" s="800">
        <v>1</v>
      </c>
      <c r="C6" s="795" t="s">
        <v>1959</v>
      </c>
      <c r="D6" s="796"/>
      <c r="E6" s="97">
        <f>IFERROR(AVERAGE(E7:E13),"")</f>
        <v>83.333333333333329</v>
      </c>
      <c r="F6" s="97">
        <f t="shared" ref="F6:AA6" si="0">IFERROR(AVERAGE(F7:F13),"")</f>
        <v>83.333333333333329</v>
      </c>
      <c r="G6" s="97">
        <f t="shared" si="0"/>
        <v>95</v>
      </c>
      <c r="H6" s="97">
        <f t="shared" si="0"/>
        <v>95</v>
      </c>
      <c r="I6" s="97">
        <f t="shared" si="0"/>
        <v>93.333333333333329</v>
      </c>
      <c r="J6" s="97">
        <f t="shared" si="0"/>
        <v>100</v>
      </c>
      <c r="K6" s="97">
        <f t="shared" si="0"/>
        <v>100</v>
      </c>
      <c r="L6" s="97">
        <f t="shared" si="0"/>
        <v>91.666666666666671</v>
      </c>
      <c r="M6" s="97">
        <f t="shared" si="0"/>
        <v>96.666666666666671</v>
      </c>
      <c r="N6" s="97">
        <f t="shared" si="0"/>
        <v>91.666666666666671</v>
      </c>
      <c r="O6" s="97">
        <f t="shared" si="0"/>
        <v>100</v>
      </c>
      <c r="P6" s="97">
        <f t="shared" si="0"/>
        <v>100</v>
      </c>
      <c r="Q6" s="97">
        <f t="shared" si="0"/>
        <v>90</v>
      </c>
      <c r="R6" s="97">
        <f t="shared" si="0"/>
        <v>86.666666666666671</v>
      </c>
      <c r="S6" s="97">
        <f t="shared" si="0"/>
        <v>91.666666666666671</v>
      </c>
      <c r="T6" s="97">
        <f t="shared" si="0"/>
        <v>95</v>
      </c>
      <c r="U6" s="97">
        <f t="shared" si="0"/>
        <v>91.666666666666671</v>
      </c>
      <c r="V6" s="97">
        <f t="shared" si="0"/>
        <v>96.666666666666671</v>
      </c>
      <c r="W6" s="97">
        <f t="shared" si="0"/>
        <v>80</v>
      </c>
      <c r="X6" s="97">
        <f t="shared" si="0"/>
        <v>87.666666666666671</v>
      </c>
      <c r="Y6" s="97">
        <f t="shared" si="0"/>
        <v>99.333333333333329</v>
      </c>
      <c r="Z6" s="97">
        <f t="shared" si="0"/>
        <v>83.333333333333329</v>
      </c>
      <c r="AA6" s="97">
        <f t="shared" si="0"/>
        <v>83.333333333333329</v>
      </c>
      <c r="AB6" s="97">
        <f t="shared" ref="AB6:BQ6" si="1">IFERROR(AVERAGE(AB7:AB13),"")</f>
        <v>96.666666666666671</v>
      </c>
      <c r="AC6" s="97" t="str">
        <f t="shared" si="1"/>
        <v/>
      </c>
      <c r="AD6" s="97" t="str">
        <f t="shared" si="1"/>
        <v/>
      </c>
      <c r="AE6" s="97" t="str">
        <f t="shared" si="1"/>
        <v/>
      </c>
      <c r="AF6" s="97" t="str">
        <f t="shared" si="1"/>
        <v/>
      </c>
      <c r="AG6" s="97" t="str">
        <f t="shared" si="1"/>
        <v/>
      </c>
      <c r="AH6" s="97" t="str">
        <f t="shared" si="1"/>
        <v/>
      </c>
      <c r="AI6" s="97" t="str">
        <f t="shared" si="1"/>
        <v/>
      </c>
      <c r="AJ6" s="97" t="str">
        <f t="shared" si="1"/>
        <v/>
      </c>
      <c r="AK6" s="97" t="str">
        <f t="shared" si="1"/>
        <v/>
      </c>
      <c r="AL6" s="97" t="str">
        <f t="shared" si="1"/>
        <v/>
      </c>
      <c r="AM6" s="97" t="str">
        <f t="shared" si="1"/>
        <v/>
      </c>
      <c r="AN6" s="97" t="str">
        <f t="shared" si="1"/>
        <v/>
      </c>
      <c r="AO6" s="97" t="str">
        <f t="shared" si="1"/>
        <v/>
      </c>
      <c r="AP6" s="97" t="str">
        <f t="shared" si="1"/>
        <v/>
      </c>
      <c r="AQ6" s="97" t="str">
        <f t="shared" si="1"/>
        <v/>
      </c>
      <c r="AR6" s="97" t="str">
        <f t="shared" si="1"/>
        <v/>
      </c>
      <c r="AS6" s="97" t="str">
        <f t="shared" si="1"/>
        <v/>
      </c>
      <c r="AT6" s="97" t="str">
        <f t="shared" si="1"/>
        <v/>
      </c>
      <c r="AU6" s="97" t="str">
        <f t="shared" si="1"/>
        <v/>
      </c>
      <c r="AV6" s="97" t="str">
        <f t="shared" si="1"/>
        <v/>
      </c>
      <c r="AW6" s="97" t="str">
        <f t="shared" si="1"/>
        <v/>
      </c>
      <c r="AX6" s="97" t="str">
        <f t="shared" si="1"/>
        <v/>
      </c>
      <c r="AY6" s="97" t="str">
        <f t="shared" si="1"/>
        <v/>
      </c>
      <c r="AZ6" s="97" t="str">
        <f t="shared" si="1"/>
        <v/>
      </c>
      <c r="BA6" s="97" t="str">
        <f t="shared" si="1"/>
        <v/>
      </c>
      <c r="BB6" s="97" t="str">
        <f t="shared" si="1"/>
        <v/>
      </c>
      <c r="BC6" s="97" t="str">
        <f t="shared" si="1"/>
        <v/>
      </c>
      <c r="BD6" s="97" t="str">
        <f t="shared" si="1"/>
        <v/>
      </c>
      <c r="BE6" s="97" t="str">
        <f t="shared" si="1"/>
        <v/>
      </c>
      <c r="BF6" s="97" t="str">
        <f t="shared" si="1"/>
        <v/>
      </c>
      <c r="BG6" s="97" t="str">
        <f t="shared" si="1"/>
        <v/>
      </c>
      <c r="BH6" s="97" t="str">
        <f t="shared" si="1"/>
        <v/>
      </c>
      <c r="BI6" s="97" t="str">
        <f t="shared" si="1"/>
        <v/>
      </c>
      <c r="BJ6" s="97" t="str">
        <f t="shared" si="1"/>
        <v/>
      </c>
      <c r="BK6" s="97" t="str">
        <f t="shared" si="1"/>
        <v/>
      </c>
      <c r="BL6" s="97" t="str">
        <f t="shared" si="1"/>
        <v/>
      </c>
      <c r="BM6" s="97" t="str">
        <f t="shared" si="1"/>
        <v/>
      </c>
      <c r="BN6" s="97" t="str">
        <f t="shared" si="1"/>
        <v/>
      </c>
      <c r="BO6" s="97" t="str">
        <f t="shared" si="1"/>
        <v/>
      </c>
      <c r="BP6" s="97" t="str">
        <f t="shared" si="1"/>
        <v/>
      </c>
      <c r="BQ6" s="97" t="str">
        <f t="shared" si="1"/>
        <v/>
      </c>
      <c r="BR6" s="97" t="str">
        <f t="shared" ref="BR6:EC6" si="2">IFERROR(AVERAGE(BR7:BR13),"")</f>
        <v/>
      </c>
      <c r="BS6" s="97" t="str">
        <f t="shared" si="2"/>
        <v/>
      </c>
      <c r="BT6" s="97" t="str">
        <f t="shared" si="2"/>
        <v/>
      </c>
      <c r="BU6" s="97" t="str">
        <f t="shared" si="2"/>
        <v/>
      </c>
      <c r="BV6" s="97" t="str">
        <f t="shared" si="2"/>
        <v/>
      </c>
      <c r="BW6" s="97" t="str">
        <f t="shared" si="2"/>
        <v/>
      </c>
      <c r="BX6" s="97" t="str">
        <f t="shared" si="2"/>
        <v/>
      </c>
      <c r="BY6" s="97" t="str">
        <f t="shared" si="2"/>
        <v/>
      </c>
      <c r="BZ6" s="97" t="str">
        <f t="shared" si="2"/>
        <v/>
      </c>
      <c r="CA6" s="97" t="str">
        <f t="shared" si="2"/>
        <v/>
      </c>
      <c r="CB6" s="97" t="str">
        <f t="shared" si="2"/>
        <v/>
      </c>
      <c r="CC6" s="97" t="str">
        <f t="shared" si="2"/>
        <v/>
      </c>
      <c r="CD6" s="97" t="str">
        <f t="shared" si="2"/>
        <v/>
      </c>
      <c r="CE6" s="97" t="str">
        <f t="shared" si="2"/>
        <v/>
      </c>
      <c r="CF6" s="97" t="str">
        <f t="shared" si="2"/>
        <v/>
      </c>
      <c r="CG6" s="97" t="str">
        <f t="shared" si="2"/>
        <v/>
      </c>
      <c r="CH6" s="97" t="str">
        <f t="shared" si="2"/>
        <v/>
      </c>
      <c r="CI6" s="97" t="str">
        <f t="shared" si="2"/>
        <v/>
      </c>
      <c r="CJ6" s="97" t="str">
        <f t="shared" si="2"/>
        <v/>
      </c>
      <c r="CK6" s="97" t="str">
        <f t="shared" si="2"/>
        <v/>
      </c>
      <c r="CL6" s="97" t="str">
        <f t="shared" si="2"/>
        <v/>
      </c>
      <c r="CM6" s="97" t="str">
        <f t="shared" si="2"/>
        <v/>
      </c>
      <c r="CN6" s="97" t="str">
        <f t="shared" si="2"/>
        <v/>
      </c>
      <c r="CO6" s="97" t="str">
        <f t="shared" si="2"/>
        <v/>
      </c>
      <c r="CP6" s="97" t="str">
        <f t="shared" si="2"/>
        <v/>
      </c>
      <c r="CQ6" s="97" t="str">
        <f t="shared" si="2"/>
        <v/>
      </c>
      <c r="CR6" s="97" t="str">
        <f t="shared" si="2"/>
        <v/>
      </c>
      <c r="CS6" s="97" t="str">
        <f t="shared" si="2"/>
        <v/>
      </c>
      <c r="CT6" s="97" t="str">
        <f t="shared" si="2"/>
        <v/>
      </c>
      <c r="CU6" s="97" t="str">
        <f t="shared" si="2"/>
        <v/>
      </c>
      <c r="CV6" s="97" t="str">
        <f t="shared" si="2"/>
        <v/>
      </c>
      <c r="CW6" s="97" t="str">
        <f t="shared" si="2"/>
        <v/>
      </c>
      <c r="CX6" s="97" t="str">
        <f t="shared" si="2"/>
        <v/>
      </c>
      <c r="CY6" s="97" t="str">
        <f t="shared" si="2"/>
        <v/>
      </c>
      <c r="CZ6" s="97" t="str">
        <f t="shared" si="2"/>
        <v/>
      </c>
      <c r="DA6" s="97" t="str">
        <f t="shared" si="2"/>
        <v/>
      </c>
      <c r="DB6" s="97" t="str">
        <f t="shared" si="2"/>
        <v/>
      </c>
      <c r="DC6" s="97" t="str">
        <f t="shared" si="2"/>
        <v/>
      </c>
      <c r="DD6" s="97" t="str">
        <f t="shared" si="2"/>
        <v/>
      </c>
      <c r="DE6" s="97" t="str">
        <f t="shared" si="2"/>
        <v/>
      </c>
      <c r="DF6" s="97" t="str">
        <f t="shared" si="2"/>
        <v/>
      </c>
      <c r="DG6" s="97" t="str">
        <f t="shared" si="2"/>
        <v/>
      </c>
      <c r="DH6" s="97" t="str">
        <f t="shared" si="2"/>
        <v/>
      </c>
      <c r="DI6" s="97" t="str">
        <f t="shared" si="2"/>
        <v/>
      </c>
      <c r="DJ6" s="97" t="str">
        <f t="shared" si="2"/>
        <v/>
      </c>
      <c r="DK6" s="97" t="str">
        <f t="shared" si="2"/>
        <v/>
      </c>
      <c r="DL6" s="97" t="str">
        <f t="shared" si="2"/>
        <v/>
      </c>
      <c r="DM6" s="97" t="str">
        <f t="shared" si="2"/>
        <v/>
      </c>
      <c r="DN6" s="97" t="str">
        <f t="shared" si="2"/>
        <v/>
      </c>
      <c r="DO6" s="97" t="str">
        <f t="shared" si="2"/>
        <v/>
      </c>
      <c r="DP6" s="97" t="str">
        <f t="shared" si="2"/>
        <v/>
      </c>
      <c r="DQ6" s="97" t="str">
        <f t="shared" si="2"/>
        <v/>
      </c>
      <c r="DR6" s="97" t="str">
        <f t="shared" si="2"/>
        <v/>
      </c>
      <c r="DS6" s="97" t="str">
        <f t="shared" si="2"/>
        <v/>
      </c>
      <c r="DT6" s="97" t="str">
        <f t="shared" si="2"/>
        <v/>
      </c>
      <c r="DU6" s="97" t="str">
        <f t="shared" si="2"/>
        <v/>
      </c>
      <c r="DV6" s="97" t="str">
        <f t="shared" si="2"/>
        <v/>
      </c>
      <c r="DW6" s="97" t="str">
        <f t="shared" si="2"/>
        <v/>
      </c>
      <c r="DX6" s="97" t="str">
        <f t="shared" si="2"/>
        <v/>
      </c>
      <c r="DY6" s="97" t="str">
        <f t="shared" si="2"/>
        <v/>
      </c>
      <c r="DZ6" s="97" t="str">
        <f t="shared" si="2"/>
        <v/>
      </c>
      <c r="EA6" s="97" t="str">
        <f t="shared" si="2"/>
        <v/>
      </c>
      <c r="EB6" s="97" t="str">
        <f t="shared" si="2"/>
        <v/>
      </c>
      <c r="EC6" s="97" t="str">
        <f t="shared" si="2"/>
        <v/>
      </c>
      <c r="ED6" s="97" t="str">
        <f t="shared" ref="ED6:GO6" si="3">IFERROR(AVERAGE(ED7:ED13),"")</f>
        <v/>
      </c>
      <c r="EE6" s="97" t="str">
        <f t="shared" si="3"/>
        <v/>
      </c>
      <c r="EF6" s="97" t="str">
        <f t="shared" si="3"/>
        <v/>
      </c>
      <c r="EG6" s="97" t="str">
        <f t="shared" si="3"/>
        <v/>
      </c>
      <c r="EH6" s="97" t="str">
        <f t="shared" si="3"/>
        <v/>
      </c>
      <c r="EI6" s="97" t="str">
        <f t="shared" si="3"/>
        <v/>
      </c>
      <c r="EJ6" s="97" t="str">
        <f t="shared" si="3"/>
        <v/>
      </c>
      <c r="EK6" s="97" t="str">
        <f t="shared" si="3"/>
        <v/>
      </c>
      <c r="EL6" s="97" t="str">
        <f t="shared" si="3"/>
        <v/>
      </c>
      <c r="EM6" s="97" t="str">
        <f t="shared" si="3"/>
        <v/>
      </c>
      <c r="EN6" s="97" t="str">
        <f t="shared" si="3"/>
        <v/>
      </c>
      <c r="EO6" s="97" t="str">
        <f t="shared" si="3"/>
        <v/>
      </c>
      <c r="EP6" s="97" t="str">
        <f t="shared" si="3"/>
        <v/>
      </c>
      <c r="EQ6" s="97" t="str">
        <f t="shared" si="3"/>
        <v/>
      </c>
      <c r="ER6" s="97" t="str">
        <f t="shared" si="3"/>
        <v/>
      </c>
      <c r="ES6" s="97" t="str">
        <f t="shared" si="3"/>
        <v/>
      </c>
      <c r="ET6" s="97" t="str">
        <f t="shared" si="3"/>
        <v/>
      </c>
      <c r="EU6" s="97" t="str">
        <f t="shared" si="3"/>
        <v/>
      </c>
      <c r="EV6" s="97" t="str">
        <f t="shared" si="3"/>
        <v/>
      </c>
      <c r="EW6" s="97" t="str">
        <f t="shared" si="3"/>
        <v/>
      </c>
      <c r="EX6" s="97" t="str">
        <f t="shared" si="3"/>
        <v/>
      </c>
      <c r="EY6" s="97" t="str">
        <f t="shared" si="3"/>
        <v/>
      </c>
      <c r="EZ6" s="97" t="str">
        <f t="shared" si="3"/>
        <v/>
      </c>
      <c r="FA6" s="97" t="str">
        <f t="shared" si="3"/>
        <v/>
      </c>
      <c r="FB6" s="97" t="str">
        <f t="shared" si="3"/>
        <v/>
      </c>
      <c r="FC6" s="97" t="str">
        <f t="shared" si="3"/>
        <v/>
      </c>
      <c r="FD6" s="97" t="str">
        <f t="shared" si="3"/>
        <v/>
      </c>
      <c r="FE6" s="97" t="str">
        <f t="shared" si="3"/>
        <v/>
      </c>
      <c r="FF6" s="97" t="str">
        <f t="shared" si="3"/>
        <v/>
      </c>
      <c r="FG6" s="97" t="str">
        <f t="shared" si="3"/>
        <v/>
      </c>
      <c r="FH6" s="97" t="str">
        <f t="shared" si="3"/>
        <v/>
      </c>
      <c r="FI6" s="97" t="str">
        <f t="shared" si="3"/>
        <v/>
      </c>
      <c r="FJ6" s="97" t="str">
        <f t="shared" si="3"/>
        <v/>
      </c>
      <c r="FK6" s="97" t="str">
        <f t="shared" si="3"/>
        <v/>
      </c>
      <c r="FL6" s="97" t="str">
        <f t="shared" si="3"/>
        <v/>
      </c>
      <c r="FM6" s="97" t="str">
        <f t="shared" si="3"/>
        <v/>
      </c>
      <c r="FN6" s="97" t="str">
        <f t="shared" si="3"/>
        <v/>
      </c>
      <c r="FO6" s="97" t="str">
        <f t="shared" si="3"/>
        <v/>
      </c>
      <c r="FP6" s="97" t="str">
        <f t="shared" si="3"/>
        <v/>
      </c>
      <c r="FQ6" s="97" t="str">
        <f t="shared" si="3"/>
        <v/>
      </c>
      <c r="FR6" s="97" t="str">
        <f t="shared" si="3"/>
        <v/>
      </c>
      <c r="FS6" s="97" t="str">
        <f t="shared" si="3"/>
        <v/>
      </c>
      <c r="FT6" s="97" t="str">
        <f t="shared" si="3"/>
        <v/>
      </c>
      <c r="FU6" s="97" t="str">
        <f t="shared" si="3"/>
        <v/>
      </c>
      <c r="FV6" s="97" t="str">
        <f t="shared" si="3"/>
        <v/>
      </c>
      <c r="FW6" s="97" t="str">
        <f t="shared" si="3"/>
        <v/>
      </c>
      <c r="FX6" s="97" t="str">
        <f t="shared" si="3"/>
        <v/>
      </c>
      <c r="FY6" s="97" t="str">
        <f t="shared" si="3"/>
        <v/>
      </c>
      <c r="FZ6" s="97" t="str">
        <f t="shared" si="3"/>
        <v/>
      </c>
      <c r="GA6" s="97" t="str">
        <f t="shared" si="3"/>
        <v/>
      </c>
      <c r="GB6" s="97" t="str">
        <f t="shared" si="3"/>
        <v/>
      </c>
      <c r="GC6" s="97" t="str">
        <f t="shared" si="3"/>
        <v/>
      </c>
      <c r="GD6" s="97" t="str">
        <f t="shared" si="3"/>
        <v/>
      </c>
      <c r="GE6" s="97" t="str">
        <f t="shared" si="3"/>
        <v/>
      </c>
      <c r="GF6" s="97" t="str">
        <f t="shared" si="3"/>
        <v/>
      </c>
      <c r="GG6" s="97" t="str">
        <f t="shared" si="3"/>
        <v/>
      </c>
      <c r="GH6" s="97" t="str">
        <f t="shared" si="3"/>
        <v/>
      </c>
      <c r="GI6" s="97" t="str">
        <f t="shared" si="3"/>
        <v/>
      </c>
      <c r="GJ6" s="97" t="str">
        <f t="shared" si="3"/>
        <v/>
      </c>
      <c r="GK6" s="97" t="str">
        <f t="shared" si="3"/>
        <v/>
      </c>
      <c r="GL6" s="97" t="str">
        <f t="shared" si="3"/>
        <v/>
      </c>
      <c r="GM6" s="97" t="str">
        <f t="shared" si="3"/>
        <v/>
      </c>
      <c r="GN6" s="97" t="str">
        <f t="shared" si="3"/>
        <v/>
      </c>
      <c r="GO6" s="97" t="str">
        <f t="shared" si="3"/>
        <v/>
      </c>
      <c r="GP6" s="97" t="str">
        <f t="shared" ref="GP6:JA6" si="4">IFERROR(AVERAGE(GP7:GP13),"")</f>
        <v/>
      </c>
      <c r="GQ6" s="97" t="str">
        <f t="shared" si="4"/>
        <v/>
      </c>
      <c r="GR6" s="97" t="str">
        <f t="shared" si="4"/>
        <v/>
      </c>
      <c r="GS6" s="97" t="str">
        <f t="shared" si="4"/>
        <v/>
      </c>
      <c r="GT6" s="97" t="str">
        <f t="shared" si="4"/>
        <v/>
      </c>
      <c r="GU6" s="97" t="str">
        <f t="shared" si="4"/>
        <v/>
      </c>
      <c r="GV6" s="97" t="str">
        <f t="shared" si="4"/>
        <v/>
      </c>
      <c r="GW6" s="97" t="str">
        <f t="shared" si="4"/>
        <v/>
      </c>
      <c r="GX6" s="97" t="str">
        <f t="shared" si="4"/>
        <v/>
      </c>
      <c r="GY6" s="97" t="str">
        <f t="shared" si="4"/>
        <v/>
      </c>
      <c r="GZ6" s="97" t="str">
        <f t="shared" si="4"/>
        <v/>
      </c>
      <c r="HA6" s="97" t="str">
        <f t="shared" si="4"/>
        <v/>
      </c>
      <c r="HB6" s="97" t="str">
        <f t="shared" si="4"/>
        <v/>
      </c>
      <c r="HC6" s="97" t="str">
        <f t="shared" si="4"/>
        <v/>
      </c>
      <c r="HD6" s="97" t="str">
        <f t="shared" si="4"/>
        <v/>
      </c>
      <c r="HE6" s="97" t="str">
        <f t="shared" si="4"/>
        <v/>
      </c>
      <c r="HF6" s="97" t="str">
        <f t="shared" si="4"/>
        <v/>
      </c>
      <c r="HG6" s="97" t="str">
        <f t="shared" si="4"/>
        <v/>
      </c>
      <c r="HH6" s="97" t="str">
        <f t="shared" si="4"/>
        <v/>
      </c>
      <c r="HI6" s="97" t="str">
        <f t="shared" si="4"/>
        <v/>
      </c>
      <c r="HJ6" s="97" t="str">
        <f t="shared" si="4"/>
        <v/>
      </c>
      <c r="HK6" s="97" t="str">
        <f t="shared" si="4"/>
        <v/>
      </c>
      <c r="HL6" s="97" t="str">
        <f t="shared" si="4"/>
        <v/>
      </c>
      <c r="HM6" s="97" t="str">
        <f t="shared" si="4"/>
        <v/>
      </c>
      <c r="HN6" s="97" t="str">
        <f t="shared" si="4"/>
        <v/>
      </c>
      <c r="HO6" s="97" t="str">
        <f t="shared" si="4"/>
        <v/>
      </c>
      <c r="HP6" s="97" t="str">
        <f t="shared" si="4"/>
        <v/>
      </c>
      <c r="HQ6" s="97" t="str">
        <f t="shared" si="4"/>
        <v/>
      </c>
      <c r="HR6" s="97" t="str">
        <f t="shared" si="4"/>
        <v/>
      </c>
      <c r="HS6" s="97" t="str">
        <f t="shared" si="4"/>
        <v/>
      </c>
      <c r="HT6" s="97" t="str">
        <f t="shared" si="4"/>
        <v/>
      </c>
      <c r="HU6" s="97" t="str">
        <f t="shared" si="4"/>
        <v/>
      </c>
      <c r="HV6" s="97" t="str">
        <f t="shared" si="4"/>
        <v/>
      </c>
      <c r="HW6" s="97" t="str">
        <f t="shared" si="4"/>
        <v/>
      </c>
      <c r="HX6" s="97" t="str">
        <f t="shared" si="4"/>
        <v/>
      </c>
      <c r="HY6" s="97" t="str">
        <f t="shared" si="4"/>
        <v/>
      </c>
      <c r="HZ6" s="97" t="str">
        <f t="shared" si="4"/>
        <v/>
      </c>
      <c r="IA6" s="97" t="str">
        <f t="shared" si="4"/>
        <v/>
      </c>
      <c r="IB6" s="97" t="str">
        <f t="shared" si="4"/>
        <v/>
      </c>
      <c r="IC6" s="97" t="str">
        <f t="shared" si="4"/>
        <v/>
      </c>
      <c r="ID6" s="97" t="str">
        <f t="shared" si="4"/>
        <v/>
      </c>
      <c r="IE6" s="97" t="str">
        <f t="shared" si="4"/>
        <v/>
      </c>
      <c r="IF6" s="97" t="str">
        <f t="shared" si="4"/>
        <v/>
      </c>
      <c r="IG6" s="97" t="str">
        <f t="shared" si="4"/>
        <v/>
      </c>
      <c r="IH6" s="97" t="str">
        <f t="shared" si="4"/>
        <v/>
      </c>
      <c r="II6" s="97" t="str">
        <f t="shared" si="4"/>
        <v/>
      </c>
      <c r="IJ6" s="97" t="str">
        <f t="shared" si="4"/>
        <v/>
      </c>
      <c r="IK6" s="97" t="str">
        <f t="shared" si="4"/>
        <v/>
      </c>
      <c r="IL6" s="97" t="str">
        <f t="shared" si="4"/>
        <v/>
      </c>
      <c r="IM6" s="97" t="str">
        <f t="shared" si="4"/>
        <v/>
      </c>
      <c r="IN6" s="97" t="str">
        <f t="shared" si="4"/>
        <v/>
      </c>
      <c r="IO6" s="97" t="str">
        <f t="shared" si="4"/>
        <v/>
      </c>
      <c r="IP6" s="97" t="str">
        <f t="shared" si="4"/>
        <v/>
      </c>
      <c r="IQ6" s="97" t="str">
        <f t="shared" si="4"/>
        <v/>
      </c>
      <c r="IR6" s="97" t="str">
        <f t="shared" si="4"/>
        <v/>
      </c>
      <c r="IS6" s="97" t="str">
        <f t="shared" si="4"/>
        <v/>
      </c>
      <c r="IT6" s="97" t="str">
        <f t="shared" si="4"/>
        <v/>
      </c>
      <c r="IU6" s="97" t="str">
        <f t="shared" si="4"/>
        <v/>
      </c>
      <c r="IV6" s="97" t="str">
        <f t="shared" si="4"/>
        <v/>
      </c>
      <c r="IW6" s="97" t="str">
        <f t="shared" si="4"/>
        <v/>
      </c>
      <c r="IX6" s="97" t="str">
        <f t="shared" si="4"/>
        <v/>
      </c>
      <c r="IY6" s="97" t="str">
        <f t="shared" si="4"/>
        <v/>
      </c>
      <c r="IZ6" s="97" t="str">
        <f t="shared" si="4"/>
        <v/>
      </c>
      <c r="JA6" s="97" t="str">
        <f t="shared" si="4"/>
        <v/>
      </c>
      <c r="JB6" s="97" t="str">
        <f t="shared" ref="JB6:LM6" si="5">IFERROR(AVERAGE(JB7:JB13),"")</f>
        <v/>
      </c>
      <c r="JC6" s="97" t="str">
        <f t="shared" si="5"/>
        <v/>
      </c>
      <c r="JD6" s="97" t="str">
        <f t="shared" si="5"/>
        <v/>
      </c>
      <c r="JE6" s="97" t="str">
        <f t="shared" si="5"/>
        <v/>
      </c>
      <c r="JF6" s="97" t="str">
        <f t="shared" si="5"/>
        <v/>
      </c>
      <c r="JG6" s="97" t="str">
        <f t="shared" si="5"/>
        <v/>
      </c>
      <c r="JH6" s="97" t="str">
        <f t="shared" si="5"/>
        <v/>
      </c>
      <c r="JI6" s="97" t="str">
        <f t="shared" si="5"/>
        <v/>
      </c>
      <c r="JJ6" s="97" t="str">
        <f t="shared" si="5"/>
        <v/>
      </c>
      <c r="JK6" s="97" t="str">
        <f t="shared" si="5"/>
        <v/>
      </c>
      <c r="JL6" s="97" t="str">
        <f t="shared" si="5"/>
        <v/>
      </c>
      <c r="JM6" s="97" t="str">
        <f t="shared" si="5"/>
        <v/>
      </c>
      <c r="JN6" s="97" t="str">
        <f t="shared" si="5"/>
        <v/>
      </c>
      <c r="JO6" s="97" t="str">
        <f t="shared" si="5"/>
        <v/>
      </c>
      <c r="JP6" s="97" t="str">
        <f t="shared" si="5"/>
        <v/>
      </c>
      <c r="JQ6" s="97" t="str">
        <f t="shared" si="5"/>
        <v/>
      </c>
      <c r="JR6" s="97" t="str">
        <f t="shared" si="5"/>
        <v/>
      </c>
      <c r="JS6" s="97" t="str">
        <f t="shared" si="5"/>
        <v/>
      </c>
      <c r="JT6" s="97" t="str">
        <f t="shared" si="5"/>
        <v/>
      </c>
      <c r="JU6" s="97" t="str">
        <f t="shared" si="5"/>
        <v/>
      </c>
      <c r="JV6" s="97" t="str">
        <f t="shared" si="5"/>
        <v/>
      </c>
      <c r="JW6" s="97" t="str">
        <f t="shared" si="5"/>
        <v/>
      </c>
      <c r="JX6" s="97" t="str">
        <f t="shared" si="5"/>
        <v/>
      </c>
      <c r="JY6" s="97" t="str">
        <f t="shared" si="5"/>
        <v/>
      </c>
      <c r="JZ6" s="97" t="str">
        <f t="shared" si="5"/>
        <v/>
      </c>
      <c r="KA6" s="97" t="str">
        <f t="shared" si="5"/>
        <v/>
      </c>
      <c r="KB6" s="97" t="str">
        <f t="shared" si="5"/>
        <v/>
      </c>
      <c r="KC6" s="97" t="str">
        <f t="shared" si="5"/>
        <v/>
      </c>
      <c r="KD6" s="97" t="str">
        <f t="shared" si="5"/>
        <v/>
      </c>
      <c r="KE6" s="97" t="str">
        <f t="shared" si="5"/>
        <v/>
      </c>
      <c r="KF6" s="97" t="str">
        <f t="shared" si="5"/>
        <v/>
      </c>
      <c r="KG6" s="97" t="str">
        <f t="shared" si="5"/>
        <v/>
      </c>
      <c r="KH6" s="97" t="str">
        <f t="shared" si="5"/>
        <v/>
      </c>
      <c r="KI6" s="97" t="str">
        <f t="shared" si="5"/>
        <v/>
      </c>
      <c r="KJ6" s="97" t="str">
        <f t="shared" si="5"/>
        <v/>
      </c>
      <c r="KK6" s="97" t="str">
        <f t="shared" si="5"/>
        <v/>
      </c>
      <c r="KL6" s="97" t="str">
        <f t="shared" si="5"/>
        <v/>
      </c>
      <c r="KM6" s="97" t="str">
        <f t="shared" si="5"/>
        <v/>
      </c>
      <c r="KN6" s="97" t="str">
        <f t="shared" si="5"/>
        <v/>
      </c>
      <c r="KO6" s="97" t="str">
        <f t="shared" si="5"/>
        <v/>
      </c>
      <c r="KP6" s="97" t="str">
        <f t="shared" si="5"/>
        <v/>
      </c>
      <c r="KQ6" s="97" t="str">
        <f t="shared" si="5"/>
        <v/>
      </c>
      <c r="KR6" s="97" t="str">
        <f t="shared" si="5"/>
        <v/>
      </c>
      <c r="KS6" s="97" t="str">
        <f t="shared" si="5"/>
        <v/>
      </c>
      <c r="KT6" s="97" t="str">
        <f t="shared" si="5"/>
        <v/>
      </c>
      <c r="KU6" s="97" t="str">
        <f t="shared" si="5"/>
        <v/>
      </c>
      <c r="KV6" s="97" t="str">
        <f t="shared" si="5"/>
        <v/>
      </c>
      <c r="KW6" s="97" t="str">
        <f t="shared" si="5"/>
        <v/>
      </c>
      <c r="KX6" s="97" t="str">
        <f t="shared" si="5"/>
        <v/>
      </c>
      <c r="KY6" s="97" t="str">
        <f t="shared" si="5"/>
        <v/>
      </c>
      <c r="KZ6" s="97" t="str">
        <f t="shared" si="5"/>
        <v/>
      </c>
      <c r="LA6" s="97" t="str">
        <f t="shared" si="5"/>
        <v/>
      </c>
      <c r="LB6" s="97" t="str">
        <f t="shared" si="5"/>
        <v/>
      </c>
      <c r="LC6" s="97" t="str">
        <f t="shared" si="5"/>
        <v/>
      </c>
      <c r="LD6" s="97" t="str">
        <f t="shared" si="5"/>
        <v/>
      </c>
      <c r="LE6" s="97" t="str">
        <f t="shared" si="5"/>
        <v/>
      </c>
      <c r="LF6" s="97" t="str">
        <f t="shared" si="5"/>
        <v/>
      </c>
      <c r="LG6" s="97" t="str">
        <f t="shared" si="5"/>
        <v/>
      </c>
      <c r="LH6" s="97" t="str">
        <f t="shared" si="5"/>
        <v/>
      </c>
      <c r="LI6" s="97" t="str">
        <f t="shared" si="5"/>
        <v/>
      </c>
      <c r="LJ6" s="97" t="str">
        <f t="shared" si="5"/>
        <v/>
      </c>
      <c r="LK6" s="97" t="str">
        <f t="shared" si="5"/>
        <v/>
      </c>
      <c r="LL6" s="97" t="str">
        <f t="shared" si="5"/>
        <v/>
      </c>
      <c r="LM6" s="97" t="str">
        <f t="shared" si="5"/>
        <v/>
      </c>
      <c r="LN6" s="97" t="str">
        <f t="shared" ref="LN6:NY6" si="6">IFERROR(AVERAGE(LN7:LN13),"")</f>
        <v/>
      </c>
      <c r="LO6" s="97" t="str">
        <f t="shared" si="6"/>
        <v/>
      </c>
      <c r="LP6" s="97" t="str">
        <f t="shared" si="6"/>
        <v/>
      </c>
      <c r="LQ6" s="97" t="str">
        <f t="shared" si="6"/>
        <v/>
      </c>
      <c r="LR6" s="97" t="str">
        <f t="shared" si="6"/>
        <v/>
      </c>
      <c r="LS6" s="97" t="str">
        <f t="shared" si="6"/>
        <v/>
      </c>
      <c r="LT6" s="97" t="str">
        <f t="shared" si="6"/>
        <v/>
      </c>
      <c r="LU6" s="97" t="str">
        <f t="shared" si="6"/>
        <v/>
      </c>
      <c r="LV6" s="97" t="str">
        <f t="shared" si="6"/>
        <v/>
      </c>
      <c r="LW6" s="97" t="str">
        <f t="shared" si="6"/>
        <v/>
      </c>
      <c r="LX6" s="97" t="str">
        <f t="shared" si="6"/>
        <v/>
      </c>
      <c r="LY6" s="97" t="str">
        <f t="shared" si="6"/>
        <v/>
      </c>
      <c r="LZ6" s="97" t="str">
        <f t="shared" si="6"/>
        <v/>
      </c>
      <c r="MA6" s="97" t="str">
        <f t="shared" si="6"/>
        <v/>
      </c>
      <c r="MB6" s="97" t="str">
        <f t="shared" si="6"/>
        <v/>
      </c>
      <c r="MC6" s="97" t="str">
        <f t="shared" si="6"/>
        <v/>
      </c>
      <c r="MD6" s="97" t="str">
        <f t="shared" si="6"/>
        <v/>
      </c>
      <c r="ME6" s="97" t="str">
        <f t="shared" si="6"/>
        <v/>
      </c>
      <c r="MF6" s="97" t="str">
        <f t="shared" si="6"/>
        <v/>
      </c>
      <c r="MG6" s="97" t="str">
        <f t="shared" si="6"/>
        <v/>
      </c>
      <c r="MH6" s="97" t="str">
        <f t="shared" si="6"/>
        <v/>
      </c>
      <c r="MI6" s="97" t="str">
        <f t="shared" si="6"/>
        <v/>
      </c>
      <c r="MJ6" s="97" t="str">
        <f t="shared" si="6"/>
        <v/>
      </c>
      <c r="MK6" s="97" t="str">
        <f t="shared" si="6"/>
        <v/>
      </c>
      <c r="ML6" s="97" t="str">
        <f t="shared" si="6"/>
        <v/>
      </c>
      <c r="MM6" s="97" t="str">
        <f t="shared" si="6"/>
        <v/>
      </c>
      <c r="MN6" s="97" t="str">
        <f t="shared" si="6"/>
        <v/>
      </c>
      <c r="MO6" s="97" t="str">
        <f t="shared" si="6"/>
        <v/>
      </c>
      <c r="MP6" s="97" t="str">
        <f t="shared" si="6"/>
        <v/>
      </c>
      <c r="MQ6" s="97" t="str">
        <f t="shared" si="6"/>
        <v/>
      </c>
      <c r="MR6" s="97" t="str">
        <f t="shared" si="6"/>
        <v/>
      </c>
      <c r="MS6" s="97" t="str">
        <f t="shared" si="6"/>
        <v/>
      </c>
      <c r="MT6" s="97" t="str">
        <f t="shared" si="6"/>
        <v/>
      </c>
      <c r="MU6" s="97" t="str">
        <f t="shared" si="6"/>
        <v/>
      </c>
      <c r="MV6" s="97" t="str">
        <f t="shared" si="6"/>
        <v/>
      </c>
      <c r="MW6" s="97" t="str">
        <f t="shared" si="6"/>
        <v/>
      </c>
      <c r="MX6" s="97" t="str">
        <f t="shared" si="6"/>
        <v/>
      </c>
      <c r="MY6" s="97" t="str">
        <f t="shared" si="6"/>
        <v/>
      </c>
      <c r="MZ6" s="97" t="str">
        <f t="shared" si="6"/>
        <v/>
      </c>
      <c r="NA6" s="97" t="str">
        <f t="shared" si="6"/>
        <v/>
      </c>
      <c r="NB6" s="97" t="str">
        <f t="shared" si="6"/>
        <v/>
      </c>
      <c r="NC6" s="97" t="str">
        <f t="shared" si="6"/>
        <v/>
      </c>
      <c r="ND6" s="97" t="str">
        <f t="shared" si="6"/>
        <v/>
      </c>
      <c r="NE6" s="97" t="str">
        <f t="shared" si="6"/>
        <v/>
      </c>
      <c r="NF6" s="97" t="str">
        <f t="shared" si="6"/>
        <v/>
      </c>
      <c r="NG6" s="97" t="str">
        <f t="shared" si="6"/>
        <v/>
      </c>
      <c r="NH6" s="97" t="str">
        <f t="shared" si="6"/>
        <v/>
      </c>
      <c r="NI6" s="97" t="str">
        <f t="shared" si="6"/>
        <v/>
      </c>
      <c r="NJ6" s="97" t="str">
        <f t="shared" si="6"/>
        <v/>
      </c>
      <c r="NK6" s="97" t="str">
        <f t="shared" si="6"/>
        <v/>
      </c>
      <c r="NL6" s="97" t="str">
        <f t="shared" si="6"/>
        <v/>
      </c>
      <c r="NM6" s="97" t="str">
        <f t="shared" si="6"/>
        <v/>
      </c>
      <c r="NN6" s="97" t="str">
        <f t="shared" si="6"/>
        <v/>
      </c>
      <c r="NO6" s="97" t="str">
        <f t="shared" si="6"/>
        <v/>
      </c>
      <c r="NP6" s="97" t="str">
        <f t="shared" si="6"/>
        <v/>
      </c>
      <c r="NQ6" s="97" t="str">
        <f t="shared" si="6"/>
        <v/>
      </c>
      <c r="NR6" s="97" t="str">
        <f t="shared" si="6"/>
        <v/>
      </c>
      <c r="NS6" s="97" t="str">
        <f t="shared" si="6"/>
        <v/>
      </c>
      <c r="NT6" s="97" t="str">
        <f t="shared" si="6"/>
        <v/>
      </c>
      <c r="NU6" s="97" t="str">
        <f t="shared" si="6"/>
        <v/>
      </c>
      <c r="NV6" s="97" t="str">
        <f t="shared" si="6"/>
        <v/>
      </c>
      <c r="NW6" s="97" t="str">
        <f t="shared" si="6"/>
        <v/>
      </c>
      <c r="NX6" s="97" t="str">
        <f t="shared" si="6"/>
        <v/>
      </c>
      <c r="NY6" s="97" t="str">
        <f t="shared" si="6"/>
        <v/>
      </c>
      <c r="NZ6" s="97" t="str">
        <f t="shared" ref="NZ6:QK6" si="7">IFERROR(AVERAGE(NZ7:NZ13),"")</f>
        <v/>
      </c>
      <c r="OA6" s="97" t="str">
        <f t="shared" si="7"/>
        <v/>
      </c>
      <c r="OB6" s="97" t="str">
        <f t="shared" si="7"/>
        <v/>
      </c>
      <c r="OC6" s="97" t="str">
        <f t="shared" si="7"/>
        <v/>
      </c>
      <c r="OD6" s="97" t="str">
        <f t="shared" si="7"/>
        <v/>
      </c>
      <c r="OE6" s="97" t="str">
        <f t="shared" si="7"/>
        <v/>
      </c>
      <c r="OF6" s="97" t="str">
        <f t="shared" si="7"/>
        <v/>
      </c>
      <c r="OG6" s="97" t="str">
        <f t="shared" si="7"/>
        <v/>
      </c>
      <c r="OH6" s="97" t="str">
        <f t="shared" si="7"/>
        <v/>
      </c>
      <c r="OI6" s="97" t="str">
        <f t="shared" si="7"/>
        <v/>
      </c>
      <c r="OJ6" s="97" t="str">
        <f t="shared" si="7"/>
        <v/>
      </c>
      <c r="OK6" s="97" t="str">
        <f t="shared" si="7"/>
        <v/>
      </c>
      <c r="OL6" s="97" t="str">
        <f t="shared" si="7"/>
        <v/>
      </c>
      <c r="OM6" s="97" t="str">
        <f t="shared" si="7"/>
        <v/>
      </c>
      <c r="ON6" s="97" t="str">
        <f t="shared" si="7"/>
        <v/>
      </c>
      <c r="OO6" s="97" t="str">
        <f t="shared" si="7"/>
        <v/>
      </c>
      <c r="OP6" s="97" t="str">
        <f t="shared" si="7"/>
        <v/>
      </c>
      <c r="OQ6" s="97" t="str">
        <f t="shared" si="7"/>
        <v/>
      </c>
      <c r="OR6" s="97" t="str">
        <f t="shared" si="7"/>
        <v/>
      </c>
      <c r="OS6" s="97" t="str">
        <f t="shared" si="7"/>
        <v/>
      </c>
      <c r="OT6" s="97" t="str">
        <f t="shared" si="7"/>
        <v/>
      </c>
      <c r="OU6" s="97" t="str">
        <f t="shared" si="7"/>
        <v/>
      </c>
      <c r="OV6" s="97" t="str">
        <f t="shared" si="7"/>
        <v/>
      </c>
      <c r="OW6" s="97" t="str">
        <f t="shared" si="7"/>
        <v/>
      </c>
      <c r="OX6" s="97" t="str">
        <f t="shared" si="7"/>
        <v/>
      </c>
      <c r="OY6" s="97" t="str">
        <f t="shared" si="7"/>
        <v/>
      </c>
      <c r="OZ6" s="97" t="str">
        <f t="shared" si="7"/>
        <v/>
      </c>
      <c r="PA6" s="97" t="str">
        <f t="shared" si="7"/>
        <v/>
      </c>
      <c r="PB6" s="97" t="str">
        <f t="shared" si="7"/>
        <v/>
      </c>
      <c r="PC6" s="97" t="str">
        <f t="shared" si="7"/>
        <v/>
      </c>
      <c r="PD6" s="97" t="str">
        <f t="shared" si="7"/>
        <v/>
      </c>
      <c r="PE6" s="97" t="str">
        <f t="shared" si="7"/>
        <v/>
      </c>
      <c r="PF6" s="97" t="str">
        <f t="shared" si="7"/>
        <v/>
      </c>
      <c r="PG6" s="97" t="str">
        <f t="shared" si="7"/>
        <v/>
      </c>
      <c r="PH6" s="97" t="str">
        <f t="shared" si="7"/>
        <v/>
      </c>
      <c r="PI6" s="97" t="str">
        <f t="shared" si="7"/>
        <v/>
      </c>
      <c r="PJ6" s="97" t="str">
        <f t="shared" si="7"/>
        <v/>
      </c>
      <c r="PK6" s="97" t="str">
        <f t="shared" si="7"/>
        <v/>
      </c>
      <c r="PL6" s="97" t="str">
        <f t="shared" si="7"/>
        <v/>
      </c>
      <c r="PM6" s="97" t="str">
        <f t="shared" si="7"/>
        <v/>
      </c>
      <c r="PN6" s="97" t="str">
        <f t="shared" si="7"/>
        <v/>
      </c>
      <c r="PO6" s="97" t="str">
        <f t="shared" si="7"/>
        <v/>
      </c>
      <c r="PP6" s="97" t="str">
        <f t="shared" si="7"/>
        <v/>
      </c>
      <c r="PQ6" s="97" t="str">
        <f t="shared" si="7"/>
        <v/>
      </c>
      <c r="PR6" s="97" t="str">
        <f t="shared" si="7"/>
        <v/>
      </c>
      <c r="PS6" s="97" t="str">
        <f t="shared" si="7"/>
        <v/>
      </c>
      <c r="PT6" s="97" t="str">
        <f t="shared" si="7"/>
        <v/>
      </c>
      <c r="PU6" s="97" t="str">
        <f t="shared" si="7"/>
        <v/>
      </c>
      <c r="PV6" s="97" t="str">
        <f t="shared" si="7"/>
        <v/>
      </c>
      <c r="PW6" s="97" t="str">
        <f t="shared" si="7"/>
        <v/>
      </c>
      <c r="PX6" s="97" t="str">
        <f t="shared" si="7"/>
        <v/>
      </c>
      <c r="PY6" s="97" t="str">
        <f t="shared" si="7"/>
        <v/>
      </c>
      <c r="PZ6" s="97" t="str">
        <f t="shared" si="7"/>
        <v/>
      </c>
      <c r="QA6" s="97" t="str">
        <f t="shared" si="7"/>
        <v/>
      </c>
      <c r="QB6" s="97" t="str">
        <f t="shared" si="7"/>
        <v/>
      </c>
      <c r="QC6" s="97" t="str">
        <f t="shared" si="7"/>
        <v/>
      </c>
      <c r="QD6" s="97" t="str">
        <f t="shared" si="7"/>
        <v/>
      </c>
      <c r="QE6" s="97" t="str">
        <f t="shared" si="7"/>
        <v/>
      </c>
      <c r="QF6" s="97" t="str">
        <f t="shared" si="7"/>
        <v/>
      </c>
      <c r="QG6" s="97" t="str">
        <f t="shared" si="7"/>
        <v/>
      </c>
      <c r="QH6" s="97" t="str">
        <f t="shared" si="7"/>
        <v/>
      </c>
      <c r="QI6" s="97" t="str">
        <f t="shared" si="7"/>
        <v/>
      </c>
      <c r="QJ6" s="97" t="str">
        <f t="shared" si="7"/>
        <v/>
      </c>
      <c r="QK6" s="97" t="str">
        <f t="shared" si="7"/>
        <v/>
      </c>
      <c r="QL6" s="97" t="str">
        <f t="shared" ref="QL6:SW6" si="8">IFERROR(AVERAGE(QL7:QL13),"")</f>
        <v/>
      </c>
      <c r="QM6" s="97" t="str">
        <f t="shared" si="8"/>
        <v/>
      </c>
      <c r="QN6" s="97" t="str">
        <f t="shared" si="8"/>
        <v/>
      </c>
      <c r="QO6" s="97" t="str">
        <f t="shared" si="8"/>
        <v/>
      </c>
      <c r="QP6" s="97" t="str">
        <f t="shared" si="8"/>
        <v/>
      </c>
      <c r="QQ6" s="97" t="str">
        <f t="shared" si="8"/>
        <v/>
      </c>
      <c r="QR6" s="97" t="str">
        <f t="shared" si="8"/>
        <v/>
      </c>
      <c r="QS6" s="97" t="str">
        <f t="shared" si="8"/>
        <v/>
      </c>
      <c r="QT6" s="97" t="str">
        <f t="shared" si="8"/>
        <v/>
      </c>
      <c r="QU6" s="97" t="str">
        <f t="shared" si="8"/>
        <v/>
      </c>
      <c r="QV6" s="97" t="str">
        <f t="shared" si="8"/>
        <v/>
      </c>
      <c r="QW6" s="97" t="str">
        <f t="shared" si="8"/>
        <v/>
      </c>
      <c r="QX6" s="97" t="str">
        <f t="shared" si="8"/>
        <v/>
      </c>
      <c r="QY6" s="97" t="str">
        <f t="shared" si="8"/>
        <v/>
      </c>
      <c r="QZ6" s="97" t="str">
        <f t="shared" si="8"/>
        <v/>
      </c>
      <c r="RA6" s="97" t="str">
        <f t="shared" si="8"/>
        <v/>
      </c>
      <c r="RB6" s="97" t="str">
        <f t="shared" si="8"/>
        <v/>
      </c>
      <c r="RC6" s="97" t="str">
        <f t="shared" si="8"/>
        <v/>
      </c>
      <c r="RD6" s="97" t="str">
        <f t="shared" si="8"/>
        <v/>
      </c>
      <c r="RE6" s="97" t="str">
        <f t="shared" si="8"/>
        <v/>
      </c>
      <c r="RF6" s="97" t="str">
        <f t="shared" si="8"/>
        <v/>
      </c>
      <c r="RG6" s="97" t="str">
        <f t="shared" si="8"/>
        <v/>
      </c>
      <c r="RH6" s="97" t="str">
        <f t="shared" si="8"/>
        <v/>
      </c>
      <c r="RI6" s="97" t="str">
        <f t="shared" si="8"/>
        <v/>
      </c>
      <c r="RJ6" s="97" t="str">
        <f t="shared" si="8"/>
        <v/>
      </c>
      <c r="RK6" s="97" t="str">
        <f t="shared" si="8"/>
        <v/>
      </c>
      <c r="RL6" s="97" t="str">
        <f t="shared" si="8"/>
        <v/>
      </c>
      <c r="RM6" s="97" t="str">
        <f t="shared" si="8"/>
        <v/>
      </c>
      <c r="RN6" s="97" t="str">
        <f t="shared" si="8"/>
        <v/>
      </c>
      <c r="RO6" s="97" t="str">
        <f t="shared" si="8"/>
        <v/>
      </c>
      <c r="RP6" s="97" t="str">
        <f t="shared" si="8"/>
        <v/>
      </c>
      <c r="RQ6" s="97" t="str">
        <f t="shared" si="8"/>
        <v/>
      </c>
      <c r="RR6" s="97" t="str">
        <f t="shared" si="8"/>
        <v/>
      </c>
      <c r="RS6" s="97" t="str">
        <f t="shared" si="8"/>
        <v/>
      </c>
      <c r="RT6" s="97" t="str">
        <f t="shared" si="8"/>
        <v/>
      </c>
      <c r="RU6" s="97" t="str">
        <f t="shared" si="8"/>
        <v/>
      </c>
      <c r="RV6" s="97" t="str">
        <f t="shared" si="8"/>
        <v/>
      </c>
      <c r="RW6" s="97" t="str">
        <f t="shared" si="8"/>
        <v/>
      </c>
      <c r="RX6" s="97" t="str">
        <f t="shared" si="8"/>
        <v/>
      </c>
      <c r="RY6" s="97" t="str">
        <f t="shared" si="8"/>
        <v/>
      </c>
      <c r="RZ6" s="97" t="str">
        <f t="shared" si="8"/>
        <v/>
      </c>
      <c r="SA6" s="97" t="str">
        <f t="shared" si="8"/>
        <v/>
      </c>
      <c r="SB6" s="97" t="str">
        <f t="shared" si="8"/>
        <v/>
      </c>
      <c r="SC6" s="97" t="str">
        <f t="shared" si="8"/>
        <v/>
      </c>
      <c r="SD6" s="97" t="str">
        <f t="shared" si="8"/>
        <v/>
      </c>
      <c r="SE6" s="97" t="str">
        <f t="shared" si="8"/>
        <v/>
      </c>
      <c r="SF6" s="97" t="str">
        <f t="shared" si="8"/>
        <v/>
      </c>
      <c r="SG6" s="97" t="str">
        <f t="shared" si="8"/>
        <v/>
      </c>
      <c r="SH6" s="97" t="str">
        <f t="shared" si="8"/>
        <v/>
      </c>
      <c r="SI6" s="97" t="str">
        <f t="shared" si="8"/>
        <v/>
      </c>
      <c r="SJ6" s="97" t="str">
        <f t="shared" si="8"/>
        <v/>
      </c>
      <c r="SK6" s="97" t="str">
        <f t="shared" si="8"/>
        <v/>
      </c>
      <c r="SL6" s="97" t="str">
        <f t="shared" si="8"/>
        <v/>
      </c>
      <c r="SM6" s="97" t="str">
        <f t="shared" si="8"/>
        <v/>
      </c>
      <c r="SN6" s="97" t="str">
        <f t="shared" si="8"/>
        <v/>
      </c>
      <c r="SO6" s="97" t="str">
        <f t="shared" si="8"/>
        <v/>
      </c>
      <c r="SP6" s="97" t="str">
        <f t="shared" si="8"/>
        <v/>
      </c>
      <c r="SQ6" s="97" t="str">
        <f t="shared" si="8"/>
        <v/>
      </c>
      <c r="SR6" s="97" t="str">
        <f t="shared" si="8"/>
        <v/>
      </c>
      <c r="SS6" s="97" t="str">
        <f t="shared" si="8"/>
        <v/>
      </c>
      <c r="ST6" s="97" t="str">
        <f t="shared" si="8"/>
        <v/>
      </c>
      <c r="SU6" s="97" t="str">
        <f t="shared" si="8"/>
        <v/>
      </c>
      <c r="SV6" s="97" t="str">
        <f t="shared" si="8"/>
        <v/>
      </c>
      <c r="SW6" s="97" t="str">
        <f t="shared" si="8"/>
        <v/>
      </c>
      <c r="SX6" s="97" t="str">
        <f t="shared" ref="SX6:VI6" si="9">IFERROR(AVERAGE(SX7:SX13),"")</f>
        <v/>
      </c>
      <c r="SY6" s="97" t="str">
        <f t="shared" si="9"/>
        <v/>
      </c>
      <c r="SZ6" s="97" t="str">
        <f t="shared" si="9"/>
        <v/>
      </c>
      <c r="TA6" s="97" t="str">
        <f t="shared" si="9"/>
        <v/>
      </c>
      <c r="TB6" s="97" t="str">
        <f t="shared" si="9"/>
        <v/>
      </c>
      <c r="TC6" s="97" t="str">
        <f t="shared" si="9"/>
        <v/>
      </c>
      <c r="TD6" s="97" t="str">
        <f t="shared" si="9"/>
        <v/>
      </c>
      <c r="TE6" s="97" t="str">
        <f t="shared" si="9"/>
        <v/>
      </c>
      <c r="TF6" s="97" t="str">
        <f t="shared" si="9"/>
        <v/>
      </c>
      <c r="TG6" s="97" t="str">
        <f t="shared" si="9"/>
        <v/>
      </c>
      <c r="TH6" s="97" t="str">
        <f t="shared" si="9"/>
        <v/>
      </c>
      <c r="TI6" s="97" t="str">
        <f t="shared" si="9"/>
        <v/>
      </c>
      <c r="TJ6" s="97" t="str">
        <f t="shared" si="9"/>
        <v/>
      </c>
      <c r="TK6" s="97" t="str">
        <f t="shared" si="9"/>
        <v/>
      </c>
      <c r="TL6" s="97" t="str">
        <f t="shared" si="9"/>
        <v/>
      </c>
      <c r="TM6" s="97" t="str">
        <f t="shared" si="9"/>
        <v/>
      </c>
      <c r="TN6" s="97" t="str">
        <f t="shared" si="9"/>
        <v/>
      </c>
      <c r="TO6" s="97" t="str">
        <f t="shared" si="9"/>
        <v/>
      </c>
      <c r="TP6" s="97" t="str">
        <f t="shared" si="9"/>
        <v/>
      </c>
      <c r="TQ6" s="97" t="str">
        <f t="shared" si="9"/>
        <v/>
      </c>
      <c r="TR6" s="97" t="str">
        <f t="shared" si="9"/>
        <v/>
      </c>
      <c r="TS6" s="97" t="str">
        <f t="shared" si="9"/>
        <v/>
      </c>
      <c r="TT6" s="97" t="str">
        <f t="shared" si="9"/>
        <v/>
      </c>
      <c r="TU6" s="97" t="str">
        <f t="shared" si="9"/>
        <v/>
      </c>
      <c r="TV6" s="97" t="str">
        <f t="shared" si="9"/>
        <v/>
      </c>
      <c r="TW6" s="97" t="str">
        <f t="shared" si="9"/>
        <v/>
      </c>
      <c r="TX6" s="97" t="str">
        <f t="shared" si="9"/>
        <v/>
      </c>
      <c r="TY6" s="97" t="str">
        <f t="shared" si="9"/>
        <v/>
      </c>
      <c r="TZ6" s="97" t="str">
        <f t="shared" si="9"/>
        <v/>
      </c>
      <c r="UA6" s="97" t="str">
        <f t="shared" si="9"/>
        <v/>
      </c>
      <c r="UB6" s="97" t="str">
        <f t="shared" si="9"/>
        <v/>
      </c>
      <c r="UC6" s="97" t="str">
        <f t="shared" si="9"/>
        <v/>
      </c>
      <c r="UD6" s="97" t="str">
        <f t="shared" si="9"/>
        <v/>
      </c>
      <c r="UE6" s="97" t="str">
        <f t="shared" si="9"/>
        <v/>
      </c>
      <c r="UF6" s="97" t="str">
        <f t="shared" si="9"/>
        <v/>
      </c>
      <c r="UG6" s="97" t="str">
        <f t="shared" si="9"/>
        <v/>
      </c>
      <c r="UH6" s="97" t="str">
        <f t="shared" si="9"/>
        <v/>
      </c>
      <c r="UI6" s="97" t="str">
        <f t="shared" si="9"/>
        <v/>
      </c>
      <c r="UJ6" s="97" t="str">
        <f t="shared" si="9"/>
        <v/>
      </c>
      <c r="UK6" s="97" t="str">
        <f t="shared" si="9"/>
        <v/>
      </c>
      <c r="UL6" s="97" t="str">
        <f t="shared" si="9"/>
        <v/>
      </c>
      <c r="UM6" s="97" t="str">
        <f t="shared" si="9"/>
        <v/>
      </c>
      <c r="UN6" s="97" t="str">
        <f t="shared" si="9"/>
        <v/>
      </c>
      <c r="UO6" s="97" t="str">
        <f t="shared" si="9"/>
        <v/>
      </c>
      <c r="UP6" s="97" t="str">
        <f t="shared" si="9"/>
        <v/>
      </c>
      <c r="UQ6" s="97" t="str">
        <f t="shared" si="9"/>
        <v/>
      </c>
      <c r="UR6" s="97" t="str">
        <f t="shared" si="9"/>
        <v/>
      </c>
      <c r="US6" s="97" t="str">
        <f t="shared" si="9"/>
        <v/>
      </c>
      <c r="UT6" s="97" t="str">
        <f t="shared" si="9"/>
        <v/>
      </c>
      <c r="UU6" s="97" t="str">
        <f t="shared" si="9"/>
        <v/>
      </c>
      <c r="UV6" s="97" t="str">
        <f t="shared" si="9"/>
        <v/>
      </c>
      <c r="UW6" s="97" t="str">
        <f t="shared" si="9"/>
        <v/>
      </c>
      <c r="UX6" s="97" t="str">
        <f t="shared" si="9"/>
        <v/>
      </c>
      <c r="UY6" s="97" t="str">
        <f t="shared" si="9"/>
        <v/>
      </c>
      <c r="UZ6" s="97" t="str">
        <f t="shared" si="9"/>
        <v/>
      </c>
      <c r="VA6" s="97" t="str">
        <f t="shared" si="9"/>
        <v/>
      </c>
      <c r="VB6" s="97" t="str">
        <f t="shared" si="9"/>
        <v/>
      </c>
      <c r="VC6" s="97" t="str">
        <f t="shared" si="9"/>
        <v/>
      </c>
      <c r="VD6" s="97" t="str">
        <f t="shared" si="9"/>
        <v/>
      </c>
      <c r="VE6" s="97" t="str">
        <f t="shared" si="9"/>
        <v/>
      </c>
      <c r="VF6" s="97" t="str">
        <f t="shared" si="9"/>
        <v/>
      </c>
      <c r="VG6" s="97" t="str">
        <f t="shared" si="9"/>
        <v/>
      </c>
      <c r="VH6" s="97" t="str">
        <f t="shared" si="9"/>
        <v/>
      </c>
      <c r="VI6" s="97" t="str">
        <f t="shared" si="9"/>
        <v/>
      </c>
      <c r="VJ6" s="97" t="str">
        <f t="shared" ref="VJ6:XU6" si="10">IFERROR(AVERAGE(VJ7:VJ13),"")</f>
        <v/>
      </c>
      <c r="VK6" s="97" t="str">
        <f t="shared" si="10"/>
        <v/>
      </c>
      <c r="VL6" s="97" t="str">
        <f t="shared" si="10"/>
        <v/>
      </c>
      <c r="VM6" s="97" t="str">
        <f t="shared" si="10"/>
        <v/>
      </c>
      <c r="VN6" s="97" t="str">
        <f t="shared" si="10"/>
        <v/>
      </c>
      <c r="VO6" s="97" t="str">
        <f t="shared" si="10"/>
        <v/>
      </c>
      <c r="VP6" s="97" t="str">
        <f t="shared" si="10"/>
        <v/>
      </c>
      <c r="VQ6" s="97" t="str">
        <f t="shared" si="10"/>
        <v/>
      </c>
      <c r="VR6" s="97" t="str">
        <f t="shared" si="10"/>
        <v/>
      </c>
      <c r="VS6" s="97" t="str">
        <f t="shared" si="10"/>
        <v/>
      </c>
      <c r="VT6" s="97" t="str">
        <f t="shared" si="10"/>
        <v/>
      </c>
      <c r="VU6" s="97" t="str">
        <f t="shared" si="10"/>
        <v/>
      </c>
      <c r="VV6" s="97" t="str">
        <f t="shared" si="10"/>
        <v/>
      </c>
      <c r="VW6" s="97" t="str">
        <f t="shared" si="10"/>
        <v/>
      </c>
      <c r="VX6" s="97" t="str">
        <f t="shared" si="10"/>
        <v/>
      </c>
      <c r="VY6" s="97" t="str">
        <f t="shared" si="10"/>
        <v/>
      </c>
      <c r="VZ6" s="97" t="str">
        <f t="shared" si="10"/>
        <v/>
      </c>
      <c r="WA6" s="97" t="str">
        <f t="shared" si="10"/>
        <v/>
      </c>
      <c r="WB6" s="97" t="str">
        <f t="shared" si="10"/>
        <v/>
      </c>
      <c r="WC6" s="97" t="str">
        <f t="shared" si="10"/>
        <v/>
      </c>
      <c r="WD6" s="97" t="str">
        <f t="shared" si="10"/>
        <v/>
      </c>
      <c r="WE6" s="97" t="str">
        <f t="shared" si="10"/>
        <v/>
      </c>
      <c r="WF6" s="97" t="str">
        <f t="shared" si="10"/>
        <v/>
      </c>
      <c r="WG6" s="97" t="str">
        <f t="shared" si="10"/>
        <v/>
      </c>
      <c r="WH6" s="97" t="str">
        <f t="shared" si="10"/>
        <v/>
      </c>
      <c r="WI6" s="97" t="str">
        <f t="shared" si="10"/>
        <v/>
      </c>
      <c r="WJ6" s="97" t="str">
        <f t="shared" si="10"/>
        <v/>
      </c>
      <c r="WK6" s="97" t="str">
        <f t="shared" si="10"/>
        <v/>
      </c>
      <c r="WL6" s="97" t="str">
        <f t="shared" si="10"/>
        <v/>
      </c>
      <c r="WM6" s="97" t="str">
        <f t="shared" si="10"/>
        <v/>
      </c>
      <c r="WN6" s="97" t="str">
        <f t="shared" si="10"/>
        <v/>
      </c>
      <c r="WO6" s="97" t="str">
        <f t="shared" si="10"/>
        <v/>
      </c>
      <c r="WP6" s="97" t="str">
        <f t="shared" si="10"/>
        <v/>
      </c>
      <c r="WQ6" s="97" t="str">
        <f t="shared" si="10"/>
        <v/>
      </c>
      <c r="WR6" s="97" t="str">
        <f t="shared" si="10"/>
        <v/>
      </c>
      <c r="WS6" s="97" t="str">
        <f t="shared" si="10"/>
        <v/>
      </c>
      <c r="WT6" s="97" t="str">
        <f t="shared" si="10"/>
        <v/>
      </c>
      <c r="WU6" s="97" t="str">
        <f t="shared" si="10"/>
        <v/>
      </c>
      <c r="WV6" s="97" t="str">
        <f t="shared" si="10"/>
        <v/>
      </c>
      <c r="WW6" s="97" t="str">
        <f t="shared" si="10"/>
        <v/>
      </c>
      <c r="WX6" s="97" t="str">
        <f t="shared" si="10"/>
        <v/>
      </c>
      <c r="WY6" s="97" t="str">
        <f t="shared" si="10"/>
        <v/>
      </c>
      <c r="WZ6" s="97" t="str">
        <f t="shared" si="10"/>
        <v/>
      </c>
      <c r="XA6" s="97" t="str">
        <f t="shared" si="10"/>
        <v/>
      </c>
      <c r="XB6" s="97" t="str">
        <f t="shared" si="10"/>
        <v/>
      </c>
      <c r="XC6" s="97" t="str">
        <f t="shared" si="10"/>
        <v/>
      </c>
      <c r="XD6" s="97" t="str">
        <f t="shared" si="10"/>
        <v/>
      </c>
      <c r="XE6" s="97" t="str">
        <f t="shared" si="10"/>
        <v/>
      </c>
      <c r="XF6" s="97" t="str">
        <f t="shared" si="10"/>
        <v/>
      </c>
      <c r="XG6" s="97" t="str">
        <f t="shared" si="10"/>
        <v/>
      </c>
      <c r="XH6" s="97" t="str">
        <f t="shared" si="10"/>
        <v/>
      </c>
      <c r="XI6" s="97" t="str">
        <f t="shared" si="10"/>
        <v/>
      </c>
      <c r="XJ6" s="97" t="str">
        <f t="shared" si="10"/>
        <v/>
      </c>
      <c r="XK6" s="97" t="str">
        <f t="shared" si="10"/>
        <v/>
      </c>
      <c r="XL6" s="97" t="str">
        <f t="shared" si="10"/>
        <v/>
      </c>
      <c r="XM6" s="97" t="str">
        <f t="shared" si="10"/>
        <v/>
      </c>
      <c r="XN6" s="97" t="str">
        <f t="shared" si="10"/>
        <v/>
      </c>
      <c r="XO6" s="97" t="str">
        <f t="shared" si="10"/>
        <v/>
      </c>
      <c r="XP6" s="97" t="str">
        <f t="shared" si="10"/>
        <v/>
      </c>
      <c r="XQ6" s="97" t="str">
        <f t="shared" si="10"/>
        <v/>
      </c>
      <c r="XR6" s="97" t="str">
        <f t="shared" si="10"/>
        <v/>
      </c>
      <c r="XS6" s="97" t="str">
        <f t="shared" si="10"/>
        <v/>
      </c>
      <c r="XT6" s="97" t="str">
        <f t="shared" si="10"/>
        <v/>
      </c>
      <c r="XU6" s="97" t="str">
        <f t="shared" si="10"/>
        <v/>
      </c>
      <c r="XV6" s="97" t="str">
        <f t="shared" ref="XV6:AAG6" si="11">IFERROR(AVERAGE(XV7:XV13),"")</f>
        <v/>
      </c>
      <c r="XW6" s="97" t="str">
        <f t="shared" si="11"/>
        <v/>
      </c>
      <c r="XX6" s="97" t="str">
        <f t="shared" si="11"/>
        <v/>
      </c>
      <c r="XY6" s="97" t="str">
        <f t="shared" si="11"/>
        <v/>
      </c>
      <c r="XZ6" s="97" t="str">
        <f t="shared" si="11"/>
        <v/>
      </c>
      <c r="YA6" s="97" t="str">
        <f t="shared" si="11"/>
        <v/>
      </c>
      <c r="YB6" s="97" t="str">
        <f t="shared" si="11"/>
        <v/>
      </c>
      <c r="YC6" s="97" t="str">
        <f t="shared" si="11"/>
        <v/>
      </c>
      <c r="YD6" s="97" t="str">
        <f t="shared" si="11"/>
        <v/>
      </c>
      <c r="YE6" s="97" t="str">
        <f t="shared" si="11"/>
        <v/>
      </c>
      <c r="YF6" s="97" t="str">
        <f t="shared" si="11"/>
        <v/>
      </c>
      <c r="YG6" s="97" t="str">
        <f t="shared" si="11"/>
        <v/>
      </c>
      <c r="YH6" s="97" t="str">
        <f t="shared" si="11"/>
        <v/>
      </c>
      <c r="YI6" s="97" t="str">
        <f t="shared" si="11"/>
        <v/>
      </c>
      <c r="YJ6" s="97" t="str">
        <f t="shared" si="11"/>
        <v/>
      </c>
      <c r="YK6" s="97" t="str">
        <f t="shared" si="11"/>
        <v/>
      </c>
      <c r="YL6" s="97" t="str">
        <f t="shared" si="11"/>
        <v/>
      </c>
      <c r="YM6" s="97" t="str">
        <f t="shared" si="11"/>
        <v/>
      </c>
      <c r="YN6" s="97" t="str">
        <f t="shared" si="11"/>
        <v/>
      </c>
      <c r="YO6" s="97" t="str">
        <f t="shared" si="11"/>
        <v/>
      </c>
      <c r="YP6" s="97" t="str">
        <f t="shared" si="11"/>
        <v/>
      </c>
      <c r="YQ6" s="97" t="str">
        <f t="shared" si="11"/>
        <v/>
      </c>
      <c r="YR6" s="97" t="str">
        <f t="shared" si="11"/>
        <v/>
      </c>
      <c r="YS6" s="97" t="str">
        <f t="shared" si="11"/>
        <v/>
      </c>
      <c r="YT6" s="97" t="str">
        <f t="shared" si="11"/>
        <v/>
      </c>
      <c r="YU6" s="97" t="str">
        <f t="shared" si="11"/>
        <v/>
      </c>
      <c r="YV6" s="97" t="str">
        <f t="shared" si="11"/>
        <v/>
      </c>
      <c r="YW6" s="97" t="str">
        <f t="shared" si="11"/>
        <v/>
      </c>
      <c r="YX6" s="97" t="str">
        <f t="shared" si="11"/>
        <v/>
      </c>
      <c r="YY6" s="97" t="str">
        <f t="shared" si="11"/>
        <v/>
      </c>
      <c r="YZ6" s="97" t="str">
        <f t="shared" si="11"/>
        <v/>
      </c>
      <c r="ZA6" s="97" t="str">
        <f t="shared" si="11"/>
        <v/>
      </c>
      <c r="ZB6" s="97" t="str">
        <f t="shared" si="11"/>
        <v/>
      </c>
      <c r="ZC6" s="97" t="str">
        <f t="shared" si="11"/>
        <v/>
      </c>
      <c r="ZD6" s="97" t="str">
        <f t="shared" si="11"/>
        <v/>
      </c>
      <c r="ZE6" s="97" t="str">
        <f t="shared" si="11"/>
        <v/>
      </c>
      <c r="ZF6" s="97" t="str">
        <f t="shared" si="11"/>
        <v/>
      </c>
      <c r="ZG6" s="97" t="str">
        <f t="shared" si="11"/>
        <v/>
      </c>
      <c r="ZH6" s="97" t="str">
        <f t="shared" si="11"/>
        <v/>
      </c>
      <c r="ZI6" s="97" t="str">
        <f t="shared" si="11"/>
        <v/>
      </c>
      <c r="ZJ6" s="97" t="str">
        <f t="shared" si="11"/>
        <v/>
      </c>
      <c r="ZK6" s="97" t="str">
        <f t="shared" si="11"/>
        <v/>
      </c>
      <c r="ZL6" s="97" t="str">
        <f t="shared" si="11"/>
        <v/>
      </c>
      <c r="ZM6" s="97" t="str">
        <f t="shared" si="11"/>
        <v/>
      </c>
      <c r="ZN6" s="97" t="str">
        <f t="shared" si="11"/>
        <v/>
      </c>
      <c r="ZO6" s="97" t="str">
        <f t="shared" si="11"/>
        <v/>
      </c>
      <c r="ZP6" s="97" t="str">
        <f t="shared" si="11"/>
        <v/>
      </c>
      <c r="ZQ6" s="97" t="str">
        <f t="shared" si="11"/>
        <v/>
      </c>
      <c r="ZR6" s="97" t="str">
        <f t="shared" si="11"/>
        <v/>
      </c>
      <c r="ZS6" s="97" t="str">
        <f t="shared" si="11"/>
        <v/>
      </c>
      <c r="ZT6" s="97" t="str">
        <f t="shared" si="11"/>
        <v/>
      </c>
      <c r="ZU6" s="97" t="str">
        <f t="shared" si="11"/>
        <v/>
      </c>
      <c r="ZV6" s="97" t="str">
        <f t="shared" si="11"/>
        <v/>
      </c>
      <c r="ZW6" s="97" t="str">
        <f t="shared" si="11"/>
        <v/>
      </c>
      <c r="ZX6" s="97" t="str">
        <f t="shared" si="11"/>
        <v/>
      </c>
      <c r="ZY6" s="97" t="str">
        <f t="shared" si="11"/>
        <v/>
      </c>
      <c r="ZZ6" s="97" t="str">
        <f t="shared" si="11"/>
        <v/>
      </c>
      <c r="AAA6" s="97" t="str">
        <f t="shared" si="11"/>
        <v/>
      </c>
      <c r="AAB6" s="97" t="str">
        <f t="shared" si="11"/>
        <v/>
      </c>
      <c r="AAC6" s="97" t="str">
        <f t="shared" si="11"/>
        <v/>
      </c>
      <c r="AAD6" s="97" t="str">
        <f t="shared" si="11"/>
        <v/>
      </c>
      <c r="AAE6" s="97" t="str">
        <f t="shared" si="11"/>
        <v/>
      </c>
      <c r="AAF6" s="97" t="str">
        <f t="shared" si="11"/>
        <v/>
      </c>
      <c r="AAG6" s="97" t="str">
        <f t="shared" si="11"/>
        <v/>
      </c>
      <c r="AAH6" s="97" t="str">
        <f t="shared" ref="AAH6:ACS6" si="12">IFERROR(AVERAGE(AAH7:AAH13),"")</f>
        <v/>
      </c>
      <c r="AAI6" s="97" t="str">
        <f t="shared" si="12"/>
        <v/>
      </c>
      <c r="AAJ6" s="97" t="str">
        <f t="shared" si="12"/>
        <v/>
      </c>
      <c r="AAK6" s="97" t="str">
        <f t="shared" si="12"/>
        <v/>
      </c>
      <c r="AAL6" s="97" t="str">
        <f t="shared" si="12"/>
        <v/>
      </c>
      <c r="AAM6" s="97" t="str">
        <f t="shared" si="12"/>
        <v/>
      </c>
      <c r="AAN6" s="97" t="str">
        <f t="shared" si="12"/>
        <v/>
      </c>
      <c r="AAO6" s="97" t="str">
        <f t="shared" si="12"/>
        <v/>
      </c>
      <c r="AAP6" s="97" t="str">
        <f t="shared" si="12"/>
        <v/>
      </c>
      <c r="AAQ6" s="97" t="str">
        <f t="shared" si="12"/>
        <v/>
      </c>
      <c r="AAR6" s="97" t="str">
        <f t="shared" si="12"/>
        <v/>
      </c>
      <c r="AAS6" s="97" t="str">
        <f t="shared" si="12"/>
        <v/>
      </c>
      <c r="AAT6" s="97" t="str">
        <f t="shared" si="12"/>
        <v/>
      </c>
      <c r="AAU6" s="97" t="str">
        <f t="shared" si="12"/>
        <v/>
      </c>
      <c r="AAV6" s="97" t="str">
        <f t="shared" si="12"/>
        <v/>
      </c>
      <c r="AAW6" s="97" t="str">
        <f t="shared" si="12"/>
        <v/>
      </c>
      <c r="AAX6" s="97" t="str">
        <f t="shared" si="12"/>
        <v/>
      </c>
      <c r="AAY6" s="97" t="str">
        <f t="shared" si="12"/>
        <v/>
      </c>
      <c r="AAZ6" s="97" t="str">
        <f t="shared" si="12"/>
        <v/>
      </c>
      <c r="ABA6" s="97" t="str">
        <f t="shared" si="12"/>
        <v/>
      </c>
      <c r="ABB6" s="97" t="str">
        <f t="shared" si="12"/>
        <v/>
      </c>
      <c r="ABC6" s="97" t="str">
        <f t="shared" si="12"/>
        <v/>
      </c>
      <c r="ABD6" s="97" t="str">
        <f t="shared" si="12"/>
        <v/>
      </c>
      <c r="ABE6" s="97" t="str">
        <f t="shared" si="12"/>
        <v/>
      </c>
      <c r="ABF6" s="97" t="str">
        <f t="shared" si="12"/>
        <v/>
      </c>
      <c r="ABG6" s="97" t="str">
        <f t="shared" si="12"/>
        <v/>
      </c>
      <c r="ABH6" s="97" t="str">
        <f t="shared" si="12"/>
        <v/>
      </c>
      <c r="ABI6" s="97" t="str">
        <f t="shared" si="12"/>
        <v/>
      </c>
      <c r="ABJ6" s="97" t="str">
        <f t="shared" si="12"/>
        <v/>
      </c>
      <c r="ABK6" s="97" t="str">
        <f t="shared" si="12"/>
        <v/>
      </c>
      <c r="ABL6" s="97" t="str">
        <f t="shared" si="12"/>
        <v/>
      </c>
      <c r="ABM6" s="97" t="str">
        <f t="shared" si="12"/>
        <v/>
      </c>
      <c r="ABN6" s="97" t="str">
        <f t="shared" si="12"/>
        <v/>
      </c>
      <c r="ABO6" s="97" t="str">
        <f t="shared" si="12"/>
        <v/>
      </c>
      <c r="ABP6" s="97" t="str">
        <f t="shared" si="12"/>
        <v/>
      </c>
      <c r="ABQ6" s="97" t="str">
        <f t="shared" si="12"/>
        <v/>
      </c>
      <c r="ABR6" s="97" t="str">
        <f t="shared" si="12"/>
        <v/>
      </c>
      <c r="ABS6" s="97" t="str">
        <f t="shared" si="12"/>
        <v/>
      </c>
      <c r="ABT6" s="97" t="str">
        <f t="shared" si="12"/>
        <v/>
      </c>
      <c r="ABU6" s="97" t="str">
        <f t="shared" si="12"/>
        <v/>
      </c>
      <c r="ABV6" s="97" t="str">
        <f t="shared" si="12"/>
        <v/>
      </c>
      <c r="ABW6" s="97" t="str">
        <f t="shared" si="12"/>
        <v/>
      </c>
      <c r="ABX6" s="97" t="str">
        <f t="shared" si="12"/>
        <v/>
      </c>
      <c r="ABY6" s="97" t="str">
        <f t="shared" si="12"/>
        <v/>
      </c>
      <c r="ABZ6" s="97" t="str">
        <f t="shared" si="12"/>
        <v/>
      </c>
      <c r="ACA6" s="97" t="str">
        <f t="shared" si="12"/>
        <v/>
      </c>
      <c r="ACB6" s="97" t="str">
        <f t="shared" si="12"/>
        <v/>
      </c>
      <c r="ACC6" s="97" t="str">
        <f t="shared" si="12"/>
        <v/>
      </c>
      <c r="ACD6" s="97" t="str">
        <f t="shared" si="12"/>
        <v/>
      </c>
      <c r="ACE6" s="97" t="str">
        <f t="shared" si="12"/>
        <v/>
      </c>
      <c r="ACF6" s="97" t="str">
        <f t="shared" si="12"/>
        <v/>
      </c>
      <c r="ACG6" s="97" t="str">
        <f t="shared" si="12"/>
        <v/>
      </c>
      <c r="ACH6" s="97" t="str">
        <f t="shared" si="12"/>
        <v/>
      </c>
      <c r="ACI6" s="97" t="str">
        <f t="shared" si="12"/>
        <v/>
      </c>
      <c r="ACJ6" s="97" t="str">
        <f t="shared" si="12"/>
        <v/>
      </c>
      <c r="ACK6" s="97" t="str">
        <f t="shared" si="12"/>
        <v/>
      </c>
      <c r="ACL6" s="97" t="str">
        <f t="shared" si="12"/>
        <v/>
      </c>
      <c r="ACM6" s="97" t="str">
        <f t="shared" si="12"/>
        <v/>
      </c>
      <c r="ACN6" s="97" t="str">
        <f t="shared" si="12"/>
        <v/>
      </c>
      <c r="ACO6" s="97" t="str">
        <f t="shared" si="12"/>
        <v/>
      </c>
      <c r="ACP6" s="97" t="str">
        <f t="shared" si="12"/>
        <v/>
      </c>
      <c r="ACQ6" s="97" t="str">
        <f t="shared" si="12"/>
        <v/>
      </c>
      <c r="ACR6" s="97" t="str">
        <f t="shared" si="12"/>
        <v/>
      </c>
      <c r="ACS6" s="97" t="str">
        <f t="shared" si="12"/>
        <v/>
      </c>
      <c r="ACT6" s="97" t="str">
        <f t="shared" ref="ACT6:AFE6" si="13">IFERROR(AVERAGE(ACT7:ACT13),"")</f>
        <v/>
      </c>
      <c r="ACU6" s="97" t="str">
        <f t="shared" si="13"/>
        <v/>
      </c>
      <c r="ACV6" s="97" t="str">
        <f t="shared" si="13"/>
        <v/>
      </c>
      <c r="ACW6" s="97" t="str">
        <f t="shared" si="13"/>
        <v/>
      </c>
      <c r="ACX6" s="97" t="str">
        <f t="shared" si="13"/>
        <v/>
      </c>
      <c r="ACY6" s="97" t="str">
        <f t="shared" si="13"/>
        <v/>
      </c>
      <c r="ACZ6" s="97" t="str">
        <f t="shared" si="13"/>
        <v/>
      </c>
      <c r="ADA6" s="97" t="str">
        <f t="shared" si="13"/>
        <v/>
      </c>
      <c r="ADB6" s="97" t="str">
        <f t="shared" si="13"/>
        <v/>
      </c>
      <c r="ADC6" s="97" t="str">
        <f t="shared" si="13"/>
        <v/>
      </c>
      <c r="ADD6" s="97" t="str">
        <f t="shared" si="13"/>
        <v/>
      </c>
      <c r="ADE6" s="97" t="str">
        <f t="shared" si="13"/>
        <v/>
      </c>
      <c r="ADF6" s="97" t="str">
        <f t="shared" si="13"/>
        <v/>
      </c>
      <c r="ADG6" s="97" t="str">
        <f t="shared" si="13"/>
        <v/>
      </c>
      <c r="ADH6" s="97" t="str">
        <f t="shared" si="13"/>
        <v/>
      </c>
      <c r="ADI6" s="97" t="str">
        <f t="shared" si="13"/>
        <v/>
      </c>
      <c r="ADJ6" s="97" t="str">
        <f t="shared" si="13"/>
        <v/>
      </c>
      <c r="ADK6" s="97" t="str">
        <f t="shared" si="13"/>
        <v/>
      </c>
      <c r="ADL6" s="97" t="str">
        <f t="shared" si="13"/>
        <v/>
      </c>
      <c r="ADM6" s="97" t="str">
        <f t="shared" si="13"/>
        <v/>
      </c>
      <c r="ADN6" s="97" t="str">
        <f t="shared" si="13"/>
        <v/>
      </c>
      <c r="ADO6" s="97" t="str">
        <f t="shared" si="13"/>
        <v/>
      </c>
      <c r="ADP6" s="97" t="str">
        <f t="shared" si="13"/>
        <v/>
      </c>
      <c r="ADQ6" s="97" t="str">
        <f t="shared" si="13"/>
        <v/>
      </c>
      <c r="ADR6" s="97" t="str">
        <f t="shared" si="13"/>
        <v/>
      </c>
      <c r="ADS6" s="97" t="str">
        <f t="shared" si="13"/>
        <v/>
      </c>
      <c r="ADT6" s="97" t="str">
        <f t="shared" si="13"/>
        <v/>
      </c>
      <c r="ADU6" s="97" t="str">
        <f t="shared" si="13"/>
        <v/>
      </c>
      <c r="ADV6" s="97" t="str">
        <f t="shared" si="13"/>
        <v/>
      </c>
      <c r="ADW6" s="97" t="str">
        <f t="shared" si="13"/>
        <v/>
      </c>
      <c r="ADX6" s="97" t="str">
        <f t="shared" si="13"/>
        <v/>
      </c>
      <c r="ADY6" s="97" t="str">
        <f t="shared" si="13"/>
        <v/>
      </c>
      <c r="ADZ6" s="97" t="str">
        <f t="shared" si="13"/>
        <v/>
      </c>
      <c r="AEA6" s="97" t="str">
        <f t="shared" si="13"/>
        <v/>
      </c>
      <c r="AEB6" s="97" t="str">
        <f t="shared" si="13"/>
        <v/>
      </c>
      <c r="AEC6" s="97" t="str">
        <f t="shared" si="13"/>
        <v/>
      </c>
      <c r="AED6" s="97" t="str">
        <f t="shared" si="13"/>
        <v/>
      </c>
      <c r="AEE6" s="97" t="str">
        <f t="shared" si="13"/>
        <v/>
      </c>
      <c r="AEF6" s="97" t="str">
        <f t="shared" si="13"/>
        <v/>
      </c>
      <c r="AEG6" s="97" t="str">
        <f t="shared" si="13"/>
        <v/>
      </c>
      <c r="AEH6" s="97" t="str">
        <f t="shared" si="13"/>
        <v/>
      </c>
      <c r="AEI6" s="97" t="str">
        <f t="shared" si="13"/>
        <v/>
      </c>
      <c r="AEJ6" s="97" t="str">
        <f t="shared" si="13"/>
        <v/>
      </c>
      <c r="AEK6" s="97" t="str">
        <f t="shared" si="13"/>
        <v/>
      </c>
      <c r="AEL6" s="97" t="str">
        <f t="shared" si="13"/>
        <v/>
      </c>
      <c r="AEM6" s="97" t="str">
        <f t="shared" si="13"/>
        <v/>
      </c>
      <c r="AEN6" s="97" t="str">
        <f t="shared" si="13"/>
        <v/>
      </c>
      <c r="AEO6" s="97" t="str">
        <f t="shared" si="13"/>
        <v/>
      </c>
      <c r="AEP6" s="97" t="str">
        <f t="shared" si="13"/>
        <v/>
      </c>
      <c r="AEQ6" s="97" t="str">
        <f t="shared" si="13"/>
        <v/>
      </c>
      <c r="AER6" s="97" t="str">
        <f t="shared" si="13"/>
        <v/>
      </c>
      <c r="AES6" s="97" t="str">
        <f t="shared" si="13"/>
        <v/>
      </c>
      <c r="AET6" s="97" t="str">
        <f t="shared" si="13"/>
        <v/>
      </c>
      <c r="AEU6" s="97" t="str">
        <f t="shared" si="13"/>
        <v/>
      </c>
      <c r="AEV6" s="97" t="str">
        <f t="shared" si="13"/>
        <v/>
      </c>
      <c r="AEW6" s="97" t="str">
        <f t="shared" si="13"/>
        <v/>
      </c>
      <c r="AEX6" s="97" t="str">
        <f t="shared" si="13"/>
        <v/>
      </c>
      <c r="AEY6" s="97" t="str">
        <f t="shared" si="13"/>
        <v/>
      </c>
      <c r="AEZ6" s="97" t="str">
        <f t="shared" si="13"/>
        <v/>
      </c>
      <c r="AFA6" s="97" t="str">
        <f t="shared" si="13"/>
        <v/>
      </c>
      <c r="AFB6" s="97" t="str">
        <f t="shared" si="13"/>
        <v/>
      </c>
      <c r="AFC6" s="97" t="str">
        <f t="shared" si="13"/>
        <v/>
      </c>
      <c r="AFD6" s="97" t="str">
        <f t="shared" si="13"/>
        <v/>
      </c>
      <c r="AFE6" s="97" t="str">
        <f t="shared" si="13"/>
        <v/>
      </c>
      <c r="AFF6" s="97" t="str">
        <f t="shared" ref="AFF6:AHQ6" si="14">IFERROR(AVERAGE(AFF7:AFF13),"")</f>
        <v/>
      </c>
      <c r="AFG6" s="97" t="str">
        <f t="shared" si="14"/>
        <v/>
      </c>
      <c r="AFH6" s="97" t="str">
        <f t="shared" si="14"/>
        <v/>
      </c>
      <c r="AFI6" s="97" t="str">
        <f t="shared" si="14"/>
        <v/>
      </c>
      <c r="AFJ6" s="97" t="str">
        <f t="shared" si="14"/>
        <v/>
      </c>
      <c r="AFK6" s="97" t="str">
        <f t="shared" si="14"/>
        <v/>
      </c>
      <c r="AFL6" s="97" t="str">
        <f t="shared" si="14"/>
        <v/>
      </c>
      <c r="AFM6" s="97" t="str">
        <f t="shared" si="14"/>
        <v/>
      </c>
      <c r="AFN6" s="97" t="str">
        <f t="shared" si="14"/>
        <v/>
      </c>
      <c r="AFO6" s="97" t="str">
        <f t="shared" si="14"/>
        <v/>
      </c>
      <c r="AFP6" s="97" t="str">
        <f t="shared" si="14"/>
        <v/>
      </c>
      <c r="AFQ6" s="97" t="str">
        <f t="shared" si="14"/>
        <v/>
      </c>
      <c r="AFR6" s="97" t="str">
        <f t="shared" si="14"/>
        <v/>
      </c>
      <c r="AFS6" s="97" t="str">
        <f t="shared" si="14"/>
        <v/>
      </c>
      <c r="AFT6" s="97" t="str">
        <f t="shared" si="14"/>
        <v/>
      </c>
      <c r="AFU6" s="97" t="str">
        <f t="shared" si="14"/>
        <v/>
      </c>
      <c r="AFV6" s="97" t="str">
        <f t="shared" si="14"/>
        <v/>
      </c>
      <c r="AFW6" s="97" t="str">
        <f t="shared" si="14"/>
        <v/>
      </c>
      <c r="AFX6" s="97" t="str">
        <f t="shared" si="14"/>
        <v/>
      </c>
      <c r="AFY6" s="97" t="str">
        <f t="shared" si="14"/>
        <v/>
      </c>
      <c r="AFZ6" s="97" t="str">
        <f t="shared" si="14"/>
        <v/>
      </c>
      <c r="AGA6" s="97" t="str">
        <f t="shared" si="14"/>
        <v/>
      </c>
      <c r="AGB6" s="97" t="str">
        <f t="shared" si="14"/>
        <v/>
      </c>
      <c r="AGC6" s="97" t="str">
        <f t="shared" si="14"/>
        <v/>
      </c>
      <c r="AGD6" s="97" t="str">
        <f t="shared" si="14"/>
        <v/>
      </c>
      <c r="AGE6" s="97" t="str">
        <f t="shared" si="14"/>
        <v/>
      </c>
      <c r="AGF6" s="97" t="str">
        <f t="shared" si="14"/>
        <v/>
      </c>
      <c r="AGG6" s="97" t="str">
        <f t="shared" si="14"/>
        <v/>
      </c>
      <c r="AGH6" s="97" t="str">
        <f t="shared" si="14"/>
        <v/>
      </c>
      <c r="AGI6" s="97" t="str">
        <f t="shared" si="14"/>
        <v/>
      </c>
      <c r="AGJ6" s="97" t="str">
        <f t="shared" si="14"/>
        <v/>
      </c>
      <c r="AGK6" s="97" t="str">
        <f t="shared" si="14"/>
        <v/>
      </c>
      <c r="AGL6" s="97" t="str">
        <f t="shared" si="14"/>
        <v/>
      </c>
      <c r="AGM6" s="97" t="str">
        <f t="shared" si="14"/>
        <v/>
      </c>
      <c r="AGN6" s="97" t="str">
        <f t="shared" si="14"/>
        <v/>
      </c>
      <c r="AGO6" s="97" t="str">
        <f t="shared" si="14"/>
        <v/>
      </c>
      <c r="AGP6" s="97" t="str">
        <f t="shared" si="14"/>
        <v/>
      </c>
      <c r="AGQ6" s="97" t="str">
        <f t="shared" si="14"/>
        <v/>
      </c>
      <c r="AGR6" s="97" t="str">
        <f t="shared" si="14"/>
        <v/>
      </c>
      <c r="AGS6" s="97" t="str">
        <f t="shared" si="14"/>
        <v/>
      </c>
      <c r="AGT6" s="97" t="str">
        <f t="shared" si="14"/>
        <v/>
      </c>
      <c r="AGU6" s="97" t="str">
        <f t="shared" si="14"/>
        <v/>
      </c>
      <c r="AGV6" s="97" t="str">
        <f t="shared" si="14"/>
        <v/>
      </c>
      <c r="AGW6" s="97" t="str">
        <f t="shared" si="14"/>
        <v/>
      </c>
      <c r="AGX6" s="97" t="str">
        <f t="shared" si="14"/>
        <v/>
      </c>
      <c r="AGY6" s="97" t="str">
        <f t="shared" si="14"/>
        <v/>
      </c>
      <c r="AGZ6" s="97" t="str">
        <f t="shared" si="14"/>
        <v/>
      </c>
      <c r="AHA6" s="97" t="str">
        <f t="shared" si="14"/>
        <v/>
      </c>
      <c r="AHB6" s="97" t="str">
        <f t="shared" si="14"/>
        <v/>
      </c>
      <c r="AHC6" s="97" t="str">
        <f t="shared" si="14"/>
        <v/>
      </c>
      <c r="AHD6" s="97" t="str">
        <f t="shared" si="14"/>
        <v/>
      </c>
      <c r="AHE6" s="97" t="str">
        <f t="shared" si="14"/>
        <v/>
      </c>
      <c r="AHF6" s="97" t="str">
        <f t="shared" si="14"/>
        <v/>
      </c>
      <c r="AHG6" s="97" t="str">
        <f t="shared" si="14"/>
        <v/>
      </c>
      <c r="AHH6" s="97" t="str">
        <f t="shared" si="14"/>
        <v/>
      </c>
      <c r="AHI6" s="97" t="str">
        <f t="shared" si="14"/>
        <v/>
      </c>
      <c r="AHJ6" s="97" t="str">
        <f t="shared" si="14"/>
        <v/>
      </c>
      <c r="AHK6" s="97" t="str">
        <f t="shared" si="14"/>
        <v/>
      </c>
      <c r="AHL6" s="97" t="str">
        <f t="shared" si="14"/>
        <v/>
      </c>
      <c r="AHM6" s="97" t="str">
        <f t="shared" si="14"/>
        <v/>
      </c>
      <c r="AHN6" s="97" t="str">
        <f t="shared" si="14"/>
        <v/>
      </c>
      <c r="AHO6" s="97" t="str">
        <f t="shared" si="14"/>
        <v/>
      </c>
      <c r="AHP6" s="97" t="str">
        <f t="shared" si="14"/>
        <v/>
      </c>
      <c r="AHQ6" s="97" t="str">
        <f t="shared" si="14"/>
        <v/>
      </c>
      <c r="AHR6" s="97" t="str">
        <f t="shared" ref="AHR6:AKC6" si="15">IFERROR(AVERAGE(AHR7:AHR13),"")</f>
        <v/>
      </c>
      <c r="AHS6" s="97" t="str">
        <f t="shared" si="15"/>
        <v/>
      </c>
      <c r="AHT6" s="97" t="str">
        <f t="shared" si="15"/>
        <v/>
      </c>
      <c r="AHU6" s="97" t="str">
        <f t="shared" si="15"/>
        <v/>
      </c>
      <c r="AHV6" s="97" t="str">
        <f t="shared" si="15"/>
        <v/>
      </c>
      <c r="AHW6" s="97" t="str">
        <f t="shared" si="15"/>
        <v/>
      </c>
      <c r="AHX6" s="97" t="str">
        <f t="shared" si="15"/>
        <v/>
      </c>
      <c r="AHY6" s="97" t="str">
        <f t="shared" si="15"/>
        <v/>
      </c>
      <c r="AHZ6" s="97" t="str">
        <f t="shared" si="15"/>
        <v/>
      </c>
      <c r="AIA6" s="97" t="str">
        <f t="shared" si="15"/>
        <v/>
      </c>
      <c r="AIB6" s="97" t="str">
        <f t="shared" si="15"/>
        <v/>
      </c>
      <c r="AIC6" s="97" t="str">
        <f t="shared" si="15"/>
        <v/>
      </c>
      <c r="AID6" s="97" t="str">
        <f t="shared" si="15"/>
        <v/>
      </c>
      <c r="AIE6" s="97" t="str">
        <f t="shared" si="15"/>
        <v/>
      </c>
      <c r="AIF6" s="97" t="str">
        <f t="shared" si="15"/>
        <v/>
      </c>
      <c r="AIG6" s="97" t="str">
        <f t="shared" si="15"/>
        <v/>
      </c>
      <c r="AIH6" s="97" t="str">
        <f t="shared" si="15"/>
        <v/>
      </c>
      <c r="AII6" s="97" t="str">
        <f t="shared" si="15"/>
        <v/>
      </c>
      <c r="AIJ6" s="97" t="str">
        <f t="shared" si="15"/>
        <v/>
      </c>
      <c r="AIK6" s="97" t="str">
        <f t="shared" si="15"/>
        <v/>
      </c>
      <c r="AIL6" s="97" t="str">
        <f t="shared" si="15"/>
        <v/>
      </c>
      <c r="AIM6" s="97" t="str">
        <f t="shared" si="15"/>
        <v/>
      </c>
      <c r="AIN6" s="97" t="str">
        <f t="shared" si="15"/>
        <v/>
      </c>
      <c r="AIO6" s="97" t="str">
        <f t="shared" si="15"/>
        <v/>
      </c>
      <c r="AIP6" s="97" t="str">
        <f t="shared" si="15"/>
        <v/>
      </c>
      <c r="AIQ6" s="97" t="str">
        <f t="shared" si="15"/>
        <v/>
      </c>
      <c r="AIR6" s="97" t="str">
        <f t="shared" si="15"/>
        <v/>
      </c>
      <c r="AIS6" s="97" t="str">
        <f t="shared" si="15"/>
        <v/>
      </c>
      <c r="AIT6" s="97" t="str">
        <f t="shared" si="15"/>
        <v/>
      </c>
      <c r="AIU6" s="97" t="str">
        <f t="shared" si="15"/>
        <v/>
      </c>
      <c r="AIV6" s="97" t="str">
        <f t="shared" si="15"/>
        <v/>
      </c>
      <c r="AIW6" s="97" t="str">
        <f t="shared" si="15"/>
        <v/>
      </c>
      <c r="AIX6" s="97" t="str">
        <f t="shared" si="15"/>
        <v/>
      </c>
      <c r="AIY6" s="97" t="str">
        <f t="shared" si="15"/>
        <v/>
      </c>
      <c r="AIZ6" s="97" t="str">
        <f t="shared" si="15"/>
        <v/>
      </c>
      <c r="AJA6" s="97" t="str">
        <f t="shared" si="15"/>
        <v/>
      </c>
      <c r="AJB6" s="97" t="str">
        <f t="shared" si="15"/>
        <v/>
      </c>
      <c r="AJC6" s="97" t="str">
        <f t="shared" si="15"/>
        <v/>
      </c>
      <c r="AJD6" s="97" t="str">
        <f t="shared" si="15"/>
        <v/>
      </c>
      <c r="AJE6" s="97" t="str">
        <f t="shared" si="15"/>
        <v/>
      </c>
      <c r="AJF6" s="97" t="str">
        <f t="shared" si="15"/>
        <v/>
      </c>
      <c r="AJG6" s="97" t="str">
        <f t="shared" si="15"/>
        <v/>
      </c>
      <c r="AJH6" s="97" t="str">
        <f t="shared" si="15"/>
        <v/>
      </c>
      <c r="AJI6" s="97" t="str">
        <f t="shared" si="15"/>
        <v/>
      </c>
      <c r="AJJ6" s="97" t="str">
        <f t="shared" si="15"/>
        <v/>
      </c>
      <c r="AJK6" s="97" t="str">
        <f t="shared" si="15"/>
        <v/>
      </c>
      <c r="AJL6" s="97" t="str">
        <f t="shared" si="15"/>
        <v/>
      </c>
      <c r="AJM6" s="97" t="str">
        <f t="shared" si="15"/>
        <v/>
      </c>
      <c r="AJN6" s="97" t="str">
        <f t="shared" si="15"/>
        <v/>
      </c>
      <c r="AJO6" s="97" t="str">
        <f t="shared" si="15"/>
        <v/>
      </c>
      <c r="AJP6" s="97" t="str">
        <f t="shared" si="15"/>
        <v/>
      </c>
      <c r="AJQ6" s="97" t="str">
        <f t="shared" si="15"/>
        <v/>
      </c>
      <c r="AJR6" s="97" t="str">
        <f t="shared" si="15"/>
        <v/>
      </c>
      <c r="AJS6" s="97" t="str">
        <f t="shared" si="15"/>
        <v/>
      </c>
      <c r="AJT6" s="97" t="str">
        <f t="shared" si="15"/>
        <v/>
      </c>
      <c r="AJU6" s="97" t="str">
        <f t="shared" si="15"/>
        <v/>
      </c>
      <c r="AJV6" s="97" t="str">
        <f t="shared" si="15"/>
        <v/>
      </c>
      <c r="AJW6" s="97" t="str">
        <f t="shared" si="15"/>
        <v/>
      </c>
      <c r="AJX6" s="97" t="str">
        <f t="shared" si="15"/>
        <v/>
      </c>
      <c r="AJY6" s="97" t="str">
        <f t="shared" si="15"/>
        <v/>
      </c>
      <c r="AJZ6" s="97" t="str">
        <f t="shared" si="15"/>
        <v/>
      </c>
      <c r="AKA6" s="97" t="str">
        <f t="shared" si="15"/>
        <v/>
      </c>
      <c r="AKB6" s="97" t="str">
        <f t="shared" si="15"/>
        <v/>
      </c>
      <c r="AKC6" s="97" t="str">
        <f t="shared" si="15"/>
        <v/>
      </c>
      <c r="AKD6" s="97" t="str">
        <f t="shared" ref="AKD6:AMO6" si="16">IFERROR(AVERAGE(AKD7:AKD13),"")</f>
        <v/>
      </c>
      <c r="AKE6" s="97" t="str">
        <f t="shared" si="16"/>
        <v/>
      </c>
      <c r="AKF6" s="97" t="str">
        <f t="shared" si="16"/>
        <v/>
      </c>
      <c r="AKG6" s="97" t="str">
        <f t="shared" si="16"/>
        <v/>
      </c>
      <c r="AKH6" s="97" t="str">
        <f t="shared" si="16"/>
        <v/>
      </c>
      <c r="AKI6" s="97" t="str">
        <f t="shared" si="16"/>
        <v/>
      </c>
      <c r="AKJ6" s="97" t="str">
        <f t="shared" si="16"/>
        <v/>
      </c>
      <c r="AKK6" s="97" t="str">
        <f t="shared" si="16"/>
        <v/>
      </c>
      <c r="AKL6" s="97" t="str">
        <f t="shared" si="16"/>
        <v/>
      </c>
      <c r="AKM6" s="97" t="str">
        <f t="shared" si="16"/>
        <v/>
      </c>
      <c r="AKN6" s="97" t="str">
        <f t="shared" si="16"/>
        <v/>
      </c>
      <c r="AKO6" s="97" t="str">
        <f t="shared" si="16"/>
        <v/>
      </c>
      <c r="AKP6" s="97" t="str">
        <f t="shared" si="16"/>
        <v/>
      </c>
      <c r="AKQ6" s="97" t="str">
        <f t="shared" si="16"/>
        <v/>
      </c>
      <c r="AKR6" s="97" t="str">
        <f t="shared" si="16"/>
        <v/>
      </c>
      <c r="AKS6" s="97" t="str">
        <f t="shared" si="16"/>
        <v/>
      </c>
      <c r="AKT6" s="97" t="str">
        <f t="shared" si="16"/>
        <v/>
      </c>
      <c r="AKU6" s="97" t="str">
        <f t="shared" si="16"/>
        <v/>
      </c>
      <c r="AKV6" s="97" t="str">
        <f t="shared" si="16"/>
        <v/>
      </c>
      <c r="AKW6" s="97" t="str">
        <f t="shared" si="16"/>
        <v/>
      </c>
      <c r="AKX6" s="97" t="str">
        <f t="shared" si="16"/>
        <v/>
      </c>
      <c r="AKY6" s="97" t="str">
        <f t="shared" si="16"/>
        <v/>
      </c>
      <c r="AKZ6" s="97" t="str">
        <f t="shared" si="16"/>
        <v/>
      </c>
      <c r="ALA6" s="97" t="str">
        <f t="shared" si="16"/>
        <v/>
      </c>
      <c r="ALB6" s="97" t="str">
        <f t="shared" si="16"/>
        <v/>
      </c>
      <c r="ALC6" s="97" t="str">
        <f t="shared" si="16"/>
        <v/>
      </c>
      <c r="ALD6" s="97" t="str">
        <f t="shared" si="16"/>
        <v/>
      </c>
      <c r="ALE6" s="97" t="str">
        <f t="shared" si="16"/>
        <v/>
      </c>
      <c r="ALF6" s="97" t="str">
        <f t="shared" si="16"/>
        <v/>
      </c>
      <c r="ALG6" s="97" t="str">
        <f t="shared" si="16"/>
        <v/>
      </c>
      <c r="ALH6" s="97" t="str">
        <f t="shared" si="16"/>
        <v/>
      </c>
      <c r="ALI6" s="97" t="str">
        <f t="shared" si="16"/>
        <v/>
      </c>
      <c r="ALJ6" s="97" t="str">
        <f t="shared" si="16"/>
        <v/>
      </c>
      <c r="ALK6" s="97" t="str">
        <f t="shared" si="16"/>
        <v/>
      </c>
      <c r="ALL6" s="97" t="str">
        <f t="shared" si="16"/>
        <v/>
      </c>
      <c r="ALM6" s="97" t="str">
        <f t="shared" si="16"/>
        <v/>
      </c>
      <c r="ALN6" s="97" t="str">
        <f t="shared" si="16"/>
        <v/>
      </c>
      <c r="ALO6" s="97" t="str">
        <f t="shared" si="16"/>
        <v/>
      </c>
      <c r="ALP6" s="97" t="str">
        <f t="shared" si="16"/>
        <v/>
      </c>
      <c r="ALQ6" s="97" t="str">
        <f t="shared" si="16"/>
        <v/>
      </c>
      <c r="ALR6" s="97" t="str">
        <f t="shared" si="16"/>
        <v/>
      </c>
      <c r="ALS6" s="97" t="str">
        <f t="shared" si="16"/>
        <v/>
      </c>
      <c r="ALT6" s="97" t="str">
        <f t="shared" si="16"/>
        <v/>
      </c>
      <c r="ALU6" s="97" t="str">
        <f t="shared" si="16"/>
        <v/>
      </c>
      <c r="ALV6" s="97" t="str">
        <f t="shared" si="16"/>
        <v/>
      </c>
      <c r="ALW6" s="97" t="str">
        <f t="shared" si="16"/>
        <v/>
      </c>
      <c r="ALX6" s="97" t="str">
        <f t="shared" si="16"/>
        <v/>
      </c>
      <c r="ALY6" s="97" t="str">
        <f t="shared" si="16"/>
        <v/>
      </c>
      <c r="ALZ6" s="97" t="str">
        <f t="shared" si="16"/>
        <v/>
      </c>
      <c r="AMA6" s="97" t="str">
        <f t="shared" si="16"/>
        <v/>
      </c>
      <c r="AMB6" s="97" t="str">
        <f t="shared" si="16"/>
        <v/>
      </c>
      <c r="AMC6" s="97" t="str">
        <f t="shared" si="16"/>
        <v/>
      </c>
      <c r="AMD6" s="97" t="str">
        <f t="shared" si="16"/>
        <v/>
      </c>
      <c r="AME6" s="97" t="str">
        <f t="shared" si="16"/>
        <v/>
      </c>
      <c r="AMF6" s="97" t="str">
        <f t="shared" si="16"/>
        <v/>
      </c>
      <c r="AMG6" s="97" t="str">
        <f t="shared" si="16"/>
        <v/>
      </c>
      <c r="AMH6" s="97" t="str">
        <f t="shared" si="16"/>
        <v/>
      </c>
      <c r="AMI6" s="97" t="str">
        <f t="shared" si="16"/>
        <v/>
      </c>
      <c r="AMJ6" s="97" t="str">
        <f t="shared" si="16"/>
        <v/>
      </c>
      <c r="AMK6" s="97" t="str">
        <f t="shared" si="16"/>
        <v/>
      </c>
      <c r="AML6" s="97" t="str">
        <f t="shared" si="16"/>
        <v/>
      </c>
      <c r="AMM6" s="97" t="str">
        <f t="shared" si="16"/>
        <v/>
      </c>
      <c r="AMN6" s="97" t="str">
        <f t="shared" si="16"/>
        <v/>
      </c>
      <c r="AMO6" s="97" t="str">
        <f t="shared" si="16"/>
        <v/>
      </c>
      <c r="AMP6" s="97" t="str">
        <f t="shared" ref="AMP6:APA6" si="17">IFERROR(AVERAGE(AMP7:AMP13),"")</f>
        <v/>
      </c>
      <c r="AMQ6" s="97" t="str">
        <f t="shared" si="17"/>
        <v/>
      </c>
      <c r="AMR6" s="97" t="str">
        <f t="shared" si="17"/>
        <v/>
      </c>
      <c r="AMS6" s="97" t="str">
        <f t="shared" si="17"/>
        <v/>
      </c>
      <c r="AMT6" s="97" t="str">
        <f t="shared" si="17"/>
        <v/>
      </c>
      <c r="AMU6" s="97" t="str">
        <f t="shared" si="17"/>
        <v/>
      </c>
      <c r="AMV6" s="97" t="str">
        <f t="shared" si="17"/>
        <v/>
      </c>
      <c r="AMW6" s="97" t="str">
        <f t="shared" si="17"/>
        <v/>
      </c>
      <c r="AMX6" s="97" t="str">
        <f t="shared" si="17"/>
        <v/>
      </c>
      <c r="AMY6" s="97" t="str">
        <f t="shared" si="17"/>
        <v/>
      </c>
      <c r="AMZ6" s="97" t="str">
        <f t="shared" si="17"/>
        <v/>
      </c>
      <c r="ANA6" s="97" t="str">
        <f t="shared" si="17"/>
        <v/>
      </c>
      <c r="ANB6" s="97" t="str">
        <f t="shared" si="17"/>
        <v/>
      </c>
      <c r="ANC6" s="97" t="str">
        <f t="shared" si="17"/>
        <v/>
      </c>
      <c r="AND6" s="97" t="str">
        <f t="shared" si="17"/>
        <v/>
      </c>
      <c r="ANE6" s="97" t="str">
        <f t="shared" si="17"/>
        <v/>
      </c>
      <c r="ANF6" s="97" t="str">
        <f t="shared" si="17"/>
        <v/>
      </c>
      <c r="ANG6" s="97" t="str">
        <f t="shared" si="17"/>
        <v/>
      </c>
      <c r="ANH6" s="97" t="str">
        <f t="shared" si="17"/>
        <v/>
      </c>
      <c r="ANI6" s="97" t="str">
        <f t="shared" si="17"/>
        <v/>
      </c>
      <c r="ANJ6" s="97" t="str">
        <f t="shared" si="17"/>
        <v/>
      </c>
      <c r="ANK6" s="97" t="str">
        <f t="shared" si="17"/>
        <v/>
      </c>
      <c r="ANL6" s="97" t="str">
        <f t="shared" si="17"/>
        <v/>
      </c>
      <c r="ANM6" s="97" t="str">
        <f t="shared" si="17"/>
        <v/>
      </c>
      <c r="ANN6" s="97" t="str">
        <f t="shared" si="17"/>
        <v/>
      </c>
      <c r="ANO6" s="97" t="str">
        <f t="shared" si="17"/>
        <v/>
      </c>
      <c r="ANP6" s="97" t="str">
        <f t="shared" si="17"/>
        <v/>
      </c>
      <c r="ANQ6" s="97" t="str">
        <f t="shared" si="17"/>
        <v/>
      </c>
      <c r="ANR6" s="97" t="str">
        <f t="shared" si="17"/>
        <v/>
      </c>
      <c r="ANS6" s="97" t="str">
        <f t="shared" si="17"/>
        <v/>
      </c>
      <c r="ANT6" s="97" t="str">
        <f t="shared" si="17"/>
        <v/>
      </c>
      <c r="ANU6" s="97" t="str">
        <f t="shared" si="17"/>
        <v/>
      </c>
      <c r="ANV6" s="97" t="str">
        <f t="shared" si="17"/>
        <v/>
      </c>
      <c r="ANW6" s="97" t="str">
        <f t="shared" si="17"/>
        <v/>
      </c>
      <c r="ANX6" s="97" t="str">
        <f t="shared" si="17"/>
        <v/>
      </c>
      <c r="ANY6" s="97" t="str">
        <f t="shared" si="17"/>
        <v/>
      </c>
      <c r="ANZ6" s="97" t="str">
        <f t="shared" si="17"/>
        <v/>
      </c>
      <c r="AOA6" s="97" t="str">
        <f t="shared" si="17"/>
        <v/>
      </c>
      <c r="AOB6" s="97" t="str">
        <f t="shared" si="17"/>
        <v/>
      </c>
      <c r="AOC6" s="97" t="str">
        <f t="shared" si="17"/>
        <v/>
      </c>
      <c r="AOD6" s="97" t="str">
        <f t="shared" si="17"/>
        <v/>
      </c>
      <c r="AOE6" s="97" t="str">
        <f t="shared" si="17"/>
        <v/>
      </c>
      <c r="AOF6" s="97" t="str">
        <f t="shared" si="17"/>
        <v/>
      </c>
      <c r="AOG6" s="97" t="str">
        <f t="shared" si="17"/>
        <v/>
      </c>
      <c r="AOH6" s="97" t="str">
        <f t="shared" si="17"/>
        <v/>
      </c>
      <c r="AOI6" s="97" t="str">
        <f t="shared" si="17"/>
        <v/>
      </c>
      <c r="AOJ6" s="97" t="str">
        <f t="shared" si="17"/>
        <v/>
      </c>
      <c r="AOK6" s="97" t="str">
        <f t="shared" si="17"/>
        <v/>
      </c>
      <c r="AOL6" s="97" t="str">
        <f t="shared" si="17"/>
        <v/>
      </c>
      <c r="AOM6" s="97" t="str">
        <f t="shared" si="17"/>
        <v/>
      </c>
      <c r="AON6" s="97" t="str">
        <f t="shared" si="17"/>
        <v/>
      </c>
      <c r="AOO6" s="97" t="str">
        <f t="shared" si="17"/>
        <v/>
      </c>
      <c r="AOP6" s="97" t="str">
        <f t="shared" si="17"/>
        <v/>
      </c>
      <c r="AOQ6" s="97" t="str">
        <f t="shared" si="17"/>
        <v/>
      </c>
      <c r="AOR6" s="97" t="str">
        <f t="shared" si="17"/>
        <v/>
      </c>
      <c r="AOS6" s="97" t="str">
        <f t="shared" si="17"/>
        <v/>
      </c>
      <c r="AOT6" s="97" t="str">
        <f t="shared" si="17"/>
        <v/>
      </c>
      <c r="AOU6" s="97" t="str">
        <f t="shared" si="17"/>
        <v/>
      </c>
      <c r="AOV6" s="97" t="str">
        <f t="shared" si="17"/>
        <v/>
      </c>
      <c r="AOW6" s="97" t="str">
        <f t="shared" si="17"/>
        <v/>
      </c>
      <c r="AOX6" s="97" t="str">
        <f t="shared" si="17"/>
        <v/>
      </c>
      <c r="AOY6" s="97" t="str">
        <f t="shared" si="17"/>
        <v/>
      </c>
      <c r="AOZ6" s="97" t="str">
        <f t="shared" si="17"/>
        <v/>
      </c>
      <c r="APA6" s="97" t="str">
        <f t="shared" si="17"/>
        <v/>
      </c>
      <c r="APB6" s="97" t="str">
        <f t="shared" ref="APB6:ARM6" si="18">IFERROR(AVERAGE(APB7:APB13),"")</f>
        <v/>
      </c>
      <c r="APC6" s="97" t="str">
        <f t="shared" si="18"/>
        <v/>
      </c>
      <c r="APD6" s="97" t="str">
        <f t="shared" si="18"/>
        <v/>
      </c>
      <c r="APE6" s="97" t="str">
        <f t="shared" si="18"/>
        <v/>
      </c>
      <c r="APF6" s="97" t="str">
        <f t="shared" si="18"/>
        <v/>
      </c>
      <c r="APG6" s="97" t="str">
        <f t="shared" si="18"/>
        <v/>
      </c>
      <c r="APH6" s="97" t="str">
        <f t="shared" si="18"/>
        <v/>
      </c>
      <c r="API6" s="97" t="str">
        <f t="shared" si="18"/>
        <v/>
      </c>
      <c r="APJ6" s="97" t="str">
        <f t="shared" si="18"/>
        <v/>
      </c>
      <c r="APK6" s="97" t="str">
        <f t="shared" si="18"/>
        <v/>
      </c>
      <c r="APL6" s="97" t="str">
        <f t="shared" si="18"/>
        <v/>
      </c>
      <c r="APM6" s="97" t="str">
        <f t="shared" si="18"/>
        <v/>
      </c>
      <c r="APN6" s="97" t="str">
        <f t="shared" si="18"/>
        <v/>
      </c>
      <c r="APO6" s="97" t="str">
        <f t="shared" si="18"/>
        <v/>
      </c>
      <c r="APP6" s="97" t="str">
        <f t="shared" si="18"/>
        <v/>
      </c>
      <c r="APQ6" s="97" t="str">
        <f t="shared" si="18"/>
        <v/>
      </c>
      <c r="APR6" s="97" t="str">
        <f t="shared" si="18"/>
        <v/>
      </c>
      <c r="APS6" s="97" t="str">
        <f t="shared" si="18"/>
        <v/>
      </c>
      <c r="APT6" s="97" t="str">
        <f t="shared" si="18"/>
        <v/>
      </c>
      <c r="APU6" s="97" t="str">
        <f t="shared" si="18"/>
        <v/>
      </c>
      <c r="APV6" s="97" t="str">
        <f t="shared" si="18"/>
        <v/>
      </c>
      <c r="APW6" s="97" t="str">
        <f t="shared" si="18"/>
        <v/>
      </c>
      <c r="APX6" s="97" t="str">
        <f t="shared" si="18"/>
        <v/>
      </c>
      <c r="APY6" s="97" t="str">
        <f t="shared" si="18"/>
        <v/>
      </c>
      <c r="APZ6" s="97" t="str">
        <f t="shared" si="18"/>
        <v/>
      </c>
      <c r="AQA6" s="97" t="str">
        <f t="shared" si="18"/>
        <v/>
      </c>
      <c r="AQB6" s="97" t="str">
        <f t="shared" si="18"/>
        <v/>
      </c>
      <c r="AQC6" s="97" t="str">
        <f t="shared" si="18"/>
        <v/>
      </c>
      <c r="AQD6" s="97" t="str">
        <f t="shared" si="18"/>
        <v/>
      </c>
      <c r="AQE6" s="97" t="str">
        <f t="shared" si="18"/>
        <v/>
      </c>
      <c r="AQF6" s="97" t="str">
        <f t="shared" si="18"/>
        <v/>
      </c>
      <c r="AQG6" s="97" t="str">
        <f t="shared" si="18"/>
        <v/>
      </c>
      <c r="AQH6" s="97" t="str">
        <f t="shared" si="18"/>
        <v/>
      </c>
      <c r="AQI6" s="97" t="str">
        <f t="shared" si="18"/>
        <v/>
      </c>
      <c r="AQJ6" s="97" t="str">
        <f t="shared" si="18"/>
        <v/>
      </c>
      <c r="AQK6" s="97" t="str">
        <f t="shared" si="18"/>
        <v/>
      </c>
      <c r="AQL6" s="97" t="str">
        <f t="shared" si="18"/>
        <v/>
      </c>
      <c r="AQM6" s="97" t="str">
        <f t="shared" si="18"/>
        <v/>
      </c>
      <c r="AQN6" s="97" t="str">
        <f t="shared" si="18"/>
        <v/>
      </c>
      <c r="AQO6" s="97" t="str">
        <f t="shared" si="18"/>
        <v/>
      </c>
      <c r="AQP6" s="97" t="str">
        <f t="shared" si="18"/>
        <v/>
      </c>
      <c r="AQQ6" s="97" t="str">
        <f t="shared" si="18"/>
        <v/>
      </c>
      <c r="AQR6" s="97" t="str">
        <f t="shared" si="18"/>
        <v/>
      </c>
      <c r="AQS6" s="97" t="str">
        <f t="shared" si="18"/>
        <v/>
      </c>
      <c r="AQT6" s="97" t="str">
        <f t="shared" si="18"/>
        <v/>
      </c>
      <c r="AQU6" s="97" t="str">
        <f t="shared" si="18"/>
        <v/>
      </c>
      <c r="AQV6" s="97" t="str">
        <f t="shared" si="18"/>
        <v/>
      </c>
      <c r="AQW6" s="97" t="str">
        <f t="shared" si="18"/>
        <v/>
      </c>
      <c r="AQX6" s="97" t="str">
        <f t="shared" si="18"/>
        <v/>
      </c>
      <c r="AQY6" s="97" t="str">
        <f t="shared" si="18"/>
        <v/>
      </c>
      <c r="AQZ6" s="97" t="str">
        <f t="shared" si="18"/>
        <v/>
      </c>
      <c r="ARA6" s="97" t="str">
        <f t="shared" si="18"/>
        <v/>
      </c>
      <c r="ARB6" s="97" t="str">
        <f t="shared" si="18"/>
        <v/>
      </c>
      <c r="ARC6" s="97" t="str">
        <f t="shared" si="18"/>
        <v/>
      </c>
      <c r="ARD6" s="97" t="str">
        <f t="shared" si="18"/>
        <v/>
      </c>
      <c r="ARE6" s="97" t="str">
        <f t="shared" si="18"/>
        <v/>
      </c>
      <c r="ARF6" s="97" t="str">
        <f t="shared" si="18"/>
        <v/>
      </c>
      <c r="ARG6" s="97" t="str">
        <f t="shared" si="18"/>
        <v/>
      </c>
      <c r="ARH6" s="97" t="str">
        <f t="shared" si="18"/>
        <v/>
      </c>
      <c r="ARI6" s="97" t="str">
        <f t="shared" si="18"/>
        <v/>
      </c>
      <c r="ARJ6" s="97" t="str">
        <f t="shared" si="18"/>
        <v/>
      </c>
      <c r="ARK6" s="97" t="str">
        <f t="shared" si="18"/>
        <v/>
      </c>
      <c r="ARL6" s="97" t="str">
        <f t="shared" si="18"/>
        <v/>
      </c>
      <c r="ARM6" s="97" t="str">
        <f t="shared" si="18"/>
        <v/>
      </c>
      <c r="ARN6" s="97" t="str">
        <f t="shared" ref="ARN6:ATY6" si="19">IFERROR(AVERAGE(ARN7:ARN13),"")</f>
        <v/>
      </c>
      <c r="ARO6" s="97" t="str">
        <f t="shared" si="19"/>
        <v/>
      </c>
      <c r="ARP6" s="97" t="str">
        <f t="shared" si="19"/>
        <v/>
      </c>
      <c r="ARQ6" s="97" t="str">
        <f t="shared" si="19"/>
        <v/>
      </c>
      <c r="ARR6" s="97" t="str">
        <f t="shared" si="19"/>
        <v/>
      </c>
      <c r="ARS6" s="97" t="str">
        <f t="shared" si="19"/>
        <v/>
      </c>
      <c r="ART6" s="97" t="str">
        <f t="shared" si="19"/>
        <v/>
      </c>
      <c r="ARU6" s="97" t="str">
        <f t="shared" si="19"/>
        <v/>
      </c>
      <c r="ARV6" s="97" t="str">
        <f t="shared" si="19"/>
        <v/>
      </c>
      <c r="ARW6" s="97" t="str">
        <f t="shared" si="19"/>
        <v/>
      </c>
      <c r="ARX6" s="97" t="str">
        <f t="shared" si="19"/>
        <v/>
      </c>
      <c r="ARY6" s="97" t="str">
        <f t="shared" si="19"/>
        <v/>
      </c>
      <c r="ARZ6" s="97" t="str">
        <f t="shared" si="19"/>
        <v/>
      </c>
      <c r="ASA6" s="97" t="str">
        <f t="shared" si="19"/>
        <v/>
      </c>
      <c r="ASB6" s="97" t="str">
        <f t="shared" si="19"/>
        <v/>
      </c>
      <c r="ASC6" s="97" t="str">
        <f t="shared" si="19"/>
        <v/>
      </c>
      <c r="ASD6" s="97" t="str">
        <f t="shared" si="19"/>
        <v/>
      </c>
      <c r="ASE6" s="97" t="str">
        <f t="shared" si="19"/>
        <v/>
      </c>
      <c r="ASF6" s="97" t="str">
        <f t="shared" si="19"/>
        <v/>
      </c>
      <c r="ASG6" s="97" t="str">
        <f t="shared" si="19"/>
        <v/>
      </c>
      <c r="ASH6" s="97" t="str">
        <f t="shared" si="19"/>
        <v/>
      </c>
      <c r="ASI6" s="97" t="str">
        <f t="shared" si="19"/>
        <v/>
      </c>
      <c r="ASJ6" s="97" t="str">
        <f t="shared" si="19"/>
        <v/>
      </c>
      <c r="ASK6" s="97" t="str">
        <f t="shared" si="19"/>
        <v/>
      </c>
      <c r="ASL6" s="97" t="str">
        <f t="shared" si="19"/>
        <v/>
      </c>
      <c r="ASM6" s="97" t="str">
        <f t="shared" si="19"/>
        <v/>
      </c>
      <c r="ASN6" s="97" t="str">
        <f t="shared" si="19"/>
        <v/>
      </c>
      <c r="ASO6" s="97" t="str">
        <f t="shared" si="19"/>
        <v/>
      </c>
      <c r="ASP6" s="97" t="str">
        <f t="shared" si="19"/>
        <v/>
      </c>
      <c r="ASQ6" s="97" t="str">
        <f t="shared" si="19"/>
        <v/>
      </c>
      <c r="ASR6" s="97" t="str">
        <f t="shared" si="19"/>
        <v/>
      </c>
      <c r="ASS6" s="97" t="str">
        <f t="shared" si="19"/>
        <v/>
      </c>
      <c r="AST6" s="97" t="str">
        <f t="shared" si="19"/>
        <v/>
      </c>
      <c r="ASU6" s="97" t="str">
        <f t="shared" si="19"/>
        <v/>
      </c>
      <c r="ASV6" s="97" t="str">
        <f t="shared" si="19"/>
        <v/>
      </c>
      <c r="ASW6" s="97" t="str">
        <f t="shared" si="19"/>
        <v/>
      </c>
      <c r="ASX6" s="97" t="str">
        <f t="shared" si="19"/>
        <v/>
      </c>
      <c r="ASY6" s="97" t="str">
        <f t="shared" si="19"/>
        <v/>
      </c>
      <c r="ASZ6" s="97" t="str">
        <f t="shared" si="19"/>
        <v/>
      </c>
      <c r="ATA6" s="97" t="str">
        <f t="shared" si="19"/>
        <v/>
      </c>
      <c r="ATB6" s="97" t="str">
        <f t="shared" si="19"/>
        <v/>
      </c>
      <c r="ATC6" s="97" t="str">
        <f t="shared" si="19"/>
        <v/>
      </c>
      <c r="ATD6" s="97" t="str">
        <f t="shared" si="19"/>
        <v/>
      </c>
      <c r="ATE6" s="97" t="str">
        <f t="shared" si="19"/>
        <v/>
      </c>
      <c r="ATF6" s="97" t="str">
        <f t="shared" si="19"/>
        <v/>
      </c>
      <c r="ATG6" s="97" t="str">
        <f t="shared" si="19"/>
        <v/>
      </c>
      <c r="ATH6" s="97" t="str">
        <f t="shared" si="19"/>
        <v/>
      </c>
      <c r="ATI6" s="97" t="str">
        <f t="shared" si="19"/>
        <v/>
      </c>
      <c r="ATJ6" s="97" t="str">
        <f t="shared" si="19"/>
        <v/>
      </c>
      <c r="ATK6" s="97" t="str">
        <f t="shared" si="19"/>
        <v/>
      </c>
      <c r="ATL6" s="97" t="str">
        <f t="shared" si="19"/>
        <v/>
      </c>
      <c r="ATM6" s="97" t="str">
        <f t="shared" si="19"/>
        <v/>
      </c>
      <c r="ATN6" s="97" t="str">
        <f t="shared" si="19"/>
        <v/>
      </c>
      <c r="ATO6" s="97" t="str">
        <f t="shared" si="19"/>
        <v/>
      </c>
      <c r="ATP6" s="97" t="str">
        <f t="shared" si="19"/>
        <v/>
      </c>
      <c r="ATQ6" s="97" t="str">
        <f t="shared" si="19"/>
        <v/>
      </c>
      <c r="ATR6" s="97" t="str">
        <f t="shared" si="19"/>
        <v/>
      </c>
      <c r="ATS6" s="97" t="str">
        <f t="shared" si="19"/>
        <v/>
      </c>
      <c r="ATT6" s="97" t="str">
        <f t="shared" si="19"/>
        <v/>
      </c>
      <c r="ATU6" s="97" t="str">
        <f t="shared" si="19"/>
        <v/>
      </c>
      <c r="ATV6" s="97" t="str">
        <f t="shared" si="19"/>
        <v/>
      </c>
      <c r="ATW6" s="97" t="str">
        <f t="shared" si="19"/>
        <v/>
      </c>
      <c r="ATX6" s="97" t="str">
        <f t="shared" si="19"/>
        <v/>
      </c>
      <c r="ATY6" s="97" t="str">
        <f t="shared" si="19"/>
        <v/>
      </c>
      <c r="ATZ6" s="97" t="str">
        <f t="shared" ref="ATZ6:AWK6" si="20">IFERROR(AVERAGE(ATZ7:ATZ13),"")</f>
        <v/>
      </c>
      <c r="AUA6" s="97" t="str">
        <f t="shared" si="20"/>
        <v/>
      </c>
      <c r="AUB6" s="97" t="str">
        <f t="shared" si="20"/>
        <v/>
      </c>
      <c r="AUC6" s="97" t="str">
        <f t="shared" si="20"/>
        <v/>
      </c>
      <c r="AUD6" s="97" t="str">
        <f t="shared" si="20"/>
        <v/>
      </c>
      <c r="AUE6" s="97" t="str">
        <f t="shared" si="20"/>
        <v/>
      </c>
      <c r="AUF6" s="97" t="str">
        <f t="shared" si="20"/>
        <v/>
      </c>
      <c r="AUG6" s="97" t="str">
        <f t="shared" si="20"/>
        <v/>
      </c>
      <c r="AUH6" s="97" t="str">
        <f t="shared" si="20"/>
        <v/>
      </c>
      <c r="AUI6" s="97" t="str">
        <f t="shared" si="20"/>
        <v/>
      </c>
      <c r="AUJ6" s="97" t="str">
        <f t="shared" si="20"/>
        <v/>
      </c>
      <c r="AUK6" s="97" t="str">
        <f t="shared" si="20"/>
        <v/>
      </c>
      <c r="AUL6" s="97" t="str">
        <f t="shared" si="20"/>
        <v/>
      </c>
      <c r="AUM6" s="97" t="str">
        <f t="shared" si="20"/>
        <v/>
      </c>
      <c r="AUN6" s="97" t="str">
        <f t="shared" si="20"/>
        <v/>
      </c>
      <c r="AUO6" s="97" t="str">
        <f t="shared" si="20"/>
        <v/>
      </c>
      <c r="AUP6" s="97" t="str">
        <f t="shared" si="20"/>
        <v/>
      </c>
      <c r="AUQ6" s="97" t="str">
        <f t="shared" si="20"/>
        <v/>
      </c>
      <c r="AUR6" s="97" t="str">
        <f t="shared" si="20"/>
        <v/>
      </c>
      <c r="AUS6" s="97" t="str">
        <f t="shared" si="20"/>
        <v/>
      </c>
      <c r="AUT6" s="97" t="str">
        <f t="shared" si="20"/>
        <v/>
      </c>
      <c r="AUU6" s="97" t="str">
        <f t="shared" si="20"/>
        <v/>
      </c>
      <c r="AUV6" s="97" t="str">
        <f t="shared" si="20"/>
        <v/>
      </c>
      <c r="AUW6" s="97" t="str">
        <f t="shared" si="20"/>
        <v/>
      </c>
      <c r="AUX6" s="97" t="str">
        <f t="shared" si="20"/>
        <v/>
      </c>
      <c r="AUY6" s="97" t="str">
        <f t="shared" si="20"/>
        <v/>
      </c>
      <c r="AUZ6" s="97" t="str">
        <f t="shared" si="20"/>
        <v/>
      </c>
      <c r="AVA6" s="97" t="str">
        <f t="shared" si="20"/>
        <v/>
      </c>
      <c r="AVB6" s="97" t="str">
        <f t="shared" si="20"/>
        <v/>
      </c>
      <c r="AVC6" s="97" t="str">
        <f t="shared" si="20"/>
        <v/>
      </c>
      <c r="AVD6" s="97" t="str">
        <f t="shared" si="20"/>
        <v/>
      </c>
      <c r="AVE6" s="97" t="str">
        <f t="shared" si="20"/>
        <v/>
      </c>
      <c r="AVF6" s="97" t="str">
        <f t="shared" si="20"/>
        <v/>
      </c>
      <c r="AVG6" s="97" t="str">
        <f t="shared" si="20"/>
        <v/>
      </c>
      <c r="AVH6" s="97" t="str">
        <f t="shared" si="20"/>
        <v/>
      </c>
      <c r="AVI6" s="97" t="str">
        <f t="shared" si="20"/>
        <v/>
      </c>
      <c r="AVJ6" s="97" t="str">
        <f t="shared" si="20"/>
        <v/>
      </c>
      <c r="AVK6" s="97" t="str">
        <f t="shared" si="20"/>
        <v/>
      </c>
      <c r="AVL6" s="97" t="str">
        <f t="shared" si="20"/>
        <v/>
      </c>
      <c r="AVM6" s="97" t="str">
        <f t="shared" si="20"/>
        <v/>
      </c>
      <c r="AVN6" s="97" t="str">
        <f t="shared" si="20"/>
        <v/>
      </c>
      <c r="AVO6" s="97" t="str">
        <f t="shared" si="20"/>
        <v/>
      </c>
      <c r="AVP6" s="97" t="str">
        <f t="shared" si="20"/>
        <v/>
      </c>
      <c r="AVQ6" s="97" t="str">
        <f t="shared" si="20"/>
        <v/>
      </c>
      <c r="AVR6" s="97" t="str">
        <f t="shared" si="20"/>
        <v/>
      </c>
      <c r="AVS6" s="97" t="str">
        <f t="shared" si="20"/>
        <v/>
      </c>
      <c r="AVT6" s="97" t="str">
        <f t="shared" si="20"/>
        <v/>
      </c>
      <c r="AVU6" s="97" t="str">
        <f t="shared" si="20"/>
        <v/>
      </c>
      <c r="AVV6" s="97" t="str">
        <f t="shared" si="20"/>
        <v/>
      </c>
      <c r="AVW6" s="97" t="str">
        <f t="shared" si="20"/>
        <v/>
      </c>
      <c r="AVX6" s="97" t="str">
        <f t="shared" si="20"/>
        <v/>
      </c>
      <c r="AVY6" s="97" t="str">
        <f t="shared" si="20"/>
        <v/>
      </c>
      <c r="AVZ6" s="97" t="str">
        <f t="shared" si="20"/>
        <v/>
      </c>
      <c r="AWA6" s="97" t="str">
        <f t="shared" si="20"/>
        <v/>
      </c>
      <c r="AWB6" s="97" t="str">
        <f t="shared" si="20"/>
        <v/>
      </c>
      <c r="AWC6" s="97" t="str">
        <f t="shared" si="20"/>
        <v/>
      </c>
      <c r="AWD6" s="97" t="str">
        <f t="shared" si="20"/>
        <v/>
      </c>
      <c r="AWE6" s="97" t="str">
        <f t="shared" si="20"/>
        <v/>
      </c>
      <c r="AWF6" s="97" t="str">
        <f t="shared" si="20"/>
        <v/>
      </c>
      <c r="AWG6" s="97" t="str">
        <f t="shared" si="20"/>
        <v/>
      </c>
      <c r="AWH6" s="97" t="str">
        <f t="shared" si="20"/>
        <v/>
      </c>
      <c r="AWI6" s="97" t="str">
        <f t="shared" si="20"/>
        <v/>
      </c>
      <c r="AWJ6" s="97" t="str">
        <f t="shared" si="20"/>
        <v/>
      </c>
      <c r="AWK6" s="97" t="str">
        <f t="shared" si="20"/>
        <v/>
      </c>
      <c r="AWL6" s="97" t="str">
        <f t="shared" ref="AWL6:AYW6" si="21">IFERROR(AVERAGE(AWL7:AWL13),"")</f>
        <v/>
      </c>
      <c r="AWM6" s="97" t="str">
        <f t="shared" si="21"/>
        <v/>
      </c>
      <c r="AWN6" s="97" t="str">
        <f t="shared" si="21"/>
        <v/>
      </c>
      <c r="AWO6" s="97" t="str">
        <f t="shared" si="21"/>
        <v/>
      </c>
      <c r="AWP6" s="97" t="str">
        <f t="shared" si="21"/>
        <v/>
      </c>
      <c r="AWQ6" s="97" t="str">
        <f t="shared" si="21"/>
        <v/>
      </c>
      <c r="AWR6" s="97" t="str">
        <f t="shared" si="21"/>
        <v/>
      </c>
      <c r="AWS6" s="97" t="str">
        <f t="shared" si="21"/>
        <v/>
      </c>
      <c r="AWT6" s="97" t="str">
        <f t="shared" si="21"/>
        <v/>
      </c>
      <c r="AWU6" s="97" t="str">
        <f t="shared" si="21"/>
        <v/>
      </c>
      <c r="AWV6" s="97" t="str">
        <f t="shared" si="21"/>
        <v/>
      </c>
      <c r="AWW6" s="97" t="str">
        <f t="shared" si="21"/>
        <v/>
      </c>
      <c r="AWX6" s="97" t="str">
        <f t="shared" si="21"/>
        <v/>
      </c>
      <c r="AWY6" s="97" t="str">
        <f t="shared" si="21"/>
        <v/>
      </c>
      <c r="AWZ6" s="97" t="str">
        <f t="shared" si="21"/>
        <v/>
      </c>
      <c r="AXA6" s="97" t="str">
        <f t="shared" si="21"/>
        <v/>
      </c>
      <c r="AXB6" s="97" t="str">
        <f t="shared" si="21"/>
        <v/>
      </c>
      <c r="AXC6" s="97" t="str">
        <f t="shared" si="21"/>
        <v/>
      </c>
      <c r="AXD6" s="97" t="str">
        <f t="shared" si="21"/>
        <v/>
      </c>
      <c r="AXE6" s="97" t="str">
        <f t="shared" si="21"/>
        <v/>
      </c>
      <c r="AXF6" s="97" t="str">
        <f t="shared" si="21"/>
        <v/>
      </c>
      <c r="AXG6" s="97" t="str">
        <f t="shared" si="21"/>
        <v/>
      </c>
      <c r="AXH6" s="97" t="str">
        <f t="shared" si="21"/>
        <v/>
      </c>
      <c r="AXI6" s="97" t="str">
        <f t="shared" si="21"/>
        <v/>
      </c>
      <c r="AXJ6" s="97" t="str">
        <f t="shared" si="21"/>
        <v/>
      </c>
      <c r="AXK6" s="97" t="str">
        <f t="shared" si="21"/>
        <v/>
      </c>
      <c r="AXL6" s="97" t="str">
        <f t="shared" si="21"/>
        <v/>
      </c>
      <c r="AXM6" s="97" t="str">
        <f t="shared" si="21"/>
        <v/>
      </c>
      <c r="AXN6" s="97" t="str">
        <f t="shared" si="21"/>
        <v/>
      </c>
      <c r="AXO6" s="97" t="str">
        <f t="shared" si="21"/>
        <v/>
      </c>
      <c r="AXP6" s="97" t="str">
        <f t="shared" si="21"/>
        <v/>
      </c>
      <c r="AXQ6" s="97" t="str">
        <f t="shared" si="21"/>
        <v/>
      </c>
      <c r="AXR6" s="97" t="str">
        <f t="shared" si="21"/>
        <v/>
      </c>
      <c r="AXS6" s="97" t="str">
        <f t="shared" si="21"/>
        <v/>
      </c>
      <c r="AXT6" s="97" t="str">
        <f t="shared" si="21"/>
        <v/>
      </c>
      <c r="AXU6" s="97" t="str">
        <f t="shared" si="21"/>
        <v/>
      </c>
      <c r="AXV6" s="97" t="str">
        <f t="shared" si="21"/>
        <v/>
      </c>
      <c r="AXW6" s="97" t="str">
        <f t="shared" si="21"/>
        <v/>
      </c>
      <c r="AXX6" s="97" t="str">
        <f t="shared" si="21"/>
        <v/>
      </c>
      <c r="AXY6" s="97" t="str">
        <f t="shared" si="21"/>
        <v/>
      </c>
      <c r="AXZ6" s="97" t="str">
        <f t="shared" si="21"/>
        <v/>
      </c>
      <c r="AYA6" s="97" t="str">
        <f t="shared" si="21"/>
        <v/>
      </c>
      <c r="AYB6" s="97" t="str">
        <f t="shared" si="21"/>
        <v/>
      </c>
      <c r="AYC6" s="97" t="str">
        <f t="shared" si="21"/>
        <v/>
      </c>
      <c r="AYD6" s="97" t="str">
        <f t="shared" si="21"/>
        <v/>
      </c>
      <c r="AYE6" s="97" t="str">
        <f t="shared" si="21"/>
        <v/>
      </c>
      <c r="AYF6" s="97" t="str">
        <f t="shared" si="21"/>
        <v/>
      </c>
      <c r="AYG6" s="97" t="str">
        <f t="shared" si="21"/>
        <v/>
      </c>
      <c r="AYH6" s="97" t="str">
        <f t="shared" si="21"/>
        <v/>
      </c>
      <c r="AYI6" s="97" t="str">
        <f t="shared" si="21"/>
        <v/>
      </c>
      <c r="AYJ6" s="97" t="str">
        <f t="shared" si="21"/>
        <v/>
      </c>
      <c r="AYK6" s="97" t="str">
        <f t="shared" si="21"/>
        <v/>
      </c>
      <c r="AYL6" s="97" t="str">
        <f t="shared" si="21"/>
        <v/>
      </c>
      <c r="AYM6" s="97" t="str">
        <f t="shared" si="21"/>
        <v/>
      </c>
      <c r="AYN6" s="97" t="str">
        <f t="shared" si="21"/>
        <v/>
      </c>
      <c r="AYO6" s="97" t="str">
        <f t="shared" si="21"/>
        <v/>
      </c>
      <c r="AYP6" s="97" t="str">
        <f t="shared" si="21"/>
        <v/>
      </c>
      <c r="AYQ6" s="97" t="str">
        <f t="shared" si="21"/>
        <v/>
      </c>
      <c r="AYR6" s="97" t="str">
        <f t="shared" si="21"/>
        <v/>
      </c>
      <c r="AYS6" s="97" t="str">
        <f t="shared" si="21"/>
        <v/>
      </c>
      <c r="AYT6" s="97" t="str">
        <f t="shared" si="21"/>
        <v/>
      </c>
      <c r="AYU6" s="97" t="str">
        <f t="shared" si="21"/>
        <v/>
      </c>
      <c r="AYV6" s="97" t="str">
        <f t="shared" si="21"/>
        <v/>
      </c>
      <c r="AYW6" s="97" t="str">
        <f t="shared" si="21"/>
        <v/>
      </c>
      <c r="AYX6" s="97" t="str">
        <f t="shared" ref="AYX6:BBI6" si="22">IFERROR(AVERAGE(AYX7:AYX13),"")</f>
        <v/>
      </c>
      <c r="AYY6" s="97" t="str">
        <f t="shared" si="22"/>
        <v/>
      </c>
      <c r="AYZ6" s="97" t="str">
        <f t="shared" si="22"/>
        <v/>
      </c>
      <c r="AZA6" s="97" t="str">
        <f t="shared" si="22"/>
        <v/>
      </c>
      <c r="AZB6" s="97" t="str">
        <f t="shared" si="22"/>
        <v/>
      </c>
      <c r="AZC6" s="97" t="str">
        <f t="shared" si="22"/>
        <v/>
      </c>
      <c r="AZD6" s="97" t="str">
        <f t="shared" si="22"/>
        <v/>
      </c>
      <c r="AZE6" s="97" t="str">
        <f t="shared" si="22"/>
        <v/>
      </c>
      <c r="AZF6" s="97" t="str">
        <f t="shared" si="22"/>
        <v/>
      </c>
      <c r="AZG6" s="97" t="str">
        <f t="shared" si="22"/>
        <v/>
      </c>
      <c r="AZH6" s="97" t="str">
        <f t="shared" si="22"/>
        <v/>
      </c>
      <c r="AZI6" s="97" t="str">
        <f t="shared" si="22"/>
        <v/>
      </c>
      <c r="AZJ6" s="97" t="str">
        <f t="shared" si="22"/>
        <v/>
      </c>
      <c r="AZK6" s="97" t="str">
        <f t="shared" si="22"/>
        <v/>
      </c>
      <c r="AZL6" s="97" t="str">
        <f t="shared" si="22"/>
        <v/>
      </c>
      <c r="AZM6" s="97" t="str">
        <f t="shared" si="22"/>
        <v/>
      </c>
      <c r="AZN6" s="97" t="str">
        <f t="shared" si="22"/>
        <v/>
      </c>
      <c r="AZO6" s="97" t="str">
        <f t="shared" si="22"/>
        <v/>
      </c>
      <c r="AZP6" s="97" t="str">
        <f t="shared" si="22"/>
        <v/>
      </c>
      <c r="AZQ6" s="97" t="str">
        <f t="shared" si="22"/>
        <v/>
      </c>
      <c r="AZR6" s="97" t="str">
        <f t="shared" si="22"/>
        <v/>
      </c>
      <c r="AZS6" s="97" t="str">
        <f t="shared" si="22"/>
        <v/>
      </c>
      <c r="AZT6" s="97" t="str">
        <f t="shared" si="22"/>
        <v/>
      </c>
      <c r="AZU6" s="97" t="str">
        <f t="shared" si="22"/>
        <v/>
      </c>
      <c r="AZV6" s="97" t="str">
        <f t="shared" si="22"/>
        <v/>
      </c>
      <c r="AZW6" s="97" t="str">
        <f t="shared" si="22"/>
        <v/>
      </c>
      <c r="AZX6" s="97" t="str">
        <f t="shared" si="22"/>
        <v/>
      </c>
      <c r="AZY6" s="97" t="str">
        <f t="shared" si="22"/>
        <v/>
      </c>
      <c r="AZZ6" s="97" t="str">
        <f t="shared" si="22"/>
        <v/>
      </c>
      <c r="BAA6" s="97" t="str">
        <f t="shared" si="22"/>
        <v/>
      </c>
      <c r="BAB6" s="97" t="str">
        <f t="shared" si="22"/>
        <v/>
      </c>
      <c r="BAC6" s="97" t="str">
        <f t="shared" si="22"/>
        <v/>
      </c>
      <c r="BAD6" s="97" t="str">
        <f t="shared" si="22"/>
        <v/>
      </c>
      <c r="BAE6" s="97" t="str">
        <f t="shared" si="22"/>
        <v/>
      </c>
      <c r="BAF6" s="97" t="str">
        <f t="shared" si="22"/>
        <v/>
      </c>
      <c r="BAG6" s="97" t="str">
        <f t="shared" si="22"/>
        <v/>
      </c>
      <c r="BAH6" s="97" t="str">
        <f t="shared" si="22"/>
        <v/>
      </c>
      <c r="BAI6" s="97" t="str">
        <f t="shared" si="22"/>
        <v/>
      </c>
      <c r="BAJ6" s="97" t="str">
        <f t="shared" si="22"/>
        <v/>
      </c>
      <c r="BAK6" s="97" t="str">
        <f t="shared" si="22"/>
        <v/>
      </c>
      <c r="BAL6" s="97" t="str">
        <f t="shared" si="22"/>
        <v/>
      </c>
      <c r="BAM6" s="97" t="str">
        <f t="shared" si="22"/>
        <v/>
      </c>
      <c r="BAN6" s="97" t="str">
        <f t="shared" si="22"/>
        <v/>
      </c>
      <c r="BAO6" s="97" t="str">
        <f t="shared" si="22"/>
        <v/>
      </c>
      <c r="BAP6" s="97" t="str">
        <f t="shared" si="22"/>
        <v/>
      </c>
      <c r="BAQ6" s="97" t="str">
        <f t="shared" si="22"/>
        <v/>
      </c>
      <c r="BAR6" s="97" t="str">
        <f t="shared" si="22"/>
        <v/>
      </c>
      <c r="BAS6" s="97" t="str">
        <f t="shared" si="22"/>
        <v/>
      </c>
      <c r="BAT6" s="97" t="str">
        <f t="shared" si="22"/>
        <v/>
      </c>
      <c r="BAU6" s="97" t="str">
        <f t="shared" si="22"/>
        <v/>
      </c>
      <c r="BAV6" s="97" t="str">
        <f t="shared" si="22"/>
        <v/>
      </c>
      <c r="BAW6" s="97" t="str">
        <f t="shared" si="22"/>
        <v/>
      </c>
      <c r="BAX6" s="97" t="str">
        <f t="shared" si="22"/>
        <v/>
      </c>
      <c r="BAY6" s="97" t="str">
        <f t="shared" si="22"/>
        <v/>
      </c>
      <c r="BAZ6" s="97" t="str">
        <f t="shared" si="22"/>
        <v/>
      </c>
      <c r="BBA6" s="97" t="str">
        <f t="shared" si="22"/>
        <v/>
      </c>
      <c r="BBB6" s="97" t="str">
        <f t="shared" si="22"/>
        <v/>
      </c>
      <c r="BBC6" s="97" t="str">
        <f t="shared" si="22"/>
        <v/>
      </c>
      <c r="BBD6" s="97" t="str">
        <f t="shared" si="22"/>
        <v/>
      </c>
      <c r="BBE6" s="97" t="str">
        <f t="shared" si="22"/>
        <v/>
      </c>
      <c r="BBF6" s="97" t="str">
        <f t="shared" si="22"/>
        <v/>
      </c>
      <c r="BBG6" s="97" t="str">
        <f t="shared" si="22"/>
        <v/>
      </c>
      <c r="BBH6" s="97" t="str">
        <f t="shared" si="22"/>
        <v/>
      </c>
      <c r="BBI6" s="97" t="str">
        <f t="shared" si="22"/>
        <v/>
      </c>
      <c r="BBJ6" s="97" t="str">
        <f t="shared" ref="BBJ6:BDU6" si="23">IFERROR(AVERAGE(BBJ7:BBJ13),"")</f>
        <v/>
      </c>
      <c r="BBK6" s="97" t="str">
        <f t="shared" si="23"/>
        <v/>
      </c>
      <c r="BBL6" s="97" t="str">
        <f t="shared" si="23"/>
        <v/>
      </c>
      <c r="BBM6" s="97" t="str">
        <f t="shared" si="23"/>
        <v/>
      </c>
      <c r="BBN6" s="97" t="str">
        <f t="shared" si="23"/>
        <v/>
      </c>
      <c r="BBO6" s="97" t="str">
        <f t="shared" si="23"/>
        <v/>
      </c>
      <c r="BBP6" s="97" t="str">
        <f t="shared" si="23"/>
        <v/>
      </c>
      <c r="BBQ6" s="97" t="str">
        <f t="shared" si="23"/>
        <v/>
      </c>
      <c r="BBR6" s="97" t="str">
        <f t="shared" si="23"/>
        <v/>
      </c>
      <c r="BBS6" s="97" t="str">
        <f t="shared" si="23"/>
        <v/>
      </c>
      <c r="BBT6" s="97" t="str">
        <f t="shared" si="23"/>
        <v/>
      </c>
      <c r="BBU6" s="97" t="str">
        <f t="shared" si="23"/>
        <v/>
      </c>
      <c r="BBV6" s="97" t="str">
        <f t="shared" si="23"/>
        <v/>
      </c>
      <c r="BBW6" s="97" t="str">
        <f t="shared" si="23"/>
        <v/>
      </c>
      <c r="BBX6" s="97" t="str">
        <f t="shared" si="23"/>
        <v/>
      </c>
      <c r="BBY6" s="97" t="str">
        <f t="shared" si="23"/>
        <v/>
      </c>
      <c r="BBZ6" s="97" t="str">
        <f t="shared" si="23"/>
        <v/>
      </c>
      <c r="BCA6" s="97" t="str">
        <f t="shared" si="23"/>
        <v/>
      </c>
      <c r="BCB6" s="97" t="str">
        <f t="shared" si="23"/>
        <v/>
      </c>
      <c r="BCC6" s="97" t="str">
        <f t="shared" si="23"/>
        <v/>
      </c>
      <c r="BCD6" s="97" t="str">
        <f t="shared" si="23"/>
        <v/>
      </c>
      <c r="BCE6" s="97" t="str">
        <f t="shared" si="23"/>
        <v/>
      </c>
      <c r="BCF6" s="97" t="str">
        <f t="shared" si="23"/>
        <v/>
      </c>
      <c r="BCG6" s="97" t="str">
        <f t="shared" si="23"/>
        <v/>
      </c>
      <c r="BCH6" s="97" t="str">
        <f t="shared" si="23"/>
        <v/>
      </c>
      <c r="BCI6" s="97" t="str">
        <f t="shared" si="23"/>
        <v/>
      </c>
      <c r="BCJ6" s="97" t="str">
        <f t="shared" si="23"/>
        <v/>
      </c>
      <c r="BCK6" s="97" t="str">
        <f t="shared" si="23"/>
        <v/>
      </c>
      <c r="BCL6" s="97" t="str">
        <f t="shared" si="23"/>
        <v/>
      </c>
      <c r="BCM6" s="97" t="str">
        <f t="shared" si="23"/>
        <v/>
      </c>
      <c r="BCN6" s="97" t="str">
        <f t="shared" si="23"/>
        <v/>
      </c>
      <c r="BCO6" s="97" t="str">
        <f t="shared" si="23"/>
        <v/>
      </c>
      <c r="BCP6" s="97" t="str">
        <f t="shared" si="23"/>
        <v/>
      </c>
      <c r="BCQ6" s="97" t="str">
        <f t="shared" si="23"/>
        <v/>
      </c>
      <c r="BCR6" s="97" t="str">
        <f t="shared" si="23"/>
        <v/>
      </c>
      <c r="BCS6" s="97" t="str">
        <f t="shared" si="23"/>
        <v/>
      </c>
      <c r="BCT6" s="97" t="str">
        <f t="shared" si="23"/>
        <v/>
      </c>
      <c r="BCU6" s="97" t="str">
        <f t="shared" si="23"/>
        <v/>
      </c>
      <c r="BCV6" s="97" t="str">
        <f t="shared" si="23"/>
        <v/>
      </c>
      <c r="BCW6" s="97" t="str">
        <f t="shared" si="23"/>
        <v/>
      </c>
      <c r="BCX6" s="97" t="str">
        <f t="shared" si="23"/>
        <v/>
      </c>
      <c r="BCY6" s="97" t="str">
        <f t="shared" si="23"/>
        <v/>
      </c>
      <c r="BCZ6" s="97" t="str">
        <f t="shared" si="23"/>
        <v/>
      </c>
      <c r="BDA6" s="97" t="str">
        <f t="shared" si="23"/>
        <v/>
      </c>
      <c r="BDB6" s="97" t="str">
        <f t="shared" si="23"/>
        <v/>
      </c>
      <c r="BDC6" s="97" t="str">
        <f t="shared" si="23"/>
        <v/>
      </c>
      <c r="BDD6" s="97" t="str">
        <f t="shared" si="23"/>
        <v/>
      </c>
      <c r="BDE6" s="97" t="str">
        <f t="shared" si="23"/>
        <v/>
      </c>
      <c r="BDF6" s="97" t="str">
        <f t="shared" si="23"/>
        <v/>
      </c>
      <c r="BDG6" s="97" t="str">
        <f t="shared" si="23"/>
        <v/>
      </c>
      <c r="BDH6" s="97" t="str">
        <f t="shared" si="23"/>
        <v/>
      </c>
      <c r="BDI6" s="97" t="str">
        <f t="shared" si="23"/>
        <v/>
      </c>
      <c r="BDJ6" s="97" t="str">
        <f t="shared" si="23"/>
        <v/>
      </c>
      <c r="BDK6" s="97" t="str">
        <f t="shared" si="23"/>
        <v/>
      </c>
      <c r="BDL6" s="97" t="str">
        <f t="shared" si="23"/>
        <v/>
      </c>
      <c r="BDM6" s="97" t="str">
        <f t="shared" si="23"/>
        <v/>
      </c>
      <c r="BDN6" s="97" t="str">
        <f t="shared" si="23"/>
        <v/>
      </c>
      <c r="BDO6" s="97" t="str">
        <f t="shared" si="23"/>
        <v/>
      </c>
      <c r="BDP6" s="97" t="str">
        <f t="shared" si="23"/>
        <v/>
      </c>
      <c r="BDQ6" s="97" t="str">
        <f t="shared" si="23"/>
        <v/>
      </c>
      <c r="BDR6" s="97" t="str">
        <f t="shared" si="23"/>
        <v/>
      </c>
      <c r="BDS6" s="97" t="str">
        <f t="shared" si="23"/>
        <v/>
      </c>
      <c r="BDT6" s="97" t="str">
        <f t="shared" si="23"/>
        <v/>
      </c>
      <c r="BDU6" s="97" t="str">
        <f t="shared" si="23"/>
        <v/>
      </c>
      <c r="BDV6" s="97" t="str">
        <f t="shared" ref="BDV6:BGG6" si="24">IFERROR(AVERAGE(BDV7:BDV13),"")</f>
        <v/>
      </c>
      <c r="BDW6" s="97" t="str">
        <f t="shared" si="24"/>
        <v/>
      </c>
      <c r="BDX6" s="97" t="str">
        <f t="shared" si="24"/>
        <v/>
      </c>
      <c r="BDY6" s="97" t="str">
        <f t="shared" si="24"/>
        <v/>
      </c>
      <c r="BDZ6" s="97" t="str">
        <f t="shared" si="24"/>
        <v/>
      </c>
      <c r="BEA6" s="97" t="str">
        <f t="shared" si="24"/>
        <v/>
      </c>
      <c r="BEB6" s="97" t="str">
        <f t="shared" si="24"/>
        <v/>
      </c>
      <c r="BEC6" s="97" t="str">
        <f t="shared" si="24"/>
        <v/>
      </c>
      <c r="BED6" s="97" t="str">
        <f t="shared" si="24"/>
        <v/>
      </c>
      <c r="BEE6" s="97" t="str">
        <f t="shared" si="24"/>
        <v/>
      </c>
      <c r="BEF6" s="97" t="str">
        <f t="shared" si="24"/>
        <v/>
      </c>
      <c r="BEG6" s="97" t="str">
        <f t="shared" si="24"/>
        <v/>
      </c>
      <c r="BEH6" s="97" t="str">
        <f t="shared" si="24"/>
        <v/>
      </c>
      <c r="BEI6" s="97" t="str">
        <f t="shared" si="24"/>
        <v/>
      </c>
      <c r="BEJ6" s="97" t="str">
        <f t="shared" si="24"/>
        <v/>
      </c>
      <c r="BEK6" s="97" t="str">
        <f t="shared" si="24"/>
        <v/>
      </c>
      <c r="BEL6" s="97" t="str">
        <f t="shared" si="24"/>
        <v/>
      </c>
      <c r="BEM6" s="97" t="str">
        <f t="shared" si="24"/>
        <v/>
      </c>
      <c r="BEN6" s="97" t="str">
        <f t="shared" si="24"/>
        <v/>
      </c>
      <c r="BEO6" s="97" t="str">
        <f t="shared" si="24"/>
        <v/>
      </c>
      <c r="BEP6" s="97" t="str">
        <f t="shared" si="24"/>
        <v/>
      </c>
      <c r="BEQ6" s="97" t="str">
        <f t="shared" si="24"/>
        <v/>
      </c>
      <c r="BER6" s="97" t="str">
        <f t="shared" si="24"/>
        <v/>
      </c>
      <c r="BES6" s="97" t="str">
        <f t="shared" si="24"/>
        <v/>
      </c>
      <c r="BET6" s="97" t="str">
        <f t="shared" si="24"/>
        <v/>
      </c>
      <c r="BEU6" s="97" t="str">
        <f t="shared" si="24"/>
        <v/>
      </c>
      <c r="BEV6" s="97" t="str">
        <f t="shared" si="24"/>
        <v/>
      </c>
      <c r="BEW6" s="97" t="str">
        <f t="shared" si="24"/>
        <v/>
      </c>
      <c r="BEX6" s="97" t="str">
        <f t="shared" si="24"/>
        <v/>
      </c>
      <c r="BEY6" s="97" t="str">
        <f t="shared" si="24"/>
        <v/>
      </c>
      <c r="BEZ6" s="97" t="str">
        <f t="shared" si="24"/>
        <v/>
      </c>
      <c r="BFA6" s="97" t="str">
        <f t="shared" si="24"/>
        <v/>
      </c>
      <c r="BFB6" s="97" t="str">
        <f t="shared" si="24"/>
        <v/>
      </c>
      <c r="BFC6" s="97" t="str">
        <f t="shared" si="24"/>
        <v/>
      </c>
      <c r="BFD6" s="97" t="str">
        <f t="shared" si="24"/>
        <v/>
      </c>
      <c r="BFE6" s="97" t="str">
        <f t="shared" si="24"/>
        <v/>
      </c>
      <c r="BFF6" s="97" t="str">
        <f t="shared" si="24"/>
        <v/>
      </c>
      <c r="BFG6" s="97" t="str">
        <f t="shared" si="24"/>
        <v/>
      </c>
      <c r="BFH6" s="97" t="str">
        <f t="shared" si="24"/>
        <v/>
      </c>
      <c r="BFI6" s="97" t="str">
        <f t="shared" si="24"/>
        <v/>
      </c>
      <c r="BFJ6" s="97" t="str">
        <f t="shared" si="24"/>
        <v/>
      </c>
      <c r="BFK6" s="97" t="str">
        <f t="shared" si="24"/>
        <v/>
      </c>
      <c r="BFL6" s="97" t="str">
        <f t="shared" si="24"/>
        <v/>
      </c>
      <c r="BFM6" s="97" t="str">
        <f t="shared" si="24"/>
        <v/>
      </c>
      <c r="BFN6" s="97" t="str">
        <f t="shared" si="24"/>
        <v/>
      </c>
      <c r="BFO6" s="97" t="str">
        <f t="shared" si="24"/>
        <v/>
      </c>
      <c r="BFP6" s="97" t="str">
        <f t="shared" si="24"/>
        <v/>
      </c>
      <c r="BFQ6" s="97" t="str">
        <f t="shared" si="24"/>
        <v/>
      </c>
      <c r="BFR6" s="97" t="str">
        <f t="shared" si="24"/>
        <v/>
      </c>
      <c r="BFS6" s="97" t="str">
        <f t="shared" si="24"/>
        <v/>
      </c>
      <c r="BFT6" s="97" t="str">
        <f t="shared" si="24"/>
        <v/>
      </c>
      <c r="BFU6" s="97" t="str">
        <f t="shared" si="24"/>
        <v/>
      </c>
      <c r="BFV6" s="97" t="str">
        <f t="shared" si="24"/>
        <v/>
      </c>
      <c r="BFW6" s="97" t="str">
        <f t="shared" si="24"/>
        <v/>
      </c>
      <c r="BFX6" s="97" t="str">
        <f t="shared" si="24"/>
        <v/>
      </c>
      <c r="BFY6" s="97" t="str">
        <f t="shared" si="24"/>
        <v/>
      </c>
      <c r="BFZ6" s="97" t="str">
        <f t="shared" si="24"/>
        <v/>
      </c>
      <c r="BGA6" s="97" t="str">
        <f t="shared" si="24"/>
        <v/>
      </c>
      <c r="BGB6" s="97" t="str">
        <f t="shared" si="24"/>
        <v/>
      </c>
      <c r="BGC6" s="97" t="str">
        <f t="shared" si="24"/>
        <v/>
      </c>
      <c r="BGD6" s="97" t="str">
        <f t="shared" si="24"/>
        <v/>
      </c>
      <c r="BGE6" s="97" t="str">
        <f t="shared" si="24"/>
        <v/>
      </c>
      <c r="BGF6" s="97" t="str">
        <f t="shared" si="24"/>
        <v/>
      </c>
      <c r="BGG6" s="97" t="str">
        <f t="shared" si="24"/>
        <v/>
      </c>
      <c r="BGH6" s="97" t="str">
        <f t="shared" ref="BGH6:BIS6" si="25">IFERROR(AVERAGE(BGH7:BGH13),"")</f>
        <v/>
      </c>
      <c r="BGI6" s="97" t="str">
        <f t="shared" si="25"/>
        <v/>
      </c>
      <c r="BGJ6" s="97" t="str">
        <f t="shared" si="25"/>
        <v/>
      </c>
      <c r="BGK6" s="97" t="str">
        <f t="shared" si="25"/>
        <v/>
      </c>
      <c r="BGL6" s="97" t="str">
        <f t="shared" si="25"/>
        <v/>
      </c>
      <c r="BGM6" s="97" t="str">
        <f t="shared" si="25"/>
        <v/>
      </c>
      <c r="BGN6" s="97" t="str">
        <f t="shared" si="25"/>
        <v/>
      </c>
      <c r="BGO6" s="97" t="str">
        <f t="shared" si="25"/>
        <v/>
      </c>
      <c r="BGP6" s="97" t="str">
        <f t="shared" si="25"/>
        <v/>
      </c>
      <c r="BGQ6" s="97" t="str">
        <f t="shared" si="25"/>
        <v/>
      </c>
      <c r="BGR6" s="97" t="str">
        <f t="shared" si="25"/>
        <v/>
      </c>
      <c r="BGS6" s="97" t="str">
        <f t="shared" si="25"/>
        <v/>
      </c>
      <c r="BGT6" s="97" t="str">
        <f t="shared" si="25"/>
        <v/>
      </c>
      <c r="BGU6" s="97" t="str">
        <f t="shared" si="25"/>
        <v/>
      </c>
      <c r="BGV6" s="97" t="str">
        <f t="shared" si="25"/>
        <v/>
      </c>
      <c r="BGW6" s="97" t="str">
        <f t="shared" si="25"/>
        <v/>
      </c>
      <c r="BGX6" s="97" t="str">
        <f t="shared" si="25"/>
        <v/>
      </c>
      <c r="BGY6" s="97" t="str">
        <f t="shared" si="25"/>
        <v/>
      </c>
      <c r="BGZ6" s="97" t="str">
        <f t="shared" si="25"/>
        <v/>
      </c>
      <c r="BHA6" s="97" t="str">
        <f t="shared" si="25"/>
        <v/>
      </c>
      <c r="BHB6" s="97" t="str">
        <f t="shared" si="25"/>
        <v/>
      </c>
      <c r="BHC6" s="97" t="str">
        <f t="shared" si="25"/>
        <v/>
      </c>
      <c r="BHD6" s="97" t="str">
        <f t="shared" si="25"/>
        <v/>
      </c>
      <c r="BHE6" s="97" t="str">
        <f t="shared" si="25"/>
        <v/>
      </c>
      <c r="BHF6" s="97" t="str">
        <f t="shared" si="25"/>
        <v/>
      </c>
      <c r="BHG6" s="97" t="str">
        <f t="shared" si="25"/>
        <v/>
      </c>
      <c r="BHH6" s="97" t="str">
        <f t="shared" si="25"/>
        <v/>
      </c>
      <c r="BHI6" s="97" t="str">
        <f t="shared" si="25"/>
        <v/>
      </c>
      <c r="BHJ6" s="97" t="str">
        <f t="shared" si="25"/>
        <v/>
      </c>
      <c r="BHK6" s="97" t="str">
        <f t="shared" si="25"/>
        <v/>
      </c>
      <c r="BHL6" s="97" t="str">
        <f t="shared" si="25"/>
        <v/>
      </c>
      <c r="BHM6" s="97" t="str">
        <f t="shared" si="25"/>
        <v/>
      </c>
      <c r="BHN6" s="97" t="str">
        <f t="shared" si="25"/>
        <v/>
      </c>
      <c r="BHO6" s="97" t="str">
        <f t="shared" si="25"/>
        <v/>
      </c>
      <c r="BHP6" s="97" t="str">
        <f t="shared" si="25"/>
        <v/>
      </c>
      <c r="BHQ6" s="97" t="str">
        <f t="shared" si="25"/>
        <v/>
      </c>
      <c r="BHR6" s="97" t="str">
        <f t="shared" si="25"/>
        <v/>
      </c>
      <c r="BHS6" s="97" t="str">
        <f t="shared" si="25"/>
        <v/>
      </c>
      <c r="BHT6" s="97" t="str">
        <f t="shared" si="25"/>
        <v/>
      </c>
      <c r="BHU6" s="97" t="str">
        <f t="shared" si="25"/>
        <v/>
      </c>
      <c r="BHV6" s="97" t="str">
        <f t="shared" si="25"/>
        <v/>
      </c>
      <c r="BHW6" s="97" t="str">
        <f t="shared" si="25"/>
        <v/>
      </c>
      <c r="BHX6" s="97" t="str">
        <f t="shared" si="25"/>
        <v/>
      </c>
      <c r="BHY6" s="97" t="str">
        <f t="shared" si="25"/>
        <v/>
      </c>
      <c r="BHZ6" s="97" t="str">
        <f t="shared" si="25"/>
        <v/>
      </c>
      <c r="BIA6" s="97" t="str">
        <f t="shared" si="25"/>
        <v/>
      </c>
      <c r="BIB6" s="97" t="str">
        <f t="shared" si="25"/>
        <v/>
      </c>
      <c r="BIC6" s="97" t="str">
        <f t="shared" si="25"/>
        <v/>
      </c>
      <c r="BID6" s="97" t="str">
        <f t="shared" si="25"/>
        <v/>
      </c>
      <c r="BIE6" s="97" t="str">
        <f t="shared" si="25"/>
        <v/>
      </c>
      <c r="BIF6" s="97" t="str">
        <f t="shared" si="25"/>
        <v/>
      </c>
      <c r="BIG6" s="97" t="str">
        <f t="shared" si="25"/>
        <v/>
      </c>
      <c r="BIH6" s="97" t="str">
        <f t="shared" si="25"/>
        <v/>
      </c>
      <c r="BII6" s="97" t="str">
        <f t="shared" si="25"/>
        <v/>
      </c>
      <c r="BIJ6" s="97" t="str">
        <f t="shared" si="25"/>
        <v/>
      </c>
      <c r="BIK6" s="97" t="str">
        <f t="shared" si="25"/>
        <v/>
      </c>
      <c r="BIL6" s="97" t="str">
        <f t="shared" si="25"/>
        <v/>
      </c>
      <c r="BIM6" s="97" t="str">
        <f t="shared" si="25"/>
        <v/>
      </c>
      <c r="BIN6" s="97" t="str">
        <f t="shared" si="25"/>
        <v/>
      </c>
      <c r="BIO6" s="97" t="str">
        <f t="shared" si="25"/>
        <v/>
      </c>
      <c r="BIP6" s="97" t="str">
        <f t="shared" si="25"/>
        <v/>
      </c>
      <c r="BIQ6" s="97" t="str">
        <f t="shared" si="25"/>
        <v/>
      </c>
      <c r="BIR6" s="97" t="str">
        <f t="shared" si="25"/>
        <v/>
      </c>
      <c r="BIS6" s="97" t="str">
        <f t="shared" si="25"/>
        <v/>
      </c>
      <c r="BIT6" s="97" t="str">
        <f t="shared" ref="BIT6:BLE6" si="26">IFERROR(AVERAGE(BIT7:BIT13),"")</f>
        <v/>
      </c>
      <c r="BIU6" s="97" t="str">
        <f t="shared" si="26"/>
        <v/>
      </c>
      <c r="BIV6" s="97" t="str">
        <f t="shared" si="26"/>
        <v/>
      </c>
      <c r="BIW6" s="97" t="str">
        <f t="shared" si="26"/>
        <v/>
      </c>
      <c r="BIX6" s="97" t="str">
        <f t="shared" si="26"/>
        <v/>
      </c>
      <c r="BIY6" s="97" t="str">
        <f t="shared" si="26"/>
        <v/>
      </c>
      <c r="BIZ6" s="97" t="str">
        <f t="shared" si="26"/>
        <v/>
      </c>
      <c r="BJA6" s="97" t="str">
        <f t="shared" si="26"/>
        <v/>
      </c>
      <c r="BJB6" s="97" t="str">
        <f t="shared" si="26"/>
        <v/>
      </c>
      <c r="BJC6" s="97" t="str">
        <f t="shared" si="26"/>
        <v/>
      </c>
      <c r="BJD6" s="97" t="str">
        <f t="shared" si="26"/>
        <v/>
      </c>
      <c r="BJE6" s="97" t="str">
        <f t="shared" si="26"/>
        <v/>
      </c>
      <c r="BJF6" s="97" t="str">
        <f t="shared" si="26"/>
        <v/>
      </c>
      <c r="BJG6" s="97" t="str">
        <f t="shared" si="26"/>
        <v/>
      </c>
      <c r="BJH6" s="97" t="str">
        <f t="shared" si="26"/>
        <v/>
      </c>
      <c r="BJI6" s="97" t="str">
        <f t="shared" si="26"/>
        <v/>
      </c>
      <c r="BJJ6" s="97" t="str">
        <f t="shared" si="26"/>
        <v/>
      </c>
      <c r="BJK6" s="97" t="str">
        <f t="shared" si="26"/>
        <v/>
      </c>
      <c r="BJL6" s="97" t="str">
        <f t="shared" si="26"/>
        <v/>
      </c>
      <c r="BJM6" s="97" t="str">
        <f t="shared" si="26"/>
        <v/>
      </c>
      <c r="BJN6" s="97" t="str">
        <f t="shared" si="26"/>
        <v/>
      </c>
      <c r="BJO6" s="97" t="str">
        <f t="shared" si="26"/>
        <v/>
      </c>
      <c r="BJP6" s="97" t="str">
        <f t="shared" si="26"/>
        <v/>
      </c>
      <c r="BJQ6" s="97" t="str">
        <f t="shared" si="26"/>
        <v/>
      </c>
      <c r="BJR6" s="97" t="str">
        <f t="shared" si="26"/>
        <v/>
      </c>
      <c r="BJS6" s="97" t="str">
        <f t="shared" si="26"/>
        <v/>
      </c>
      <c r="BJT6" s="97" t="str">
        <f t="shared" si="26"/>
        <v/>
      </c>
      <c r="BJU6" s="97" t="str">
        <f t="shared" si="26"/>
        <v/>
      </c>
      <c r="BJV6" s="97" t="str">
        <f t="shared" si="26"/>
        <v/>
      </c>
      <c r="BJW6" s="97" t="str">
        <f t="shared" si="26"/>
        <v/>
      </c>
      <c r="BJX6" s="97" t="str">
        <f t="shared" si="26"/>
        <v/>
      </c>
      <c r="BJY6" s="97" t="str">
        <f t="shared" si="26"/>
        <v/>
      </c>
      <c r="BJZ6" s="97" t="str">
        <f t="shared" si="26"/>
        <v/>
      </c>
      <c r="BKA6" s="97" t="str">
        <f t="shared" si="26"/>
        <v/>
      </c>
      <c r="BKB6" s="97" t="str">
        <f t="shared" si="26"/>
        <v/>
      </c>
      <c r="BKC6" s="97" t="str">
        <f t="shared" si="26"/>
        <v/>
      </c>
      <c r="BKD6" s="97" t="str">
        <f t="shared" si="26"/>
        <v/>
      </c>
      <c r="BKE6" s="97" t="str">
        <f t="shared" si="26"/>
        <v/>
      </c>
      <c r="BKF6" s="97" t="str">
        <f t="shared" si="26"/>
        <v/>
      </c>
      <c r="BKG6" s="97" t="str">
        <f t="shared" si="26"/>
        <v/>
      </c>
      <c r="BKH6" s="97" t="str">
        <f t="shared" si="26"/>
        <v/>
      </c>
      <c r="BKI6" s="97" t="str">
        <f t="shared" si="26"/>
        <v/>
      </c>
      <c r="BKJ6" s="97" t="str">
        <f t="shared" si="26"/>
        <v/>
      </c>
      <c r="BKK6" s="97" t="str">
        <f t="shared" si="26"/>
        <v/>
      </c>
      <c r="BKL6" s="97" t="str">
        <f t="shared" si="26"/>
        <v/>
      </c>
      <c r="BKM6" s="97" t="str">
        <f t="shared" si="26"/>
        <v/>
      </c>
      <c r="BKN6" s="97" t="str">
        <f t="shared" si="26"/>
        <v/>
      </c>
      <c r="BKO6" s="97" t="str">
        <f t="shared" si="26"/>
        <v/>
      </c>
      <c r="BKP6" s="97" t="str">
        <f t="shared" si="26"/>
        <v/>
      </c>
      <c r="BKQ6" s="97" t="str">
        <f t="shared" si="26"/>
        <v/>
      </c>
      <c r="BKR6" s="97" t="str">
        <f t="shared" si="26"/>
        <v/>
      </c>
      <c r="BKS6" s="97" t="str">
        <f t="shared" si="26"/>
        <v/>
      </c>
      <c r="BKT6" s="97" t="str">
        <f t="shared" si="26"/>
        <v/>
      </c>
      <c r="BKU6" s="97" t="str">
        <f t="shared" si="26"/>
        <v/>
      </c>
      <c r="BKV6" s="97" t="str">
        <f t="shared" si="26"/>
        <v/>
      </c>
      <c r="BKW6" s="97" t="str">
        <f t="shared" si="26"/>
        <v/>
      </c>
      <c r="BKX6" s="97" t="str">
        <f t="shared" si="26"/>
        <v/>
      </c>
      <c r="BKY6" s="97" t="str">
        <f t="shared" si="26"/>
        <v/>
      </c>
      <c r="BKZ6" s="97" t="str">
        <f t="shared" si="26"/>
        <v/>
      </c>
      <c r="BLA6" s="97" t="str">
        <f t="shared" si="26"/>
        <v/>
      </c>
      <c r="BLB6" s="97" t="str">
        <f t="shared" si="26"/>
        <v/>
      </c>
      <c r="BLC6" s="97" t="str">
        <f t="shared" si="26"/>
        <v/>
      </c>
      <c r="BLD6" s="97" t="str">
        <f t="shared" si="26"/>
        <v/>
      </c>
      <c r="BLE6" s="97" t="str">
        <f t="shared" si="26"/>
        <v/>
      </c>
      <c r="BLF6" s="97" t="str">
        <f t="shared" ref="BLF6:BNQ6" si="27">IFERROR(AVERAGE(BLF7:BLF13),"")</f>
        <v/>
      </c>
      <c r="BLG6" s="97" t="str">
        <f t="shared" si="27"/>
        <v/>
      </c>
      <c r="BLH6" s="97" t="str">
        <f t="shared" si="27"/>
        <v/>
      </c>
      <c r="BLI6" s="97" t="str">
        <f t="shared" si="27"/>
        <v/>
      </c>
      <c r="BLJ6" s="97" t="str">
        <f t="shared" si="27"/>
        <v/>
      </c>
      <c r="BLK6" s="97" t="str">
        <f t="shared" si="27"/>
        <v/>
      </c>
      <c r="BLL6" s="97" t="str">
        <f t="shared" si="27"/>
        <v/>
      </c>
      <c r="BLM6" s="97" t="str">
        <f t="shared" si="27"/>
        <v/>
      </c>
      <c r="BLN6" s="97" t="str">
        <f t="shared" si="27"/>
        <v/>
      </c>
      <c r="BLO6" s="97" t="str">
        <f t="shared" si="27"/>
        <v/>
      </c>
      <c r="BLP6" s="97" t="str">
        <f t="shared" si="27"/>
        <v/>
      </c>
      <c r="BLQ6" s="97" t="str">
        <f t="shared" si="27"/>
        <v/>
      </c>
      <c r="BLR6" s="97" t="str">
        <f t="shared" si="27"/>
        <v/>
      </c>
      <c r="BLS6" s="97" t="str">
        <f t="shared" si="27"/>
        <v/>
      </c>
      <c r="BLT6" s="97" t="str">
        <f t="shared" si="27"/>
        <v/>
      </c>
      <c r="BLU6" s="97" t="str">
        <f t="shared" si="27"/>
        <v/>
      </c>
      <c r="BLV6" s="97" t="str">
        <f t="shared" si="27"/>
        <v/>
      </c>
      <c r="BLW6" s="97" t="str">
        <f t="shared" si="27"/>
        <v/>
      </c>
      <c r="BLX6" s="97" t="str">
        <f t="shared" si="27"/>
        <v/>
      </c>
      <c r="BLY6" s="97" t="str">
        <f t="shared" si="27"/>
        <v/>
      </c>
      <c r="BLZ6" s="97" t="str">
        <f t="shared" si="27"/>
        <v/>
      </c>
      <c r="BMA6" s="97" t="str">
        <f t="shared" si="27"/>
        <v/>
      </c>
      <c r="BMB6" s="97" t="str">
        <f t="shared" si="27"/>
        <v/>
      </c>
      <c r="BMC6" s="97" t="str">
        <f t="shared" si="27"/>
        <v/>
      </c>
      <c r="BMD6" s="97" t="str">
        <f t="shared" si="27"/>
        <v/>
      </c>
      <c r="BME6" s="97" t="str">
        <f t="shared" si="27"/>
        <v/>
      </c>
      <c r="BMF6" s="97" t="str">
        <f t="shared" si="27"/>
        <v/>
      </c>
      <c r="BMG6" s="97" t="str">
        <f t="shared" si="27"/>
        <v/>
      </c>
      <c r="BMH6" s="97" t="str">
        <f t="shared" si="27"/>
        <v/>
      </c>
      <c r="BMI6" s="97" t="str">
        <f t="shared" si="27"/>
        <v/>
      </c>
      <c r="BMJ6" s="97" t="str">
        <f t="shared" si="27"/>
        <v/>
      </c>
      <c r="BMK6" s="97" t="str">
        <f t="shared" si="27"/>
        <v/>
      </c>
      <c r="BML6" s="97" t="str">
        <f t="shared" si="27"/>
        <v/>
      </c>
      <c r="BMM6" s="97" t="str">
        <f t="shared" si="27"/>
        <v/>
      </c>
      <c r="BMN6" s="97" t="str">
        <f t="shared" si="27"/>
        <v/>
      </c>
      <c r="BMO6" s="97" t="str">
        <f t="shared" si="27"/>
        <v/>
      </c>
      <c r="BMP6" s="97" t="str">
        <f t="shared" si="27"/>
        <v/>
      </c>
      <c r="BMQ6" s="97" t="str">
        <f t="shared" si="27"/>
        <v/>
      </c>
      <c r="BMR6" s="97" t="str">
        <f t="shared" si="27"/>
        <v/>
      </c>
      <c r="BMS6" s="97" t="str">
        <f t="shared" si="27"/>
        <v/>
      </c>
      <c r="BMT6" s="97" t="str">
        <f t="shared" si="27"/>
        <v/>
      </c>
      <c r="BMU6" s="97" t="str">
        <f t="shared" si="27"/>
        <v/>
      </c>
      <c r="BMV6" s="97" t="str">
        <f t="shared" si="27"/>
        <v/>
      </c>
      <c r="BMW6" s="97" t="str">
        <f t="shared" si="27"/>
        <v/>
      </c>
      <c r="BMX6" s="97" t="str">
        <f t="shared" si="27"/>
        <v/>
      </c>
      <c r="BMY6" s="97" t="str">
        <f t="shared" si="27"/>
        <v/>
      </c>
      <c r="BMZ6" s="97" t="str">
        <f t="shared" si="27"/>
        <v/>
      </c>
      <c r="BNA6" s="97" t="str">
        <f t="shared" si="27"/>
        <v/>
      </c>
      <c r="BNB6" s="97" t="str">
        <f t="shared" si="27"/>
        <v/>
      </c>
      <c r="BNC6" s="97" t="str">
        <f t="shared" si="27"/>
        <v/>
      </c>
      <c r="BND6" s="97" t="str">
        <f t="shared" si="27"/>
        <v/>
      </c>
      <c r="BNE6" s="97" t="str">
        <f t="shared" si="27"/>
        <v/>
      </c>
      <c r="BNF6" s="97" t="str">
        <f t="shared" si="27"/>
        <v/>
      </c>
      <c r="BNG6" s="97" t="str">
        <f t="shared" si="27"/>
        <v/>
      </c>
      <c r="BNH6" s="97" t="str">
        <f t="shared" si="27"/>
        <v/>
      </c>
      <c r="BNI6" s="97" t="str">
        <f t="shared" si="27"/>
        <v/>
      </c>
      <c r="BNJ6" s="97" t="str">
        <f t="shared" si="27"/>
        <v/>
      </c>
      <c r="BNK6" s="97" t="str">
        <f t="shared" si="27"/>
        <v/>
      </c>
      <c r="BNL6" s="97" t="str">
        <f t="shared" si="27"/>
        <v/>
      </c>
      <c r="BNM6" s="97" t="str">
        <f t="shared" si="27"/>
        <v/>
      </c>
      <c r="BNN6" s="97" t="str">
        <f t="shared" si="27"/>
        <v/>
      </c>
      <c r="BNO6" s="97" t="str">
        <f t="shared" si="27"/>
        <v/>
      </c>
      <c r="BNP6" s="97" t="str">
        <f t="shared" si="27"/>
        <v/>
      </c>
      <c r="BNQ6" s="97" t="str">
        <f t="shared" si="27"/>
        <v/>
      </c>
      <c r="BNR6" s="97" t="str">
        <f t="shared" ref="BNR6:BQC6" si="28">IFERROR(AVERAGE(BNR7:BNR13),"")</f>
        <v/>
      </c>
      <c r="BNS6" s="97" t="str">
        <f t="shared" si="28"/>
        <v/>
      </c>
      <c r="BNT6" s="97" t="str">
        <f t="shared" si="28"/>
        <v/>
      </c>
      <c r="BNU6" s="97" t="str">
        <f t="shared" si="28"/>
        <v/>
      </c>
      <c r="BNV6" s="97" t="str">
        <f t="shared" si="28"/>
        <v/>
      </c>
      <c r="BNW6" s="97" t="str">
        <f t="shared" si="28"/>
        <v/>
      </c>
      <c r="BNX6" s="97" t="str">
        <f t="shared" si="28"/>
        <v/>
      </c>
      <c r="BNY6" s="97" t="str">
        <f t="shared" si="28"/>
        <v/>
      </c>
      <c r="BNZ6" s="97" t="str">
        <f t="shared" si="28"/>
        <v/>
      </c>
      <c r="BOA6" s="97" t="str">
        <f t="shared" si="28"/>
        <v/>
      </c>
      <c r="BOB6" s="97" t="str">
        <f t="shared" si="28"/>
        <v/>
      </c>
      <c r="BOC6" s="97" t="str">
        <f t="shared" si="28"/>
        <v/>
      </c>
      <c r="BOD6" s="97" t="str">
        <f t="shared" si="28"/>
        <v/>
      </c>
      <c r="BOE6" s="97" t="str">
        <f t="shared" si="28"/>
        <v/>
      </c>
      <c r="BOF6" s="97" t="str">
        <f t="shared" si="28"/>
        <v/>
      </c>
      <c r="BOG6" s="97" t="str">
        <f t="shared" si="28"/>
        <v/>
      </c>
      <c r="BOH6" s="97" t="str">
        <f t="shared" si="28"/>
        <v/>
      </c>
      <c r="BOI6" s="97" t="str">
        <f t="shared" si="28"/>
        <v/>
      </c>
      <c r="BOJ6" s="97" t="str">
        <f t="shared" si="28"/>
        <v/>
      </c>
      <c r="BOK6" s="97" t="str">
        <f t="shared" si="28"/>
        <v/>
      </c>
      <c r="BOL6" s="97" t="str">
        <f t="shared" si="28"/>
        <v/>
      </c>
      <c r="BOM6" s="97" t="str">
        <f t="shared" si="28"/>
        <v/>
      </c>
      <c r="BON6" s="97" t="str">
        <f t="shared" si="28"/>
        <v/>
      </c>
      <c r="BOO6" s="97" t="str">
        <f t="shared" si="28"/>
        <v/>
      </c>
      <c r="BOP6" s="97" t="str">
        <f t="shared" si="28"/>
        <v/>
      </c>
      <c r="BOQ6" s="97" t="str">
        <f t="shared" si="28"/>
        <v/>
      </c>
      <c r="BOR6" s="97" t="str">
        <f t="shared" si="28"/>
        <v/>
      </c>
      <c r="BOS6" s="97" t="str">
        <f t="shared" si="28"/>
        <v/>
      </c>
      <c r="BOT6" s="97" t="str">
        <f t="shared" si="28"/>
        <v/>
      </c>
      <c r="BOU6" s="97" t="str">
        <f t="shared" si="28"/>
        <v/>
      </c>
      <c r="BOV6" s="97" t="str">
        <f t="shared" si="28"/>
        <v/>
      </c>
      <c r="BOW6" s="97" t="str">
        <f t="shared" si="28"/>
        <v/>
      </c>
      <c r="BOX6" s="97" t="str">
        <f t="shared" si="28"/>
        <v/>
      </c>
      <c r="BOY6" s="97" t="str">
        <f t="shared" si="28"/>
        <v/>
      </c>
      <c r="BOZ6" s="97" t="str">
        <f t="shared" si="28"/>
        <v/>
      </c>
      <c r="BPA6" s="97" t="str">
        <f t="shared" si="28"/>
        <v/>
      </c>
      <c r="BPB6" s="97" t="str">
        <f t="shared" si="28"/>
        <v/>
      </c>
      <c r="BPC6" s="97" t="str">
        <f t="shared" si="28"/>
        <v/>
      </c>
      <c r="BPD6" s="97" t="str">
        <f t="shared" si="28"/>
        <v/>
      </c>
      <c r="BPE6" s="97" t="str">
        <f t="shared" si="28"/>
        <v/>
      </c>
      <c r="BPF6" s="97" t="str">
        <f t="shared" si="28"/>
        <v/>
      </c>
      <c r="BPG6" s="97" t="str">
        <f t="shared" si="28"/>
        <v/>
      </c>
      <c r="BPH6" s="97" t="str">
        <f t="shared" si="28"/>
        <v/>
      </c>
      <c r="BPI6" s="97" t="str">
        <f t="shared" si="28"/>
        <v/>
      </c>
      <c r="BPJ6" s="97" t="str">
        <f t="shared" si="28"/>
        <v/>
      </c>
      <c r="BPK6" s="97" t="str">
        <f t="shared" si="28"/>
        <v/>
      </c>
      <c r="BPL6" s="97" t="str">
        <f t="shared" si="28"/>
        <v/>
      </c>
      <c r="BPM6" s="97" t="str">
        <f t="shared" si="28"/>
        <v/>
      </c>
      <c r="BPN6" s="97" t="str">
        <f t="shared" si="28"/>
        <v/>
      </c>
      <c r="BPO6" s="97" t="str">
        <f t="shared" si="28"/>
        <v/>
      </c>
      <c r="BPP6" s="97" t="str">
        <f t="shared" si="28"/>
        <v/>
      </c>
      <c r="BPQ6" s="97" t="str">
        <f t="shared" si="28"/>
        <v/>
      </c>
      <c r="BPR6" s="97" t="str">
        <f t="shared" si="28"/>
        <v/>
      </c>
      <c r="BPS6" s="97" t="str">
        <f t="shared" si="28"/>
        <v/>
      </c>
      <c r="BPT6" s="97" t="str">
        <f t="shared" si="28"/>
        <v/>
      </c>
      <c r="BPU6" s="97" t="str">
        <f t="shared" si="28"/>
        <v/>
      </c>
      <c r="BPV6" s="97" t="str">
        <f t="shared" si="28"/>
        <v/>
      </c>
      <c r="BPW6" s="97" t="str">
        <f t="shared" si="28"/>
        <v/>
      </c>
      <c r="BPX6" s="97" t="str">
        <f t="shared" si="28"/>
        <v/>
      </c>
      <c r="BPY6" s="97" t="str">
        <f t="shared" si="28"/>
        <v/>
      </c>
      <c r="BPZ6" s="97" t="str">
        <f t="shared" si="28"/>
        <v/>
      </c>
      <c r="BQA6" s="97" t="str">
        <f t="shared" si="28"/>
        <v/>
      </c>
      <c r="BQB6" s="97" t="str">
        <f t="shared" si="28"/>
        <v/>
      </c>
      <c r="BQC6" s="97" t="str">
        <f t="shared" si="28"/>
        <v/>
      </c>
      <c r="BQD6" s="97" t="str">
        <f t="shared" ref="BQD6:BSO6" si="29">IFERROR(AVERAGE(BQD7:BQD13),"")</f>
        <v/>
      </c>
      <c r="BQE6" s="97" t="str">
        <f t="shared" si="29"/>
        <v/>
      </c>
      <c r="BQF6" s="97" t="str">
        <f t="shared" si="29"/>
        <v/>
      </c>
      <c r="BQG6" s="97" t="str">
        <f t="shared" si="29"/>
        <v/>
      </c>
      <c r="BQH6" s="97" t="str">
        <f t="shared" si="29"/>
        <v/>
      </c>
      <c r="BQI6" s="97" t="str">
        <f t="shared" si="29"/>
        <v/>
      </c>
      <c r="BQJ6" s="97" t="str">
        <f t="shared" si="29"/>
        <v/>
      </c>
      <c r="BQK6" s="97" t="str">
        <f t="shared" si="29"/>
        <v/>
      </c>
      <c r="BQL6" s="97" t="str">
        <f t="shared" si="29"/>
        <v/>
      </c>
      <c r="BQM6" s="97" t="str">
        <f t="shared" si="29"/>
        <v/>
      </c>
      <c r="BQN6" s="97" t="str">
        <f t="shared" si="29"/>
        <v/>
      </c>
      <c r="BQO6" s="97" t="str">
        <f t="shared" si="29"/>
        <v/>
      </c>
      <c r="BQP6" s="97" t="str">
        <f t="shared" si="29"/>
        <v/>
      </c>
      <c r="BQQ6" s="97" t="str">
        <f t="shared" si="29"/>
        <v/>
      </c>
      <c r="BQR6" s="97" t="str">
        <f t="shared" si="29"/>
        <v/>
      </c>
      <c r="BQS6" s="97" t="str">
        <f t="shared" si="29"/>
        <v/>
      </c>
      <c r="BQT6" s="97" t="str">
        <f t="shared" si="29"/>
        <v/>
      </c>
      <c r="BQU6" s="97" t="str">
        <f t="shared" si="29"/>
        <v/>
      </c>
      <c r="BQV6" s="97" t="str">
        <f t="shared" si="29"/>
        <v/>
      </c>
      <c r="BQW6" s="97" t="str">
        <f t="shared" si="29"/>
        <v/>
      </c>
      <c r="BQX6" s="97" t="str">
        <f t="shared" si="29"/>
        <v/>
      </c>
      <c r="BQY6" s="97" t="str">
        <f t="shared" si="29"/>
        <v/>
      </c>
      <c r="BQZ6" s="97" t="str">
        <f t="shared" si="29"/>
        <v/>
      </c>
      <c r="BRA6" s="97" t="str">
        <f t="shared" si="29"/>
        <v/>
      </c>
      <c r="BRB6" s="97" t="str">
        <f t="shared" si="29"/>
        <v/>
      </c>
      <c r="BRC6" s="97" t="str">
        <f t="shared" si="29"/>
        <v/>
      </c>
      <c r="BRD6" s="97" t="str">
        <f t="shared" si="29"/>
        <v/>
      </c>
      <c r="BRE6" s="97" t="str">
        <f t="shared" si="29"/>
        <v/>
      </c>
      <c r="BRF6" s="97" t="str">
        <f t="shared" si="29"/>
        <v/>
      </c>
      <c r="BRG6" s="97" t="str">
        <f t="shared" si="29"/>
        <v/>
      </c>
      <c r="BRH6" s="97" t="str">
        <f t="shared" si="29"/>
        <v/>
      </c>
      <c r="BRI6" s="97" t="str">
        <f t="shared" si="29"/>
        <v/>
      </c>
      <c r="BRJ6" s="97" t="str">
        <f t="shared" si="29"/>
        <v/>
      </c>
      <c r="BRK6" s="97" t="str">
        <f t="shared" si="29"/>
        <v/>
      </c>
      <c r="BRL6" s="97" t="str">
        <f t="shared" si="29"/>
        <v/>
      </c>
      <c r="BRM6" s="97" t="str">
        <f t="shared" si="29"/>
        <v/>
      </c>
      <c r="BRN6" s="97" t="str">
        <f t="shared" si="29"/>
        <v/>
      </c>
      <c r="BRO6" s="97" t="str">
        <f t="shared" si="29"/>
        <v/>
      </c>
      <c r="BRP6" s="97" t="str">
        <f t="shared" si="29"/>
        <v/>
      </c>
      <c r="BRQ6" s="97" t="str">
        <f t="shared" si="29"/>
        <v/>
      </c>
      <c r="BRR6" s="97" t="str">
        <f t="shared" si="29"/>
        <v/>
      </c>
      <c r="BRS6" s="97" t="str">
        <f t="shared" si="29"/>
        <v/>
      </c>
      <c r="BRT6" s="97" t="str">
        <f t="shared" si="29"/>
        <v/>
      </c>
      <c r="BRU6" s="97" t="str">
        <f t="shared" si="29"/>
        <v/>
      </c>
      <c r="BRV6" s="97" t="str">
        <f t="shared" si="29"/>
        <v/>
      </c>
      <c r="BRW6" s="97" t="str">
        <f t="shared" si="29"/>
        <v/>
      </c>
      <c r="BRX6" s="97" t="str">
        <f t="shared" si="29"/>
        <v/>
      </c>
      <c r="BRY6" s="97" t="str">
        <f t="shared" si="29"/>
        <v/>
      </c>
      <c r="BRZ6" s="97" t="str">
        <f t="shared" si="29"/>
        <v/>
      </c>
      <c r="BSA6" s="97" t="str">
        <f t="shared" si="29"/>
        <v/>
      </c>
      <c r="BSB6" s="97" t="str">
        <f t="shared" si="29"/>
        <v/>
      </c>
      <c r="BSC6" s="97" t="str">
        <f t="shared" si="29"/>
        <v/>
      </c>
      <c r="BSD6" s="97" t="str">
        <f t="shared" si="29"/>
        <v/>
      </c>
      <c r="BSE6" s="97" t="str">
        <f t="shared" si="29"/>
        <v/>
      </c>
      <c r="BSF6" s="97" t="str">
        <f t="shared" si="29"/>
        <v/>
      </c>
      <c r="BSG6" s="97" t="str">
        <f t="shared" si="29"/>
        <v/>
      </c>
      <c r="BSH6" s="97" t="str">
        <f t="shared" si="29"/>
        <v/>
      </c>
      <c r="BSI6" s="97" t="str">
        <f t="shared" si="29"/>
        <v/>
      </c>
      <c r="BSJ6" s="97" t="str">
        <f t="shared" si="29"/>
        <v/>
      </c>
      <c r="BSK6" s="97" t="str">
        <f t="shared" si="29"/>
        <v/>
      </c>
      <c r="BSL6" s="97" t="str">
        <f t="shared" si="29"/>
        <v/>
      </c>
      <c r="BSM6" s="97" t="str">
        <f t="shared" si="29"/>
        <v/>
      </c>
      <c r="BSN6" s="97" t="str">
        <f t="shared" si="29"/>
        <v/>
      </c>
      <c r="BSO6" s="97" t="str">
        <f t="shared" si="29"/>
        <v/>
      </c>
      <c r="BSP6" s="97" t="str">
        <f t="shared" ref="BSP6:BVA6" si="30">IFERROR(AVERAGE(BSP7:BSP13),"")</f>
        <v/>
      </c>
      <c r="BSQ6" s="97" t="str">
        <f t="shared" si="30"/>
        <v/>
      </c>
      <c r="BSR6" s="97" t="str">
        <f t="shared" si="30"/>
        <v/>
      </c>
      <c r="BSS6" s="97" t="str">
        <f t="shared" si="30"/>
        <v/>
      </c>
      <c r="BST6" s="97" t="str">
        <f t="shared" si="30"/>
        <v/>
      </c>
      <c r="BSU6" s="97" t="str">
        <f t="shared" si="30"/>
        <v/>
      </c>
      <c r="BSV6" s="97" t="str">
        <f t="shared" si="30"/>
        <v/>
      </c>
      <c r="BSW6" s="97" t="str">
        <f t="shared" si="30"/>
        <v/>
      </c>
      <c r="BSX6" s="97" t="str">
        <f t="shared" si="30"/>
        <v/>
      </c>
      <c r="BSY6" s="97" t="str">
        <f t="shared" si="30"/>
        <v/>
      </c>
      <c r="BSZ6" s="97" t="str">
        <f t="shared" si="30"/>
        <v/>
      </c>
      <c r="BTA6" s="97" t="str">
        <f t="shared" si="30"/>
        <v/>
      </c>
      <c r="BTB6" s="97" t="str">
        <f t="shared" si="30"/>
        <v/>
      </c>
      <c r="BTC6" s="97" t="str">
        <f t="shared" si="30"/>
        <v/>
      </c>
      <c r="BTD6" s="97" t="str">
        <f t="shared" si="30"/>
        <v/>
      </c>
      <c r="BTE6" s="97" t="str">
        <f t="shared" si="30"/>
        <v/>
      </c>
      <c r="BTF6" s="97" t="str">
        <f t="shared" si="30"/>
        <v/>
      </c>
      <c r="BTG6" s="97" t="str">
        <f t="shared" si="30"/>
        <v/>
      </c>
      <c r="BTH6" s="97" t="str">
        <f t="shared" si="30"/>
        <v/>
      </c>
      <c r="BTI6" s="97" t="str">
        <f t="shared" si="30"/>
        <v/>
      </c>
      <c r="BTJ6" s="97" t="str">
        <f t="shared" si="30"/>
        <v/>
      </c>
      <c r="BTK6" s="97" t="str">
        <f t="shared" si="30"/>
        <v/>
      </c>
      <c r="BTL6" s="97" t="str">
        <f t="shared" si="30"/>
        <v/>
      </c>
      <c r="BTM6" s="97" t="str">
        <f t="shared" si="30"/>
        <v/>
      </c>
      <c r="BTN6" s="97" t="str">
        <f t="shared" si="30"/>
        <v/>
      </c>
      <c r="BTO6" s="97" t="str">
        <f t="shared" si="30"/>
        <v/>
      </c>
      <c r="BTP6" s="97" t="str">
        <f t="shared" si="30"/>
        <v/>
      </c>
      <c r="BTQ6" s="97" t="str">
        <f t="shared" si="30"/>
        <v/>
      </c>
      <c r="BTR6" s="97" t="str">
        <f t="shared" si="30"/>
        <v/>
      </c>
      <c r="BTS6" s="97" t="str">
        <f t="shared" si="30"/>
        <v/>
      </c>
      <c r="BTT6" s="97" t="str">
        <f t="shared" si="30"/>
        <v/>
      </c>
      <c r="BTU6" s="97" t="str">
        <f t="shared" si="30"/>
        <v/>
      </c>
      <c r="BTV6" s="97" t="str">
        <f t="shared" si="30"/>
        <v/>
      </c>
      <c r="BTW6" s="97" t="str">
        <f t="shared" si="30"/>
        <v/>
      </c>
      <c r="BTX6" s="97" t="str">
        <f t="shared" si="30"/>
        <v/>
      </c>
      <c r="BTY6" s="97" t="str">
        <f t="shared" si="30"/>
        <v/>
      </c>
      <c r="BTZ6" s="97" t="str">
        <f t="shared" si="30"/>
        <v/>
      </c>
      <c r="BUA6" s="97" t="str">
        <f t="shared" si="30"/>
        <v/>
      </c>
      <c r="BUB6" s="97" t="str">
        <f t="shared" si="30"/>
        <v/>
      </c>
      <c r="BUC6" s="97" t="str">
        <f t="shared" si="30"/>
        <v/>
      </c>
      <c r="BUD6" s="97" t="str">
        <f t="shared" si="30"/>
        <v/>
      </c>
      <c r="BUE6" s="97" t="str">
        <f t="shared" si="30"/>
        <v/>
      </c>
      <c r="BUF6" s="97" t="str">
        <f t="shared" si="30"/>
        <v/>
      </c>
      <c r="BUG6" s="97" t="str">
        <f t="shared" si="30"/>
        <v/>
      </c>
      <c r="BUH6" s="97" t="str">
        <f t="shared" si="30"/>
        <v/>
      </c>
      <c r="BUI6" s="97" t="str">
        <f t="shared" si="30"/>
        <v/>
      </c>
      <c r="BUJ6" s="97" t="str">
        <f t="shared" si="30"/>
        <v/>
      </c>
      <c r="BUK6" s="97" t="str">
        <f t="shared" si="30"/>
        <v/>
      </c>
      <c r="BUL6" s="97" t="str">
        <f t="shared" si="30"/>
        <v/>
      </c>
      <c r="BUM6" s="97" t="str">
        <f t="shared" si="30"/>
        <v/>
      </c>
      <c r="BUN6" s="97" t="str">
        <f t="shared" si="30"/>
        <v/>
      </c>
      <c r="BUO6" s="97" t="str">
        <f t="shared" si="30"/>
        <v/>
      </c>
      <c r="BUP6" s="97" t="str">
        <f t="shared" si="30"/>
        <v/>
      </c>
      <c r="BUQ6" s="97" t="str">
        <f t="shared" si="30"/>
        <v/>
      </c>
      <c r="BUR6" s="97" t="str">
        <f t="shared" si="30"/>
        <v/>
      </c>
      <c r="BUS6" s="97" t="str">
        <f t="shared" si="30"/>
        <v/>
      </c>
      <c r="BUT6" s="97" t="str">
        <f t="shared" si="30"/>
        <v/>
      </c>
      <c r="BUU6" s="97" t="str">
        <f t="shared" si="30"/>
        <v/>
      </c>
      <c r="BUV6" s="97" t="str">
        <f t="shared" si="30"/>
        <v/>
      </c>
      <c r="BUW6" s="97" t="str">
        <f t="shared" si="30"/>
        <v/>
      </c>
      <c r="BUX6" s="97" t="str">
        <f t="shared" si="30"/>
        <v/>
      </c>
      <c r="BUY6" s="97" t="str">
        <f t="shared" si="30"/>
        <v/>
      </c>
      <c r="BUZ6" s="97" t="str">
        <f t="shared" si="30"/>
        <v/>
      </c>
      <c r="BVA6" s="97" t="str">
        <f t="shared" si="30"/>
        <v/>
      </c>
      <c r="BVB6" s="97" t="str">
        <f t="shared" ref="BVB6:BXM6" si="31">IFERROR(AVERAGE(BVB7:BVB13),"")</f>
        <v/>
      </c>
      <c r="BVC6" s="97" t="str">
        <f t="shared" si="31"/>
        <v/>
      </c>
      <c r="BVD6" s="97" t="str">
        <f t="shared" si="31"/>
        <v/>
      </c>
      <c r="BVE6" s="97" t="str">
        <f t="shared" si="31"/>
        <v/>
      </c>
      <c r="BVF6" s="97" t="str">
        <f t="shared" si="31"/>
        <v/>
      </c>
      <c r="BVG6" s="97" t="str">
        <f t="shared" si="31"/>
        <v/>
      </c>
      <c r="BVH6" s="97" t="str">
        <f t="shared" si="31"/>
        <v/>
      </c>
      <c r="BVI6" s="97" t="str">
        <f t="shared" si="31"/>
        <v/>
      </c>
      <c r="BVJ6" s="97" t="str">
        <f t="shared" si="31"/>
        <v/>
      </c>
      <c r="BVK6" s="97" t="str">
        <f t="shared" si="31"/>
        <v/>
      </c>
      <c r="BVL6" s="97" t="str">
        <f t="shared" si="31"/>
        <v/>
      </c>
      <c r="BVM6" s="97" t="str">
        <f t="shared" si="31"/>
        <v/>
      </c>
      <c r="BVN6" s="97" t="str">
        <f t="shared" si="31"/>
        <v/>
      </c>
      <c r="BVO6" s="97" t="str">
        <f t="shared" si="31"/>
        <v/>
      </c>
      <c r="BVP6" s="97" t="str">
        <f t="shared" si="31"/>
        <v/>
      </c>
      <c r="BVQ6" s="97" t="str">
        <f t="shared" si="31"/>
        <v/>
      </c>
      <c r="BVR6" s="97" t="str">
        <f t="shared" si="31"/>
        <v/>
      </c>
      <c r="BVS6" s="97" t="str">
        <f t="shared" si="31"/>
        <v/>
      </c>
      <c r="BVT6" s="97" t="str">
        <f t="shared" si="31"/>
        <v/>
      </c>
      <c r="BVU6" s="97" t="str">
        <f t="shared" si="31"/>
        <v/>
      </c>
      <c r="BVV6" s="97" t="str">
        <f t="shared" si="31"/>
        <v/>
      </c>
      <c r="BVW6" s="97" t="str">
        <f t="shared" si="31"/>
        <v/>
      </c>
      <c r="BVX6" s="97" t="str">
        <f t="shared" si="31"/>
        <v/>
      </c>
      <c r="BVY6" s="97" t="str">
        <f t="shared" si="31"/>
        <v/>
      </c>
      <c r="BVZ6" s="97" t="str">
        <f t="shared" si="31"/>
        <v/>
      </c>
      <c r="BWA6" s="97" t="str">
        <f t="shared" si="31"/>
        <v/>
      </c>
      <c r="BWB6" s="97" t="str">
        <f t="shared" si="31"/>
        <v/>
      </c>
      <c r="BWC6" s="97" t="str">
        <f t="shared" si="31"/>
        <v/>
      </c>
      <c r="BWD6" s="97" t="str">
        <f t="shared" si="31"/>
        <v/>
      </c>
      <c r="BWE6" s="97" t="str">
        <f t="shared" si="31"/>
        <v/>
      </c>
      <c r="BWF6" s="97" t="str">
        <f t="shared" si="31"/>
        <v/>
      </c>
      <c r="BWG6" s="97" t="str">
        <f t="shared" si="31"/>
        <v/>
      </c>
      <c r="BWH6" s="97" t="str">
        <f t="shared" si="31"/>
        <v/>
      </c>
      <c r="BWI6" s="97" t="str">
        <f t="shared" si="31"/>
        <v/>
      </c>
      <c r="BWJ6" s="97" t="str">
        <f t="shared" si="31"/>
        <v/>
      </c>
      <c r="BWK6" s="97" t="str">
        <f t="shared" si="31"/>
        <v/>
      </c>
      <c r="BWL6" s="97" t="str">
        <f t="shared" si="31"/>
        <v/>
      </c>
      <c r="BWM6" s="97" t="str">
        <f t="shared" si="31"/>
        <v/>
      </c>
      <c r="BWN6" s="97" t="str">
        <f t="shared" si="31"/>
        <v/>
      </c>
      <c r="BWO6" s="97" t="str">
        <f t="shared" si="31"/>
        <v/>
      </c>
      <c r="BWP6" s="97" t="str">
        <f t="shared" si="31"/>
        <v/>
      </c>
      <c r="BWQ6" s="97" t="str">
        <f t="shared" si="31"/>
        <v/>
      </c>
      <c r="BWR6" s="97" t="str">
        <f t="shared" si="31"/>
        <v/>
      </c>
      <c r="BWS6" s="97" t="str">
        <f t="shared" si="31"/>
        <v/>
      </c>
      <c r="BWT6" s="97" t="str">
        <f t="shared" si="31"/>
        <v/>
      </c>
      <c r="BWU6" s="97" t="str">
        <f t="shared" si="31"/>
        <v/>
      </c>
      <c r="BWV6" s="97" t="str">
        <f t="shared" si="31"/>
        <v/>
      </c>
      <c r="BWW6" s="97" t="str">
        <f t="shared" si="31"/>
        <v/>
      </c>
      <c r="BWX6" s="97" t="str">
        <f t="shared" si="31"/>
        <v/>
      </c>
      <c r="BWY6" s="97" t="str">
        <f t="shared" si="31"/>
        <v/>
      </c>
      <c r="BWZ6" s="97" t="str">
        <f t="shared" si="31"/>
        <v/>
      </c>
      <c r="BXA6" s="97" t="str">
        <f t="shared" si="31"/>
        <v/>
      </c>
      <c r="BXB6" s="97" t="str">
        <f t="shared" si="31"/>
        <v/>
      </c>
      <c r="BXC6" s="97" t="str">
        <f t="shared" si="31"/>
        <v/>
      </c>
      <c r="BXD6" s="97" t="str">
        <f t="shared" si="31"/>
        <v/>
      </c>
      <c r="BXE6" s="97" t="str">
        <f t="shared" si="31"/>
        <v/>
      </c>
      <c r="BXF6" s="97" t="str">
        <f t="shared" si="31"/>
        <v/>
      </c>
      <c r="BXG6" s="97" t="str">
        <f t="shared" si="31"/>
        <v/>
      </c>
      <c r="BXH6" s="97" t="str">
        <f t="shared" si="31"/>
        <v/>
      </c>
      <c r="BXI6" s="97" t="str">
        <f t="shared" si="31"/>
        <v/>
      </c>
      <c r="BXJ6" s="97" t="str">
        <f t="shared" si="31"/>
        <v/>
      </c>
      <c r="BXK6" s="97" t="str">
        <f t="shared" si="31"/>
        <v/>
      </c>
      <c r="BXL6" s="97" t="str">
        <f t="shared" si="31"/>
        <v/>
      </c>
      <c r="BXM6" s="97" t="str">
        <f t="shared" si="31"/>
        <v/>
      </c>
      <c r="BXN6" s="97" t="str">
        <f t="shared" ref="BXN6:BZY6" si="32">IFERROR(AVERAGE(BXN7:BXN13),"")</f>
        <v/>
      </c>
      <c r="BXO6" s="97" t="str">
        <f t="shared" si="32"/>
        <v/>
      </c>
      <c r="BXP6" s="97" t="str">
        <f t="shared" si="32"/>
        <v/>
      </c>
      <c r="BXQ6" s="97" t="str">
        <f t="shared" si="32"/>
        <v/>
      </c>
      <c r="BXR6" s="97" t="str">
        <f t="shared" si="32"/>
        <v/>
      </c>
      <c r="BXS6" s="97" t="str">
        <f t="shared" si="32"/>
        <v/>
      </c>
      <c r="BXT6" s="97" t="str">
        <f t="shared" si="32"/>
        <v/>
      </c>
      <c r="BXU6" s="97" t="str">
        <f t="shared" si="32"/>
        <v/>
      </c>
      <c r="BXV6" s="97" t="str">
        <f t="shared" si="32"/>
        <v/>
      </c>
      <c r="BXW6" s="97" t="str">
        <f t="shared" si="32"/>
        <v/>
      </c>
      <c r="BXX6" s="97" t="str">
        <f t="shared" si="32"/>
        <v/>
      </c>
      <c r="BXY6" s="97" t="str">
        <f t="shared" si="32"/>
        <v/>
      </c>
      <c r="BXZ6" s="97" t="str">
        <f t="shared" si="32"/>
        <v/>
      </c>
      <c r="BYA6" s="97" t="str">
        <f t="shared" si="32"/>
        <v/>
      </c>
      <c r="BYB6" s="97" t="str">
        <f t="shared" si="32"/>
        <v/>
      </c>
      <c r="BYC6" s="97" t="str">
        <f t="shared" si="32"/>
        <v/>
      </c>
      <c r="BYD6" s="97" t="str">
        <f t="shared" si="32"/>
        <v/>
      </c>
      <c r="BYE6" s="97" t="str">
        <f t="shared" si="32"/>
        <v/>
      </c>
      <c r="BYF6" s="97" t="str">
        <f t="shared" si="32"/>
        <v/>
      </c>
      <c r="BYG6" s="97" t="str">
        <f t="shared" si="32"/>
        <v/>
      </c>
      <c r="BYH6" s="97" t="str">
        <f t="shared" si="32"/>
        <v/>
      </c>
      <c r="BYI6" s="97" t="str">
        <f t="shared" si="32"/>
        <v/>
      </c>
      <c r="BYJ6" s="97" t="str">
        <f t="shared" si="32"/>
        <v/>
      </c>
      <c r="BYK6" s="97" t="str">
        <f t="shared" si="32"/>
        <v/>
      </c>
      <c r="BYL6" s="97" t="str">
        <f t="shared" si="32"/>
        <v/>
      </c>
      <c r="BYM6" s="97" t="str">
        <f t="shared" si="32"/>
        <v/>
      </c>
      <c r="BYN6" s="97" t="str">
        <f t="shared" si="32"/>
        <v/>
      </c>
      <c r="BYO6" s="97" t="str">
        <f t="shared" si="32"/>
        <v/>
      </c>
      <c r="BYP6" s="97" t="str">
        <f t="shared" si="32"/>
        <v/>
      </c>
      <c r="BYQ6" s="97" t="str">
        <f t="shared" si="32"/>
        <v/>
      </c>
      <c r="BYR6" s="97" t="str">
        <f t="shared" si="32"/>
        <v/>
      </c>
      <c r="BYS6" s="97" t="str">
        <f t="shared" si="32"/>
        <v/>
      </c>
      <c r="BYT6" s="97" t="str">
        <f t="shared" si="32"/>
        <v/>
      </c>
      <c r="BYU6" s="97" t="str">
        <f t="shared" si="32"/>
        <v/>
      </c>
      <c r="BYV6" s="97" t="str">
        <f t="shared" si="32"/>
        <v/>
      </c>
      <c r="BYW6" s="97" t="str">
        <f t="shared" si="32"/>
        <v/>
      </c>
      <c r="BYX6" s="97" t="str">
        <f t="shared" si="32"/>
        <v/>
      </c>
      <c r="BYY6" s="97" t="str">
        <f t="shared" si="32"/>
        <v/>
      </c>
      <c r="BYZ6" s="97" t="str">
        <f t="shared" si="32"/>
        <v/>
      </c>
      <c r="BZA6" s="97" t="str">
        <f t="shared" si="32"/>
        <v/>
      </c>
      <c r="BZB6" s="97" t="str">
        <f t="shared" si="32"/>
        <v/>
      </c>
      <c r="BZC6" s="97" t="str">
        <f t="shared" si="32"/>
        <v/>
      </c>
      <c r="BZD6" s="97" t="str">
        <f t="shared" si="32"/>
        <v/>
      </c>
      <c r="BZE6" s="97" t="str">
        <f t="shared" si="32"/>
        <v/>
      </c>
      <c r="BZF6" s="97" t="str">
        <f t="shared" si="32"/>
        <v/>
      </c>
      <c r="BZG6" s="97" t="str">
        <f t="shared" si="32"/>
        <v/>
      </c>
      <c r="BZH6" s="97" t="str">
        <f t="shared" si="32"/>
        <v/>
      </c>
      <c r="BZI6" s="97" t="str">
        <f t="shared" si="32"/>
        <v/>
      </c>
      <c r="BZJ6" s="97" t="str">
        <f t="shared" si="32"/>
        <v/>
      </c>
      <c r="BZK6" s="97" t="str">
        <f t="shared" si="32"/>
        <v/>
      </c>
      <c r="BZL6" s="97" t="str">
        <f t="shared" si="32"/>
        <v/>
      </c>
      <c r="BZM6" s="97" t="str">
        <f t="shared" si="32"/>
        <v/>
      </c>
      <c r="BZN6" s="97" t="str">
        <f t="shared" si="32"/>
        <v/>
      </c>
      <c r="BZO6" s="97" t="str">
        <f t="shared" si="32"/>
        <v/>
      </c>
      <c r="BZP6" s="97" t="str">
        <f t="shared" si="32"/>
        <v/>
      </c>
      <c r="BZQ6" s="97" t="str">
        <f t="shared" si="32"/>
        <v/>
      </c>
      <c r="BZR6" s="97" t="str">
        <f t="shared" si="32"/>
        <v/>
      </c>
      <c r="BZS6" s="97" t="str">
        <f t="shared" si="32"/>
        <v/>
      </c>
      <c r="BZT6" s="97" t="str">
        <f t="shared" si="32"/>
        <v/>
      </c>
      <c r="BZU6" s="97" t="str">
        <f t="shared" si="32"/>
        <v/>
      </c>
      <c r="BZV6" s="97" t="str">
        <f t="shared" si="32"/>
        <v/>
      </c>
      <c r="BZW6" s="97" t="str">
        <f t="shared" si="32"/>
        <v/>
      </c>
      <c r="BZX6" s="97" t="str">
        <f t="shared" si="32"/>
        <v/>
      </c>
      <c r="BZY6" s="97" t="str">
        <f t="shared" si="32"/>
        <v/>
      </c>
      <c r="BZZ6" s="97" t="str">
        <f t="shared" ref="BZZ6:CCK6" si="33">IFERROR(AVERAGE(BZZ7:BZZ13),"")</f>
        <v/>
      </c>
      <c r="CAA6" s="97" t="str">
        <f t="shared" si="33"/>
        <v/>
      </c>
      <c r="CAB6" s="97" t="str">
        <f t="shared" si="33"/>
        <v/>
      </c>
      <c r="CAC6" s="97" t="str">
        <f t="shared" si="33"/>
        <v/>
      </c>
      <c r="CAD6" s="97" t="str">
        <f t="shared" si="33"/>
        <v/>
      </c>
      <c r="CAE6" s="97" t="str">
        <f t="shared" si="33"/>
        <v/>
      </c>
      <c r="CAF6" s="97" t="str">
        <f t="shared" si="33"/>
        <v/>
      </c>
      <c r="CAG6" s="97" t="str">
        <f t="shared" si="33"/>
        <v/>
      </c>
      <c r="CAH6" s="97" t="str">
        <f t="shared" si="33"/>
        <v/>
      </c>
      <c r="CAI6" s="97" t="str">
        <f t="shared" si="33"/>
        <v/>
      </c>
      <c r="CAJ6" s="97" t="str">
        <f t="shared" si="33"/>
        <v/>
      </c>
      <c r="CAK6" s="97" t="str">
        <f t="shared" si="33"/>
        <v/>
      </c>
      <c r="CAL6" s="97" t="str">
        <f t="shared" si="33"/>
        <v/>
      </c>
      <c r="CAM6" s="97" t="str">
        <f t="shared" si="33"/>
        <v/>
      </c>
      <c r="CAN6" s="97" t="str">
        <f t="shared" si="33"/>
        <v/>
      </c>
      <c r="CAO6" s="97" t="str">
        <f t="shared" si="33"/>
        <v/>
      </c>
      <c r="CAP6" s="97" t="str">
        <f t="shared" si="33"/>
        <v/>
      </c>
      <c r="CAQ6" s="97" t="str">
        <f t="shared" si="33"/>
        <v/>
      </c>
      <c r="CAR6" s="97" t="str">
        <f t="shared" si="33"/>
        <v/>
      </c>
      <c r="CAS6" s="97" t="str">
        <f t="shared" si="33"/>
        <v/>
      </c>
      <c r="CAT6" s="97" t="str">
        <f t="shared" si="33"/>
        <v/>
      </c>
      <c r="CAU6" s="97" t="str">
        <f t="shared" si="33"/>
        <v/>
      </c>
      <c r="CAV6" s="97" t="str">
        <f t="shared" si="33"/>
        <v/>
      </c>
      <c r="CAW6" s="97" t="str">
        <f t="shared" si="33"/>
        <v/>
      </c>
      <c r="CAX6" s="97" t="str">
        <f t="shared" si="33"/>
        <v/>
      </c>
      <c r="CAY6" s="97" t="str">
        <f t="shared" si="33"/>
        <v/>
      </c>
      <c r="CAZ6" s="97" t="str">
        <f t="shared" si="33"/>
        <v/>
      </c>
      <c r="CBA6" s="97" t="str">
        <f t="shared" si="33"/>
        <v/>
      </c>
      <c r="CBB6" s="97" t="str">
        <f t="shared" si="33"/>
        <v/>
      </c>
      <c r="CBC6" s="97" t="str">
        <f t="shared" si="33"/>
        <v/>
      </c>
      <c r="CBD6" s="97" t="str">
        <f t="shared" si="33"/>
        <v/>
      </c>
      <c r="CBE6" s="97" t="str">
        <f t="shared" si="33"/>
        <v/>
      </c>
      <c r="CBF6" s="97" t="str">
        <f t="shared" si="33"/>
        <v/>
      </c>
      <c r="CBG6" s="97" t="str">
        <f t="shared" si="33"/>
        <v/>
      </c>
      <c r="CBH6" s="97" t="str">
        <f t="shared" si="33"/>
        <v/>
      </c>
      <c r="CBI6" s="97" t="str">
        <f t="shared" si="33"/>
        <v/>
      </c>
      <c r="CBJ6" s="97" t="str">
        <f t="shared" si="33"/>
        <v/>
      </c>
      <c r="CBK6" s="97" t="str">
        <f t="shared" si="33"/>
        <v/>
      </c>
      <c r="CBL6" s="97" t="str">
        <f t="shared" si="33"/>
        <v/>
      </c>
      <c r="CBM6" s="97" t="str">
        <f t="shared" si="33"/>
        <v/>
      </c>
      <c r="CBN6" s="97" t="str">
        <f t="shared" si="33"/>
        <v/>
      </c>
      <c r="CBO6" s="97" t="str">
        <f t="shared" si="33"/>
        <v/>
      </c>
      <c r="CBP6" s="97" t="str">
        <f t="shared" si="33"/>
        <v/>
      </c>
      <c r="CBQ6" s="97" t="str">
        <f t="shared" si="33"/>
        <v/>
      </c>
      <c r="CBR6" s="97" t="str">
        <f t="shared" si="33"/>
        <v/>
      </c>
      <c r="CBS6" s="97" t="str">
        <f t="shared" si="33"/>
        <v/>
      </c>
      <c r="CBT6" s="97" t="str">
        <f t="shared" si="33"/>
        <v/>
      </c>
      <c r="CBU6" s="97" t="str">
        <f t="shared" si="33"/>
        <v/>
      </c>
      <c r="CBV6" s="97" t="str">
        <f t="shared" si="33"/>
        <v/>
      </c>
      <c r="CBW6" s="97" t="str">
        <f t="shared" si="33"/>
        <v/>
      </c>
      <c r="CBX6" s="97" t="str">
        <f t="shared" si="33"/>
        <v/>
      </c>
      <c r="CBY6" s="97" t="str">
        <f t="shared" si="33"/>
        <v/>
      </c>
      <c r="CBZ6" s="97" t="str">
        <f t="shared" si="33"/>
        <v/>
      </c>
      <c r="CCA6" s="97" t="str">
        <f t="shared" si="33"/>
        <v/>
      </c>
      <c r="CCB6" s="97" t="str">
        <f t="shared" si="33"/>
        <v/>
      </c>
      <c r="CCC6" s="97" t="str">
        <f t="shared" si="33"/>
        <v/>
      </c>
      <c r="CCD6" s="97" t="str">
        <f t="shared" si="33"/>
        <v/>
      </c>
      <c r="CCE6" s="97" t="str">
        <f t="shared" si="33"/>
        <v/>
      </c>
      <c r="CCF6" s="97" t="str">
        <f t="shared" si="33"/>
        <v/>
      </c>
      <c r="CCG6" s="97" t="str">
        <f t="shared" si="33"/>
        <v/>
      </c>
      <c r="CCH6" s="97" t="str">
        <f t="shared" si="33"/>
        <v/>
      </c>
      <c r="CCI6" s="97" t="str">
        <f t="shared" si="33"/>
        <v/>
      </c>
      <c r="CCJ6" s="97" t="str">
        <f t="shared" si="33"/>
        <v/>
      </c>
      <c r="CCK6" s="97" t="str">
        <f t="shared" si="33"/>
        <v/>
      </c>
      <c r="CCL6" s="97" t="str">
        <f t="shared" ref="CCL6:CEW6" si="34">IFERROR(AVERAGE(CCL7:CCL13),"")</f>
        <v/>
      </c>
      <c r="CCM6" s="97" t="str">
        <f t="shared" si="34"/>
        <v/>
      </c>
      <c r="CCN6" s="97" t="str">
        <f t="shared" si="34"/>
        <v/>
      </c>
      <c r="CCO6" s="97" t="str">
        <f t="shared" si="34"/>
        <v/>
      </c>
      <c r="CCP6" s="97" t="str">
        <f t="shared" si="34"/>
        <v/>
      </c>
      <c r="CCQ6" s="97" t="str">
        <f t="shared" si="34"/>
        <v/>
      </c>
      <c r="CCR6" s="97" t="str">
        <f t="shared" si="34"/>
        <v/>
      </c>
      <c r="CCS6" s="97" t="str">
        <f t="shared" si="34"/>
        <v/>
      </c>
      <c r="CCT6" s="97" t="str">
        <f t="shared" si="34"/>
        <v/>
      </c>
      <c r="CCU6" s="97" t="str">
        <f t="shared" si="34"/>
        <v/>
      </c>
      <c r="CCV6" s="97" t="str">
        <f t="shared" si="34"/>
        <v/>
      </c>
      <c r="CCW6" s="97" t="str">
        <f t="shared" si="34"/>
        <v/>
      </c>
      <c r="CCX6" s="97" t="str">
        <f t="shared" si="34"/>
        <v/>
      </c>
      <c r="CCY6" s="97" t="str">
        <f t="shared" si="34"/>
        <v/>
      </c>
      <c r="CCZ6" s="97" t="str">
        <f t="shared" si="34"/>
        <v/>
      </c>
      <c r="CDA6" s="97" t="str">
        <f t="shared" si="34"/>
        <v/>
      </c>
      <c r="CDB6" s="97" t="str">
        <f t="shared" si="34"/>
        <v/>
      </c>
      <c r="CDC6" s="97" t="str">
        <f t="shared" si="34"/>
        <v/>
      </c>
      <c r="CDD6" s="97" t="str">
        <f t="shared" si="34"/>
        <v/>
      </c>
      <c r="CDE6" s="97" t="str">
        <f t="shared" si="34"/>
        <v/>
      </c>
      <c r="CDF6" s="97" t="str">
        <f t="shared" si="34"/>
        <v/>
      </c>
      <c r="CDG6" s="97" t="str">
        <f t="shared" si="34"/>
        <v/>
      </c>
      <c r="CDH6" s="97" t="str">
        <f t="shared" si="34"/>
        <v/>
      </c>
      <c r="CDI6" s="97" t="str">
        <f t="shared" si="34"/>
        <v/>
      </c>
      <c r="CDJ6" s="97" t="str">
        <f t="shared" si="34"/>
        <v/>
      </c>
      <c r="CDK6" s="97" t="str">
        <f t="shared" si="34"/>
        <v/>
      </c>
      <c r="CDL6" s="97" t="str">
        <f t="shared" si="34"/>
        <v/>
      </c>
      <c r="CDM6" s="97" t="str">
        <f t="shared" si="34"/>
        <v/>
      </c>
      <c r="CDN6" s="97" t="str">
        <f t="shared" si="34"/>
        <v/>
      </c>
      <c r="CDO6" s="97" t="str">
        <f t="shared" si="34"/>
        <v/>
      </c>
      <c r="CDP6" s="97" t="str">
        <f t="shared" si="34"/>
        <v/>
      </c>
      <c r="CDQ6" s="97" t="str">
        <f t="shared" si="34"/>
        <v/>
      </c>
      <c r="CDR6" s="97" t="str">
        <f t="shared" si="34"/>
        <v/>
      </c>
      <c r="CDS6" s="97" t="str">
        <f t="shared" si="34"/>
        <v/>
      </c>
      <c r="CDT6" s="97" t="str">
        <f t="shared" si="34"/>
        <v/>
      </c>
      <c r="CDU6" s="97" t="str">
        <f t="shared" si="34"/>
        <v/>
      </c>
      <c r="CDV6" s="97" t="str">
        <f t="shared" si="34"/>
        <v/>
      </c>
      <c r="CDW6" s="97" t="str">
        <f t="shared" si="34"/>
        <v/>
      </c>
      <c r="CDX6" s="97" t="str">
        <f t="shared" si="34"/>
        <v/>
      </c>
      <c r="CDY6" s="97" t="str">
        <f t="shared" si="34"/>
        <v/>
      </c>
      <c r="CDZ6" s="97" t="str">
        <f t="shared" si="34"/>
        <v/>
      </c>
      <c r="CEA6" s="97" t="str">
        <f t="shared" si="34"/>
        <v/>
      </c>
      <c r="CEB6" s="97" t="str">
        <f t="shared" si="34"/>
        <v/>
      </c>
      <c r="CEC6" s="97" t="str">
        <f t="shared" si="34"/>
        <v/>
      </c>
      <c r="CED6" s="97" t="str">
        <f t="shared" si="34"/>
        <v/>
      </c>
      <c r="CEE6" s="97" t="str">
        <f t="shared" si="34"/>
        <v/>
      </c>
      <c r="CEF6" s="97" t="str">
        <f t="shared" si="34"/>
        <v/>
      </c>
      <c r="CEG6" s="97" t="str">
        <f t="shared" si="34"/>
        <v/>
      </c>
      <c r="CEH6" s="97" t="str">
        <f t="shared" si="34"/>
        <v/>
      </c>
      <c r="CEI6" s="97" t="str">
        <f t="shared" si="34"/>
        <v/>
      </c>
      <c r="CEJ6" s="97" t="str">
        <f t="shared" si="34"/>
        <v/>
      </c>
      <c r="CEK6" s="97" t="str">
        <f t="shared" si="34"/>
        <v/>
      </c>
      <c r="CEL6" s="97" t="str">
        <f t="shared" si="34"/>
        <v/>
      </c>
      <c r="CEM6" s="97" t="str">
        <f t="shared" si="34"/>
        <v/>
      </c>
      <c r="CEN6" s="97" t="str">
        <f t="shared" si="34"/>
        <v/>
      </c>
      <c r="CEO6" s="97" t="str">
        <f t="shared" si="34"/>
        <v/>
      </c>
      <c r="CEP6" s="97" t="str">
        <f t="shared" si="34"/>
        <v/>
      </c>
      <c r="CEQ6" s="97" t="str">
        <f t="shared" si="34"/>
        <v/>
      </c>
      <c r="CER6" s="97" t="str">
        <f t="shared" si="34"/>
        <v/>
      </c>
      <c r="CES6" s="97" t="str">
        <f t="shared" si="34"/>
        <v/>
      </c>
      <c r="CET6" s="97" t="str">
        <f t="shared" si="34"/>
        <v/>
      </c>
      <c r="CEU6" s="97" t="str">
        <f t="shared" si="34"/>
        <v/>
      </c>
      <c r="CEV6" s="97" t="str">
        <f t="shared" si="34"/>
        <v/>
      </c>
      <c r="CEW6" s="97" t="str">
        <f t="shared" si="34"/>
        <v/>
      </c>
      <c r="CEX6" s="97" t="str">
        <f t="shared" ref="CEX6:CHI6" si="35">IFERROR(AVERAGE(CEX7:CEX13),"")</f>
        <v/>
      </c>
      <c r="CEY6" s="97" t="str">
        <f t="shared" si="35"/>
        <v/>
      </c>
      <c r="CEZ6" s="97" t="str">
        <f t="shared" si="35"/>
        <v/>
      </c>
      <c r="CFA6" s="97" t="str">
        <f t="shared" si="35"/>
        <v/>
      </c>
      <c r="CFB6" s="97" t="str">
        <f t="shared" si="35"/>
        <v/>
      </c>
      <c r="CFC6" s="97" t="str">
        <f t="shared" si="35"/>
        <v/>
      </c>
      <c r="CFD6" s="97" t="str">
        <f t="shared" si="35"/>
        <v/>
      </c>
      <c r="CFE6" s="97" t="str">
        <f t="shared" si="35"/>
        <v/>
      </c>
      <c r="CFF6" s="97" t="str">
        <f t="shared" si="35"/>
        <v/>
      </c>
      <c r="CFG6" s="97" t="str">
        <f t="shared" si="35"/>
        <v/>
      </c>
      <c r="CFH6" s="97" t="str">
        <f t="shared" si="35"/>
        <v/>
      </c>
      <c r="CFI6" s="97" t="str">
        <f t="shared" si="35"/>
        <v/>
      </c>
      <c r="CFJ6" s="97" t="str">
        <f t="shared" si="35"/>
        <v/>
      </c>
      <c r="CFK6" s="97" t="str">
        <f t="shared" si="35"/>
        <v/>
      </c>
      <c r="CFL6" s="97" t="str">
        <f t="shared" si="35"/>
        <v/>
      </c>
      <c r="CFM6" s="97" t="str">
        <f t="shared" si="35"/>
        <v/>
      </c>
      <c r="CFN6" s="97" t="str">
        <f t="shared" si="35"/>
        <v/>
      </c>
      <c r="CFO6" s="97" t="str">
        <f t="shared" si="35"/>
        <v/>
      </c>
      <c r="CFP6" s="97" t="str">
        <f t="shared" si="35"/>
        <v/>
      </c>
      <c r="CFQ6" s="97" t="str">
        <f t="shared" si="35"/>
        <v/>
      </c>
      <c r="CFR6" s="97" t="str">
        <f t="shared" si="35"/>
        <v/>
      </c>
      <c r="CFS6" s="97" t="str">
        <f t="shared" si="35"/>
        <v/>
      </c>
      <c r="CFT6" s="97" t="str">
        <f t="shared" si="35"/>
        <v/>
      </c>
      <c r="CFU6" s="97" t="str">
        <f t="shared" si="35"/>
        <v/>
      </c>
      <c r="CFV6" s="97" t="str">
        <f t="shared" si="35"/>
        <v/>
      </c>
      <c r="CFW6" s="97" t="str">
        <f t="shared" si="35"/>
        <v/>
      </c>
      <c r="CFX6" s="97" t="str">
        <f t="shared" si="35"/>
        <v/>
      </c>
      <c r="CFY6" s="97" t="str">
        <f t="shared" si="35"/>
        <v/>
      </c>
      <c r="CFZ6" s="97" t="str">
        <f t="shared" si="35"/>
        <v/>
      </c>
      <c r="CGA6" s="97" t="str">
        <f t="shared" si="35"/>
        <v/>
      </c>
      <c r="CGB6" s="97" t="str">
        <f t="shared" si="35"/>
        <v/>
      </c>
      <c r="CGC6" s="97" t="str">
        <f t="shared" si="35"/>
        <v/>
      </c>
      <c r="CGD6" s="97" t="str">
        <f t="shared" si="35"/>
        <v/>
      </c>
      <c r="CGE6" s="97" t="str">
        <f t="shared" si="35"/>
        <v/>
      </c>
      <c r="CGF6" s="97" t="str">
        <f t="shared" si="35"/>
        <v/>
      </c>
      <c r="CGG6" s="97" t="str">
        <f t="shared" si="35"/>
        <v/>
      </c>
      <c r="CGH6" s="97" t="str">
        <f t="shared" si="35"/>
        <v/>
      </c>
      <c r="CGI6" s="97" t="str">
        <f t="shared" si="35"/>
        <v/>
      </c>
      <c r="CGJ6" s="97" t="str">
        <f t="shared" si="35"/>
        <v/>
      </c>
      <c r="CGK6" s="97" t="str">
        <f t="shared" si="35"/>
        <v/>
      </c>
      <c r="CGL6" s="97" t="str">
        <f t="shared" si="35"/>
        <v/>
      </c>
      <c r="CGM6" s="97" t="str">
        <f t="shared" si="35"/>
        <v/>
      </c>
      <c r="CGN6" s="97" t="str">
        <f t="shared" si="35"/>
        <v/>
      </c>
      <c r="CGO6" s="97" t="str">
        <f t="shared" si="35"/>
        <v/>
      </c>
      <c r="CGP6" s="97" t="str">
        <f t="shared" si="35"/>
        <v/>
      </c>
      <c r="CGQ6" s="97" t="str">
        <f t="shared" si="35"/>
        <v/>
      </c>
      <c r="CGR6" s="97" t="str">
        <f t="shared" si="35"/>
        <v/>
      </c>
      <c r="CGS6" s="97" t="str">
        <f t="shared" si="35"/>
        <v/>
      </c>
      <c r="CGT6" s="97" t="str">
        <f t="shared" si="35"/>
        <v/>
      </c>
      <c r="CGU6" s="97" t="str">
        <f t="shared" si="35"/>
        <v/>
      </c>
      <c r="CGV6" s="97" t="str">
        <f t="shared" si="35"/>
        <v/>
      </c>
      <c r="CGW6" s="97" t="str">
        <f t="shared" si="35"/>
        <v/>
      </c>
      <c r="CGX6" s="97" t="str">
        <f t="shared" si="35"/>
        <v/>
      </c>
      <c r="CGY6" s="97" t="str">
        <f t="shared" si="35"/>
        <v/>
      </c>
      <c r="CGZ6" s="97" t="str">
        <f t="shared" si="35"/>
        <v/>
      </c>
      <c r="CHA6" s="97" t="str">
        <f t="shared" si="35"/>
        <v/>
      </c>
      <c r="CHB6" s="97" t="str">
        <f t="shared" si="35"/>
        <v/>
      </c>
      <c r="CHC6" s="97" t="str">
        <f t="shared" si="35"/>
        <v/>
      </c>
      <c r="CHD6" s="97" t="str">
        <f t="shared" si="35"/>
        <v/>
      </c>
      <c r="CHE6" s="97" t="str">
        <f t="shared" si="35"/>
        <v/>
      </c>
      <c r="CHF6" s="97" t="str">
        <f t="shared" si="35"/>
        <v/>
      </c>
      <c r="CHG6" s="97" t="str">
        <f t="shared" si="35"/>
        <v/>
      </c>
      <c r="CHH6" s="97" t="str">
        <f t="shared" si="35"/>
        <v/>
      </c>
      <c r="CHI6" s="97" t="str">
        <f t="shared" si="35"/>
        <v/>
      </c>
      <c r="CHJ6" s="97" t="str">
        <f t="shared" ref="CHJ6:CJU6" si="36">IFERROR(AVERAGE(CHJ7:CHJ13),"")</f>
        <v/>
      </c>
      <c r="CHK6" s="97" t="str">
        <f t="shared" si="36"/>
        <v/>
      </c>
      <c r="CHL6" s="97" t="str">
        <f t="shared" si="36"/>
        <v/>
      </c>
      <c r="CHM6" s="97" t="str">
        <f t="shared" si="36"/>
        <v/>
      </c>
      <c r="CHN6" s="97" t="str">
        <f t="shared" si="36"/>
        <v/>
      </c>
      <c r="CHO6" s="97" t="str">
        <f t="shared" si="36"/>
        <v/>
      </c>
      <c r="CHP6" s="97" t="str">
        <f t="shared" si="36"/>
        <v/>
      </c>
      <c r="CHQ6" s="97" t="str">
        <f t="shared" si="36"/>
        <v/>
      </c>
      <c r="CHR6" s="97" t="str">
        <f t="shared" si="36"/>
        <v/>
      </c>
      <c r="CHS6" s="97" t="str">
        <f t="shared" si="36"/>
        <v/>
      </c>
      <c r="CHT6" s="97" t="str">
        <f t="shared" si="36"/>
        <v/>
      </c>
      <c r="CHU6" s="97" t="str">
        <f t="shared" si="36"/>
        <v/>
      </c>
      <c r="CHV6" s="97" t="str">
        <f t="shared" si="36"/>
        <v/>
      </c>
      <c r="CHW6" s="97" t="str">
        <f t="shared" si="36"/>
        <v/>
      </c>
      <c r="CHX6" s="97" t="str">
        <f t="shared" si="36"/>
        <v/>
      </c>
      <c r="CHY6" s="97" t="str">
        <f t="shared" si="36"/>
        <v/>
      </c>
      <c r="CHZ6" s="97" t="str">
        <f t="shared" si="36"/>
        <v/>
      </c>
      <c r="CIA6" s="97" t="str">
        <f t="shared" si="36"/>
        <v/>
      </c>
      <c r="CIB6" s="97" t="str">
        <f t="shared" si="36"/>
        <v/>
      </c>
      <c r="CIC6" s="97" t="str">
        <f t="shared" si="36"/>
        <v/>
      </c>
      <c r="CID6" s="97" t="str">
        <f t="shared" si="36"/>
        <v/>
      </c>
      <c r="CIE6" s="97" t="str">
        <f t="shared" si="36"/>
        <v/>
      </c>
      <c r="CIF6" s="97" t="str">
        <f t="shared" si="36"/>
        <v/>
      </c>
      <c r="CIG6" s="97" t="str">
        <f t="shared" si="36"/>
        <v/>
      </c>
      <c r="CIH6" s="97" t="str">
        <f t="shared" si="36"/>
        <v/>
      </c>
      <c r="CII6" s="97" t="str">
        <f t="shared" si="36"/>
        <v/>
      </c>
      <c r="CIJ6" s="97" t="str">
        <f t="shared" si="36"/>
        <v/>
      </c>
      <c r="CIK6" s="97" t="str">
        <f t="shared" si="36"/>
        <v/>
      </c>
      <c r="CIL6" s="97" t="str">
        <f t="shared" si="36"/>
        <v/>
      </c>
      <c r="CIM6" s="97" t="str">
        <f t="shared" si="36"/>
        <v/>
      </c>
      <c r="CIN6" s="97" t="str">
        <f t="shared" si="36"/>
        <v/>
      </c>
      <c r="CIO6" s="97" t="str">
        <f t="shared" si="36"/>
        <v/>
      </c>
      <c r="CIP6" s="97" t="str">
        <f t="shared" si="36"/>
        <v/>
      </c>
      <c r="CIQ6" s="97" t="str">
        <f t="shared" si="36"/>
        <v/>
      </c>
      <c r="CIR6" s="97" t="str">
        <f t="shared" si="36"/>
        <v/>
      </c>
      <c r="CIS6" s="97" t="str">
        <f t="shared" si="36"/>
        <v/>
      </c>
      <c r="CIT6" s="97" t="str">
        <f t="shared" si="36"/>
        <v/>
      </c>
      <c r="CIU6" s="97" t="str">
        <f t="shared" si="36"/>
        <v/>
      </c>
      <c r="CIV6" s="97" t="str">
        <f t="shared" si="36"/>
        <v/>
      </c>
      <c r="CIW6" s="97" t="str">
        <f t="shared" si="36"/>
        <v/>
      </c>
      <c r="CIX6" s="97" t="str">
        <f t="shared" si="36"/>
        <v/>
      </c>
      <c r="CIY6" s="97" t="str">
        <f t="shared" si="36"/>
        <v/>
      </c>
      <c r="CIZ6" s="97" t="str">
        <f t="shared" si="36"/>
        <v/>
      </c>
      <c r="CJA6" s="97" t="str">
        <f t="shared" si="36"/>
        <v/>
      </c>
      <c r="CJB6" s="97" t="str">
        <f t="shared" si="36"/>
        <v/>
      </c>
      <c r="CJC6" s="97" t="str">
        <f t="shared" si="36"/>
        <v/>
      </c>
      <c r="CJD6" s="97" t="str">
        <f t="shared" si="36"/>
        <v/>
      </c>
      <c r="CJE6" s="97" t="str">
        <f t="shared" si="36"/>
        <v/>
      </c>
      <c r="CJF6" s="97" t="str">
        <f t="shared" si="36"/>
        <v/>
      </c>
      <c r="CJG6" s="97" t="str">
        <f t="shared" si="36"/>
        <v/>
      </c>
      <c r="CJH6" s="97" t="str">
        <f t="shared" si="36"/>
        <v/>
      </c>
      <c r="CJI6" s="97" t="str">
        <f t="shared" si="36"/>
        <v/>
      </c>
      <c r="CJJ6" s="97" t="str">
        <f t="shared" si="36"/>
        <v/>
      </c>
      <c r="CJK6" s="97" t="str">
        <f t="shared" si="36"/>
        <v/>
      </c>
      <c r="CJL6" s="97" t="str">
        <f t="shared" si="36"/>
        <v/>
      </c>
      <c r="CJM6" s="97" t="str">
        <f t="shared" si="36"/>
        <v/>
      </c>
      <c r="CJN6" s="97" t="str">
        <f t="shared" si="36"/>
        <v/>
      </c>
      <c r="CJO6" s="97" t="str">
        <f t="shared" si="36"/>
        <v/>
      </c>
      <c r="CJP6" s="97" t="str">
        <f t="shared" si="36"/>
        <v/>
      </c>
      <c r="CJQ6" s="97" t="str">
        <f t="shared" si="36"/>
        <v/>
      </c>
      <c r="CJR6" s="97" t="str">
        <f t="shared" si="36"/>
        <v/>
      </c>
      <c r="CJS6" s="97" t="str">
        <f t="shared" si="36"/>
        <v/>
      </c>
      <c r="CJT6" s="97" t="str">
        <f t="shared" si="36"/>
        <v/>
      </c>
      <c r="CJU6" s="97" t="str">
        <f t="shared" si="36"/>
        <v/>
      </c>
      <c r="CJV6" s="97" t="str">
        <f t="shared" ref="CJV6:CMG6" si="37">IFERROR(AVERAGE(CJV7:CJV13),"")</f>
        <v/>
      </c>
      <c r="CJW6" s="97" t="str">
        <f t="shared" si="37"/>
        <v/>
      </c>
      <c r="CJX6" s="97" t="str">
        <f t="shared" si="37"/>
        <v/>
      </c>
      <c r="CJY6" s="97" t="str">
        <f t="shared" si="37"/>
        <v/>
      </c>
      <c r="CJZ6" s="97" t="str">
        <f t="shared" si="37"/>
        <v/>
      </c>
      <c r="CKA6" s="97" t="str">
        <f t="shared" si="37"/>
        <v/>
      </c>
      <c r="CKB6" s="97" t="str">
        <f t="shared" si="37"/>
        <v/>
      </c>
      <c r="CKC6" s="97" t="str">
        <f t="shared" si="37"/>
        <v/>
      </c>
      <c r="CKD6" s="97" t="str">
        <f t="shared" si="37"/>
        <v/>
      </c>
      <c r="CKE6" s="97" t="str">
        <f t="shared" si="37"/>
        <v/>
      </c>
      <c r="CKF6" s="97" t="str">
        <f t="shared" si="37"/>
        <v/>
      </c>
      <c r="CKG6" s="97" t="str">
        <f t="shared" si="37"/>
        <v/>
      </c>
      <c r="CKH6" s="97" t="str">
        <f t="shared" si="37"/>
        <v/>
      </c>
      <c r="CKI6" s="97" t="str">
        <f t="shared" si="37"/>
        <v/>
      </c>
      <c r="CKJ6" s="97" t="str">
        <f t="shared" si="37"/>
        <v/>
      </c>
      <c r="CKK6" s="97" t="str">
        <f t="shared" si="37"/>
        <v/>
      </c>
      <c r="CKL6" s="97" t="str">
        <f t="shared" si="37"/>
        <v/>
      </c>
      <c r="CKM6" s="97" t="str">
        <f t="shared" si="37"/>
        <v/>
      </c>
      <c r="CKN6" s="97" t="str">
        <f t="shared" si="37"/>
        <v/>
      </c>
      <c r="CKO6" s="97" t="str">
        <f t="shared" si="37"/>
        <v/>
      </c>
      <c r="CKP6" s="97" t="str">
        <f t="shared" si="37"/>
        <v/>
      </c>
      <c r="CKQ6" s="97" t="str">
        <f t="shared" si="37"/>
        <v/>
      </c>
      <c r="CKR6" s="97" t="str">
        <f t="shared" si="37"/>
        <v/>
      </c>
      <c r="CKS6" s="97" t="str">
        <f t="shared" si="37"/>
        <v/>
      </c>
      <c r="CKT6" s="97" t="str">
        <f t="shared" si="37"/>
        <v/>
      </c>
      <c r="CKU6" s="97" t="str">
        <f t="shared" si="37"/>
        <v/>
      </c>
      <c r="CKV6" s="97" t="str">
        <f t="shared" si="37"/>
        <v/>
      </c>
      <c r="CKW6" s="97" t="str">
        <f t="shared" si="37"/>
        <v/>
      </c>
      <c r="CKX6" s="97" t="str">
        <f t="shared" si="37"/>
        <v/>
      </c>
      <c r="CKY6" s="97" t="str">
        <f t="shared" si="37"/>
        <v/>
      </c>
      <c r="CKZ6" s="97" t="str">
        <f t="shared" si="37"/>
        <v/>
      </c>
      <c r="CLA6" s="97" t="str">
        <f t="shared" si="37"/>
        <v/>
      </c>
      <c r="CLB6" s="97" t="str">
        <f t="shared" si="37"/>
        <v/>
      </c>
      <c r="CLC6" s="97" t="str">
        <f t="shared" si="37"/>
        <v/>
      </c>
      <c r="CLD6" s="97" t="str">
        <f t="shared" si="37"/>
        <v/>
      </c>
      <c r="CLE6" s="97" t="str">
        <f t="shared" si="37"/>
        <v/>
      </c>
      <c r="CLF6" s="97" t="str">
        <f t="shared" si="37"/>
        <v/>
      </c>
      <c r="CLG6" s="97" t="str">
        <f t="shared" si="37"/>
        <v/>
      </c>
      <c r="CLH6" s="97" t="str">
        <f t="shared" si="37"/>
        <v/>
      </c>
      <c r="CLI6" s="97" t="str">
        <f t="shared" si="37"/>
        <v/>
      </c>
      <c r="CLJ6" s="97" t="str">
        <f t="shared" si="37"/>
        <v/>
      </c>
      <c r="CLK6" s="97" t="str">
        <f t="shared" si="37"/>
        <v/>
      </c>
      <c r="CLL6" s="97" t="str">
        <f t="shared" si="37"/>
        <v/>
      </c>
      <c r="CLM6" s="97" t="str">
        <f t="shared" si="37"/>
        <v/>
      </c>
      <c r="CLN6" s="97" t="str">
        <f t="shared" si="37"/>
        <v/>
      </c>
      <c r="CLO6" s="97" t="str">
        <f t="shared" si="37"/>
        <v/>
      </c>
      <c r="CLP6" s="97" t="str">
        <f t="shared" si="37"/>
        <v/>
      </c>
      <c r="CLQ6" s="97" t="str">
        <f t="shared" si="37"/>
        <v/>
      </c>
      <c r="CLR6" s="97" t="str">
        <f t="shared" si="37"/>
        <v/>
      </c>
      <c r="CLS6" s="97" t="str">
        <f t="shared" si="37"/>
        <v/>
      </c>
      <c r="CLT6" s="97" t="str">
        <f t="shared" si="37"/>
        <v/>
      </c>
      <c r="CLU6" s="97" t="str">
        <f t="shared" si="37"/>
        <v/>
      </c>
      <c r="CLV6" s="97" t="str">
        <f t="shared" si="37"/>
        <v/>
      </c>
      <c r="CLW6" s="97" t="str">
        <f t="shared" si="37"/>
        <v/>
      </c>
      <c r="CLX6" s="97" t="str">
        <f t="shared" si="37"/>
        <v/>
      </c>
      <c r="CLY6" s="97" t="str">
        <f t="shared" si="37"/>
        <v/>
      </c>
      <c r="CLZ6" s="97" t="str">
        <f t="shared" si="37"/>
        <v/>
      </c>
      <c r="CMA6" s="97" t="str">
        <f t="shared" si="37"/>
        <v/>
      </c>
      <c r="CMB6" s="97" t="str">
        <f t="shared" si="37"/>
        <v/>
      </c>
      <c r="CMC6" s="97" t="str">
        <f t="shared" si="37"/>
        <v/>
      </c>
      <c r="CMD6" s="97" t="str">
        <f t="shared" si="37"/>
        <v/>
      </c>
      <c r="CME6" s="97" t="str">
        <f t="shared" si="37"/>
        <v/>
      </c>
      <c r="CMF6" s="97" t="str">
        <f t="shared" si="37"/>
        <v/>
      </c>
      <c r="CMG6" s="97" t="str">
        <f t="shared" si="37"/>
        <v/>
      </c>
      <c r="CMH6" s="97" t="str">
        <f t="shared" ref="CMH6:COS6" si="38">IFERROR(AVERAGE(CMH7:CMH13),"")</f>
        <v/>
      </c>
      <c r="CMI6" s="97" t="str">
        <f t="shared" si="38"/>
        <v/>
      </c>
      <c r="CMJ6" s="97" t="str">
        <f t="shared" si="38"/>
        <v/>
      </c>
      <c r="CMK6" s="97" t="str">
        <f t="shared" si="38"/>
        <v/>
      </c>
      <c r="CML6" s="97" t="str">
        <f t="shared" si="38"/>
        <v/>
      </c>
      <c r="CMM6" s="97" t="str">
        <f t="shared" si="38"/>
        <v/>
      </c>
      <c r="CMN6" s="97" t="str">
        <f t="shared" si="38"/>
        <v/>
      </c>
      <c r="CMO6" s="97" t="str">
        <f t="shared" si="38"/>
        <v/>
      </c>
      <c r="CMP6" s="97" t="str">
        <f t="shared" si="38"/>
        <v/>
      </c>
      <c r="CMQ6" s="97" t="str">
        <f t="shared" si="38"/>
        <v/>
      </c>
      <c r="CMR6" s="97" t="str">
        <f t="shared" si="38"/>
        <v/>
      </c>
      <c r="CMS6" s="97" t="str">
        <f t="shared" si="38"/>
        <v/>
      </c>
      <c r="CMT6" s="97" t="str">
        <f t="shared" si="38"/>
        <v/>
      </c>
      <c r="CMU6" s="97" t="str">
        <f t="shared" si="38"/>
        <v/>
      </c>
      <c r="CMV6" s="97" t="str">
        <f t="shared" si="38"/>
        <v/>
      </c>
      <c r="CMW6" s="97" t="str">
        <f t="shared" si="38"/>
        <v/>
      </c>
      <c r="CMX6" s="97" t="str">
        <f t="shared" si="38"/>
        <v/>
      </c>
      <c r="CMY6" s="97" t="str">
        <f t="shared" si="38"/>
        <v/>
      </c>
      <c r="CMZ6" s="97" t="str">
        <f t="shared" si="38"/>
        <v/>
      </c>
      <c r="CNA6" s="97" t="str">
        <f t="shared" si="38"/>
        <v/>
      </c>
      <c r="CNB6" s="97" t="str">
        <f t="shared" si="38"/>
        <v/>
      </c>
      <c r="CNC6" s="97" t="str">
        <f t="shared" si="38"/>
        <v/>
      </c>
      <c r="CND6" s="97" t="str">
        <f t="shared" si="38"/>
        <v/>
      </c>
      <c r="CNE6" s="97" t="str">
        <f t="shared" si="38"/>
        <v/>
      </c>
      <c r="CNF6" s="97" t="str">
        <f t="shared" si="38"/>
        <v/>
      </c>
      <c r="CNG6" s="97" t="str">
        <f t="shared" si="38"/>
        <v/>
      </c>
      <c r="CNH6" s="97" t="str">
        <f t="shared" si="38"/>
        <v/>
      </c>
      <c r="CNI6" s="97" t="str">
        <f t="shared" si="38"/>
        <v/>
      </c>
      <c r="CNJ6" s="97" t="str">
        <f t="shared" si="38"/>
        <v/>
      </c>
      <c r="CNK6" s="97" t="str">
        <f t="shared" si="38"/>
        <v/>
      </c>
      <c r="CNL6" s="97" t="str">
        <f t="shared" si="38"/>
        <v/>
      </c>
      <c r="CNM6" s="97" t="str">
        <f t="shared" si="38"/>
        <v/>
      </c>
      <c r="CNN6" s="97" t="str">
        <f t="shared" si="38"/>
        <v/>
      </c>
      <c r="CNO6" s="97" t="str">
        <f t="shared" si="38"/>
        <v/>
      </c>
      <c r="CNP6" s="97" t="str">
        <f t="shared" si="38"/>
        <v/>
      </c>
      <c r="CNQ6" s="97" t="str">
        <f t="shared" si="38"/>
        <v/>
      </c>
      <c r="CNR6" s="97" t="str">
        <f t="shared" si="38"/>
        <v/>
      </c>
      <c r="CNS6" s="97" t="str">
        <f t="shared" si="38"/>
        <v/>
      </c>
      <c r="CNT6" s="97" t="str">
        <f t="shared" si="38"/>
        <v/>
      </c>
      <c r="CNU6" s="97" t="str">
        <f t="shared" si="38"/>
        <v/>
      </c>
      <c r="CNV6" s="97" t="str">
        <f t="shared" si="38"/>
        <v/>
      </c>
      <c r="CNW6" s="97" t="str">
        <f t="shared" si="38"/>
        <v/>
      </c>
      <c r="CNX6" s="97" t="str">
        <f t="shared" si="38"/>
        <v/>
      </c>
      <c r="CNY6" s="97" t="str">
        <f t="shared" si="38"/>
        <v/>
      </c>
      <c r="CNZ6" s="97" t="str">
        <f t="shared" si="38"/>
        <v/>
      </c>
      <c r="COA6" s="97" t="str">
        <f t="shared" si="38"/>
        <v/>
      </c>
      <c r="COB6" s="97" t="str">
        <f t="shared" si="38"/>
        <v/>
      </c>
      <c r="COC6" s="97" t="str">
        <f t="shared" si="38"/>
        <v/>
      </c>
      <c r="COD6" s="97" t="str">
        <f t="shared" si="38"/>
        <v/>
      </c>
      <c r="COE6" s="97" t="str">
        <f t="shared" si="38"/>
        <v/>
      </c>
      <c r="COF6" s="97" t="str">
        <f t="shared" si="38"/>
        <v/>
      </c>
      <c r="COG6" s="97" t="str">
        <f t="shared" si="38"/>
        <v/>
      </c>
      <c r="COH6" s="97" t="str">
        <f t="shared" si="38"/>
        <v/>
      </c>
      <c r="COI6" s="97" t="str">
        <f t="shared" si="38"/>
        <v/>
      </c>
      <c r="COJ6" s="97" t="str">
        <f t="shared" si="38"/>
        <v/>
      </c>
      <c r="COK6" s="97" t="str">
        <f t="shared" si="38"/>
        <v/>
      </c>
      <c r="COL6" s="97" t="str">
        <f t="shared" si="38"/>
        <v/>
      </c>
      <c r="COM6" s="97" t="str">
        <f t="shared" si="38"/>
        <v/>
      </c>
      <c r="CON6" s="97" t="str">
        <f t="shared" si="38"/>
        <v/>
      </c>
      <c r="COO6" s="97" t="str">
        <f t="shared" si="38"/>
        <v/>
      </c>
      <c r="COP6" s="97" t="str">
        <f t="shared" si="38"/>
        <v/>
      </c>
      <c r="COQ6" s="97" t="str">
        <f t="shared" si="38"/>
        <v/>
      </c>
      <c r="COR6" s="97" t="str">
        <f t="shared" si="38"/>
        <v/>
      </c>
      <c r="COS6" s="97" t="str">
        <f t="shared" si="38"/>
        <v/>
      </c>
      <c r="COT6" s="97" t="str">
        <f t="shared" ref="COT6:CRE6" si="39">IFERROR(AVERAGE(COT7:COT13),"")</f>
        <v/>
      </c>
      <c r="COU6" s="97" t="str">
        <f t="shared" si="39"/>
        <v/>
      </c>
      <c r="COV6" s="97" t="str">
        <f t="shared" si="39"/>
        <v/>
      </c>
      <c r="COW6" s="97" t="str">
        <f t="shared" si="39"/>
        <v/>
      </c>
      <c r="COX6" s="97" t="str">
        <f t="shared" si="39"/>
        <v/>
      </c>
      <c r="COY6" s="97" t="str">
        <f t="shared" si="39"/>
        <v/>
      </c>
      <c r="COZ6" s="97" t="str">
        <f t="shared" si="39"/>
        <v/>
      </c>
      <c r="CPA6" s="97" t="str">
        <f t="shared" si="39"/>
        <v/>
      </c>
      <c r="CPB6" s="97" t="str">
        <f t="shared" si="39"/>
        <v/>
      </c>
      <c r="CPC6" s="97" t="str">
        <f t="shared" si="39"/>
        <v/>
      </c>
      <c r="CPD6" s="97" t="str">
        <f t="shared" si="39"/>
        <v/>
      </c>
      <c r="CPE6" s="97" t="str">
        <f t="shared" si="39"/>
        <v/>
      </c>
      <c r="CPF6" s="97" t="str">
        <f t="shared" si="39"/>
        <v/>
      </c>
      <c r="CPG6" s="97" t="str">
        <f t="shared" si="39"/>
        <v/>
      </c>
      <c r="CPH6" s="97" t="str">
        <f t="shared" si="39"/>
        <v/>
      </c>
      <c r="CPI6" s="97" t="str">
        <f t="shared" si="39"/>
        <v/>
      </c>
      <c r="CPJ6" s="97" t="str">
        <f t="shared" si="39"/>
        <v/>
      </c>
      <c r="CPK6" s="97" t="str">
        <f t="shared" si="39"/>
        <v/>
      </c>
      <c r="CPL6" s="97" t="str">
        <f t="shared" si="39"/>
        <v/>
      </c>
      <c r="CPM6" s="97" t="str">
        <f t="shared" si="39"/>
        <v/>
      </c>
      <c r="CPN6" s="97" t="str">
        <f t="shared" si="39"/>
        <v/>
      </c>
      <c r="CPO6" s="97" t="str">
        <f t="shared" si="39"/>
        <v/>
      </c>
      <c r="CPP6" s="97" t="str">
        <f t="shared" si="39"/>
        <v/>
      </c>
      <c r="CPQ6" s="97" t="str">
        <f t="shared" si="39"/>
        <v/>
      </c>
      <c r="CPR6" s="97" t="str">
        <f t="shared" si="39"/>
        <v/>
      </c>
      <c r="CPS6" s="97" t="str">
        <f t="shared" si="39"/>
        <v/>
      </c>
      <c r="CPT6" s="97" t="str">
        <f t="shared" si="39"/>
        <v/>
      </c>
      <c r="CPU6" s="97" t="str">
        <f t="shared" si="39"/>
        <v/>
      </c>
      <c r="CPV6" s="97" t="str">
        <f t="shared" si="39"/>
        <v/>
      </c>
      <c r="CPW6" s="97" t="str">
        <f t="shared" si="39"/>
        <v/>
      </c>
      <c r="CPX6" s="97" t="str">
        <f t="shared" si="39"/>
        <v/>
      </c>
      <c r="CPY6" s="97" t="str">
        <f t="shared" si="39"/>
        <v/>
      </c>
      <c r="CPZ6" s="97" t="str">
        <f t="shared" si="39"/>
        <v/>
      </c>
      <c r="CQA6" s="97" t="str">
        <f t="shared" si="39"/>
        <v/>
      </c>
      <c r="CQB6" s="97" t="str">
        <f t="shared" si="39"/>
        <v/>
      </c>
      <c r="CQC6" s="97" t="str">
        <f t="shared" si="39"/>
        <v/>
      </c>
      <c r="CQD6" s="97" t="str">
        <f t="shared" si="39"/>
        <v/>
      </c>
      <c r="CQE6" s="97" t="str">
        <f t="shared" si="39"/>
        <v/>
      </c>
      <c r="CQF6" s="97" t="str">
        <f t="shared" si="39"/>
        <v/>
      </c>
      <c r="CQG6" s="97" t="str">
        <f t="shared" si="39"/>
        <v/>
      </c>
      <c r="CQH6" s="97" t="str">
        <f t="shared" si="39"/>
        <v/>
      </c>
      <c r="CQI6" s="97" t="str">
        <f t="shared" si="39"/>
        <v/>
      </c>
      <c r="CQJ6" s="97" t="str">
        <f t="shared" si="39"/>
        <v/>
      </c>
      <c r="CQK6" s="97" t="str">
        <f t="shared" si="39"/>
        <v/>
      </c>
      <c r="CQL6" s="97" t="str">
        <f t="shared" si="39"/>
        <v/>
      </c>
      <c r="CQM6" s="97" t="str">
        <f t="shared" si="39"/>
        <v/>
      </c>
      <c r="CQN6" s="97" t="str">
        <f t="shared" si="39"/>
        <v/>
      </c>
      <c r="CQO6" s="97" t="str">
        <f t="shared" si="39"/>
        <v/>
      </c>
      <c r="CQP6" s="97" t="str">
        <f t="shared" si="39"/>
        <v/>
      </c>
      <c r="CQQ6" s="97" t="str">
        <f t="shared" si="39"/>
        <v/>
      </c>
      <c r="CQR6" s="97" t="str">
        <f t="shared" si="39"/>
        <v/>
      </c>
      <c r="CQS6" s="97" t="str">
        <f t="shared" si="39"/>
        <v/>
      </c>
      <c r="CQT6" s="97" t="str">
        <f t="shared" si="39"/>
        <v/>
      </c>
      <c r="CQU6" s="97" t="str">
        <f t="shared" si="39"/>
        <v/>
      </c>
      <c r="CQV6" s="97" t="str">
        <f t="shared" si="39"/>
        <v/>
      </c>
      <c r="CQW6" s="97" t="str">
        <f t="shared" si="39"/>
        <v/>
      </c>
      <c r="CQX6" s="97" t="str">
        <f t="shared" si="39"/>
        <v/>
      </c>
      <c r="CQY6" s="97" t="str">
        <f t="shared" si="39"/>
        <v/>
      </c>
      <c r="CQZ6" s="97" t="str">
        <f t="shared" si="39"/>
        <v/>
      </c>
      <c r="CRA6" s="97" t="str">
        <f t="shared" si="39"/>
        <v/>
      </c>
      <c r="CRB6" s="97" t="str">
        <f t="shared" si="39"/>
        <v/>
      </c>
      <c r="CRC6" s="97" t="str">
        <f t="shared" si="39"/>
        <v/>
      </c>
      <c r="CRD6" s="97" t="str">
        <f t="shared" si="39"/>
        <v/>
      </c>
      <c r="CRE6" s="97" t="str">
        <f t="shared" si="39"/>
        <v/>
      </c>
      <c r="CRF6" s="97" t="str">
        <f t="shared" ref="CRF6:CTQ6" si="40">IFERROR(AVERAGE(CRF7:CRF13),"")</f>
        <v/>
      </c>
      <c r="CRG6" s="97" t="str">
        <f t="shared" si="40"/>
        <v/>
      </c>
      <c r="CRH6" s="97" t="str">
        <f t="shared" si="40"/>
        <v/>
      </c>
      <c r="CRI6" s="97" t="str">
        <f t="shared" si="40"/>
        <v/>
      </c>
      <c r="CRJ6" s="97" t="str">
        <f t="shared" si="40"/>
        <v/>
      </c>
      <c r="CRK6" s="97" t="str">
        <f t="shared" si="40"/>
        <v/>
      </c>
      <c r="CRL6" s="97" t="str">
        <f t="shared" si="40"/>
        <v/>
      </c>
      <c r="CRM6" s="97" t="str">
        <f t="shared" si="40"/>
        <v/>
      </c>
      <c r="CRN6" s="97" t="str">
        <f t="shared" si="40"/>
        <v/>
      </c>
      <c r="CRO6" s="97" t="str">
        <f t="shared" si="40"/>
        <v/>
      </c>
      <c r="CRP6" s="97" t="str">
        <f t="shared" si="40"/>
        <v/>
      </c>
      <c r="CRQ6" s="97" t="str">
        <f t="shared" si="40"/>
        <v/>
      </c>
      <c r="CRR6" s="97" t="str">
        <f t="shared" si="40"/>
        <v/>
      </c>
      <c r="CRS6" s="97" t="str">
        <f t="shared" si="40"/>
        <v/>
      </c>
      <c r="CRT6" s="97" t="str">
        <f t="shared" si="40"/>
        <v/>
      </c>
      <c r="CRU6" s="97" t="str">
        <f t="shared" si="40"/>
        <v/>
      </c>
      <c r="CRV6" s="97" t="str">
        <f t="shared" si="40"/>
        <v/>
      </c>
      <c r="CRW6" s="97" t="str">
        <f t="shared" si="40"/>
        <v/>
      </c>
      <c r="CRX6" s="97" t="str">
        <f t="shared" si="40"/>
        <v/>
      </c>
      <c r="CRY6" s="97" t="str">
        <f t="shared" si="40"/>
        <v/>
      </c>
      <c r="CRZ6" s="97" t="str">
        <f t="shared" si="40"/>
        <v/>
      </c>
      <c r="CSA6" s="97" t="str">
        <f t="shared" si="40"/>
        <v/>
      </c>
      <c r="CSB6" s="97" t="str">
        <f t="shared" si="40"/>
        <v/>
      </c>
      <c r="CSC6" s="97" t="str">
        <f t="shared" si="40"/>
        <v/>
      </c>
      <c r="CSD6" s="97" t="str">
        <f t="shared" si="40"/>
        <v/>
      </c>
      <c r="CSE6" s="97" t="str">
        <f t="shared" si="40"/>
        <v/>
      </c>
      <c r="CSF6" s="97" t="str">
        <f t="shared" si="40"/>
        <v/>
      </c>
      <c r="CSG6" s="97" t="str">
        <f t="shared" si="40"/>
        <v/>
      </c>
      <c r="CSH6" s="97" t="str">
        <f t="shared" si="40"/>
        <v/>
      </c>
      <c r="CSI6" s="97" t="str">
        <f t="shared" si="40"/>
        <v/>
      </c>
      <c r="CSJ6" s="97" t="str">
        <f t="shared" si="40"/>
        <v/>
      </c>
      <c r="CSK6" s="97" t="str">
        <f t="shared" si="40"/>
        <v/>
      </c>
      <c r="CSL6" s="97" t="str">
        <f t="shared" si="40"/>
        <v/>
      </c>
      <c r="CSM6" s="97" t="str">
        <f t="shared" si="40"/>
        <v/>
      </c>
      <c r="CSN6" s="97" t="str">
        <f t="shared" si="40"/>
        <v/>
      </c>
      <c r="CSO6" s="97" t="str">
        <f t="shared" si="40"/>
        <v/>
      </c>
      <c r="CSP6" s="97" t="str">
        <f t="shared" si="40"/>
        <v/>
      </c>
      <c r="CSQ6" s="97" t="str">
        <f t="shared" si="40"/>
        <v/>
      </c>
      <c r="CSR6" s="97" t="str">
        <f t="shared" si="40"/>
        <v/>
      </c>
      <c r="CSS6" s="97" t="str">
        <f t="shared" si="40"/>
        <v/>
      </c>
      <c r="CST6" s="97" t="str">
        <f t="shared" si="40"/>
        <v/>
      </c>
      <c r="CSU6" s="97" t="str">
        <f t="shared" si="40"/>
        <v/>
      </c>
      <c r="CSV6" s="97" t="str">
        <f t="shared" si="40"/>
        <v/>
      </c>
      <c r="CSW6" s="97" t="str">
        <f t="shared" si="40"/>
        <v/>
      </c>
      <c r="CSX6" s="97" t="str">
        <f t="shared" si="40"/>
        <v/>
      </c>
      <c r="CSY6" s="97" t="str">
        <f t="shared" si="40"/>
        <v/>
      </c>
      <c r="CSZ6" s="97" t="str">
        <f t="shared" si="40"/>
        <v/>
      </c>
      <c r="CTA6" s="97" t="str">
        <f t="shared" si="40"/>
        <v/>
      </c>
      <c r="CTB6" s="97" t="str">
        <f t="shared" si="40"/>
        <v/>
      </c>
      <c r="CTC6" s="97" t="str">
        <f t="shared" si="40"/>
        <v/>
      </c>
      <c r="CTD6" s="97" t="str">
        <f t="shared" si="40"/>
        <v/>
      </c>
      <c r="CTE6" s="97" t="str">
        <f t="shared" si="40"/>
        <v/>
      </c>
      <c r="CTF6" s="97" t="str">
        <f t="shared" si="40"/>
        <v/>
      </c>
      <c r="CTG6" s="97" t="str">
        <f t="shared" si="40"/>
        <v/>
      </c>
      <c r="CTH6" s="97" t="str">
        <f t="shared" si="40"/>
        <v/>
      </c>
      <c r="CTI6" s="97" t="str">
        <f t="shared" si="40"/>
        <v/>
      </c>
      <c r="CTJ6" s="97" t="str">
        <f t="shared" si="40"/>
        <v/>
      </c>
      <c r="CTK6" s="97" t="str">
        <f t="shared" si="40"/>
        <v/>
      </c>
      <c r="CTL6" s="97" t="str">
        <f t="shared" si="40"/>
        <v/>
      </c>
      <c r="CTM6" s="97" t="str">
        <f t="shared" si="40"/>
        <v/>
      </c>
      <c r="CTN6" s="97" t="str">
        <f t="shared" si="40"/>
        <v/>
      </c>
      <c r="CTO6" s="97" t="str">
        <f t="shared" si="40"/>
        <v/>
      </c>
      <c r="CTP6" s="97" t="str">
        <f t="shared" si="40"/>
        <v/>
      </c>
      <c r="CTQ6" s="97" t="str">
        <f t="shared" si="40"/>
        <v/>
      </c>
      <c r="CTR6" s="97" t="str">
        <f t="shared" ref="CTR6:CWC6" si="41">IFERROR(AVERAGE(CTR7:CTR13),"")</f>
        <v/>
      </c>
      <c r="CTS6" s="97" t="str">
        <f t="shared" si="41"/>
        <v/>
      </c>
      <c r="CTT6" s="97" t="str">
        <f t="shared" si="41"/>
        <v/>
      </c>
      <c r="CTU6" s="97" t="str">
        <f t="shared" si="41"/>
        <v/>
      </c>
      <c r="CTV6" s="97" t="str">
        <f t="shared" si="41"/>
        <v/>
      </c>
      <c r="CTW6" s="97" t="str">
        <f t="shared" si="41"/>
        <v/>
      </c>
      <c r="CTX6" s="97" t="str">
        <f t="shared" si="41"/>
        <v/>
      </c>
      <c r="CTY6" s="97" t="str">
        <f t="shared" si="41"/>
        <v/>
      </c>
      <c r="CTZ6" s="97" t="str">
        <f t="shared" si="41"/>
        <v/>
      </c>
      <c r="CUA6" s="97" t="str">
        <f t="shared" si="41"/>
        <v/>
      </c>
      <c r="CUB6" s="97" t="str">
        <f t="shared" si="41"/>
        <v/>
      </c>
      <c r="CUC6" s="97" t="str">
        <f t="shared" si="41"/>
        <v/>
      </c>
      <c r="CUD6" s="97" t="str">
        <f t="shared" si="41"/>
        <v/>
      </c>
      <c r="CUE6" s="97" t="str">
        <f t="shared" si="41"/>
        <v/>
      </c>
      <c r="CUF6" s="97" t="str">
        <f t="shared" si="41"/>
        <v/>
      </c>
      <c r="CUG6" s="97" t="str">
        <f t="shared" si="41"/>
        <v/>
      </c>
      <c r="CUH6" s="97" t="str">
        <f t="shared" si="41"/>
        <v/>
      </c>
      <c r="CUI6" s="97" t="str">
        <f t="shared" si="41"/>
        <v/>
      </c>
      <c r="CUJ6" s="97" t="str">
        <f t="shared" si="41"/>
        <v/>
      </c>
      <c r="CUK6" s="97" t="str">
        <f t="shared" si="41"/>
        <v/>
      </c>
      <c r="CUL6" s="97" t="str">
        <f t="shared" si="41"/>
        <v/>
      </c>
      <c r="CUM6" s="97" t="str">
        <f t="shared" si="41"/>
        <v/>
      </c>
      <c r="CUN6" s="97" t="str">
        <f t="shared" si="41"/>
        <v/>
      </c>
      <c r="CUO6" s="97" t="str">
        <f t="shared" si="41"/>
        <v/>
      </c>
      <c r="CUP6" s="97" t="str">
        <f t="shared" si="41"/>
        <v/>
      </c>
      <c r="CUQ6" s="97" t="str">
        <f t="shared" si="41"/>
        <v/>
      </c>
      <c r="CUR6" s="97" t="str">
        <f t="shared" si="41"/>
        <v/>
      </c>
      <c r="CUS6" s="97" t="str">
        <f t="shared" si="41"/>
        <v/>
      </c>
      <c r="CUT6" s="97" t="str">
        <f t="shared" si="41"/>
        <v/>
      </c>
      <c r="CUU6" s="97" t="str">
        <f t="shared" si="41"/>
        <v/>
      </c>
      <c r="CUV6" s="97" t="str">
        <f t="shared" si="41"/>
        <v/>
      </c>
      <c r="CUW6" s="97" t="str">
        <f t="shared" si="41"/>
        <v/>
      </c>
      <c r="CUX6" s="97" t="str">
        <f t="shared" si="41"/>
        <v/>
      </c>
      <c r="CUY6" s="97" t="str">
        <f t="shared" si="41"/>
        <v/>
      </c>
      <c r="CUZ6" s="97" t="str">
        <f t="shared" si="41"/>
        <v/>
      </c>
      <c r="CVA6" s="97" t="str">
        <f t="shared" si="41"/>
        <v/>
      </c>
      <c r="CVB6" s="97" t="str">
        <f t="shared" si="41"/>
        <v/>
      </c>
      <c r="CVC6" s="97" t="str">
        <f t="shared" si="41"/>
        <v/>
      </c>
      <c r="CVD6" s="97" t="str">
        <f t="shared" si="41"/>
        <v/>
      </c>
      <c r="CVE6" s="97" t="str">
        <f t="shared" si="41"/>
        <v/>
      </c>
      <c r="CVF6" s="97" t="str">
        <f t="shared" si="41"/>
        <v/>
      </c>
      <c r="CVG6" s="97" t="str">
        <f t="shared" si="41"/>
        <v/>
      </c>
      <c r="CVH6" s="97" t="str">
        <f t="shared" si="41"/>
        <v/>
      </c>
      <c r="CVI6" s="97" t="str">
        <f t="shared" si="41"/>
        <v/>
      </c>
      <c r="CVJ6" s="97" t="str">
        <f t="shared" si="41"/>
        <v/>
      </c>
      <c r="CVK6" s="97" t="str">
        <f t="shared" si="41"/>
        <v/>
      </c>
      <c r="CVL6" s="97" t="str">
        <f t="shared" si="41"/>
        <v/>
      </c>
      <c r="CVM6" s="97" t="str">
        <f t="shared" si="41"/>
        <v/>
      </c>
      <c r="CVN6" s="97" t="str">
        <f t="shared" si="41"/>
        <v/>
      </c>
      <c r="CVO6" s="97" t="str">
        <f t="shared" si="41"/>
        <v/>
      </c>
      <c r="CVP6" s="97" t="str">
        <f t="shared" si="41"/>
        <v/>
      </c>
      <c r="CVQ6" s="97" t="str">
        <f t="shared" si="41"/>
        <v/>
      </c>
      <c r="CVR6" s="97" t="str">
        <f t="shared" si="41"/>
        <v/>
      </c>
      <c r="CVS6" s="97" t="str">
        <f t="shared" si="41"/>
        <v/>
      </c>
      <c r="CVT6" s="97" t="str">
        <f t="shared" si="41"/>
        <v/>
      </c>
      <c r="CVU6" s="97" t="str">
        <f t="shared" si="41"/>
        <v/>
      </c>
      <c r="CVV6" s="97" t="str">
        <f t="shared" si="41"/>
        <v/>
      </c>
      <c r="CVW6" s="97" t="str">
        <f t="shared" si="41"/>
        <v/>
      </c>
      <c r="CVX6" s="97" t="str">
        <f t="shared" si="41"/>
        <v/>
      </c>
      <c r="CVY6" s="97" t="str">
        <f t="shared" si="41"/>
        <v/>
      </c>
      <c r="CVZ6" s="97" t="str">
        <f t="shared" si="41"/>
        <v/>
      </c>
      <c r="CWA6" s="97" t="str">
        <f t="shared" si="41"/>
        <v/>
      </c>
      <c r="CWB6" s="97" t="str">
        <f t="shared" si="41"/>
        <v/>
      </c>
      <c r="CWC6" s="97" t="str">
        <f t="shared" si="41"/>
        <v/>
      </c>
      <c r="CWD6" s="97" t="str">
        <f t="shared" ref="CWD6:CYO6" si="42">IFERROR(AVERAGE(CWD7:CWD13),"")</f>
        <v/>
      </c>
      <c r="CWE6" s="97" t="str">
        <f t="shared" si="42"/>
        <v/>
      </c>
      <c r="CWF6" s="97" t="str">
        <f t="shared" si="42"/>
        <v/>
      </c>
      <c r="CWG6" s="97" t="str">
        <f t="shared" si="42"/>
        <v/>
      </c>
      <c r="CWH6" s="97" t="str">
        <f t="shared" si="42"/>
        <v/>
      </c>
      <c r="CWI6" s="97" t="str">
        <f t="shared" si="42"/>
        <v/>
      </c>
      <c r="CWJ6" s="97" t="str">
        <f t="shared" si="42"/>
        <v/>
      </c>
      <c r="CWK6" s="97" t="str">
        <f t="shared" si="42"/>
        <v/>
      </c>
      <c r="CWL6" s="97" t="str">
        <f t="shared" si="42"/>
        <v/>
      </c>
      <c r="CWM6" s="97" t="str">
        <f t="shared" si="42"/>
        <v/>
      </c>
      <c r="CWN6" s="97" t="str">
        <f t="shared" si="42"/>
        <v/>
      </c>
      <c r="CWO6" s="97" t="str">
        <f t="shared" si="42"/>
        <v/>
      </c>
      <c r="CWP6" s="97" t="str">
        <f t="shared" si="42"/>
        <v/>
      </c>
      <c r="CWQ6" s="97" t="str">
        <f t="shared" si="42"/>
        <v/>
      </c>
      <c r="CWR6" s="97" t="str">
        <f t="shared" si="42"/>
        <v/>
      </c>
      <c r="CWS6" s="97" t="str">
        <f t="shared" si="42"/>
        <v/>
      </c>
      <c r="CWT6" s="97" t="str">
        <f t="shared" si="42"/>
        <v/>
      </c>
      <c r="CWU6" s="97" t="str">
        <f t="shared" si="42"/>
        <v/>
      </c>
      <c r="CWV6" s="97" t="str">
        <f t="shared" si="42"/>
        <v/>
      </c>
      <c r="CWW6" s="97" t="str">
        <f t="shared" si="42"/>
        <v/>
      </c>
      <c r="CWX6" s="97" t="str">
        <f t="shared" si="42"/>
        <v/>
      </c>
      <c r="CWY6" s="97" t="str">
        <f t="shared" si="42"/>
        <v/>
      </c>
      <c r="CWZ6" s="97" t="str">
        <f t="shared" si="42"/>
        <v/>
      </c>
      <c r="CXA6" s="97" t="str">
        <f t="shared" si="42"/>
        <v/>
      </c>
      <c r="CXB6" s="97" t="str">
        <f t="shared" si="42"/>
        <v/>
      </c>
      <c r="CXC6" s="97" t="str">
        <f t="shared" si="42"/>
        <v/>
      </c>
      <c r="CXD6" s="97" t="str">
        <f t="shared" si="42"/>
        <v/>
      </c>
      <c r="CXE6" s="97" t="str">
        <f t="shared" si="42"/>
        <v/>
      </c>
      <c r="CXF6" s="97" t="str">
        <f t="shared" si="42"/>
        <v/>
      </c>
      <c r="CXG6" s="97" t="str">
        <f t="shared" si="42"/>
        <v/>
      </c>
      <c r="CXH6" s="97" t="str">
        <f t="shared" si="42"/>
        <v/>
      </c>
      <c r="CXI6" s="97" t="str">
        <f t="shared" si="42"/>
        <v/>
      </c>
      <c r="CXJ6" s="97" t="str">
        <f t="shared" si="42"/>
        <v/>
      </c>
      <c r="CXK6" s="97" t="str">
        <f t="shared" si="42"/>
        <v/>
      </c>
      <c r="CXL6" s="97" t="str">
        <f t="shared" si="42"/>
        <v/>
      </c>
      <c r="CXM6" s="97" t="str">
        <f t="shared" si="42"/>
        <v/>
      </c>
      <c r="CXN6" s="97" t="str">
        <f t="shared" si="42"/>
        <v/>
      </c>
      <c r="CXO6" s="97" t="str">
        <f t="shared" si="42"/>
        <v/>
      </c>
      <c r="CXP6" s="97" t="str">
        <f t="shared" si="42"/>
        <v/>
      </c>
      <c r="CXQ6" s="97" t="str">
        <f t="shared" si="42"/>
        <v/>
      </c>
      <c r="CXR6" s="97" t="str">
        <f t="shared" si="42"/>
        <v/>
      </c>
      <c r="CXS6" s="97" t="str">
        <f t="shared" si="42"/>
        <v/>
      </c>
      <c r="CXT6" s="97" t="str">
        <f t="shared" si="42"/>
        <v/>
      </c>
      <c r="CXU6" s="97" t="str">
        <f t="shared" si="42"/>
        <v/>
      </c>
      <c r="CXV6" s="97" t="str">
        <f t="shared" si="42"/>
        <v/>
      </c>
      <c r="CXW6" s="97" t="str">
        <f t="shared" si="42"/>
        <v/>
      </c>
      <c r="CXX6" s="97" t="str">
        <f t="shared" si="42"/>
        <v/>
      </c>
      <c r="CXY6" s="97" t="str">
        <f t="shared" si="42"/>
        <v/>
      </c>
      <c r="CXZ6" s="97" t="str">
        <f t="shared" si="42"/>
        <v/>
      </c>
      <c r="CYA6" s="97" t="str">
        <f t="shared" si="42"/>
        <v/>
      </c>
      <c r="CYB6" s="97" t="str">
        <f t="shared" si="42"/>
        <v/>
      </c>
      <c r="CYC6" s="97" t="str">
        <f t="shared" si="42"/>
        <v/>
      </c>
      <c r="CYD6" s="97" t="str">
        <f t="shared" si="42"/>
        <v/>
      </c>
      <c r="CYE6" s="97" t="str">
        <f t="shared" si="42"/>
        <v/>
      </c>
      <c r="CYF6" s="97" t="str">
        <f t="shared" si="42"/>
        <v/>
      </c>
      <c r="CYG6" s="97" t="str">
        <f t="shared" si="42"/>
        <v/>
      </c>
      <c r="CYH6" s="97" t="str">
        <f t="shared" si="42"/>
        <v/>
      </c>
      <c r="CYI6" s="97" t="str">
        <f t="shared" si="42"/>
        <v/>
      </c>
      <c r="CYJ6" s="97" t="str">
        <f t="shared" si="42"/>
        <v/>
      </c>
      <c r="CYK6" s="97" t="str">
        <f t="shared" si="42"/>
        <v/>
      </c>
      <c r="CYL6" s="97" t="str">
        <f t="shared" si="42"/>
        <v/>
      </c>
      <c r="CYM6" s="97" t="str">
        <f t="shared" si="42"/>
        <v/>
      </c>
      <c r="CYN6" s="97" t="str">
        <f t="shared" si="42"/>
        <v/>
      </c>
      <c r="CYO6" s="97" t="str">
        <f t="shared" si="42"/>
        <v/>
      </c>
      <c r="CYP6" s="97" t="str">
        <f t="shared" ref="CYP6:DBA6" si="43">IFERROR(AVERAGE(CYP7:CYP13),"")</f>
        <v/>
      </c>
      <c r="CYQ6" s="97" t="str">
        <f t="shared" si="43"/>
        <v/>
      </c>
      <c r="CYR6" s="97" t="str">
        <f t="shared" si="43"/>
        <v/>
      </c>
      <c r="CYS6" s="97" t="str">
        <f t="shared" si="43"/>
        <v/>
      </c>
      <c r="CYT6" s="97" t="str">
        <f t="shared" si="43"/>
        <v/>
      </c>
      <c r="CYU6" s="97" t="str">
        <f t="shared" si="43"/>
        <v/>
      </c>
      <c r="CYV6" s="97" t="str">
        <f t="shared" si="43"/>
        <v/>
      </c>
      <c r="CYW6" s="97" t="str">
        <f t="shared" si="43"/>
        <v/>
      </c>
      <c r="CYX6" s="97" t="str">
        <f t="shared" si="43"/>
        <v/>
      </c>
      <c r="CYY6" s="97" t="str">
        <f t="shared" si="43"/>
        <v/>
      </c>
      <c r="CYZ6" s="97" t="str">
        <f t="shared" si="43"/>
        <v/>
      </c>
      <c r="CZA6" s="97" t="str">
        <f t="shared" si="43"/>
        <v/>
      </c>
      <c r="CZB6" s="97" t="str">
        <f t="shared" si="43"/>
        <v/>
      </c>
      <c r="CZC6" s="97" t="str">
        <f t="shared" si="43"/>
        <v/>
      </c>
      <c r="CZD6" s="97" t="str">
        <f t="shared" si="43"/>
        <v/>
      </c>
      <c r="CZE6" s="97" t="str">
        <f t="shared" si="43"/>
        <v/>
      </c>
      <c r="CZF6" s="97" t="str">
        <f t="shared" si="43"/>
        <v/>
      </c>
      <c r="CZG6" s="97" t="str">
        <f t="shared" si="43"/>
        <v/>
      </c>
      <c r="CZH6" s="97" t="str">
        <f t="shared" si="43"/>
        <v/>
      </c>
      <c r="CZI6" s="97" t="str">
        <f t="shared" si="43"/>
        <v/>
      </c>
      <c r="CZJ6" s="97" t="str">
        <f t="shared" si="43"/>
        <v/>
      </c>
      <c r="CZK6" s="97" t="str">
        <f t="shared" si="43"/>
        <v/>
      </c>
      <c r="CZL6" s="97" t="str">
        <f t="shared" si="43"/>
        <v/>
      </c>
      <c r="CZM6" s="97" t="str">
        <f t="shared" si="43"/>
        <v/>
      </c>
      <c r="CZN6" s="97" t="str">
        <f t="shared" si="43"/>
        <v/>
      </c>
      <c r="CZO6" s="97" t="str">
        <f t="shared" si="43"/>
        <v/>
      </c>
      <c r="CZP6" s="97" t="str">
        <f t="shared" si="43"/>
        <v/>
      </c>
      <c r="CZQ6" s="97" t="str">
        <f t="shared" si="43"/>
        <v/>
      </c>
      <c r="CZR6" s="97" t="str">
        <f t="shared" si="43"/>
        <v/>
      </c>
      <c r="CZS6" s="97" t="str">
        <f t="shared" si="43"/>
        <v/>
      </c>
      <c r="CZT6" s="97" t="str">
        <f t="shared" si="43"/>
        <v/>
      </c>
      <c r="CZU6" s="97" t="str">
        <f t="shared" si="43"/>
        <v/>
      </c>
      <c r="CZV6" s="97" t="str">
        <f t="shared" si="43"/>
        <v/>
      </c>
      <c r="CZW6" s="97" t="str">
        <f t="shared" si="43"/>
        <v/>
      </c>
      <c r="CZX6" s="97" t="str">
        <f t="shared" si="43"/>
        <v/>
      </c>
      <c r="CZY6" s="97" t="str">
        <f t="shared" si="43"/>
        <v/>
      </c>
      <c r="CZZ6" s="97" t="str">
        <f t="shared" si="43"/>
        <v/>
      </c>
      <c r="DAA6" s="97" t="str">
        <f t="shared" si="43"/>
        <v/>
      </c>
      <c r="DAB6" s="97" t="str">
        <f t="shared" si="43"/>
        <v/>
      </c>
      <c r="DAC6" s="97" t="str">
        <f t="shared" si="43"/>
        <v/>
      </c>
      <c r="DAD6" s="97" t="str">
        <f t="shared" si="43"/>
        <v/>
      </c>
      <c r="DAE6" s="97" t="str">
        <f t="shared" si="43"/>
        <v/>
      </c>
      <c r="DAF6" s="97" t="str">
        <f t="shared" si="43"/>
        <v/>
      </c>
      <c r="DAG6" s="97" t="str">
        <f t="shared" si="43"/>
        <v/>
      </c>
      <c r="DAH6" s="97" t="str">
        <f t="shared" si="43"/>
        <v/>
      </c>
      <c r="DAI6" s="97" t="str">
        <f t="shared" si="43"/>
        <v/>
      </c>
      <c r="DAJ6" s="97" t="str">
        <f t="shared" si="43"/>
        <v/>
      </c>
      <c r="DAK6" s="97" t="str">
        <f t="shared" si="43"/>
        <v/>
      </c>
      <c r="DAL6" s="97" t="str">
        <f t="shared" si="43"/>
        <v/>
      </c>
      <c r="DAM6" s="97" t="str">
        <f t="shared" si="43"/>
        <v/>
      </c>
      <c r="DAN6" s="97" t="str">
        <f t="shared" si="43"/>
        <v/>
      </c>
      <c r="DAO6" s="97" t="str">
        <f t="shared" si="43"/>
        <v/>
      </c>
      <c r="DAP6" s="97" t="str">
        <f t="shared" si="43"/>
        <v/>
      </c>
      <c r="DAQ6" s="97" t="str">
        <f t="shared" si="43"/>
        <v/>
      </c>
      <c r="DAR6" s="97" t="str">
        <f t="shared" si="43"/>
        <v/>
      </c>
      <c r="DAS6" s="97" t="str">
        <f t="shared" si="43"/>
        <v/>
      </c>
      <c r="DAT6" s="97" t="str">
        <f t="shared" si="43"/>
        <v/>
      </c>
      <c r="DAU6" s="97" t="str">
        <f t="shared" si="43"/>
        <v/>
      </c>
      <c r="DAV6" s="97" t="str">
        <f t="shared" si="43"/>
        <v/>
      </c>
      <c r="DAW6" s="97" t="str">
        <f t="shared" si="43"/>
        <v/>
      </c>
      <c r="DAX6" s="97" t="str">
        <f t="shared" si="43"/>
        <v/>
      </c>
      <c r="DAY6" s="97" t="str">
        <f t="shared" si="43"/>
        <v/>
      </c>
      <c r="DAZ6" s="97" t="str">
        <f t="shared" si="43"/>
        <v/>
      </c>
      <c r="DBA6" s="97" t="str">
        <f t="shared" si="43"/>
        <v/>
      </c>
      <c r="DBB6" s="97" t="str">
        <f t="shared" ref="DBB6:DDM6" si="44">IFERROR(AVERAGE(DBB7:DBB13),"")</f>
        <v/>
      </c>
      <c r="DBC6" s="97" t="str">
        <f t="shared" si="44"/>
        <v/>
      </c>
      <c r="DBD6" s="97" t="str">
        <f t="shared" si="44"/>
        <v/>
      </c>
      <c r="DBE6" s="97" t="str">
        <f t="shared" si="44"/>
        <v/>
      </c>
      <c r="DBF6" s="97" t="str">
        <f t="shared" si="44"/>
        <v/>
      </c>
      <c r="DBG6" s="97" t="str">
        <f t="shared" si="44"/>
        <v/>
      </c>
      <c r="DBH6" s="97" t="str">
        <f t="shared" si="44"/>
        <v/>
      </c>
      <c r="DBI6" s="97" t="str">
        <f t="shared" si="44"/>
        <v/>
      </c>
      <c r="DBJ6" s="97" t="str">
        <f t="shared" si="44"/>
        <v/>
      </c>
      <c r="DBK6" s="97" t="str">
        <f t="shared" si="44"/>
        <v/>
      </c>
      <c r="DBL6" s="97" t="str">
        <f t="shared" si="44"/>
        <v/>
      </c>
      <c r="DBM6" s="97" t="str">
        <f t="shared" si="44"/>
        <v/>
      </c>
      <c r="DBN6" s="97" t="str">
        <f t="shared" si="44"/>
        <v/>
      </c>
      <c r="DBO6" s="97" t="str">
        <f t="shared" si="44"/>
        <v/>
      </c>
      <c r="DBP6" s="97" t="str">
        <f t="shared" si="44"/>
        <v/>
      </c>
      <c r="DBQ6" s="97" t="str">
        <f t="shared" si="44"/>
        <v/>
      </c>
      <c r="DBR6" s="97" t="str">
        <f t="shared" si="44"/>
        <v/>
      </c>
      <c r="DBS6" s="97" t="str">
        <f t="shared" si="44"/>
        <v/>
      </c>
      <c r="DBT6" s="97" t="str">
        <f t="shared" si="44"/>
        <v/>
      </c>
      <c r="DBU6" s="97" t="str">
        <f t="shared" si="44"/>
        <v/>
      </c>
      <c r="DBV6" s="97" t="str">
        <f t="shared" si="44"/>
        <v/>
      </c>
      <c r="DBW6" s="97" t="str">
        <f t="shared" si="44"/>
        <v/>
      </c>
      <c r="DBX6" s="97" t="str">
        <f t="shared" si="44"/>
        <v/>
      </c>
      <c r="DBY6" s="97" t="str">
        <f t="shared" si="44"/>
        <v/>
      </c>
      <c r="DBZ6" s="97" t="str">
        <f t="shared" si="44"/>
        <v/>
      </c>
      <c r="DCA6" s="97" t="str">
        <f t="shared" si="44"/>
        <v/>
      </c>
      <c r="DCB6" s="97" t="str">
        <f t="shared" si="44"/>
        <v/>
      </c>
      <c r="DCC6" s="97" t="str">
        <f t="shared" si="44"/>
        <v/>
      </c>
      <c r="DCD6" s="97" t="str">
        <f t="shared" si="44"/>
        <v/>
      </c>
      <c r="DCE6" s="97" t="str">
        <f t="shared" si="44"/>
        <v/>
      </c>
      <c r="DCF6" s="97" t="str">
        <f t="shared" si="44"/>
        <v/>
      </c>
      <c r="DCG6" s="97" t="str">
        <f t="shared" si="44"/>
        <v/>
      </c>
      <c r="DCH6" s="97" t="str">
        <f t="shared" si="44"/>
        <v/>
      </c>
      <c r="DCI6" s="97" t="str">
        <f t="shared" si="44"/>
        <v/>
      </c>
      <c r="DCJ6" s="97" t="str">
        <f t="shared" si="44"/>
        <v/>
      </c>
      <c r="DCK6" s="97" t="str">
        <f t="shared" si="44"/>
        <v/>
      </c>
      <c r="DCL6" s="97" t="str">
        <f t="shared" si="44"/>
        <v/>
      </c>
      <c r="DCM6" s="97" t="str">
        <f t="shared" si="44"/>
        <v/>
      </c>
      <c r="DCN6" s="97" t="str">
        <f t="shared" si="44"/>
        <v/>
      </c>
      <c r="DCO6" s="97" t="str">
        <f t="shared" si="44"/>
        <v/>
      </c>
      <c r="DCP6" s="97" t="str">
        <f t="shared" si="44"/>
        <v/>
      </c>
      <c r="DCQ6" s="97" t="str">
        <f t="shared" si="44"/>
        <v/>
      </c>
      <c r="DCR6" s="97" t="str">
        <f t="shared" si="44"/>
        <v/>
      </c>
      <c r="DCS6" s="97" t="str">
        <f t="shared" si="44"/>
        <v/>
      </c>
      <c r="DCT6" s="97" t="str">
        <f t="shared" si="44"/>
        <v/>
      </c>
      <c r="DCU6" s="97" t="str">
        <f t="shared" si="44"/>
        <v/>
      </c>
      <c r="DCV6" s="97" t="str">
        <f t="shared" si="44"/>
        <v/>
      </c>
      <c r="DCW6" s="97" t="str">
        <f t="shared" si="44"/>
        <v/>
      </c>
      <c r="DCX6" s="97" t="str">
        <f t="shared" si="44"/>
        <v/>
      </c>
      <c r="DCY6" s="97" t="str">
        <f t="shared" si="44"/>
        <v/>
      </c>
      <c r="DCZ6" s="97" t="str">
        <f t="shared" si="44"/>
        <v/>
      </c>
      <c r="DDA6" s="97" t="str">
        <f t="shared" si="44"/>
        <v/>
      </c>
      <c r="DDB6" s="97" t="str">
        <f t="shared" si="44"/>
        <v/>
      </c>
      <c r="DDC6" s="97" t="str">
        <f t="shared" si="44"/>
        <v/>
      </c>
      <c r="DDD6" s="97" t="str">
        <f t="shared" si="44"/>
        <v/>
      </c>
      <c r="DDE6" s="97" t="str">
        <f t="shared" si="44"/>
        <v/>
      </c>
      <c r="DDF6" s="97" t="str">
        <f t="shared" si="44"/>
        <v/>
      </c>
      <c r="DDG6" s="97" t="str">
        <f t="shared" si="44"/>
        <v/>
      </c>
      <c r="DDH6" s="97" t="str">
        <f t="shared" si="44"/>
        <v/>
      </c>
      <c r="DDI6" s="97" t="str">
        <f t="shared" si="44"/>
        <v/>
      </c>
      <c r="DDJ6" s="97" t="str">
        <f t="shared" si="44"/>
        <v/>
      </c>
      <c r="DDK6" s="97" t="str">
        <f t="shared" si="44"/>
        <v/>
      </c>
      <c r="DDL6" s="97" t="str">
        <f t="shared" si="44"/>
        <v/>
      </c>
      <c r="DDM6" s="97" t="str">
        <f t="shared" si="44"/>
        <v/>
      </c>
      <c r="DDN6" s="97" t="str">
        <f t="shared" ref="DDN6:DFY6" si="45">IFERROR(AVERAGE(DDN7:DDN13),"")</f>
        <v/>
      </c>
      <c r="DDO6" s="97" t="str">
        <f t="shared" si="45"/>
        <v/>
      </c>
      <c r="DDP6" s="97" t="str">
        <f t="shared" si="45"/>
        <v/>
      </c>
      <c r="DDQ6" s="97" t="str">
        <f t="shared" si="45"/>
        <v/>
      </c>
      <c r="DDR6" s="97" t="str">
        <f t="shared" si="45"/>
        <v/>
      </c>
      <c r="DDS6" s="97" t="str">
        <f t="shared" si="45"/>
        <v/>
      </c>
      <c r="DDT6" s="97" t="str">
        <f t="shared" si="45"/>
        <v/>
      </c>
      <c r="DDU6" s="97" t="str">
        <f t="shared" si="45"/>
        <v/>
      </c>
      <c r="DDV6" s="97" t="str">
        <f t="shared" si="45"/>
        <v/>
      </c>
      <c r="DDW6" s="97" t="str">
        <f t="shared" si="45"/>
        <v/>
      </c>
      <c r="DDX6" s="97" t="str">
        <f t="shared" si="45"/>
        <v/>
      </c>
      <c r="DDY6" s="97" t="str">
        <f t="shared" si="45"/>
        <v/>
      </c>
      <c r="DDZ6" s="97" t="str">
        <f t="shared" si="45"/>
        <v/>
      </c>
      <c r="DEA6" s="97" t="str">
        <f t="shared" si="45"/>
        <v/>
      </c>
      <c r="DEB6" s="97" t="str">
        <f t="shared" si="45"/>
        <v/>
      </c>
      <c r="DEC6" s="97" t="str">
        <f t="shared" si="45"/>
        <v/>
      </c>
      <c r="DED6" s="97" t="str">
        <f t="shared" si="45"/>
        <v/>
      </c>
      <c r="DEE6" s="97" t="str">
        <f t="shared" si="45"/>
        <v/>
      </c>
      <c r="DEF6" s="97" t="str">
        <f t="shared" si="45"/>
        <v/>
      </c>
      <c r="DEG6" s="97" t="str">
        <f t="shared" si="45"/>
        <v/>
      </c>
      <c r="DEH6" s="97" t="str">
        <f t="shared" si="45"/>
        <v/>
      </c>
      <c r="DEI6" s="97" t="str">
        <f t="shared" si="45"/>
        <v/>
      </c>
      <c r="DEJ6" s="97" t="str">
        <f t="shared" si="45"/>
        <v/>
      </c>
      <c r="DEK6" s="97" t="str">
        <f t="shared" si="45"/>
        <v/>
      </c>
      <c r="DEL6" s="97" t="str">
        <f t="shared" si="45"/>
        <v/>
      </c>
      <c r="DEM6" s="97" t="str">
        <f t="shared" si="45"/>
        <v/>
      </c>
      <c r="DEN6" s="97" t="str">
        <f t="shared" si="45"/>
        <v/>
      </c>
      <c r="DEO6" s="97" t="str">
        <f t="shared" si="45"/>
        <v/>
      </c>
      <c r="DEP6" s="97" t="str">
        <f t="shared" si="45"/>
        <v/>
      </c>
      <c r="DEQ6" s="97" t="str">
        <f t="shared" si="45"/>
        <v/>
      </c>
      <c r="DER6" s="97" t="str">
        <f t="shared" si="45"/>
        <v/>
      </c>
      <c r="DES6" s="97" t="str">
        <f t="shared" si="45"/>
        <v/>
      </c>
      <c r="DET6" s="97" t="str">
        <f t="shared" si="45"/>
        <v/>
      </c>
      <c r="DEU6" s="97" t="str">
        <f t="shared" si="45"/>
        <v/>
      </c>
      <c r="DEV6" s="97" t="str">
        <f t="shared" si="45"/>
        <v/>
      </c>
      <c r="DEW6" s="97" t="str">
        <f t="shared" si="45"/>
        <v/>
      </c>
      <c r="DEX6" s="97" t="str">
        <f t="shared" si="45"/>
        <v/>
      </c>
      <c r="DEY6" s="97" t="str">
        <f t="shared" si="45"/>
        <v/>
      </c>
      <c r="DEZ6" s="97" t="str">
        <f t="shared" si="45"/>
        <v/>
      </c>
      <c r="DFA6" s="97" t="str">
        <f t="shared" si="45"/>
        <v/>
      </c>
      <c r="DFB6" s="97" t="str">
        <f t="shared" si="45"/>
        <v/>
      </c>
      <c r="DFC6" s="97" t="str">
        <f t="shared" si="45"/>
        <v/>
      </c>
      <c r="DFD6" s="97" t="str">
        <f t="shared" si="45"/>
        <v/>
      </c>
      <c r="DFE6" s="97" t="str">
        <f t="shared" si="45"/>
        <v/>
      </c>
      <c r="DFF6" s="97" t="str">
        <f t="shared" si="45"/>
        <v/>
      </c>
      <c r="DFG6" s="97" t="str">
        <f t="shared" si="45"/>
        <v/>
      </c>
      <c r="DFH6" s="97" t="str">
        <f t="shared" si="45"/>
        <v/>
      </c>
      <c r="DFI6" s="97" t="str">
        <f t="shared" si="45"/>
        <v/>
      </c>
      <c r="DFJ6" s="97" t="str">
        <f t="shared" si="45"/>
        <v/>
      </c>
      <c r="DFK6" s="97" t="str">
        <f t="shared" si="45"/>
        <v/>
      </c>
      <c r="DFL6" s="97" t="str">
        <f t="shared" si="45"/>
        <v/>
      </c>
      <c r="DFM6" s="97" t="str">
        <f t="shared" si="45"/>
        <v/>
      </c>
      <c r="DFN6" s="97" t="str">
        <f t="shared" si="45"/>
        <v/>
      </c>
      <c r="DFO6" s="97" t="str">
        <f t="shared" si="45"/>
        <v/>
      </c>
      <c r="DFP6" s="97" t="str">
        <f t="shared" si="45"/>
        <v/>
      </c>
      <c r="DFQ6" s="97" t="str">
        <f t="shared" si="45"/>
        <v/>
      </c>
      <c r="DFR6" s="97" t="str">
        <f t="shared" si="45"/>
        <v/>
      </c>
      <c r="DFS6" s="97" t="str">
        <f t="shared" si="45"/>
        <v/>
      </c>
      <c r="DFT6" s="97" t="str">
        <f t="shared" si="45"/>
        <v/>
      </c>
      <c r="DFU6" s="97" t="str">
        <f t="shared" si="45"/>
        <v/>
      </c>
      <c r="DFV6" s="97" t="str">
        <f t="shared" si="45"/>
        <v/>
      </c>
      <c r="DFW6" s="97" t="str">
        <f t="shared" si="45"/>
        <v/>
      </c>
      <c r="DFX6" s="97" t="str">
        <f t="shared" si="45"/>
        <v/>
      </c>
      <c r="DFY6" s="97" t="str">
        <f t="shared" si="45"/>
        <v/>
      </c>
      <c r="DFZ6" s="97" t="str">
        <f t="shared" ref="DFZ6:DIK6" si="46">IFERROR(AVERAGE(DFZ7:DFZ13),"")</f>
        <v/>
      </c>
      <c r="DGA6" s="97" t="str">
        <f t="shared" si="46"/>
        <v/>
      </c>
      <c r="DGB6" s="97" t="str">
        <f t="shared" si="46"/>
        <v/>
      </c>
      <c r="DGC6" s="97" t="str">
        <f t="shared" si="46"/>
        <v/>
      </c>
      <c r="DGD6" s="97" t="str">
        <f t="shared" si="46"/>
        <v/>
      </c>
      <c r="DGE6" s="97" t="str">
        <f t="shared" si="46"/>
        <v/>
      </c>
      <c r="DGF6" s="97" t="str">
        <f t="shared" si="46"/>
        <v/>
      </c>
      <c r="DGG6" s="97" t="str">
        <f t="shared" si="46"/>
        <v/>
      </c>
      <c r="DGH6" s="97" t="str">
        <f t="shared" si="46"/>
        <v/>
      </c>
      <c r="DGI6" s="97" t="str">
        <f t="shared" si="46"/>
        <v/>
      </c>
      <c r="DGJ6" s="97" t="str">
        <f t="shared" si="46"/>
        <v/>
      </c>
      <c r="DGK6" s="97" t="str">
        <f t="shared" si="46"/>
        <v/>
      </c>
      <c r="DGL6" s="97" t="str">
        <f t="shared" si="46"/>
        <v/>
      </c>
      <c r="DGM6" s="97" t="str">
        <f t="shared" si="46"/>
        <v/>
      </c>
      <c r="DGN6" s="97" t="str">
        <f t="shared" si="46"/>
        <v/>
      </c>
      <c r="DGO6" s="97" t="str">
        <f t="shared" si="46"/>
        <v/>
      </c>
      <c r="DGP6" s="97" t="str">
        <f t="shared" si="46"/>
        <v/>
      </c>
      <c r="DGQ6" s="97" t="str">
        <f t="shared" si="46"/>
        <v/>
      </c>
      <c r="DGR6" s="97" t="str">
        <f t="shared" si="46"/>
        <v/>
      </c>
      <c r="DGS6" s="97" t="str">
        <f t="shared" si="46"/>
        <v/>
      </c>
      <c r="DGT6" s="97" t="str">
        <f t="shared" si="46"/>
        <v/>
      </c>
      <c r="DGU6" s="97" t="str">
        <f t="shared" si="46"/>
        <v/>
      </c>
      <c r="DGV6" s="97" t="str">
        <f t="shared" si="46"/>
        <v/>
      </c>
      <c r="DGW6" s="97" t="str">
        <f t="shared" si="46"/>
        <v/>
      </c>
      <c r="DGX6" s="97" t="str">
        <f t="shared" si="46"/>
        <v/>
      </c>
      <c r="DGY6" s="97" t="str">
        <f t="shared" si="46"/>
        <v/>
      </c>
      <c r="DGZ6" s="97" t="str">
        <f t="shared" si="46"/>
        <v/>
      </c>
      <c r="DHA6" s="97" t="str">
        <f t="shared" si="46"/>
        <v/>
      </c>
      <c r="DHB6" s="97" t="str">
        <f t="shared" si="46"/>
        <v/>
      </c>
      <c r="DHC6" s="97" t="str">
        <f t="shared" si="46"/>
        <v/>
      </c>
      <c r="DHD6" s="97" t="str">
        <f t="shared" si="46"/>
        <v/>
      </c>
      <c r="DHE6" s="97" t="str">
        <f t="shared" si="46"/>
        <v/>
      </c>
      <c r="DHF6" s="97" t="str">
        <f t="shared" si="46"/>
        <v/>
      </c>
      <c r="DHG6" s="97" t="str">
        <f t="shared" si="46"/>
        <v/>
      </c>
      <c r="DHH6" s="97" t="str">
        <f t="shared" si="46"/>
        <v/>
      </c>
      <c r="DHI6" s="97" t="str">
        <f t="shared" si="46"/>
        <v/>
      </c>
      <c r="DHJ6" s="97" t="str">
        <f t="shared" si="46"/>
        <v/>
      </c>
      <c r="DHK6" s="97" t="str">
        <f t="shared" si="46"/>
        <v/>
      </c>
      <c r="DHL6" s="97" t="str">
        <f t="shared" si="46"/>
        <v/>
      </c>
      <c r="DHM6" s="97" t="str">
        <f t="shared" si="46"/>
        <v/>
      </c>
      <c r="DHN6" s="97" t="str">
        <f t="shared" si="46"/>
        <v/>
      </c>
      <c r="DHO6" s="97" t="str">
        <f t="shared" si="46"/>
        <v/>
      </c>
      <c r="DHP6" s="97" t="str">
        <f t="shared" si="46"/>
        <v/>
      </c>
      <c r="DHQ6" s="97" t="str">
        <f t="shared" si="46"/>
        <v/>
      </c>
      <c r="DHR6" s="97" t="str">
        <f t="shared" si="46"/>
        <v/>
      </c>
      <c r="DHS6" s="97" t="str">
        <f t="shared" si="46"/>
        <v/>
      </c>
      <c r="DHT6" s="97" t="str">
        <f t="shared" si="46"/>
        <v/>
      </c>
      <c r="DHU6" s="97" t="str">
        <f t="shared" si="46"/>
        <v/>
      </c>
      <c r="DHV6" s="97" t="str">
        <f t="shared" si="46"/>
        <v/>
      </c>
      <c r="DHW6" s="97" t="str">
        <f t="shared" si="46"/>
        <v/>
      </c>
      <c r="DHX6" s="97" t="str">
        <f t="shared" si="46"/>
        <v/>
      </c>
      <c r="DHY6" s="97" t="str">
        <f t="shared" si="46"/>
        <v/>
      </c>
      <c r="DHZ6" s="97" t="str">
        <f t="shared" si="46"/>
        <v/>
      </c>
      <c r="DIA6" s="97" t="str">
        <f t="shared" si="46"/>
        <v/>
      </c>
      <c r="DIB6" s="97" t="str">
        <f t="shared" si="46"/>
        <v/>
      </c>
      <c r="DIC6" s="97" t="str">
        <f t="shared" si="46"/>
        <v/>
      </c>
      <c r="DID6" s="97" t="str">
        <f t="shared" si="46"/>
        <v/>
      </c>
      <c r="DIE6" s="97" t="str">
        <f t="shared" si="46"/>
        <v/>
      </c>
      <c r="DIF6" s="97" t="str">
        <f t="shared" si="46"/>
        <v/>
      </c>
      <c r="DIG6" s="97" t="str">
        <f t="shared" si="46"/>
        <v/>
      </c>
      <c r="DIH6" s="97" t="str">
        <f t="shared" si="46"/>
        <v/>
      </c>
      <c r="DII6" s="97" t="str">
        <f t="shared" si="46"/>
        <v/>
      </c>
      <c r="DIJ6" s="97" t="str">
        <f t="shared" si="46"/>
        <v/>
      </c>
      <c r="DIK6" s="97" t="str">
        <f t="shared" si="46"/>
        <v/>
      </c>
      <c r="DIL6" s="97" t="str">
        <f t="shared" ref="DIL6:DKW6" si="47">IFERROR(AVERAGE(DIL7:DIL13),"")</f>
        <v/>
      </c>
      <c r="DIM6" s="97" t="str">
        <f t="shared" si="47"/>
        <v/>
      </c>
      <c r="DIN6" s="97" t="str">
        <f t="shared" si="47"/>
        <v/>
      </c>
      <c r="DIO6" s="97" t="str">
        <f t="shared" si="47"/>
        <v/>
      </c>
      <c r="DIP6" s="97" t="str">
        <f t="shared" si="47"/>
        <v/>
      </c>
      <c r="DIQ6" s="97" t="str">
        <f t="shared" si="47"/>
        <v/>
      </c>
      <c r="DIR6" s="97" t="str">
        <f t="shared" si="47"/>
        <v/>
      </c>
      <c r="DIS6" s="97" t="str">
        <f t="shared" si="47"/>
        <v/>
      </c>
      <c r="DIT6" s="97" t="str">
        <f t="shared" si="47"/>
        <v/>
      </c>
      <c r="DIU6" s="97" t="str">
        <f t="shared" si="47"/>
        <v/>
      </c>
      <c r="DIV6" s="97" t="str">
        <f t="shared" si="47"/>
        <v/>
      </c>
      <c r="DIW6" s="97" t="str">
        <f t="shared" si="47"/>
        <v/>
      </c>
      <c r="DIX6" s="97" t="str">
        <f t="shared" si="47"/>
        <v/>
      </c>
      <c r="DIY6" s="97" t="str">
        <f t="shared" si="47"/>
        <v/>
      </c>
      <c r="DIZ6" s="97" t="str">
        <f t="shared" si="47"/>
        <v/>
      </c>
      <c r="DJA6" s="97" t="str">
        <f t="shared" si="47"/>
        <v/>
      </c>
      <c r="DJB6" s="97" t="str">
        <f t="shared" si="47"/>
        <v/>
      </c>
      <c r="DJC6" s="97" t="str">
        <f t="shared" si="47"/>
        <v/>
      </c>
      <c r="DJD6" s="97" t="str">
        <f t="shared" si="47"/>
        <v/>
      </c>
      <c r="DJE6" s="97" t="str">
        <f t="shared" si="47"/>
        <v/>
      </c>
      <c r="DJF6" s="97" t="str">
        <f t="shared" si="47"/>
        <v/>
      </c>
      <c r="DJG6" s="97" t="str">
        <f t="shared" si="47"/>
        <v/>
      </c>
      <c r="DJH6" s="97" t="str">
        <f t="shared" si="47"/>
        <v/>
      </c>
      <c r="DJI6" s="97" t="str">
        <f t="shared" si="47"/>
        <v/>
      </c>
      <c r="DJJ6" s="97" t="str">
        <f t="shared" si="47"/>
        <v/>
      </c>
      <c r="DJK6" s="97" t="str">
        <f t="shared" si="47"/>
        <v/>
      </c>
      <c r="DJL6" s="97" t="str">
        <f t="shared" si="47"/>
        <v/>
      </c>
      <c r="DJM6" s="97" t="str">
        <f t="shared" si="47"/>
        <v/>
      </c>
      <c r="DJN6" s="97" t="str">
        <f t="shared" si="47"/>
        <v/>
      </c>
      <c r="DJO6" s="97" t="str">
        <f t="shared" si="47"/>
        <v/>
      </c>
      <c r="DJP6" s="97" t="str">
        <f t="shared" si="47"/>
        <v/>
      </c>
      <c r="DJQ6" s="97" t="str">
        <f t="shared" si="47"/>
        <v/>
      </c>
      <c r="DJR6" s="97" t="str">
        <f t="shared" si="47"/>
        <v/>
      </c>
      <c r="DJS6" s="97" t="str">
        <f t="shared" si="47"/>
        <v/>
      </c>
      <c r="DJT6" s="97" t="str">
        <f t="shared" si="47"/>
        <v/>
      </c>
      <c r="DJU6" s="97" t="str">
        <f t="shared" si="47"/>
        <v/>
      </c>
      <c r="DJV6" s="97" t="str">
        <f t="shared" si="47"/>
        <v/>
      </c>
      <c r="DJW6" s="97" t="str">
        <f t="shared" si="47"/>
        <v/>
      </c>
      <c r="DJX6" s="97" t="str">
        <f t="shared" si="47"/>
        <v/>
      </c>
      <c r="DJY6" s="97" t="str">
        <f t="shared" si="47"/>
        <v/>
      </c>
      <c r="DJZ6" s="97" t="str">
        <f t="shared" si="47"/>
        <v/>
      </c>
      <c r="DKA6" s="97" t="str">
        <f t="shared" si="47"/>
        <v/>
      </c>
      <c r="DKB6" s="97" t="str">
        <f t="shared" si="47"/>
        <v/>
      </c>
      <c r="DKC6" s="97" t="str">
        <f t="shared" si="47"/>
        <v/>
      </c>
      <c r="DKD6" s="97" t="str">
        <f t="shared" si="47"/>
        <v/>
      </c>
      <c r="DKE6" s="97" t="str">
        <f t="shared" si="47"/>
        <v/>
      </c>
      <c r="DKF6" s="97" t="str">
        <f t="shared" si="47"/>
        <v/>
      </c>
      <c r="DKG6" s="97" t="str">
        <f t="shared" si="47"/>
        <v/>
      </c>
      <c r="DKH6" s="97" t="str">
        <f t="shared" si="47"/>
        <v/>
      </c>
      <c r="DKI6" s="97" t="str">
        <f t="shared" si="47"/>
        <v/>
      </c>
      <c r="DKJ6" s="97" t="str">
        <f t="shared" si="47"/>
        <v/>
      </c>
      <c r="DKK6" s="97" t="str">
        <f t="shared" si="47"/>
        <v/>
      </c>
      <c r="DKL6" s="97" t="str">
        <f t="shared" si="47"/>
        <v/>
      </c>
      <c r="DKM6" s="97" t="str">
        <f t="shared" si="47"/>
        <v/>
      </c>
      <c r="DKN6" s="97" t="str">
        <f t="shared" si="47"/>
        <v/>
      </c>
      <c r="DKO6" s="97" t="str">
        <f t="shared" si="47"/>
        <v/>
      </c>
      <c r="DKP6" s="97" t="str">
        <f t="shared" si="47"/>
        <v/>
      </c>
      <c r="DKQ6" s="97" t="str">
        <f t="shared" si="47"/>
        <v/>
      </c>
      <c r="DKR6" s="97" t="str">
        <f t="shared" si="47"/>
        <v/>
      </c>
      <c r="DKS6" s="97" t="str">
        <f t="shared" si="47"/>
        <v/>
      </c>
      <c r="DKT6" s="97" t="str">
        <f t="shared" si="47"/>
        <v/>
      </c>
      <c r="DKU6" s="97" t="str">
        <f t="shared" si="47"/>
        <v/>
      </c>
      <c r="DKV6" s="97" t="str">
        <f t="shared" si="47"/>
        <v/>
      </c>
      <c r="DKW6" s="97" t="str">
        <f t="shared" si="47"/>
        <v/>
      </c>
      <c r="DKX6" s="97" t="str">
        <f t="shared" ref="DKX6:DNI6" si="48">IFERROR(AVERAGE(DKX7:DKX13),"")</f>
        <v/>
      </c>
      <c r="DKY6" s="97" t="str">
        <f t="shared" si="48"/>
        <v/>
      </c>
      <c r="DKZ6" s="97" t="str">
        <f t="shared" si="48"/>
        <v/>
      </c>
      <c r="DLA6" s="97" t="str">
        <f t="shared" si="48"/>
        <v/>
      </c>
      <c r="DLB6" s="97" t="str">
        <f t="shared" si="48"/>
        <v/>
      </c>
      <c r="DLC6" s="97" t="str">
        <f t="shared" si="48"/>
        <v/>
      </c>
      <c r="DLD6" s="97" t="str">
        <f t="shared" si="48"/>
        <v/>
      </c>
      <c r="DLE6" s="97" t="str">
        <f t="shared" si="48"/>
        <v/>
      </c>
      <c r="DLF6" s="97" t="str">
        <f t="shared" si="48"/>
        <v/>
      </c>
      <c r="DLG6" s="97" t="str">
        <f t="shared" si="48"/>
        <v/>
      </c>
      <c r="DLH6" s="97" t="str">
        <f t="shared" si="48"/>
        <v/>
      </c>
      <c r="DLI6" s="97" t="str">
        <f t="shared" si="48"/>
        <v/>
      </c>
      <c r="DLJ6" s="97" t="str">
        <f t="shared" si="48"/>
        <v/>
      </c>
      <c r="DLK6" s="97" t="str">
        <f t="shared" si="48"/>
        <v/>
      </c>
      <c r="DLL6" s="97" t="str">
        <f t="shared" si="48"/>
        <v/>
      </c>
      <c r="DLM6" s="97" t="str">
        <f t="shared" si="48"/>
        <v/>
      </c>
      <c r="DLN6" s="97" t="str">
        <f t="shared" si="48"/>
        <v/>
      </c>
      <c r="DLO6" s="97" t="str">
        <f t="shared" si="48"/>
        <v/>
      </c>
      <c r="DLP6" s="97" t="str">
        <f t="shared" si="48"/>
        <v/>
      </c>
      <c r="DLQ6" s="97" t="str">
        <f t="shared" si="48"/>
        <v/>
      </c>
      <c r="DLR6" s="97" t="str">
        <f t="shared" si="48"/>
        <v/>
      </c>
      <c r="DLS6" s="97" t="str">
        <f t="shared" si="48"/>
        <v/>
      </c>
      <c r="DLT6" s="97" t="str">
        <f t="shared" si="48"/>
        <v/>
      </c>
      <c r="DLU6" s="97" t="str">
        <f t="shared" si="48"/>
        <v/>
      </c>
      <c r="DLV6" s="97" t="str">
        <f t="shared" si="48"/>
        <v/>
      </c>
      <c r="DLW6" s="97" t="str">
        <f t="shared" si="48"/>
        <v/>
      </c>
      <c r="DLX6" s="97" t="str">
        <f t="shared" si="48"/>
        <v/>
      </c>
      <c r="DLY6" s="97" t="str">
        <f t="shared" si="48"/>
        <v/>
      </c>
      <c r="DLZ6" s="97" t="str">
        <f t="shared" si="48"/>
        <v/>
      </c>
      <c r="DMA6" s="97" t="str">
        <f t="shared" si="48"/>
        <v/>
      </c>
      <c r="DMB6" s="97" t="str">
        <f t="shared" si="48"/>
        <v/>
      </c>
      <c r="DMC6" s="97" t="str">
        <f t="shared" si="48"/>
        <v/>
      </c>
      <c r="DMD6" s="97" t="str">
        <f t="shared" si="48"/>
        <v/>
      </c>
      <c r="DME6" s="97" t="str">
        <f t="shared" si="48"/>
        <v/>
      </c>
      <c r="DMF6" s="97" t="str">
        <f t="shared" si="48"/>
        <v/>
      </c>
      <c r="DMG6" s="97" t="str">
        <f t="shared" si="48"/>
        <v/>
      </c>
      <c r="DMH6" s="97" t="str">
        <f t="shared" si="48"/>
        <v/>
      </c>
      <c r="DMI6" s="97" t="str">
        <f t="shared" si="48"/>
        <v/>
      </c>
      <c r="DMJ6" s="97" t="str">
        <f t="shared" si="48"/>
        <v/>
      </c>
      <c r="DMK6" s="97" t="str">
        <f t="shared" si="48"/>
        <v/>
      </c>
      <c r="DML6" s="97" t="str">
        <f t="shared" si="48"/>
        <v/>
      </c>
      <c r="DMM6" s="97" t="str">
        <f t="shared" si="48"/>
        <v/>
      </c>
      <c r="DMN6" s="97" t="str">
        <f t="shared" si="48"/>
        <v/>
      </c>
      <c r="DMO6" s="97" t="str">
        <f t="shared" si="48"/>
        <v/>
      </c>
      <c r="DMP6" s="97" t="str">
        <f t="shared" si="48"/>
        <v/>
      </c>
      <c r="DMQ6" s="97" t="str">
        <f t="shared" si="48"/>
        <v/>
      </c>
      <c r="DMR6" s="97" t="str">
        <f t="shared" si="48"/>
        <v/>
      </c>
      <c r="DMS6" s="97" t="str">
        <f t="shared" si="48"/>
        <v/>
      </c>
      <c r="DMT6" s="97" t="str">
        <f t="shared" si="48"/>
        <v/>
      </c>
      <c r="DMU6" s="97" t="str">
        <f t="shared" si="48"/>
        <v/>
      </c>
      <c r="DMV6" s="97" t="str">
        <f t="shared" si="48"/>
        <v/>
      </c>
      <c r="DMW6" s="97" t="str">
        <f t="shared" si="48"/>
        <v/>
      </c>
      <c r="DMX6" s="97" t="str">
        <f t="shared" si="48"/>
        <v/>
      </c>
      <c r="DMY6" s="97" t="str">
        <f t="shared" si="48"/>
        <v/>
      </c>
      <c r="DMZ6" s="97" t="str">
        <f t="shared" si="48"/>
        <v/>
      </c>
      <c r="DNA6" s="97" t="str">
        <f t="shared" si="48"/>
        <v/>
      </c>
      <c r="DNB6" s="97" t="str">
        <f t="shared" si="48"/>
        <v/>
      </c>
      <c r="DNC6" s="97" t="str">
        <f t="shared" si="48"/>
        <v/>
      </c>
      <c r="DND6" s="97" t="str">
        <f t="shared" si="48"/>
        <v/>
      </c>
      <c r="DNE6" s="97" t="str">
        <f t="shared" si="48"/>
        <v/>
      </c>
      <c r="DNF6" s="97" t="str">
        <f t="shared" si="48"/>
        <v/>
      </c>
      <c r="DNG6" s="97" t="str">
        <f t="shared" si="48"/>
        <v/>
      </c>
      <c r="DNH6" s="97" t="str">
        <f t="shared" si="48"/>
        <v/>
      </c>
      <c r="DNI6" s="97" t="str">
        <f t="shared" si="48"/>
        <v/>
      </c>
      <c r="DNJ6" s="97" t="str">
        <f t="shared" ref="DNJ6:DPU6" si="49">IFERROR(AVERAGE(DNJ7:DNJ13),"")</f>
        <v/>
      </c>
      <c r="DNK6" s="97" t="str">
        <f t="shared" si="49"/>
        <v/>
      </c>
      <c r="DNL6" s="97" t="str">
        <f t="shared" si="49"/>
        <v/>
      </c>
      <c r="DNM6" s="97" t="str">
        <f t="shared" si="49"/>
        <v/>
      </c>
      <c r="DNN6" s="97" t="str">
        <f t="shared" si="49"/>
        <v/>
      </c>
      <c r="DNO6" s="97" t="str">
        <f t="shared" si="49"/>
        <v/>
      </c>
      <c r="DNP6" s="97" t="str">
        <f t="shared" si="49"/>
        <v/>
      </c>
      <c r="DNQ6" s="97" t="str">
        <f t="shared" si="49"/>
        <v/>
      </c>
      <c r="DNR6" s="97" t="str">
        <f t="shared" si="49"/>
        <v/>
      </c>
      <c r="DNS6" s="97" t="str">
        <f t="shared" si="49"/>
        <v/>
      </c>
      <c r="DNT6" s="97" t="str">
        <f t="shared" si="49"/>
        <v/>
      </c>
      <c r="DNU6" s="97" t="str">
        <f t="shared" si="49"/>
        <v/>
      </c>
      <c r="DNV6" s="97" t="str">
        <f t="shared" si="49"/>
        <v/>
      </c>
      <c r="DNW6" s="97" t="str">
        <f t="shared" si="49"/>
        <v/>
      </c>
      <c r="DNX6" s="97" t="str">
        <f t="shared" si="49"/>
        <v/>
      </c>
      <c r="DNY6" s="97" t="str">
        <f t="shared" si="49"/>
        <v/>
      </c>
      <c r="DNZ6" s="97" t="str">
        <f t="shared" si="49"/>
        <v/>
      </c>
      <c r="DOA6" s="97" t="str">
        <f t="shared" si="49"/>
        <v/>
      </c>
      <c r="DOB6" s="97" t="str">
        <f t="shared" si="49"/>
        <v/>
      </c>
      <c r="DOC6" s="97" t="str">
        <f t="shared" si="49"/>
        <v/>
      </c>
      <c r="DOD6" s="97" t="str">
        <f t="shared" si="49"/>
        <v/>
      </c>
      <c r="DOE6" s="97" t="str">
        <f t="shared" si="49"/>
        <v/>
      </c>
      <c r="DOF6" s="97" t="str">
        <f t="shared" si="49"/>
        <v/>
      </c>
      <c r="DOG6" s="97" t="str">
        <f t="shared" si="49"/>
        <v/>
      </c>
      <c r="DOH6" s="97" t="str">
        <f t="shared" si="49"/>
        <v/>
      </c>
      <c r="DOI6" s="97" t="str">
        <f t="shared" si="49"/>
        <v/>
      </c>
      <c r="DOJ6" s="97" t="str">
        <f t="shared" si="49"/>
        <v/>
      </c>
      <c r="DOK6" s="97" t="str">
        <f t="shared" si="49"/>
        <v/>
      </c>
      <c r="DOL6" s="97" t="str">
        <f t="shared" si="49"/>
        <v/>
      </c>
      <c r="DOM6" s="97" t="str">
        <f t="shared" si="49"/>
        <v/>
      </c>
      <c r="DON6" s="97" t="str">
        <f t="shared" si="49"/>
        <v/>
      </c>
      <c r="DOO6" s="97" t="str">
        <f t="shared" si="49"/>
        <v/>
      </c>
      <c r="DOP6" s="97" t="str">
        <f t="shared" si="49"/>
        <v/>
      </c>
      <c r="DOQ6" s="97" t="str">
        <f t="shared" si="49"/>
        <v/>
      </c>
      <c r="DOR6" s="97" t="str">
        <f t="shared" si="49"/>
        <v/>
      </c>
      <c r="DOS6" s="97" t="str">
        <f t="shared" si="49"/>
        <v/>
      </c>
      <c r="DOT6" s="97" t="str">
        <f t="shared" si="49"/>
        <v/>
      </c>
      <c r="DOU6" s="97" t="str">
        <f t="shared" si="49"/>
        <v/>
      </c>
      <c r="DOV6" s="97" t="str">
        <f t="shared" si="49"/>
        <v/>
      </c>
      <c r="DOW6" s="97" t="str">
        <f t="shared" si="49"/>
        <v/>
      </c>
      <c r="DOX6" s="97" t="str">
        <f t="shared" si="49"/>
        <v/>
      </c>
      <c r="DOY6" s="97" t="str">
        <f t="shared" si="49"/>
        <v/>
      </c>
      <c r="DOZ6" s="97" t="str">
        <f t="shared" si="49"/>
        <v/>
      </c>
      <c r="DPA6" s="97" t="str">
        <f t="shared" si="49"/>
        <v/>
      </c>
      <c r="DPB6" s="97" t="str">
        <f t="shared" si="49"/>
        <v/>
      </c>
      <c r="DPC6" s="97" t="str">
        <f t="shared" si="49"/>
        <v/>
      </c>
      <c r="DPD6" s="97" t="str">
        <f t="shared" si="49"/>
        <v/>
      </c>
      <c r="DPE6" s="97" t="str">
        <f t="shared" si="49"/>
        <v/>
      </c>
      <c r="DPF6" s="97" t="str">
        <f t="shared" si="49"/>
        <v/>
      </c>
      <c r="DPG6" s="97" t="str">
        <f t="shared" si="49"/>
        <v/>
      </c>
      <c r="DPH6" s="97" t="str">
        <f t="shared" si="49"/>
        <v/>
      </c>
      <c r="DPI6" s="97" t="str">
        <f t="shared" si="49"/>
        <v/>
      </c>
      <c r="DPJ6" s="97" t="str">
        <f t="shared" si="49"/>
        <v/>
      </c>
      <c r="DPK6" s="97" t="str">
        <f t="shared" si="49"/>
        <v/>
      </c>
      <c r="DPL6" s="97" t="str">
        <f t="shared" si="49"/>
        <v/>
      </c>
      <c r="DPM6" s="97" t="str">
        <f t="shared" si="49"/>
        <v/>
      </c>
      <c r="DPN6" s="97" t="str">
        <f t="shared" si="49"/>
        <v/>
      </c>
      <c r="DPO6" s="97" t="str">
        <f t="shared" si="49"/>
        <v/>
      </c>
      <c r="DPP6" s="97" t="str">
        <f t="shared" si="49"/>
        <v/>
      </c>
      <c r="DPQ6" s="97" t="str">
        <f t="shared" si="49"/>
        <v/>
      </c>
      <c r="DPR6" s="97" t="str">
        <f t="shared" si="49"/>
        <v/>
      </c>
      <c r="DPS6" s="97" t="str">
        <f t="shared" si="49"/>
        <v/>
      </c>
      <c r="DPT6" s="97" t="str">
        <f t="shared" si="49"/>
        <v/>
      </c>
      <c r="DPU6" s="97" t="str">
        <f t="shared" si="49"/>
        <v/>
      </c>
      <c r="DPV6" s="97" t="str">
        <f t="shared" ref="DPV6:DSG6" si="50">IFERROR(AVERAGE(DPV7:DPV13),"")</f>
        <v/>
      </c>
      <c r="DPW6" s="97" t="str">
        <f t="shared" si="50"/>
        <v/>
      </c>
      <c r="DPX6" s="97" t="str">
        <f t="shared" si="50"/>
        <v/>
      </c>
      <c r="DPY6" s="97" t="str">
        <f t="shared" si="50"/>
        <v/>
      </c>
      <c r="DPZ6" s="97" t="str">
        <f t="shared" si="50"/>
        <v/>
      </c>
      <c r="DQA6" s="97" t="str">
        <f t="shared" si="50"/>
        <v/>
      </c>
      <c r="DQB6" s="97" t="str">
        <f t="shared" si="50"/>
        <v/>
      </c>
      <c r="DQC6" s="97" t="str">
        <f t="shared" si="50"/>
        <v/>
      </c>
      <c r="DQD6" s="97" t="str">
        <f t="shared" si="50"/>
        <v/>
      </c>
      <c r="DQE6" s="97" t="str">
        <f t="shared" si="50"/>
        <v/>
      </c>
      <c r="DQF6" s="97" t="str">
        <f t="shared" si="50"/>
        <v/>
      </c>
      <c r="DQG6" s="97" t="str">
        <f t="shared" si="50"/>
        <v/>
      </c>
      <c r="DQH6" s="97" t="str">
        <f t="shared" si="50"/>
        <v/>
      </c>
      <c r="DQI6" s="97" t="str">
        <f t="shared" si="50"/>
        <v/>
      </c>
      <c r="DQJ6" s="97" t="str">
        <f t="shared" si="50"/>
        <v/>
      </c>
      <c r="DQK6" s="97" t="str">
        <f t="shared" si="50"/>
        <v/>
      </c>
      <c r="DQL6" s="97" t="str">
        <f t="shared" si="50"/>
        <v/>
      </c>
      <c r="DQM6" s="97" t="str">
        <f t="shared" si="50"/>
        <v/>
      </c>
      <c r="DQN6" s="97" t="str">
        <f t="shared" si="50"/>
        <v/>
      </c>
      <c r="DQO6" s="97" t="str">
        <f t="shared" si="50"/>
        <v/>
      </c>
      <c r="DQP6" s="97" t="str">
        <f t="shared" si="50"/>
        <v/>
      </c>
      <c r="DQQ6" s="97" t="str">
        <f t="shared" si="50"/>
        <v/>
      </c>
      <c r="DQR6" s="97" t="str">
        <f t="shared" si="50"/>
        <v/>
      </c>
      <c r="DQS6" s="97" t="str">
        <f t="shared" si="50"/>
        <v/>
      </c>
      <c r="DQT6" s="97" t="str">
        <f t="shared" si="50"/>
        <v/>
      </c>
      <c r="DQU6" s="97" t="str">
        <f t="shared" si="50"/>
        <v/>
      </c>
      <c r="DQV6" s="97" t="str">
        <f t="shared" si="50"/>
        <v/>
      </c>
      <c r="DQW6" s="97" t="str">
        <f t="shared" si="50"/>
        <v/>
      </c>
      <c r="DQX6" s="97" t="str">
        <f t="shared" si="50"/>
        <v/>
      </c>
      <c r="DQY6" s="97" t="str">
        <f t="shared" si="50"/>
        <v/>
      </c>
      <c r="DQZ6" s="97" t="str">
        <f t="shared" si="50"/>
        <v/>
      </c>
      <c r="DRA6" s="97" t="str">
        <f t="shared" si="50"/>
        <v/>
      </c>
      <c r="DRB6" s="97" t="str">
        <f t="shared" si="50"/>
        <v/>
      </c>
      <c r="DRC6" s="97" t="str">
        <f t="shared" si="50"/>
        <v/>
      </c>
      <c r="DRD6" s="97" t="str">
        <f t="shared" si="50"/>
        <v/>
      </c>
      <c r="DRE6" s="97" t="str">
        <f t="shared" si="50"/>
        <v/>
      </c>
      <c r="DRF6" s="97" t="str">
        <f t="shared" si="50"/>
        <v/>
      </c>
      <c r="DRG6" s="97" t="str">
        <f t="shared" si="50"/>
        <v/>
      </c>
      <c r="DRH6" s="97" t="str">
        <f t="shared" si="50"/>
        <v/>
      </c>
      <c r="DRI6" s="97" t="str">
        <f t="shared" si="50"/>
        <v/>
      </c>
      <c r="DRJ6" s="97" t="str">
        <f t="shared" si="50"/>
        <v/>
      </c>
      <c r="DRK6" s="97" t="str">
        <f t="shared" si="50"/>
        <v/>
      </c>
      <c r="DRL6" s="97" t="str">
        <f t="shared" si="50"/>
        <v/>
      </c>
      <c r="DRM6" s="97" t="str">
        <f t="shared" si="50"/>
        <v/>
      </c>
      <c r="DRN6" s="97" t="str">
        <f t="shared" si="50"/>
        <v/>
      </c>
      <c r="DRO6" s="97" t="str">
        <f t="shared" si="50"/>
        <v/>
      </c>
      <c r="DRP6" s="97" t="str">
        <f t="shared" si="50"/>
        <v/>
      </c>
      <c r="DRQ6" s="97" t="str">
        <f t="shared" si="50"/>
        <v/>
      </c>
      <c r="DRR6" s="97" t="str">
        <f t="shared" si="50"/>
        <v/>
      </c>
      <c r="DRS6" s="97" t="str">
        <f t="shared" si="50"/>
        <v/>
      </c>
      <c r="DRT6" s="97" t="str">
        <f t="shared" si="50"/>
        <v/>
      </c>
      <c r="DRU6" s="97" t="str">
        <f t="shared" si="50"/>
        <v/>
      </c>
      <c r="DRV6" s="97" t="str">
        <f t="shared" si="50"/>
        <v/>
      </c>
      <c r="DRW6" s="97" t="str">
        <f t="shared" si="50"/>
        <v/>
      </c>
      <c r="DRX6" s="97" t="str">
        <f t="shared" si="50"/>
        <v/>
      </c>
      <c r="DRY6" s="97" t="str">
        <f t="shared" si="50"/>
        <v/>
      </c>
      <c r="DRZ6" s="97" t="str">
        <f t="shared" si="50"/>
        <v/>
      </c>
      <c r="DSA6" s="97" t="str">
        <f t="shared" si="50"/>
        <v/>
      </c>
      <c r="DSB6" s="97" t="str">
        <f t="shared" si="50"/>
        <v/>
      </c>
      <c r="DSC6" s="97" t="str">
        <f t="shared" si="50"/>
        <v/>
      </c>
      <c r="DSD6" s="97" t="str">
        <f t="shared" si="50"/>
        <v/>
      </c>
      <c r="DSE6" s="97" t="str">
        <f t="shared" si="50"/>
        <v/>
      </c>
      <c r="DSF6" s="97" t="str">
        <f t="shared" si="50"/>
        <v/>
      </c>
      <c r="DSG6" s="97" t="str">
        <f t="shared" si="50"/>
        <v/>
      </c>
      <c r="DSH6" s="97" t="str">
        <f t="shared" ref="DSH6:DUS6" si="51">IFERROR(AVERAGE(DSH7:DSH13),"")</f>
        <v/>
      </c>
      <c r="DSI6" s="97" t="str">
        <f t="shared" si="51"/>
        <v/>
      </c>
      <c r="DSJ6" s="97" t="str">
        <f t="shared" si="51"/>
        <v/>
      </c>
      <c r="DSK6" s="97" t="str">
        <f t="shared" si="51"/>
        <v/>
      </c>
      <c r="DSL6" s="97" t="str">
        <f t="shared" si="51"/>
        <v/>
      </c>
      <c r="DSM6" s="97" t="str">
        <f t="shared" si="51"/>
        <v/>
      </c>
      <c r="DSN6" s="97" t="str">
        <f t="shared" si="51"/>
        <v/>
      </c>
      <c r="DSO6" s="97" t="str">
        <f t="shared" si="51"/>
        <v/>
      </c>
      <c r="DSP6" s="97" t="str">
        <f t="shared" si="51"/>
        <v/>
      </c>
      <c r="DSQ6" s="97" t="str">
        <f t="shared" si="51"/>
        <v/>
      </c>
      <c r="DSR6" s="97" t="str">
        <f t="shared" si="51"/>
        <v/>
      </c>
      <c r="DSS6" s="97" t="str">
        <f t="shared" si="51"/>
        <v/>
      </c>
      <c r="DST6" s="97" t="str">
        <f t="shared" si="51"/>
        <v/>
      </c>
      <c r="DSU6" s="97" t="str">
        <f t="shared" si="51"/>
        <v/>
      </c>
      <c r="DSV6" s="97" t="str">
        <f t="shared" si="51"/>
        <v/>
      </c>
      <c r="DSW6" s="97" t="str">
        <f t="shared" si="51"/>
        <v/>
      </c>
      <c r="DSX6" s="97" t="str">
        <f t="shared" si="51"/>
        <v/>
      </c>
      <c r="DSY6" s="97" t="str">
        <f t="shared" si="51"/>
        <v/>
      </c>
      <c r="DSZ6" s="97" t="str">
        <f t="shared" si="51"/>
        <v/>
      </c>
      <c r="DTA6" s="97" t="str">
        <f t="shared" si="51"/>
        <v/>
      </c>
      <c r="DTB6" s="97" t="str">
        <f t="shared" si="51"/>
        <v/>
      </c>
      <c r="DTC6" s="97" t="str">
        <f t="shared" si="51"/>
        <v/>
      </c>
      <c r="DTD6" s="97" t="str">
        <f t="shared" si="51"/>
        <v/>
      </c>
      <c r="DTE6" s="97" t="str">
        <f t="shared" si="51"/>
        <v/>
      </c>
      <c r="DTF6" s="97" t="str">
        <f t="shared" si="51"/>
        <v/>
      </c>
      <c r="DTG6" s="97" t="str">
        <f t="shared" si="51"/>
        <v/>
      </c>
      <c r="DTH6" s="97" t="str">
        <f t="shared" si="51"/>
        <v/>
      </c>
      <c r="DTI6" s="97" t="str">
        <f t="shared" si="51"/>
        <v/>
      </c>
      <c r="DTJ6" s="97" t="str">
        <f t="shared" si="51"/>
        <v/>
      </c>
      <c r="DTK6" s="97" t="str">
        <f t="shared" si="51"/>
        <v/>
      </c>
      <c r="DTL6" s="97" t="str">
        <f t="shared" si="51"/>
        <v/>
      </c>
      <c r="DTM6" s="97" t="str">
        <f t="shared" si="51"/>
        <v/>
      </c>
      <c r="DTN6" s="97" t="str">
        <f t="shared" si="51"/>
        <v/>
      </c>
      <c r="DTO6" s="97" t="str">
        <f t="shared" si="51"/>
        <v/>
      </c>
      <c r="DTP6" s="97" t="str">
        <f t="shared" si="51"/>
        <v/>
      </c>
      <c r="DTQ6" s="97" t="str">
        <f t="shared" si="51"/>
        <v/>
      </c>
      <c r="DTR6" s="97" t="str">
        <f t="shared" si="51"/>
        <v/>
      </c>
      <c r="DTS6" s="97" t="str">
        <f t="shared" si="51"/>
        <v/>
      </c>
      <c r="DTT6" s="97" t="str">
        <f t="shared" si="51"/>
        <v/>
      </c>
      <c r="DTU6" s="97" t="str">
        <f t="shared" si="51"/>
        <v/>
      </c>
      <c r="DTV6" s="97" t="str">
        <f t="shared" si="51"/>
        <v/>
      </c>
      <c r="DTW6" s="97" t="str">
        <f t="shared" si="51"/>
        <v/>
      </c>
      <c r="DTX6" s="97" t="str">
        <f t="shared" si="51"/>
        <v/>
      </c>
      <c r="DTY6" s="97" t="str">
        <f t="shared" si="51"/>
        <v/>
      </c>
      <c r="DTZ6" s="97" t="str">
        <f t="shared" si="51"/>
        <v/>
      </c>
      <c r="DUA6" s="97" t="str">
        <f t="shared" si="51"/>
        <v/>
      </c>
      <c r="DUB6" s="97" t="str">
        <f t="shared" si="51"/>
        <v/>
      </c>
      <c r="DUC6" s="97" t="str">
        <f t="shared" si="51"/>
        <v/>
      </c>
      <c r="DUD6" s="97" t="str">
        <f t="shared" si="51"/>
        <v/>
      </c>
      <c r="DUE6" s="97" t="str">
        <f t="shared" si="51"/>
        <v/>
      </c>
      <c r="DUF6" s="97" t="str">
        <f t="shared" si="51"/>
        <v/>
      </c>
      <c r="DUG6" s="97" t="str">
        <f t="shared" si="51"/>
        <v/>
      </c>
      <c r="DUH6" s="97" t="str">
        <f t="shared" si="51"/>
        <v/>
      </c>
      <c r="DUI6" s="97" t="str">
        <f t="shared" si="51"/>
        <v/>
      </c>
      <c r="DUJ6" s="97" t="str">
        <f t="shared" si="51"/>
        <v/>
      </c>
      <c r="DUK6" s="97" t="str">
        <f t="shared" si="51"/>
        <v/>
      </c>
      <c r="DUL6" s="97" t="str">
        <f t="shared" si="51"/>
        <v/>
      </c>
      <c r="DUM6" s="97" t="str">
        <f t="shared" si="51"/>
        <v/>
      </c>
      <c r="DUN6" s="97" t="str">
        <f t="shared" si="51"/>
        <v/>
      </c>
      <c r="DUO6" s="97" t="str">
        <f t="shared" si="51"/>
        <v/>
      </c>
      <c r="DUP6" s="97" t="str">
        <f t="shared" si="51"/>
        <v/>
      </c>
      <c r="DUQ6" s="97" t="str">
        <f t="shared" si="51"/>
        <v/>
      </c>
      <c r="DUR6" s="97" t="str">
        <f t="shared" si="51"/>
        <v/>
      </c>
      <c r="DUS6" s="97" t="str">
        <f t="shared" si="51"/>
        <v/>
      </c>
      <c r="DUT6" s="97" t="str">
        <f t="shared" ref="DUT6:DXE6" si="52">IFERROR(AVERAGE(DUT7:DUT13),"")</f>
        <v/>
      </c>
      <c r="DUU6" s="97" t="str">
        <f t="shared" si="52"/>
        <v/>
      </c>
      <c r="DUV6" s="97" t="str">
        <f t="shared" si="52"/>
        <v/>
      </c>
      <c r="DUW6" s="97" t="str">
        <f t="shared" si="52"/>
        <v/>
      </c>
      <c r="DUX6" s="97" t="str">
        <f t="shared" si="52"/>
        <v/>
      </c>
      <c r="DUY6" s="97" t="str">
        <f t="shared" si="52"/>
        <v/>
      </c>
      <c r="DUZ6" s="97" t="str">
        <f t="shared" si="52"/>
        <v/>
      </c>
      <c r="DVA6" s="97" t="str">
        <f t="shared" si="52"/>
        <v/>
      </c>
      <c r="DVB6" s="97" t="str">
        <f t="shared" si="52"/>
        <v/>
      </c>
      <c r="DVC6" s="97" t="str">
        <f t="shared" si="52"/>
        <v/>
      </c>
      <c r="DVD6" s="97" t="str">
        <f t="shared" si="52"/>
        <v/>
      </c>
      <c r="DVE6" s="97" t="str">
        <f t="shared" si="52"/>
        <v/>
      </c>
      <c r="DVF6" s="97" t="str">
        <f t="shared" si="52"/>
        <v/>
      </c>
      <c r="DVG6" s="97" t="str">
        <f t="shared" si="52"/>
        <v/>
      </c>
      <c r="DVH6" s="97" t="str">
        <f t="shared" si="52"/>
        <v/>
      </c>
      <c r="DVI6" s="97" t="str">
        <f t="shared" si="52"/>
        <v/>
      </c>
      <c r="DVJ6" s="97" t="str">
        <f t="shared" si="52"/>
        <v/>
      </c>
      <c r="DVK6" s="97" t="str">
        <f t="shared" si="52"/>
        <v/>
      </c>
      <c r="DVL6" s="97" t="str">
        <f t="shared" si="52"/>
        <v/>
      </c>
      <c r="DVM6" s="97" t="str">
        <f t="shared" si="52"/>
        <v/>
      </c>
      <c r="DVN6" s="97" t="str">
        <f t="shared" si="52"/>
        <v/>
      </c>
      <c r="DVO6" s="97" t="str">
        <f t="shared" si="52"/>
        <v/>
      </c>
      <c r="DVP6" s="97" t="str">
        <f t="shared" si="52"/>
        <v/>
      </c>
      <c r="DVQ6" s="97" t="str">
        <f t="shared" si="52"/>
        <v/>
      </c>
      <c r="DVR6" s="97" t="str">
        <f t="shared" si="52"/>
        <v/>
      </c>
      <c r="DVS6" s="97" t="str">
        <f t="shared" si="52"/>
        <v/>
      </c>
      <c r="DVT6" s="97" t="str">
        <f t="shared" si="52"/>
        <v/>
      </c>
      <c r="DVU6" s="97" t="str">
        <f t="shared" si="52"/>
        <v/>
      </c>
      <c r="DVV6" s="97" t="str">
        <f t="shared" si="52"/>
        <v/>
      </c>
      <c r="DVW6" s="97" t="str">
        <f t="shared" si="52"/>
        <v/>
      </c>
      <c r="DVX6" s="97" t="str">
        <f t="shared" si="52"/>
        <v/>
      </c>
      <c r="DVY6" s="97" t="str">
        <f t="shared" si="52"/>
        <v/>
      </c>
      <c r="DVZ6" s="97" t="str">
        <f t="shared" si="52"/>
        <v/>
      </c>
      <c r="DWA6" s="97" t="str">
        <f t="shared" si="52"/>
        <v/>
      </c>
      <c r="DWB6" s="97" t="str">
        <f t="shared" si="52"/>
        <v/>
      </c>
      <c r="DWC6" s="97" t="str">
        <f t="shared" si="52"/>
        <v/>
      </c>
      <c r="DWD6" s="97" t="str">
        <f t="shared" si="52"/>
        <v/>
      </c>
      <c r="DWE6" s="97" t="str">
        <f t="shared" si="52"/>
        <v/>
      </c>
      <c r="DWF6" s="97" t="str">
        <f t="shared" si="52"/>
        <v/>
      </c>
      <c r="DWG6" s="97" t="str">
        <f t="shared" si="52"/>
        <v/>
      </c>
      <c r="DWH6" s="97" t="str">
        <f t="shared" si="52"/>
        <v/>
      </c>
      <c r="DWI6" s="97" t="str">
        <f t="shared" si="52"/>
        <v/>
      </c>
      <c r="DWJ6" s="97" t="str">
        <f t="shared" si="52"/>
        <v/>
      </c>
      <c r="DWK6" s="97" t="str">
        <f t="shared" si="52"/>
        <v/>
      </c>
      <c r="DWL6" s="97" t="str">
        <f t="shared" si="52"/>
        <v/>
      </c>
      <c r="DWM6" s="97" t="str">
        <f t="shared" si="52"/>
        <v/>
      </c>
      <c r="DWN6" s="97" t="str">
        <f t="shared" si="52"/>
        <v/>
      </c>
      <c r="DWO6" s="97" t="str">
        <f t="shared" si="52"/>
        <v/>
      </c>
      <c r="DWP6" s="97" t="str">
        <f t="shared" si="52"/>
        <v/>
      </c>
      <c r="DWQ6" s="97" t="str">
        <f t="shared" si="52"/>
        <v/>
      </c>
      <c r="DWR6" s="97" t="str">
        <f t="shared" si="52"/>
        <v/>
      </c>
      <c r="DWS6" s="97" t="str">
        <f t="shared" si="52"/>
        <v/>
      </c>
      <c r="DWT6" s="97" t="str">
        <f t="shared" si="52"/>
        <v/>
      </c>
      <c r="DWU6" s="97" t="str">
        <f t="shared" si="52"/>
        <v/>
      </c>
      <c r="DWV6" s="97" t="str">
        <f t="shared" si="52"/>
        <v/>
      </c>
      <c r="DWW6" s="97" t="str">
        <f t="shared" si="52"/>
        <v/>
      </c>
      <c r="DWX6" s="97" t="str">
        <f t="shared" si="52"/>
        <v/>
      </c>
      <c r="DWY6" s="97" t="str">
        <f t="shared" si="52"/>
        <v/>
      </c>
      <c r="DWZ6" s="97" t="str">
        <f t="shared" si="52"/>
        <v/>
      </c>
      <c r="DXA6" s="97" t="str">
        <f t="shared" si="52"/>
        <v/>
      </c>
      <c r="DXB6" s="97" t="str">
        <f t="shared" si="52"/>
        <v/>
      </c>
      <c r="DXC6" s="97" t="str">
        <f t="shared" si="52"/>
        <v/>
      </c>
      <c r="DXD6" s="97" t="str">
        <f t="shared" si="52"/>
        <v/>
      </c>
      <c r="DXE6" s="97" t="str">
        <f t="shared" si="52"/>
        <v/>
      </c>
      <c r="DXF6" s="97" t="str">
        <f t="shared" ref="DXF6:DZQ6" si="53">IFERROR(AVERAGE(DXF7:DXF13),"")</f>
        <v/>
      </c>
      <c r="DXG6" s="97" t="str">
        <f t="shared" si="53"/>
        <v/>
      </c>
      <c r="DXH6" s="97" t="str">
        <f t="shared" si="53"/>
        <v/>
      </c>
      <c r="DXI6" s="97" t="str">
        <f t="shared" si="53"/>
        <v/>
      </c>
      <c r="DXJ6" s="97" t="str">
        <f t="shared" si="53"/>
        <v/>
      </c>
      <c r="DXK6" s="97" t="str">
        <f t="shared" si="53"/>
        <v/>
      </c>
      <c r="DXL6" s="97" t="str">
        <f t="shared" si="53"/>
        <v/>
      </c>
      <c r="DXM6" s="97" t="str">
        <f t="shared" si="53"/>
        <v/>
      </c>
      <c r="DXN6" s="97" t="str">
        <f t="shared" si="53"/>
        <v/>
      </c>
      <c r="DXO6" s="97" t="str">
        <f t="shared" si="53"/>
        <v/>
      </c>
      <c r="DXP6" s="97" t="str">
        <f t="shared" si="53"/>
        <v/>
      </c>
      <c r="DXQ6" s="97" t="str">
        <f t="shared" si="53"/>
        <v/>
      </c>
      <c r="DXR6" s="97" t="str">
        <f t="shared" si="53"/>
        <v/>
      </c>
      <c r="DXS6" s="97" t="str">
        <f t="shared" si="53"/>
        <v/>
      </c>
      <c r="DXT6" s="97" t="str">
        <f t="shared" si="53"/>
        <v/>
      </c>
      <c r="DXU6" s="97" t="str">
        <f t="shared" si="53"/>
        <v/>
      </c>
      <c r="DXV6" s="97" t="str">
        <f t="shared" si="53"/>
        <v/>
      </c>
      <c r="DXW6" s="97" t="str">
        <f t="shared" si="53"/>
        <v/>
      </c>
      <c r="DXX6" s="97" t="str">
        <f t="shared" si="53"/>
        <v/>
      </c>
      <c r="DXY6" s="97" t="str">
        <f t="shared" si="53"/>
        <v/>
      </c>
      <c r="DXZ6" s="97" t="str">
        <f t="shared" si="53"/>
        <v/>
      </c>
      <c r="DYA6" s="97" t="str">
        <f t="shared" si="53"/>
        <v/>
      </c>
      <c r="DYB6" s="97" t="str">
        <f t="shared" si="53"/>
        <v/>
      </c>
      <c r="DYC6" s="97" t="str">
        <f t="shared" si="53"/>
        <v/>
      </c>
      <c r="DYD6" s="97" t="str">
        <f t="shared" si="53"/>
        <v/>
      </c>
      <c r="DYE6" s="97" t="str">
        <f t="shared" si="53"/>
        <v/>
      </c>
      <c r="DYF6" s="97" t="str">
        <f t="shared" si="53"/>
        <v/>
      </c>
      <c r="DYG6" s="97" t="str">
        <f t="shared" si="53"/>
        <v/>
      </c>
      <c r="DYH6" s="97" t="str">
        <f t="shared" si="53"/>
        <v/>
      </c>
      <c r="DYI6" s="97" t="str">
        <f t="shared" si="53"/>
        <v/>
      </c>
      <c r="DYJ6" s="97" t="str">
        <f t="shared" si="53"/>
        <v/>
      </c>
      <c r="DYK6" s="97" t="str">
        <f t="shared" si="53"/>
        <v/>
      </c>
      <c r="DYL6" s="97" t="str">
        <f t="shared" si="53"/>
        <v/>
      </c>
      <c r="DYM6" s="97" t="str">
        <f t="shared" si="53"/>
        <v/>
      </c>
      <c r="DYN6" s="97" t="str">
        <f t="shared" si="53"/>
        <v/>
      </c>
      <c r="DYO6" s="97" t="str">
        <f t="shared" si="53"/>
        <v/>
      </c>
      <c r="DYP6" s="97" t="str">
        <f t="shared" si="53"/>
        <v/>
      </c>
      <c r="DYQ6" s="97" t="str">
        <f t="shared" si="53"/>
        <v/>
      </c>
      <c r="DYR6" s="97" t="str">
        <f t="shared" si="53"/>
        <v/>
      </c>
      <c r="DYS6" s="97" t="str">
        <f t="shared" si="53"/>
        <v/>
      </c>
      <c r="DYT6" s="97" t="str">
        <f t="shared" si="53"/>
        <v/>
      </c>
      <c r="DYU6" s="97" t="str">
        <f t="shared" si="53"/>
        <v/>
      </c>
      <c r="DYV6" s="97" t="str">
        <f t="shared" si="53"/>
        <v/>
      </c>
      <c r="DYW6" s="97" t="str">
        <f t="shared" si="53"/>
        <v/>
      </c>
      <c r="DYX6" s="97" t="str">
        <f t="shared" si="53"/>
        <v/>
      </c>
      <c r="DYY6" s="97" t="str">
        <f t="shared" si="53"/>
        <v/>
      </c>
      <c r="DYZ6" s="97" t="str">
        <f t="shared" si="53"/>
        <v/>
      </c>
      <c r="DZA6" s="97" t="str">
        <f t="shared" si="53"/>
        <v/>
      </c>
      <c r="DZB6" s="97" t="str">
        <f t="shared" si="53"/>
        <v/>
      </c>
      <c r="DZC6" s="97" t="str">
        <f t="shared" si="53"/>
        <v/>
      </c>
      <c r="DZD6" s="97" t="str">
        <f t="shared" si="53"/>
        <v/>
      </c>
      <c r="DZE6" s="97" t="str">
        <f t="shared" si="53"/>
        <v/>
      </c>
      <c r="DZF6" s="97" t="str">
        <f t="shared" si="53"/>
        <v/>
      </c>
      <c r="DZG6" s="97" t="str">
        <f t="shared" si="53"/>
        <v/>
      </c>
      <c r="DZH6" s="97" t="str">
        <f t="shared" si="53"/>
        <v/>
      </c>
      <c r="DZI6" s="97" t="str">
        <f t="shared" si="53"/>
        <v/>
      </c>
      <c r="DZJ6" s="97" t="str">
        <f t="shared" si="53"/>
        <v/>
      </c>
      <c r="DZK6" s="97" t="str">
        <f t="shared" si="53"/>
        <v/>
      </c>
      <c r="DZL6" s="97" t="str">
        <f t="shared" si="53"/>
        <v/>
      </c>
      <c r="DZM6" s="97" t="str">
        <f t="shared" si="53"/>
        <v/>
      </c>
      <c r="DZN6" s="97" t="str">
        <f t="shared" si="53"/>
        <v/>
      </c>
      <c r="DZO6" s="97" t="str">
        <f t="shared" si="53"/>
        <v/>
      </c>
      <c r="DZP6" s="97" t="str">
        <f t="shared" si="53"/>
        <v/>
      </c>
      <c r="DZQ6" s="97" t="str">
        <f t="shared" si="53"/>
        <v/>
      </c>
      <c r="DZR6" s="97" t="str">
        <f t="shared" ref="DZR6:ECC6" si="54">IFERROR(AVERAGE(DZR7:DZR13),"")</f>
        <v/>
      </c>
      <c r="DZS6" s="97" t="str">
        <f t="shared" si="54"/>
        <v/>
      </c>
      <c r="DZT6" s="97" t="str">
        <f t="shared" si="54"/>
        <v/>
      </c>
      <c r="DZU6" s="97" t="str">
        <f t="shared" si="54"/>
        <v/>
      </c>
      <c r="DZV6" s="97" t="str">
        <f t="shared" si="54"/>
        <v/>
      </c>
      <c r="DZW6" s="97" t="str">
        <f t="shared" si="54"/>
        <v/>
      </c>
      <c r="DZX6" s="97" t="str">
        <f t="shared" si="54"/>
        <v/>
      </c>
      <c r="DZY6" s="97" t="str">
        <f t="shared" si="54"/>
        <v/>
      </c>
      <c r="DZZ6" s="97" t="str">
        <f t="shared" si="54"/>
        <v/>
      </c>
      <c r="EAA6" s="97" t="str">
        <f t="shared" si="54"/>
        <v/>
      </c>
      <c r="EAB6" s="97" t="str">
        <f t="shared" si="54"/>
        <v/>
      </c>
      <c r="EAC6" s="97" t="str">
        <f t="shared" si="54"/>
        <v/>
      </c>
      <c r="EAD6" s="97" t="str">
        <f t="shared" si="54"/>
        <v/>
      </c>
      <c r="EAE6" s="97" t="str">
        <f t="shared" si="54"/>
        <v/>
      </c>
      <c r="EAF6" s="97" t="str">
        <f t="shared" si="54"/>
        <v/>
      </c>
      <c r="EAG6" s="97" t="str">
        <f t="shared" si="54"/>
        <v/>
      </c>
      <c r="EAH6" s="97" t="str">
        <f t="shared" si="54"/>
        <v/>
      </c>
      <c r="EAI6" s="97" t="str">
        <f t="shared" si="54"/>
        <v/>
      </c>
      <c r="EAJ6" s="97" t="str">
        <f t="shared" si="54"/>
        <v/>
      </c>
      <c r="EAK6" s="97" t="str">
        <f t="shared" si="54"/>
        <v/>
      </c>
      <c r="EAL6" s="97" t="str">
        <f t="shared" si="54"/>
        <v/>
      </c>
      <c r="EAM6" s="97" t="str">
        <f t="shared" si="54"/>
        <v/>
      </c>
      <c r="EAN6" s="97" t="str">
        <f t="shared" si="54"/>
        <v/>
      </c>
      <c r="EAO6" s="97" t="str">
        <f t="shared" si="54"/>
        <v/>
      </c>
      <c r="EAP6" s="97" t="str">
        <f t="shared" si="54"/>
        <v/>
      </c>
      <c r="EAQ6" s="97" t="str">
        <f t="shared" si="54"/>
        <v/>
      </c>
      <c r="EAR6" s="97" t="str">
        <f t="shared" si="54"/>
        <v/>
      </c>
      <c r="EAS6" s="97" t="str">
        <f t="shared" si="54"/>
        <v/>
      </c>
      <c r="EAT6" s="97" t="str">
        <f t="shared" si="54"/>
        <v/>
      </c>
      <c r="EAU6" s="97" t="str">
        <f t="shared" si="54"/>
        <v/>
      </c>
      <c r="EAV6" s="97" t="str">
        <f t="shared" si="54"/>
        <v/>
      </c>
      <c r="EAW6" s="97" t="str">
        <f t="shared" si="54"/>
        <v/>
      </c>
      <c r="EAX6" s="97" t="str">
        <f t="shared" si="54"/>
        <v/>
      </c>
      <c r="EAY6" s="97" t="str">
        <f t="shared" si="54"/>
        <v/>
      </c>
      <c r="EAZ6" s="97" t="str">
        <f t="shared" si="54"/>
        <v/>
      </c>
      <c r="EBA6" s="97" t="str">
        <f t="shared" si="54"/>
        <v/>
      </c>
      <c r="EBB6" s="97" t="str">
        <f t="shared" si="54"/>
        <v/>
      </c>
      <c r="EBC6" s="97" t="str">
        <f t="shared" si="54"/>
        <v/>
      </c>
      <c r="EBD6" s="97" t="str">
        <f t="shared" si="54"/>
        <v/>
      </c>
      <c r="EBE6" s="97" t="str">
        <f t="shared" si="54"/>
        <v/>
      </c>
      <c r="EBF6" s="97" t="str">
        <f t="shared" si="54"/>
        <v/>
      </c>
      <c r="EBG6" s="97" t="str">
        <f t="shared" si="54"/>
        <v/>
      </c>
      <c r="EBH6" s="97" t="str">
        <f t="shared" si="54"/>
        <v/>
      </c>
      <c r="EBI6" s="97" t="str">
        <f t="shared" si="54"/>
        <v/>
      </c>
      <c r="EBJ6" s="97" t="str">
        <f t="shared" si="54"/>
        <v/>
      </c>
      <c r="EBK6" s="97" t="str">
        <f t="shared" si="54"/>
        <v/>
      </c>
      <c r="EBL6" s="97" t="str">
        <f t="shared" si="54"/>
        <v/>
      </c>
      <c r="EBM6" s="97" t="str">
        <f t="shared" si="54"/>
        <v/>
      </c>
      <c r="EBN6" s="97" t="str">
        <f t="shared" si="54"/>
        <v/>
      </c>
      <c r="EBO6" s="97" t="str">
        <f t="shared" si="54"/>
        <v/>
      </c>
      <c r="EBP6" s="97" t="str">
        <f t="shared" si="54"/>
        <v/>
      </c>
      <c r="EBQ6" s="97" t="str">
        <f t="shared" si="54"/>
        <v/>
      </c>
      <c r="EBR6" s="97" t="str">
        <f t="shared" si="54"/>
        <v/>
      </c>
      <c r="EBS6" s="97" t="str">
        <f t="shared" si="54"/>
        <v/>
      </c>
      <c r="EBT6" s="97" t="str">
        <f t="shared" si="54"/>
        <v/>
      </c>
      <c r="EBU6" s="97" t="str">
        <f t="shared" si="54"/>
        <v/>
      </c>
      <c r="EBV6" s="97" t="str">
        <f t="shared" si="54"/>
        <v/>
      </c>
      <c r="EBW6" s="97" t="str">
        <f t="shared" si="54"/>
        <v/>
      </c>
      <c r="EBX6" s="97" t="str">
        <f t="shared" si="54"/>
        <v/>
      </c>
      <c r="EBY6" s="97" t="str">
        <f t="shared" si="54"/>
        <v/>
      </c>
      <c r="EBZ6" s="97" t="str">
        <f t="shared" si="54"/>
        <v/>
      </c>
      <c r="ECA6" s="97" t="str">
        <f t="shared" si="54"/>
        <v/>
      </c>
      <c r="ECB6" s="97" t="str">
        <f t="shared" si="54"/>
        <v/>
      </c>
      <c r="ECC6" s="97" t="str">
        <f t="shared" si="54"/>
        <v/>
      </c>
      <c r="ECD6" s="97" t="str">
        <f t="shared" ref="ECD6:EEO6" si="55">IFERROR(AVERAGE(ECD7:ECD13),"")</f>
        <v/>
      </c>
      <c r="ECE6" s="97" t="str">
        <f t="shared" si="55"/>
        <v/>
      </c>
      <c r="ECF6" s="97" t="str">
        <f t="shared" si="55"/>
        <v/>
      </c>
      <c r="ECG6" s="97" t="str">
        <f t="shared" si="55"/>
        <v/>
      </c>
      <c r="ECH6" s="97" t="str">
        <f t="shared" si="55"/>
        <v/>
      </c>
      <c r="ECI6" s="97" t="str">
        <f t="shared" si="55"/>
        <v/>
      </c>
      <c r="ECJ6" s="97" t="str">
        <f t="shared" si="55"/>
        <v/>
      </c>
      <c r="ECK6" s="97" t="str">
        <f t="shared" si="55"/>
        <v/>
      </c>
      <c r="ECL6" s="97" t="str">
        <f t="shared" si="55"/>
        <v/>
      </c>
      <c r="ECM6" s="97" t="str">
        <f t="shared" si="55"/>
        <v/>
      </c>
      <c r="ECN6" s="97" t="str">
        <f t="shared" si="55"/>
        <v/>
      </c>
      <c r="ECO6" s="97" t="str">
        <f t="shared" si="55"/>
        <v/>
      </c>
      <c r="ECP6" s="97" t="str">
        <f t="shared" si="55"/>
        <v/>
      </c>
      <c r="ECQ6" s="97" t="str">
        <f t="shared" si="55"/>
        <v/>
      </c>
      <c r="ECR6" s="97" t="str">
        <f t="shared" si="55"/>
        <v/>
      </c>
      <c r="ECS6" s="97" t="str">
        <f t="shared" si="55"/>
        <v/>
      </c>
      <c r="ECT6" s="97" t="str">
        <f t="shared" si="55"/>
        <v/>
      </c>
      <c r="ECU6" s="97" t="str">
        <f t="shared" si="55"/>
        <v/>
      </c>
      <c r="ECV6" s="97" t="str">
        <f t="shared" si="55"/>
        <v/>
      </c>
      <c r="ECW6" s="97" t="str">
        <f t="shared" si="55"/>
        <v/>
      </c>
      <c r="ECX6" s="97" t="str">
        <f t="shared" si="55"/>
        <v/>
      </c>
      <c r="ECY6" s="97" t="str">
        <f t="shared" si="55"/>
        <v/>
      </c>
      <c r="ECZ6" s="97" t="str">
        <f t="shared" si="55"/>
        <v/>
      </c>
      <c r="EDA6" s="97" t="str">
        <f t="shared" si="55"/>
        <v/>
      </c>
      <c r="EDB6" s="97" t="str">
        <f t="shared" si="55"/>
        <v/>
      </c>
      <c r="EDC6" s="97" t="str">
        <f t="shared" si="55"/>
        <v/>
      </c>
      <c r="EDD6" s="97" t="str">
        <f t="shared" si="55"/>
        <v/>
      </c>
      <c r="EDE6" s="97" t="str">
        <f t="shared" si="55"/>
        <v/>
      </c>
      <c r="EDF6" s="97" t="str">
        <f t="shared" si="55"/>
        <v/>
      </c>
      <c r="EDG6" s="97" t="str">
        <f t="shared" si="55"/>
        <v/>
      </c>
      <c r="EDH6" s="97" t="str">
        <f t="shared" si="55"/>
        <v/>
      </c>
      <c r="EDI6" s="97" t="str">
        <f t="shared" si="55"/>
        <v/>
      </c>
      <c r="EDJ6" s="97" t="str">
        <f t="shared" si="55"/>
        <v/>
      </c>
      <c r="EDK6" s="97" t="str">
        <f t="shared" si="55"/>
        <v/>
      </c>
      <c r="EDL6" s="97" t="str">
        <f t="shared" si="55"/>
        <v/>
      </c>
      <c r="EDM6" s="97" t="str">
        <f t="shared" si="55"/>
        <v/>
      </c>
      <c r="EDN6" s="97" t="str">
        <f t="shared" si="55"/>
        <v/>
      </c>
      <c r="EDO6" s="97" t="str">
        <f t="shared" si="55"/>
        <v/>
      </c>
      <c r="EDP6" s="97" t="str">
        <f t="shared" si="55"/>
        <v/>
      </c>
      <c r="EDQ6" s="97" t="str">
        <f t="shared" si="55"/>
        <v/>
      </c>
      <c r="EDR6" s="97" t="str">
        <f t="shared" si="55"/>
        <v/>
      </c>
      <c r="EDS6" s="97" t="str">
        <f t="shared" si="55"/>
        <v/>
      </c>
      <c r="EDT6" s="97" t="str">
        <f t="shared" si="55"/>
        <v/>
      </c>
      <c r="EDU6" s="97" t="str">
        <f t="shared" si="55"/>
        <v/>
      </c>
      <c r="EDV6" s="97" t="str">
        <f t="shared" si="55"/>
        <v/>
      </c>
      <c r="EDW6" s="97" t="str">
        <f t="shared" si="55"/>
        <v/>
      </c>
      <c r="EDX6" s="97" t="str">
        <f t="shared" si="55"/>
        <v/>
      </c>
      <c r="EDY6" s="97" t="str">
        <f t="shared" si="55"/>
        <v/>
      </c>
      <c r="EDZ6" s="97" t="str">
        <f t="shared" si="55"/>
        <v/>
      </c>
      <c r="EEA6" s="97" t="str">
        <f t="shared" si="55"/>
        <v/>
      </c>
      <c r="EEB6" s="97" t="str">
        <f t="shared" si="55"/>
        <v/>
      </c>
      <c r="EEC6" s="97" t="str">
        <f t="shared" si="55"/>
        <v/>
      </c>
      <c r="EED6" s="97" t="str">
        <f t="shared" si="55"/>
        <v/>
      </c>
      <c r="EEE6" s="97" t="str">
        <f t="shared" si="55"/>
        <v/>
      </c>
      <c r="EEF6" s="97" t="str">
        <f t="shared" si="55"/>
        <v/>
      </c>
      <c r="EEG6" s="97" t="str">
        <f t="shared" si="55"/>
        <v/>
      </c>
      <c r="EEH6" s="97" t="str">
        <f t="shared" si="55"/>
        <v/>
      </c>
      <c r="EEI6" s="97" t="str">
        <f t="shared" si="55"/>
        <v/>
      </c>
      <c r="EEJ6" s="97" t="str">
        <f t="shared" si="55"/>
        <v/>
      </c>
      <c r="EEK6" s="97" t="str">
        <f t="shared" si="55"/>
        <v/>
      </c>
      <c r="EEL6" s="97" t="str">
        <f t="shared" si="55"/>
        <v/>
      </c>
      <c r="EEM6" s="97" t="str">
        <f t="shared" si="55"/>
        <v/>
      </c>
      <c r="EEN6" s="97" t="str">
        <f t="shared" si="55"/>
        <v/>
      </c>
      <c r="EEO6" s="97" t="str">
        <f t="shared" si="55"/>
        <v/>
      </c>
      <c r="EEP6" s="97" t="str">
        <f t="shared" ref="EEP6:EHA6" si="56">IFERROR(AVERAGE(EEP7:EEP13),"")</f>
        <v/>
      </c>
      <c r="EEQ6" s="97" t="str">
        <f t="shared" si="56"/>
        <v/>
      </c>
      <c r="EER6" s="97" t="str">
        <f t="shared" si="56"/>
        <v/>
      </c>
      <c r="EES6" s="97" t="str">
        <f t="shared" si="56"/>
        <v/>
      </c>
      <c r="EET6" s="97" t="str">
        <f t="shared" si="56"/>
        <v/>
      </c>
      <c r="EEU6" s="97" t="str">
        <f t="shared" si="56"/>
        <v/>
      </c>
      <c r="EEV6" s="97" t="str">
        <f t="shared" si="56"/>
        <v/>
      </c>
      <c r="EEW6" s="97" t="str">
        <f t="shared" si="56"/>
        <v/>
      </c>
      <c r="EEX6" s="97" t="str">
        <f t="shared" si="56"/>
        <v/>
      </c>
      <c r="EEY6" s="97" t="str">
        <f t="shared" si="56"/>
        <v/>
      </c>
      <c r="EEZ6" s="97" t="str">
        <f t="shared" si="56"/>
        <v/>
      </c>
      <c r="EFA6" s="97" t="str">
        <f t="shared" si="56"/>
        <v/>
      </c>
      <c r="EFB6" s="97" t="str">
        <f t="shared" si="56"/>
        <v/>
      </c>
      <c r="EFC6" s="97" t="str">
        <f t="shared" si="56"/>
        <v/>
      </c>
      <c r="EFD6" s="97" t="str">
        <f t="shared" si="56"/>
        <v/>
      </c>
      <c r="EFE6" s="97" t="str">
        <f t="shared" si="56"/>
        <v/>
      </c>
      <c r="EFF6" s="97" t="str">
        <f t="shared" si="56"/>
        <v/>
      </c>
      <c r="EFG6" s="97" t="str">
        <f t="shared" si="56"/>
        <v/>
      </c>
      <c r="EFH6" s="97" t="str">
        <f t="shared" si="56"/>
        <v/>
      </c>
      <c r="EFI6" s="97" t="str">
        <f t="shared" si="56"/>
        <v/>
      </c>
      <c r="EFJ6" s="97" t="str">
        <f t="shared" si="56"/>
        <v/>
      </c>
      <c r="EFK6" s="97" t="str">
        <f t="shared" si="56"/>
        <v/>
      </c>
      <c r="EFL6" s="97" t="str">
        <f t="shared" si="56"/>
        <v/>
      </c>
      <c r="EFM6" s="97" t="str">
        <f t="shared" si="56"/>
        <v/>
      </c>
      <c r="EFN6" s="97" t="str">
        <f t="shared" si="56"/>
        <v/>
      </c>
      <c r="EFO6" s="97" t="str">
        <f t="shared" si="56"/>
        <v/>
      </c>
      <c r="EFP6" s="97" t="str">
        <f t="shared" si="56"/>
        <v/>
      </c>
      <c r="EFQ6" s="97" t="str">
        <f t="shared" si="56"/>
        <v/>
      </c>
      <c r="EFR6" s="97" t="str">
        <f t="shared" si="56"/>
        <v/>
      </c>
      <c r="EFS6" s="97" t="str">
        <f t="shared" si="56"/>
        <v/>
      </c>
      <c r="EFT6" s="97" t="str">
        <f t="shared" si="56"/>
        <v/>
      </c>
      <c r="EFU6" s="97" t="str">
        <f t="shared" si="56"/>
        <v/>
      </c>
      <c r="EFV6" s="97" t="str">
        <f t="shared" si="56"/>
        <v/>
      </c>
      <c r="EFW6" s="97" t="str">
        <f t="shared" si="56"/>
        <v/>
      </c>
      <c r="EFX6" s="97" t="str">
        <f t="shared" si="56"/>
        <v/>
      </c>
      <c r="EFY6" s="97" t="str">
        <f t="shared" si="56"/>
        <v/>
      </c>
      <c r="EFZ6" s="97" t="str">
        <f t="shared" si="56"/>
        <v/>
      </c>
      <c r="EGA6" s="97" t="str">
        <f t="shared" si="56"/>
        <v/>
      </c>
      <c r="EGB6" s="97" t="str">
        <f t="shared" si="56"/>
        <v/>
      </c>
      <c r="EGC6" s="97" t="str">
        <f t="shared" si="56"/>
        <v/>
      </c>
      <c r="EGD6" s="97" t="str">
        <f t="shared" si="56"/>
        <v/>
      </c>
      <c r="EGE6" s="97" t="str">
        <f t="shared" si="56"/>
        <v/>
      </c>
      <c r="EGF6" s="97" t="str">
        <f t="shared" si="56"/>
        <v/>
      </c>
      <c r="EGG6" s="97" t="str">
        <f t="shared" si="56"/>
        <v/>
      </c>
      <c r="EGH6" s="97" t="str">
        <f t="shared" si="56"/>
        <v/>
      </c>
      <c r="EGI6" s="97" t="str">
        <f t="shared" si="56"/>
        <v/>
      </c>
      <c r="EGJ6" s="97" t="str">
        <f t="shared" si="56"/>
        <v/>
      </c>
      <c r="EGK6" s="97" t="str">
        <f t="shared" si="56"/>
        <v/>
      </c>
      <c r="EGL6" s="97" t="str">
        <f t="shared" si="56"/>
        <v/>
      </c>
      <c r="EGM6" s="97" t="str">
        <f t="shared" si="56"/>
        <v/>
      </c>
      <c r="EGN6" s="97" t="str">
        <f t="shared" si="56"/>
        <v/>
      </c>
      <c r="EGO6" s="97" t="str">
        <f t="shared" si="56"/>
        <v/>
      </c>
      <c r="EGP6" s="97" t="str">
        <f t="shared" si="56"/>
        <v/>
      </c>
      <c r="EGQ6" s="97" t="str">
        <f t="shared" si="56"/>
        <v/>
      </c>
      <c r="EGR6" s="97" t="str">
        <f t="shared" si="56"/>
        <v/>
      </c>
      <c r="EGS6" s="97" t="str">
        <f t="shared" si="56"/>
        <v/>
      </c>
      <c r="EGT6" s="97" t="str">
        <f t="shared" si="56"/>
        <v/>
      </c>
      <c r="EGU6" s="97" t="str">
        <f t="shared" si="56"/>
        <v/>
      </c>
      <c r="EGV6" s="97" t="str">
        <f t="shared" si="56"/>
        <v/>
      </c>
      <c r="EGW6" s="97" t="str">
        <f t="shared" si="56"/>
        <v/>
      </c>
      <c r="EGX6" s="97" t="str">
        <f t="shared" si="56"/>
        <v/>
      </c>
      <c r="EGY6" s="97" t="str">
        <f t="shared" si="56"/>
        <v/>
      </c>
      <c r="EGZ6" s="97" t="str">
        <f t="shared" si="56"/>
        <v/>
      </c>
      <c r="EHA6" s="97" t="str">
        <f t="shared" si="56"/>
        <v/>
      </c>
      <c r="EHB6" s="97" t="str">
        <f t="shared" ref="EHB6:EJM6" si="57">IFERROR(AVERAGE(EHB7:EHB13),"")</f>
        <v/>
      </c>
      <c r="EHC6" s="97" t="str">
        <f t="shared" si="57"/>
        <v/>
      </c>
      <c r="EHD6" s="97" t="str">
        <f t="shared" si="57"/>
        <v/>
      </c>
      <c r="EHE6" s="97" t="str">
        <f t="shared" si="57"/>
        <v/>
      </c>
      <c r="EHF6" s="97" t="str">
        <f t="shared" si="57"/>
        <v/>
      </c>
      <c r="EHG6" s="97" t="str">
        <f t="shared" si="57"/>
        <v/>
      </c>
      <c r="EHH6" s="97" t="str">
        <f t="shared" si="57"/>
        <v/>
      </c>
      <c r="EHI6" s="97" t="str">
        <f t="shared" si="57"/>
        <v/>
      </c>
      <c r="EHJ6" s="97" t="str">
        <f t="shared" si="57"/>
        <v/>
      </c>
      <c r="EHK6" s="97" t="str">
        <f t="shared" si="57"/>
        <v/>
      </c>
      <c r="EHL6" s="97" t="str">
        <f t="shared" si="57"/>
        <v/>
      </c>
      <c r="EHM6" s="97" t="str">
        <f t="shared" si="57"/>
        <v/>
      </c>
      <c r="EHN6" s="97" t="str">
        <f t="shared" si="57"/>
        <v/>
      </c>
      <c r="EHO6" s="97" t="str">
        <f t="shared" si="57"/>
        <v/>
      </c>
      <c r="EHP6" s="97" t="str">
        <f t="shared" si="57"/>
        <v/>
      </c>
      <c r="EHQ6" s="97" t="str">
        <f t="shared" si="57"/>
        <v/>
      </c>
      <c r="EHR6" s="97" t="str">
        <f t="shared" si="57"/>
        <v/>
      </c>
      <c r="EHS6" s="97" t="str">
        <f t="shared" si="57"/>
        <v/>
      </c>
      <c r="EHT6" s="97" t="str">
        <f t="shared" si="57"/>
        <v/>
      </c>
      <c r="EHU6" s="97" t="str">
        <f t="shared" si="57"/>
        <v/>
      </c>
      <c r="EHV6" s="97" t="str">
        <f t="shared" si="57"/>
        <v/>
      </c>
      <c r="EHW6" s="97" t="str">
        <f t="shared" si="57"/>
        <v/>
      </c>
      <c r="EHX6" s="97" t="str">
        <f t="shared" si="57"/>
        <v/>
      </c>
      <c r="EHY6" s="97" t="str">
        <f t="shared" si="57"/>
        <v/>
      </c>
      <c r="EHZ6" s="97" t="str">
        <f t="shared" si="57"/>
        <v/>
      </c>
      <c r="EIA6" s="97" t="str">
        <f t="shared" si="57"/>
        <v/>
      </c>
      <c r="EIB6" s="97" t="str">
        <f t="shared" si="57"/>
        <v/>
      </c>
      <c r="EIC6" s="97" t="str">
        <f t="shared" si="57"/>
        <v/>
      </c>
      <c r="EID6" s="97" t="str">
        <f t="shared" si="57"/>
        <v/>
      </c>
      <c r="EIE6" s="97" t="str">
        <f t="shared" si="57"/>
        <v/>
      </c>
      <c r="EIF6" s="97" t="str">
        <f t="shared" si="57"/>
        <v/>
      </c>
      <c r="EIG6" s="97" t="str">
        <f t="shared" si="57"/>
        <v/>
      </c>
      <c r="EIH6" s="97" t="str">
        <f t="shared" si="57"/>
        <v/>
      </c>
      <c r="EII6" s="97" t="str">
        <f t="shared" si="57"/>
        <v/>
      </c>
      <c r="EIJ6" s="97" t="str">
        <f t="shared" si="57"/>
        <v/>
      </c>
      <c r="EIK6" s="97" t="str">
        <f t="shared" si="57"/>
        <v/>
      </c>
      <c r="EIL6" s="97" t="str">
        <f t="shared" si="57"/>
        <v/>
      </c>
      <c r="EIM6" s="97" t="str">
        <f t="shared" si="57"/>
        <v/>
      </c>
      <c r="EIN6" s="97" t="str">
        <f t="shared" si="57"/>
        <v/>
      </c>
      <c r="EIO6" s="97" t="str">
        <f t="shared" si="57"/>
        <v/>
      </c>
      <c r="EIP6" s="97" t="str">
        <f t="shared" si="57"/>
        <v/>
      </c>
      <c r="EIQ6" s="97" t="str">
        <f t="shared" si="57"/>
        <v/>
      </c>
      <c r="EIR6" s="97" t="str">
        <f t="shared" si="57"/>
        <v/>
      </c>
      <c r="EIS6" s="97" t="str">
        <f t="shared" si="57"/>
        <v/>
      </c>
      <c r="EIT6" s="97" t="str">
        <f t="shared" si="57"/>
        <v/>
      </c>
      <c r="EIU6" s="97" t="str">
        <f t="shared" si="57"/>
        <v/>
      </c>
      <c r="EIV6" s="97" t="str">
        <f t="shared" si="57"/>
        <v/>
      </c>
      <c r="EIW6" s="97" t="str">
        <f t="shared" si="57"/>
        <v/>
      </c>
      <c r="EIX6" s="97" t="str">
        <f t="shared" si="57"/>
        <v/>
      </c>
      <c r="EIY6" s="97" t="str">
        <f t="shared" si="57"/>
        <v/>
      </c>
      <c r="EIZ6" s="97" t="str">
        <f t="shared" si="57"/>
        <v/>
      </c>
      <c r="EJA6" s="97" t="str">
        <f t="shared" si="57"/>
        <v/>
      </c>
      <c r="EJB6" s="97" t="str">
        <f t="shared" si="57"/>
        <v/>
      </c>
      <c r="EJC6" s="97" t="str">
        <f t="shared" si="57"/>
        <v/>
      </c>
      <c r="EJD6" s="97" t="str">
        <f t="shared" si="57"/>
        <v/>
      </c>
      <c r="EJE6" s="97" t="str">
        <f t="shared" si="57"/>
        <v/>
      </c>
      <c r="EJF6" s="97" t="str">
        <f t="shared" si="57"/>
        <v/>
      </c>
      <c r="EJG6" s="97" t="str">
        <f t="shared" si="57"/>
        <v/>
      </c>
      <c r="EJH6" s="97" t="str">
        <f t="shared" si="57"/>
        <v/>
      </c>
      <c r="EJI6" s="97" t="str">
        <f t="shared" si="57"/>
        <v/>
      </c>
      <c r="EJJ6" s="97" t="str">
        <f t="shared" si="57"/>
        <v/>
      </c>
      <c r="EJK6" s="97" t="str">
        <f t="shared" si="57"/>
        <v/>
      </c>
      <c r="EJL6" s="97" t="str">
        <f t="shared" si="57"/>
        <v/>
      </c>
      <c r="EJM6" s="97" t="str">
        <f t="shared" si="57"/>
        <v/>
      </c>
      <c r="EJN6" s="97" t="str">
        <f t="shared" ref="EJN6:ELY6" si="58">IFERROR(AVERAGE(EJN7:EJN13),"")</f>
        <v/>
      </c>
      <c r="EJO6" s="97" t="str">
        <f t="shared" si="58"/>
        <v/>
      </c>
      <c r="EJP6" s="97" t="str">
        <f t="shared" si="58"/>
        <v/>
      </c>
      <c r="EJQ6" s="97" t="str">
        <f t="shared" si="58"/>
        <v/>
      </c>
      <c r="EJR6" s="97" t="str">
        <f t="shared" si="58"/>
        <v/>
      </c>
      <c r="EJS6" s="97" t="str">
        <f t="shared" si="58"/>
        <v/>
      </c>
      <c r="EJT6" s="97" t="str">
        <f t="shared" si="58"/>
        <v/>
      </c>
      <c r="EJU6" s="97" t="str">
        <f t="shared" si="58"/>
        <v/>
      </c>
      <c r="EJV6" s="97" t="str">
        <f t="shared" si="58"/>
        <v/>
      </c>
      <c r="EJW6" s="97" t="str">
        <f t="shared" si="58"/>
        <v/>
      </c>
      <c r="EJX6" s="97" t="str">
        <f t="shared" si="58"/>
        <v/>
      </c>
      <c r="EJY6" s="97" t="str">
        <f t="shared" si="58"/>
        <v/>
      </c>
      <c r="EJZ6" s="97" t="str">
        <f t="shared" si="58"/>
        <v/>
      </c>
      <c r="EKA6" s="97" t="str">
        <f t="shared" si="58"/>
        <v/>
      </c>
      <c r="EKB6" s="97" t="str">
        <f t="shared" si="58"/>
        <v/>
      </c>
      <c r="EKC6" s="97" t="str">
        <f t="shared" si="58"/>
        <v/>
      </c>
      <c r="EKD6" s="97" t="str">
        <f t="shared" si="58"/>
        <v/>
      </c>
      <c r="EKE6" s="97" t="str">
        <f t="shared" si="58"/>
        <v/>
      </c>
      <c r="EKF6" s="97" t="str">
        <f t="shared" si="58"/>
        <v/>
      </c>
      <c r="EKG6" s="97" t="str">
        <f t="shared" si="58"/>
        <v/>
      </c>
      <c r="EKH6" s="97" t="str">
        <f t="shared" si="58"/>
        <v/>
      </c>
      <c r="EKI6" s="97" t="str">
        <f t="shared" si="58"/>
        <v/>
      </c>
      <c r="EKJ6" s="97" t="str">
        <f t="shared" si="58"/>
        <v/>
      </c>
      <c r="EKK6" s="97" t="str">
        <f t="shared" si="58"/>
        <v/>
      </c>
      <c r="EKL6" s="97" t="str">
        <f t="shared" si="58"/>
        <v/>
      </c>
      <c r="EKM6" s="97" t="str">
        <f t="shared" si="58"/>
        <v/>
      </c>
      <c r="EKN6" s="97" t="str">
        <f t="shared" si="58"/>
        <v/>
      </c>
      <c r="EKO6" s="97" t="str">
        <f t="shared" si="58"/>
        <v/>
      </c>
      <c r="EKP6" s="97" t="str">
        <f t="shared" si="58"/>
        <v/>
      </c>
      <c r="EKQ6" s="97" t="str">
        <f t="shared" si="58"/>
        <v/>
      </c>
      <c r="EKR6" s="97" t="str">
        <f t="shared" si="58"/>
        <v/>
      </c>
      <c r="EKS6" s="97" t="str">
        <f t="shared" si="58"/>
        <v/>
      </c>
      <c r="EKT6" s="97" t="str">
        <f t="shared" si="58"/>
        <v/>
      </c>
      <c r="EKU6" s="97" t="str">
        <f t="shared" si="58"/>
        <v/>
      </c>
      <c r="EKV6" s="97" t="str">
        <f t="shared" si="58"/>
        <v/>
      </c>
      <c r="EKW6" s="97" t="str">
        <f t="shared" si="58"/>
        <v/>
      </c>
      <c r="EKX6" s="97" t="str">
        <f t="shared" si="58"/>
        <v/>
      </c>
      <c r="EKY6" s="97" t="str">
        <f t="shared" si="58"/>
        <v/>
      </c>
      <c r="EKZ6" s="97" t="str">
        <f t="shared" si="58"/>
        <v/>
      </c>
      <c r="ELA6" s="97" t="str">
        <f t="shared" si="58"/>
        <v/>
      </c>
      <c r="ELB6" s="97" t="str">
        <f t="shared" si="58"/>
        <v/>
      </c>
      <c r="ELC6" s="97" t="str">
        <f t="shared" si="58"/>
        <v/>
      </c>
      <c r="ELD6" s="97" t="str">
        <f t="shared" si="58"/>
        <v/>
      </c>
      <c r="ELE6" s="97" t="str">
        <f t="shared" si="58"/>
        <v/>
      </c>
      <c r="ELF6" s="97" t="str">
        <f t="shared" si="58"/>
        <v/>
      </c>
      <c r="ELG6" s="97" t="str">
        <f t="shared" si="58"/>
        <v/>
      </c>
      <c r="ELH6" s="97" t="str">
        <f t="shared" si="58"/>
        <v/>
      </c>
      <c r="ELI6" s="97" t="str">
        <f t="shared" si="58"/>
        <v/>
      </c>
      <c r="ELJ6" s="97" t="str">
        <f t="shared" si="58"/>
        <v/>
      </c>
      <c r="ELK6" s="97" t="str">
        <f t="shared" si="58"/>
        <v/>
      </c>
      <c r="ELL6" s="97" t="str">
        <f t="shared" si="58"/>
        <v/>
      </c>
      <c r="ELM6" s="97" t="str">
        <f t="shared" si="58"/>
        <v/>
      </c>
      <c r="ELN6" s="97" t="str">
        <f t="shared" si="58"/>
        <v/>
      </c>
      <c r="ELO6" s="97" t="str">
        <f t="shared" si="58"/>
        <v/>
      </c>
      <c r="ELP6" s="97" t="str">
        <f t="shared" si="58"/>
        <v/>
      </c>
      <c r="ELQ6" s="97" t="str">
        <f t="shared" si="58"/>
        <v/>
      </c>
      <c r="ELR6" s="97" t="str">
        <f t="shared" si="58"/>
        <v/>
      </c>
      <c r="ELS6" s="97" t="str">
        <f t="shared" si="58"/>
        <v/>
      </c>
      <c r="ELT6" s="97" t="str">
        <f t="shared" si="58"/>
        <v/>
      </c>
      <c r="ELU6" s="97" t="str">
        <f t="shared" si="58"/>
        <v/>
      </c>
      <c r="ELV6" s="97" t="str">
        <f t="shared" si="58"/>
        <v/>
      </c>
      <c r="ELW6" s="97" t="str">
        <f t="shared" si="58"/>
        <v/>
      </c>
      <c r="ELX6" s="97" t="str">
        <f t="shared" si="58"/>
        <v/>
      </c>
      <c r="ELY6" s="97" t="str">
        <f t="shared" si="58"/>
        <v/>
      </c>
      <c r="ELZ6" s="97" t="str">
        <f t="shared" ref="ELZ6:EOK6" si="59">IFERROR(AVERAGE(ELZ7:ELZ13),"")</f>
        <v/>
      </c>
      <c r="EMA6" s="97" t="str">
        <f t="shared" si="59"/>
        <v/>
      </c>
      <c r="EMB6" s="97" t="str">
        <f t="shared" si="59"/>
        <v/>
      </c>
      <c r="EMC6" s="97" t="str">
        <f t="shared" si="59"/>
        <v/>
      </c>
      <c r="EMD6" s="97" t="str">
        <f t="shared" si="59"/>
        <v/>
      </c>
      <c r="EME6" s="97" t="str">
        <f t="shared" si="59"/>
        <v/>
      </c>
      <c r="EMF6" s="97" t="str">
        <f t="shared" si="59"/>
        <v/>
      </c>
      <c r="EMG6" s="97" t="str">
        <f t="shared" si="59"/>
        <v/>
      </c>
      <c r="EMH6" s="97" t="str">
        <f t="shared" si="59"/>
        <v/>
      </c>
      <c r="EMI6" s="97" t="str">
        <f t="shared" si="59"/>
        <v/>
      </c>
      <c r="EMJ6" s="97" t="str">
        <f t="shared" si="59"/>
        <v/>
      </c>
      <c r="EMK6" s="97" t="str">
        <f t="shared" si="59"/>
        <v/>
      </c>
      <c r="EML6" s="97" t="str">
        <f t="shared" si="59"/>
        <v/>
      </c>
      <c r="EMM6" s="97" t="str">
        <f t="shared" si="59"/>
        <v/>
      </c>
      <c r="EMN6" s="97" t="str">
        <f t="shared" si="59"/>
        <v/>
      </c>
      <c r="EMO6" s="97" t="str">
        <f t="shared" si="59"/>
        <v/>
      </c>
      <c r="EMP6" s="97" t="str">
        <f t="shared" si="59"/>
        <v/>
      </c>
      <c r="EMQ6" s="97" t="str">
        <f t="shared" si="59"/>
        <v/>
      </c>
      <c r="EMR6" s="97" t="str">
        <f t="shared" si="59"/>
        <v/>
      </c>
      <c r="EMS6" s="97" t="str">
        <f t="shared" si="59"/>
        <v/>
      </c>
      <c r="EMT6" s="97" t="str">
        <f t="shared" si="59"/>
        <v/>
      </c>
      <c r="EMU6" s="97" t="str">
        <f t="shared" si="59"/>
        <v/>
      </c>
      <c r="EMV6" s="97" t="str">
        <f t="shared" si="59"/>
        <v/>
      </c>
      <c r="EMW6" s="97" t="str">
        <f t="shared" si="59"/>
        <v/>
      </c>
      <c r="EMX6" s="97" t="str">
        <f t="shared" si="59"/>
        <v/>
      </c>
      <c r="EMY6" s="97" t="str">
        <f t="shared" si="59"/>
        <v/>
      </c>
      <c r="EMZ6" s="97" t="str">
        <f t="shared" si="59"/>
        <v/>
      </c>
      <c r="ENA6" s="97" t="str">
        <f t="shared" si="59"/>
        <v/>
      </c>
      <c r="ENB6" s="97" t="str">
        <f t="shared" si="59"/>
        <v/>
      </c>
      <c r="ENC6" s="97" t="str">
        <f t="shared" si="59"/>
        <v/>
      </c>
      <c r="END6" s="97" t="str">
        <f t="shared" si="59"/>
        <v/>
      </c>
      <c r="ENE6" s="97" t="str">
        <f t="shared" si="59"/>
        <v/>
      </c>
      <c r="ENF6" s="97" t="str">
        <f t="shared" si="59"/>
        <v/>
      </c>
      <c r="ENG6" s="97" t="str">
        <f t="shared" si="59"/>
        <v/>
      </c>
      <c r="ENH6" s="97" t="str">
        <f t="shared" si="59"/>
        <v/>
      </c>
      <c r="ENI6" s="97" t="str">
        <f t="shared" si="59"/>
        <v/>
      </c>
      <c r="ENJ6" s="97" t="str">
        <f t="shared" si="59"/>
        <v/>
      </c>
      <c r="ENK6" s="97" t="str">
        <f t="shared" si="59"/>
        <v/>
      </c>
      <c r="ENL6" s="97" t="str">
        <f t="shared" si="59"/>
        <v/>
      </c>
      <c r="ENM6" s="97" t="str">
        <f t="shared" si="59"/>
        <v/>
      </c>
      <c r="ENN6" s="97" t="str">
        <f t="shared" si="59"/>
        <v/>
      </c>
      <c r="ENO6" s="97" t="str">
        <f t="shared" si="59"/>
        <v/>
      </c>
      <c r="ENP6" s="97" t="str">
        <f t="shared" si="59"/>
        <v/>
      </c>
      <c r="ENQ6" s="97" t="str">
        <f t="shared" si="59"/>
        <v/>
      </c>
      <c r="ENR6" s="97" t="str">
        <f t="shared" si="59"/>
        <v/>
      </c>
      <c r="ENS6" s="97" t="str">
        <f t="shared" si="59"/>
        <v/>
      </c>
      <c r="ENT6" s="97" t="str">
        <f t="shared" si="59"/>
        <v/>
      </c>
      <c r="ENU6" s="97" t="str">
        <f t="shared" si="59"/>
        <v/>
      </c>
      <c r="ENV6" s="97" t="str">
        <f t="shared" si="59"/>
        <v/>
      </c>
      <c r="ENW6" s="97" t="str">
        <f t="shared" si="59"/>
        <v/>
      </c>
      <c r="ENX6" s="97" t="str">
        <f t="shared" si="59"/>
        <v/>
      </c>
      <c r="ENY6" s="97" t="str">
        <f t="shared" si="59"/>
        <v/>
      </c>
      <c r="ENZ6" s="97" t="str">
        <f t="shared" si="59"/>
        <v/>
      </c>
      <c r="EOA6" s="97" t="str">
        <f t="shared" si="59"/>
        <v/>
      </c>
      <c r="EOB6" s="97" t="str">
        <f t="shared" si="59"/>
        <v/>
      </c>
      <c r="EOC6" s="97" t="str">
        <f t="shared" si="59"/>
        <v/>
      </c>
      <c r="EOD6" s="97" t="str">
        <f t="shared" si="59"/>
        <v/>
      </c>
      <c r="EOE6" s="97" t="str">
        <f t="shared" si="59"/>
        <v/>
      </c>
      <c r="EOF6" s="97" t="str">
        <f t="shared" si="59"/>
        <v/>
      </c>
      <c r="EOG6" s="97" t="str">
        <f t="shared" si="59"/>
        <v/>
      </c>
      <c r="EOH6" s="97" t="str">
        <f t="shared" si="59"/>
        <v/>
      </c>
      <c r="EOI6" s="97" t="str">
        <f t="shared" si="59"/>
        <v/>
      </c>
      <c r="EOJ6" s="97" t="str">
        <f t="shared" si="59"/>
        <v/>
      </c>
      <c r="EOK6" s="97" t="str">
        <f t="shared" si="59"/>
        <v/>
      </c>
      <c r="EOL6" s="97" t="str">
        <f t="shared" ref="EOL6:EQW6" si="60">IFERROR(AVERAGE(EOL7:EOL13),"")</f>
        <v/>
      </c>
      <c r="EOM6" s="97" t="str">
        <f t="shared" si="60"/>
        <v/>
      </c>
      <c r="EON6" s="97" t="str">
        <f t="shared" si="60"/>
        <v/>
      </c>
      <c r="EOO6" s="97" t="str">
        <f t="shared" si="60"/>
        <v/>
      </c>
      <c r="EOP6" s="97" t="str">
        <f t="shared" si="60"/>
        <v/>
      </c>
      <c r="EOQ6" s="97" t="str">
        <f t="shared" si="60"/>
        <v/>
      </c>
      <c r="EOR6" s="97" t="str">
        <f t="shared" si="60"/>
        <v/>
      </c>
      <c r="EOS6" s="97" t="str">
        <f t="shared" si="60"/>
        <v/>
      </c>
      <c r="EOT6" s="97" t="str">
        <f t="shared" si="60"/>
        <v/>
      </c>
      <c r="EOU6" s="97" t="str">
        <f t="shared" si="60"/>
        <v/>
      </c>
      <c r="EOV6" s="97" t="str">
        <f t="shared" si="60"/>
        <v/>
      </c>
      <c r="EOW6" s="97" t="str">
        <f t="shared" si="60"/>
        <v/>
      </c>
      <c r="EOX6" s="97" t="str">
        <f t="shared" si="60"/>
        <v/>
      </c>
      <c r="EOY6" s="97" t="str">
        <f t="shared" si="60"/>
        <v/>
      </c>
      <c r="EOZ6" s="97" t="str">
        <f t="shared" si="60"/>
        <v/>
      </c>
      <c r="EPA6" s="97" t="str">
        <f t="shared" si="60"/>
        <v/>
      </c>
      <c r="EPB6" s="97" t="str">
        <f t="shared" si="60"/>
        <v/>
      </c>
      <c r="EPC6" s="97" t="str">
        <f t="shared" si="60"/>
        <v/>
      </c>
      <c r="EPD6" s="97" t="str">
        <f t="shared" si="60"/>
        <v/>
      </c>
      <c r="EPE6" s="97" t="str">
        <f t="shared" si="60"/>
        <v/>
      </c>
      <c r="EPF6" s="97" t="str">
        <f t="shared" si="60"/>
        <v/>
      </c>
      <c r="EPG6" s="97" t="str">
        <f t="shared" si="60"/>
        <v/>
      </c>
      <c r="EPH6" s="97" t="str">
        <f t="shared" si="60"/>
        <v/>
      </c>
      <c r="EPI6" s="97" t="str">
        <f t="shared" si="60"/>
        <v/>
      </c>
      <c r="EPJ6" s="97" t="str">
        <f t="shared" si="60"/>
        <v/>
      </c>
      <c r="EPK6" s="97" t="str">
        <f t="shared" si="60"/>
        <v/>
      </c>
      <c r="EPL6" s="97" t="str">
        <f t="shared" si="60"/>
        <v/>
      </c>
      <c r="EPM6" s="97" t="str">
        <f t="shared" si="60"/>
        <v/>
      </c>
      <c r="EPN6" s="97" t="str">
        <f t="shared" si="60"/>
        <v/>
      </c>
      <c r="EPO6" s="97" t="str">
        <f t="shared" si="60"/>
        <v/>
      </c>
      <c r="EPP6" s="97" t="str">
        <f t="shared" si="60"/>
        <v/>
      </c>
      <c r="EPQ6" s="97" t="str">
        <f t="shared" si="60"/>
        <v/>
      </c>
      <c r="EPR6" s="97" t="str">
        <f t="shared" si="60"/>
        <v/>
      </c>
      <c r="EPS6" s="97" t="str">
        <f t="shared" si="60"/>
        <v/>
      </c>
      <c r="EPT6" s="97" t="str">
        <f t="shared" si="60"/>
        <v/>
      </c>
      <c r="EPU6" s="97" t="str">
        <f t="shared" si="60"/>
        <v/>
      </c>
      <c r="EPV6" s="97" t="str">
        <f t="shared" si="60"/>
        <v/>
      </c>
      <c r="EPW6" s="97" t="str">
        <f t="shared" si="60"/>
        <v/>
      </c>
      <c r="EPX6" s="97" t="str">
        <f t="shared" si="60"/>
        <v/>
      </c>
      <c r="EPY6" s="97" t="str">
        <f t="shared" si="60"/>
        <v/>
      </c>
      <c r="EPZ6" s="97" t="str">
        <f t="shared" si="60"/>
        <v/>
      </c>
      <c r="EQA6" s="97" t="str">
        <f t="shared" si="60"/>
        <v/>
      </c>
      <c r="EQB6" s="97" t="str">
        <f t="shared" si="60"/>
        <v/>
      </c>
      <c r="EQC6" s="97" t="str">
        <f t="shared" si="60"/>
        <v/>
      </c>
      <c r="EQD6" s="97" t="str">
        <f t="shared" si="60"/>
        <v/>
      </c>
      <c r="EQE6" s="97" t="str">
        <f t="shared" si="60"/>
        <v/>
      </c>
      <c r="EQF6" s="97" t="str">
        <f t="shared" si="60"/>
        <v/>
      </c>
      <c r="EQG6" s="97" t="str">
        <f t="shared" si="60"/>
        <v/>
      </c>
      <c r="EQH6" s="97" t="str">
        <f t="shared" si="60"/>
        <v/>
      </c>
      <c r="EQI6" s="97" t="str">
        <f t="shared" si="60"/>
        <v/>
      </c>
      <c r="EQJ6" s="97" t="str">
        <f t="shared" si="60"/>
        <v/>
      </c>
      <c r="EQK6" s="97" t="str">
        <f t="shared" si="60"/>
        <v/>
      </c>
      <c r="EQL6" s="97" t="str">
        <f t="shared" si="60"/>
        <v/>
      </c>
      <c r="EQM6" s="97" t="str">
        <f t="shared" si="60"/>
        <v/>
      </c>
      <c r="EQN6" s="97" t="str">
        <f t="shared" si="60"/>
        <v/>
      </c>
      <c r="EQO6" s="97" t="str">
        <f t="shared" si="60"/>
        <v/>
      </c>
      <c r="EQP6" s="97" t="str">
        <f t="shared" si="60"/>
        <v/>
      </c>
      <c r="EQQ6" s="97" t="str">
        <f t="shared" si="60"/>
        <v/>
      </c>
      <c r="EQR6" s="97" t="str">
        <f t="shared" si="60"/>
        <v/>
      </c>
      <c r="EQS6" s="97" t="str">
        <f t="shared" si="60"/>
        <v/>
      </c>
      <c r="EQT6" s="97" t="str">
        <f t="shared" si="60"/>
        <v/>
      </c>
      <c r="EQU6" s="97" t="str">
        <f t="shared" si="60"/>
        <v/>
      </c>
      <c r="EQV6" s="97" t="str">
        <f t="shared" si="60"/>
        <v/>
      </c>
      <c r="EQW6" s="97" t="str">
        <f t="shared" si="60"/>
        <v/>
      </c>
      <c r="EQX6" s="97" t="str">
        <f t="shared" ref="EQX6:ETI6" si="61">IFERROR(AVERAGE(EQX7:EQX13),"")</f>
        <v/>
      </c>
      <c r="EQY6" s="97" t="str">
        <f t="shared" si="61"/>
        <v/>
      </c>
      <c r="EQZ6" s="97" t="str">
        <f t="shared" si="61"/>
        <v/>
      </c>
      <c r="ERA6" s="97" t="str">
        <f t="shared" si="61"/>
        <v/>
      </c>
      <c r="ERB6" s="97" t="str">
        <f t="shared" si="61"/>
        <v/>
      </c>
      <c r="ERC6" s="97" t="str">
        <f t="shared" si="61"/>
        <v/>
      </c>
      <c r="ERD6" s="97" t="str">
        <f t="shared" si="61"/>
        <v/>
      </c>
      <c r="ERE6" s="97" t="str">
        <f t="shared" si="61"/>
        <v/>
      </c>
      <c r="ERF6" s="97" t="str">
        <f t="shared" si="61"/>
        <v/>
      </c>
      <c r="ERG6" s="97" t="str">
        <f t="shared" si="61"/>
        <v/>
      </c>
      <c r="ERH6" s="97" t="str">
        <f t="shared" si="61"/>
        <v/>
      </c>
      <c r="ERI6" s="97" t="str">
        <f t="shared" si="61"/>
        <v/>
      </c>
      <c r="ERJ6" s="97" t="str">
        <f t="shared" si="61"/>
        <v/>
      </c>
      <c r="ERK6" s="97" t="str">
        <f t="shared" si="61"/>
        <v/>
      </c>
      <c r="ERL6" s="97" t="str">
        <f t="shared" si="61"/>
        <v/>
      </c>
      <c r="ERM6" s="97" t="str">
        <f t="shared" si="61"/>
        <v/>
      </c>
      <c r="ERN6" s="97" t="str">
        <f t="shared" si="61"/>
        <v/>
      </c>
      <c r="ERO6" s="97" t="str">
        <f t="shared" si="61"/>
        <v/>
      </c>
      <c r="ERP6" s="97" t="str">
        <f t="shared" si="61"/>
        <v/>
      </c>
      <c r="ERQ6" s="97" t="str">
        <f t="shared" si="61"/>
        <v/>
      </c>
      <c r="ERR6" s="97" t="str">
        <f t="shared" si="61"/>
        <v/>
      </c>
      <c r="ERS6" s="97" t="str">
        <f t="shared" si="61"/>
        <v/>
      </c>
      <c r="ERT6" s="97" t="str">
        <f t="shared" si="61"/>
        <v/>
      </c>
      <c r="ERU6" s="97" t="str">
        <f t="shared" si="61"/>
        <v/>
      </c>
      <c r="ERV6" s="97" t="str">
        <f t="shared" si="61"/>
        <v/>
      </c>
      <c r="ERW6" s="97" t="str">
        <f t="shared" si="61"/>
        <v/>
      </c>
      <c r="ERX6" s="97" t="str">
        <f t="shared" si="61"/>
        <v/>
      </c>
      <c r="ERY6" s="97" t="str">
        <f t="shared" si="61"/>
        <v/>
      </c>
      <c r="ERZ6" s="97" t="str">
        <f t="shared" si="61"/>
        <v/>
      </c>
      <c r="ESA6" s="97" t="str">
        <f t="shared" si="61"/>
        <v/>
      </c>
      <c r="ESB6" s="97" t="str">
        <f t="shared" si="61"/>
        <v/>
      </c>
      <c r="ESC6" s="97" t="str">
        <f t="shared" si="61"/>
        <v/>
      </c>
      <c r="ESD6" s="97" t="str">
        <f t="shared" si="61"/>
        <v/>
      </c>
      <c r="ESE6" s="97" t="str">
        <f t="shared" si="61"/>
        <v/>
      </c>
      <c r="ESF6" s="97" t="str">
        <f t="shared" si="61"/>
        <v/>
      </c>
      <c r="ESG6" s="97" t="str">
        <f t="shared" si="61"/>
        <v/>
      </c>
      <c r="ESH6" s="97" t="str">
        <f t="shared" si="61"/>
        <v/>
      </c>
      <c r="ESI6" s="97" t="str">
        <f t="shared" si="61"/>
        <v/>
      </c>
      <c r="ESJ6" s="97" t="str">
        <f t="shared" si="61"/>
        <v/>
      </c>
      <c r="ESK6" s="97" t="str">
        <f t="shared" si="61"/>
        <v/>
      </c>
      <c r="ESL6" s="97" t="str">
        <f t="shared" si="61"/>
        <v/>
      </c>
      <c r="ESM6" s="97" t="str">
        <f t="shared" si="61"/>
        <v/>
      </c>
      <c r="ESN6" s="97" t="str">
        <f t="shared" si="61"/>
        <v/>
      </c>
      <c r="ESO6" s="97" t="str">
        <f t="shared" si="61"/>
        <v/>
      </c>
      <c r="ESP6" s="97" t="str">
        <f t="shared" si="61"/>
        <v/>
      </c>
      <c r="ESQ6" s="97" t="str">
        <f t="shared" si="61"/>
        <v/>
      </c>
      <c r="ESR6" s="97" t="str">
        <f t="shared" si="61"/>
        <v/>
      </c>
      <c r="ESS6" s="97" t="str">
        <f t="shared" si="61"/>
        <v/>
      </c>
      <c r="EST6" s="97" t="str">
        <f t="shared" si="61"/>
        <v/>
      </c>
      <c r="ESU6" s="97" t="str">
        <f t="shared" si="61"/>
        <v/>
      </c>
      <c r="ESV6" s="97" t="str">
        <f t="shared" si="61"/>
        <v/>
      </c>
      <c r="ESW6" s="97" t="str">
        <f t="shared" si="61"/>
        <v/>
      </c>
      <c r="ESX6" s="97" t="str">
        <f t="shared" si="61"/>
        <v/>
      </c>
      <c r="ESY6" s="97" t="str">
        <f t="shared" si="61"/>
        <v/>
      </c>
      <c r="ESZ6" s="97" t="str">
        <f t="shared" si="61"/>
        <v/>
      </c>
      <c r="ETA6" s="97" t="str">
        <f t="shared" si="61"/>
        <v/>
      </c>
      <c r="ETB6" s="97" t="str">
        <f t="shared" si="61"/>
        <v/>
      </c>
      <c r="ETC6" s="97" t="str">
        <f t="shared" si="61"/>
        <v/>
      </c>
      <c r="ETD6" s="97" t="str">
        <f t="shared" si="61"/>
        <v/>
      </c>
      <c r="ETE6" s="97" t="str">
        <f t="shared" si="61"/>
        <v/>
      </c>
      <c r="ETF6" s="97" t="str">
        <f t="shared" si="61"/>
        <v/>
      </c>
      <c r="ETG6" s="97" t="str">
        <f t="shared" si="61"/>
        <v/>
      </c>
      <c r="ETH6" s="97" t="str">
        <f t="shared" si="61"/>
        <v/>
      </c>
      <c r="ETI6" s="97" t="str">
        <f t="shared" si="61"/>
        <v/>
      </c>
      <c r="ETJ6" s="97" t="str">
        <f t="shared" ref="ETJ6:EVU6" si="62">IFERROR(AVERAGE(ETJ7:ETJ13),"")</f>
        <v/>
      </c>
      <c r="ETK6" s="97" t="str">
        <f t="shared" si="62"/>
        <v/>
      </c>
      <c r="ETL6" s="97" t="str">
        <f t="shared" si="62"/>
        <v/>
      </c>
      <c r="ETM6" s="97" t="str">
        <f t="shared" si="62"/>
        <v/>
      </c>
      <c r="ETN6" s="97" t="str">
        <f t="shared" si="62"/>
        <v/>
      </c>
      <c r="ETO6" s="97" t="str">
        <f t="shared" si="62"/>
        <v/>
      </c>
      <c r="ETP6" s="97" t="str">
        <f t="shared" si="62"/>
        <v/>
      </c>
      <c r="ETQ6" s="97" t="str">
        <f t="shared" si="62"/>
        <v/>
      </c>
      <c r="ETR6" s="97" t="str">
        <f t="shared" si="62"/>
        <v/>
      </c>
      <c r="ETS6" s="97" t="str">
        <f t="shared" si="62"/>
        <v/>
      </c>
      <c r="ETT6" s="97" t="str">
        <f t="shared" si="62"/>
        <v/>
      </c>
      <c r="ETU6" s="97" t="str">
        <f t="shared" si="62"/>
        <v/>
      </c>
      <c r="ETV6" s="97" t="str">
        <f t="shared" si="62"/>
        <v/>
      </c>
      <c r="ETW6" s="97" t="str">
        <f t="shared" si="62"/>
        <v/>
      </c>
      <c r="ETX6" s="97" t="str">
        <f t="shared" si="62"/>
        <v/>
      </c>
      <c r="ETY6" s="97" t="str">
        <f t="shared" si="62"/>
        <v/>
      </c>
      <c r="ETZ6" s="97" t="str">
        <f t="shared" si="62"/>
        <v/>
      </c>
      <c r="EUA6" s="97" t="str">
        <f t="shared" si="62"/>
        <v/>
      </c>
      <c r="EUB6" s="97" t="str">
        <f t="shared" si="62"/>
        <v/>
      </c>
      <c r="EUC6" s="97" t="str">
        <f t="shared" si="62"/>
        <v/>
      </c>
      <c r="EUD6" s="97" t="str">
        <f t="shared" si="62"/>
        <v/>
      </c>
      <c r="EUE6" s="97" t="str">
        <f t="shared" si="62"/>
        <v/>
      </c>
      <c r="EUF6" s="97" t="str">
        <f t="shared" si="62"/>
        <v/>
      </c>
      <c r="EUG6" s="97" t="str">
        <f t="shared" si="62"/>
        <v/>
      </c>
      <c r="EUH6" s="97" t="str">
        <f t="shared" si="62"/>
        <v/>
      </c>
      <c r="EUI6" s="97" t="str">
        <f t="shared" si="62"/>
        <v/>
      </c>
      <c r="EUJ6" s="97" t="str">
        <f t="shared" si="62"/>
        <v/>
      </c>
      <c r="EUK6" s="97" t="str">
        <f t="shared" si="62"/>
        <v/>
      </c>
      <c r="EUL6" s="97" t="str">
        <f t="shared" si="62"/>
        <v/>
      </c>
      <c r="EUM6" s="97" t="str">
        <f t="shared" si="62"/>
        <v/>
      </c>
      <c r="EUN6" s="97" t="str">
        <f t="shared" si="62"/>
        <v/>
      </c>
      <c r="EUO6" s="97" t="str">
        <f t="shared" si="62"/>
        <v/>
      </c>
      <c r="EUP6" s="97" t="str">
        <f t="shared" si="62"/>
        <v/>
      </c>
      <c r="EUQ6" s="97" t="str">
        <f t="shared" si="62"/>
        <v/>
      </c>
      <c r="EUR6" s="97" t="str">
        <f t="shared" si="62"/>
        <v/>
      </c>
      <c r="EUS6" s="97" t="str">
        <f t="shared" si="62"/>
        <v/>
      </c>
      <c r="EUT6" s="97" t="str">
        <f t="shared" si="62"/>
        <v/>
      </c>
      <c r="EUU6" s="97" t="str">
        <f t="shared" si="62"/>
        <v/>
      </c>
      <c r="EUV6" s="97" t="str">
        <f t="shared" si="62"/>
        <v/>
      </c>
      <c r="EUW6" s="97" t="str">
        <f t="shared" si="62"/>
        <v/>
      </c>
      <c r="EUX6" s="97" t="str">
        <f t="shared" si="62"/>
        <v/>
      </c>
      <c r="EUY6" s="97" t="str">
        <f t="shared" si="62"/>
        <v/>
      </c>
      <c r="EUZ6" s="97" t="str">
        <f t="shared" si="62"/>
        <v/>
      </c>
      <c r="EVA6" s="97" t="str">
        <f t="shared" si="62"/>
        <v/>
      </c>
      <c r="EVB6" s="97" t="str">
        <f t="shared" si="62"/>
        <v/>
      </c>
      <c r="EVC6" s="97" t="str">
        <f t="shared" si="62"/>
        <v/>
      </c>
      <c r="EVD6" s="97" t="str">
        <f t="shared" si="62"/>
        <v/>
      </c>
      <c r="EVE6" s="97" t="str">
        <f t="shared" si="62"/>
        <v/>
      </c>
      <c r="EVF6" s="97" t="str">
        <f t="shared" si="62"/>
        <v/>
      </c>
      <c r="EVG6" s="97" t="str">
        <f t="shared" si="62"/>
        <v/>
      </c>
      <c r="EVH6" s="97" t="str">
        <f t="shared" si="62"/>
        <v/>
      </c>
      <c r="EVI6" s="97" t="str">
        <f t="shared" si="62"/>
        <v/>
      </c>
      <c r="EVJ6" s="97" t="str">
        <f t="shared" si="62"/>
        <v/>
      </c>
      <c r="EVK6" s="97" t="str">
        <f t="shared" si="62"/>
        <v/>
      </c>
      <c r="EVL6" s="97" t="str">
        <f t="shared" si="62"/>
        <v/>
      </c>
      <c r="EVM6" s="97" t="str">
        <f t="shared" si="62"/>
        <v/>
      </c>
      <c r="EVN6" s="97" t="str">
        <f t="shared" si="62"/>
        <v/>
      </c>
      <c r="EVO6" s="97" t="str">
        <f t="shared" si="62"/>
        <v/>
      </c>
      <c r="EVP6" s="97" t="str">
        <f t="shared" si="62"/>
        <v/>
      </c>
      <c r="EVQ6" s="97" t="str">
        <f t="shared" si="62"/>
        <v/>
      </c>
      <c r="EVR6" s="97" t="str">
        <f t="shared" si="62"/>
        <v/>
      </c>
      <c r="EVS6" s="97" t="str">
        <f t="shared" si="62"/>
        <v/>
      </c>
      <c r="EVT6" s="97" t="str">
        <f t="shared" si="62"/>
        <v/>
      </c>
      <c r="EVU6" s="97" t="str">
        <f t="shared" si="62"/>
        <v/>
      </c>
      <c r="EVV6" s="97" t="str">
        <f t="shared" ref="EVV6:EYG6" si="63">IFERROR(AVERAGE(EVV7:EVV13),"")</f>
        <v/>
      </c>
      <c r="EVW6" s="97" t="str">
        <f t="shared" si="63"/>
        <v/>
      </c>
      <c r="EVX6" s="97" t="str">
        <f t="shared" si="63"/>
        <v/>
      </c>
      <c r="EVY6" s="97" t="str">
        <f t="shared" si="63"/>
        <v/>
      </c>
      <c r="EVZ6" s="97" t="str">
        <f t="shared" si="63"/>
        <v/>
      </c>
      <c r="EWA6" s="97" t="str">
        <f t="shared" si="63"/>
        <v/>
      </c>
      <c r="EWB6" s="97" t="str">
        <f t="shared" si="63"/>
        <v/>
      </c>
      <c r="EWC6" s="97" t="str">
        <f t="shared" si="63"/>
        <v/>
      </c>
      <c r="EWD6" s="97" t="str">
        <f t="shared" si="63"/>
        <v/>
      </c>
      <c r="EWE6" s="97" t="str">
        <f t="shared" si="63"/>
        <v/>
      </c>
      <c r="EWF6" s="97" t="str">
        <f t="shared" si="63"/>
        <v/>
      </c>
      <c r="EWG6" s="97" t="str">
        <f t="shared" si="63"/>
        <v/>
      </c>
      <c r="EWH6" s="97" t="str">
        <f t="shared" si="63"/>
        <v/>
      </c>
      <c r="EWI6" s="97" t="str">
        <f t="shared" si="63"/>
        <v/>
      </c>
      <c r="EWJ6" s="97" t="str">
        <f t="shared" si="63"/>
        <v/>
      </c>
      <c r="EWK6" s="97" t="str">
        <f t="shared" si="63"/>
        <v/>
      </c>
      <c r="EWL6" s="97" t="str">
        <f t="shared" si="63"/>
        <v/>
      </c>
      <c r="EWM6" s="97" t="str">
        <f t="shared" si="63"/>
        <v/>
      </c>
      <c r="EWN6" s="97" t="str">
        <f t="shared" si="63"/>
        <v/>
      </c>
      <c r="EWO6" s="97" t="str">
        <f t="shared" si="63"/>
        <v/>
      </c>
      <c r="EWP6" s="97" t="str">
        <f t="shared" si="63"/>
        <v/>
      </c>
      <c r="EWQ6" s="97" t="str">
        <f t="shared" si="63"/>
        <v/>
      </c>
      <c r="EWR6" s="97" t="str">
        <f t="shared" si="63"/>
        <v/>
      </c>
      <c r="EWS6" s="97" t="str">
        <f t="shared" si="63"/>
        <v/>
      </c>
      <c r="EWT6" s="97" t="str">
        <f t="shared" si="63"/>
        <v/>
      </c>
      <c r="EWU6" s="97" t="str">
        <f t="shared" si="63"/>
        <v/>
      </c>
      <c r="EWV6" s="97" t="str">
        <f t="shared" si="63"/>
        <v/>
      </c>
      <c r="EWW6" s="97" t="str">
        <f t="shared" si="63"/>
        <v/>
      </c>
      <c r="EWX6" s="97" t="str">
        <f t="shared" si="63"/>
        <v/>
      </c>
      <c r="EWY6" s="97" t="str">
        <f t="shared" si="63"/>
        <v/>
      </c>
      <c r="EWZ6" s="97" t="str">
        <f t="shared" si="63"/>
        <v/>
      </c>
      <c r="EXA6" s="97" t="str">
        <f t="shared" si="63"/>
        <v/>
      </c>
      <c r="EXB6" s="97" t="str">
        <f t="shared" si="63"/>
        <v/>
      </c>
      <c r="EXC6" s="97" t="str">
        <f t="shared" si="63"/>
        <v/>
      </c>
      <c r="EXD6" s="97" t="str">
        <f t="shared" si="63"/>
        <v/>
      </c>
      <c r="EXE6" s="97" t="str">
        <f t="shared" si="63"/>
        <v/>
      </c>
      <c r="EXF6" s="97" t="str">
        <f t="shared" si="63"/>
        <v/>
      </c>
      <c r="EXG6" s="97" t="str">
        <f t="shared" si="63"/>
        <v/>
      </c>
      <c r="EXH6" s="97" t="str">
        <f t="shared" si="63"/>
        <v/>
      </c>
      <c r="EXI6" s="97" t="str">
        <f t="shared" si="63"/>
        <v/>
      </c>
      <c r="EXJ6" s="97" t="str">
        <f t="shared" si="63"/>
        <v/>
      </c>
      <c r="EXK6" s="97" t="str">
        <f t="shared" si="63"/>
        <v/>
      </c>
      <c r="EXL6" s="97" t="str">
        <f t="shared" si="63"/>
        <v/>
      </c>
      <c r="EXM6" s="97" t="str">
        <f t="shared" si="63"/>
        <v/>
      </c>
      <c r="EXN6" s="97" t="str">
        <f t="shared" si="63"/>
        <v/>
      </c>
      <c r="EXO6" s="97" t="str">
        <f t="shared" si="63"/>
        <v/>
      </c>
      <c r="EXP6" s="97" t="str">
        <f t="shared" si="63"/>
        <v/>
      </c>
      <c r="EXQ6" s="97" t="str">
        <f t="shared" si="63"/>
        <v/>
      </c>
      <c r="EXR6" s="97" t="str">
        <f t="shared" si="63"/>
        <v/>
      </c>
      <c r="EXS6" s="97" t="str">
        <f t="shared" si="63"/>
        <v/>
      </c>
      <c r="EXT6" s="97" t="str">
        <f t="shared" si="63"/>
        <v/>
      </c>
      <c r="EXU6" s="97" t="str">
        <f t="shared" si="63"/>
        <v/>
      </c>
      <c r="EXV6" s="97" t="str">
        <f t="shared" si="63"/>
        <v/>
      </c>
      <c r="EXW6" s="97" t="str">
        <f t="shared" si="63"/>
        <v/>
      </c>
      <c r="EXX6" s="97" t="str">
        <f t="shared" si="63"/>
        <v/>
      </c>
      <c r="EXY6" s="97" t="str">
        <f t="shared" si="63"/>
        <v/>
      </c>
      <c r="EXZ6" s="97" t="str">
        <f t="shared" si="63"/>
        <v/>
      </c>
      <c r="EYA6" s="97" t="str">
        <f t="shared" si="63"/>
        <v/>
      </c>
      <c r="EYB6" s="97" t="str">
        <f t="shared" si="63"/>
        <v/>
      </c>
      <c r="EYC6" s="97" t="str">
        <f t="shared" si="63"/>
        <v/>
      </c>
      <c r="EYD6" s="97" t="str">
        <f t="shared" si="63"/>
        <v/>
      </c>
      <c r="EYE6" s="97" t="str">
        <f t="shared" si="63"/>
        <v/>
      </c>
      <c r="EYF6" s="97" t="str">
        <f t="shared" si="63"/>
        <v/>
      </c>
      <c r="EYG6" s="97" t="str">
        <f t="shared" si="63"/>
        <v/>
      </c>
      <c r="EYH6" s="97" t="str">
        <f t="shared" ref="EYH6:FAS6" si="64">IFERROR(AVERAGE(EYH7:EYH13),"")</f>
        <v/>
      </c>
      <c r="EYI6" s="97" t="str">
        <f t="shared" si="64"/>
        <v/>
      </c>
      <c r="EYJ6" s="97" t="str">
        <f t="shared" si="64"/>
        <v/>
      </c>
      <c r="EYK6" s="97" t="str">
        <f t="shared" si="64"/>
        <v/>
      </c>
      <c r="EYL6" s="97" t="str">
        <f t="shared" si="64"/>
        <v/>
      </c>
      <c r="EYM6" s="97" t="str">
        <f t="shared" si="64"/>
        <v/>
      </c>
      <c r="EYN6" s="97" t="str">
        <f t="shared" si="64"/>
        <v/>
      </c>
      <c r="EYO6" s="97" t="str">
        <f t="shared" si="64"/>
        <v/>
      </c>
      <c r="EYP6" s="97" t="str">
        <f t="shared" si="64"/>
        <v/>
      </c>
      <c r="EYQ6" s="97" t="str">
        <f t="shared" si="64"/>
        <v/>
      </c>
      <c r="EYR6" s="97" t="str">
        <f t="shared" si="64"/>
        <v/>
      </c>
      <c r="EYS6" s="97" t="str">
        <f t="shared" si="64"/>
        <v/>
      </c>
      <c r="EYT6" s="97" t="str">
        <f t="shared" si="64"/>
        <v/>
      </c>
      <c r="EYU6" s="97" t="str">
        <f t="shared" si="64"/>
        <v/>
      </c>
      <c r="EYV6" s="97" t="str">
        <f t="shared" si="64"/>
        <v/>
      </c>
      <c r="EYW6" s="97" t="str">
        <f t="shared" si="64"/>
        <v/>
      </c>
      <c r="EYX6" s="97" t="str">
        <f t="shared" si="64"/>
        <v/>
      </c>
      <c r="EYY6" s="97" t="str">
        <f t="shared" si="64"/>
        <v/>
      </c>
      <c r="EYZ6" s="97" t="str">
        <f t="shared" si="64"/>
        <v/>
      </c>
      <c r="EZA6" s="97" t="str">
        <f t="shared" si="64"/>
        <v/>
      </c>
      <c r="EZB6" s="97" t="str">
        <f t="shared" si="64"/>
        <v/>
      </c>
      <c r="EZC6" s="97" t="str">
        <f t="shared" si="64"/>
        <v/>
      </c>
      <c r="EZD6" s="97" t="str">
        <f t="shared" si="64"/>
        <v/>
      </c>
      <c r="EZE6" s="97" t="str">
        <f t="shared" si="64"/>
        <v/>
      </c>
      <c r="EZF6" s="97" t="str">
        <f t="shared" si="64"/>
        <v/>
      </c>
      <c r="EZG6" s="97" t="str">
        <f t="shared" si="64"/>
        <v/>
      </c>
      <c r="EZH6" s="97" t="str">
        <f t="shared" si="64"/>
        <v/>
      </c>
      <c r="EZI6" s="97" t="str">
        <f t="shared" si="64"/>
        <v/>
      </c>
      <c r="EZJ6" s="97" t="str">
        <f t="shared" si="64"/>
        <v/>
      </c>
      <c r="EZK6" s="97" t="str">
        <f t="shared" si="64"/>
        <v/>
      </c>
      <c r="EZL6" s="97" t="str">
        <f t="shared" si="64"/>
        <v/>
      </c>
      <c r="EZM6" s="97" t="str">
        <f t="shared" si="64"/>
        <v/>
      </c>
      <c r="EZN6" s="97" t="str">
        <f t="shared" si="64"/>
        <v/>
      </c>
      <c r="EZO6" s="97" t="str">
        <f t="shared" si="64"/>
        <v/>
      </c>
      <c r="EZP6" s="97" t="str">
        <f t="shared" si="64"/>
        <v/>
      </c>
      <c r="EZQ6" s="97" t="str">
        <f t="shared" si="64"/>
        <v/>
      </c>
      <c r="EZR6" s="97" t="str">
        <f t="shared" si="64"/>
        <v/>
      </c>
      <c r="EZS6" s="97" t="str">
        <f t="shared" si="64"/>
        <v/>
      </c>
      <c r="EZT6" s="97" t="str">
        <f t="shared" si="64"/>
        <v/>
      </c>
      <c r="EZU6" s="97" t="str">
        <f t="shared" si="64"/>
        <v/>
      </c>
      <c r="EZV6" s="97" t="str">
        <f t="shared" si="64"/>
        <v/>
      </c>
      <c r="EZW6" s="97" t="str">
        <f t="shared" si="64"/>
        <v/>
      </c>
      <c r="EZX6" s="97" t="str">
        <f t="shared" si="64"/>
        <v/>
      </c>
      <c r="EZY6" s="97" t="str">
        <f t="shared" si="64"/>
        <v/>
      </c>
      <c r="EZZ6" s="97" t="str">
        <f t="shared" si="64"/>
        <v/>
      </c>
      <c r="FAA6" s="97" t="str">
        <f t="shared" si="64"/>
        <v/>
      </c>
      <c r="FAB6" s="97" t="str">
        <f t="shared" si="64"/>
        <v/>
      </c>
      <c r="FAC6" s="97" t="str">
        <f t="shared" si="64"/>
        <v/>
      </c>
      <c r="FAD6" s="97" t="str">
        <f t="shared" si="64"/>
        <v/>
      </c>
      <c r="FAE6" s="97" t="str">
        <f t="shared" si="64"/>
        <v/>
      </c>
      <c r="FAF6" s="97" t="str">
        <f t="shared" si="64"/>
        <v/>
      </c>
      <c r="FAG6" s="97" t="str">
        <f t="shared" si="64"/>
        <v/>
      </c>
      <c r="FAH6" s="97" t="str">
        <f t="shared" si="64"/>
        <v/>
      </c>
      <c r="FAI6" s="97" t="str">
        <f t="shared" si="64"/>
        <v/>
      </c>
      <c r="FAJ6" s="97" t="str">
        <f t="shared" si="64"/>
        <v/>
      </c>
      <c r="FAK6" s="97" t="str">
        <f t="shared" si="64"/>
        <v/>
      </c>
      <c r="FAL6" s="97" t="str">
        <f t="shared" si="64"/>
        <v/>
      </c>
      <c r="FAM6" s="97" t="str">
        <f t="shared" si="64"/>
        <v/>
      </c>
      <c r="FAN6" s="97" t="str">
        <f t="shared" si="64"/>
        <v/>
      </c>
      <c r="FAO6" s="97" t="str">
        <f t="shared" si="64"/>
        <v/>
      </c>
      <c r="FAP6" s="97" t="str">
        <f t="shared" si="64"/>
        <v/>
      </c>
      <c r="FAQ6" s="97" t="str">
        <f t="shared" si="64"/>
        <v/>
      </c>
      <c r="FAR6" s="97" t="str">
        <f t="shared" si="64"/>
        <v/>
      </c>
      <c r="FAS6" s="97" t="str">
        <f t="shared" si="64"/>
        <v/>
      </c>
      <c r="FAT6" s="97" t="str">
        <f t="shared" ref="FAT6:FDE6" si="65">IFERROR(AVERAGE(FAT7:FAT13),"")</f>
        <v/>
      </c>
      <c r="FAU6" s="97" t="str">
        <f t="shared" si="65"/>
        <v/>
      </c>
      <c r="FAV6" s="97" t="str">
        <f t="shared" si="65"/>
        <v/>
      </c>
      <c r="FAW6" s="97" t="str">
        <f t="shared" si="65"/>
        <v/>
      </c>
      <c r="FAX6" s="97" t="str">
        <f t="shared" si="65"/>
        <v/>
      </c>
      <c r="FAY6" s="97" t="str">
        <f t="shared" si="65"/>
        <v/>
      </c>
      <c r="FAZ6" s="97" t="str">
        <f t="shared" si="65"/>
        <v/>
      </c>
      <c r="FBA6" s="97" t="str">
        <f t="shared" si="65"/>
        <v/>
      </c>
      <c r="FBB6" s="97" t="str">
        <f t="shared" si="65"/>
        <v/>
      </c>
      <c r="FBC6" s="97" t="str">
        <f t="shared" si="65"/>
        <v/>
      </c>
      <c r="FBD6" s="97" t="str">
        <f t="shared" si="65"/>
        <v/>
      </c>
      <c r="FBE6" s="97" t="str">
        <f t="shared" si="65"/>
        <v/>
      </c>
      <c r="FBF6" s="97" t="str">
        <f t="shared" si="65"/>
        <v/>
      </c>
      <c r="FBG6" s="97" t="str">
        <f t="shared" si="65"/>
        <v/>
      </c>
      <c r="FBH6" s="97" t="str">
        <f t="shared" si="65"/>
        <v/>
      </c>
      <c r="FBI6" s="97" t="str">
        <f t="shared" si="65"/>
        <v/>
      </c>
      <c r="FBJ6" s="97" t="str">
        <f t="shared" si="65"/>
        <v/>
      </c>
      <c r="FBK6" s="97" t="str">
        <f t="shared" si="65"/>
        <v/>
      </c>
      <c r="FBL6" s="97" t="str">
        <f t="shared" si="65"/>
        <v/>
      </c>
      <c r="FBM6" s="97" t="str">
        <f t="shared" si="65"/>
        <v/>
      </c>
      <c r="FBN6" s="97" t="str">
        <f t="shared" si="65"/>
        <v/>
      </c>
      <c r="FBO6" s="97" t="str">
        <f t="shared" si="65"/>
        <v/>
      </c>
      <c r="FBP6" s="97" t="str">
        <f t="shared" si="65"/>
        <v/>
      </c>
      <c r="FBQ6" s="97" t="str">
        <f t="shared" si="65"/>
        <v/>
      </c>
      <c r="FBR6" s="97" t="str">
        <f t="shared" si="65"/>
        <v/>
      </c>
      <c r="FBS6" s="97" t="str">
        <f t="shared" si="65"/>
        <v/>
      </c>
      <c r="FBT6" s="97" t="str">
        <f t="shared" si="65"/>
        <v/>
      </c>
      <c r="FBU6" s="97" t="str">
        <f t="shared" si="65"/>
        <v/>
      </c>
      <c r="FBV6" s="97" t="str">
        <f t="shared" si="65"/>
        <v/>
      </c>
      <c r="FBW6" s="97" t="str">
        <f t="shared" si="65"/>
        <v/>
      </c>
      <c r="FBX6" s="97" t="str">
        <f t="shared" si="65"/>
        <v/>
      </c>
      <c r="FBY6" s="97" t="str">
        <f t="shared" si="65"/>
        <v/>
      </c>
      <c r="FBZ6" s="97" t="str">
        <f t="shared" si="65"/>
        <v/>
      </c>
      <c r="FCA6" s="97" t="str">
        <f t="shared" si="65"/>
        <v/>
      </c>
      <c r="FCB6" s="97" t="str">
        <f t="shared" si="65"/>
        <v/>
      </c>
      <c r="FCC6" s="97" t="str">
        <f t="shared" si="65"/>
        <v/>
      </c>
      <c r="FCD6" s="97" t="str">
        <f t="shared" si="65"/>
        <v/>
      </c>
      <c r="FCE6" s="97" t="str">
        <f t="shared" si="65"/>
        <v/>
      </c>
      <c r="FCF6" s="97" t="str">
        <f t="shared" si="65"/>
        <v/>
      </c>
      <c r="FCG6" s="97" t="str">
        <f t="shared" si="65"/>
        <v/>
      </c>
      <c r="FCH6" s="97" t="str">
        <f t="shared" si="65"/>
        <v/>
      </c>
      <c r="FCI6" s="97" t="str">
        <f t="shared" si="65"/>
        <v/>
      </c>
      <c r="FCJ6" s="97" t="str">
        <f t="shared" si="65"/>
        <v/>
      </c>
      <c r="FCK6" s="97" t="str">
        <f t="shared" si="65"/>
        <v/>
      </c>
      <c r="FCL6" s="97" t="str">
        <f t="shared" si="65"/>
        <v/>
      </c>
      <c r="FCM6" s="97" t="str">
        <f t="shared" si="65"/>
        <v/>
      </c>
      <c r="FCN6" s="97" t="str">
        <f t="shared" si="65"/>
        <v/>
      </c>
      <c r="FCO6" s="97" t="str">
        <f t="shared" si="65"/>
        <v/>
      </c>
      <c r="FCP6" s="97" t="str">
        <f t="shared" si="65"/>
        <v/>
      </c>
      <c r="FCQ6" s="97" t="str">
        <f t="shared" si="65"/>
        <v/>
      </c>
      <c r="FCR6" s="97" t="str">
        <f t="shared" si="65"/>
        <v/>
      </c>
      <c r="FCS6" s="97" t="str">
        <f t="shared" si="65"/>
        <v/>
      </c>
      <c r="FCT6" s="97" t="str">
        <f t="shared" si="65"/>
        <v/>
      </c>
      <c r="FCU6" s="97" t="str">
        <f t="shared" si="65"/>
        <v/>
      </c>
      <c r="FCV6" s="97" t="str">
        <f t="shared" si="65"/>
        <v/>
      </c>
      <c r="FCW6" s="97" t="str">
        <f t="shared" si="65"/>
        <v/>
      </c>
      <c r="FCX6" s="97" t="str">
        <f t="shared" si="65"/>
        <v/>
      </c>
      <c r="FCY6" s="97" t="str">
        <f t="shared" si="65"/>
        <v/>
      </c>
      <c r="FCZ6" s="97" t="str">
        <f t="shared" si="65"/>
        <v/>
      </c>
      <c r="FDA6" s="97" t="str">
        <f t="shared" si="65"/>
        <v/>
      </c>
      <c r="FDB6" s="97" t="str">
        <f t="shared" si="65"/>
        <v/>
      </c>
      <c r="FDC6" s="97" t="str">
        <f t="shared" si="65"/>
        <v/>
      </c>
      <c r="FDD6" s="97" t="str">
        <f t="shared" si="65"/>
        <v/>
      </c>
      <c r="FDE6" s="97" t="str">
        <f t="shared" si="65"/>
        <v/>
      </c>
      <c r="FDF6" s="97" t="str">
        <f t="shared" ref="FDF6:FFQ6" si="66">IFERROR(AVERAGE(FDF7:FDF13),"")</f>
        <v/>
      </c>
      <c r="FDG6" s="97" t="str">
        <f t="shared" si="66"/>
        <v/>
      </c>
      <c r="FDH6" s="97" t="str">
        <f t="shared" si="66"/>
        <v/>
      </c>
      <c r="FDI6" s="97" t="str">
        <f t="shared" si="66"/>
        <v/>
      </c>
      <c r="FDJ6" s="97" t="str">
        <f t="shared" si="66"/>
        <v/>
      </c>
      <c r="FDK6" s="97" t="str">
        <f t="shared" si="66"/>
        <v/>
      </c>
      <c r="FDL6" s="97" t="str">
        <f t="shared" si="66"/>
        <v/>
      </c>
      <c r="FDM6" s="97" t="str">
        <f t="shared" si="66"/>
        <v/>
      </c>
      <c r="FDN6" s="97" t="str">
        <f t="shared" si="66"/>
        <v/>
      </c>
      <c r="FDO6" s="97" t="str">
        <f t="shared" si="66"/>
        <v/>
      </c>
      <c r="FDP6" s="97" t="str">
        <f t="shared" si="66"/>
        <v/>
      </c>
      <c r="FDQ6" s="97" t="str">
        <f t="shared" si="66"/>
        <v/>
      </c>
      <c r="FDR6" s="97" t="str">
        <f t="shared" si="66"/>
        <v/>
      </c>
      <c r="FDS6" s="97" t="str">
        <f t="shared" si="66"/>
        <v/>
      </c>
      <c r="FDT6" s="97" t="str">
        <f t="shared" si="66"/>
        <v/>
      </c>
      <c r="FDU6" s="97" t="str">
        <f t="shared" si="66"/>
        <v/>
      </c>
      <c r="FDV6" s="97" t="str">
        <f t="shared" si="66"/>
        <v/>
      </c>
      <c r="FDW6" s="97" t="str">
        <f t="shared" si="66"/>
        <v/>
      </c>
      <c r="FDX6" s="97" t="str">
        <f t="shared" si="66"/>
        <v/>
      </c>
      <c r="FDY6" s="97" t="str">
        <f t="shared" si="66"/>
        <v/>
      </c>
      <c r="FDZ6" s="97" t="str">
        <f t="shared" si="66"/>
        <v/>
      </c>
      <c r="FEA6" s="97" t="str">
        <f t="shared" si="66"/>
        <v/>
      </c>
      <c r="FEB6" s="97" t="str">
        <f t="shared" si="66"/>
        <v/>
      </c>
      <c r="FEC6" s="97" t="str">
        <f t="shared" si="66"/>
        <v/>
      </c>
      <c r="FED6" s="97" t="str">
        <f t="shared" si="66"/>
        <v/>
      </c>
      <c r="FEE6" s="97" t="str">
        <f t="shared" si="66"/>
        <v/>
      </c>
      <c r="FEF6" s="97" t="str">
        <f t="shared" si="66"/>
        <v/>
      </c>
      <c r="FEG6" s="97" t="str">
        <f t="shared" si="66"/>
        <v/>
      </c>
      <c r="FEH6" s="97" t="str">
        <f t="shared" si="66"/>
        <v/>
      </c>
      <c r="FEI6" s="97" t="str">
        <f t="shared" si="66"/>
        <v/>
      </c>
      <c r="FEJ6" s="97" t="str">
        <f t="shared" si="66"/>
        <v/>
      </c>
      <c r="FEK6" s="97" t="str">
        <f t="shared" si="66"/>
        <v/>
      </c>
      <c r="FEL6" s="97" t="str">
        <f t="shared" si="66"/>
        <v/>
      </c>
      <c r="FEM6" s="97" t="str">
        <f t="shared" si="66"/>
        <v/>
      </c>
      <c r="FEN6" s="97" t="str">
        <f t="shared" si="66"/>
        <v/>
      </c>
      <c r="FEO6" s="97" t="str">
        <f t="shared" si="66"/>
        <v/>
      </c>
      <c r="FEP6" s="97" t="str">
        <f t="shared" si="66"/>
        <v/>
      </c>
      <c r="FEQ6" s="97" t="str">
        <f t="shared" si="66"/>
        <v/>
      </c>
      <c r="FER6" s="97" t="str">
        <f t="shared" si="66"/>
        <v/>
      </c>
      <c r="FES6" s="97" t="str">
        <f t="shared" si="66"/>
        <v/>
      </c>
      <c r="FET6" s="97" t="str">
        <f t="shared" si="66"/>
        <v/>
      </c>
      <c r="FEU6" s="97" t="str">
        <f t="shared" si="66"/>
        <v/>
      </c>
      <c r="FEV6" s="97" t="str">
        <f t="shared" si="66"/>
        <v/>
      </c>
      <c r="FEW6" s="97" t="str">
        <f t="shared" si="66"/>
        <v/>
      </c>
      <c r="FEX6" s="97" t="str">
        <f t="shared" si="66"/>
        <v/>
      </c>
      <c r="FEY6" s="97" t="str">
        <f t="shared" si="66"/>
        <v/>
      </c>
      <c r="FEZ6" s="97" t="str">
        <f t="shared" si="66"/>
        <v/>
      </c>
      <c r="FFA6" s="97" t="str">
        <f t="shared" si="66"/>
        <v/>
      </c>
      <c r="FFB6" s="97" t="str">
        <f t="shared" si="66"/>
        <v/>
      </c>
      <c r="FFC6" s="97" t="str">
        <f t="shared" si="66"/>
        <v/>
      </c>
      <c r="FFD6" s="97" t="str">
        <f t="shared" si="66"/>
        <v/>
      </c>
      <c r="FFE6" s="97" t="str">
        <f t="shared" si="66"/>
        <v/>
      </c>
      <c r="FFF6" s="97" t="str">
        <f t="shared" si="66"/>
        <v/>
      </c>
      <c r="FFG6" s="97" t="str">
        <f t="shared" si="66"/>
        <v/>
      </c>
      <c r="FFH6" s="97" t="str">
        <f t="shared" si="66"/>
        <v/>
      </c>
      <c r="FFI6" s="97" t="str">
        <f t="shared" si="66"/>
        <v/>
      </c>
      <c r="FFJ6" s="97" t="str">
        <f t="shared" si="66"/>
        <v/>
      </c>
      <c r="FFK6" s="97" t="str">
        <f t="shared" si="66"/>
        <v/>
      </c>
      <c r="FFL6" s="97" t="str">
        <f t="shared" si="66"/>
        <v/>
      </c>
      <c r="FFM6" s="97" t="str">
        <f t="shared" si="66"/>
        <v/>
      </c>
      <c r="FFN6" s="97" t="str">
        <f t="shared" si="66"/>
        <v/>
      </c>
      <c r="FFO6" s="97" t="str">
        <f t="shared" si="66"/>
        <v/>
      </c>
      <c r="FFP6" s="97" t="str">
        <f t="shared" si="66"/>
        <v/>
      </c>
      <c r="FFQ6" s="97" t="str">
        <f t="shared" si="66"/>
        <v/>
      </c>
      <c r="FFR6" s="97" t="str">
        <f t="shared" ref="FFR6:FIC6" si="67">IFERROR(AVERAGE(FFR7:FFR13),"")</f>
        <v/>
      </c>
      <c r="FFS6" s="97" t="str">
        <f t="shared" si="67"/>
        <v/>
      </c>
      <c r="FFT6" s="97" t="str">
        <f t="shared" si="67"/>
        <v/>
      </c>
      <c r="FFU6" s="97" t="str">
        <f t="shared" si="67"/>
        <v/>
      </c>
      <c r="FFV6" s="97" t="str">
        <f t="shared" si="67"/>
        <v/>
      </c>
      <c r="FFW6" s="97" t="str">
        <f t="shared" si="67"/>
        <v/>
      </c>
      <c r="FFX6" s="97" t="str">
        <f t="shared" si="67"/>
        <v/>
      </c>
      <c r="FFY6" s="97" t="str">
        <f t="shared" si="67"/>
        <v/>
      </c>
      <c r="FFZ6" s="97" t="str">
        <f t="shared" si="67"/>
        <v/>
      </c>
      <c r="FGA6" s="97" t="str">
        <f t="shared" si="67"/>
        <v/>
      </c>
      <c r="FGB6" s="97" t="str">
        <f t="shared" si="67"/>
        <v/>
      </c>
      <c r="FGC6" s="97" t="str">
        <f t="shared" si="67"/>
        <v/>
      </c>
      <c r="FGD6" s="97" t="str">
        <f t="shared" si="67"/>
        <v/>
      </c>
      <c r="FGE6" s="97" t="str">
        <f t="shared" si="67"/>
        <v/>
      </c>
      <c r="FGF6" s="97" t="str">
        <f t="shared" si="67"/>
        <v/>
      </c>
      <c r="FGG6" s="97" t="str">
        <f t="shared" si="67"/>
        <v/>
      </c>
      <c r="FGH6" s="97" t="str">
        <f t="shared" si="67"/>
        <v/>
      </c>
      <c r="FGI6" s="97" t="str">
        <f t="shared" si="67"/>
        <v/>
      </c>
      <c r="FGJ6" s="97" t="str">
        <f t="shared" si="67"/>
        <v/>
      </c>
      <c r="FGK6" s="97" t="str">
        <f t="shared" si="67"/>
        <v/>
      </c>
      <c r="FGL6" s="97" t="str">
        <f t="shared" si="67"/>
        <v/>
      </c>
      <c r="FGM6" s="97" t="str">
        <f t="shared" si="67"/>
        <v/>
      </c>
      <c r="FGN6" s="97" t="str">
        <f t="shared" si="67"/>
        <v/>
      </c>
      <c r="FGO6" s="97" t="str">
        <f t="shared" si="67"/>
        <v/>
      </c>
      <c r="FGP6" s="97" t="str">
        <f t="shared" si="67"/>
        <v/>
      </c>
      <c r="FGQ6" s="97" t="str">
        <f t="shared" si="67"/>
        <v/>
      </c>
      <c r="FGR6" s="97" t="str">
        <f t="shared" si="67"/>
        <v/>
      </c>
      <c r="FGS6" s="97" t="str">
        <f t="shared" si="67"/>
        <v/>
      </c>
      <c r="FGT6" s="97" t="str">
        <f t="shared" si="67"/>
        <v/>
      </c>
      <c r="FGU6" s="97" t="str">
        <f t="shared" si="67"/>
        <v/>
      </c>
      <c r="FGV6" s="97" t="str">
        <f t="shared" si="67"/>
        <v/>
      </c>
      <c r="FGW6" s="97" t="str">
        <f t="shared" si="67"/>
        <v/>
      </c>
      <c r="FGX6" s="97" t="str">
        <f t="shared" si="67"/>
        <v/>
      </c>
      <c r="FGY6" s="97" t="str">
        <f t="shared" si="67"/>
        <v/>
      </c>
      <c r="FGZ6" s="97" t="str">
        <f t="shared" si="67"/>
        <v/>
      </c>
      <c r="FHA6" s="97" t="str">
        <f t="shared" si="67"/>
        <v/>
      </c>
      <c r="FHB6" s="97" t="str">
        <f t="shared" si="67"/>
        <v/>
      </c>
      <c r="FHC6" s="97" t="str">
        <f t="shared" si="67"/>
        <v/>
      </c>
      <c r="FHD6" s="97" t="str">
        <f t="shared" si="67"/>
        <v/>
      </c>
      <c r="FHE6" s="97" t="str">
        <f t="shared" si="67"/>
        <v/>
      </c>
      <c r="FHF6" s="97" t="str">
        <f t="shared" si="67"/>
        <v/>
      </c>
      <c r="FHG6" s="97" t="str">
        <f t="shared" si="67"/>
        <v/>
      </c>
      <c r="FHH6" s="97" t="str">
        <f t="shared" si="67"/>
        <v/>
      </c>
      <c r="FHI6" s="97" t="str">
        <f t="shared" si="67"/>
        <v/>
      </c>
      <c r="FHJ6" s="97" t="str">
        <f t="shared" si="67"/>
        <v/>
      </c>
      <c r="FHK6" s="97" t="str">
        <f t="shared" si="67"/>
        <v/>
      </c>
      <c r="FHL6" s="97" t="str">
        <f t="shared" si="67"/>
        <v/>
      </c>
      <c r="FHM6" s="97" t="str">
        <f t="shared" si="67"/>
        <v/>
      </c>
      <c r="FHN6" s="97" t="str">
        <f t="shared" si="67"/>
        <v/>
      </c>
      <c r="FHO6" s="97" t="str">
        <f t="shared" si="67"/>
        <v/>
      </c>
      <c r="FHP6" s="97" t="str">
        <f t="shared" si="67"/>
        <v/>
      </c>
      <c r="FHQ6" s="97" t="str">
        <f t="shared" si="67"/>
        <v/>
      </c>
      <c r="FHR6" s="97" t="str">
        <f t="shared" si="67"/>
        <v/>
      </c>
      <c r="FHS6" s="97" t="str">
        <f t="shared" si="67"/>
        <v/>
      </c>
      <c r="FHT6" s="97" t="str">
        <f t="shared" si="67"/>
        <v/>
      </c>
      <c r="FHU6" s="97" t="str">
        <f t="shared" si="67"/>
        <v/>
      </c>
      <c r="FHV6" s="97" t="str">
        <f t="shared" si="67"/>
        <v/>
      </c>
      <c r="FHW6" s="97" t="str">
        <f t="shared" si="67"/>
        <v/>
      </c>
      <c r="FHX6" s="97" t="str">
        <f t="shared" si="67"/>
        <v/>
      </c>
      <c r="FHY6" s="97" t="str">
        <f t="shared" si="67"/>
        <v/>
      </c>
      <c r="FHZ6" s="97" t="str">
        <f t="shared" si="67"/>
        <v/>
      </c>
      <c r="FIA6" s="97" t="str">
        <f t="shared" si="67"/>
        <v/>
      </c>
      <c r="FIB6" s="97" t="str">
        <f t="shared" si="67"/>
        <v/>
      </c>
      <c r="FIC6" s="97" t="str">
        <f t="shared" si="67"/>
        <v/>
      </c>
      <c r="FID6" s="97" t="str">
        <f t="shared" ref="FID6:FKO6" si="68">IFERROR(AVERAGE(FID7:FID13),"")</f>
        <v/>
      </c>
      <c r="FIE6" s="97" t="str">
        <f t="shared" si="68"/>
        <v/>
      </c>
      <c r="FIF6" s="97" t="str">
        <f t="shared" si="68"/>
        <v/>
      </c>
      <c r="FIG6" s="97" t="str">
        <f t="shared" si="68"/>
        <v/>
      </c>
      <c r="FIH6" s="97" t="str">
        <f t="shared" si="68"/>
        <v/>
      </c>
      <c r="FII6" s="97" t="str">
        <f t="shared" si="68"/>
        <v/>
      </c>
      <c r="FIJ6" s="97" t="str">
        <f t="shared" si="68"/>
        <v/>
      </c>
      <c r="FIK6" s="97" t="str">
        <f t="shared" si="68"/>
        <v/>
      </c>
      <c r="FIL6" s="97" t="str">
        <f t="shared" si="68"/>
        <v/>
      </c>
      <c r="FIM6" s="97" t="str">
        <f t="shared" si="68"/>
        <v/>
      </c>
      <c r="FIN6" s="97" t="str">
        <f t="shared" si="68"/>
        <v/>
      </c>
      <c r="FIO6" s="97" t="str">
        <f t="shared" si="68"/>
        <v/>
      </c>
      <c r="FIP6" s="97" t="str">
        <f t="shared" si="68"/>
        <v/>
      </c>
      <c r="FIQ6" s="97" t="str">
        <f t="shared" si="68"/>
        <v/>
      </c>
      <c r="FIR6" s="97" t="str">
        <f t="shared" si="68"/>
        <v/>
      </c>
      <c r="FIS6" s="97" t="str">
        <f t="shared" si="68"/>
        <v/>
      </c>
      <c r="FIT6" s="97" t="str">
        <f t="shared" si="68"/>
        <v/>
      </c>
      <c r="FIU6" s="97" t="str">
        <f t="shared" si="68"/>
        <v/>
      </c>
      <c r="FIV6" s="97" t="str">
        <f t="shared" si="68"/>
        <v/>
      </c>
      <c r="FIW6" s="97" t="str">
        <f t="shared" si="68"/>
        <v/>
      </c>
      <c r="FIX6" s="97" t="str">
        <f t="shared" si="68"/>
        <v/>
      </c>
      <c r="FIY6" s="97" t="str">
        <f t="shared" si="68"/>
        <v/>
      </c>
      <c r="FIZ6" s="97" t="str">
        <f t="shared" si="68"/>
        <v/>
      </c>
      <c r="FJA6" s="97" t="str">
        <f t="shared" si="68"/>
        <v/>
      </c>
      <c r="FJB6" s="97" t="str">
        <f t="shared" si="68"/>
        <v/>
      </c>
      <c r="FJC6" s="97" t="str">
        <f t="shared" si="68"/>
        <v/>
      </c>
      <c r="FJD6" s="97" t="str">
        <f t="shared" si="68"/>
        <v/>
      </c>
      <c r="FJE6" s="97" t="str">
        <f t="shared" si="68"/>
        <v/>
      </c>
      <c r="FJF6" s="97" t="str">
        <f t="shared" si="68"/>
        <v/>
      </c>
      <c r="FJG6" s="97" t="str">
        <f t="shared" si="68"/>
        <v/>
      </c>
      <c r="FJH6" s="97" t="str">
        <f t="shared" si="68"/>
        <v/>
      </c>
      <c r="FJI6" s="97" t="str">
        <f t="shared" si="68"/>
        <v/>
      </c>
      <c r="FJJ6" s="97" t="str">
        <f t="shared" si="68"/>
        <v/>
      </c>
      <c r="FJK6" s="97" t="str">
        <f t="shared" si="68"/>
        <v/>
      </c>
      <c r="FJL6" s="97" t="str">
        <f t="shared" si="68"/>
        <v/>
      </c>
      <c r="FJM6" s="97" t="str">
        <f t="shared" si="68"/>
        <v/>
      </c>
      <c r="FJN6" s="97" t="str">
        <f t="shared" si="68"/>
        <v/>
      </c>
      <c r="FJO6" s="97" t="str">
        <f t="shared" si="68"/>
        <v/>
      </c>
      <c r="FJP6" s="97" t="str">
        <f t="shared" si="68"/>
        <v/>
      </c>
      <c r="FJQ6" s="97" t="str">
        <f t="shared" si="68"/>
        <v/>
      </c>
      <c r="FJR6" s="97" t="str">
        <f t="shared" si="68"/>
        <v/>
      </c>
      <c r="FJS6" s="97" t="str">
        <f t="shared" si="68"/>
        <v/>
      </c>
      <c r="FJT6" s="97" t="str">
        <f t="shared" si="68"/>
        <v/>
      </c>
      <c r="FJU6" s="97" t="str">
        <f t="shared" si="68"/>
        <v/>
      </c>
      <c r="FJV6" s="97" t="str">
        <f t="shared" si="68"/>
        <v/>
      </c>
      <c r="FJW6" s="97" t="str">
        <f t="shared" si="68"/>
        <v/>
      </c>
      <c r="FJX6" s="97" t="str">
        <f t="shared" si="68"/>
        <v/>
      </c>
      <c r="FJY6" s="97" t="str">
        <f t="shared" si="68"/>
        <v/>
      </c>
      <c r="FJZ6" s="97" t="str">
        <f t="shared" si="68"/>
        <v/>
      </c>
      <c r="FKA6" s="97" t="str">
        <f t="shared" si="68"/>
        <v/>
      </c>
      <c r="FKB6" s="97" t="str">
        <f t="shared" si="68"/>
        <v/>
      </c>
      <c r="FKC6" s="97" t="str">
        <f t="shared" si="68"/>
        <v/>
      </c>
      <c r="FKD6" s="97" t="str">
        <f t="shared" si="68"/>
        <v/>
      </c>
      <c r="FKE6" s="97" t="str">
        <f t="shared" si="68"/>
        <v/>
      </c>
      <c r="FKF6" s="97" t="str">
        <f t="shared" si="68"/>
        <v/>
      </c>
      <c r="FKG6" s="97" t="str">
        <f t="shared" si="68"/>
        <v/>
      </c>
      <c r="FKH6" s="97" t="str">
        <f t="shared" si="68"/>
        <v/>
      </c>
      <c r="FKI6" s="97" t="str">
        <f t="shared" si="68"/>
        <v/>
      </c>
      <c r="FKJ6" s="97" t="str">
        <f t="shared" si="68"/>
        <v/>
      </c>
      <c r="FKK6" s="97" t="str">
        <f t="shared" si="68"/>
        <v/>
      </c>
      <c r="FKL6" s="97" t="str">
        <f t="shared" si="68"/>
        <v/>
      </c>
      <c r="FKM6" s="97" t="str">
        <f t="shared" si="68"/>
        <v/>
      </c>
      <c r="FKN6" s="97" t="str">
        <f t="shared" si="68"/>
        <v/>
      </c>
      <c r="FKO6" s="97" t="str">
        <f t="shared" si="68"/>
        <v/>
      </c>
      <c r="FKP6" s="97" t="str">
        <f t="shared" ref="FKP6:FNA6" si="69">IFERROR(AVERAGE(FKP7:FKP13),"")</f>
        <v/>
      </c>
      <c r="FKQ6" s="97" t="str">
        <f t="shared" si="69"/>
        <v/>
      </c>
      <c r="FKR6" s="97" t="str">
        <f t="shared" si="69"/>
        <v/>
      </c>
      <c r="FKS6" s="97" t="str">
        <f t="shared" si="69"/>
        <v/>
      </c>
      <c r="FKT6" s="97" t="str">
        <f t="shared" si="69"/>
        <v/>
      </c>
      <c r="FKU6" s="97" t="str">
        <f t="shared" si="69"/>
        <v/>
      </c>
      <c r="FKV6" s="97" t="str">
        <f t="shared" si="69"/>
        <v/>
      </c>
      <c r="FKW6" s="97" t="str">
        <f t="shared" si="69"/>
        <v/>
      </c>
      <c r="FKX6" s="97" t="str">
        <f t="shared" si="69"/>
        <v/>
      </c>
      <c r="FKY6" s="97" t="str">
        <f t="shared" si="69"/>
        <v/>
      </c>
      <c r="FKZ6" s="97" t="str">
        <f t="shared" si="69"/>
        <v/>
      </c>
      <c r="FLA6" s="97" t="str">
        <f t="shared" si="69"/>
        <v/>
      </c>
      <c r="FLB6" s="97" t="str">
        <f t="shared" si="69"/>
        <v/>
      </c>
      <c r="FLC6" s="97" t="str">
        <f t="shared" si="69"/>
        <v/>
      </c>
      <c r="FLD6" s="97" t="str">
        <f t="shared" si="69"/>
        <v/>
      </c>
      <c r="FLE6" s="97" t="str">
        <f t="shared" si="69"/>
        <v/>
      </c>
      <c r="FLF6" s="97" t="str">
        <f t="shared" si="69"/>
        <v/>
      </c>
      <c r="FLG6" s="97" t="str">
        <f t="shared" si="69"/>
        <v/>
      </c>
      <c r="FLH6" s="97" t="str">
        <f t="shared" si="69"/>
        <v/>
      </c>
      <c r="FLI6" s="97" t="str">
        <f t="shared" si="69"/>
        <v/>
      </c>
      <c r="FLJ6" s="97" t="str">
        <f t="shared" si="69"/>
        <v/>
      </c>
      <c r="FLK6" s="97" t="str">
        <f t="shared" si="69"/>
        <v/>
      </c>
      <c r="FLL6" s="97" t="str">
        <f t="shared" si="69"/>
        <v/>
      </c>
      <c r="FLM6" s="97" t="str">
        <f t="shared" si="69"/>
        <v/>
      </c>
      <c r="FLN6" s="97" t="str">
        <f t="shared" si="69"/>
        <v/>
      </c>
      <c r="FLO6" s="97" t="str">
        <f t="shared" si="69"/>
        <v/>
      </c>
      <c r="FLP6" s="97" t="str">
        <f t="shared" si="69"/>
        <v/>
      </c>
      <c r="FLQ6" s="97" t="str">
        <f t="shared" si="69"/>
        <v/>
      </c>
      <c r="FLR6" s="97" t="str">
        <f t="shared" si="69"/>
        <v/>
      </c>
      <c r="FLS6" s="97" t="str">
        <f t="shared" si="69"/>
        <v/>
      </c>
      <c r="FLT6" s="97" t="str">
        <f t="shared" si="69"/>
        <v/>
      </c>
      <c r="FLU6" s="97" t="str">
        <f t="shared" si="69"/>
        <v/>
      </c>
      <c r="FLV6" s="97" t="str">
        <f t="shared" si="69"/>
        <v/>
      </c>
      <c r="FLW6" s="97" t="str">
        <f t="shared" si="69"/>
        <v/>
      </c>
      <c r="FLX6" s="97" t="str">
        <f t="shared" si="69"/>
        <v/>
      </c>
      <c r="FLY6" s="97" t="str">
        <f t="shared" si="69"/>
        <v/>
      </c>
      <c r="FLZ6" s="97" t="str">
        <f t="shared" si="69"/>
        <v/>
      </c>
      <c r="FMA6" s="97" t="str">
        <f t="shared" si="69"/>
        <v/>
      </c>
      <c r="FMB6" s="97" t="str">
        <f t="shared" si="69"/>
        <v/>
      </c>
      <c r="FMC6" s="97" t="str">
        <f t="shared" si="69"/>
        <v/>
      </c>
      <c r="FMD6" s="97" t="str">
        <f t="shared" si="69"/>
        <v/>
      </c>
      <c r="FME6" s="97" t="str">
        <f t="shared" si="69"/>
        <v/>
      </c>
      <c r="FMF6" s="97" t="str">
        <f t="shared" si="69"/>
        <v/>
      </c>
      <c r="FMG6" s="97" t="str">
        <f t="shared" si="69"/>
        <v/>
      </c>
      <c r="FMH6" s="97" t="str">
        <f t="shared" si="69"/>
        <v/>
      </c>
      <c r="FMI6" s="97" t="str">
        <f t="shared" si="69"/>
        <v/>
      </c>
      <c r="FMJ6" s="97" t="str">
        <f t="shared" si="69"/>
        <v/>
      </c>
      <c r="FMK6" s="97" t="str">
        <f t="shared" si="69"/>
        <v/>
      </c>
      <c r="FML6" s="97" t="str">
        <f t="shared" si="69"/>
        <v/>
      </c>
      <c r="FMM6" s="97" t="str">
        <f t="shared" si="69"/>
        <v/>
      </c>
      <c r="FMN6" s="97" t="str">
        <f t="shared" si="69"/>
        <v/>
      </c>
      <c r="FMO6" s="97" t="str">
        <f t="shared" si="69"/>
        <v/>
      </c>
      <c r="FMP6" s="97" t="str">
        <f t="shared" si="69"/>
        <v/>
      </c>
      <c r="FMQ6" s="97" t="str">
        <f t="shared" si="69"/>
        <v/>
      </c>
      <c r="FMR6" s="97" t="str">
        <f t="shared" si="69"/>
        <v/>
      </c>
      <c r="FMS6" s="97" t="str">
        <f t="shared" si="69"/>
        <v/>
      </c>
      <c r="FMT6" s="97" t="str">
        <f t="shared" si="69"/>
        <v/>
      </c>
      <c r="FMU6" s="97" t="str">
        <f t="shared" si="69"/>
        <v/>
      </c>
      <c r="FMV6" s="97" t="str">
        <f t="shared" si="69"/>
        <v/>
      </c>
      <c r="FMW6" s="97" t="str">
        <f t="shared" si="69"/>
        <v/>
      </c>
      <c r="FMX6" s="97" t="str">
        <f t="shared" si="69"/>
        <v/>
      </c>
      <c r="FMY6" s="97" t="str">
        <f t="shared" si="69"/>
        <v/>
      </c>
      <c r="FMZ6" s="97" t="str">
        <f t="shared" si="69"/>
        <v/>
      </c>
      <c r="FNA6" s="97" t="str">
        <f t="shared" si="69"/>
        <v/>
      </c>
      <c r="FNB6" s="97" t="str">
        <f t="shared" ref="FNB6:FPM6" si="70">IFERROR(AVERAGE(FNB7:FNB13),"")</f>
        <v/>
      </c>
      <c r="FNC6" s="97" t="str">
        <f t="shared" si="70"/>
        <v/>
      </c>
      <c r="FND6" s="97" t="str">
        <f t="shared" si="70"/>
        <v/>
      </c>
      <c r="FNE6" s="97" t="str">
        <f t="shared" si="70"/>
        <v/>
      </c>
      <c r="FNF6" s="97" t="str">
        <f t="shared" si="70"/>
        <v/>
      </c>
      <c r="FNG6" s="97" t="str">
        <f t="shared" si="70"/>
        <v/>
      </c>
      <c r="FNH6" s="97" t="str">
        <f t="shared" si="70"/>
        <v/>
      </c>
      <c r="FNI6" s="97" t="str">
        <f t="shared" si="70"/>
        <v/>
      </c>
      <c r="FNJ6" s="97" t="str">
        <f t="shared" si="70"/>
        <v/>
      </c>
      <c r="FNK6" s="97" t="str">
        <f t="shared" si="70"/>
        <v/>
      </c>
      <c r="FNL6" s="97" t="str">
        <f t="shared" si="70"/>
        <v/>
      </c>
      <c r="FNM6" s="97" t="str">
        <f t="shared" si="70"/>
        <v/>
      </c>
      <c r="FNN6" s="97" t="str">
        <f t="shared" si="70"/>
        <v/>
      </c>
      <c r="FNO6" s="97" t="str">
        <f t="shared" si="70"/>
        <v/>
      </c>
      <c r="FNP6" s="97" t="str">
        <f t="shared" si="70"/>
        <v/>
      </c>
      <c r="FNQ6" s="97" t="str">
        <f t="shared" si="70"/>
        <v/>
      </c>
      <c r="FNR6" s="97" t="str">
        <f t="shared" si="70"/>
        <v/>
      </c>
      <c r="FNS6" s="97" t="str">
        <f t="shared" si="70"/>
        <v/>
      </c>
      <c r="FNT6" s="97" t="str">
        <f t="shared" si="70"/>
        <v/>
      </c>
      <c r="FNU6" s="97" t="str">
        <f t="shared" si="70"/>
        <v/>
      </c>
      <c r="FNV6" s="97" t="str">
        <f t="shared" si="70"/>
        <v/>
      </c>
      <c r="FNW6" s="97" t="str">
        <f t="shared" si="70"/>
        <v/>
      </c>
      <c r="FNX6" s="97" t="str">
        <f t="shared" si="70"/>
        <v/>
      </c>
      <c r="FNY6" s="97" t="str">
        <f t="shared" si="70"/>
        <v/>
      </c>
      <c r="FNZ6" s="97" t="str">
        <f t="shared" si="70"/>
        <v/>
      </c>
      <c r="FOA6" s="97" t="str">
        <f t="shared" si="70"/>
        <v/>
      </c>
      <c r="FOB6" s="97" t="str">
        <f t="shared" si="70"/>
        <v/>
      </c>
      <c r="FOC6" s="97" t="str">
        <f t="shared" si="70"/>
        <v/>
      </c>
      <c r="FOD6" s="97" t="str">
        <f t="shared" si="70"/>
        <v/>
      </c>
      <c r="FOE6" s="97" t="str">
        <f t="shared" si="70"/>
        <v/>
      </c>
      <c r="FOF6" s="97" t="str">
        <f t="shared" si="70"/>
        <v/>
      </c>
      <c r="FOG6" s="97" t="str">
        <f t="shared" si="70"/>
        <v/>
      </c>
      <c r="FOH6" s="97" t="str">
        <f t="shared" si="70"/>
        <v/>
      </c>
      <c r="FOI6" s="97" t="str">
        <f t="shared" si="70"/>
        <v/>
      </c>
      <c r="FOJ6" s="97" t="str">
        <f t="shared" si="70"/>
        <v/>
      </c>
      <c r="FOK6" s="97" t="str">
        <f t="shared" si="70"/>
        <v/>
      </c>
      <c r="FOL6" s="97" t="str">
        <f t="shared" si="70"/>
        <v/>
      </c>
      <c r="FOM6" s="97" t="str">
        <f t="shared" si="70"/>
        <v/>
      </c>
      <c r="FON6" s="97" t="str">
        <f t="shared" si="70"/>
        <v/>
      </c>
      <c r="FOO6" s="97" t="str">
        <f t="shared" si="70"/>
        <v/>
      </c>
      <c r="FOP6" s="97" t="str">
        <f t="shared" si="70"/>
        <v/>
      </c>
      <c r="FOQ6" s="97" t="str">
        <f t="shared" si="70"/>
        <v/>
      </c>
      <c r="FOR6" s="97" t="str">
        <f t="shared" si="70"/>
        <v/>
      </c>
      <c r="FOS6" s="97" t="str">
        <f t="shared" si="70"/>
        <v/>
      </c>
      <c r="FOT6" s="97" t="str">
        <f t="shared" si="70"/>
        <v/>
      </c>
      <c r="FOU6" s="97" t="str">
        <f t="shared" si="70"/>
        <v/>
      </c>
      <c r="FOV6" s="97" t="str">
        <f t="shared" si="70"/>
        <v/>
      </c>
      <c r="FOW6" s="97" t="str">
        <f t="shared" si="70"/>
        <v/>
      </c>
      <c r="FOX6" s="97" t="str">
        <f t="shared" si="70"/>
        <v/>
      </c>
      <c r="FOY6" s="97" t="str">
        <f t="shared" si="70"/>
        <v/>
      </c>
      <c r="FOZ6" s="97" t="str">
        <f t="shared" si="70"/>
        <v/>
      </c>
      <c r="FPA6" s="97" t="str">
        <f t="shared" si="70"/>
        <v/>
      </c>
      <c r="FPB6" s="97" t="str">
        <f t="shared" si="70"/>
        <v/>
      </c>
      <c r="FPC6" s="97" t="str">
        <f t="shared" si="70"/>
        <v/>
      </c>
      <c r="FPD6" s="97" t="str">
        <f t="shared" si="70"/>
        <v/>
      </c>
      <c r="FPE6" s="97" t="str">
        <f t="shared" si="70"/>
        <v/>
      </c>
      <c r="FPF6" s="97" t="str">
        <f t="shared" si="70"/>
        <v/>
      </c>
      <c r="FPG6" s="97" t="str">
        <f t="shared" si="70"/>
        <v/>
      </c>
      <c r="FPH6" s="97" t="str">
        <f t="shared" si="70"/>
        <v/>
      </c>
      <c r="FPI6" s="97" t="str">
        <f t="shared" si="70"/>
        <v/>
      </c>
      <c r="FPJ6" s="97" t="str">
        <f t="shared" si="70"/>
        <v/>
      </c>
      <c r="FPK6" s="97" t="str">
        <f t="shared" si="70"/>
        <v/>
      </c>
      <c r="FPL6" s="97" t="str">
        <f t="shared" si="70"/>
        <v/>
      </c>
      <c r="FPM6" s="97" t="str">
        <f t="shared" si="70"/>
        <v/>
      </c>
      <c r="FPN6" s="97" t="str">
        <f t="shared" ref="FPN6:FRY6" si="71">IFERROR(AVERAGE(FPN7:FPN13),"")</f>
        <v/>
      </c>
      <c r="FPO6" s="97" t="str">
        <f t="shared" si="71"/>
        <v/>
      </c>
      <c r="FPP6" s="97" t="str">
        <f t="shared" si="71"/>
        <v/>
      </c>
      <c r="FPQ6" s="97" t="str">
        <f t="shared" si="71"/>
        <v/>
      </c>
      <c r="FPR6" s="97" t="str">
        <f t="shared" si="71"/>
        <v/>
      </c>
      <c r="FPS6" s="97" t="str">
        <f t="shared" si="71"/>
        <v/>
      </c>
      <c r="FPT6" s="97" t="str">
        <f t="shared" si="71"/>
        <v/>
      </c>
      <c r="FPU6" s="97" t="str">
        <f t="shared" si="71"/>
        <v/>
      </c>
      <c r="FPV6" s="97" t="str">
        <f t="shared" si="71"/>
        <v/>
      </c>
      <c r="FPW6" s="97" t="str">
        <f t="shared" si="71"/>
        <v/>
      </c>
      <c r="FPX6" s="97" t="str">
        <f t="shared" si="71"/>
        <v/>
      </c>
      <c r="FPY6" s="97" t="str">
        <f t="shared" si="71"/>
        <v/>
      </c>
      <c r="FPZ6" s="97" t="str">
        <f t="shared" si="71"/>
        <v/>
      </c>
      <c r="FQA6" s="97" t="str">
        <f t="shared" si="71"/>
        <v/>
      </c>
      <c r="FQB6" s="97" t="str">
        <f t="shared" si="71"/>
        <v/>
      </c>
      <c r="FQC6" s="97" t="str">
        <f t="shared" si="71"/>
        <v/>
      </c>
      <c r="FQD6" s="97" t="str">
        <f t="shared" si="71"/>
        <v/>
      </c>
      <c r="FQE6" s="97" t="str">
        <f t="shared" si="71"/>
        <v/>
      </c>
      <c r="FQF6" s="97" t="str">
        <f t="shared" si="71"/>
        <v/>
      </c>
      <c r="FQG6" s="97" t="str">
        <f t="shared" si="71"/>
        <v/>
      </c>
      <c r="FQH6" s="97" t="str">
        <f t="shared" si="71"/>
        <v/>
      </c>
      <c r="FQI6" s="97" t="str">
        <f t="shared" si="71"/>
        <v/>
      </c>
      <c r="FQJ6" s="97" t="str">
        <f t="shared" si="71"/>
        <v/>
      </c>
      <c r="FQK6" s="97" t="str">
        <f t="shared" si="71"/>
        <v/>
      </c>
      <c r="FQL6" s="97" t="str">
        <f t="shared" si="71"/>
        <v/>
      </c>
      <c r="FQM6" s="97" t="str">
        <f t="shared" si="71"/>
        <v/>
      </c>
      <c r="FQN6" s="97" t="str">
        <f t="shared" si="71"/>
        <v/>
      </c>
      <c r="FQO6" s="97" t="str">
        <f t="shared" si="71"/>
        <v/>
      </c>
      <c r="FQP6" s="97" t="str">
        <f t="shared" si="71"/>
        <v/>
      </c>
      <c r="FQQ6" s="97" t="str">
        <f t="shared" si="71"/>
        <v/>
      </c>
      <c r="FQR6" s="97" t="str">
        <f t="shared" si="71"/>
        <v/>
      </c>
      <c r="FQS6" s="97" t="str">
        <f t="shared" si="71"/>
        <v/>
      </c>
      <c r="FQT6" s="97" t="str">
        <f t="shared" si="71"/>
        <v/>
      </c>
      <c r="FQU6" s="97" t="str">
        <f t="shared" si="71"/>
        <v/>
      </c>
      <c r="FQV6" s="97" t="str">
        <f t="shared" si="71"/>
        <v/>
      </c>
      <c r="FQW6" s="97" t="str">
        <f t="shared" si="71"/>
        <v/>
      </c>
      <c r="FQX6" s="97" t="str">
        <f t="shared" si="71"/>
        <v/>
      </c>
      <c r="FQY6" s="97" t="str">
        <f t="shared" si="71"/>
        <v/>
      </c>
      <c r="FQZ6" s="97" t="str">
        <f t="shared" si="71"/>
        <v/>
      </c>
      <c r="FRA6" s="97" t="str">
        <f t="shared" si="71"/>
        <v/>
      </c>
      <c r="FRB6" s="97" t="str">
        <f t="shared" si="71"/>
        <v/>
      </c>
      <c r="FRC6" s="97" t="str">
        <f t="shared" si="71"/>
        <v/>
      </c>
      <c r="FRD6" s="97" t="str">
        <f t="shared" si="71"/>
        <v/>
      </c>
      <c r="FRE6" s="97" t="str">
        <f t="shared" si="71"/>
        <v/>
      </c>
      <c r="FRF6" s="97" t="str">
        <f t="shared" si="71"/>
        <v/>
      </c>
      <c r="FRG6" s="97" t="str">
        <f t="shared" si="71"/>
        <v/>
      </c>
      <c r="FRH6" s="97" t="str">
        <f t="shared" si="71"/>
        <v/>
      </c>
      <c r="FRI6" s="97" t="str">
        <f t="shared" si="71"/>
        <v/>
      </c>
      <c r="FRJ6" s="97" t="str">
        <f t="shared" si="71"/>
        <v/>
      </c>
      <c r="FRK6" s="97" t="str">
        <f t="shared" si="71"/>
        <v/>
      </c>
      <c r="FRL6" s="97" t="str">
        <f t="shared" si="71"/>
        <v/>
      </c>
      <c r="FRM6" s="97" t="str">
        <f t="shared" si="71"/>
        <v/>
      </c>
      <c r="FRN6" s="97" t="str">
        <f t="shared" si="71"/>
        <v/>
      </c>
      <c r="FRO6" s="97" t="str">
        <f t="shared" si="71"/>
        <v/>
      </c>
      <c r="FRP6" s="97" t="str">
        <f t="shared" si="71"/>
        <v/>
      </c>
      <c r="FRQ6" s="97" t="str">
        <f t="shared" si="71"/>
        <v/>
      </c>
      <c r="FRR6" s="97" t="str">
        <f t="shared" si="71"/>
        <v/>
      </c>
      <c r="FRS6" s="97" t="str">
        <f t="shared" si="71"/>
        <v/>
      </c>
      <c r="FRT6" s="97" t="str">
        <f t="shared" si="71"/>
        <v/>
      </c>
      <c r="FRU6" s="97" t="str">
        <f t="shared" si="71"/>
        <v/>
      </c>
      <c r="FRV6" s="97" t="str">
        <f t="shared" si="71"/>
        <v/>
      </c>
      <c r="FRW6" s="97" t="str">
        <f t="shared" si="71"/>
        <v/>
      </c>
      <c r="FRX6" s="97" t="str">
        <f t="shared" si="71"/>
        <v/>
      </c>
      <c r="FRY6" s="97" t="str">
        <f t="shared" si="71"/>
        <v/>
      </c>
      <c r="FRZ6" s="97" t="str">
        <f t="shared" ref="FRZ6:FUK6" si="72">IFERROR(AVERAGE(FRZ7:FRZ13),"")</f>
        <v/>
      </c>
      <c r="FSA6" s="97" t="str">
        <f t="shared" si="72"/>
        <v/>
      </c>
      <c r="FSB6" s="97" t="str">
        <f t="shared" si="72"/>
        <v/>
      </c>
      <c r="FSC6" s="97" t="str">
        <f t="shared" si="72"/>
        <v/>
      </c>
      <c r="FSD6" s="97" t="str">
        <f t="shared" si="72"/>
        <v/>
      </c>
      <c r="FSE6" s="97" t="str">
        <f t="shared" si="72"/>
        <v/>
      </c>
      <c r="FSF6" s="97" t="str">
        <f t="shared" si="72"/>
        <v/>
      </c>
      <c r="FSG6" s="97" t="str">
        <f t="shared" si="72"/>
        <v/>
      </c>
      <c r="FSH6" s="97" t="str">
        <f t="shared" si="72"/>
        <v/>
      </c>
      <c r="FSI6" s="97" t="str">
        <f t="shared" si="72"/>
        <v/>
      </c>
      <c r="FSJ6" s="97" t="str">
        <f t="shared" si="72"/>
        <v/>
      </c>
      <c r="FSK6" s="97" t="str">
        <f t="shared" si="72"/>
        <v/>
      </c>
      <c r="FSL6" s="97" t="str">
        <f t="shared" si="72"/>
        <v/>
      </c>
      <c r="FSM6" s="97" t="str">
        <f t="shared" si="72"/>
        <v/>
      </c>
      <c r="FSN6" s="97" t="str">
        <f t="shared" si="72"/>
        <v/>
      </c>
      <c r="FSO6" s="97" t="str">
        <f t="shared" si="72"/>
        <v/>
      </c>
      <c r="FSP6" s="97" t="str">
        <f t="shared" si="72"/>
        <v/>
      </c>
      <c r="FSQ6" s="97" t="str">
        <f t="shared" si="72"/>
        <v/>
      </c>
      <c r="FSR6" s="97" t="str">
        <f t="shared" si="72"/>
        <v/>
      </c>
      <c r="FSS6" s="97" t="str">
        <f t="shared" si="72"/>
        <v/>
      </c>
      <c r="FST6" s="97" t="str">
        <f t="shared" si="72"/>
        <v/>
      </c>
      <c r="FSU6" s="97" t="str">
        <f t="shared" si="72"/>
        <v/>
      </c>
      <c r="FSV6" s="97" t="str">
        <f t="shared" si="72"/>
        <v/>
      </c>
      <c r="FSW6" s="97" t="str">
        <f t="shared" si="72"/>
        <v/>
      </c>
      <c r="FSX6" s="97" t="str">
        <f t="shared" si="72"/>
        <v/>
      </c>
      <c r="FSY6" s="97" t="str">
        <f t="shared" si="72"/>
        <v/>
      </c>
      <c r="FSZ6" s="97" t="str">
        <f t="shared" si="72"/>
        <v/>
      </c>
      <c r="FTA6" s="97" t="str">
        <f t="shared" si="72"/>
        <v/>
      </c>
      <c r="FTB6" s="97" t="str">
        <f t="shared" si="72"/>
        <v/>
      </c>
      <c r="FTC6" s="97" t="str">
        <f t="shared" si="72"/>
        <v/>
      </c>
      <c r="FTD6" s="97" t="str">
        <f t="shared" si="72"/>
        <v/>
      </c>
      <c r="FTE6" s="97" t="str">
        <f t="shared" si="72"/>
        <v/>
      </c>
      <c r="FTF6" s="97" t="str">
        <f t="shared" si="72"/>
        <v/>
      </c>
      <c r="FTG6" s="97" t="str">
        <f t="shared" si="72"/>
        <v/>
      </c>
      <c r="FTH6" s="97" t="str">
        <f t="shared" si="72"/>
        <v/>
      </c>
      <c r="FTI6" s="97" t="str">
        <f t="shared" si="72"/>
        <v/>
      </c>
      <c r="FTJ6" s="97" t="str">
        <f t="shared" si="72"/>
        <v/>
      </c>
      <c r="FTK6" s="97" t="str">
        <f t="shared" si="72"/>
        <v/>
      </c>
      <c r="FTL6" s="97" t="str">
        <f t="shared" si="72"/>
        <v/>
      </c>
      <c r="FTM6" s="97" t="str">
        <f t="shared" si="72"/>
        <v/>
      </c>
      <c r="FTN6" s="97" t="str">
        <f t="shared" si="72"/>
        <v/>
      </c>
      <c r="FTO6" s="97" t="str">
        <f t="shared" si="72"/>
        <v/>
      </c>
      <c r="FTP6" s="97" t="str">
        <f t="shared" si="72"/>
        <v/>
      </c>
      <c r="FTQ6" s="97" t="str">
        <f t="shared" si="72"/>
        <v/>
      </c>
      <c r="FTR6" s="97" t="str">
        <f t="shared" si="72"/>
        <v/>
      </c>
      <c r="FTS6" s="97" t="str">
        <f t="shared" si="72"/>
        <v/>
      </c>
      <c r="FTT6" s="97" t="str">
        <f t="shared" si="72"/>
        <v/>
      </c>
      <c r="FTU6" s="97" t="str">
        <f t="shared" si="72"/>
        <v/>
      </c>
      <c r="FTV6" s="97" t="str">
        <f t="shared" si="72"/>
        <v/>
      </c>
      <c r="FTW6" s="97" t="str">
        <f t="shared" si="72"/>
        <v/>
      </c>
      <c r="FTX6" s="97" t="str">
        <f t="shared" si="72"/>
        <v/>
      </c>
      <c r="FTY6" s="97" t="str">
        <f t="shared" si="72"/>
        <v/>
      </c>
      <c r="FTZ6" s="97" t="str">
        <f t="shared" si="72"/>
        <v/>
      </c>
      <c r="FUA6" s="97" t="str">
        <f t="shared" si="72"/>
        <v/>
      </c>
      <c r="FUB6" s="97" t="str">
        <f t="shared" si="72"/>
        <v/>
      </c>
      <c r="FUC6" s="97" t="str">
        <f t="shared" si="72"/>
        <v/>
      </c>
      <c r="FUD6" s="97" t="str">
        <f t="shared" si="72"/>
        <v/>
      </c>
      <c r="FUE6" s="97" t="str">
        <f t="shared" si="72"/>
        <v/>
      </c>
      <c r="FUF6" s="97" t="str">
        <f t="shared" si="72"/>
        <v/>
      </c>
      <c r="FUG6" s="97" t="str">
        <f t="shared" si="72"/>
        <v/>
      </c>
      <c r="FUH6" s="97" t="str">
        <f t="shared" si="72"/>
        <v/>
      </c>
      <c r="FUI6" s="97" t="str">
        <f t="shared" si="72"/>
        <v/>
      </c>
      <c r="FUJ6" s="97" t="str">
        <f t="shared" si="72"/>
        <v/>
      </c>
      <c r="FUK6" s="97" t="str">
        <f t="shared" si="72"/>
        <v/>
      </c>
      <c r="FUL6" s="97" t="str">
        <f t="shared" ref="FUL6:FWW6" si="73">IFERROR(AVERAGE(FUL7:FUL13),"")</f>
        <v/>
      </c>
      <c r="FUM6" s="97" t="str">
        <f t="shared" si="73"/>
        <v/>
      </c>
      <c r="FUN6" s="97" t="str">
        <f t="shared" si="73"/>
        <v/>
      </c>
      <c r="FUO6" s="97" t="str">
        <f t="shared" si="73"/>
        <v/>
      </c>
      <c r="FUP6" s="97" t="str">
        <f t="shared" si="73"/>
        <v/>
      </c>
      <c r="FUQ6" s="97" t="str">
        <f t="shared" si="73"/>
        <v/>
      </c>
      <c r="FUR6" s="97" t="str">
        <f t="shared" si="73"/>
        <v/>
      </c>
      <c r="FUS6" s="97" t="str">
        <f t="shared" si="73"/>
        <v/>
      </c>
      <c r="FUT6" s="97" t="str">
        <f t="shared" si="73"/>
        <v/>
      </c>
      <c r="FUU6" s="97" t="str">
        <f t="shared" si="73"/>
        <v/>
      </c>
      <c r="FUV6" s="97" t="str">
        <f t="shared" si="73"/>
        <v/>
      </c>
      <c r="FUW6" s="97" t="str">
        <f t="shared" si="73"/>
        <v/>
      </c>
      <c r="FUX6" s="97" t="str">
        <f t="shared" si="73"/>
        <v/>
      </c>
      <c r="FUY6" s="97" t="str">
        <f t="shared" si="73"/>
        <v/>
      </c>
      <c r="FUZ6" s="97" t="str">
        <f t="shared" si="73"/>
        <v/>
      </c>
      <c r="FVA6" s="97" t="str">
        <f t="shared" si="73"/>
        <v/>
      </c>
      <c r="FVB6" s="97" t="str">
        <f t="shared" si="73"/>
        <v/>
      </c>
      <c r="FVC6" s="97" t="str">
        <f t="shared" si="73"/>
        <v/>
      </c>
      <c r="FVD6" s="97" t="str">
        <f t="shared" si="73"/>
        <v/>
      </c>
      <c r="FVE6" s="97" t="str">
        <f t="shared" si="73"/>
        <v/>
      </c>
      <c r="FVF6" s="97" t="str">
        <f t="shared" si="73"/>
        <v/>
      </c>
      <c r="FVG6" s="97" t="str">
        <f t="shared" si="73"/>
        <v/>
      </c>
      <c r="FVH6" s="97" t="str">
        <f t="shared" si="73"/>
        <v/>
      </c>
      <c r="FVI6" s="97" t="str">
        <f t="shared" si="73"/>
        <v/>
      </c>
      <c r="FVJ6" s="97" t="str">
        <f t="shared" si="73"/>
        <v/>
      </c>
      <c r="FVK6" s="97" t="str">
        <f t="shared" si="73"/>
        <v/>
      </c>
      <c r="FVL6" s="97" t="str">
        <f t="shared" si="73"/>
        <v/>
      </c>
      <c r="FVM6" s="97" t="str">
        <f t="shared" si="73"/>
        <v/>
      </c>
      <c r="FVN6" s="97" t="str">
        <f t="shared" si="73"/>
        <v/>
      </c>
      <c r="FVO6" s="97" t="str">
        <f t="shared" si="73"/>
        <v/>
      </c>
      <c r="FVP6" s="97" t="str">
        <f t="shared" si="73"/>
        <v/>
      </c>
      <c r="FVQ6" s="97" t="str">
        <f t="shared" si="73"/>
        <v/>
      </c>
      <c r="FVR6" s="97" t="str">
        <f t="shared" si="73"/>
        <v/>
      </c>
      <c r="FVS6" s="97" t="str">
        <f t="shared" si="73"/>
        <v/>
      </c>
      <c r="FVT6" s="97" t="str">
        <f t="shared" si="73"/>
        <v/>
      </c>
      <c r="FVU6" s="97" t="str">
        <f t="shared" si="73"/>
        <v/>
      </c>
      <c r="FVV6" s="97" t="str">
        <f t="shared" si="73"/>
        <v/>
      </c>
      <c r="FVW6" s="97" t="str">
        <f t="shared" si="73"/>
        <v/>
      </c>
      <c r="FVX6" s="97" t="str">
        <f t="shared" si="73"/>
        <v/>
      </c>
      <c r="FVY6" s="97" t="str">
        <f t="shared" si="73"/>
        <v/>
      </c>
      <c r="FVZ6" s="97" t="str">
        <f t="shared" si="73"/>
        <v/>
      </c>
      <c r="FWA6" s="97" t="str">
        <f t="shared" si="73"/>
        <v/>
      </c>
      <c r="FWB6" s="97" t="str">
        <f t="shared" si="73"/>
        <v/>
      </c>
      <c r="FWC6" s="97" t="str">
        <f t="shared" si="73"/>
        <v/>
      </c>
      <c r="FWD6" s="97" t="str">
        <f t="shared" si="73"/>
        <v/>
      </c>
      <c r="FWE6" s="97" t="str">
        <f t="shared" si="73"/>
        <v/>
      </c>
      <c r="FWF6" s="97" t="str">
        <f t="shared" si="73"/>
        <v/>
      </c>
      <c r="FWG6" s="97" t="str">
        <f t="shared" si="73"/>
        <v/>
      </c>
      <c r="FWH6" s="97" t="str">
        <f t="shared" si="73"/>
        <v/>
      </c>
      <c r="FWI6" s="97" t="str">
        <f t="shared" si="73"/>
        <v/>
      </c>
      <c r="FWJ6" s="97" t="str">
        <f t="shared" si="73"/>
        <v/>
      </c>
      <c r="FWK6" s="97" t="str">
        <f t="shared" si="73"/>
        <v/>
      </c>
      <c r="FWL6" s="97" t="str">
        <f t="shared" si="73"/>
        <v/>
      </c>
      <c r="FWM6" s="97" t="str">
        <f t="shared" si="73"/>
        <v/>
      </c>
      <c r="FWN6" s="97" t="str">
        <f t="shared" si="73"/>
        <v/>
      </c>
      <c r="FWO6" s="97" t="str">
        <f t="shared" si="73"/>
        <v/>
      </c>
      <c r="FWP6" s="97" t="str">
        <f t="shared" si="73"/>
        <v/>
      </c>
      <c r="FWQ6" s="97" t="str">
        <f t="shared" si="73"/>
        <v/>
      </c>
      <c r="FWR6" s="97" t="str">
        <f t="shared" si="73"/>
        <v/>
      </c>
      <c r="FWS6" s="97" t="str">
        <f t="shared" si="73"/>
        <v/>
      </c>
      <c r="FWT6" s="97" t="str">
        <f t="shared" si="73"/>
        <v/>
      </c>
      <c r="FWU6" s="97" t="str">
        <f t="shared" si="73"/>
        <v/>
      </c>
      <c r="FWV6" s="97" t="str">
        <f t="shared" si="73"/>
        <v/>
      </c>
      <c r="FWW6" s="97" t="str">
        <f t="shared" si="73"/>
        <v/>
      </c>
      <c r="FWX6" s="97" t="str">
        <f t="shared" ref="FWX6:FZI6" si="74">IFERROR(AVERAGE(FWX7:FWX13),"")</f>
        <v/>
      </c>
      <c r="FWY6" s="97" t="str">
        <f t="shared" si="74"/>
        <v/>
      </c>
      <c r="FWZ6" s="97" t="str">
        <f t="shared" si="74"/>
        <v/>
      </c>
      <c r="FXA6" s="97" t="str">
        <f t="shared" si="74"/>
        <v/>
      </c>
      <c r="FXB6" s="97" t="str">
        <f t="shared" si="74"/>
        <v/>
      </c>
      <c r="FXC6" s="97" t="str">
        <f t="shared" si="74"/>
        <v/>
      </c>
      <c r="FXD6" s="97" t="str">
        <f t="shared" si="74"/>
        <v/>
      </c>
      <c r="FXE6" s="97" t="str">
        <f t="shared" si="74"/>
        <v/>
      </c>
      <c r="FXF6" s="97" t="str">
        <f t="shared" si="74"/>
        <v/>
      </c>
      <c r="FXG6" s="97" t="str">
        <f t="shared" si="74"/>
        <v/>
      </c>
      <c r="FXH6" s="97" t="str">
        <f t="shared" si="74"/>
        <v/>
      </c>
      <c r="FXI6" s="97" t="str">
        <f t="shared" si="74"/>
        <v/>
      </c>
      <c r="FXJ6" s="97" t="str">
        <f t="shared" si="74"/>
        <v/>
      </c>
      <c r="FXK6" s="97" t="str">
        <f t="shared" si="74"/>
        <v/>
      </c>
      <c r="FXL6" s="97" t="str">
        <f t="shared" si="74"/>
        <v/>
      </c>
      <c r="FXM6" s="97" t="str">
        <f t="shared" si="74"/>
        <v/>
      </c>
      <c r="FXN6" s="97" t="str">
        <f t="shared" si="74"/>
        <v/>
      </c>
      <c r="FXO6" s="97" t="str">
        <f t="shared" si="74"/>
        <v/>
      </c>
      <c r="FXP6" s="97" t="str">
        <f t="shared" si="74"/>
        <v/>
      </c>
      <c r="FXQ6" s="97" t="str">
        <f t="shared" si="74"/>
        <v/>
      </c>
      <c r="FXR6" s="97" t="str">
        <f t="shared" si="74"/>
        <v/>
      </c>
      <c r="FXS6" s="97" t="str">
        <f t="shared" si="74"/>
        <v/>
      </c>
      <c r="FXT6" s="97" t="str">
        <f t="shared" si="74"/>
        <v/>
      </c>
      <c r="FXU6" s="97" t="str">
        <f t="shared" si="74"/>
        <v/>
      </c>
      <c r="FXV6" s="97" t="str">
        <f t="shared" si="74"/>
        <v/>
      </c>
      <c r="FXW6" s="97" t="str">
        <f t="shared" si="74"/>
        <v/>
      </c>
      <c r="FXX6" s="97" t="str">
        <f t="shared" si="74"/>
        <v/>
      </c>
      <c r="FXY6" s="97" t="str">
        <f t="shared" si="74"/>
        <v/>
      </c>
      <c r="FXZ6" s="97" t="str">
        <f t="shared" si="74"/>
        <v/>
      </c>
      <c r="FYA6" s="97" t="str">
        <f t="shared" si="74"/>
        <v/>
      </c>
      <c r="FYB6" s="97" t="str">
        <f t="shared" si="74"/>
        <v/>
      </c>
      <c r="FYC6" s="97" t="str">
        <f t="shared" si="74"/>
        <v/>
      </c>
      <c r="FYD6" s="97" t="str">
        <f t="shared" si="74"/>
        <v/>
      </c>
      <c r="FYE6" s="97" t="str">
        <f t="shared" si="74"/>
        <v/>
      </c>
      <c r="FYF6" s="97" t="str">
        <f t="shared" si="74"/>
        <v/>
      </c>
      <c r="FYG6" s="97" t="str">
        <f t="shared" si="74"/>
        <v/>
      </c>
      <c r="FYH6" s="97" t="str">
        <f t="shared" si="74"/>
        <v/>
      </c>
      <c r="FYI6" s="97" t="str">
        <f t="shared" si="74"/>
        <v/>
      </c>
      <c r="FYJ6" s="97" t="str">
        <f t="shared" si="74"/>
        <v/>
      </c>
      <c r="FYK6" s="97" t="str">
        <f t="shared" si="74"/>
        <v/>
      </c>
      <c r="FYL6" s="97" t="str">
        <f t="shared" si="74"/>
        <v/>
      </c>
      <c r="FYM6" s="97" t="str">
        <f t="shared" si="74"/>
        <v/>
      </c>
      <c r="FYN6" s="97" t="str">
        <f t="shared" si="74"/>
        <v/>
      </c>
      <c r="FYO6" s="97" t="str">
        <f t="shared" si="74"/>
        <v/>
      </c>
      <c r="FYP6" s="97" t="str">
        <f t="shared" si="74"/>
        <v/>
      </c>
      <c r="FYQ6" s="97" t="str">
        <f t="shared" si="74"/>
        <v/>
      </c>
      <c r="FYR6" s="97" t="str">
        <f t="shared" si="74"/>
        <v/>
      </c>
      <c r="FYS6" s="97" t="str">
        <f t="shared" si="74"/>
        <v/>
      </c>
      <c r="FYT6" s="97" t="str">
        <f t="shared" si="74"/>
        <v/>
      </c>
      <c r="FYU6" s="97" t="str">
        <f t="shared" si="74"/>
        <v/>
      </c>
      <c r="FYV6" s="97" t="str">
        <f t="shared" si="74"/>
        <v/>
      </c>
      <c r="FYW6" s="97" t="str">
        <f t="shared" si="74"/>
        <v/>
      </c>
      <c r="FYX6" s="97" t="str">
        <f t="shared" si="74"/>
        <v/>
      </c>
      <c r="FYY6" s="97" t="str">
        <f t="shared" si="74"/>
        <v/>
      </c>
      <c r="FYZ6" s="97" t="str">
        <f t="shared" si="74"/>
        <v/>
      </c>
      <c r="FZA6" s="97" t="str">
        <f t="shared" si="74"/>
        <v/>
      </c>
      <c r="FZB6" s="97" t="str">
        <f t="shared" si="74"/>
        <v/>
      </c>
      <c r="FZC6" s="97" t="str">
        <f t="shared" si="74"/>
        <v/>
      </c>
      <c r="FZD6" s="97" t="str">
        <f t="shared" si="74"/>
        <v/>
      </c>
      <c r="FZE6" s="97" t="str">
        <f t="shared" si="74"/>
        <v/>
      </c>
      <c r="FZF6" s="97" t="str">
        <f t="shared" si="74"/>
        <v/>
      </c>
      <c r="FZG6" s="97" t="str">
        <f t="shared" si="74"/>
        <v/>
      </c>
      <c r="FZH6" s="97" t="str">
        <f t="shared" si="74"/>
        <v/>
      </c>
      <c r="FZI6" s="97" t="str">
        <f t="shared" si="74"/>
        <v/>
      </c>
      <c r="FZJ6" s="97" t="str">
        <f t="shared" ref="FZJ6:GBU6" si="75">IFERROR(AVERAGE(FZJ7:FZJ13),"")</f>
        <v/>
      </c>
      <c r="FZK6" s="97" t="str">
        <f t="shared" si="75"/>
        <v/>
      </c>
      <c r="FZL6" s="97" t="str">
        <f t="shared" si="75"/>
        <v/>
      </c>
      <c r="FZM6" s="97" t="str">
        <f t="shared" si="75"/>
        <v/>
      </c>
      <c r="FZN6" s="97" t="str">
        <f t="shared" si="75"/>
        <v/>
      </c>
      <c r="FZO6" s="97" t="str">
        <f t="shared" si="75"/>
        <v/>
      </c>
      <c r="FZP6" s="97" t="str">
        <f t="shared" si="75"/>
        <v/>
      </c>
      <c r="FZQ6" s="97" t="str">
        <f t="shared" si="75"/>
        <v/>
      </c>
      <c r="FZR6" s="97" t="str">
        <f t="shared" si="75"/>
        <v/>
      </c>
      <c r="FZS6" s="97" t="str">
        <f t="shared" si="75"/>
        <v/>
      </c>
      <c r="FZT6" s="97" t="str">
        <f t="shared" si="75"/>
        <v/>
      </c>
      <c r="FZU6" s="97" t="str">
        <f t="shared" si="75"/>
        <v/>
      </c>
      <c r="FZV6" s="97" t="str">
        <f t="shared" si="75"/>
        <v/>
      </c>
      <c r="FZW6" s="97" t="str">
        <f t="shared" si="75"/>
        <v/>
      </c>
      <c r="FZX6" s="97" t="str">
        <f t="shared" si="75"/>
        <v/>
      </c>
      <c r="FZY6" s="97" t="str">
        <f t="shared" si="75"/>
        <v/>
      </c>
      <c r="FZZ6" s="97" t="str">
        <f t="shared" si="75"/>
        <v/>
      </c>
      <c r="GAA6" s="97" t="str">
        <f t="shared" si="75"/>
        <v/>
      </c>
      <c r="GAB6" s="97" t="str">
        <f t="shared" si="75"/>
        <v/>
      </c>
      <c r="GAC6" s="97" t="str">
        <f t="shared" si="75"/>
        <v/>
      </c>
      <c r="GAD6" s="97" t="str">
        <f t="shared" si="75"/>
        <v/>
      </c>
      <c r="GAE6" s="97" t="str">
        <f t="shared" si="75"/>
        <v/>
      </c>
      <c r="GAF6" s="97" t="str">
        <f t="shared" si="75"/>
        <v/>
      </c>
      <c r="GAG6" s="97" t="str">
        <f t="shared" si="75"/>
        <v/>
      </c>
      <c r="GAH6" s="97" t="str">
        <f t="shared" si="75"/>
        <v/>
      </c>
      <c r="GAI6" s="97" t="str">
        <f t="shared" si="75"/>
        <v/>
      </c>
      <c r="GAJ6" s="97" t="str">
        <f t="shared" si="75"/>
        <v/>
      </c>
      <c r="GAK6" s="97" t="str">
        <f t="shared" si="75"/>
        <v/>
      </c>
      <c r="GAL6" s="97" t="str">
        <f t="shared" si="75"/>
        <v/>
      </c>
      <c r="GAM6" s="97" t="str">
        <f t="shared" si="75"/>
        <v/>
      </c>
      <c r="GAN6" s="97" t="str">
        <f t="shared" si="75"/>
        <v/>
      </c>
      <c r="GAO6" s="97" t="str">
        <f t="shared" si="75"/>
        <v/>
      </c>
      <c r="GAP6" s="97" t="str">
        <f t="shared" si="75"/>
        <v/>
      </c>
      <c r="GAQ6" s="97" t="str">
        <f t="shared" si="75"/>
        <v/>
      </c>
      <c r="GAR6" s="97" t="str">
        <f t="shared" si="75"/>
        <v/>
      </c>
      <c r="GAS6" s="97" t="str">
        <f t="shared" si="75"/>
        <v/>
      </c>
      <c r="GAT6" s="97" t="str">
        <f t="shared" si="75"/>
        <v/>
      </c>
      <c r="GAU6" s="97" t="str">
        <f t="shared" si="75"/>
        <v/>
      </c>
      <c r="GAV6" s="97" t="str">
        <f t="shared" si="75"/>
        <v/>
      </c>
      <c r="GAW6" s="97" t="str">
        <f t="shared" si="75"/>
        <v/>
      </c>
      <c r="GAX6" s="97" t="str">
        <f t="shared" si="75"/>
        <v/>
      </c>
      <c r="GAY6" s="97" t="str">
        <f t="shared" si="75"/>
        <v/>
      </c>
      <c r="GAZ6" s="97" t="str">
        <f t="shared" si="75"/>
        <v/>
      </c>
      <c r="GBA6" s="97" t="str">
        <f t="shared" si="75"/>
        <v/>
      </c>
      <c r="GBB6" s="97" t="str">
        <f t="shared" si="75"/>
        <v/>
      </c>
      <c r="GBC6" s="97" t="str">
        <f t="shared" si="75"/>
        <v/>
      </c>
      <c r="GBD6" s="97" t="str">
        <f t="shared" si="75"/>
        <v/>
      </c>
      <c r="GBE6" s="97" t="str">
        <f t="shared" si="75"/>
        <v/>
      </c>
      <c r="GBF6" s="97" t="str">
        <f t="shared" si="75"/>
        <v/>
      </c>
      <c r="GBG6" s="97" t="str">
        <f t="shared" si="75"/>
        <v/>
      </c>
      <c r="GBH6" s="97" t="str">
        <f t="shared" si="75"/>
        <v/>
      </c>
      <c r="GBI6" s="97" t="str">
        <f t="shared" si="75"/>
        <v/>
      </c>
      <c r="GBJ6" s="97" t="str">
        <f t="shared" si="75"/>
        <v/>
      </c>
      <c r="GBK6" s="97" t="str">
        <f t="shared" si="75"/>
        <v/>
      </c>
      <c r="GBL6" s="97" t="str">
        <f t="shared" si="75"/>
        <v/>
      </c>
      <c r="GBM6" s="97" t="str">
        <f t="shared" si="75"/>
        <v/>
      </c>
      <c r="GBN6" s="97" t="str">
        <f t="shared" si="75"/>
        <v/>
      </c>
      <c r="GBO6" s="97" t="str">
        <f t="shared" si="75"/>
        <v/>
      </c>
      <c r="GBP6" s="97" t="str">
        <f t="shared" si="75"/>
        <v/>
      </c>
      <c r="GBQ6" s="97" t="str">
        <f t="shared" si="75"/>
        <v/>
      </c>
      <c r="GBR6" s="97" t="str">
        <f t="shared" si="75"/>
        <v/>
      </c>
      <c r="GBS6" s="97" t="str">
        <f t="shared" si="75"/>
        <v/>
      </c>
      <c r="GBT6" s="97" t="str">
        <f t="shared" si="75"/>
        <v/>
      </c>
      <c r="GBU6" s="97" t="str">
        <f t="shared" si="75"/>
        <v/>
      </c>
      <c r="GBV6" s="97" t="str">
        <f t="shared" ref="GBV6:GEG6" si="76">IFERROR(AVERAGE(GBV7:GBV13),"")</f>
        <v/>
      </c>
      <c r="GBW6" s="97" t="str">
        <f t="shared" si="76"/>
        <v/>
      </c>
      <c r="GBX6" s="97" t="str">
        <f t="shared" si="76"/>
        <v/>
      </c>
      <c r="GBY6" s="97" t="str">
        <f t="shared" si="76"/>
        <v/>
      </c>
      <c r="GBZ6" s="97" t="str">
        <f t="shared" si="76"/>
        <v/>
      </c>
      <c r="GCA6" s="97" t="str">
        <f t="shared" si="76"/>
        <v/>
      </c>
      <c r="GCB6" s="97" t="str">
        <f t="shared" si="76"/>
        <v/>
      </c>
      <c r="GCC6" s="97" t="str">
        <f t="shared" si="76"/>
        <v/>
      </c>
      <c r="GCD6" s="97" t="str">
        <f t="shared" si="76"/>
        <v/>
      </c>
      <c r="GCE6" s="97" t="str">
        <f t="shared" si="76"/>
        <v/>
      </c>
      <c r="GCF6" s="97" t="str">
        <f t="shared" si="76"/>
        <v/>
      </c>
      <c r="GCG6" s="97" t="str">
        <f t="shared" si="76"/>
        <v/>
      </c>
      <c r="GCH6" s="97" t="str">
        <f t="shared" si="76"/>
        <v/>
      </c>
      <c r="GCI6" s="97" t="str">
        <f t="shared" si="76"/>
        <v/>
      </c>
      <c r="GCJ6" s="97" t="str">
        <f t="shared" si="76"/>
        <v/>
      </c>
      <c r="GCK6" s="97" t="str">
        <f t="shared" si="76"/>
        <v/>
      </c>
      <c r="GCL6" s="97" t="str">
        <f t="shared" si="76"/>
        <v/>
      </c>
      <c r="GCM6" s="97" t="str">
        <f t="shared" si="76"/>
        <v/>
      </c>
      <c r="GCN6" s="97" t="str">
        <f t="shared" si="76"/>
        <v/>
      </c>
      <c r="GCO6" s="97" t="str">
        <f t="shared" si="76"/>
        <v/>
      </c>
      <c r="GCP6" s="97" t="str">
        <f t="shared" si="76"/>
        <v/>
      </c>
      <c r="GCQ6" s="97" t="str">
        <f t="shared" si="76"/>
        <v/>
      </c>
      <c r="GCR6" s="97" t="str">
        <f t="shared" si="76"/>
        <v/>
      </c>
      <c r="GCS6" s="97" t="str">
        <f t="shared" si="76"/>
        <v/>
      </c>
      <c r="GCT6" s="97" t="str">
        <f t="shared" si="76"/>
        <v/>
      </c>
      <c r="GCU6" s="97" t="str">
        <f t="shared" si="76"/>
        <v/>
      </c>
      <c r="GCV6" s="97" t="str">
        <f t="shared" si="76"/>
        <v/>
      </c>
      <c r="GCW6" s="97" t="str">
        <f t="shared" si="76"/>
        <v/>
      </c>
      <c r="GCX6" s="97" t="str">
        <f t="shared" si="76"/>
        <v/>
      </c>
      <c r="GCY6" s="97" t="str">
        <f t="shared" si="76"/>
        <v/>
      </c>
      <c r="GCZ6" s="97" t="str">
        <f t="shared" si="76"/>
        <v/>
      </c>
      <c r="GDA6" s="97" t="str">
        <f t="shared" si="76"/>
        <v/>
      </c>
      <c r="GDB6" s="97" t="str">
        <f t="shared" si="76"/>
        <v/>
      </c>
      <c r="GDC6" s="97" t="str">
        <f t="shared" si="76"/>
        <v/>
      </c>
      <c r="GDD6" s="97" t="str">
        <f t="shared" si="76"/>
        <v/>
      </c>
      <c r="GDE6" s="97" t="str">
        <f t="shared" si="76"/>
        <v/>
      </c>
      <c r="GDF6" s="97" t="str">
        <f t="shared" si="76"/>
        <v/>
      </c>
      <c r="GDG6" s="97" t="str">
        <f t="shared" si="76"/>
        <v/>
      </c>
      <c r="GDH6" s="97" t="str">
        <f t="shared" si="76"/>
        <v/>
      </c>
      <c r="GDI6" s="97" t="str">
        <f t="shared" si="76"/>
        <v/>
      </c>
      <c r="GDJ6" s="97" t="str">
        <f t="shared" si="76"/>
        <v/>
      </c>
      <c r="GDK6" s="97" t="str">
        <f t="shared" si="76"/>
        <v/>
      </c>
      <c r="GDL6" s="97" t="str">
        <f t="shared" si="76"/>
        <v/>
      </c>
      <c r="GDM6" s="97" t="str">
        <f t="shared" si="76"/>
        <v/>
      </c>
      <c r="GDN6" s="97" t="str">
        <f t="shared" si="76"/>
        <v/>
      </c>
      <c r="GDO6" s="97" t="str">
        <f t="shared" si="76"/>
        <v/>
      </c>
      <c r="GDP6" s="97" t="str">
        <f t="shared" si="76"/>
        <v/>
      </c>
      <c r="GDQ6" s="97" t="str">
        <f t="shared" si="76"/>
        <v/>
      </c>
      <c r="GDR6" s="97" t="str">
        <f t="shared" si="76"/>
        <v/>
      </c>
      <c r="GDS6" s="97" t="str">
        <f t="shared" si="76"/>
        <v/>
      </c>
      <c r="GDT6" s="97" t="str">
        <f t="shared" si="76"/>
        <v/>
      </c>
      <c r="GDU6" s="97" t="str">
        <f t="shared" si="76"/>
        <v/>
      </c>
      <c r="GDV6" s="97" t="str">
        <f t="shared" si="76"/>
        <v/>
      </c>
      <c r="GDW6" s="97" t="str">
        <f t="shared" si="76"/>
        <v/>
      </c>
      <c r="GDX6" s="97" t="str">
        <f t="shared" si="76"/>
        <v/>
      </c>
      <c r="GDY6" s="97" t="str">
        <f t="shared" si="76"/>
        <v/>
      </c>
      <c r="GDZ6" s="97" t="str">
        <f t="shared" si="76"/>
        <v/>
      </c>
      <c r="GEA6" s="97" t="str">
        <f t="shared" si="76"/>
        <v/>
      </c>
      <c r="GEB6" s="97" t="str">
        <f t="shared" si="76"/>
        <v/>
      </c>
      <c r="GEC6" s="97" t="str">
        <f t="shared" si="76"/>
        <v/>
      </c>
      <c r="GED6" s="97" t="str">
        <f t="shared" si="76"/>
        <v/>
      </c>
      <c r="GEE6" s="97" t="str">
        <f t="shared" si="76"/>
        <v/>
      </c>
      <c r="GEF6" s="97" t="str">
        <f t="shared" si="76"/>
        <v/>
      </c>
      <c r="GEG6" s="97" t="str">
        <f t="shared" si="76"/>
        <v/>
      </c>
      <c r="GEH6" s="97" t="str">
        <f t="shared" ref="GEH6:GGS6" si="77">IFERROR(AVERAGE(GEH7:GEH13),"")</f>
        <v/>
      </c>
      <c r="GEI6" s="97" t="str">
        <f t="shared" si="77"/>
        <v/>
      </c>
      <c r="GEJ6" s="97" t="str">
        <f t="shared" si="77"/>
        <v/>
      </c>
      <c r="GEK6" s="97" t="str">
        <f t="shared" si="77"/>
        <v/>
      </c>
      <c r="GEL6" s="97" t="str">
        <f t="shared" si="77"/>
        <v/>
      </c>
      <c r="GEM6" s="97" t="str">
        <f t="shared" si="77"/>
        <v/>
      </c>
      <c r="GEN6" s="97" t="str">
        <f t="shared" si="77"/>
        <v/>
      </c>
      <c r="GEO6" s="97" t="str">
        <f t="shared" si="77"/>
        <v/>
      </c>
      <c r="GEP6" s="97" t="str">
        <f t="shared" si="77"/>
        <v/>
      </c>
      <c r="GEQ6" s="97" t="str">
        <f t="shared" si="77"/>
        <v/>
      </c>
      <c r="GER6" s="97" t="str">
        <f t="shared" si="77"/>
        <v/>
      </c>
      <c r="GES6" s="97" t="str">
        <f t="shared" si="77"/>
        <v/>
      </c>
      <c r="GET6" s="97" t="str">
        <f t="shared" si="77"/>
        <v/>
      </c>
      <c r="GEU6" s="97" t="str">
        <f t="shared" si="77"/>
        <v/>
      </c>
      <c r="GEV6" s="97" t="str">
        <f t="shared" si="77"/>
        <v/>
      </c>
      <c r="GEW6" s="97" t="str">
        <f t="shared" si="77"/>
        <v/>
      </c>
      <c r="GEX6" s="97" t="str">
        <f t="shared" si="77"/>
        <v/>
      </c>
      <c r="GEY6" s="97" t="str">
        <f t="shared" si="77"/>
        <v/>
      </c>
      <c r="GEZ6" s="97" t="str">
        <f t="shared" si="77"/>
        <v/>
      </c>
      <c r="GFA6" s="97" t="str">
        <f t="shared" si="77"/>
        <v/>
      </c>
      <c r="GFB6" s="97" t="str">
        <f t="shared" si="77"/>
        <v/>
      </c>
      <c r="GFC6" s="97" t="str">
        <f t="shared" si="77"/>
        <v/>
      </c>
      <c r="GFD6" s="97" t="str">
        <f t="shared" si="77"/>
        <v/>
      </c>
      <c r="GFE6" s="97" t="str">
        <f t="shared" si="77"/>
        <v/>
      </c>
      <c r="GFF6" s="97" t="str">
        <f t="shared" si="77"/>
        <v/>
      </c>
      <c r="GFG6" s="97" t="str">
        <f t="shared" si="77"/>
        <v/>
      </c>
      <c r="GFH6" s="97" t="str">
        <f t="shared" si="77"/>
        <v/>
      </c>
      <c r="GFI6" s="97" t="str">
        <f t="shared" si="77"/>
        <v/>
      </c>
      <c r="GFJ6" s="97" t="str">
        <f t="shared" si="77"/>
        <v/>
      </c>
      <c r="GFK6" s="97" t="str">
        <f t="shared" si="77"/>
        <v/>
      </c>
      <c r="GFL6" s="97" t="str">
        <f t="shared" si="77"/>
        <v/>
      </c>
      <c r="GFM6" s="97" t="str">
        <f t="shared" si="77"/>
        <v/>
      </c>
      <c r="GFN6" s="97" t="str">
        <f t="shared" si="77"/>
        <v/>
      </c>
      <c r="GFO6" s="97" t="str">
        <f t="shared" si="77"/>
        <v/>
      </c>
      <c r="GFP6" s="97" t="str">
        <f t="shared" si="77"/>
        <v/>
      </c>
      <c r="GFQ6" s="97" t="str">
        <f t="shared" si="77"/>
        <v/>
      </c>
      <c r="GFR6" s="97" t="str">
        <f t="shared" si="77"/>
        <v/>
      </c>
      <c r="GFS6" s="97" t="str">
        <f t="shared" si="77"/>
        <v/>
      </c>
      <c r="GFT6" s="97" t="str">
        <f t="shared" si="77"/>
        <v/>
      </c>
      <c r="GFU6" s="97" t="str">
        <f t="shared" si="77"/>
        <v/>
      </c>
      <c r="GFV6" s="97" t="str">
        <f t="shared" si="77"/>
        <v/>
      </c>
      <c r="GFW6" s="97" t="str">
        <f t="shared" si="77"/>
        <v/>
      </c>
      <c r="GFX6" s="97" t="str">
        <f t="shared" si="77"/>
        <v/>
      </c>
      <c r="GFY6" s="97" t="str">
        <f t="shared" si="77"/>
        <v/>
      </c>
      <c r="GFZ6" s="97" t="str">
        <f t="shared" si="77"/>
        <v/>
      </c>
      <c r="GGA6" s="97" t="str">
        <f t="shared" si="77"/>
        <v/>
      </c>
      <c r="GGB6" s="97" t="str">
        <f t="shared" si="77"/>
        <v/>
      </c>
      <c r="GGC6" s="97" t="str">
        <f t="shared" si="77"/>
        <v/>
      </c>
      <c r="GGD6" s="97" t="str">
        <f t="shared" si="77"/>
        <v/>
      </c>
      <c r="GGE6" s="97" t="str">
        <f t="shared" si="77"/>
        <v/>
      </c>
      <c r="GGF6" s="97" t="str">
        <f t="shared" si="77"/>
        <v/>
      </c>
      <c r="GGG6" s="97" t="str">
        <f t="shared" si="77"/>
        <v/>
      </c>
      <c r="GGH6" s="97" t="str">
        <f t="shared" si="77"/>
        <v/>
      </c>
      <c r="GGI6" s="97" t="str">
        <f t="shared" si="77"/>
        <v/>
      </c>
      <c r="GGJ6" s="97" t="str">
        <f t="shared" si="77"/>
        <v/>
      </c>
      <c r="GGK6" s="97" t="str">
        <f t="shared" si="77"/>
        <v/>
      </c>
      <c r="GGL6" s="97" t="str">
        <f t="shared" si="77"/>
        <v/>
      </c>
      <c r="GGM6" s="97" t="str">
        <f t="shared" si="77"/>
        <v/>
      </c>
      <c r="GGN6" s="97" t="str">
        <f t="shared" si="77"/>
        <v/>
      </c>
      <c r="GGO6" s="97" t="str">
        <f t="shared" si="77"/>
        <v/>
      </c>
      <c r="GGP6" s="97" t="str">
        <f t="shared" si="77"/>
        <v/>
      </c>
      <c r="GGQ6" s="97" t="str">
        <f t="shared" si="77"/>
        <v/>
      </c>
      <c r="GGR6" s="97" t="str">
        <f t="shared" si="77"/>
        <v/>
      </c>
      <c r="GGS6" s="97" t="str">
        <f t="shared" si="77"/>
        <v/>
      </c>
      <c r="GGT6" s="97" t="str">
        <f t="shared" ref="GGT6:GJE6" si="78">IFERROR(AVERAGE(GGT7:GGT13),"")</f>
        <v/>
      </c>
      <c r="GGU6" s="97" t="str">
        <f t="shared" si="78"/>
        <v/>
      </c>
      <c r="GGV6" s="97" t="str">
        <f t="shared" si="78"/>
        <v/>
      </c>
      <c r="GGW6" s="97" t="str">
        <f t="shared" si="78"/>
        <v/>
      </c>
      <c r="GGX6" s="97" t="str">
        <f t="shared" si="78"/>
        <v/>
      </c>
      <c r="GGY6" s="97" t="str">
        <f t="shared" si="78"/>
        <v/>
      </c>
      <c r="GGZ6" s="97" t="str">
        <f t="shared" si="78"/>
        <v/>
      </c>
      <c r="GHA6" s="97" t="str">
        <f t="shared" si="78"/>
        <v/>
      </c>
      <c r="GHB6" s="97" t="str">
        <f t="shared" si="78"/>
        <v/>
      </c>
      <c r="GHC6" s="97" t="str">
        <f t="shared" si="78"/>
        <v/>
      </c>
      <c r="GHD6" s="97" t="str">
        <f t="shared" si="78"/>
        <v/>
      </c>
      <c r="GHE6" s="97" t="str">
        <f t="shared" si="78"/>
        <v/>
      </c>
      <c r="GHF6" s="97" t="str">
        <f t="shared" si="78"/>
        <v/>
      </c>
      <c r="GHG6" s="97" t="str">
        <f t="shared" si="78"/>
        <v/>
      </c>
      <c r="GHH6" s="97" t="str">
        <f t="shared" si="78"/>
        <v/>
      </c>
      <c r="GHI6" s="97" t="str">
        <f t="shared" si="78"/>
        <v/>
      </c>
      <c r="GHJ6" s="97" t="str">
        <f t="shared" si="78"/>
        <v/>
      </c>
      <c r="GHK6" s="97" t="str">
        <f t="shared" si="78"/>
        <v/>
      </c>
      <c r="GHL6" s="97" t="str">
        <f t="shared" si="78"/>
        <v/>
      </c>
      <c r="GHM6" s="97" t="str">
        <f t="shared" si="78"/>
        <v/>
      </c>
      <c r="GHN6" s="97" t="str">
        <f t="shared" si="78"/>
        <v/>
      </c>
      <c r="GHO6" s="97" t="str">
        <f t="shared" si="78"/>
        <v/>
      </c>
      <c r="GHP6" s="97" t="str">
        <f t="shared" si="78"/>
        <v/>
      </c>
      <c r="GHQ6" s="97" t="str">
        <f t="shared" si="78"/>
        <v/>
      </c>
      <c r="GHR6" s="97" t="str">
        <f t="shared" si="78"/>
        <v/>
      </c>
      <c r="GHS6" s="97" t="str">
        <f t="shared" si="78"/>
        <v/>
      </c>
      <c r="GHT6" s="97" t="str">
        <f t="shared" si="78"/>
        <v/>
      </c>
      <c r="GHU6" s="97" t="str">
        <f t="shared" si="78"/>
        <v/>
      </c>
      <c r="GHV6" s="97" t="str">
        <f t="shared" si="78"/>
        <v/>
      </c>
      <c r="GHW6" s="97" t="str">
        <f t="shared" si="78"/>
        <v/>
      </c>
      <c r="GHX6" s="97" t="str">
        <f t="shared" si="78"/>
        <v/>
      </c>
      <c r="GHY6" s="97" t="str">
        <f t="shared" si="78"/>
        <v/>
      </c>
      <c r="GHZ6" s="97" t="str">
        <f t="shared" si="78"/>
        <v/>
      </c>
      <c r="GIA6" s="97" t="str">
        <f t="shared" si="78"/>
        <v/>
      </c>
      <c r="GIB6" s="97" t="str">
        <f t="shared" si="78"/>
        <v/>
      </c>
      <c r="GIC6" s="97" t="str">
        <f t="shared" si="78"/>
        <v/>
      </c>
      <c r="GID6" s="97" t="str">
        <f t="shared" si="78"/>
        <v/>
      </c>
      <c r="GIE6" s="97" t="str">
        <f t="shared" si="78"/>
        <v/>
      </c>
      <c r="GIF6" s="97" t="str">
        <f t="shared" si="78"/>
        <v/>
      </c>
      <c r="GIG6" s="97" t="str">
        <f t="shared" si="78"/>
        <v/>
      </c>
      <c r="GIH6" s="97" t="str">
        <f t="shared" si="78"/>
        <v/>
      </c>
      <c r="GII6" s="97" t="str">
        <f t="shared" si="78"/>
        <v/>
      </c>
      <c r="GIJ6" s="97" t="str">
        <f t="shared" si="78"/>
        <v/>
      </c>
      <c r="GIK6" s="97" t="str">
        <f t="shared" si="78"/>
        <v/>
      </c>
      <c r="GIL6" s="97" t="str">
        <f t="shared" si="78"/>
        <v/>
      </c>
      <c r="GIM6" s="97" t="str">
        <f t="shared" si="78"/>
        <v/>
      </c>
      <c r="GIN6" s="97" t="str">
        <f t="shared" si="78"/>
        <v/>
      </c>
      <c r="GIO6" s="97" t="str">
        <f t="shared" si="78"/>
        <v/>
      </c>
      <c r="GIP6" s="97" t="str">
        <f t="shared" si="78"/>
        <v/>
      </c>
      <c r="GIQ6" s="97" t="str">
        <f t="shared" si="78"/>
        <v/>
      </c>
      <c r="GIR6" s="97" t="str">
        <f t="shared" si="78"/>
        <v/>
      </c>
      <c r="GIS6" s="97" t="str">
        <f t="shared" si="78"/>
        <v/>
      </c>
      <c r="GIT6" s="97" t="str">
        <f t="shared" si="78"/>
        <v/>
      </c>
      <c r="GIU6" s="97" t="str">
        <f t="shared" si="78"/>
        <v/>
      </c>
      <c r="GIV6" s="97" t="str">
        <f t="shared" si="78"/>
        <v/>
      </c>
      <c r="GIW6" s="97" t="str">
        <f t="shared" si="78"/>
        <v/>
      </c>
      <c r="GIX6" s="97" t="str">
        <f t="shared" si="78"/>
        <v/>
      </c>
      <c r="GIY6" s="97" t="str">
        <f t="shared" si="78"/>
        <v/>
      </c>
      <c r="GIZ6" s="97" t="str">
        <f t="shared" si="78"/>
        <v/>
      </c>
      <c r="GJA6" s="97" t="str">
        <f t="shared" si="78"/>
        <v/>
      </c>
      <c r="GJB6" s="97" t="str">
        <f t="shared" si="78"/>
        <v/>
      </c>
      <c r="GJC6" s="97" t="str">
        <f t="shared" si="78"/>
        <v/>
      </c>
      <c r="GJD6" s="97" t="str">
        <f t="shared" si="78"/>
        <v/>
      </c>
      <c r="GJE6" s="97" t="str">
        <f t="shared" si="78"/>
        <v/>
      </c>
      <c r="GJF6" s="97" t="str">
        <f t="shared" ref="GJF6:GLQ6" si="79">IFERROR(AVERAGE(GJF7:GJF13),"")</f>
        <v/>
      </c>
      <c r="GJG6" s="97" t="str">
        <f t="shared" si="79"/>
        <v/>
      </c>
      <c r="GJH6" s="97" t="str">
        <f t="shared" si="79"/>
        <v/>
      </c>
      <c r="GJI6" s="97" t="str">
        <f t="shared" si="79"/>
        <v/>
      </c>
      <c r="GJJ6" s="97" t="str">
        <f t="shared" si="79"/>
        <v/>
      </c>
      <c r="GJK6" s="97" t="str">
        <f t="shared" si="79"/>
        <v/>
      </c>
      <c r="GJL6" s="97" t="str">
        <f t="shared" si="79"/>
        <v/>
      </c>
      <c r="GJM6" s="97" t="str">
        <f t="shared" si="79"/>
        <v/>
      </c>
      <c r="GJN6" s="97" t="str">
        <f t="shared" si="79"/>
        <v/>
      </c>
      <c r="GJO6" s="97" t="str">
        <f t="shared" si="79"/>
        <v/>
      </c>
      <c r="GJP6" s="97" t="str">
        <f t="shared" si="79"/>
        <v/>
      </c>
      <c r="GJQ6" s="97" t="str">
        <f t="shared" si="79"/>
        <v/>
      </c>
      <c r="GJR6" s="97" t="str">
        <f t="shared" si="79"/>
        <v/>
      </c>
      <c r="GJS6" s="97" t="str">
        <f t="shared" si="79"/>
        <v/>
      </c>
      <c r="GJT6" s="97" t="str">
        <f t="shared" si="79"/>
        <v/>
      </c>
      <c r="GJU6" s="97" t="str">
        <f t="shared" si="79"/>
        <v/>
      </c>
      <c r="GJV6" s="97" t="str">
        <f t="shared" si="79"/>
        <v/>
      </c>
      <c r="GJW6" s="97" t="str">
        <f t="shared" si="79"/>
        <v/>
      </c>
      <c r="GJX6" s="97" t="str">
        <f t="shared" si="79"/>
        <v/>
      </c>
      <c r="GJY6" s="97" t="str">
        <f t="shared" si="79"/>
        <v/>
      </c>
      <c r="GJZ6" s="97" t="str">
        <f t="shared" si="79"/>
        <v/>
      </c>
      <c r="GKA6" s="97" t="str">
        <f t="shared" si="79"/>
        <v/>
      </c>
      <c r="GKB6" s="97" t="str">
        <f t="shared" si="79"/>
        <v/>
      </c>
      <c r="GKC6" s="97" t="str">
        <f t="shared" si="79"/>
        <v/>
      </c>
      <c r="GKD6" s="97" t="str">
        <f t="shared" si="79"/>
        <v/>
      </c>
      <c r="GKE6" s="97" t="str">
        <f t="shared" si="79"/>
        <v/>
      </c>
      <c r="GKF6" s="97" t="str">
        <f t="shared" si="79"/>
        <v/>
      </c>
      <c r="GKG6" s="97" t="str">
        <f t="shared" si="79"/>
        <v/>
      </c>
      <c r="GKH6" s="97" t="str">
        <f t="shared" si="79"/>
        <v/>
      </c>
      <c r="GKI6" s="97" t="str">
        <f t="shared" si="79"/>
        <v/>
      </c>
      <c r="GKJ6" s="97" t="str">
        <f t="shared" si="79"/>
        <v/>
      </c>
      <c r="GKK6" s="97" t="str">
        <f t="shared" si="79"/>
        <v/>
      </c>
      <c r="GKL6" s="97" t="str">
        <f t="shared" si="79"/>
        <v/>
      </c>
      <c r="GKM6" s="97" t="str">
        <f t="shared" si="79"/>
        <v/>
      </c>
      <c r="GKN6" s="97" t="str">
        <f t="shared" si="79"/>
        <v/>
      </c>
      <c r="GKO6" s="97" t="str">
        <f t="shared" si="79"/>
        <v/>
      </c>
      <c r="GKP6" s="97" t="str">
        <f t="shared" si="79"/>
        <v/>
      </c>
      <c r="GKQ6" s="97" t="str">
        <f t="shared" si="79"/>
        <v/>
      </c>
      <c r="GKR6" s="97" t="str">
        <f t="shared" si="79"/>
        <v/>
      </c>
      <c r="GKS6" s="97" t="str">
        <f t="shared" si="79"/>
        <v/>
      </c>
      <c r="GKT6" s="97" t="str">
        <f t="shared" si="79"/>
        <v/>
      </c>
      <c r="GKU6" s="97" t="str">
        <f t="shared" si="79"/>
        <v/>
      </c>
      <c r="GKV6" s="97" t="str">
        <f t="shared" si="79"/>
        <v/>
      </c>
      <c r="GKW6" s="97" t="str">
        <f t="shared" si="79"/>
        <v/>
      </c>
      <c r="GKX6" s="97" t="str">
        <f t="shared" si="79"/>
        <v/>
      </c>
      <c r="GKY6" s="97" t="str">
        <f t="shared" si="79"/>
        <v/>
      </c>
      <c r="GKZ6" s="97" t="str">
        <f t="shared" si="79"/>
        <v/>
      </c>
      <c r="GLA6" s="97" t="str">
        <f t="shared" si="79"/>
        <v/>
      </c>
      <c r="GLB6" s="97" t="str">
        <f t="shared" si="79"/>
        <v/>
      </c>
      <c r="GLC6" s="97" t="str">
        <f t="shared" si="79"/>
        <v/>
      </c>
      <c r="GLD6" s="97" t="str">
        <f t="shared" si="79"/>
        <v/>
      </c>
      <c r="GLE6" s="97" t="str">
        <f t="shared" si="79"/>
        <v/>
      </c>
      <c r="GLF6" s="97" t="str">
        <f t="shared" si="79"/>
        <v/>
      </c>
      <c r="GLG6" s="97" t="str">
        <f t="shared" si="79"/>
        <v/>
      </c>
      <c r="GLH6" s="97" t="str">
        <f t="shared" si="79"/>
        <v/>
      </c>
      <c r="GLI6" s="97" t="str">
        <f t="shared" si="79"/>
        <v/>
      </c>
      <c r="GLJ6" s="97" t="str">
        <f t="shared" si="79"/>
        <v/>
      </c>
      <c r="GLK6" s="97" t="str">
        <f t="shared" si="79"/>
        <v/>
      </c>
      <c r="GLL6" s="97" t="str">
        <f t="shared" si="79"/>
        <v/>
      </c>
      <c r="GLM6" s="97" t="str">
        <f t="shared" si="79"/>
        <v/>
      </c>
      <c r="GLN6" s="97" t="str">
        <f t="shared" si="79"/>
        <v/>
      </c>
      <c r="GLO6" s="97" t="str">
        <f t="shared" si="79"/>
        <v/>
      </c>
      <c r="GLP6" s="97" t="str">
        <f t="shared" si="79"/>
        <v/>
      </c>
      <c r="GLQ6" s="97" t="str">
        <f t="shared" si="79"/>
        <v/>
      </c>
      <c r="GLR6" s="97" t="str">
        <f t="shared" ref="GLR6:GOC6" si="80">IFERROR(AVERAGE(GLR7:GLR13),"")</f>
        <v/>
      </c>
      <c r="GLS6" s="97" t="str">
        <f t="shared" si="80"/>
        <v/>
      </c>
      <c r="GLT6" s="97" t="str">
        <f t="shared" si="80"/>
        <v/>
      </c>
      <c r="GLU6" s="97" t="str">
        <f t="shared" si="80"/>
        <v/>
      </c>
      <c r="GLV6" s="97" t="str">
        <f t="shared" si="80"/>
        <v/>
      </c>
      <c r="GLW6" s="97" t="str">
        <f t="shared" si="80"/>
        <v/>
      </c>
      <c r="GLX6" s="97" t="str">
        <f t="shared" si="80"/>
        <v/>
      </c>
      <c r="GLY6" s="97" t="str">
        <f t="shared" si="80"/>
        <v/>
      </c>
      <c r="GLZ6" s="97" t="str">
        <f t="shared" si="80"/>
        <v/>
      </c>
      <c r="GMA6" s="97" t="str">
        <f t="shared" si="80"/>
        <v/>
      </c>
      <c r="GMB6" s="97" t="str">
        <f t="shared" si="80"/>
        <v/>
      </c>
      <c r="GMC6" s="97" t="str">
        <f t="shared" si="80"/>
        <v/>
      </c>
      <c r="GMD6" s="97" t="str">
        <f t="shared" si="80"/>
        <v/>
      </c>
      <c r="GME6" s="97" t="str">
        <f t="shared" si="80"/>
        <v/>
      </c>
      <c r="GMF6" s="97" t="str">
        <f t="shared" si="80"/>
        <v/>
      </c>
      <c r="GMG6" s="97" t="str">
        <f t="shared" si="80"/>
        <v/>
      </c>
      <c r="GMH6" s="97" t="str">
        <f t="shared" si="80"/>
        <v/>
      </c>
      <c r="GMI6" s="97" t="str">
        <f t="shared" si="80"/>
        <v/>
      </c>
      <c r="GMJ6" s="97" t="str">
        <f t="shared" si="80"/>
        <v/>
      </c>
      <c r="GMK6" s="97" t="str">
        <f t="shared" si="80"/>
        <v/>
      </c>
      <c r="GML6" s="97" t="str">
        <f t="shared" si="80"/>
        <v/>
      </c>
      <c r="GMM6" s="97" t="str">
        <f t="shared" si="80"/>
        <v/>
      </c>
      <c r="GMN6" s="97" t="str">
        <f t="shared" si="80"/>
        <v/>
      </c>
      <c r="GMO6" s="97" t="str">
        <f t="shared" si="80"/>
        <v/>
      </c>
      <c r="GMP6" s="97" t="str">
        <f t="shared" si="80"/>
        <v/>
      </c>
      <c r="GMQ6" s="97" t="str">
        <f t="shared" si="80"/>
        <v/>
      </c>
      <c r="GMR6" s="97" t="str">
        <f t="shared" si="80"/>
        <v/>
      </c>
      <c r="GMS6" s="97" t="str">
        <f t="shared" si="80"/>
        <v/>
      </c>
      <c r="GMT6" s="97" t="str">
        <f t="shared" si="80"/>
        <v/>
      </c>
      <c r="GMU6" s="97" t="str">
        <f t="shared" si="80"/>
        <v/>
      </c>
      <c r="GMV6" s="97" t="str">
        <f t="shared" si="80"/>
        <v/>
      </c>
      <c r="GMW6" s="97" t="str">
        <f t="shared" si="80"/>
        <v/>
      </c>
      <c r="GMX6" s="97" t="str">
        <f t="shared" si="80"/>
        <v/>
      </c>
      <c r="GMY6" s="97" t="str">
        <f t="shared" si="80"/>
        <v/>
      </c>
      <c r="GMZ6" s="97" t="str">
        <f t="shared" si="80"/>
        <v/>
      </c>
      <c r="GNA6" s="97" t="str">
        <f t="shared" si="80"/>
        <v/>
      </c>
      <c r="GNB6" s="97" t="str">
        <f t="shared" si="80"/>
        <v/>
      </c>
      <c r="GNC6" s="97" t="str">
        <f t="shared" si="80"/>
        <v/>
      </c>
      <c r="GND6" s="97" t="str">
        <f t="shared" si="80"/>
        <v/>
      </c>
      <c r="GNE6" s="97" t="str">
        <f t="shared" si="80"/>
        <v/>
      </c>
      <c r="GNF6" s="97" t="str">
        <f t="shared" si="80"/>
        <v/>
      </c>
      <c r="GNG6" s="97" t="str">
        <f t="shared" si="80"/>
        <v/>
      </c>
      <c r="GNH6" s="97" t="str">
        <f t="shared" si="80"/>
        <v/>
      </c>
      <c r="GNI6" s="97" t="str">
        <f t="shared" si="80"/>
        <v/>
      </c>
      <c r="GNJ6" s="97" t="str">
        <f t="shared" si="80"/>
        <v/>
      </c>
      <c r="GNK6" s="97" t="str">
        <f t="shared" si="80"/>
        <v/>
      </c>
      <c r="GNL6" s="97" t="str">
        <f t="shared" si="80"/>
        <v/>
      </c>
      <c r="GNM6" s="97" t="str">
        <f t="shared" si="80"/>
        <v/>
      </c>
      <c r="GNN6" s="97" t="str">
        <f t="shared" si="80"/>
        <v/>
      </c>
      <c r="GNO6" s="97" t="str">
        <f t="shared" si="80"/>
        <v/>
      </c>
      <c r="GNP6" s="97" t="str">
        <f t="shared" si="80"/>
        <v/>
      </c>
      <c r="GNQ6" s="97" t="str">
        <f t="shared" si="80"/>
        <v/>
      </c>
      <c r="GNR6" s="97" t="str">
        <f t="shared" si="80"/>
        <v/>
      </c>
      <c r="GNS6" s="97" t="str">
        <f t="shared" si="80"/>
        <v/>
      </c>
      <c r="GNT6" s="97" t="str">
        <f t="shared" si="80"/>
        <v/>
      </c>
      <c r="GNU6" s="97" t="str">
        <f t="shared" si="80"/>
        <v/>
      </c>
      <c r="GNV6" s="97" t="str">
        <f t="shared" si="80"/>
        <v/>
      </c>
      <c r="GNW6" s="97" t="str">
        <f t="shared" si="80"/>
        <v/>
      </c>
      <c r="GNX6" s="97" t="str">
        <f t="shared" si="80"/>
        <v/>
      </c>
      <c r="GNY6" s="97" t="str">
        <f t="shared" si="80"/>
        <v/>
      </c>
      <c r="GNZ6" s="97" t="str">
        <f t="shared" si="80"/>
        <v/>
      </c>
      <c r="GOA6" s="97" t="str">
        <f t="shared" si="80"/>
        <v/>
      </c>
      <c r="GOB6" s="97" t="str">
        <f t="shared" si="80"/>
        <v/>
      </c>
      <c r="GOC6" s="97" t="str">
        <f t="shared" si="80"/>
        <v/>
      </c>
      <c r="GOD6" s="97" t="str">
        <f t="shared" ref="GOD6:GQO6" si="81">IFERROR(AVERAGE(GOD7:GOD13),"")</f>
        <v/>
      </c>
      <c r="GOE6" s="97" t="str">
        <f t="shared" si="81"/>
        <v/>
      </c>
      <c r="GOF6" s="97" t="str">
        <f t="shared" si="81"/>
        <v/>
      </c>
      <c r="GOG6" s="97" t="str">
        <f t="shared" si="81"/>
        <v/>
      </c>
      <c r="GOH6" s="97" t="str">
        <f t="shared" si="81"/>
        <v/>
      </c>
      <c r="GOI6" s="97" t="str">
        <f t="shared" si="81"/>
        <v/>
      </c>
      <c r="GOJ6" s="97" t="str">
        <f t="shared" si="81"/>
        <v/>
      </c>
      <c r="GOK6" s="97" t="str">
        <f t="shared" si="81"/>
        <v/>
      </c>
      <c r="GOL6" s="97" t="str">
        <f t="shared" si="81"/>
        <v/>
      </c>
      <c r="GOM6" s="97" t="str">
        <f t="shared" si="81"/>
        <v/>
      </c>
      <c r="GON6" s="97" t="str">
        <f t="shared" si="81"/>
        <v/>
      </c>
      <c r="GOO6" s="97" t="str">
        <f t="shared" si="81"/>
        <v/>
      </c>
      <c r="GOP6" s="97" t="str">
        <f t="shared" si="81"/>
        <v/>
      </c>
      <c r="GOQ6" s="97" t="str">
        <f t="shared" si="81"/>
        <v/>
      </c>
      <c r="GOR6" s="97" t="str">
        <f t="shared" si="81"/>
        <v/>
      </c>
      <c r="GOS6" s="97" t="str">
        <f t="shared" si="81"/>
        <v/>
      </c>
      <c r="GOT6" s="97" t="str">
        <f t="shared" si="81"/>
        <v/>
      </c>
      <c r="GOU6" s="97" t="str">
        <f t="shared" si="81"/>
        <v/>
      </c>
      <c r="GOV6" s="97" t="str">
        <f t="shared" si="81"/>
        <v/>
      </c>
      <c r="GOW6" s="97" t="str">
        <f t="shared" si="81"/>
        <v/>
      </c>
      <c r="GOX6" s="97" t="str">
        <f t="shared" si="81"/>
        <v/>
      </c>
      <c r="GOY6" s="97" t="str">
        <f t="shared" si="81"/>
        <v/>
      </c>
      <c r="GOZ6" s="97" t="str">
        <f t="shared" si="81"/>
        <v/>
      </c>
      <c r="GPA6" s="97" t="str">
        <f t="shared" si="81"/>
        <v/>
      </c>
      <c r="GPB6" s="97" t="str">
        <f t="shared" si="81"/>
        <v/>
      </c>
      <c r="GPC6" s="97" t="str">
        <f t="shared" si="81"/>
        <v/>
      </c>
      <c r="GPD6" s="97" t="str">
        <f t="shared" si="81"/>
        <v/>
      </c>
      <c r="GPE6" s="97" t="str">
        <f t="shared" si="81"/>
        <v/>
      </c>
      <c r="GPF6" s="97" t="str">
        <f t="shared" si="81"/>
        <v/>
      </c>
      <c r="GPG6" s="97" t="str">
        <f t="shared" si="81"/>
        <v/>
      </c>
      <c r="GPH6" s="97" t="str">
        <f t="shared" si="81"/>
        <v/>
      </c>
      <c r="GPI6" s="97" t="str">
        <f t="shared" si="81"/>
        <v/>
      </c>
      <c r="GPJ6" s="97" t="str">
        <f t="shared" si="81"/>
        <v/>
      </c>
      <c r="GPK6" s="97" t="str">
        <f t="shared" si="81"/>
        <v/>
      </c>
      <c r="GPL6" s="97" t="str">
        <f t="shared" si="81"/>
        <v/>
      </c>
      <c r="GPM6" s="97" t="str">
        <f t="shared" si="81"/>
        <v/>
      </c>
      <c r="GPN6" s="97" t="str">
        <f t="shared" si="81"/>
        <v/>
      </c>
      <c r="GPO6" s="97" t="str">
        <f t="shared" si="81"/>
        <v/>
      </c>
      <c r="GPP6" s="97" t="str">
        <f t="shared" si="81"/>
        <v/>
      </c>
      <c r="GPQ6" s="97" t="str">
        <f t="shared" si="81"/>
        <v/>
      </c>
      <c r="GPR6" s="97" t="str">
        <f t="shared" si="81"/>
        <v/>
      </c>
      <c r="GPS6" s="97" t="str">
        <f t="shared" si="81"/>
        <v/>
      </c>
      <c r="GPT6" s="97" t="str">
        <f t="shared" si="81"/>
        <v/>
      </c>
      <c r="GPU6" s="97" t="str">
        <f t="shared" si="81"/>
        <v/>
      </c>
      <c r="GPV6" s="97" t="str">
        <f t="shared" si="81"/>
        <v/>
      </c>
      <c r="GPW6" s="97" t="str">
        <f t="shared" si="81"/>
        <v/>
      </c>
      <c r="GPX6" s="97" t="str">
        <f t="shared" si="81"/>
        <v/>
      </c>
      <c r="GPY6" s="97" t="str">
        <f t="shared" si="81"/>
        <v/>
      </c>
      <c r="GPZ6" s="97" t="str">
        <f t="shared" si="81"/>
        <v/>
      </c>
      <c r="GQA6" s="97" t="str">
        <f t="shared" si="81"/>
        <v/>
      </c>
      <c r="GQB6" s="97" t="str">
        <f t="shared" si="81"/>
        <v/>
      </c>
      <c r="GQC6" s="97" t="str">
        <f t="shared" si="81"/>
        <v/>
      </c>
      <c r="GQD6" s="97" t="str">
        <f t="shared" si="81"/>
        <v/>
      </c>
      <c r="GQE6" s="97" t="str">
        <f t="shared" si="81"/>
        <v/>
      </c>
      <c r="GQF6" s="97" t="str">
        <f t="shared" si="81"/>
        <v/>
      </c>
      <c r="GQG6" s="97" t="str">
        <f t="shared" si="81"/>
        <v/>
      </c>
      <c r="GQH6" s="97" t="str">
        <f t="shared" si="81"/>
        <v/>
      </c>
      <c r="GQI6" s="97" t="str">
        <f t="shared" si="81"/>
        <v/>
      </c>
      <c r="GQJ6" s="97" t="str">
        <f t="shared" si="81"/>
        <v/>
      </c>
      <c r="GQK6" s="97" t="str">
        <f t="shared" si="81"/>
        <v/>
      </c>
      <c r="GQL6" s="97" t="str">
        <f t="shared" si="81"/>
        <v/>
      </c>
      <c r="GQM6" s="97" t="str">
        <f t="shared" si="81"/>
        <v/>
      </c>
      <c r="GQN6" s="97" t="str">
        <f t="shared" si="81"/>
        <v/>
      </c>
      <c r="GQO6" s="97" t="str">
        <f t="shared" si="81"/>
        <v/>
      </c>
      <c r="GQP6" s="97" t="str">
        <f t="shared" ref="GQP6:GTA6" si="82">IFERROR(AVERAGE(GQP7:GQP13),"")</f>
        <v/>
      </c>
      <c r="GQQ6" s="97" t="str">
        <f t="shared" si="82"/>
        <v/>
      </c>
      <c r="GQR6" s="97" t="str">
        <f t="shared" si="82"/>
        <v/>
      </c>
      <c r="GQS6" s="97" t="str">
        <f t="shared" si="82"/>
        <v/>
      </c>
      <c r="GQT6" s="97" t="str">
        <f t="shared" si="82"/>
        <v/>
      </c>
      <c r="GQU6" s="97" t="str">
        <f t="shared" si="82"/>
        <v/>
      </c>
      <c r="GQV6" s="97" t="str">
        <f t="shared" si="82"/>
        <v/>
      </c>
      <c r="GQW6" s="97" t="str">
        <f t="shared" si="82"/>
        <v/>
      </c>
      <c r="GQX6" s="97" t="str">
        <f t="shared" si="82"/>
        <v/>
      </c>
      <c r="GQY6" s="97" t="str">
        <f t="shared" si="82"/>
        <v/>
      </c>
      <c r="GQZ6" s="97" t="str">
        <f t="shared" si="82"/>
        <v/>
      </c>
      <c r="GRA6" s="97" t="str">
        <f t="shared" si="82"/>
        <v/>
      </c>
      <c r="GRB6" s="97" t="str">
        <f t="shared" si="82"/>
        <v/>
      </c>
      <c r="GRC6" s="97" t="str">
        <f t="shared" si="82"/>
        <v/>
      </c>
      <c r="GRD6" s="97" t="str">
        <f t="shared" si="82"/>
        <v/>
      </c>
      <c r="GRE6" s="97" t="str">
        <f t="shared" si="82"/>
        <v/>
      </c>
      <c r="GRF6" s="97" t="str">
        <f t="shared" si="82"/>
        <v/>
      </c>
      <c r="GRG6" s="97" t="str">
        <f t="shared" si="82"/>
        <v/>
      </c>
      <c r="GRH6" s="97" t="str">
        <f t="shared" si="82"/>
        <v/>
      </c>
      <c r="GRI6" s="97" t="str">
        <f t="shared" si="82"/>
        <v/>
      </c>
      <c r="GRJ6" s="97" t="str">
        <f t="shared" si="82"/>
        <v/>
      </c>
      <c r="GRK6" s="97" t="str">
        <f t="shared" si="82"/>
        <v/>
      </c>
      <c r="GRL6" s="97" t="str">
        <f t="shared" si="82"/>
        <v/>
      </c>
      <c r="GRM6" s="97" t="str">
        <f t="shared" si="82"/>
        <v/>
      </c>
      <c r="GRN6" s="97" t="str">
        <f t="shared" si="82"/>
        <v/>
      </c>
      <c r="GRO6" s="97" t="str">
        <f t="shared" si="82"/>
        <v/>
      </c>
      <c r="GRP6" s="97" t="str">
        <f t="shared" si="82"/>
        <v/>
      </c>
      <c r="GRQ6" s="97" t="str">
        <f t="shared" si="82"/>
        <v/>
      </c>
      <c r="GRR6" s="97" t="str">
        <f t="shared" si="82"/>
        <v/>
      </c>
      <c r="GRS6" s="97" t="str">
        <f t="shared" si="82"/>
        <v/>
      </c>
      <c r="GRT6" s="97" t="str">
        <f t="shared" si="82"/>
        <v/>
      </c>
      <c r="GRU6" s="97" t="str">
        <f t="shared" si="82"/>
        <v/>
      </c>
      <c r="GRV6" s="97" t="str">
        <f t="shared" si="82"/>
        <v/>
      </c>
      <c r="GRW6" s="97" t="str">
        <f t="shared" si="82"/>
        <v/>
      </c>
      <c r="GRX6" s="97" t="str">
        <f t="shared" si="82"/>
        <v/>
      </c>
      <c r="GRY6" s="97" t="str">
        <f t="shared" si="82"/>
        <v/>
      </c>
      <c r="GRZ6" s="97" t="str">
        <f t="shared" si="82"/>
        <v/>
      </c>
      <c r="GSA6" s="97" t="str">
        <f t="shared" si="82"/>
        <v/>
      </c>
      <c r="GSB6" s="97" t="str">
        <f t="shared" si="82"/>
        <v/>
      </c>
      <c r="GSC6" s="97" t="str">
        <f t="shared" si="82"/>
        <v/>
      </c>
      <c r="GSD6" s="97" t="str">
        <f t="shared" si="82"/>
        <v/>
      </c>
      <c r="GSE6" s="97" t="str">
        <f t="shared" si="82"/>
        <v/>
      </c>
      <c r="GSF6" s="97" t="str">
        <f t="shared" si="82"/>
        <v/>
      </c>
      <c r="GSG6" s="97" t="str">
        <f t="shared" si="82"/>
        <v/>
      </c>
      <c r="GSH6" s="97" t="str">
        <f t="shared" si="82"/>
        <v/>
      </c>
      <c r="GSI6" s="97" t="str">
        <f t="shared" si="82"/>
        <v/>
      </c>
      <c r="GSJ6" s="97" t="str">
        <f t="shared" si="82"/>
        <v/>
      </c>
      <c r="GSK6" s="97" t="str">
        <f t="shared" si="82"/>
        <v/>
      </c>
      <c r="GSL6" s="97" t="str">
        <f t="shared" si="82"/>
        <v/>
      </c>
      <c r="GSM6" s="97" t="str">
        <f t="shared" si="82"/>
        <v/>
      </c>
      <c r="GSN6" s="97" t="str">
        <f t="shared" si="82"/>
        <v/>
      </c>
      <c r="GSO6" s="97" t="str">
        <f t="shared" si="82"/>
        <v/>
      </c>
      <c r="GSP6" s="97" t="str">
        <f t="shared" si="82"/>
        <v/>
      </c>
      <c r="GSQ6" s="97" t="str">
        <f t="shared" si="82"/>
        <v/>
      </c>
      <c r="GSR6" s="97" t="str">
        <f t="shared" si="82"/>
        <v/>
      </c>
      <c r="GSS6" s="97" t="str">
        <f t="shared" si="82"/>
        <v/>
      </c>
      <c r="GST6" s="97" t="str">
        <f t="shared" si="82"/>
        <v/>
      </c>
      <c r="GSU6" s="97" t="str">
        <f t="shared" si="82"/>
        <v/>
      </c>
      <c r="GSV6" s="97" t="str">
        <f t="shared" si="82"/>
        <v/>
      </c>
      <c r="GSW6" s="97" t="str">
        <f t="shared" si="82"/>
        <v/>
      </c>
      <c r="GSX6" s="97" t="str">
        <f t="shared" si="82"/>
        <v/>
      </c>
      <c r="GSY6" s="97" t="str">
        <f t="shared" si="82"/>
        <v/>
      </c>
      <c r="GSZ6" s="97" t="str">
        <f t="shared" si="82"/>
        <v/>
      </c>
      <c r="GTA6" s="97" t="str">
        <f t="shared" si="82"/>
        <v/>
      </c>
      <c r="GTB6" s="97" t="str">
        <f t="shared" ref="GTB6:GVM6" si="83">IFERROR(AVERAGE(GTB7:GTB13),"")</f>
        <v/>
      </c>
      <c r="GTC6" s="97" t="str">
        <f t="shared" si="83"/>
        <v/>
      </c>
      <c r="GTD6" s="97" t="str">
        <f t="shared" si="83"/>
        <v/>
      </c>
      <c r="GTE6" s="97" t="str">
        <f t="shared" si="83"/>
        <v/>
      </c>
      <c r="GTF6" s="97" t="str">
        <f t="shared" si="83"/>
        <v/>
      </c>
      <c r="GTG6" s="97" t="str">
        <f t="shared" si="83"/>
        <v/>
      </c>
      <c r="GTH6" s="97" t="str">
        <f t="shared" si="83"/>
        <v/>
      </c>
      <c r="GTI6" s="97" t="str">
        <f t="shared" si="83"/>
        <v/>
      </c>
      <c r="GTJ6" s="97" t="str">
        <f t="shared" si="83"/>
        <v/>
      </c>
      <c r="GTK6" s="97" t="str">
        <f t="shared" si="83"/>
        <v/>
      </c>
      <c r="GTL6" s="97" t="str">
        <f t="shared" si="83"/>
        <v/>
      </c>
      <c r="GTM6" s="97" t="str">
        <f t="shared" si="83"/>
        <v/>
      </c>
      <c r="GTN6" s="97" t="str">
        <f t="shared" si="83"/>
        <v/>
      </c>
      <c r="GTO6" s="97" t="str">
        <f t="shared" si="83"/>
        <v/>
      </c>
      <c r="GTP6" s="97" t="str">
        <f t="shared" si="83"/>
        <v/>
      </c>
      <c r="GTQ6" s="97" t="str">
        <f t="shared" si="83"/>
        <v/>
      </c>
      <c r="GTR6" s="97" t="str">
        <f t="shared" si="83"/>
        <v/>
      </c>
      <c r="GTS6" s="97" t="str">
        <f t="shared" si="83"/>
        <v/>
      </c>
      <c r="GTT6" s="97" t="str">
        <f t="shared" si="83"/>
        <v/>
      </c>
      <c r="GTU6" s="97" t="str">
        <f t="shared" si="83"/>
        <v/>
      </c>
      <c r="GTV6" s="97" t="str">
        <f t="shared" si="83"/>
        <v/>
      </c>
      <c r="GTW6" s="97" t="str">
        <f t="shared" si="83"/>
        <v/>
      </c>
      <c r="GTX6" s="97" t="str">
        <f t="shared" si="83"/>
        <v/>
      </c>
      <c r="GTY6" s="97" t="str">
        <f t="shared" si="83"/>
        <v/>
      </c>
      <c r="GTZ6" s="97" t="str">
        <f t="shared" si="83"/>
        <v/>
      </c>
      <c r="GUA6" s="97" t="str">
        <f t="shared" si="83"/>
        <v/>
      </c>
      <c r="GUB6" s="97" t="str">
        <f t="shared" si="83"/>
        <v/>
      </c>
      <c r="GUC6" s="97" t="str">
        <f t="shared" si="83"/>
        <v/>
      </c>
      <c r="GUD6" s="97" t="str">
        <f t="shared" si="83"/>
        <v/>
      </c>
      <c r="GUE6" s="97" t="str">
        <f t="shared" si="83"/>
        <v/>
      </c>
      <c r="GUF6" s="97" t="str">
        <f t="shared" si="83"/>
        <v/>
      </c>
      <c r="GUG6" s="97" t="str">
        <f t="shared" si="83"/>
        <v/>
      </c>
      <c r="GUH6" s="97" t="str">
        <f t="shared" si="83"/>
        <v/>
      </c>
      <c r="GUI6" s="97" t="str">
        <f t="shared" si="83"/>
        <v/>
      </c>
      <c r="GUJ6" s="97" t="str">
        <f t="shared" si="83"/>
        <v/>
      </c>
      <c r="GUK6" s="97" t="str">
        <f t="shared" si="83"/>
        <v/>
      </c>
      <c r="GUL6" s="97" t="str">
        <f t="shared" si="83"/>
        <v/>
      </c>
      <c r="GUM6" s="97" t="str">
        <f t="shared" si="83"/>
        <v/>
      </c>
      <c r="GUN6" s="97" t="str">
        <f t="shared" si="83"/>
        <v/>
      </c>
      <c r="GUO6" s="97" t="str">
        <f t="shared" si="83"/>
        <v/>
      </c>
      <c r="GUP6" s="97" t="str">
        <f t="shared" si="83"/>
        <v/>
      </c>
      <c r="GUQ6" s="97" t="str">
        <f t="shared" si="83"/>
        <v/>
      </c>
      <c r="GUR6" s="97" t="str">
        <f t="shared" si="83"/>
        <v/>
      </c>
      <c r="GUS6" s="97" t="str">
        <f t="shared" si="83"/>
        <v/>
      </c>
      <c r="GUT6" s="97" t="str">
        <f t="shared" si="83"/>
        <v/>
      </c>
      <c r="GUU6" s="97" t="str">
        <f t="shared" si="83"/>
        <v/>
      </c>
      <c r="GUV6" s="97" t="str">
        <f t="shared" si="83"/>
        <v/>
      </c>
      <c r="GUW6" s="97" t="str">
        <f t="shared" si="83"/>
        <v/>
      </c>
      <c r="GUX6" s="97" t="str">
        <f t="shared" si="83"/>
        <v/>
      </c>
      <c r="GUY6" s="97" t="str">
        <f t="shared" si="83"/>
        <v/>
      </c>
      <c r="GUZ6" s="97" t="str">
        <f t="shared" si="83"/>
        <v/>
      </c>
      <c r="GVA6" s="97" t="str">
        <f t="shared" si="83"/>
        <v/>
      </c>
      <c r="GVB6" s="97" t="str">
        <f t="shared" si="83"/>
        <v/>
      </c>
      <c r="GVC6" s="97" t="str">
        <f t="shared" si="83"/>
        <v/>
      </c>
      <c r="GVD6" s="97" t="str">
        <f t="shared" si="83"/>
        <v/>
      </c>
      <c r="GVE6" s="97" t="str">
        <f t="shared" si="83"/>
        <v/>
      </c>
      <c r="GVF6" s="97" t="str">
        <f t="shared" si="83"/>
        <v/>
      </c>
      <c r="GVG6" s="97" t="str">
        <f t="shared" si="83"/>
        <v/>
      </c>
      <c r="GVH6" s="97" t="str">
        <f t="shared" si="83"/>
        <v/>
      </c>
      <c r="GVI6" s="97" t="str">
        <f t="shared" si="83"/>
        <v/>
      </c>
      <c r="GVJ6" s="97" t="str">
        <f t="shared" si="83"/>
        <v/>
      </c>
      <c r="GVK6" s="97" t="str">
        <f t="shared" si="83"/>
        <v/>
      </c>
      <c r="GVL6" s="97" t="str">
        <f t="shared" si="83"/>
        <v/>
      </c>
      <c r="GVM6" s="97" t="str">
        <f t="shared" si="83"/>
        <v/>
      </c>
      <c r="GVN6" s="97" t="str">
        <f t="shared" ref="GVN6:GXY6" si="84">IFERROR(AVERAGE(GVN7:GVN13),"")</f>
        <v/>
      </c>
      <c r="GVO6" s="97" t="str">
        <f t="shared" si="84"/>
        <v/>
      </c>
      <c r="GVP6" s="97" t="str">
        <f t="shared" si="84"/>
        <v/>
      </c>
      <c r="GVQ6" s="97" t="str">
        <f t="shared" si="84"/>
        <v/>
      </c>
      <c r="GVR6" s="97" t="str">
        <f t="shared" si="84"/>
        <v/>
      </c>
      <c r="GVS6" s="97" t="str">
        <f t="shared" si="84"/>
        <v/>
      </c>
      <c r="GVT6" s="97" t="str">
        <f t="shared" si="84"/>
        <v/>
      </c>
      <c r="GVU6" s="97" t="str">
        <f t="shared" si="84"/>
        <v/>
      </c>
      <c r="GVV6" s="97" t="str">
        <f t="shared" si="84"/>
        <v/>
      </c>
      <c r="GVW6" s="97" t="str">
        <f t="shared" si="84"/>
        <v/>
      </c>
      <c r="GVX6" s="97" t="str">
        <f t="shared" si="84"/>
        <v/>
      </c>
      <c r="GVY6" s="97" t="str">
        <f t="shared" si="84"/>
        <v/>
      </c>
      <c r="GVZ6" s="97" t="str">
        <f t="shared" si="84"/>
        <v/>
      </c>
      <c r="GWA6" s="97" t="str">
        <f t="shared" si="84"/>
        <v/>
      </c>
      <c r="GWB6" s="97" t="str">
        <f t="shared" si="84"/>
        <v/>
      </c>
      <c r="GWC6" s="97" t="str">
        <f t="shared" si="84"/>
        <v/>
      </c>
      <c r="GWD6" s="97" t="str">
        <f t="shared" si="84"/>
        <v/>
      </c>
      <c r="GWE6" s="97" t="str">
        <f t="shared" si="84"/>
        <v/>
      </c>
      <c r="GWF6" s="97" t="str">
        <f t="shared" si="84"/>
        <v/>
      </c>
      <c r="GWG6" s="97" t="str">
        <f t="shared" si="84"/>
        <v/>
      </c>
      <c r="GWH6" s="97" t="str">
        <f t="shared" si="84"/>
        <v/>
      </c>
      <c r="GWI6" s="97" t="str">
        <f t="shared" si="84"/>
        <v/>
      </c>
      <c r="GWJ6" s="97" t="str">
        <f t="shared" si="84"/>
        <v/>
      </c>
      <c r="GWK6" s="97" t="str">
        <f t="shared" si="84"/>
        <v/>
      </c>
      <c r="GWL6" s="97" t="str">
        <f t="shared" si="84"/>
        <v/>
      </c>
      <c r="GWM6" s="97" t="str">
        <f t="shared" si="84"/>
        <v/>
      </c>
      <c r="GWN6" s="97" t="str">
        <f t="shared" si="84"/>
        <v/>
      </c>
      <c r="GWO6" s="97" t="str">
        <f t="shared" si="84"/>
        <v/>
      </c>
      <c r="GWP6" s="97" t="str">
        <f t="shared" si="84"/>
        <v/>
      </c>
      <c r="GWQ6" s="97" t="str">
        <f t="shared" si="84"/>
        <v/>
      </c>
      <c r="GWR6" s="97" t="str">
        <f t="shared" si="84"/>
        <v/>
      </c>
      <c r="GWS6" s="97" t="str">
        <f t="shared" si="84"/>
        <v/>
      </c>
      <c r="GWT6" s="97" t="str">
        <f t="shared" si="84"/>
        <v/>
      </c>
      <c r="GWU6" s="97" t="str">
        <f t="shared" si="84"/>
        <v/>
      </c>
      <c r="GWV6" s="97" t="str">
        <f t="shared" si="84"/>
        <v/>
      </c>
      <c r="GWW6" s="97" t="str">
        <f t="shared" si="84"/>
        <v/>
      </c>
      <c r="GWX6" s="97" t="str">
        <f t="shared" si="84"/>
        <v/>
      </c>
      <c r="GWY6" s="97" t="str">
        <f t="shared" si="84"/>
        <v/>
      </c>
      <c r="GWZ6" s="97" t="str">
        <f t="shared" si="84"/>
        <v/>
      </c>
      <c r="GXA6" s="97" t="str">
        <f t="shared" si="84"/>
        <v/>
      </c>
      <c r="GXB6" s="97" t="str">
        <f t="shared" si="84"/>
        <v/>
      </c>
      <c r="GXC6" s="97" t="str">
        <f t="shared" si="84"/>
        <v/>
      </c>
      <c r="GXD6" s="97" t="str">
        <f t="shared" si="84"/>
        <v/>
      </c>
      <c r="GXE6" s="97" t="str">
        <f t="shared" si="84"/>
        <v/>
      </c>
      <c r="GXF6" s="97" t="str">
        <f t="shared" si="84"/>
        <v/>
      </c>
      <c r="GXG6" s="97" t="str">
        <f t="shared" si="84"/>
        <v/>
      </c>
      <c r="GXH6" s="97" t="str">
        <f t="shared" si="84"/>
        <v/>
      </c>
      <c r="GXI6" s="97" t="str">
        <f t="shared" si="84"/>
        <v/>
      </c>
      <c r="GXJ6" s="97" t="str">
        <f t="shared" si="84"/>
        <v/>
      </c>
      <c r="GXK6" s="97" t="str">
        <f t="shared" si="84"/>
        <v/>
      </c>
      <c r="GXL6" s="97" t="str">
        <f t="shared" si="84"/>
        <v/>
      </c>
      <c r="GXM6" s="97" t="str">
        <f t="shared" si="84"/>
        <v/>
      </c>
      <c r="GXN6" s="97" t="str">
        <f t="shared" si="84"/>
        <v/>
      </c>
      <c r="GXO6" s="97" t="str">
        <f t="shared" si="84"/>
        <v/>
      </c>
      <c r="GXP6" s="97" t="str">
        <f t="shared" si="84"/>
        <v/>
      </c>
      <c r="GXQ6" s="97" t="str">
        <f t="shared" si="84"/>
        <v/>
      </c>
      <c r="GXR6" s="97" t="str">
        <f t="shared" si="84"/>
        <v/>
      </c>
      <c r="GXS6" s="97" t="str">
        <f t="shared" si="84"/>
        <v/>
      </c>
      <c r="GXT6" s="97" t="str">
        <f t="shared" si="84"/>
        <v/>
      </c>
      <c r="GXU6" s="97" t="str">
        <f t="shared" si="84"/>
        <v/>
      </c>
      <c r="GXV6" s="97" t="str">
        <f t="shared" si="84"/>
        <v/>
      </c>
      <c r="GXW6" s="97" t="str">
        <f t="shared" si="84"/>
        <v/>
      </c>
      <c r="GXX6" s="97" t="str">
        <f t="shared" si="84"/>
        <v/>
      </c>
      <c r="GXY6" s="97" t="str">
        <f t="shared" si="84"/>
        <v/>
      </c>
      <c r="GXZ6" s="97" t="str">
        <f t="shared" ref="GXZ6:HAK6" si="85">IFERROR(AVERAGE(GXZ7:GXZ13),"")</f>
        <v/>
      </c>
      <c r="GYA6" s="97" t="str">
        <f t="shared" si="85"/>
        <v/>
      </c>
      <c r="GYB6" s="97" t="str">
        <f t="shared" si="85"/>
        <v/>
      </c>
      <c r="GYC6" s="97" t="str">
        <f t="shared" si="85"/>
        <v/>
      </c>
      <c r="GYD6" s="97" t="str">
        <f t="shared" si="85"/>
        <v/>
      </c>
      <c r="GYE6" s="97" t="str">
        <f t="shared" si="85"/>
        <v/>
      </c>
      <c r="GYF6" s="97" t="str">
        <f t="shared" si="85"/>
        <v/>
      </c>
      <c r="GYG6" s="97" t="str">
        <f t="shared" si="85"/>
        <v/>
      </c>
      <c r="GYH6" s="97" t="str">
        <f t="shared" si="85"/>
        <v/>
      </c>
      <c r="GYI6" s="97" t="str">
        <f t="shared" si="85"/>
        <v/>
      </c>
      <c r="GYJ6" s="97" t="str">
        <f t="shared" si="85"/>
        <v/>
      </c>
      <c r="GYK6" s="97" t="str">
        <f t="shared" si="85"/>
        <v/>
      </c>
      <c r="GYL6" s="97" t="str">
        <f t="shared" si="85"/>
        <v/>
      </c>
      <c r="GYM6" s="97" t="str">
        <f t="shared" si="85"/>
        <v/>
      </c>
      <c r="GYN6" s="97" t="str">
        <f t="shared" si="85"/>
        <v/>
      </c>
      <c r="GYO6" s="97" t="str">
        <f t="shared" si="85"/>
        <v/>
      </c>
      <c r="GYP6" s="97" t="str">
        <f t="shared" si="85"/>
        <v/>
      </c>
      <c r="GYQ6" s="97" t="str">
        <f t="shared" si="85"/>
        <v/>
      </c>
      <c r="GYR6" s="97" t="str">
        <f t="shared" si="85"/>
        <v/>
      </c>
      <c r="GYS6" s="97" t="str">
        <f t="shared" si="85"/>
        <v/>
      </c>
      <c r="GYT6" s="97" t="str">
        <f t="shared" si="85"/>
        <v/>
      </c>
      <c r="GYU6" s="97" t="str">
        <f t="shared" si="85"/>
        <v/>
      </c>
      <c r="GYV6" s="97" t="str">
        <f t="shared" si="85"/>
        <v/>
      </c>
      <c r="GYW6" s="97" t="str">
        <f t="shared" si="85"/>
        <v/>
      </c>
      <c r="GYX6" s="97" t="str">
        <f t="shared" si="85"/>
        <v/>
      </c>
      <c r="GYY6" s="97" t="str">
        <f t="shared" si="85"/>
        <v/>
      </c>
      <c r="GYZ6" s="97" t="str">
        <f t="shared" si="85"/>
        <v/>
      </c>
      <c r="GZA6" s="97" t="str">
        <f t="shared" si="85"/>
        <v/>
      </c>
      <c r="GZB6" s="97" t="str">
        <f t="shared" si="85"/>
        <v/>
      </c>
      <c r="GZC6" s="97" t="str">
        <f t="shared" si="85"/>
        <v/>
      </c>
      <c r="GZD6" s="97" t="str">
        <f t="shared" si="85"/>
        <v/>
      </c>
      <c r="GZE6" s="97" t="str">
        <f t="shared" si="85"/>
        <v/>
      </c>
      <c r="GZF6" s="97" t="str">
        <f t="shared" si="85"/>
        <v/>
      </c>
      <c r="GZG6" s="97" t="str">
        <f t="shared" si="85"/>
        <v/>
      </c>
      <c r="GZH6" s="97" t="str">
        <f t="shared" si="85"/>
        <v/>
      </c>
      <c r="GZI6" s="97" t="str">
        <f t="shared" si="85"/>
        <v/>
      </c>
      <c r="GZJ6" s="97" t="str">
        <f t="shared" si="85"/>
        <v/>
      </c>
      <c r="GZK6" s="97" t="str">
        <f t="shared" si="85"/>
        <v/>
      </c>
      <c r="GZL6" s="97" t="str">
        <f t="shared" si="85"/>
        <v/>
      </c>
      <c r="GZM6" s="97" t="str">
        <f t="shared" si="85"/>
        <v/>
      </c>
      <c r="GZN6" s="97" t="str">
        <f t="shared" si="85"/>
        <v/>
      </c>
      <c r="GZO6" s="97" t="str">
        <f t="shared" si="85"/>
        <v/>
      </c>
      <c r="GZP6" s="97" t="str">
        <f t="shared" si="85"/>
        <v/>
      </c>
      <c r="GZQ6" s="97" t="str">
        <f t="shared" si="85"/>
        <v/>
      </c>
      <c r="GZR6" s="97" t="str">
        <f t="shared" si="85"/>
        <v/>
      </c>
      <c r="GZS6" s="97" t="str">
        <f t="shared" si="85"/>
        <v/>
      </c>
      <c r="GZT6" s="97" t="str">
        <f t="shared" si="85"/>
        <v/>
      </c>
      <c r="GZU6" s="97" t="str">
        <f t="shared" si="85"/>
        <v/>
      </c>
      <c r="GZV6" s="97" t="str">
        <f t="shared" si="85"/>
        <v/>
      </c>
      <c r="GZW6" s="97" t="str">
        <f t="shared" si="85"/>
        <v/>
      </c>
      <c r="GZX6" s="97" t="str">
        <f t="shared" si="85"/>
        <v/>
      </c>
      <c r="GZY6" s="97" t="str">
        <f t="shared" si="85"/>
        <v/>
      </c>
      <c r="GZZ6" s="97" t="str">
        <f t="shared" si="85"/>
        <v/>
      </c>
      <c r="HAA6" s="97" t="str">
        <f t="shared" si="85"/>
        <v/>
      </c>
      <c r="HAB6" s="97" t="str">
        <f t="shared" si="85"/>
        <v/>
      </c>
      <c r="HAC6" s="97" t="str">
        <f t="shared" si="85"/>
        <v/>
      </c>
      <c r="HAD6" s="97" t="str">
        <f t="shared" si="85"/>
        <v/>
      </c>
      <c r="HAE6" s="97" t="str">
        <f t="shared" si="85"/>
        <v/>
      </c>
      <c r="HAF6" s="97" t="str">
        <f t="shared" si="85"/>
        <v/>
      </c>
      <c r="HAG6" s="97" t="str">
        <f t="shared" si="85"/>
        <v/>
      </c>
      <c r="HAH6" s="97" t="str">
        <f t="shared" si="85"/>
        <v/>
      </c>
      <c r="HAI6" s="97" t="str">
        <f t="shared" si="85"/>
        <v/>
      </c>
      <c r="HAJ6" s="97" t="str">
        <f t="shared" si="85"/>
        <v/>
      </c>
      <c r="HAK6" s="97" t="str">
        <f t="shared" si="85"/>
        <v/>
      </c>
      <c r="HAL6" s="97" t="str">
        <f t="shared" ref="HAL6:HCW6" si="86">IFERROR(AVERAGE(HAL7:HAL13),"")</f>
        <v/>
      </c>
      <c r="HAM6" s="97" t="str">
        <f t="shared" si="86"/>
        <v/>
      </c>
      <c r="HAN6" s="97" t="str">
        <f t="shared" si="86"/>
        <v/>
      </c>
      <c r="HAO6" s="97" t="str">
        <f t="shared" si="86"/>
        <v/>
      </c>
      <c r="HAP6" s="97" t="str">
        <f t="shared" si="86"/>
        <v/>
      </c>
      <c r="HAQ6" s="97" t="str">
        <f t="shared" si="86"/>
        <v/>
      </c>
      <c r="HAR6" s="97" t="str">
        <f t="shared" si="86"/>
        <v/>
      </c>
      <c r="HAS6" s="97" t="str">
        <f t="shared" si="86"/>
        <v/>
      </c>
      <c r="HAT6" s="97" t="str">
        <f t="shared" si="86"/>
        <v/>
      </c>
      <c r="HAU6" s="97" t="str">
        <f t="shared" si="86"/>
        <v/>
      </c>
      <c r="HAV6" s="97" t="str">
        <f t="shared" si="86"/>
        <v/>
      </c>
      <c r="HAW6" s="97" t="str">
        <f t="shared" si="86"/>
        <v/>
      </c>
      <c r="HAX6" s="97" t="str">
        <f t="shared" si="86"/>
        <v/>
      </c>
      <c r="HAY6" s="97" t="str">
        <f t="shared" si="86"/>
        <v/>
      </c>
      <c r="HAZ6" s="97" t="str">
        <f t="shared" si="86"/>
        <v/>
      </c>
      <c r="HBA6" s="97" t="str">
        <f t="shared" si="86"/>
        <v/>
      </c>
      <c r="HBB6" s="97" t="str">
        <f t="shared" si="86"/>
        <v/>
      </c>
      <c r="HBC6" s="97" t="str">
        <f t="shared" si="86"/>
        <v/>
      </c>
      <c r="HBD6" s="97" t="str">
        <f t="shared" si="86"/>
        <v/>
      </c>
      <c r="HBE6" s="97" t="str">
        <f t="shared" si="86"/>
        <v/>
      </c>
      <c r="HBF6" s="97" t="str">
        <f t="shared" si="86"/>
        <v/>
      </c>
      <c r="HBG6" s="97" t="str">
        <f t="shared" si="86"/>
        <v/>
      </c>
      <c r="HBH6" s="97" t="str">
        <f t="shared" si="86"/>
        <v/>
      </c>
      <c r="HBI6" s="97" t="str">
        <f t="shared" si="86"/>
        <v/>
      </c>
      <c r="HBJ6" s="97" t="str">
        <f t="shared" si="86"/>
        <v/>
      </c>
      <c r="HBK6" s="97" t="str">
        <f t="shared" si="86"/>
        <v/>
      </c>
      <c r="HBL6" s="97" t="str">
        <f t="shared" si="86"/>
        <v/>
      </c>
      <c r="HBM6" s="97" t="str">
        <f t="shared" si="86"/>
        <v/>
      </c>
      <c r="HBN6" s="97" t="str">
        <f t="shared" si="86"/>
        <v/>
      </c>
      <c r="HBO6" s="97" t="str">
        <f t="shared" si="86"/>
        <v/>
      </c>
      <c r="HBP6" s="97" t="str">
        <f t="shared" si="86"/>
        <v/>
      </c>
      <c r="HBQ6" s="97" t="str">
        <f t="shared" si="86"/>
        <v/>
      </c>
      <c r="HBR6" s="97" t="str">
        <f t="shared" si="86"/>
        <v/>
      </c>
      <c r="HBS6" s="97" t="str">
        <f t="shared" si="86"/>
        <v/>
      </c>
      <c r="HBT6" s="97" t="str">
        <f t="shared" si="86"/>
        <v/>
      </c>
      <c r="HBU6" s="97" t="str">
        <f t="shared" si="86"/>
        <v/>
      </c>
      <c r="HBV6" s="97" t="str">
        <f t="shared" si="86"/>
        <v/>
      </c>
      <c r="HBW6" s="97" t="str">
        <f t="shared" si="86"/>
        <v/>
      </c>
      <c r="HBX6" s="97" t="str">
        <f t="shared" si="86"/>
        <v/>
      </c>
      <c r="HBY6" s="97" t="str">
        <f t="shared" si="86"/>
        <v/>
      </c>
      <c r="HBZ6" s="97" t="str">
        <f t="shared" si="86"/>
        <v/>
      </c>
      <c r="HCA6" s="97" t="str">
        <f t="shared" si="86"/>
        <v/>
      </c>
      <c r="HCB6" s="97" t="str">
        <f t="shared" si="86"/>
        <v/>
      </c>
      <c r="HCC6" s="97" t="str">
        <f t="shared" si="86"/>
        <v/>
      </c>
      <c r="HCD6" s="97" t="str">
        <f t="shared" si="86"/>
        <v/>
      </c>
      <c r="HCE6" s="97" t="str">
        <f t="shared" si="86"/>
        <v/>
      </c>
      <c r="HCF6" s="97" t="str">
        <f t="shared" si="86"/>
        <v/>
      </c>
      <c r="HCG6" s="97" t="str">
        <f t="shared" si="86"/>
        <v/>
      </c>
      <c r="HCH6" s="97" t="str">
        <f t="shared" si="86"/>
        <v/>
      </c>
      <c r="HCI6" s="97" t="str">
        <f t="shared" si="86"/>
        <v/>
      </c>
      <c r="HCJ6" s="97" t="str">
        <f t="shared" si="86"/>
        <v/>
      </c>
      <c r="HCK6" s="97" t="str">
        <f t="shared" si="86"/>
        <v/>
      </c>
      <c r="HCL6" s="97" t="str">
        <f t="shared" si="86"/>
        <v/>
      </c>
      <c r="HCM6" s="97" t="str">
        <f t="shared" si="86"/>
        <v/>
      </c>
      <c r="HCN6" s="97" t="str">
        <f t="shared" si="86"/>
        <v/>
      </c>
      <c r="HCO6" s="97" t="str">
        <f t="shared" si="86"/>
        <v/>
      </c>
      <c r="HCP6" s="97" t="str">
        <f t="shared" si="86"/>
        <v/>
      </c>
      <c r="HCQ6" s="97" t="str">
        <f t="shared" si="86"/>
        <v/>
      </c>
      <c r="HCR6" s="97" t="str">
        <f t="shared" si="86"/>
        <v/>
      </c>
      <c r="HCS6" s="97" t="str">
        <f t="shared" si="86"/>
        <v/>
      </c>
      <c r="HCT6" s="97" t="str">
        <f t="shared" si="86"/>
        <v/>
      </c>
      <c r="HCU6" s="97" t="str">
        <f t="shared" si="86"/>
        <v/>
      </c>
      <c r="HCV6" s="97" t="str">
        <f t="shared" si="86"/>
        <v/>
      </c>
      <c r="HCW6" s="97" t="str">
        <f t="shared" si="86"/>
        <v/>
      </c>
      <c r="HCX6" s="97" t="str">
        <f t="shared" ref="HCX6:HFI6" si="87">IFERROR(AVERAGE(HCX7:HCX13),"")</f>
        <v/>
      </c>
      <c r="HCY6" s="97" t="str">
        <f t="shared" si="87"/>
        <v/>
      </c>
      <c r="HCZ6" s="97" t="str">
        <f t="shared" si="87"/>
        <v/>
      </c>
      <c r="HDA6" s="97" t="str">
        <f t="shared" si="87"/>
        <v/>
      </c>
      <c r="HDB6" s="97" t="str">
        <f t="shared" si="87"/>
        <v/>
      </c>
      <c r="HDC6" s="97" t="str">
        <f t="shared" si="87"/>
        <v/>
      </c>
      <c r="HDD6" s="97" t="str">
        <f t="shared" si="87"/>
        <v/>
      </c>
      <c r="HDE6" s="97" t="str">
        <f t="shared" si="87"/>
        <v/>
      </c>
      <c r="HDF6" s="97" t="str">
        <f t="shared" si="87"/>
        <v/>
      </c>
      <c r="HDG6" s="97" t="str">
        <f t="shared" si="87"/>
        <v/>
      </c>
      <c r="HDH6" s="97" t="str">
        <f t="shared" si="87"/>
        <v/>
      </c>
      <c r="HDI6" s="97" t="str">
        <f t="shared" si="87"/>
        <v/>
      </c>
      <c r="HDJ6" s="97" t="str">
        <f t="shared" si="87"/>
        <v/>
      </c>
      <c r="HDK6" s="97" t="str">
        <f t="shared" si="87"/>
        <v/>
      </c>
      <c r="HDL6" s="97" t="str">
        <f t="shared" si="87"/>
        <v/>
      </c>
      <c r="HDM6" s="97" t="str">
        <f t="shared" si="87"/>
        <v/>
      </c>
      <c r="HDN6" s="97" t="str">
        <f t="shared" si="87"/>
        <v/>
      </c>
      <c r="HDO6" s="97" t="str">
        <f t="shared" si="87"/>
        <v/>
      </c>
      <c r="HDP6" s="97" t="str">
        <f t="shared" si="87"/>
        <v/>
      </c>
      <c r="HDQ6" s="97" t="str">
        <f t="shared" si="87"/>
        <v/>
      </c>
      <c r="HDR6" s="97" t="str">
        <f t="shared" si="87"/>
        <v/>
      </c>
      <c r="HDS6" s="97" t="str">
        <f t="shared" si="87"/>
        <v/>
      </c>
      <c r="HDT6" s="97" t="str">
        <f t="shared" si="87"/>
        <v/>
      </c>
      <c r="HDU6" s="97" t="str">
        <f t="shared" si="87"/>
        <v/>
      </c>
      <c r="HDV6" s="97" t="str">
        <f t="shared" si="87"/>
        <v/>
      </c>
      <c r="HDW6" s="97" t="str">
        <f t="shared" si="87"/>
        <v/>
      </c>
      <c r="HDX6" s="97" t="str">
        <f t="shared" si="87"/>
        <v/>
      </c>
      <c r="HDY6" s="97" t="str">
        <f t="shared" si="87"/>
        <v/>
      </c>
      <c r="HDZ6" s="97" t="str">
        <f t="shared" si="87"/>
        <v/>
      </c>
      <c r="HEA6" s="97" t="str">
        <f t="shared" si="87"/>
        <v/>
      </c>
      <c r="HEB6" s="97" t="str">
        <f t="shared" si="87"/>
        <v/>
      </c>
      <c r="HEC6" s="97" t="str">
        <f t="shared" si="87"/>
        <v/>
      </c>
      <c r="HED6" s="97" t="str">
        <f t="shared" si="87"/>
        <v/>
      </c>
      <c r="HEE6" s="97" t="str">
        <f t="shared" si="87"/>
        <v/>
      </c>
      <c r="HEF6" s="97" t="str">
        <f t="shared" si="87"/>
        <v/>
      </c>
      <c r="HEG6" s="97" t="str">
        <f t="shared" si="87"/>
        <v/>
      </c>
      <c r="HEH6" s="97" t="str">
        <f t="shared" si="87"/>
        <v/>
      </c>
      <c r="HEI6" s="97" t="str">
        <f t="shared" si="87"/>
        <v/>
      </c>
      <c r="HEJ6" s="97" t="str">
        <f t="shared" si="87"/>
        <v/>
      </c>
      <c r="HEK6" s="97" t="str">
        <f t="shared" si="87"/>
        <v/>
      </c>
      <c r="HEL6" s="97" t="str">
        <f t="shared" si="87"/>
        <v/>
      </c>
      <c r="HEM6" s="97" t="str">
        <f t="shared" si="87"/>
        <v/>
      </c>
      <c r="HEN6" s="97" t="str">
        <f t="shared" si="87"/>
        <v/>
      </c>
      <c r="HEO6" s="97" t="str">
        <f t="shared" si="87"/>
        <v/>
      </c>
      <c r="HEP6" s="97" t="str">
        <f t="shared" si="87"/>
        <v/>
      </c>
      <c r="HEQ6" s="97" t="str">
        <f t="shared" si="87"/>
        <v/>
      </c>
      <c r="HER6" s="97" t="str">
        <f t="shared" si="87"/>
        <v/>
      </c>
      <c r="HES6" s="97" t="str">
        <f t="shared" si="87"/>
        <v/>
      </c>
      <c r="HET6" s="97" t="str">
        <f t="shared" si="87"/>
        <v/>
      </c>
      <c r="HEU6" s="97" t="str">
        <f t="shared" si="87"/>
        <v/>
      </c>
      <c r="HEV6" s="97" t="str">
        <f t="shared" si="87"/>
        <v/>
      </c>
      <c r="HEW6" s="97" t="str">
        <f t="shared" si="87"/>
        <v/>
      </c>
      <c r="HEX6" s="97" t="str">
        <f t="shared" si="87"/>
        <v/>
      </c>
      <c r="HEY6" s="97" t="str">
        <f t="shared" si="87"/>
        <v/>
      </c>
      <c r="HEZ6" s="97" t="str">
        <f t="shared" si="87"/>
        <v/>
      </c>
      <c r="HFA6" s="97" t="str">
        <f t="shared" si="87"/>
        <v/>
      </c>
      <c r="HFB6" s="97" t="str">
        <f t="shared" si="87"/>
        <v/>
      </c>
      <c r="HFC6" s="97" t="str">
        <f t="shared" si="87"/>
        <v/>
      </c>
      <c r="HFD6" s="97" t="str">
        <f t="shared" si="87"/>
        <v/>
      </c>
      <c r="HFE6" s="97" t="str">
        <f t="shared" si="87"/>
        <v/>
      </c>
      <c r="HFF6" s="97" t="str">
        <f t="shared" si="87"/>
        <v/>
      </c>
      <c r="HFG6" s="97" t="str">
        <f t="shared" si="87"/>
        <v/>
      </c>
      <c r="HFH6" s="97" t="str">
        <f t="shared" si="87"/>
        <v/>
      </c>
      <c r="HFI6" s="97" t="str">
        <f t="shared" si="87"/>
        <v/>
      </c>
      <c r="HFJ6" s="97" t="str">
        <f t="shared" ref="HFJ6:HHU6" si="88">IFERROR(AVERAGE(HFJ7:HFJ13),"")</f>
        <v/>
      </c>
      <c r="HFK6" s="97" t="str">
        <f t="shared" si="88"/>
        <v/>
      </c>
      <c r="HFL6" s="97" t="str">
        <f t="shared" si="88"/>
        <v/>
      </c>
      <c r="HFM6" s="97" t="str">
        <f t="shared" si="88"/>
        <v/>
      </c>
      <c r="HFN6" s="97" t="str">
        <f t="shared" si="88"/>
        <v/>
      </c>
      <c r="HFO6" s="97" t="str">
        <f t="shared" si="88"/>
        <v/>
      </c>
      <c r="HFP6" s="97" t="str">
        <f t="shared" si="88"/>
        <v/>
      </c>
      <c r="HFQ6" s="97" t="str">
        <f t="shared" si="88"/>
        <v/>
      </c>
      <c r="HFR6" s="97" t="str">
        <f t="shared" si="88"/>
        <v/>
      </c>
      <c r="HFS6" s="97" t="str">
        <f t="shared" si="88"/>
        <v/>
      </c>
      <c r="HFT6" s="97" t="str">
        <f t="shared" si="88"/>
        <v/>
      </c>
      <c r="HFU6" s="97" t="str">
        <f t="shared" si="88"/>
        <v/>
      </c>
      <c r="HFV6" s="97" t="str">
        <f t="shared" si="88"/>
        <v/>
      </c>
      <c r="HFW6" s="97" t="str">
        <f t="shared" si="88"/>
        <v/>
      </c>
      <c r="HFX6" s="97" t="str">
        <f t="shared" si="88"/>
        <v/>
      </c>
      <c r="HFY6" s="97" t="str">
        <f t="shared" si="88"/>
        <v/>
      </c>
      <c r="HFZ6" s="97" t="str">
        <f t="shared" si="88"/>
        <v/>
      </c>
      <c r="HGA6" s="97" t="str">
        <f t="shared" si="88"/>
        <v/>
      </c>
      <c r="HGB6" s="97" t="str">
        <f t="shared" si="88"/>
        <v/>
      </c>
      <c r="HGC6" s="97" t="str">
        <f t="shared" si="88"/>
        <v/>
      </c>
      <c r="HGD6" s="97" t="str">
        <f t="shared" si="88"/>
        <v/>
      </c>
      <c r="HGE6" s="97" t="str">
        <f t="shared" si="88"/>
        <v/>
      </c>
      <c r="HGF6" s="97" t="str">
        <f t="shared" si="88"/>
        <v/>
      </c>
      <c r="HGG6" s="97" t="str">
        <f t="shared" si="88"/>
        <v/>
      </c>
      <c r="HGH6" s="97" t="str">
        <f t="shared" si="88"/>
        <v/>
      </c>
      <c r="HGI6" s="97" t="str">
        <f t="shared" si="88"/>
        <v/>
      </c>
      <c r="HGJ6" s="97" t="str">
        <f t="shared" si="88"/>
        <v/>
      </c>
      <c r="HGK6" s="97" t="str">
        <f t="shared" si="88"/>
        <v/>
      </c>
      <c r="HGL6" s="97" t="str">
        <f t="shared" si="88"/>
        <v/>
      </c>
      <c r="HGM6" s="97" t="str">
        <f t="shared" si="88"/>
        <v/>
      </c>
      <c r="HGN6" s="97" t="str">
        <f t="shared" si="88"/>
        <v/>
      </c>
      <c r="HGO6" s="97" t="str">
        <f t="shared" si="88"/>
        <v/>
      </c>
      <c r="HGP6" s="97" t="str">
        <f t="shared" si="88"/>
        <v/>
      </c>
      <c r="HGQ6" s="97" t="str">
        <f t="shared" si="88"/>
        <v/>
      </c>
      <c r="HGR6" s="97" t="str">
        <f t="shared" si="88"/>
        <v/>
      </c>
      <c r="HGS6" s="97" t="str">
        <f t="shared" si="88"/>
        <v/>
      </c>
      <c r="HGT6" s="97" t="str">
        <f t="shared" si="88"/>
        <v/>
      </c>
      <c r="HGU6" s="97" t="str">
        <f t="shared" si="88"/>
        <v/>
      </c>
      <c r="HGV6" s="97" t="str">
        <f t="shared" si="88"/>
        <v/>
      </c>
      <c r="HGW6" s="97" t="str">
        <f t="shared" si="88"/>
        <v/>
      </c>
      <c r="HGX6" s="97" t="str">
        <f t="shared" si="88"/>
        <v/>
      </c>
      <c r="HGY6" s="97" t="str">
        <f t="shared" si="88"/>
        <v/>
      </c>
      <c r="HGZ6" s="97" t="str">
        <f t="shared" si="88"/>
        <v/>
      </c>
      <c r="HHA6" s="97" t="str">
        <f t="shared" si="88"/>
        <v/>
      </c>
      <c r="HHB6" s="97" t="str">
        <f t="shared" si="88"/>
        <v/>
      </c>
      <c r="HHC6" s="97" t="str">
        <f t="shared" si="88"/>
        <v/>
      </c>
      <c r="HHD6" s="97" t="str">
        <f t="shared" si="88"/>
        <v/>
      </c>
      <c r="HHE6" s="97" t="str">
        <f t="shared" si="88"/>
        <v/>
      </c>
      <c r="HHF6" s="97" t="str">
        <f t="shared" si="88"/>
        <v/>
      </c>
      <c r="HHG6" s="97" t="str">
        <f t="shared" si="88"/>
        <v/>
      </c>
      <c r="HHH6" s="97" t="str">
        <f t="shared" si="88"/>
        <v/>
      </c>
      <c r="HHI6" s="97" t="str">
        <f t="shared" si="88"/>
        <v/>
      </c>
      <c r="HHJ6" s="97" t="str">
        <f t="shared" si="88"/>
        <v/>
      </c>
      <c r="HHK6" s="97" t="str">
        <f t="shared" si="88"/>
        <v/>
      </c>
      <c r="HHL6" s="97" t="str">
        <f t="shared" si="88"/>
        <v/>
      </c>
      <c r="HHM6" s="97" t="str">
        <f t="shared" si="88"/>
        <v/>
      </c>
      <c r="HHN6" s="97" t="str">
        <f t="shared" si="88"/>
        <v/>
      </c>
      <c r="HHO6" s="97" t="str">
        <f t="shared" si="88"/>
        <v/>
      </c>
      <c r="HHP6" s="97" t="str">
        <f t="shared" si="88"/>
        <v/>
      </c>
      <c r="HHQ6" s="97" t="str">
        <f t="shared" si="88"/>
        <v/>
      </c>
      <c r="HHR6" s="97" t="str">
        <f t="shared" si="88"/>
        <v/>
      </c>
      <c r="HHS6" s="97" t="str">
        <f t="shared" si="88"/>
        <v/>
      </c>
      <c r="HHT6" s="97" t="str">
        <f t="shared" si="88"/>
        <v/>
      </c>
      <c r="HHU6" s="97" t="str">
        <f t="shared" si="88"/>
        <v/>
      </c>
      <c r="HHV6" s="97" t="str">
        <f t="shared" ref="HHV6:HKG6" si="89">IFERROR(AVERAGE(HHV7:HHV13),"")</f>
        <v/>
      </c>
      <c r="HHW6" s="97" t="str">
        <f t="shared" si="89"/>
        <v/>
      </c>
      <c r="HHX6" s="97" t="str">
        <f t="shared" si="89"/>
        <v/>
      </c>
      <c r="HHY6" s="97" t="str">
        <f t="shared" si="89"/>
        <v/>
      </c>
      <c r="HHZ6" s="97" t="str">
        <f t="shared" si="89"/>
        <v/>
      </c>
      <c r="HIA6" s="97" t="str">
        <f t="shared" si="89"/>
        <v/>
      </c>
      <c r="HIB6" s="97" t="str">
        <f t="shared" si="89"/>
        <v/>
      </c>
      <c r="HIC6" s="97" t="str">
        <f t="shared" si="89"/>
        <v/>
      </c>
      <c r="HID6" s="97" t="str">
        <f t="shared" si="89"/>
        <v/>
      </c>
      <c r="HIE6" s="97" t="str">
        <f t="shared" si="89"/>
        <v/>
      </c>
      <c r="HIF6" s="97" t="str">
        <f t="shared" si="89"/>
        <v/>
      </c>
      <c r="HIG6" s="97" t="str">
        <f t="shared" si="89"/>
        <v/>
      </c>
      <c r="HIH6" s="97" t="str">
        <f t="shared" si="89"/>
        <v/>
      </c>
      <c r="HII6" s="97" t="str">
        <f t="shared" si="89"/>
        <v/>
      </c>
      <c r="HIJ6" s="97" t="str">
        <f t="shared" si="89"/>
        <v/>
      </c>
      <c r="HIK6" s="97" t="str">
        <f t="shared" si="89"/>
        <v/>
      </c>
      <c r="HIL6" s="97" t="str">
        <f t="shared" si="89"/>
        <v/>
      </c>
      <c r="HIM6" s="97" t="str">
        <f t="shared" si="89"/>
        <v/>
      </c>
      <c r="HIN6" s="97" t="str">
        <f t="shared" si="89"/>
        <v/>
      </c>
      <c r="HIO6" s="97" t="str">
        <f t="shared" si="89"/>
        <v/>
      </c>
      <c r="HIP6" s="97" t="str">
        <f t="shared" si="89"/>
        <v/>
      </c>
      <c r="HIQ6" s="97" t="str">
        <f t="shared" si="89"/>
        <v/>
      </c>
      <c r="HIR6" s="97" t="str">
        <f t="shared" si="89"/>
        <v/>
      </c>
      <c r="HIS6" s="97" t="str">
        <f t="shared" si="89"/>
        <v/>
      </c>
      <c r="HIT6" s="97" t="str">
        <f t="shared" si="89"/>
        <v/>
      </c>
      <c r="HIU6" s="97" t="str">
        <f t="shared" si="89"/>
        <v/>
      </c>
      <c r="HIV6" s="97" t="str">
        <f t="shared" si="89"/>
        <v/>
      </c>
      <c r="HIW6" s="97" t="str">
        <f t="shared" si="89"/>
        <v/>
      </c>
      <c r="HIX6" s="97" t="str">
        <f t="shared" si="89"/>
        <v/>
      </c>
      <c r="HIY6" s="97" t="str">
        <f t="shared" si="89"/>
        <v/>
      </c>
      <c r="HIZ6" s="97" t="str">
        <f t="shared" si="89"/>
        <v/>
      </c>
      <c r="HJA6" s="97" t="str">
        <f t="shared" si="89"/>
        <v/>
      </c>
      <c r="HJB6" s="97" t="str">
        <f t="shared" si="89"/>
        <v/>
      </c>
      <c r="HJC6" s="97" t="str">
        <f t="shared" si="89"/>
        <v/>
      </c>
      <c r="HJD6" s="97" t="str">
        <f t="shared" si="89"/>
        <v/>
      </c>
      <c r="HJE6" s="97" t="str">
        <f t="shared" si="89"/>
        <v/>
      </c>
      <c r="HJF6" s="97" t="str">
        <f t="shared" si="89"/>
        <v/>
      </c>
      <c r="HJG6" s="97" t="str">
        <f t="shared" si="89"/>
        <v/>
      </c>
      <c r="HJH6" s="97" t="str">
        <f t="shared" si="89"/>
        <v/>
      </c>
      <c r="HJI6" s="97" t="str">
        <f t="shared" si="89"/>
        <v/>
      </c>
      <c r="HJJ6" s="97" t="str">
        <f t="shared" si="89"/>
        <v/>
      </c>
      <c r="HJK6" s="97" t="str">
        <f t="shared" si="89"/>
        <v/>
      </c>
      <c r="HJL6" s="97" t="str">
        <f t="shared" si="89"/>
        <v/>
      </c>
      <c r="HJM6" s="97" t="str">
        <f t="shared" si="89"/>
        <v/>
      </c>
      <c r="HJN6" s="97" t="str">
        <f t="shared" si="89"/>
        <v/>
      </c>
      <c r="HJO6" s="97" t="str">
        <f t="shared" si="89"/>
        <v/>
      </c>
      <c r="HJP6" s="97" t="str">
        <f t="shared" si="89"/>
        <v/>
      </c>
      <c r="HJQ6" s="97" t="str">
        <f t="shared" si="89"/>
        <v/>
      </c>
      <c r="HJR6" s="97" t="str">
        <f t="shared" si="89"/>
        <v/>
      </c>
      <c r="HJS6" s="97" t="str">
        <f t="shared" si="89"/>
        <v/>
      </c>
      <c r="HJT6" s="97" t="str">
        <f t="shared" si="89"/>
        <v/>
      </c>
      <c r="HJU6" s="97" t="str">
        <f t="shared" si="89"/>
        <v/>
      </c>
      <c r="HJV6" s="97" t="str">
        <f t="shared" si="89"/>
        <v/>
      </c>
      <c r="HJW6" s="97" t="str">
        <f t="shared" si="89"/>
        <v/>
      </c>
      <c r="HJX6" s="97" t="str">
        <f t="shared" si="89"/>
        <v/>
      </c>
      <c r="HJY6" s="97" t="str">
        <f t="shared" si="89"/>
        <v/>
      </c>
      <c r="HJZ6" s="97" t="str">
        <f t="shared" si="89"/>
        <v/>
      </c>
      <c r="HKA6" s="97" t="str">
        <f t="shared" si="89"/>
        <v/>
      </c>
      <c r="HKB6" s="97" t="str">
        <f t="shared" si="89"/>
        <v/>
      </c>
      <c r="HKC6" s="97" t="str">
        <f t="shared" si="89"/>
        <v/>
      </c>
      <c r="HKD6" s="97" t="str">
        <f t="shared" si="89"/>
        <v/>
      </c>
      <c r="HKE6" s="97" t="str">
        <f t="shared" si="89"/>
        <v/>
      </c>
      <c r="HKF6" s="97" t="str">
        <f t="shared" si="89"/>
        <v/>
      </c>
      <c r="HKG6" s="97" t="str">
        <f t="shared" si="89"/>
        <v/>
      </c>
      <c r="HKH6" s="97" t="str">
        <f t="shared" ref="HKH6:HMS6" si="90">IFERROR(AVERAGE(HKH7:HKH13),"")</f>
        <v/>
      </c>
      <c r="HKI6" s="97" t="str">
        <f t="shared" si="90"/>
        <v/>
      </c>
      <c r="HKJ6" s="97" t="str">
        <f t="shared" si="90"/>
        <v/>
      </c>
      <c r="HKK6" s="97" t="str">
        <f t="shared" si="90"/>
        <v/>
      </c>
      <c r="HKL6" s="97" t="str">
        <f t="shared" si="90"/>
        <v/>
      </c>
      <c r="HKM6" s="97" t="str">
        <f t="shared" si="90"/>
        <v/>
      </c>
      <c r="HKN6" s="97" t="str">
        <f t="shared" si="90"/>
        <v/>
      </c>
      <c r="HKO6" s="97" t="str">
        <f t="shared" si="90"/>
        <v/>
      </c>
      <c r="HKP6" s="97" t="str">
        <f t="shared" si="90"/>
        <v/>
      </c>
      <c r="HKQ6" s="97" t="str">
        <f t="shared" si="90"/>
        <v/>
      </c>
      <c r="HKR6" s="97" t="str">
        <f t="shared" si="90"/>
        <v/>
      </c>
      <c r="HKS6" s="97" t="str">
        <f t="shared" si="90"/>
        <v/>
      </c>
      <c r="HKT6" s="97" t="str">
        <f t="shared" si="90"/>
        <v/>
      </c>
      <c r="HKU6" s="97" t="str">
        <f t="shared" si="90"/>
        <v/>
      </c>
      <c r="HKV6" s="97" t="str">
        <f t="shared" si="90"/>
        <v/>
      </c>
      <c r="HKW6" s="97" t="str">
        <f t="shared" si="90"/>
        <v/>
      </c>
      <c r="HKX6" s="97" t="str">
        <f t="shared" si="90"/>
        <v/>
      </c>
      <c r="HKY6" s="97" t="str">
        <f t="shared" si="90"/>
        <v/>
      </c>
      <c r="HKZ6" s="97" t="str">
        <f t="shared" si="90"/>
        <v/>
      </c>
      <c r="HLA6" s="97" t="str">
        <f t="shared" si="90"/>
        <v/>
      </c>
      <c r="HLB6" s="97" t="str">
        <f t="shared" si="90"/>
        <v/>
      </c>
      <c r="HLC6" s="97" t="str">
        <f t="shared" si="90"/>
        <v/>
      </c>
      <c r="HLD6" s="97" t="str">
        <f t="shared" si="90"/>
        <v/>
      </c>
      <c r="HLE6" s="97" t="str">
        <f t="shared" si="90"/>
        <v/>
      </c>
      <c r="HLF6" s="97" t="str">
        <f t="shared" si="90"/>
        <v/>
      </c>
      <c r="HLG6" s="97" t="str">
        <f t="shared" si="90"/>
        <v/>
      </c>
      <c r="HLH6" s="97" t="str">
        <f t="shared" si="90"/>
        <v/>
      </c>
      <c r="HLI6" s="97" t="str">
        <f t="shared" si="90"/>
        <v/>
      </c>
      <c r="HLJ6" s="97" t="str">
        <f t="shared" si="90"/>
        <v/>
      </c>
      <c r="HLK6" s="97" t="str">
        <f t="shared" si="90"/>
        <v/>
      </c>
      <c r="HLL6" s="97" t="str">
        <f t="shared" si="90"/>
        <v/>
      </c>
      <c r="HLM6" s="97" t="str">
        <f t="shared" si="90"/>
        <v/>
      </c>
      <c r="HLN6" s="97" t="str">
        <f t="shared" si="90"/>
        <v/>
      </c>
      <c r="HLO6" s="97" t="str">
        <f t="shared" si="90"/>
        <v/>
      </c>
      <c r="HLP6" s="97" t="str">
        <f t="shared" si="90"/>
        <v/>
      </c>
      <c r="HLQ6" s="97" t="str">
        <f t="shared" si="90"/>
        <v/>
      </c>
      <c r="HLR6" s="97" t="str">
        <f t="shared" si="90"/>
        <v/>
      </c>
      <c r="HLS6" s="97" t="str">
        <f t="shared" si="90"/>
        <v/>
      </c>
      <c r="HLT6" s="97" t="str">
        <f t="shared" si="90"/>
        <v/>
      </c>
      <c r="HLU6" s="97" t="str">
        <f t="shared" si="90"/>
        <v/>
      </c>
      <c r="HLV6" s="97" t="str">
        <f t="shared" si="90"/>
        <v/>
      </c>
      <c r="HLW6" s="97" t="str">
        <f t="shared" si="90"/>
        <v/>
      </c>
      <c r="HLX6" s="97" t="str">
        <f t="shared" si="90"/>
        <v/>
      </c>
      <c r="HLY6" s="97" t="str">
        <f t="shared" si="90"/>
        <v/>
      </c>
      <c r="HLZ6" s="97" t="str">
        <f t="shared" si="90"/>
        <v/>
      </c>
      <c r="HMA6" s="97" t="str">
        <f t="shared" si="90"/>
        <v/>
      </c>
      <c r="HMB6" s="97" t="str">
        <f t="shared" si="90"/>
        <v/>
      </c>
      <c r="HMC6" s="97" t="str">
        <f t="shared" si="90"/>
        <v/>
      </c>
      <c r="HMD6" s="97" t="str">
        <f t="shared" si="90"/>
        <v/>
      </c>
      <c r="HME6" s="97" t="str">
        <f t="shared" si="90"/>
        <v/>
      </c>
      <c r="HMF6" s="97" t="str">
        <f t="shared" si="90"/>
        <v/>
      </c>
      <c r="HMG6" s="97" t="str">
        <f t="shared" si="90"/>
        <v/>
      </c>
      <c r="HMH6" s="97" t="str">
        <f t="shared" si="90"/>
        <v/>
      </c>
      <c r="HMI6" s="97" t="str">
        <f t="shared" si="90"/>
        <v/>
      </c>
      <c r="HMJ6" s="97" t="str">
        <f t="shared" si="90"/>
        <v/>
      </c>
      <c r="HMK6" s="97" t="str">
        <f t="shared" si="90"/>
        <v/>
      </c>
      <c r="HML6" s="97" t="str">
        <f t="shared" si="90"/>
        <v/>
      </c>
      <c r="HMM6" s="97" t="str">
        <f t="shared" si="90"/>
        <v/>
      </c>
      <c r="HMN6" s="97" t="str">
        <f t="shared" si="90"/>
        <v/>
      </c>
      <c r="HMO6" s="97" t="str">
        <f t="shared" si="90"/>
        <v/>
      </c>
      <c r="HMP6" s="97" t="str">
        <f t="shared" si="90"/>
        <v/>
      </c>
      <c r="HMQ6" s="97" t="str">
        <f t="shared" si="90"/>
        <v/>
      </c>
      <c r="HMR6" s="97" t="str">
        <f t="shared" si="90"/>
        <v/>
      </c>
      <c r="HMS6" s="97" t="str">
        <f t="shared" si="90"/>
        <v/>
      </c>
      <c r="HMT6" s="97" t="str">
        <f t="shared" ref="HMT6:HPE6" si="91">IFERROR(AVERAGE(HMT7:HMT13),"")</f>
        <v/>
      </c>
      <c r="HMU6" s="97" t="str">
        <f t="shared" si="91"/>
        <v/>
      </c>
      <c r="HMV6" s="97" t="str">
        <f t="shared" si="91"/>
        <v/>
      </c>
      <c r="HMW6" s="97" t="str">
        <f t="shared" si="91"/>
        <v/>
      </c>
      <c r="HMX6" s="97" t="str">
        <f t="shared" si="91"/>
        <v/>
      </c>
      <c r="HMY6" s="97" t="str">
        <f t="shared" si="91"/>
        <v/>
      </c>
      <c r="HMZ6" s="97" t="str">
        <f t="shared" si="91"/>
        <v/>
      </c>
      <c r="HNA6" s="97" t="str">
        <f t="shared" si="91"/>
        <v/>
      </c>
      <c r="HNB6" s="97" t="str">
        <f t="shared" si="91"/>
        <v/>
      </c>
      <c r="HNC6" s="97" t="str">
        <f t="shared" si="91"/>
        <v/>
      </c>
      <c r="HND6" s="97" t="str">
        <f t="shared" si="91"/>
        <v/>
      </c>
      <c r="HNE6" s="97" t="str">
        <f t="shared" si="91"/>
        <v/>
      </c>
      <c r="HNF6" s="97" t="str">
        <f t="shared" si="91"/>
        <v/>
      </c>
      <c r="HNG6" s="97" t="str">
        <f t="shared" si="91"/>
        <v/>
      </c>
      <c r="HNH6" s="97" t="str">
        <f t="shared" si="91"/>
        <v/>
      </c>
      <c r="HNI6" s="97" t="str">
        <f t="shared" si="91"/>
        <v/>
      </c>
      <c r="HNJ6" s="97" t="str">
        <f t="shared" si="91"/>
        <v/>
      </c>
      <c r="HNK6" s="97" t="str">
        <f t="shared" si="91"/>
        <v/>
      </c>
      <c r="HNL6" s="97" t="str">
        <f t="shared" si="91"/>
        <v/>
      </c>
      <c r="HNM6" s="97" t="str">
        <f t="shared" si="91"/>
        <v/>
      </c>
      <c r="HNN6" s="97" t="str">
        <f t="shared" si="91"/>
        <v/>
      </c>
      <c r="HNO6" s="97" t="str">
        <f t="shared" si="91"/>
        <v/>
      </c>
      <c r="HNP6" s="97" t="str">
        <f t="shared" si="91"/>
        <v/>
      </c>
      <c r="HNQ6" s="97" t="str">
        <f t="shared" si="91"/>
        <v/>
      </c>
      <c r="HNR6" s="97" t="str">
        <f t="shared" si="91"/>
        <v/>
      </c>
      <c r="HNS6" s="97" t="str">
        <f t="shared" si="91"/>
        <v/>
      </c>
      <c r="HNT6" s="97" t="str">
        <f t="shared" si="91"/>
        <v/>
      </c>
      <c r="HNU6" s="97" t="str">
        <f t="shared" si="91"/>
        <v/>
      </c>
      <c r="HNV6" s="97" t="str">
        <f t="shared" si="91"/>
        <v/>
      </c>
      <c r="HNW6" s="97" t="str">
        <f t="shared" si="91"/>
        <v/>
      </c>
      <c r="HNX6" s="97" t="str">
        <f t="shared" si="91"/>
        <v/>
      </c>
      <c r="HNY6" s="97" t="str">
        <f t="shared" si="91"/>
        <v/>
      </c>
      <c r="HNZ6" s="97" t="str">
        <f t="shared" si="91"/>
        <v/>
      </c>
      <c r="HOA6" s="97" t="str">
        <f t="shared" si="91"/>
        <v/>
      </c>
      <c r="HOB6" s="97" t="str">
        <f t="shared" si="91"/>
        <v/>
      </c>
      <c r="HOC6" s="97" t="str">
        <f t="shared" si="91"/>
        <v/>
      </c>
      <c r="HOD6" s="97" t="str">
        <f t="shared" si="91"/>
        <v/>
      </c>
      <c r="HOE6" s="97" t="str">
        <f t="shared" si="91"/>
        <v/>
      </c>
      <c r="HOF6" s="97" t="str">
        <f t="shared" si="91"/>
        <v/>
      </c>
      <c r="HOG6" s="97" t="str">
        <f t="shared" si="91"/>
        <v/>
      </c>
      <c r="HOH6" s="97" t="str">
        <f t="shared" si="91"/>
        <v/>
      </c>
      <c r="HOI6" s="97" t="str">
        <f t="shared" si="91"/>
        <v/>
      </c>
      <c r="HOJ6" s="97" t="str">
        <f t="shared" si="91"/>
        <v/>
      </c>
      <c r="HOK6" s="97" t="str">
        <f t="shared" si="91"/>
        <v/>
      </c>
      <c r="HOL6" s="97" t="str">
        <f t="shared" si="91"/>
        <v/>
      </c>
      <c r="HOM6" s="97" t="str">
        <f t="shared" si="91"/>
        <v/>
      </c>
      <c r="HON6" s="97" t="str">
        <f t="shared" si="91"/>
        <v/>
      </c>
      <c r="HOO6" s="97" t="str">
        <f t="shared" si="91"/>
        <v/>
      </c>
      <c r="HOP6" s="97" t="str">
        <f t="shared" si="91"/>
        <v/>
      </c>
      <c r="HOQ6" s="97" t="str">
        <f t="shared" si="91"/>
        <v/>
      </c>
      <c r="HOR6" s="97" t="str">
        <f t="shared" si="91"/>
        <v/>
      </c>
      <c r="HOS6" s="97" t="str">
        <f t="shared" si="91"/>
        <v/>
      </c>
      <c r="HOT6" s="97" t="str">
        <f t="shared" si="91"/>
        <v/>
      </c>
      <c r="HOU6" s="97" t="str">
        <f t="shared" si="91"/>
        <v/>
      </c>
      <c r="HOV6" s="97" t="str">
        <f t="shared" si="91"/>
        <v/>
      </c>
      <c r="HOW6" s="97" t="str">
        <f t="shared" si="91"/>
        <v/>
      </c>
      <c r="HOX6" s="97" t="str">
        <f t="shared" si="91"/>
        <v/>
      </c>
      <c r="HOY6" s="97" t="str">
        <f t="shared" si="91"/>
        <v/>
      </c>
      <c r="HOZ6" s="97" t="str">
        <f t="shared" si="91"/>
        <v/>
      </c>
      <c r="HPA6" s="97" t="str">
        <f t="shared" si="91"/>
        <v/>
      </c>
      <c r="HPB6" s="97" t="str">
        <f t="shared" si="91"/>
        <v/>
      </c>
      <c r="HPC6" s="97" t="str">
        <f t="shared" si="91"/>
        <v/>
      </c>
      <c r="HPD6" s="97" t="str">
        <f t="shared" si="91"/>
        <v/>
      </c>
      <c r="HPE6" s="97" t="str">
        <f t="shared" si="91"/>
        <v/>
      </c>
      <c r="HPF6" s="97" t="str">
        <f t="shared" ref="HPF6:HRQ6" si="92">IFERROR(AVERAGE(HPF7:HPF13),"")</f>
        <v/>
      </c>
      <c r="HPG6" s="97" t="str">
        <f t="shared" si="92"/>
        <v/>
      </c>
      <c r="HPH6" s="97" t="str">
        <f t="shared" si="92"/>
        <v/>
      </c>
      <c r="HPI6" s="97" t="str">
        <f t="shared" si="92"/>
        <v/>
      </c>
      <c r="HPJ6" s="97" t="str">
        <f t="shared" si="92"/>
        <v/>
      </c>
      <c r="HPK6" s="97" t="str">
        <f t="shared" si="92"/>
        <v/>
      </c>
      <c r="HPL6" s="97" t="str">
        <f t="shared" si="92"/>
        <v/>
      </c>
      <c r="HPM6" s="97" t="str">
        <f t="shared" si="92"/>
        <v/>
      </c>
      <c r="HPN6" s="97" t="str">
        <f t="shared" si="92"/>
        <v/>
      </c>
      <c r="HPO6" s="97" t="str">
        <f t="shared" si="92"/>
        <v/>
      </c>
      <c r="HPP6" s="97" t="str">
        <f t="shared" si="92"/>
        <v/>
      </c>
      <c r="HPQ6" s="97" t="str">
        <f t="shared" si="92"/>
        <v/>
      </c>
      <c r="HPR6" s="97" t="str">
        <f t="shared" si="92"/>
        <v/>
      </c>
      <c r="HPS6" s="97" t="str">
        <f t="shared" si="92"/>
        <v/>
      </c>
      <c r="HPT6" s="97" t="str">
        <f t="shared" si="92"/>
        <v/>
      </c>
      <c r="HPU6" s="97" t="str">
        <f t="shared" si="92"/>
        <v/>
      </c>
      <c r="HPV6" s="97" t="str">
        <f t="shared" si="92"/>
        <v/>
      </c>
      <c r="HPW6" s="97" t="str">
        <f t="shared" si="92"/>
        <v/>
      </c>
      <c r="HPX6" s="97" t="str">
        <f t="shared" si="92"/>
        <v/>
      </c>
      <c r="HPY6" s="97" t="str">
        <f t="shared" si="92"/>
        <v/>
      </c>
      <c r="HPZ6" s="97" t="str">
        <f t="shared" si="92"/>
        <v/>
      </c>
      <c r="HQA6" s="97" t="str">
        <f t="shared" si="92"/>
        <v/>
      </c>
      <c r="HQB6" s="97" t="str">
        <f t="shared" si="92"/>
        <v/>
      </c>
      <c r="HQC6" s="97" t="str">
        <f t="shared" si="92"/>
        <v/>
      </c>
      <c r="HQD6" s="97" t="str">
        <f t="shared" si="92"/>
        <v/>
      </c>
      <c r="HQE6" s="97" t="str">
        <f t="shared" si="92"/>
        <v/>
      </c>
      <c r="HQF6" s="97" t="str">
        <f t="shared" si="92"/>
        <v/>
      </c>
      <c r="HQG6" s="97" t="str">
        <f t="shared" si="92"/>
        <v/>
      </c>
      <c r="HQH6" s="97" t="str">
        <f t="shared" si="92"/>
        <v/>
      </c>
      <c r="HQI6" s="97" t="str">
        <f t="shared" si="92"/>
        <v/>
      </c>
      <c r="HQJ6" s="97" t="str">
        <f t="shared" si="92"/>
        <v/>
      </c>
      <c r="HQK6" s="97" t="str">
        <f t="shared" si="92"/>
        <v/>
      </c>
      <c r="HQL6" s="97" t="str">
        <f t="shared" si="92"/>
        <v/>
      </c>
      <c r="HQM6" s="97" t="str">
        <f t="shared" si="92"/>
        <v/>
      </c>
      <c r="HQN6" s="97" t="str">
        <f t="shared" si="92"/>
        <v/>
      </c>
      <c r="HQO6" s="97" t="str">
        <f t="shared" si="92"/>
        <v/>
      </c>
      <c r="HQP6" s="97" t="str">
        <f t="shared" si="92"/>
        <v/>
      </c>
      <c r="HQQ6" s="97" t="str">
        <f t="shared" si="92"/>
        <v/>
      </c>
      <c r="HQR6" s="97" t="str">
        <f t="shared" si="92"/>
        <v/>
      </c>
      <c r="HQS6" s="97" t="str">
        <f t="shared" si="92"/>
        <v/>
      </c>
      <c r="HQT6" s="97" t="str">
        <f t="shared" si="92"/>
        <v/>
      </c>
      <c r="HQU6" s="97" t="str">
        <f t="shared" si="92"/>
        <v/>
      </c>
      <c r="HQV6" s="97" t="str">
        <f t="shared" si="92"/>
        <v/>
      </c>
      <c r="HQW6" s="97" t="str">
        <f t="shared" si="92"/>
        <v/>
      </c>
      <c r="HQX6" s="97" t="str">
        <f t="shared" si="92"/>
        <v/>
      </c>
      <c r="HQY6" s="97" t="str">
        <f t="shared" si="92"/>
        <v/>
      </c>
      <c r="HQZ6" s="97" t="str">
        <f t="shared" si="92"/>
        <v/>
      </c>
      <c r="HRA6" s="97" t="str">
        <f t="shared" si="92"/>
        <v/>
      </c>
      <c r="HRB6" s="97" t="str">
        <f t="shared" si="92"/>
        <v/>
      </c>
      <c r="HRC6" s="97" t="str">
        <f t="shared" si="92"/>
        <v/>
      </c>
      <c r="HRD6" s="97" t="str">
        <f t="shared" si="92"/>
        <v/>
      </c>
      <c r="HRE6" s="97" t="str">
        <f t="shared" si="92"/>
        <v/>
      </c>
      <c r="HRF6" s="97" t="str">
        <f t="shared" si="92"/>
        <v/>
      </c>
      <c r="HRG6" s="97" t="str">
        <f t="shared" si="92"/>
        <v/>
      </c>
      <c r="HRH6" s="97" t="str">
        <f t="shared" si="92"/>
        <v/>
      </c>
      <c r="HRI6" s="97" t="str">
        <f t="shared" si="92"/>
        <v/>
      </c>
      <c r="HRJ6" s="97" t="str">
        <f t="shared" si="92"/>
        <v/>
      </c>
      <c r="HRK6" s="97" t="str">
        <f t="shared" si="92"/>
        <v/>
      </c>
      <c r="HRL6" s="97" t="str">
        <f t="shared" si="92"/>
        <v/>
      </c>
      <c r="HRM6" s="97" t="str">
        <f t="shared" si="92"/>
        <v/>
      </c>
      <c r="HRN6" s="97" t="str">
        <f t="shared" si="92"/>
        <v/>
      </c>
      <c r="HRO6" s="97" t="str">
        <f t="shared" si="92"/>
        <v/>
      </c>
      <c r="HRP6" s="97" t="str">
        <f t="shared" si="92"/>
        <v/>
      </c>
      <c r="HRQ6" s="97" t="str">
        <f t="shared" si="92"/>
        <v/>
      </c>
      <c r="HRR6" s="97" t="str">
        <f t="shared" ref="HRR6:HUC6" si="93">IFERROR(AVERAGE(HRR7:HRR13),"")</f>
        <v/>
      </c>
      <c r="HRS6" s="97" t="str">
        <f t="shared" si="93"/>
        <v/>
      </c>
      <c r="HRT6" s="97" t="str">
        <f t="shared" si="93"/>
        <v/>
      </c>
      <c r="HRU6" s="97" t="str">
        <f t="shared" si="93"/>
        <v/>
      </c>
      <c r="HRV6" s="97" t="str">
        <f t="shared" si="93"/>
        <v/>
      </c>
      <c r="HRW6" s="97" t="str">
        <f t="shared" si="93"/>
        <v/>
      </c>
      <c r="HRX6" s="97" t="str">
        <f t="shared" si="93"/>
        <v/>
      </c>
      <c r="HRY6" s="97" t="str">
        <f t="shared" si="93"/>
        <v/>
      </c>
      <c r="HRZ6" s="97" t="str">
        <f t="shared" si="93"/>
        <v/>
      </c>
      <c r="HSA6" s="97" t="str">
        <f t="shared" si="93"/>
        <v/>
      </c>
      <c r="HSB6" s="97" t="str">
        <f t="shared" si="93"/>
        <v/>
      </c>
      <c r="HSC6" s="97" t="str">
        <f t="shared" si="93"/>
        <v/>
      </c>
      <c r="HSD6" s="97" t="str">
        <f t="shared" si="93"/>
        <v/>
      </c>
      <c r="HSE6" s="97" t="str">
        <f t="shared" si="93"/>
        <v/>
      </c>
      <c r="HSF6" s="97" t="str">
        <f t="shared" si="93"/>
        <v/>
      </c>
      <c r="HSG6" s="97" t="str">
        <f t="shared" si="93"/>
        <v/>
      </c>
      <c r="HSH6" s="97" t="str">
        <f t="shared" si="93"/>
        <v/>
      </c>
      <c r="HSI6" s="97" t="str">
        <f t="shared" si="93"/>
        <v/>
      </c>
      <c r="HSJ6" s="97" t="str">
        <f t="shared" si="93"/>
        <v/>
      </c>
      <c r="HSK6" s="97" t="str">
        <f t="shared" si="93"/>
        <v/>
      </c>
      <c r="HSL6" s="97" t="str">
        <f t="shared" si="93"/>
        <v/>
      </c>
      <c r="HSM6" s="97" t="str">
        <f t="shared" si="93"/>
        <v/>
      </c>
      <c r="HSN6" s="97" t="str">
        <f t="shared" si="93"/>
        <v/>
      </c>
      <c r="HSO6" s="97" t="str">
        <f t="shared" si="93"/>
        <v/>
      </c>
      <c r="HSP6" s="97" t="str">
        <f t="shared" si="93"/>
        <v/>
      </c>
      <c r="HSQ6" s="97" t="str">
        <f t="shared" si="93"/>
        <v/>
      </c>
      <c r="HSR6" s="97" t="str">
        <f t="shared" si="93"/>
        <v/>
      </c>
      <c r="HSS6" s="97" t="str">
        <f t="shared" si="93"/>
        <v/>
      </c>
      <c r="HST6" s="97" t="str">
        <f t="shared" si="93"/>
        <v/>
      </c>
      <c r="HSU6" s="97" t="str">
        <f t="shared" si="93"/>
        <v/>
      </c>
      <c r="HSV6" s="97" t="str">
        <f t="shared" si="93"/>
        <v/>
      </c>
      <c r="HSW6" s="97" t="str">
        <f t="shared" si="93"/>
        <v/>
      </c>
      <c r="HSX6" s="97" t="str">
        <f t="shared" si="93"/>
        <v/>
      </c>
      <c r="HSY6" s="97" t="str">
        <f t="shared" si="93"/>
        <v/>
      </c>
      <c r="HSZ6" s="97" t="str">
        <f t="shared" si="93"/>
        <v/>
      </c>
      <c r="HTA6" s="97" t="str">
        <f t="shared" si="93"/>
        <v/>
      </c>
      <c r="HTB6" s="97" t="str">
        <f t="shared" si="93"/>
        <v/>
      </c>
      <c r="HTC6" s="97" t="str">
        <f t="shared" si="93"/>
        <v/>
      </c>
      <c r="HTD6" s="97" t="str">
        <f t="shared" si="93"/>
        <v/>
      </c>
      <c r="HTE6" s="97" t="str">
        <f t="shared" si="93"/>
        <v/>
      </c>
      <c r="HTF6" s="97" t="str">
        <f t="shared" si="93"/>
        <v/>
      </c>
      <c r="HTG6" s="97" t="str">
        <f t="shared" si="93"/>
        <v/>
      </c>
      <c r="HTH6" s="97" t="str">
        <f t="shared" si="93"/>
        <v/>
      </c>
      <c r="HTI6" s="97" t="str">
        <f t="shared" si="93"/>
        <v/>
      </c>
      <c r="HTJ6" s="97" t="str">
        <f t="shared" si="93"/>
        <v/>
      </c>
      <c r="HTK6" s="97" t="str">
        <f t="shared" si="93"/>
        <v/>
      </c>
      <c r="HTL6" s="97" t="str">
        <f t="shared" si="93"/>
        <v/>
      </c>
      <c r="HTM6" s="97" t="str">
        <f t="shared" si="93"/>
        <v/>
      </c>
      <c r="HTN6" s="97" t="str">
        <f t="shared" si="93"/>
        <v/>
      </c>
      <c r="HTO6" s="97" t="str">
        <f t="shared" si="93"/>
        <v/>
      </c>
      <c r="HTP6" s="97" t="str">
        <f t="shared" si="93"/>
        <v/>
      </c>
      <c r="HTQ6" s="97" t="str">
        <f t="shared" si="93"/>
        <v/>
      </c>
      <c r="HTR6" s="97" t="str">
        <f t="shared" si="93"/>
        <v/>
      </c>
      <c r="HTS6" s="97" t="str">
        <f t="shared" si="93"/>
        <v/>
      </c>
      <c r="HTT6" s="97" t="str">
        <f t="shared" si="93"/>
        <v/>
      </c>
      <c r="HTU6" s="97" t="str">
        <f t="shared" si="93"/>
        <v/>
      </c>
      <c r="HTV6" s="97" t="str">
        <f t="shared" si="93"/>
        <v/>
      </c>
      <c r="HTW6" s="97" t="str">
        <f t="shared" si="93"/>
        <v/>
      </c>
      <c r="HTX6" s="97" t="str">
        <f t="shared" si="93"/>
        <v/>
      </c>
      <c r="HTY6" s="97" t="str">
        <f t="shared" si="93"/>
        <v/>
      </c>
      <c r="HTZ6" s="97" t="str">
        <f t="shared" si="93"/>
        <v/>
      </c>
      <c r="HUA6" s="97" t="str">
        <f t="shared" si="93"/>
        <v/>
      </c>
      <c r="HUB6" s="97" t="str">
        <f t="shared" si="93"/>
        <v/>
      </c>
      <c r="HUC6" s="97" t="str">
        <f t="shared" si="93"/>
        <v/>
      </c>
      <c r="HUD6" s="97" t="str">
        <f t="shared" ref="HUD6:HWO6" si="94">IFERROR(AVERAGE(HUD7:HUD13),"")</f>
        <v/>
      </c>
      <c r="HUE6" s="97" t="str">
        <f t="shared" si="94"/>
        <v/>
      </c>
      <c r="HUF6" s="97" t="str">
        <f t="shared" si="94"/>
        <v/>
      </c>
      <c r="HUG6" s="97" t="str">
        <f t="shared" si="94"/>
        <v/>
      </c>
      <c r="HUH6" s="97" t="str">
        <f t="shared" si="94"/>
        <v/>
      </c>
      <c r="HUI6" s="97" t="str">
        <f t="shared" si="94"/>
        <v/>
      </c>
      <c r="HUJ6" s="97" t="str">
        <f t="shared" si="94"/>
        <v/>
      </c>
      <c r="HUK6" s="97" t="str">
        <f t="shared" si="94"/>
        <v/>
      </c>
      <c r="HUL6" s="97" t="str">
        <f t="shared" si="94"/>
        <v/>
      </c>
      <c r="HUM6" s="97" t="str">
        <f t="shared" si="94"/>
        <v/>
      </c>
      <c r="HUN6" s="97" t="str">
        <f t="shared" si="94"/>
        <v/>
      </c>
      <c r="HUO6" s="97" t="str">
        <f t="shared" si="94"/>
        <v/>
      </c>
      <c r="HUP6" s="97" t="str">
        <f t="shared" si="94"/>
        <v/>
      </c>
      <c r="HUQ6" s="97" t="str">
        <f t="shared" si="94"/>
        <v/>
      </c>
      <c r="HUR6" s="97" t="str">
        <f t="shared" si="94"/>
        <v/>
      </c>
      <c r="HUS6" s="97" t="str">
        <f t="shared" si="94"/>
        <v/>
      </c>
      <c r="HUT6" s="97" t="str">
        <f t="shared" si="94"/>
        <v/>
      </c>
      <c r="HUU6" s="97" t="str">
        <f t="shared" si="94"/>
        <v/>
      </c>
      <c r="HUV6" s="97" t="str">
        <f t="shared" si="94"/>
        <v/>
      </c>
      <c r="HUW6" s="97" t="str">
        <f t="shared" si="94"/>
        <v/>
      </c>
      <c r="HUX6" s="97" t="str">
        <f t="shared" si="94"/>
        <v/>
      </c>
      <c r="HUY6" s="97" t="str">
        <f t="shared" si="94"/>
        <v/>
      </c>
      <c r="HUZ6" s="97" t="str">
        <f t="shared" si="94"/>
        <v/>
      </c>
      <c r="HVA6" s="97" t="str">
        <f t="shared" si="94"/>
        <v/>
      </c>
      <c r="HVB6" s="97" t="str">
        <f t="shared" si="94"/>
        <v/>
      </c>
      <c r="HVC6" s="97" t="str">
        <f t="shared" si="94"/>
        <v/>
      </c>
      <c r="HVD6" s="97" t="str">
        <f t="shared" si="94"/>
        <v/>
      </c>
      <c r="HVE6" s="97" t="str">
        <f t="shared" si="94"/>
        <v/>
      </c>
      <c r="HVF6" s="97" t="str">
        <f t="shared" si="94"/>
        <v/>
      </c>
      <c r="HVG6" s="97" t="str">
        <f t="shared" si="94"/>
        <v/>
      </c>
      <c r="HVH6" s="97" t="str">
        <f t="shared" si="94"/>
        <v/>
      </c>
      <c r="HVI6" s="97" t="str">
        <f t="shared" si="94"/>
        <v/>
      </c>
      <c r="HVJ6" s="97" t="str">
        <f t="shared" si="94"/>
        <v/>
      </c>
      <c r="HVK6" s="97" t="str">
        <f t="shared" si="94"/>
        <v/>
      </c>
      <c r="HVL6" s="97" t="str">
        <f t="shared" si="94"/>
        <v/>
      </c>
      <c r="HVM6" s="97" t="str">
        <f t="shared" si="94"/>
        <v/>
      </c>
      <c r="HVN6" s="97" t="str">
        <f t="shared" si="94"/>
        <v/>
      </c>
      <c r="HVO6" s="97" t="str">
        <f t="shared" si="94"/>
        <v/>
      </c>
      <c r="HVP6" s="97" t="str">
        <f t="shared" si="94"/>
        <v/>
      </c>
      <c r="HVQ6" s="97" t="str">
        <f t="shared" si="94"/>
        <v/>
      </c>
      <c r="HVR6" s="97" t="str">
        <f t="shared" si="94"/>
        <v/>
      </c>
      <c r="HVS6" s="97" t="str">
        <f t="shared" si="94"/>
        <v/>
      </c>
      <c r="HVT6" s="97" t="str">
        <f t="shared" si="94"/>
        <v/>
      </c>
      <c r="HVU6" s="97" t="str">
        <f t="shared" si="94"/>
        <v/>
      </c>
      <c r="HVV6" s="97" t="str">
        <f t="shared" si="94"/>
        <v/>
      </c>
      <c r="HVW6" s="97" t="str">
        <f t="shared" si="94"/>
        <v/>
      </c>
      <c r="HVX6" s="97" t="str">
        <f t="shared" si="94"/>
        <v/>
      </c>
      <c r="HVY6" s="97" t="str">
        <f t="shared" si="94"/>
        <v/>
      </c>
      <c r="HVZ6" s="97" t="str">
        <f t="shared" si="94"/>
        <v/>
      </c>
      <c r="HWA6" s="97" t="str">
        <f t="shared" si="94"/>
        <v/>
      </c>
      <c r="HWB6" s="97" t="str">
        <f t="shared" si="94"/>
        <v/>
      </c>
      <c r="HWC6" s="97" t="str">
        <f t="shared" si="94"/>
        <v/>
      </c>
      <c r="HWD6" s="97" t="str">
        <f t="shared" si="94"/>
        <v/>
      </c>
      <c r="HWE6" s="97" t="str">
        <f t="shared" si="94"/>
        <v/>
      </c>
      <c r="HWF6" s="97" t="str">
        <f t="shared" si="94"/>
        <v/>
      </c>
      <c r="HWG6" s="97" t="str">
        <f t="shared" si="94"/>
        <v/>
      </c>
      <c r="HWH6" s="97" t="str">
        <f t="shared" si="94"/>
        <v/>
      </c>
      <c r="HWI6" s="97" t="str">
        <f t="shared" si="94"/>
        <v/>
      </c>
      <c r="HWJ6" s="97" t="str">
        <f t="shared" si="94"/>
        <v/>
      </c>
      <c r="HWK6" s="97" t="str">
        <f t="shared" si="94"/>
        <v/>
      </c>
      <c r="HWL6" s="97" t="str">
        <f t="shared" si="94"/>
        <v/>
      </c>
      <c r="HWM6" s="97" t="str">
        <f t="shared" si="94"/>
        <v/>
      </c>
      <c r="HWN6" s="97" t="str">
        <f t="shared" si="94"/>
        <v/>
      </c>
      <c r="HWO6" s="97" t="str">
        <f t="shared" si="94"/>
        <v/>
      </c>
      <c r="HWP6" s="97" t="str">
        <f t="shared" ref="HWP6:HZA6" si="95">IFERROR(AVERAGE(HWP7:HWP13),"")</f>
        <v/>
      </c>
      <c r="HWQ6" s="97" t="str">
        <f t="shared" si="95"/>
        <v/>
      </c>
      <c r="HWR6" s="97" t="str">
        <f t="shared" si="95"/>
        <v/>
      </c>
      <c r="HWS6" s="97" t="str">
        <f t="shared" si="95"/>
        <v/>
      </c>
      <c r="HWT6" s="97" t="str">
        <f t="shared" si="95"/>
        <v/>
      </c>
      <c r="HWU6" s="97" t="str">
        <f t="shared" si="95"/>
        <v/>
      </c>
      <c r="HWV6" s="97" t="str">
        <f t="shared" si="95"/>
        <v/>
      </c>
      <c r="HWW6" s="97" t="str">
        <f t="shared" si="95"/>
        <v/>
      </c>
      <c r="HWX6" s="97" t="str">
        <f t="shared" si="95"/>
        <v/>
      </c>
      <c r="HWY6" s="97" t="str">
        <f t="shared" si="95"/>
        <v/>
      </c>
      <c r="HWZ6" s="97" t="str">
        <f t="shared" si="95"/>
        <v/>
      </c>
      <c r="HXA6" s="97" t="str">
        <f t="shared" si="95"/>
        <v/>
      </c>
      <c r="HXB6" s="97" t="str">
        <f t="shared" si="95"/>
        <v/>
      </c>
      <c r="HXC6" s="97" t="str">
        <f t="shared" si="95"/>
        <v/>
      </c>
      <c r="HXD6" s="97" t="str">
        <f t="shared" si="95"/>
        <v/>
      </c>
      <c r="HXE6" s="97" t="str">
        <f t="shared" si="95"/>
        <v/>
      </c>
      <c r="HXF6" s="97" t="str">
        <f t="shared" si="95"/>
        <v/>
      </c>
      <c r="HXG6" s="97" t="str">
        <f t="shared" si="95"/>
        <v/>
      </c>
      <c r="HXH6" s="97" t="str">
        <f t="shared" si="95"/>
        <v/>
      </c>
      <c r="HXI6" s="97" t="str">
        <f t="shared" si="95"/>
        <v/>
      </c>
      <c r="HXJ6" s="97" t="str">
        <f t="shared" si="95"/>
        <v/>
      </c>
      <c r="HXK6" s="97" t="str">
        <f t="shared" si="95"/>
        <v/>
      </c>
      <c r="HXL6" s="97" t="str">
        <f t="shared" si="95"/>
        <v/>
      </c>
      <c r="HXM6" s="97" t="str">
        <f t="shared" si="95"/>
        <v/>
      </c>
      <c r="HXN6" s="97" t="str">
        <f t="shared" si="95"/>
        <v/>
      </c>
      <c r="HXO6" s="97" t="str">
        <f t="shared" si="95"/>
        <v/>
      </c>
      <c r="HXP6" s="97" t="str">
        <f t="shared" si="95"/>
        <v/>
      </c>
      <c r="HXQ6" s="97" t="str">
        <f t="shared" si="95"/>
        <v/>
      </c>
      <c r="HXR6" s="97" t="str">
        <f t="shared" si="95"/>
        <v/>
      </c>
      <c r="HXS6" s="97" t="str">
        <f t="shared" si="95"/>
        <v/>
      </c>
      <c r="HXT6" s="97" t="str">
        <f t="shared" si="95"/>
        <v/>
      </c>
      <c r="HXU6" s="97" t="str">
        <f t="shared" si="95"/>
        <v/>
      </c>
      <c r="HXV6" s="97" t="str">
        <f t="shared" si="95"/>
        <v/>
      </c>
      <c r="HXW6" s="97" t="str">
        <f t="shared" si="95"/>
        <v/>
      </c>
      <c r="HXX6" s="97" t="str">
        <f t="shared" si="95"/>
        <v/>
      </c>
      <c r="HXY6" s="97" t="str">
        <f t="shared" si="95"/>
        <v/>
      </c>
      <c r="HXZ6" s="97" t="str">
        <f t="shared" si="95"/>
        <v/>
      </c>
      <c r="HYA6" s="97" t="str">
        <f t="shared" si="95"/>
        <v/>
      </c>
      <c r="HYB6" s="97" t="str">
        <f t="shared" si="95"/>
        <v/>
      </c>
      <c r="HYC6" s="97" t="str">
        <f t="shared" si="95"/>
        <v/>
      </c>
      <c r="HYD6" s="97" t="str">
        <f t="shared" si="95"/>
        <v/>
      </c>
      <c r="HYE6" s="97" t="str">
        <f t="shared" si="95"/>
        <v/>
      </c>
      <c r="HYF6" s="97" t="str">
        <f t="shared" si="95"/>
        <v/>
      </c>
      <c r="HYG6" s="97" t="str">
        <f t="shared" si="95"/>
        <v/>
      </c>
      <c r="HYH6" s="97" t="str">
        <f t="shared" si="95"/>
        <v/>
      </c>
      <c r="HYI6" s="97" t="str">
        <f t="shared" si="95"/>
        <v/>
      </c>
      <c r="HYJ6" s="97" t="str">
        <f t="shared" si="95"/>
        <v/>
      </c>
      <c r="HYK6" s="97" t="str">
        <f t="shared" si="95"/>
        <v/>
      </c>
      <c r="HYL6" s="97" t="str">
        <f t="shared" si="95"/>
        <v/>
      </c>
      <c r="HYM6" s="97" t="str">
        <f t="shared" si="95"/>
        <v/>
      </c>
      <c r="HYN6" s="97" t="str">
        <f t="shared" si="95"/>
        <v/>
      </c>
      <c r="HYO6" s="97" t="str">
        <f t="shared" si="95"/>
        <v/>
      </c>
      <c r="HYP6" s="97" t="str">
        <f t="shared" si="95"/>
        <v/>
      </c>
      <c r="HYQ6" s="97" t="str">
        <f t="shared" si="95"/>
        <v/>
      </c>
      <c r="HYR6" s="97" t="str">
        <f t="shared" si="95"/>
        <v/>
      </c>
      <c r="HYS6" s="97" t="str">
        <f t="shared" si="95"/>
        <v/>
      </c>
      <c r="HYT6" s="97" t="str">
        <f t="shared" si="95"/>
        <v/>
      </c>
      <c r="HYU6" s="97" t="str">
        <f t="shared" si="95"/>
        <v/>
      </c>
      <c r="HYV6" s="97" t="str">
        <f t="shared" si="95"/>
        <v/>
      </c>
      <c r="HYW6" s="97" t="str">
        <f t="shared" si="95"/>
        <v/>
      </c>
      <c r="HYX6" s="97" t="str">
        <f t="shared" si="95"/>
        <v/>
      </c>
      <c r="HYY6" s="97" t="str">
        <f t="shared" si="95"/>
        <v/>
      </c>
      <c r="HYZ6" s="97" t="str">
        <f t="shared" si="95"/>
        <v/>
      </c>
      <c r="HZA6" s="97" t="str">
        <f t="shared" si="95"/>
        <v/>
      </c>
      <c r="HZB6" s="97" t="str">
        <f t="shared" ref="HZB6:IBM6" si="96">IFERROR(AVERAGE(HZB7:HZB13),"")</f>
        <v/>
      </c>
      <c r="HZC6" s="97" t="str">
        <f t="shared" si="96"/>
        <v/>
      </c>
      <c r="HZD6" s="97" t="str">
        <f t="shared" si="96"/>
        <v/>
      </c>
      <c r="HZE6" s="97" t="str">
        <f t="shared" si="96"/>
        <v/>
      </c>
      <c r="HZF6" s="97" t="str">
        <f t="shared" si="96"/>
        <v/>
      </c>
      <c r="HZG6" s="97" t="str">
        <f t="shared" si="96"/>
        <v/>
      </c>
      <c r="HZH6" s="97" t="str">
        <f t="shared" si="96"/>
        <v/>
      </c>
      <c r="HZI6" s="97" t="str">
        <f t="shared" si="96"/>
        <v/>
      </c>
      <c r="HZJ6" s="97" t="str">
        <f t="shared" si="96"/>
        <v/>
      </c>
      <c r="HZK6" s="97" t="str">
        <f t="shared" si="96"/>
        <v/>
      </c>
      <c r="HZL6" s="97" t="str">
        <f t="shared" si="96"/>
        <v/>
      </c>
      <c r="HZM6" s="97" t="str">
        <f t="shared" si="96"/>
        <v/>
      </c>
      <c r="HZN6" s="97" t="str">
        <f t="shared" si="96"/>
        <v/>
      </c>
      <c r="HZO6" s="97" t="str">
        <f t="shared" si="96"/>
        <v/>
      </c>
      <c r="HZP6" s="97" t="str">
        <f t="shared" si="96"/>
        <v/>
      </c>
      <c r="HZQ6" s="97" t="str">
        <f t="shared" si="96"/>
        <v/>
      </c>
      <c r="HZR6" s="97" t="str">
        <f t="shared" si="96"/>
        <v/>
      </c>
      <c r="HZS6" s="97" t="str">
        <f t="shared" si="96"/>
        <v/>
      </c>
      <c r="HZT6" s="97" t="str">
        <f t="shared" si="96"/>
        <v/>
      </c>
      <c r="HZU6" s="97" t="str">
        <f t="shared" si="96"/>
        <v/>
      </c>
      <c r="HZV6" s="97" t="str">
        <f t="shared" si="96"/>
        <v/>
      </c>
      <c r="HZW6" s="97" t="str">
        <f t="shared" si="96"/>
        <v/>
      </c>
      <c r="HZX6" s="97" t="str">
        <f t="shared" si="96"/>
        <v/>
      </c>
      <c r="HZY6" s="97" t="str">
        <f t="shared" si="96"/>
        <v/>
      </c>
      <c r="HZZ6" s="97" t="str">
        <f t="shared" si="96"/>
        <v/>
      </c>
      <c r="IAA6" s="97" t="str">
        <f t="shared" si="96"/>
        <v/>
      </c>
      <c r="IAB6" s="97" t="str">
        <f t="shared" si="96"/>
        <v/>
      </c>
      <c r="IAC6" s="97" t="str">
        <f t="shared" si="96"/>
        <v/>
      </c>
      <c r="IAD6" s="97" t="str">
        <f t="shared" si="96"/>
        <v/>
      </c>
      <c r="IAE6" s="97" t="str">
        <f t="shared" si="96"/>
        <v/>
      </c>
      <c r="IAF6" s="97" t="str">
        <f t="shared" si="96"/>
        <v/>
      </c>
      <c r="IAG6" s="97" t="str">
        <f t="shared" si="96"/>
        <v/>
      </c>
      <c r="IAH6" s="97" t="str">
        <f t="shared" si="96"/>
        <v/>
      </c>
      <c r="IAI6" s="97" t="str">
        <f t="shared" si="96"/>
        <v/>
      </c>
      <c r="IAJ6" s="97" t="str">
        <f t="shared" si="96"/>
        <v/>
      </c>
      <c r="IAK6" s="97" t="str">
        <f t="shared" si="96"/>
        <v/>
      </c>
      <c r="IAL6" s="97" t="str">
        <f t="shared" si="96"/>
        <v/>
      </c>
      <c r="IAM6" s="97" t="str">
        <f t="shared" si="96"/>
        <v/>
      </c>
      <c r="IAN6" s="97" t="str">
        <f t="shared" si="96"/>
        <v/>
      </c>
      <c r="IAO6" s="97" t="str">
        <f t="shared" si="96"/>
        <v/>
      </c>
      <c r="IAP6" s="97" t="str">
        <f t="shared" si="96"/>
        <v/>
      </c>
      <c r="IAQ6" s="97" t="str">
        <f t="shared" si="96"/>
        <v/>
      </c>
      <c r="IAR6" s="97" t="str">
        <f t="shared" si="96"/>
        <v/>
      </c>
      <c r="IAS6" s="97" t="str">
        <f t="shared" si="96"/>
        <v/>
      </c>
      <c r="IAT6" s="97" t="str">
        <f t="shared" si="96"/>
        <v/>
      </c>
      <c r="IAU6" s="97" t="str">
        <f t="shared" si="96"/>
        <v/>
      </c>
      <c r="IAV6" s="97" t="str">
        <f t="shared" si="96"/>
        <v/>
      </c>
      <c r="IAW6" s="97" t="str">
        <f t="shared" si="96"/>
        <v/>
      </c>
      <c r="IAX6" s="97" t="str">
        <f t="shared" si="96"/>
        <v/>
      </c>
      <c r="IAY6" s="97" t="str">
        <f t="shared" si="96"/>
        <v/>
      </c>
      <c r="IAZ6" s="97" t="str">
        <f t="shared" si="96"/>
        <v/>
      </c>
      <c r="IBA6" s="97" t="str">
        <f t="shared" si="96"/>
        <v/>
      </c>
      <c r="IBB6" s="97" t="str">
        <f t="shared" si="96"/>
        <v/>
      </c>
      <c r="IBC6" s="97" t="str">
        <f t="shared" si="96"/>
        <v/>
      </c>
      <c r="IBD6" s="97" t="str">
        <f t="shared" si="96"/>
        <v/>
      </c>
      <c r="IBE6" s="97" t="str">
        <f t="shared" si="96"/>
        <v/>
      </c>
      <c r="IBF6" s="97" t="str">
        <f t="shared" si="96"/>
        <v/>
      </c>
      <c r="IBG6" s="97" t="str">
        <f t="shared" si="96"/>
        <v/>
      </c>
      <c r="IBH6" s="97" t="str">
        <f t="shared" si="96"/>
        <v/>
      </c>
      <c r="IBI6" s="97" t="str">
        <f t="shared" si="96"/>
        <v/>
      </c>
      <c r="IBJ6" s="97" t="str">
        <f t="shared" si="96"/>
        <v/>
      </c>
      <c r="IBK6" s="97" t="str">
        <f t="shared" si="96"/>
        <v/>
      </c>
      <c r="IBL6" s="97" t="str">
        <f t="shared" si="96"/>
        <v/>
      </c>
      <c r="IBM6" s="97" t="str">
        <f t="shared" si="96"/>
        <v/>
      </c>
      <c r="IBN6" s="97" t="str">
        <f t="shared" ref="IBN6:IDY6" si="97">IFERROR(AVERAGE(IBN7:IBN13),"")</f>
        <v/>
      </c>
      <c r="IBO6" s="97" t="str">
        <f t="shared" si="97"/>
        <v/>
      </c>
      <c r="IBP6" s="97" t="str">
        <f t="shared" si="97"/>
        <v/>
      </c>
      <c r="IBQ6" s="97" t="str">
        <f t="shared" si="97"/>
        <v/>
      </c>
      <c r="IBR6" s="97" t="str">
        <f t="shared" si="97"/>
        <v/>
      </c>
      <c r="IBS6" s="97" t="str">
        <f t="shared" si="97"/>
        <v/>
      </c>
      <c r="IBT6" s="97" t="str">
        <f t="shared" si="97"/>
        <v/>
      </c>
      <c r="IBU6" s="97" t="str">
        <f t="shared" si="97"/>
        <v/>
      </c>
      <c r="IBV6" s="97" t="str">
        <f t="shared" si="97"/>
        <v/>
      </c>
      <c r="IBW6" s="97" t="str">
        <f t="shared" si="97"/>
        <v/>
      </c>
      <c r="IBX6" s="97" t="str">
        <f t="shared" si="97"/>
        <v/>
      </c>
      <c r="IBY6" s="97" t="str">
        <f t="shared" si="97"/>
        <v/>
      </c>
      <c r="IBZ6" s="97" t="str">
        <f t="shared" si="97"/>
        <v/>
      </c>
      <c r="ICA6" s="97" t="str">
        <f t="shared" si="97"/>
        <v/>
      </c>
      <c r="ICB6" s="97" t="str">
        <f t="shared" si="97"/>
        <v/>
      </c>
      <c r="ICC6" s="97" t="str">
        <f t="shared" si="97"/>
        <v/>
      </c>
      <c r="ICD6" s="97" t="str">
        <f t="shared" si="97"/>
        <v/>
      </c>
      <c r="ICE6" s="97" t="str">
        <f t="shared" si="97"/>
        <v/>
      </c>
      <c r="ICF6" s="97" t="str">
        <f t="shared" si="97"/>
        <v/>
      </c>
      <c r="ICG6" s="97" t="str">
        <f t="shared" si="97"/>
        <v/>
      </c>
      <c r="ICH6" s="97" t="str">
        <f t="shared" si="97"/>
        <v/>
      </c>
      <c r="ICI6" s="97" t="str">
        <f t="shared" si="97"/>
        <v/>
      </c>
      <c r="ICJ6" s="97" t="str">
        <f t="shared" si="97"/>
        <v/>
      </c>
      <c r="ICK6" s="97" t="str">
        <f t="shared" si="97"/>
        <v/>
      </c>
      <c r="ICL6" s="97" t="str">
        <f t="shared" si="97"/>
        <v/>
      </c>
      <c r="ICM6" s="97" t="str">
        <f t="shared" si="97"/>
        <v/>
      </c>
      <c r="ICN6" s="97" t="str">
        <f t="shared" si="97"/>
        <v/>
      </c>
      <c r="ICO6" s="97" t="str">
        <f t="shared" si="97"/>
        <v/>
      </c>
      <c r="ICP6" s="97" t="str">
        <f t="shared" si="97"/>
        <v/>
      </c>
      <c r="ICQ6" s="97" t="str">
        <f t="shared" si="97"/>
        <v/>
      </c>
      <c r="ICR6" s="97" t="str">
        <f t="shared" si="97"/>
        <v/>
      </c>
      <c r="ICS6" s="97" t="str">
        <f t="shared" si="97"/>
        <v/>
      </c>
      <c r="ICT6" s="97" t="str">
        <f t="shared" si="97"/>
        <v/>
      </c>
      <c r="ICU6" s="97" t="str">
        <f t="shared" si="97"/>
        <v/>
      </c>
      <c r="ICV6" s="97" t="str">
        <f t="shared" si="97"/>
        <v/>
      </c>
      <c r="ICW6" s="97" t="str">
        <f t="shared" si="97"/>
        <v/>
      </c>
      <c r="ICX6" s="97" t="str">
        <f t="shared" si="97"/>
        <v/>
      </c>
      <c r="ICY6" s="97" t="str">
        <f t="shared" si="97"/>
        <v/>
      </c>
      <c r="ICZ6" s="97" t="str">
        <f t="shared" si="97"/>
        <v/>
      </c>
      <c r="IDA6" s="97" t="str">
        <f t="shared" si="97"/>
        <v/>
      </c>
      <c r="IDB6" s="97" t="str">
        <f t="shared" si="97"/>
        <v/>
      </c>
      <c r="IDC6" s="97" t="str">
        <f t="shared" si="97"/>
        <v/>
      </c>
      <c r="IDD6" s="97" t="str">
        <f t="shared" si="97"/>
        <v/>
      </c>
      <c r="IDE6" s="97" t="str">
        <f t="shared" si="97"/>
        <v/>
      </c>
      <c r="IDF6" s="97" t="str">
        <f t="shared" si="97"/>
        <v/>
      </c>
      <c r="IDG6" s="97" t="str">
        <f t="shared" si="97"/>
        <v/>
      </c>
      <c r="IDH6" s="97" t="str">
        <f t="shared" si="97"/>
        <v/>
      </c>
      <c r="IDI6" s="97" t="str">
        <f t="shared" si="97"/>
        <v/>
      </c>
      <c r="IDJ6" s="97" t="str">
        <f t="shared" si="97"/>
        <v/>
      </c>
      <c r="IDK6" s="97" t="str">
        <f t="shared" si="97"/>
        <v/>
      </c>
      <c r="IDL6" s="97" t="str">
        <f t="shared" si="97"/>
        <v/>
      </c>
      <c r="IDM6" s="97" t="str">
        <f t="shared" si="97"/>
        <v/>
      </c>
      <c r="IDN6" s="97" t="str">
        <f t="shared" si="97"/>
        <v/>
      </c>
      <c r="IDO6" s="97" t="str">
        <f t="shared" si="97"/>
        <v/>
      </c>
      <c r="IDP6" s="97" t="str">
        <f t="shared" si="97"/>
        <v/>
      </c>
      <c r="IDQ6" s="97" t="str">
        <f t="shared" si="97"/>
        <v/>
      </c>
      <c r="IDR6" s="97" t="str">
        <f t="shared" si="97"/>
        <v/>
      </c>
      <c r="IDS6" s="97" t="str">
        <f t="shared" si="97"/>
        <v/>
      </c>
      <c r="IDT6" s="97" t="str">
        <f t="shared" si="97"/>
        <v/>
      </c>
      <c r="IDU6" s="97" t="str">
        <f t="shared" si="97"/>
        <v/>
      </c>
      <c r="IDV6" s="97" t="str">
        <f t="shared" si="97"/>
        <v/>
      </c>
      <c r="IDW6" s="97" t="str">
        <f t="shared" si="97"/>
        <v/>
      </c>
      <c r="IDX6" s="97" t="str">
        <f t="shared" si="97"/>
        <v/>
      </c>
      <c r="IDY6" s="97" t="str">
        <f t="shared" si="97"/>
        <v/>
      </c>
      <c r="IDZ6" s="97" t="str">
        <f t="shared" ref="IDZ6:IGK6" si="98">IFERROR(AVERAGE(IDZ7:IDZ13),"")</f>
        <v/>
      </c>
      <c r="IEA6" s="97" t="str">
        <f t="shared" si="98"/>
        <v/>
      </c>
      <c r="IEB6" s="97" t="str">
        <f t="shared" si="98"/>
        <v/>
      </c>
      <c r="IEC6" s="97" t="str">
        <f t="shared" si="98"/>
        <v/>
      </c>
      <c r="IED6" s="97" t="str">
        <f t="shared" si="98"/>
        <v/>
      </c>
      <c r="IEE6" s="97" t="str">
        <f t="shared" si="98"/>
        <v/>
      </c>
      <c r="IEF6" s="97" t="str">
        <f t="shared" si="98"/>
        <v/>
      </c>
      <c r="IEG6" s="97" t="str">
        <f t="shared" si="98"/>
        <v/>
      </c>
      <c r="IEH6" s="97" t="str">
        <f t="shared" si="98"/>
        <v/>
      </c>
      <c r="IEI6" s="97" t="str">
        <f t="shared" si="98"/>
        <v/>
      </c>
      <c r="IEJ6" s="97" t="str">
        <f t="shared" si="98"/>
        <v/>
      </c>
      <c r="IEK6" s="97" t="str">
        <f t="shared" si="98"/>
        <v/>
      </c>
      <c r="IEL6" s="97" t="str">
        <f t="shared" si="98"/>
        <v/>
      </c>
      <c r="IEM6" s="97" t="str">
        <f t="shared" si="98"/>
        <v/>
      </c>
      <c r="IEN6" s="97" t="str">
        <f t="shared" si="98"/>
        <v/>
      </c>
      <c r="IEO6" s="97" t="str">
        <f t="shared" si="98"/>
        <v/>
      </c>
      <c r="IEP6" s="97" t="str">
        <f t="shared" si="98"/>
        <v/>
      </c>
      <c r="IEQ6" s="97" t="str">
        <f t="shared" si="98"/>
        <v/>
      </c>
      <c r="IER6" s="97" t="str">
        <f t="shared" si="98"/>
        <v/>
      </c>
      <c r="IES6" s="97" t="str">
        <f t="shared" si="98"/>
        <v/>
      </c>
      <c r="IET6" s="97" t="str">
        <f t="shared" si="98"/>
        <v/>
      </c>
      <c r="IEU6" s="97" t="str">
        <f t="shared" si="98"/>
        <v/>
      </c>
      <c r="IEV6" s="97" t="str">
        <f t="shared" si="98"/>
        <v/>
      </c>
      <c r="IEW6" s="97" t="str">
        <f t="shared" si="98"/>
        <v/>
      </c>
      <c r="IEX6" s="97" t="str">
        <f t="shared" si="98"/>
        <v/>
      </c>
      <c r="IEY6" s="97" t="str">
        <f t="shared" si="98"/>
        <v/>
      </c>
      <c r="IEZ6" s="97" t="str">
        <f t="shared" si="98"/>
        <v/>
      </c>
      <c r="IFA6" s="97" t="str">
        <f t="shared" si="98"/>
        <v/>
      </c>
      <c r="IFB6" s="97" t="str">
        <f t="shared" si="98"/>
        <v/>
      </c>
      <c r="IFC6" s="97" t="str">
        <f t="shared" si="98"/>
        <v/>
      </c>
      <c r="IFD6" s="97" t="str">
        <f t="shared" si="98"/>
        <v/>
      </c>
      <c r="IFE6" s="97" t="str">
        <f t="shared" si="98"/>
        <v/>
      </c>
      <c r="IFF6" s="97" t="str">
        <f t="shared" si="98"/>
        <v/>
      </c>
      <c r="IFG6" s="97" t="str">
        <f t="shared" si="98"/>
        <v/>
      </c>
      <c r="IFH6" s="97" t="str">
        <f t="shared" si="98"/>
        <v/>
      </c>
      <c r="IFI6" s="97" t="str">
        <f t="shared" si="98"/>
        <v/>
      </c>
      <c r="IFJ6" s="97" t="str">
        <f t="shared" si="98"/>
        <v/>
      </c>
      <c r="IFK6" s="97" t="str">
        <f t="shared" si="98"/>
        <v/>
      </c>
      <c r="IFL6" s="97" t="str">
        <f t="shared" si="98"/>
        <v/>
      </c>
      <c r="IFM6" s="97" t="str">
        <f t="shared" si="98"/>
        <v/>
      </c>
      <c r="IFN6" s="97" t="str">
        <f t="shared" si="98"/>
        <v/>
      </c>
      <c r="IFO6" s="97" t="str">
        <f t="shared" si="98"/>
        <v/>
      </c>
      <c r="IFP6" s="97" t="str">
        <f t="shared" si="98"/>
        <v/>
      </c>
      <c r="IFQ6" s="97" t="str">
        <f t="shared" si="98"/>
        <v/>
      </c>
      <c r="IFR6" s="97" t="str">
        <f t="shared" si="98"/>
        <v/>
      </c>
      <c r="IFS6" s="97" t="str">
        <f t="shared" si="98"/>
        <v/>
      </c>
      <c r="IFT6" s="97" t="str">
        <f t="shared" si="98"/>
        <v/>
      </c>
      <c r="IFU6" s="97" t="str">
        <f t="shared" si="98"/>
        <v/>
      </c>
      <c r="IFV6" s="97" t="str">
        <f t="shared" si="98"/>
        <v/>
      </c>
      <c r="IFW6" s="97" t="str">
        <f t="shared" si="98"/>
        <v/>
      </c>
      <c r="IFX6" s="97" t="str">
        <f t="shared" si="98"/>
        <v/>
      </c>
      <c r="IFY6" s="97" t="str">
        <f t="shared" si="98"/>
        <v/>
      </c>
      <c r="IFZ6" s="97" t="str">
        <f t="shared" si="98"/>
        <v/>
      </c>
      <c r="IGA6" s="97" t="str">
        <f t="shared" si="98"/>
        <v/>
      </c>
      <c r="IGB6" s="97" t="str">
        <f t="shared" si="98"/>
        <v/>
      </c>
      <c r="IGC6" s="97" t="str">
        <f t="shared" si="98"/>
        <v/>
      </c>
      <c r="IGD6" s="97" t="str">
        <f t="shared" si="98"/>
        <v/>
      </c>
      <c r="IGE6" s="97" t="str">
        <f t="shared" si="98"/>
        <v/>
      </c>
      <c r="IGF6" s="97" t="str">
        <f t="shared" si="98"/>
        <v/>
      </c>
      <c r="IGG6" s="97" t="str">
        <f t="shared" si="98"/>
        <v/>
      </c>
      <c r="IGH6" s="97" t="str">
        <f t="shared" si="98"/>
        <v/>
      </c>
      <c r="IGI6" s="97" t="str">
        <f t="shared" si="98"/>
        <v/>
      </c>
      <c r="IGJ6" s="97" t="str">
        <f t="shared" si="98"/>
        <v/>
      </c>
      <c r="IGK6" s="97" t="str">
        <f t="shared" si="98"/>
        <v/>
      </c>
      <c r="IGL6" s="97" t="str">
        <f t="shared" ref="IGL6:IIW6" si="99">IFERROR(AVERAGE(IGL7:IGL13),"")</f>
        <v/>
      </c>
      <c r="IGM6" s="97" t="str">
        <f t="shared" si="99"/>
        <v/>
      </c>
      <c r="IGN6" s="97" t="str">
        <f t="shared" si="99"/>
        <v/>
      </c>
      <c r="IGO6" s="97" t="str">
        <f t="shared" si="99"/>
        <v/>
      </c>
      <c r="IGP6" s="97" t="str">
        <f t="shared" si="99"/>
        <v/>
      </c>
      <c r="IGQ6" s="97" t="str">
        <f t="shared" si="99"/>
        <v/>
      </c>
      <c r="IGR6" s="97" t="str">
        <f t="shared" si="99"/>
        <v/>
      </c>
      <c r="IGS6" s="97" t="str">
        <f t="shared" si="99"/>
        <v/>
      </c>
      <c r="IGT6" s="97" t="str">
        <f t="shared" si="99"/>
        <v/>
      </c>
      <c r="IGU6" s="97" t="str">
        <f t="shared" si="99"/>
        <v/>
      </c>
      <c r="IGV6" s="97" t="str">
        <f t="shared" si="99"/>
        <v/>
      </c>
      <c r="IGW6" s="97" t="str">
        <f t="shared" si="99"/>
        <v/>
      </c>
      <c r="IGX6" s="97" t="str">
        <f t="shared" si="99"/>
        <v/>
      </c>
      <c r="IGY6" s="97" t="str">
        <f t="shared" si="99"/>
        <v/>
      </c>
      <c r="IGZ6" s="97" t="str">
        <f t="shared" si="99"/>
        <v/>
      </c>
      <c r="IHA6" s="97" t="str">
        <f t="shared" si="99"/>
        <v/>
      </c>
      <c r="IHB6" s="97" t="str">
        <f t="shared" si="99"/>
        <v/>
      </c>
      <c r="IHC6" s="97" t="str">
        <f t="shared" si="99"/>
        <v/>
      </c>
      <c r="IHD6" s="97" t="str">
        <f t="shared" si="99"/>
        <v/>
      </c>
      <c r="IHE6" s="97" t="str">
        <f t="shared" si="99"/>
        <v/>
      </c>
      <c r="IHF6" s="97" t="str">
        <f t="shared" si="99"/>
        <v/>
      </c>
      <c r="IHG6" s="97" t="str">
        <f t="shared" si="99"/>
        <v/>
      </c>
      <c r="IHH6" s="97" t="str">
        <f t="shared" si="99"/>
        <v/>
      </c>
      <c r="IHI6" s="97" t="str">
        <f t="shared" si="99"/>
        <v/>
      </c>
      <c r="IHJ6" s="97" t="str">
        <f t="shared" si="99"/>
        <v/>
      </c>
      <c r="IHK6" s="97" t="str">
        <f t="shared" si="99"/>
        <v/>
      </c>
      <c r="IHL6" s="97" t="str">
        <f t="shared" si="99"/>
        <v/>
      </c>
      <c r="IHM6" s="97" t="str">
        <f t="shared" si="99"/>
        <v/>
      </c>
      <c r="IHN6" s="97" t="str">
        <f t="shared" si="99"/>
        <v/>
      </c>
      <c r="IHO6" s="97" t="str">
        <f t="shared" si="99"/>
        <v/>
      </c>
      <c r="IHP6" s="97" t="str">
        <f t="shared" si="99"/>
        <v/>
      </c>
      <c r="IHQ6" s="97" t="str">
        <f t="shared" si="99"/>
        <v/>
      </c>
      <c r="IHR6" s="97" t="str">
        <f t="shared" si="99"/>
        <v/>
      </c>
      <c r="IHS6" s="97" t="str">
        <f t="shared" si="99"/>
        <v/>
      </c>
      <c r="IHT6" s="97" t="str">
        <f t="shared" si="99"/>
        <v/>
      </c>
      <c r="IHU6" s="97" t="str">
        <f t="shared" si="99"/>
        <v/>
      </c>
      <c r="IHV6" s="97" t="str">
        <f t="shared" si="99"/>
        <v/>
      </c>
      <c r="IHW6" s="97" t="str">
        <f t="shared" si="99"/>
        <v/>
      </c>
      <c r="IHX6" s="97" t="str">
        <f t="shared" si="99"/>
        <v/>
      </c>
      <c r="IHY6" s="97" t="str">
        <f t="shared" si="99"/>
        <v/>
      </c>
      <c r="IHZ6" s="97" t="str">
        <f t="shared" si="99"/>
        <v/>
      </c>
      <c r="IIA6" s="97" t="str">
        <f t="shared" si="99"/>
        <v/>
      </c>
      <c r="IIB6" s="97" t="str">
        <f t="shared" si="99"/>
        <v/>
      </c>
      <c r="IIC6" s="97" t="str">
        <f t="shared" si="99"/>
        <v/>
      </c>
      <c r="IID6" s="97" t="str">
        <f t="shared" si="99"/>
        <v/>
      </c>
      <c r="IIE6" s="97" t="str">
        <f t="shared" si="99"/>
        <v/>
      </c>
      <c r="IIF6" s="97" t="str">
        <f t="shared" si="99"/>
        <v/>
      </c>
      <c r="IIG6" s="97" t="str">
        <f t="shared" si="99"/>
        <v/>
      </c>
      <c r="IIH6" s="97" t="str">
        <f t="shared" si="99"/>
        <v/>
      </c>
      <c r="III6" s="97" t="str">
        <f t="shared" si="99"/>
        <v/>
      </c>
      <c r="IIJ6" s="97" t="str">
        <f t="shared" si="99"/>
        <v/>
      </c>
      <c r="IIK6" s="97" t="str">
        <f t="shared" si="99"/>
        <v/>
      </c>
      <c r="IIL6" s="97" t="str">
        <f t="shared" si="99"/>
        <v/>
      </c>
      <c r="IIM6" s="97" t="str">
        <f t="shared" si="99"/>
        <v/>
      </c>
      <c r="IIN6" s="97" t="str">
        <f t="shared" si="99"/>
        <v/>
      </c>
      <c r="IIO6" s="97" t="str">
        <f t="shared" si="99"/>
        <v/>
      </c>
      <c r="IIP6" s="97" t="str">
        <f t="shared" si="99"/>
        <v/>
      </c>
      <c r="IIQ6" s="97" t="str">
        <f t="shared" si="99"/>
        <v/>
      </c>
      <c r="IIR6" s="97" t="str">
        <f t="shared" si="99"/>
        <v/>
      </c>
      <c r="IIS6" s="97" t="str">
        <f t="shared" si="99"/>
        <v/>
      </c>
      <c r="IIT6" s="97" t="str">
        <f t="shared" si="99"/>
        <v/>
      </c>
      <c r="IIU6" s="97" t="str">
        <f t="shared" si="99"/>
        <v/>
      </c>
      <c r="IIV6" s="97" t="str">
        <f t="shared" si="99"/>
        <v/>
      </c>
      <c r="IIW6" s="97" t="str">
        <f t="shared" si="99"/>
        <v/>
      </c>
      <c r="IIX6" s="97" t="str">
        <f t="shared" ref="IIX6:ILI6" si="100">IFERROR(AVERAGE(IIX7:IIX13),"")</f>
        <v/>
      </c>
      <c r="IIY6" s="97" t="str">
        <f t="shared" si="100"/>
        <v/>
      </c>
      <c r="IIZ6" s="97" t="str">
        <f t="shared" si="100"/>
        <v/>
      </c>
      <c r="IJA6" s="97" t="str">
        <f t="shared" si="100"/>
        <v/>
      </c>
      <c r="IJB6" s="97" t="str">
        <f t="shared" si="100"/>
        <v/>
      </c>
      <c r="IJC6" s="97" t="str">
        <f t="shared" si="100"/>
        <v/>
      </c>
      <c r="IJD6" s="97" t="str">
        <f t="shared" si="100"/>
        <v/>
      </c>
      <c r="IJE6" s="97" t="str">
        <f t="shared" si="100"/>
        <v/>
      </c>
      <c r="IJF6" s="97" t="str">
        <f t="shared" si="100"/>
        <v/>
      </c>
      <c r="IJG6" s="97" t="str">
        <f t="shared" si="100"/>
        <v/>
      </c>
      <c r="IJH6" s="97" t="str">
        <f t="shared" si="100"/>
        <v/>
      </c>
      <c r="IJI6" s="97" t="str">
        <f t="shared" si="100"/>
        <v/>
      </c>
      <c r="IJJ6" s="97" t="str">
        <f t="shared" si="100"/>
        <v/>
      </c>
      <c r="IJK6" s="97" t="str">
        <f t="shared" si="100"/>
        <v/>
      </c>
      <c r="IJL6" s="97" t="str">
        <f t="shared" si="100"/>
        <v/>
      </c>
      <c r="IJM6" s="97" t="str">
        <f t="shared" si="100"/>
        <v/>
      </c>
      <c r="IJN6" s="97" t="str">
        <f t="shared" si="100"/>
        <v/>
      </c>
      <c r="IJO6" s="97" t="str">
        <f t="shared" si="100"/>
        <v/>
      </c>
      <c r="IJP6" s="97" t="str">
        <f t="shared" si="100"/>
        <v/>
      </c>
      <c r="IJQ6" s="97" t="str">
        <f t="shared" si="100"/>
        <v/>
      </c>
      <c r="IJR6" s="97" t="str">
        <f t="shared" si="100"/>
        <v/>
      </c>
      <c r="IJS6" s="97" t="str">
        <f t="shared" si="100"/>
        <v/>
      </c>
      <c r="IJT6" s="97" t="str">
        <f t="shared" si="100"/>
        <v/>
      </c>
      <c r="IJU6" s="97" t="str">
        <f t="shared" si="100"/>
        <v/>
      </c>
      <c r="IJV6" s="97" t="str">
        <f t="shared" si="100"/>
        <v/>
      </c>
      <c r="IJW6" s="97" t="str">
        <f t="shared" si="100"/>
        <v/>
      </c>
      <c r="IJX6" s="97" t="str">
        <f t="shared" si="100"/>
        <v/>
      </c>
      <c r="IJY6" s="97" t="str">
        <f t="shared" si="100"/>
        <v/>
      </c>
      <c r="IJZ6" s="97" t="str">
        <f t="shared" si="100"/>
        <v/>
      </c>
      <c r="IKA6" s="97" t="str">
        <f t="shared" si="100"/>
        <v/>
      </c>
      <c r="IKB6" s="97" t="str">
        <f t="shared" si="100"/>
        <v/>
      </c>
      <c r="IKC6" s="97" t="str">
        <f t="shared" si="100"/>
        <v/>
      </c>
      <c r="IKD6" s="97" t="str">
        <f t="shared" si="100"/>
        <v/>
      </c>
      <c r="IKE6" s="97" t="str">
        <f t="shared" si="100"/>
        <v/>
      </c>
      <c r="IKF6" s="97" t="str">
        <f t="shared" si="100"/>
        <v/>
      </c>
      <c r="IKG6" s="97" t="str">
        <f t="shared" si="100"/>
        <v/>
      </c>
      <c r="IKH6" s="97" t="str">
        <f t="shared" si="100"/>
        <v/>
      </c>
      <c r="IKI6" s="97" t="str">
        <f t="shared" si="100"/>
        <v/>
      </c>
      <c r="IKJ6" s="97" t="str">
        <f t="shared" si="100"/>
        <v/>
      </c>
      <c r="IKK6" s="97" t="str">
        <f t="shared" si="100"/>
        <v/>
      </c>
      <c r="IKL6" s="97" t="str">
        <f t="shared" si="100"/>
        <v/>
      </c>
      <c r="IKM6" s="97" t="str">
        <f t="shared" si="100"/>
        <v/>
      </c>
      <c r="IKN6" s="97" t="str">
        <f t="shared" si="100"/>
        <v/>
      </c>
      <c r="IKO6" s="97" t="str">
        <f t="shared" si="100"/>
        <v/>
      </c>
      <c r="IKP6" s="97" t="str">
        <f t="shared" si="100"/>
        <v/>
      </c>
      <c r="IKQ6" s="97" t="str">
        <f t="shared" si="100"/>
        <v/>
      </c>
      <c r="IKR6" s="97" t="str">
        <f t="shared" si="100"/>
        <v/>
      </c>
      <c r="IKS6" s="97" t="str">
        <f t="shared" si="100"/>
        <v/>
      </c>
      <c r="IKT6" s="97" t="str">
        <f t="shared" si="100"/>
        <v/>
      </c>
      <c r="IKU6" s="97" t="str">
        <f t="shared" si="100"/>
        <v/>
      </c>
      <c r="IKV6" s="97" t="str">
        <f t="shared" si="100"/>
        <v/>
      </c>
      <c r="IKW6" s="97" t="str">
        <f t="shared" si="100"/>
        <v/>
      </c>
      <c r="IKX6" s="97" t="str">
        <f t="shared" si="100"/>
        <v/>
      </c>
      <c r="IKY6" s="97" t="str">
        <f t="shared" si="100"/>
        <v/>
      </c>
      <c r="IKZ6" s="97" t="str">
        <f t="shared" si="100"/>
        <v/>
      </c>
      <c r="ILA6" s="97" t="str">
        <f t="shared" si="100"/>
        <v/>
      </c>
      <c r="ILB6" s="97" t="str">
        <f t="shared" si="100"/>
        <v/>
      </c>
      <c r="ILC6" s="97" t="str">
        <f t="shared" si="100"/>
        <v/>
      </c>
      <c r="ILD6" s="97" t="str">
        <f t="shared" si="100"/>
        <v/>
      </c>
      <c r="ILE6" s="97" t="str">
        <f t="shared" si="100"/>
        <v/>
      </c>
      <c r="ILF6" s="97" t="str">
        <f t="shared" si="100"/>
        <v/>
      </c>
      <c r="ILG6" s="97" t="str">
        <f t="shared" si="100"/>
        <v/>
      </c>
      <c r="ILH6" s="97" t="str">
        <f t="shared" si="100"/>
        <v/>
      </c>
      <c r="ILI6" s="97" t="str">
        <f t="shared" si="100"/>
        <v/>
      </c>
      <c r="ILJ6" s="97" t="str">
        <f t="shared" ref="ILJ6:INU6" si="101">IFERROR(AVERAGE(ILJ7:ILJ13),"")</f>
        <v/>
      </c>
      <c r="ILK6" s="97" t="str">
        <f t="shared" si="101"/>
        <v/>
      </c>
      <c r="ILL6" s="97" t="str">
        <f t="shared" si="101"/>
        <v/>
      </c>
      <c r="ILM6" s="97" t="str">
        <f t="shared" si="101"/>
        <v/>
      </c>
      <c r="ILN6" s="97" t="str">
        <f t="shared" si="101"/>
        <v/>
      </c>
      <c r="ILO6" s="97" t="str">
        <f t="shared" si="101"/>
        <v/>
      </c>
      <c r="ILP6" s="97" t="str">
        <f t="shared" si="101"/>
        <v/>
      </c>
      <c r="ILQ6" s="97" t="str">
        <f t="shared" si="101"/>
        <v/>
      </c>
      <c r="ILR6" s="97" t="str">
        <f t="shared" si="101"/>
        <v/>
      </c>
      <c r="ILS6" s="97" t="str">
        <f t="shared" si="101"/>
        <v/>
      </c>
      <c r="ILT6" s="97" t="str">
        <f t="shared" si="101"/>
        <v/>
      </c>
      <c r="ILU6" s="97" t="str">
        <f t="shared" si="101"/>
        <v/>
      </c>
      <c r="ILV6" s="97" t="str">
        <f t="shared" si="101"/>
        <v/>
      </c>
      <c r="ILW6" s="97" t="str">
        <f t="shared" si="101"/>
        <v/>
      </c>
      <c r="ILX6" s="97" t="str">
        <f t="shared" si="101"/>
        <v/>
      </c>
      <c r="ILY6" s="97" t="str">
        <f t="shared" si="101"/>
        <v/>
      </c>
      <c r="ILZ6" s="97" t="str">
        <f t="shared" si="101"/>
        <v/>
      </c>
      <c r="IMA6" s="97" t="str">
        <f t="shared" si="101"/>
        <v/>
      </c>
      <c r="IMB6" s="97" t="str">
        <f t="shared" si="101"/>
        <v/>
      </c>
      <c r="IMC6" s="97" t="str">
        <f t="shared" si="101"/>
        <v/>
      </c>
      <c r="IMD6" s="97" t="str">
        <f t="shared" si="101"/>
        <v/>
      </c>
      <c r="IME6" s="97" t="str">
        <f t="shared" si="101"/>
        <v/>
      </c>
      <c r="IMF6" s="97" t="str">
        <f t="shared" si="101"/>
        <v/>
      </c>
      <c r="IMG6" s="97" t="str">
        <f t="shared" si="101"/>
        <v/>
      </c>
      <c r="IMH6" s="97" t="str">
        <f t="shared" si="101"/>
        <v/>
      </c>
      <c r="IMI6" s="97" t="str">
        <f t="shared" si="101"/>
        <v/>
      </c>
      <c r="IMJ6" s="97" t="str">
        <f t="shared" si="101"/>
        <v/>
      </c>
      <c r="IMK6" s="97" t="str">
        <f t="shared" si="101"/>
        <v/>
      </c>
      <c r="IML6" s="97" t="str">
        <f t="shared" si="101"/>
        <v/>
      </c>
      <c r="IMM6" s="97" t="str">
        <f t="shared" si="101"/>
        <v/>
      </c>
      <c r="IMN6" s="97" t="str">
        <f t="shared" si="101"/>
        <v/>
      </c>
      <c r="IMO6" s="97" t="str">
        <f t="shared" si="101"/>
        <v/>
      </c>
      <c r="IMP6" s="97" t="str">
        <f t="shared" si="101"/>
        <v/>
      </c>
      <c r="IMQ6" s="97" t="str">
        <f t="shared" si="101"/>
        <v/>
      </c>
      <c r="IMR6" s="97" t="str">
        <f t="shared" si="101"/>
        <v/>
      </c>
      <c r="IMS6" s="97" t="str">
        <f t="shared" si="101"/>
        <v/>
      </c>
      <c r="IMT6" s="97" t="str">
        <f t="shared" si="101"/>
        <v/>
      </c>
      <c r="IMU6" s="97" t="str">
        <f t="shared" si="101"/>
        <v/>
      </c>
      <c r="IMV6" s="97" t="str">
        <f t="shared" si="101"/>
        <v/>
      </c>
      <c r="IMW6" s="97" t="str">
        <f t="shared" si="101"/>
        <v/>
      </c>
      <c r="IMX6" s="97" t="str">
        <f t="shared" si="101"/>
        <v/>
      </c>
      <c r="IMY6" s="97" t="str">
        <f t="shared" si="101"/>
        <v/>
      </c>
      <c r="IMZ6" s="97" t="str">
        <f t="shared" si="101"/>
        <v/>
      </c>
      <c r="INA6" s="97" t="str">
        <f t="shared" si="101"/>
        <v/>
      </c>
      <c r="INB6" s="97" t="str">
        <f t="shared" si="101"/>
        <v/>
      </c>
      <c r="INC6" s="97" t="str">
        <f t="shared" si="101"/>
        <v/>
      </c>
      <c r="IND6" s="97" t="str">
        <f t="shared" si="101"/>
        <v/>
      </c>
      <c r="INE6" s="97" t="str">
        <f t="shared" si="101"/>
        <v/>
      </c>
      <c r="INF6" s="97" t="str">
        <f t="shared" si="101"/>
        <v/>
      </c>
      <c r="ING6" s="97" t="str">
        <f t="shared" si="101"/>
        <v/>
      </c>
      <c r="INH6" s="97" t="str">
        <f t="shared" si="101"/>
        <v/>
      </c>
      <c r="INI6" s="97" t="str">
        <f t="shared" si="101"/>
        <v/>
      </c>
      <c r="INJ6" s="97" t="str">
        <f t="shared" si="101"/>
        <v/>
      </c>
      <c r="INK6" s="97" t="str">
        <f t="shared" si="101"/>
        <v/>
      </c>
      <c r="INL6" s="97" t="str">
        <f t="shared" si="101"/>
        <v/>
      </c>
      <c r="INM6" s="97" t="str">
        <f t="shared" si="101"/>
        <v/>
      </c>
      <c r="INN6" s="97" t="str">
        <f t="shared" si="101"/>
        <v/>
      </c>
      <c r="INO6" s="97" t="str">
        <f t="shared" si="101"/>
        <v/>
      </c>
      <c r="INP6" s="97" t="str">
        <f t="shared" si="101"/>
        <v/>
      </c>
      <c r="INQ6" s="97" t="str">
        <f t="shared" si="101"/>
        <v/>
      </c>
      <c r="INR6" s="97" t="str">
        <f t="shared" si="101"/>
        <v/>
      </c>
      <c r="INS6" s="97" t="str">
        <f t="shared" si="101"/>
        <v/>
      </c>
      <c r="INT6" s="97" t="str">
        <f t="shared" si="101"/>
        <v/>
      </c>
      <c r="INU6" s="97" t="str">
        <f t="shared" si="101"/>
        <v/>
      </c>
      <c r="INV6" s="97" t="str">
        <f t="shared" ref="INV6:IQG6" si="102">IFERROR(AVERAGE(INV7:INV13),"")</f>
        <v/>
      </c>
      <c r="INW6" s="97" t="str">
        <f t="shared" si="102"/>
        <v/>
      </c>
      <c r="INX6" s="97" t="str">
        <f t="shared" si="102"/>
        <v/>
      </c>
      <c r="INY6" s="97" t="str">
        <f t="shared" si="102"/>
        <v/>
      </c>
      <c r="INZ6" s="97" t="str">
        <f t="shared" si="102"/>
        <v/>
      </c>
      <c r="IOA6" s="97" t="str">
        <f t="shared" si="102"/>
        <v/>
      </c>
      <c r="IOB6" s="97" t="str">
        <f t="shared" si="102"/>
        <v/>
      </c>
      <c r="IOC6" s="97" t="str">
        <f t="shared" si="102"/>
        <v/>
      </c>
      <c r="IOD6" s="97" t="str">
        <f t="shared" si="102"/>
        <v/>
      </c>
      <c r="IOE6" s="97" t="str">
        <f t="shared" si="102"/>
        <v/>
      </c>
      <c r="IOF6" s="97" t="str">
        <f t="shared" si="102"/>
        <v/>
      </c>
      <c r="IOG6" s="97" t="str">
        <f t="shared" si="102"/>
        <v/>
      </c>
      <c r="IOH6" s="97" t="str">
        <f t="shared" si="102"/>
        <v/>
      </c>
      <c r="IOI6" s="97" t="str">
        <f t="shared" si="102"/>
        <v/>
      </c>
      <c r="IOJ6" s="97" t="str">
        <f t="shared" si="102"/>
        <v/>
      </c>
      <c r="IOK6" s="97" t="str">
        <f t="shared" si="102"/>
        <v/>
      </c>
      <c r="IOL6" s="97" t="str">
        <f t="shared" si="102"/>
        <v/>
      </c>
      <c r="IOM6" s="97" t="str">
        <f t="shared" si="102"/>
        <v/>
      </c>
      <c r="ION6" s="97" t="str">
        <f t="shared" si="102"/>
        <v/>
      </c>
      <c r="IOO6" s="97" t="str">
        <f t="shared" si="102"/>
        <v/>
      </c>
      <c r="IOP6" s="97" t="str">
        <f t="shared" si="102"/>
        <v/>
      </c>
      <c r="IOQ6" s="97" t="str">
        <f t="shared" si="102"/>
        <v/>
      </c>
      <c r="IOR6" s="97" t="str">
        <f t="shared" si="102"/>
        <v/>
      </c>
      <c r="IOS6" s="97" t="str">
        <f t="shared" si="102"/>
        <v/>
      </c>
      <c r="IOT6" s="97" t="str">
        <f t="shared" si="102"/>
        <v/>
      </c>
      <c r="IOU6" s="97" t="str">
        <f t="shared" si="102"/>
        <v/>
      </c>
      <c r="IOV6" s="97" t="str">
        <f t="shared" si="102"/>
        <v/>
      </c>
      <c r="IOW6" s="97" t="str">
        <f t="shared" si="102"/>
        <v/>
      </c>
      <c r="IOX6" s="97" t="str">
        <f t="shared" si="102"/>
        <v/>
      </c>
      <c r="IOY6" s="97" t="str">
        <f t="shared" si="102"/>
        <v/>
      </c>
      <c r="IOZ6" s="97" t="str">
        <f t="shared" si="102"/>
        <v/>
      </c>
      <c r="IPA6" s="97" t="str">
        <f t="shared" si="102"/>
        <v/>
      </c>
      <c r="IPB6" s="97" t="str">
        <f t="shared" si="102"/>
        <v/>
      </c>
      <c r="IPC6" s="97" t="str">
        <f t="shared" si="102"/>
        <v/>
      </c>
      <c r="IPD6" s="97" t="str">
        <f t="shared" si="102"/>
        <v/>
      </c>
      <c r="IPE6" s="97" t="str">
        <f t="shared" si="102"/>
        <v/>
      </c>
      <c r="IPF6" s="97" t="str">
        <f t="shared" si="102"/>
        <v/>
      </c>
      <c r="IPG6" s="97" t="str">
        <f t="shared" si="102"/>
        <v/>
      </c>
      <c r="IPH6" s="97" t="str">
        <f t="shared" si="102"/>
        <v/>
      </c>
      <c r="IPI6" s="97" t="str">
        <f t="shared" si="102"/>
        <v/>
      </c>
      <c r="IPJ6" s="97" t="str">
        <f t="shared" si="102"/>
        <v/>
      </c>
      <c r="IPK6" s="97" t="str">
        <f t="shared" si="102"/>
        <v/>
      </c>
      <c r="IPL6" s="97" t="str">
        <f t="shared" si="102"/>
        <v/>
      </c>
      <c r="IPM6" s="97" t="str">
        <f t="shared" si="102"/>
        <v/>
      </c>
      <c r="IPN6" s="97" t="str">
        <f t="shared" si="102"/>
        <v/>
      </c>
      <c r="IPO6" s="97" t="str">
        <f t="shared" si="102"/>
        <v/>
      </c>
      <c r="IPP6" s="97" t="str">
        <f t="shared" si="102"/>
        <v/>
      </c>
      <c r="IPQ6" s="97" t="str">
        <f t="shared" si="102"/>
        <v/>
      </c>
      <c r="IPR6" s="97" t="str">
        <f t="shared" si="102"/>
        <v/>
      </c>
      <c r="IPS6" s="97" t="str">
        <f t="shared" si="102"/>
        <v/>
      </c>
      <c r="IPT6" s="97" t="str">
        <f t="shared" si="102"/>
        <v/>
      </c>
      <c r="IPU6" s="97" t="str">
        <f t="shared" si="102"/>
        <v/>
      </c>
      <c r="IPV6" s="97" t="str">
        <f t="shared" si="102"/>
        <v/>
      </c>
      <c r="IPW6" s="97" t="str">
        <f t="shared" si="102"/>
        <v/>
      </c>
      <c r="IPX6" s="97" t="str">
        <f t="shared" si="102"/>
        <v/>
      </c>
      <c r="IPY6" s="97" t="str">
        <f t="shared" si="102"/>
        <v/>
      </c>
      <c r="IPZ6" s="97" t="str">
        <f t="shared" si="102"/>
        <v/>
      </c>
      <c r="IQA6" s="97" t="str">
        <f t="shared" si="102"/>
        <v/>
      </c>
      <c r="IQB6" s="97" t="str">
        <f t="shared" si="102"/>
        <v/>
      </c>
      <c r="IQC6" s="97" t="str">
        <f t="shared" si="102"/>
        <v/>
      </c>
      <c r="IQD6" s="97" t="str">
        <f t="shared" si="102"/>
        <v/>
      </c>
      <c r="IQE6" s="97" t="str">
        <f t="shared" si="102"/>
        <v/>
      </c>
      <c r="IQF6" s="97" t="str">
        <f t="shared" si="102"/>
        <v/>
      </c>
      <c r="IQG6" s="97" t="str">
        <f t="shared" si="102"/>
        <v/>
      </c>
      <c r="IQH6" s="97" t="str">
        <f t="shared" ref="IQH6:ISS6" si="103">IFERROR(AVERAGE(IQH7:IQH13),"")</f>
        <v/>
      </c>
      <c r="IQI6" s="97" t="str">
        <f t="shared" si="103"/>
        <v/>
      </c>
      <c r="IQJ6" s="97" t="str">
        <f t="shared" si="103"/>
        <v/>
      </c>
      <c r="IQK6" s="97" t="str">
        <f t="shared" si="103"/>
        <v/>
      </c>
      <c r="IQL6" s="97" t="str">
        <f t="shared" si="103"/>
        <v/>
      </c>
      <c r="IQM6" s="97" t="str">
        <f t="shared" si="103"/>
        <v/>
      </c>
      <c r="IQN6" s="97" t="str">
        <f t="shared" si="103"/>
        <v/>
      </c>
      <c r="IQO6" s="97" t="str">
        <f t="shared" si="103"/>
        <v/>
      </c>
      <c r="IQP6" s="97" t="str">
        <f t="shared" si="103"/>
        <v/>
      </c>
      <c r="IQQ6" s="97" t="str">
        <f t="shared" si="103"/>
        <v/>
      </c>
      <c r="IQR6" s="97" t="str">
        <f t="shared" si="103"/>
        <v/>
      </c>
      <c r="IQS6" s="97" t="str">
        <f t="shared" si="103"/>
        <v/>
      </c>
      <c r="IQT6" s="97" t="str">
        <f t="shared" si="103"/>
        <v/>
      </c>
      <c r="IQU6" s="97" t="str">
        <f t="shared" si="103"/>
        <v/>
      </c>
      <c r="IQV6" s="97" t="str">
        <f t="shared" si="103"/>
        <v/>
      </c>
      <c r="IQW6" s="97" t="str">
        <f t="shared" si="103"/>
        <v/>
      </c>
      <c r="IQX6" s="97" t="str">
        <f t="shared" si="103"/>
        <v/>
      </c>
      <c r="IQY6" s="97" t="str">
        <f t="shared" si="103"/>
        <v/>
      </c>
      <c r="IQZ6" s="97" t="str">
        <f t="shared" si="103"/>
        <v/>
      </c>
      <c r="IRA6" s="97" t="str">
        <f t="shared" si="103"/>
        <v/>
      </c>
      <c r="IRB6" s="97" t="str">
        <f t="shared" si="103"/>
        <v/>
      </c>
      <c r="IRC6" s="97" t="str">
        <f t="shared" si="103"/>
        <v/>
      </c>
      <c r="IRD6" s="97" t="str">
        <f t="shared" si="103"/>
        <v/>
      </c>
      <c r="IRE6" s="97" t="str">
        <f t="shared" si="103"/>
        <v/>
      </c>
      <c r="IRF6" s="97" t="str">
        <f t="shared" si="103"/>
        <v/>
      </c>
      <c r="IRG6" s="97" t="str">
        <f t="shared" si="103"/>
        <v/>
      </c>
      <c r="IRH6" s="97" t="str">
        <f t="shared" si="103"/>
        <v/>
      </c>
      <c r="IRI6" s="97" t="str">
        <f t="shared" si="103"/>
        <v/>
      </c>
      <c r="IRJ6" s="97" t="str">
        <f t="shared" si="103"/>
        <v/>
      </c>
      <c r="IRK6" s="97" t="str">
        <f t="shared" si="103"/>
        <v/>
      </c>
      <c r="IRL6" s="97" t="str">
        <f t="shared" si="103"/>
        <v/>
      </c>
      <c r="IRM6" s="97" t="str">
        <f t="shared" si="103"/>
        <v/>
      </c>
      <c r="IRN6" s="97" t="str">
        <f t="shared" si="103"/>
        <v/>
      </c>
      <c r="IRO6" s="97" t="str">
        <f t="shared" si="103"/>
        <v/>
      </c>
      <c r="IRP6" s="97" t="str">
        <f t="shared" si="103"/>
        <v/>
      </c>
      <c r="IRQ6" s="97" t="str">
        <f t="shared" si="103"/>
        <v/>
      </c>
      <c r="IRR6" s="97" t="str">
        <f t="shared" si="103"/>
        <v/>
      </c>
      <c r="IRS6" s="97" t="str">
        <f t="shared" si="103"/>
        <v/>
      </c>
      <c r="IRT6" s="97" t="str">
        <f t="shared" si="103"/>
        <v/>
      </c>
      <c r="IRU6" s="97" t="str">
        <f t="shared" si="103"/>
        <v/>
      </c>
      <c r="IRV6" s="97" t="str">
        <f t="shared" si="103"/>
        <v/>
      </c>
      <c r="IRW6" s="97" t="str">
        <f t="shared" si="103"/>
        <v/>
      </c>
      <c r="IRX6" s="97" t="str">
        <f t="shared" si="103"/>
        <v/>
      </c>
      <c r="IRY6" s="97" t="str">
        <f t="shared" si="103"/>
        <v/>
      </c>
      <c r="IRZ6" s="97" t="str">
        <f t="shared" si="103"/>
        <v/>
      </c>
      <c r="ISA6" s="97" t="str">
        <f t="shared" si="103"/>
        <v/>
      </c>
      <c r="ISB6" s="97" t="str">
        <f t="shared" si="103"/>
        <v/>
      </c>
      <c r="ISC6" s="97" t="str">
        <f t="shared" si="103"/>
        <v/>
      </c>
      <c r="ISD6" s="97" t="str">
        <f t="shared" si="103"/>
        <v/>
      </c>
      <c r="ISE6" s="97" t="str">
        <f t="shared" si="103"/>
        <v/>
      </c>
      <c r="ISF6" s="97" t="str">
        <f t="shared" si="103"/>
        <v/>
      </c>
      <c r="ISG6" s="97" t="str">
        <f t="shared" si="103"/>
        <v/>
      </c>
      <c r="ISH6" s="97" t="str">
        <f t="shared" si="103"/>
        <v/>
      </c>
      <c r="ISI6" s="97" t="str">
        <f t="shared" si="103"/>
        <v/>
      </c>
      <c r="ISJ6" s="97" t="str">
        <f t="shared" si="103"/>
        <v/>
      </c>
      <c r="ISK6" s="97" t="str">
        <f t="shared" si="103"/>
        <v/>
      </c>
      <c r="ISL6" s="97" t="str">
        <f t="shared" si="103"/>
        <v/>
      </c>
      <c r="ISM6" s="97" t="str">
        <f t="shared" si="103"/>
        <v/>
      </c>
      <c r="ISN6" s="97" t="str">
        <f t="shared" si="103"/>
        <v/>
      </c>
      <c r="ISO6" s="97" t="str">
        <f t="shared" si="103"/>
        <v/>
      </c>
      <c r="ISP6" s="97" t="str">
        <f t="shared" si="103"/>
        <v/>
      </c>
      <c r="ISQ6" s="97" t="str">
        <f t="shared" si="103"/>
        <v/>
      </c>
      <c r="ISR6" s="97" t="str">
        <f t="shared" si="103"/>
        <v/>
      </c>
      <c r="ISS6" s="97" t="str">
        <f t="shared" si="103"/>
        <v/>
      </c>
      <c r="IST6" s="97" t="str">
        <f t="shared" ref="IST6:IVE6" si="104">IFERROR(AVERAGE(IST7:IST13),"")</f>
        <v/>
      </c>
      <c r="ISU6" s="97" t="str">
        <f t="shared" si="104"/>
        <v/>
      </c>
      <c r="ISV6" s="97" t="str">
        <f t="shared" si="104"/>
        <v/>
      </c>
      <c r="ISW6" s="97" t="str">
        <f t="shared" si="104"/>
        <v/>
      </c>
      <c r="ISX6" s="97" t="str">
        <f t="shared" si="104"/>
        <v/>
      </c>
      <c r="ISY6" s="97" t="str">
        <f t="shared" si="104"/>
        <v/>
      </c>
      <c r="ISZ6" s="97" t="str">
        <f t="shared" si="104"/>
        <v/>
      </c>
      <c r="ITA6" s="97" t="str">
        <f t="shared" si="104"/>
        <v/>
      </c>
      <c r="ITB6" s="97" t="str">
        <f t="shared" si="104"/>
        <v/>
      </c>
      <c r="ITC6" s="97" t="str">
        <f t="shared" si="104"/>
        <v/>
      </c>
      <c r="ITD6" s="97" t="str">
        <f t="shared" si="104"/>
        <v/>
      </c>
      <c r="ITE6" s="97" t="str">
        <f t="shared" si="104"/>
        <v/>
      </c>
      <c r="ITF6" s="97" t="str">
        <f t="shared" si="104"/>
        <v/>
      </c>
      <c r="ITG6" s="97" t="str">
        <f t="shared" si="104"/>
        <v/>
      </c>
      <c r="ITH6" s="97" t="str">
        <f t="shared" si="104"/>
        <v/>
      </c>
      <c r="ITI6" s="97" t="str">
        <f t="shared" si="104"/>
        <v/>
      </c>
      <c r="ITJ6" s="97" t="str">
        <f t="shared" si="104"/>
        <v/>
      </c>
      <c r="ITK6" s="97" t="str">
        <f t="shared" si="104"/>
        <v/>
      </c>
      <c r="ITL6" s="97" t="str">
        <f t="shared" si="104"/>
        <v/>
      </c>
      <c r="ITM6" s="97" t="str">
        <f t="shared" si="104"/>
        <v/>
      </c>
      <c r="ITN6" s="97" t="str">
        <f t="shared" si="104"/>
        <v/>
      </c>
      <c r="ITO6" s="97" t="str">
        <f t="shared" si="104"/>
        <v/>
      </c>
      <c r="ITP6" s="97" t="str">
        <f t="shared" si="104"/>
        <v/>
      </c>
      <c r="ITQ6" s="97" t="str">
        <f t="shared" si="104"/>
        <v/>
      </c>
      <c r="ITR6" s="97" t="str">
        <f t="shared" si="104"/>
        <v/>
      </c>
      <c r="ITS6" s="97" t="str">
        <f t="shared" si="104"/>
        <v/>
      </c>
      <c r="ITT6" s="97" t="str">
        <f t="shared" si="104"/>
        <v/>
      </c>
      <c r="ITU6" s="97" t="str">
        <f t="shared" si="104"/>
        <v/>
      </c>
      <c r="ITV6" s="97" t="str">
        <f t="shared" si="104"/>
        <v/>
      </c>
      <c r="ITW6" s="97" t="str">
        <f t="shared" si="104"/>
        <v/>
      </c>
      <c r="ITX6" s="97" t="str">
        <f t="shared" si="104"/>
        <v/>
      </c>
      <c r="ITY6" s="97" t="str">
        <f t="shared" si="104"/>
        <v/>
      </c>
      <c r="ITZ6" s="97" t="str">
        <f t="shared" si="104"/>
        <v/>
      </c>
      <c r="IUA6" s="97" t="str">
        <f t="shared" si="104"/>
        <v/>
      </c>
      <c r="IUB6" s="97" t="str">
        <f t="shared" si="104"/>
        <v/>
      </c>
      <c r="IUC6" s="97" t="str">
        <f t="shared" si="104"/>
        <v/>
      </c>
      <c r="IUD6" s="97" t="str">
        <f t="shared" si="104"/>
        <v/>
      </c>
      <c r="IUE6" s="97" t="str">
        <f t="shared" si="104"/>
        <v/>
      </c>
      <c r="IUF6" s="97" t="str">
        <f t="shared" si="104"/>
        <v/>
      </c>
      <c r="IUG6" s="97" t="str">
        <f t="shared" si="104"/>
        <v/>
      </c>
      <c r="IUH6" s="97" t="str">
        <f t="shared" si="104"/>
        <v/>
      </c>
      <c r="IUI6" s="97" t="str">
        <f t="shared" si="104"/>
        <v/>
      </c>
      <c r="IUJ6" s="97" t="str">
        <f t="shared" si="104"/>
        <v/>
      </c>
      <c r="IUK6" s="97" t="str">
        <f t="shared" si="104"/>
        <v/>
      </c>
      <c r="IUL6" s="97" t="str">
        <f t="shared" si="104"/>
        <v/>
      </c>
      <c r="IUM6" s="97" t="str">
        <f t="shared" si="104"/>
        <v/>
      </c>
      <c r="IUN6" s="97" t="str">
        <f t="shared" si="104"/>
        <v/>
      </c>
      <c r="IUO6" s="97" t="str">
        <f t="shared" si="104"/>
        <v/>
      </c>
      <c r="IUP6" s="97" t="str">
        <f t="shared" si="104"/>
        <v/>
      </c>
      <c r="IUQ6" s="97" t="str">
        <f t="shared" si="104"/>
        <v/>
      </c>
      <c r="IUR6" s="97" t="str">
        <f t="shared" si="104"/>
        <v/>
      </c>
      <c r="IUS6" s="97" t="str">
        <f t="shared" si="104"/>
        <v/>
      </c>
      <c r="IUT6" s="97" t="str">
        <f t="shared" si="104"/>
        <v/>
      </c>
      <c r="IUU6" s="97" t="str">
        <f t="shared" si="104"/>
        <v/>
      </c>
      <c r="IUV6" s="97" t="str">
        <f t="shared" si="104"/>
        <v/>
      </c>
      <c r="IUW6" s="97" t="str">
        <f t="shared" si="104"/>
        <v/>
      </c>
      <c r="IUX6" s="97" t="str">
        <f t="shared" si="104"/>
        <v/>
      </c>
      <c r="IUY6" s="97" t="str">
        <f t="shared" si="104"/>
        <v/>
      </c>
      <c r="IUZ6" s="97" t="str">
        <f t="shared" si="104"/>
        <v/>
      </c>
      <c r="IVA6" s="97" t="str">
        <f t="shared" si="104"/>
        <v/>
      </c>
      <c r="IVB6" s="97" t="str">
        <f t="shared" si="104"/>
        <v/>
      </c>
      <c r="IVC6" s="97" t="str">
        <f t="shared" si="104"/>
        <v/>
      </c>
      <c r="IVD6" s="97" t="str">
        <f t="shared" si="104"/>
        <v/>
      </c>
      <c r="IVE6" s="97" t="str">
        <f t="shared" si="104"/>
        <v/>
      </c>
      <c r="IVF6" s="97" t="str">
        <f t="shared" ref="IVF6:IXQ6" si="105">IFERROR(AVERAGE(IVF7:IVF13),"")</f>
        <v/>
      </c>
      <c r="IVG6" s="97" t="str">
        <f t="shared" si="105"/>
        <v/>
      </c>
      <c r="IVH6" s="97" t="str">
        <f t="shared" si="105"/>
        <v/>
      </c>
      <c r="IVI6" s="97" t="str">
        <f t="shared" si="105"/>
        <v/>
      </c>
      <c r="IVJ6" s="97" t="str">
        <f t="shared" si="105"/>
        <v/>
      </c>
      <c r="IVK6" s="97" t="str">
        <f t="shared" si="105"/>
        <v/>
      </c>
      <c r="IVL6" s="97" t="str">
        <f t="shared" si="105"/>
        <v/>
      </c>
      <c r="IVM6" s="97" t="str">
        <f t="shared" si="105"/>
        <v/>
      </c>
      <c r="IVN6" s="97" t="str">
        <f t="shared" si="105"/>
        <v/>
      </c>
      <c r="IVO6" s="97" t="str">
        <f t="shared" si="105"/>
        <v/>
      </c>
      <c r="IVP6" s="97" t="str">
        <f t="shared" si="105"/>
        <v/>
      </c>
      <c r="IVQ6" s="97" t="str">
        <f t="shared" si="105"/>
        <v/>
      </c>
      <c r="IVR6" s="97" t="str">
        <f t="shared" si="105"/>
        <v/>
      </c>
      <c r="IVS6" s="97" t="str">
        <f t="shared" si="105"/>
        <v/>
      </c>
      <c r="IVT6" s="97" t="str">
        <f t="shared" si="105"/>
        <v/>
      </c>
      <c r="IVU6" s="97" t="str">
        <f t="shared" si="105"/>
        <v/>
      </c>
      <c r="IVV6" s="97" t="str">
        <f t="shared" si="105"/>
        <v/>
      </c>
      <c r="IVW6" s="97" t="str">
        <f t="shared" si="105"/>
        <v/>
      </c>
      <c r="IVX6" s="97" t="str">
        <f t="shared" si="105"/>
        <v/>
      </c>
      <c r="IVY6" s="97" t="str">
        <f t="shared" si="105"/>
        <v/>
      </c>
      <c r="IVZ6" s="97" t="str">
        <f t="shared" si="105"/>
        <v/>
      </c>
      <c r="IWA6" s="97" t="str">
        <f t="shared" si="105"/>
        <v/>
      </c>
      <c r="IWB6" s="97" t="str">
        <f t="shared" si="105"/>
        <v/>
      </c>
      <c r="IWC6" s="97" t="str">
        <f t="shared" si="105"/>
        <v/>
      </c>
      <c r="IWD6" s="97" t="str">
        <f t="shared" si="105"/>
        <v/>
      </c>
      <c r="IWE6" s="97" t="str">
        <f t="shared" si="105"/>
        <v/>
      </c>
      <c r="IWF6" s="97" t="str">
        <f t="shared" si="105"/>
        <v/>
      </c>
      <c r="IWG6" s="97" t="str">
        <f t="shared" si="105"/>
        <v/>
      </c>
      <c r="IWH6" s="97" t="str">
        <f t="shared" si="105"/>
        <v/>
      </c>
      <c r="IWI6" s="97" t="str">
        <f t="shared" si="105"/>
        <v/>
      </c>
      <c r="IWJ6" s="97" t="str">
        <f t="shared" si="105"/>
        <v/>
      </c>
      <c r="IWK6" s="97" t="str">
        <f t="shared" si="105"/>
        <v/>
      </c>
      <c r="IWL6" s="97" t="str">
        <f t="shared" si="105"/>
        <v/>
      </c>
      <c r="IWM6" s="97" t="str">
        <f t="shared" si="105"/>
        <v/>
      </c>
      <c r="IWN6" s="97" t="str">
        <f t="shared" si="105"/>
        <v/>
      </c>
      <c r="IWO6" s="97" t="str">
        <f t="shared" si="105"/>
        <v/>
      </c>
      <c r="IWP6" s="97" t="str">
        <f t="shared" si="105"/>
        <v/>
      </c>
      <c r="IWQ6" s="97" t="str">
        <f t="shared" si="105"/>
        <v/>
      </c>
      <c r="IWR6" s="97" t="str">
        <f t="shared" si="105"/>
        <v/>
      </c>
      <c r="IWS6" s="97" t="str">
        <f t="shared" si="105"/>
        <v/>
      </c>
      <c r="IWT6" s="97" t="str">
        <f t="shared" si="105"/>
        <v/>
      </c>
      <c r="IWU6" s="97" t="str">
        <f t="shared" si="105"/>
        <v/>
      </c>
      <c r="IWV6" s="97" t="str">
        <f t="shared" si="105"/>
        <v/>
      </c>
      <c r="IWW6" s="97" t="str">
        <f t="shared" si="105"/>
        <v/>
      </c>
      <c r="IWX6" s="97" t="str">
        <f t="shared" si="105"/>
        <v/>
      </c>
      <c r="IWY6" s="97" t="str">
        <f t="shared" si="105"/>
        <v/>
      </c>
      <c r="IWZ6" s="97" t="str">
        <f t="shared" si="105"/>
        <v/>
      </c>
      <c r="IXA6" s="97" t="str">
        <f t="shared" si="105"/>
        <v/>
      </c>
      <c r="IXB6" s="97" t="str">
        <f t="shared" si="105"/>
        <v/>
      </c>
      <c r="IXC6" s="97" t="str">
        <f t="shared" si="105"/>
        <v/>
      </c>
      <c r="IXD6" s="97" t="str">
        <f t="shared" si="105"/>
        <v/>
      </c>
      <c r="IXE6" s="97" t="str">
        <f t="shared" si="105"/>
        <v/>
      </c>
      <c r="IXF6" s="97" t="str">
        <f t="shared" si="105"/>
        <v/>
      </c>
      <c r="IXG6" s="97" t="str">
        <f t="shared" si="105"/>
        <v/>
      </c>
      <c r="IXH6" s="97" t="str">
        <f t="shared" si="105"/>
        <v/>
      </c>
      <c r="IXI6" s="97" t="str">
        <f t="shared" si="105"/>
        <v/>
      </c>
      <c r="IXJ6" s="97" t="str">
        <f t="shared" si="105"/>
        <v/>
      </c>
      <c r="IXK6" s="97" t="str">
        <f t="shared" si="105"/>
        <v/>
      </c>
      <c r="IXL6" s="97" t="str">
        <f t="shared" si="105"/>
        <v/>
      </c>
      <c r="IXM6" s="97" t="str">
        <f t="shared" si="105"/>
        <v/>
      </c>
      <c r="IXN6" s="97" t="str">
        <f t="shared" si="105"/>
        <v/>
      </c>
      <c r="IXO6" s="97" t="str">
        <f t="shared" si="105"/>
        <v/>
      </c>
      <c r="IXP6" s="97" t="str">
        <f t="shared" si="105"/>
        <v/>
      </c>
      <c r="IXQ6" s="97" t="str">
        <f t="shared" si="105"/>
        <v/>
      </c>
      <c r="IXR6" s="97" t="str">
        <f t="shared" ref="IXR6:JAC6" si="106">IFERROR(AVERAGE(IXR7:IXR13),"")</f>
        <v/>
      </c>
      <c r="IXS6" s="97" t="str">
        <f t="shared" si="106"/>
        <v/>
      </c>
      <c r="IXT6" s="97" t="str">
        <f t="shared" si="106"/>
        <v/>
      </c>
      <c r="IXU6" s="97" t="str">
        <f t="shared" si="106"/>
        <v/>
      </c>
      <c r="IXV6" s="97" t="str">
        <f t="shared" si="106"/>
        <v/>
      </c>
      <c r="IXW6" s="97" t="str">
        <f t="shared" si="106"/>
        <v/>
      </c>
      <c r="IXX6" s="97" t="str">
        <f t="shared" si="106"/>
        <v/>
      </c>
      <c r="IXY6" s="97" t="str">
        <f t="shared" si="106"/>
        <v/>
      </c>
      <c r="IXZ6" s="97" t="str">
        <f t="shared" si="106"/>
        <v/>
      </c>
      <c r="IYA6" s="97" t="str">
        <f t="shared" si="106"/>
        <v/>
      </c>
      <c r="IYB6" s="97" t="str">
        <f t="shared" si="106"/>
        <v/>
      </c>
      <c r="IYC6" s="97" t="str">
        <f t="shared" si="106"/>
        <v/>
      </c>
      <c r="IYD6" s="97" t="str">
        <f t="shared" si="106"/>
        <v/>
      </c>
      <c r="IYE6" s="97" t="str">
        <f t="shared" si="106"/>
        <v/>
      </c>
      <c r="IYF6" s="97" t="str">
        <f t="shared" si="106"/>
        <v/>
      </c>
      <c r="IYG6" s="97" t="str">
        <f t="shared" si="106"/>
        <v/>
      </c>
      <c r="IYH6" s="97" t="str">
        <f t="shared" si="106"/>
        <v/>
      </c>
      <c r="IYI6" s="97" t="str">
        <f t="shared" si="106"/>
        <v/>
      </c>
      <c r="IYJ6" s="97" t="str">
        <f t="shared" si="106"/>
        <v/>
      </c>
      <c r="IYK6" s="97" t="str">
        <f t="shared" si="106"/>
        <v/>
      </c>
      <c r="IYL6" s="97" t="str">
        <f t="shared" si="106"/>
        <v/>
      </c>
      <c r="IYM6" s="97" t="str">
        <f t="shared" si="106"/>
        <v/>
      </c>
      <c r="IYN6" s="97" t="str">
        <f t="shared" si="106"/>
        <v/>
      </c>
      <c r="IYO6" s="97" t="str">
        <f t="shared" si="106"/>
        <v/>
      </c>
      <c r="IYP6" s="97" t="str">
        <f t="shared" si="106"/>
        <v/>
      </c>
      <c r="IYQ6" s="97" t="str">
        <f t="shared" si="106"/>
        <v/>
      </c>
      <c r="IYR6" s="97" t="str">
        <f t="shared" si="106"/>
        <v/>
      </c>
      <c r="IYS6" s="97" t="str">
        <f t="shared" si="106"/>
        <v/>
      </c>
      <c r="IYT6" s="97" t="str">
        <f t="shared" si="106"/>
        <v/>
      </c>
      <c r="IYU6" s="97" t="str">
        <f t="shared" si="106"/>
        <v/>
      </c>
      <c r="IYV6" s="97" t="str">
        <f t="shared" si="106"/>
        <v/>
      </c>
      <c r="IYW6" s="97" t="str">
        <f t="shared" si="106"/>
        <v/>
      </c>
      <c r="IYX6" s="97" t="str">
        <f t="shared" si="106"/>
        <v/>
      </c>
      <c r="IYY6" s="97" t="str">
        <f t="shared" si="106"/>
        <v/>
      </c>
      <c r="IYZ6" s="97" t="str">
        <f t="shared" si="106"/>
        <v/>
      </c>
      <c r="IZA6" s="97" t="str">
        <f t="shared" si="106"/>
        <v/>
      </c>
      <c r="IZB6" s="97" t="str">
        <f t="shared" si="106"/>
        <v/>
      </c>
      <c r="IZC6" s="97" t="str">
        <f t="shared" si="106"/>
        <v/>
      </c>
      <c r="IZD6" s="97" t="str">
        <f t="shared" si="106"/>
        <v/>
      </c>
      <c r="IZE6" s="97" t="str">
        <f t="shared" si="106"/>
        <v/>
      </c>
      <c r="IZF6" s="97" t="str">
        <f t="shared" si="106"/>
        <v/>
      </c>
      <c r="IZG6" s="97" t="str">
        <f t="shared" si="106"/>
        <v/>
      </c>
      <c r="IZH6" s="97" t="str">
        <f t="shared" si="106"/>
        <v/>
      </c>
      <c r="IZI6" s="97" t="str">
        <f t="shared" si="106"/>
        <v/>
      </c>
      <c r="IZJ6" s="97" t="str">
        <f t="shared" si="106"/>
        <v/>
      </c>
      <c r="IZK6" s="97" t="str">
        <f t="shared" si="106"/>
        <v/>
      </c>
      <c r="IZL6" s="97" t="str">
        <f t="shared" si="106"/>
        <v/>
      </c>
      <c r="IZM6" s="97" t="str">
        <f t="shared" si="106"/>
        <v/>
      </c>
      <c r="IZN6" s="97" t="str">
        <f t="shared" si="106"/>
        <v/>
      </c>
      <c r="IZO6" s="97" t="str">
        <f t="shared" si="106"/>
        <v/>
      </c>
      <c r="IZP6" s="97" t="str">
        <f t="shared" si="106"/>
        <v/>
      </c>
      <c r="IZQ6" s="97" t="str">
        <f t="shared" si="106"/>
        <v/>
      </c>
      <c r="IZR6" s="97" t="str">
        <f t="shared" si="106"/>
        <v/>
      </c>
      <c r="IZS6" s="97" t="str">
        <f t="shared" si="106"/>
        <v/>
      </c>
      <c r="IZT6" s="97" t="str">
        <f t="shared" si="106"/>
        <v/>
      </c>
      <c r="IZU6" s="97" t="str">
        <f t="shared" si="106"/>
        <v/>
      </c>
      <c r="IZV6" s="97" t="str">
        <f t="shared" si="106"/>
        <v/>
      </c>
      <c r="IZW6" s="97" t="str">
        <f t="shared" si="106"/>
        <v/>
      </c>
      <c r="IZX6" s="97" t="str">
        <f t="shared" si="106"/>
        <v/>
      </c>
      <c r="IZY6" s="97" t="str">
        <f t="shared" si="106"/>
        <v/>
      </c>
      <c r="IZZ6" s="97" t="str">
        <f t="shared" si="106"/>
        <v/>
      </c>
      <c r="JAA6" s="97" t="str">
        <f t="shared" si="106"/>
        <v/>
      </c>
      <c r="JAB6" s="97" t="str">
        <f t="shared" si="106"/>
        <v/>
      </c>
      <c r="JAC6" s="97" t="str">
        <f t="shared" si="106"/>
        <v/>
      </c>
      <c r="JAD6" s="97" t="str">
        <f t="shared" ref="JAD6:JCO6" si="107">IFERROR(AVERAGE(JAD7:JAD13),"")</f>
        <v/>
      </c>
      <c r="JAE6" s="97" t="str">
        <f t="shared" si="107"/>
        <v/>
      </c>
      <c r="JAF6" s="97" t="str">
        <f t="shared" si="107"/>
        <v/>
      </c>
      <c r="JAG6" s="97" t="str">
        <f t="shared" si="107"/>
        <v/>
      </c>
      <c r="JAH6" s="97" t="str">
        <f t="shared" si="107"/>
        <v/>
      </c>
      <c r="JAI6" s="97" t="str">
        <f t="shared" si="107"/>
        <v/>
      </c>
      <c r="JAJ6" s="97" t="str">
        <f t="shared" si="107"/>
        <v/>
      </c>
      <c r="JAK6" s="97" t="str">
        <f t="shared" si="107"/>
        <v/>
      </c>
      <c r="JAL6" s="97" t="str">
        <f t="shared" si="107"/>
        <v/>
      </c>
      <c r="JAM6" s="97" t="str">
        <f t="shared" si="107"/>
        <v/>
      </c>
      <c r="JAN6" s="97" t="str">
        <f t="shared" si="107"/>
        <v/>
      </c>
      <c r="JAO6" s="97" t="str">
        <f t="shared" si="107"/>
        <v/>
      </c>
      <c r="JAP6" s="97" t="str">
        <f t="shared" si="107"/>
        <v/>
      </c>
      <c r="JAQ6" s="97" t="str">
        <f t="shared" si="107"/>
        <v/>
      </c>
      <c r="JAR6" s="97" t="str">
        <f t="shared" si="107"/>
        <v/>
      </c>
      <c r="JAS6" s="97" t="str">
        <f t="shared" si="107"/>
        <v/>
      </c>
      <c r="JAT6" s="97" t="str">
        <f t="shared" si="107"/>
        <v/>
      </c>
      <c r="JAU6" s="97" t="str">
        <f t="shared" si="107"/>
        <v/>
      </c>
      <c r="JAV6" s="97" t="str">
        <f t="shared" si="107"/>
        <v/>
      </c>
      <c r="JAW6" s="97" t="str">
        <f t="shared" si="107"/>
        <v/>
      </c>
      <c r="JAX6" s="97" t="str">
        <f t="shared" si="107"/>
        <v/>
      </c>
      <c r="JAY6" s="97" t="str">
        <f t="shared" si="107"/>
        <v/>
      </c>
      <c r="JAZ6" s="97" t="str">
        <f t="shared" si="107"/>
        <v/>
      </c>
      <c r="JBA6" s="97" t="str">
        <f t="shared" si="107"/>
        <v/>
      </c>
      <c r="JBB6" s="97" t="str">
        <f t="shared" si="107"/>
        <v/>
      </c>
      <c r="JBC6" s="97" t="str">
        <f t="shared" si="107"/>
        <v/>
      </c>
      <c r="JBD6" s="97" t="str">
        <f t="shared" si="107"/>
        <v/>
      </c>
      <c r="JBE6" s="97" t="str">
        <f t="shared" si="107"/>
        <v/>
      </c>
      <c r="JBF6" s="97" t="str">
        <f t="shared" si="107"/>
        <v/>
      </c>
      <c r="JBG6" s="97" t="str">
        <f t="shared" si="107"/>
        <v/>
      </c>
      <c r="JBH6" s="97" t="str">
        <f t="shared" si="107"/>
        <v/>
      </c>
      <c r="JBI6" s="97" t="str">
        <f t="shared" si="107"/>
        <v/>
      </c>
      <c r="JBJ6" s="97" t="str">
        <f t="shared" si="107"/>
        <v/>
      </c>
      <c r="JBK6" s="97" t="str">
        <f t="shared" si="107"/>
        <v/>
      </c>
      <c r="JBL6" s="97" t="str">
        <f t="shared" si="107"/>
        <v/>
      </c>
      <c r="JBM6" s="97" t="str">
        <f t="shared" si="107"/>
        <v/>
      </c>
      <c r="JBN6" s="97" t="str">
        <f t="shared" si="107"/>
        <v/>
      </c>
      <c r="JBO6" s="97" t="str">
        <f t="shared" si="107"/>
        <v/>
      </c>
      <c r="JBP6" s="97" t="str">
        <f t="shared" si="107"/>
        <v/>
      </c>
      <c r="JBQ6" s="97" t="str">
        <f t="shared" si="107"/>
        <v/>
      </c>
      <c r="JBR6" s="97" t="str">
        <f t="shared" si="107"/>
        <v/>
      </c>
      <c r="JBS6" s="97" t="str">
        <f t="shared" si="107"/>
        <v/>
      </c>
      <c r="JBT6" s="97" t="str">
        <f t="shared" si="107"/>
        <v/>
      </c>
      <c r="JBU6" s="97" t="str">
        <f t="shared" si="107"/>
        <v/>
      </c>
      <c r="JBV6" s="97" t="str">
        <f t="shared" si="107"/>
        <v/>
      </c>
      <c r="JBW6" s="97" t="str">
        <f t="shared" si="107"/>
        <v/>
      </c>
      <c r="JBX6" s="97" t="str">
        <f t="shared" si="107"/>
        <v/>
      </c>
      <c r="JBY6" s="97" t="str">
        <f t="shared" si="107"/>
        <v/>
      </c>
      <c r="JBZ6" s="97" t="str">
        <f t="shared" si="107"/>
        <v/>
      </c>
      <c r="JCA6" s="97" t="str">
        <f t="shared" si="107"/>
        <v/>
      </c>
      <c r="JCB6" s="97" t="str">
        <f t="shared" si="107"/>
        <v/>
      </c>
      <c r="JCC6" s="97" t="str">
        <f t="shared" si="107"/>
        <v/>
      </c>
      <c r="JCD6" s="97" t="str">
        <f t="shared" si="107"/>
        <v/>
      </c>
      <c r="JCE6" s="97" t="str">
        <f t="shared" si="107"/>
        <v/>
      </c>
      <c r="JCF6" s="97" t="str">
        <f t="shared" si="107"/>
        <v/>
      </c>
      <c r="JCG6" s="97" t="str">
        <f t="shared" si="107"/>
        <v/>
      </c>
      <c r="JCH6" s="97" t="str">
        <f t="shared" si="107"/>
        <v/>
      </c>
      <c r="JCI6" s="97" t="str">
        <f t="shared" si="107"/>
        <v/>
      </c>
      <c r="JCJ6" s="97" t="str">
        <f t="shared" si="107"/>
        <v/>
      </c>
      <c r="JCK6" s="97" t="str">
        <f t="shared" si="107"/>
        <v/>
      </c>
      <c r="JCL6" s="97" t="str">
        <f t="shared" si="107"/>
        <v/>
      </c>
      <c r="JCM6" s="97" t="str">
        <f t="shared" si="107"/>
        <v/>
      </c>
      <c r="JCN6" s="97" t="str">
        <f t="shared" si="107"/>
        <v/>
      </c>
      <c r="JCO6" s="97" t="str">
        <f t="shared" si="107"/>
        <v/>
      </c>
      <c r="JCP6" s="97" t="str">
        <f t="shared" ref="JCP6:JFA6" si="108">IFERROR(AVERAGE(JCP7:JCP13),"")</f>
        <v/>
      </c>
      <c r="JCQ6" s="97" t="str">
        <f t="shared" si="108"/>
        <v/>
      </c>
      <c r="JCR6" s="97" t="str">
        <f t="shared" si="108"/>
        <v/>
      </c>
      <c r="JCS6" s="97" t="str">
        <f t="shared" si="108"/>
        <v/>
      </c>
      <c r="JCT6" s="97" t="str">
        <f t="shared" si="108"/>
        <v/>
      </c>
      <c r="JCU6" s="97" t="str">
        <f t="shared" si="108"/>
        <v/>
      </c>
      <c r="JCV6" s="97" t="str">
        <f t="shared" si="108"/>
        <v/>
      </c>
      <c r="JCW6" s="97" t="str">
        <f t="shared" si="108"/>
        <v/>
      </c>
      <c r="JCX6" s="97" t="str">
        <f t="shared" si="108"/>
        <v/>
      </c>
      <c r="JCY6" s="97" t="str">
        <f t="shared" si="108"/>
        <v/>
      </c>
      <c r="JCZ6" s="97" t="str">
        <f t="shared" si="108"/>
        <v/>
      </c>
      <c r="JDA6" s="97" t="str">
        <f t="shared" si="108"/>
        <v/>
      </c>
      <c r="JDB6" s="97" t="str">
        <f t="shared" si="108"/>
        <v/>
      </c>
      <c r="JDC6" s="97" t="str">
        <f t="shared" si="108"/>
        <v/>
      </c>
      <c r="JDD6" s="97" t="str">
        <f t="shared" si="108"/>
        <v/>
      </c>
      <c r="JDE6" s="97" t="str">
        <f t="shared" si="108"/>
        <v/>
      </c>
      <c r="JDF6" s="97" t="str">
        <f t="shared" si="108"/>
        <v/>
      </c>
      <c r="JDG6" s="97" t="str">
        <f t="shared" si="108"/>
        <v/>
      </c>
      <c r="JDH6" s="97" t="str">
        <f t="shared" si="108"/>
        <v/>
      </c>
      <c r="JDI6" s="97" t="str">
        <f t="shared" si="108"/>
        <v/>
      </c>
      <c r="JDJ6" s="97" t="str">
        <f t="shared" si="108"/>
        <v/>
      </c>
      <c r="JDK6" s="97" t="str">
        <f t="shared" si="108"/>
        <v/>
      </c>
      <c r="JDL6" s="97" t="str">
        <f t="shared" si="108"/>
        <v/>
      </c>
      <c r="JDM6" s="97" t="str">
        <f t="shared" si="108"/>
        <v/>
      </c>
      <c r="JDN6" s="97" t="str">
        <f t="shared" si="108"/>
        <v/>
      </c>
      <c r="JDO6" s="97" t="str">
        <f t="shared" si="108"/>
        <v/>
      </c>
      <c r="JDP6" s="97" t="str">
        <f t="shared" si="108"/>
        <v/>
      </c>
      <c r="JDQ6" s="97" t="str">
        <f t="shared" si="108"/>
        <v/>
      </c>
      <c r="JDR6" s="97" t="str">
        <f t="shared" si="108"/>
        <v/>
      </c>
      <c r="JDS6" s="97" t="str">
        <f t="shared" si="108"/>
        <v/>
      </c>
      <c r="JDT6" s="97" t="str">
        <f t="shared" si="108"/>
        <v/>
      </c>
      <c r="JDU6" s="97" t="str">
        <f t="shared" si="108"/>
        <v/>
      </c>
      <c r="JDV6" s="97" t="str">
        <f t="shared" si="108"/>
        <v/>
      </c>
      <c r="JDW6" s="97" t="str">
        <f t="shared" si="108"/>
        <v/>
      </c>
      <c r="JDX6" s="97" t="str">
        <f t="shared" si="108"/>
        <v/>
      </c>
      <c r="JDY6" s="97" t="str">
        <f t="shared" si="108"/>
        <v/>
      </c>
      <c r="JDZ6" s="97" t="str">
        <f t="shared" si="108"/>
        <v/>
      </c>
      <c r="JEA6" s="97" t="str">
        <f t="shared" si="108"/>
        <v/>
      </c>
      <c r="JEB6" s="97" t="str">
        <f t="shared" si="108"/>
        <v/>
      </c>
      <c r="JEC6" s="97" t="str">
        <f t="shared" si="108"/>
        <v/>
      </c>
      <c r="JED6" s="97" t="str">
        <f t="shared" si="108"/>
        <v/>
      </c>
      <c r="JEE6" s="97" t="str">
        <f t="shared" si="108"/>
        <v/>
      </c>
      <c r="JEF6" s="97" t="str">
        <f t="shared" si="108"/>
        <v/>
      </c>
      <c r="JEG6" s="97" t="str">
        <f t="shared" si="108"/>
        <v/>
      </c>
      <c r="JEH6" s="97" t="str">
        <f t="shared" si="108"/>
        <v/>
      </c>
      <c r="JEI6" s="97" t="str">
        <f t="shared" si="108"/>
        <v/>
      </c>
      <c r="JEJ6" s="97" t="str">
        <f t="shared" si="108"/>
        <v/>
      </c>
      <c r="JEK6" s="97" t="str">
        <f t="shared" si="108"/>
        <v/>
      </c>
      <c r="JEL6" s="97" t="str">
        <f t="shared" si="108"/>
        <v/>
      </c>
      <c r="JEM6" s="97" t="str">
        <f t="shared" si="108"/>
        <v/>
      </c>
      <c r="JEN6" s="97" t="str">
        <f t="shared" si="108"/>
        <v/>
      </c>
      <c r="JEO6" s="97" t="str">
        <f t="shared" si="108"/>
        <v/>
      </c>
      <c r="JEP6" s="97" t="str">
        <f t="shared" si="108"/>
        <v/>
      </c>
      <c r="JEQ6" s="97" t="str">
        <f t="shared" si="108"/>
        <v/>
      </c>
      <c r="JER6" s="97" t="str">
        <f t="shared" si="108"/>
        <v/>
      </c>
      <c r="JES6" s="97" t="str">
        <f t="shared" si="108"/>
        <v/>
      </c>
      <c r="JET6" s="97" t="str">
        <f t="shared" si="108"/>
        <v/>
      </c>
      <c r="JEU6" s="97" t="str">
        <f t="shared" si="108"/>
        <v/>
      </c>
      <c r="JEV6" s="97" t="str">
        <f t="shared" si="108"/>
        <v/>
      </c>
      <c r="JEW6" s="97" t="str">
        <f t="shared" si="108"/>
        <v/>
      </c>
      <c r="JEX6" s="97" t="str">
        <f t="shared" si="108"/>
        <v/>
      </c>
      <c r="JEY6" s="97" t="str">
        <f t="shared" si="108"/>
        <v/>
      </c>
      <c r="JEZ6" s="97" t="str">
        <f t="shared" si="108"/>
        <v/>
      </c>
      <c r="JFA6" s="97" t="str">
        <f t="shared" si="108"/>
        <v/>
      </c>
      <c r="JFB6" s="97" t="str">
        <f t="shared" ref="JFB6:JHM6" si="109">IFERROR(AVERAGE(JFB7:JFB13),"")</f>
        <v/>
      </c>
      <c r="JFC6" s="97" t="str">
        <f t="shared" si="109"/>
        <v/>
      </c>
      <c r="JFD6" s="97" t="str">
        <f t="shared" si="109"/>
        <v/>
      </c>
      <c r="JFE6" s="97" t="str">
        <f t="shared" si="109"/>
        <v/>
      </c>
      <c r="JFF6" s="97" t="str">
        <f t="shared" si="109"/>
        <v/>
      </c>
      <c r="JFG6" s="97" t="str">
        <f t="shared" si="109"/>
        <v/>
      </c>
      <c r="JFH6" s="97" t="str">
        <f t="shared" si="109"/>
        <v/>
      </c>
      <c r="JFI6" s="97" t="str">
        <f t="shared" si="109"/>
        <v/>
      </c>
      <c r="JFJ6" s="97" t="str">
        <f t="shared" si="109"/>
        <v/>
      </c>
      <c r="JFK6" s="97" t="str">
        <f t="shared" si="109"/>
        <v/>
      </c>
      <c r="JFL6" s="97" t="str">
        <f t="shared" si="109"/>
        <v/>
      </c>
      <c r="JFM6" s="97" t="str">
        <f t="shared" si="109"/>
        <v/>
      </c>
      <c r="JFN6" s="97" t="str">
        <f t="shared" si="109"/>
        <v/>
      </c>
      <c r="JFO6" s="97" t="str">
        <f t="shared" si="109"/>
        <v/>
      </c>
      <c r="JFP6" s="97" t="str">
        <f t="shared" si="109"/>
        <v/>
      </c>
      <c r="JFQ6" s="97" t="str">
        <f t="shared" si="109"/>
        <v/>
      </c>
      <c r="JFR6" s="97" t="str">
        <f t="shared" si="109"/>
        <v/>
      </c>
      <c r="JFS6" s="97" t="str">
        <f t="shared" si="109"/>
        <v/>
      </c>
      <c r="JFT6" s="97" t="str">
        <f t="shared" si="109"/>
        <v/>
      </c>
      <c r="JFU6" s="97" t="str">
        <f t="shared" si="109"/>
        <v/>
      </c>
      <c r="JFV6" s="97" t="str">
        <f t="shared" si="109"/>
        <v/>
      </c>
      <c r="JFW6" s="97" t="str">
        <f t="shared" si="109"/>
        <v/>
      </c>
      <c r="JFX6" s="97" t="str">
        <f t="shared" si="109"/>
        <v/>
      </c>
      <c r="JFY6" s="97" t="str">
        <f t="shared" si="109"/>
        <v/>
      </c>
      <c r="JFZ6" s="97" t="str">
        <f t="shared" si="109"/>
        <v/>
      </c>
      <c r="JGA6" s="97" t="str">
        <f t="shared" si="109"/>
        <v/>
      </c>
      <c r="JGB6" s="97" t="str">
        <f t="shared" si="109"/>
        <v/>
      </c>
      <c r="JGC6" s="97" t="str">
        <f t="shared" si="109"/>
        <v/>
      </c>
      <c r="JGD6" s="97" t="str">
        <f t="shared" si="109"/>
        <v/>
      </c>
      <c r="JGE6" s="97" t="str">
        <f t="shared" si="109"/>
        <v/>
      </c>
      <c r="JGF6" s="97" t="str">
        <f t="shared" si="109"/>
        <v/>
      </c>
      <c r="JGG6" s="97" t="str">
        <f t="shared" si="109"/>
        <v/>
      </c>
      <c r="JGH6" s="97" t="str">
        <f t="shared" si="109"/>
        <v/>
      </c>
      <c r="JGI6" s="97" t="str">
        <f t="shared" si="109"/>
        <v/>
      </c>
      <c r="JGJ6" s="97" t="str">
        <f t="shared" si="109"/>
        <v/>
      </c>
      <c r="JGK6" s="97" t="str">
        <f t="shared" si="109"/>
        <v/>
      </c>
      <c r="JGL6" s="97" t="str">
        <f t="shared" si="109"/>
        <v/>
      </c>
      <c r="JGM6" s="97" t="str">
        <f t="shared" si="109"/>
        <v/>
      </c>
      <c r="JGN6" s="97" t="str">
        <f t="shared" si="109"/>
        <v/>
      </c>
      <c r="JGO6" s="97" t="str">
        <f t="shared" si="109"/>
        <v/>
      </c>
      <c r="JGP6" s="97" t="str">
        <f t="shared" si="109"/>
        <v/>
      </c>
      <c r="JGQ6" s="97" t="str">
        <f t="shared" si="109"/>
        <v/>
      </c>
      <c r="JGR6" s="97" t="str">
        <f t="shared" si="109"/>
        <v/>
      </c>
      <c r="JGS6" s="97" t="str">
        <f t="shared" si="109"/>
        <v/>
      </c>
      <c r="JGT6" s="97" t="str">
        <f t="shared" si="109"/>
        <v/>
      </c>
      <c r="JGU6" s="97" t="str">
        <f t="shared" si="109"/>
        <v/>
      </c>
      <c r="JGV6" s="97" t="str">
        <f t="shared" si="109"/>
        <v/>
      </c>
      <c r="JGW6" s="97" t="str">
        <f t="shared" si="109"/>
        <v/>
      </c>
      <c r="JGX6" s="97" t="str">
        <f t="shared" si="109"/>
        <v/>
      </c>
      <c r="JGY6" s="97" t="str">
        <f t="shared" si="109"/>
        <v/>
      </c>
      <c r="JGZ6" s="97" t="str">
        <f t="shared" si="109"/>
        <v/>
      </c>
      <c r="JHA6" s="97" t="str">
        <f t="shared" si="109"/>
        <v/>
      </c>
      <c r="JHB6" s="97" t="str">
        <f t="shared" si="109"/>
        <v/>
      </c>
      <c r="JHC6" s="97" t="str">
        <f t="shared" si="109"/>
        <v/>
      </c>
      <c r="JHD6" s="97" t="str">
        <f t="shared" si="109"/>
        <v/>
      </c>
      <c r="JHE6" s="97" t="str">
        <f t="shared" si="109"/>
        <v/>
      </c>
      <c r="JHF6" s="97" t="str">
        <f t="shared" si="109"/>
        <v/>
      </c>
      <c r="JHG6" s="97" t="str">
        <f t="shared" si="109"/>
        <v/>
      </c>
      <c r="JHH6" s="97" t="str">
        <f t="shared" si="109"/>
        <v/>
      </c>
      <c r="JHI6" s="97" t="str">
        <f t="shared" si="109"/>
        <v/>
      </c>
      <c r="JHJ6" s="97" t="str">
        <f t="shared" si="109"/>
        <v/>
      </c>
      <c r="JHK6" s="97" t="str">
        <f t="shared" si="109"/>
        <v/>
      </c>
      <c r="JHL6" s="97" t="str">
        <f t="shared" si="109"/>
        <v/>
      </c>
      <c r="JHM6" s="97" t="str">
        <f t="shared" si="109"/>
        <v/>
      </c>
      <c r="JHN6" s="97" t="str">
        <f t="shared" ref="JHN6:JJY6" si="110">IFERROR(AVERAGE(JHN7:JHN13),"")</f>
        <v/>
      </c>
      <c r="JHO6" s="97" t="str">
        <f t="shared" si="110"/>
        <v/>
      </c>
      <c r="JHP6" s="97" t="str">
        <f t="shared" si="110"/>
        <v/>
      </c>
      <c r="JHQ6" s="97" t="str">
        <f t="shared" si="110"/>
        <v/>
      </c>
      <c r="JHR6" s="97" t="str">
        <f t="shared" si="110"/>
        <v/>
      </c>
      <c r="JHS6" s="97" t="str">
        <f t="shared" si="110"/>
        <v/>
      </c>
      <c r="JHT6" s="97" t="str">
        <f t="shared" si="110"/>
        <v/>
      </c>
      <c r="JHU6" s="97" t="str">
        <f t="shared" si="110"/>
        <v/>
      </c>
      <c r="JHV6" s="97" t="str">
        <f t="shared" si="110"/>
        <v/>
      </c>
      <c r="JHW6" s="97" t="str">
        <f t="shared" si="110"/>
        <v/>
      </c>
      <c r="JHX6" s="97" t="str">
        <f t="shared" si="110"/>
        <v/>
      </c>
      <c r="JHY6" s="97" t="str">
        <f t="shared" si="110"/>
        <v/>
      </c>
      <c r="JHZ6" s="97" t="str">
        <f t="shared" si="110"/>
        <v/>
      </c>
      <c r="JIA6" s="97" t="str">
        <f t="shared" si="110"/>
        <v/>
      </c>
      <c r="JIB6" s="97" t="str">
        <f t="shared" si="110"/>
        <v/>
      </c>
      <c r="JIC6" s="97" t="str">
        <f t="shared" si="110"/>
        <v/>
      </c>
      <c r="JID6" s="97" t="str">
        <f t="shared" si="110"/>
        <v/>
      </c>
      <c r="JIE6" s="97" t="str">
        <f t="shared" si="110"/>
        <v/>
      </c>
      <c r="JIF6" s="97" t="str">
        <f t="shared" si="110"/>
        <v/>
      </c>
      <c r="JIG6" s="97" t="str">
        <f t="shared" si="110"/>
        <v/>
      </c>
      <c r="JIH6" s="97" t="str">
        <f t="shared" si="110"/>
        <v/>
      </c>
      <c r="JII6" s="97" t="str">
        <f t="shared" si="110"/>
        <v/>
      </c>
      <c r="JIJ6" s="97" t="str">
        <f t="shared" si="110"/>
        <v/>
      </c>
      <c r="JIK6" s="97" t="str">
        <f t="shared" si="110"/>
        <v/>
      </c>
      <c r="JIL6" s="97" t="str">
        <f t="shared" si="110"/>
        <v/>
      </c>
      <c r="JIM6" s="97" t="str">
        <f t="shared" si="110"/>
        <v/>
      </c>
      <c r="JIN6" s="97" t="str">
        <f t="shared" si="110"/>
        <v/>
      </c>
      <c r="JIO6" s="97" t="str">
        <f t="shared" si="110"/>
        <v/>
      </c>
      <c r="JIP6" s="97" t="str">
        <f t="shared" si="110"/>
        <v/>
      </c>
      <c r="JIQ6" s="97" t="str">
        <f t="shared" si="110"/>
        <v/>
      </c>
      <c r="JIR6" s="97" t="str">
        <f t="shared" si="110"/>
        <v/>
      </c>
      <c r="JIS6" s="97" t="str">
        <f t="shared" si="110"/>
        <v/>
      </c>
      <c r="JIT6" s="97" t="str">
        <f t="shared" si="110"/>
        <v/>
      </c>
      <c r="JIU6" s="97" t="str">
        <f t="shared" si="110"/>
        <v/>
      </c>
      <c r="JIV6" s="97" t="str">
        <f t="shared" si="110"/>
        <v/>
      </c>
      <c r="JIW6" s="97" t="str">
        <f t="shared" si="110"/>
        <v/>
      </c>
      <c r="JIX6" s="97" t="str">
        <f t="shared" si="110"/>
        <v/>
      </c>
      <c r="JIY6" s="97" t="str">
        <f t="shared" si="110"/>
        <v/>
      </c>
      <c r="JIZ6" s="97" t="str">
        <f t="shared" si="110"/>
        <v/>
      </c>
      <c r="JJA6" s="97" t="str">
        <f t="shared" si="110"/>
        <v/>
      </c>
      <c r="JJB6" s="97" t="str">
        <f t="shared" si="110"/>
        <v/>
      </c>
      <c r="JJC6" s="97" t="str">
        <f t="shared" si="110"/>
        <v/>
      </c>
      <c r="JJD6" s="97" t="str">
        <f t="shared" si="110"/>
        <v/>
      </c>
      <c r="JJE6" s="97" t="str">
        <f t="shared" si="110"/>
        <v/>
      </c>
      <c r="JJF6" s="97" t="str">
        <f t="shared" si="110"/>
        <v/>
      </c>
      <c r="JJG6" s="97" t="str">
        <f t="shared" si="110"/>
        <v/>
      </c>
      <c r="JJH6" s="97" t="str">
        <f t="shared" si="110"/>
        <v/>
      </c>
      <c r="JJI6" s="97" t="str">
        <f t="shared" si="110"/>
        <v/>
      </c>
      <c r="JJJ6" s="97" t="str">
        <f t="shared" si="110"/>
        <v/>
      </c>
      <c r="JJK6" s="97" t="str">
        <f t="shared" si="110"/>
        <v/>
      </c>
      <c r="JJL6" s="97" t="str">
        <f t="shared" si="110"/>
        <v/>
      </c>
      <c r="JJM6" s="97" t="str">
        <f t="shared" si="110"/>
        <v/>
      </c>
      <c r="JJN6" s="97" t="str">
        <f t="shared" si="110"/>
        <v/>
      </c>
      <c r="JJO6" s="97" t="str">
        <f t="shared" si="110"/>
        <v/>
      </c>
      <c r="JJP6" s="97" t="str">
        <f t="shared" si="110"/>
        <v/>
      </c>
      <c r="JJQ6" s="97" t="str">
        <f t="shared" si="110"/>
        <v/>
      </c>
      <c r="JJR6" s="97" t="str">
        <f t="shared" si="110"/>
        <v/>
      </c>
      <c r="JJS6" s="97" t="str">
        <f t="shared" si="110"/>
        <v/>
      </c>
      <c r="JJT6" s="97" t="str">
        <f t="shared" si="110"/>
        <v/>
      </c>
      <c r="JJU6" s="97" t="str">
        <f t="shared" si="110"/>
        <v/>
      </c>
      <c r="JJV6" s="97" t="str">
        <f t="shared" si="110"/>
        <v/>
      </c>
      <c r="JJW6" s="97" t="str">
        <f t="shared" si="110"/>
        <v/>
      </c>
      <c r="JJX6" s="97" t="str">
        <f t="shared" si="110"/>
        <v/>
      </c>
      <c r="JJY6" s="97" t="str">
        <f t="shared" si="110"/>
        <v/>
      </c>
      <c r="JJZ6" s="97" t="str">
        <f t="shared" ref="JJZ6:JMK6" si="111">IFERROR(AVERAGE(JJZ7:JJZ13),"")</f>
        <v/>
      </c>
      <c r="JKA6" s="97" t="str">
        <f t="shared" si="111"/>
        <v/>
      </c>
      <c r="JKB6" s="97" t="str">
        <f t="shared" si="111"/>
        <v/>
      </c>
      <c r="JKC6" s="97" t="str">
        <f t="shared" si="111"/>
        <v/>
      </c>
      <c r="JKD6" s="97" t="str">
        <f t="shared" si="111"/>
        <v/>
      </c>
      <c r="JKE6" s="97" t="str">
        <f t="shared" si="111"/>
        <v/>
      </c>
      <c r="JKF6" s="97" t="str">
        <f t="shared" si="111"/>
        <v/>
      </c>
      <c r="JKG6" s="97" t="str">
        <f t="shared" si="111"/>
        <v/>
      </c>
      <c r="JKH6" s="97" t="str">
        <f t="shared" si="111"/>
        <v/>
      </c>
      <c r="JKI6" s="97" t="str">
        <f t="shared" si="111"/>
        <v/>
      </c>
      <c r="JKJ6" s="97" t="str">
        <f t="shared" si="111"/>
        <v/>
      </c>
      <c r="JKK6" s="97" t="str">
        <f t="shared" si="111"/>
        <v/>
      </c>
      <c r="JKL6" s="97" t="str">
        <f t="shared" si="111"/>
        <v/>
      </c>
      <c r="JKM6" s="97" t="str">
        <f t="shared" si="111"/>
        <v/>
      </c>
      <c r="JKN6" s="97" t="str">
        <f t="shared" si="111"/>
        <v/>
      </c>
      <c r="JKO6" s="97" t="str">
        <f t="shared" si="111"/>
        <v/>
      </c>
      <c r="JKP6" s="97" t="str">
        <f t="shared" si="111"/>
        <v/>
      </c>
      <c r="JKQ6" s="97" t="str">
        <f t="shared" si="111"/>
        <v/>
      </c>
      <c r="JKR6" s="97" t="str">
        <f t="shared" si="111"/>
        <v/>
      </c>
      <c r="JKS6" s="97" t="str">
        <f t="shared" si="111"/>
        <v/>
      </c>
      <c r="JKT6" s="97" t="str">
        <f t="shared" si="111"/>
        <v/>
      </c>
      <c r="JKU6" s="97" t="str">
        <f t="shared" si="111"/>
        <v/>
      </c>
      <c r="JKV6" s="97" t="str">
        <f t="shared" si="111"/>
        <v/>
      </c>
      <c r="JKW6" s="97" t="str">
        <f t="shared" si="111"/>
        <v/>
      </c>
      <c r="JKX6" s="97" t="str">
        <f t="shared" si="111"/>
        <v/>
      </c>
      <c r="JKY6" s="97" t="str">
        <f t="shared" si="111"/>
        <v/>
      </c>
      <c r="JKZ6" s="97" t="str">
        <f t="shared" si="111"/>
        <v/>
      </c>
      <c r="JLA6" s="97" t="str">
        <f t="shared" si="111"/>
        <v/>
      </c>
      <c r="JLB6" s="97" t="str">
        <f t="shared" si="111"/>
        <v/>
      </c>
      <c r="JLC6" s="97" t="str">
        <f t="shared" si="111"/>
        <v/>
      </c>
      <c r="JLD6" s="97" t="str">
        <f t="shared" si="111"/>
        <v/>
      </c>
      <c r="JLE6" s="97" t="str">
        <f t="shared" si="111"/>
        <v/>
      </c>
      <c r="JLF6" s="97" t="str">
        <f t="shared" si="111"/>
        <v/>
      </c>
      <c r="JLG6" s="97" t="str">
        <f t="shared" si="111"/>
        <v/>
      </c>
      <c r="JLH6" s="97" t="str">
        <f t="shared" si="111"/>
        <v/>
      </c>
      <c r="JLI6" s="97" t="str">
        <f t="shared" si="111"/>
        <v/>
      </c>
      <c r="JLJ6" s="97" t="str">
        <f t="shared" si="111"/>
        <v/>
      </c>
      <c r="JLK6" s="97" t="str">
        <f t="shared" si="111"/>
        <v/>
      </c>
      <c r="JLL6" s="97" t="str">
        <f t="shared" si="111"/>
        <v/>
      </c>
      <c r="JLM6" s="97" t="str">
        <f t="shared" si="111"/>
        <v/>
      </c>
      <c r="JLN6" s="97" t="str">
        <f t="shared" si="111"/>
        <v/>
      </c>
      <c r="JLO6" s="97" t="str">
        <f t="shared" si="111"/>
        <v/>
      </c>
      <c r="JLP6" s="97" t="str">
        <f t="shared" si="111"/>
        <v/>
      </c>
      <c r="JLQ6" s="97" t="str">
        <f t="shared" si="111"/>
        <v/>
      </c>
      <c r="JLR6" s="97" t="str">
        <f t="shared" si="111"/>
        <v/>
      </c>
      <c r="JLS6" s="97" t="str">
        <f t="shared" si="111"/>
        <v/>
      </c>
      <c r="JLT6" s="97" t="str">
        <f t="shared" si="111"/>
        <v/>
      </c>
      <c r="JLU6" s="97" t="str">
        <f t="shared" si="111"/>
        <v/>
      </c>
      <c r="JLV6" s="97" t="str">
        <f t="shared" si="111"/>
        <v/>
      </c>
      <c r="JLW6" s="97" t="str">
        <f t="shared" si="111"/>
        <v/>
      </c>
      <c r="JLX6" s="97" t="str">
        <f t="shared" si="111"/>
        <v/>
      </c>
      <c r="JLY6" s="97" t="str">
        <f t="shared" si="111"/>
        <v/>
      </c>
      <c r="JLZ6" s="97" t="str">
        <f t="shared" si="111"/>
        <v/>
      </c>
      <c r="JMA6" s="97" t="str">
        <f t="shared" si="111"/>
        <v/>
      </c>
      <c r="JMB6" s="97" t="str">
        <f t="shared" si="111"/>
        <v/>
      </c>
      <c r="JMC6" s="97" t="str">
        <f t="shared" si="111"/>
        <v/>
      </c>
      <c r="JMD6" s="97" t="str">
        <f t="shared" si="111"/>
        <v/>
      </c>
      <c r="JME6" s="97" t="str">
        <f t="shared" si="111"/>
        <v/>
      </c>
      <c r="JMF6" s="97" t="str">
        <f t="shared" si="111"/>
        <v/>
      </c>
      <c r="JMG6" s="97" t="str">
        <f t="shared" si="111"/>
        <v/>
      </c>
      <c r="JMH6" s="97" t="str">
        <f t="shared" si="111"/>
        <v/>
      </c>
      <c r="JMI6" s="97" t="str">
        <f t="shared" si="111"/>
        <v/>
      </c>
      <c r="JMJ6" s="97" t="str">
        <f t="shared" si="111"/>
        <v/>
      </c>
      <c r="JMK6" s="97" t="str">
        <f t="shared" si="111"/>
        <v/>
      </c>
      <c r="JML6" s="97" t="str">
        <f t="shared" ref="JML6:JOW6" si="112">IFERROR(AVERAGE(JML7:JML13),"")</f>
        <v/>
      </c>
      <c r="JMM6" s="97" t="str">
        <f t="shared" si="112"/>
        <v/>
      </c>
      <c r="JMN6" s="97" t="str">
        <f t="shared" si="112"/>
        <v/>
      </c>
      <c r="JMO6" s="97" t="str">
        <f t="shared" si="112"/>
        <v/>
      </c>
      <c r="JMP6" s="97" t="str">
        <f t="shared" si="112"/>
        <v/>
      </c>
      <c r="JMQ6" s="97" t="str">
        <f t="shared" si="112"/>
        <v/>
      </c>
      <c r="JMR6" s="97" t="str">
        <f t="shared" si="112"/>
        <v/>
      </c>
      <c r="JMS6" s="97" t="str">
        <f t="shared" si="112"/>
        <v/>
      </c>
      <c r="JMT6" s="97" t="str">
        <f t="shared" si="112"/>
        <v/>
      </c>
      <c r="JMU6" s="97" t="str">
        <f t="shared" si="112"/>
        <v/>
      </c>
      <c r="JMV6" s="97" t="str">
        <f t="shared" si="112"/>
        <v/>
      </c>
      <c r="JMW6" s="97" t="str">
        <f t="shared" si="112"/>
        <v/>
      </c>
      <c r="JMX6" s="97" t="str">
        <f t="shared" si="112"/>
        <v/>
      </c>
      <c r="JMY6" s="97" t="str">
        <f t="shared" si="112"/>
        <v/>
      </c>
      <c r="JMZ6" s="97" t="str">
        <f t="shared" si="112"/>
        <v/>
      </c>
      <c r="JNA6" s="97" t="str">
        <f t="shared" si="112"/>
        <v/>
      </c>
      <c r="JNB6" s="97" t="str">
        <f t="shared" si="112"/>
        <v/>
      </c>
      <c r="JNC6" s="97" t="str">
        <f t="shared" si="112"/>
        <v/>
      </c>
      <c r="JND6" s="97" t="str">
        <f t="shared" si="112"/>
        <v/>
      </c>
      <c r="JNE6" s="97" t="str">
        <f t="shared" si="112"/>
        <v/>
      </c>
      <c r="JNF6" s="97" t="str">
        <f t="shared" si="112"/>
        <v/>
      </c>
      <c r="JNG6" s="97" t="str">
        <f t="shared" si="112"/>
        <v/>
      </c>
      <c r="JNH6" s="97" t="str">
        <f t="shared" si="112"/>
        <v/>
      </c>
      <c r="JNI6" s="97" t="str">
        <f t="shared" si="112"/>
        <v/>
      </c>
      <c r="JNJ6" s="97" t="str">
        <f t="shared" si="112"/>
        <v/>
      </c>
      <c r="JNK6" s="97" t="str">
        <f t="shared" si="112"/>
        <v/>
      </c>
      <c r="JNL6" s="97" t="str">
        <f t="shared" si="112"/>
        <v/>
      </c>
      <c r="JNM6" s="97" t="str">
        <f t="shared" si="112"/>
        <v/>
      </c>
      <c r="JNN6" s="97" t="str">
        <f t="shared" si="112"/>
        <v/>
      </c>
      <c r="JNO6" s="97" t="str">
        <f t="shared" si="112"/>
        <v/>
      </c>
      <c r="JNP6" s="97" t="str">
        <f t="shared" si="112"/>
        <v/>
      </c>
      <c r="JNQ6" s="97" t="str">
        <f t="shared" si="112"/>
        <v/>
      </c>
      <c r="JNR6" s="97" t="str">
        <f t="shared" si="112"/>
        <v/>
      </c>
      <c r="JNS6" s="97" t="str">
        <f t="shared" si="112"/>
        <v/>
      </c>
      <c r="JNT6" s="97" t="str">
        <f t="shared" si="112"/>
        <v/>
      </c>
      <c r="JNU6" s="97" t="str">
        <f t="shared" si="112"/>
        <v/>
      </c>
      <c r="JNV6" s="97" t="str">
        <f t="shared" si="112"/>
        <v/>
      </c>
      <c r="JNW6" s="97" t="str">
        <f t="shared" si="112"/>
        <v/>
      </c>
      <c r="JNX6" s="97" t="str">
        <f t="shared" si="112"/>
        <v/>
      </c>
      <c r="JNY6" s="97" t="str">
        <f t="shared" si="112"/>
        <v/>
      </c>
      <c r="JNZ6" s="97" t="str">
        <f t="shared" si="112"/>
        <v/>
      </c>
      <c r="JOA6" s="97" t="str">
        <f t="shared" si="112"/>
        <v/>
      </c>
      <c r="JOB6" s="97" t="str">
        <f t="shared" si="112"/>
        <v/>
      </c>
      <c r="JOC6" s="97" t="str">
        <f t="shared" si="112"/>
        <v/>
      </c>
      <c r="JOD6" s="97" t="str">
        <f t="shared" si="112"/>
        <v/>
      </c>
      <c r="JOE6" s="97" t="str">
        <f t="shared" si="112"/>
        <v/>
      </c>
      <c r="JOF6" s="97" t="str">
        <f t="shared" si="112"/>
        <v/>
      </c>
      <c r="JOG6" s="97" t="str">
        <f t="shared" si="112"/>
        <v/>
      </c>
      <c r="JOH6" s="97" t="str">
        <f t="shared" si="112"/>
        <v/>
      </c>
      <c r="JOI6" s="97" t="str">
        <f t="shared" si="112"/>
        <v/>
      </c>
      <c r="JOJ6" s="97" t="str">
        <f t="shared" si="112"/>
        <v/>
      </c>
      <c r="JOK6" s="97" t="str">
        <f t="shared" si="112"/>
        <v/>
      </c>
      <c r="JOL6" s="97" t="str">
        <f t="shared" si="112"/>
        <v/>
      </c>
      <c r="JOM6" s="97" t="str">
        <f t="shared" si="112"/>
        <v/>
      </c>
      <c r="JON6" s="97" t="str">
        <f t="shared" si="112"/>
        <v/>
      </c>
      <c r="JOO6" s="97" t="str">
        <f t="shared" si="112"/>
        <v/>
      </c>
      <c r="JOP6" s="97" t="str">
        <f t="shared" si="112"/>
        <v/>
      </c>
      <c r="JOQ6" s="97" t="str">
        <f t="shared" si="112"/>
        <v/>
      </c>
      <c r="JOR6" s="97" t="str">
        <f t="shared" si="112"/>
        <v/>
      </c>
      <c r="JOS6" s="97" t="str">
        <f t="shared" si="112"/>
        <v/>
      </c>
      <c r="JOT6" s="97" t="str">
        <f t="shared" si="112"/>
        <v/>
      </c>
      <c r="JOU6" s="97" t="str">
        <f t="shared" si="112"/>
        <v/>
      </c>
      <c r="JOV6" s="97" t="str">
        <f t="shared" si="112"/>
        <v/>
      </c>
      <c r="JOW6" s="97" t="str">
        <f t="shared" si="112"/>
        <v/>
      </c>
      <c r="JOX6" s="97" t="str">
        <f t="shared" ref="JOX6:JRI6" si="113">IFERROR(AVERAGE(JOX7:JOX13),"")</f>
        <v/>
      </c>
      <c r="JOY6" s="97" t="str">
        <f t="shared" si="113"/>
        <v/>
      </c>
      <c r="JOZ6" s="97" t="str">
        <f t="shared" si="113"/>
        <v/>
      </c>
      <c r="JPA6" s="97" t="str">
        <f t="shared" si="113"/>
        <v/>
      </c>
      <c r="JPB6" s="97" t="str">
        <f t="shared" si="113"/>
        <v/>
      </c>
      <c r="JPC6" s="97" t="str">
        <f t="shared" si="113"/>
        <v/>
      </c>
      <c r="JPD6" s="97" t="str">
        <f t="shared" si="113"/>
        <v/>
      </c>
      <c r="JPE6" s="97" t="str">
        <f t="shared" si="113"/>
        <v/>
      </c>
      <c r="JPF6" s="97" t="str">
        <f t="shared" si="113"/>
        <v/>
      </c>
      <c r="JPG6" s="97" t="str">
        <f t="shared" si="113"/>
        <v/>
      </c>
      <c r="JPH6" s="97" t="str">
        <f t="shared" si="113"/>
        <v/>
      </c>
      <c r="JPI6" s="97" t="str">
        <f t="shared" si="113"/>
        <v/>
      </c>
      <c r="JPJ6" s="97" t="str">
        <f t="shared" si="113"/>
        <v/>
      </c>
      <c r="JPK6" s="97" t="str">
        <f t="shared" si="113"/>
        <v/>
      </c>
      <c r="JPL6" s="97" t="str">
        <f t="shared" si="113"/>
        <v/>
      </c>
      <c r="JPM6" s="97" t="str">
        <f t="shared" si="113"/>
        <v/>
      </c>
      <c r="JPN6" s="97" t="str">
        <f t="shared" si="113"/>
        <v/>
      </c>
      <c r="JPO6" s="97" t="str">
        <f t="shared" si="113"/>
        <v/>
      </c>
      <c r="JPP6" s="97" t="str">
        <f t="shared" si="113"/>
        <v/>
      </c>
      <c r="JPQ6" s="97" t="str">
        <f t="shared" si="113"/>
        <v/>
      </c>
      <c r="JPR6" s="97" t="str">
        <f t="shared" si="113"/>
        <v/>
      </c>
      <c r="JPS6" s="97" t="str">
        <f t="shared" si="113"/>
        <v/>
      </c>
      <c r="JPT6" s="97" t="str">
        <f t="shared" si="113"/>
        <v/>
      </c>
      <c r="JPU6" s="97" t="str">
        <f t="shared" si="113"/>
        <v/>
      </c>
      <c r="JPV6" s="97" t="str">
        <f t="shared" si="113"/>
        <v/>
      </c>
      <c r="JPW6" s="97" t="str">
        <f t="shared" si="113"/>
        <v/>
      </c>
      <c r="JPX6" s="97" t="str">
        <f t="shared" si="113"/>
        <v/>
      </c>
      <c r="JPY6" s="97" t="str">
        <f t="shared" si="113"/>
        <v/>
      </c>
      <c r="JPZ6" s="97" t="str">
        <f t="shared" si="113"/>
        <v/>
      </c>
      <c r="JQA6" s="97" t="str">
        <f t="shared" si="113"/>
        <v/>
      </c>
      <c r="JQB6" s="97" t="str">
        <f t="shared" si="113"/>
        <v/>
      </c>
      <c r="JQC6" s="97" t="str">
        <f t="shared" si="113"/>
        <v/>
      </c>
      <c r="JQD6" s="97" t="str">
        <f t="shared" si="113"/>
        <v/>
      </c>
      <c r="JQE6" s="97" t="str">
        <f t="shared" si="113"/>
        <v/>
      </c>
      <c r="JQF6" s="97" t="str">
        <f t="shared" si="113"/>
        <v/>
      </c>
      <c r="JQG6" s="97" t="str">
        <f t="shared" si="113"/>
        <v/>
      </c>
      <c r="JQH6" s="97" t="str">
        <f t="shared" si="113"/>
        <v/>
      </c>
      <c r="JQI6" s="97" t="str">
        <f t="shared" si="113"/>
        <v/>
      </c>
      <c r="JQJ6" s="97" t="str">
        <f t="shared" si="113"/>
        <v/>
      </c>
      <c r="JQK6" s="97" t="str">
        <f t="shared" si="113"/>
        <v/>
      </c>
      <c r="JQL6" s="97" t="str">
        <f t="shared" si="113"/>
        <v/>
      </c>
      <c r="JQM6" s="97" t="str">
        <f t="shared" si="113"/>
        <v/>
      </c>
      <c r="JQN6" s="97" t="str">
        <f t="shared" si="113"/>
        <v/>
      </c>
      <c r="JQO6" s="97" t="str">
        <f t="shared" si="113"/>
        <v/>
      </c>
      <c r="JQP6" s="97" t="str">
        <f t="shared" si="113"/>
        <v/>
      </c>
      <c r="JQQ6" s="97" t="str">
        <f t="shared" si="113"/>
        <v/>
      </c>
      <c r="JQR6" s="97" t="str">
        <f t="shared" si="113"/>
        <v/>
      </c>
      <c r="JQS6" s="97" t="str">
        <f t="shared" si="113"/>
        <v/>
      </c>
      <c r="JQT6" s="97" t="str">
        <f t="shared" si="113"/>
        <v/>
      </c>
      <c r="JQU6" s="97" t="str">
        <f t="shared" si="113"/>
        <v/>
      </c>
      <c r="JQV6" s="97" t="str">
        <f t="shared" si="113"/>
        <v/>
      </c>
      <c r="JQW6" s="97" t="str">
        <f t="shared" si="113"/>
        <v/>
      </c>
      <c r="JQX6" s="97" t="str">
        <f t="shared" si="113"/>
        <v/>
      </c>
      <c r="JQY6" s="97" t="str">
        <f t="shared" si="113"/>
        <v/>
      </c>
      <c r="JQZ6" s="97" t="str">
        <f t="shared" si="113"/>
        <v/>
      </c>
      <c r="JRA6" s="97" t="str">
        <f t="shared" si="113"/>
        <v/>
      </c>
      <c r="JRB6" s="97" t="str">
        <f t="shared" si="113"/>
        <v/>
      </c>
      <c r="JRC6" s="97" t="str">
        <f t="shared" si="113"/>
        <v/>
      </c>
      <c r="JRD6" s="97" t="str">
        <f t="shared" si="113"/>
        <v/>
      </c>
      <c r="JRE6" s="97" t="str">
        <f t="shared" si="113"/>
        <v/>
      </c>
      <c r="JRF6" s="97" t="str">
        <f t="shared" si="113"/>
        <v/>
      </c>
      <c r="JRG6" s="97" t="str">
        <f t="shared" si="113"/>
        <v/>
      </c>
      <c r="JRH6" s="97" t="str">
        <f t="shared" si="113"/>
        <v/>
      </c>
      <c r="JRI6" s="97" t="str">
        <f t="shared" si="113"/>
        <v/>
      </c>
      <c r="JRJ6" s="97" t="str">
        <f t="shared" ref="JRJ6:JTU6" si="114">IFERROR(AVERAGE(JRJ7:JRJ13),"")</f>
        <v/>
      </c>
      <c r="JRK6" s="97" t="str">
        <f t="shared" si="114"/>
        <v/>
      </c>
      <c r="JRL6" s="97" t="str">
        <f t="shared" si="114"/>
        <v/>
      </c>
      <c r="JRM6" s="97" t="str">
        <f t="shared" si="114"/>
        <v/>
      </c>
      <c r="JRN6" s="97" t="str">
        <f t="shared" si="114"/>
        <v/>
      </c>
      <c r="JRO6" s="97" t="str">
        <f t="shared" si="114"/>
        <v/>
      </c>
      <c r="JRP6" s="97" t="str">
        <f t="shared" si="114"/>
        <v/>
      </c>
      <c r="JRQ6" s="97" t="str">
        <f t="shared" si="114"/>
        <v/>
      </c>
      <c r="JRR6" s="97" t="str">
        <f t="shared" si="114"/>
        <v/>
      </c>
      <c r="JRS6" s="97" t="str">
        <f t="shared" si="114"/>
        <v/>
      </c>
      <c r="JRT6" s="97" t="str">
        <f t="shared" si="114"/>
        <v/>
      </c>
      <c r="JRU6" s="97" t="str">
        <f t="shared" si="114"/>
        <v/>
      </c>
      <c r="JRV6" s="97" t="str">
        <f t="shared" si="114"/>
        <v/>
      </c>
      <c r="JRW6" s="97" t="str">
        <f t="shared" si="114"/>
        <v/>
      </c>
      <c r="JRX6" s="97" t="str">
        <f t="shared" si="114"/>
        <v/>
      </c>
      <c r="JRY6" s="97" t="str">
        <f t="shared" si="114"/>
        <v/>
      </c>
      <c r="JRZ6" s="97" t="str">
        <f t="shared" si="114"/>
        <v/>
      </c>
      <c r="JSA6" s="97" t="str">
        <f t="shared" si="114"/>
        <v/>
      </c>
      <c r="JSB6" s="97" t="str">
        <f t="shared" si="114"/>
        <v/>
      </c>
      <c r="JSC6" s="97" t="str">
        <f t="shared" si="114"/>
        <v/>
      </c>
      <c r="JSD6" s="97" t="str">
        <f t="shared" si="114"/>
        <v/>
      </c>
      <c r="JSE6" s="97" t="str">
        <f t="shared" si="114"/>
        <v/>
      </c>
      <c r="JSF6" s="97" t="str">
        <f t="shared" si="114"/>
        <v/>
      </c>
      <c r="JSG6" s="97" t="str">
        <f t="shared" si="114"/>
        <v/>
      </c>
      <c r="JSH6" s="97" t="str">
        <f t="shared" si="114"/>
        <v/>
      </c>
      <c r="JSI6" s="97" t="str">
        <f t="shared" si="114"/>
        <v/>
      </c>
      <c r="JSJ6" s="97" t="str">
        <f t="shared" si="114"/>
        <v/>
      </c>
      <c r="JSK6" s="97" t="str">
        <f t="shared" si="114"/>
        <v/>
      </c>
      <c r="JSL6" s="97" t="str">
        <f t="shared" si="114"/>
        <v/>
      </c>
      <c r="JSM6" s="97" t="str">
        <f t="shared" si="114"/>
        <v/>
      </c>
      <c r="JSN6" s="97" t="str">
        <f t="shared" si="114"/>
        <v/>
      </c>
      <c r="JSO6" s="97" t="str">
        <f t="shared" si="114"/>
        <v/>
      </c>
      <c r="JSP6" s="97" t="str">
        <f t="shared" si="114"/>
        <v/>
      </c>
      <c r="JSQ6" s="97" t="str">
        <f t="shared" si="114"/>
        <v/>
      </c>
      <c r="JSR6" s="97" t="str">
        <f t="shared" si="114"/>
        <v/>
      </c>
      <c r="JSS6" s="97" t="str">
        <f t="shared" si="114"/>
        <v/>
      </c>
      <c r="JST6" s="97" t="str">
        <f t="shared" si="114"/>
        <v/>
      </c>
      <c r="JSU6" s="97" t="str">
        <f t="shared" si="114"/>
        <v/>
      </c>
      <c r="JSV6" s="97" t="str">
        <f t="shared" si="114"/>
        <v/>
      </c>
      <c r="JSW6" s="97" t="str">
        <f t="shared" si="114"/>
        <v/>
      </c>
      <c r="JSX6" s="97" t="str">
        <f t="shared" si="114"/>
        <v/>
      </c>
      <c r="JSY6" s="97" t="str">
        <f t="shared" si="114"/>
        <v/>
      </c>
      <c r="JSZ6" s="97" t="str">
        <f t="shared" si="114"/>
        <v/>
      </c>
      <c r="JTA6" s="97" t="str">
        <f t="shared" si="114"/>
        <v/>
      </c>
      <c r="JTB6" s="97" t="str">
        <f t="shared" si="114"/>
        <v/>
      </c>
      <c r="JTC6" s="97" t="str">
        <f t="shared" si="114"/>
        <v/>
      </c>
      <c r="JTD6" s="97" t="str">
        <f t="shared" si="114"/>
        <v/>
      </c>
      <c r="JTE6" s="97" t="str">
        <f t="shared" si="114"/>
        <v/>
      </c>
      <c r="JTF6" s="97" t="str">
        <f t="shared" si="114"/>
        <v/>
      </c>
      <c r="JTG6" s="97" t="str">
        <f t="shared" si="114"/>
        <v/>
      </c>
      <c r="JTH6" s="97" t="str">
        <f t="shared" si="114"/>
        <v/>
      </c>
      <c r="JTI6" s="97" t="str">
        <f t="shared" si="114"/>
        <v/>
      </c>
      <c r="JTJ6" s="97" t="str">
        <f t="shared" si="114"/>
        <v/>
      </c>
      <c r="JTK6" s="97" t="str">
        <f t="shared" si="114"/>
        <v/>
      </c>
      <c r="JTL6" s="97" t="str">
        <f t="shared" si="114"/>
        <v/>
      </c>
      <c r="JTM6" s="97" t="str">
        <f t="shared" si="114"/>
        <v/>
      </c>
      <c r="JTN6" s="97" t="str">
        <f t="shared" si="114"/>
        <v/>
      </c>
      <c r="JTO6" s="97" t="str">
        <f t="shared" si="114"/>
        <v/>
      </c>
      <c r="JTP6" s="97" t="str">
        <f t="shared" si="114"/>
        <v/>
      </c>
      <c r="JTQ6" s="97" t="str">
        <f t="shared" si="114"/>
        <v/>
      </c>
      <c r="JTR6" s="97" t="str">
        <f t="shared" si="114"/>
        <v/>
      </c>
      <c r="JTS6" s="97" t="str">
        <f t="shared" si="114"/>
        <v/>
      </c>
      <c r="JTT6" s="97" t="str">
        <f t="shared" si="114"/>
        <v/>
      </c>
      <c r="JTU6" s="97" t="str">
        <f t="shared" si="114"/>
        <v/>
      </c>
      <c r="JTV6" s="97" t="str">
        <f t="shared" ref="JTV6:JWG6" si="115">IFERROR(AVERAGE(JTV7:JTV13),"")</f>
        <v/>
      </c>
      <c r="JTW6" s="97" t="str">
        <f t="shared" si="115"/>
        <v/>
      </c>
      <c r="JTX6" s="97" t="str">
        <f t="shared" si="115"/>
        <v/>
      </c>
      <c r="JTY6" s="97" t="str">
        <f t="shared" si="115"/>
        <v/>
      </c>
      <c r="JTZ6" s="97" t="str">
        <f t="shared" si="115"/>
        <v/>
      </c>
      <c r="JUA6" s="97" t="str">
        <f t="shared" si="115"/>
        <v/>
      </c>
      <c r="JUB6" s="97" t="str">
        <f t="shared" si="115"/>
        <v/>
      </c>
      <c r="JUC6" s="97" t="str">
        <f t="shared" si="115"/>
        <v/>
      </c>
      <c r="JUD6" s="97" t="str">
        <f t="shared" si="115"/>
        <v/>
      </c>
      <c r="JUE6" s="97" t="str">
        <f t="shared" si="115"/>
        <v/>
      </c>
      <c r="JUF6" s="97" t="str">
        <f t="shared" si="115"/>
        <v/>
      </c>
      <c r="JUG6" s="97" t="str">
        <f t="shared" si="115"/>
        <v/>
      </c>
      <c r="JUH6" s="97" t="str">
        <f t="shared" si="115"/>
        <v/>
      </c>
      <c r="JUI6" s="97" t="str">
        <f t="shared" si="115"/>
        <v/>
      </c>
      <c r="JUJ6" s="97" t="str">
        <f t="shared" si="115"/>
        <v/>
      </c>
      <c r="JUK6" s="97" t="str">
        <f t="shared" si="115"/>
        <v/>
      </c>
      <c r="JUL6" s="97" t="str">
        <f t="shared" si="115"/>
        <v/>
      </c>
      <c r="JUM6" s="97" t="str">
        <f t="shared" si="115"/>
        <v/>
      </c>
      <c r="JUN6" s="97" t="str">
        <f t="shared" si="115"/>
        <v/>
      </c>
      <c r="JUO6" s="97" t="str">
        <f t="shared" si="115"/>
        <v/>
      </c>
      <c r="JUP6" s="97" t="str">
        <f t="shared" si="115"/>
        <v/>
      </c>
      <c r="JUQ6" s="97" t="str">
        <f t="shared" si="115"/>
        <v/>
      </c>
      <c r="JUR6" s="97" t="str">
        <f t="shared" si="115"/>
        <v/>
      </c>
      <c r="JUS6" s="97" t="str">
        <f t="shared" si="115"/>
        <v/>
      </c>
      <c r="JUT6" s="97" t="str">
        <f t="shared" si="115"/>
        <v/>
      </c>
      <c r="JUU6" s="97" t="str">
        <f t="shared" si="115"/>
        <v/>
      </c>
      <c r="JUV6" s="97" t="str">
        <f t="shared" si="115"/>
        <v/>
      </c>
      <c r="JUW6" s="97" t="str">
        <f t="shared" si="115"/>
        <v/>
      </c>
      <c r="JUX6" s="97" t="str">
        <f t="shared" si="115"/>
        <v/>
      </c>
      <c r="JUY6" s="97" t="str">
        <f t="shared" si="115"/>
        <v/>
      </c>
      <c r="JUZ6" s="97" t="str">
        <f t="shared" si="115"/>
        <v/>
      </c>
      <c r="JVA6" s="97" t="str">
        <f t="shared" si="115"/>
        <v/>
      </c>
      <c r="JVB6" s="97" t="str">
        <f t="shared" si="115"/>
        <v/>
      </c>
      <c r="JVC6" s="97" t="str">
        <f t="shared" si="115"/>
        <v/>
      </c>
      <c r="JVD6" s="97" t="str">
        <f t="shared" si="115"/>
        <v/>
      </c>
      <c r="JVE6" s="97" t="str">
        <f t="shared" si="115"/>
        <v/>
      </c>
      <c r="JVF6" s="97" t="str">
        <f t="shared" si="115"/>
        <v/>
      </c>
      <c r="JVG6" s="97" t="str">
        <f t="shared" si="115"/>
        <v/>
      </c>
      <c r="JVH6" s="97" t="str">
        <f t="shared" si="115"/>
        <v/>
      </c>
      <c r="JVI6" s="97" t="str">
        <f t="shared" si="115"/>
        <v/>
      </c>
      <c r="JVJ6" s="97" t="str">
        <f t="shared" si="115"/>
        <v/>
      </c>
      <c r="JVK6" s="97" t="str">
        <f t="shared" si="115"/>
        <v/>
      </c>
      <c r="JVL6" s="97" t="str">
        <f t="shared" si="115"/>
        <v/>
      </c>
      <c r="JVM6" s="97" t="str">
        <f t="shared" si="115"/>
        <v/>
      </c>
      <c r="JVN6" s="97" t="str">
        <f t="shared" si="115"/>
        <v/>
      </c>
      <c r="JVO6" s="97" t="str">
        <f t="shared" si="115"/>
        <v/>
      </c>
      <c r="JVP6" s="97" t="str">
        <f t="shared" si="115"/>
        <v/>
      </c>
      <c r="JVQ6" s="97" t="str">
        <f t="shared" si="115"/>
        <v/>
      </c>
      <c r="JVR6" s="97" t="str">
        <f t="shared" si="115"/>
        <v/>
      </c>
      <c r="JVS6" s="97" t="str">
        <f t="shared" si="115"/>
        <v/>
      </c>
      <c r="JVT6" s="97" t="str">
        <f t="shared" si="115"/>
        <v/>
      </c>
      <c r="JVU6" s="97" t="str">
        <f t="shared" si="115"/>
        <v/>
      </c>
      <c r="JVV6" s="97" t="str">
        <f t="shared" si="115"/>
        <v/>
      </c>
      <c r="JVW6" s="97" t="str">
        <f t="shared" si="115"/>
        <v/>
      </c>
      <c r="JVX6" s="97" t="str">
        <f t="shared" si="115"/>
        <v/>
      </c>
      <c r="JVY6" s="97" t="str">
        <f t="shared" si="115"/>
        <v/>
      </c>
      <c r="JVZ6" s="97" t="str">
        <f t="shared" si="115"/>
        <v/>
      </c>
      <c r="JWA6" s="97" t="str">
        <f t="shared" si="115"/>
        <v/>
      </c>
      <c r="JWB6" s="97" t="str">
        <f t="shared" si="115"/>
        <v/>
      </c>
      <c r="JWC6" s="97" t="str">
        <f t="shared" si="115"/>
        <v/>
      </c>
      <c r="JWD6" s="97" t="str">
        <f t="shared" si="115"/>
        <v/>
      </c>
      <c r="JWE6" s="97" t="str">
        <f t="shared" si="115"/>
        <v/>
      </c>
      <c r="JWF6" s="97" t="str">
        <f t="shared" si="115"/>
        <v/>
      </c>
      <c r="JWG6" s="97" t="str">
        <f t="shared" si="115"/>
        <v/>
      </c>
      <c r="JWH6" s="97" t="str">
        <f t="shared" ref="JWH6:JYS6" si="116">IFERROR(AVERAGE(JWH7:JWH13),"")</f>
        <v/>
      </c>
      <c r="JWI6" s="97" t="str">
        <f t="shared" si="116"/>
        <v/>
      </c>
      <c r="JWJ6" s="97" t="str">
        <f t="shared" si="116"/>
        <v/>
      </c>
      <c r="JWK6" s="97" t="str">
        <f t="shared" si="116"/>
        <v/>
      </c>
      <c r="JWL6" s="97" t="str">
        <f t="shared" si="116"/>
        <v/>
      </c>
      <c r="JWM6" s="97" t="str">
        <f t="shared" si="116"/>
        <v/>
      </c>
      <c r="JWN6" s="97" t="str">
        <f t="shared" si="116"/>
        <v/>
      </c>
      <c r="JWO6" s="97" t="str">
        <f t="shared" si="116"/>
        <v/>
      </c>
      <c r="JWP6" s="97" t="str">
        <f t="shared" si="116"/>
        <v/>
      </c>
      <c r="JWQ6" s="97" t="str">
        <f t="shared" si="116"/>
        <v/>
      </c>
      <c r="JWR6" s="97" t="str">
        <f t="shared" si="116"/>
        <v/>
      </c>
      <c r="JWS6" s="97" t="str">
        <f t="shared" si="116"/>
        <v/>
      </c>
      <c r="JWT6" s="97" t="str">
        <f t="shared" si="116"/>
        <v/>
      </c>
      <c r="JWU6" s="97" t="str">
        <f t="shared" si="116"/>
        <v/>
      </c>
      <c r="JWV6" s="97" t="str">
        <f t="shared" si="116"/>
        <v/>
      </c>
      <c r="JWW6" s="97" t="str">
        <f t="shared" si="116"/>
        <v/>
      </c>
      <c r="JWX6" s="97" t="str">
        <f t="shared" si="116"/>
        <v/>
      </c>
      <c r="JWY6" s="97" t="str">
        <f t="shared" si="116"/>
        <v/>
      </c>
      <c r="JWZ6" s="97" t="str">
        <f t="shared" si="116"/>
        <v/>
      </c>
      <c r="JXA6" s="97" t="str">
        <f t="shared" si="116"/>
        <v/>
      </c>
      <c r="JXB6" s="97" t="str">
        <f t="shared" si="116"/>
        <v/>
      </c>
      <c r="JXC6" s="97" t="str">
        <f t="shared" si="116"/>
        <v/>
      </c>
      <c r="JXD6" s="97" t="str">
        <f t="shared" si="116"/>
        <v/>
      </c>
      <c r="JXE6" s="97" t="str">
        <f t="shared" si="116"/>
        <v/>
      </c>
      <c r="JXF6" s="97" t="str">
        <f t="shared" si="116"/>
        <v/>
      </c>
      <c r="JXG6" s="97" t="str">
        <f t="shared" si="116"/>
        <v/>
      </c>
      <c r="JXH6" s="97" t="str">
        <f t="shared" si="116"/>
        <v/>
      </c>
      <c r="JXI6" s="97" t="str">
        <f t="shared" si="116"/>
        <v/>
      </c>
      <c r="JXJ6" s="97" t="str">
        <f t="shared" si="116"/>
        <v/>
      </c>
      <c r="JXK6" s="97" t="str">
        <f t="shared" si="116"/>
        <v/>
      </c>
      <c r="JXL6" s="97" t="str">
        <f t="shared" si="116"/>
        <v/>
      </c>
      <c r="JXM6" s="97" t="str">
        <f t="shared" si="116"/>
        <v/>
      </c>
      <c r="JXN6" s="97" t="str">
        <f t="shared" si="116"/>
        <v/>
      </c>
      <c r="JXO6" s="97" t="str">
        <f t="shared" si="116"/>
        <v/>
      </c>
      <c r="JXP6" s="97" t="str">
        <f t="shared" si="116"/>
        <v/>
      </c>
      <c r="JXQ6" s="97" t="str">
        <f t="shared" si="116"/>
        <v/>
      </c>
      <c r="JXR6" s="97" t="str">
        <f t="shared" si="116"/>
        <v/>
      </c>
      <c r="JXS6" s="97" t="str">
        <f t="shared" si="116"/>
        <v/>
      </c>
      <c r="JXT6" s="97" t="str">
        <f t="shared" si="116"/>
        <v/>
      </c>
      <c r="JXU6" s="97" t="str">
        <f t="shared" si="116"/>
        <v/>
      </c>
      <c r="JXV6" s="97" t="str">
        <f t="shared" si="116"/>
        <v/>
      </c>
      <c r="JXW6" s="97" t="str">
        <f t="shared" si="116"/>
        <v/>
      </c>
      <c r="JXX6" s="97" t="str">
        <f t="shared" si="116"/>
        <v/>
      </c>
      <c r="JXY6" s="97" t="str">
        <f t="shared" si="116"/>
        <v/>
      </c>
      <c r="JXZ6" s="97" t="str">
        <f t="shared" si="116"/>
        <v/>
      </c>
      <c r="JYA6" s="97" t="str">
        <f t="shared" si="116"/>
        <v/>
      </c>
      <c r="JYB6" s="97" t="str">
        <f t="shared" si="116"/>
        <v/>
      </c>
      <c r="JYC6" s="97" t="str">
        <f t="shared" si="116"/>
        <v/>
      </c>
      <c r="JYD6" s="97" t="str">
        <f t="shared" si="116"/>
        <v/>
      </c>
      <c r="JYE6" s="97" t="str">
        <f t="shared" si="116"/>
        <v/>
      </c>
      <c r="JYF6" s="97" t="str">
        <f t="shared" si="116"/>
        <v/>
      </c>
      <c r="JYG6" s="97" t="str">
        <f t="shared" si="116"/>
        <v/>
      </c>
      <c r="JYH6" s="97" t="str">
        <f t="shared" si="116"/>
        <v/>
      </c>
      <c r="JYI6" s="97" t="str">
        <f t="shared" si="116"/>
        <v/>
      </c>
      <c r="JYJ6" s="97" t="str">
        <f t="shared" si="116"/>
        <v/>
      </c>
      <c r="JYK6" s="97" t="str">
        <f t="shared" si="116"/>
        <v/>
      </c>
      <c r="JYL6" s="97" t="str">
        <f t="shared" si="116"/>
        <v/>
      </c>
      <c r="JYM6" s="97" t="str">
        <f t="shared" si="116"/>
        <v/>
      </c>
      <c r="JYN6" s="97" t="str">
        <f t="shared" si="116"/>
        <v/>
      </c>
      <c r="JYO6" s="97" t="str">
        <f t="shared" si="116"/>
        <v/>
      </c>
      <c r="JYP6" s="97" t="str">
        <f t="shared" si="116"/>
        <v/>
      </c>
      <c r="JYQ6" s="97" t="str">
        <f t="shared" si="116"/>
        <v/>
      </c>
      <c r="JYR6" s="97" t="str">
        <f t="shared" si="116"/>
        <v/>
      </c>
      <c r="JYS6" s="97" t="str">
        <f t="shared" si="116"/>
        <v/>
      </c>
      <c r="JYT6" s="97" t="str">
        <f t="shared" ref="JYT6:KBE6" si="117">IFERROR(AVERAGE(JYT7:JYT13),"")</f>
        <v/>
      </c>
      <c r="JYU6" s="97" t="str">
        <f t="shared" si="117"/>
        <v/>
      </c>
      <c r="JYV6" s="97" t="str">
        <f t="shared" si="117"/>
        <v/>
      </c>
      <c r="JYW6" s="97" t="str">
        <f t="shared" si="117"/>
        <v/>
      </c>
      <c r="JYX6" s="97" t="str">
        <f t="shared" si="117"/>
        <v/>
      </c>
      <c r="JYY6" s="97" t="str">
        <f t="shared" si="117"/>
        <v/>
      </c>
      <c r="JYZ6" s="97" t="str">
        <f t="shared" si="117"/>
        <v/>
      </c>
      <c r="JZA6" s="97" t="str">
        <f t="shared" si="117"/>
        <v/>
      </c>
      <c r="JZB6" s="97" t="str">
        <f t="shared" si="117"/>
        <v/>
      </c>
      <c r="JZC6" s="97" t="str">
        <f t="shared" si="117"/>
        <v/>
      </c>
      <c r="JZD6" s="97" t="str">
        <f t="shared" si="117"/>
        <v/>
      </c>
      <c r="JZE6" s="97" t="str">
        <f t="shared" si="117"/>
        <v/>
      </c>
      <c r="JZF6" s="97" t="str">
        <f t="shared" si="117"/>
        <v/>
      </c>
      <c r="JZG6" s="97" t="str">
        <f t="shared" si="117"/>
        <v/>
      </c>
      <c r="JZH6" s="97" t="str">
        <f t="shared" si="117"/>
        <v/>
      </c>
      <c r="JZI6" s="97" t="str">
        <f t="shared" si="117"/>
        <v/>
      </c>
      <c r="JZJ6" s="97" t="str">
        <f t="shared" si="117"/>
        <v/>
      </c>
      <c r="JZK6" s="97" t="str">
        <f t="shared" si="117"/>
        <v/>
      </c>
      <c r="JZL6" s="97" t="str">
        <f t="shared" si="117"/>
        <v/>
      </c>
      <c r="JZM6" s="97" t="str">
        <f t="shared" si="117"/>
        <v/>
      </c>
      <c r="JZN6" s="97" t="str">
        <f t="shared" si="117"/>
        <v/>
      </c>
      <c r="JZO6" s="97" t="str">
        <f t="shared" si="117"/>
        <v/>
      </c>
      <c r="JZP6" s="97" t="str">
        <f t="shared" si="117"/>
        <v/>
      </c>
      <c r="JZQ6" s="97" t="str">
        <f t="shared" si="117"/>
        <v/>
      </c>
      <c r="JZR6" s="97" t="str">
        <f t="shared" si="117"/>
        <v/>
      </c>
      <c r="JZS6" s="97" t="str">
        <f t="shared" si="117"/>
        <v/>
      </c>
      <c r="JZT6" s="97" t="str">
        <f t="shared" si="117"/>
        <v/>
      </c>
      <c r="JZU6" s="97" t="str">
        <f t="shared" si="117"/>
        <v/>
      </c>
      <c r="JZV6" s="97" t="str">
        <f t="shared" si="117"/>
        <v/>
      </c>
      <c r="JZW6" s="97" t="str">
        <f t="shared" si="117"/>
        <v/>
      </c>
      <c r="JZX6" s="97" t="str">
        <f t="shared" si="117"/>
        <v/>
      </c>
      <c r="JZY6" s="97" t="str">
        <f t="shared" si="117"/>
        <v/>
      </c>
      <c r="JZZ6" s="97" t="str">
        <f t="shared" si="117"/>
        <v/>
      </c>
      <c r="KAA6" s="97" t="str">
        <f t="shared" si="117"/>
        <v/>
      </c>
      <c r="KAB6" s="97" t="str">
        <f t="shared" si="117"/>
        <v/>
      </c>
      <c r="KAC6" s="97" t="str">
        <f t="shared" si="117"/>
        <v/>
      </c>
      <c r="KAD6" s="97" t="str">
        <f t="shared" si="117"/>
        <v/>
      </c>
      <c r="KAE6" s="97" t="str">
        <f t="shared" si="117"/>
        <v/>
      </c>
      <c r="KAF6" s="97" t="str">
        <f t="shared" si="117"/>
        <v/>
      </c>
      <c r="KAG6" s="97" t="str">
        <f t="shared" si="117"/>
        <v/>
      </c>
      <c r="KAH6" s="97" t="str">
        <f t="shared" si="117"/>
        <v/>
      </c>
      <c r="KAI6" s="97" t="str">
        <f t="shared" si="117"/>
        <v/>
      </c>
      <c r="KAJ6" s="97" t="str">
        <f t="shared" si="117"/>
        <v/>
      </c>
      <c r="KAK6" s="97" t="str">
        <f t="shared" si="117"/>
        <v/>
      </c>
      <c r="KAL6" s="97" t="str">
        <f t="shared" si="117"/>
        <v/>
      </c>
      <c r="KAM6" s="97" t="str">
        <f t="shared" si="117"/>
        <v/>
      </c>
      <c r="KAN6" s="97" t="str">
        <f t="shared" si="117"/>
        <v/>
      </c>
      <c r="KAO6" s="97" t="str">
        <f t="shared" si="117"/>
        <v/>
      </c>
      <c r="KAP6" s="97" t="str">
        <f t="shared" si="117"/>
        <v/>
      </c>
      <c r="KAQ6" s="97" t="str">
        <f t="shared" si="117"/>
        <v/>
      </c>
      <c r="KAR6" s="97" t="str">
        <f t="shared" si="117"/>
        <v/>
      </c>
      <c r="KAS6" s="97" t="str">
        <f t="shared" si="117"/>
        <v/>
      </c>
      <c r="KAT6" s="97" t="str">
        <f t="shared" si="117"/>
        <v/>
      </c>
      <c r="KAU6" s="97" t="str">
        <f t="shared" si="117"/>
        <v/>
      </c>
      <c r="KAV6" s="97" t="str">
        <f t="shared" si="117"/>
        <v/>
      </c>
      <c r="KAW6" s="97" t="str">
        <f t="shared" si="117"/>
        <v/>
      </c>
      <c r="KAX6" s="97" t="str">
        <f t="shared" si="117"/>
        <v/>
      </c>
      <c r="KAY6" s="97" t="str">
        <f t="shared" si="117"/>
        <v/>
      </c>
      <c r="KAZ6" s="97" t="str">
        <f t="shared" si="117"/>
        <v/>
      </c>
      <c r="KBA6" s="97" t="str">
        <f t="shared" si="117"/>
        <v/>
      </c>
      <c r="KBB6" s="97" t="str">
        <f t="shared" si="117"/>
        <v/>
      </c>
      <c r="KBC6" s="97" t="str">
        <f t="shared" si="117"/>
        <v/>
      </c>
      <c r="KBD6" s="97" t="str">
        <f t="shared" si="117"/>
        <v/>
      </c>
      <c r="KBE6" s="97" t="str">
        <f t="shared" si="117"/>
        <v/>
      </c>
      <c r="KBF6" s="97" t="str">
        <f t="shared" ref="KBF6:KDQ6" si="118">IFERROR(AVERAGE(KBF7:KBF13),"")</f>
        <v/>
      </c>
      <c r="KBG6" s="97" t="str">
        <f t="shared" si="118"/>
        <v/>
      </c>
      <c r="KBH6" s="97" t="str">
        <f t="shared" si="118"/>
        <v/>
      </c>
      <c r="KBI6" s="97" t="str">
        <f t="shared" si="118"/>
        <v/>
      </c>
      <c r="KBJ6" s="97" t="str">
        <f t="shared" si="118"/>
        <v/>
      </c>
      <c r="KBK6" s="97" t="str">
        <f t="shared" si="118"/>
        <v/>
      </c>
      <c r="KBL6" s="97" t="str">
        <f t="shared" si="118"/>
        <v/>
      </c>
      <c r="KBM6" s="97" t="str">
        <f t="shared" si="118"/>
        <v/>
      </c>
      <c r="KBN6" s="97" t="str">
        <f t="shared" si="118"/>
        <v/>
      </c>
      <c r="KBO6" s="97" t="str">
        <f t="shared" si="118"/>
        <v/>
      </c>
      <c r="KBP6" s="97" t="str">
        <f t="shared" si="118"/>
        <v/>
      </c>
      <c r="KBQ6" s="97" t="str">
        <f t="shared" si="118"/>
        <v/>
      </c>
      <c r="KBR6" s="97" t="str">
        <f t="shared" si="118"/>
        <v/>
      </c>
      <c r="KBS6" s="97" t="str">
        <f t="shared" si="118"/>
        <v/>
      </c>
      <c r="KBT6" s="97" t="str">
        <f t="shared" si="118"/>
        <v/>
      </c>
      <c r="KBU6" s="97" t="str">
        <f t="shared" si="118"/>
        <v/>
      </c>
      <c r="KBV6" s="97" t="str">
        <f t="shared" si="118"/>
        <v/>
      </c>
      <c r="KBW6" s="97" t="str">
        <f t="shared" si="118"/>
        <v/>
      </c>
      <c r="KBX6" s="97" t="str">
        <f t="shared" si="118"/>
        <v/>
      </c>
      <c r="KBY6" s="97" t="str">
        <f t="shared" si="118"/>
        <v/>
      </c>
      <c r="KBZ6" s="97" t="str">
        <f t="shared" si="118"/>
        <v/>
      </c>
      <c r="KCA6" s="97" t="str">
        <f t="shared" si="118"/>
        <v/>
      </c>
      <c r="KCB6" s="97" t="str">
        <f t="shared" si="118"/>
        <v/>
      </c>
      <c r="KCC6" s="97" t="str">
        <f t="shared" si="118"/>
        <v/>
      </c>
      <c r="KCD6" s="97" t="str">
        <f t="shared" si="118"/>
        <v/>
      </c>
      <c r="KCE6" s="97" t="str">
        <f t="shared" si="118"/>
        <v/>
      </c>
      <c r="KCF6" s="97" t="str">
        <f t="shared" si="118"/>
        <v/>
      </c>
      <c r="KCG6" s="97" t="str">
        <f t="shared" si="118"/>
        <v/>
      </c>
      <c r="KCH6" s="97" t="str">
        <f t="shared" si="118"/>
        <v/>
      </c>
      <c r="KCI6" s="97" t="str">
        <f t="shared" si="118"/>
        <v/>
      </c>
      <c r="KCJ6" s="97" t="str">
        <f t="shared" si="118"/>
        <v/>
      </c>
      <c r="KCK6" s="97" t="str">
        <f t="shared" si="118"/>
        <v/>
      </c>
      <c r="KCL6" s="97" t="str">
        <f t="shared" si="118"/>
        <v/>
      </c>
      <c r="KCM6" s="97" t="str">
        <f t="shared" si="118"/>
        <v/>
      </c>
      <c r="KCN6" s="97" t="str">
        <f t="shared" si="118"/>
        <v/>
      </c>
      <c r="KCO6" s="97" t="str">
        <f t="shared" si="118"/>
        <v/>
      </c>
      <c r="KCP6" s="97" t="str">
        <f t="shared" si="118"/>
        <v/>
      </c>
      <c r="KCQ6" s="97" t="str">
        <f t="shared" si="118"/>
        <v/>
      </c>
      <c r="KCR6" s="97" t="str">
        <f t="shared" si="118"/>
        <v/>
      </c>
      <c r="KCS6" s="97" t="str">
        <f t="shared" si="118"/>
        <v/>
      </c>
      <c r="KCT6" s="97" t="str">
        <f t="shared" si="118"/>
        <v/>
      </c>
      <c r="KCU6" s="97" t="str">
        <f t="shared" si="118"/>
        <v/>
      </c>
      <c r="KCV6" s="97" t="str">
        <f t="shared" si="118"/>
        <v/>
      </c>
      <c r="KCW6" s="97" t="str">
        <f t="shared" si="118"/>
        <v/>
      </c>
      <c r="KCX6" s="97" t="str">
        <f t="shared" si="118"/>
        <v/>
      </c>
      <c r="KCY6" s="97" t="str">
        <f t="shared" si="118"/>
        <v/>
      </c>
      <c r="KCZ6" s="97" t="str">
        <f t="shared" si="118"/>
        <v/>
      </c>
      <c r="KDA6" s="97" t="str">
        <f t="shared" si="118"/>
        <v/>
      </c>
      <c r="KDB6" s="97" t="str">
        <f t="shared" si="118"/>
        <v/>
      </c>
      <c r="KDC6" s="97" t="str">
        <f t="shared" si="118"/>
        <v/>
      </c>
      <c r="KDD6" s="97" t="str">
        <f t="shared" si="118"/>
        <v/>
      </c>
      <c r="KDE6" s="97" t="str">
        <f t="shared" si="118"/>
        <v/>
      </c>
      <c r="KDF6" s="97" t="str">
        <f t="shared" si="118"/>
        <v/>
      </c>
      <c r="KDG6" s="97" t="str">
        <f t="shared" si="118"/>
        <v/>
      </c>
      <c r="KDH6" s="97" t="str">
        <f t="shared" si="118"/>
        <v/>
      </c>
      <c r="KDI6" s="97" t="str">
        <f t="shared" si="118"/>
        <v/>
      </c>
      <c r="KDJ6" s="97" t="str">
        <f t="shared" si="118"/>
        <v/>
      </c>
      <c r="KDK6" s="97" t="str">
        <f t="shared" si="118"/>
        <v/>
      </c>
      <c r="KDL6" s="97" t="str">
        <f t="shared" si="118"/>
        <v/>
      </c>
      <c r="KDM6" s="97" t="str">
        <f t="shared" si="118"/>
        <v/>
      </c>
      <c r="KDN6" s="97" t="str">
        <f t="shared" si="118"/>
        <v/>
      </c>
      <c r="KDO6" s="97" t="str">
        <f t="shared" si="118"/>
        <v/>
      </c>
      <c r="KDP6" s="97" t="str">
        <f t="shared" si="118"/>
        <v/>
      </c>
      <c r="KDQ6" s="97" t="str">
        <f t="shared" si="118"/>
        <v/>
      </c>
      <c r="KDR6" s="97" t="str">
        <f t="shared" ref="KDR6:KGC6" si="119">IFERROR(AVERAGE(KDR7:KDR13),"")</f>
        <v/>
      </c>
      <c r="KDS6" s="97" t="str">
        <f t="shared" si="119"/>
        <v/>
      </c>
      <c r="KDT6" s="97" t="str">
        <f t="shared" si="119"/>
        <v/>
      </c>
      <c r="KDU6" s="97" t="str">
        <f t="shared" si="119"/>
        <v/>
      </c>
      <c r="KDV6" s="97" t="str">
        <f t="shared" si="119"/>
        <v/>
      </c>
      <c r="KDW6" s="97" t="str">
        <f t="shared" si="119"/>
        <v/>
      </c>
      <c r="KDX6" s="97" t="str">
        <f t="shared" si="119"/>
        <v/>
      </c>
      <c r="KDY6" s="97" t="str">
        <f t="shared" si="119"/>
        <v/>
      </c>
      <c r="KDZ6" s="97" t="str">
        <f t="shared" si="119"/>
        <v/>
      </c>
      <c r="KEA6" s="97" t="str">
        <f t="shared" si="119"/>
        <v/>
      </c>
      <c r="KEB6" s="97" t="str">
        <f t="shared" si="119"/>
        <v/>
      </c>
      <c r="KEC6" s="97" t="str">
        <f t="shared" si="119"/>
        <v/>
      </c>
      <c r="KED6" s="97" t="str">
        <f t="shared" si="119"/>
        <v/>
      </c>
      <c r="KEE6" s="97" t="str">
        <f t="shared" si="119"/>
        <v/>
      </c>
      <c r="KEF6" s="97" t="str">
        <f t="shared" si="119"/>
        <v/>
      </c>
      <c r="KEG6" s="97" t="str">
        <f t="shared" si="119"/>
        <v/>
      </c>
      <c r="KEH6" s="97" t="str">
        <f t="shared" si="119"/>
        <v/>
      </c>
      <c r="KEI6" s="97" t="str">
        <f t="shared" si="119"/>
        <v/>
      </c>
      <c r="KEJ6" s="97" t="str">
        <f t="shared" si="119"/>
        <v/>
      </c>
      <c r="KEK6" s="97" t="str">
        <f t="shared" si="119"/>
        <v/>
      </c>
      <c r="KEL6" s="97" t="str">
        <f t="shared" si="119"/>
        <v/>
      </c>
      <c r="KEM6" s="97" t="str">
        <f t="shared" si="119"/>
        <v/>
      </c>
      <c r="KEN6" s="97" t="str">
        <f t="shared" si="119"/>
        <v/>
      </c>
      <c r="KEO6" s="97" t="str">
        <f t="shared" si="119"/>
        <v/>
      </c>
      <c r="KEP6" s="97" t="str">
        <f t="shared" si="119"/>
        <v/>
      </c>
      <c r="KEQ6" s="97" t="str">
        <f t="shared" si="119"/>
        <v/>
      </c>
      <c r="KER6" s="97" t="str">
        <f t="shared" si="119"/>
        <v/>
      </c>
      <c r="KES6" s="97" t="str">
        <f t="shared" si="119"/>
        <v/>
      </c>
      <c r="KET6" s="97" t="str">
        <f t="shared" si="119"/>
        <v/>
      </c>
      <c r="KEU6" s="97" t="str">
        <f t="shared" si="119"/>
        <v/>
      </c>
      <c r="KEV6" s="97" t="str">
        <f t="shared" si="119"/>
        <v/>
      </c>
      <c r="KEW6" s="97" t="str">
        <f t="shared" si="119"/>
        <v/>
      </c>
      <c r="KEX6" s="97" t="str">
        <f t="shared" si="119"/>
        <v/>
      </c>
      <c r="KEY6" s="97" t="str">
        <f t="shared" si="119"/>
        <v/>
      </c>
      <c r="KEZ6" s="97" t="str">
        <f t="shared" si="119"/>
        <v/>
      </c>
      <c r="KFA6" s="97" t="str">
        <f t="shared" si="119"/>
        <v/>
      </c>
      <c r="KFB6" s="97" t="str">
        <f t="shared" si="119"/>
        <v/>
      </c>
      <c r="KFC6" s="97" t="str">
        <f t="shared" si="119"/>
        <v/>
      </c>
      <c r="KFD6" s="97" t="str">
        <f t="shared" si="119"/>
        <v/>
      </c>
      <c r="KFE6" s="97" t="str">
        <f t="shared" si="119"/>
        <v/>
      </c>
      <c r="KFF6" s="97" t="str">
        <f t="shared" si="119"/>
        <v/>
      </c>
      <c r="KFG6" s="97" t="str">
        <f t="shared" si="119"/>
        <v/>
      </c>
      <c r="KFH6" s="97" t="str">
        <f t="shared" si="119"/>
        <v/>
      </c>
      <c r="KFI6" s="97" t="str">
        <f t="shared" si="119"/>
        <v/>
      </c>
      <c r="KFJ6" s="97" t="str">
        <f t="shared" si="119"/>
        <v/>
      </c>
      <c r="KFK6" s="97" t="str">
        <f t="shared" si="119"/>
        <v/>
      </c>
      <c r="KFL6" s="97" t="str">
        <f t="shared" si="119"/>
        <v/>
      </c>
      <c r="KFM6" s="97" t="str">
        <f t="shared" si="119"/>
        <v/>
      </c>
      <c r="KFN6" s="97" t="str">
        <f t="shared" si="119"/>
        <v/>
      </c>
      <c r="KFO6" s="97" t="str">
        <f t="shared" si="119"/>
        <v/>
      </c>
      <c r="KFP6" s="97" t="str">
        <f t="shared" si="119"/>
        <v/>
      </c>
      <c r="KFQ6" s="97" t="str">
        <f t="shared" si="119"/>
        <v/>
      </c>
      <c r="KFR6" s="97" t="str">
        <f t="shared" si="119"/>
        <v/>
      </c>
      <c r="KFS6" s="97" t="str">
        <f t="shared" si="119"/>
        <v/>
      </c>
      <c r="KFT6" s="97" t="str">
        <f t="shared" si="119"/>
        <v/>
      </c>
      <c r="KFU6" s="97" t="str">
        <f t="shared" si="119"/>
        <v/>
      </c>
      <c r="KFV6" s="97" t="str">
        <f t="shared" si="119"/>
        <v/>
      </c>
      <c r="KFW6" s="97" t="str">
        <f t="shared" si="119"/>
        <v/>
      </c>
      <c r="KFX6" s="97" t="str">
        <f t="shared" si="119"/>
        <v/>
      </c>
      <c r="KFY6" s="97" t="str">
        <f t="shared" si="119"/>
        <v/>
      </c>
      <c r="KFZ6" s="97" t="str">
        <f t="shared" si="119"/>
        <v/>
      </c>
      <c r="KGA6" s="97" t="str">
        <f t="shared" si="119"/>
        <v/>
      </c>
      <c r="KGB6" s="97" t="str">
        <f t="shared" si="119"/>
        <v/>
      </c>
      <c r="KGC6" s="97" t="str">
        <f t="shared" si="119"/>
        <v/>
      </c>
      <c r="KGD6" s="97" t="str">
        <f t="shared" ref="KGD6:KIO6" si="120">IFERROR(AVERAGE(KGD7:KGD13),"")</f>
        <v/>
      </c>
      <c r="KGE6" s="97" t="str">
        <f t="shared" si="120"/>
        <v/>
      </c>
      <c r="KGF6" s="97" t="str">
        <f t="shared" si="120"/>
        <v/>
      </c>
      <c r="KGG6" s="97" t="str">
        <f t="shared" si="120"/>
        <v/>
      </c>
      <c r="KGH6" s="97" t="str">
        <f t="shared" si="120"/>
        <v/>
      </c>
      <c r="KGI6" s="97" t="str">
        <f t="shared" si="120"/>
        <v/>
      </c>
      <c r="KGJ6" s="97" t="str">
        <f t="shared" si="120"/>
        <v/>
      </c>
      <c r="KGK6" s="97" t="str">
        <f t="shared" si="120"/>
        <v/>
      </c>
      <c r="KGL6" s="97" t="str">
        <f t="shared" si="120"/>
        <v/>
      </c>
      <c r="KGM6" s="97" t="str">
        <f t="shared" si="120"/>
        <v/>
      </c>
      <c r="KGN6" s="97" t="str">
        <f t="shared" si="120"/>
        <v/>
      </c>
      <c r="KGO6" s="97" t="str">
        <f t="shared" si="120"/>
        <v/>
      </c>
      <c r="KGP6" s="97" t="str">
        <f t="shared" si="120"/>
        <v/>
      </c>
      <c r="KGQ6" s="97" t="str">
        <f t="shared" si="120"/>
        <v/>
      </c>
      <c r="KGR6" s="97" t="str">
        <f t="shared" si="120"/>
        <v/>
      </c>
      <c r="KGS6" s="97" t="str">
        <f t="shared" si="120"/>
        <v/>
      </c>
      <c r="KGT6" s="97" t="str">
        <f t="shared" si="120"/>
        <v/>
      </c>
      <c r="KGU6" s="97" t="str">
        <f t="shared" si="120"/>
        <v/>
      </c>
      <c r="KGV6" s="97" t="str">
        <f t="shared" si="120"/>
        <v/>
      </c>
      <c r="KGW6" s="97" t="str">
        <f t="shared" si="120"/>
        <v/>
      </c>
      <c r="KGX6" s="97" t="str">
        <f t="shared" si="120"/>
        <v/>
      </c>
      <c r="KGY6" s="97" t="str">
        <f t="shared" si="120"/>
        <v/>
      </c>
      <c r="KGZ6" s="97" t="str">
        <f t="shared" si="120"/>
        <v/>
      </c>
      <c r="KHA6" s="97" t="str">
        <f t="shared" si="120"/>
        <v/>
      </c>
      <c r="KHB6" s="97" t="str">
        <f t="shared" si="120"/>
        <v/>
      </c>
      <c r="KHC6" s="97" t="str">
        <f t="shared" si="120"/>
        <v/>
      </c>
      <c r="KHD6" s="97" t="str">
        <f t="shared" si="120"/>
        <v/>
      </c>
      <c r="KHE6" s="97" t="str">
        <f t="shared" si="120"/>
        <v/>
      </c>
      <c r="KHF6" s="97" t="str">
        <f t="shared" si="120"/>
        <v/>
      </c>
      <c r="KHG6" s="97" t="str">
        <f t="shared" si="120"/>
        <v/>
      </c>
      <c r="KHH6" s="97" t="str">
        <f t="shared" si="120"/>
        <v/>
      </c>
      <c r="KHI6" s="97" t="str">
        <f t="shared" si="120"/>
        <v/>
      </c>
      <c r="KHJ6" s="97" t="str">
        <f t="shared" si="120"/>
        <v/>
      </c>
      <c r="KHK6" s="97" t="str">
        <f t="shared" si="120"/>
        <v/>
      </c>
      <c r="KHL6" s="97" t="str">
        <f t="shared" si="120"/>
        <v/>
      </c>
      <c r="KHM6" s="97" t="str">
        <f t="shared" si="120"/>
        <v/>
      </c>
      <c r="KHN6" s="97" t="str">
        <f t="shared" si="120"/>
        <v/>
      </c>
      <c r="KHO6" s="97" t="str">
        <f t="shared" si="120"/>
        <v/>
      </c>
      <c r="KHP6" s="97" t="str">
        <f t="shared" si="120"/>
        <v/>
      </c>
      <c r="KHQ6" s="97" t="str">
        <f t="shared" si="120"/>
        <v/>
      </c>
      <c r="KHR6" s="97" t="str">
        <f t="shared" si="120"/>
        <v/>
      </c>
      <c r="KHS6" s="97" t="str">
        <f t="shared" si="120"/>
        <v/>
      </c>
      <c r="KHT6" s="97" t="str">
        <f t="shared" si="120"/>
        <v/>
      </c>
      <c r="KHU6" s="97" t="str">
        <f t="shared" si="120"/>
        <v/>
      </c>
      <c r="KHV6" s="97" t="str">
        <f t="shared" si="120"/>
        <v/>
      </c>
      <c r="KHW6" s="97" t="str">
        <f t="shared" si="120"/>
        <v/>
      </c>
      <c r="KHX6" s="97" t="str">
        <f t="shared" si="120"/>
        <v/>
      </c>
      <c r="KHY6" s="97" t="str">
        <f t="shared" si="120"/>
        <v/>
      </c>
      <c r="KHZ6" s="97" t="str">
        <f t="shared" si="120"/>
        <v/>
      </c>
      <c r="KIA6" s="97" t="str">
        <f t="shared" si="120"/>
        <v/>
      </c>
      <c r="KIB6" s="97" t="str">
        <f t="shared" si="120"/>
        <v/>
      </c>
      <c r="KIC6" s="97" t="str">
        <f t="shared" si="120"/>
        <v/>
      </c>
      <c r="KID6" s="97" t="str">
        <f t="shared" si="120"/>
        <v/>
      </c>
      <c r="KIE6" s="97" t="str">
        <f t="shared" si="120"/>
        <v/>
      </c>
      <c r="KIF6" s="97" t="str">
        <f t="shared" si="120"/>
        <v/>
      </c>
      <c r="KIG6" s="97" t="str">
        <f t="shared" si="120"/>
        <v/>
      </c>
      <c r="KIH6" s="97" t="str">
        <f t="shared" si="120"/>
        <v/>
      </c>
      <c r="KII6" s="97" t="str">
        <f t="shared" si="120"/>
        <v/>
      </c>
      <c r="KIJ6" s="97" t="str">
        <f t="shared" si="120"/>
        <v/>
      </c>
      <c r="KIK6" s="97" t="str">
        <f t="shared" si="120"/>
        <v/>
      </c>
      <c r="KIL6" s="97" t="str">
        <f t="shared" si="120"/>
        <v/>
      </c>
      <c r="KIM6" s="97" t="str">
        <f t="shared" si="120"/>
        <v/>
      </c>
      <c r="KIN6" s="97" t="str">
        <f t="shared" si="120"/>
        <v/>
      </c>
      <c r="KIO6" s="97" t="str">
        <f t="shared" si="120"/>
        <v/>
      </c>
      <c r="KIP6" s="97" t="str">
        <f t="shared" ref="KIP6:KLA6" si="121">IFERROR(AVERAGE(KIP7:KIP13),"")</f>
        <v/>
      </c>
      <c r="KIQ6" s="97" t="str">
        <f t="shared" si="121"/>
        <v/>
      </c>
      <c r="KIR6" s="97" t="str">
        <f t="shared" si="121"/>
        <v/>
      </c>
      <c r="KIS6" s="97" t="str">
        <f t="shared" si="121"/>
        <v/>
      </c>
      <c r="KIT6" s="97" t="str">
        <f t="shared" si="121"/>
        <v/>
      </c>
      <c r="KIU6" s="97" t="str">
        <f t="shared" si="121"/>
        <v/>
      </c>
      <c r="KIV6" s="97" t="str">
        <f t="shared" si="121"/>
        <v/>
      </c>
      <c r="KIW6" s="97" t="str">
        <f t="shared" si="121"/>
        <v/>
      </c>
      <c r="KIX6" s="97" t="str">
        <f t="shared" si="121"/>
        <v/>
      </c>
      <c r="KIY6" s="97" t="str">
        <f t="shared" si="121"/>
        <v/>
      </c>
      <c r="KIZ6" s="97" t="str">
        <f t="shared" si="121"/>
        <v/>
      </c>
      <c r="KJA6" s="97" t="str">
        <f t="shared" si="121"/>
        <v/>
      </c>
      <c r="KJB6" s="97" t="str">
        <f t="shared" si="121"/>
        <v/>
      </c>
      <c r="KJC6" s="97" t="str">
        <f t="shared" si="121"/>
        <v/>
      </c>
      <c r="KJD6" s="97" t="str">
        <f t="shared" si="121"/>
        <v/>
      </c>
      <c r="KJE6" s="97" t="str">
        <f t="shared" si="121"/>
        <v/>
      </c>
      <c r="KJF6" s="97" t="str">
        <f t="shared" si="121"/>
        <v/>
      </c>
      <c r="KJG6" s="97" t="str">
        <f t="shared" si="121"/>
        <v/>
      </c>
      <c r="KJH6" s="97" t="str">
        <f t="shared" si="121"/>
        <v/>
      </c>
      <c r="KJI6" s="97" t="str">
        <f t="shared" si="121"/>
        <v/>
      </c>
      <c r="KJJ6" s="97" t="str">
        <f t="shared" si="121"/>
        <v/>
      </c>
      <c r="KJK6" s="97" t="str">
        <f t="shared" si="121"/>
        <v/>
      </c>
      <c r="KJL6" s="97" t="str">
        <f t="shared" si="121"/>
        <v/>
      </c>
      <c r="KJM6" s="97" t="str">
        <f t="shared" si="121"/>
        <v/>
      </c>
      <c r="KJN6" s="97" t="str">
        <f t="shared" si="121"/>
        <v/>
      </c>
      <c r="KJO6" s="97" t="str">
        <f t="shared" si="121"/>
        <v/>
      </c>
      <c r="KJP6" s="97" t="str">
        <f t="shared" si="121"/>
        <v/>
      </c>
      <c r="KJQ6" s="97" t="str">
        <f t="shared" si="121"/>
        <v/>
      </c>
      <c r="KJR6" s="97" t="str">
        <f t="shared" si="121"/>
        <v/>
      </c>
      <c r="KJS6" s="97" t="str">
        <f t="shared" si="121"/>
        <v/>
      </c>
      <c r="KJT6" s="97" t="str">
        <f t="shared" si="121"/>
        <v/>
      </c>
      <c r="KJU6" s="97" t="str">
        <f t="shared" si="121"/>
        <v/>
      </c>
      <c r="KJV6" s="97" t="str">
        <f t="shared" si="121"/>
        <v/>
      </c>
      <c r="KJW6" s="97" t="str">
        <f t="shared" si="121"/>
        <v/>
      </c>
      <c r="KJX6" s="97" t="str">
        <f t="shared" si="121"/>
        <v/>
      </c>
      <c r="KJY6" s="97" t="str">
        <f t="shared" si="121"/>
        <v/>
      </c>
      <c r="KJZ6" s="97" t="str">
        <f t="shared" si="121"/>
        <v/>
      </c>
      <c r="KKA6" s="97" t="str">
        <f t="shared" si="121"/>
        <v/>
      </c>
      <c r="KKB6" s="97" t="str">
        <f t="shared" si="121"/>
        <v/>
      </c>
      <c r="KKC6" s="97" t="str">
        <f t="shared" si="121"/>
        <v/>
      </c>
      <c r="KKD6" s="97" t="str">
        <f t="shared" si="121"/>
        <v/>
      </c>
      <c r="KKE6" s="97" t="str">
        <f t="shared" si="121"/>
        <v/>
      </c>
      <c r="KKF6" s="97" t="str">
        <f t="shared" si="121"/>
        <v/>
      </c>
      <c r="KKG6" s="97" t="str">
        <f t="shared" si="121"/>
        <v/>
      </c>
      <c r="KKH6" s="97" t="str">
        <f t="shared" si="121"/>
        <v/>
      </c>
      <c r="KKI6" s="97" t="str">
        <f t="shared" si="121"/>
        <v/>
      </c>
      <c r="KKJ6" s="97" t="str">
        <f t="shared" si="121"/>
        <v/>
      </c>
      <c r="KKK6" s="97" t="str">
        <f t="shared" si="121"/>
        <v/>
      </c>
      <c r="KKL6" s="97" t="str">
        <f t="shared" si="121"/>
        <v/>
      </c>
      <c r="KKM6" s="97" t="str">
        <f t="shared" si="121"/>
        <v/>
      </c>
      <c r="KKN6" s="97" t="str">
        <f t="shared" si="121"/>
        <v/>
      </c>
      <c r="KKO6" s="97" t="str">
        <f t="shared" si="121"/>
        <v/>
      </c>
      <c r="KKP6" s="97" t="str">
        <f t="shared" si="121"/>
        <v/>
      </c>
      <c r="KKQ6" s="97" t="str">
        <f t="shared" si="121"/>
        <v/>
      </c>
      <c r="KKR6" s="97" t="str">
        <f t="shared" si="121"/>
        <v/>
      </c>
      <c r="KKS6" s="97" t="str">
        <f t="shared" si="121"/>
        <v/>
      </c>
      <c r="KKT6" s="97" t="str">
        <f t="shared" si="121"/>
        <v/>
      </c>
      <c r="KKU6" s="97" t="str">
        <f t="shared" si="121"/>
        <v/>
      </c>
      <c r="KKV6" s="97" t="str">
        <f t="shared" si="121"/>
        <v/>
      </c>
      <c r="KKW6" s="97" t="str">
        <f t="shared" si="121"/>
        <v/>
      </c>
      <c r="KKX6" s="97" t="str">
        <f t="shared" si="121"/>
        <v/>
      </c>
      <c r="KKY6" s="97" t="str">
        <f t="shared" si="121"/>
        <v/>
      </c>
      <c r="KKZ6" s="97" t="str">
        <f t="shared" si="121"/>
        <v/>
      </c>
      <c r="KLA6" s="97" t="str">
        <f t="shared" si="121"/>
        <v/>
      </c>
      <c r="KLB6" s="97" t="str">
        <f t="shared" ref="KLB6:KNM6" si="122">IFERROR(AVERAGE(KLB7:KLB13),"")</f>
        <v/>
      </c>
      <c r="KLC6" s="97" t="str">
        <f t="shared" si="122"/>
        <v/>
      </c>
      <c r="KLD6" s="97" t="str">
        <f t="shared" si="122"/>
        <v/>
      </c>
      <c r="KLE6" s="97" t="str">
        <f t="shared" si="122"/>
        <v/>
      </c>
      <c r="KLF6" s="97" t="str">
        <f t="shared" si="122"/>
        <v/>
      </c>
      <c r="KLG6" s="97" t="str">
        <f t="shared" si="122"/>
        <v/>
      </c>
      <c r="KLH6" s="97" t="str">
        <f t="shared" si="122"/>
        <v/>
      </c>
      <c r="KLI6" s="97" t="str">
        <f t="shared" si="122"/>
        <v/>
      </c>
      <c r="KLJ6" s="97" t="str">
        <f t="shared" si="122"/>
        <v/>
      </c>
      <c r="KLK6" s="97" t="str">
        <f t="shared" si="122"/>
        <v/>
      </c>
      <c r="KLL6" s="97" t="str">
        <f t="shared" si="122"/>
        <v/>
      </c>
      <c r="KLM6" s="97" t="str">
        <f t="shared" si="122"/>
        <v/>
      </c>
      <c r="KLN6" s="97" t="str">
        <f t="shared" si="122"/>
        <v/>
      </c>
      <c r="KLO6" s="97" t="str">
        <f t="shared" si="122"/>
        <v/>
      </c>
      <c r="KLP6" s="97" t="str">
        <f t="shared" si="122"/>
        <v/>
      </c>
      <c r="KLQ6" s="97" t="str">
        <f t="shared" si="122"/>
        <v/>
      </c>
      <c r="KLR6" s="97" t="str">
        <f t="shared" si="122"/>
        <v/>
      </c>
      <c r="KLS6" s="97" t="str">
        <f t="shared" si="122"/>
        <v/>
      </c>
      <c r="KLT6" s="97" t="str">
        <f t="shared" si="122"/>
        <v/>
      </c>
      <c r="KLU6" s="97" t="str">
        <f t="shared" si="122"/>
        <v/>
      </c>
      <c r="KLV6" s="97" t="str">
        <f t="shared" si="122"/>
        <v/>
      </c>
      <c r="KLW6" s="97" t="str">
        <f t="shared" si="122"/>
        <v/>
      </c>
      <c r="KLX6" s="97" t="str">
        <f t="shared" si="122"/>
        <v/>
      </c>
      <c r="KLY6" s="97" t="str">
        <f t="shared" si="122"/>
        <v/>
      </c>
      <c r="KLZ6" s="97" t="str">
        <f t="shared" si="122"/>
        <v/>
      </c>
      <c r="KMA6" s="97" t="str">
        <f t="shared" si="122"/>
        <v/>
      </c>
      <c r="KMB6" s="97" t="str">
        <f t="shared" si="122"/>
        <v/>
      </c>
      <c r="KMC6" s="97" t="str">
        <f t="shared" si="122"/>
        <v/>
      </c>
      <c r="KMD6" s="97" t="str">
        <f t="shared" si="122"/>
        <v/>
      </c>
      <c r="KME6" s="97" t="str">
        <f t="shared" si="122"/>
        <v/>
      </c>
      <c r="KMF6" s="97" t="str">
        <f t="shared" si="122"/>
        <v/>
      </c>
      <c r="KMG6" s="97" t="str">
        <f t="shared" si="122"/>
        <v/>
      </c>
      <c r="KMH6" s="97" t="str">
        <f t="shared" si="122"/>
        <v/>
      </c>
      <c r="KMI6" s="97" t="str">
        <f t="shared" si="122"/>
        <v/>
      </c>
      <c r="KMJ6" s="97" t="str">
        <f t="shared" si="122"/>
        <v/>
      </c>
      <c r="KMK6" s="97" t="str">
        <f t="shared" si="122"/>
        <v/>
      </c>
      <c r="KML6" s="97" t="str">
        <f t="shared" si="122"/>
        <v/>
      </c>
      <c r="KMM6" s="97" t="str">
        <f t="shared" si="122"/>
        <v/>
      </c>
      <c r="KMN6" s="97" t="str">
        <f t="shared" si="122"/>
        <v/>
      </c>
      <c r="KMO6" s="97" t="str">
        <f t="shared" si="122"/>
        <v/>
      </c>
      <c r="KMP6" s="97" t="str">
        <f t="shared" si="122"/>
        <v/>
      </c>
      <c r="KMQ6" s="97" t="str">
        <f t="shared" si="122"/>
        <v/>
      </c>
      <c r="KMR6" s="97" t="str">
        <f t="shared" si="122"/>
        <v/>
      </c>
      <c r="KMS6" s="97" t="str">
        <f t="shared" si="122"/>
        <v/>
      </c>
      <c r="KMT6" s="97" t="str">
        <f t="shared" si="122"/>
        <v/>
      </c>
      <c r="KMU6" s="97" t="str">
        <f t="shared" si="122"/>
        <v/>
      </c>
      <c r="KMV6" s="97" t="str">
        <f t="shared" si="122"/>
        <v/>
      </c>
      <c r="KMW6" s="97" t="str">
        <f t="shared" si="122"/>
        <v/>
      </c>
      <c r="KMX6" s="97" t="str">
        <f t="shared" si="122"/>
        <v/>
      </c>
      <c r="KMY6" s="97" t="str">
        <f t="shared" si="122"/>
        <v/>
      </c>
      <c r="KMZ6" s="97" t="str">
        <f t="shared" si="122"/>
        <v/>
      </c>
      <c r="KNA6" s="97" t="str">
        <f t="shared" si="122"/>
        <v/>
      </c>
      <c r="KNB6" s="97" t="str">
        <f t="shared" si="122"/>
        <v/>
      </c>
      <c r="KNC6" s="97" t="str">
        <f t="shared" si="122"/>
        <v/>
      </c>
      <c r="KND6" s="97" t="str">
        <f t="shared" si="122"/>
        <v/>
      </c>
      <c r="KNE6" s="97" t="str">
        <f t="shared" si="122"/>
        <v/>
      </c>
      <c r="KNF6" s="97" t="str">
        <f t="shared" si="122"/>
        <v/>
      </c>
      <c r="KNG6" s="97" t="str">
        <f t="shared" si="122"/>
        <v/>
      </c>
      <c r="KNH6" s="97" t="str">
        <f t="shared" si="122"/>
        <v/>
      </c>
      <c r="KNI6" s="97" t="str">
        <f t="shared" si="122"/>
        <v/>
      </c>
      <c r="KNJ6" s="97" t="str">
        <f t="shared" si="122"/>
        <v/>
      </c>
      <c r="KNK6" s="97" t="str">
        <f t="shared" si="122"/>
        <v/>
      </c>
      <c r="KNL6" s="97" t="str">
        <f t="shared" si="122"/>
        <v/>
      </c>
      <c r="KNM6" s="97" t="str">
        <f t="shared" si="122"/>
        <v/>
      </c>
      <c r="KNN6" s="97" t="str">
        <f t="shared" ref="KNN6:KPY6" si="123">IFERROR(AVERAGE(KNN7:KNN13),"")</f>
        <v/>
      </c>
      <c r="KNO6" s="97" t="str">
        <f t="shared" si="123"/>
        <v/>
      </c>
      <c r="KNP6" s="97" t="str">
        <f t="shared" si="123"/>
        <v/>
      </c>
      <c r="KNQ6" s="97" t="str">
        <f t="shared" si="123"/>
        <v/>
      </c>
      <c r="KNR6" s="97" t="str">
        <f t="shared" si="123"/>
        <v/>
      </c>
      <c r="KNS6" s="97" t="str">
        <f t="shared" si="123"/>
        <v/>
      </c>
      <c r="KNT6" s="97" t="str">
        <f t="shared" si="123"/>
        <v/>
      </c>
      <c r="KNU6" s="97" t="str">
        <f t="shared" si="123"/>
        <v/>
      </c>
      <c r="KNV6" s="97" t="str">
        <f t="shared" si="123"/>
        <v/>
      </c>
      <c r="KNW6" s="97" t="str">
        <f t="shared" si="123"/>
        <v/>
      </c>
      <c r="KNX6" s="97" t="str">
        <f t="shared" si="123"/>
        <v/>
      </c>
      <c r="KNY6" s="97" t="str">
        <f t="shared" si="123"/>
        <v/>
      </c>
      <c r="KNZ6" s="97" t="str">
        <f t="shared" si="123"/>
        <v/>
      </c>
      <c r="KOA6" s="97" t="str">
        <f t="shared" si="123"/>
        <v/>
      </c>
      <c r="KOB6" s="97" t="str">
        <f t="shared" si="123"/>
        <v/>
      </c>
      <c r="KOC6" s="97" t="str">
        <f t="shared" si="123"/>
        <v/>
      </c>
      <c r="KOD6" s="97" t="str">
        <f t="shared" si="123"/>
        <v/>
      </c>
      <c r="KOE6" s="97" t="str">
        <f t="shared" si="123"/>
        <v/>
      </c>
      <c r="KOF6" s="97" t="str">
        <f t="shared" si="123"/>
        <v/>
      </c>
      <c r="KOG6" s="97" t="str">
        <f t="shared" si="123"/>
        <v/>
      </c>
      <c r="KOH6" s="97" t="str">
        <f t="shared" si="123"/>
        <v/>
      </c>
      <c r="KOI6" s="97" t="str">
        <f t="shared" si="123"/>
        <v/>
      </c>
      <c r="KOJ6" s="97" t="str">
        <f t="shared" si="123"/>
        <v/>
      </c>
      <c r="KOK6" s="97" t="str">
        <f t="shared" si="123"/>
        <v/>
      </c>
      <c r="KOL6" s="97" t="str">
        <f t="shared" si="123"/>
        <v/>
      </c>
      <c r="KOM6" s="97" t="str">
        <f t="shared" si="123"/>
        <v/>
      </c>
      <c r="KON6" s="97" t="str">
        <f t="shared" si="123"/>
        <v/>
      </c>
      <c r="KOO6" s="97" t="str">
        <f t="shared" si="123"/>
        <v/>
      </c>
      <c r="KOP6" s="97" t="str">
        <f t="shared" si="123"/>
        <v/>
      </c>
      <c r="KOQ6" s="97" t="str">
        <f t="shared" si="123"/>
        <v/>
      </c>
      <c r="KOR6" s="97" t="str">
        <f t="shared" si="123"/>
        <v/>
      </c>
      <c r="KOS6" s="97" t="str">
        <f t="shared" si="123"/>
        <v/>
      </c>
      <c r="KOT6" s="97" t="str">
        <f t="shared" si="123"/>
        <v/>
      </c>
      <c r="KOU6" s="97" t="str">
        <f t="shared" si="123"/>
        <v/>
      </c>
      <c r="KOV6" s="97" t="str">
        <f t="shared" si="123"/>
        <v/>
      </c>
      <c r="KOW6" s="97" t="str">
        <f t="shared" si="123"/>
        <v/>
      </c>
      <c r="KOX6" s="97" t="str">
        <f t="shared" si="123"/>
        <v/>
      </c>
      <c r="KOY6" s="97" t="str">
        <f t="shared" si="123"/>
        <v/>
      </c>
      <c r="KOZ6" s="97" t="str">
        <f t="shared" si="123"/>
        <v/>
      </c>
      <c r="KPA6" s="97" t="str">
        <f t="shared" si="123"/>
        <v/>
      </c>
      <c r="KPB6" s="97" t="str">
        <f t="shared" si="123"/>
        <v/>
      </c>
      <c r="KPC6" s="97" t="str">
        <f t="shared" si="123"/>
        <v/>
      </c>
      <c r="KPD6" s="97" t="str">
        <f t="shared" si="123"/>
        <v/>
      </c>
      <c r="KPE6" s="97" t="str">
        <f t="shared" si="123"/>
        <v/>
      </c>
      <c r="KPF6" s="97" t="str">
        <f t="shared" si="123"/>
        <v/>
      </c>
      <c r="KPG6" s="97" t="str">
        <f t="shared" si="123"/>
        <v/>
      </c>
      <c r="KPH6" s="97" t="str">
        <f t="shared" si="123"/>
        <v/>
      </c>
      <c r="KPI6" s="97" t="str">
        <f t="shared" si="123"/>
        <v/>
      </c>
      <c r="KPJ6" s="97" t="str">
        <f t="shared" si="123"/>
        <v/>
      </c>
      <c r="KPK6" s="97" t="str">
        <f t="shared" si="123"/>
        <v/>
      </c>
      <c r="KPL6" s="97" t="str">
        <f t="shared" si="123"/>
        <v/>
      </c>
      <c r="KPM6" s="97" t="str">
        <f t="shared" si="123"/>
        <v/>
      </c>
      <c r="KPN6" s="97" t="str">
        <f t="shared" si="123"/>
        <v/>
      </c>
      <c r="KPO6" s="97" t="str">
        <f t="shared" si="123"/>
        <v/>
      </c>
      <c r="KPP6" s="97" t="str">
        <f t="shared" si="123"/>
        <v/>
      </c>
      <c r="KPQ6" s="97" t="str">
        <f t="shared" si="123"/>
        <v/>
      </c>
      <c r="KPR6" s="97" t="str">
        <f t="shared" si="123"/>
        <v/>
      </c>
      <c r="KPS6" s="97" t="str">
        <f t="shared" si="123"/>
        <v/>
      </c>
      <c r="KPT6" s="97" t="str">
        <f t="shared" si="123"/>
        <v/>
      </c>
      <c r="KPU6" s="97" t="str">
        <f t="shared" si="123"/>
        <v/>
      </c>
      <c r="KPV6" s="97" t="str">
        <f t="shared" si="123"/>
        <v/>
      </c>
      <c r="KPW6" s="97" t="str">
        <f t="shared" si="123"/>
        <v/>
      </c>
      <c r="KPX6" s="97" t="str">
        <f t="shared" si="123"/>
        <v/>
      </c>
      <c r="KPY6" s="97" t="str">
        <f t="shared" si="123"/>
        <v/>
      </c>
      <c r="KPZ6" s="97" t="str">
        <f t="shared" ref="KPZ6:KSK6" si="124">IFERROR(AVERAGE(KPZ7:KPZ13),"")</f>
        <v/>
      </c>
      <c r="KQA6" s="97" t="str">
        <f t="shared" si="124"/>
        <v/>
      </c>
      <c r="KQB6" s="97" t="str">
        <f t="shared" si="124"/>
        <v/>
      </c>
      <c r="KQC6" s="97" t="str">
        <f t="shared" si="124"/>
        <v/>
      </c>
      <c r="KQD6" s="97" t="str">
        <f t="shared" si="124"/>
        <v/>
      </c>
      <c r="KQE6" s="97" t="str">
        <f t="shared" si="124"/>
        <v/>
      </c>
      <c r="KQF6" s="97" t="str">
        <f t="shared" si="124"/>
        <v/>
      </c>
      <c r="KQG6" s="97" t="str">
        <f t="shared" si="124"/>
        <v/>
      </c>
      <c r="KQH6" s="97" t="str">
        <f t="shared" si="124"/>
        <v/>
      </c>
      <c r="KQI6" s="97" t="str">
        <f t="shared" si="124"/>
        <v/>
      </c>
      <c r="KQJ6" s="97" t="str">
        <f t="shared" si="124"/>
        <v/>
      </c>
      <c r="KQK6" s="97" t="str">
        <f t="shared" si="124"/>
        <v/>
      </c>
      <c r="KQL6" s="97" t="str">
        <f t="shared" si="124"/>
        <v/>
      </c>
      <c r="KQM6" s="97" t="str">
        <f t="shared" si="124"/>
        <v/>
      </c>
      <c r="KQN6" s="97" t="str">
        <f t="shared" si="124"/>
        <v/>
      </c>
      <c r="KQO6" s="97" t="str">
        <f t="shared" si="124"/>
        <v/>
      </c>
      <c r="KQP6" s="97" t="str">
        <f t="shared" si="124"/>
        <v/>
      </c>
      <c r="KQQ6" s="97" t="str">
        <f t="shared" si="124"/>
        <v/>
      </c>
      <c r="KQR6" s="97" t="str">
        <f t="shared" si="124"/>
        <v/>
      </c>
      <c r="KQS6" s="97" t="str">
        <f t="shared" si="124"/>
        <v/>
      </c>
      <c r="KQT6" s="97" t="str">
        <f t="shared" si="124"/>
        <v/>
      </c>
      <c r="KQU6" s="97" t="str">
        <f t="shared" si="124"/>
        <v/>
      </c>
      <c r="KQV6" s="97" t="str">
        <f t="shared" si="124"/>
        <v/>
      </c>
      <c r="KQW6" s="97" t="str">
        <f t="shared" si="124"/>
        <v/>
      </c>
      <c r="KQX6" s="97" t="str">
        <f t="shared" si="124"/>
        <v/>
      </c>
      <c r="KQY6" s="97" t="str">
        <f t="shared" si="124"/>
        <v/>
      </c>
      <c r="KQZ6" s="97" t="str">
        <f t="shared" si="124"/>
        <v/>
      </c>
      <c r="KRA6" s="97" t="str">
        <f t="shared" si="124"/>
        <v/>
      </c>
      <c r="KRB6" s="97" t="str">
        <f t="shared" si="124"/>
        <v/>
      </c>
      <c r="KRC6" s="97" t="str">
        <f t="shared" si="124"/>
        <v/>
      </c>
      <c r="KRD6" s="97" t="str">
        <f t="shared" si="124"/>
        <v/>
      </c>
      <c r="KRE6" s="97" t="str">
        <f t="shared" si="124"/>
        <v/>
      </c>
      <c r="KRF6" s="97" t="str">
        <f t="shared" si="124"/>
        <v/>
      </c>
      <c r="KRG6" s="97" t="str">
        <f t="shared" si="124"/>
        <v/>
      </c>
      <c r="KRH6" s="97" t="str">
        <f t="shared" si="124"/>
        <v/>
      </c>
      <c r="KRI6" s="97" t="str">
        <f t="shared" si="124"/>
        <v/>
      </c>
      <c r="KRJ6" s="97" t="str">
        <f t="shared" si="124"/>
        <v/>
      </c>
      <c r="KRK6" s="97" t="str">
        <f t="shared" si="124"/>
        <v/>
      </c>
      <c r="KRL6" s="97" t="str">
        <f t="shared" si="124"/>
        <v/>
      </c>
      <c r="KRM6" s="97" t="str">
        <f t="shared" si="124"/>
        <v/>
      </c>
      <c r="KRN6" s="97" t="str">
        <f t="shared" si="124"/>
        <v/>
      </c>
      <c r="KRO6" s="97" t="str">
        <f t="shared" si="124"/>
        <v/>
      </c>
      <c r="KRP6" s="97" t="str">
        <f t="shared" si="124"/>
        <v/>
      </c>
      <c r="KRQ6" s="97" t="str">
        <f t="shared" si="124"/>
        <v/>
      </c>
      <c r="KRR6" s="97" t="str">
        <f t="shared" si="124"/>
        <v/>
      </c>
      <c r="KRS6" s="97" t="str">
        <f t="shared" si="124"/>
        <v/>
      </c>
      <c r="KRT6" s="97" t="str">
        <f t="shared" si="124"/>
        <v/>
      </c>
      <c r="KRU6" s="97" t="str">
        <f t="shared" si="124"/>
        <v/>
      </c>
      <c r="KRV6" s="97" t="str">
        <f t="shared" si="124"/>
        <v/>
      </c>
      <c r="KRW6" s="97" t="str">
        <f t="shared" si="124"/>
        <v/>
      </c>
      <c r="KRX6" s="97" t="str">
        <f t="shared" si="124"/>
        <v/>
      </c>
      <c r="KRY6" s="97" t="str">
        <f t="shared" si="124"/>
        <v/>
      </c>
      <c r="KRZ6" s="97" t="str">
        <f t="shared" si="124"/>
        <v/>
      </c>
      <c r="KSA6" s="97" t="str">
        <f t="shared" si="124"/>
        <v/>
      </c>
      <c r="KSB6" s="97" t="str">
        <f t="shared" si="124"/>
        <v/>
      </c>
      <c r="KSC6" s="97" t="str">
        <f t="shared" si="124"/>
        <v/>
      </c>
      <c r="KSD6" s="97" t="str">
        <f t="shared" si="124"/>
        <v/>
      </c>
      <c r="KSE6" s="97" t="str">
        <f t="shared" si="124"/>
        <v/>
      </c>
      <c r="KSF6" s="97" t="str">
        <f t="shared" si="124"/>
        <v/>
      </c>
      <c r="KSG6" s="97" t="str">
        <f t="shared" si="124"/>
        <v/>
      </c>
      <c r="KSH6" s="97" t="str">
        <f t="shared" si="124"/>
        <v/>
      </c>
      <c r="KSI6" s="97" t="str">
        <f t="shared" si="124"/>
        <v/>
      </c>
      <c r="KSJ6" s="97" t="str">
        <f t="shared" si="124"/>
        <v/>
      </c>
      <c r="KSK6" s="97" t="str">
        <f t="shared" si="124"/>
        <v/>
      </c>
      <c r="KSL6" s="97" t="str">
        <f t="shared" ref="KSL6:KUW6" si="125">IFERROR(AVERAGE(KSL7:KSL13),"")</f>
        <v/>
      </c>
      <c r="KSM6" s="97" t="str">
        <f t="shared" si="125"/>
        <v/>
      </c>
      <c r="KSN6" s="97" t="str">
        <f t="shared" si="125"/>
        <v/>
      </c>
      <c r="KSO6" s="97" t="str">
        <f t="shared" si="125"/>
        <v/>
      </c>
      <c r="KSP6" s="97" t="str">
        <f t="shared" si="125"/>
        <v/>
      </c>
      <c r="KSQ6" s="97" t="str">
        <f t="shared" si="125"/>
        <v/>
      </c>
      <c r="KSR6" s="97" t="str">
        <f t="shared" si="125"/>
        <v/>
      </c>
      <c r="KSS6" s="97" t="str">
        <f t="shared" si="125"/>
        <v/>
      </c>
      <c r="KST6" s="97" t="str">
        <f t="shared" si="125"/>
        <v/>
      </c>
      <c r="KSU6" s="97" t="str">
        <f t="shared" si="125"/>
        <v/>
      </c>
      <c r="KSV6" s="97" t="str">
        <f t="shared" si="125"/>
        <v/>
      </c>
      <c r="KSW6" s="97" t="str">
        <f t="shared" si="125"/>
        <v/>
      </c>
      <c r="KSX6" s="97" t="str">
        <f t="shared" si="125"/>
        <v/>
      </c>
      <c r="KSY6" s="97" t="str">
        <f t="shared" si="125"/>
        <v/>
      </c>
      <c r="KSZ6" s="97" t="str">
        <f t="shared" si="125"/>
        <v/>
      </c>
      <c r="KTA6" s="97" t="str">
        <f t="shared" si="125"/>
        <v/>
      </c>
      <c r="KTB6" s="97" t="str">
        <f t="shared" si="125"/>
        <v/>
      </c>
      <c r="KTC6" s="97" t="str">
        <f t="shared" si="125"/>
        <v/>
      </c>
      <c r="KTD6" s="97" t="str">
        <f t="shared" si="125"/>
        <v/>
      </c>
      <c r="KTE6" s="97" t="str">
        <f t="shared" si="125"/>
        <v/>
      </c>
      <c r="KTF6" s="97" t="str">
        <f t="shared" si="125"/>
        <v/>
      </c>
      <c r="KTG6" s="97" t="str">
        <f t="shared" si="125"/>
        <v/>
      </c>
      <c r="KTH6" s="97" t="str">
        <f t="shared" si="125"/>
        <v/>
      </c>
      <c r="KTI6" s="97" t="str">
        <f t="shared" si="125"/>
        <v/>
      </c>
      <c r="KTJ6" s="97" t="str">
        <f t="shared" si="125"/>
        <v/>
      </c>
      <c r="KTK6" s="97" t="str">
        <f t="shared" si="125"/>
        <v/>
      </c>
      <c r="KTL6" s="97" t="str">
        <f t="shared" si="125"/>
        <v/>
      </c>
      <c r="KTM6" s="97" t="str">
        <f t="shared" si="125"/>
        <v/>
      </c>
      <c r="KTN6" s="97" t="str">
        <f t="shared" si="125"/>
        <v/>
      </c>
      <c r="KTO6" s="97" t="str">
        <f t="shared" si="125"/>
        <v/>
      </c>
      <c r="KTP6" s="97" t="str">
        <f t="shared" si="125"/>
        <v/>
      </c>
      <c r="KTQ6" s="97" t="str">
        <f t="shared" si="125"/>
        <v/>
      </c>
      <c r="KTR6" s="97" t="str">
        <f t="shared" si="125"/>
        <v/>
      </c>
      <c r="KTS6" s="97" t="str">
        <f t="shared" si="125"/>
        <v/>
      </c>
      <c r="KTT6" s="97" t="str">
        <f t="shared" si="125"/>
        <v/>
      </c>
      <c r="KTU6" s="97" t="str">
        <f t="shared" si="125"/>
        <v/>
      </c>
      <c r="KTV6" s="97" t="str">
        <f t="shared" si="125"/>
        <v/>
      </c>
      <c r="KTW6" s="97" t="str">
        <f t="shared" si="125"/>
        <v/>
      </c>
      <c r="KTX6" s="97" t="str">
        <f t="shared" si="125"/>
        <v/>
      </c>
      <c r="KTY6" s="97" t="str">
        <f t="shared" si="125"/>
        <v/>
      </c>
      <c r="KTZ6" s="97" t="str">
        <f t="shared" si="125"/>
        <v/>
      </c>
      <c r="KUA6" s="97" t="str">
        <f t="shared" si="125"/>
        <v/>
      </c>
      <c r="KUB6" s="97" t="str">
        <f t="shared" si="125"/>
        <v/>
      </c>
      <c r="KUC6" s="97" t="str">
        <f t="shared" si="125"/>
        <v/>
      </c>
      <c r="KUD6" s="97" t="str">
        <f t="shared" si="125"/>
        <v/>
      </c>
      <c r="KUE6" s="97" t="str">
        <f t="shared" si="125"/>
        <v/>
      </c>
      <c r="KUF6" s="97" t="str">
        <f t="shared" si="125"/>
        <v/>
      </c>
      <c r="KUG6" s="97" t="str">
        <f t="shared" si="125"/>
        <v/>
      </c>
      <c r="KUH6" s="97" t="str">
        <f t="shared" si="125"/>
        <v/>
      </c>
      <c r="KUI6" s="97" t="str">
        <f t="shared" si="125"/>
        <v/>
      </c>
      <c r="KUJ6" s="97" t="str">
        <f t="shared" si="125"/>
        <v/>
      </c>
      <c r="KUK6" s="97" t="str">
        <f t="shared" si="125"/>
        <v/>
      </c>
      <c r="KUL6" s="97" t="str">
        <f t="shared" si="125"/>
        <v/>
      </c>
      <c r="KUM6" s="97" t="str">
        <f t="shared" si="125"/>
        <v/>
      </c>
      <c r="KUN6" s="97" t="str">
        <f t="shared" si="125"/>
        <v/>
      </c>
      <c r="KUO6" s="97" t="str">
        <f t="shared" si="125"/>
        <v/>
      </c>
      <c r="KUP6" s="97" t="str">
        <f t="shared" si="125"/>
        <v/>
      </c>
      <c r="KUQ6" s="97" t="str">
        <f t="shared" si="125"/>
        <v/>
      </c>
      <c r="KUR6" s="97" t="str">
        <f t="shared" si="125"/>
        <v/>
      </c>
      <c r="KUS6" s="97" t="str">
        <f t="shared" si="125"/>
        <v/>
      </c>
      <c r="KUT6" s="97" t="str">
        <f t="shared" si="125"/>
        <v/>
      </c>
      <c r="KUU6" s="97" t="str">
        <f t="shared" si="125"/>
        <v/>
      </c>
      <c r="KUV6" s="97" t="str">
        <f t="shared" si="125"/>
        <v/>
      </c>
      <c r="KUW6" s="97" t="str">
        <f t="shared" si="125"/>
        <v/>
      </c>
      <c r="KUX6" s="97" t="str">
        <f t="shared" ref="KUX6:KXI6" si="126">IFERROR(AVERAGE(KUX7:KUX13),"")</f>
        <v/>
      </c>
      <c r="KUY6" s="97" t="str">
        <f t="shared" si="126"/>
        <v/>
      </c>
      <c r="KUZ6" s="97" t="str">
        <f t="shared" si="126"/>
        <v/>
      </c>
      <c r="KVA6" s="97" t="str">
        <f t="shared" si="126"/>
        <v/>
      </c>
      <c r="KVB6" s="97" t="str">
        <f t="shared" si="126"/>
        <v/>
      </c>
      <c r="KVC6" s="97" t="str">
        <f t="shared" si="126"/>
        <v/>
      </c>
      <c r="KVD6" s="97" t="str">
        <f t="shared" si="126"/>
        <v/>
      </c>
      <c r="KVE6" s="97" t="str">
        <f t="shared" si="126"/>
        <v/>
      </c>
      <c r="KVF6" s="97" t="str">
        <f t="shared" si="126"/>
        <v/>
      </c>
      <c r="KVG6" s="97" t="str">
        <f t="shared" si="126"/>
        <v/>
      </c>
      <c r="KVH6" s="97" t="str">
        <f t="shared" si="126"/>
        <v/>
      </c>
      <c r="KVI6" s="97" t="str">
        <f t="shared" si="126"/>
        <v/>
      </c>
      <c r="KVJ6" s="97" t="str">
        <f t="shared" si="126"/>
        <v/>
      </c>
      <c r="KVK6" s="97" t="str">
        <f t="shared" si="126"/>
        <v/>
      </c>
      <c r="KVL6" s="97" t="str">
        <f t="shared" si="126"/>
        <v/>
      </c>
      <c r="KVM6" s="97" t="str">
        <f t="shared" si="126"/>
        <v/>
      </c>
      <c r="KVN6" s="97" t="str">
        <f t="shared" si="126"/>
        <v/>
      </c>
      <c r="KVO6" s="97" t="str">
        <f t="shared" si="126"/>
        <v/>
      </c>
      <c r="KVP6" s="97" t="str">
        <f t="shared" si="126"/>
        <v/>
      </c>
      <c r="KVQ6" s="97" t="str">
        <f t="shared" si="126"/>
        <v/>
      </c>
      <c r="KVR6" s="97" t="str">
        <f t="shared" si="126"/>
        <v/>
      </c>
      <c r="KVS6" s="97" t="str">
        <f t="shared" si="126"/>
        <v/>
      </c>
      <c r="KVT6" s="97" t="str">
        <f t="shared" si="126"/>
        <v/>
      </c>
      <c r="KVU6" s="97" t="str">
        <f t="shared" si="126"/>
        <v/>
      </c>
      <c r="KVV6" s="97" t="str">
        <f t="shared" si="126"/>
        <v/>
      </c>
      <c r="KVW6" s="97" t="str">
        <f t="shared" si="126"/>
        <v/>
      </c>
      <c r="KVX6" s="97" t="str">
        <f t="shared" si="126"/>
        <v/>
      </c>
      <c r="KVY6" s="97" t="str">
        <f t="shared" si="126"/>
        <v/>
      </c>
      <c r="KVZ6" s="97" t="str">
        <f t="shared" si="126"/>
        <v/>
      </c>
      <c r="KWA6" s="97" t="str">
        <f t="shared" si="126"/>
        <v/>
      </c>
      <c r="KWB6" s="97" t="str">
        <f t="shared" si="126"/>
        <v/>
      </c>
      <c r="KWC6" s="97" t="str">
        <f t="shared" si="126"/>
        <v/>
      </c>
      <c r="KWD6" s="97" t="str">
        <f t="shared" si="126"/>
        <v/>
      </c>
      <c r="KWE6" s="97" t="str">
        <f t="shared" si="126"/>
        <v/>
      </c>
      <c r="KWF6" s="97" t="str">
        <f t="shared" si="126"/>
        <v/>
      </c>
      <c r="KWG6" s="97" t="str">
        <f t="shared" si="126"/>
        <v/>
      </c>
      <c r="KWH6" s="97" t="str">
        <f t="shared" si="126"/>
        <v/>
      </c>
      <c r="KWI6" s="97" t="str">
        <f t="shared" si="126"/>
        <v/>
      </c>
      <c r="KWJ6" s="97" t="str">
        <f t="shared" si="126"/>
        <v/>
      </c>
      <c r="KWK6" s="97" t="str">
        <f t="shared" si="126"/>
        <v/>
      </c>
      <c r="KWL6" s="97" t="str">
        <f t="shared" si="126"/>
        <v/>
      </c>
      <c r="KWM6" s="97" t="str">
        <f t="shared" si="126"/>
        <v/>
      </c>
      <c r="KWN6" s="97" t="str">
        <f t="shared" si="126"/>
        <v/>
      </c>
      <c r="KWO6" s="97" t="str">
        <f t="shared" si="126"/>
        <v/>
      </c>
      <c r="KWP6" s="97" t="str">
        <f t="shared" si="126"/>
        <v/>
      </c>
      <c r="KWQ6" s="97" t="str">
        <f t="shared" si="126"/>
        <v/>
      </c>
      <c r="KWR6" s="97" t="str">
        <f t="shared" si="126"/>
        <v/>
      </c>
      <c r="KWS6" s="97" t="str">
        <f t="shared" si="126"/>
        <v/>
      </c>
      <c r="KWT6" s="97" t="str">
        <f t="shared" si="126"/>
        <v/>
      </c>
      <c r="KWU6" s="97" t="str">
        <f t="shared" si="126"/>
        <v/>
      </c>
      <c r="KWV6" s="97" t="str">
        <f t="shared" si="126"/>
        <v/>
      </c>
      <c r="KWW6" s="97" t="str">
        <f t="shared" si="126"/>
        <v/>
      </c>
      <c r="KWX6" s="97" t="str">
        <f t="shared" si="126"/>
        <v/>
      </c>
      <c r="KWY6" s="97" t="str">
        <f t="shared" si="126"/>
        <v/>
      </c>
      <c r="KWZ6" s="97" t="str">
        <f t="shared" si="126"/>
        <v/>
      </c>
      <c r="KXA6" s="97" t="str">
        <f t="shared" si="126"/>
        <v/>
      </c>
      <c r="KXB6" s="97" t="str">
        <f t="shared" si="126"/>
        <v/>
      </c>
      <c r="KXC6" s="97" t="str">
        <f t="shared" si="126"/>
        <v/>
      </c>
      <c r="KXD6" s="97" t="str">
        <f t="shared" si="126"/>
        <v/>
      </c>
      <c r="KXE6" s="97" t="str">
        <f t="shared" si="126"/>
        <v/>
      </c>
      <c r="KXF6" s="97" t="str">
        <f t="shared" si="126"/>
        <v/>
      </c>
      <c r="KXG6" s="97" t="str">
        <f t="shared" si="126"/>
        <v/>
      </c>
      <c r="KXH6" s="97" t="str">
        <f t="shared" si="126"/>
        <v/>
      </c>
      <c r="KXI6" s="97" t="str">
        <f t="shared" si="126"/>
        <v/>
      </c>
      <c r="KXJ6" s="97" t="str">
        <f t="shared" ref="KXJ6:KZU6" si="127">IFERROR(AVERAGE(KXJ7:KXJ13),"")</f>
        <v/>
      </c>
      <c r="KXK6" s="97" t="str">
        <f t="shared" si="127"/>
        <v/>
      </c>
      <c r="KXL6" s="97" t="str">
        <f t="shared" si="127"/>
        <v/>
      </c>
      <c r="KXM6" s="97" t="str">
        <f t="shared" si="127"/>
        <v/>
      </c>
      <c r="KXN6" s="97" t="str">
        <f t="shared" si="127"/>
        <v/>
      </c>
      <c r="KXO6" s="97" t="str">
        <f t="shared" si="127"/>
        <v/>
      </c>
      <c r="KXP6" s="97" t="str">
        <f t="shared" si="127"/>
        <v/>
      </c>
      <c r="KXQ6" s="97" t="str">
        <f t="shared" si="127"/>
        <v/>
      </c>
      <c r="KXR6" s="97" t="str">
        <f t="shared" si="127"/>
        <v/>
      </c>
      <c r="KXS6" s="97" t="str">
        <f t="shared" si="127"/>
        <v/>
      </c>
      <c r="KXT6" s="97" t="str">
        <f t="shared" si="127"/>
        <v/>
      </c>
      <c r="KXU6" s="97" t="str">
        <f t="shared" si="127"/>
        <v/>
      </c>
      <c r="KXV6" s="97" t="str">
        <f t="shared" si="127"/>
        <v/>
      </c>
      <c r="KXW6" s="97" t="str">
        <f t="shared" si="127"/>
        <v/>
      </c>
      <c r="KXX6" s="97" t="str">
        <f t="shared" si="127"/>
        <v/>
      </c>
      <c r="KXY6" s="97" t="str">
        <f t="shared" si="127"/>
        <v/>
      </c>
      <c r="KXZ6" s="97" t="str">
        <f t="shared" si="127"/>
        <v/>
      </c>
      <c r="KYA6" s="97" t="str">
        <f t="shared" si="127"/>
        <v/>
      </c>
      <c r="KYB6" s="97" t="str">
        <f t="shared" si="127"/>
        <v/>
      </c>
      <c r="KYC6" s="97" t="str">
        <f t="shared" si="127"/>
        <v/>
      </c>
      <c r="KYD6" s="97" t="str">
        <f t="shared" si="127"/>
        <v/>
      </c>
      <c r="KYE6" s="97" t="str">
        <f t="shared" si="127"/>
        <v/>
      </c>
      <c r="KYF6" s="97" t="str">
        <f t="shared" si="127"/>
        <v/>
      </c>
      <c r="KYG6" s="97" t="str">
        <f t="shared" si="127"/>
        <v/>
      </c>
      <c r="KYH6" s="97" t="str">
        <f t="shared" si="127"/>
        <v/>
      </c>
      <c r="KYI6" s="97" t="str">
        <f t="shared" si="127"/>
        <v/>
      </c>
      <c r="KYJ6" s="97" t="str">
        <f t="shared" si="127"/>
        <v/>
      </c>
      <c r="KYK6" s="97" t="str">
        <f t="shared" si="127"/>
        <v/>
      </c>
      <c r="KYL6" s="97" t="str">
        <f t="shared" si="127"/>
        <v/>
      </c>
      <c r="KYM6" s="97" t="str">
        <f t="shared" si="127"/>
        <v/>
      </c>
      <c r="KYN6" s="97" t="str">
        <f t="shared" si="127"/>
        <v/>
      </c>
      <c r="KYO6" s="97" t="str">
        <f t="shared" si="127"/>
        <v/>
      </c>
      <c r="KYP6" s="97" t="str">
        <f t="shared" si="127"/>
        <v/>
      </c>
      <c r="KYQ6" s="97" t="str">
        <f t="shared" si="127"/>
        <v/>
      </c>
      <c r="KYR6" s="97" t="str">
        <f t="shared" si="127"/>
        <v/>
      </c>
      <c r="KYS6" s="97" t="str">
        <f t="shared" si="127"/>
        <v/>
      </c>
      <c r="KYT6" s="97" t="str">
        <f t="shared" si="127"/>
        <v/>
      </c>
      <c r="KYU6" s="97" t="str">
        <f t="shared" si="127"/>
        <v/>
      </c>
      <c r="KYV6" s="97" t="str">
        <f t="shared" si="127"/>
        <v/>
      </c>
      <c r="KYW6" s="97" t="str">
        <f t="shared" si="127"/>
        <v/>
      </c>
      <c r="KYX6" s="97" t="str">
        <f t="shared" si="127"/>
        <v/>
      </c>
      <c r="KYY6" s="97" t="str">
        <f t="shared" si="127"/>
        <v/>
      </c>
      <c r="KYZ6" s="97" t="str">
        <f t="shared" si="127"/>
        <v/>
      </c>
      <c r="KZA6" s="97" t="str">
        <f t="shared" si="127"/>
        <v/>
      </c>
      <c r="KZB6" s="97" t="str">
        <f t="shared" si="127"/>
        <v/>
      </c>
      <c r="KZC6" s="97" t="str">
        <f t="shared" si="127"/>
        <v/>
      </c>
      <c r="KZD6" s="97" t="str">
        <f t="shared" si="127"/>
        <v/>
      </c>
      <c r="KZE6" s="97" t="str">
        <f t="shared" si="127"/>
        <v/>
      </c>
      <c r="KZF6" s="97" t="str">
        <f t="shared" si="127"/>
        <v/>
      </c>
      <c r="KZG6" s="97" t="str">
        <f t="shared" si="127"/>
        <v/>
      </c>
      <c r="KZH6" s="97" t="str">
        <f t="shared" si="127"/>
        <v/>
      </c>
      <c r="KZI6" s="97" t="str">
        <f t="shared" si="127"/>
        <v/>
      </c>
      <c r="KZJ6" s="97" t="str">
        <f t="shared" si="127"/>
        <v/>
      </c>
      <c r="KZK6" s="97" t="str">
        <f t="shared" si="127"/>
        <v/>
      </c>
      <c r="KZL6" s="97" t="str">
        <f t="shared" si="127"/>
        <v/>
      </c>
      <c r="KZM6" s="97" t="str">
        <f t="shared" si="127"/>
        <v/>
      </c>
      <c r="KZN6" s="97" t="str">
        <f t="shared" si="127"/>
        <v/>
      </c>
      <c r="KZO6" s="97" t="str">
        <f t="shared" si="127"/>
        <v/>
      </c>
      <c r="KZP6" s="97" t="str">
        <f t="shared" si="127"/>
        <v/>
      </c>
      <c r="KZQ6" s="97" t="str">
        <f t="shared" si="127"/>
        <v/>
      </c>
      <c r="KZR6" s="97" t="str">
        <f t="shared" si="127"/>
        <v/>
      </c>
      <c r="KZS6" s="97" t="str">
        <f t="shared" si="127"/>
        <v/>
      </c>
      <c r="KZT6" s="97" t="str">
        <f t="shared" si="127"/>
        <v/>
      </c>
      <c r="KZU6" s="97" t="str">
        <f t="shared" si="127"/>
        <v/>
      </c>
      <c r="KZV6" s="97" t="str">
        <f t="shared" ref="KZV6:LCG6" si="128">IFERROR(AVERAGE(KZV7:KZV13),"")</f>
        <v/>
      </c>
      <c r="KZW6" s="97" t="str">
        <f t="shared" si="128"/>
        <v/>
      </c>
      <c r="KZX6" s="97" t="str">
        <f t="shared" si="128"/>
        <v/>
      </c>
      <c r="KZY6" s="97" t="str">
        <f t="shared" si="128"/>
        <v/>
      </c>
      <c r="KZZ6" s="97" t="str">
        <f t="shared" si="128"/>
        <v/>
      </c>
      <c r="LAA6" s="97" t="str">
        <f t="shared" si="128"/>
        <v/>
      </c>
      <c r="LAB6" s="97" t="str">
        <f t="shared" si="128"/>
        <v/>
      </c>
      <c r="LAC6" s="97" t="str">
        <f t="shared" si="128"/>
        <v/>
      </c>
      <c r="LAD6" s="97" t="str">
        <f t="shared" si="128"/>
        <v/>
      </c>
      <c r="LAE6" s="97" t="str">
        <f t="shared" si="128"/>
        <v/>
      </c>
      <c r="LAF6" s="97" t="str">
        <f t="shared" si="128"/>
        <v/>
      </c>
      <c r="LAG6" s="97" t="str">
        <f t="shared" si="128"/>
        <v/>
      </c>
      <c r="LAH6" s="97" t="str">
        <f t="shared" si="128"/>
        <v/>
      </c>
      <c r="LAI6" s="97" t="str">
        <f t="shared" si="128"/>
        <v/>
      </c>
      <c r="LAJ6" s="97" t="str">
        <f t="shared" si="128"/>
        <v/>
      </c>
      <c r="LAK6" s="97" t="str">
        <f t="shared" si="128"/>
        <v/>
      </c>
      <c r="LAL6" s="97" t="str">
        <f t="shared" si="128"/>
        <v/>
      </c>
      <c r="LAM6" s="97" t="str">
        <f t="shared" si="128"/>
        <v/>
      </c>
      <c r="LAN6" s="97" t="str">
        <f t="shared" si="128"/>
        <v/>
      </c>
      <c r="LAO6" s="97" t="str">
        <f t="shared" si="128"/>
        <v/>
      </c>
      <c r="LAP6" s="97" t="str">
        <f t="shared" si="128"/>
        <v/>
      </c>
      <c r="LAQ6" s="97" t="str">
        <f t="shared" si="128"/>
        <v/>
      </c>
      <c r="LAR6" s="97" t="str">
        <f t="shared" si="128"/>
        <v/>
      </c>
      <c r="LAS6" s="97" t="str">
        <f t="shared" si="128"/>
        <v/>
      </c>
      <c r="LAT6" s="97" t="str">
        <f t="shared" si="128"/>
        <v/>
      </c>
      <c r="LAU6" s="97" t="str">
        <f t="shared" si="128"/>
        <v/>
      </c>
      <c r="LAV6" s="97" t="str">
        <f t="shared" si="128"/>
        <v/>
      </c>
      <c r="LAW6" s="97" t="str">
        <f t="shared" si="128"/>
        <v/>
      </c>
      <c r="LAX6" s="97" t="str">
        <f t="shared" si="128"/>
        <v/>
      </c>
      <c r="LAY6" s="97" t="str">
        <f t="shared" si="128"/>
        <v/>
      </c>
      <c r="LAZ6" s="97" t="str">
        <f t="shared" si="128"/>
        <v/>
      </c>
      <c r="LBA6" s="97" t="str">
        <f t="shared" si="128"/>
        <v/>
      </c>
      <c r="LBB6" s="97" t="str">
        <f t="shared" si="128"/>
        <v/>
      </c>
      <c r="LBC6" s="97" t="str">
        <f t="shared" si="128"/>
        <v/>
      </c>
      <c r="LBD6" s="97" t="str">
        <f t="shared" si="128"/>
        <v/>
      </c>
      <c r="LBE6" s="97" t="str">
        <f t="shared" si="128"/>
        <v/>
      </c>
      <c r="LBF6" s="97" t="str">
        <f t="shared" si="128"/>
        <v/>
      </c>
      <c r="LBG6" s="97" t="str">
        <f t="shared" si="128"/>
        <v/>
      </c>
      <c r="LBH6" s="97" t="str">
        <f t="shared" si="128"/>
        <v/>
      </c>
      <c r="LBI6" s="97" t="str">
        <f t="shared" si="128"/>
        <v/>
      </c>
      <c r="LBJ6" s="97" t="str">
        <f t="shared" si="128"/>
        <v/>
      </c>
      <c r="LBK6" s="97" t="str">
        <f t="shared" si="128"/>
        <v/>
      </c>
      <c r="LBL6" s="97" t="str">
        <f t="shared" si="128"/>
        <v/>
      </c>
      <c r="LBM6" s="97" t="str">
        <f t="shared" si="128"/>
        <v/>
      </c>
      <c r="LBN6" s="97" t="str">
        <f t="shared" si="128"/>
        <v/>
      </c>
      <c r="LBO6" s="97" t="str">
        <f t="shared" si="128"/>
        <v/>
      </c>
      <c r="LBP6" s="97" t="str">
        <f t="shared" si="128"/>
        <v/>
      </c>
      <c r="LBQ6" s="97" t="str">
        <f t="shared" si="128"/>
        <v/>
      </c>
      <c r="LBR6" s="97" t="str">
        <f t="shared" si="128"/>
        <v/>
      </c>
      <c r="LBS6" s="97" t="str">
        <f t="shared" si="128"/>
        <v/>
      </c>
      <c r="LBT6" s="97" t="str">
        <f t="shared" si="128"/>
        <v/>
      </c>
      <c r="LBU6" s="97" t="str">
        <f t="shared" si="128"/>
        <v/>
      </c>
      <c r="LBV6" s="97" t="str">
        <f t="shared" si="128"/>
        <v/>
      </c>
      <c r="LBW6" s="97" t="str">
        <f t="shared" si="128"/>
        <v/>
      </c>
      <c r="LBX6" s="97" t="str">
        <f t="shared" si="128"/>
        <v/>
      </c>
      <c r="LBY6" s="97" t="str">
        <f t="shared" si="128"/>
        <v/>
      </c>
      <c r="LBZ6" s="97" t="str">
        <f t="shared" si="128"/>
        <v/>
      </c>
      <c r="LCA6" s="97" t="str">
        <f t="shared" si="128"/>
        <v/>
      </c>
      <c r="LCB6" s="97" t="str">
        <f t="shared" si="128"/>
        <v/>
      </c>
      <c r="LCC6" s="97" t="str">
        <f t="shared" si="128"/>
        <v/>
      </c>
      <c r="LCD6" s="97" t="str">
        <f t="shared" si="128"/>
        <v/>
      </c>
      <c r="LCE6" s="97" t="str">
        <f t="shared" si="128"/>
        <v/>
      </c>
      <c r="LCF6" s="97" t="str">
        <f t="shared" si="128"/>
        <v/>
      </c>
      <c r="LCG6" s="97" t="str">
        <f t="shared" si="128"/>
        <v/>
      </c>
      <c r="LCH6" s="97" t="str">
        <f t="shared" ref="LCH6:LES6" si="129">IFERROR(AVERAGE(LCH7:LCH13),"")</f>
        <v/>
      </c>
      <c r="LCI6" s="97" t="str">
        <f t="shared" si="129"/>
        <v/>
      </c>
      <c r="LCJ6" s="97" t="str">
        <f t="shared" si="129"/>
        <v/>
      </c>
      <c r="LCK6" s="97" t="str">
        <f t="shared" si="129"/>
        <v/>
      </c>
      <c r="LCL6" s="97" t="str">
        <f t="shared" si="129"/>
        <v/>
      </c>
      <c r="LCM6" s="97" t="str">
        <f t="shared" si="129"/>
        <v/>
      </c>
      <c r="LCN6" s="97" t="str">
        <f t="shared" si="129"/>
        <v/>
      </c>
      <c r="LCO6" s="97" t="str">
        <f t="shared" si="129"/>
        <v/>
      </c>
      <c r="LCP6" s="97" t="str">
        <f t="shared" si="129"/>
        <v/>
      </c>
      <c r="LCQ6" s="97" t="str">
        <f t="shared" si="129"/>
        <v/>
      </c>
      <c r="LCR6" s="97" t="str">
        <f t="shared" si="129"/>
        <v/>
      </c>
      <c r="LCS6" s="97" t="str">
        <f t="shared" si="129"/>
        <v/>
      </c>
      <c r="LCT6" s="97" t="str">
        <f t="shared" si="129"/>
        <v/>
      </c>
      <c r="LCU6" s="97" t="str">
        <f t="shared" si="129"/>
        <v/>
      </c>
      <c r="LCV6" s="97" t="str">
        <f t="shared" si="129"/>
        <v/>
      </c>
      <c r="LCW6" s="97" t="str">
        <f t="shared" si="129"/>
        <v/>
      </c>
      <c r="LCX6" s="97" t="str">
        <f t="shared" si="129"/>
        <v/>
      </c>
      <c r="LCY6" s="97" t="str">
        <f t="shared" si="129"/>
        <v/>
      </c>
      <c r="LCZ6" s="97" t="str">
        <f t="shared" si="129"/>
        <v/>
      </c>
      <c r="LDA6" s="97" t="str">
        <f t="shared" si="129"/>
        <v/>
      </c>
      <c r="LDB6" s="97" t="str">
        <f t="shared" si="129"/>
        <v/>
      </c>
      <c r="LDC6" s="97" t="str">
        <f t="shared" si="129"/>
        <v/>
      </c>
      <c r="LDD6" s="97" t="str">
        <f t="shared" si="129"/>
        <v/>
      </c>
      <c r="LDE6" s="97" t="str">
        <f t="shared" si="129"/>
        <v/>
      </c>
      <c r="LDF6" s="97" t="str">
        <f t="shared" si="129"/>
        <v/>
      </c>
      <c r="LDG6" s="97" t="str">
        <f t="shared" si="129"/>
        <v/>
      </c>
      <c r="LDH6" s="97" t="str">
        <f t="shared" si="129"/>
        <v/>
      </c>
      <c r="LDI6" s="97" t="str">
        <f t="shared" si="129"/>
        <v/>
      </c>
      <c r="LDJ6" s="97" t="str">
        <f t="shared" si="129"/>
        <v/>
      </c>
      <c r="LDK6" s="97" t="str">
        <f t="shared" si="129"/>
        <v/>
      </c>
      <c r="LDL6" s="97" t="str">
        <f t="shared" si="129"/>
        <v/>
      </c>
      <c r="LDM6" s="97" t="str">
        <f t="shared" si="129"/>
        <v/>
      </c>
      <c r="LDN6" s="97" t="str">
        <f t="shared" si="129"/>
        <v/>
      </c>
      <c r="LDO6" s="97" t="str">
        <f t="shared" si="129"/>
        <v/>
      </c>
      <c r="LDP6" s="97" t="str">
        <f t="shared" si="129"/>
        <v/>
      </c>
      <c r="LDQ6" s="97" t="str">
        <f t="shared" si="129"/>
        <v/>
      </c>
      <c r="LDR6" s="97" t="str">
        <f t="shared" si="129"/>
        <v/>
      </c>
      <c r="LDS6" s="97" t="str">
        <f t="shared" si="129"/>
        <v/>
      </c>
      <c r="LDT6" s="97" t="str">
        <f t="shared" si="129"/>
        <v/>
      </c>
      <c r="LDU6" s="97" t="str">
        <f t="shared" si="129"/>
        <v/>
      </c>
      <c r="LDV6" s="97" t="str">
        <f t="shared" si="129"/>
        <v/>
      </c>
      <c r="LDW6" s="97" t="str">
        <f t="shared" si="129"/>
        <v/>
      </c>
      <c r="LDX6" s="97" t="str">
        <f t="shared" si="129"/>
        <v/>
      </c>
      <c r="LDY6" s="97" t="str">
        <f t="shared" si="129"/>
        <v/>
      </c>
      <c r="LDZ6" s="97" t="str">
        <f t="shared" si="129"/>
        <v/>
      </c>
      <c r="LEA6" s="97" t="str">
        <f t="shared" si="129"/>
        <v/>
      </c>
      <c r="LEB6" s="97" t="str">
        <f t="shared" si="129"/>
        <v/>
      </c>
      <c r="LEC6" s="97" t="str">
        <f t="shared" si="129"/>
        <v/>
      </c>
      <c r="LED6" s="97" t="str">
        <f t="shared" si="129"/>
        <v/>
      </c>
      <c r="LEE6" s="97" t="str">
        <f t="shared" si="129"/>
        <v/>
      </c>
      <c r="LEF6" s="97" t="str">
        <f t="shared" si="129"/>
        <v/>
      </c>
      <c r="LEG6" s="97" t="str">
        <f t="shared" si="129"/>
        <v/>
      </c>
      <c r="LEH6" s="97" t="str">
        <f t="shared" si="129"/>
        <v/>
      </c>
      <c r="LEI6" s="97" t="str">
        <f t="shared" si="129"/>
        <v/>
      </c>
      <c r="LEJ6" s="97" t="str">
        <f t="shared" si="129"/>
        <v/>
      </c>
      <c r="LEK6" s="97" t="str">
        <f t="shared" si="129"/>
        <v/>
      </c>
      <c r="LEL6" s="97" t="str">
        <f t="shared" si="129"/>
        <v/>
      </c>
      <c r="LEM6" s="97" t="str">
        <f t="shared" si="129"/>
        <v/>
      </c>
      <c r="LEN6" s="97" t="str">
        <f t="shared" si="129"/>
        <v/>
      </c>
      <c r="LEO6" s="97" t="str">
        <f t="shared" si="129"/>
        <v/>
      </c>
      <c r="LEP6" s="97" t="str">
        <f t="shared" si="129"/>
        <v/>
      </c>
      <c r="LEQ6" s="97" t="str">
        <f t="shared" si="129"/>
        <v/>
      </c>
      <c r="LER6" s="97" t="str">
        <f t="shared" si="129"/>
        <v/>
      </c>
      <c r="LES6" s="97" t="str">
        <f t="shared" si="129"/>
        <v/>
      </c>
      <c r="LET6" s="97" t="str">
        <f t="shared" ref="LET6:LHE6" si="130">IFERROR(AVERAGE(LET7:LET13),"")</f>
        <v/>
      </c>
      <c r="LEU6" s="97" t="str">
        <f t="shared" si="130"/>
        <v/>
      </c>
      <c r="LEV6" s="97" t="str">
        <f t="shared" si="130"/>
        <v/>
      </c>
      <c r="LEW6" s="97" t="str">
        <f t="shared" si="130"/>
        <v/>
      </c>
      <c r="LEX6" s="97" t="str">
        <f t="shared" si="130"/>
        <v/>
      </c>
      <c r="LEY6" s="97" t="str">
        <f t="shared" si="130"/>
        <v/>
      </c>
      <c r="LEZ6" s="97" t="str">
        <f t="shared" si="130"/>
        <v/>
      </c>
      <c r="LFA6" s="97" t="str">
        <f t="shared" si="130"/>
        <v/>
      </c>
      <c r="LFB6" s="97" t="str">
        <f t="shared" si="130"/>
        <v/>
      </c>
      <c r="LFC6" s="97" t="str">
        <f t="shared" si="130"/>
        <v/>
      </c>
      <c r="LFD6" s="97" t="str">
        <f t="shared" si="130"/>
        <v/>
      </c>
      <c r="LFE6" s="97" t="str">
        <f t="shared" si="130"/>
        <v/>
      </c>
      <c r="LFF6" s="97" t="str">
        <f t="shared" si="130"/>
        <v/>
      </c>
      <c r="LFG6" s="97" t="str">
        <f t="shared" si="130"/>
        <v/>
      </c>
      <c r="LFH6" s="97" t="str">
        <f t="shared" si="130"/>
        <v/>
      </c>
      <c r="LFI6" s="97" t="str">
        <f t="shared" si="130"/>
        <v/>
      </c>
      <c r="LFJ6" s="97" t="str">
        <f t="shared" si="130"/>
        <v/>
      </c>
      <c r="LFK6" s="97" t="str">
        <f t="shared" si="130"/>
        <v/>
      </c>
      <c r="LFL6" s="97" t="str">
        <f t="shared" si="130"/>
        <v/>
      </c>
      <c r="LFM6" s="97" t="str">
        <f t="shared" si="130"/>
        <v/>
      </c>
      <c r="LFN6" s="97" t="str">
        <f t="shared" si="130"/>
        <v/>
      </c>
      <c r="LFO6" s="97" t="str">
        <f t="shared" si="130"/>
        <v/>
      </c>
      <c r="LFP6" s="97" t="str">
        <f t="shared" si="130"/>
        <v/>
      </c>
      <c r="LFQ6" s="97" t="str">
        <f t="shared" si="130"/>
        <v/>
      </c>
      <c r="LFR6" s="97" t="str">
        <f t="shared" si="130"/>
        <v/>
      </c>
      <c r="LFS6" s="97" t="str">
        <f t="shared" si="130"/>
        <v/>
      </c>
      <c r="LFT6" s="97" t="str">
        <f t="shared" si="130"/>
        <v/>
      </c>
      <c r="LFU6" s="97" t="str">
        <f t="shared" si="130"/>
        <v/>
      </c>
      <c r="LFV6" s="97" t="str">
        <f t="shared" si="130"/>
        <v/>
      </c>
      <c r="LFW6" s="97" t="str">
        <f t="shared" si="130"/>
        <v/>
      </c>
      <c r="LFX6" s="97" t="str">
        <f t="shared" si="130"/>
        <v/>
      </c>
      <c r="LFY6" s="97" t="str">
        <f t="shared" si="130"/>
        <v/>
      </c>
      <c r="LFZ6" s="97" t="str">
        <f t="shared" si="130"/>
        <v/>
      </c>
      <c r="LGA6" s="97" t="str">
        <f t="shared" si="130"/>
        <v/>
      </c>
      <c r="LGB6" s="97" t="str">
        <f t="shared" si="130"/>
        <v/>
      </c>
      <c r="LGC6" s="97" t="str">
        <f t="shared" si="130"/>
        <v/>
      </c>
      <c r="LGD6" s="97" t="str">
        <f t="shared" si="130"/>
        <v/>
      </c>
      <c r="LGE6" s="97" t="str">
        <f t="shared" si="130"/>
        <v/>
      </c>
      <c r="LGF6" s="97" t="str">
        <f t="shared" si="130"/>
        <v/>
      </c>
      <c r="LGG6" s="97" t="str">
        <f t="shared" si="130"/>
        <v/>
      </c>
      <c r="LGH6" s="97" t="str">
        <f t="shared" si="130"/>
        <v/>
      </c>
      <c r="LGI6" s="97" t="str">
        <f t="shared" si="130"/>
        <v/>
      </c>
      <c r="LGJ6" s="97" t="str">
        <f t="shared" si="130"/>
        <v/>
      </c>
      <c r="LGK6" s="97" t="str">
        <f t="shared" si="130"/>
        <v/>
      </c>
      <c r="LGL6" s="97" t="str">
        <f t="shared" si="130"/>
        <v/>
      </c>
      <c r="LGM6" s="97" t="str">
        <f t="shared" si="130"/>
        <v/>
      </c>
      <c r="LGN6" s="97" t="str">
        <f t="shared" si="130"/>
        <v/>
      </c>
      <c r="LGO6" s="97" t="str">
        <f t="shared" si="130"/>
        <v/>
      </c>
      <c r="LGP6" s="97" t="str">
        <f t="shared" si="130"/>
        <v/>
      </c>
      <c r="LGQ6" s="97" t="str">
        <f t="shared" si="130"/>
        <v/>
      </c>
      <c r="LGR6" s="97" t="str">
        <f t="shared" si="130"/>
        <v/>
      </c>
      <c r="LGS6" s="97" t="str">
        <f t="shared" si="130"/>
        <v/>
      </c>
      <c r="LGT6" s="97" t="str">
        <f t="shared" si="130"/>
        <v/>
      </c>
      <c r="LGU6" s="97" t="str">
        <f t="shared" si="130"/>
        <v/>
      </c>
      <c r="LGV6" s="97" t="str">
        <f t="shared" si="130"/>
        <v/>
      </c>
      <c r="LGW6" s="97" t="str">
        <f t="shared" si="130"/>
        <v/>
      </c>
      <c r="LGX6" s="97" t="str">
        <f t="shared" si="130"/>
        <v/>
      </c>
      <c r="LGY6" s="97" t="str">
        <f t="shared" si="130"/>
        <v/>
      </c>
      <c r="LGZ6" s="97" t="str">
        <f t="shared" si="130"/>
        <v/>
      </c>
      <c r="LHA6" s="97" t="str">
        <f t="shared" si="130"/>
        <v/>
      </c>
      <c r="LHB6" s="97" t="str">
        <f t="shared" si="130"/>
        <v/>
      </c>
      <c r="LHC6" s="97" t="str">
        <f t="shared" si="130"/>
        <v/>
      </c>
      <c r="LHD6" s="97" t="str">
        <f t="shared" si="130"/>
        <v/>
      </c>
      <c r="LHE6" s="97" t="str">
        <f t="shared" si="130"/>
        <v/>
      </c>
      <c r="LHF6" s="97" t="str">
        <f t="shared" ref="LHF6:LJQ6" si="131">IFERROR(AVERAGE(LHF7:LHF13),"")</f>
        <v/>
      </c>
      <c r="LHG6" s="97" t="str">
        <f t="shared" si="131"/>
        <v/>
      </c>
      <c r="LHH6" s="97" t="str">
        <f t="shared" si="131"/>
        <v/>
      </c>
      <c r="LHI6" s="97" t="str">
        <f t="shared" si="131"/>
        <v/>
      </c>
      <c r="LHJ6" s="97" t="str">
        <f t="shared" si="131"/>
        <v/>
      </c>
      <c r="LHK6" s="97" t="str">
        <f t="shared" si="131"/>
        <v/>
      </c>
      <c r="LHL6" s="97" t="str">
        <f t="shared" si="131"/>
        <v/>
      </c>
      <c r="LHM6" s="97" t="str">
        <f t="shared" si="131"/>
        <v/>
      </c>
      <c r="LHN6" s="97" t="str">
        <f t="shared" si="131"/>
        <v/>
      </c>
      <c r="LHO6" s="97" t="str">
        <f t="shared" si="131"/>
        <v/>
      </c>
      <c r="LHP6" s="97" t="str">
        <f t="shared" si="131"/>
        <v/>
      </c>
      <c r="LHQ6" s="97" t="str">
        <f t="shared" si="131"/>
        <v/>
      </c>
      <c r="LHR6" s="97" t="str">
        <f t="shared" si="131"/>
        <v/>
      </c>
      <c r="LHS6" s="97" t="str">
        <f t="shared" si="131"/>
        <v/>
      </c>
      <c r="LHT6" s="97" t="str">
        <f t="shared" si="131"/>
        <v/>
      </c>
      <c r="LHU6" s="97" t="str">
        <f t="shared" si="131"/>
        <v/>
      </c>
      <c r="LHV6" s="97" t="str">
        <f t="shared" si="131"/>
        <v/>
      </c>
      <c r="LHW6" s="97" t="str">
        <f t="shared" si="131"/>
        <v/>
      </c>
      <c r="LHX6" s="97" t="str">
        <f t="shared" si="131"/>
        <v/>
      </c>
      <c r="LHY6" s="97" t="str">
        <f t="shared" si="131"/>
        <v/>
      </c>
      <c r="LHZ6" s="97" t="str">
        <f t="shared" si="131"/>
        <v/>
      </c>
      <c r="LIA6" s="97" t="str">
        <f t="shared" si="131"/>
        <v/>
      </c>
      <c r="LIB6" s="97" t="str">
        <f t="shared" si="131"/>
        <v/>
      </c>
      <c r="LIC6" s="97" t="str">
        <f t="shared" si="131"/>
        <v/>
      </c>
      <c r="LID6" s="97" t="str">
        <f t="shared" si="131"/>
        <v/>
      </c>
      <c r="LIE6" s="97" t="str">
        <f t="shared" si="131"/>
        <v/>
      </c>
      <c r="LIF6" s="97" t="str">
        <f t="shared" si="131"/>
        <v/>
      </c>
      <c r="LIG6" s="97" t="str">
        <f t="shared" si="131"/>
        <v/>
      </c>
      <c r="LIH6" s="97" t="str">
        <f t="shared" si="131"/>
        <v/>
      </c>
      <c r="LII6" s="97" t="str">
        <f t="shared" si="131"/>
        <v/>
      </c>
      <c r="LIJ6" s="97" t="str">
        <f t="shared" si="131"/>
        <v/>
      </c>
      <c r="LIK6" s="97" t="str">
        <f t="shared" si="131"/>
        <v/>
      </c>
      <c r="LIL6" s="97" t="str">
        <f t="shared" si="131"/>
        <v/>
      </c>
      <c r="LIM6" s="97" t="str">
        <f t="shared" si="131"/>
        <v/>
      </c>
      <c r="LIN6" s="97" t="str">
        <f t="shared" si="131"/>
        <v/>
      </c>
      <c r="LIO6" s="97" t="str">
        <f t="shared" si="131"/>
        <v/>
      </c>
      <c r="LIP6" s="97" t="str">
        <f t="shared" si="131"/>
        <v/>
      </c>
      <c r="LIQ6" s="97" t="str">
        <f t="shared" si="131"/>
        <v/>
      </c>
      <c r="LIR6" s="97" t="str">
        <f t="shared" si="131"/>
        <v/>
      </c>
      <c r="LIS6" s="97" t="str">
        <f t="shared" si="131"/>
        <v/>
      </c>
      <c r="LIT6" s="97" t="str">
        <f t="shared" si="131"/>
        <v/>
      </c>
      <c r="LIU6" s="97" t="str">
        <f t="shared" si="131"/>
        <v/>
      </c>
      <c r="LIV6" s="97" t="str">
        <f t="shared" si="131"/>
        <v/>
      </c>
      <c r="LIW6" s="97" t="str">
        <f t="shared" si="131"/>
        <v/>
      </c>
      <c r="LIX6" s="97" t="str">
        <f t="shared" si="131"/>
        <v/>
      </c>
      <c r="LIY6" s="97" t="str">
        <f t="shared" si="131"/>
        <v/>
      </c>
      <c r="LIZ6" s="97" t="str">
        <f t="shared" si="131"/>
        <v/>
      </c>
      <c r="LJA6" s="97" t="str">
        <f t="shared" si="131"/>
        <v/>
      </c>
      <c r="LJB6" s="97" t="str">
        <f t="shared" si="131"/>
        <v/>
      </c>
      <c r="LJC6" s="97" t="str">
        <f t="shared" si="131"/>
        <v/>
      </c>
      <c r="LJD6" s="97" t="str">
        <f t="shared" si="131"/>
        <v/>
      </c>
      <c r="LJE6" s="97" t="str">
        <f t="shared" si="131"/>
        <v/>
      </c>
      <c r="LJF6" s="97" t="str">
        <f t="shared" si="131"/>
        <v/>
      </c>
      <c r="LJG6" s="97" t="str">
        <f t="shared" si="131"/>
        <v/>
      </c>
      <c r="LJH6" s="97" t="str">
        <f t="shared" si="131"/>
        <v/>
      </c>
      <c r="LJI6" s="97" t="str">
        <f t="shared" si="131"/>
        <v/>
      </c>
      <c r="LJJ6" s="97" t="str">
        <f t="shared" si="131"/>
        <v/>
      </c>
      <c r="LJK6" s="97" t="str">
        <f t="shared" si="131"/>
        <v/>
      </c>
      <c r="LJL6" s="97" t="str">
        <f t="shared" si="131"/>
        <v/>
      </c>
      <c r="LJM6" s="97" t="str">
        <f t="shared" si="131"/>
        <v/>
      </c>
      <c r="LJN6" s="97" t="str">
        <f t="shared" si="131"/>
        <v/>
      </c>
      <c r="LJO6" s="97" t="str">
        <f t="shared" si="131"/>
        <v/>
      </c>
      <c r="LJP6" s="97" t="str">
        <f t="shared" si="131"/>
        <v/>
      </c>
      <c r="LJQ6" s="97" t="str">
        <f t="shared" si="131"/>
        <v/>
      </c>
      <c r="LJR6" s="97" t="str">
        <f t="shared" ref="LJR6:LMC6" si="132">IFERROR(AVERAGE(LJR7:LJR13),"")</f>
        <v/>
      </c>
      <c r="LJS6" s="97" t="str">
        <f t="shared" si="132"/>
        <v/>
      </c>
      <c r="LJT6" s="97" t="str">
        <f t="shared" si="132"/>
        <v/>
      </c>
      <c r="LJU6" s="97" t="str">
        <f t="shared" si="132"/>
        <v/>
      </c>
      <c r="LJV6" s="97" t="str">
        <f t="shared" si="132"/>
        <v/>
      </c>
      <c r="LJW6" s="97" t="str">
        <f t="shared" si="132"/>
        <v/>
      </c>
      <c r="LJX6" s="97" t="str">
        <f t="shared" si="132"/>
        <v/>
      </c>
      <c r="LJY6" s="97" t="str">
        <f t="shared" si="132"/>
        <v/>
      </c>
      <c r="LJZ6" s="97" t="str">
        <f t="shared" si="132"/>
        <v/>
      </c>
      <c r="LKA6" s="97" t="str">
        <f t="shared" si="132"/>
        <v/>
      </c>
      <c r="LKB6" s="97" t="str">
        <f t="shared" si="132"/>
        <v/>
      </c>
      <c r="LKC6" s="97" t="str">
        <f t="shared" si="132"/>
        <v/>
      </c>
      <c r="LKD6" s="97" t="str">
        <f t="shared" si="132"/>
        <v/>
      </c>
      <c r="LKE6" s="97" t="str">
        <f t="shared" si="132"/>
        <v/>
      </c>
      <c r="LKF6" s="97" t="str">
        <f t="shared" si="132"/>
        <v/>
      </c>
      <c r="LKG6" s="97" t="str">
        <f t="shared" si="132"/>
        <v/>
      </c>
      <c r="LKH6" s="97" t="str">
        <f t="shared" si="132"/>
        <v/>
      </c>
      <c r="LKI6" s="97" t="str">
        <f t="shared" si="132"/>
        <v/>
      </c>
      <c r="LKJ6" s="97" t="str">
        <f t="shared" si="132"/>
        <v/>
      </c>
      <c r="LKK6" s="97" t="str">
        <f t="shared" si="132"/>
        <v/>
      </c>
      <c r="LKL6" s="97" t="str">
        <f t="shared" si="132"/>
        <v/>
      </c>
      <c r="LKM6" s="97" t="str">
        <f t="shared" si="132"/>
        <v/>
      </c>
      <c r="LKN6" s="97" t="str">
        <f t="shared" si="132"/>
        <v/>
      </c>
      <c r="LKO6" s="97" t="str">
        <f t="shared" si="132"/>
        <v/>
      </c>
      <c r="LKP6" s="97" t="str">
        <f t="shared" si="132"/>
        <v/>
      </c>
      <c r="LKQ6" s="97" t="str">
        <f t="shared" si="132"/>
        <v/>
      </c>
      <c r="LKR6" s="97" t="str">
        <f t="shared" si="132"/>
        <v/>
      </c>
      <c r="LKS6" s="97" t="str">
        <f t="shared" si="132"/>
        <v/>
      </c>
      <c r="LKT6" s="97" t="str">
        <f t="shared" si="132"/>
        <v/>
      </c>
      <c r="LKU6" s="97" t="str">
        <f t="shared" si="132"/>
        <v/>
      </c>
      <c r="LKV6" s="97" t="str">
        <f t="shared" si="132"/>
        <v/>
      </c>
      <c r="LKW6" s="97" t="str">
        <f t="shared" si="132"/>
        <v/>
      </c>
      <c r="LKX6" s="97" t="str">
        <f t="shared" si="132"/>
        <v/>
      </c>
      <c r="LKY6" s="97" t="str">
        <f t="shared" si="132"/>
        <v/>
      </c>
      <c r="LKZ6" s="97" t="str">
        <f t="shared" si="132"/>
        <v/>
      </c>
      <c r="LLA6" s="97" t="str">
        <f t="shared" si="132"/>
        <v/>
      </c>
      <c r="LLB6" s="97" t="str">
        <f t="shared" si="132"/>
        <v/>
      </c>
      <c r="LLC6" s="97" t="str">
        <f t="shared" si="132"/>
        <v/>
      </c>
      <c r="LLD6" s="97" t="str">
        <f t="shared" si="132"/>
        <v/>
      </c>
      <c r="LLE6" s="97" t="str">
        <f t="shared" si="132"/>
        <v/>
      </c>
      <c r="LLF6" s="97" t="str">
        <f t="shared" si="132"/>
        <v/>
      </c>
      <c r="LLG6" s="97" t="str">
        <f t="shared" si="132"/>
        <v/>
      </c>
      <c r="LLH6" s="97" t="str">
        <f t="shared" si="132"/>
        <v/>
      </c>
      <c r="LLI6" s="97" t="str">
        <f t="shared" si="132"/>
        <v/>
      </c>
      <c r="LLJ6" s="97" t="str">
        <f t="shared" si="132"/>
        <v/>
      </c>
      <c r="LLK6" s="97" t="str">
        <f t="shared" si="132"/>
        <v/>
      </c>
      <c r="LLL6" s="97" t="str">
        <f t="shared" si="132"/>
        <v/>
      </c>
      <c r="LLM6" s="97" t="str">
        <f t="shared" si="132"/>
        <v/>
      </c>
      <c r="LLN6" s="97" t="str">
        <f t="shared" si="132"/>
        <v/>
      </c>
      <c r="LLO6" s="97" t="str">
        <f t="shared" si="132"/>
        <v/>
      </c>
      <c r="LLP6" s="97" t="str">
        <f t="shared" si="132"/>
        <v/>
      </c>
      <c r="LLQ6" s="97" t="str">
        <f t="shared" si="132"/>
        <v/>
      </c>
      <c r="LLR6" s="97" t="str">
        <f t="shared" si="132"/>
        <v/>
      </c>
      <c r="LLS6" s="97" t="str">
        <f t="shared" si="132"/>
        <v/>
      </c>
      <c r="LLT6" s="97" t="str">
        <f t="shared" si="132"/>
        <v/>
      </c>
      <c r="LLU6" s="97" t="str">
        <f t="shared" si="132"/>
        <v/>
      </c>
      <c r="LLV6" s="97" t="str">
        <f t="shared" si="132"/>
        <v/>
      </c>
      <c r="LLW6" s="97" t="str">
        <f t="shared" si="132"/>
        <v/>
      </c>
      <c r="LLX6" s="97" t="str">
        <f t="shared" si="132"/>
        <v/>
      </c>
      <c r="LLY6" s="97" t="str">
        <f t="shared" si="132"/>
        <v/>
      </c>
      <c r="LLZ6" s="97" t="str">
        <f t="shared" si="132"/>
        <v/>
      </c>
      <c r="LMA6" s="97" t="str">
        <f t="shared" si="132"/>
        <v/>
      </c>
      <c r="LMB6" s="97" t="str">
        <f t="shared" si="132"/>
        <v/>
      </c>
      <c r="LMC6" s="97" t="str">
        <f t="shared" si="132"/>
        <v/>
      </c>
      <c r="LMD6" s="97" t="str">
        <f t="shared" ref="LMD6:LOO6" si="133">IFERROR(AVERAGE(LMD7:LMD13),"")</f>
        <v/>
      </c>
      <c r="LME6" s="97" t="str">
        <f t="shared" si="133"/>
        <v/>
      </c>
      <c r="LMF6" s="97" t="str">
        <f t="shared" si="133"/>
        <v/>
      </c>
      <c r="LMG6" s="97" t="str">
        <f t="shared" si="133"/>
        <v/>
      </c>
      <c r="LMH6" s="97" t="str">
        <f t="shared" si="133"/>
        <v/>
      </c>
      <c r="LMI6" s="97" t="str">
        <f t="shared" si="133"/>
        <v/>
      </c>
      <c r="LMJ6" s="97" t="str">
        <f t="shared" si="133"/>
        <v/>
      </c>
      <c r="LMK6" s="97" t="str">
        <f t="shared" si="133"/>
        <v/>
      </c>
      <c r="LML6" s="97" t="str">
        <f t="shared" si="133"/>
        <v/>
      </c>
      <c r="LMM6" s="97" t="str">
        <f t="shared" si="133"/>
        <v/>
      </c>
      <c r="LMN6" s="97" t="str">
        <f t="shared" si="133"/>
        <v/>
      </c>
      <c r="LMO6" s="97" t="str">
        <f t="shared" si="133"/>
        <v/>
      </c>
      <c r="LMP6" s="97" t="str">
        <f t="shared" si="133"/>
        <v/>
      </c>
      <c r="LMQ6" s="97" t="str">
        <f t="shared" si="133"/>
        <v/>
      </c>
      <c r="LMR6" s="97" t="str">
        <f t="shared" si="133"/>
        <v/>
      </c>
      <c r="LMS6" s="97" t="str">
        <f t="shared" si="133"/>
        <v/>
      </c>
      <c r="LMT6" s="97" t="str">
        <f t="shared" si="133"/>
        <v/>
      </c>
      <c r="LMU6" s="97" t="str">
        <f t="shared" si="133"/>
        <v/>
      </c>
      <c r="LMV6" s="97" t="str">
        <f t="shared" si="133"/>
        <v/>
      </c>
      <c r="LMW6" s="97" t="str">
        <f t="shared" si="133"/>
        <v/>
      </c>
      <c r="LMX6" s="97" t="str">
        <f t="shared" si="133"/>
        <v/>
      </c>
      <c r="LMY6" s="97" t="str">
        <f t="shared" si="133"/>
        <v/>
      </c>
      <c r="LMZ6" s="97" t="str">
        <f t="shared" si="133"/>
        <v/>
      </c>
      <c r="LNA6" s="97" t="str">
        <f t="shared" si="133"/>
        <v/>
      </c>
      <c r="LNB6" s="97" t="str">
        <f t="shared" si="133"/>
        <v/>
      </c>
      <c r="LNC6" s="97" t="str">
        <f t="shared" si="133"/>
        <v/>
      </c>
      <c r="LND6" s="97" t="str">
        <f t="shared" si="133"/>
        <v/>
      </c>
      <c r="LNE6" s="97" t="str">
        <f t="shared" si="133"/>
        <v/>
      </c>
      <c r="LNF6" s="97" t="str">
        <f t="shared" si="133"/>
        <v/>
      </c>
      <c r="LNG6" s="97" t="str">
        <f t="shared" si="133"/>
        <v/>
      </c>
      <c r="LNH6" s="97" t="str">
        <f t="shared" si="133"/>
        <v/>
      </c>
      <c r="LNI6" s="97" t="str">
        <f t="shared" si="133"/>
        <v/>
      </c>
      <c r="LNJ6" s="97" t="str">
        <f t="shared" si="133"/>
        <v/>
      </c>
      <c r="LNK6" s="97" t="str">
        <f t="shared" si="133"/>
        <v/>
      </c>
      <c r="LNL6" s="97" t="str">
        <f t="shared" si="133"/>
        <v/>
      </c>
      <c r="LNM6" s="97" t="str">
        <f t="shared" si="133"/>
        <v/>
      </c>
      <c r="LNN6" s="97" t="str">
        <f t="shared" si="133"/>
        <v/>
      </c>
      <c r="LNO6" s="97" t="str">
        <f t="shared" si="133"/>
        <v/>
      </c>
      <c r="LNP6" s="97" t="str">
        <f t="shared" si="133"/>
        <v/>
      </c>
      <c r="LNQ6" s="97" t="str">
        <f t="shared" si="133"/>
        <v/>
      </c>
      <c r="LNR6" s="97" t="str">
        <f t="shared" si="133"/>
        <v/>
      </c>
      <c r="LNS6" s="97" t="str">
        <f t="shared" si="133"/>
        <v/>
      </c>
      <c r="LNT6" s="97" t="str">
        <f t="shared" si="133"/>
        <v/>
      </c>
      <c r="LNU6" s="97" t="str">
        <f t="shared" si="133"/>
        <v/>
      </c>
      <c r="LNV6" s="97" t="str">
        <f t="shared" si="133"/>
        <v/>
      </c>
      <c r="LNW6" s="97" t="str">
        <f t="shared" si="133"/>
        <v/>
      </c>
      <c r="LNX6" s="97" t="str">
        <f t="shared" si="133"/>
        <v/>
      </c>
      <c r="LNY6" s="97" t="str">
        <f t="shared" si="133"/>
        <v/>
      </c>
      <c r="LNZ6" s="97" t="str">
        <f t="shared" si="133"/>
        <v/>
      </c>
      <c r="LOA6" s="97" t="str">
        <f t="shared" si="133"/>
        <v/>
      </c>
      <c r="LOB6" s="97" t="str">
        <f t="shared" si="133"/>
        <v/>
      </c>
      <c r="LOC6" s="97" t="str">
        <f t="shared" si="133"/>
        <v/>
      </c>
      <c r="LOD6" s="97" t="str">
        <f t="shared" si="133"/>
        <v/>
      </c>
      <c r="LOE6" s="97" t="str">
        <f t="shared" si="133"/>
        <v/>
      </c>
      <c r="LOF6" s="97" t="str">
        <f t="shared" si="133"/>
        <v/>
      </c>
      <c r="LOG6" s="97" t="str">
        <f t="shared" si="133"/>
        <v/>
      </c>
      <c r="LOH6" s="97" t="str">
        <f t="shared" si="133"/>
        <v/>
      </c>
      <c r="LOI6" s="97" t="str">
        <f t="shared" si="133"/>
        <v/>
      </c>
      <c r="LOJ6" s="97" t="str">
        <f t="shared" si="133"/>
        <v/>
      </c>
      <c r="LOK6" s="97" t="str">
        <f t="shared" si="133"/>
        <v/>
      </c>
      <c r="LOL6" s="97" t="str">
        <f t="shared" si="133"/>
        <v/>
      </c>
      <c r="LOM6" s="97" t="str">
        <f t="shared" si="133"/>
        <v/>
      </c>
      <c r="LON6" s="97" t="str">
        <f t="shared" si="133"/>
        <v/>
      </c>
      <c r="LOO6" s="97" t="str">
        <f t="shared" si="133"/>
        <v/>
      </c>
      <c r="LOP6" s="97" t="str">
        <f t="shared" ref="LOP6:LRA6" si="134">IFERROR(AVERAGE(LOP7:LOP13),"")</f>
        <v/>
      </c>
      <c r="LOQ6" s="97" t="str">
        <f t="shared" si="134"/>
        <v/>
      </c>
      <c r="LOR6" s="97" t="str">
        <f t="shared" si="134"/>
        <v/>
      </c>
      <c r="LOS6" s="97" t="str">
        <f t="shared" si="134"/>
        <v/>
      </c>
      <c r="LOT6" s="97" t="str">
        <f t="shared" si="134"/>
        <v/>
      </c>
      <c r="LOU6" s="97" t="str">
        <f t="shared" si="134"/>
        <v/>
      </c>
      <c r="LOV6" s="97" t="str">
        <f t="shared" si="134"/>
        <v/>
      </c>
      <c r="LOW6" s="97" t="str">
        <f t="shared" si="134"/>
        <v/>
      </c>
      <c r="LOX6" s="97" t="str">
        <f t="shared" si="134"/>
        <v/>
      </c>
      <c r="LOY6" s="97" t="str">
        <f t="shared" si="134"/>
        <v/>
      </c>
      <c r="LOZ6" s="97" t="str">
        <f t="shared" si="134"/>
        <v/>
      </c>
      <c r="LPA6" s="97" t="str">
        <f t="shared" si="134"/>
        <v/>
      </c>
      <c r="LPB6" s="97" t="str">
        <f t="shared" si="134"/>
        <v/>
      </c>
      <c r="LPC6" s="97" t="str">
        <f t="shared" si="134"/>
        <v/>
      </c>
      <c r="LPD6" s="97" t="str">
        <f t="shared" si="134"/>
        <v/>
      </c>
      <c r="LPE6" s="97" t="str">
        <f t="shared" si="134"/>
        <v/>
      </c>
      <c r="LPF6" s="97" t="str">
        <f t="shared" si="134"/>
        <v/>
      </c>
      <c r="LPG6" s="97" t="str">
        <f t="shared" si="134"/>
        <v/>
      </c>
      <c r="LPH6" s="97" t="str">
        <f t="shared" si="134"/>
        <v/>
      </c>
      <c r="LPI6" s="97" t="str">
        <f t="shared" si="134"/>
        <v/>
      </c>
      <c r="LPJ6" s="97" t="str">
        <f t="shared" si="134"/>
        <v/>
      </c>
      <c r="LPK6" s="97" t="str">
        <f t="shared" si="134"/>
        <v/>
      </c>
      <c r="LPL6" s="97" t="str">
        <f t="shared" si="134"/>
        <v/>
      </c>
      <c r="LPM6" s="97" t="str">
        <f t="shared" si="134"/>
        <v/>
      </c>
      <c r="LPN6" s="97" t="str">
        <f t="shared" si="134"/>
        <v/>
      </c>
      <c r="LPO6" s="97" t="str">
        <f t="shared" si="134"/>
        <v/>
      </c>
      <c r="LPP6" s="97" t="str">
        <f t="shared" si="134"/>
        <v/>
      </c>
      <c r="LPQ6" s="97" t="str">
        <f t="shared" si="134"/>
        <v/>
      </c>
      <c r="LPR6" s="97" t="str">
        <f t="shared" si="134"/>
        <v/>
      </c>
      <c r="LPS6" s="97" t="str">
        <f t="shared" si="134"/>
        <v/>
      </c>
      <c r="LPT6" s="97" t="str">
        <f t="shared" si="134"/>
        <v/>
      </c>
      <c r="LPU6" s="97" t="str">
        <f t="shared" si="134"/>
        <v/>
      </c>
      <c r="LPV6" s="97" t="str">
        <f t="shared" si="134"/>
        <v/>
      </c>
      <c r="LPW6" s="97" t="str">
        <f t="shared" si="134"/>
        <v/>
      </c>
      <c r="LPX6" s="97" t="str">
        <f t="shared" si="134"/>
        <v/>
      </c>
      <c r="LPY6" s="97" t="str">
        <f t="shared" si="134"/>
        <v/>
      </c>
      <c r="LPZ6" s="97" t="str">
        <f t="shared" si="134"/>
        <v/>
      </c>
      <c r="LQA6" s="97" t="str">
        <f t="shared" si="134"/>
        <v/>
      </c>
      <c r="LQB6" s="97" t="str">
        <f t="shared" si="134"/>
        <v/>
      </c>
      <c r="LQC6" s="97" t="str">
        <f t="shared" si="134"/>
        <v/>
      </c>
      <c r="LQD6" s="97" t="str">
        <f t="shared" si="134"/>
        <v/>
      </c>
      <c r="LQE6" s="97" t="str">
        <f t="shared" si="134"/>
        <v/>
      </c>
      <c r="LQF6" s="97" t="str">
        <f t="shared" si="134"/>
        <v/>
      </c>
      <c r="LQG6" s="97" t="str">
        <f t="shared" si="134"/>
        <v/>
      </c>
      <c r="LQH6" s="97" t="str">
        <f t="shared" si="134"/>
        <v/>
      </c>
      <c r="LQI6" s="97" t="str">
        <f t="shared" si="134"/>
        <v/>
      </c>
      <c r="LQJ6" s="97" t="str">
        <f t="shared" si="134"/>
        <v/>
      </c>
      <c r="LQK6" s="97" t="str">
        <f t="shared" si="134"/>
        <v/>
      </c>
      <c r="LQL6" s="97" t="str">
        <f t="shared" si="134"/>
        <v/>
      </c>
      <c r="LQM6" s="97" t="str">
        <f t="shared" si="134"/>
        <v/>
      </c>
      <c r="LQN6" s="97" t="str">
        <f t="shared" si="134"/>
        <v/>
      </c>
      <c r="LQO6" s="97" t="str">
        <f t="shared" si="134"/>
        <v/>
      </c>
      <c r="LQP6" s="97" t="str">
        <f t="shared" si="134"/>
        <v/>
      </c>
      <c r="LQQ6" s="97" t="str">
        <f t="shared" si="134"/>
        <v/>
      </c>
      <c r="LQR6" s="97" t="str">
        <f t="shared" si="134"/>
        <v/>
      </c>
      <c r="LQS6" s="97" t="str">
        <f t="shared" si="134"/>
        <v/>
      </c>
      <c r="LQT6" s="97" t="str">
        <f t="shared" si="134"/>
        <v/>
      </c>
      <c r="LQU6" s="97" t="str">
        <f t="shared" si="134"/>
        <v/>
      </c>
      <c r="LQV6" s="97" t="str">
        <f t="shared" si="134"/>
        <v/>
      </c>
      <c r="LQW6" s="97" t="str">
        <f t="shared" si="134"/>
        <v/>
      </c>
      <c r="LQX6" s="97" t="str">
        <f t="shared" si="134"/>
        <v/>
      </c>
      <c r="LQY6" s="97" t="str">
        <f t="shared" si="134"/>
        <v/>
      </c>
      <c r="LQZ6" s="97" t="str">
        <f t="shared" si="134"/>
        <v/>
      </c>
      <c r="LRA6" s="97" t="str">
        <f t="shared" si="134"/>
        <v/>
      </c>
      <c r="LRB6" s="97" t="str">
        <f t="shared" ref="LRB6:LTM6" si="135">IFERROR(AVERAGE(LRB7:LRB13),"")</f>
        <v/>
      </c>
      <c r="LRC6" s="97" t="str">
        <f t="shared" si="135"/>
        <v/>
      </c>
      <c r="LRD6" s="97" t="str">
        <f t="shared" si="135"/>
        <v/>
      </c>
      <c r="LRE6" s="97" t="str">
        <f t="shared" si="135"/>
        <v/>
      </c>
      <c r="LRF6" s="97" t="str">
        <f t="shared" si="135"/>
        <v/>
      </c>
      <c r="LRG6" s="97" t="str">
        <f t="shared" si="135"/>
        <v/>
      </c>
      <c r="LRH6" s="97" t="str">
        <f t="shared" si="135"/>
        <v/>
      </c>
      <c r="LRI6" s="97" t="str">
        <f t="shared" si="135"/>
        <v/>
      </c>
      <c r="LRJ6" s="97" t="str">
        <f t="shared" si="135"/>
        <v/>
      </c>
      <c r="LRK6" s="97" t="str">
        <f t="shared" si="135"/>
        <v/>
      </c>
      <c r="LRL6" s="97" t="str">
        <f t="shared" si="135"/>
        <v/>
      </c>
      <c r="LRM6" s="97" t="str">
        <f t="shared" si="135"/>
        <v/>
      </c>
      <c r="LRN6" s="97" t="str">
        <f t="shared" si="135"/>
        <v/>
      </c>
      <c r="LRO6" s="97" t="str">
        <f t="shared" si="135"/>
        <v/>
      </c>
      <c r="LRP6" s="97" t="str">
        <f t="shared" si="135"/>
        <v/>
      </c>
      <c r="LRQ6" s="97" t="str">
        <f t="shared" si="135"/>
        <v/>
      </c>
      <c r="LRR6" s="97" t="str">
        <f t="shared" si="135"/>
        <v/>
      </c>
      <c r="LRS6" s="97" t="str">
        <f t="shared" si="135"/>
        <v/>
      </c>
      <c r="LRT6" s="97" t="str">
        <f t="shared" si="135"/>
        <v/>
      </c>
      <c r="LRU6" s="97" t="str">
        <f t="shared" si="135"/>
        <v/>
      </c>
      <c r="LRV6" s="97" t="str">
        <f t="shared" si="135"/>
        <v/>
      </c>
      <c r="LRW6" s="97" t="str">
        <f t="shared" si="135"/>
        <v/>
      </c>
      <c r="LRX6" s="97" t="str">
        <f t="shared" si="135"/>
        <v/>
      </c>
      <c r="LRY6" s="97" t="str">
        <f t="shared" si="135"/>
        <v/>
      </c>
      <c r="LRZ6" s="97" t="str">
        <f t="shared" si="135"/>
        <v/>
      </c>
      <c r="LSA6" s="97" t="str">
        <f t="shared" si="135"/>
        <v/>
      </c>
      <c r="LSB6" s="97" t="str">
        <f t="shared" si="135"/>
        <v/>
      </c>
      <c r="LSC6" s="97" t="str">
        <f t="shared" si="135"/>
        <v/>
      </c>
      <c r="LSD6" s="97" t="str">
        <f t="shared" si="135"/>
        <v/>
      </c>
      <c r="LSE6" s="97" t="str">
        <f t="shared" si="135"/>
        <v/>
      </c>
      <c r="LSF6" s="97" t="str">
        <f t="shared" si="135"/>
        <v/>
      </c>
      <c r="LSG6" s="97" t="str">
        <f t="shared" si="135"/>
        <v/>
      </c>
      <c r="LSH6" s="97" t="str">
        <f t="shared" si="135"/>
        <v/>
      </c>
      <c r="LSI6" s="97" t="str">
        <f t="shared" si="135"/>
        <v/>
      </c>
      <c r="LSJ6" s="97" t="str">
        <f t="shared" si="135"/>
        <v/>
      </c>
      <c r="LSK6" s="97" t="str">
        <f t="shared" si="135"/>
        <v/>
      </c>
      <c r="LSL6" s="97" t="str">
        <f t="shared" si="135"/>
        <v/>
      </c>
      <c r="LSM6" s="97" t="str">
        <f t="shared" si="135"/>
        <v/>
      </c>
      <c r="LSN6" s="97" t="str">
        <f t="shared" si="135"/>
        <v/>
      </c>
      <c r="LSO6" s="97" t="str">
        <f t="shared" si="135"/>
        <v/>
      </c>
      <c r="LSP6" s="97" t="str">
        <f t="shared" si="135"/>
        <v/>
      </c>
      <c r="LSQ6" s="97" t="str">
        <f t="shared" si="135"/>
        <v/>
      </c>
      <c r="LSR6" s="97" t="str">
        <f t="shared" si="135"/>
        <v/>
      </c>
      <c r="LSS6" s="97" t="str">
        <f t="shared" si="135"/>
        <v/>
      </c>
      <c r="LST6" s="97" t="str">
        <f t="shared" si="135"/>
        <v/>
      </c>
      <c r="LSU6" s="97" t="str">
        <f t="shared" si="135"/>
        <v/>
      </c>
      <c r="LSV6" s="97" t="str">
        <f t="shared" si="135"/>
        <v/>
      </c>
      <c r="LSW6" s="97" t="str">
        <f t="shared" si="135"/>
        <v/>
      </c>
      <c r="LSX6" s="97" t="str">
        <f t="shared" si="135"/>
        <v/>
      </c>
      <c r="LSY6" s="97" t="str">
        <f t="shared" si="135"/>
        <v/>
      </c>
      <c r="LSZ6" s="97" t="str">
        <f t="shared" si="135"/>
        <v/>
      </c>
      <c r="LTA6" s="97" t="str">
        <f t="shared" si="135"/>
        <v/>
      </c>
      <c r="LTB6" s="97" t="str">
        <f t="shared" si="135"/>
        <v/>
      </c>
      <c r="LTC6" s="97" t="str">
        <f t="shared" si="135"/>
        <v/>
      </c>
      <c r="LTD6" s="97" t="str">
        <f t="shared" si="135"/>
        <v/>
      </c>
      <c r="LTE6" s="97" t="str">
        <f t="shared" si="135"/>
        <v/>
      </c>
      <c r="LTF6" s="97" t="str">
        <f t="shared" si="135"/>
        <v/>
      </c>
      <c r="LTG6" s="97" t="str">
        <f t="shared" si="135"/>
        <v/>
      </c>
      <c r="LTH6" s="97" t="str">
        <f t="shared" si="135"/>
        <v/>
      </c>
      <c r="LTI6" s="97" t="str">
        <f t="shared" si="135"/>
        <v/>
      </c>
      <c r="LTJ6" s="97" t="str">
        <f t="shared" si="135"/>
        <v/>
      </c>
      <c r="LTK6" s="97" t="str">
        <f t="shared" si="135"/>
        <v/>
      </c>
      <c r="LTL6" s="97" t="str">
        <f t="shared" si="135"/>
        <v/>
      </c>
      <c r="LTM6" s="97" t="str">
        <f t="shared" si="135"/>
        <v/>
      </c>
      <c r="LTN6" s="97" t="str">
        <f t="shared" ref="LTN6:LVY6" si="136">IFERROR(AVERAGE(LTN7:LTN13),"")</f>
        <v/>
      </c>
      <c r="LTO6" s="97" t="str">
        <f t="shared" si="136"/>
        <v/>
      </c>
      <c r="LTP6" s="97" t="str">
        <f t="shared" si="136"/>
        <v/>
      </c>
      <c r="LTQ6" s="97" t="str">
        <f t="shared" si="136"/>
        <v/>
      </c>
      <c r="LTR6" s="97" t="str">
        <f t="shared" si="136"/>
        <v/>
      </c>
      <c r="LTS6" s="97" t="str">
        <f t="shared" si="136"/>
        <v/>
      </c>
      <c r="LTT6" s="97" t="str">
        <f t="shared" si="136"/>
        <v/>
      </c>
      <c r="LTU6" s="97" t="str">
        <f t="shared" si="136"/>
        <v/>
      </c>
      <c r="LTV6" s="97" t="str">
        <f t="shared" si="136"/>
        <v/>
      </c>
      <c r="LTW6" s="97" t="str">
        <f t="shared" si="136"/>
        <v/>
      </c>
      <c r="LTX6" s="97" t="str">
        <f t="shared" si="136"/>
        <v/>
      </c>
      <c r="LTY6" s="97" t="str">
        <f t="shared" si="136"/>
        <v/>
      </c>
      <c r="LTZ6" s="97" t="str">
        <f t="shared" si="136"/>
        <v/>
      </c>
      <c r="LUA6" s="97" t="str">
        <f t="shared" si="136"/>
        <v/>
      </c>
      <c r="LUB6" s="97" t="str">
        <f t="shared" si="136"/>
        <v/>
      </c>
      <c r="LUC6" s="97" t="str">
        <f t="shared" si="136"/>
        <v/>
      </c>
      <c r="LUD6" s="97" t="str">
        <f t="shared" si="136"/>
        <v/>
      </c>
      <c r="LUE6" s="97" t="str">
        <f t="shared" si="136"/>
        <v/>
      </c>
      <c r="LUF6" s="97" t="str">
        <f t="shared" si="136"/>
        <v/>
      </c>
      <c r="LUG6" s="97" t="str">
        <f t="shared" si="136"/>
        <v/>
      </c>
      <c r="LUH6" s="97" t="str">
        <f t="shared" si="136"/>
        <v/>
      </c>
      <c r="LUI6" s="97" t="str">
        <f t="shared" si="136"/>
        <v/>
      </c>
      <c r="LUJ6" s="97" t="str">
        <f t="shared" si="136"/>
        <v/>
      </c>
      <c r="LUK6" s="97" t="str">
        <f t="shared" si="136"/>
        <v/>
      </c>
      <c r="LUL6" s="97" t="str">
        <f t="shared" si="136"/>
        <v/>
      </c>
      <c r="LUM6" s="97" t="str">
        <f t="shared" si="136"/>
        <v/>
      </c>
      <c r="LUN6" s="97" t="str">
        <f t="shared" si="136"/>
        <v/>
      </c>
      <c r="LUO6" s="97" t="str">
        <f t="shared" si="136"/>
        <v/>
      </c>
      <c r="LUP6" s="97" t="str">
        <f t="shared" si="136"/>
        <v/>
      </c>
      <c r="LUQ6" s="97" t="str">
        <f t="shared" si="136"/>
        <v/>
      </c>
      <c r="LUR6" s="97" t="str">
        <f t="shared" si="136"/>
        <v/>
      </c>
      <c r="LUS6" s="97" t="str">
        <f t="shared" si="136"/>
        <v/>
      </c>
      <c r="LUT6" s="97" t="str">
        <f t="shared" si="136"/>
        <v/>
      </c>
      <c r="LUU6" s="97" t="str">
        <f t="shared" si="136"/>
        <v/>
      </c>
      <c r="LUV6" s="97" t="str">
        <f t="shared" si="136"/>
        <v/>
      </c>
      <c r="LUW6" s="97" t="str">
        <f t="shared" si="136"/>
        <v/>
      </c>
      <c r="LUX6" s="97" t="str">
        <f t="shared" si="136"/>
        <v/>
      </c>
      <c r="LUY6" s="97" t="str">
        <f t="shared" si="136"/>
        <v/>
      </c>
      <c r="LUZ6" s="97" t="str">
        <f t="shared" si="136"/>
        <v/>
      </c>
      <c r="LVA6" s="97" t="str">
        <f t="shared" si="136"/>
        <v/>
      </c>
      <c r="LVB6" s="97" t="str">
        <f t="shared" si="136"/>
        <v/>
      </c>
      <c r="LVC6" s="97" t="str">
        <f t="shared" si="136"/>
        <v/>
      </c>
      <c r="LVD6" s="97" t="str">
        <f t="shared" si="136"/>
        <v/>
      </c>
      <c r="LVE6" s="97" t="str">
        <f t="shared" si="136"/>
        <v/>
      </c>
      <c r="LVF6" s="97" t="str">
        <f t="shared" si="136"/>
        <v/>
      </c>
      <c r="LVG6" s="97" t="str">
        <f t="shared" si="136"/>
        <v/>
      </c>
      <c r="LVH6" s="97" t="str">
        <f t="shared" si="136"/>
        <v/>
      </c>
      <c r="LVI6" s="97" t="str">
        <f t="shared" si="136"/>
        <v/>
      </c>
      <c r="LVJ6" s="97" t="str">
        <f t="shared" si="136"/>
        <v/>
      </c>
      <c r="LVK6" s="97" t="str">
        <f t="shared" si="136"/>
        <v/>
      </c>
      <c r="LVL6" s="97" t="str">
        <f t="shared" si="136"/>
        <v/>
      </c>
      <c r="LVM6" s="97" t="str">
        <f t="shared" si="136"/>
        <v/>
      </c>
      <c r="LVN6" s="97" t="str">
        <f t="shared" si="136"/>
        <v/>
      </c>
      <c r="LVO6" s="97" t="str">
        <f t="shared" si="136"/>
        <v/>
      </c>
      <c r="LVP6" s="97" t="str">
        <f t="shared" si="136"/>
        <v/>
      </c>
      <c r="LVQ6" s="97" t="str">
        <f t="shared" si="136"/>
        <v/>
      </c>
      <c r="LVR6" s="97" t="str">
        <f t="shared" si="136"/>
        <v/>
      </c>
      <c r="LVS6" s="97" t="str">
        <f t="shared" si="136"/>
        <v/>
      </c>
      <c r="LVT6" s="97" t="str">
        <f t="shared" si="136"/>
        <v/>
      </c>
      <c r="LVU6" s="97" t="str">
        <f t="shared" si="136"/>
        <v/>
      </c>
      <c r="LVV6" s="97" t="str">
        <f t="shared" si="136"/>
        <v/>
      </c>
      <c r="LVW6" s="97" t="str">
        <f t="shared" si="136"/>
        <v/>
      </c>
      <c r="LVX6" s="97" t="str">
        <f t="shared" si="136"/>
        <v/>
      </c>
      <c r="LVY6" s="97" t="str">
        <f t="shared" si="136"/>
        <v/>
      </c>
      <c r="LVZ6" s="97" t="str">
        <f t="shared" ref="LVZ6:LYK6" si="137">IFERROR(AVERAGE(LVZ7:LVZ13),"")</f>
        <v/>
      </c>
      <c r="LWA6" s="97" t="str">
        <f t="shared" si="137"/>
        <v/>
      </c>
      <c r="LWB6" s="97" t="str">
        <f t="shared" si="137"/>
        <v/>
      </c>
      <c r="LWC6" s="97" t="str">
        <f t="shared" si="137"/>
        <v/>
      </c>
      <c r="LWD6" s="97" t="str">
        <f t="shared" si="137"/>
        <v/>
      </c>
      <c r="LWE6" s="97" t="str">
        <f t="shared" si="137"/>
        <v/>
      </c>
      <c r="LWF6" s="97" t="str">
        <f t="shared" si="137"/>
        <v/>
      </c>
      <c r="LWG6" s="97" t="str">
        <f t="shared" si="137"/>
        <v/>
      </c>
      <c r="LWH6" s="97" t="str">
        <f t="shared" si="137"/>
        <v/>
      </c>
      <c r="LWI6" s="97" t="str">
        <f t="shared" si="137"/>
        <v/>
      </c>
      <c r="LWJ6" s="97" t="str">
        <f t="shared" si="137"/>
        <v/>
      </c>
      <c r="LWK6" s="97" t="str">
        <f t="shared" si="137"/>
        <v/>
      </c>
      <c r="LWL6" s="97" t="str">
        <f t="shared" si="137"/>
        <v/>
      </c>
      <c r="LWM6" s="97" t="str">
        <f t="shared" si="137"/>
        <v/>
      </c>
      <c r="LWN6" s="97" t="str">
        <f t="shared" si="137"/>
        <v/>
      </c>
      <c r="LWO6" s="97" t="str">
        <f t="shared" si="137"/>
        <v/>
      </c>
      <c r="LWP6" s="97" t="str">
        <f t="shared" si="137"/>
        <v/>
      </c>
      <c r="LWQ6" s="97" t="str">
        <f t="shared" si="137"/>
        <v/>
      </c>
      <c r="LWR6" s="97" t="str">
        <f t="shared" si="137"/>
        <v/>
      </c>
      <c r="LWS6" s="97" t="str">
        <f t="shared" si="137"/>
        <v/>
      </c>
      <c r="LWT6" s="97" t="str">
        <f t="shared" si="137"/>
        <v/>
      </c>
      <c r="LWU6" s="97" t="str">
        <f t="shared" si="137"/>
        <v/>
      </c>
      <c r="LWV6" s="97" t="str">
        <f t="shared" si="137"/>
        <v/>
      </c>
      <c r="LWW6" s="97" t="str">
        <f t="shared" si="137"/>
        <v/>
      </c>
      <c r="LWX6" s="97" t="str">
        <f t="shared" si="137"/>
        <v/>
      </c>
      <c r="LWY6" s="97" t="str">
        <f t="shared" si="137"/>
        <v/>
      </c>
      <c r="LWZ6" s="97" t="str">
        <f t="shared" si="137"/>
        <v/>
      </c>
      <c r="LXA6" s="97" t="str">
        <f t="shared" si="137"/>
        <v/>
      </c>
      <c r="LXB6" s="97" t="str">
        <f t="shared" si="137"/>
        <v/>
      </c>
      <c r="LXC6" s="97" t="str">
        <f t="shared" si="137"/>
        <v/>
      </c>
      <c r="LXD6" s="97" t="str">
        <f t="shared" si="137"/>
        <v/>
      </c>
      <c r="LXE6" s="97" t="str">
        <f t="shared" si="137"/>
        <v/>
      </c>
      <c r="LXF6" s="97" t="str">
        <f t="shared" si="137"/>
        <v/>
      </c>
      <c r="LXG6" s="97" t="str">
        <f t="shared" si="137"/>
        <v/>
      </c>
      <c r="LXH6" s="97" t="str">
        <f t="shared" si="137"/>
        <v/>
      </c>
      <c r="LXI6" s="97" t="str">
        <f t="shared" si="137"/>
        <v/>
      </c>
      <c r="LXJ6" s="97" t="str">
        <f t="shared" si="137"/>
        <v/>
      </c>
      <c r="LXK6" s="97" t="str">
        <f t="shared" si="137"/>
        <v/>
      </c>
      <c r="LXL6" s="97" t="str">
        <f t="shared" si="137"/>
        <v/>
      </c>
      <c r="LXM6" s="97" t="str">
        <f t="shared" si="137"/>
        <v/>
      </c>
      <c r="LXN6" s="97" t="str">
        <f t="shared" si="137"/>
        <v/>
      </c>
      <c r="LXO6" s="97" t="str">
        <f t="shared" si="137"/>
        <v/>
      </c>
      <c r="LXP6" s="97" t="str">
        <f t="shared" si="137"/>
        <v/>
      </c>
      <c r="LXQ6" s="97" t="str">
        <f t="shared" si="137"/>
        <v/>
      </c>
      <c r="LXR6" s="97" t="str">
        <f t="shared" si="137"/>
        <v/>
      </c>
      <c r="LXS6" s="97" t="str">
        <f t="shared" si="137"/>
        <v/>
      </c>
      <c r="LXT6" s="97" t="str">
        <f t="shared" si="137"/>
        <v/>
      </c>
      <c r="LXU6" s="97" t="str">
        <f t="shared" si="137"/>
        <v/>
      </c>
      <c r="LXV6" s="97" t="str">
        <f t="shared" si="137"/>
        <v/>
      </c>
      <c r="LXW6" s="97" t="str">
        <f t="shared" si="137"/>
        <v/>
      </c>
      <c r="LXX6" s="97" t="str">
        <f t="shared" si="137"/>
        <v/>
      </c>
      <c r="LXY6" s="97" t="str">
        <f t="shared" si="137"/>
        <v/>
      </c>
      <c r="LXZ6" s="97" t="str">
        <f t="shared" si="137"/>
        <v/>
      </c>
      <c r="LYA6" s="97" t="str">
        <f t="shared" si="137"/>
        <v/>
      </c>
      <c r="LYB6" s="97" t="str">
        <f t="shared" si="137"/>
        <v/>
      </c>
      <c r="LYC6" s="97" t="str">
        <f t="shared" si="137"/>
        <v/>
      </c>
      <c r="LYD6" s="97" t="str">
        <f t="shared" si="137"/>
        <v/>
      </c>
      <c r="LYE6" s="97" t="str">
        <f t="shared" si="137"/>
        <v/>
      </c>
      <c r="LYF6" s="97" t="str">
        <f t="shared" si="137"/>
        <v/>
      </c>
      <c r="LYG6" s="97" t="str">
        <f t="shared" si="137"/>
        <v/>
      </c>
      <c r="LYH6" s="97" t="str">
        <f t="shared" si="137"/>
        <v/>
      </c>
      <c r="LYI6" s="97" t="str">
        <f t="shared" si="137"/>
        <v/>
      </c>
      <c r="LYJ6" s="97" t="str">
        <f t="shared" si="137"/>
        <v/>
      </c>
      <c r="LYK6" s="97" t="str">
        <f t="shared" si="137"/>
        <v/>
      </c>
      <c r="LYL6" s="97" t="str">
        <f t="shared" ref="LYL6:MAW6" si="138">IFERROR(AVERAGE(LYL7:LYL13),"")</f>
        <v/>
      </c>
      <c r="LYM6" s="97" t="str">
        <f t="shared" si="138"/>
        <v/>
      </c>
      <c r="LYN6" s="97" t="str">
        <f t="shared" si="138"/>
        <v/>
      </c>
      <c r="LYO6" s="97" t="str">
        <f t="shared" si="138"/>
        <v/>
      </c>
      <c r="LYP6" s="97" t="str">
        <f t="shared" si="138"/>
        <v/>
      </c>
      <c r="LYQ6" s="97" t="str">
        <f t="shared" si="138"/>
        <v/>
      </c>
      <c r="LYR6" s="97" t="str">
        <f t="shared" si="138"/>
        <v/>
      </c>
      <c r="LYS6" s="97" t="str">
        <f t="shared" si="138"/>
        <v/>
      </c>
      <c r="LYT6" s="97" t="str">
        <f t="shared" si="138"/>
        <v/>
      </c>
      <c r="LYU6" s="97" t="str">
        <f t="shared" si="138"/>
        <v/>
      </c>
      <c r="LYV6" s="97" t="str">
        <f t="shared" si="138"/>
        <v/>
      </c>
      <c r="LYW6" s="97" t="str">
        <f t="shared" si="138"/>
        <v/>
      </c>
      <c r="LYX6" s="97" t="str">
        <f t="shared" si="138"/>
        <v/>
      </c>
      <c r="LYY6" s="97" t="str">
        <f t="shared" si="138"/>
        <v/>
      </c>
      <c r="LYZ6" s="97" t="str">
        <f t="shared" si="138"/>
        <v/>
      </c>
      <c r="LZA6" s="97" t="str">
        <f t="shared" si="138"/>
        <v/>
      </c>
      <c r="LZB6" s="97" t="str">
        <f t="shared" si="138"/>
        <v/>
      </c>
      <c r="LZC6" s="97" t="str">
        <f t="shared" si="138"/>
        <v/>
      </c>
      <c r="LZD6" s="97" t="str">
        <f t="shared" si="138"/>
        <v/>
      </c>
      <c r="LZE6" s="97" t="str">
        <f t="shared" si="138"/>
        <v/>
      </c>
      <c r="LZF6" s="97" t="str">
        <f t="shared" si="138"/>
        <v/>
      </c>
      <c r="LZG6" s="97" t="str">
        <f t="shared" si="138"/>
        <v/>
      </c>
      <c r="LZH6" s="97" t="str">
        <f t="shared" si="138"/>
        <v/>
      </c>
      <c r="LZI6" s="97" t="str">
        <f t="shared" si="138"/>
        <v/>
      </c>
      <c r="LZJ6" s="97" t="str">
        <f t="shared" si="138"/>
        <v/>
      </c>
      <c r="LZK6" s="97" t="str">
        <f t="shared" si="138"/>
        <v/>
      </c>
      <c r="LZL6" s="97" t="str">
        <f t="shared" si="138"/>
        <v/>
      </c>
      <c r="LZM6" s="97" t="str">
        <f t="shared" si="138"/>
        <v/>
      </c>
      <c r="LZN6" s="97" t="str">
        <f t="shared" si="138"/>
        <v/>
      </c>
      <c r="LZO6" s="97" t="str">
        <f t="shared" si="138"/>
        <v/>
      </c>
      <c r="LZP6" s="97" t="str">
        <f t="shared" si="138"/>
        <v/>
      </c>
      <c r="LZQ6" s="97" t="str">
        <f t="shared" si="138"/>
        <v/>
      </c>
      <c r="LZR6" s="97" t="str">
        <f t="shared" si="138"/>
        <v/>
      </c>
      <c r="LZS6" s="97" t="str">
        <f t="shared" si="138"/>
        <v/>
      </c>
      <c r="LZT6" s="97" t="str">
        <f t="shared" si="138"/>
        <v/>
      </c>
      <c r="LZU6" s="97" t="str">
        <f t="shared" si="138"/>
        <v/>
      </c>
      <c r="LZV6" s="97" t="str">
        <f t="shared" si="138"/>
        <v/>
      </c>
      <c r="LZW6" s="97" t="str">
        <f t="shared" si="138"/>
        <v/>
      </c>
      <c r="LZX6" s="97" t="str">
        <f t="shared" si="138"/>
        <v/>
      </c>
      <c r="LZY6" s="97" t="str">
        <f t="shared" si="138"/>
        <v/>
      </c>
      <c r="LZZ6" s="97" t="str">
        <f t="shared" si="138"/>
        <v/>
      </c>
      <c r="MAA6" s="97" t="str">
        <f t="shared" si="138"/>
        <v/>
      </c>
      <c r="MAB6" s="97" t="str">
        <f t="shared" si="138"/>
        <v/>
      </c>
      <c r="MAC6" s="97" t="str">
        <f t="shared" si="138"/>
        <v/>
      </c>
      <c r="MAD6" s="97" t="str">
        <f t="shared" si="138"/>
        <v/>
      </c>
      <c r="MAE6" s="97" t="str">
        <f t="shared" si="138"/>
        <v/>
      </c>
      <c r="MAF6" s="97" t="str">
        <f t="shared" si="138"/>
        <v/>
      </c>
      <c r="MAG6" s="97" t="str">
        <f t="shared" si="138"/>
        <v/>
      </c>
      <c r="MAH6" s="97" t="str">
        <f t="shared" si="138"/>
        <v/>
      </c>
      <c r="MAI6" s="97" t="str">
        <f t="shared" si="138"/>
        <v/>
      </c>
      <c r="MAJ6" s="97" t="str">
        <f t="shared" si="138"/>
        <v/>
      </c>
      <c r="MAK6" s="97" t="str">
        <f t="shared" si="138"/>
        <v/>
      </c>
      <c r="MAL6" s="97" t="str">
        <f t="shared" si="138"/>
        <v/>
      </c>
      <c r="MAM6" s="97" t="str">
        <f t="shared" si="138"/>
        <v/>
      </c>
      <c r="MAN6" s="97" t="str">
        <f t="shared" si="138"/>
        <v/>
      </c>
      <c r="MAO6" s="97" t="str">
        <f t="shared" si="138"/>
        <v/>
      </c>
      <c r="MAP6" s="97" t="str">
        <f t="shared" si="138"/>
        <v/>
      </c>
      <c r="MAQ6" s="97" t="str">
        <f t="shared" si="138"/>
        <v/>
      </c>
      <c r="MAR6" s="97" t="str">
        <f t="shared" si="138"/>
        <v/>
      </c>
      <c r="MAS6" s="97" t="str">
        <f t="shared" si="138"/>
        <v/>
      </c>
      <c r="MAT6" s="97" t="str">
        <f t="shared" si="138"/>
        <v/>
      </c>
      <c r="MAU6" s="97" t="str">
        <f t="shared" si="138"/>
        <v/>
      </c>
      <c r="MAV6" s="97" t="str">
        <f t="shared" si="138"/>
        <v/>
      </c>
      <c r="MAW6" s="97" t="str">
        <f t="shared" si="138"/>
        <v/>
      </c>
      <c r="MAX6" s="97" t="str">
        <f t="shared" ref="MAX6:MDI6" si="139">IFERROR(AVERAGE(MAX7:MAX13),"")</f>
        <v/>
      </c>
      <c r="MAY6" s="97" t="str">
        <f t="shared" si="139"/>
        <v/>
      </c>
      <c r="MAZ6" s="97" t="str">
        <f t="shared" si="139"/>
        <v/>
      </c>
      <c r="MBA6" s="97" t="str">
        <f t="shared" si="139"/>
        <v/>
      </c>
      <c r="MBB6" s="97" t="str">
        <f t="shared" si="139"/>
        <v/>
      </c>
      <c r="MBC6" s="97" t="str">
        <f t="shared" si="139"/>
        <v/>
      </c>
      <c r="MBD6" s="97" t="str">
        <f t="shared" si="139"/>
        <v/>
      </c>
      <c r="MBE6" s="97" t="str">
        <f t="shared" si="139"/>
        <v/>
      </c>
      <c r="MBF6" s="97" t="str">
        <f t="shared" si="139"/>
        <v/>
      </c>
      <c r="MBG6" s="97" t="str">
        <f t="shared" si="139"/>
        <v/>
      </c>
      <c r="MBH6" s="97" t="str">
        <f t="shared" si="139"/>
        <v/>
      </c>
      <c r="MBI6" s="97" t="str">
        <f t="shared" si="139"/>
        <v/>
      </c>
      <c r="MBJ6" s="97" t="str">
        <f t="shared" si="139"/>
        <v/>
      </c>
      <c r="MBK6" s="97" t="str">
        <f t="shared" si="139"/>
        <v/>
      </c>
      <c r="MBL6" s="97" t="str">
        <f t="shared" si="139"/>
        <v/>
      </c>
      <c r="MBM6" s="97" t="str">
        <f t="shared" si="139"/>
        <v/>
      </c>
      <c r="MBN6" s="97" t="str">
        <f t="shared" si="139"/>
        <v/>
      </c>
      <c r="MBO6" s="97" t="str">
        <f t="shared" si="139"/>
        <v/>
      </c>
      <c r="MBP6" s="97" t="str">
        <f t="shared" si="139"/>
        <v/>
      </c>
      <c r="MBQ6" s="97" t="str">
        <f t="shared" si="139"/>
        <v/>
      </c>
      <c r="MBR6" s="97" t="str">
        <f t="shared" si="139"/>
        <v/>
      </c>
      <c r="MBS6" s="97" t="str">
        <f t="shared" si="139"/>
        <v/>
      </c>
      <c r="MBT6" s="97" t="str">
        <f t="shared" si="139"/>
        <v/>
      </c>
      <c r="MBU6" s="97" t="str">
        <f t="shared" si="139"/>
        <v/>
      </c>
      <c r="MBV6" s="97" t="str">
        <f t="shared" si="139"/>
        <v/>
      </c>
      <c r="MBW6" s="97" t="str">
        <f t="shared" si="139"/>
        <v/>
      </c>
      <c r="MBX6" s="97" t="str">
        <f t="shared" si="139"/>
        <v/>
      </c>
      <c r="MBY6" s="97" t="str">
        <f t="shared" si="139"/>
        <v/>
      </c>
      <c r="MBZ6" s="97" t="str">
        <f t="shared" si="139"/>
        <v/>
      </c>
      <c r="MCA6" s="97" t="str">
        <f t="shared" si="139"/>
        <v/>
      </c>
      <c r="MCB6" s="97" t="str">
        <f t="shared" si="139"/>
        <v/>
      </c>
      <c r="MCC6" s="97" t="str">
        <f t="shared" si="139"/>
        <v/>
      </c>
      <c r="MCD6" s="97" t="str">
        <f t="shared" si="139"/>
        <v/>
      </c>
      <c r="MCE6" s="97" t="str">
        <f t="shared" si="139"/>
        <v/>
      </c>
      <c r="MCF6" s="97" t="str">
        <f t="shared" si="139"/>
        <v/>
      </c>
      <c r="MCG6" s="97" t="str">
        <f t="shared" si="139"/>
        <v/>
      </c>
      <c r="MCH6" s="97" t="str">
        <f t="shared" si="139"/>
        <v/>
      </c>
      <c r="MCI6" s="97" t="str">
        <f t="shared" si="139"/>
        <v/>
      </c>
      <c r="MCJ6" s="97" t="str">
        <f t="shared" si="139"/>
        <v/>
      </c>
      <c r="MCK6" s="97" t="str">
        <f t="shared" si="139"/>
        <v/>
      </c>
      <c r="MCL6" s="97" t="str">
        <f t="shared" si="139"/>
        <v/>
      </c>
      <c r="MCM6" s="97" t="str">
        <f t="shared" si="139"/>
        <v/>
      </c>
      <c r="MCN6" s="97" t="str">
        <f t="shared" si="139"/>
        <v/>
      </c>
      <c r="MCO6" s="97" t="str">
        <f t="shared" si="139"/>
        <v/>
      </c>
      <c r="MCP6" s="97" t="str">
        <f t="shared" si="139"/>
        <v/>
      </c>
      <c r="MCQ6" s="97" t="str">
        <f t="shared" si="139"/>
        <v/>
      </c>
      <c r="MCR6" s="97" t="str">
        <f t="shared" si="139"/>
        <v/>
      </c>
      <c r="MCS6" s="97" t="str">
        <f t="shared" si="139"/>
        <v/>
      </c>
      <c r="MCT6" s="97" t="str">
        <f t="shared" si="139"/>
        <v/>
      </c>
      <c r="MCU6" s="97" t="str">
        <f t="shared" si="139"/>
        <v/>
      </c>
      <c r="MCV6" s="97" t="str">
        <f t="shared" si="139"/>
        <v/>
      </c>
      <c r="MCW6" s="97" t="str">
        <f t="shared" si="139"/>
        <v/>
      </c>
      <c r="MCX6" s="97" t="str">
        <f t="shared" si="139"/>
        <v/>
      </c>
      <c r="MCY6" s="97" t="str">
        <f t="shared" si="139"/>
        <v/>
      </c>
      <c r="MCZ6" s="97" t="str">
        <f t="shared" si="139"/>
        <v/>
      </c>
      <c r="MDA6" s="97" t="str">
        <f t="shared" si="139"/>
        <v/>
      </c>
      <c r="MDB6" s="97" t="str">
        <f t="shared" si="139"/>
        <v/>
      </c>
      <c r="MDC6" s="97" t="str">
        <f t="shared" si="139"/>
        <v/>
      </c>
      <c r="MDD6" s="97" t="str">
        <f t="shared" si="139"/>
        <v/>
      </c>
      <c r="MDE6" s="97" t="str">
        <f t="shared" si="139"/>
        <v/>
      </c>
      <c r="MDF6" s="97" t="str">
        <f t="shared" si="139"/>
        <v/>
      </c>
      <c r="MDG6" s="97" t="str">
        <f t="shared" si="139"/>
        <v/>
      </c>
      <c r="MDH6" s="97" t="str">
        <f t="shared" si="139"/>
        <v/>
      </c>
      <c r="MDI6" s="97" t="str">
        <f t="shared" si="139"/>
        <v/>
      </c>
      <c r="MDJ6" s="97" t="str">
        <f t="shared" ref="MDJ6:MFU6" si="140">IFERROR(AVERAGE(MDJ7:MDJ13),"")</f>
        <v/>
      </c>
      <c r="MDK6" s="97" t="str">
        <f t="shared" si="140"/>
        <v/>
      </c>
      <c r="MDL6" s="97" t="str">
        <f t="shared" si="140"/>
        <v/>
      </c>
      <c r="MDM6" s="97" t="str">
        <f t="shared" si="140"/>
        <v/>
      </c>
      <c r="MDN6" s="97" t="str">
        <f t="shared" si="140"/>
        <v/>
      </c>
      <c r="MDO6" s="97" t="str">
        <f t="shared" si="140"/>
        <v/>
      </c>
      <c r="MDP6" s="97" t="str">
        <f t="shared" si="140"/>
        <v/>
      </c>
      <c r="MDQ6" s="97" t="str">
        <f t="shared" si="140"/>
        <v/>
      </c>
      <c r="MDR6" s="97" t="str">
        <f t="shared" si="140"/>
        <v/>
      </c>
      <c r="MDS6" s="97" t="str">
        <f t="shared" si="140"/>
        <v/>
      </c>
      <c r="MDT6" s="97" t="str">
        <f t="shared" si="140"/>
        <v/>
      </c>
      <c r="MDU6" s="97" t="str">
        <f t="shared" si="140"/>
        <v/>
      </c>
      <c r="MDV6" s="97" t="str">
        <f t="shared" si="140"/>
        <v/>
      </c>
      <c r="MDW6" s="97" t="str">
        <f t="shared" si="140"/>
        <v/>
      </c>
      <c r="MDX6" s="97" t="str">
        <f t="shared" si="140"/>
        <v/>
      </c>
      <c r="MDY6" s="97" t="str">
        <f t="shared" si="140"/>
        <v/>
      </c>
      <c r="MDZ6" s="97" t="str">
        <f t="shared" si="140"/>
        <v/>
      </c>
      <c r="MEA6" s="97" t="str">
        <f t="shared" si="140"/>
        <v/>
      </c>
      <c r="MEB6" s="97" t="str">
        <f t="shared" si="140"/>
        <v/>
      </c>
      <c r="MEC6" s="97" t="str">
        <f t="shared" si="140"/>
        <v/>
      </c>
      <c r="MED6" s="97" t="str">
        <f t="shared" si="140"/>
        <v/>
      </c>
      <c r="MEE6" s="97" t="str">
        <f t="shared" si="140"/>
        <v/>
      </c>
      <c r="MEF6" s="97" t="str">
        <f t="shared" si="140"/>
        <v/>
      </c>
      <c r="MEG6" s="97" t="str">
        <f t="shared" si="140"/>
        <v/>
      </c>
      <c r="MEH6" s="97" t="str">
        <f t="shared" si="140"/>
        <v/>
      </c>
      <c r="MEI6" s="97" t="str">
        <f t="shared" si="140"/>
        <v/>
      </c>
      <c r="MEJ6" s="97" t="str">
        <f t="shared" si="140"/>
        <v/>
      </c>
      <c r="MEK6" s="97" t="str">
        <f t="shared" si="140"/>
        <v/>
      </c>
      <c r="MEL6" s="97" t="str">
        <f t="shared" si="140"/>
        <v/>
      </c>
      <c r="MEM6" s="97" t="str">
        <f t="shared" si="140"/>
        <v/>
      </c>
      <c r="MEN6" s="97" t="str">
        <f t="shared" si="140"/>
        <v/>
      </c>
      <c r="MEO6" s="97" t="str">
        <f t="shared" si="140"/>
        <v/>
      </c>
      <c r="MEP6" s="97" t="str">
        <f t="shared" si="140"/>
        <v/>
      </c>
      <c r="MEQ6" s="97" t="str">
        <f t="shared" si="140"/>
        <v/>
      </c>
      <c r="MER6" s="97" t="str">
        <f t="shared" si="140"/>
        <v/>
      </c>
      <c r="MES6" s="97" t="str">
        <f t="shared" si="140"/>
        <v/>
      </c>
      <c r="MET6" s="97" t="str">
        <f t="shared" si="140"/>
        <v/>
      </c>
      <c r="MEU6" s="97" t="str">
        <f t="shared" si="140"/>
        <v/>
      </c>
      <c r="MEV6" s="97" t="str">
        <f t="shared" si="140"/>
        <v/>
      </c>
      <c r="MEW6" s="97" t="str">
        <f t="shared" si="140"/>
        <v/>
      </c>
      <c r="MEX6" s="97" t="str">
        <f t="shared" si="140"/>
        <v/>
      </c>
      <c r="MEY6" s="97" t="str">
        <f t="shared" si="140"/>
        <v/>
      </c>
      <c r="MEZ6" s="97" t="str">
        <f t="shared" si="140"/>
        <v/>
      </c>
      <c r="MFA6" s="97" t="str">
        <f t="shared" si="140"/>
        <v/>
      </c>
      <c r="MFB6" s="97" t="str">
        <f t="shared" si="140"/>
        <v/>
      </c>
      <c r="MFC6" s="97" t="str">
        <f t="shared" si="140"/>
        <v/>
      </c>
      <c r="MFD6" s="97" t="str">
        <f t="shared" si="140"/>
        <v/>
      </c>
      <c r="MFE6" s="97" t="str">
        <f t="shared" si="140"/>
        <v/>
      </c>
      <c r="MFF6" s="97" t="str">
        <f t="shared" si="140"/>
        <v/>
      </c>
      <c r="MFG6" s="97" t="str">
        <f t="shared" si="140"/>
        <v/>
      </c>
      <c r="MFH6" s="97" t="str">
        <f t="shared" si="140"/>
        <v/>
      </c>
      <c r="MFI6" s="97" t="str">
        <f t="shared" si="140"/>
        <v/>
      </c>
      <c r="MFJ6" s="97" t="str">
        <f t="shared" si="140"/>
        <v/>
      </c>
      <c r="MFK6" s="97" t="str">
        <f t="shared" si="140"/>
        <v/>
      </c>
      <c r="MFL6" s="97" t="str">
        <f t="shared" si="140"/>
        <v/>
      </c>
      <c r="MFM6" s="97" t="str">
        <f t="shared" si="140"/>
        <v/>
      </c>
      <c r="MFN6" s="97" t="str">
        <f t="shared" si="140"/>
        <v/>
      </c>
      <c r="MFO6" s="97" t="str">
        <f t="shared" si="140"/>
        <v/>
      </c>
      <c r="MFP6" s="97" t="str">
        <f t="shared" si="140"/>
        <v/>
      </c>
      <c r="MFQ6" s="97" t="str">
        <f t="shared" si="140"/>
        <v/>
      </c>
      <c r="MFR6" s="97" t="str">
        <f t="shared" si="140"/>
        <v/>
      </c>
      <c r="MFS6" s="97" t="str">
        <f t="shared" si="140"/>
        <v/>
      </c>
      <c r="MFT6" s="97" t="str">
        <f t="shared" si="140"/>
        <v/>
      </c>
      <c r="MFU6" s="97" t="str">
        <f t="shared" si="140"/>
        <v/>
      </c>
      <c r="MFV6" s="97" t="str">
        <f t="shared" ref="MFV6:MIG6" si="141">IFERROR(AVERAGE(MFV7:MFV13),"")</f>
        <v/>
      </c>
      <c r="MFW6" s="97" t="str">
        <f t="shared" si="141"/>
        <v/>
      </c>
      <c r="MFX6" s="97" t="str">
        <f t="shared" si="141"/>
        <v/>
      </c>
      <c r="MFY6" s="97" t="str">
        <f t="shared" si="141"/>
        <v/>
      </c>
      <c r="MFZ6" s="97" t="str">
        <f t="shared" si="141"/>
        <v/>
      </c>
      <c r="MGA6" s="97" t="str">
        <f t="shared" si="141"/>
        <v/>
      </c>
      <c r="MGB6" s="97" t="str">
        <f t="shared" si="141"/>
        <v/>
      </c>
      <c r="MGC6" s="97" t="str">
        <f t="shared" si="141"/>
        <v/>
      </c>
      <c r="MGD6" s="97" t="str">
        <f t="shared" si="141"/>
        <v/>
      </c>
      <c r="MGE6" s="97" t="str">
        <f t="shared" si="141"/>
        <v/>
      </c>
      <c r="MGF6" s="97" t="str">
        <f t="shared" si="141"/>
        <v/>
      </c>
      <c r="MGG6" s="97" t="str">
        <f t="shared" si="141"/>
        <v/>
      </c>
      <c r="MGH6" s="97" t="str">
        <f t="shared" si="141"/>
        <v/>
      </c>
      <c r="MGI6" s="97" t="str">
        <f t="shared" si="141"/>
        <v/>
      </c>
      <c r="MGJ6" s="97" t="str">
        <f t="shared" si="141"/>
        <v/>
      </c>
      <c r="MGK6" s="97" t="str">
        <f t="shared" si="141"/>
        <v/>
      </c>
      <c r="MGL6" s="97" t="str">
        <f t="shared" si="141"/>
        <v/>
      </c>
      <c r="MGM6" s="97" t="str">
        <f t="shared" si="141"/>
        <v/>
      </c>
      <c r="MGN6" s="97" t="str">
        <f t="shared" si="141"/>
        <v/>
      </c>
      <c r="MGO6" s="97" t="str">
        <f t="shared" si="141"/>
        <v/>
      </c>
      <c r="MGP6" s="97" t="str">
        <f t="shared" si="141"/>
        <v/>
      </c>
      <c r="MGQ6" s="97" t="str">
        <f t="shared" si="141"/>
        <v/>
      </c>
      <c r="MGR6" s="97" t="str">
        <f t="shared" si="141"/>
        <v/>
      </c>
      <c r="MGS6" s="97" t="str">
        <f t="shared" si="141"/>
        <v/>
      </c>
      <c r="MGT6" s="97" t="str">
        <f t="shared" si="141"/>
        <v/>
      </c>
      <c r="MGU6" s="97" t="str">
        <f t="shared" si="141"/>
        <v/>
      </c>
      <c r="MGV6" s="97" t="str">
        <f t="shared" si="141"/>
        <v/>
      </c>
      <c r="MGW6" s="97" t="str">
        <f t="shared" si="141"/>
        <v/>
      </c>
      <c r="MGX6" s="97" t="str">
        <f t="shared" si="141"/>
        <v/>
      </c>
      <c r="MGY6" s="97" t="str">
        <f t="shared" si="141"/>
        <v/>
      </c>
      <c r="MGZ6" s="97" t="str">
        <f t="shared" si="141"/>
        <v/>
      </c>
      <c r="MHA6" s="97" t="str">
        <f t="shared" si="141"/>
        <v/>
      </c>
      <c r="MHB6" s="97" t="str">
        <f t="shared" si="141"/>
        <v/>
      </c>
      <c r="MHC6" s="97" t="str">
        <f t="shared" si="141"/>
        <v/>
      </c>
      <c r="MHD6" s="97" t="str">
        <f t="shared" si="141"/>
        <v/>
      </c>
      <c r="MHE6" s="97" t="str">
        <f t="shared" si="141"/>
        <v/>
      </c>
      <c r="MHF6" s="97" t="str">
        <f t="shared" si="141"/>
        <v/>
      </c>
      <c r="MHG6" s="97" t="str">
        <f t="shared" si="141"/>
        <v/>
      </c>
      <c r="MHH6" s="97" t="str">
        <f t="shared" si="141"/>
        <v/>
      </c>
      <c r="MHI6" s="97" t="str">
        <f t="shared" si="141"/>
        <v/>
      </c>
      <c r="MHJ6" s="97" t="str">
        <f t="shared" si="141"/>
        <v/>
      </c>
      <c r="MHK6" s="97" t="str">
        <f t="shared" si="141"/>
        <v/>
      </c>
      <c r="MHL6" s="97" t="str">
        <f t="shared" si="141"/>
        <v/>
      </c>
      <c r="MHM6" s="97" t="str">
        <f t="shared" si="141"/>
        <v/>
      </c>
      <c r="MHN6" s="97" t="str">
        <f t="shared" si="141"/>
        <v/>
      </c>
      <c r="MHO6" s="97" t="str">
        <f t="shared" si="141"/>
        <v/>
      </c>
      <c r="MHP6" s="97" t="str">
        <f t="shared" si="141"/>
        <v/>
      </c>
      <c r="MHQ6" s="97" t="str">
        <f t="shared" si="141"/>
        <v/>
      </c>
      <c r="MHR6" s="97" t="str">
        <f t="shared" si="141"/>
        <v/>
      </c>
      <c r="MHS6" s="97" t="str">
        <f t="shared" si="141"/>
        <v/>
      </c>
      <c r="MHT6" s="97" t="str">
        <f t="shared" si="141"/>
        <v/>
      </c>
      <c r="MHU6" s="97" t="str">
        <f t="shared" si="141"/>
        <v/>
      </c>
      <c r="MHV6" s="97" t="str">
        <f t="shared" si="141"/>
        <v/>
      </c>
      <c r="MHW6" s="97" t="str">
        <f t="shared" si="141"/>
        <v/>
      </c>
      <c r="MHX6" s="97" t="str">
        <f t="shared" si="141"/>
        <v/>
      </c>
      <c r="MHY6" s="97" t="str">
        <f t="shared" si="141"/>
        <v/>
      </c>
      <c r="MHZ6" s="97" t="str">
        <f t="shared" si="141"/>
        <v/>
      </c>
      <c r="MIA6" s="97" t="str">
        <f t="shared" si="141"/>
        <v/>
      </c>
      <c r="MIB6" s="97" t="str">
        <f t="shared" si="141"/>
        <v/>
      </c>
      <c r="MIC6" s="97" t="str">
        <f t="shared" si="141"/>
        <v/>
      </c>
      <c r="MID6" s="97" t="str">
        <f t="shared" si="141"/>
        <v/>
      </c>
      <c r="MIE6" s="97" t="str">
        <f t="shared" si="141"/>
        <v/>
      </c>
      <c r="MIF6" s="97" t="str">
        <f t="shared" si="141"/>
        <v/>
      </c>
      <c r="MIG6" s="97" t="str">
        <f t="shared" si="141"/>
        <v/>
      </c>
      <c r="MIH6" s="97" t="str">
        <f t="shared" ref="MIH6:MKS6" si="142">IFERROR(AVERAGE(MIH7:MIH13),"")</f>
        <v/>
      </c>
      <c r="MII6" s="97" t="str">
        <f t="shared" si="142"/>
        <v/>
      </c>
      <c r="MIJ6" s="97" t="str">
        <f t="shared" si="142"/>
        <v/>
      </c>
      <c r="MIK6" s="97" t="str">
        <f t="shared" si="142"/>
        <v/>
      </c>
      <c r="MIL6" s="97" t="str">
        <f t="shared" si="142"/>
        <v/>
      </c>
      <c r="MIM6" s="97" t="str">
        <f t="shared" si="142"/>
        <v/>
      </c>
      <c r="MIN6" s="97" t="str">
        <f t="shared" si="142"/>
        <v/>
      </c>
      <c r="MIO6" s="97" t="str">
        <f t="shared" si="142"/>
        <v/>
      </c>
      <c r="MIP6" s="97" t="str">
        <f t="shared" si="142"/>
        <v/>
      </c>
      <c r="MIQ6" s="97" t="str">
        <f t="shared" si="142"/>
        <v/>
      </c>
      <c r="MIR6" s="97" t="str">
        <f t="shared" si="142"/>
        <v/>
      </c>
      <c r="MIS6" s="97" t="str">
        <f t="shared" si="142"/>
        <v/>
      </c>
      <c r="MIT6" s="97" t="str">
        <f t="shared" si="142"/>
        <v/>
      </c>
      <c r="MIU6" s="97" t="str">
        <f t="shared" si="142"/>
        <v/>
      </c>
      <c r="MIV6" s="97" t="str">
        <f t="shared" si="142"/>
        <v/>
      </c>
      <c r="MIW6" s="97" t="str">
        <f t="shared" si="142"/>
        <v/>
      </c>
      <c r="MIX6" s="97" t="str">
        <f t="shared" si="142"/>
        <v/>
      </c>
      <c r="MIY6" s="97" t="str">
        <f t="shared" si="142"/>
        <v/>
      </c>
      <c r="MIZ6" s="97" t="str">
        <f t="shared" si="142"/>
        <v/>
      </c>
      <c r="MJA6" s="97" t="str">
        <f t="shared" si="142"/>
        <v/>
      </c>
      <c r="MJB6" s="97" t="str">
        <f t="shared" si="142"/>
        <v/>
      </c>
      <c r="MJC6" s="97" t="str">
        <f t="shared" si="142"/>
        <v/>
      </c>
      <c r="MJD6" s="97" t="str">
        <f t="shared" si="142"/>
        <v/>
      </c>
      <c r="MJE6" s="97" t="str">
        <f t="shared" si="142"/>
        <v/>
      </c>
      <c r="MJF6" s="97" t="str">
        <f t="shared" si="142"/>
        <v/>
      </c>
      <c r="MJG6" s="97" t="str">
        <f t="shared" si="142"/>
        <v/>
      </c>
      <c r="MJH6" s="97" t="str">
        <f t="shared" si="142"/>
        <v/>
      </c>
      <c r="MJI6" s="97" t="str">
        <f t="shared" si="142"/>
        <v/>
      </c>
      <c r="MJJ6" s="97" t="str">
        <f t="shared" si="142"/>
        <v/>
      </c>
      <c r="MJK6" s="97" t="str">
        <f t="shared" si="142"/>
        <v/>
      </c>
      <c r="MJL6" s="97" t="str">
        <f t="shared" si="142"/>
        <v/>
      </c>
      <c r="MJM6" s="97" t="str">
        <f t="shared" si="142"/>
        <v/>
      </c>
      <c r="MJN6" s="97" t="str">
        <f t="shared" si="142"/>
        <v/>
      </c>
      <c r="MJO6" s="97" t="str">
        <f t="shared" si="142"/>
        <v/>
      </c>
      <c r="MJP6" s="97" t="str">
        <f t="shared" si="142"/>
        <v/>
      </c>
      <c r="MJQ6" s="97" t="str">
        <f t="shared" si="142"/>
        <v/>
      </c>
      <c r="MJR6" s="97" t="str">
        <f t="shared" si="142"/>
        <v/>
      </c>
      <c r="MJS6" s="97" t="str">
        <f t="shared" si="142"/>
        <v/>
      </c>
      <c r="MJT6" s="97" t="str">
        <f t="shared" si="142"/>
        <v/>
      </c>
      <c r="MJU6" s="97" t="str">
        <f t="shared" si="142"/>
        <v/>
      </c>
      <c r="MJV6" s="97" t="str">
        <f t="shared" si="142"/>
        <v/>
      </c>
      <c r="MJW6" s="97" t="str">
        <f t="shared" si="142"/>
        <v/>
      </c>
      <c r="MJX6" s="97" t="str">
        <f t="shared" si="142"/>
        <v/>
      </c>
      <c r="MJY6" s="97" t="str">
        <f t="shared" si="142"/>
        <v/>
      </c>
      <c r="MJZ6" s="97" t="str">
        <f t="shared" si="142"/>
        <v/>
      </c>
      <c r="MKA6" s="97" t="str">
        <f t="shared" si="142"/>
        <v/>
      </c>
      <c r="MKB6" s="97" t="str">
        <f t="shared" si="142"/>
        <v/>
      </c>
      <c r="MKC6" s="97" t="str">
        <f t="shared" si="142"/>
        <v/>
      </c>
      <c r="MKD6" s="97" t="str">
        <f t="shared" si="142"/>
        <v/>
      </c>
      <c r="MKE6" s="97" t="str">
        <f t="shared" si="142"/>
        <v/>
      </c>
      <c r="MKF6" s="97" t="str">
        <f t="shared" si="142"/>
        <v/>
      </c>
      <c r="MKG6" s="97" t="str">
        <f t="shared" si="142"/>
        <v/>
      </c>
      <c r="MKH6" s="97" t="str">
        <f t="shared" si="142"/>
        <v/>
      </c>
      <c r="MKI6" s="97" t="str">
        <f t="shared" si="142"/>
        <v/>
      </c>
      <c r="MKJ6" s="97" t="str">
        <f t="shared" si="142"/>
        <v/>
      </c>
      <c r="MKK6" s="97" t="str">
        <f t="shared" si="142"/>
        <v/>
      </c>
      <c r="MKL6" s="97" t="str">
        <f t="shared" si="142"/>
        <v/>
      </c>
      <c r="MKM6" s="97" t="str">
        <f t="shared" si="142"/>
        <v/>
      </c>
      <c r="MKN6" s="97" t="str">
        <f t="shared" si="142"/>
        <v/>
      </c>
      <c r="MKO6" s="97" t="str">
        <f t="shared" si="142"/>
        <v/>
      </c>
      <c r="MKP6" s="97" t="str">
        <f t="shared" si="142"/>
        <v/>
      </c>
      <c r="MKQ6" s="97" t="str">
        <f t="shared" si="142"/>
        <v/>
      </c>
      <c r="MKR6" s="97" t="str">
        <f t="shared" si="142"/>
        <v/>
      </c>
      <c r="MKS6" s="97" t="str">
        <f t="shared" si="142"/>
        <v/>
      </c>
      <c r="MKT6" s="97" t="str">
        <f t="shared" ref="MKT6:MNE6" si="143">IFERROR(AVERAGE(MKT7:MKT13),"")</f>
        <v/>
      </c>
      <c r="MKU6" s="97" t="str">
        <f t="shared" si="143"/>
        <v/>
      </c>
      <c r="MKV6" s="97" t="str">
        <f t="shared" si="143"/>
        <v/>
      </c>
      <c r="MKW6" s="97" t="str">
        <f t="shared" si="143"/>
        <v/>
      </c>
      <c r="MKX6" s="97" t="str">
        <f t="shared" si="143"/>
        <v/>
      </c>
      <c r="MKY6" s="97" t="str">
        <f t="shared" si="143"/>
        <v/>
      </c>
      <c r="MKZ6" s="97" t="str">
        <f t="shared" si="143"/>
        <v/>
      </c>
      <c r="MLA6" s="97" t="str">
        <f t="shared" si="143"/>
        <v/>
      </c>
      <c r="MLB6" s="97" t="str">
        <f t="shared" si="143"/>
        <v/>
      </c>
      <c r="MLC6" s="97" t="str">
        <f t="shared" si="143"/>
        <v/>
      </c>
      <c r="MLD6" s="97" t="str">
        <f t="shared" si="143"/>
        <v/>
      </c>
      <c r="MLE6" s="97" t="str">
        <f t="shared" si="143"/>
        <v/>
      </c>
      <c r="MLF6" s="97" t="str">
        <f t="shared" si="143"/>
        <v/>
      </c>
      <c r="MLG6" s="97" t="str">
        <f t="shared" si="143"/>
        <v/>
      </c>
      <c r="MLH6" s="97" t="str">
        <f t="shared" si="143"/>
        <v/>
      </c>
      <c r="MLI6" s="97" t="str">
        <f t="shared" si="143"/>
        <v/>
      </c>
      <c r="MLJ6" s="97" t="str">
        <f t="shared" si="143"/>
        <v/>
      </c>
      <c r="MLK6" s="97" t="str">
        <f t="shared" si="143"/>
        <v/>
      </c>
      <c r="MLL6" s="97" t="str">
        <f t="shared" si="143"/>
        <v/>
      </c>
      <c r="MLM6" s="97" t="str">
        <f t="shared" si="143"/>
        <v/>
      </c>
      <c r="MLN6" s="97" t="str">
        <f t="shared" si="143"/>
        <v/>
      </c>
      <c r="MLO6" s="97" t="str">
        <f t="shared" si="143"/>
        <v/>
      </c>
      <c r="MLP6" s="97" t="str">
        <f t="shared" si="143"/>
        <v/>
      </c>
      <c r="MLQ6" s="97" t="str">
        <f t="shared" si="143"/>
        <v/>
      </c>
      <c r="MLR6" s="97" t="str">
        <f t="shared" si="143"/>
        <v/>
      </c>
      <c r="MLS6" s="97" t="str">
        <f t="shared" si="143"/>
        <v/>
      </c>
      <c r="MLT6" s="97" t="str">
        <f t="shared" si="143"/>
        <v/>
      </c>
      <c r="MLU6" s="97" t="str">
        <f t="shared" si="143"/>
        <v/>
      </c>
      <c r="MLV6" s="97" t="str">
        <f t="shared" si="143"/>
        <v/>
      </c>
      <c r="MLW6" s="97" t="str">
        <f t="shared" si="143"/>
        <v/>
      </c>
      <c r="MLX6" s="97" t="str">
        <f t="shared" si="143"/>
        <v/>
      </c>
      <c r="MLY6" s="97" t="str">
        <f t="shared" si="143"/>
        <v/>
      </c>
      <c r="MLZ6" s="97" t="str">
        <f t="shared" si="143"/>
        <v/>
      </c>
      <c r="MMA6" s="97" t="str">
        <f t="shared" si="143"/>
        <v/>
      </c>
      <c r="MMB6" s="97" t="str">
        <f t="shared" si="143"/>
        <v/>
      </c>
      <c r="MMC6" s="97" t="str">
        <f t="shared" si="143"/>
        <v/>
      </c>
      <c r="MMD6" s="97" t="str">
        <f t="shared" si="143"/>
        <v/>
      </c>
      <c r="MME6" s="97" t="str">
        <f t="shared" si="143"/>
        <v/>
      </c>
      <c r="MMF6" s="97" t="str">
        <f t="shared" si="143"/>
        <v/>
      </c>
      <c r="MMG6" s="97" t="str">
        <f t="shared" si="143"/>
        <v/>
      </c>
      <c r="MMH6" s="97" t="str">
        <f t="shared" si="143"/>
        <v/>
      </c>
      <c r="MMI6" s="97" t="str">
        <f t="shared" si="143"/>
        <v/>
      </c>
      <c r="MMJ6" s="97" t="str">
        <f t="shared" si="143"/>
        <v/>
      </c>
      <c r="MMK6" s="97" t="str">
        <f t="shared" si="143"/>
        <v/>
      </c>
      <c r="MML6" s="97" t="str">
        <f t="shared" si="143"/>
        <v/>
      </c>
      <c r="MMM6" s="97" t="str">
        <f t="shared" si="143"/>
        <v/>
      </c>
      <c r="MMN6" s="97" t="str">
        <f t="shared" si="143"/>
        <v/>
      </c>
      <c r="MMO6" s="97" t="str">
        <f t="shared" si="143"/>
        <v/>
      </c>
      <c r="MMP6" s="97" t="str">
        <f t="shared" si="143"/>
        <v/>
      </c>
      <c r="MMQ6" s="97" t="str">
        <f t="shared" si="143"/>
        <v/>
      </c>
      <c r="MMR6" s="97" t="str">
        <f t="shared" si="143"/>
        <v/>
      </c>
      <c r="MMS6" s="97" t="str">
        <f t="shared" si="143"/>
        <v/>
      </c>
      <c r="MMT6" s="97" t="str">
        <f t="shared" si="143"/>
        <v/>
      </c>
      <c r="MMU6" s="97" t="str">
        <f t="shared" si="143"/>
        <v/>
      </c>
      <c r="MMV6" s="97" t="str">
        <f t="shared" si="143"/>
        <v/>
      </c>
      <c r="MMW6" s="97" t="str">
        <f t="shared" si="143"/>
        <v/>
      </c>
      <c r="MMX6" s="97" t="str">
        <f t="shared" si="143"/>
        <v/>
      </c>
      <c r="MMY6" s="97" t="str">
        <f t="shared" si="143"/>
        <v/>
      </c>
      <c r="MMZ6" s="97" t="str">
        <f t="shared" si="143"/>
        <v/>
      </c>
      <c r="MNA6" s="97" t="str">
        <f t="shared" si="143"/>
        <v/>
      </c>
      <c r="MNB6" s="97" t="str">
        <f t="shared" si="143"/>
        <v/>
      </c>
      <c r="MNC6" s="97" t="str">
        <f t="shared" si="143"/>
        <v/>
      </c>
      <c r="MND6" s="97" t="str">
        <f t="shared" si="143"/>
        <v/>
      </c>
      <c r="MNE6" s="97" t="str">
        <f t="shared" si="143"/>
        <v/>
      </c>
      <c r="MNF6" s="97" t="str">
        <f t="shared" ref="MNF6:MPQ6" si="144">IFERROR(AVERAGE(MNF7:MNF13),"")</f>
        <v/>
      </c>
      <c r="MNG6" s="97" t="str">
        <f t="shared" si="144"/>
        <v/>
      </c>
      <c r="MNH6" s="97" t="str">
        <f t="shared" si="144"/>
        <v/>
      </c>
      <c r="MNI6" s="97" t="str">
        <f t="shared" si="144"/>
        <v/>
      </c>
      <c r="MNJ6" s="97" t="str">
        <f t="shared" si="144"/>
        <v/>
      </c>
      <c r="MNK6" s="97" t="str">
        <f t="shared" si="144"/>
        <v/>
      </c>
      <c r="MNL6" s="97" t="str">
        <f t="shared" si="144"/>
        <v/>
      </c>
      <c r="MNM6" s="97" t="str">
        <f t="shared" si="144"/>
        <v/>
      </c>
      <c r="MNN6" s="97" t="str">
        <f t="shared" si="144"/>
        <v/>
      </c>
      <c r="MNO6" s="97" t="str">
        <f t="shared" si="144"/>
        <v/>
      </c>
      <c r="MNP6" s="97" t="str">
        <f t="shared" si="144"/>
        <v/>
      </c>
      <c r="MNQ6" s="97" t="str">
        <f t="shared" si="144"/>
        <v/>
      </c>
      <c r="MNR6" s="97" t="str">
        <f t="shared" si="144"/>
        <v/>
      </c>
      <c r="MNS6" s="97" t="str">
        <f t="shared" si="144"/>
        <v/>
      </c>
      <c r="MNT6" s="97" t="str">
        <f t="shared" si="144"/>
        <v/>
      </c>
      <c r="MNU6" s="97" t="str">
        <f t="shared" si="144"/>
        <v/>
      </c>
      <c r="MNV6" s="97" t="str">
        <f t="shared" si="144"/>
        <v/>
      </c>
      <c r="MNW6" s="97" t="str">
        <f t="shared" si="144"/>
        <v/>
      </c>
      <c r="MNX6" s="97" t="str">
        <f t="shared" si="144"/>
        <v/>
      </c>
      <c r="MNY6" s="97" t="str">
        <f t="shared" si="144"/>
        <v/>
      </c>
      <c r="MNZ6" s="97" t="str">
        <f t="shared" si="144"/>
        <v/>
      </c>
      <c r="MOA6" s="97" t="str">
        <f t="shared" si="144"/>
        <v/>
      </c>
      <c r="MOB6" s="97" t="str">
        <f t="shared" si="144"/>
        <v/>
      </c>
      <c r="MOC6" s="97" t="str">
        <f t="shared" si="144"/>
        <v/>
      </c>
      <c r="MOD6" s="97" t="str">
        <f t="shared" si="144"/>
        <v/>
      </c>
      <c r="MOE6" s="97" t="str">
        <f t="shared" si="144"/>
        <v/>
      </c>
      <c r="MOF6" s="97" t="str">
        <f t="shared" si="144"/>
        <v/>
      </c>
      <c r="MOG6" s="97" t="str">
        <f t="shared" si="144"/>
        <v/>
      </c>
      <c r="MOH6" s="97" t="str">
        <f t="shared" si="144"/>
        <v/>
      </c>
      <c r="MOI6" s="97" t="str">
        <f t="shared" si="144"/>
        <v/>
      </c>
      <c r="MOJ6" s="97" t="str">
        <f t="shared" si="144"/>
        <v/>
      </c>
      <c r="MOK6" s="97" t="str">
        <f t="shared" si="144"/>
        <v/>
      </c>
      <c r="MOL6" s="97" t="str">
        <f t="shared" si="144"/>
        <v/>
      </c>
      <c r="MOM6" s="97" t="str">
        <f t="shared" si="144"/>
        <v/>
      </c>
      <c r="MON6" s="97" t="str">
        <f t="shared" si="144"/>
        <v/>
      </c>
      <c r="MOO6" s="97" t="str">
        <f t="shared" si="144"/>
        <v/>
      </c>
      <c r="MOP6" s="97" t="str">
        <f t="shared" si="144"/>
        <v/>
      </c>
      <c r="MOQ6" s="97" t="str">
        <f t="shared" si="144"/>
        <v/>
      </c>
      <c r="MOR6" s="97" t="str">
        <f t="shared" si="144"/>
        <v/>
      </c>
      <c r="MOS6" s="97" t="str">
        <f t="shared" si="144"/>
        <v/>
      </c>
      <c r="MOT6" s="97" t="str">
        <f t="shared" si="144"/>
        <v/>
      </c>
      <c r="MOU6" s="97" t="str">
        <f t="shared" si="144"/>
        <v/>
      </c>
      <c r="MOV6" s="97" t="str">
        <f t="shared" si="144"/>
        <v/>
      </c>
      <c r="MOW6" s="97" t="str">
        <f t="shared" si="144"/>
        <v/>
      </c>
      <c r="MOX6" s="97" t="str">
        <f t="shared" si="144"/>
        <v/>
      </c>
      <c r="MOY6" s="97" t="str">
        <f t="shared" si="144"/>
        <v/>
      </c>
      <c r="MOZ6" s="97" t="str">
        <f t="shared" si="144"/>
        <v/>
      </c>
      <c r="MPA6" s="97" t="str">
        <f t="shared" si="144"/>
        <v/>
      </c>
      <c r="MPB6" s="97" t="str">
        <f t="shared" si="144"/>
        <v/>
      </c>
      <c r="MPC6" s="97" t="str">
        <f t="shared" si="144"/>
        <v/>
      </c>
      <c r="MPD6" s="97" t="str">
        <f t="shared" si="144"/>
        <v/>
      </c>
      <c r="MPE6" s="97" t="str">
        <f t="shared" si="144"/>
        <v/>
      </c>
      <c r="MPF6" s="97" t="str">
        <f t="shared" si="144"/>
        <v/>
      </c>
      <c r="MPG6" s="97" t="str">
        <f t="shared" si="144"/>
        <v/>
      </c>
      <c r="MPH6" s="97" t="str">
        <f t="shared" si="144"/>
        <v/>
      </c>
      <c r="MPI6" s="97" t="str">
        <f t="shared" si="144"/>
        <v/>
      </c>
      <c r="MPJ6" s="97" t="str">
        <f t="shared" si="144"/>
        <v/>
      </c>
      <c r="MPK6" s="97" t="str">
        <f t="shared" si="144"/>
        <v/>
      </c>
      <c r="MPL6" s="97" t="str">
        <f t="shared" si="144"/>
        <v/>
      </c>
      <c r="MPM6" s="97" t="str">
        <f t="shared" si="144"/>
        <v/>
      </c>
      <c r="MPN6" s="97" t="str">
        <f t="shared" si="144"/>
        <v/>
      </c>
      <c r="MPO6" s="97" t="str">
        <f t="shared" si="144"/>
        <v/>
      </c>
      <c r="MPP6" s="97" t="str">
        <f t="shared" si="144"/>
        <v/>
      </c>
      <c r="MPQ6" s="97" t="str">
        <f t="shared" si="144"/>
        <v/>
      </c>
      <c r="MPR6" s="97" t="str">
        <f t="shared" ref="MPR6:MSC6" si="145">IFERROR(AVERAGE(MPR7:MPR13),"")</f>
        <v/>
      </c>
      <c r="MPS6" s="97" t="str">
        <f t="shared" si="145"/>
        <v/>
      </c>
      <c r="MPT6" s="97" t="str">
        <f t="shared" si="145"/>
        <v/>
      </c>
      <c r="MPU6" s="97" t="str">
        <f t="shared" si="145"/>
        <v/>
      </c>
      <c r="MPV6" s="97" t="str">
        <f t="shared" si="145"/>
        <v/>
      </c>
      <c r="MPW6" s="97" t="str">
        <f t="shared" si="145"/>
        <v/>
      </c>
      <c r="MPX6" s="97" t="str">
        <f t="shared" si="145"/>
        <v/>
      </c>
      <c r="MPY6" s="97" t="str">
        <f t="shared" si="145"/>
        <v/>
      </c>
      <c r="MPZ6" s="97" t="str">
        <f t="shared" si="145"/>
        <v/>
      </c>
      <c r="MQA6" s="97" t="str">
        <f t="shared" si="145"/>
        <v/>
      </c>
      <c r="MQB6" s="97" t="str">
        <f t="shared" si="145"/>
        <v/>
      </c>
      <c r="MQC6" s="97" t="str">
        <f t="shared" si="145"/>
        <v/>
      </c>
      <c r="MQD6" s="97" t="str">
        <f t="shared" si="145"/>
        <v/>
      </c>
      <c r="MQE6" s="97" t="str">
        <f t="shared" si="145"/>
        <v/>
      </c>
      <c r="MQF6" s="97" t="str">
        <f t="shared" si="145"/>
        <v/>
      </c>
      <c r="MQG6" s="97" t="str">
        <f t="shared" si="145"/>
        <v/>
      </c>
      <c r="MQH6" s="97" t="str">
        <f t="shared" si="145"/>
        <v/>
      </c>
      <c r="MQI6" s="97" t="str">
        <f t="shared" si="145"/>
        <v/>
      </c>
      <c r="MQJ6" s="97" t="str">
        <f t="shared" si="145"/>
        <v/>
      </c>
      <c r="MQK6" s="97" t="str">
        <f t="shared" si="145"/>
        <v/>
      </c>
      <c r="MQL6" s="97" t="str">
        <f t="shared" si="145"/>
        <v/>
      </c>
      <c r="MQM6" s="97" t="str">
        <f t="shared" si="145"/>
        <v/>
      </c>
      <c r="MQN6" s="97" t="str">
        <f t="shared" si="145"/>
        <v/>
      </c>
      <c r="MQO6" s="97" t="str">
        <f t="shared" si="145"/>
        <v/>
      </c>
      <c r="MQP6" s="97" t="str">
        <f t="shared" si="145"/>
        <v/>
      </c>
      <c r="MQQ6" s="97" t="str">
        <f t="shared" si="145"/>
        <v/>
      </c>
      <c r="MQR6" s="97" t="str">
        <f t="shared" si="145"/>
        <v/>
      </c>
      <c r="MQS6" s="97" t="str">
        <f t="shared" si="145"/>
        <v/>
      </c>
      <c r="MQT6" s="97" t="str">
        <f t="shared" si="145"/>
        <v/>
      </c>
      <c r="MQU6" s="97" t="str">
        <f t="shared" si="145"/>
        <v/>
      </c>
      <c r="MQV6" s="97" t="str">
        <f t="shared" si="145"/>
        <v/>
      </c>
      <c r="MQW6" s="97" t="str">
        <f t="shared" si="145"/>
        <v/>
      </c>
      <c r="MQX6" s="97" t="str">
        <f t="shared" si="145"/>
        <v/>
      </c>
      <c r="MQY6" s="97" t="str">
        <f t="shared" si="145"/>
        <v/>
      </c>
      <c r="MQZ6" s="97" t="str">
        <f t="shared" si="145"/>
        <v/>
      </c>
      <c r="MRA6" s="97" t="str">
        <f t="shared" si="145"/>
        <v/>
      </c>
      <c r="MRB6" s="97" t="str">
        <f t="shared" si="145"/>
        <v/>
      </c>
      <c r="MRC6" s="97" t="str">
        <f t="shared" si="145"/>
        <v/>
      </c>
      <c r="MRD6" s="97" t="str">
        <f t="shared" si="145"/>
        <v/>
      </c>
      <c r="MRE6" s="97" t="str">
        <f t="shared" si="145"/>
        <v/>
      </c>
      <c r="MRF6" s="97" t="str">
        <f t="shared" si="145"/>
        <v/>
      </c>
      <c r="MRG6" s="97" t="str">
        <f t="shared" si="145"/>
        <v/>
      </c>
      <c r="MRH6" s="97" t="str">
        <f t="shared" si="145"/>
        <v/>
      </c>
      <c r="MRI6" s="97" t="str">
        <f t="shared" si="145"/>
        <v/>
      </c>
      <c r="MRJ6" s="97" t="str">
        <f t="shared" si="145"/>
        <v/>
      </c>
      <c r="MRK6" s="97" t="str">
        <f t="shared" si="145"/>
        <v/>
      </c>
      <c r="MRL6" s="97" t="str">
        <f t="shared" si="145"/>
        <v/>
      </c>
      <c r="MRM6" s="97" t="str">
        <f t="shared" si="145"/>
        <v/>
      </c>
      <c r="MRN6" s="97" t="str">
        <f t="shared" si="145"/>
        <v/>
      </c>
      <c r="MRO6" s="97" t="str">
        <f t="shared" si="145"/>
        <v/>
      </c>
      <c r="MRP6" s="97" t="str">
        <f t="shared" si="145"/>
        <v/>
      </c>
      <c r="MRQ6" s="97" t="str">
        <f t="shared" si="145"/>
        <v/>
      </c>
      <c r="MRR6" s="97" t="str">
        <f t="shared" si="145"/>
        <v/>
      </c>
      <c r="MRS6" s="97" t="str">
        <f t="shared" si="145"/>
        <v/>
      </c>
      <c r="MRT6" s="97" t="str">
        <f t="shared" si="145"/>
        <v/>
      </c>
      <c r="MRU6" s="97" t="str">
        <f t="shared" si="145"/>
        <v/>
      </c>
      <c r="MRV6" s="97" t="str">
        <f t="shared" si="145"/>
        <v/>
      </c>
      <c r="MRW6" s="97" t="str">
        <f t="shared" si="145"/>
        <v/>
      </c>
      <c r="MRX6" s="97" t="str">
        <f t="shared" si="145"/>
        <v/>
      </c>
      <c r="MRY6" s="97" t="str">
        <f t="shared" si="145"/>
        <v/>
      </c>
      <c r="MRZ6" s="97" t="str">
        <f t="shared" si="145"/>
        <v/>
      </c>
      <c r="MSA6" s="97" t="str">
        <f t="shared" si="145"/>
        <v/>
      </c>
      <c r="MSB6" s="97" t="str">
        <f t="shared" si="145"/>
        <v/>
      </c>
      <c r="MSC6" s="97" t="str">
        <f t="shared" si="145"/>
        <v/>
      </c>
      <c r="MSD6" s="97" t="str">
        <f t="shared" ref="MSD6:MUO6" si="146">IFERROR(AVERAGE(MSD7:MSD13),"")</f>
        <v/>
      </c>
      <c r="MSE6" s="97" t="str">
        <f t="shared" si="146"/>
        <v/>
      </c>
      <c r="MSF6" s="97" t="str">
        <f t="shared" si="146"/>
        <v/>
      </c>
      <c r="MSG6" s="97" t="str">
        <f t="shared" si="146"/>
        <v/>
      </c>
      <c r="MSH6" s="97" t="str">
        <f t="shared" si="146"/>
        <v/>
      </c>
      <c r="MSI6" s="97" t="str">
        <f t="shared" si="146"/>
        <v/>
      </c>
      <c r="MSJ6" s="97" t="str">
        <f t="shared" si="146"/>
        <v/>
      </c>
      <c r="MSK6" s="97" t="str">
        <f t="shared" si="146"/>
        <v/>
      </c>
      <c r="MSL6" s="97" t="str">
        <f t="shared" si="146"/>
        <v/>
      </c>
      <c r="MSM6" s="97" t="str">
        <f t="shared" si="146"/>
        <v/>
      </c>
      <c r="MSN6" s="97" t="str">
        <f t="shared" si="146"/>
        <v/>
      </c>
      <c r="MSO6" s="97" t="str">
        <f t="shared" si="146"/>
        <v/>
      </c>
      <c r="MSP6" s="97" t="str">
        <f t="shared" si="146"/>
        <v/>
      </c>
      <c r="MSQ6" s="97" t="str">
        <f t="shared" si="146"/>
        <v/>
      </c>
      <c r="MSR6" s="97" t="str">
        <f t="shared" si="146"/>
        <v/>
      </c>
      <c r="MSS6" s="97" t="str">
        <f t="shared" si="146"/>
        <v/>
      </c>
      <c r="MST6" s="97" t="str">
        <f t="shared" si="146"/>
        <v/>
      </c>
      <c r="MSU6" s="97" t="str">
        <f t="shared" si="146"/>
        <v/>
      </c>
      <c r="MSV6" s="97" t="str">
        <f t="shared" si="146"/>
        <v/>
      </c>
      <c r="MSW6" s="97" t="str">
        <f t="shared" si="146"/>
        <v/>
      </c>
      <c r="MSX6" s="97" t="str">
        <f t="shared" si="146"/>
        <v/>
      </c>
      <c r="MSY6" s="97" t="str">
        <f t="shared" si="146"/>
        <v/>
      </c>
      <c r="MSZ6" s="97" t="str">
        <f t="shared" si="146"/>
        <v/>
      </c>
      <c r="MTA6" s="97" t="str">
        <f t="shared" si="146"/>
        <v/>
      </c>
      <c r="MTB6" s="97" t="str">
        <f t="shared" si="146"/>
        <v/>
      </c>
      <c r="MTC6" s="97" t="str">
        <f t="shared" si="146"/>
        <v/>
      </c>
      <c r="MTD6" s="97" t="str">
        <f t="shared" si="146"/>
        <v/>
      </c>
      <c r="MTE6" s="97" t="str">
        <f t="shared" si="146"/>
        <v/>
      </c>
      <c r="MTF6" s="97" t="str">
        <f t="shared" si="146"/>
        <v/>
      </c>
      <c r="MTG6" s="97" t="str">
        <f t="shared" si="146"/>
        <v/>
      </c>
      <c r="MTH6" s="97" t="str">
        <f t="shared" si="146"/>
        <v/>
      </c>
      <c r="MTI6" s="97" t="str">
        <f t="shared" si="146"/>
        <v/>
      </c>
      <c r="MTJ6" s="97" t="str">
        <f t="shared" si="146"/>
        <v/>
      </c>
      <c r="MTK6" s="97" t="str">
        <f t="shared" si="146"/>
        <v/>
      </c>
      <c r="MTL6" s="97" t="str">
        <f t="shared" si="146"/>
        <v/>
      </c>
      <c r="MTM6" s="97" t="str">
        <f t="shared" si="146"/>
        <v/>
      </c>
      <c r="MTN6" s="97" t="str">
        <f t="shared" si="146"/>
        <v/>
      </c>
      <c r="MTO6" s="97" t="str">
        <f t="shared" si="146"/>
        <v/>
      </c>
      <c r="MTP6" s="97" t="str">
        <f t="shared" si="146"/>
        <v/>
      </c>
      <c r="MTQ6" s="97" t="str">
        <f t="shared" si="146"/>
        <v/>
      </c>
      <c r="MTR6" s="97" t="str">
        <f t="shared" si="146"/>
        <v/>
      </c>
      <c r="MTS6" s="97" t="str">
        <f t="shared" si="146"/>
        <v/>
      </c>
      <c r="MTT6" s="97" t="str">
        <f t="shared" si="146"/>
        <v/>
      </c>
      <c r="MTU6" s="97" t="str">
        <f t="shared" si="146"/>
        <v/>
      </c>
      <c r="MTV6" s="97" t="str">
        <f t="shared" si="146"/>
        <v/>
      </c>
      <c r="MTW6" s="97" t="str">
        <f t="shared" si="146"/>
        <v/>
      </c>
      <c r="MTX6" s="97" t="str">
        <f t="shared" si="146"/>
        <v/>
      </c>
      <c r="MTY6" s="97" t="str">
        <f t="shared" si="146"/>
        <v/>
      </c>
      <c r="MTZ6" s="97" t="str">
        <f t="shared" si="146"/>
        <v/>
      </c>
      <c r="MUA6" s="97" t="str">
        <f t="shared" si="146"/>
        <v/>
      </c>
      <c r="MUB6" s="97" t="str">
        <f t="shared" si="146"/>
        <v/>
      </c>
      <c r="MUC6" s="97" t="str">
        <f t="shared" si="146"/>
        <v/>
      </c>
      <c r="MUD6" s="97" t="str">
        <f t="shared" si="146"/>
        <v/>
      </c>
      <c r="MUE6" s="97" t="str">
        <f t="shared" si="146"/>
        <v/>
      </c>
      <c r="MUF6" s="97" t="str">
        <f t="shared" si="146"/>
        <v/>
      </c>
      <c r="MUG6" s="97" t="str">
        <f t="shared" si="146"/>
        <v/>
      </c>
      <c r="MUH6" s="97" t="str">
        <f t="shared" si="146"/>
        <v/>
      </c>
      <c r="MUI6" s="97" t="str">
        <f t="shared" si="146"/>
        <v/>
      </c>
      <c r="MUJ6" s="97" t="str">
        <f t="shared" si="146"/>
        <v/>
      </c>
      <c r="MUK6" s="97" t="str">
        <f t="shared" si="146"/>
        <v/>
      </c>
      <c r="MUL6" s="97" t="str">
        <f t="shared" si="146"/>
        <v/>
      </c>
      <c r="MUM6" s="97" t="str">
        <f t="shared" si="146"/>
        <v/>
      </c>
      <c r="MUN6" s="97" t="str">
        <f t="shared" si="146"/>
        <v/>
      </c>
      <c r="MUO6" s="97" t="str">
        <f t="shared" si="146"/>
        <v/>
      </c>
      <c r="MUP6" s="97" t="str">
        <f t="shared" ref="MUP6:MXA6" si="147">IFERROR(AVERAGE(MUP7:MUP13),"")</f>
        <v/>
      </c>
      <c r="MUQ6" s="97" t="str">
        <f t="shared" si="147"/>
        <v/>
      </c>
      <c r="MUR6" s="97" t="str">
        <f t="shared" si="147"/>
        <v/>
      </c>
      <c r="MUS6" s="97" t="str">
        <f t="shared" si="147"/>
        <v/>
      </c>
      <c r="MUT6" s="97" t="str">
        <f t="shared" si="147"/>
        <v/>
      </c>
      <c r="MUU6" s="97" t="str">
        <f t="shared" si="147"/>
        <v/>
      </c>
      <c r="MUV6" s="97" t="str">
        <f t="shared" si="147"/>
        <v/>
      </c>
      <c r="MUW6" s="97" t="str">
        <f t="shared" si="147"/>
        <v/>
      </c>
      <c r="MUX6" s="97" t="str">
        <f t="shared" si="147"/>
        <v/>
      </c>
      <c r="MUY6" s="97" t="str">
        <f t="shared" si="147"/>
        <v/>
      </c>
      <c r="MUZ6" s="97" t="str">
        <f t="shared" si="147"/>
        <v/>
      </c>
      <c r="MVA6" s="97" t="str">
        <f t="shared" si="147"/>
        <v/>
      </c>
      <c r="MVB6" s="97" t="str">
        <f t="shared" si="147"/>
        <v/>
      </c>
      <c r="MVC6" s="97" t="str">
        <f t="shared" si="147"/>
        <v/>
      </c>
      <c r="MVD6" s="97" t="str">
        <f t="shared" si="147"/>
        <v/>
      </c>
      <c r="MVE6" s="97" t="str">
        <f t="shared" si="147"/>
        <v/>
      </c>
      <c r="MVF6" s="97" t="str">
        <f t="shared" si="147"/>
        <v/>
      </c>
      <c r="MVG6" s="97" t="str">
        <f t="shared" si="147"/>
        <v/>
      </c>
      <c r="MVH6" s="97" t="str">
        <f t="shared" si="147"/>
        <v/>
      </c>
      <c r="MVI6" s="97" t="str">
        <f t="shared" si="147"/>
        <v/>
      </c>
      <c r="MVJ6" s="97" t="str">
        <f t="shared" si="147"/>
        <v/>
      </c>
      <c r="MVK6" s="97" t="str">
        <f t="shared" si="147"/>
        <v/>
      </c>
      <c r="MVL6" s="97" t="str">
        <f t="shared" si="147"/>
        <v/>
      </c>
      <c r="MVM6" s="97" t="str">
        <f t="shared" si="147"/>
        <v/>
      </c>
      <c r="MVN6" s="97" t="str">
        <f t="shared" si="147"/>
        <v/>
      </c>
      <c r="MVO6" s="97" t="str">
        <f t="shared" si="147"/>
        <v/>
      </c>
      <c r="MVP6" s="97" t="str">
        <f t="shared" si="147"/>
        <v/>
      </c>
      <c r="MVQ6" s="97" t="str">
        <f t="shared" si="147"/>
        <v/>
      </c>
      <c r="MVR6" s="97" t="str">
        <f t="shared" si="147"/>
        <v/>
      </c>
      <c r="MVS6" s="97" t="str">
        <f t="shared" si="147"/>
        <v/>
      </c>
      <c r="MVT6" s="97" t="str">
        <f t="shared" si="147"/>
        <v/>
      </c>
      <c r="MVU6" s="97" t="str">
        <f t="shared" si="147"/>
        <v/>
      </c>
      <c r="MVV6" s="97" t="str">
        <f t="shared" si="147"/>
        <v/>
      </c>
      <c r="MVW6" s="97" t="str">
        <f t="shared" si="147"/>
        <v/>
      </c>
      <c r="MVX6" s="97" t="str">
        <f t="shared" si="147"/>
        <v/>
      </c>
      <c r="MVY6" s="97" t="str">
        <f t="shared" si="147"/>
        <v/>
      </c>
      <c r="MVZ6" s="97" t="str">
        <f t="shared" si="147"/>
        <v/>
      </c>
      <c r="MWA6" s="97" t="str">
        <f t="shared" si="147"/>
        <v/>
      </c>
      <c r="MWB6" s="97" t="str">
        <f t="shared" si="147"/>
        <v/>
      </c>
      <c r="MWC6" s="97" t="str">
        <f t="shared" si="147"/>
        <v/>
      </c>
      <c r="MWD6" s="97" t="str">
        <f t="shared" si="147"/>
        <v/>
      </c>
      <c r="MWE6" s="97" t="str">
        <f t="shared" si="147"/>
        <v/>
      </c>
      <c r="MWF6" s="97" t="str">
        <f t="shared" si="147"/>
        <v/>
      </c>
      <c r="MWG6" s="97" t="str">
        <f t="shared" si="147"/>
        <v/>
      </c>
      <c r="MWH6" s="97" t="str">
        <f t="shared" si="147"/>
        <v/>
      </c>
      <c r="MWI6" s="97" t="str">
        <f t="shared" si="147"/>
        <v/>
      </c>
      <c r="MWJ6" s="97" t="str">
        <f t="shared" si="147"/>
        <v/>
      </c>
      <c r="MWK6" s="97" t="str">
        <f t="shared" si="147"/>
        <v/>
      </c>
      <c r="MWL6" s="97" t="str">
        <f t="shared" si="147"/>
        <v/>
      </c>
      <c r="MWM6" s="97" t="str">
        <f t="shared" si="147"/>
        <v/>
      </c>
      <c r="MWN6" s="97" t="str">
        <f t="shared" si="147"/>
        <v/>
      </c>
      <c r="MWO6" s="97" t="str">
        <f t="shared" si="147"/>
        <v/>
      </c>
      <c r="MWP6" s="97" t="str">
        <f t="shared" si="147"/>
        <v/>
      </c>
      <c r="MWQ6" s="97" t="str">
        <f t="shared" si="147"/>
        <v/>
      </c>
      <c r="MWR6" s="97" t="str">
        <f t="shared" si="147"/>
        <v/>
      </c>
      <c r="MWS6" s="97" t="str">
        <f t="shared" si="147"/>
        <v/>
      </c>
      <c r="MWT6" s="97" t="str">
        <f t="shared" si="147"/>
        <v/>
      </c>
      <c r="MWU6" s="97" t="str">
        <f t="shared" si="147"/>
        <v/>
      </c>
      <c r="MWV6" s="97" t="str">
        <f t="shared" si="147"/>
        <v/>
      </c>
      <c r="MWW6" s="97" t="str">
        <f t="shared" si="147"/>
        <v/>
      </c>
      <c r="MWX6" s="97" t="str">
        <f t="shared" si="147"/>
        <v/>
      </c>
      <c r="MWY6" s="97" t="str">
        <f t="shared" si="147"/>
        <v/>
      </c>
      <c r="MWZ6" s="97" t="str">
        <f t="shared" si="147"/>
        <v/>
      </c>
      <c r="MXA6" s="97" t="str">
        <f t="shared" si="147"/>
        <v/>
      </c>
      <c r="MXB6" s="97" t="str">
        <f t="shared" ref="MXB6:MZM6" si="148">IFERROR(AVERAGE(MXB7:MXB13),"")</f>
        <v/>
      </c>
      <c r="MXC6" s="97" t="str">
        <f t="shared" si="148"/>
        <v/>
      </c>
      <c r="MXD6" s="97" t="str">
        <f t="shared" si="148"/>
        <v/>
      </c>
      <c r="MXE6" s="97" t="str">
        <f t="shared" si="148"/>
        <v/>
      </c>
      <c r="MXF6" s="97" t="str">
        <f t="shared" si="148"/>
        <v/>
      </c>
      <c r="MXG6" s="97" t="str">
        <f t="shared" si="148"/>
        <v/>
      </c>
      <c r="MXH6" s="97" t="str">
        <f t="shared" si="148"/>
        <v/>
      </c>
      <c r="MXI6" s="97" t="str">
        <f t="shared" si="148"/>
        <v/>
      </c>
      <c r="MXJ6" s="97" t="str">
        <f t="shared" si="148"/>
        <v/>
      </c>
      <c r="MXK6" s="97" t="str">
        <f t="shared" si="148"/>
        <v/>
      </c>
      <c r="MXL6" s="97" t="str">
        <f t="shared" si="148"/>
        <v/>
      </c>
      <c r="MXM6" s="97" t="str">
        <f t="shared" si="148"/>
        <v/>
      </c>
      <c r="MXN6" s="97" t="str">
        <f t="shared" si="148"/>
        <v/>
      </c>
      <c r="MXO6" s="97" t="str">
        <f t="shared" si="148"/>
        <v/>
      </c>
      <c r="MXP6" s="97" t="str">
        <f t="shared" si="148"/>
        <v/>
      </c>
      <c r="MXQ6" s="97" t="str">
        <f t="shared" si="148"/>
        <v/>
      </c>
      <c r="MXR6" s="97" t="str">
        <f t="shared" si="148"/>
        <v/>
      </c>
      <c r="MXS6" s="97" t="str">
        <f t="shared" si="148"/>
        <v/>
      </c>
      <c r="MXT6" s="97" t="str">
        <f t="shared" si="148"/>
        <v/>
      </c>
      <c r="MXU6" s="97" t="str">
        <f t="shared" si="148"/>
        <v/>
      </c>
      <c r="MXV6" s="97" t="str">
        <f t="shared" si="148"/>
        <v/>
      </c>
      <c r="MXW6" s="97" t="str">
        <f t="shared" si="148"/>
        <v/>
      </c>
      <c r="MXX6" s="97" t="str">
        <f t="shared" si="148"/>
        <v/>
      </c>
      <c r="MXY6" s="97" t="str">
        <f t="shared" si="148"/>
        <v/>
      </c>
      <c r="MXZ6" s="97" t="str">
        <f t="shared" si="148"/>
        <v/>
      </c>
      <c r="MYA6" s="97" t="str">
        <f t="shared" si="148"/>
        <v/>
      </c>
      <c r="MYB6" s="97" t="str">
        <f t="shared" si="148"/>
        <v/>
      </c>
      <c r="MYC6" s="97" t="str">
        <f t="shared" si="148"/>
        <v/>
      </c>
      <c r="MYD6" s="97" t="str">
        <f t="shared" si="148"/>
        <v/>
      </c>
      <c r="MYE6" s="97" t="str">
        <f t="shared" si="148"/>
        <v/>
      </c>
      <c r="MYF6" s="97" t="str">
        <f t="shared" si="148"/>
        <v/>
      </c>
      <c r="MYG6" s="97" t="str">
        <f t="shared" si="148"/>
        <v/>
      </c>
      <c r="MYH6" s="97" t="str">
        <f t="shared" si="148"/>
        <v/>
      </c>
      <c r="MYI6" s="97" t="str">
        <f t="shared" si="148"/>
        <v/>
      </c>
      <c r="MYJ6" s="97" t="str">
        <f t="shared" si="148"/>
        <v/>
      </c>
      <c r="MYK6" s="97" t="str">
        <f t="shared" si="148"/>
        <v/>
      </c>
      <c r="MYL6" s="97" t="str">
        <f t="shared" si="148"/>
        <v/>
      </c>
      <c r="MYM6" s="97" t="str">
        <f t="shared" si="148"/>
        <v/>
      </c>
      <c r="MYN6" s="97" t="str">
        <f t="shared" si="148"/>
        <v/>
      </c>
      <c r="MYO6" s="97" t="str">
        <f t="shared" si="148"/>
        <v/>
      </c>
      <c r="MYP6" s="97" t="str">
        <f t="shared" si="148"/>
        <v/>
      </c>
      <c r="MYQ6" s="97" t="str">
        <f t="shared" si="148"/>
        <v/>
      </c>
      <c r="MYR6" s="97" t="str">
        <f t="shared" si="148"/>
        <v/>
      </c>
      <c r="MYS6" s="97" t="str">
        <f t="shared" si="148"/>
        <v/>
      </c>
      <c r="MYT6" s="97" t="str">
        <f t="shared" si="148"/>
        <v/>
      </c>
      <c r="MYU6" s="97" t="str">
        <f t="shared" si="148"/>
        <v/>
      </c>
      <c r="MYV6" s="97" t="str">
        <f t="shared" si="148"/>
        <v/>
      </c>
      <c r="MYW6" s="97" t="str">
        <f t="shared" si="148"/>
        <v/>
      </c>
      <c r="MYX6" s="97" t="str">
        <f t="shared" si="148"/>
        <v/>
      </c>
      <c r="MYY6" s="97" t="str">
        <f t="shared" si="148"/>
        <v/>
      </c>
      <c r="MYZ6" s="97" t="str">
        <f t="shared" si="148"/>
        <v/>
      </c>
      <c r="MZA6" s="97" t="str">
        <f t="shared" si="148"/>
        <v/>
      </c>
      <c r="MZB6" s="97" t="str">
        <f t="shared" si="148"/>
        <v/>
      </c>
      <c r="MZC6" s="97" t="str">
        <f t="shared" si="148"/>
        <v/>
      </c>
      <c r="MZD6" s="97" t="str">
        <f t="shared" si="148"/>
        <v/>
      </c>
      <c r="MZE6" s="97" t="str">
        <f t="shared" si="148"/>
        <v/>
      </c>
      <c r="MZF6" s="97" t="str">
        <f t="shared" si="148"/>
        <v/>
      </c>
      <c r="MZG6" s="97" t="str">
        <f t="shared" si="148"/>
        <v/>
      </c>
      <c r="MZH6" s="97" t="str">
        <f t="shared" si="148"/>
        <v/>
      </c>
      <c r="MZI6" s="97" t="str">
        <f t="shared" si="148"/>
        <v/>
      </c>
      <c r="MZJ6" s="97" t="str">
        <f t="shared" si="148"/>
        <v/>
      </c>
      <c r="MZK6" s="97" t="str">
        <f t="shared" si="148"/>
        <v/>
      </c>
      <c r="MZL6" s="97" t="str">
        <f t="shared" si="148"/>
        <v/>
      </c>
      <c r="MZM6" s="97" t="str">
        <f t="shared" si="148"/>
        <v/>
      </c>
      <c r="MZN6" s="97" t="str">
        <f t="shared" ref="MZN6:NBY6" si="149">IFERROR(AVERAGE(MZN7:MZN13),"")</f>
        <v/>
      </c>
      <c r="MZO6" s="97" t="str">
        <f t="shared" si="149"/>
        <v/>
      </c>
      <c r="MZP6" s="97" t="str">
        <f t="shared" si="149"/>
        <v/>
      </c>
      <c r="MZQ6" s="97" t="str">
        <f t="shared" si="149"/>
        <v/>
      </c>
      <c r="MZR6" s="97" t="str">
        <f t="shared" si="149"/>
        <v/>
      </c>
      <c r="MZS6" s="97" t="str">
        <f t="shared" si="149"/>
        <v/>
      </c>
      <c r="MZT6" s="97" t="str">
        <f t="shared" si="149"/>
        <v/>
      </c>
      <c r="MZU6" s="97" t="str">
        <f t="shared" si="149"/>
        <v/>
      </c>
      <c r="MZV6" s="97" t="str">
        <f t="shared" si="149"/>
        <v/>
      </c>
      <c r="MZW6" s="97" t="str">
        <f t="shared" si="149"/>
        <v/>
      </c>
      <c r="MZX6" s="97" t="str">
        <f t="shared" si="149"/>
        <v/>
      </c>
      <c r="MZY6" s="97" t="str">
        <f t="shared" si="149"/>
        <v/>
      </c>
      <c r="MZZ6" s="97" t="str">
        <f t="shared" si="149"/>
        <v/>
      </c>
      <c r="NAA6" s="97" t="str">
        <f t="shared" si="149"/>
        <v/>
      </c>
      <c r="NAB6" s="97" t="str">
        <f t="shared" si="149"/>
        <v/>
      </c>
      <c r="NAC6" s="97" t="str">
        <f t="shared" si="149"/>
        <v/>
      </c>
      <c r="NAD6" s="97" t="str">
        <f t="shared" si="149"/>
        <v/>
      </c>
      <c r="NAE6" s="97" t="str">
        <f t="shared" si="149"/>
        <v/>
      </c>
      <c r="NAF6" s="97" t="str">
        <f t="shared" si="149"/>
        <v/>
      </c>
      <c r="NAG6" s="97" t="str">
        <f t="shared" si="149"/>
        <v/>
      </c>
      <c r="NAH6" s="97" t="str">
        <f t="shared" si="149"/>
        <v/>
      </c>
      <c r="NAI6" s="97" t="str">
        <f t="shared" si="149"/>
        <v/>
      </c>
      <c r="NAJ6" s="97" t="str">
        <f t="shared" si="149"/>
        <v/>
      </c>
      <c r="NAK6" s="97" t="str">
        <f t="shared" si="149"/>
        <v/>
      </c>
      <c r="NAL6" s="97" t="str">
        <f t="shared" si="149"/>
        <v/>
      </c>
      <c r="NAM6" s="97" t="str">
        <f t="shared" si="149"/>
        <v/>
      </c>
      <c r="NAN6" s="97" t="str">
        <f t="shared" si="149"/>
        <v/>
      </c>
      <c r="NAO6" s="97" t="str">
        <f t="shared" si="149"/>
        <v/>
      </c>
      <c r="NAP6" s="97" t="str">
        <f t="shared" si="149"/>
        <v/>
      </c>
      <c r="NAQ6" s="97" t="str">
        <f t="shared" si="149"/>
        <v/>
      </c>
      <c r="NAR6" s="97" t="str">
        <f t="shared" si="149"/>
        <v/>
      </c>
      <c r="NAS6" s="97" t="str">
        <f t="shared" si="149"/>
        <v/>
      </c>
      <c r="NAT6" s="97" t="str">
        <f t="shared" si="149"/>
        <v/>
      </c>
      <c r="NAU6" s="97" t="str">
        <f t="shared" si="149"/>
        <v/>
      </c>
      <c r="NAV6" s="97" t="str">
        <f t="shared" si="149"/>
        <v/>
      </c>
      <c r="NAW6" s="97" t="str">
        <f t="shared" si="149"/>
        <v/>
      </c>
      <c r="NAX6" s="97" t="str">
        <f t="shared" si="149"/>
        <v/>
      </c>
      <c r="NAY6" s="97" t="str">
        <f t="shared" si="149"/>
        <v/>
      </c>
      <c r="NAZ6" s="97" t="str">
        <f t="shared" si="149"/>
        <v/>
      </c>
      <c r="NBA6" s="97" t="str">
        <f t="shared" si="149"/>
        <v/>
      </c>
      <c r="NBB6" s="97" t="str">
        <f t="shared" si="149"/>
        <v/>
      </c>
      <c r="NBC6" s="97" t="str">
        <f t="shared" si="149"/>
        <v/>
      </c>
      <c r="NBD6" s="97" t="str">
        <f t="shared" si="149"/>
        <v/>
      </c>
      <c r="NBE6" s="97" t="str">
        <f t="shared" si="149"/>
        <v/>
      </c>
      <c r="NBF6" s="97" t="str">
        <f t="shared" si="149"/>
        <v/>
      </c>
      <c r="NBG6" s="97" t="str">
        <f t="shared" si="149"/>
        <v/>
      </c>
      <c r="NBH6" s="97" t="str">
        <f t="shared" si="149"/>
        <v/>
      </c>
      <c r="NBI6" s="97" t="str">
        <f t="shared" si="149"/>
        <v/>
      </c>
      <c r="NBJ6" s="97" t="str">
        <f t="shared" si="149"/>
        <v/>
      </c>
      <c r="NBK6" s="97" t="str">
        <f t="shared" si="149"/>
        <v/>
      </c>
      <c r="NBL6" s="97" t="str">
        <f t="shared" si="149"/>
        <v/>
      </c>
      <c r="NBM6" s="97" t="str">
        <f t="shared" si="149"/>
        <v/>
      </c>
      <c r="NBN6" s="97" t="str">
        <f t="shared" si="149"/>
        <v/>
      </c>
      <c r="NBO6" s="97" t="str">
        <f t="shared" si="149"/>
        <v/>
      </c>
      <c r="NBP6" s="97" t="str">
        <f t="shared" si="149"/>
        <v/>
      </c>
      <c r="NBQ6" s="97" t="str">
        <f t="shared" si="149"/>
        <v/>
      </c>
      <c r="NBR6" s="97" t="str">
        <f t="shared" si="149"/>
        <v/>
      </c>
      <c r="NBS6" s="97" t="str">
        <f t="shared" si="149"/>
        <v/>
      </c>
      <c r="NBT6" s="97" t="str">
        <f t="shared" si="149"/>
        <v/>
      </c>
      <c r="NBU6" s="97" t="str">
        <f t="shared" si="149"/>
        <v/>
      </c>
      <c r="NBV6" s="97" t="str">
        <f t="shared" si="149"/>
        <v/>
      </c>
      <c r="NBW6" s="97" t="str">
        <f t="shared" si="149"/>
        <v/>
      </c>
      <c r="NBX6" s="97" t="str">
        <f t="shared" si="149"/>
        <v/>
      </c>
      <c r="NBY6" s="97" t="str">
        <f t="shared" si="149"/>
        <v/>
      </c>
      <c r="NBZ6" s="97" t="str">
        <f t="shared" ref="NBZ6:NEK6" si="150">IFERROR(AVERAGE(NBZ7:NBZ13),"")</f>
        <v/>
      </c>
      <c r="NCA6" s="97" t="str">
        <f t="shared" si="150"/>
        <v/>
      </c>
      <c r="NCB6" s="97" t="str">
        <f t="shared" si="150"/>
        <v/>
      </c>
      <c r="NCC6" s="97" t="str">
        <f t="shared" si="150"/>
        <v/>
      </c>
      <c r="NCD6" s="97" t="str">
        <f t="shared" si="150"/>
        <v/>
      </c>
      <c r="NCE6" s="97" t="str">
        <f t="shared" si="150"/>
        <v/>
      </c>
      <c r="NCF6" s="97" t="str">
        <f t="shared" si="150"/>
        <v/>
      </c>
      <c r="NCG6" s="97" t="str">
        <f t="shared" si="150"/>
        <v/>
      </c>
      <c r="NCH6" s="97" t="str">
        <f t="shared" si="150"/>
        <v/>
      </c>
      <c r="NCI6" s="97" t="str">
        <f t="shared" si="150"/>
        <v/>
      </c>
      <c r="NCJ6" s="97" t="str">
        <f t="shared" si="150"/>
        <v/>
      </c>
      <c r="NCK6" s="97" t="str">
        <f t="shared" si="150"/>
        <v/>
      </c>
      <c r="NCL6" s="97" t="str">
        <f t="shared" si="150"/>
        <v/>
      </c>
      <c r="NCM6" s="97" t="str">
        <f t="shared" si="150"/>
        <v/>
      </c>
      <c r="NCN6" s="97" t="str">
        <f t="shared" si="150"/>
        <v/>
      </c>
      <c r="NCO6" s="97" t="str">
        <f t="shared" si="150"/>
        <v/>
      </c>
      <c r="NCP6" s="97" t="str">
        <f t="shared" si="150"/>
        <v/>
      </c>
      <c r="NCQ6" s="97" t="str">
        <f t="shared" si="150"/>
        <v/>
      </c>
      <c r="NCR6" s="97" t="str">
        <f t="shared" si="150"/>
        <v/>
      </c>
      <c r="NCS6" s="97" t="str">
        <f t="shared" si="150"/>
        <v/>
      </c>
      <c r="NCT6" s="97" t="str">
        <f t="shared" si="150"/>
        <v/>
      </c>
      <c r="NCU6" s="97" t="str">
        <f t="shared" si="150"/>
        <v/>
      </c>
      <c r="NCV6" s="97" t="str">
        <f t="shared" si="150"/>
        <v/>
      </c>
      <c r="NCW6" s="97" t="str">
        <f t="shared" si="150"/>
        <v/>
      </c>
      <c r="NCX6" s="97" t="str">
        <f t="shared" si="150"/>
        <v/>
      </c>
      <c r="NCY6" s="97" t="str">
        <f t="shared" si="150"/>
        <v/>
      </c>
      <c r="NCZ6" s="97" t="str">
        <f t="shared" si="150"/>
        <v/>
      </c>
      <c r="NDA6" s="97" t="str">
        <f t="shared" si="150"/>
        <v/>
      </c>
      <c r="NDB6" s="97" t="str">
        <f t="shared" si="150"/>
        <v/>
      </c>
      <c r="NDC6" s="97" t="str">
        <f t="shared" si="150"/>
        <v/>
      </c>
      <c r="NDD6" s="97" t="str">
        <f t="shared" si="150"/>
        <v/>
      </c>
      <c r="NDE6" s="97" t="str">
        <f t="shared" si="150"/>
        <v/>
      </c>
      <c r="NDF6" s="97" t="str">
        <f t="shared" si="150"/>
        <v/>
      </c>
      <c r="NDG6" s="97" t="str">
        <f t="shared" si="150"/>
        <v/>
      </c>
      <c r="NDH6" s="97" t="str">
        <f t="shared" si="150"/>
        <v/>
      </c>
      <c r="NDI6" s="97" t="str">
        <f t="shared" si="150"/>
        <v/>
      </c>
      <c r="NDJ6" s="97" t="str">
        <f t="shared" si="150"/>
        <v/>
      </c>
      <c r="NDK6" s="97" t="str">
        <f t="shared" si="150"/>
        <v/>
      </c>
      <c r="NDL6" s="97" t="str">
        <f t="shared" si="150"/>
        <v/>
      </c>
      <c r="NDM6" s="97" t="str">
        <f t="shared" si="150"/>
        <v/>
      </c>
      <c r="NDN6" s="97" t="str">
        <f t="shared" si="150"/>
        <v/>
      </c>
      <c r="NDO6" s="97" t="str">
        <f t="shared" si="150"/>
        <v/>
      </c>
      <c r="NDP6" s="97" t="str">
        <f t="shared" si="150"/>
        <v/>
      </c>
      <c r="NDQ6" s="97" t="str">
        <f t="shared" si="150"/>
        <v/>
      </c>
      <c r="NDR6" s="97" t="str">
        <f t="shared" si="150"/>
        <v/>
      </c>
      <c r="NDS6" s="97" t="str">
        <f t="shared" si="150"/>
        <v/>
      </c>
      <c r="NDT6" s="97" t="str">
        <f t="shared" si="150"/>
        <v/>
      </c>
      <c r="NDU6" s="97" t="str">
        <f t="shared" si="150"/>
        <v/>
      </c>
      <c r="NDV6" s="97" t="str">
        <f t="shared" si="150"/>
        <v/>
      </c>
      <c r="NDW6" s="97" t="str">
        <f t="shared" si="150"/>
        <v/>
      </c>
      <c r="NDX6" s="97" t="str">
        <f t="shared" si="150"/>
        <v/>
      </c>
      <c r="NDY6" s="97" t="str">
        <f t="shared" si="150"/>
        <v/>
      </c>
      <c r="NDZ6" s="97" t="str">
        <f t="shared" si="150"/>
        <v/>
      </c>
      <c r="NEA6" s="97" t="str">
        <f t="shared" si="150"/>
        <v/>
      </c>
      <c r="NEB6" s="97" t="str">
        <f t="shared" si="150"/>
        <v/>
      </c>
      <c r="NEC6" s="97" t="str">
        <f t="shared" si="150"/>
        <v/>
      </c>
      <c r="NED6" s="97" t="str">
        <f t="shared" si="150"/>
        <v/>
      </c>
      <c r="NEE6" s="97" t="str">
        <f t="shared" si="150"/>
        <v/>
      </c>
      <c r="NEF6" s="97" t="str">
        <f t="shared" si="150"/>
        <v/>
      </c>
      <c r="NEG6" s="97" t="str">
        <f t="shared" si="150"/>
        <v/>
      </c>
      <c r="NEH6" s="97" t="str">
        <f t="shared" si="150"/>
        <v/>
      </c>
      <c r="NEI6" s="97" t="str">
        <f t="shared" si="150"/>
        <v/>
      </c>
      <c r="NEJ6" s="97" t="str">
        <f t="shared" si="150"/>
        <v/>
      </c>
      <c r="NEK6" s="97" t="str">
        <f t="shared" si="150"/>
        <v/>
      </c>
      <c r="NEL6" s="97" t="str">
        <f t="shared" ref="NEL6:NGW6" si="151">IFERROR(AVERAGE(NEL7:NEL13),"")</f>
        <v/>
      </c>
      <c r="NEM6" s="97" t="str">
        <f t="shared" si="151"/>
        <v/>
      </c>
      <c r="NEN6" s="97" t="str">
        <f t="shared" si="151"/>
        <v/>
      </c>
      <c r="NEO6" s="97" t="str">
        <f t="shared" si="151"/>
        <v/>
      </c>
      <c r="NEP6" s="97" t="str">
        <f t="shared" si="151"/>
        <v/>
      </c>
      <c r="NEQ6" s="97" t="str">
        <f t="shared" si="151"/>
        <v/>
      </c>
      <c r="NER6" s="97" t="str">
        <f t="shared" si="151"/>
        <v/>
      </c>
      <c r="NES6" s="97" t="str">
        <f t="shared" si="151"/>
        <v/>
      </c>
      <c r="NET6" s="97" t="str">
        <f t="shared" si="151"/>
        <v/>
      </c>
      <c r="NEU6" s="97" t="str">
        <f t="shared" si="151"/>
        <v/>
      </c>
      <c r="NEV6" s="97" t="str">
        <f t="shared" si="151"/>
        <v/>
      </c>
      <c r="NEW6" s="97" t="str">
        <f t="shared" si="151"/>
        <v/>
      </c>
      <c r="NEX6" s="97" t="str">
        <f t="shared" si="151"/>
        <v/>
      </c>
      <c r="NEY6" s="97" t="str">
        <f t="shared" si="151"/>
        <v/>
      </c>
      <c r="NEZ6" s="97" t="str">
        <f t="shared" si="151"/>
        <v/>
      </c>
      <c r="NFA6" s="97" t="str">
        <f t="shared" si="151"/>
        <v/>
      </c>
      <c r="NFB6" s="97" t="str">
        <f t="shared" si="151"/>
        <v/>
      </c>
      <c r="NFC6" s="97" t="str">
        <f t="shared" si="151"/>
        <v/>
      </c>
      <c r="NFD6" s="97" t="str">
        <f t="shared" si="151"/>
        <v/>
      </c>
      <c r="NFE6" s="97" t="str">
        <f t="shared" si="151"/>
        <v/>
      </c>
      <c r="NFF6" s="97" t="str">
        <f t="shared" si="151"/>
        <v/>
      </c>
      <c r="NFG6" s="97" t="str">
        <f t="shared" si="151"/>
        <v/>
      </c>
      <c r="NFH6" s="97" t="str">
        <f t="shared" si="151"/>
        <v/>
      </c>
      <c r="NFI6" s="97" t="str">
        <f t="shared" si="151"/>
        <v/>
      </c>
      <c r="NFJ6" s="97" t="str">
        <f t="shared" si="151"/>
        <v/>
      </c>
      <c r="NFK6" s="97" t="str">
        <f t="shared" si="151"/>
        <v/>
      </c>
      <c r="NFL6" s="97" t="str">
        <f t="shared" si="151"/>
        <v/>
      </c>
      <c r="NFM6" s="97" t="str">
        <f t="shared" si="151"/>
        <v/>
      </c>
      <c r="NFN6" s="97" t="str">
        <f t="shared" si="151"/>
        <v/>
      </c>
      <c r="NFO6" s="97" t="str">
        <f t="shared" si="151"/>
        <v/>
      </c>
      <c r="NFP6" s="97" t="str">
        <f t="shared" si="151"/>
        <v/>
      </c>
      <c r="NFQ6" s="97" t="str">
        <f t="shared" si="151"/>
        <v/>
      </c>
      <c r="NFR6" s="97" t="str">
        <f t="shared" si="151"/>
        <v/>
      </c>
      <c r="NFS6" s="97" t="str">
        <f t="shared" si="151"/>
        <v/>
      </c>
      <c r="NFT6" s="97" t="str">
        <f t="shared" si="151"/>
        <v/>
      </c>
      <c r="NFU6" s="97" t="str">
        <f t="shared" si="151"/>
        <v/>
      </c>
      <c r="NFV6" s="97" t="str">
        <f t="shared" si="151"/>
        <v/>
      </c>
      <c r="NFW6" s="97" t="str">
        <f t="shared" si="151"/>
        <v/>
      </c>
      <c r="NFX6" s="97" t="str">
        <f t="shared" si="151"/>
        <v/>
      </c>
      <c r="NFY6" s="97" t="str">
        <f t="shared" si="151"/>
        <v/>
      </c>
      <c r="NFZ6" s="97" t="str">
        <f t="shared" si="151"/>
        <v/>
      </c>
      <c r="NGA6" s="97" t="str">
        <f t="shared" si="151"/>
        <v/>
      </c>
      <c r="NGB6" s="97" t="str">
        <f t="shared" si="151"/>
        <v/>
      </c>
      <c r="NGC6" s="97" t="str">
        <f t="shared" si="151"/>
        <v/>
      </c>
      <c r="NGD6" s="97" t="str">
        <f t="shared" si="151"/>
        <v/>
      </c>
      <c r="NGE6" s="97" t="str">
        <f t="shared" si="151"/>
        <v/>
      </c>
      <c r="NGF6" s="97" t="str">
        <f t="shared" si="151"/>
        <v/>
      </c>
      <c r="NGG6" s="97" t="str">
        <f t="shared" si="151"/>
        <v/>
      </c>
      <c r="NGH6" s="97" t="str">
        <f t="shared" si="151"/>
        <v/>
      </c>
      <c r="NGI6" s="97" t="str">
        <f t="shared" si="151"/>
        <v/>
      </c>
      <c r="NGJ6" s="97" t="str">
        <f t="shared" si="151"/>
        <v/>
      </c>
      <c r="NGK6" s="97" t="str">
        <f t="shared" si="151"/>
        <v/>
      </c>
      <c r="NGL6" s="97" t="str">
        <f t="shared" si="151"/>
        <v/>
      </c>
      <c r="NGM6" s="97" t="str">
        <f t="shared" si="151"/>
        <v/>
      </c>
      <c r="NGN6" s="97" t="str">
        <f t="shared" si="151"/>
        <v/>
      </c>
      <c r="NGO6" s="97" t="str">
        <f t="shared" si="151"/>
        <v/>
      </c>
      <c r="NGP6" s="97" t="str">
        <f t="shared" si="151"/>
        <v/>
      </c>
      <c r="NGQ6" s="97" t="str">
        <f t="shared" si="151"/>
        <v/>
      </c>
      <c r="NGR6" s="97" t="str">
        <f t="shared" si="151"/>
        <v/>
      </c>
      <c r="NGS6" s="97" t="str">
        <f t="shared" si="151"/>
        <v/>
      </c>
      <c r="NGT6" s="97" t="str">
        <f t="shared" si="151"/>
        <v/>
      </c>
      <c r="NGU6" s="97" t="str">
        <f t="shared" si="151"/>
        <v/>
      </c>
      <c r="NGV6" s="97" t="str">
        <f t="shared" si="151"/>
        <v/>
      </c>
      <c r="NGW6" s="97" t="str">
        <f t="shared" si="151"/>
        <v/>
      </c>
      <c r="NGX6" s="97" t="str">
        <f t="shared" ref="NGX6:NJI6" si="152">IFERROR(AVERAGE(NGX7:NGX13),"")</f>
        <v/>
      </c>
      <c r="NGY6" s="97" t="str">
        <f t="shared" si="152"/>
        <v/>
      </c>
      <c r="NGZ6" s="97" t="str">
        <f t="shared" si="152"/>
        <v/>
      </c>
      <c r="NHA6" s="97" t="str">
        <f t="shared" si="152"/>
        <v/>
      </c>
      <c r="NHB6" s="97" t="str">
        <f t="shared" si="152"/>
        <v/>
      </c>
      <c r="NHC6" s="97" t="str">
        <f t="shared" si="152"/>
        <v/>
      </c>
      <c r="NHD6" s="97" t="str">
        <f t="shared" si="152"/>
        <v/>
      </c>
      <c r="NHE6" s="97" t="str">
        <f t="shared" si="152"/>
        <v/>
      </c>
      <c r="NHF6" s="97" t="str">
        <f t="shared" si="152"/>
        <v/>
      </c>
      <c r="NHG6" s="97" t="str">
        <f t="shared" si="152"/>
        <v/>
      </c>
      <c r="NHH6" s="97" t="str">
        <f t="shared" si="152"/>
        <v/>
      </c>
      <c r="NHI6" s="97" t="str">
        <f t="shared" si="152"/>
        <v/>
      </c>
      <c r="NHJ6" s="97" t="str">
        <f t="shared" si="152"/>
        <v/>
      </c>
      <c r="NHK6" s="97" t="str">
        <f t="shared" si="152"/>
        <v/>
      </c>
      <c r="NHL6" s="97" t="str">
        <f t="shared" si="152"/>
        <v/>
      </c>
      <c r="NHM6" s="97" t="str">
        <f t="shared" si="152"/>
        <v/>
      </c>
      <c r="NHN6" s="97" t="str">
        <f t="shared" si="152"/>
        <v/>
      </c>
      <c r="NHO6" s="97" t="str">
        <f t="shared" si="152"/>
        <v/>
      </c>
      <c r="NHP6" s="97" t="str">
        <f t="shared" si="152"/>
        <v/>
      </c>
      <c r="NHQ6" s="97" t="str">
        <f t="shared" si="152"/>
        <v/>
      </c>
      <c r="NHR6" s="97" t="str">
        <f t="shared" si="152"/>
        <v/>
      </c>
      <c r="NHS6" s="97" t="str">
        <f t="shared" si="152"/>
        <v/>
      </c>
      <c r="NHT6" s="97" t="str">
        <f t="shared" si="152"/>
        <v/>
      </c>
      <c r="NHU6" s="97" t="str">
        <f t="shared" si="152"/>
        <v/>
      </c>
      <c r="NHV6" s="97" t="str">
        <f t="shared" si="152"/>
        <v/>
      </c>
      <c r="NHW6" s="97" t="str">
        <f t="shared" si="152"/>
        <v/>
      </c>
      <c r="NHX6" s="97" t="str">
        <f t="shared" si="152"/>
        <v/>
      </c>
      <c r="NHY6" s="97" t="str">
        <f t="shared" si="152"/>
        <v/>
      </c>
      <c r="NHZ6" s="97" t="str">
        <f t="shared" si="152"/>
        <v/>
      </c>
      <c r="NIA6" s="97" t="str">
        <f t="shared" si="152"/>
        <v/>
      </c>
      <c r="NIB6" s="97" t="str">
        <f t="shared" si="152"/>
        <v/>
      </c>
      <c r="NIC6" s="97" t="str">
        <f t="shared" si="152"/>
        <v/>
      </c>
      <c r="NID6" s="97" t="str">
        <f t="shared" si="152"/>
        <v/>
      </c>
      <c r="NIE6" s="97" t="str">
        <f t="shared" si="152"/>
        <v/>
      </c>
      <c r="NIF6" s="97" t="str">
        <f t="shared" si="152"/>
        <v/>
      </c>
      <c r="NIG6" s="97" t="str">
        <f t="shared" si="152"/>
        <v/>
      </c>
      <c r="NIH6" s="97" t="str">
        <f t="shared" si="152"/>
        <v/>
      </c>
      <c r="NII6" s="97" t="str">
        <f t="shared" si="152"/>
        <v/>
      </c>
      <c r="NIJ6" s="97" t="str">
        <f t="shared" si="152"/>
        <v/>
      </c>
      <c r="NIK6" s="97" t="str">
        <f t="shared" si="152"/>
        <v/>
      </c>
      <c r="NIL6" s="97" t="str">
        <f t="shared" si="152"/>
        <v/>
      </c>
      <c r="NIM6" s="97" t="str">
        <f t="shared" si="152"/>
        <v/>
      </c>
      <c r="NIN6" s="97" t="str">
        <f t="shared" si="152"/>
        <v/>
      </c>
      <c r="NIO6" s="97" t="str">
        <f t="shared" si="152"/>
        <v/>
      </c>
      <c r="NIP6" s="97" t="str">
        <f t="shared" si="152"/>
        <v/>
      </c>
      <c r="NIQ6" s="97" t="str">
        <f t="shared" si="152"/>
        <v/>
      </c>
      <c r="NIR6" s="97" t="str">
        <f t="shared" si="152"/>
        <v/>
      </c>
      <c r="NIS6" s="97" t="str">
        <f t="shared" si="152"/>
        <v/>
      </c>
      <c r="NIT6" s="97" t="str">
        <f t="shared" si="152"/>
        <v/>
      </c>
      <c r="NIU6" s="97" t="str">
        <f t="shared" si="152"/>
        <v/>
      </c>
      <c r="NIV6" s="97" t="str">
        <f t="shared" si="152"/>
        <v/>
      </c>
      <c r="NIW6" s="97" t="str">
        <f t="shared" si="152"/>
        <v/>
      </c>
      <c r="NIX6" s="97" t="str">
        <f t="shared" si="152"/>
        <v/>
      </c>
      <c r="NIY6" s="97" t="str">
        <f t="shared" si="152"/>
        <v/>
      </c>
      <c r="NIZ6" s="97" t="str">
        <f t="shared" si="152"/>
        <v/>
      </c>
      <c r="NJA6" s="97" t="str">
        <f t="shared" si="152"/>
        <v/>
      </c>
      <c r="NJB6" s="97" t="str">
        <f t="shared" si="152"/>
        <v/>
      </c>
      <c r="NJC6" s="97" t="str">
        <f t="shared" si="152"/>
        <v/>
      </c>
      <c r="NJD6" s="97" t="str">
        <f t="shared" si="152"/>
        <v/>
      </c>
      <c r="NJE6" s="97" t="str">
        <f t="shared" si="152"/>
        <v/>
      </c>
      <c r="NJF6" s="97" t="str">
        <f t="shared" si="152"/>
        <v/>
      </c>
      <c r="NJG6" s="97" t="str">
        <f t="shared" si="152"/>
        <v/>
      </c>
      <c r="NJH6" s="97" t="str">
        <f t="shared" si="152"/>
        <v/>
      </c>
      <c r="NJI6" s="97" t="str">
        <f t="shared" si="152"/>
        <v/>
      </c>
      <c r="NJJ6" s="97" t="str">
        <f t="shared" ref="NJJ6:NLU6" si="153">IFERROR(AVERAGE(NJJ7:NJJ13),"")</f>
        <v/>
      </c>
      <c r="NJK6" s="97" t="str">
        <f t="shared" si="153"/>
        <v/>
      </c>
      <c r="NJL6" s="97" t="str">
        <f t="shared" si="153"/>
        <v/>
      </c>
      <c r="NJM6" s="97" t="str">
        <f t="shared" si="153"/>
        <v/>
      </c>
      <c r="NJN6" s="97" t="str">
        <f t="shared" si="153"/>
        <v/>
      </c>
      <c r="NJO6" s="97" t="str">
        <f t="shared" si="153"/>
        <v/>
      </c>
      <c r="NJP6" s="97" t="str">
        <f t="shared" si="153"/>
        <v/>
      </c>
      <c r="NJQ6" s="97" t="str">
        <f t="shared" si="153"/>
        <v/>
      </c>
      <c r="NJR6" s="97" t="str">
        <f t="shared" si="153"/>
        <v/>
      </c>
      <c r="NJS6" s="97" t="str">
        <f t="shared" si="153"/>
        <v/>
      </c>
      <c r="NJT6" s="97" t="str">
        <f t="shared" si="153"/>
        <v/>
      </c>
      <c r="NJU6" s="97" t="str">
        <f t="shared" si="153"/>
        <v/>
      </c>
      <c r="NJV6" s="97" t="str">
        <f t="shared" si="153"/>
        <v/>
      </c>
      <c r="NJW6" s="97" t="str">
        <f t="shared" si="153"/>
        <v/>
      </c>
      <c r="NJX6" s="97" t="str">
        <f t="shared" si="153"/>
        <v/>
      </c>
      <c r="NJY6" s="97" t="str">
        <f t="shared" si="153"/>
        <v/>
      </c>
      <c r="NJZ6" s="97" t="str">
        <f t="shared" si="153"/>
        <v/>
      </c>
      <c r="NKA6" s="97" t="str">
        <f t="shared" si="153"/>
        <v/>
      </c>
      <c r="NKB6" s="97" t="str">
        <f t="shared" si="153"/>
        <v/>
      </c>
      <c r="NKC6" s="97" t="str">
        <f t="shared" si="153"/>
        <v/>
      </c>
      <c r="NKD6" s="97" t="str">
        <f t="shared" si="153"/>
        <v/>
      </c>
      <c r="NKE6" s="97" t="str">
        <f t="shared" si="153"/>
        <v/>
      </c>
      <c r="NKF6" s="97" t="str">
        <f t="shared" si="153"/>
        <v/>
      </c>
      <c r="NKG6" s="97" t="str">
        <f t="shared" si="153"/>
        <v/>
      </c>
      <c r="NKH6" s="97" t="str">
        <f t="shared" si="153"/>
        <v/>
      </c>
      <c r="NKI6" s="97" t="str">
        <f t="shared" si="153"/>
        <v/>
      </c>
      <c r="NKJ6" s="97" t="str">
        <f t="shared" si="153"/>
        <v/>
      </c>
      <c r="NKK6" s="97" t="str">
        <f t="shared" si="153"/>
        <v/>
      </c>
      <c r="NKL6" s="97" t="str">
        <f t="shared" si="153"/>
        <v/>
      </c>
      <c r="NKM6" s="97" t="str">
        <f t="shared" si="153"/>
        <v/>
      </c>
      <c r="NKN6" s="97" t="str">
        <f t="shared" si="153"/>
        <v/>
      </c>
      <c r="NKO6" s="97" t="str">
        <f t="shared" si="153"/>
        <v/>
      </c>
      <c r="NKP6" s="97" t="str">
        <f t="shared" si="153"/>
        <v/>
      </c>
      <c r="NKQ6" s="97" t="str">
        <f t="shared" si="153"/>
        <v/>
      </c>
      <c r="NKR6" s="97" t="str">
        <f t="shared" si="153"/>
        <v/>
      </c>
      <c r="NKS6" s="97" t="str">
        <f t="shared" si="153"/>
        <v/>
      </c>
      <c r="NKT6" s="97" t="str">
        <f t="shared" si="153"/>
        <v/>
      </c>
      <c r="NKU6" s="97" t="str">
        <f t="shared" si="153"/>
        <v/>
      </c>
      <c r="NKV6" s="97" t="str">
        <f t="shared" si="153"/>
        <v/>
      </c>
      <c r="NKW6" s="97" t="str">
        <f t="shared" si="153"/>
        <v/>
      </c>
      <c r="NKX6" s="97" t="str">
        <f t="shared" si="153"/>
        <v/>
      </c>
      <c r="NKY6" s="97" t="str">
        <f t="shared" si="153"/>
        <v/>
      </c>
      <c r="NKZ6" s="97" t="str">
        <f t="shared" si="153"/>
        <v/>
      </c>
      <c r="NLA6" s="97" t="str">
        <f t="shared" si="153"/>
        <v/>
      </c>
      <c r="NLB6" s="97" t="str">
        <f t="shared" si="153"/>
        <v/>
      </c>
      <c r="NLC6" s="97" t="str">
        <f t="shared" si="153"/>
        <v/>
      </c>
      <c r="NLD6" s="97" t="str">
        <f t="shared" si="153"/>
        <v/>
      </c>
      <c r="NLE6" s="97" t="str">
        <f t="shared" si="153"/>
        <v/>
      </c>
      <c r="NLF6" s="97" t="str">
        <f t="shared" si="153"/>
        <v/>
      </c>
      <c r="NLG6" s="97" t="str">
        <f t="shared" si="153"/>
        <v/>
      </c>
      <c r="NLH6" s="97" t="str">
        <f t="shared" si="153"/>
        <v/>
      </c>
      <c r="NLI6" s="97" t="str">
        <f t="shared" si="153"/>
        <v/>
      </c>
      <c r="NLJ6" s="97" t="str">
        <f t="shared" si="153"/>
        <v/>
      </c>
      <c r="NLK6" s="97" t="str">
        <f t="shared" si="153"/>
        <v/>
      </c>
      <c r="NLL6" s="97" t="str">
        <f t="shared" si="153"/>
        <v/>
      </c>
      <c r="NLM6" s="97" t="str">
        <f t="shared" si="153"/>
        <v/>
      </c>
      <c r="NLN6" s="97" t="str">
        <f t="shared" si="153"/>
        <v/>
      </c>
      <c r="NLO6" s="97" t="str">
        <f t="shared" si="153"/>
        <v/>
      </c>
      <c r="NLP6" s="97" t="str">
        <f t="shared" si="153"/>
        <v/>
      </c>
      <c r="NLQ6" s="97" t="str">
        <f t="shared" si="153"/>
        <v/>
      </c>
      <c r="NLR6" s="97" t="str">
        <f t="shared" si="153"/>
        <v/>
      </c>
      <c r="NLS6" s="97" t="str">
        <f t="shared" si="153"/>
        <v/>
      </c>
      <c r="NLT6" s="97" t="str">
        <f t="shared" si="153"/>
        <v/>
      </c>
      <c r="NLU6" s="97" t="str">
        <f t="shared" si="153"/>
        <v/>
      </c>
      <c r="NLV6" s="97" t="str">
        <f t="shared" ref="NLV6:NOG6" si="154">IFERROR(AVERAGE(NLV7:NLV13),"")</f>
        <v/>
      </c>
      <c r="NLW6" s="97" t="str">
        <f t="shared" si="154"/>
        <v/>
      </c>
      <c r="NLX6" s="97" t="str">
        <f t="shared" si="154"/>
        <v/>
      </c>
      <c r="NLY6" s="97" t="str">
        <f t="shared" si="154"/>
        <v/>
      </c>
      <c r="NLZ6" s="97" t="str">
        <f t="shared" si="154"/>
        <v/>
      </c>
      <c r="NMA6" s="97" t="str">
        <f t="shared" si="154"/>
        <v/>
      </c>
      <c r="NMB6" s="97" t="str">
        <f t="shared" si="154"/>
        <v/>
      </c>
      <c r="NMC6" s="97" t="str">
        <f t="shared" si="154"/>
        <v/>
      </c>
      <c r="NMD6" s="97" t="str">
        <f t="shared" si="154"/>
        <v/>
      </c>
      <c r="NME6" s="97" t="str">
        <f t="shared" si="154"/>
        <v/>
      </c>
      <c r="NMF6" s="97" t="str">
        <f t="shared" si="154"/>
        <v/>
      </c>
      <c r="NMG6" s="97" t="str">
        <f t="shared" si="154"/>
        <v/>
      </c>
      <c r="NMH6" s="97" t="str">
        <f t="shared" si="154"/>
        <v/>
      </c>
      <c r="NMI6" s="97" t="str">
        <f t="shared" si="154"/>
        <v/>
      </c>
      <c r="NMJ6" s="97" t="str">
        <f t="shared" si="154"/>
        <v/>
      </c>
      <c r="NMK6" s="97" t="str">
        <f t="shared" si="154"/>
        <v/>
      </c>
      <c r="NML6" s="97" t="str">
        <f t="shared" si="154"/>
        <v/>
      </c>
      <c r="NMM6" s="97" t="str">
        <f t="shared" si="154"/>
        <v/>
      </c>
      <c r="NMN6" s="97" t="str">
        <f t="shared" si="154"/>
        <v/>
      </c>
      <c r="NMO6" s="97" t="str">
        <f t="shared" si="154"/>
        <v/>
      </c>
      <c r="NMP6" s="97" t="str">
        <f t="shared" si="154"/>
        <v/>
      </c>
      <c r="NMQ6" s="97" t="str">
        <f t="shared" si="154"/>
        <v/>
      </c>
      <c r="NMR6" s="97" t="str">
        <f t="shared" si="154"/>
        <v/>
      </c>
      <c r="NMS6" s="97" t="str">
        <f t="shared" si="154"/>
        <v/>
      </c>
      <c r="NMT6" s="97" t="str">
        <f t="shared" si="154"/>
        <v/>
      </c>
      <c r="NMU6" s="97" t="str">
        <f t="shared" si="154"/>
        <v/>
      </c>
      <c r="NMV6" s="97" t="str">
        <f t="shared" si="154"/>
        <v/>
      </c>
      <c r="NMW6" s="97" t="str">
        <f t="shared" si="154"/>
        <v/>
      </c>
      <c r="NMX6" s="97" t="str">
        <f t="shared" si="154"/>
        <v/>
      </c>
      <c r="NMY6" s="97" t="str">
        <f t="shared" si="154"/>
        <v/>
      </c>
      <c r="NMZ6" s="97" t="str">
        <f t="shared" si="154"/>
        <v/>
      </c>
      <c r="NNA6" s="97" t="str">
        <f t="shared" si="154"/>
        <v/>
      </c>
      <c r="NNB6" s="97" t="str">
        <f t="shared" si="154"/>
        <v/>
      </c>
      <c r="NNC6" s="97" t="str">
        <f t="shared" si="154"/>
        <v/>
      </c>
      <c r="NND6" s="97" t="str">
        <f t="shared" si="154"/>
        <v/>
      </c>
      <c r="NNE6" s="97" t="str">
        <f t="shared" si="154"/>
        <v/>
      </c>
      <c r="NNF6" s="97" t="str">
        <f t="shared" si="154"/>
        <v/>
      </c>
      <c r="NNG6" s="97" t="str">
        <f t="shared" si="154"/>
        <v/>
      </c>
      <c r="NNH6" s="97" t="str">
        <f t="shared" si="154"/>
        <v/>
      </c>
      <c r="NNI6" s="97" t="str">
        <f t="shared" si="154"/>
        <v/>
      </c>
      <c r="NNJ6" s="97" t="str">
        <f t="shared" si="154"/>
        <v/>
      </c>
      <c r="NNK6" s="97" t="str">
        <f t="shared" si="154"/>
        <v/>
      </c>
      <c r="NNL6" s="97" t="str">
        <f t="shared" si="154"/>
        <v/>
      </c>
      <c r="NNM6" s="97" t="str">
        <f t="shared" si="154"/>
        <v/>
      </c>
      <c r="NNN6" s="97" t="str">
        <f t="shared" si="154"/>
        <v/>
      </c>
      <c r="NNO6" s="97" t="str">
        <f t="shared" si="154"/>
        <v/>
      </c>
      <c r="NNP6" s="97" t="str">
        <f t="shared" si="154"/>
        <v/>
      </c>
      <c r="NNQ6" s="97" t="str">
        <f t="shared" si="154"/>
        <v/>
      </c>
      <c r="NNR6" s="97" t="str">
        <f t="shared" si="154"/>
        <v/>
      </c>
      <c r="NNS6" s="97" t="str">
        <f t="shared" si="154"/>
        <v/>
      </c>
      <c r="NNT6" s="97" t="str">
        <f t="shared" si="154"/>
        <v/>
      </c>
      <c r="NNU6" s="97" t="str">
        <f t="shared" si="154"/>
        <v/>
      </c>
      <c r="NNV6" s="97" t="str">
        <f t="shared" si="154"/>
        <v/>
      </c>
      <c r="NNW6" s="97" t="str">
        <f t="shared" si="154"/>
        <v/>
      </c>
      <c r="NNX6" s="97" t="str">
        <f t="shared" si="154"/>
        <v/>
      </c>
      <c r="NNY6" s="97" t="str">
        <f t="shared" si="154"/>
        <v/>
      </c>
      <c r="NNZ6" s="97" t="str">
        <f t="shared" si="154"/>
        <v/>
      </c>
      <c r="NOA6" s="97" t="str">
        <f t="shared" si="154"/>
        <v/>
      </c>
      <c r="NOB6" s="97" t="str">
        <f t="shared" si="154"/>
        <v/>
      </c>
      <c r="NOC6" s="97" t="str">
        <f t="shared" si="154"/>
        <v/>
      </c>
      <c r="NOD6" s="97" t="str">
        <f t="shared" si="154"/>
        <v/>
      </c>
      <c r="NOE6" s="97" t="str">
        <f t="shared" si="154"/>
        <v/>
      </c>
      <c r="NOF6" s="97" t="str">
        <f t="shared" si="154"/>
        <v/>
      </c>
      <c r="NOG6" s="97" t="str">
        <f t="shared" si="154"/>
        <v/>
      </c>
      <c r="NOH6" s="97" t="str">
        <f t="shared" ref="NOH6:NQS6" si="155">IFERROR(AVERAGE(NOH7:NOH13),"")</f>
        <v/>
      </c>
      <c r="NOI6" s="97" t="str">
        <f t="shared" si="155"/>
        <v/>
      </c>
      <c r="NOJ6" s="97" t="str">
        <f t="shared" si="155"/>
        <v/>
      </c>
      <c r="NOK6" s="97" t="str">
        <f t="shared" si="155"/>
        <v/>
      </c>
      <c r="NOL6" s="97" t="str">
        <f t="shared" si="155"/>
        <v/>
      </c>
      <c r="NOM6" s="97" t="str">
        <f t="shared" si="155"/>
        <v/>
      </c>
      <c r="NON6" s="97" t="str">
        <f t="shared" si="155"/>
        <v/>
      </c>
      <c r="NOO6" s="97" t="str">
        <f t="shared" si="155"/>
        <v/>
      </c>
      <c r="NOP6" s="97" t="str">
        <f t="shared" si="155"/>
        <v/>
      </c>
      <c r="NOQ6" s="97" t="str">
        <f t="shared" si="155"/>
        <v/>
      </c>
      <c r="NOR6" s="97" t="str">
        <f t="shared" si="155"/>
        <v/>
      </c>
      <c r="NOS6" s="97" t="str">
        <f t="shared" si="155"/>
        <v/>
      </c>
      <c r="NOT6" s="97" t="str">
        <f t="shared" si="155"/>
        <v/>
      </c>
      <c r="NOU6" s="97" t="str">
        <f t="shared" si="155"/>
        <v/>
      </c>
      <c r="NOV6" s="97" t="str">
        <f t="shared" si="155"/>
        <v/>
      </c>
      <c r="NOW6" s="97" t="str">
        <f t="shared" si="155"/>
        <v/>
      </c>
      <c r="NOX6" s="97" t="str">
        <f t="shared" si="155"/>
        <v/>
      </c>
      <c r="NOY6" s="97" t="str">
        <f t="shared" si="155"/>
        <v/>
      </c>
      <c r="NOZ6" s="97" t="str">
        <f t="shared" si="155"/>
        <v/>
      </c>
      <c r="NPA6" s="97" t="str">
        <f t="shared" si="155"/>
        <v/>
      </c>
      <c r="NPB6" s="97" t="str">
        <f t="shared" si="155"/>
        <v/>
      </c>
      <c r="NPC6" s="97" t="str">
        <f t="shared" si="155"/>
        <v/>
      </c>
      <c r="NPD6" s="97" t="str">
        <f t="shared" si="155"/>
        <v/>
      </c>
      <c r="NPE6" s="97" t="str">
        <f t="shared" si="155"/>
        <v/>
      </c>
      <c r="NPF6" s="97" t="str">
        <f t="shared" si="155"/>
        <v/>
      </c>
      <c r="NPG6" s="97" t="str">
        <f t="shared" si="155"/>
        <v/>
      </c>
      <c r="NPH6" s="97" t="str">
        <f t="shared" si="155"/>
        <v/>
      </c>
      <c r="NPI6" s="97" t="str">
        <f t="shared" si="155"/>
        <v/>
      </c>
      <c r="NPJ6" s="97" t="str">
        <f t="shared" si="155"/>
        <v/>
      </c>
      <c r="NPK6" s="97" t="str">
        <f t="shared" si="155"/>
        <v/>
      </c>
      <c r="NPL6" s="97" t="str">
        <f t="shared" si="155"/>
        <v/>
      </c>
      <c r="NPM6" s="97" t="str">
        <f t="shared" si="155"/>
        <v/>
      </c>
      <c r="NPN6" s="97" t="str">
        <f t="shared" si="155"/>
        <v/>
      </c>
      <c r="NPO6" s="97" t="str">
        <f t="shared" si="155"/>
        <v/>
      </c>
      <c r="NPP6" s="97" t="str">
        <f t="shared" si="155"/>
        <v/>
      </c>
      <c r="NPQ6" s="97" t="str">
        <f t="shared" si="155"/>
        <v/>
      </c>
      <c r="NPR6" s="97" t="str">
        <f t="shared" si="155"/>
        <v/>
      </c>
      <c r="NPS6" s="97" t="str">
        <f t="shared" si="155"/>
        <v/>
      </c>
      <c r="NPT6" s="97" t="str">
        <f t="shared" si="155"/>
        <v/>
      </c>
      <c r="NPU6" s="97" t="str">
        <f t="shared" si="155"/>
        <v/>
      </c>
      <c r="NPV6" s="97" t="str">
        <f t="shared" si="155"/>
        <v/>
      </c>
      <c r="NPW6" s="97" t="str">
        <f t="shared" si="155"/>
        <v/>
      </c>
      <c r="NPX6" s="97" t="str">
        <f t="shared" si="155"/>
        <v/>
      </c>
      <c r="NPY6" s="97" t="str">
        <f t="shared" si="155"/>
        <v/>
      </c>
      <c r="NPZ6" s="97" t="str">
        <f t="shared" si="155"/>
        <v/>
      </c>
      <c r="NQA6" s="97" t="str">
        <f t="shared" si="155"/>
        <v/>
      </c>
      <c r="NQB6" s="97" t="str">
        <f t="shared" si="155"/>
        <v/>
      </c>
      <c r="NQC6" s="97" t="str">
        <f t="shared" si="155"/>
        <v/>
      </c>
      <c r="NQD6" s="97" t="str">
        <f t="shared" si="155"/>
        <v/>
      </c>
      <c r="NQE6" s="97" t="str">
        <f t="shared" si="155"/>
        <v/>
      </c>
      <c r="NQF6" s="97" t="str">
        <f t="shared" si="155"/>
        <v/>
      </c>
      <c r="NQG6" s="97" t="str">
        <f t="shared" si="155"/>
        <v/>
      </c>
      <c r="NQH6" s="97" t="str">
        <f t="shared" si="155"/>
        <v/>
      </c>
      <c r="NQI6" s="97" t="str">
        <f t="shared" si="155"/>
        <v/>
      </c>
      <c r="NQJ6" s="97" t="str">
        <f t="shared" si="155"/>
        <v/>
      </c>
      <c r="NQK6" s="97" t="str">
        <f t="shared" si="155"/>
        <v/>
      </c>
      <c r="NQL6" s="97" t="str">
        <f t="shared" si="155"/>
        <v/>
      </c>
      <c r="NQM6" s="97" t="str">
        <f t="shared" si="155"/>
        <v/>
      </c>
      <c r="NQN6" s="97" t="str">
        <f t="shared" si="155"/>
        <v/>
      </c>
      <c r="NQO6" s="97" t="str">
        <f t="shared" si="155"/>
        <v/>
      </c>
      <c r="NQP6" s="97" t="str">
        <f t="shared" si="155"/>
        <v/>
      </c>
      <c r="NQQ6" s="97" t="str">
        <f t="shared" si="155"/>
        <v/>
      </c>
      <c r="NQR6" s="97" t="str">
        <f t="shared" si="155"/>
        <v/>
      </c>
      <c r="NQS6" s="97" t="str">
        <f t="shared" si="155"/>
        <v/>
      </c>
      <c r="NQT6" s="97" t="str">
        <f t="shared" ref="NQT6:NTE6" si="156">IFERROR(AVERAGE(NQT7:NQT13),"")</f>
        <v/>
      </c>
      <c r="NQU6" s="97" t="str">
        <f t="shared" si="156"/>
        <v/>
      </c>
      <c r="NQV6" s="97" t="str">
        <f t="shared" si="156"/>
        <v/>
      </c>
      <c r="NQW6" s="97" t="str">
        <f t="shared" si="156"/>
        <v/>
      </c>
      <c r="NQX6" s="97" t="str">
        <f t="shared" si="156"/>
        <v/>
      </c>
      <c r="NQY6" s="97" t="str">
        <f t="shared" si="156"/>
        <v/>
      </c>
      <c r="NQZ6" s="97" t="str">
        <f t="shared" si="156"/>
        <v/>
      </c>
      <c r="NRA6" s="97" t="str">
        <f t="shared" si="156"/>
        <v/>
      </c>
      <c r="NRB6" s="97" t="str">
        <f t="shared" si="156"/>
        <v/>
      </c>
      <c r="NRC6" s="97" t="str">
        <f t="shared" si="156"/>
        <v/>
      </c>
      <c r="NRD6" s="97" t="str">
        <f t="shared" si="156"/>
        <v/>
      </c>
      <c r="NRE6" s="97" t="str">
        <f t="shared" si="156"/>
        <v/>
      </c>
      <c r="NRF6" s="97" t="str">
        <f t="shared" si="156"/>
        <v/>
      </c>
      <c r="NRG6" s="97" t="str">
        <f t="shared" si="156"/>
        <v/>
      </c>
      <c r="NRH6" s="97" t="str">
        <f t="shared" si="156"/>
        <v/>
      </c>
      <c r="NRI6" s="97" t="str">
        <f t="shared" si="156"/>
        <v/>
      </c>
      <c r="NRJ6" s="97" t="str">
        <f t="shared" si="156"/>
        <v/>
      </c>
      <c r="NRK6" s="97" t="str">
        <f t="shared" si="156"/>
        <v/>
      </c>
      <c r="NRL6" s="97" t="str">
        <f t="shared" si="156"/>
        <v/>
      </c>
      <c r="NRM6" s="97" t="str">
        <f t="shared" si="156"/>
        <v/>
      </c>
      <c r="NRN6" s="97" t="str">
        <f t="shared" si="156"/>
        <v/>
      </c>
      <c r="NRO6" s="97" t="str">
        <f t="shared" si="156"/>
        <v/>
      </c>
      <c r="NRP6" s="97" t="str">
        <f t="shared" si="156"/>
        <v/>
      </c>
      <c r="NRQ6" s="97" t="str">
        <f t="shared" si="156"/>
        <v/>
      </c>
      <c r="NRR6" s="97" t="str">
        <f t="shared" si="156"/>
        <v/>
      </c>
      <c r="NRS6" s="97" t="str">
        <f t="shared" si="156"/>
        <v/>
      </c>
      <c r="NRT6" s="97" t="str">
        <f t="shared" si="156"/>
        <v/>
      </c>
      <c r="NRU6" s="97" t="str">
        <f t="shared" si="156"/>
        <v/>
      </c>
      <c r="NRV6" s="97" t="str">
        <f t="shared" si="156"/>
        <v/>
      </c>
      <c r="NRW6" s="97" t="str">
        <f t="shared" si="156"/>
        <v/>
      </c>
      <c r="NRX6" s="97" t="str">
        <f t="shared" si="156"/>
        <v/>
      </c>
      <c r="NRY6" s="97" t="str">
        <f t="shared" si="156"/>
        <v/>
      </c>
      <c r="NRZ6" s="97" t="str">
        <f t="shared" si="156"/>
        <v/>
      </c>
      <c r="NSA6" s="97" t="str">
        <f t="shared" si="156"/>
        <v/>
      </c>
      <c r="NSB6" s="97" t="str">
        <f t="shared" si="156"/>
        <v/>
      </c>
      <c r="NSC6" s="97" t="str">
        <f t="shared" si="156"/>
        <v/>
      </c>
      <c r="NSD6" s="97" t="str">
        <f t="shared" si="156"/>
        <v/>
      </c>
      <c r="NSE6" s="97" t="str">
        <f t="shared" si="156"/>
        <v/>
      </c>
      <c r="NSF6" s="97" t="str">
        <f t="shared" si="156"/>
        <v/>
      </c>
      <c r="NSG6" s="97" t="str">
        <f t="shared" si="156"/>
        <v/>
      </c>
      <c r="NSH6" s="97" t="str">
        <f t="shared" si="156"/>
        <v/>
      </c>
      <c r="NSI6" s="97" t="str">
        <f t="shared" si="156"/>
        <v/>
      </c>
      <c r="NSJ6" s="97" t="str">
        <f t="shared" si="156"/>
        <v/>
      </c>
      <c r="NSK6" s="97" t="str">
        <f t="shared" si="156"/>
        <v/>
      </c>
      <c r="NSL6" s="97" t="str">
        <f t="shared" si="156"/>
        <v/>
      </c>
      <c r="NSM6" s="97" t="str">
        <f t="shared" si="156"/>
        <v/>
      </c>
      <c r="NSN6" s="97" t="str">
        <f t="shared" si="156"/>
        <v/>
      </c>
      <c r="NSO6" s="97" t="str">
        <f t="shared" si="156"/>
        <v/>
      </c>
      <c r="NSP6" s="97" t="str">
        <f t="shared" si="156"/>
        <v/>
      </c>
      <c r="NSQ6" s="97" t="str">
        <f t="shared" si="156"/>
        <v/>
      </c>
      <c r="NSR6" s="97" t="str">
        <f t="shared" si="156"/>
        <v/>
      </c>
      <c r="NSS6" s="97" t="str">
        <f t="shared" si="156"/>
        <v/>
      </c>
      <c r="NST6" s="97" t="str">
        <f t="shared" si="156"/>
        <v/>
      </c>
      <c r="NSU6" s="97" t="str">
        <f t="shared" si="156"/>
        <v/>
      </c>
      <c r="NSV6" s="97" t="str">
        <f t="shared" si="156"/>
        <v/>
      </c>
      <c r="NSW6" s="97" t="str">
        <f t="shared" si="156"/>
        <v/>
      </c>
      <c r="NSX6" s="97" t="str">
        <f t="shared" si="156"/>
        <v/>
      </c>
      <c r="NSY6" s="97" t="str">
        <f t="shared" si="156"/>
        <v/>
      </c>
      <c r="NSZ6" s="97" t="str">
        <f t="shared" si="156"/>
        <v/>
      </c>
      <c r="NTA6" s="97" t="str">
        <f t="shared" si="156"/>
        <v/>
      </c>
      <c r="NTB6" s="97" t="str">
        <f t="shared" si="156"/>
        <v/>
      </c>
      <c r="NTC6" s="97" t="str">
        <f t="shared" si="156"/>
        <v/>
      </c>
      <c r="NTD6" s="97" t="str">
        <f t="shared" si="156"/>
        <v/>
      </c>
      <c r="NTE6" s="97" t="str">
        <f t="shared" si="156"/>
        <v/>
      </c>
      <c r="NTF6" s="97" t="str">
        <f t="shared" ref="NTF6:NVQ6" si="157">IFERROR(AVERAGE(NTF7:NTF13),"")</f>
        <v/>
      </c>
      <c r="NTG6" s="97" t="str">
        <f t="shared" si="157"/>
        <v/>
      </c>
      <c r="NTH6" s="97" t="str">
        <f t="shared" si="157"/>
        <v/>
      </c>
      <c r="NTI6" s="97" t="str">
        <f t="shared" si="157"/>
        <v/>
      </c>
      <c r="NTJ6" s="97" t="str">
        <f t="shared" si="157"/>
        <v/>
      </c>
      <c r="NTK6" s="97" t="str">
        <f t="shared" si="157"/>
        <v/>
      </c>
      <c r="NTL6" s="97" t="str">
        <f t="shared" si="157"/>
        <v/>
      </c>
      <c r="NTM6" s="97" t="str">
        <f t="shared" si="157"/>
        <v/>
      </c>
      <c r="NTN6" s="97" t="str">
        <f t="shared" si="157"/>
        <v/>
      </c>
      <c r="NTO6" s="97" t="str">
        <f t="shared" si="157"/>
        <v/>
      </c>
      <c r="NTP6" s="97" t="str">
        <f t="shared" si="157"/>
        <v/>
      </c>
      <c r="NTQ6" s="97" t="str">
        <f t="shared" si="157"/>
        <v/>
      </c>
      <c r="NTR6" s="97" t="str">
        <f t="shared" si="157"/>
        <v/>
      </c>
      <c r="NTS6" s="97" t="str">
        <f t="shared" si="157"/>
        <v/>
      </c>
      <c r="NTT6" s="97" t="str">
        <f t="shared" si="157"/>
        <v/>
      </c>
      <c r="NTU6" s="97" t="str">
        <f t="shared" si="157"/>
        <v/>
      </c>
      <c r="NTV6" s="97" t="str">
        <f t="shared" si="157"/>
        <v/>
      </c>
      <c r="NTW6" s="97" t="str">
        <f t="shared" si="157"/>
        <v/>
      </c>
      <c r="NTX6" s="97" t="str">
        <f t="shared" si="157"/>
        <v/>
      </c>
      <c r="NTY6" s="97" t="str">
        <f t="shared" si="157"/>
        <v/>
      </c>
      <c r="NTZ6" s="97" t="str">
        <f t="shared" si="157"/>
        <v/>
      </c>
      <c r="NUA6" s="97" t="str">
        <f t="shared" si="157"/>
        <v/>
      </c>
      <c r="NUB6" s="97" t="str">
        <f t="shared" si="157"/>
        <v/>
      </c>
      <c r="NUC6" s="97" t="str">
        <f t="shared" si="157"/>
        <v/>
      </c>
      <c r="NUD6" s="97" t="str">
        <f t="shared" si="157"/>
        <v/>
      </c>
      <c r="NUE6" s="97" t="str">
        <f t="shared" si="157"/>
        <v/>
      </c>
      <c r="NUF6" s="97" t="str">
        <f t="shared" si="157"/>
        <v/>
      </c>
      <c r="NUG6" s="97" t="str">
        <f t="shared" si="157"/>
        <v/>
      </c>
      <c r="NUH6" s="97" t="str">
        <f t="shared" si="157"/>
        <v/>
      </c>
      <c r="NUI6" s="97" t="str">
        <f t="shared" si="157"/>
        <v/>
      </c>
      <c r="NUJ6" s="97" t="str">
        <f t="shared" si="157"/>
        <v/>
      </c>
      <c r="NUK6" s="97" t="str">
        <f t="shared" si="157"/>
        <v/>
      </c>
      <c r="NUL6" s="97" t="str">
        <f t="shared" si="157"/>
        <v/>
      </c>
      <c r="NUM6" s="97" t="str">
        <f t="shared" si="157"/>
        <v/>
      </c>
      <c r="NUN6" s="97" t="str">
        <f t="shared" si="157"/>
        <v/>
      </c>
      <c r="NUO6" s="97" t="str">
        <f t="shared" si="157"/>
        <v/>
      </c>
      <c r="NUP6" s="97" t="str">
        <f t="shared" si="157"/>
        <v/>
      </c>
      <c r="NUQ6" s="97" t="str">
        <f t="shared" si="157"/>
        <v/>
      </c>
      <c r="NUR6" s="97" t="str">
        <f t="shared" si="157"/>
        <v/>
      </c>
      <c r="NUS6" s="97" t="str">
        <f t="shared" si="157"/>
        <v/>
      </c>
      <c r="NUT6" s="97" t="str">
        <f t="shared" si="157"/>
        <v/>
      </c>
      <c r="NUU6" s="97" t="str">
        <f t="shared" si="157"/>
        <v/>
      </c>
      <c r="NUV6" s="97" t="str">
        <f t="shared" si="157"/>
        <v/>
      </c>
      <c r="NUW6" s="97" t="str">
        <f t="shared" si="157"/>
        <v/>
      </c>
      <c r="NUX6" s="97" t="str">
        <f t="shared" si="157"/>
        <v/>
      </c>
      <c r="NUY6" s="97" t="str">
        <f t="shared" si="157"/>
        <v/>
      </c>
      <c r="NUZ6" s="97" t="str">
        <f t="shared" si="157"/>
        <v/>
      </c>
      <c r="NVA6" s="97" t="str">
        <f t="shared" si="157"/>
        <v/>
      </c>
      <c r="NVB6" s="97" t="str">
        <f t="shared" si="157"/>
        <v/>
      </c>
      <c r="NVC6" s="97" t="str">
        <f t="shared" si="157"/>
        <v/>
      </c>
      <c r="NVD6" s="97" t="str">
        <f t="shared" si="157"/>
        <v/>
      </c>
      <c r="NVE6" s="97" t="str">
        <f t="shared" si="157"/>
        <v/>
      </c>
      <c r="NVF6" s="97" t="str">
        <f t="shared" si="157"/>
        <v/>
      </c>
      <c r="NVG6" s="97" t="str">
        <f t="shared" si="157"/>
        <v/>
      </c>
      <c r="NVH6" s="97" t="str">
        <f t="shared" si="157"/>
        <v/>
      </c>
      <c r="NVI6" s="97" t="str">
        <f t="shared" si="157"/>
        <v/>
      </c>
      <c r="NVJ6" s="97" t="str">
        <f t="shared" si="157"/>
        <v/>
      </c>
      <c r="NVK6" s="97" t="str">
        <f t="shared" si="157"/>
        <v/>
      </c>
      <c r="NVL6" s="97" t="str">
        <f t="shared" si="157"/>
        <v/>
      </c>
      <c r="NVM6" s="97" t="str">
        <f t="shared" si="157"/>
        <v/>
      </c>
      <c r="NVN6" s="97" t="str">
        <f t="shared" si="157"/>
        <v/>
      </c>
      <c r="NVO6" s="97" t="str">
        <f t="shared" si="157"/>
        <v/>
      </c>
      <c r="NVP6" s="97" t="str">
        <f t="shared" si="157"/>
        <v/>
      </c>
      <c r="NVQ6" s="97" t="str">
        <f t="shared" si="157"/>
        <v/>
      </c>
      <c r="NVR6" s="97" t="str">
        <f t="shared" ref="NVR6:NYC6" si="158">IFERROR(AVERAGE(NVR7:NVR13),"")</f>
        <v/>
      </c>
      <c r="NVS6" s="97" t="str">
        <f t="shared" si="158"/>
        <v/>
      </c>
      <c r="NVT6" s="97" t="str">
        <f t="shared" si="158"/>
        <v/>
      </c>
      <c r="NVU6" s="97" t="str">
        <f t="shared" si="158"/>
        <v/>
      </c>
      <c r="NVV6" s="97" t="str">
        <f t="shared" si="158"/>
        <v/>
      </c>
      <c r="NVW6" s="97" t="str">
        <f t="shared" si="158"/>
        <v/>
      </c>
      <c r="NVX6" s="97" t="str">
        <f t="shared" si="158"/>
        <v/>
      </c>
      <c r="NVY6" s="97" t="str">
        <f t="shared" si="158"/>
        <v/>
      </c>
      <c r="NVZ6" s="97" t="str">
        <f t="shared" si="158"/>
        <v/>
      </c>
      <c r="NWA6" s="97" t="str">
        <f t="shared" si="158"/>
        <v/>
      </c>
      <c r="NWB6" s="97" t="str">
        <f t="shared" si="158"/>
        <v/>
      </c>
      <c r="NWC6" s="97" t="str">
        <f t="shared" si="158"/>
        <v/>
      </c>
      <c r="NWD6" s="97" t="str">
        <f t="shared" si="158"/>
        <v/>
      </c>
      <c r="NWE6" s="97" t="str">
        <f t="shared" si="158"/>
        <v/>
      </c>
      <c r="NWF6" s="97" t="str">
        <f t="shared" si="158"/>
        <v/>
      </c>
      <c r="NWG6" s="97" t="str">
        <f t="shared" si="158"/>
        <v/>
      </c>
      <c r="NWH6" s="97" t="str">
        <f t="shared" si="158"/>
        <v/>
      </c>
      <c r="NWI6" s="97" t="str">
        <f t="shared" si="158"/>
        <v/>
      </c>
      <c r="NWJ6" s="97" t="str">
        <f t="shared" si="158"/>
        <v/>
      </c>
      <c r="NWK6" s="97" t="str">
        <f t="shared" si="158"/>
        <v/>
      </c>
      <c r="NWL6" s="97" t="str">
        <f t="shared" si="158"/>
        <v/>
      </c>
      <c r="NWM6" s="97" t="str">
        <f t="shared" si="158"/>
        <v/>
      </c>
      <c r="NWN6" s="97" t="str">
        <f t="shared" si="158"/>
        <v/>
      </c>
      <c r="NWO6" s="97" t="str">
        <f t="shared" si="158"/>
        <v/>
      </c>
      <c r="NWP6" s="97" t="str">
        <f t="shared" si="158"/>
        <v/>
      </c>
      <c r="NWQ6" s="97" t="str">
        <f t="shared" si="158"/>
        <v/>
      </c>
      <c r="NWR6" s="97" t="str">
        <f t="shared" si="158"/>
        <v/>
      </c>
      <c r="NWS6" s="97" t="str">
        <f t="shared" si="158"/>
        <v/>
      </c>
      <c r="NWT6" s="97" t="str">
        <f t="shared" si="158"/>
        <v/>
      </c>
      <c r="NWU6" s="97" t="str">
        <f t="shared" si="158"/>
        <v/>
      </c>
      <c r="NWV6" s="97" t="str">
        <f t="shared" si="158"/>
        <v/>
      </c>
      <c r="NWW6" s="97" t="str">
        <f t="shared" si="158"/>
        <v/>
      </c>
      <c r="NWX6" s="97" t="str">
        <f t="shared" si="158"/>
        <v/>
      </c>
      <c r="NWY6" s="97" t="str">
        <f t="shared" si="158"/>
        <v/>
      </c>
      <c r="NWZ6" s="97" t="str">
        <f t="shared" si="158"/>
        <v/>
      </c>
      <c r="NXA6" s="97" t="str">
        <f t="shared" si="158"/>
        <v/>
      </c>
      <c r="NXB6" s="97" t="str">
        <f t="shared" si="158"/>
        <v/>
      </c>
      <c r="NXC6" s="97" t="str">
        <f t="shared" si="158"/>
        <v/>
      </c>
      <c r="NXD6" s="97" t="str">
        <f t="shared" si="158"/>
        <v/>
      </c>
      <c r="NXE6" s="97" t="str">
        <f t="shared" si="158"/>
        <v/>
      </c>
      <c r="NXF6" s="97" t="str">
        <f t="shared" si="158"/>
        <v/>
      </c>
      <c r="NXG6" s="97" t="str">
        <f t="shared" si="158"/>
        <v/>
      </c>
      <c r="NXH6" s="97" t="str">
        <f t="shared" si="158"/>
        <v/>
      </c>
      <c r="NXI6" s="97" t="str">
        <f t="shared" si="158"/>
        <v/>
      </c>
      <c r="NXJ6" s="97" t="str">
        <f t="shared" si="158"/>
        <v/>
      </c>
      <c r="NXK6" s="97" t="str">
        <f t="shared" si="158"/>
        <v/>
      </c>
      <c r="NXL6" s="97" t="str">
        <f t="shared" si="158"/>
        <v/>
      </c>
      <c r="NXM6" s="97" t="str">
        <f t="shared" si="158"/>
        <v/>
      </c>
      <c r="NXN6" s="97" t="str">
        <f t="shared" si="158"/>
        <v/>
      </c>
      <c r="NXO6" s="97" t="str">
        <f t="shared" si="158"/>
        <v/>
      </c>
      <c r="NXP6" s="97" t="str">
        <f t="shared" si="158"/>
        <v/>
      </c>
      <c r="NXQ6" s="97" t="str">
        <f t="shared" si="158"/>
        <v/>
      </c>
      <c r="NXR6" s="97" t="str">
        <f t="shared" si="158"/>
        <v/>
      </c>
      <c r="NXS6" s="97" t="str">
        <f t="shared" si="158"/>
        <v/>
      </c>
      <c r="NXT6" s="97" t="str">
        <f t="shared" si="158"/>
        <v/>
      </c>
      <c r="NXU6" s="97" t="str">
        <f t="shared" si="158"/>
        <v/>
      </c>
      <c r="NXV6" s="97" t="str">
        <f t="shared" si="158"/>
        <v/>
      </c>
      <c r="NXW6" s="97" t="str">
        <f t="shared" si="158"/>
        <v/>
      </c>
      <c r="NXX6" s="97" t="str">
        <f t="shared" si="158"/>
        <v/>
      </c>
      <c r="NXY6" s="97" t="str">
        <f t="shared" si="158"/>
        <v/>
      </c>
      <c r="NXZ6" s="97" t="str">
        <f t="shared" si="158"/>
        <v/>
      </c>
      <c r="NYA6" s="97" t="str">
        <f t="shared" si="158"/>
        <v/>
      </c>
      <c r="NYB6" s="97" t="str">
        <f t="shared" si="158"/>
        <v/>
      </c>
      <c r="NYC6" s="97" t="str">
        <f t="shared" si="158"/>
        <v/>
      </c>
      <c r="NYD6" s="97" t="str">
        <f t="shared" ref="NYD6:OAO6" si="159">IFERROR(AVERAGE(NYD7:NYD13),"")</f>
        <v/>
      </c>
      <c r="NYE6" s="97" t="str">
        <f t="shared" si="159"/>
        <v/>
      </c>
      <c r="NYF6" s="97" t="str">
        <f t="shared" si="159"/>
        <v/>
      </c>
      <c r="NYG6" s="97" t="str">
        <f t="shared" si="159"/>
        <v/>
      </c>
      <c r="NYH6" s="97" t="str">
        <f t="shared" si="159"/>
        <v/>
      </c>
      <c r="NYI6" s="97" t="str">
        <f t="shared" si="159"/>
        <v/>
      </c>
      <c r="NYJ6" s="97" t="str">
        <f t="shared" si="159"/>
        <v/>
      </c>
      <c r="NYK6" s="97" t="str">
        <f t="shared" si="159"/>
        <v/>
      </c>
      <c r="NYL6" s="97" t="str">
        <f t="shared" si="159"/>
        <v/>
      </c>
      <c r="NYM6" s="97" t="str">
        <f t="shared" si="159"/>
        <v/>
      </c>
      <c r="NYN6" s="97" t="str">
        <f t="shared" si="159"/>
        <v/>
      </c>
      <c r="NYO6" s="97" t="str">
        <f t="shared" si="159"/>
        <v/>
      </c>
      <c r="NYP6" s="97" t="str">
        <f t="shared" si="159"/>
        <v/>
      </c>
      <c r="NYQ6" s="97" t="str">
        <f t="shared" si="159"/>
        <v/>
      </c>
      <c r="NYR6" s="97" t="str">
        <f t="shared" si="159"/>
        <v/>
      </c>
      <c r="NYS6" s="97" t="str">
        <f t="shared" si="159"/>
        <v/>
      </c>
      <c r="NYT6" s="97" t="str">
        <f t="shared" si="159"/>
        <v/>
      </c>
      <c r="NYU6" s="97" t="str">
        <f t="shared" si="159"/>
        <v/>
      </c>
      <c r="NYV6" s="97" t="str">
        <f t="shared" si="159"/>
        <v/>
      </c>
      <c r="NYW6" s="97" t="str">
        <f t="shared" si="159"/>
        <v/>
      </c>
      <c r="NYX6" s="97" t="str">
        <f t="shared" si="159"/>
        <v/>
      </c>
      <c r="NYY6" s="97" t="str">
        <f t="shared" si="159"/>
        <v/>
      </c>
      <c r="NYZ6" s="97" t="str">
        <f t="shared" si="159"/>
        <v/>
      </c>
      <c r="NZA6" s="97" t="str">
        <f t="shared" si="159"/>
        <v/>
      </c>
      <c r="NZB6" s="97" t="str">
        <f t="shared" si="159"/>
        <v/>
      </c>
      <c r="NZC6" s="97" t="str">
        <f t="shared" si="159"/>
        <v/>
      </c>
      <c r="NZD6" s="97" t="str">
        <f t="shared" si="159"/>
        <v/>
      </c>
      <c r="NZE6" s="97" t="str">
        <f t="shared" si="159"/>
        <v/>
      </c>
      <c r="NZF6" s="97" t="str">
        <f t="shared" si="159"/>
        <v/>
      </c>
      <c r="NZG6" s="97" t="str">
        <f t="shared" si="159"/>
        <v/>
      </c>
      <c r="NZH6" s="97" t="str">
        <f t="shared" si="159"/>
        <v/>
      </c>
      <c r="NZI6" s="97" t="str">
        <f t="shared" si="159"/>
        <v/>
      </c>
      <c r="NZJ6" s="97" t="str">
        <f t="shared" si="159"/>
        <v/>
      </c>
      <c r="NZK6" s="97" t="str">
        <f t="shared" si="159"/>
        <v/>
      </c>
      <c r="NZL6" s="97" t="str">
        <f t="shared" si="159"/>
        <v/>
      </c>
      <c r="NZM6" s="97" t="str">
        <f t="shared" si="159"/>
        <v/>
      </c>
      <c r="NZN6" s="97" t="str">
        <f t="shared" si="159"/>
        <v/>
      </c>
      <c r="NZO6" s="97" t="str">
        <f t="shared" si="159"/>
        <v/>
      </c>
      <c r="NZP6" s="97" t="str">
        <f t="shared" si="159"/>
        <v/>
      </c>
      <c r="NZQ6" s="97" t="str">
        <f t="shared" si="159"/>
        <v/>
      </c>
      <c r="NZR6" s="97" t="str">
        <f t="shared" si="159"/>
        <v/>
      </c>
      <c r="NZS6" s="97" t="str">
        <f t="shared" si="159"/>
        <v/>
      </c>
      <c r="NZT6" s="97" t="str">
        <f t="shared" si="159"/>
        <v/>
      </c>
      <c r="NZU6" s="97" t="str">
        <f t="shared" si="159"/>
        <v/>
      </c>
      <c r="NZV6" s="97" t="str">
        <f t="shared" si="159"/>
        <v/>
      </c>
      <c r="NZW6" s="97" t="str">
        <f t="shared" si="159"/>
        <v/>
      </c>
      <c r="NZX6" s="97" t="str">
        <f t="shared" si="159"/>
        <v/>
      </c>
      <c r="NZY6" s="97" t="str">
        <f t="shared" si="159"/>
        <v/>
      </c>
      <c r="NZZ6" s="97" t="str">
        <f t="shared" si="159"/>
        <v/>
      </c>
      <c r="OAA6" s="97" t="str">
        <f t="shared" si="159"/>
        <v/>
      </c>
      <c r="OAB6" s="97" t="str">
        <f t="shared" si="159"/>
        <v/>
      </c>
      <c r="OAC6" s="97" t="str">
        <f t="shared" si="159"/>
        <v/>
      </c>
      <c r="OAD6" s="97" t="str">
        <f t="shared" si="159"/>
        <v/>
      </c>
      <c r="OAE6" s="97" t="str">
        <f t="shared" si="159"/>
        <v/>
      </c>
      <c r="OAF6" s="97" t="str">
        <f t="shared" si="159"/>
        <v/>
      </c>
      <c r="OAG6" s="97" t="str">
        <f t="shared" si="159"/>
        <v/>
      </c>
      <c r="OAH6" s="97" t="str">
        <f t="shared" si="159"/>
        <v/>
      </c>
      <c r="OAI6" s="97" t="str">
        <f t="shared" si="159"/>
        <v/>
      </c>
      <c r="OAJ6" s="97" t="str">
        <f t="shared" si="159"/>
        <v/>
      </c>
      <c r="OAK6" s="97" t="str">
        <f t="shared" si="159"/>
        <v/>
      </c>
      <c r="OAL6" s="97" t="str">
        <f t="shared" si="159"/>
        <v/>
      </c>
      <c r="OAM6" s="97" t="str">
        <f t="shared" si="159"/>
        <v/>
      </c>
      <c r="OAN6" s="97" t="str">
        <f t="shared" si="159"/>
        <v/>
      </c>
      <c r="OAO6" s="97" t="str">
        <f t="shared" si="159"/>
        <v/>
      </c>
      <c r="OAP6" s="97" t="str">
        <f t="shared" ref="OAP6:ODA6" si="160">IFERROR(AVERAGE(OAP7:OAP13),"")</f>
        <v/>
      </c>
      <c r="OAQ6" s="97" t="str">
        <f t="shared" si="160"/>
        <v/>
      </c>
      <c r="OAR6" s="97" t="str">
        <f t="shared" si="160"/>
        <v/>
      </c>
      <c r="OAS6" s="97" t="str">
        <f t="shared" si="160"/>
        <v/>
      </c>
      <c r="OAT6" s="97" t="str">
        <f t="shared" si="160"/>
        <v/>
      </c>
      <c r="OAU6" s="97" t="str">
        <f t="shared" si="160"/>
        <v/>
      </c>
      <c r="OAV6" s="97" t="str">
        <f t="shared" si="160"/>
        <v/>
      </c>
      <c r="OAW6" s="97" t="str">
        <f t="shared" si="160"/>
        <v/>
      </c>
      <c r="OAX6" s="97" t="str">
        <f t="shared" si="160"/>
        <v/>
      </c>
      <c r="OAY6" s="97" t="str">
        <f t="shared" si="160"/>
        <v/>
      </c>
      <c r="OAZ6" s="97" t="str">
        <f t="shared" si="160"/>
        <v/>
      </c>
      <c r="OBA6" s="97" t="str">
        <f t="shared" si="160"/>
        <v/>
      </c>
      <c r="OBB6" s="97" t="str">
        <f t="shared" si="160"/>
        <v/>
      </c>
      <c r="OBC6" s="97" t="str">
        <f t="shared" si="160"/>
        <v/>
      </c>
      <c r="OBD6" s="97" t="str">
        <f t="shared" si="160"/>
        <v/>
      </c>
      <c r="OBE6" s="97" t="str">
        <f t="shared" si="160"/>
        <v/>
      </c>
      <c r="OBF6" s="97" t="str">
        <f t="shared" si="160"/>
        <v/>
      </c>
      <c r="OBG6" s="97" t="str">
        <f t="shared" si="160"/>
        <v/>
      </c>
      <c r="OBH6" s="97" t="str">
        <f t="shared" si="160"/>
        <v/>
      </c>
      <c r="OBI6" s="97" t="str">
        <f t="shared" si="160"/>
        <v/>
      </c>
      <c r="OBJ6" s="97" t="str">
        <f t="shared" si="160"/>
        <v/>
      </c>
      <c r="OBK6" s="97" t="str">
        <f t="shared" si="160"/>
        <v/>
      </c>
      <c r="OBL6" s="97" t="str">
        <f t="shared" si="160"/>
        <v/>
      </c>
      <c r="OBM6" s="97" t="str">
        <f t="shared" si="160"/>
        <v/>
      </c>
      <c r="OBN6" s="97" t="str">
        <f t="shared" si="160"/>
        <v/>
      </c>
      <c r="OBO6" s="97" t="str">
        <f t="shared" si="160"/>
        <v/>
      </c>
      <c r="OBP6" s="97" t="str">
        <f t="shared" si="160"/>
        <v/>
      </c>
      <c r="OBQ6" s="97" t="str">
        <f t="shared" si="160"/>
        <v/>
      </c>
      <c r="OBR6" s="97" t="str">
        <f t="shared" si="160"/>
        <v/>
      </c>
      <c r="OBS6" s="97" t="str">
        <f t="shared" si="160"/>
        <v/>
      </c>
      <c r="OBT6" s="97" t="str">
        <f t="shared" si="160"/>
        <v/>
      </c>
      <c r="OBU6" s="97" t="str">
        <f t="shared" si="160"/>
        <v/>
      </c>
      <c r="OBV6" s="97" t="str">
        <f t="shared" si="160"/>
        <v/>
      </c>
      <c r="OBW6" s="97" t="str">
        <f t="shared" si="160"/>
        <v/>
      </c>
      <c r="OBX6" s="97" t="str">
        <f t="shared" si="160"/>
        <v/>
      </c>
      <c r="OBY6" s="97" t="str">
        <f t="shared" si="160"/>
        <v/>
      </c>
      <c r="OBZ6" s="97" t="str">
        <f t="shared" si="160"/>
        <v/>
      </c>
      <c r="OCA6" s="97" t="str">
        <f t="shared" si="160"/>
        <v/>
      </c>
      <c r="OCB6" s="97" t="str">
        <f t="shared" si="160"/>
        <v/>
      </c>
      <c r="OCC6" s="97" t="str">
        <f t="shared" si="160"/>
        <v/>
      </c>
      <c r="OCD6" s="97" t="str">
        <f t="shared" si="160"/>
        <v/>
      </c>
      <c r="OCE6" s="97" t="str">
        <f t="shared" si="160"/>
        <v/>
      </c>
      <c r="OCF6" s="97" t="str">
        <f t="shared" si="160"/>
        <v/>
      </c>
      <c r="OCG6" s="97" t="str">
        <f t="shared" si="160"/>
        <v/>
      </c>
      <c r="OCH6" s="97" t="str">
        <f t="shared" si="160"/>
        <v/>
      </c>
      <c r="OCI6" s="97" t="str">
        <f t="shared" si="160"/>
        <v/>
      </c>
      <c r="OCJ6" s="97" t="str">
        <f t="shared" si="160"/>
        <v/>
      </c>
      <c r="OCK6" s="97" t="str">
        <f t="shared" si="160"/>
        <v/>
      </c>
      <c r="OCL6" s="97" t="str">
        <f t="shared" si="160"/>
        <v/>
      </c>
      <c r="OCM6" s="97" t="str">
        <f t="shared" si="160"/>
        <v/>
      </c>
      <c r="OCN6" s="97" t="str">
        <f t="shared" si="160"/>
        <v/>
      </c>
      <c r="OCO6" s="97" t="str">
        <f t="shared" si="160"/>
        <v/>
      </c>
      <c r="OCP6" s="97" t="str">
        <f t="shared" si="160"/>
        <v/>
      </c>
      <c r="OCQ6" s="97" t="str">
        <f t="shared" si="160"/>
        <v/>
      </c>
      <c r="OCR6" s="97" t="str">
        <f t="shared" si="160"/>
        <v/>
      </c>
      <c r="OCS6" s="97" t="str">
        <f t="shared" si="160"/>
        <v/>
      </c>
      <c r="OCT6" s="97" t="str">
        <f t="shared" si="160"/>
        <v/>
      </c>
      <c r="OCU6" s="97" t="str">
        <f t="shared" si="160"/>
        <v/>
      </c>
      <c r="OCV6" s="97" t="str">
        <f t="shared" si="160"/>
        <v/>
      </c>
      <c r="OCW6" s="97" t="str">
        <f t="shared" si="160"/>
        <v/>
      </c>
      <c r="OCX6" s="97" t="str">
        <f t="shared" si="160"/>
        <v/>
      </c>
      <c r="OCY6" s="97" t="str">
        <f t="shared" si="160"/>
        <v/>
      </c>
      <c r="OCZ6" s="97" t="str">
        <f t="shared" si="160"/>
        <v/>
      </c>
      <c r="ODA6" s="97" t="str">
        <f t="shared" si="160"/>
        <v/>
      </c>
      <c r="ODB6" s="97" t="str">
        <f t="shared" ref="ODB6:OFM6" si="161">IFERROR(AVERAGE(ODB7:ODB13),"")</f>
        <v/>
      </c>
      <c r="ODC6" s="97" t="str">
        <f t="shared" si="161"/>
        <v/>
      </c>
      <c r="ODD6" s="97" t="str">
        <f t="shared" si="161"/>
        <v/>
      </c>
      <c r="ODE6" s="97" t="str">
        <f t="shared" si="161"/>
        <v/>
      </c>
      <c r="ODF6" s="97" t="str">
        <f t="shared" si="161"/>
        <v/>
      </c>
      <c r="ODG6" s="97" t="str">
        <f t="shared" si="161"/>
        <v/>
      </c>
      <c r="ODH6" s="97" t="str">
        <f t="shared" si="161"/>
        <v/>
      </c>
      <c r="ODI6" s="97" t="str">
        <f t="shared" si="161"/>
        <v/>
      </c>
      <c r="ODJ6" s="97" t="str">
        <f t="shared" si="161"/>
        <v/>
      </c>
      <c r="ODK6" s="97" t="str">
        <f t="shared" si="161"/>
        <v/>
      </c>
      <c r="ODL6" s="97" t="str">
        <f t="shared" si="161"/>
        <v/>
      </c>
      <c r="ODM6" s="97" t="str">
        <f t="shared" si="161"/>
        <v/>
      </c>
      <c r="ODN6" s="97" t="str">
        <f t="shared" si="161"/>
        <v/>
      </c>
      <c r="ODO6" s="97" t="str">
        <f t="shared" si="161"/>
        <v/>
      </c>
      <c r="ODP6" s="97" t="str">
        <f t="shared" si="161"/>
        <v/>
      </c>
      <c r="ODQ6" s="97" t="str">
        <f t="shared" si="161"/>
        <v/>
      </c>
      <c r="ODR6" s="97" t="str">
        <f t="shared" si="161"/>
        <v/>
      </c>
      <c r="ODS6" s="97" t="str">
        <f t="shared" si="161"/>
        <v/>
      </c>
      <c r="ODT6" s="97" t="str">
        <f t="shared" si="161"/>
        <v/>
      </c>
      <c r="ODU6" s="97" t="str">
        <f t="shared" si="161"/>
        <v/>
      </c>
      <c r="ODV6" s="97" t="str">
        <f t="shared" si="161"/>
        <v/>
      </c>
      <c r="ODW6" s="97" t="str">
        <f t="shared" si="161"/>
        <v/>
      </c>
      <c r="ODX6" s="97" t="str">
        <f t="shared" si="161"/>
        <v/>
      </c>
      <c r="ODY6" s="97" t="str">
        <f t="shared" si="161"/>
        <v/>
      </c>
      <c r="ODZ6" s="97" t="str">
        <f t="shared" si="161"/>
        <v/>
      </c>
      <c r="OEA6" s="97" t="str">
        <f t="shared" si="161"/>
        <v/>
      </c>
      <c r="OEB6" s="97" t="str">
        <f t="shared" si="161"/>
        <v/>
      </c>
      <c r="OEC6" s="97" t="str">
        <f t="shared" si="161"/>
        <v/>
      </c>
      <c r="OED6" s="97" t="str">
        <f t="shared" si="161"/>
        <v/>
      </c>
      <c r="OEE6" s="97" t="str">
        <f t="shared" si="161"/>
        <v/>
      </c>
      <c r="OEF6" s="97" t="str">
        <f t="shared" si="161"/>
        <v/>
      </c>
      <c r="OEG6" s="97" t="str">
        <f t="shared" si="161"/>
        <v/>
      </c>
      <c r="OEH6" s="97" t="str">
        <f t="shared" si="161"/>
        <v/>
      </c>
      <c r="OEI6" s="97" t="str">
        <f t="shared" si="161"/>
        <v/>
      </c>
      <c r="OEJ6" s="97" t="str">
        <f t="shared" si="161"/>
        <v/>
      </c>
      <c r="OEK6" s="97" t="str">
        <f t="shared" si="161"/>
        <v/>
      </c>
      <c r="OEL6" s="97" t="str">
        <f t="shared" si="161"/>
        <v/>
      </c>
      <c r="OEM6" s="97" t="str">
        <f t="shared" si="161"/>
        <v/>
      </c>
      <c r="OEN6" s="97" t="str">
        <f t="shared" si="161"/>
        <v/>
      </c>
      <c r="OEO6" s="97" t="str">
        <f t="shared" si="161"/>
        <v/>
      </c>
      <c r="OEP6" s="97" t="str">
        <f t="shared" si="161"/>
        <v/>
      </c>
      <c r="OEQ6" s="97" t="str">
        <f t="shared" si="161"/>
        <v/>
      </c>
      <c r="OER6" s="97" t="str">
        <f t="shared" si="161"/>
        <v/>
      </c>
      <c r="OES6" s="97" t="str">
        <f t="shared" si="161"/>
        <v/>
      </c>
      <c r="OET6" s="97" t="str">
        <f t="shared" si="161"/>
        <v/>
      </c>
      <c r="OEU6" s="97" t="str">
        <f t="shared" si="161"/>
        <v/>
      </c>
      <c r="OEV6" s="97" t="str">
        <f t="shared" si="161"/>
        <v/>
      </c>
      <c r="OEW6" s="97" t="str">
        <f t="shared" si="161"/>
        <v/>
      </c>
      <c r="OEX6" s="97" t="str">
        <f t="shared" si="161"/>
        <v/>
      </c>
      <c r="OEY6" s="97" t="str">
        <f t="shared" si="161"/>
        <v/>
      </c>
      <c r="OEZ6" s="97" t="str">
        <f t="shared" si="161"/>
        <v/>
      </c>
      <c r="OFA6" s="97" t="str">
        <f t="shared" si="161"/>
        <v/>
      </c>
      <c r="OFB6" s="97" t="str">
        <f t="shared" si="161"/>
        <v/>
      </c>
      <c r="OFC6" s="97" t="str">
        <f t="shared" si="161"/>
        <v/>
      </c>
      <c r="OFD6" s="97" t="str">
        <f t="shared" si="161"/>
        <v/>
      </c>
      <c r="OFE6" s="97" t="str">
        <f t="shared" si="161"/>
        <v/>
      </c>
      <c r="OFF6" s="97" t="str">
        <f t="shared" si="161"/>
        <v/>
      </c>
      <c r="OFG6" s="97" t="str">
        <f t="shared" si="161"/>
        <v/>
      </c>
      <c r="OFH6" s="97" t="str">
        <f t="shared" si="161"/>
        <v/>
      </c>
      <c r="OFI6" s="97" t="str">
        <f t="shared" si="161"/>
        <v/>
      </c>
      <c r="OFJ6" s="97" t="str">
        <f t="shared" si="161"/>
        <v/>
      </c>
      <c r="OFK6" s="97" t="str">
        <f t="shared" si="161"/>
        <v/>
      </c>
      <c r="OFL6" s="97" t="str">
        <f t="shared" si="161"/>
        <v/>
      </c>
      <c r="OFM6" s="97" t="str">
        <f t="shared" si="161"/>
        <v/>
      </c>
      <c r="OFN6" s="97" t="str">
        <f t="shared" ref="OFN6:OHY6" si="162">IFERROR(AVERAGE(OFN7:OFN13),"")</f>
        <v/>
      </c>
      <c r="OFO6" s="97" t="str">
        <f t="shared" si="162"/>
        <v/>
      </c>
      <c r="OFP6" s="97" t="str">
        <f t="shared" si="162"/>
        <v/>
      </c>
      <c r="OFQ6" s="97" t="str">
        <f t="shared" si="162"/>
        <v/>
      </c>
      <c r="OFR6" s="97" t="str">
        <f t="shared" si="162"/>
        <v/>
      </c>
      <c r="OFS6" s="97" t="str">
        <f t="shared" si="162"/>
        <v/>
      </c>
      <c r="OFT6" s="97" t="str">
        <f t="shared" si="162"/>
        <v/>
      </c>
      <c r="OFU6" s="97" t="str">
        <f t="shared" si="162"/>
        <v/>
      </c>
      <c r="OFV6" s="97" t="str">
        <f t="shared" si="162"/>
        <v/>
      </c>
      <c r="OFW6" s="97" t="str">
        <f t="shared" si="162"/>
        <v/>
      </c>
      <c r="OFX6" s="97" t="str">
        <f t="shared" si="162"/>
        <v/>
      </c>
      <c r="OFY6" s="97" t="str">
        <f t="shared" si="162"/>
        <v/>
      </c>
      <c r="OFZ6" s="97" t="str">
        <f t="shared" si="162"/>
        <v/>
      </c>
      <c r="OGA6" s="97" t="str">
        <f t="shared" si="162"/>
        <v/>
      </c>
      <c r="OGB6" s="97" t="str">
        <f t="shared" si="162"/>
        <v/>
      </c>
      <c r="OGC6" s="97" t="str">
        <f t="shared" si="162"/>
        <v/>
      </c>
      <c r="OGD6" s="97" t="str">
        <f t="shared" si="162"/>
        <v/>
      </c>
      <c r="OGE6" s="97" t="str">
        <f t="shared" si="162"/>
        <v/>
      </c>
      <c r="OGF6" s="97" t="str">
        <f t="shared" si="162"/>
        <v/>
      </c>
      <c r="OGG6" s="97" t="str">
        <f t="shared" si="162"/>
        <v/>
      </c>
      <c r="OGH6" s="97" t="str">
        <f t="shared" si="162"/>
        <v/>
      </c>
      <c r="OGI6" s="97" t="str">
        <f t="shared" si="162"/>
        <v/>
      </c>
      <c r="OGJ6" s="97" t="str">
        <f t="shared" si="162"/>
        <v/>
      </c>
      <c r="OGK6" s="97" t="str">
        <f t="shared" si="162"/>
        <v/>
      </c>
      <c r="OGL6" s="97" t="str">
        <f t="shared" si="162"/>
        <v/>
      </c>
      <c r="OGM6" s="97" t="str">
        <f t="shared" si="162"/>
        <v/>
      </c>
      <c r="OGN6" s="97" t="str">
        <f t="shared" si="162"/>
        <v/>
      </c>
      <c r="OGO6" s="97" t="str">
        <f t="shared" si="162"/>
        <v/>
      </c>
      <c r="OGP6" s="97" t="str">
        <f t="shared" si="162"/>
        <v/>
      </c>
      <c r="OGQ6" s="97" t="str">
        <f t="shared" si="162"/>
        <v/>
      </c>
      <c r="OGR6" s="97" t="str">
        <f t="shared" si="162"/>
        <v/>
      </c>
      <c r="OGS6" s="97" t="str">
        <f t="shared" si="162"/>
        <v/>
      </c>
      <c r="OGT6" s="97" t="str">
        <f t="shared" si="162"/>
        <v/>
      </c>
      <c r="OGU6" s="97" t="str">
        <f t="shared" si="162"/>
        <v/>
      </c>
      <c r="OGV6" s="97" t="str">
        <f t="shared" si="162"/>
        <v/>
      </c>
      <c r="OGW6" s="97" t="str">
        <f t="shared" si="162"/>
        <v/>
      </c>
      <c r="OGX6" s="97" t="str">
        <f t="shared" si="162"/>
        <v/>
      </c>
      <c r="OGY6" s="97" t="str">
        <f t="shared" si="162"/>
        <v/>
      </c>
      <c r="OGZ6" s="97" t="str">
        <f t="shared" si="162"/>
        <v/>
      </c>
      <c r="OHA6" s="97" t="str">
        <f t="shared" si="162"/>
        <v/>
      </c>
      <c r="OHB6" s="97" t="str">
        <f t="shared" si="162"/>
        <v/>
      </c>
      <c r="OHC6" s="97" t="str">
        <f t="shared" si="162"/>
        <v/>
      </c>
      <c r="OHD6" s="97" t="str">
        <f t="shared" si="162"/>
        <v/>
      </c>
      <c r="OHE6" s="97" t="str">
        <f t="shared" si="162"/>
        <v/>
      </c>
      <c r="OHF6" s="97" t="str">
        <f t="shared" si="162"/>
        <v/>
      </c>
      <c r="OHG6" s="97" t="str">
        <f t="shared" si="162"/>
        <v/>
      </c>
      <c r="OHH6" s="97" t="str">
        <f t="shared" si="162"/>
        <v/>
      </c>
      <c r="OHI6" s="97" t="str">
        <f t="shared" si="162"/>
        <v/>
      </c>
      <c r="OHJ6" s="97" t="str">
        <f t="shared" si="162"/>
        <v/>
      </c>
      <c r="OHK6" s="97" t="str">
        <f t="shared" si="162"/>
        <v/>
      </c>
      <c r="OHL6" s="97" t="str">
        <f t="shared" si="162"/>
        <v/>
      </c>
      <c r="OHM6" s="97" t="str">
        <f t="shared" si="162"/>
        <v/>
      </c>
      <c r="OHN6" s="97" t="str">
        <f t="shared" si="162"/>
        <v/>
      </c>
      <c r="OHO6" s="97" t="str">
        <f t="shared" si="162"/>
        <v/>
      </c>
      <c r="OHP6" s="97" t="str">
        <f t="shared" si="162"/>
        <v/>
      </c>
      <c r="OHQ6" s="97" t="str">
        <f t="shared" si="162"/>
        <v/>
      </c>
      <c r="OHR6" s="97" t="str">
        <f t="shared" si="162"/>
        <v/>
      </c>
      <c r="OHS6" s="97" t="str">
        <f t="shared" si="162"/>
        <v/>
      </c>
      <c r="OHT6" s="97" t="str">
        <f t="shared" si="162"/>
        <v/>
      </c>
      <c r="OHU6" s="97" t="str">
        <f t="shared" si="162"/>
        <v/>
      </c>
      <c r="OHV6" s="97" t="str">
        <f t="shared" si="162"/>
        <v/>
      </c>
      <c r="OHW6" s="97" t="str">
        <f t="shared" si="162"/>
        <v/>
      </c>
      <c r="OHX6" s="97" t="str">
        <f t="shared" si="162"/>
        <v/>
      </c>
      <c r="OHY6" s="97" t="str">
        <f t="shared" si="162"/>
        <v/>
      </c>
      <c r="OHZ6" s="97" t="str">
        <f t="shared" ref="OHZ6:OKK6" si="163">IFERROR(AVERAGE(OHZ7:OHZ13),"")</f>
        <v/>
      </c>
      <c r="OIA6" s="97" t="str">
        <f t="shared" si="163"/>
        <v/>
      </c>
      <c r="OIB6" s="97" t="str">
        <f t="shared" si="163"/>
        <v/>
      </c>
      <c r="OIC6" s="97" t="str">
        <f t="shared" si="163"/>
        <v/>
      </c>
      <c r="OID6" s="97" t="str">
        <f t="shared" si="163"/>
        <v/>
      </c>
      <c r="OIE6" s="97" t="str">
        <f t="shared" si="163"/>
        <v/>
      </c>
      <c r="OIF6" s="97" t="str">
        <f t="shared" si="163"/>
        <v/>
      </c>
      <c r="OIG6" s="97" t="str">
        <f t="shared" si="163"/>
        <v/>
      </c>
      <c r="OIH6" s="97" t="str">
        <f t="shared" si="163"/>
        <v/>
      </c>
      <c r="OII6" s="97" t="str">
        <f t="shared" si="163"/>
        <v/>
      </c>
      <c r="OIJ6" s="97" t="str">
        <f t="shared" si="163"/>
        <v/>
      </c>
      <c r="OIK6" s="97" t="str">
        <f t="shared" si="163"/>
        <v/>
      </c>
      <c r="OIL6" s="97" t="str">
        <f t="shared" si="163"/>
        <v/>
      </c>
      <c r="OIM6" s="97" t="str">
        <f t="shared" si="163"/>
        <v/>
      </c>
      <c r="OIN6" s="97" t="str">
        <f t="shared" si="163"/>
        <v/>
      </c>
      <c r="OIO6" s="97" t="str">
        <f t="shared" si="163"/>
        <v/>
      </c>
      <c r="OIP6" s="97" t="str">
        <f t="shared" si="163"/>
        <v/>
      </c>
      <c r="OIQ6" s="97" t="str">
        <f t="shared" si="163"/>
        <v/>
      </c>
      <c r="OIR6" s="97" t="str">
        <f t="shared" si="163"/>
        <v/>
      </c>
      <c r="OIS6" s="97" t="str">
        <f t="shared" si="163"/>
        <v/>
      </c>
      <c r="OIT6" s="97" t="str">
        <f t="shared" si="163"/>
        <v/>
      </c>
      <c r="OIU6" s="97" t="str">
        <f t="shared" si="163"/>
        <v/>
      </c>
      <c r="OIV6" s="97" t="str">
        <f t="shared" si="163"/>
        <v/>
      </c>
      <c r="OIW6" s="97" t="str">
        <f t="shared" si="163"/>
        <v/>
      </c>
      <c r="OIX6" s="97" t="str">
        <f t="shared" si="163"/>
        <v/>
      </c>
      <c r="OIY6" s="97" t="str">
        <f t="shared" si="163"/>
        <v/>
      </c>
      <c r="OIZ6" s="97" t="str">
        <f t="shared" si="163"/>
        <v/>
      </c>
      <c r="OJA6" s="97" t="str">
        <f t="shared" si="163"/>
        <v/>
      </c>
      <c r="OJB6" s="97" t="str">
        <f t="shared" si="163"/>
        <v/>
      </c>
      <c r="OJC6" s="97" t="str">
        <f t="shared" si="163"/>
        <v/>
      </c>
      <c r="OJD6" s="97" t="str">
        <f t="shared" si="163"/>
        <v/>
      </c>
      <c r="OJE6" s="97" t="str">
        <f t="shared" si="163"/>
        <v/>
      </c>
      <c r="OJF6" s="97" t="str">
        <f t="shared" si="163"/>
        <v/>
      </c>
      <c r="OJG6" s="97" t="str">
        <f t="shared" si="163"/>
        <v/>
      </c>
      <c r="OJH6" s="97" t="str">
        <f t="shared" si="163"/>
        <v/>
      </c>
      <c r="OJI6" s="97" t="str">
        <f t="shared" si="163"/>
        <v/>
      </c>
      <c r="OJJ6" s="97" t="str">
        <f t="shared" si="163"/>
        <v/>
      </c>
      <c r="OJK6" s="97" t="str">
        <f t="shared" si="163"/>
        <v/>
      </c>
      <c r="OJL6" s="97" t="str">
        <f t="shared" si="163"/>
        <v/>
      </c>
      <c r="OJM6" s="97" t="str">
        <f t="shared" si="163"/>
        <v/>
      </c>
      <c r="OJN6" s="97" t="str">
        <f t="shared" si="163"/>
        <v/>
      </c>
      <c r="OJO6" s="97" t="str">
        <f t="shared" si="163"/>
        <v/>
      </c>
      <c r="OJP6" s="97" t="str">
        <f t="shared" si="163"/>
        <v/>
      </c>
      <c r="OJQ6" s="97" t="str">
        <f t="shared" si="163"/>
        <v/>
      </c>
      <c r="OJR6" s="97" t="str">
        <f t="shared" si="163"/>
        <v/>
      </c>
      <c r="OJS6" s="97" t="str">
        <f t="shared" si="163"/>
        <v/>
      </c>
      <c r="OJT6" s="97" t="str">
        <f t="shared" si="163"/>
        <v/>
      </c>
      <c r="OJU6" s="97" t="str">
        <f t="shared" si="163"/>
        <v/>
      </c>
      <c r="OJV6" s="97" t="str">
        <f t="shared" si="163"/>
        <v/>
      </c>
      <c r="OJW6" s="97" t="str">
        <f t="shared" si="163"/>
        <v/>
      </c>
      <c r="OJX6" s="97" t="str">
        <f t="shared" si="163"/>
        <v/>
      </c>
      <c r="OJY6" s="97" t="str">
        <f t="shared" si="163"/>
        <v/>
      </c>
      <c r="OJZ6" s="97" t="str">
        <f t="shared" si="163"/>
        <v/>
      </c>
      <c r="OKA6" s="97" t="str">
        <f t="shared" si="163"/>
        <v/>
      </c>
      <c r="OKB6" s="97" t="str">
        <f t="shared" si="163"/>
        <v/>
      </c>
      <c r="OKC6" s="97" t="str">
        <f t="shared" si="163"/>
        <v/>
      </c>
      <c r="OKD6" s="97" t="str">
        <f t="shared" si="163"/>
        <v/>
      </c>
      <c r="OKE6" s="97" t="str">
        <f t="shared" si="163"/>
        <v/>
      </c>
      <c r="OKF6" s="97" t="str">
        <f t="shared" si="163"/>
        <v/>
      </c>
      <c r="OKG6" s="97" t="str">
        <f t="shared" si="163"/>
        <v/>
      </c>
      <c r="OKH6" s="97" t="str">
        <f t="shared" si="163"/>
        <v/>
      </c>
      <c r="OKI6" s="97" t="str">
        <f t="shared" si="163"/>
        <v/>
      </c>
      <c r="OKJ6" s="97" t="str">
        <f t="shared" si="163"/>
        <v/>
      </c>
      <c r="OKK6" s="97" t="str">
        <f t="shared" si="163"/>
        <v/>
      </c>
      <c r="OKL6" s="97" t="str">
        <f t="shared" ref="OKL6:OMW6" si="164">IFERROR(AVERAGE(OKL7:OKL13),"")</f>
        <v/>
      </c>
      <c r="OKM6" s="97" t="str">
        <f t="shared" si="164"/>
        <v/>
      </c>
      <c r="OKN6" s="97" t="str">
        <f t="shared" si="164"/>
        <v/>
      </c>
      <c r="OKO6" s="97" t="str">
        <f t="shared" si="164"/>
        <v/>
      </c>
      <c r="OKP6" s="97" t="str">
        <f t="shared" si="164"/>
        <v/>
      </c>
      <c r="OKQ6" s="97" t="str">
        <f t="shared" si="164"/>
        <v/>
      </c>
      <c r="OKR6" s="97" t="str">
        <f t="shared" si="164"/>
        <v/>
      </c>
      <c r="OKS6" s="97" t="str">
        <f t="shared" si="164"/>
        <v/>
      </c>
      <c r="OKT6" s="97" t="str">
        <f t="shared" si="164"/>
        <v/>
      </c>
      <c r="OKU6" s="97" t="str">
        <f t="shared" si="164"/>
        <v/>
      </c>
      <c r="OKV6" s="97" t="str">
        <f t="shared" si="164"/>
        <v/>
      </c>
      <c r="OKW6" s="97" t="str">
        <f t="shared" si="164"/>
        <v/>
      </c>
      <c r="OKX6" s="97" t="str">
        <f t="shared" si="164"/>
        <v/>
      </c>
      <c r="OKY6" s="97" t="str">
        <f t="shared" si="164"/>
        <v/>
      </c>
      <c r="OKZ6" s="97" t="str">
        <f t="shared" si="164"/>
        <v/>
      </c>
      <c r="OLA6" s="97" t="str">
        <f t="shared" si="164"/>
        <v/>
      </c>
      <c r="OLB6" s="97" t="str">
        <f t="shared" si="164"/>
        <v/>
      </c>
      <c r="OLC6" s="97" t="str">
        <f t="shared" si="164"/>
        <v/>
      </c>
      <c r="OLD6" s="97" t="str">
        <f t="shared" si="164"/>
        <v/>
      </c>
      <c r="OLE6" s="97" t="str">
        <f t="shared" si="164"/>
        <v/>
      </c>
      <c r="OLF6" s="97" t="str">
        <f t="shared" si="164"/>
        <v/>
      </c>
      <c r="OLG6" s="97" t="str">
        <f t="shared" si="164"/>
        <v/>
      </c>
      <c r="OLH6" s="97" t="str">
        <f t="shared" si="164"/>
        <v/>
      </c>
      <c r="OLI6" s="97" t="str">
        <f t="shared" si="164"/>
        <v/>
      </c>
      <c r="OLJ6" s="97" t="str">
        <f t="shared" si="164"/>
        <v/>
      </c>
      <c r="OLK6" s="97" t="str">
        <f t="shared" si="164"/>
        <v/>
      </c>
      <c r="OLL6" s="97" t="str">
        <f t="shared" si="164"/>
        <v/>
      </c>
      <c r="OLM6" s="97" t="str">
        <f t="shared" si="164"/>
        <v/>
      </c>
      <c r="OLN6" s="97" t="str">
        <f t="shared" si="164"/>
        <v/>
      </c>
      <c r="OLO6" s="97" t="str">
        <f t="shared" si="164"/>
        <v/>
      </c>
      <c r="OLP6" s="97" t="str">
        <f t="shared" si="164"/>
        <v/>
      </c>
      <c r="OLQ6" s="97" t="str">
        <f t="shared" si="164"/>
        <v/>
      </c>
      <c r="OLR6" s="97" t="str">
        <f t="shared" si="164"/>
        <v/>
      </c>
      <c r="OLS6" s="97" t="str">
        <f t="shared" si="164"/>
        <v/>
      </c>
      <c r="OLT6" s="97" t="str">
        <f t="shared" si="164"/>
        <v/>
      </c>
      <c r="OLU6" s="97" t="str">
        <f t="shared" si="164"/>
        <v/>
      </c>
      <c r="OLV6" s="97" t="str">
        <f t="shared" si="164"/>
        <v/>
      </c>
      <c r="OLW6" s="97" t="str">
        <f t="shared" si="164"/>
        <v/>
      </c>
      <c r="OLX6" s="97" t="str">
        <f t="shared" si="164"/>
        <v/>
      </c>
      <c r="OLY6" s="97" t="str">
        <f t="shared" si="164"/>
        <v/>
      </c>
      <c r="OLZ6" s="97" t="str">
        <f t="shared" si="164"/>
        <v/>
      </c>
      <c r="OMA6" s="97" t="str">
        <f t="shared" si="164"/>
        <v/>
      </c>
      <c r="OMB6" s="97" t="str">
        <f t="shared" si="164"/>
        <v/>
      </c>
      <c r="OMC6" s="97" t="str">
        <f t="shared" si="164"/>
        <v/>
      </c>
      <c r="OMD6" s="97" t="str">
        <f t="shared" si="164"/>
        <v/>
      </c>
      <c r="OME6" s="97" t="str">
        <f t="shared" si="164"/>
        <v/>
      </c>
      <c r="OMF6" s="97" t="str">
        <f t="shared" si="164"/>
        <v/>
      </c>
      <c r="OMG6" s="97" t="str">
        <f t="shared" si="164"/>
        <v/>
      </c>
      <c r="OMH6" s="97" t="str">
        <f t="shared" si="164"/>
        <v/>
      </c>
      <c r="OMI6" s="97" t="str">
        <f t="shared" si="164"/>
        <v/>
      </c>
      <c r="OMJ6" s="97" t="str">
        <f t="shared" si="164"/>
        <v/>
      </c>
      <c r="OMK6" s="97" t="str">
        <f t="shared" si="164"/>
        <v/>
      </c>
      <c r="OML6" s="97" t="str">
        <f t="shared" si="164"/>
        <v/>
      </c>
      <c r="OMM6" s="97" t="str">
        <f t="shared" si="164"/>
        <v/>
      </c>
      <c r="OMN6" s="97" t="str">
        <f t="shared" si="164"/>
        <v/>
      </c>
      <c r="OMO6" s="97" t="str">
        <f t="shared" si="164"/>
        <v/>
      </c>
      <c r="OMP6" s="97" t="str">
        <f t="shared" si="164"/>
        <v/>
      </c>
      <c r="OMQ6" s="97" t="str">
        <f t="shared" si="164"/>
        <v/>
      </c>
      <c r="OMR6" s="97" t="str">
        <f t="shared" si="164"/>
        <v/>
      </c>
      <c r="OMS6" s="97" t="str">
        <f t="shared" si="164"/>
        <v/>
      </c>
      <c r="OMT6" s="97" t="str">
        <f t="shared" si="164"/>
        <v/>
      </c>
      <c r="OMU6" s="97" t="str">
        <f t="shared" si="164"/>
        <v/>
      </c>
      <c r="OMV6" s="97" t="str">
        <f t="shared" si="164"/>
        <v/>
      </c>
      <c r="OMW6" s="97" t="str">
        <f t="shared" si="164"/>
        <v/>
      </c>
      <c r="OMX6" s="97" t="str">
        <f t="shared" ref="OMX6:OPI6" si="165">IFERROR(AVERAGE(OMX7:OMX13),"")</f>
        <v/>
      </c>
      <c r="OMY6" s="97" t="str">
        <f t="shared" si="165"/>
        <v/>
      </c>
      <c r="OMZ6" s="97" t="str">
        <f t="shared" si="165"/>
        <v/>
      </c>
      <c r="ONA6" s="97" t="str">
        <f t="shared" si="165"/>
        <v/>
      </c>
      <c r="ONB6" s="97" t="str">
        <f t="shared" si="165"/>
        <v/>
      </c>
      <c r="ONC6" s="97" t="str">
        <f t="shared" si="165"/>
        <v/>
      </c>
      <c r="OND6" s="97" t="str">
        <f t="shared" si="165"/>
        <v/>
      </c>
      <c r="ONE6" s="97" t="str">
        <f t="shared" si="165"/>
        <v/>
      </c>
      <c r="ONF6" s="97" t="str">
        <f t="shared" si="165"/>
        <v/>
      </c>
      <c r="ONG6" s="97" t="str">
        <f t="shared" si="165"/>
        <v/>
      </c>
      <c r="ONH6" s="97" t="str">
        <f t="shared" si="165"/>
        <v/>
      </c>
      <c r="ONI6" s="97" t="str">
        <f t="shared" si="165"/>
        <v/>
      </c>
      <c r="ONJ6" s="97" t="str">
        <f t="shared" si="165"/>
        <v/>
      </c>
      <c r="ONK6" s="97" t="str">
        <f t="shared" si="165"/>
        <v/>
      </c>
      <c r="ONL6" s="97" t="str">
        <f t="shared" si="165"/>
        <v/>
      </c>
      <c r="ONM6" s="97" t="str">
        <f t="shared" si="165"/>
        <v/>
      </c>
      <c r="ONN6" s="97" t="str">
        <f t="shared" si="165"/>
        <v/>
      </c>
      <c r="ONO6" s="97" t="str">
        <f t="shared" si="165"/>
        <v/>
      </c>
      <c r="ONP6" s="97" t="str">
        <f t="shared" si="165"/>
        <v/>
      </c>
      <c r="ONQ6" s="97" t="str">
        <f t="shared" si="165"/>
        <v/>
      </c>
      <c r="ONR6" s="97" t="str">
        <f t="shared" si="165"/>
        <v/>
      </c>
      <c r="ONS6" s="97" t="str">
        <f t="shared" si="165"/>
        <v/>
      </c>
      <c r="ONT6" s="97" t="str">
        <f t="shared" si="165"/>
        <v/>
      </c>
      <c r="ONU6" s="97" t="str">
        <f t="shared" si="165"/>
        <v/>
      </c>
      <c r="ONV6" s="97" t="str">
        <f t="shared" si="165"/>
        <v/>
      </c>
      <c r="ONW6" s="97" t="str">
        <f t="shared" si="165"/>
        <v/>
      </c>
      <c r="ONX6" s="97" t="str">
        <f t="shared" si="165"/>
        <v/>
      </c>
      <c r="ONY6" s="97" t="str">
        <f t="shared" si="165"/>
        <v/>
      </c>
      <c r="ONZ6" s="97" t="str">
        <f t="shared" si="165"/>
        <v/>
      </c>
      <c r="OOA6" s="97" t="str">
        <f t="shared" si="165"/>
        <v/>
      </c>
      <c r="OOB6" s="97" t="str">
        <f t="shared" si="165"/>
        <v/>
      </c>
      <c r="OOC6" s="97" t="str">
        <f t="shared" si="165"/>
        <v/>
      </c>
      <c r="OOD6" s="97" t="str">
        <f t="shared" si="165"/>
        <v/>
      </c>
      <c r="OOE6" s="97" t="str">
        <f t="shared" si="165"/>
        <v/>
      </c>
      <c r="OOF6" s="97" t="str">
        <f t="shared" si="165"/>
        <v/>
      </c>
      <c r="OOG6" s="97" t="str">
        <f t="shared" si="165"/>
        <v/>
      </c>
      <c r="OOH6" s="97" t="str">
        <f t="shared" si="165"/>
        <v/>
      </c>
      <c r="OOI6" s="97" t="str">
        <f t="shared" si="165"/>
        <v/>
      </c>
      <c r="OOJ6" s="97" t="str">
        <f t="shared" si="165"/>
        <v/>
      </c>
      <c r="OOK6" s="97" t="str">
        <f t="shared" si="165"/>
        <v/>
      </c>
      <c r="OOL6" s="97" t="str">
        <f t="shared" si="165"/>
        <v/>
      </c>
      <c r="OOM6" s="97" t="str">
        <f t="shared" si="165"/>
        <v/>
      </c>
      <c r="OON6" s="97" t="str">
        <f t="shared" si="165"/>
        <v/>
      </c>
      <c r="OOO6" s="97" t="str">
        <f t="shared" si="165"/>
        <v/>
      </c>
      <c r="OOP6" s="97" t="str">
        <f t="shared" si="165"/>
        <v/>
      </c>
      <c r="OOQ6" s="97" t="str">
        <f t="shared" si="165"/>
        <v/>
      </c>
      <c r="OOR6" s="97" t="str">
        <f t="shared" si="165"/>
        <v/>
      </c>
      <c r="OOS6" s="97" t="str">
        <f t="shared" si="165"/>
        <v/>
      </c>
      <c r="OOT6" s="97" t="str">
        <f t="shared" si="165"/>
        <v/>
      </c>
      <c r="OOU6" s="97" t="str">
        <f t="shared" si="165"/>
        <v/>
      </c>
      <c r="OOV6" s="97" t="str">
        <f t="shared" si="165"/>
        <v/>
      </c>
      <c r="OOW6" s="97" t="str">
        <f t="shared" si="165"/>
        <v/>
      </c>
      <c r="OOX6" s="97" t="str">
        <f t="shared" si="165"/>
        <v/>
      </c>
      <c r="OOY6" s="97" t="str">
        <f t="shared" si="165"/>
        <v/>
      </c>
      <c r="OOZ6" s="97" t="str">
        <f t="shared" si="165"/>
        <v/>
      </c>
      <c r="OPA6" s="97" t="str">
        <f t="shared" si="165"/>
        <v/>
      </c>
      <c r="OPB6" s="97" t="str">
        <f t="shared" si="165"/>
        <v/>
      </c>
      <c r="OPC6" s="97" t="str">
        <f t="shared" si="165"/>
        <v/>
      </c>
      <c r="OPD6" s="97" t="str">
        <f t="shared" si="165"/>
        <v/>
      </c>
      <c r="OPE6" s="97" t="str">
        <f t="shared" si="165"/>
        <v/>
      </c>
      <c r="OPF6" s="97" t="str">
        <f t="shared" si="165"/>
        <v/>
      </c>
      <c r="OPG6" s="97" t="str">
        <f t="shared" si="165"/>
        <v/>
      </c>
      <c r="OPH6" s="97" t="str">
        <f t="shared" si="165"/>
        <v/>
      </c>
      <c r="OPI6" s="97" t="str">
        <f t="shared" si="165"/>
        <v/>
      </c>
      <c r="OPJ6" s="97" t="str">
        <f t="shared" ref="OPJ6:ORU6" si="166">IFERROR(AVERAGE(OPJ7:OPJ13),"")</f>
        <v/>
      </c>
      <c r="OPK6" s="97" t="str">
        <f t="shared" si="166"/>
        <v/>
      </c>
      <c r="OPL6" s="97" t="str">
        <f t="shared" si="166"/>
        <v/>
      </c>
      <c r="OPM6" s="97" t="str">
        <f t="shared" si="166"/>
        <v/>
      </c>
      <c r="OPN6" s="97" t="str">
        <f t="shared" si="166"/>
        <v/>
      </c>
      <c r="OPO6" s="97" t="str">
        <f t="shared" si="166"/>
        <v/>
      </c>
      <c r="OPP6" s="97" t="str">
        <f t="shared" si="166"/>
        <v/>
      </c>
      <c r="OPQ6" s="97" t="str">
        <f t="shared" si="166"/>
        <v/>
      </c>
      <c r="OPR6" s="97" t="str">
        <f t="shared" si="166"/>
        <v/>
      </c>
      <c r="OPS6" s="97" t="str">
        <f t="shared" si="166"/>
        <v/>
      </c>
      <c r="OPT6" s="97" t="str">
        <f t="shared" si="166"/>
        <v/>
      </c>
      <c r="OPU6" s="97" t="str">
        <f t="shared" si="166"/>
        <v/>
      </c>
      <c r="OPV6" s="97" t="str">
        <f t="shared" si="166"/>
        <v/>
      </c>
      <c r="OPW6" s="97" t="str">
        <f t="shared" si="166"/>
        <v/>
      </c>
      <c r="OPX6" s="97" t="str">
        <f t="shared" si="166"/>
        <v/>
      </c>
      <c r="OPY6" s="97" t="str">
        <f t="shared" si="166"/>
        <v/>
      </c>
      <c r="OPZ6" s="97" t="str">
        <f t="shared" si="166"/>
        <v/>
      </c>
      <c r="OQA6" s="97" t="str">
        <f t="shared" si="166"/>
        <v/>
      </c>
      <c r="OQB6" s="97" t="str">
        <f t="shared" si="166"/>
        <v/>
      </c>
      <c r="OQC6" s="97" t="str">
        <f t="shared" si="166"/>
        <v/>
      </c>
      <c r="OQD6" s="97" t="str">
        <f t="shared" si="166"/>
        <v/>
      </c>
      <c r="OQE6" s="97" t="str">
        <f t="shared" si="166"/>
        <v/>
      </c>
      <c r="OQF6" s="97" t="str">
        <f t="shared" si="166"/>
        <v/>
      </c>
      <c r="OQG6" s="97" t="str">
        <f t="shared" si="166"/>
        <v/>
      </c>
      <c r="OQH6" s="97" t="str">
        <f t="shared" si="166"/>
        <v/>
      </c>
      <c r="OQI6" s="97" t="str">
        <f t="shared" si="166"/>
        <v/>
      </c>
      <c r="OQJ6" s="97" t="str">
        <f t="shared" si="166"/>
        <v/>
      </c>
      <c r="OQK6" s="97" t="str">
        <f t="shared" si="166"/>
        <v/>
      </c>
      <c r="OQL6" s="97" t="str">
        <f t="shared" si="166"/>
        <v/>
      </c>
      <c r="OQM6" s="97" t="str">
        <f t="shared" si="166"/>
        <v/>
      </c>
      <c r="OQN6" s="97" t="str">
        <f t="shared" si="166"/>
        <v/>
      </c>
      <c r="OQO6" s="97" t="str">
        <f t="shared" si="166"/>
        <v/>
      </c>
      <c r="OQP6" s="97" t="str">
        <f t="shared" si="166"/>
        <v/>
      </c>
      <c r="OQQ6" s="97" t="str">
        <f t="shared" si="166"/>
        <v/>
      </c>
      <c r="OQR6" s="97" t="str">
        <f t="shared" si="166"/>
        <v/>
      </c>
      <c r="OQS6" s="97" t="str">
        <f t="shared" si="166"/>
        <v/>
      </c>
      <c r="OQT6" s="97" t="str">
        <f t="shared" si="166"/>
        <v/>
      </c>
      <c r="OQU6" s="97" t="str">
        <f t="shared" si="166"/>
        <v/>
      </c>
      <c r="OQV6" s="97" t="str">
        <f t="shared" si="166"/>
        <v/>
      </c>
      <c r="OQW6" s="97" t="str">
        <f t="shared" si="166"/>
        <v/>
      </c>
      <c r="OQX6" s="97" t="str">
        <f t="shared" si="166"/>
        <v/>
      </c>
      <c r="OQY6" s="97" t="str">
        <f t="shared" si="166"/>
        <v/>
      </c>
      <c r="OQZ6" s="97" t="str">
        <f t="shared" si="166"/>
        <v/>
      </c>
      <c r="ORA6" s="97" t="str">
        <f t="shared" si="166"/>
        <v/>
      </c>
      <c r="ORB6" s="97" t="str">
        <f t="shared" si="166"/>
        <v/>
      </c>
      <c r="ORC6" s="97" t="str">
        <f t="shared" si="166"/>
        <v/>
      </c>
      <c r="ORD6" s="97" t="str">
        <f t="shared" si="166"/>
        <v/>
      </c>
      <c r="ORE6" s="97" t="str">
        <f t="shared" si="166"/>
        <v/>
      </c>
      <c r="ORF6" s="97" t="str">
        <f t="shared" si="166"/>
        <v/>
      </c>
      <c r="ORG6" s="97" t="str">
        <f t="shared" si="166"/>
        <v/>
      </c>
      <c r="ORH6" s="97" t="str">
        <f t="shared" si="166"/>
        <v/>
      </c>
      <c r="ORI6" s="97" t="str">
        <f t="shared" si="166"/>
        <v/>
      </c>
      <c r="ORJ6" s="97" t="str">
        <f t="shared" si="166"/>
        <v/>
      </c>
      <c r="ORK6" s="97" t="str">
        <f t="shared" si="166"/>
        <v/>
      </c>
      <c r="ORL6" s="97" t="str">
        <f t="shared" si="166"/>
        <v/>
      </c>
      <c r="ORM6" s="97" t="str">
        <f t="shared" si="166"/>
        <v/>
      </c>
      <c r="ORN6" s="97" t="str">
        <f t="shared" si="166"/>
        <v/>
      </c>
      <c r="ORO6" s="97" t="str">
        <f t="shared" si="166"/>
        <v/>
      </c>
      <c r="ORP6" s="97" t="str">
        <f t="shared" si="166"/>
        <v/>
      </c>
      <c r="ORQ6" s="97" t="str">
        <f t="shared" si="166"/>
        <v/>
      </c>
      <c r="ORR6" s="97" t="str">
        <f t="shared" si="166"/>
        <v/>
      </c>
      <c r="ORS6" s="97" t="str">
        <f t="shared" si="166"/>
        <v/>
      </c>
      <c r="ORT6" s="97" t="str">
        <f t="shared" si="166"/>
        <v/>
      </c>
      <c r="ORU6" s="97" t="str">
        <f t="shared" si="166"/>
        <v/>
      </c>
      <c r="ORV6" s="97" t="str">
        <f t="shared" ref="ORV6:OUG6" si="167">IFERROR(AVERAGE(ORV7:ORV13),"")</f>
        <v/>
      </c>
      <c r="ORW6" s="97" t="str">
        <f t="shared" si="167"/>
        <v/>
      </c>
      <c r="ORX6" s="97" t="str">
        <f t="shared" si="167"/>
        <v/>
      </c>
      <c r="ORY6" s="97" t="str">
        <f t="shared" si="167"/>
        <v/>
      </c>
      <c r="ORZ6" s="97" t="str">
        <f t="shared" si="167"/>
        <v/>
      </c>
      <c r="OSA6" s="97" t="str">
        <f t="shared" si="167"/>
        <v/>
      </c>
      <c r="OSB6" s="97" t="str">
        <f t="shared" si="167"/>
        <v/>
      </c>
      <c r="OSC6" s="97" t="str">
        <f t="shared" si="167"/>
        <v/>
      </c>
      <c r="OSD6" s="97" t="str">
        <f t="shared" si="167"/>
        <v/>
      </c>
      <c r="OSE6" s="97" t="str">
        <f t="shared" si="167"/>
        <v/>
      </c>
      <c r="OSF6" s="97" t="str">
        <f t="shared" si="167"/>
        <v/>
      </c>
      <c r="OSG6" s="97" t="str">
        <f t="shared" si="167"/>
        <v/>
      </c>
      <c r="OSH6" s="97" t="str">
        <f t="shared" si="167"/>
        <v/>
      </c>
      <c r="OSI6" s="97" t="str">
        <f t="shared" si="167"/>
        <v/>
      </c>
      <c r="OSJ6" s="97" t="str">
        <f t="shared" si="167"/>
        <v/>
      </c>
      <c r="OSK6" s="97" t="str">
        <f t="shared" si="167"/>
        <v/>
      </c>
      <c r="OSL6" s="97" t="str">
        <f t="shared" si="167"/>
        <v/>
      </c>
      <c r="OSM6" s="97" t="str">
        <f t="shared" si="167"/>
        <v/>
      </c>
      <c r="OSN6" s="97" t="str">
        <f t="shared" si="167"/>
        <v/>
      </c>
      <c r="OSO6" s="97" t="str">
        <f t="shared" si="167"/>
        <v/>
      </c>
      <c r="OSP6" s="97" t="str">
        <f t="shared" si="167"/>
        <v/>
      </c>
      <c r="OSQ6" s="97" t="str">
        <f t="shared" si="167"/>
        <v/>
      </c>
      <c r="OSR6" s="97" t="str">
        <f t="shared" si="167"/>
        <v/>
      </c>
      <c r="OSS6" s="97" t="str">
        <f t="shared" si="167"/>
        <v/>
      </c>
      <c r="OST6" s="97" t="str">
        <f t="shared" si="167"/>
        <v/>
      </c>
      <c r="OSU6" s="97" t="str">
        <f t="shared" si="167"/>
        <v/>
      </c>
      <c r="OSV6" s="97" t="str">
        <f t="shared" si="167"/>
        <v/>
      </c>
      <c r="OSW6" s="97" t="str">
        <f t="shared" si="167"/>
        <v/>
      </c>
      <c r="OSX6" s="97" t="str">
        <f t="shared" si="167"/>
        <v/>
      </c>
      <c r="OSY6" s="97" t="str">
        <f t="shared" si="167"/>
        <v/>
      </c>
      <c r="OSZ6" s="97" t="str">
        <f t="shared" si="167"/>
        <v/>
      </c>
      <c r="OTA6" s="97" t="str">
        <f t="shared" si="167"/>
        <v/>
      </c>
      <c r="OTB6" s="97" t="str">
        <f t="shared" si="167"/>
        <v/>
      </c>
      <c r="OTC6" s="97" t="str">
        <f t="shared" si="167"/>
        <v/>
      </c>
      <c r="OTD6" s="97" t="str">
        <f t="shared" si="167"/>
        <v/>
      </c>
      <c r="OTE6" s="97" t="str">
        <f t="shared" si="167"/>
        <v/>
      </c>
      <c r="OTF6" s="97" t="str">
        <f t="shared" si="167"/>
        <v/>
      </c>
      <c r="OTG6" s="97" t="str">
        <f t="shared" si="167"/>
        <v/>
      </c>
      <c r="OTH6" s="97" t="str">
        <f t="shared" si="167"/>
        <v/>
      </c>
      <c r="OTI6" s="97" t="str">
        <f t="shared" si="167"/>
        <v/>
      </c>
      <c r="OTJ6" s="97" t="str">
        <f t="shared" si="167"/>
        <v/>
      </c>
      <c r="OTK6" s="97" t="str">
        <f t="shared" si="167"/>
        <v/>
      </c>
      <c r="OTL6" s="97" t="str">
        <f t="shared" si="167"/>
        <v/>
      </c>
      <c r="OTM6" s="97" t="str">
        <f t="shared" si="167"/>
        <v/>
      </c>
      <c r="OTN6" s="97" t="str">
        <f t="shared" si="167"/>
        <v/>
      </c>
      <c r="OTO6" s="97" t="str">
        <f t="shared" si="167"/>
        <v/>
      </c>
      <c r="OTP6" s="97" t="str">
        <f t="shared" si="167"/>
        <v/>
      </c>
      <c r="OTQ6" s="97" t="str">
        <f t="shared" si="167"/>
        <v/>
      </c>
      <c r="OTR6" s="97" t="str">
        <f t="shared" si="167"/>
        <v/>
      </c>
      <c r="OTS6" s="97" t="str">
        <f t="shared" si="167"/>
        <v/>
      </c>
      <c r="OTT6" s="97" t="str">
        <f t="shared" si="167"/>
        <v/>
      </c>
      <c r="OTU6" s="97" t="str">
        <f t="shared" si="167"/>
        <v/>
      </c>
      <c r="OTV6" s="97" t="str">
        <f t="shared" si="167"/>
        <v/>
      </c>
      <c r="OTW6" s="97" t="str">
        <f t="shared" si="167"/>
        <v/>
      </c>
      <c r="OTX6" s="97" t="str">
        <f t="shared" si="167"/>
        <v/>
      </c>
      <c r="OTY6" s="97" t="str">
        <f t="shared" si="167"/>
        <v/>
      </c>
      <c r="OTZ6" s="97" t="str">
        <f t="shared" si="167"/>
        <v/>
      </c>
      <c r="OUA6" s="97" t="str">
        <f t="shared" si="167"/>
        <v/>
      </c>
      <c r="OUB6" s="97" t="str">
        <f t="shared" si="167"/>
        <v/>
      </c>
      <c r="OUC6" s="97" t="str">
        <f t="shared" si="167"/>
        <v/>
      </c>
      <c r="OUD6" s="97" t="str">
        <f t="shared" si="167"/>
        <v/>
      </c>
      <c r="OUE6" s="97" t="str">
        <f t="shared" si="167"/>
        <v/>
      </c>
      <c r="OUF6" s="97" t="str">
        <f t="shared" si="167"/>
        <v/>
      </c>
      <c r="OUG6" s="97" t="str">
        <f t="shared" si="167"/>
        <v/>
      </c>
      <c r="OUH6" s="97" t="str">
        <f t="shared" ref="OUH6:OWS6" si="168">IFERROR(AVERAGE(OUH7:OUH13),"")</f>
        <v/>
      </c>
      <c r="OUI6" s="97" t="str">
        <f t="shared" si="168"/>
        <v/>
      </c>
      <c r="OUJ6" s="97" t="str">
        <f t="shared" si="168"/>
        <v/>
      </c>
      <c r="OUK6" s="97" t="str">
        <f t="shared" si="168"/>
        <v/>
      </c>
      <c r="OUL6" s="97" t="str">
        <f t="shared" si="168"/>
        <v/>
      </c>
      <c r="OUM6" s="97" t="str">
        <f t="shared" si="168"/>
        <v/>
      </c>
      <c r="OUN6" s="97" t="str">
        <f t="shared" si="168"/>
        <v/>
      </c>
      <c r="OUO6" s="97" t="str">
        <f t="shared" si="168"/>
        <v/>
      </c>
      <c r="OUP6" s="97" t="str">
        <f t="shared" si="168"/>
        <v/>
      </c>
      <c r="OUQ6" s="97" t="str">
        <f t="shared" si="168"/>
        <v/>
      </c>
      <c r="OUR6" s="97" t="str">
        <f t="shared" si="168"/>
        <v/>
      </c>
      <c r="OUS6" s="97" t="str">
        <f t="shared" si="168"/>
        <v/>
      </c>
      <c r="OUT6" s="97" t="str">
        <f t="shared" si="168"/>
        <v/>
      </c>
      <c r="OUU6" s="97" t="str">
        <f t="shared" si="168"/>
        <v/>
      </c>
      <c r="OUV6" s="97" t="str">
        <f t="shared" si="168"/>
        <v/>
      </c>
      <c r="OUW6" s="97" t="str">
        <f t="shared" si="168"/>
        <v/>
      </c>
      <c r="OUX6" s="97" t="str">
        <f t="shared" si="168"/>
        <v/>
      </c>
      <c r="OUY6" s="97" t="str">
        <f t="shared" si="168"/>
        <v/>
      </c>
      <c r="OUZ6" s="97" t="str">
        <f t="shared" si="168"/>
        <v/>
      </c>
      <c r="OVA6" s="97" t="str">
        <f t="shared" si="168"/>
        <v/>
      </c>
      <c r="OVB6" s="97" t="str">
        <f t="shared" si="168"/>
        <v/>
      </c>
      <c r="OVC6" s="97" t="str">
        <f t="shared" si="168"/>
        <v/>
      </c>
      <c r="OVD6" s="97" t="str">
        <f t="shared" si="168"/>
        <v/>
      </c>
      <c r="OVE6" s="97" t="str">
        <f t="shared" si="168"/>
        <v/>
      </c>
      <c r="OVF6" s="97" t="str">
        <f t="shared" si="168"/>
        <v/>
      </c>
      <c r="OVG6" s="97" t="str">
        <f t="shared" si="168"/>
        <v/>
      </c>
      <c r="OVH6" s="97" t="str">
        <f t="shared" si="168"/>
        <v/>
      </c>
      <c r="OVI6" s="97" t="str">
        <f t="shared" si="168"/>
        <v/>
      </c>
      <c r="OVJ6" s="97" t="str">
        <f t="shared" si="168"/>
        <v/>
      </c>
      <c r="OVK6" s="97" t="str">
        <f t="shared" si="168"/>
        <v/>
      </c>
      <c r="OVL6" s="97" t="str">
        <f t="shared" si="168"/>
        <v/>
      </c>
      <c r="OVM6" s="97" t="str">
        <f t="shared" si="168"/>
        <v/>
      </c>
      <c r="OVN6" s="97" t="str">
        <f t="shared" si="168"/>
        <v/>
      </c>
      <c r="OVO6" s="97" t="str">
        <f t="shared" si="168"/>
        <v/>
      </c>
      <c r="OVP6" s="97" t="str">
        <f t="shared" si="168"/>
        <v/>
      </c>
      <c r="OVQ6" s="97" t="str">
        <f t="shared" si="168"/>
        <v/>
      </c>
      <c r="OVR6" s="97" t="str">
        <f t="shared" si="168"/>
        <v/>
      </c>
      <c r="OVS6" s="97" t="str">
        <f t="shared" si="168"/>
        <v/>
      </c>
      <c r="OVT6" s="97" t="str">
        <f t="shared" si="168"/>
        <v/>
      </c>
      <c r="OVU6" s="97" t="str">
        <f t="shared" si="168"/>
        <v/>
      </c>
      <c r="OVV6" s="97" t="str">
        <f t="shared" si="168"/>
        <v/>
      </c>
      <c r="OVW6" s="97" t="str">
        <f t="shared" si="168"/>
        <v/>
      </c>
      <c r="OVX6" s="97" t="str">
        <f t="shared" si="168"/>
        <v/>
      </c>
      <c r="OVY6" s="97" t="str">
        <f t="shared" si="168"/>
        <v/>
      </c>
      <c r="OVZ6" s="97" t="str">
        <f t="shared" si="168"/>
        <v/>
      </c>
      <c r="OWA6" s="97" t="str">
        <f t="shared" si="168"/>
        <v/>
      </c>
      <c r="OWB6" s="97" t="str">
        <f t="shared" si="168"/>
        <v/>
      </c>
      <c r="OWC6" s="97" t="str">
        <f t="shared" si="168"/>
        <v/>
      </c>
      <c r="OWD6" s="97" t="str">
        <f t="shared" si="168"/>
        <v/>
      </c>
      <c r="OWE6" s="97" t="str">
        <f t="shared" si="168"/>
        <v/>
      </c>
      <c r="OWF6" s="97" t="str">
        <f t="shared" si="168"/>
        <v/>
      </c>
      <c r="OWG6" s="97" t="str">
        <f t="shared" si="168"/>
        <v/>
      </c>
      <c r="OWH6" s="97" t="str">
        <f t="shared" si="168"/>
        <v/>
      </c>
      <c r="OWI6" s="97" t="str">
        <f t="shared" si="168"/>
        <v/>
      </c>
      <c r="OWJ6" s="97" t="str">
        <f t="shared" si="168"/>
        <v/>
      </c>
      <c r="OWK6" s="97" t="str">
        <f t="shared" si="168"/>
        <v/>
      </c>
      <c r="OWL6" s="97" t="str">
        <f t="shared" si="168"/>
        <v/>
      </c>
      <c r="OWM6" s="97" t="str">
        <f t="shared" si="168"/>
        <v/>
      </c>
      <c r="OWN6" s="97" t="str">
        <f t="shared" si="168"/>
        <v/>
      </c>
      <c r="OWO6" s="97" t="str">
        <f t="shared" si="168"/>
        <v/>
      </c>
      <c r="OWP6" s="97" t="str">
        <f t="shared" si="168"/>
        <v/>
      </c>
      <c r="OWQ6" s="97" t="str">
        <f t="shared" si="168"/>
        <v/>
      </c>
      <c r="OWR6" s="97" t="str">
        <f t="shared" si="168"/>
        <v/>
      </c>
      <c r="OWS6" s="97" t="str">
        <f t="shared" si="168"/>
        <v/>
      </c>
      <c r="OWT6" s="97" t="str">
        <f t="shared" ref="OWT6:OZE6" si="169">IFERROR(AVERAGE(OWT7:OWT13),"")</f>
        <v/>
      </c>
      <c r="OWU6" s="97" t="str">
        <f t="shared" si="169"/>
        <v/>
      </c>
      <c r="OWV6" s="97" t="str">
        <f t="shared" si="169"/>
        <v/>
      </c>
      <c r="OWW6" s="97" t="str">
        <f t="shared" si="169"/>
        <v/>
      </c>
      <c r="OWX6" s="97" t="str">
        <f t="shared" si="169"/>
        <v/>
      </c>
      <c r="OWY6" s="97" t="str">
        <f t="shared" si="169"/>
        <v/>
      </c>
      <c r="OWZ6" s="97" t="str">
        <f t="shared" si="169"/>
        <v/>
      </c>
      <c r="OXA6" s="97" t="str">
        <f t="shared" si="169"/>
        <v/>
      </c>
      <c r="OXB6" s="97" t="str">
        <f t="shared" si="169"/>
        <v/>
      </c>
      <c r="OXC6" s="97" t="str">
        <f t="shared" si="169"/>
        <v/>
      </c>
      <c r="OXD6" s="97" t="str">
        <f t="shared" si="169"/>
        <v/>
      </c>
      <c r="OXE6" s="97" t="str">
        <f t="shared" si="169"/>
        <v/>
      </c>
      <c r="OXF6" s="97" t="str">
        <f t="shared" si="169"/>
        <v/>
      </c>
      <c r="OXG6" s="97" t="str">
        <f t="shared" si="169"/>
        <v/>
      </c>
      <c r="OXH6" s="97" t="str">
        <f t="shared" si="169"/>
        <v/>
      </c>
      <c r="OXI6" s="97" t="str">
        <f t="shared" si="169"/>
        <v/>
      </c>
      <c r="OXJ6" s="97" t="str">
        <f t="shared" si="169"/>
        <v/>
      </c>
      <c r="OXK6" s="97" t="str">
        <f t="shared" si="169"/>
        <v/>
      </c>
      <c r="OXL6" s="97" t="str">
        <f t="shared" si="169"/>
        <v/>
      </c>
      <c r="OXM6" s="97" t="str">
        <f t="shared" si="169"/>
        <v/>
      </c>
      <c r="OXN6" s="97" t="str">
        <f t="shared" si="169"/>
        <v/>
      </c>
      <c r="OXO6" s="97" t="str">
        <f t="shared" si="169"/>
        <v/>
      </c>
      <c r="OXP6" s="97" t="str">
        <f t="shared" si="169"/>
        <v/>
      </c>
      <c r="OXQ6" s="97" t="str">
        <f t="shared" si="169"/>
        <v/>
      </c>
      <c r="OXR6" s="97" t="str">
        <f t="shared" si="169"/>
        <v/>
      </c>
      <c r="OXS6" s="97" t="str">
        <f t="shared" si="169"/>
        <v/>
      </c>
      <c r="OXT6" s="97" t="str">
        <f t="shared" si="169"/>
        <v/>
      </c>
      <c r="OXU6" s="97" t="str">
        <f t="shared" si="169"/>
        <v/>
      </c>
      <c r="OXV6" s="97" t="str">
        <f t="shared" si="169"/>
        <v/>
      </c>
      <c r="OXW6" s="97" t="str">
        <f t="shared" si="169"/>
        <v/>
      </c>
      <c r="OXX6" s="97" t="str">
        <f t="shared" si="169"/>
        <v/>
      </c>
      <c r="OXY6" s="97" t="str">
        <f t="shared" si="169"/>
        <v/>
      </c>
      <c r="OXZ6" s="97" t="str">
        <f t="shared" si="169"/>
        <v/>
      </c>
      <c r="OYA6" s="97" t="str">
        <f t="shared" si="169"/>
        <v/>
      </c>
      <c r="OYB6" s="97" t="str">
        <f t="shared" si="169"/>
        <v/>
      </c>
      <c r="OYC6" s="97" t="str">
        <f t="shared" si="169"/>
        <v/>
      </c>
      <c r="OYD6" s="97" t="str">
        <f t="shared" si="169"/>
        <v/>
      </c>
      <c r="OYE6" s="97" t="str">
        <f t="shared" si="169"/>
        <v/>
      </c>
      <c r="OYF6" s="97" t="str">
        <f t="shared" si="169"/>
        <v/>
      </c>
      <c r="OYG6" s="97" t="str">
        <f t="shared" si="169"/>
        <v/>
      </c>
      <c r="OYH6" s="97" t="str">
        <f t="shared" si="169"/>
        <v/>
      </c>
      <c r="OYI6" s="97" t="str">
        <f t="shared" si="169"/>
        <v/>
      </c>
      <c r="OYJ6" s="97" t="str">
        <f t="shared" si="169"/>
        <v/>
      </c>
      <c r="OYK6" s="97" t="str">
        <f t="shared" si="169"/>
        <v/>
      </c>
      <c r="OYL6" s="97" t="str">
        <f t="shared" si="169"/>
        <v/>
      </c>
      <c r="OYM6" s="97" t="str">
        <f t="shared" si="169"/>
        <v/>
      </c>
      <c r="OYN6" s="97" t="str">
        <f t="shared" si="169"/>
        <v/>
      </c>
      <c r="OYO6" s="97" t="str">
        <f t="shared" si="169"/>
        <v/>
      </c>
      <c r="OYP6" s="97" t="str">
        <f t="shared" si="169"/>
        <v/>
      </c>
      <c r="OYQ6" s="97" t="str">
        <f t="shared" si="169"/>
        <v/>
      </c>
      <c r="OYR6" s="97" t="str">
        <f t="shared" si="169"/>
        <v/>
      </c>
      <c r="OYS6" s="97" t="str">
        <f t="shared" si="169"/>
        <v/>
      </c>
      <c r="OYT6" s="97" t="str">
        <f t="shared" si="169"/>
        <v/>
      </c>
      <c r="OYU6" s="97" t="str">
        <f t="shared" si="169"/>
        <v/>
      </c>
      <c r="OYV6" s="97" t="str">
        <f t="shared" si="169"/>
        <v/>
      </c>
      <c r="OYW6" s="97" t="str">
        <f t="shared" si="169"/>
        <v/>
      </c>
      <c r="OYX6" s="97" t="str">
        <f t="shared" si="169"/>
        <v/>
      </c>
      <c r="OYY6" s="97" t="str">
        <f t="shared" si="169"/>
        <v/>
      </c>
      <c r="OYZ6" s="97" t="str">
        <f t="shared" si="169"/>
        <v/>
      </c>
      <c r="OZA6" s="97" t="str">
        <f t="shared" si="169"/>
        <v/>
      </c>
      <c r="OZB6" s="97" t="str">
        <f t="shared" si="169"/>
        <v/>
      </c>
      <c r="OZC6" s="97" t="str">
        <f t="shared" si="169"/>
        <v/>
      </c>
      <c r="OZD6" s="97" t="str">
        <f t="shared" si="169"/>
        <v/>
      </c>
      <c r="OZE6" s="97" t="str">
        <f t="shared" si="169"/>
        <v/>
      </c>
      <c r="OZF6" s="97" t="str">
        <f t="shared" ref="OZF6:PBQ6" si="170">IFERROR(AVERAGE(OZF7:OZF13),"")</f>
        <v/>
      </c>
      <c r="OZG6" s="97" t="str">
        <f t="shared" si="170"/>
        <v/>
      </c>
      <c r="OZH6" s="97" t="str">
        <f t="shared" si="170"/>
        <v/>
      </c>
      <c r="OZI6" s="97" t="str">
        <f t="shared" si="170"/>
        <v/>
      </c>
      <c r="OZJ6" s="97" t="str">
        <f t="shared" si="170"/>
        <v/>
      </c>
      <c r="OZK6" s="97" t="str">
        <f t="shared" si="170"/>
        <v/>
      </c>
      <c r="OZL6" s="97" t="str">
        <f t="shared" si="170"/>
        <v/>
      </c>
      <c r="OZM6" s="97" t="str">
        <f t="shared" si="170"/>
        <v/>
      </c>
      <c r="OZN6" s="97" t="str">
        <f t="shared" si="170"/>
        <v/>
      </c>
      <c r="OZO6" s="97" t="str">
        <f t="shared" si="170"/>
        <v/>
      </c>
      <c r="OZP6" s="97" t="str">
        <f t="shared" si="170"/>
        <v/>
      </c>
      <c r="OZQ6" s="97" t="str">
        <f t="shared" si="170"/>
        <v/>
      </c>
      <c r="OZR6" s="97" t="str">
        <f t="shared" si="170"/>
        <v/>
      </c>
      <c r="OZS6" s="97" t="str">
        <f t="shared" si="170"/>
        <v/>
      </c>
      <c r="OZT6" s="97" t="str">
        <f t="shared" si="170"/>
        <v/>
      </c>
      <c r="OZU6" s="97" t="str">
        <f t="shared" si="170"/>
        <v/>
      </c>
      <c r="OZV6" s="97" t="str">
        <f t="shared" si="170"/>
        <v/>
      </c>
      <c r="OZW6" s="97" t="str">
        <f t="shared" si="170"/>
        <v/>
      </c>
      <c r="OZX6" s="97" t="str">
        <f t="shared" si="170"/>
        <v/>
      </c>
      <c r="OZY6" s="97" t="str">
        <f t="shared" si="170"/>
        <v/>
      </c>
      <c r="OZZ6" s="97" t="str">
        <f t="shared" si="170"/>
        <v/>
      </c>
      <c r="PAA6" s="97" t="str">
        <f t="shared" si="170"/>
        <v/>
      </c>
      <c r="PAB6" s="97" t="str">
        <f t="shared" si="170"/>
        <v/>
      </c>
      <c r="PAC6" s="97" t="str">
        <f t="shared" si="170"/>
        <v/>
      </c>
      <c r="PAD6" s="97" t="str">
        <f t="shared" si="170"/>
        <v/>
      </c>
      <c r="PAE6" s="97" t="str">
        <f t="shared" si="170"/>
        <v/>
      </c>
      <c r="PAF6" s="97" t="str">
        <f t="shared" si="170"/>
        <v/>
      </c>
      <c r="PAG6" s="97" t="str">
        <f t="shared" si="170"/>
        <v/>
      </c>
      <c r="PAH6" s="97" t="str">
        <f t="shared" si="170"/>
        <v/>
      </c>
      <c r="PAI6" s="97" t="str">
        <f t="shared" si="170"/>
        <v/>
      </c>
      <c r="PAJ6" s="97" t="str">
        <f t="shared" si="170"/>
        <v/>
      </c>
      <c r="PAK6" s="97" t="str">
        <f t="shared" si="170"/>
        <v/>
      </c>
      <c r="PAL6" s="97" t="str">
        <f t="shared" si="170"/>
        <v/>
      </c>
      <c r="PAM6" s="97" t="str">
        <f t="shared" si="170"/>
        <v/>
      </c>
      <c r="PAN6" s="97" t="str">
        <f t="shared" si="170"/>
        <v/>
      </c>
      <c r="PAO6" s="97" t="str">
        <f t="shared" si="170"/>
        <v/>
      </c>
      <c r="PAP6" s="97" t="str">
        <f t="shared" si="170"/>
        <v/>
      </c>
      <c r="PAQ6" s="97" t="str">
        <f t="shared" si="170"/>
        <v/>
      </c>
      <c r="PAR6" s="97" t="str">
        <f t="shared" si="170"/>
        <v/>
      </c>
      <c r="PAS6" s="97" t="str">
        <f t="shared" si="170"/>
        <v/>
      </c>
      <c r="PAT6" s="97" t="str">
        <f t="shared" si="170"/>
        <v/>
      </c>
      <c r="PAU6" s="97" t="str">
        <f t="shared" si="170"/>
        <v/>
      </c>
      <c r="PAV6" s="97" t="str">
        <f t="shared" si="170"/>
        <v/>
      </c>
      <c r="PAW6" s="97" t="str">
        <f t="shared" si="170"/>
        <v/>
      </c>
      <c r="PAX6" s="97" t="str">
        <f t="shared" si="170"/>
        <v/>
      </c>
      <c r="PAY6" s="97" t="str">
        <f t="shared" si="170"/>
        <v/>
      </c>
      <c r="PAZ6" s="97" t="str">
        <f t="shared" si="170"/>
        <v/>
      </c>
      <c r="PBA6" s="97" t="str">
        <f t="shared" si="170"/>
        <v/>
      </c>
      <c r="PBB6" s="97" t="str">
        <f t="shared" si="170"/>
        <v/>
      </c>
      <c r="PBC6" s="97" t="str">
        <f t="shared" si="170"/>
        <v/>
      </c>
      <c r="PBD6" s="97" t="str">
        <f t="shared" si="170"/>
        <v/>
      </c>
      <c r="PBE6" s="97" t="str">
        <f t="shared" si="170"/>
        <v/>
      </c>
      <c r="PBF6" s="97" t="str">
        <f t="shared" si="170"/>
        <v/>
      </c>
      <c r="PBG6" s="97" t="str">
        <f t="shared" si="170"/>
        <v/>
      </c>
      <c r="PBH6" s="97" t="str">
        <f t="shared" si="170"/>
        <v/>
      </c>
      <c r="PBI6" s="97" t="str">
        <f t="shared" si="170"/>
        <v/>
      </c>
      <c r="PBJ6" s="97" t="str">
        <f t="shared" si="170"/>
        <v/>
      </c>
      <c r="PBK6" s="97" t="str">
        <f t="shared" si="170"/>
        <v/>
      </c>
      <c r="PBL6" s="97" t="str">
        <f t="shared" si="170"/>
        <v/>
      </c>
      <c r="PBM6" s="97" t="str">
        <f t="shared" si="170"/>
        <v/>
      </c>
      <c r="PBN6" s="97" t="str">
        <f t="shared" si="170"/>
        <v/>
      </c>
      <c r="PBO6" s="97" t="str">
        <f t="shared" si="170"/>
        <v/>
      </c>
      <c r="PBP6" s="97" t="str">
        <f t="shared" si="170"/>
        <v/>
      </c>
      <c r="PBQ6" s="97" t="str">
        <f t="shared" si="170"/>
        <v/>
      </c>
      <c r="PBR6" s="97" t="str">
        <f t="shared" ref="PBR6:PEC6" si="171">IFERROR(AVERAGE(PBR7:PBR13),"")</f>
        <v/>
      </c>
      <c r="PBS6" s="97" t="str">
        <f t="shared" si="171"/>
        <v/>
      </c>
      <c r="PBT6" s="97" t="str">
        <f t="shared" si="171"/>
        <v/>
      </c>
      <c r="PBU6" s="97" t="str">
        <f t="shared" si="171"/>
        <v/>
      </c>
      <c r="PBV6" s="97" t="str">
        <f t="shared" si="171"/>
        <v/>
      </c>
      <c r="PBW6" s="97" t="str">
        <f t="shared" si="171"/>
        <v/>
      </c>
      <c r="PBX6" s="97" t="str">
        <f t="shared" si="171"/>
        <v/>
      </c>
      <c r="PBY6" s="97" t="str">
        <f t="shared" si="171"/>
        <v/>
      </c>
      <c r="PBZ6" s="97" t="str">
        <f t="shared" si="171"/>
        <v/>
      </c>
      <c r="PCA6" s="97" t="str">
        <f t="shared" si="171"/>
        <v/>
      </c>
      <c r="PCB6" s="97" t="str">
        <f t="shared" si="171"/>
        <v/>
      </c>
      <c r="PCC6" s="97" t="str">
        <f t="shared" si="171"/>
        <v/>
      </c>
      <c r="PCD6" s="97" t="str">
        <f t="shared" si="171"/>
        <v/>
      </c>
      <c r="PCE6" s="97" t="str">
        <f t="shared" si="171"/>
        <v/>
      </c>
      <c r="PCF6" s="97" t="str">
        <f t="shared" si="171"/>
        <v/>
      </c>
      <c r="PCG6" s="97" t="str">
        <f t="shared" si="171"/>
        <v/>
      </c>
      <c r="PCH6" s="97" t="str">
        <f t="shared" si="171"/>
        <v/>
      </c>
      <c r="PCI6" s="97" t="str">
        <f t="shared" si="171"/>
        <v/>
      </c>
      <c r="PCJ6" s="97" t="str">
        <f t="shared" si="171"/>
        <v/>
      </c>
      <c r="PCK6" s="97" t="str">
        <f t="shared" si="171"/>
        <v/>
      </c>
      <c r="PCL6" s="97" t="str">
        <f t="shared" si="171"/>
        <v/>
      </c>
      <c r="PCM6" s="97" t="str">
        <f t="shared" si="171"/>
        <v/>
      </c>
      <c r="PCN6" s="97" t="str">
        <f t="shared" si="171"/>
        <v/>
      </c>
      <c r="PCO6" s="97" t="str">
        <f t="shared" si="171"/>
        <v/>
      </c>
      <c r="PCP6" s="97" t="str">
        <f t="shared" si="171"/>
        <v/>
      </c>
      <c r="PCQ6" s="97" t="str">
        <f t="shared" si="171"/>
        <v/>
      </c>
      <c r="PCR6" s="97" t="str">
        <f t="shared" si="171"/>
        <v/>
      </c>
      <c r="PCS6" s="97" t="str">
        <f t="shared" si="171"/>
        <v/>
      </c>
      <c r="PCT6" s="97" t="str">
        <f t="shared" si="171"/>
        <v/>
      </c>
      <c r="PCU6" s="97" t="str">
        <f t="shared" si="171"/>
        <v/>
      </c>
      <c r="PCV6" s="97" t="str">
        <f t="shared" si="171"/>
        <v/>
      </c>
      <c r="PCW6" s="97" t="str">
        <f t="shared" si="171"/>
        <v/>
      </c>
      <c r="PCX6" s="97" t="str">
        <f t="shared" si="171"/>
        <v/>
      </c>
      <c r="PCY6" s="97" t="str">
        <f t="shared" si="171"/>
        <v/>
      </c>
      <c r="PCZ6" s="97" t="str">
        <f t="shared" si="171"/>
        <v/>
      </c>
      <c r="PDA6" s="97" t="str">
        <f t="shared" si="171"/>
        <v/>
      </c>
      <c r="PDB6" s="97" t="str">
        <f t="shared" si="171"/>
        <v/>
      </c>
      <c r="PDC6" s="97" t="str">
        <f t="shared" si="171"/>
        <v/>
      </c>
      <c r="PDD6" s="97" t="str">
        <f t="shared" si="171"/>
        <v/>
      </c>
      <c r="PDE6" s="97" t="str">
        <f t="shared" si="171"/>
        <v/>
      </c>
      <c r="PDF6" s="97" t="str">
        <f t="shared" si="171"/>
        <v/>
      </c>
      <c r="PDG6" s="97" t="str">
        <f t="shared" si="171"/>
        <v/>
      </c>
      <c r="PDH6" s="97" t="str">
        <f t="shared" si="171"/>
        <v/>
      </c>
      <c r="PDI6" s="97" t="str">
        <f t="shared" si="171"/>
        <v/>
      </c>
      <c r="PDJ6" s="97" t="str">
        <f t="shared" si="171"/>
        <v/>
      </c>
      <c r="PDK6" s="97" t="str">
        <f t="shared" si="171"/>
        <v/>
      </c>
      <c r="PDL6" s="97" t="str">
        <f t="shared" si="171"/>
        <v/>
      </c>
      <c r="PDM6" s="97" t="str">
        <f t="shared" si="171"/>
        <v/>
      </c>
      <c r="PDN6" s="97" t="str">
        <f t="shared" si="171"/>
        <v/>
      </c>
      <c r="PDO6" s="97" t="str">
        <f t="shared" si="171"/>
        <v/>
      </c>
      <c r="PDP6" s="97" t="str">
        <f t="shared" si="171"/>
        <v/>
      </c>
      <c r="PDQ6" s="97" t="str">
        <f t="shared" si="171"/>
        <v/>
      </c>
      <c r="PDR6" s="97" t="str">
        <f t="shared" si="171"/>
        <v/>
      </c>
      <c r="PDS6" s="97" t="str">
        <f t="shared" si="171"/>
        <v/>
      </c>
      <c r="PDT6" s="97" t="str">
        <f t="shared" si="171"/>
        <v/>
      </c>
      <c r="PDU6" s="97" t="str">
        <f t="shared" si="171"/>
        <v/>
      </c>
      <c r="PDV6" s="97" t="str">
        <f t="shared" si="171"/>
        <v/>
      </c>
      <c r="PDW6" s="97" t="str">
        <f t="shared" si="171"/>
        <v/>
      </c>
      <c r="PDX6" s="97" t="str">
        <f t="shared" si="171"/>
        <v/>
      </c>
      <c r="PDY6" s="97" t="str">
        <f t="shared" si="171"/>
        <v/>
      </c>
      <c r="PDZ6" s="97" t="str">
        <f t="shared" si="171"/>
        <v/>
      </c>
      <c r="PEA6" s="97" t="str">
        <f t="shared" si="171"/>
        <v/>
      </c>
      <c r="PEB6" s="97" t="str">
        <f t="shared" si="171"/>
        <v/>
      </c>
      <c r="PEC6" s="97" t="str">
        <f t="shared" si="171"/>
        <v/>
      </c>
      <c r="PED6" s="97" t="str">
        <f t="shared" ref="PED6:PGO6" si="172">IFERROR(AVERAGE(PED7:PED13),"")</f>
        <v/>
      </c>
      <c r="PEE6" s="97" t="str">
        <f t="shared" si="172"/>
        <v/>
      </c>
      <c r="PEF6" s="97" t="str">
        <f t="shared" si="172"/>
        <v/>
      </c>
      <c r="PEG6" s="97" t="str">
        <f t="shared" si="172"/>
        <v/>
      </c>
      <c r="PEH6" s="97" t="str">
        <f t="shared" si="172"/>
        <v/>
      </c>
      <c r="PEI6" s="97" t="str">
        <f t="shared" si="172"/>
        <v/>
      </c>
      <c r="PEJ6" s="97" t="str">
        <f t="shared" si="172"/>
        <v/>
      </c>
      <c r="PEK6" s="97" t="str">
        <f t="shared" si="172"/>
        <v/>
      </c>
      <c r="PEL6" s="97" t="str">
        <f t="shared" si="172"/>
        <v/>
      </c>
      <c r="PEM6" s="97" t="str">
        <f t="shared" si="172"/>
        <v/>
      </c>
      <c r="PEN6" s="97" t="str">
        <f t="shared" si="172"/>
        <v/>
      </c>
      <c r="PEO6" s="97" t="str">
        <f t="shared" si="172"/>
        <v/>
      </c>
      <c r="PEP6" s="97" t="str">
        <f t="shared" si="172"/>
        <v/>
      </c>
      <c r="PEQ6" s="97" t="str">
        <f t="shared" si="172"/>
        <v/>
      </c>
      <c r="PER6" s="97" t="str">
        <f t="shared" si="172"/>
        <v/>
      </c>
      <c r="PES6" s="97" t="str">
        <f t="shared" si="172"/>
        <v/>
      </c>
      <c r="PET6" s="97" t="str">
        <f t="shared" si="172"/>
        <v/>
      </c>
      <c r="PEU6" s="97" t="str">
        <f t="shared" si="172"/>
        <v/>
      </c>
      <c r="PEV6" s="97" t="str">
        <f t="shared" si="172"/>
        <v/>
      </c>
      <c r="PEW6" s="97" t="str">
        <f t="shared" si="172"/>
        <v/>
      </c>
      <c r="PEX6" s="97" t="str">
        <f t="shared" si="172"/>
        <v/>
      </c>
      <c r="PEY6" s="97" t="str">
        <f t="shared" si="172"/>
        <v/>
      </c>
      <c r="PEZ6" s="97" t="str">
        <f t="shared" si="172"/>
        <v/>
      </c>
      <c r="PFA6" s="97" t="str">
        <f t="shared" si="172"/>
        <v/>
      </c>
      <c r="PFB6" s="97" t="str">
        <f t="shared" si="172"/>
        <v/>
      </c>
      <c r="PFC6" s="97" t="str">
        <f t="shared" si="172"/>
        <v/>
      </c>
      <c r="PFD6" s="97" t="str">
        <f t="shared" si="172"/>
        <v/>
      </c>
      <c r="PFE6" s="97" t="str">
        <f t="shared" si="172"/>
        <v/>
      </c>
      <c r="PFF6" s="97" t="str">
        <f t="shared" si="172"/>
        <v/>
      </c>
      <c r="PFG6" s="97" t="str">
        <f t="shared" si="172"/>
        <v/>
      </c>
      <c r="PFH6" s="97" t="str">
        <f t="shared" si="172"/>
        <v/>
      </c>
      <c r="PFI6" s="97" t="str">
        <f t="shared" si="172"/>
        <v/>
      </c>
      <c r="PFJ6" s="97" t="str">
        <f t="shared" si="172"/>
        <v/>
      </c>
      <c r="PFK6" s="97" t="str">
        <f t="shared" si="172"/>
        <v/>
      </c>
      <c r="PFL6" s="97" t="str">
        <f t="shared" si="172"/>
        <v/>
      </c>
      <c r="PFM6" s="97" t="str">
        <f t="shared" si="172"/>
        <v/>
      </c>
      <c r="PFN6" s="97" t="str">
        <f t="shared" si="172"/>
        <v/>
      </c>
      <c r="PFO6" s="97" t="str">
        <f t="shared" si="172"/>
        <v/>
      </c>
      <c r="PFP6" s="97" t="str">
        <f t="shared" si="172"/>
        <v/>
      </c>
      <c r="PFQ6" s="97" t="str">
        <f t="shared" si="172"/>
        <v/>
      </c>
      <c r="PFR6" s="97" t="str">
        <f t="shared" si="172"/>
        <v/>
      </c>
      <c r="PFS6" s="97" t="str">
        <f t="shared" si="172"/>
        <v/>
      </c>
      <c r="PFT6" s="97" t="str">
        <f t="shared" si="172"/>
        <v/>
      </c>
      <c r="PFU6" s="97" t="str">
        <f t="shared" si="172"/>
        <v/>
      </c>
      <c r="PFV6" s="97" t="str">
        <f t="shared" si="172"/>
        <v/>
      </c>
      <c r="PFW6" s="97" t="str">
        <f t="shared" si="172"/>
        <v/>
      </c>
      <c r="PFX6" s="97" t="str">
        <f t="shared" si="172"/>
        <v/>
      </c>
      <c r="PFY6" s="97" t="str">
        <f t="shared" si="172"/>
        <v/>
      </c>
      <c r="PFZ6" s="97" t="str">
        <f t="shared" si="172"/>
        <v/>
      </c>
      <c r="PGA6" s="97" t="str">
        <f t="shared" si="172"/>
        <v/>
      </c>
      <c r="PGB6" s="97" t="str">
        <f t="shared" si="172"/>
        <v/>
      </c>
      <c r="PGC6" s="97" t="str">
        <f t="shared" si="172"/>
        <v/>
      </c>
      <c r="PGD6" s="97" t="str">
        <f t="shared" si="172"/>
        <v/>
      </c>
      <c r="PGE6" s="97" t="str">
        <f t="shared" si="172"/>
        <v/>
      </c>
      <c r="PGF6" s="97" t="str">
        <f t="shared" si="172"/>
        <v/>
      </c>
      <c r="PGG6" s="97" t="str">
        <f t="shared" si="172"/>
        <v/>
      </c>
      <c r="PGH6" s="97" t="str">
        <f t="shared" si="172"/>
        <v/>
      </c>
      <c r="PGI6" s="97" t="str">
        <f t="shared" si="172"/>
        <v/>
      </c>
      <c r="PGJ6" s="97" t="str">
        <f t="shared" si="172"/>
        <v/>
      </c>
      <c r="PGK6" s="97" t="str">
        <f t="shared" si="172"/>
        <v/>
      </c>
      <c r="PGL6" s="97" t="str">
        <f t="shared" si="172"/>
        <v/>
      </c>
      <c r="PGM6" s="97" t="str">
        <f t="shared" si="172"/>
        <v/>
      </c>
      <c r="PGN6" s="97" t="str">
        <f t="shared" si="172"/>
        <v/>
      </c>
      <c r="PGO6" s="97" t="str">
        <f t="shared" si="172"/>
        <v/>
      </c>
      <c r="PGP6" s="97" t="str">
        <f t="shared" ref="PGP6:PJA6" si="173">IFERROR(AVERAGE(PGP7:PGP13),"")</f>
        <v/>
      </c>
      <c r="PGQ6" s="97" t="str">
        <f t="shared" si="173"/>
        <v/>
      </c>
      <c r="PGR6" s="97" t="str">
        <f t="shared" si="173"/>
        <v/>
      </c>
      <c r="PGS6" s="97" t="str">
        <f t="shared" si="173"/>
        <v/>
      </c>
      <c r="PGT6" s="97" t="str">
        <f t="shared" si="173"/>
        <v/>
      </c>
      <c r="PGU6" s="97" t="str">
        <f t="shared" si="173"/>
        <v/>
      </c>
      <c r="PGV6" s="97" t="str">
        <f t="shared" si="173"/>
        <v/>
      </c>
      <c r="PGW6" s="97" t="str">
        <f t="shared" si="173"/>
        <v/>
      </c>
      <c r="PGX6" s="97" t="str">
        <f t="shared" si="173"/>
        <v/>
      </c>
      <c r="PGY6" s="97" t="str">
        <f t="shared" si="173"/>
        <v/>
      </c>
      <c r="PGZ6" s="97" t="str">
        <f t="shared" si="173"/>
        <v/>
      </c>
      <c r="PHA6" s="97" t="str">
        <f t="shared" si="173"/>
        <v/>
      </c>
      <c r="PHB6" s="97" t="str">
        <f t="shared" si="173"/>
        <v/>
      </c>
      <c r="PHC6" s="97" t="str">
        <f t="shared" si="173"/>
        <v/>
      </c>
      <c r="PHD6" s="97" t="str">
        <f t="shared" si="173"/>
        <v/>
      </c>
      <c r="PHE6" s="97" t="str">
        <f t="shared" si="173"/>
        <v/>
      </c>
      <c r="PHF6" s="97" t="str">
        <f t="shared" si="173"/>
        <v/>
      </c>
      <c r="PHG6" s="97" t="str">
        <f t="shared" si="173"/>
        <v/>
      </c>
      <c r="PHH6" s="97" t="str">
        <f t="shared" si="173"/>
        <v/>
      </c>
      <c r="PHI6" s="97" t="str">
        <f t="shared" si="173"/>
        <v/>
      </c>
      <c r="PHJ6" s="97" t="str">
        <f t="shared" si="173"/>
        <v/>
      </c>
      <c r="PHK6" s="97" t="str">
        <f t="shared" si="173"/>
        <v/>
      </c>
      <c r="PHL6" s="97" t="str">
        <f t="shared" si="173"/>
        <v/>
      </c>
      <c r="PHM6" s="97" t="str">
        <f t="shared" si="173"/>
        <v/>
      </c>
      <c r="PHN6" s="97" t="str">
        <f t="shared" si="173"/>
        <v/>
      </c>
      <c r="PHO6" s="97" t="str">
        <f t="shared" si="173"/>
        <v/>
      </c>
      <c r="PHP6" s="97" t="str">
        <f t="shared" si="173"/>
        <v/>
      </c>
      <c r="PHQ6" s="97" t="str">
        <f t="shared" si="173"/>
        <v/>
      </c>
      <c r="PHR6" s="97" t="str">
        <f t="shared" si="173"/>
        <v/>
      </c>
      <c r="PHS6" s="97" t="str">
        <f t="shared" si="173"/>
        <v/>
      </c>
      <c r="PHT6" s="97" t="str">
        <f t="shared" si="173"/>
        <v/>
      </c>
      <c r="PHU6" s="97" t="str">
        <f t="shared" si="173"/>
        <v/>
      </c>
      <c r="PHV6" s="97" t="str">
        <f t="shared" si="173"/>
        <v/>
      </c>
      <c r="PHW6" s="97" t="str">
        <f t="shared" si="173"/>
        <v/>
      </c>
      <c r="PHX6" s="97" t="str">
        <f t="shared" si="173"/>
        <v/>
      </c>
      <c r="PHY6" s="97" t="str">
        <f t="shared" si="173"/>
        <v/>
      </c>
      <c r="PHZ6" s="97" t="str">
        <f t="shared" si="173"/>
        <v/>
      </c>
      <c r="PIA6" s="97" t="str">
        <f t="shared" si="173"/>
        <v/>
      </c>
      <c r="PIB6" s="97" t="str">
        <f t="shared" si="173"/>
        <v/>
      </c>
      <c r="PIC6" s="97" t="str">
        <f t="shared" si="173"/>
        <v/>
      </c>
      <c r="PID6" s="97" t="str">
        <f t="shared" si="173"/>
        <v/>
      </c>
      <c r="PIE6" s="97" t="str">
        <f t="shared" si="173"/>
        <v/>
      </c>
      <c r="PIF6" s="97" t="str">
        <f t="shared" si="173"/>
        <v/>
      </c>
      <c r="PIG6" s="97" t="str">
        <f t="shared" si="173"/>
        <v/>
      </c>
      <c r="PIH6" s="97" t="str">
        <f t="shared" si="173"/>
        <v/>
      </c>
      <c r="PII6" s="97" t="str">
        <f t="shared" si="173"/>
        <v/>
      </c>
      <c r="PIJ6" s="97" t="str">
        <f t="shared" si="173"/>
        <v/>
      </c>
      <c r="PIK6" s="97" t="str">
        <f t="shared" si="173"/>
        <v/>
      </c>
      <c r="PIL6" s="97" t="str">
        <f t="shared" si="173"/>
        <v/>
      </c>
      <c r="PIM6" s="97" t="str">
        <f t="shared" si="173"/>
        <v/>
      </c>
      <c r="PIN6" s="97" t="str">
        <f t="shared" si="173"/>
        <v/>
      </c>
      <c r="PIO6" s="97" t="str">
        <f t="shared" si="173"/>
        <v/>
      </c>
      <c r="PIP6" s="97" t="str">
        <f t="shared" si="173"/>
        <v/>
      </c>
      <c r="PIQ6" s="97" t="str">
        <f t="shared" si="173"/>
        <v/>
      </c>
      <c r="PIR6" s="97" t="str">
        <f t="shared" si="173"/>
        <v/>
      </c>
      <c r="PIS6" s="97" t="str">
        <f t="shared" si="173"/>
        <v/>
      </c>
      <c r="PIT6" s="97" t="str">
        <f t="shared" si="173"/>
        <v/>
      </c>
      <c r="PIU6" s="97" t="str">
        <f t="shared" si="173"/>
        <v/>
      </c>
      <c r="PIV6" s="97" t="str">
        <f t="shared" si="173"/>
        <v/>
      </c>
      <c r="PIW6" s="97" t="str">
        <f t="shared" si="173"/>
        <v/>
      </c>
      <c r="PIX6" s="97" t="str">
        <f t="shared" si="173"/>
        <v/>
      </c>
      <c r="PIY6" s="97" t="str">
        <f t="shared" si="173"/>
        <v/>
      </c>
      <c r="PIZ6" s="97" t="str">
        <f t="shared" si="173"/>
        <v/>
      </c>
      <c r="PJA6" s="97" t="str">
        <f t="shared" si="173"/>
        <v/>
      </c>
      <c r="PJB6" s="97" t="str">
        <f t="shared" ref="PJB6:PLM6" si="174">IFERROR(AVERAGE(PJB7:PJB13),"")</f>
        <v/>
      </c>
      <c r="PJC6" s="97" t="str">
        <f t="shared" si="174"/>
        <v/>
      </c>
      <c r="PJD6" s="97" t="str">
        <f t="shared" si="174"/>
        <v/>
      </c>
      <c r="PJE6" s="97" t="str">
        <f t="shared" si="174"/>
        <v/>
      </c>
      <c r="PJF6" s="97" t="str">
        <f t="shared" si="174"/>
        <v/>
      </c>
      <c r="PJG6" s="97" t="str">
        <f t="shared" si="174"/>
        <v/>
      </c>
      <c r="PJH6" s="97" t="str">
        <f t="shared" si="174"/>
        <v/>
      </c>
      <c r="PJI6" s="97" t="str">
        <f t="shared" si="174"/>
        <v/>
      </c>
      <c r="PJJ6" s="97" t="str">
        <f t="shared" si="174"/>
        <v/>
      </c>
      <c r="PJK6" s="97" t="str">
        <f t="shared" si="174"/>
        <v/>
      </c>
      <c r="PJL6" s="97" t="str">
        <f t="shared" si="174"/>
        <v/>
      </c>
      <c r="PJM6" s="97" t="str">
        <f t="shared" si="174"/>
        <v/>
      </c>
      <c r="PJN6" s="97" t="str">
        <f t="shared" si="174"/>
        <v/>
      </c>
      <c r="PJO6" s="97" t="str">
        <f t="shared" si="174"/>
        <v/>
      </c>
      <c r="PJP6" s="97" t="str">
        <f t="shared" si="174"/>
        <v/>
      </c>
      <c r="PJQ6" s="97" t="str">
        <f t="shared" si="174"/>
        <v/>
      </c>
      <c r="PJR6" s="97" t="str">
        <f t="shared" si="174"/>
        <v/>
      </c>
      <c r="PJS6" s="97" t="str">
        <f t="shared" si="174"/>
        <v/>
      </c>
      <c r="PJT6" s="97" t="str">
        <f t="shared" si="174"/>
        <v/>
      </c>
      <c r="PJU6" s="97" t="str">
        <f t="shared" si="174"/>
        <v/>
      </c>
      <c r="PJV6" s="97" t="str">
        <f t="shared" si="174"/>
        <v/>
      </c>
      <c r="PJW6" s="97" t="str">
        <f t="shared" si="174"/>
        <v/>
      </c>
      <c r="PJX6" s="97" t="str">
        <f t="shared" si="174"/>
        <v/>
      </c>
      <c r="PJY6" s="97" t="str">
        <f t="shared" si="174"/>
        <v/>
      </c>
      <c r="PJZ6" s="97" t="str">
        <f t="shared" si="174"/>
        <v/>
      </c>
      <c r="PKA6" s="97" t="str">
        <f t="shared" si="174"/>
        <v/>
      </c>
      <c r="PKB6" s="97" t="str">
        <f t="shared" si="174"/>
        <v/>
      </c>
      <c r="PKC6" s="97" t="str">
        <f t="shared" si="174"/>
        <v/>
      </c>
      <c r="PKD6" s="97" t="str">
        <f t="shared" si="174"/>
        <v/>
      </c>
      <c r="PKE6" s="97" t="str">
        <f t="shared" si="174"/>
        <v/>
      </c>
      <c r="PKF6" s="97" t="str">
        <f t="shared" si="174"/>
        <v/>
      </c>
      <c r="PKG6" s="97" t="str">
        <f t="shared" si="174"/>
        <v/>
      </c>
      <c r="PKH6" s="97" t="str">
        <f t="shared" si="174"/>
        <v/>
      </c>
      <c r="PKI6" s="97" t="str">
        <f t="shared" si="174"/>
        <v/>
      </c>
      <c r="PKJ6" s="97" t="str">
        <f t="shared" si="174"/>
        <v/>
      </c>
      <c r="PKK6" s="97" t="str">
        <f t="shared" si="174"/>
        <v/>
      </c>
      <c r="PKL6" s="97" t="str">
        <f t="shared" si="174"/>
        <v/>
      </c>
      <c r="PKM6" s="97" t="str">
        <f t="shared" si="174"/>
        <v/>
      </c>
      <c r="PKN6" s="97" t="str">
        <f t="shared" si="174"/>
        <v/>
      </c>
      <c r="PKO6" s="97" t="str">
        <f t="shared" si="174"/>
        <v/>
      </c>
      <c r="PKP6" s="97" t="str">
        <f t="shared" si="174"/>
        <v/>
      </c>
      <c r="PKQ6" s="97" t="str">
        <f t="shared" si="174"/>
        <v/>
      </c>
      <c r="PKR6" s="97" t="str">
        <f t="shared" si="174"/>
        <v/>
      </c>
      <c r="PKS6" s="97" t="str">
        <f t="shared" si="174"/>
        <v/>
      </c>
      <c r="PKT6" s="97" t="str">
        <f t="shared" si="174"/>
        <v/>
      </c>
      <c r="PKU6" s="97" t="str">
        <f t="shared" si="174"/>
        <v/>
      </c>
      <c r="PKV6" s="97" t="str">
        <f t="shared" si="174"/>
        <v/>
      </c>
      <c r="PKW6" s="97" t="str">
        <f t="shared" si="174"/>
        <v/>
      </c>
      <c r="PKX6" s="97" t="str">
        <f t="shared" si="174"/>
        <v/>
      </c>
      <c r="PKY6" s="97" t="str">
        <f t="shared" si="174"/>
        <v/>
      </c>
      <c r="PKZ6" s="97" t="str">
        <f t="shared" si="174"/>
        <v/>
      </c>
      <c r="PLA6" s="97" t="str">
        <f t="shared" si="174"/>
        <v/>
      </c>
      <c r="PLB6" s="97" t="str">
        <f t="shared" si="174"/>
        <v/>
      </c>
      <c r="PLC6" s="97" t="str">
        <f t="shared" si="174"/>
        <v/>
      </c>
      <c r="PLD6" s="97" t="str">
        <f t="shared" si="174"/>
        <v/>
      </c>
      <c r="PLE6" s="97" t="str">
        <f t="shared" si="174"/>
        <v/>
      </c>
      <c r="PLF6" s="97" t="str">
        <f t="shared" si="174"/>
        <v/>
      </c>
      <c r="PLG6" s="97" t="str">
        <f t="shared" si="174"/>
        <v/>
      </c>
      <c r="PLH6" s="97" t="str">
        <f t="shared" si="174"/>
        <v/>
      </c>
      <c r="PLI6" s="97" t="str">
        <f t="shared" si="174"/>
        <v/>
      </c>
      <c r="PLJ6" s="97" t="str">
        <f t="shared" si="174"/>
        <v/>
      </c>
      <c r="PLK6" s="97" t="str">
        <f t="shared" si="174"/>
        <v/>
      </c>
      <c r="PLL6" s="97" t="str">
        <f t="shared" si="174"/>
        <v/>
      </c>
      <c r="PLM6" s="97" t="str">
        <f t="shared" si="174"/>
        <v/>
      </c>
      <c r="PLN6" s="97" t="str">
        <f t="shared" ref="PLN6:PNY6" si="175">IFERROR(AVERAGE(PLN7:PLN13),"")</f>
        <v/>
      </c>
      <c r="PLO6" s="97" t="str">
        <f t="shared" si="175"/>
        <v/>
      </c>
      <c r="PLP6" s="97" t="str">
        <f t="shared" si="175"/>
        <v/>
      </c>
      <c r="PLQ6" s="97" t="str">
        <f t="shared" si="175"/>
        <v/>
      </c>
      <c r="PLR6" s="97" t="str">
        <f t="shared" si="175"/>
        <v/>
      </c>
      <c r="PLS6" s="97" t="str">
        <f t="shared" si="175"/>
        <v/>
      </c>
      <c r="PLT6" s="97" t="str">
        <f t="shared" si="175"/>
        <v/>
      </c>
      <c r="PLU6" s="97" t="str">
        <f t="shared" si="175"/>
        <v/>
      </c>
      <c r="PLV6" s="97" t="str">
        <f t="shared" si="175"/>
        <v/>
      </c>
      <c r="PLW6" s="97" t="str">
        <f t="shared" si="175"/>
        <v/>
      </c>
      <c r="PLX6" s="97" t="str">
        <f t="shared" si="175"/>
        <v/>
      </c>
      <c r="PLY6" s="97" t="str">
        <f t="shared" si="175"/>
        <v/>
      </c>
      <c r="PLZ6" s="97" t="str">
        <f t="shared" si="175"/>
        <v/>
      </c>
      <c r="PMA6" s="97" t="str">
        <f t="shared" si="175"/>
        <v/>
      </c>
      <c r="PMB6" s="97" t="str">
        <f t="shared" si="175"/>
        <v/>
      </c>
      <c r="PMC6" s="97" t="str">
        <f t="shared" si="175"/>
        <v/>
      </c>
      <c r="PMD6" s="97" t="str">
        <f t="shared" si="175"/>
        <v/>
      </c>
      <c r="PME6" s="97" t="str">
        <f t="shared" si="175"/>
        <v/>
      </c>
      <c r="PMF6" s="97" t="str">
        <f t="shared" si="175"/>
        <v/>
      </c>
      <c r="PMG6" s="97" t="str">
        <f t="shared" si="175"/>
        <v/>
      </c>
      <c r="PMH6" s="97" t="str">
        <f t="shared" si="175"/>
        <v/>
      </c>
      <c r="PMI6" s="97" t="str">
        <f t="shared" si="175"/>
        <v/>
      </c>
      <c r="PMJ6" s="97" t="str">
        <f t="shared" si="175"/>
        <v/>
      </c>
      <c r="PMK6" s="97" t="str">
        <f t="shared" si="175"/>
        <v/>
      </c>
      <c r="PML6" s="97" t="str">
        <f t="shared" si="175"/>
        <v/>
      </c>
      <c r="PMM6" s="97" t="str">
        <f t="shared" si="175"/>
        <v/>
      </c>
      <c r="PMN6" s="97" t="str">
        <f t="shared" si="175"/>
        <v/>
      </c>
      <c r="PMO6" s="97" t="str">
        <f t="shared" si="175"/>
        <v/>
      </c>
      <c r="PMP6" s="97" t="str">
        <f t="shared" si="175"/>
        <v/>
      </c>
      <c r="PMQ6" s="97" t="str">
        <f t="shared" si="175"/>
        <v/>
      </c>
      <c r="PMR6" s="97" t="str">
        <f t="shared" si="175"/>
        <v/>
      </c>
      <c r="PMS6" s="97" t="str">
        <f t="shared" si="175"/>
        <v/>
      </c>
      <c r="PMT6" s="97" t="str">
        <f t="shared" si="175"/>
        <v/>
      </c>
      <c r="PMU6" s="97" t="str">
        <f t="shared" si="175"/>
        <v/>
      </c>
      <c r="PMV6" s="97" t="str">
        <f t="shared" si="175"/>
        <v/>
      </c>
      <c r="PMW6" s="97" t="str">
        <f t="shared" si="175"/>
        <v/>
      </c>
      <c r="PMX6" s="97" t="str">
        <f t="shared" si="175"/>
        <v/>
      </c>
      <c r="PMY6" s="97" t="str">
        <f t="shared" si="175"/>
        <v/>
      </c>
      <c r="PMZ6" s="97" t="str">
        <f t="shared" si="175"/>
        <v/>
      </c>
      <c r="PNA6" s="97" t="str">
        <f t="shared" si="175"/>
        <v/>
      </c>
      <c r="PNB6" s="97" t="str">
        <f t="shared" si="175"/>
        <v/>
      </c>
      <c r="PNC6" s="97" t="str">
        <f t="shared" si="175"/>
        <v/>
      </c>
      <c r="PND6" s="97" t="str">
        <f t="shared" si="175"/>
        <v/>
      </c>
      <c r="PNE6" s="97" t="str">
        <f t="shared" si="175"/>
        <v/>
      </c>
      <c r="PNF6" s="97" t="str">
        <f t="shared" si="175"/>
        <v/>
      </c>
      <c r="PNG6" s="97" t="str">
        <f t="shared" si="175"/>
        <v/>
      </c>
      <c r="PNH6" s="97" t="str">
        <f t="shared" si="175"/>
        <v/>
      </c>
      <c r="PNI6" s="97" t="str">
        <f t="shared" si="175"/>
        <v/>
      </c>
      <c r="PNJ6" s="97" t="str">
        <f t="shared" si="175"/>
        <v/>
      </c>
      <c r="PNK6" s="97" t="str">
        <f t="shared" si="175"/>
        <v/>
      </c>
      <c r="PNL6" s="97" t="str">
        <f t="shared" si="175"/>
        <v/>
      </c>
      <c r="PNM6" s="97" t="str">
        <f t="shared" si="175"/>
        <v/>
      </c>
      <c r="PNN6" s="97" t="str">
        <f t="shared" si="175"/>
        <v/>
      </c>
      <c r="PNO6" s="97" t="str">
        <f t="shared" si="175"/>
        <v/>
      </c>
      <c r="PNP6" s="97" t="str">
        <f t="shared" si="175"/>
        <v/>
      </c>
      <c r="PNQ6" s="97" t="str">
        <f t="shared" si="175"/>
        <v/>
      </c>
      <c r="PNR6" s="97" t="str">
        <f t="shared" si="175"/>
        <v/>
      </c>
      <c r="PNS6" s="97" t="str">
        <f t="shared" si="175"/>
        <v/>
      </c>
      <c r="PNT6" s="97" t="str">
        <f t="shared" si="175"/>
        <v/>
      </c>
      <c r="PNU6" s="97" t="str">
        <f t="shared" si="175"/>
        <v/>
      </c>
      <c r="PNV6" s="97" t="str">
        <f t="shared" si="175"/>
        <v/>
      </c>
      <c r="PNW6" s="97" t="str">
        <f t="shared" si="175"/>
        <v/>
      </c>
      <c r="PNX6" s="97" t="str">
        <f t="shared" si="175"/>
        <v/>
      </c>
      <c r="PNY6" s="97" t="str">
        <f t="shared" si="175"/>
        <v/>
      </c>
      <c r="PNZ6" s="97" t="str">
        <f t="shared" ref="PNZ6:PQK6" si="176">IFERROR(AVERAGE(PNZ7:PNZ13),"")</f>
        <v/>
      </c>
      <c r="POA6" s="97" t="str">
        <f t="shared" si="176"/>
        <v/>
      </c>
      <c r="POB6" s="97" t="str">
        <f t="shared" si="176"/>
        <v/>
      </c>
      <c r="POC6" s="97" t="str">
        <f t="shared" si="176"/>
        <v/>
      </c>
      <c r="POD6" s="97" t="str">
        <f t="shared" si="176"/>
        <v/>
      </c>
      <c r="POE6" s="97" t="str">
        <f t="shared" si="176"/>
        <v/>
      </c>
      <c r="POF6" s="97" t="str">
        <f t="shared" si="176"/>
        <v/>
      </c>
      <c r="POG6" s="97" t="str">
        <f t="shared" si="176"/>
        <v/>
      </c>
      <c r="POH6" s="97" t="str">
        <f t="shared" si="176"/>
        <v/>
      </c>
      <c r="POI6" s="97" t="str">
        <f t="shared" si="176"/>
        <v/>
      </c>
      <c r="POJ6" s="97" t="str">
        <f t="shared" si="176"/>
        <v/>
      </c>
      <c r="POK6" s="97" t="str">
        <f t="shared" si="176"/>
        <v/>
      </c>
      <c r="POL6" s="97" t="str">
        <f t="shared" si="176"/>
        <v/>
      </c>
      <c r="POM6" s="97" t="str">
        <f t="shared" si="176"/>
        <v/>
      </c>
      <c r="PON6" s="97" t="str">
        <f t="shared" si="176"/>
        <v/>
      </c>
      <c r="POO6" s="97" t="str">
        <f t="shared" si="176"/>
        <v/>
      </c>
      <c r="POP6" s="97" t="str">
        <f t="shared" si="176"/>
        <v/>
      </c>
      <c r="POQ6" s="97" t="str">
        <f t="shared" si="176"/>
        <v/>
      </c>
      <c r="POR6" s="97" t="str">
        <f t="shared" si="176"/>
        <v/>
      </c>
      <c r="POS6" s="97" t="str">
        <f t="shared" si="176"/>
        <v/>
      </c>
      <c r="POT6" s="97" t="str">
        <f t="shared" si="176"/>
        <v/>
      </c>
      <c r="POU6" s="97" t="str">
        <f t="shared" si="176"/>
        <v/>
      </c>
      <c r="POV6" s="97" t="str">
        <f t="shared" si="176"/>
        <v/>
      </c>
      <c r="POW6" s="97" t="str">
        <f t="shared" si="176"/>
        <v/>
      </c>
      <c r="POX6" s="97" t="str">
        <f t="shared" si="176"/>
        <v/>
      </c>
      <c r="POY6" s="97" t="str">
        <f t="shared" si="176"/>
        <v/>
      </c>
      <c r="POZ6" s="97" t="str">
        <f t="shared" si="176"/>
        <v/>
      </c>
      <c r="PPA6" s="97" t="str">
        <f t="shared" si="176"/>
        <v/>
      </c>
      <c r="PPB6" s="97" t="str">
        <f t="shared" si="176"/>
        <v/>
      </c>
      <c r="PPC6" s="97" t="str">
        <f t="shared" si="176"/>
        <v/>
      </c>
      <c r="PPD6" s="97" t="str">
        <f t="shared" si="176"/>
        <v/>
      </c>
      <c r="PPE6" s="97" t="str">
        <f t="shared" si="176"/>
        <v/>
      </c>
      <c r="PPF6" s="97" t="str">
        <f t="shared" si="176"/>
        <v/>
      </c>
      <c r="PPG6" s="97" t="str">
        <f t="shared" si="176"/>
        <v/>
      </c>
      <c r="PPH6" s="97" t="str">
        <f t="shared" si="176"/>
        <v/>
      </c>
      <c r="PPI6" s="97" t="str">
        <f t="shared" si="176"/>
        <v/>
      </c>
      <c r="PPJ6" s="97" t="str">
        <f t="shared" si="176"/>
        <v/>
      </c>
      <c r="PPK6" s="97" t="str">
        <f t="shared" si="176"/>
        <v/>
      </c>
      <c r="PPL6" s="97" t="str">
        <f t="shared" si="176"/>
        <v/>
      </c>
      <c r="PPM6" s="97" t="str">
        <f t="shared" si="176"/>
        <v/>
      </c>
      <c r="PPN6" s="97" t="str">
        <f t="shared" si="176"/>
        <v/>
      </c>
      <c r="PPO6" s="97" t="str">
        <f t="shared" si="176"/>
        <v/>
      </c>
      <c r="PPP6" s="97" t="str">
        <f t="shared" si="176"/>
        <v/>
      </c>
      <c r="PPQ6" s="97" t="str">
        <f t="shared" si="176"/>
        <v/>
      </c>
      <c r="PPR6" s="97" t="str">
        <f t="shared" si="176"/>
        <v/>
      </c>
      <c r="PPS6" s="97" t="str">
        <f t="shared" si="176"/>
        <v/>
      </c>
      <c r="PPT6" s="97" t="str">
        <f t="shared" si="176"/>
        <v/>
      </c>
      <c r="PPU6" s="97" t="str">
        <f t="shared" si="176"/>
        <v/>
      </c>
      <c r="PPV6" s="97" t="str">
        <f t="shared" si="176"/>
        <v/>
      </c>
      <c r="PPW6" s="97" t="str">
        <f t="shared" si="176"/>
        <v/>
      </c>
      <c r="PPX6" s="97" t="str">
        <f t="shared" si="176"/>
        <v/>
      </c>
      <c r="PPY6" s="97" t="str">
        <f t="shared" si="176"/>
        <v/>
      </c>
      <c r="PPZ6" s="97" t="str">
        <f t="shared" si="176"/>
        <v/>
      </c>
      <c r="PQA6" s="97" t="str">
        <f t="shared" si="176"/>
        <v/>
      </c>
      <c r="PQB6" s="97" t="str">
        <f t="shared" si="176"/>
        <v/>
      </c>
      <c r="PQC6" s="97" t="str">
        <f t="shared" si="176"/>
        <v/>
      </c>
      <c r="PQD6" s="97" t="str">
        <f t="shared" si="176"/>
        <v/>
      </c>
      <c r="PQE6" s="97" t="str">
        <f t="shared" si="176"/>
        <v/>
      </c>
      <c r="PQF6" s="97" t="str">
        <f t="shared" si="176"/>
        <v/>
      </c>
      <c r="PQG6" s="97" t="str">
        <f t="shared" si="176"/>
        <v/>
      </c>
      <c r="PQH6" s="97" t="str">
        <f t="shared" si="176"/>
        <v/>
      </c>
      <c r="PQI6" s="97" t="str">
        <f t="shared" si="176"/>
        <v/>
      </c>
      <c r="PQJ6" s="97" t="str">
        <f t="shared" si="176"/>
        <v/>
      </c>
      <c r="PQK6" s="97" t="str">
        <f t="shared" si="176"/>
        <v/>
      </c>
      <c r="PQL6" s="97" t="str">
        <f t="shared" ref="PQL6:PSW6" si="177">IFERROR(AVERAGE(PQL7:PQL13),"")</f>
        <v/>
      </c>
      <c r="PQM6" s="97" t="str">
        <f t="shared" si="177"/>
        <v/>
      </c>
      <c r="PQN6" s="97" t="str">
        <f t="shared" si="177"/>
        <v/>
      </c>
      <c r="PQO6" s="97" t="str">
        <f t="shared" si="177"/>
        <v/>
      </c>
      <c r="PQP6" s="97" t="str">
        <f t="shared" si="177"/>
        <v/>
      </c>
      <c r="PQQ6" s="97" t="str">
        <f t="shared" si="177"/>
        <v/>
      </c>
      <c r="PQR6" s="97" t="str">
        <f t="shared" si="177"/>
        <v/>
      </c>
      <c r="PQS6" s="97" t="str">
        <f t="shared" si="177"/>
        <v/>
      </c>
      <c r="PQT6" s="97" t="str">
        <f t="shared" si="177"/>
        <v/>
      </c>
      <c r="PQU6" s="97" t="str">
        <f t="shared" si="177"/>
        <v/>
      </c>
      <c r="PQV6" s="97" t="str">
        <f t="shared" si="177"/>
        <v/>
      </c>
      <c r="PQW6" s="97" t="str">
        <f t="shared" si="177"/>
        <v/>
      </c>
      <c r="PQX6" s="97" t="str">
        <f t="shared" si="177"/>
        <v/>
      </c>
      <c r="PQY6" s="97" t="str">
        <f t="shared" si="177"/>
        <v/>
      </c>
      <c r="PQZ6" s="97" t="str">
        <f t="shared" si="177"/>
        <v/>
      </c>
      <c r="PRA6" s="97" t="str">
        <f t="shared" si="177"/>
        <v/>
      </c>
      <c r="PRB6" s="97" t="str">
        <f t="shared" si="177"/>
        <v/>
      </c>
      <c r="PRC6" s="97" t="str">
        <f t="shared" si="177"/>
        <v/>
      </c>
      <c r="PRD6" s="97" t="str">
        <f t="shared" si="177"/>
        <v/>
      </c>
      <c r="PRE6" s="97" t="str">
        <f t="shared" si="177"/>
        <v/>
      </c>
      <c r="PRF6" s="97" t="str">
        <f t="shared" si="177"/>
        <v/>
      </c>
      <c r="PRG6" s="97" t="str">
        <f t="shared" si="177"/>
        <v/>
      </c>
      <c r="PRH6" s="97" t="str">
        <f t="shared" si="177"/>
        <v/>
      </c>
      <c r="PRI6" s="97" t="str">
        <f t="shared" si="177"/>
        <v/>
      </c>
      <c r="PRJ6" s="97" t="str">
        <f t="shared" si="177"/>
        <v/>
      </c>
      <c r="PRK6" s="97" t="str">
        <f t="shared" si="177"/>
        <v/>
      </c>
      <c r="PRL6" s="97" t="str">
        <f t="shared" si="177"/>
        <v/>
      </c>
      <c r="PRM6" s="97" t="str">
        <f t="shared" si="177"/>
        <v/>
      </c>
      <c r="PRN6" s="97" t="str">
        <f t="shared" si="177"/>
        <v/>
      </c>
      <c r="PRO6" s="97" t="str">
        <f t="shared" si="177"/>
        <v/>
      </c>
      <c r="PRP6" s="97" t="str">
        <f t="shared" si="177"/>
        <v/>
      </c>
      <c r="PRQ6" s="97" t="str">
        <f t="shared" si="177"/>
        <v/>
      </c>
      <c r="PRR6" s="97" t="str">
        <f t="shared" si="177"/>
        <v/>
      </c>
      <c r="PRS6" s="97" t="str">
        <f t="shared" si="177"/>
        <v/>
      </c>
      <c r="PRT6" s="97" t="str">
        <f t="shared" si="177"/>
        <v/>
      </c>
      <c r="PRU6" s="97" t="str">
        <f t="shared" si="177"/>
        <v/>
      </c>
      <c r="PRV6" s="97" t="str">
        <f t="shared" si="177"/>
        <v/>
      </c>
      <c r="PRW6" s="97" t="str">
        <f t="shared" si="177"/>
        <v/>
      </c>
      <c r="PRX6" s="97" t="str">
        <f t="shared" si="177"/>
        <v/>
      </c>
      <c r="PRY6" s="97" t="str">
        <f t="shared" si="177"/>
        <v/>
      </c>
      <c r="PRZ6" s="97" t="str">
        <f t="shared" si="177"/>
        <v/>
      </c>
      <c r="PSA6" s="97" t="str">
        <f t="shared" si="177"/>
        <v/>
      </c>
      <c r="PSB6" s="97" t="str">
        <f t="shared" si="177"/>
        <v/>
      </c>
      <c r="PSC6" s="97" t="str">
        <f t="shared" si="177"/>
        <v/>
      </c>
      <c r="PSD6" s="97" t="str">
        <f t="shared" si="177"/>
        <v/>
      </c>
      <c r="PSE6" s="97" t="str">
        <f t="shared" si="177"/>
        <v/>
      </c>
      <c r="PSF6" s="97" t="str">
        <f t="shared" si="177"/>
        <v/>
      </c>
      <c r="PSG6" s="97" t="str">
        <f t="shared" si="177"/>
        <v/>
      </c>
      <c r="PSH6" s="97" t="str">
        <f t="shared" si="177"/>
        <v/>
      </c>
      <c r="PSI6" s="97" t="str">
        <f t="shared" si="177"/>
        <v/>
      </c>
      <c r="PSJ6" s="97" t="str">
        <f t="shared" si="177"/>
        <v/>
      </c>
      <c r="PSK6" s="97" t="str">
        <f t="shared" si="177"/>
        <v/>
      </c>
      <c r="PSL6" s="97" t="str">
        <f t="shared" si="177"/>
        <v/>
      </c>
      <c r="PSM6" s="97" t="str">
        <f t="shared" si="177"/>
        <v/>
      </c>
      <c r="PSN6" s="97" t="str">
        <f t="shared" si="177"/>
        <v/>
      </c>
      <c r="PSO6" s="97" t="str">
        <f t="shared" si="177"/>
        <v/>
      </c>
      <c r="PSP6" s="97" t="str">
        <f t="shared" si="177"/>
        <v/>
      </c>
      <c r="PSQ6" s="97" t="str">
        <f t="shared" si="177"/>
        <v/>
      </c>
      <c r="PSR6" s="97" t="str">
        <f t="shared" si="177"/>
        <v/>
      </c>
      <c r="PSS6" s="97" t="str">
        <f t="shared" si="177"/>
        <v/>
      </c>
      <c r="PST6" s="97" t="str">
        <f t="shared" si="177"/>
        <v/>
      </c>
      <c r="PSU6" s="97" t="str">
        <f t="shared" si="177"/>
        <v/>
      </c>
      <c r="PSV6" s="97" t="str">
        <f t="shared" si="177"/>
        <v/>
      </c>
      <c r="PSW6" s="97" t="str">
        <f t="shared" si="177"/>
        <v/>
      </c>
      <c r="PSX6" s="97" t="str">
        <f t="shared" ref="PSX6:PVI6" si="178">IFERROR(AVERAGE(PSX7:PSX13),"")</f>
        <v/>
      </c>
      <c r="PSY6" s="97" t="str">
        <f t="shared" si="178"/>
        <v/>
      </c>
      <c r="PSZ6" s="97" t="str">
        <f t="shared" si="178"/>
        <v/>
      </c>
      <c r="PTA6" s="97" t="str">
        <f t="shared" si="178"/>
        <v/>
      </c>
      <c r="PTB6" s="97" t="str">
        <f t="shared" si="178"/>
        <v/>
      </c>
      <c r="PTC6" s="97" t="str">
        <f t="shared" si="178"/>
        <v/>
      </c>
      <c r="PTD6" s="97" t="str">
        <f t="shared" si="178"/>
        <v/>
      </c>
      <c r="PTE6" s="97" t="str">
        <f t="shared" si="178"/>
        <v/>
      </c>
      <c r="PTF6" s="97" t="str">
        <f t="shared" si="178"/>
        <v/>
      </c>
      <c r="PTG6" s="97" t="str">
        <f t="shared" si="178"/>
        <v/>
      </c>
      <c r="PTH6" s="97" t="str">
        <f t="shared" si="178"/>
        <v/>
      </c>
      <c r="PTI6" s="97" t="str">
        <f t="shared" si="178"/>
        <v/>
      </c>
      <c r="PTJ6" s="97" t="str">
        <f t="shared" si="178"/>
        <v/>
      </c>
      <c r="PTK6" s="97" t="str">
        <f t="shared" si="178"/>
        <v/>
      </c>
      <c r="PTL6" s="97" t="str">
        <f t="shared" si="178"/>
        <v/>
      </c>
      <c r="PTM6" s="97" t="str">
        <f t="shared" si="178"/>
        <v/>
      </c>
      <c r="PTN6" s="97" t="str">
        <f t="shared" si="178"/>
        <v/>
      </c>
      <c r="PTO6" s="97" t="str">
        <f t="shared" si="178"/>
        <v/>
      </c>
      <c r="PTP6" s="97" t="str">
        <f t="shared" si="178"/>
        <v/>
      </c>
      <c r="PTQ6" s="97" t="str">
        <f t="shared" si="178"/>
        <v/>
      </c>
      <c r="PTR6" s="97" t="str">
        <f t="shared" si="178"/>
        <v/>
      </c>
      <c r="PTS6" s="97" t="str">
        <f t="shared" si="178"/>
        <v/>
      </c>
      <c r="PTT6" s="97" t="str">
        <f t="shared" si="178"/>
        <v/>
      </c>
      <c r="PTU6" s="97" t="str">
        <f t="shared" si="178"/>
        <v/>
      </c>
      <c r="PTV6" s="97" t="str">
        <f t="shared" si="178"/>
        <v/>
      </c>
      <c r="PTW6" s="97" t="str">
        <f t="shared" si="178"/>
        <v/>
      </c>
      <c r="PTX6" s="97" t="str">
        <f t="shared" si="178"/>
        <v/>
      </c>
      <c r="PTY6" s="97" t="str">
        <f t="shared" si="178"/>
        <v/>
      </c>
      <c r="PTZ6" s="97" t="str">
        <f t="shared" si="178"/>
        <v/>
      </c>
      <c r="PUA6" s="97" t="str">
        <f t="shared" si="178"/>
        <v/>
      </c>
      <c r="PUB6" s="97" t="str">
        <f t="shared" si="178"/>
        <v/>
      </c>
      <c r="PUC6" s="97" t="str">
        <f t="shared" si="178"/>
        <v/>
      </c>
      <c r="PUD6" s="97" t="str">
        <f t="shared" si="178"/>
        <v/>
      </c>
      <c r="PUE6" s="97" t="str">
        <f t="shared" si="178"/>
        <v/>
      </c>
      <c r="PUF6" s="97" t="str">
        <f t="shared" si="178"/>
        <v/>
      </c>
      <c r="PUG6" s="97" t="str">
        <f t="shared" si="178"/>
        <v/>
      </c>
      <c r="PUH6" s="97" t="str">
        <f t="shared" si="178"/>
        <v/>
      </c>
      <c r="PUI6" s="97" t="str">
        <f t="shared" si="178"/>
        <v/>
      </c>
      <c r="PUJ6" s="97" t="str">
        <f t="shared" si="178"/>
        <v/>
      </c>
      <c r="PUK6" s="97" t="str">
        <f t="shared" si="178"/>
        <v/>
      </c>
      <c r="PUL6" s="97" t="str">
        <f t="shared" si="178"/>
        <v/>
      </c>
      <c r="PUM6" s="97" t="str">
        <f t="shared" si="178"/>
        <v/>
      </c>
      <c r="PUN6" s="97" t="str">
        <f t="shared" si="178"/>
        <v/>
      </c>
      <c r="PUO6" s="97" t="str">
        <f t="shared" si="178"/>
        <v/>
      </c>
      <c r="PUP6" s="97" t="str">
        <f t="shared" si="178"/>
        <v/>
      </c>
      <c r="PUQ6" s="97" t="str">
        <f t="shared" si="178"/>
        <v/>
      </c>
      <c r="PUR6" s="97" t="str">
        <f t="shared" si="178"/>
        <v/>
      </c>
      <c r="PUS6" s="97" t="str">
        <f t="shared" si="178"/>
        <v/>
      </c>
      <c r="PUT6" s="97" t="str">
        <f t="shared" si="178"/>
        <v/>
      </c>
      <c r="PUU6" s="97" t="str">
        <f t="shared" si="178"/>
        <v/>
      </c>
      <c r="PUV6" s="97" t="str">
        <f t="shared" si="178"/>
        <v/>
      </c>
      <c r="PUW6" s="97" t="str">
        <f t="shared" si="178"/>
        <v/>
      </c>
      <c r="PUX6" s="97" t="str">
        <f t="shared" si="178"/>
        <v/>
      </c>
      <c r="PUY6" s="97" t="str">
        <f t="shared" si="178"/>
        <v/>
      </c>
      <c r="PUZ6" s="97" t="str">
        <f t="shared" si="178"/>
        <v/>
      </c>
      <c r="PVA6" s="97" t="str">
        <f t="shared" si="178"/>
        <v/>
      </c>
      <c r="PVB6" s="97" t="str">
        <f t="shared" si="178"/>
        <v/>
      </c>
      <c r="PVC6" s="97" t="str">
        <f t="shared" si="178"/>
        <v/>
      </c>
      <c r="PVD6" s="97" t="str">
        <f t="shared" si="178"/>
        <v/>
      </c>
      <c r="PVE6" s="97" t="str">
        <f t="shared" si="178"/>
        <v/>
      </c>
      <c r="PVF6" s="97" t="str">
        <f t="shared" si="178"/>
        <v/>
      </c>
      <c r="PVG6" s="97" t="str">
        <f t="shared" si="178"/>
        <v/>
      </c>
      <c r="PVH6" s="97" t="str">
        <f t="shared" si="178"/>
        <v/>
      </c>
      <c r="PVI6" s="97" t="str">
        <f t="shared" si="178"/>
        <v/>
      </c>
      <c r="PVJ6" s="97" t="str">
        <f t="shared" ref="PVJ6:PXU6" si="179">IFERROR(AVERAGE(PVJ7:PVJ13),"")</f>
        <v/>
      </c>
      <c r="PVK6" s="97" t="str">
        <f t="shared" si="179"/>
        <v/>
      </c>
      <c r="PVL6" s="97" t="str">
        <f t="shared" si="179"/>
        <v/>
      </c>
      <c r="PVM6" s="97" t="str">
        <f t="shared" si="179"/>
        <v/>
      </c>
      <c r="PVN6" s="97" t="str">
        <f t="shared" si="179"/>
        <v/>
      </c>
      <c r="PVO6" s="97" t="str">
        <f t="shared" si="179"/>
        <v/>
      </c>
      <c r="PVP6" s="97" t="str">
        <f t="shared" si="179"/>
        <v/>
      </c>
      <c r="PVQ6" s="97" t="str">
        <f t="shared" si="179"/>
        <v/>
      </c>
      <c r="PVR6" s="97" t="str">
        <f t="shared" si="179"/>
        <v/>
      </c>
      <c r="PVS6" s="97" t="str">
        <f t="shared" si="179"/>
        <v/>
      </c>
      <c r="PVT6" s="97" t="str">
        <f t="shared" si="179"/>
        <v/>
      </c>
      <c r="PVU6" s="97" t="str">
        <f t="shared" si="179"/>
        <v/>
      </c>
      <c r="PVV6" s="97" t="str">
        <f t="shared" si="179"/>
        <v/>
      </c>
      <c r="PVW6" s="97" t="str">
        <f t="shared" si="179"/>
        <v/>
      </c>
      <c r="PVX6" s="97" t="str">
        <f t="shared" si="179"/>
        <v/>
      </c>
      <c r="PVY6" s="97" t="str">
        <f t="shared" si="179"/>
        <v/>
      </c>
      <c r="PVZ6" s="97" t="str">
        <f t="shared" si="179"/>
        <v/>
      </c>
      <c r="PWA6" s="97" t="str">
        <f t="shared" si="179"/>
        <v/>
      </c>
      <c r="PWB6" s="97" t="str">
        <f t="shared" si="179"/>
        <v/>
      </c>
      <c r="PWC6" s="97" t="str">
        <f t="shared" si="179"/>
        <v/>
      </c>
      <c r="PWD6" s="97" t="str">
        <f t="shared" si="179"/>
        <v/>
      </c>
      <c r="PWE6" s="97" t="str">
        <f t="shared" si="179"/>
        <v/>
      </c>
      <c r="PWF6" s="97" t="str">
        <f t="shared" si="179"/>
        <v/>
      </c>
      <c r="PWG6" s="97" t="str">
        <f t="shared" si="179"/>
        <v/>
      </c>
      <c r="PWH6" s="97" t="str">
        <f t="shared" si="179"/>
        <v/>
      </c>
      <c r="PWI6" s="97" t="str">
        <f t="shared" si="179"/>
        <v/>
      </c>
      <c r="PWJ6" s="97" t="str">
        <f t="shared" si="179"/>
        <v/>
      </c>
      <c r="PWK6" s="97" t="str">
        <f t="shared" si="179"/>
        <v/>
      </c>
      <c r="PWL6" s="97" t="str">
        <f t="shared" si="179"/>
        <v/>
      </c>
      <c r="PWM6" s="97" t="str">
        <f t="shared" si="179"/>
        <v/>
      </c>
      <c r="PWN6" s="97" t="str">
        <f t="shared" si="179"/>
        <v/>
      </c>
      <c r="PWO6" s="97" t="str">
        <f t="shared" si="179"/>
        <v/>
      </c>
      <c r="PWP6" s="97" t="str">
        <f t="shared" si="179"/>
        <v/>
      </c>
      <c r="PWQ6" s="97" t="str">
        <f t="shared" si="179"/>
        <v/>
      </c>
      <c r="PWR6" s="97" t="str">
        <f t="shared" si="179"/>
        <v/>
      </c>
      <c r="PWS6" s="97" t="str">
        <f t="shared" si="179"/>
        <v/>
      </c>
      <c r="PWT6" s="97" t="str">
        <f t="shared" si="179"/>
        <v/>
      </c>
      <c r="PWU6" s="97" t="str">
        <f t="shared" si="179"/>
        <v/>
      </c>
      <c r="PWV6" s="97" t="str">
        <f t="shared" si="179"/>
        <v/>
      </c>
      <c r="PWW6" s="97" t="str">
        <f t="shared" si="179"/>
        <v/>
      </c>
      <c r="PWX6" s="97" t="str">
        <f t="shared" si="179"/>
        <v/>
      </c>
      <c r="PWY6" s="97" t="str">
        <f t="shared" si="179"/>
        <v/>
      </c>
      <c r="PWZ6" s="97" t="str">
        <f t="shared" si="179"/>
        <v/>
      </c>
      <c r="PXA6" s="97" t="str">
        <f t="shared" si="179"/>
        <v/>
      </c>
      <c r="PXB6" s="97" t="str">
        <f t="shared" si="179"/>
        <v/>
      </c>
      <c r="PXC6" s="97" t="str">
        <f t="shared" si="179"/>
        <v/>
      </c>
      <c r="PXD6" s="97" t="str">
        <f t="shared" si="179"/>
        <v/>
      </c>
      <c r="PXE6" s="97" t="str">
        <f t="shared" si="179"/>
        <v/>
      </c>
      <c r="PXF6" s="97" t="str">
        <f t="shared" si="179"/>
        <v/>
      </c>
      <c r="PXG6" s="97" t="str">
        <f t="shared" si="179"/>
        <v/>
      </c>
      <c r="PXH6" s="97" t="str">
        <f t="shared" si="179"/>
        <v/>
      </c>
      <c r="PXI6" s="97" t="str">
        <f t="shared" si="179"/>
        <v/>
      </c>
      <c r="PXJ6" s="97" t="str">
        <f t="shared" si="179"/>
        <v/>
      </c>
      <c r="PXK6" s="97" t="str">
        <f t="shared" si="179"/>
        <v/>
      </c>
      <c r="PXL6" s="97" t="str">
        <f t="shared" si="179"/>
        <v/>
      </c>
      <c r="PXM6" s="97" t="str">
        <f t="shared" si="179"/>
        <v/>
      </c>
      <c r="PXN6" s="97" t="str">
        <f t="shared" si="179"/>
        <v/>
      </c>
      <c r="PXO6" s="97" t="str">
        <f t="shared" si="179"/>
        <v/>
      </c>
      <c r="PXP6" s="97" t="str">
        <f t="shared" si="179"/>
        <v/>
      </c>
      <c r="PXQ6" s="97" t="str">
        <f t="shared" si="179"/>
        <v/>
      </c>
      <c r="PXR6" s="97" t="str">
        <f t="shared" si="179"/>
        <v/>
      </c>
      <c r="PXS6" s="97" t="str">
        <f t="shared" si="179"/>
        <v/>
      </c>
      <c r="PXT6" s="97" t="str">
        <f t="shared" si="179"/>
        <v/>
      </c>
      <c r="PXU6" s="97" t="str">
        <f t="shared" si="179"/>
        <v/>
      </c>
      <c r="PXV6" s="97" t="str">
        <f t="shared" ref="PXV6:QAG6" si="180">IFERROR(AVERAGE(PXV7:PXV13),"")</f>
        <v/>
      </c>
      <c r="PXW6" s="97" t="str">
        <f t="shared" si="180"/>
        <v/>
      </c>
      <c r="PXX6" s="97" t="str">
        <f t="shared" si="180"/>
        <v/>
      </c>
      <c r="PXY6" s="97" t="str">
        <f t="shared" si="180"/>
        <v/>
      </c>
      <c r="PXZ6" s="97" t="str">
        <f t="shared" si="180"/>
        <v/>
      </c>
      <c r="PYA6" s="97" t="str">
        <f t="shared" si="180"/>
        <v/>
      </c>
      <c r="PYB6" s="97" t="str">
        <f t="shared" si="180"/>
        <v/>
      </c>
      <c r="PYC6" s="97" t="str">
        <f t="shared" si="180"/>
        <v/>
      </c>
      <c r="PYD6" s="97" t="str">
        <f t="shared" si="180"/>
        <v/>
      </c>
      <c r="PYE6" s="97" t="str">
        <f t="shared" si="180"/>
        <v/>
      </c>
      <c r="PYF6" s="97" t="str">
        <f t="shared" si="180"/>
        <v/>
      </c>
      <c r="PYG6" s="97" t="str">
        <f t="shared" si="180"/>
        <v/>
      </c>
      <c r="PYH6" s="97" t="str">
        <f t="shared" si="180"/>
        <v/>
      </c>
      <c r="PYI6" s="97" t="str">
        <f t="shared" si="180"/>
        <v/>
      </c>
      <c r="PYJ6" s="97" t="str">
        <f t="shared" si="180"/>
        <v/>
      </c>
      <c r="PYK6" s="97" t="str">
        <f t="shared" si="180"/>
        <v/>
      </c>
      <c r="PYL6" s="97" t="str">
        <f t="shared" si="180"/>
        <v/>
      </c>
      <c r="PYM6" s="97" t="str">
        <f t="shared" si="180"/>
        <v/>
      </c>
      <c r="PYN6" s="97" t="str">
        <f t="shared" si="180"/>
        <v/>
      </c>
      <c r="PYO6" s="97" t="str">
        <f t="shared" si="180"/>
        <v/>
      </c>
      <c r="PYP6" s="97" t="str">
        <f t="shared" si="180"/>
        <v/>
      </c>
      <c r="PYQ6" s="97" t="str">
        <f t="shared" si="180"/>
        <v/>
      </c>
      <c r="PYR6" s="97" t="str">
        <f t="shared" si="180"/>
        <v/>
      </c>
      <c r="PYS6" s="97" t="str">
        <f t="shared" si="180"/>
        <v/>
      </c>
      <c r="PYT6" s="97" t="str">
        <f t="shared" si="180"/>
        <v/>
      </c>
      <c r="PYU6" s="97" t="str">
        <f t="shared" si="180"/>
        <v/>
      </c>
      <c r="PYV6" s="97" t="str">
        <f t="shared" si="180"/>
        <v/>
      </c>
      <c r="PYW6" s="97" t="str">
        <f t="shared" si="180"/>
        <v/>
      </c>
      <c r="PYX6" s="97" t="str">
        <f t="shared" si="180"/>
        <v/>
      </c>
      <c r="PYY6" s="97" t="str">
        <f t="shared" si="180"/>
        <v/>
      </c>
      <c r="PYZ6" s="97" t="str">
        <f t="shared" si="180"/>
        <v/>
      </c>
      <c r="PZA6" s="97" t="str">
        <f t="shared" si="180"/>
        <v/>
      </c>
      <c r="PZB6" s="97" t="str">
        <f t="shared" si="180"/>
        <v/>
      </c>
      <c r="PZC6" s="97" t="str">
        <f t="shared" si="180"/>
        <v/>
      </c>
      <c r="PZD6" s="97" t="str">
        <f t="shared" si="180"/>
        <v/>
      </c>
      <c r="PZE6" s="97" t="str">
        <f t="shared" si="180"/>
        <v/>
      </c>
      <c r="PZF6" s="97" t="str">
        <f t="shared" si="180"/>
        <v/>
      </c>
      <c r="PZG6" s="97" t="str">
        <f t="shared" si="180"/>
        <v/>
      </c>
      <c r="PZH6" s="97" t="str">
        <f t="shared" si="180"/>
        <v/>
      </c>
      <c r="PZI6" s="97" t="str">
        <f t="shared" si="180"/>
        <v/>
      </c>
      <c r="PZJ6" s="97" t="str">
        <f t="shared" si="180"/>
        <v/>
      </c>
      <c r="PZK6" s="97" t="str">
        <f t="shared" si="180"/>
        <v/>
      </c>
      <c r="PZL6" s="97" t="str">
        <f t="shared" si="180"/>
        <v/>
      </c>
      <c r="PZM6" s="97" t="str">
        <f t="shared" si="180"/>
        <v/>
      </c>
      <c r="PZN6" s="97" t="str">
        <f t="shared" si="180"/>
        <v/>
      </c>
      <c r="PZO6" s="97" t="str">
        <f t="shared" si="180"/>
        <v/>
      </c>
      <c r="PZP6" s="97" t="str">
        <f t="shared" si="180"/>
        <v/>
      </c>
      <c r="PZQ6" s="97" t="str">
        <f t="shared" si="180"/>
        <v/>
      </c>
      <c r="PZR6" s="97" t="str">
        <f t="shared" si="180"/>
        <v/>
      </c>
      <c r="PZS6" s="97" t="str">
        <f t="shared" si="180"/>
        <v/>
      </c>
      <c r="PZT6" s="97" t="str">
        <f t="shared" si="180"/>
        <v/>
      </c>
      <c r="PZU6" s="97" t="str">
        <f t="shared" si="180"/>
        <v/>
      </c>
      <c r="PZV6" s="97" t="str">
        <f t="shared" si="180"/>
        <v/>
      </c>
      <c r="PZW6" s="97" t="str">
        <f t="shared" si="180"/>
        <v/>
      </c>
      <c r="PZX6" s="97" t="str">
        <f t="shared" si="180"/>
        <v/>
      </c>
      <c r="PZY6" s="97" t="str">
        <f t="shared" si="180"/>
        <v/>
      </c>
      <c r="PZZ6" s="97" t="str">
        <f t="shared" si="180"/>
        <v/>
      </c>
      <c r="QAA6" s="97" t="str">
        <f t="shared" si="180"/>
        <v/>
      </c>
      <c r="QAB6" s="97" t="str">
        <f t="shared" si="180"/>
        <v/>
      </c>
      <c r="QAC6" s="97" t="str">
        <f t="shared" si="180"/>
        <v/>
      </c>
      <c r="QAD6" s="97" t="str">
        <f t="shared" si="180"/>
        <v/>
      </c>
      <c r="QAE6" s="97" t="str">
        <f t="shared" si="180"/>
        <v/>
      </c>
      <c r="QAF6" s="97" t="str">
        <f t="shared" si="180"/>
        <v/>
      </c>
      <c r="QAG6" s="97" t="str">
        <f t="shared" si="180"/>
        <v/>
      </c>
      <c r="QAH6" s="97" t="str">
        <f t="shared" ref="QAH6:QCS6" si="181">IFERROR(AVERAGE(QAH7:QAH13),"")</f>
        <v/>
      </c>
      <c r="QAI6" s="97" t="str">
        <f t="shared" si="181"/>
        <v/>
      </c>
      <c r="QAJ6" s="97" t="str">
        <f t="shared" si="181"/>
        <v/>
      </c>
      <c r="QAK6" s="97" t="str">
        <f t="shared" si="181"/>
        <v/>
      </c>
      <c r="QAL6" s="97" t="str">
        <f t="shared" si="181"/>
        <v/>
      </c>
      <c r="QAM6" s="97" t="str">
        <f t="shared" si="181"/>
        <v/>
      </c>
      <c r="QAN6" s="97" t="str">
        <f t="shared" si="181"/>
        <v/>
      </c>
      <c r="QAO6" s="97" t="str">
        <f t="shared" si="181"/>
        <v/>
      </c>
      <c r="QAP6" s="97" t="str">
        <f t="shared" si="181"/>
        <v/>
      </c>
      <c r="QAQ6" s="97" t="str">
        <f t="shared" si="181"/>
        <v/>
      </c>
      <c r="QAR6" s="97" t="str">
        <f t="shared" si="181"/>
        <v/>
      </c>
      <c r="QAS6" s="97" t="str">
        <f t="shared" si="181"/>
        <v/>
      </c>
      <c r="QAT6" s="97" t="str">
        <f t="shared" si="181"/>
        <v/>
      </c>
      <c r="QAU6" s="97" t="str">
        <f t="shared" si="181"/>
        <v/>
      </c>
      <c r="QAV6" s="97" t="str">
        <f t="shared" si="181"/>
        <v/>
      </c>
      <c r="QAW6" s="97" t="str">
        <f t="shared" si="181"/>
        <v/>
      </c>
      <c r="QAX6" s="97" t="str">
        <f t="shared" si="181"/>
        <v/>
      </c>
      <c r="QAY6" s="97" t="str">
        <f t="shared" si="181"/>
        <v/>
      </c>
      <c r="QAZ6" s="97" t="str">
        <f t="shared" si="181"/>
        <v/>
      </c>
      <c r="QBA6" s="97" t="str">
        <f t="shared" si="181"/>
        <v/>
      </c>
      <c r="QBB6" s="97" t="str">
        <f t="shared" si="181"/>
        <v/>
      </c>
      <c r="QBC6" s="97" t="str">
        <f t="shared" si="181"/>
        <v/>
      </c>
      <c r="QBD6" s="97" t="str">
        <f t="shared" si="181"/>
        <v/>
      </c>
      <c r="QBE6" s="97" t="str">
        <f t="shared" si="181"/>
        <v/>
      </c>
      <c r="QBF6" s="97" t="str">
        <f t="shared" si="181"/>
        <v/>
      </c>
      <c r="QBG6" s="97" t="str">
        <f t="shared" si="181"/>
        <v/>
      </c>
      <c r="QBH6" s="97" t="str">
        <f t="shared" si="181"/>
        <v/>
      </c>
      <c r="QBI6" s="97" t="str">
        <f t="shared" si="181"/>
        <v/>
      </c>
      <c r="QBJ6" s="97" t="str">
        <f t="shared" si="181"/>
        <v/>
      </c>
      <c r="QBK6" s="97" t="str">
        <f t="shared" si="181"/>
        <v/>
      </c>
      <c r="QBL6" s="97" t="str">
        <f t="shared" si="181"/>
        <v/>
      </c>
      <c r="QBM6" s="97" t="str">
        <f t="shared" si="181"/>
        <v/>
      </c>
      <c r="QBN6" s="97" t="str">
        <f t="shared" si="181"/>
        <v/>
      </c>
      <c r="QBO6" s="97" t="str">
        <f t="shared" si="181"/>
        <v/>
      </c>
      <c r="QBP6" s="97" t="str">
        <f t="shared" si="181"/>
        <v/>
      </c>
      <c r="QBQ6" s="97" t="str">
        <f t="shared" si="181"/>
        <v/>
      </c>
      <c r="QBR6" s="97" t="str">
        <f t="shared" si="181"/>
        <v/>
      </c>
      <c r="QBS6" s="97" t="str">
        <f t="shared" si="181"/>
        <v/>
      </c>
      <c r="QBT6" s="97" t="str">
        <f t="shared" si="181"/>
        <v/>
      </c>
      <c r="QBU6" s="97" t="str">
        <f t="shared" si="181"/>
        <v/>
      </c>
      <c r="QBV6" s="97" t="str">
        <f t="shared" si="181"/>
        <v/>
      </c>
      <c r="QBW6" s="97" t="str">
        <f t="shared" si="181"/>
        <v/>
      </c>
      <c r="QBX6" s="97" t="str">
        <f t="shared" si="181"/>
        <v/>
      </c>
      <c r="QBY6" s="97" t="str">
        <f t="shared" si="181"/>
        <v/>
      </c>
      <c r="QBZ6" s="97" t="str">
        <f t="shared" si="181"/>
        <v/>
      </c>
      <c r="QCA6" s="97" t="str">
        <f t="shared" si="181"/>
        <v/>
      </c>
      <c r="QCB6" s="97" t="str">
        <f t="shared" si="181"/>
        <v/>
      </c>
      <c r="QCC6" s="97" t="str">
        <f t="shared" si="181"/>
        <v/>
      </c>
      <c r="QCD6" s="97" t="str">
        <f t="shared" si="181"/>
        <v/>
      </c>
      <c r="QCE6" s="97" t="str">
        <f t="shared" si="181"/>
        <v/>
      </c>
      <c r="QCF6" s="97" t="str">
        <f t="shared" si="181"/>
        <v/>
      </c>
      <c r="QCG6" s="97" t="str">
        <f t="shared" si="181"/>
        <v/>
      </c>
      <c r="QCH6" s="97" t="str">
        <f t="shared" si="181"/>
        <v/>
      </c>
      <c r="QCI6" s="97" t="str">
        <f t="shared" si="181"/>
        <v/>
      </c>
      <c r="QCJ6" s="97" t="str">
        <f t="shared" si="181"/>
        <v/>
      </c>
      <c r="QCK6" s="97" t="str">
        <f t="shared" si="181"/>
        <v/>
      </c>
      <c r="QCL6" s="97" t="str">
        <f t="shared" si="181"/>
        <v/>
      </c>
      <c r="QCM6" s="97" t="str">
        <f t="shared" si="181"/>
        <v/>
      </c>
      <c r="QCN6" s="97" t="str">
        <f t="shared" si="181"/>
        <v/>
      </c>
      <c r="QCO6" s="97" t="str">
        <f t="shared" si="181"/>
        <v/>
      </c>
      <c r="QCP6" s="97" t="str">
        <f t="shared" si="181"/>
        <v/>
      </c>
      <c r="QCQ6" s="97" t="str">
        <f t="shared" si="181"/>
        <v/>
      </c>
      <c r="QCR6" s="97" t="str">
        <f t="shared" si="181"/>
        <v/>
      </c>
      <c r="QCS6" s="97" t="str">
        <f t="shared" si="181"/>
        <v/>
      </c>
      <c r="QCT6" s="97" t="str">
        <f t="shared" ref="QCT6:QFE6" si="182">IFERROR(AVERAGE(QCT7:QCT13),"")</f>
        <v/>
      </c>
      <c r="QCU6" s="97" t="str">
        <f t="shared" si="182"/>
        <v/>
      </c>
      <c r="QCV6" s="97" t="str">
        <f t="shared" si="182"/>
        <v/>
      </c>
      <c r="QCW6" s="97" t="str">
        <f t="shared" si="182"/>
        <v/>
      </c>
      <c r="QCX6" s="97" t="str">
        <f t="shared" si="182"/>
        <v/>
      </c>
      <c r="QCY6" s="97" t="str">
        <f t="shared" si="182"/>
        <v/>
      </c>
      <c r="QCZ6" s="97" t="str">
        <f t="shared" si="182"/>
        <v/>
      </c>
      <c r="QDA6" s="97" t="str">
        <f t="shared" si="182"/>
        <v/>
      </c>
      <c r="QDB6" s="97" t="str">
        <f t="shared" si="182"/>
        <v/>
      </c>
      <c r="QDC6" s="97" t="str">
        <f t="shared" si="182"/>
        <v/>
      </c>
      <c r="QDD6" s="97" t="str">
        <f t="shared" si="182"/>
        <v/>
      </c>
      <c r="QDE6" s="97" t="str">
        <f t="shared" si="182"/>
        <v/>
      </c>
      <c r="QDF6" s="97" t="str">
        <f t="shared" si="182"/>
        <v/>
      </c>
      <c r="QDG6" s="97" t="str">
        <f t="shared" si="182"/>
        <v/>
      </c>
      <c r="QDH6" s="97" t="str">
        <f t="shared" si="182"/>
        <v/>
      </c>
      <c r="QDI6" s="97" t="str">
        <f t="shared" si="182"/>
        <v/>
      </c>
      <c r="QDJ6" s="97" t="str">
        <f t="shared" si="182"/>
        <v/>
      </c>
      <c r="QDK6" s="97" t="str">
        <f t="shared" si="182"/>
        <v/>
      </c>
      <c r="QDL6" s="97" t="str">
        <f t="shared" si="182"/>
        <v/>
      </c>
      <c r="QDM6" s="97" t="str">
        <f t="shared" si="182"/>
        <v/>
      </c>
      <c r="QDN6" s="97" t="str">
        <f t="shared" si="182"/>
        <v/>
      </c>
      <c r="QDO6" s="97" t="str">
        <f t="shared" si="182"/>
        <v/>
      </c>
      <c r="QDP6" s="97" t="str">
        <f t="shared" si="182"/>
        <v/>
      </c>
      <c r="QDQ6" s="97" t="str">
        <f t="shared" si="182"/>
        <v/>
      </c>
      <c r="QDR6" s="97" t="str">
        <f t="shared" si="182"/>
        <v/>
      </c>
      <c r="QDS6" s="97" t="str">
        <f t="shared" si="182"/>
        <v/>
      </c>
      <c r="QDT6" s="97" t="str">
        <f t="shared" si="182"/>
        <v/>
      </c>
      <c r="QDU6" s="97" t="str">
        <f t="shared" si="182"/>
        <v/>
      </c>
      <c r="QDV6" s="97" t="str">
        <f t="shared" si="182"/>
        <v/>
      </c>
      <c r="QDW6" s="97" t="str">
        <f t="shared" si="182"/>
        <v/>
      </c>
      <c r="QDX6" s="97" t="str">
        <f t="shared" si="182"/>
        <v/>
      </c>
      <c r="QDY6" s="97" t="str">
        <f t="shared" si="182"/>
        <v/>
      </c>
      <c r="QDZ6" s="97" t="str">
        <f t="shared" si="182"/>
        <v/>
      </c>
      <c r="QEA6" s="97" t="str">
        <f t="shared" si="182"/>
        <v/>
      </c>
      <c r="QEB6" s="97" t="str">
        <f t="shared" si="182"/>
        <v/>
      </c>
      <c r="QEC6" s="97" t="str">
        <f t="shared" si="182"/>
        <v/>
      </c>
      <c r="QED6" s="97" t="str">
        <f t="shared" si="182"/>
        <v/>
      </c>
      <c r="QEE6" s="97" t="str">
        <f t="shared" si="182"/>
        <v/>
      </c>
      <c r="QEF6" s="97" t="str">
        <f t="shared" si="182"/>
        <v/>
      </c>
      <c r="QEG6" s="97" t="str">
        <f t="shared" si="182"/>
        <v/>
      </c>
      <c r="QEH6" s="97" t="str">
        <f t="shared" si="182"/>
        <v/>
      </c>
      <c r="QEI6" s="97" t="str">
        <f t="shared" si="182"/>
        <v/>
      </c>
      <c r="QEJ6" s="97" t="str">
        <f t="shared" si="182"/>
        <v/>
      </c>
      <c r="QEK6" s="97" t="str">
        <f t="shared" si="182"/>
        <v/>
      </c>
      <c r="QEL6" s="97" t="str">
        <f t="shared" si="182"/>
        <v/>
      </c>
      <c r="QEM6" s="97" t="str">
        <f t="shared" si="182"/>
        <v/>
      </c>
      <c r="QEN6" s="97" t="str">
        <f t="shared" si="182"/>
        <v/>
      </c>
      <c r="QEO6" s="97" t="str">
        <f t="shared" si="182"/>
        <v/>
      </c>
      <c r="QEP6" s="97" t="str">
        <f t="shared" si="182"/>
        <v/>
      </c>
      <c r="QEQ6" s="97" t="str">
        <f t="shared" si="182"/>
        <v/>
      </c>
      <c r="QER6" s="97" t="str">
        <f t="shared" si="182"/>
        <v/>
      </c>
      <c r="QES6" s="97" t="str">
        <f t="shared" si="182"/>
        <v/>
      </c>
      <c r="QET6" s="97" t="str">
        <f t="shared" si="182"/>
        <v/>
      </c>
      <c r="QEU6" s="97" t="str">
        <f t="shared" si="182"/>
        <v/>
      </c>
      <c r="QEV6" s="97" t="str">
        <f t="shared" si="182"/>
        <v/>
      </c>
      <c r="QEW6" s="97" t="str">
        <f t="shared" si="182"/>
        <v/>
      </c>
      <c r="QEX6" s="97" t="str">
        <f t="shared" si="182"/>
        <v/>
      </c>
      <c r="QEY6" s="97" t="str">
        <f t="shared" si="182"/>
        <v/>
      </c>
      <c r="QEZ6" s="97" t="str">
        <f t="shared" si="182"/>
        <v/>
      </c>
      <c r="QFA6" s="97" t="str">
        <f t="shared" si="182"/>
        <v/>
      </c>
      <c r="QFB6" s="97" t="str">
        <f t="shared" si="182"/>
        <v/>
      </c>
      <c r="QFC6" s="97" t="str">
        <f t="shared" si="182"/>
        <v/>
      </c>
      <c r="QFD6" s="97" t="str">
        <f t="shared" si="182"/>
        <v/>
      </c>
      <c r="QFE6" s="97" t="str">
        <f t="shared" si="182"/>
        <v/>
      </c>
      <c r="QFF6" s="97" t="str">
        <f t="shared" ref="QFF6:QHQ6" si="183">IFERROR(AVERAGE(QFF7:QFF13),"")</f>
        <v/>
      </c>
      <c r="QFG6" s="97" t="str">
        <f t="shared" si="183"/>
        <v/>
      </c>
      <c r="QFH6" s="97" t="str">
        <f t="shared" si="183"/>
        <v/>
      </c>
      <c r="QFI6" s="97" t="str">
        <f t="shared" si="183"/>
        <v/>
      </c>
      <c r="QFJ6" s="97" t="str">
        <f t="shared" si="183"/>
        <v/>
      </c>
      <c r="QFK6" s="97" t="str">
        <f t="shared" si="183"/>
        <v/>
      </c>
      <c r="QFL6" s="97" t="str">
        <f t="shared" si="183"/>
        <v/>
      </c>
      <c r="QFM6" s="97" t="str">
        <f t="shared" si="183"/>
        <v/>
      </c>
      <c r="QFN6" s="97" t="str">
        <f t="shared" si="183"/>
        <v/>
      </c>
      <c r="QFO6" s="97" t="str">
        <f t="shared" si="183"/>
        <v/>
      </c>
      <c r="QFP6" s="97" t="str">
        <f t="shared" si="183"/>
        <v/>
      </c>
      <c r="QFQ6" s="97" t="str">
        <f t="shared" si="183"/>
        <v/>
      </c>
      <c r="QFR6" s="97" t="str">
        <f t="shared" si="183"/>
        <v/>
      </c>
      <c r="QFS6" s="97" t="str">
        <f t="shared" si="183"/>
        <v/>
      </c>
      <c r="QFT6" s="97" t="str">
        <f t="shared" si="183"/>
        <v/>
      </c>
      <c r="QFU6" s="97" t="str">
        <f t="shared" si="183"/>
        <v/>
      </c>
      <c r="QFV6" s="97" t="str">
        <f t="shared" si="183"/>
        <v/>
      </c>
      <c r="QFW6" s="97" t="str">
        <f t="shared" si="183"/>
        <v/>
      </c>
      <c r="QFX6" s="97" t="str">
        <f t="shared" si="183"/>
        <v/>
      </c>
      <c r="QFY6" s="97" t="str">
        <f t="shared" si="183"/>
        <v/>
      </c>
      <c r="QFZ6" s="97" t="str">
        <f t="shared" si="183"/>
        <v/>
      </c>
      <c r="QGA6" s="97" t="str">
        <f t="shared" si="183"/>
        <v/>
      </c>
      <c r="QGB6" s="97" t="str">
        <f t="shared" si="183"/>
        <v/>
      </c>
      <c r="QGC6" s="97" t="str">
        <f t="shared" si="183"/>
        <v/>
      </c>
      <c r="QGD6" s="97" t="str">
        <f t="shared" si="183"/>
        <v/>
      </c>
      <c r="QGE6" s="97" t="str">
        <f t="shared" si="183"/>
        <v/>
      </c>
      <c r="QGF6" s="97" t="str">
        <f t="shared" si="183"/>
        <v/>
      </c>
      <c r="QGG6" s="97" t="str">
        <f t="shared" si="183"/>
        <v/>
      </c>
      <c r="QGH6" s="97" t="str">
        <f t="shared" si="183"/>
        <v/>
      </c>
      <c r="QGI6" s="97" t="str">
        <f t="shared" si="183"/>
        <v/>
      </c>
      <c r="QGJ6" s="97" t="str">
        <f t="shared" si="183"/>
        <v/>
      </c>
      <c r="QGK6" s="97" t="str">
        <f t="shared" si="183"/>
        <v/>
      </c>
      <c r="QGL6" s="97" t="str">
        <f t="shared" si="183"/>
        <v/>
      </c>
      <c r="QGM6" s="97" t="str">
        <f t="shared" si="183"/>
        <v/>
      </c>
      <c r="QGN6" s="97" t="str">
        <f t="shared" si="183"/>
        <v/>
      </c>
      <c r="QGO6" s="97" t="str">
        <f t="shared" si="183"/>
        <v/>
      </c>
      <c r="QGP6" s="97" t="str">
        <f t="shared" si="183"/>
        <v/>
      </c>
      <c r="QGQ6" s="97" t="str">
        <f t="shared" si="183"/>
        <v/>
      </c>
      <c r="QGR6" s="97" t="str">
        <f t="shared" si="183"/>
        <v/>
      </c>
      <c r="QGS6" s="97" t="str">
        <f t="shared" si="183"/>
        <v/>
      </c>
      <c r="QGT6" s="97" t="str">
        <f t="shared" si="183"/>
        <v/>
      </c>
      <c r="QGU6" s="97" t="str">
        <f t="shared" si="183"/>
        <v/>
      </c>
      <c r="QGV6" s="97" t="str">
        <f t="shared" si="183"/>
        <v/>
      </c>
      <c r="QGW6" s="97" t="str">
        <f t="shared" si="183"/>
        <v/>
      </c>
      <c r="QGX6" s="97" t="str">
        <f t="shared" si="183"/>
        <v/>
      </c>
      <c r="QGY6" s="97" t="str">
        <f t="shared" si="183"/>
        <v/>
      </c>
      <c r="QGZ6" s="97" t="str">
        <f t="shared" si="183"/>
        <v/>
      </c>
      <c r="QHA6" s="97" t="str">
        <f t="shared" si="183"/>
        <v/>
      </c>
      <c r="QHB6" s="97" t="str">
        <f t="shared" si="183"/>
        <v/>
      </c>
      <c r="QHC6" s="97" t="str">
        <f t="shared" si="183"/>
        <v/>
      </c>
      <c r="QHD6" s="97" t="str">
        <f t="shared" si="183"/>
        <v/>
      </c>
      <c r="QHE6" s="97" t="str">
        <f t="shared" si="183"/>
        <v/>
      </c>
      <c r="QHF6" s="97" t="str">
        <f t="shared" si="183"/>
        <v/>
      </c>
      <c r="QHG6" s="97" t="str">
        <f t="shared" si="183"/>
        <v/>
      </c>
      <c r="QHH6" s="97" t="str">
        <f t="shared" si="183"/>
        <v/>
      </c>
      <c r="QHI6" s="97" t="str">
        <f t="shared" si="183"/>
        <v/>
      </c>
      <c r="QHJ6" s="97" t="str">
        <f t="shared" si="183"/>
        <v/>
      </c>
      <c r="QHK6" s="97" t="str">
        <f t="shared" si="183"/>
        <v/>
      </c>
      <c r="QHL6" s="97" t="str">
        <f t="shared" si="183"/>
        <v/>
      </c>
      <c r="QHM6" s="97" t="str">
        <f t="shared" si="183"/>
        <v/>
      </c>
      <c r="QHN6" s="97" t="str">
        <f t="shared" si="183"/>
        <v/>
      </c>
      <c r="QHO6" s="97" t="str">
        <f t="shared" si="183"/>
        <v/>
      </c>
      <c r="QHP6" s="97" t="str">
        <f t="shared" si="183"/>
        <v/>
      </c>
      <c r="QHQ6" s="97" t="str">
        <f t="shared" si="183"/>
        <v/>
      </c>
      <c r="QHR6" s="97" t="str">
        <f t="shared" ref="QHR6:QKC6" si="184">IFERROR(AVERAGE(QHR7:QHR13),"")</f>
        <v/>
      </c>
      <c r="QHS6" s="97" t="str">
        <f t="shared" si="184"/>
        <v/>
      </c>
      <c r="QHT6" s="97" t="str">
        <f t="shared" si="184"/>
        <v/>
      </c>
      <c r="QHU6" s="97" t="str">
        <f t="shared" si="184"/>
        <v/>
      </c>
      <c r="QHV6" s="97" t="str">
        <f t="shared" si="184"/>
        <v/>
      </c>
      <c r="QHW6" s="97" t="str">
        <f t="shared" si="184"/>
        <v/>
      </c>
      <c r="QHX6" s="97" t="str">
        <f t="shared" si="184"/>
        <v/>
      </c>
      <c r="QHY6" s="97" t="str">
        <f t="shared" si="184"/>
        <v/>
      </c>
      <c r="QHZ6" s="97" t="str">
        <f t="shared" si="184"/>
        <v/>
      </c>
      <c r="QIA6" s="97" t="str">
        <f t="shared" si="184"/>
        <v/>
      </c>
      <c r="QIB6" s="97" t="str">
        <f t="shared" si="184"/>
        <v/>
      </c>
      <c r="QIC6" s="97" t="str">
        <f t="shared" si="184"/>
        <v/>
      </c>
      <c r="QID6" s="97" t="str">
        <f t="shared" si="184"/>
        <v/>
      </c>
      <c r="QIE6" s="97" t="str">
        <f t="shared" si="184"/>
        <v/>
      </c>
      <c r="QIF6" s="97" t="str">
        <f t="shared" si="184"/>
        <v/>
      </c>
      <c r="QIG6" s="97" t="str">
        <f t="shared" si="184"/>
        <v/>
      </c>
      <c r="QIH6" s="97" t="str">
        <f t="shared" si="184"/>
        <v/>
      </c>
      <c r="QII6" s="97" t="str">
        <f t="shared" si="184"/>
        <v/>
      </c>
      <c r="QIJ6" s="97" t="str">
        <f t="shared" si="184"/>
        <v/>
      </c>
      <c r="QIK6" s="97" t="str">
        <f t="shared" si="184"/>
        <v/>
      </c>
      <c r="QIL6" s="97" t="str">
        <f t="shared" si="184"/>
        <v/>
      </c>
      <c r="QIM6" s="97" t="str">
        <f t="shared" si="184"/>
        <v/>
      </c>
      <c r="QIN6" s="97" t="str">
        <f t="shared" si="184"/>
        <v/>
      </c>
      <c r="QIO6" s="97" t="str">
        <f t="shared" si="184"/>
        <v/>
      </c>
      <c r="QIP6" s="97" t="str">
        <f t="shared" si="184"/>
        <v/>
      </c>
      <c r="QIQ6" s="97" t="str">
        <f t="shared" si="184"/>
        <v/>
      </c>
      <c r="QIR6" s="97" t="str">
        <f t="shared" si="184"/>
        <v/>
      </c>
      <c r="QIS6" s="97" t="str">
        <f t="shared" si="184"/>
        <v/>
      </c>
      <c r="QIT6" s="97" t="str">
        <f t="shared" si="184"/>
        <v/>
      </c>
      <c r="QIU6" s="97" t="str">
        <f t="shared" si="184"/>
        <v/>
      </c>
      <c r="QIV6" s="97" t="str">
        <f t="shared" si="184"/>
        <v/>
      </c>
      <c r="QIW6" s="97" t="str">
        <f t="shared" si="184"/>
        <v/>
      </c>
      <c r="QIX6" s="97" t="str">
        <f t="shared" si="184"/>
        <v/>
      </c>
      <c r="QIY6" s="97" t="str">
        <f t="shared" si="184"/>
        <v/>
      </c>
      <c r="QIZ6" s="97" t="str">
        <f t="shared" si="184"/>
        <v/>
      </c>
      <c r="QJA6" s="97" t="str">
        <f t="shared" si="184"/>
        <v/>
      </c>
      <c r="QJB6" s="97" t="str">
        <f t="shared" si="184"/>
        <v/>
      </c>
      <c r="QJC6" s="97" t="str">
        <f t="shared" si="184"/>
        <v/>
      </c>
      <c r="QJD6" s="97" t="str">
        <f t="shared" si="184"/>
        <v/>
      </c>
      <c r="QJE6" s="97" t="str">
        <f t="shared" si="184"/>
        <v/>
      </c>
      <c r="QJF6" s="97" t="str">
        <f t="shared" si="184"/>
        <v/>
      </c>
      <c r="QJG6" s="97" t="str">
        <f t="shared" si="184"/>
        <v/>
      </c>
      <c r="QJH6" s="97" t="str">
        <f t="shared" si="184"/>
        <v/>
      </c>
      <c r="QJI6" s="97" t="str">
        <f t="shared" si="184"/>
        <v/>
      </c>
      <c r="QJJ6" s="97" t="str">
        <f t="shared" si="184"/>
        <v/>
      </c>
      <c r="QJK6" s="97" t="str">
        <f t="shared" si="184"/>
        <v/>
      </c>
      <c r="QJL6" s="97" t="str">
        <f t="shared" si="184"/>
        <v/>
      </c>
      <c r="QJM6" s="97" t="str">
        <f t="shared" si="184"/>
        <v/>
      </c>
      <c r="QJN6" s="97" t="str">
        <f t="shared" si="184"/>
        <v/>
      </c>
      <c r="QJO6" s="97" t="str">
        <f t="shared" si="184"/>
        <v/>
      </c>
      <c r="QJP6" s="97" t="str">
        <f t="shared" si="184"/>
        <v/>
      </c>
      <c r="QJQ6" s="97" t="str">
        <f t="shared" si="184"/>
        <v/>
      </c>
      <c r="QJR6" s="97" t="str">
        <f t="shared" si="184"/>
        <v/>
      </c>
      <c r="QJS6" s="97" t="str">
        <f t="shared" si="184"/>
        <v/>
      </c>
      <c r="QJT6" s="97" t="str">
        <f t="shared" si="184"/>
        <v/>
      </c>
      <c r="QJU6" s="97" t="str">
        <f t="shared" si="184"/>
        <v/>
      </c>
      <c r="QJV6" s="97" t="str">
        <f t="shared" si="184"/>
        <v/>
      </c>
      <c r="QJW6" s="97" t="str">
        <f t="shared" si="184"/>
        <v/>
      </c>
      <c r="QJX6" s="97" t="str">
        <f t="shared" si="184"/>
        <v/>
      </c>
      <c r="QJY6" s="97" t="str">
        <f t="shared" si="184"/>
        <v/>
      </c>
      <c r="QJZ6" s="97" t="str">
        <f t="shared" si="184"/>
        <v/>
      </c>
      <c r="QKA6" s="97" t="str">
        <f t="shared" si="184"/>
        <v/>
      </c>
      <c r="QKB6" s="97" t="str">
        <f t="shared" si="184"/>
        <v/>
      </c>
      <c r="QKC6" s="97" t="str">
        <f t="shared" si="184"/>
        <v/>
      </c>
      <c r="QKD6" s="97" t="str">
        <f t="shared" ref="QKD6:QMO6" si="185">IFERROR(AVERAGE(QKD7:QKD13),"")</f>
        <v/>
      </c>
      <c r="QKE6" s="97" t="str">
        <f t="shared" si="185"/>
        <v/>
      </c>
      <c r="QKF6" s="97" t="str">
        <f t="shared" si="185"/>
        <v/>
      </c>
      <c r="QKG6" s="97" t="str">
        <f t="shared" si="185"/>
        <v/>
      </c>
      <c r="QKH6" s="97" t="str">
        <f t="shared" si="185"/>
        <v/>
      </c>
      <c r="QKI6" s="97" t="str">
        <f t="shared" si="185"/>
        <v/>
      </c>
      <c r="QKJ6" s="97" t="str">
        <f t="shared" si="185"/>
        <v/>
      </c>
      <c r="QKK6" s="97" t="str">
        <f t="shared" si="185"/>
        <v/>
      </c>
      <c r="QKL6" s="97" t="str">
        <f t="shared" si="185"/>
        <v/>
      </c>
      <c r="QKM6" s="97" t="str">
        <f t="shared" si="185"/>
        <v/>
      </c>
      <c r="QKN6" s="97" t="str">
        <f t="shared" si="185"/>
        <v/>
      </c>
      <c r="QKO6" s="97" t="str">
        <f t="shared" si="185"/>
        <v/>
      </c>
      <c r="QKP6" s="97" t="str">
        <f t="shared" si="185"/>
        <v/>
      </c>
      <c r="QKQ6" s="97" t="str">
        <f t="shared" si="185"/>
        <v/>
      </c>
      <c r="QKR6" s="97" t="str">
        <f t="shared" si="185"/>
        <v/>
      </c>
      <c r="QKS6" s="97" t="str">
        <f t="shared" si="185"/>
        <v/>
      </c>
      <c r="QKT6" s="97" t="str">
        <f t="shared" si="185"/>
        <v/>
      </c>
      <c r="QKU6" s="97" t="str">
        <f t="shared" si="185"/>
        <v/>
      </c>
      <c r="QKV6" s="97" t="str">
        <f t="shared" si="185"/>
        <v/>
      </c>
      <c r="QKW6" s="97" t="str">
        <f t="shared" si="185"/>
        <v/>
      </c>
      <c r="QKX6" s="97" t="str">
        <f t="shared" si="185"/>
        <v/>
      </c>
      <c r="QKY6" s="97" t="str">
        <f t="shared" si="185"/>
        <v/>
      </c>
      <c r="QKZ6" s="97" t="str">
        <f t="shared" si="185"/>
        <v/>
      </c>
      <c r="QLA6" s="97" t="str">
        <f t="shared" si="185"/>
        <v/>
      </c>
      <c r="QLB6" s="97" t="str">
        <f t="shared" si="185"/>
        <v/>
      </c>
      <c r="QLC6" s="97" t="str">
        <f t="shared" si="185"/>
        <v/>
      </c>
      <c r="QLD6" s="97" t="str">
        <f t="shared" si="185"/>
        <v/>
      </c>
      <c r="QLE6" s="97" t="str">
        <f t="shared" si="185"/>
        <v/>
      </c>
      <c r="QLF6" s="97" t="str">
        <f t="shared" si="185"/>
        <v/>
      </c>
      <c r="QLG6" s="97" t="str">
        <f t="shared" si="185"/>
        <v/>
      </c>
      <c r="QLH6" s="97" t="str">
        <f t="shared" si="185"/>
        <v/>
      </c>
      <c r="QLI6" s="97" t="str">
        <f t="shared" si="185"/>
        <v/>
      </c>
      <c r="QLJ6" s="97" t="str">
        <f t="shared" si="185"/>
        <v/>
      </c>
      <c r="QLK6" s="97" t="str">
        <f t="shared" si="185"/>
        <v/>
      </c>
      <c r="QLL6" s="97" t="str">
        <f t="shared" si="185"/>
        <v/>
      </c>
      <c r="QLM6" s="97" t="str">
        <f t="shared" si="185"/>
        <v/>
      </c>
      <c r="QLN6" s="97" t="str">
        <f t="shared" si="185"/>
        <v/>
      </c>
      <c r="QLO6" s="97" t="str">
        <f t="shared" si="185"/>
        <v/>
      </c>
      <c r="QLP6" s="97" t="str">
        <f t="shared" si="185"/>
        <v/>
      </c>
      <c r="QLQ6" s="97" t="str">
        <f t="shared" si="185"/>
        <v/>
      </c>
      <c r="QLR6" s="97" t="str">
        <f t="shared" si="185"/>
        <v/>
      </c>
      <c r="QLS6" s="97" t="str">
        <f t="shared" si="185"/>
        <v/>
      </c>
      <c r="QLT6" s="97" t="str">
        <f t="shared" si="185"/>
        <v/>
      </c>
      <c r="QLU6" s="97" t="str">
        <f t="shared" si="185"/>
        <v/>
      </c>
      <c r="QLV6" s="97" t="str">
        <f t="shared" si="185"/>
        <v/>
      </c>
      <c r="QLW6" s="97" t="str">
        <f t="shared" si="185"/>
        <v/>
      </c>
      <c r="QLX6" s="97" t="str">
        <f t="shared" si="185"/>
        <v/>
      </c>
      <c r="QLY6" s="97" t="str">
        <f t="shared" si="185"/>
        <v/>
      </c>
      <c r="QLZ6" s="97" t="str">
        <f t="shared" si="185"/>
        <v/>
      </c>
      <c r="QMA6" s="97" t="str">
        <f t="shared" si="185"/>
        <v/>
      </c>
      <c r="QMB6" s="97" t="str">
        <f t="shared" si="185"/>
        <v/>
      </c>
      <c r="QMC6" s="97" t="str">
        <f t="shared" si="185"/>
        <v/>
      </c>
      <c r="QMD6" s="97" t="str">
        <f t="shared" si="185"/>
        <v/>
      </c>
      <c r="QME6" s="97" t="str">
        <f t="shared" si="185"/>
        <v/>
      </c>
      <c r="QMF6" s="97" t="str">
        <f t="shared" si="185"/>
        <v/>
      </c>
      <c r="QMG6" s="97" t="str">
        <f t="shared" si="185"/>
        <v/>
      </c>
      <c r="QMH6" s="97" t="str">
        <f t="shared" si="185"/>
        <v/>
      </c>
      <c r="QMI6" s="97" t="str">
        <f t="shared" si="185"/>
        <v/>
      </c>
      <c r="QMJ6" s="97" t="str">
        <f t="shared" si="185"/>
        <v/>
      </c>
      <c r="QMK6" s="97" t="str">
        <f t="shared" si="185"/>
        <v/>
      </c>
      <c r="QML6" s="97" t="str">
        <f t="shared" si="185"/>
        <v/>
      </c>
      <c r="QMM6" s="97" t="str">
        <f t="shared" si="185"/>
        <v/>
      </c>
      <c r="QMN6" s="97" t="str">
        <f t="shared" si="185"/>
        <v/>
      </c>
      <c r="QMO6" s="97" t="str">
        <f t="shared" si="185"/>
        <v/>
      </c>
      <c r="QMP6" s="97" t="str">
        <f t="shared" ref="QMP6:QPA6" si="186">IFERROR(AVERAGE(QMP7:QMP13),"")</f>
        <v/>
      </c>
      <c r="QMQ6" s="97" t="str">
        <f t="shared" si="186"/>
        <v/>
      </c>
      <c r="QMR6" s="97" t="str">
        <f t="shared" si="186"/>
        <v/>
      </c>
      <c r="QMS6" s="97" t="str">
        <f t="shared" si="186"/>
        <v/>
      </c>
      <c r="QMT6" s="97" t="str">
        <f t="shared" si="186"/>
        <v/>
      </c>
      <c r="QMU6" s="97" t="str">
        <f t="shared" si="186"/>
        <v/>
      </c>
      <c r="QMV6" s="97" t="str">
        <f t="shared" si="186"/>
        <v/>
      </c>
      <c r="QMW6" s="97" t="str">
        <f t="shared" si="186"/>
        <v/>
      </c>
      <c r="QMX6" s="97" t="str">
        <f t="shared" si="186"/>
        <v/>
      </c>
      <c r="QMY6" s="97" t="str">
        <f t="shared" si="186"/>
        <v/>
      </c>
      <c r="QMZ6" s="97" t="str">
        <f t="shared" si="186"/>
        <v/>
      </c>
      <c r="QNA6" s="97" t="str">
        <f t="shared" si="186"/>
        <v/>
      </c>
      <c r="QNB6" s="97" t="str">
        <f t="shared" si="186"/>
        <v/>
      </c>
      <c r="QNC6" s="97" t="str">
        <f t="shared" si="186"/>
        <v/>
      </c>
      <c r="QND6" s="97" t="str">
        <f t="shared" si="186"/>
        <v/>
      </c>
      <c r="QNE6" s="97" t="str">
        <f t="shared" si="186"/>
        <v/>
      </c>
      <c r="QNF6" s="97" t="str">
        <f t="shared" si="186"/>
        <v/>
      </c>
      <c r="QNG6" s="97" t="str">
        <f t="shared" si="186"/>
        <v/>
      </c>
      <c r="QNH6" s="97" t="str">
        <f t="shared" si="186"/>
        <v/>
      </c>
      <c r="QNI6" s="97" t="str">
        <f t="shared" si="186"/>
        <v/>
      </c>
      <c r="QNJ6" s="97" t="str">
        <f t="shared" si="186"/>
        <v/>
      </c>
      <c r="QNK6" s="97" t="str">
        <f t="shared" si="186"/>
        <v/>
      </c>
      <c r="QNL6" s="97" t="str">
        <f t="shared" si="186"/>
        <v/>
      </c>
      <c r="QNM6" s="97" t="str">
        <f t="shared" si="186"/>
        <v/>
      </c>
      <c r="QNN6" s="97" t="str">
        <f t="shared" si="186"/>
        <v/>
      </c>
      <c r="QNO6" s="97" t="str">
        <f t="shared" si="186"/>
        <v/>
      </c>
      <c r="QNP6" s="97" t="str">
        <f t="shared" si="186"/>
        <v/>
      </c>
      <c r="QNQ6" s="97" t="str">
        <f t="shared" si="186"/>
        <v/>
      </c>
      <c r="QNR6" s="97" t="str">
        <f t="shared" si="186"/>
        <v/>
      </c>
      <c r="QNS6" s="97" t="str">
        <f t="shared" si="186"/>
        <v/>
      </c>
      <c r="QNT6" s="97" t="str">
        <f t="shared" si="186"/>
        <v/>
      </c>
      <c r="QNU6" s="97" t="str">
        <f t="shared" si="186"/>
        <v/>
      </c>
      <c r="QNV6" s="97" t="str">
        <f t="shared" si="186"/>
        <v/>
      </c>
      <c r="QNW6" s="97" t="str">
        <f t="shared" si="186"/>
        <v/>
      </c>
      <c r="QNX6" s="97" t="str">
        <f t="shared" si="186"/>
        <v/>
      </c>
      <c r="QNY6" s="97" t="str">
        <f t="shared" si="186"/>
        <v/>
      </c>
      <c r="QNZ6" s="97" t="str">
        <f t="shared" si="186"/>
        <v/>
      </c>
      <c r="QOA6" s="97" t="str">
        <f t="shared" si="186"/>
        <v/>
      </c>
      <c r="QOB6" s="97" t="str">
        <f t="shared" si="186"/>
        <v/>
      </c>
      <c r="QOC6" s="97" t="str">
        <f t="shared" si="186"/>
        <v/>
      </c>
      <c r="QOD6" s="97" t="str">
        <f t="shared" si="186"/>
        <v/>
      </c>
      <c r="QOE6" s="97" t="str">
        <f t="shared" si="186"/>
        <v/>
      </c>
      <c r="QOF6" s="97" t="str">
        <f t="shared" si="186"/>
        <v/>
      </c>
      <c r="QOG6" s="97" t="str">
        <f t="shared" si="186"/>
        <v/>
      </c>
      <c r="QOH6" s="97" t="str">
        <f t="shared" si="186"/>
        <v/>
      </c>
      <c r="QOI6" s="97" t="str">
        <f t="shared" si="186"/>
        <v/>
      </c>
      <c r="QOJ6" s="97" t="str">
        <f t="shared" si="186"/>
        <v/>
      </c>
      <c r="QOK6" s="97" t="str">
        <f t="shared" si="186"/>
        <v/>
      </c>
      <c r="QOL6" s="97" t="str">
        <f t="shared" si="186"/>
        <v/>
      </c>
      <c r="QOM6" s="97" t="str">
        <f t="shared" si="186"/>
        <v/>
      </c>
      <c r="QON6" s="97" t="str">
        <f t="shared" si="186"/>
        <v/>
      </c>
      <c r="QOO6" s="97" t="str">
        <f t="shared" si="186"/>
        <v/>
      </c>
      <c r="QOP6" s="97" t="str">
        <f t="shared" si="186"/>
        <v/>
      </c>
      <c r="QOQ6" s="97" t="str">
        <f t="shared" si="186"/>
        <v/>
      </c>
      <c r="QOR6" s="97" t="str">
        <f t="shared" si="186"/>
        <v/>
      </c>
      <c r="QOS6" s="97" t="str">
        <f t="shared" si="186"/>
        <v/>
      </c>
      <c r="QOT6" s="97" t="str">
        <f t="shared" si="186"/>
        <v/>
      </c>
      <c r="QOU6" s="97" t="str">
        <f t="shared" si="186"/>
        <v/>
      </c>
      <c r="QOV6" s="97" t="str">
        <f t="shared" si="186"/>
        <v/>
      </c>
      <c r="QOW6" s="97" t="str">
        <f t="shared" si="186"/>
        <v/>
      </c>
      <c r="QOX6" s="97" t="str">
        <f t="shared" si="186"/>
        <v/>
      </c>
      <c r="QOY6" s="97" t="str">
        <f t="shared" si="186"/>
        <v/>
      </c>
      <c r="QOZ6" s="97" t="str">
        <f t="shared" si="186"/>
        <v/>
      </c>
      <c r="QPA6" s="97" t="str">
        <f t="shared" si="186"/>
        <v/>
      </c>
      <c r="QPB6" s="97" t="str">
        <f t="shared" ref="QPB6:QRM6" si="187">IFERROR(AVERAGE(QPB7:QPB13),"")</f>
        <v/>
      </c>
      <c r="QPC6" s="97" t="str">
        <f t="shared" si="187"/>
        <v/>
      </c>
      <c r="QPD6" s="97" t="str">
        <f t="shared" si="187"/>
        <v/>
      </c>
      <c r="QPE6" s="97" t="str">
        <f t="shared" si="187"/>
        <v/>
      </c>
      <c r="QPF6" s="97" t="str">
        <f t="shared" si="187"/>
        <v/>
      </c>
      <c r="QPG6" s="97" t="str">
        <f t="shared" si="187"/>
        <v/>
      </c>
      <c r="QPH6" s="97" t="str">
        <f t="shared" si="187"/>
        <v/>
      </c>
      <c r="QPI6" s="97" t="str">
        <f t="shared" si="187"/>
        <v/>
      </c>
      <c r="QPJ6" s="97" t="str">
        <f t="shared" si="187"/>
        <v/>
      </c>
      <c r="QPK6" s="97" t="str">
        <f t="shared" si="187"/>
        <v/>
      </c>
      <c r="QPL6" s="97" t="str">
        <f t="shared" si="187"/>
        <v/>
      </c>
      <c r="QPM6" s="97" t="str">
        <f t="shared" si="187"/>
        <v/>
      </c>
      <c r="QPN6" s="97" t="str">
        <f t="shared" si="187"/>
        <v/>
      </c>
      <c r="QPO6" s="97" t="str">
        <f t="shared" si="187"/>
        <v/>
      </c>
      <c r="QPP6" s="97" t="str">
        <f t="shared" si="187"/>
        <v/>
      </c>
      <c r="QPQ6" s="97" t="str">
        <f t="shared" si="187"/>
        <v/>
      </c>
      <c r="QPR6" s="97" t="str">
        <f t="shared" si="187"/>
        <v/>
      </c>
      <c r="QPS6" s="97" t="str">
        <f t="shared" si="187"/>
        <v/>
      </c>
      <c r="QPT6" s="97" t="str">
        <f t="shared" si="187"/>
        <v/>
      </c>
      <c r="QPU6" s="97" t="str">
        <f t="shared" si="187"/>
        <v/>
      </c>
      <c r="QPV6" s="97" t="str">
        <f t="shared" si="187"/>
        <v/>
      </c>
      <c r="QPW6" s="97" t="str">
        <f t="shared" si="187"/>
        <v/>
      </c>
      <c r="QPX6" s="97" t="str">
        <f t="shared" si="187"/>
        <v/>
      </c>
      <c r="QPY6" s="97" t="str">
        <f t="shared" si="187"/>
        <v/>
      </c>
      <c r="QPZ6" s="97" t="str">
        <f t="shared" si="187"/>
        <v/>
      </c>
      <c r="QQA6" s="97" t="str">
        <f t="shared" si="187"/>
        <v/>
      </c>
      <c r="QQB6" s="97" t="str">
        <f t="shared" si="187"/>
        <v/>
      </c>
      <c r="QQC6" s="97" t="str">
        <f t="shared" si="187"/>
        <v/>
      </c>
      <c r="QQD6" s="97" t="str">
        <f t="shared" si="187"/>
        <v/>
      </c>
      <c r="QQE6" s="97" t="str">
        <f t="shared" si="187"/>
        <v/>
      </c>
      <c r="QQF6" s="97" t="str">
        <f t="shared" si="187"/>
        <v/>
      </c>
      <c r="QQG6" s="97" t="str">
        <f t="shared" si="187"/>
        <v/>
      </c>
      <c r="QQH6" s="97" t="str">
        <f t="shared" si="187"/>
        <v/>
      </c>
      <c r="QQI6" s="97" t="str">
        <f t="shared" si="187"/>
        <v/>
      </c>
      <c r="QQJ6" s="97" t="str">
        <f t="shared" si="187"/>
        <v/>
      </c>
      <c r="QQK6" s="97" t="str">
        <f t="shared" si="187"/>
        <v/>
      </c>
      <c r="QQL6" s="97" t="str">
        <f t="shared" si="187"/>
        <v/>
      </c>
      <c r="QQM6" s="97" t="str">
        <f t="shared" si="187"/>
        <v/>
      </c>
      <c r="QQN6" s="97" t="str">
        <f t="shared" si="187"/>
        <v/>
      </c>
      <c r="QQO6" s="97" t="str">
        <f t="shared" si="187"/>
        <v/>
      </c>
      <c r="QQP6" s="97" t="str">
        <f t="shared" si="187"/>
        <v/>
      </c>
      <c r="QQQ6" s="97" t="str">
        <f t="shared" si="187"/>
        <v/>
      </c>
      <c r="QQR6" s="97" t="str">
        <f t="shared" si="187"/>
        <v/>
      </c>
      <c r="QQS6" s="97" t="str">
        <f t="shared" si="187"/>
        <v/>
      </c>
      <c r="QQT6" s="97" t="str">
        <f t="shared" si="187"/>
        <v/>
      </c>
      <c r="QQU6" s="97" t="str">
        <f t="shared" si="187"/>
        <v/>
      </c>
      <c r="QQV6" s="97" t="str">
        <f t="shared" si="187"/>
        <v/>
      </c>
      <c r="QQW6" s="97" t="str">
        <f t="shared" si="187"/>
        <v/>
      </c>
      <c r="QQX6" s="97" t="str">
        <f t="shared" si="187"/>
        <v/>
      </c>
      <c r="QQY6" s="97" t="str">
        <f t="shared" si="187"/>
        <v/>
      </c>
      <c r="QQZ6" s="97" t="str">
        <f t="shared" si="187"/>
        <v/>
      </c>
      <c r="QRA6" s="97" t="str">
        <f t="shared" si="187"/>
        <v/>
      </c>
      <c r="QRB6" s="97" t="str">
        <f t="shared" si="187"/>
        <v/>
      </c>
      <c r="QRC6" s="97" t="str">
        <f t="shared" si="187"/>
        <v/>
      </c>
      <c r="QRD6" s="97" t="str">
        <f t="shared" si="187"/>
        <v/>
      </c>
      <c r="QRE6" s="97" t="str">
        <f t="shared" si="187"/>
        <v/>
      </c>
      <c r="QRF6" s="97" t="str">
        <f t="shared" si="187"/>
        <v/>
      </c>
      <c r="QRG6" s="97" t="str">
        <f t="shared" si="187"/>
        <v/>
      </c>
      <c r="QRH6" s="97" t="str">
        <f t="shared" si="187"/>
        <v/>
      </c>
      <c r="QRI6" s="97" t="str">
        <f t="shared" si="187"/>
        <v/>
      </c>
      <c r="QRJ6" s="97" t="str">
        <f t="shared" si="187"/>
        <v/>
      </c>
      <c r="QRK6" s="97" t="str">
        <f t="shared" si="187"/>
        <v/>
      </c>
      <c r="QRL6" s="97" t="str">
        <f t="shared" si="187"/>
        <v/>
      </c>
      <c r="QRM6" s="97" t="str">
        <f t="shared" si="187"/>
        <v/>
      </c>
      <c r="QRN6" s="97" t="str">
        <f t="shared" ref="QRN6:QTY6" si="188">IFERROR(AVERAGE(QRN7:QRN13),"")</f>
        <v/>
      </c>
      <c r="QRO6" s="97" t="str">
        <f t="shared" si="188"/>
        <v/>
      </c>
      <c r="QRP6" s="97" t="str">
        <f t="shared" si="188"/>
        <v/>
      </c>
      <c r="QRQ6" s="97" t="str">
        <f t="shared" si="188"/>
        <v/>
      </c>
      <c r="QRR6" s="97" t="str">
        <f t="shared" si="188"/>
        <v/>
      </c>
      <c r="QRS6" s="97" t="str">
        <f t="shared" si="188"/>
        <v/>
      </c>
      <c r="QRT6" s="97" t="str">
        <f t="shared" si="188"/>
        <v/>
      </c>
      <c r="QRU6" s="97" t="str">
        <f t="shared" si="188"/>
        <v/>
      </c>
      <c r="QRV6" s="97" t="str">
        <f t="shared" si="188"/>
        <v/>
      </c>
      <c r="QRW6" s="97" t="str">
        <f t="shared" si="188"/>
        <v/>
      </c>
      <c r="QRX6" s="97" t="str">
        <f t="shared" si="188"/>
        <v/>
      </c>
      <c r="QRY6" s="97" t="str">
        <f t="shared" si="188"/>
        <v/>
      </c>
      <c r="QRZ6" s="97" t="str">
        <f t="shared" si="188"/>
        <v/>
      </c>
      <c r="QSA6" s="97" t="str">
        <f t="shared" si="188"/>
        <v/>
      </c>
      <c r="QSB6" s="97" t="str">
        <f t="shared" si="188"/>
        <v/>
      </c>
      <c r="QSC6" s="97" t="str">
        <f t="shared" si="188"/>
        <v/>
      </c>
      <c r="QSD6" s="97" t="str">
        <f t="shared" si="188"/>
        <v/>
      </c>
      <c r="QSE6" s="97" t="str">
        <f t="shared" si="188"/>
        <v/>
      </c>
      <c r="QSF6" s="97" t="str">
        <f t="shared" si="188"/>
        <v/>
      </c>
      <c r="QSG6" s="97" t="str">
        <f t="shared" si="188"/>
        <v/>
      </c>
      <c r="QSH6" s="97" t="str">
        <f t="shared" si="188"/>
        <v/>
      </c>
      <c r="QSI6" s="97" t="str">
        <f t="shared" si="188"/>
        <v/>
      </c>
      <c r="QSJ6" s="97" t="str">
        <f t="shared" si="188"/>
        <v/>
      </c>
      <c r="QSK6" s="97" t="str">
        <f t="shared" si="188"/>
        <v/>
      </c>
      <c r="QSL6" s="97" t="str">
        <f t="shared" si="188"/>
        <v/>
      </c>
      <c r="QSM6" s="97" t="str">
        <f t="shared" si="188"/>
        <v/>
      </c>
      <c r="QSN6" s="97" t="str">
        <f t="shared" si="188"/>
        <v/>
      </c>
      <c r="QSO6" s="97" t="str">
        <f t="shared" si="188"/>
        <v/>
      </c>
      <c r="QSP6" s="97" t="str">
        <f t="shared" si="188"/>
        <v/>
      </c>
      <c r="QSQ6" s="97" t="str">
        <f t="shared" si="188"/>
        <v/>
      </c>
      <c r="QSR6" s="97" t="str">
        <f t="shared" si="188"/>
        <v/>
      </c>
      <c r="QSS6" s="97" t="str">
        <f t="shared" si="188"/>
        <v/>
      </c>
      <c r="QST6" s="97" t="str">
        <f t="shared" si="188"/>
        <v/>
      </c>
      <c r="QSU6" s="97" t="str">
        <f t="shared" si="188"/>
        <v/>
      </c>
      <c r="QSV6" s="97" t="str">
        <f t="shared" si="188"/>
        <v/>
      </c>
      <c r="QSW6" s="97" t="str">
        <f t="shared" si="188"/>
        <v/>
      </c>
      <c r="QSX6" s="97" t="str">
        <f t="shared" si="188"/>
        <v/>
      </c>
      <c r="QSY6" s="97" t="str">
        <f t="shared" si="188"/>
        <v/>
      </c>
      <c r="QSZ6" s="97" t="str">
        <f t="shared" si="188"/>
        <v/>
      </c>
      <c r="QTA6" s="97" t="str">
        <f t="shared" si="188"/>
        <v/>
      </c>
      <c r="QTB6" s="97" t="str">
        <f t="shared" si="188"/>
        <v/>
      </c>
      <c r="QTC6" s="97" t="str">
        <f t="shared" si="188"/>
        <v/>
      </c>
      <c r="QTD6" s="97" t="str">
        <f t="shared" si="188"/>
        <v/>
      </c>
      <c r="QTE6" s="97" t="str">
        <f t="shared" si="188"/>
        <v/>
      </c>
      <c r="QTF6" s="97" t="str">
        <f t="shared" si="188"/>
        <v/>
      </c>
      <c r="QTG6" s="97" t="str">
        <f t="shared" si="188"/>
        <v/>
      </c>
      <c r="QTH6" s="97" t="str">
        <f t="shared" si="188"/>
        <v/>
      </c>
      <c r="QTI6" s="97" t="str">
        <f t="shared" si="188"/>
        <v/>
      </c>
      <c r="QTJ6" s="97" t="str">
        <f t="shared" si="188"/>
        <v/>
      </c>
      <c r="QTK6" s="97" t="str">
        <f t="shared" si="188"/>
        <v/>
      </c>
      <c r="QTL6" s="97" t="str">
        <f t="shared" si="188"/>
        <v/>
      </c>
      <c r="QTM6" s="97" t="str">
        <f t="shared" si="188"/>
        <v/>
      </c>
      <c r="QTN6" s="97" t="str">
        <f t="shared" si="188"/>
        <v/>
      </c>
      <c r="QTO6" s="97" t="str">
        <f t="shared" si="188"/>
        <v/>
      </c>
      <c r="QTP6" s="97" t="str">
        <f t="shared" si="188"/>
        <v/>
      </c>
      <c r="QTQ6" s="97" t="str">
        <f t="shared" si="188"/>
        <v/>
      </c>
      <c r="QTR6" s="97" t="str">
        <f t="shared" si="188"/>
        <v/>
      </c>
      <c r="QTS6" s="97" t="str">
        <f t="shared" si="188"/>
        <v/>
      </c>
      <c r="QTT6" s="97" t="str">
        <f t="shared" si="188"/>
        <v/>
      </c>
      <c r="QTU6" s="97" t="str">
        <f t="shared" si="188"/>
        <v/>
      </c>
      <c r="QTV6" s="97" t="str">
        <f t="shared" si="188"/>
        <v/>
      </c>
      <c r="QTW6" s="97" t="str">
        <f t="shared" si="188"/>
        <v/>
      </c>
      <c r="QTX6" s="97" t="str">
        <f t="shared" si="188"/>
        <v/>
      </c>
      <c r="QTY6" s="97" t="str">
        <f t="shared" si="188"/>
        <v/>
      </c>
      <c r="QTZ6" s="97" t="str">
        <f t="shared" ref="QTZ6:QWK6" si="189">IFERROR(AVERAGE(QTZ7:QTZ13),"")</f>
        <v/>
      </c>
      <c r="QUA6" s="97" t="str">
        <f t="shared" si="189"/>
        <v/>
      </c>
      <c r="QUB6" s="97" t="str">
        <f t="shared" si="189"/>
        <v/>
      </c>
      <c r="QUC6" s="97" t="str">
        <f t="shared" si="189"/>
        <v/>
      </c>
      <c r="QUD6" s="97" t="str">
        <f t="shared" si="189"/>
        <v/>
      </c>
      <c r="QUE6" s="97" t="str">
        <f t="shared" si="189"/>
        <v/>
      </c>
      <c r="QUF6" s="97" t="str">
        <f t="shared" si="189"/>
        <v/>
      </c>
      <c r="QUG6" s="97" t="str">
        <f t="shared" si="189"/>
        <v/>
      </c>
      <c r="QUH6" s="97" t="str">
        <f t="shared" si="189"/>
        <v/>
      </c>
      <c r="QUI6" s="97" t="str">
        <f t="shared" si="189"/>
        <v/>
      </c>
      <c r="QUJ6" s="97" t="str">
        <f t="shared" si="189"/>
        <v/>
      </c>
      <c r="QUK6" s="97" t="str">
        <f t="shared" si="189"/>
        <v/>
      </c>
      <c r="QUL6" s="97" t="str">
        <f t="shared" si="189"/>
        <v/>
      </c>
      <c r="QUM6" s="97" t="str">
        <f t="shared" si="189"/>
        <v/>
      </c>
      <c r="QUN6" s="97" t="str">
        <f t="shared" si="189"/>
        <v/>
      </c>
      <c r="QUO6" s="97" t="str">
        <f t="shared" si="189"/>
        <v/>
      </c>
      <c r="QUP6" s="97" t="str">
        <f t="shared" si="189"/>
        <v/>
      </c>
      <c r="QUQ6" s="97" t="str">
        <f t="shared" si="189"/>
        <v/>
      </c>
      <c r="QUR6" s="97" t="str">
        <f t="shared" si="189"/>
        <v/>
      </c>
      <c r="QUS6" s="97" t="str">
        <f t="shared" si="189"/>
        <v/>
      </c>
      <c r="QUT6" s="97" t="str">
        <f t="shared" si="189"/>
        <v/>
      </c>
      <c r="QUU6" s="97" t="str">
        <f t="shared" si="189"/>
        <v/>
      </c>
      <c r="QUV6" s="97" t="str">
        <f t="shared" si="189"/>
        <v/>
      </c>
      <c r="QUW6" s="97" t="str">
        <f t="shared" si="189"/>
        <v/>
      </c>
      <c r="QUX6" s="97" t="str">
        <f t="shared" si="189"/>
        <v/>
      </c>
      <c r="QUY6" s="97" t="str">
        <f t="shared" si="189"/>
        <v/>
      </c>
      <c r="QUZ6" s="97" t="str">
        <f t="shared" si="189"/>
        <v/>
      </c>
      <c r="QVA6" s="97" t="str">
        <f t="shared" si="189"/>
        <v/>
      </c>
      <c r="QVB6" s="97" t="str">
        <f t="shared" si="189"/>
        <v/>
      </c>
      <c r="QVC6" s="97" t="str">
        <f t="shared" si="189"/>
        <v/>
      </c>
      <c r="QVD6" s="97" t="str">
        <f t="shared" si="189"/>
        <v/>
      </c>
      <c r="QVE6" s="97" t="str">
        <f t="shared" si="189"/>
        <v/>
      </c>
      <c r="QVF6" s="97" t="str">
        <f t="shared" si="189"/>
        <v/>
      </c>
      <c r="QVG6" s="97" t="str">
        <f t="shared" si="189"/>
        <v/>
      </c>
      <c r="QVH6" s="97" t="str">
        <f t="shared" si="189"/>
        <v/>
      </c>
      <c r="QVI6" s="97" t="str">
        <f t="shared" si="189"/>
        <v/>
      </c>
      <c r="QVJ6" s="97" t="str">
        <f t="shared" si="189"/>
        <v/>
      </c>
      <c r="QVK6" s="97" t="str">
        <f t="shared" si="189"/>
        <v/>
      </c>
      <c r="QVL6" s="97" t="str">
        <f t="shared" si="189"/>
        <v/>
      </c>
      <c r="QVM6" s="97" t="str">
        <f t="shared" si="189"/>
        <v/>
      </c>
      <c r="QVN6" s="97" t="str">
        <f t="shared" si="189"/>
        <v/>
      </c>
      <c r="QVO6" s="97" t="str">
        <f t="shared" si="189"/>
        <v/>
      </c>
      <c r="QVP6" s="97" t="str">
        <f t="shared" si="189"/>
        <v/>
      </c>
      <c r="QVQ6" s="97" t="str">
        <f t="shared" si="189"/>
        <v/>
      </c>
      <c r="QVR6" s="97" t="str">
        <f t="shared" si="189"/>
        <v/>
      </c>
      <c r="QVS6" s="97" t="str">
        <f t="shared" si="189"/>
        <v/>
      </c>
      <c r="QVT6" s="97" t="str">
        <f t="shared" si="189"/>
        <v/>
      </c>
      <c r="QVU6" s="97" t="str">
        <f t="shared" si="189"/>
        <v/>
      </c>
      <c r="QVV6" s="97" t="str">
        <f t="shared" si="189"/>
        <v/>
      </c>
      <c r="QVW6" s="97" t="str">
        <f t="shared" si="189"/>
        <v/>
      </c>
      <c r="QVX6" s="97" t="str">
        <f t="shared" si="189"/>
        <v/>
      </c>
      <c r="QVY6" s="97" t="str">
        <f t="shared" si="189"/>
        <v/>
      </c>
      <c r="QVZ6" s="97" t="str">
        <f t="shared" si="189"/>
        <v/>
      </c>
      <c r="QWA6" s="97" t="str">
        <f t="shared" si="189"/>
        <v/>
      </c>
      <c r="QWB6" s="97" t="str">
        <f t="shared" si="189"/>
        <v/>
      </c>
      <c r="QWC6" s="97" t="str">
        <f t="shared" si="189"/>
        <v/>
      </c>
      <c r="QWD6" s="97" t="str">
        <f t="shared" si="189"/>
        <v/>
      </c>
      <c r="QWE6" s="97" t="str">
        <f t="shared" si="189"/>
        <v/>
      </c>
      <c r="QWF6" s="97" t="str">
        <f t="shared" si="189"/>
        <v/>
      </c>
      <c r="QWG6" s="97" t="str">
        <f t="shared" si="189"/>
        <v/>
      </c>
      <c r="QWH6" s="97" t="str">
        <f t="shared" si="189"/>
        <v/>
      </c>
      <c r="QWI6" s="97" t="str">
        <f t="shared" si="189"/>
        <v/>
      </c>
      <c r="QWJ6" s="97" t="str">
        <f t="shared" si="189"/>
        <v/>
      </c>
      <c r="QWK6" s="97" t="str">
        <f t="shared" si="189"/>
        <v/>
      </c>
      <c r="QWL6" s="97" t="str">
        <f t="shared" ref="QWL6:QYW6" si="190">IFERROR(AVERAGE(QWL7:QWL13),"")</f>
        <v/>
      </c>
      <c r="QWM6" s="97" t="str">
        <f t="shared" si="190"/>
        <v/>
      </c>
      <c r="QWN6" s="97" t="str">
        <f t="shared" si="190"/>
        <v/>
      </c>
      <c r="QWO6" s="97" t="str">
        <f t="shared" si="190"/>
        <v/>
      </c>
      <c r="QWP6" s="97" t="str">
        <f t="shared" si="190"/>
        <v/>
      </c>
      <c r="QWQ6" s="97" t="str">
        <f t="shared" si="190"/>
        <v/>
      </c>
      <c r="QWR6" s="97" t="str">
        <f t="shared" si="190"/>
        <v/>
      </c>
      <c r="QWS6" s="97" t="str">
        <f t="shared" si="190"/>
        <v/>
      </c>
      <c r="QWT6" s="97" t="str">
        <f t="shared" si="190"/>
        <v/>
      </c>
      <c r="QWU6" s="97" t="str">
        <f t="shared" si="190"/>
        <v/>
      </c>
      <c r="QWV6" s="97" t="str">
        <f t="shared" si="190"/>
        <v/>
      </c>
      <c r="QWW6" s="97" t="str">
        <f t="shared" si="190"/>
        <v/>
      </c>
      <c r="QWX6" s="97" t="str">
        <f t="shared" si="190"/>
        <v/>
      </c>
      <c r="QWY6" s="97" t="str">
        <f t="shared" si="190"/>
        <v/>
      </c>
      <c r="QWZ6" s="97" t="str">
        <f t="shared" si="190"/>
        <v/>
      </c>
      <c r="QXA6" s="97" t="str">
        <f t="shared" si="190"/>
        <v/>
      </c>
      <c r="QXB6" s="97" t="str">
        <f t="shared" si="190"/>
        <v/>
      </c>
      <c r="QXC6" s="97" t="str">
        <f t="shared" si="190"/>
        <v/>
      </c>
      <c r="QXD6" s="97" t="str">
        <f t="shared" si="190"/>
        <v/>
      </c>
      <c r="QXE6" s="97" t="str">
        <f t="shared" si="190"/>
        <v/>
      </c>
      <c r="QXF6" s="97" t="str">
        <f t="shared" si="190"/>
        <v/>
      </c>
      <c r="QXG6" s="97" t="str">
        <f t="shared" si="190"/>
        <v/>
      </c>
      <c r="QXH6" s="97" t="str">
        <f t="shared" si="190"/>
        <v/>
      </c>
      <c r="QXI6" s="97" t="str">
        <f t="shared" si="190"/>
        <v/>
      </c>
      <c r="QXJ6" s="97" t="str">
        <f t="shared" si="190"/>
        <v/>
      </c>
      <c r="QXK6" s="97" t="str">
        <f t="shared" si="190"/>
        <v/>
      </c>
      <c r="QXL6" s="97" t="str">
        <f t="shared" si="190"/>
        <v/>
      </c>
      <c r="QXM6" s="97" t="str">
        <f t="shared" si="190"/>
        <v/>
      </c>
      <c r="QXN6" s="97" t="str">
        <f t="shared" si="190"/>
        <v/>
      </c>
      <c r="QXO6" s="97" t="str">
        <f t="shared" si="190"/>
        <v/>
      </c>
      <c r="QXP6" s="97" t="str">
        <f t="shared" si="190"/>
        <v/>
      </c>
      <c r="QXQ6" s="97" t="str">
        <f t="shared" si="190"/>
        <v/>
      </c>
      <c r="QXR6" s="97" t="str">
        <f t="shared" si="190"/>
        <v/>
      </c>
      <c r="QXS6" s="97" t="str">
        <f t="shared" si="190"/>
        <v/>
      </c>
      <c r="QXT6" s="97" t="str">
        <f t="shared" si="190"/>
        <v/>
      </c>
      <c r="QXU6" s="97" t="str">
        <f t="shared" si="190"/>
        <v/>
      </c>
      <c r="QXV6" s="97" t="str">
        <f t="shared" si="190"/>
        <v/>
      </c>
      <c r="QXW6" s="97" t="str">
        <f t="shared" si="190"/>
        <v/>
      </c>
      <c r="QXX6" s="97" t="str">
        <f t="shared" si="190"/>
        <v/>
      </c>
      <c r="QXY6" s="97" t="str">
        <f t="shared" si="190"/>
        <v/>
      </c>
      <c r="QXZ6" s="97" t="str">
        <f t="shared" si="190"/>
        <v/>
      </c>
      <c r="QYA6" s="97" t="str">
        <f t="shared" si="190"/>
        <v/>
      </c>
      <c r="QYB6" s="97" t="str">
        <f t="shared" si="190"/>
        <v/>
      </c>
      <c r="QYC6" s="97" t="str">
        <f t="shared" si="190"/>
        <v/>
      </c>
      <c r="QYD6" s="97" t="str">
        <f t="shared" si="190"/>
        <v/>
      </c>
      <c r="QYE6" s="97" t="str">
        <f t="shared" si="190"/>
        <v/>
      </c>
      <c r="QYF6" s="97" t="str">
        <f t="shared" si="190"/>
        <v/>
      </c>
      <c r="QYG6" s="97" t="str">
        <f t="shared" si="190"/>
        <v/>
      </c>
      <c r="QYH6" s="97" t="str">
        <f t="shared" si="190"/>
        <v/>
      </c>
      <c r="QYI6" s="97" t="str">
        <f t="shared" si="190"/>
        <v/>
      </c>
      <c r="QYJ6" s="97" t="str">
        <f t="shared" si="190"/>
        <v/>
      </c>
      <c r="QYK6" s="97" t="str">
        <f t="shared" si="190"/>
        <v/>
      </c>
      <c r="QYL6" s="97" t="str">
        <f t="shared" si="190"/>
        <v/>
      </c>
      <c r="QYM6" s="97" t="str">
        <f t="shared" si="190"/>
        <v/>
      </c>
      <c r="QYN6" s="97" t="str">
        <f t="shared" si="190"/>
        <v/>
      </c>
      <c r="QYO6" s="97" t="str">
        <f t="shared" si="190"/>
        <v/>
      </c>
      <c r="QYP6" s="97" t="str">
        <f t="shared" si="190"/>
        <v/>
      </c>
      <c r="QYQ6" s="97" t="str">
        <f t="shared" si="190"/>
        <v/>
      </c>
      <c r="QYR6" s="97" t="str">
        <f t="shared" si="190"/>
        <v/>
      </c>
      <c r="QYS6" s="97" t="str">
        <f t="shared" si="190"/>
        <v/>
      </c>
      <c r="QYT6" s="97" t="str">
        <f t="shared" si="190"/>
        <v/>
      </c>
      <c r="QYU6" s="97" t="str">
        <f t="shared" si="190"/>
        <v/>
      </c>
      <c r="QYV6" s="97" t="str">
        <f t="shared" si="190"/>
        <v/>
      </c>
      <c r="QYW6" s="97" t="str">
        <f t="shared" si="190"/>
        <v/>
      </c>
      <c r="QYX6" s="97" t="str">
        <f t="shared" ref="QYX6:RBI6" si="191">IFERROR(AVERAGE(QYX7:QYX13),"")</f>
        <v/>
      </c>
      <c r="QYY6" s="97" t="str">
        <f t="shared" si="191"/>
        <v/>
      </c>
      <c r="QYZ6" s="97" t="str">
        <f t="shared" si="191"/>
        <v/>
      </c>
      <c r="QZA6" s="97" t="str">
        <f t="shared" si="191"/>
        <v/>
      </c>
      <c r="QZB6" s="97" t="str">
        <f t="shared" si="191"/>
        <v/>
      </c>
      <c r="QZC6" s="97" t="str">
        <f t="shared" si="191"/>
        <v/>
      </c>
      <c r="QZD6" s="97" t="str">
        <f t="shared" si="191"/>
        <v/>
      </c>
      <c r="QZE6" s="97" t="str">
        <f t="shared" si="191"/>
        <v/>
      </c>
      <c r="QZF6" s="97" t="str">
        <f t="shared" si="191"/>
        <v/>
      </c>
      <c r="QZG6" s="97" t="str">
        <f t="shared" si="191"/>
        <v/>
      </c>
      <c r="QZH6" s="97" t="str">
        <f t="shared" si="191"/>
        <v/>
      </c>
      <c r="QZI6" s="97" t="str">
        <f t="shared" si="191"/>
        <v/>
      </c>
      <c r="QZJ6" s="97" t="str">
        <f t="shared" si="191"/>
        <v/>
      </c>
      <c r="QZK6" s="97" t="str">
        <f t="shared" si="191"/>
        <v/>
      </c>
      <c r="QZL6" s="97" t="str">
        <f t="shared" si="191"/>
        <v/>
      </c>
      <c r="QZM6" s="97" t="str">
        <f t="shared" si="191"/>
        <v/>
      </c>
      <c r="QZN6" s="97" t="str">
        <f t="shared" si="191"/>
        <v/>
      </c>
      <c r="QZO6" s="97" t="str">
        <f t="shared" si="191"/>
        <v/>
      </c>
      <c r="QZP6" s="97" t="str">
        <f t="shared" si="191"/>
        <v/>
      </c>
      <c r="QZQ6" s="97" t="str">
        <f t="shared" si="191"/>
        <v/>
      </c>
      <c r="QZR6" s="97" t="str">
        <f t="shared" si="191"/>
        <v/>
      </c>
      <c r="QZS6" s="97" t="str">
        <f t="shared" si="191"/>
        <v/>
      </c>
      <c r="QZT6" s="97" t="str">
        <f t="shared" si="191"/>
        <v/>
      </c>
      <c r="QZU6" s="97" t="str">
        <f t="shared" si="191"/>
        <v/>
      </c>
      <c r="QZV6" s="97" t="str">
        <f t="shared" si="191"/>
        <v/>
      </c>
      <c r="QZW6" s="97" t="str">
        <f t="shared" si="191"/>
        <v/>
      </c>
      <c r="QZX6" s="97" t="str">
        <f t="shared" si="191"/>
        <v/>
      </c>
      <c r="QZY6" s="97" t="str">
        <f t="shared" si="191"/>
        <v/>
      </c>
      <c r="QZZ6" s="97" t="str">
        <f t="shared" si="191"/>
        <v/>
      </c>
      <c r="RAA6" s="97" t="str">
        <f t="shared" si="191"/>
        <v/>
      </c>
      <c r="RAB6" s="97" t="str">
        <f t="shared" si="191"/>
        <v/>
      </c>
      <c r="RAC6" s="97" t="str">
        <f t="shared" si="191"/>
        <v/>
      </c>
      <c r="RAD6" s="97" t="str">
        <f t="shared" si="191"/>
        <v/>
      </c>
      <c r="RAE6" s="97" t="str">
        <f t="shared" si="191"/>
        <v/>
      </c>
      <c r="RAF6" s="97" t="str">
        <f t="shared" si="191"/>
        <v/>
      </c>
      <c r="RAG6" s="97" t="str">
        <f t="shared" si="191"/>
        <v/>
      </c>
      <c r="RAH6" s="97" t="str">
        <f t="shared" si="191"/>
        <v/>
      </c>
      <c r="RAI6" s="97" t="str">
        <f t="shared" si="191"/>
        <v/>
      </c>
      <c r="RAJ6" s="97" t="str">
        <f t="shared" si="191"/>
        <v/>
      </c>
      <c r="RAK6" s="97" t="str">
        <f t="shared" si="191"/>
        <v/>
      </c>
      <c r="RAL6" s="97" t="str">
        <f t="shared" si="191"/>
        <v/>
      </c>
      <c r="RAM6" s="97" t="str">
        <f t="shared" si="191"/>
        <v/>
      </c>
      <c r="RAN6" s="97" t="str">
        <f t="shared" si="191"/>
        <v/>
      </c>
      <c r="RAO6" s="97" t="str">
        <f t="shared" si="191"/>
        <v/>
      </c>
      <c r="RAP6" s="97" t="str">
        <f t="shared" si="191"/>
        <v/>
      </c>
      <c r="RAQ6" s="97" t="str">
        <f t="shared" si="191"/>
        <v/>
      </c>
      <c r="RAR6" s="97" t="str">
        <f t="shared" si="191"/>
        <v/>
      </c>
      <c r="RAS6" s="97" t="str">
        <f t="shared" si="191"/>
        <v/>
      </c>
      <c r="RAT6" s="97" t="str">
        <f t="shared" si="191"/>
        <v/>
      </c>
      <c r="RAU6" s="97" t="str">
        <f t="shared" si="191"/>
        <v/>
      </c>
      <c r="RAV6" s="97" t="str">
        <f t="shared" si="191"/>
        <v/>
      </c>
      <c r="RAW6" s="97" t="str">
        <f t="shared" si="191"/>
        <v/>
      </c>
      <c r="RAX6" s="97" t="str">
        <f t="shared" si="191"/>
        <v/>
      </c>
      <c r="RAY6" s="97" t="str">
        <f t="shared" si="191"/>
        <v/>
      </c>
      <c r="RAZ6" s="97" t="str">
        <f t="shared" si="191"/>
        <v/>
      </c>
      <c r="RBA6" s="97" t="str">
        <f t="shared" si="191"/>
        <v/>
      </c>
      <c r="RBB6" s="97" t="str">
        <f t="shared" si="191"/>
        <v/>
      </c>
      <c r="RBC6" s="97" t="str">
        <f t="shared" si="191"/>
        <v/>
      </c>
      <c r="RBD6" s="97" t="str">
        <f t="shared" si="191"/>
        <v/>
      </c>
      <c r="RBE6" s="97" t="str">
        <f t="shared" si="191"/>
        <v/>
      </c>
      <c r="RBF6" s="97" t="str">
        <f t="shared" si="191"/>
        <v/>
      </c>
      <c r="RBG6" s="97" t="str">
        <f t="shared" si="191"/>
        <v/>
      </c>
      <c r="RBH6" s="97" t="str">
        <f t="shared" si="191"/>
        <v/>
      </c>
      <c r="RBI6" s="97" t="str">
        <f t="shared" si="191"/>
        <v/>
      </c>
      <c r="RBJ6" s="97" t="str">
        <f t="shared" ref="RBJ6:RDU6" si="192">IFERROR(AVERAGE(RBJ7:RBJ13),"")</f>
        <v/>
      </c>
      <c r="RBK6" s="97" t="str">
        <f t="shared" si="192"/>
        <v/>
      </c>
      <c r="RBL6" s="97" t="str">
        <f t="shared" si="192"/>
        <v/>
      </c>
      <c r="RBM6" s="97" t="str">
        <f t="shared" si="192"/>
        <v/>
      </c>
      <c r="RBN6" s="97" t="str">
        <f t="shared" si="192"/>
        <v/>
      </c>
      <c r="RBO6" s="97" t="str">
        <f t="shared" si="192"/>
        <v/>
      </c>
      <c r="RBP6" s="97" t="str">
        <f t="shared" si="192"/>
        <v/>
      </c>
      <c r="RBQ6" s="97" t="str">
        <f t="shared" si="192"/>
        <v/>
      </c>
      <c r="RBR6" s="97" t="str">
        <f t="shared" si="192"/>
        <v/>
      </c>
      <c r="RBS6" s="97" t="str">
        <f t="shared" si="192"/>
        <v/>
      </c>
      <c r="RBT6" s="97" t="str">
        <f t="shared" si="192"/>
        <v/>
      </c>
      <c r="RBU6" s="97" t="str">
        <f t="shared" si="192"/>
        <v/>
      </c>
      <c r="RBV6" s="97" t="str">
        <f t="shared" si="192"/>
        <v/>
      </c>
      <c r="RBW6" s="97" t="str">
        <f t="shared" si="192"/>
        <v/>
      </c>
      <c r="RBX6" s="97" t="str">
        <f t="shared" si="192"/>
        <v/>
      </c>
      <c r="RBY6" s="97" t="str">
        <f t="shared" si="192"/>
        <v/>
      </c>
      <c r="RBZ6" s="97" t="str">
        <f t="shared" si="192"/>
        <v/>
      </c>
      <c r="RCA6" s="97" t="str">
        <f t="shared" si="192"/>
        <v/>
      </c>
      <c r="RCB6" s="97" t="str">
        <f t="shared" si="192"/>
        <v/>
      </c>
      <c r="RCC6" s="97" t="str">
        <f t="shared" si="192"/>
        <v/>
      </c>
      <c r="RCD6" s="97" t="str">
        <f t="shared" si="192"/>
        <v/>
      </c>
      <c r="RCE6" s="97" t="str">
        <f t="shared" si="192"/>
        <v/>
      </c>
      <c r="RCF6" s="97" t="str">
        <f t="shared" si="192"/>
        <v/>
      </c>
      <c r="RCG6" s="97" t="str">
        <f t="shared" si="192"/>
        <v/>
      </c>
      <c r="RCH6" s="97" t="str">
        <f t="shared" si="192"/>
        <v/>
      </c>
      <c r="RCI6" s="97" t="str">
        <f t="shared" si="192"/>
        <v/>
      </c>
      <c r="RCJ6" s="97" t="str">
        <f t="shared" si="192"/>
        <v/>
      </c>
      <c r="RCK6" s="97" t="str">
        <f t="shared" si="192"/>
        <v/>
      </c>
      <c r="RCL6" s="97" t="str">
        <f t="shared" si="192"/>
        <v/>
      </c>
      <c r="RCM6" s="97" t="str">
        <f t="shared" si="192"/>
        <v/>
      </c>
      <c r="RCN6" s="97" t="str">
        <f t="shared" si="192"/>
        <v/>
      </c>
      <c r="RCO6" s="97" t="str">
        <f t="shared" si="192"/>
        <v/>
      </c>
      <c r="RCP6" s="97" t="str">
        <f t="shared" si="192"/>
        <v/>
      </c>
      <c r="RCQ6" s="97" t="str">
        <f t="shared" si="192"/>
        <v/>
      </c>
      <c r="RCR6" s="97" t="str">
        <f t="shared" si="192"/>
        <v/>
      </c>
      <c r="RCS6" s="97" t="str">
        <f t="shared" si="192"/>
        <v/>
      </c>
      <c r="RCT6" s="97" t="str">
        <f t="shared" si="192"/>
        <v/>
      </c>
      <c r="RCU6" s="97" t="str">
        <f t="shared" si="192"/>
        <v/>
      </c>
      <c r="RCV6" s="97" t="str">
        <f t="shared" si="192"/>
        <v/>
      </c>
      <c r="RCW6" s="97" t="str">
        <f t="shared" si="192"/>
        <v/>
      </c>
      <c r="RCX6" s="97" t="str">
        <f t="shared" si="192"/>
        <v/>
      </c>
      <c r="RCY6" s="97" t="str">
        <f t="shared" si="192"/>
        <v/>
      </c>
      <c r="RCZ6" s="97" t="str">
        <f t="shared" si="192"/>
        <v/>
      </c>
      <c r="RDA6" s="97" t="str">
        <f t="shared" si="192"/>
        <v/>
      </c>
      <c r="RDB6" s="97" t="str">
        <f t="shared" si="192"/>
        <v/>
      </c>
      <c r="RDC6" s="97" t="str">
        <f t="shared" si="192"/>
        <v/>
      </c>
      <c r="RDD6" s="97" t="str">
        <f t="shared" si="192"/>
        <v/>
      </c>
      <c r="RDE6" s="97" t="str">
        <f t="shared" si="192"/>
        <v/>
      </c>
      <c r="RDF6" s="97" t="str">
        <f t="shared" si="192"/>
        <v/>
      </c>
      <c r="RDG6" s="97" t="str">
        <f t="shared" si="192"/>
        <v/>
      </c>
      <c r="RDH6" s="97" t="str">
        <f t="shared" si="192"/>
        <v/>
      </c>
      <c r="RDI6" s="97" t="str">
        <f t="shared" si="192"/>
        <v/>
      </c>
      <c r="RDJ6" s="97" t="str">
        <f t="shared" si="192"/>
        <v/>
      </c>
      <c r="RDK6" s="97" t="str">
        <f t="shared" si="192"/>
        <v/>
      </c>
      <c r="RDL6" s="97" t="str">
        <f t="shared" si="192"/>
        <v/>
      </c>
      <c r="RDM6" s="97" t="str">
        <f t="shared" si="192"/>
        <v/>
      </c>
      <c r="RDN6" s="97" t="str">
        <f t="shared" si="192"/>
        <v/>
      </c>
      <c r="RDO6" s="97" t="str">
        <f t="shared" si="192"/>
        <v/>
      </c>
      <c r="RDP6" s="97" t="str">
        <f t="shared" si="192"/>
        <v/>
      </c>
      <c r="RDQ6" s="97" t="str">
        <f t="shared" si="192"/>
        <v/>
      </c>
      <c r="RDR6" s="97" t="str">
        <f t="shared" si="192"/>
        <v/>
      </c>
      <c r="RDS6" s="97" t="str">
        <f t="shared" si="192"/>
        <v/>
      </c>
      <c r="RDT6" s="97" t="str">
        <f t="shared" si="192"/>
        <v/>
      </c>
      <c r="RDU6" s="97" t="str">
        <f t="shared" si="192"/>
        <v/>
      </c>
      <c r="RDV6" s="97" t="str">
        <f t="shared" ref="RDV6:RGG6" si="193">IFERROR(AVERAGE(RDV7:RDV13),"")</f>
        <v/>
      </c>
      <c r="RDW6" s="97" t="str">
        <f t="shared" si="193"/>
        <v/>
      </c>
      <c r="RDX6" s="97" t="str">
        <f t="shared" si="193"/>
        <v/>
      </c>
      <c r="RDY6" s="97" t="str">
        <f t="shared" si="193"/>
        <v/>
      </c>
      <c r="RDZ6" s="97" t="str">
        <f t="shared" si="193"/>
        <v/>
      </c>
      <c r="REA6" s="97" t="str">
        <f t="shared" si="193"/>
        <v/>
      </c>
      <c r="REB6" s="97" t="str">
        <f t="shared" si="193"/>
        <v/>
      </c>
      <c r="REC6" s="97" t="str">
        <f t="shared" si="193"/>
        <v/>
      </c>
      <c r="RED6" s="97" t="str">
        <f t="shared" si="193"/>
        <v/>
      </c>
      <c r="REE6" s="97" t="str">
        <f t="shared" si="193"/>
        <v/>
      </c>
      <c r="REF6" s="97" t="str">
        <f t="shared" si="193"/>
        <v/>
      </c>
      <c r="REG6" s="97" t="str">
        <f t="shared" si="193"/>
        <v/>
      </c>
      <c r="REH6" s="97" t="str">
        <f t="shared" si="193"/>
        <v/>
      </c>
      <c r="REI6" s="97" t="str">
        <f t="shared" si="193"/>
        <v/>
      </c>
      <c r="REJ6" s="97" t="str">
        <f t="shared" si="193"/>
        <v/>
      </c>
      <c r="REK6" s="97" t="str">
        <f t="shared" si="193"/>
        <v/>
      </c>
      <c r="REL6" s="97" t="str">
        <f t="shared" si="193"/>
        <v/>
      </c>
      <c r="REM6" s="97" t="str">
        <f t="shared" si="193"/>
        <v/>
      </c>
      <c r="REN6" s="97" t="str">
        <f t="shared" si="193"/>
        <v/>
      </c>
      <c r="REO6" s="97" t="str">
        <f t="shared" si="193"/>
        <v/>
      </c>
      <c r="REP6" s="97" t="str">
        <f t="shared" si="193"/>
        <v/>
      </c>
      <c r="REQ6" s="97" t="str">
        <f t="shared" si="193"/>
        <v/>
      </c>
      <c r="RER6" s="97" t="str">
        <f t="shared" si="193"/>
        <v/>
      </c>
      <c r="RES6" s="97" t="str">
        <f t="shared" si="193"/>
        <v/>
      </c>
      <c r="RET6" s="97" t="str">
        <f t="shared" si="193"/>
        <v/>
      </c>
      <c r="REU6" s="97" t="str">
        <f t="shared" si="193"/>
        <v/>
      </c>
      <c r="REV6" s="97" t="str">
        <f t="shared" si="193"/>
        <v/>
      </c>
      <c r="REW6" s="97" t="str">
        <f t="shared" si="193"/>
        <v/>
      </c>
      <c r="REX6" s="97" t="str">
        <f t="shared" si="193"/>
        <v/>
      </c>
      <c r="REY6" s="97" t="str">
        <f t="shared" si="193"/>
        <v/>
      </c>
      <c r="REZ6" s="97" t="str">
        <f t="shared" si="193"/>
        <v/>
      </c>
      <c r="RFA6" s="97" t="str">
        <f t="shared" si="193"/>
        <v/>
      </c>
      <c r="RFB6" s="97" t="str">
        <f t="shared" si="193"/>
        <v/>
      </c>
      <c r="RFC6" s="97" t="str">
        <f t="shared" si="193"/>
        <v/>
      </c>
      <c r="RFD6" s="97" t="str">
        <f t="shared" si="193"/>
        <v/>
      </c>
      <c r="RFE6" s="97" t="str">
        <f t="shared" si="193"/>
        <v/>
      </c>
      <c r="RFF6" s="97" t="str">
        <f t="shared" si="193"/>
        <v/>
      </c>
      <c r="RFG6" s="97" t="str">
        <f t="shared" si="193"/>
        <v/>
      </c>
      <c r="RFH6" s="97" t="str">
        <f t="shared" si="193"/>
        <v/>
      </c>
      <c r="RFI6" s="97" t="str">
        <f t="shared" si="193"/>
        <v/>
      </c>
      <c r="RFJ6" s="97" t="str">
        <f t="shared" si="193"/>
        <v/>
      </c>
      <c r="RFK6" s="97" t="str">
        <f t="shared" si="193"/>
        <v/>
      </c>
      <c r="RFL6" s="97" t="str">
        <f t="shared" si="193"/>
        <v/>
      </c>
      <c r="RFM6" s="97" t="str">
        <f t="shared" si="193"/>
        <v/>
      </c>
      <c r="RFN6" s="97" t="str">
        <f t="shared" si="193"/>
        <v/>
      </c>
      <c r="RFO6" s="97" t="str">
        <f t="shared" si="193"/>
        <v/>
      </c>
      <c r="RFP6" s="97" t="str">
        <f t="shared" si="193"/>
        <v/>
      </c>
      <c r="RFQ6" s="97" t="str">
        <f t="shared" si="193"/>
        <v/>
      </c>
      <c r="RFR6" s="97" t="str">
        <f t="shared" si="193"/>
        <v/>
      </c>
      <c r="RFS6" s="97" t="str">
        <f t="shared" si="193"/>
        <v/>
      </c>
      <c r="RFT6" s="97" t="str">
        <f t="shared" si="193"/>
        <v/>
      </c>
      <c r="RFU6" s="97" t="str">
        <f t="shared" si="193"/>
        <v/>
      </c>
      <c r="RFV6" s="97" t="str">
        <f t="shared" si="193"/>
        <v/>
      </c>
      <c r="RFW6" s="97" t="str">
        <f t="shared" si="193"/>
        <v/>
      </c>
      <c r="RFX6" s="97" t="str">
        <f t="shared" si="193"/>
        <v/>
      </c>
      <c r="RFY6" s="97" t="str">
        <f t="shared" si="193"/>
        <v/>
      </c>
      <c r="RFZ6" s="97" t="str">
        <f t="shared" si="193"/>
        <v/>
      </c>
      <c r="RGA6" s="97" t="str">
        <f t="shared" si="193"/>
        <v/>
      </c>
      <c r="RGB6" s="97" t="str">
        <f t="shared" si="193"/>
        <v/>
      </c>
      <c r="RGC6" s="97" t="str">
        <f t="shared" si="193"/>
        <v/>
      </c>
      <c r="RGD6" s="97" t="str">
        <f t="shared" si="193"/>
        <v/>
      </c>
      <c r="RGE6" s="97" t="str">
        <f t="shared" si="193"/>
        <v/>
      </c>
      <c r="RGF6" s="97" t="str">
        <f t="shared" si="193"/>
        <v/>
      </c>
      <c r="RGG6" s="97" t="str">
        <f t="shared" si="193"/>
        <v/>
      </c>
      <c r="RGH6" s="97" t="str">
        <f t="shared" ref="RGH6:RIS6" si="194">IFERROR(AVERAGE(RGH7:RGH13),"")</f>
        <v/>
      </c>
      <c r="RGI6" s="97" t="str">
        <f t="shared" si="194"/>
        <v/>
      </c>
      <c r="RGJ6" s="97" t="str">
        <f t="shared" si="194"/>
        <v/>
      </c>
      <c r="RGK6" s="97" t="str">
        <f t="shared" si="194"/>
        <v/>
      </c>
      <c r="RGL6" s="97" t="str">
        <f t="shared" si="194"/>
        <v/>
      </c>
      <c r="RGM6" s="97" t="str">
        <f t="shared" si="194"/>
        <v/>
      </c>
      <c r="RGN6" s="97" t="str">
        <f t="shared" si="194"/>
        <v/>
      </c>
      <c r="RGO6" s="97" t="str">
        <f t="shared" si="194"/>
        <v/>
      </c>
      <c r="RGP6" s="97" t="str">
        <f t="shared" si="194"/>
        <v/>
      </c>
      <c r="RGQ6" s="97" t="str">
        <f t="shared" si="194"/>
        <v/>
      </c>
      <c r="RGR6" s="97" t="str">
        <f t="shared" si="194"/>
        <v/>
      </c>
      <c r="RGS6" s="97" t="str">
        <f t="shared" si="194"/>
        <v/>
      </c>
      <c r="RGT6" s="97" t="str">
        <f t="shared" si="194"/>
        <v/>
      </c>
      <c r="RGU6" s="97" t="str">
        <f t="shared" si="194"/>
        <v/>
      </c>
      <c r="RGV6" s="97" t="str">
        <f t="shared" si="194"/>
        <v/>
      </c>
      <c r="RGW6" s="97" t="str">
        <f t="shared" si="194"/>
        <v/>
      </c>
      <c r="RGX6" s="97" t="str">
        <f t="shared" si="194"/>
        <v/>
      </c>
      <c r="RGY6" s="97" t="str">
        <f t="shared" si="194"/>
        <v/>
      </c>
      <c r="RGZ6" s="97" t="str">
        <f t="shared" si="194"/>
        <v/>
      </c>
      <c r="RHA6" s="97" t="str">
        <f t="shared" si="194"/>
        <v/>
      </c>
      <c r="RHB6" s="97" t="str">
        <f t="shared" si="194"/>
        <v/>
      </c>
      <c r="RHC6" s="97" t="str">
        <f t="shared" si="194"/>
        <v/>
      </c>
      <c r="RHD6" s="97" t="str">
        <f t="shared" si="194"/>
        <v/>
      </c>
      <c r="RHE6" s="97" t="str">
        <f t="shared" si="194"/>
        <v/>
      </c>
      <c r="RHF6" s="97" t="str">
        <f t="shared" si="194"/>
        <v/>
      </c>
      <c r="RHG6" s="97" t="str">
        <f t="shared" si="194"/>
        <v/>
      </c>
      <c r="RHH6" s="97" t="str">
        <f t="shared" si="194"/>
        <v/>
      </c>
      <c r="RHI6" s="97" t="str">
        <f t="shared" si="194"/>
        <v/>
      </c>
      <c r="RHJ6" s="97" t="str">
        <f t="shared" si="194"/>
        <v/>
      </c>
      <c r="RHK6" s="97" t="str">
        <f t="shared" si="194"/>
        <v/>
      </c>
      <c r="RHL6" s="97" t="str">
        <f t="shared" si="194"/>
        <v/>
      </c>
      <c r="RHM6" s="97" t="str">
        <f t="shared" si="194"/>
        <v/>
      </c>
      <c r="RHN6" s="97" t="str">
        <f t="shared" si="194"/>
        <v/>
      </c>
      <c r="RHO6" s="97" t="str">
        <f t="shared" si="194"/>
        <v/>
      </c>
      <c r="RHP6" s="97" t="str">
        <f t="shared" si="194"/>
        <v/>
      </c>
      <c r="RHQ6" s="97" t="str">
        <f t="shared" si="194"/>
        <v/>
      </c>
      <c r="RHR6" s="97" t="str">
        <f t="shared" si="194"/>
        <v/>
      </c>
      <c r="RHS6" s="97" t="str">
        <f t="shared" si="194"/>
        <v/>
      </c>
      <c r="RHT6" s="97" t="str">
        <f t="shared" si="194"/>
        <v/>
      </c>
      <c r="RHU6" s="97" t="str">
        <f t="shared" si="194"/>
        <v/>
      </c>
      <c r="RHV6" s="97" t="str">
        <f t="shared" si="194"/>
        <v/>
      </c>
      <c r="RHW6" s="97" t="str">
        <f t="shared" si="194"/>
        <v/>
      </c>
      <c r="RHX6" s="97" t="str">
        <f t="shared" si="194"/>
        <v/>
      </c>
      <c r="RHY6" s="97" t="str">
        <f t="shared" si="194"/>
        <v/>
      </c>
      <c r="RHZ6" s="97" t="str">
        <f t="shared" si="194"/>
        <v/>
      </c>
      <c r="RIA6" s="97" t="str">
        <f t="shared" si="194"/>
        <v/>
      </c>
      <c r="RIB6" s="97" t="str">
        <f t="shared" si="194"/>
        <v/>
      </c>
      <c r="RIC6" s="97" t="str">
        <f t="shared" si="194"/>
        <v/>
      </c>
      <c r="RID6" s="97" t="str">
        <f t="shared" si="194"/>
        <v/>
      </c>
      <c r="RIE6" s="97" t="str">
        <f t="shared" si="194"/>
        <v/>
      </c>
      <c r="RIF6" s="97" t="str">
        <f t="shared" si="194"/>
        <v/>
      </c>
      <c r="RIG6" s="97" t="str">
        <f t="shared" si="194"/>
        <v/>
      </c>
      <c r="RIH6" s="97" t="str">
        <f t="shared" si="194"/>
        <v/>
      </c>
      <c r="RII6" s="97" t="str">
        <f t="shared" si="194"/>
        <v/>
      </c>
      <c r="RIJ6" s="97" t="str">
        <f t="shared" si="194"/>
        <v/>
      </c>
      <c r="RIK6" s="97" t="str">
        <f t="shared" si="194"/>
        <v/>
      </c>
      <c r="RIL6" s="97" t="str">
        <f t="shared" si="194"/>
        <v/>
      </c>
      <c r="RIM6" s="97" t="str">
        <f t="shared" si="194"/>
        <v/>
      </c>
      <c r="RIN6" s="97" t="str">
        <f t="shared" si="194"/>
        <v/>
      </c>
      <c r="RIO6" s="97" t="str">
        <f t="shared" si="194"/>
        <v/>
      </c>
      <c r="RIP6" s="97" t="str">
        <f t="shared" si="194"/>
        <v/>
      </c>
      <c r="RIQ6" s="97" t="str">
        <f t="shared" si="194"/>
        <v/>
      </c>
      <c r="RIR6" s="97" t="str">
        <f t="shared" si="194"/>
        <v/>
      </c>
      <c r="RIS6" s="97" t="str">
        <f t="shared" si="194"/>
        <v/>
      </c>
      <c r="RIT6" s="97" t="str">
        <f t="shared" ref="RIT6:RLE6" si="195">IFERROR(AVERAGE(RIT7:RIT13),"")</f>
        <v/>
      </c>
      <c r="RIU6" s="97" t="str">
        <f t="shared" si="195"/>
        <v/>
      </c>
      <c r="RIV6" s="97" t="str">
        <f t="shared" si="195"/>
        <v/>
      </c>
      <c r="RIW6" s="97" t="str">
        <f t="shared" si="195"/>
        <v/>
      </c>
      <c r="RIX6" s="97" t="str">
        <f t="shared" si="195"/>
        <v/>
      </c>
      <c r="RIY6" s="97" t="str">
        <f t="shared" si="195"/>
        <v/>
      </c>
      <c r="RIZ6" s="97" t="str">
        <f t="shared" si="195"/>
        <v/>
      </c>
      <c r="RJA6" s="97" t="str">
        <f t="shared" si="195"/>
        <v/>
      </c>
      <c r="RJB6" s="97" t="str">
        <f t="shared" si="195"/>
        <v/>
      </c>
      <c r="RJC6" s="97" t="str">
        <f t="shared" si="195"/>
        <v/>
      </c>
      <c r="RJD6" s="97" t="str">
        <f t="shared" si="195"/>
        <v/>
      </c>
      <c r="RJE6" s="97" t="str">
        <f t="shared" si="195"/>
        <v/>
      </c>
      <c r="RJF6" s="97" t="str">
        <f t="shared" si="195"/>
        <v/>
      </c>
      <c r="RJG6" s="97" t="str">
        <f t="shared" si="195"/>
        <v/>
      </c>
      <c r="RJH6" s="97" t="str">
        <f t="shared" si="195"/>
        <v/>
      </c>
      <c r="RJI6" s="97" t="str">
        <f t="shared" si="195"/>
        <v/>
      </c>
      <c r="RJJ6" s="97" t="str">
        <f t="shared" si="195"/>
        <v/>
      </c>
      <c r="RJK6" s="97" t="str">
        <f t="shared" si="195"/>
        <v/>
      </c>
      <c r="RJL6" s="97" t="str">
        <f t="shared" si="195"/>
        <v/>
      </c>
      <c r="RJM6" s="97" t="str">
        <f t="shared" si="195"/>
        <v/>
      </c>
      <c r="RJN6" s="97" t="str">
        <f t="shared" si="195"/>
        <v/>
      </c>
      <c r="RJO6" s="97" t="str">
        <f t="shared" si="195"/>
        <v/>
      </c>
      <c r="RJP6" s="97" t="str">
        <f t="shared" si="195"/>
        <v/>
      </c>
      <c r="RJQ6" s="97" t="str">
        <f t="shared" si="195"/>
        <v/>
      </c>
      <c r="RJR6" s="97" t="str">
        <f t="shared" si="195"/>
        <v/>
      </c>
      <c r="RJS6" s="97" t="str">
        <f t="shared" si="195"/>
        <v/>
      </c>
      <c r="RJT6" s="97" t="str">
        <f t="shared" si="195"/>
        <v/>
      </c>
      <c r="RJU6" s="97" t="str">
        <f t="shared" si="195"/>
        <v/>
      </c>
      <c r="RJV6" s="97" t="str">
        <f t="shared" si="195"/>
        <v/>
      </c>
      <c r="RJW6" s="97" t="str">
        <f t="shared" si="195"/>
        <v/>
      </c>
      <c r="RJX6" s="97" t="str">
        <f t="shared" si="195"/>
        <v/>
      </c>
      <c r="RJY6" s="97" t="str">
        <f t="shared" si="195"/>
        <v/>
      </c>
      <c r="RJZ6" s="97" t="str">
        <f t="shared" si="195"/>
        <v/>
      </c>
      <c r="RKA6" s="97" t="str">
        <f t="shared" si="195"/>
        <v/>
      </c>
      <c r="RKB6" s="97" t="str">
        <f t="shared" si="195"/>
        <v/>
      </c>
      <c r="RKC6" s="97" t="str">
        <f t="shared" si="195"/>
        <v/>
      </c>
      <c r="RKD6" s="97" t="str">
        <f t="shared" si="195"/>
        <v/>
      </c>
      <c r="RKE6" s="97" t="str">
        <f t="shared" si="195"/>
        <v/>
      </c>
      <c r="RKF6" s="97" t="str">
        <f t="shared" si="195"/>
        <v/>
      </c>
      <c r="RKG6" s="97" t="str">
        <f t="shared" si="195"/>
        <v/>
      </c>
      <c r="RKH6" s="97" t="str">
        <f t="shared" si="195"/>
        <v/>
      </c>
      <c r="RKI6" s="97" t="str">
        <f t="shared" si="195"/>
        <v/>
      </c>
      <c r="RKJ6" s="97" t="str">
        <f t="shared" si="195"/>
        <v/>
      </c>
      <c r="RKK6" s="97" t="str">
        <f t="shared" si="195"/>
        <v/>
      </c>
      <c r="RKL6" s="97" t="str">
        <f t="shared" si="195"/>
        <v/>
      </c>
      <c r="RKM6" s="97" t="str">
        <f t="shared" si="195"/>
        <v/>
      </c>
      <c r="RKN6" s="97" t="str">
        <f t="shared" si="195"/>
        <v/>
      </c>
      <c r="RKO6" s="97" t="str">
        <f t="shared" si="195"/>
        <v/>
      </c>
      <c r="RKP6" s="97" t="str">
        <f t="shared" si="195"/>
        <v/>
      </c>
      <c r="RKQ6" s="97" t="str">
        <f t="shared" si="195"/>
        <v/>
      </c>
      <c r="RKR6" s="97" t="str">
        <f t="shared" si="195"/>
        <v/>
      </c>
      <c r="RKS6" s="97" t="str">
        <f t="shared" si="195"/>
        <v/>
      </c>
      <c r="RKT6" s="97" t="str">
        <f t="shared" si="195"/>
        <v/>
      </c>
      <c r="RKU6" s="97" t="str">
        <f t="shared" si="195"/>
        <v/>
      </c>
      <c r="RKV6" s="97" t="str">
        <f t="shared" si="195"/>
        <v/>
      </c>
      <c r="RKW6" s="97" t="str">
        <f t="shared" si="195"/>
        <v/>
      </c>
      <c r="RKX6" s="97" t="str">
        <f t="shared" si="195"/>
        <v/>
      </c>
      <c r="RKY6" s="97" t="str">
        <f t="shared" si="195"/>
        <v/>
      </c>
      <c r="RKZ6" s="97" t="str">
        <f t="shared" si="195"/>
        <v/>
      </c>
      <c r="RLA6" s="97" t="str">
        <f t="shared" si="195"/>
        <v/>
      </c>
      <c r="RLB6" s="97" t="str">
        <f t="shared" si="195"/>
        <v/>
      </c>
      <c r="RLC6" s="97" t="str">
        <f t="shared" si="195"/>
        <v/>
      </c>
      <c r="RLD6" s="97" t="str">
        <f t="shared" si="195"/>
        <v/>
      </c>
      <c r="RLE6" s="97" t="str">
        <f t="shared" si="195"/>
        <v/>
      </c>
      <c r="RLF6" s="97" t="str">
        <f t="shared" ref="RLF6:RNQ6" si="196">IFERROR(AVERAGE(RLF7:RLF13),"")</f>
        <v/>
      </c>
      <c r="RLG6" s="97" t="str">
        <f t="shared" si="196"/>
        <v/>
      </c>
      <c r="RLH6" s="97" t="str">
        <f t="shared" si="196"/>
        <v/>
      </c>
      <c r="RLI6" s="97" t="str">
        <f t="shared" si="196"/>
        <v/>
      </c>
      <c r="RLJ6" s="97" t="str">
        <f t="shared" si="196"/>
        <v/>
      </c>
      <c r="RLK6" s="97" t="str">
        <f t="shared" si="196"/>
        <v/>
      </c>
      <c r="RLL6" s="97" t="str">
        <f t="shared" si="196"/>
        <v/>
      </c>
      <c r="RLM6" s="97" t="str">
        <f t="shared" si="196"/>
        <v/>
      </c>
      <c r="RLN6" s="97" t="str">
        <f t="shared" si="196"/>
        <v/>
      </c>
      <c r="RLO6" s="97" t="str">
        <f t="shared" si="196"/>
        <v/>
      </c>
      <c r="RLP6" s="97" t="str">
        <f t="shared" si="196"/>
        <v/>
      </c>
      <c r="RLQ6" s="97" t="str">
        <f t="shared" si="196"/>
        <v/>
      </c>
      <c r="RLR6" s="97" t="str">
        <f t="shared" si="196"/>
        <v/>
      </c>
      <c r="RLS6" s="97" t="str">
        <f t="shared" si="196"/>
        <v/>
      </c>
      <c r="RLT6" s="97" t="str">
        <f t="shared" si="196"/>
        <v/>
      </c>
      <c r="RLU6" s="97" t="str">
        <f t="shared" si="196"/>
        <v/>
      </c>
      <c r="RLV6" s="97" t="str">
        <f t="shared" si="196"/>
        <v/>
      </c>
      <c r="RLW6" s="97" t="str">
        <f t="shared" si="196"/>
        <v/>
      </c>
      <c r="RLX6" s="97" t="str">
        <f t="shared" si="196"/>
        <v/>
      </c>
      <c r="RLY6" s="97" t="str">
        <f t="shared" si="196"/>
        <v/>
      </c>
      <c r="RLZ6" s="97" t="str">
        <f t="shared" si="196"/>
        <v/>
      </c>
      <c r="RMA6" s="97" t="str">
        <f t="shared" si="196"/>
        <v/>
      </c>
      <c r="RMB6" s="97" t="str">
        <f t="shared" si="196"/>
        <v/>
      </c>
      <c r="RMC6" s="97" t="str">
        <f t="shared" si="196"/>
        <v/>
      </c>
      <c r="RMD6" s="97" t="str">
        <f t="shared" si="196"/>
        <v/>
      </c>
      <c r="RME6" s="97" t="str">
        <f t="shared" si="196"/>
        <v/>
      </c>
      <c r="RMF6" s="97" t="str">
        <f t="shared" si="196"/>
        <v/>
      </c>
      <c r="RMG6" s="97" t="str">
        <f t="shared" si="196"/>
        <v/>
      </c>
      <c r="RMH6" s="97" t="str">
        <f t="shared" si="196"/>
        <v/>
      </c>
      <c r="RMI6" s="97" t="str">
        <f t="shared" si="196"/>
        <v/>
      </c>
      <c r="RMJ6" s="97" t="str">
        <f t="shared" si="196"/>
        <v/>
      </c>
      <c r="RMK6" s="97" t="str">
        <f t="shared" si="196"/>
        <v/>
      </c>
      <c r="RML6" s="97" t="str">
        <f t="shared" si="196"/>
        <v/>
      </c>
      <c r="RMM6" s="97" t="str">
        <f t="shared" si="196"/>
        <v/>
      </c>
      <c r="RMN6" s="97" t="str">
        <f t="shared" si="196"/>
        <v/>
      </c>
      <c r="RMO6" s="97" t="str">
        <f t="shared" si="196"/>
        <v/>
      </c>
      <c r="RMP6" s="97" t="str">
        <f t="shared" si="196"/>
        <v/>
      </c>
      <c r="RMQ6" s="97" t="str">
        <f t="shared" si="196"/>
        <v/>
      </c>
      <c r="RMR6" s="97" t="str">
        <f t="shared" si="196"/>
        <v/>
      </c>
      <c r="RMS6" s="97" t="str">
        <f t="shared" si="196"/>
        <v/>
      </c>
      <c r="RMT6" s="97" t="str">
        <f t="shared" si="196"/>
        <v/>
      </c>
      <c r="RMU6" s="97" t="str">
        <f t="shared" si="196"/>
        <v/>
      </c>
      <c r="RMV6" s="97" t="str">
        <f t="shared" si="196"/>
        <v/>
      </c>
      <c r="RMW6" s="97" t="str">
        <f t="shared" si="196"/>
        <v/>
      </c>
      <c r="RMX6" s="97" t="str">
        <f t="shared" si="196"/>
        <v/>
      </c>
      <c r="RMY6" s="97" t="str">
        <f t="shared" si="196"/>
        <v/>
      </c>
      <c r="RMZ6" s="97" t="str">
        <f t="shared" si="196"/>
        <v/>
      </c>
      <c r="RNA6" s="97" t="str">
        <f t="shared" si="196"/>
        <v/>
      </c>
      <c r="RNB6" s="97" t="str">
        <f t="shared" si="196"/>
        <v/>
      </c>
      <c r="RNC6" s="97" t="str">
        <f t="shared" si="196"/>
        <v/>
      </c>
      <c r="RND6" s="97" t="str">
        <f t="shared" si="196"/>
        <v/>
      </c>
      <c r="RNE6" s="97" t="str">
        <f t="shared" si="196"/>
        <v/>
      </c>
      <c r="RNF6" s="97" t="str">
        <f t="shared" si="196"/>
        <v/>
      </c>
      <c r="RNG6" s="97" t="str">
        <f t="shared" si="196"/>
        <v/>
      </c>
      <c r="RNH6" s="97" t="str">
        <f t="shared" si="196"/>
        <v/>
      </c>
      <c r="RNI6" s="97" t="str">
        <f t="shared" si="196"/>
        <v/>
      </c>
      <c r="RNJ6" s="97" t="str">
        <f t="shared" si="196"/>
        <v/>
      </c>
      <c r="RNK6" s="97" t="str">
        <f t="shared" si="196"/>
        <v/>
      </c>
      <c r="RNL6" s="97" t="str">
        <f t="shared" si="196"/>
        <v/>
      </c>
      <c r="RNM6" s="97" t="str">
        <f t="shared" si="196"/>
        <v/>
      </c>
      <c r="RNN6" s="97" t="str">
        <f t="shared" si="196"/>
        <v/>
      </c>
      <c r="RNO6" s="97" t="str">
        <f t="shared" si="196"/>
        <v/>
      </c>
      <c r="RNP6" s="97" t="str">
        <f t="shared" si="196"/>
        <v/>
      </c>
      <c r="RNQ6" s="97" t="str">
        <f t="shared" si="196"/>
        <v/>
      </c>
      <c r="RNR6" s="97" t="str">
        <f t="shared" ref="RNR6:RQC6" si="197">IFERROR(AVERAGE(RNR7:RNR13),"")</f>
        <v/>
      </c>
      <c r="RNS6" s="97" t="str">
        <f t="shared" si="197"/>
        <v/>
      </c>
      <c r="RNT6" s="97" t="str">
        <f t="shared" si="197"/>
        <v/>
      </c>
      <c r="RNU6" s="97" t="str">
        <f t="shared" si="197"/>
        <v/>
      </c>
      <c r="RNV6" s="97" t="str">
        <f t="shared" si="197"/>
        <v/>
      </c>
      <c r="RNW6" s="97" t="str">
        <f t="shared" si="197"/>
        <v/>
      </c>
      <c r="RNX6" s="97" t="str">
        <f t="shared" si="197"/>
        <v/>
      </c>
      <c r="RNY6" s="97" t="str">
        <f t="shared" si="197"/>
        <v/>
      </c>
      <c r="RNZ6" s="97" t="str">
        <f t="shared" si="197"/>
        <v/>
      </c>
      <c r="ROA6" s="97" t="str">
        <f t="shared" si="197"/>
        <v/>
      </c>
      <c r="ROB6" s="97" t="str">
        <f t="shared" si="197"/>
        <v/>
      </c>
      <c r="ROC6" s="97" t="str">
        <f t="shared" si="197"/>
        <v/>
      </c>
      <c r="ROD6" s="97" t="str">
        <f t="shared" si="197"/>
        <v/>
      </c>
      <c r="ROE6" s="97" t="str">
        <f t="shared" si="197"/>
        <v/>
      </c>
      <c r="ROF6" s="97" t="str">
        <f t="shared" si="197"/>
        <v/>
      </c>
      <c r="ROG6" s="97" t="str">
        <f t="shared" si="197"/>
        <v/>
      </c>
      <c r="ROH6" s="97" t="str">
        <f t="shared" si="197"/>
        <v/>
      </c>
      <c r="ROI6" s="97" t="str">
        <f t="shared" si="197"/>
        <v/>
      </c>
      <c r="ROJ6" s="97" t="str">
        <f t="shared" si="197"/>
        <v/>
      </c>
      <c r="ROK6" s="97" t="str">
        <f t="shared" si="197"/>
        <v/>
      </c>
      <c r="ROL6" s="97" t="str">
        <f t="shared" si="197"/>
        <v/>
      </c>
      <c r="ROM6" s="97" t="str">
        <f t="shared" si="197"/>
        <v/>
      </c>
      <c r="RON6" s="97" t="str">
        <f t="shared" si="197"/>
        <v/>
      </c>
      <c r="ROO6" s="97" t="str">
        <f t="shared" si="197"/>
        <v/>
      </c>
      <c r="ROP6" s="97" t="str">
        <f t="shared" si="197"/>
        <v/>
      </c>
      <c r="ROQ6" s="97" t="str">
        <f t="shared" si="197"/>
        <v/>
      </c>
      <c r="ROR6" s="97" t="str">
        <f t="shared" si="197"/>
        <v/>
      </c>
      <c r="ROS6" s="97" t="str">
        <f t="shared" si="197"/>
        <v/>
      </c>
      <c r="ROT6" s="97" t="str">
        <f t="shared" si="197"/>
        <v/>
      </c>
      <c r="ROU6" s="97" t="str">
        <f t="shared" si="197"/>
        <v/>
      </c>
      <c r="ROV6" s="97" t="str">
        <f t="shared" si="197"/>
        <v/>
      </c>
      <c r="ROW6" s="97" t="str">
        <f t="shared" si="197"/>
        <v/>
      </c>
      <c r="ROX6" s="97" t="str">
        <f t="shared" si="197"/>
        <v/>
      </c>
      <c r="ROY6" s="97" t="str">
        <f t="shared" si="197"/>
        <v/>
      </c>
      <c r="ROZ6" s="97" t="str">
        <f t="shared" si="197"/>
        <v/>
      </c>
      <c r="RPA6" s="97" t="str">
        <f t="shared" si="197"/>
        <v/>
      </c>
      <c r="RPB6" s="97" t="str">
        <f t="shared" si="197"/>
        <v/>
      </c>
      <c r="RPC6" s="97" t="str">
        <f t="shared" si="197"/>
        <v/>
      </c>
      <c r="RPD6" s="97" t="str">
        <f t="shared" si="197"/>
        <v/>
      </c>
      <c r="RPE6" s="97" t="str">
        <f t="shared" si="197"/>
        <v/>
      </c>
      <c r="RPF6" s="97" t="str">
        <f t="shared" si="197"/>
        <v/>
      </c>
      <c r="RPG6" s="97" t="str">
        <f t="shared" si="197"/>
        <v/>
      </c>
      <c r="RPH6" s="97" t="str">
        <f t="shared" si="197"/>
        <v/>
      </c>
      <c r="RPI6" s="97" t="str">
        <f t="shared" si="197"/>
        <v/>
      </c>
      <c r="RPJ6" s="97" t="str">
        <f t="shared" si="197"/>
        <v/>
      </c>
      <c r="RPK6" s="97" t="str">
        <f t="shared" si="197"/>
        <v/>
      </c>
      <c r="RPL6" s="97" t="str">
        <f t="shared" si="197"/>
        <v/>
      </c>
      <c r="RPM6" s="97" t="str">
        <f t="shared" si="197"/>
        <v/>
      </c>
      <c r="RPN6" s="97" t="str">
        <f t="shared" si="197"/>
        <v/>
      </c>
      <c r="RPO6" s="97" t="str">
        <f t="shared" si="197"/>
        <v/>
      </c>
      <c r="RPP6" s="97" t="str">
        <f t="shared" si="197"/>
        <v/>
      </c>
      <c r="RPQ6" s="97" t="str">
        <f t="shared" si="197"/>
        <v/>
      </c>
      <c r="RPR6" s="97" t="str">
        <f t="shared" si="197"/>
        <v/>
      </c>
      <c r="RPS6" s="97" t="str">
        <f t="shared" si="197"/>
        <v/>
      </c>
      <c r="RPT6" s="97" t="str">
        <f t="shared" si="197"/>
        <v/>
      </c>
      <c r="RPU6" s="97" t="str">
        <f t="shared" si="197"/>
        <v/>
      </c>
      <c r="RPV6" s="97" t="str">
        <f t="shared" si="197"/>
        <v/>
      </c>
      <c r="RPW6" s="97" t="str">
        <f t="shared" si="197"/>
        <v/>
      </c>
      <c r="RPX6" s="97" t="str">
        <f t="shared" si="197"/>
        <v/>
      </c>
      <c r="RPY6" s="97" t="str">
        <f t="shared" si="197"/>
        <v/>
      </c>
      <c r="RPZ6" s="97" t="str">
        <f t="shared" si="197"/>
        <v/>
      </c>
      <c r="RQA6" s="97" t="str">
        <f t="shared" si="197"/>
        <v/>
      </c>
      <c r="RQB6" s="97" t="str">
        <f t="shared" si="197"/>
        <v/>
      </c>
      <c r="RQC6" s="97" t="str">
        <f t="shared" si="197"/>
        <v/>
      </c>
      <c r="RQD6" s="97" t="str">
        <f t="shared" ref="RQD6:RSO6" si="198">IFERROR(AVERAGE(RQD7:RQD13),"")</f>
        <v/>
      </c>
      <c r="RQE6" s="97" t="str">
        <f t="shared" si="198"/>
        <v/>
      </c>
      <c r="RQF6" s="97" t="str">
        <f t="shared" si="198"/>
        <v/>
      </c>
      <c r="RQG6" s="97" t="str">
        <f t="shared" si="198"/>
        <v/>
      </c>
      <c r="RQH6" s="97" t="str">
        <f t="shared" si="198"/>
        <v/>
      </c>
      <c r="RQI6" s="97" t="str">
        <f t="shared" si="198"/>
        <v/>
      </c>
      <c r="RQJ6" s="97" t="str">
        <f t="shared" si="198"/>
        <v/>
      </c>
      <c r="RQK6" s="97" t="str">
        <f t="shared" si="198"/>
        <v/>
      </c>
      <c r="RQL6" s="97" t="str">
        <f t="shared" si="198"/>
        <v/>
      </c>
      <c r="RQM6" s="97" t="str">
        <f t="shared" si="198"/>
        <v/>
      </c>
      <c r="RQN6" s="97" t="str">
        <f t="shared" si="198"/>
        <v/>
      </c>
      <c r="RQO6" s="97" t="str">
        <f t="shared" si="198"/>
        <v/>
      </c>
      <c r="RQP6" s="97" t="str">
        <f t="shared" si="198"/>
        <v/>
      </c>
      <c r="RQQ6" s="97" t="str">
        <f t="shared" si="198"/>
        <v/>
      </c>
      <c r="RQR6" s="97" t="str">
        <f t="shared" si="198"/>
        <v/>
      </c>
      <c r="RQS6" s="97" t="str">
        <f t="shared" si="198"/>
        <v/>
      </c>
      <c r="RQT6" s="97" t="str">
        <f t="shared" si="198"/>
        <v/>
      </c>
      <c r="RQU6" s="97" t="str">
        <f t="shared" si="198"/>
        <v/>
      </c>
      <c r="RQV6" s="97" t="str">
        <f t="shared" si="198"/>
        <v/>
      </c>
      <c r="RQW6" s="97" t="str">
        <f t="shared" si="198"/>
        <v/>
      </c>
      <c r="RQX6" s="97" t="str">
        <f t="shared" si="198"/>
        <v/>
      </c>
      <c r="RQY6" s="97" t="str">
        <f t="shared" si="198"/>
        <v/>
      </c>
      <c r="RQZ6" s="97" t="str">
        <f t="shared" si="198"/>
        <v/>
      </c>
      <c r="RRA6" s="97" t="str">
        <f t="shared" si="198"/>
        <v/>
      </c>
      <c r="RRB6" s="97" t="str">
        <f t="shared" si="198"/>
        <v/>
      </c>
      <c r="RRC6" s="97" t="str">
        <f t="shared" si="198"/>
        <v/>
      </c>
      <c r="RRD6" s="97" t="str">
        <f t="shared" si="198"/>
        <v/>
      </c>
      <c r="RRE6" s="97" t="str">
        <f t="shared" si="198"/>
        <v/>
      </c>
      <c r="RRF6" s="97" t="str">
        <f t="shared" si="198"/>
        <v/>
      </c>
      <c r="RRG6" s="97" t="str">
        <f t="shared" si="198"/>
        <v/>
      </c>
      <c r="RRH6" s="97" t="str">
        <f t="shared" si="198"/>
        <v/>
      </c>
      <c r="RRI6" s="97" t="str">
        <f t="shared" si="198"/>
        <v/>
      </c>
      <c r="RRJ6" s="97" t="str">
        <f t="shared" si="198"/>
        <v/>
      </c>
      <c r="RRK6" s="97" t="str">
        <f t="shared" si="198"/>
        <v/>
      </c>
      <c r="RRL6" s="97" t="str">
        <f t="shared" si="198"/>
        <v/>
      </c>
      <c r="RRM6" s="97" t="str">
        <f t="shared" si="198"/>
        <v/>
      </c>
      <c r="RRN6" s="97" t="str">
        <f t="shared" si="198"/>
        <v/>
      </c>
      <c r="RRO6" s="97" t="str">
        <f t="shared" si="198"/>
        <v/>
      </c>
      <c r="RRP6" s="97" t="str">
        <f t="shared" si="198"/>
        <v/>
      </c>
      <c r="RRQ6" s="97" t="str">
        <f t="shared" si="198"/>
        <v/>
      </c>
      <c r="RRR6" s="97" t="str">
        <f t="shared" si="198"/>
        <v/>
      </c>
      <c r="RRS6" s="97" t="str">
        <f t="shared" si="198"/>
        <v/>
      </c>
      <c r="RRT6" s="97" t="str">
        <f t="shared" si="198"/>
        <v/>
      </c>
      <c r="RRU6" s="97" t="str">
        <f t="shared" si="198"/>
        <v/>
      </c>
      <c r="RRV6" s="97" t="str">
        <f t="shared" si="198"/>
        <v/>
      </c>
      <c r="RRW6" s="97" t="str">
        <f t="shared" si="198"/>
        <v/>
      </c>
      <c r="RRX6" s="97" t="str">
        <f t="shared" si="198"/>
        <v/>
      </c>
      <c r="RRY6" s="97" t="str">
        <f t="shared" si="198"/>
        <v/>
      </c>
      <c r="RRZ6" s="97" t="str">
        <f t="shared" si="198"/>
        <v/>
      </c>
      <c r="RSA6" s="97" t="str">
        <f t="shared" si="198"/>
        <v/>
      </c>
      <c r="RSB6" s="97" t="str">
        <f t="shared" si="198"/>
        <v/>
      </c>
      <c r="RSC6" s="97" t="str">
        <f t="shared" si="198"/>
        <v/>
      </c>
      <c r="RSD6" s="97" t="str">
        <f t="shared" si="198"/>
        <v/>
      </c>
      <c r="RSE6" s="97" t="str">
        <f t="shared" si="198"/>
        <v/>
      </c>
      <c r="RSF6" s="97" t="str">
        <f t="shared" si="198"/>
        <v/>
      </c>
      <c r="RSG6" s="97" t="str">
        <f t="shared" si="198"/>
        <v/>
      </c>
      <c r="RSH6" s="97" t="str">
        <f t="shared" si="198"/>
        <v/>
      </c>
      <c r="RSI6" s="97" t="str">
        <f t="shared" si="198"/>
        <v/>
      </c>
      <c r="RSJ6" s="97" t="str">
        <f t="shared" si="198"/>
        <v/>
      </c>
      <c r="RSK6" s="97" t="str">
        <f t="shared" si="198"/>
        <v/>
      </c>
      <c r="RSL6" s="97" t="str">
        <f t="shared" si="198"/>
        <v/>
      </c>
      <c r="RSM6" s="97" t="str">
        <f t="shared" si="198"/>
        <v/>
      </c>
      <c r="RSN6" s="97" t="str">
        <f t="shared" si="198"/>
        <v/>
      </c>
      <c r="RSO6" s="97" t="str">
        <f t="shared" si="198"/>
        <v/>
      </c>
      <c r="RSP6" s="97" t="str">
        <f t="shared" ref="RSP6:RVA6" si="199">IFERROR(AVERAGE(RSP7:RSP13),"")</f>
        <v/>
      </c>
      <c r="RSQ6" s="97" t="str">
        <f t="shared" si="199"/>
        <v/>
      </c>
      <c r="RSR6" s="97" t="str">
        <f t="shared" si="199"/>
        <v/>
      </c>
      <c r="RSS6" s="97" t="str">
        <f t="shared" si="199"/>
        <v/>
      </c>
      <c r="RST6" s="97" t="str">
        <f t="shared" si="199"/>
        <v/>
      </c>
      <c r="RSU6" s="97" t="str">
        <f t="shared" si="199"/>
        <v/>
      </c>
      <c r="RSV6" s="97" t="str">
        <f t="shared" si="199"/>
        <v/>
      </c>
      <c r="RSW6" s="97" t="str">
        <f t="shared" si="199"/>
        <v/>
      </c>
      <c r="RSX6" s="97" t="str">
        <f t="shared" si="199"/>
        <v/>
      </c>
      <c r="RSY6" s="97" t="str">
        <f t="shared" si="199"/>
        <v/>
      </c>
      <c r="RSZ6" s="97" t="str">
        <f t="shared" si="199"/>
        <v/>
      </c>
      <c r="RTA6" s="97" t="str">
        <f t="shared" si="199"/>
        <v/>
      </c>
      <c r="RTB6" s="97" t="str">
        <f t="shared" si="199"/>
        <v/>
      </c>
      <c r="RTC6" s="97" t="str">
        <f t="shared" si="199"/>
        <v/>
      </c>
      <c r="RTD6" s="97" t="str">
        <f t="shared" si="199"/>
        <v/>
      </c>
      <c r="RTE6" s="97" t="str">
        <f t="shared" si="199"/>
        <v/>
      </c>
      <c r="RTF6" s="97" t="str">
        <f t="shared" si="199"/>
        <v/>
      </c>
      <c r="RTG6" s="97" t="str">
        <f t="shared" si="199"/>
        <v/>
      </c>
      <c r="RTH6" s="97" t="str">
        <f t="shared" si="199"/>
        <v/>
      </c>
      <c r="RTI6" s="97" t="str">
        <f t="shared" si="199"/>
        <v/>
      </c>
      <c r="RTJ6" s="97" t="str">
        <f t="shared" si="199"/>
        <v/>
      </c>
      <c r="RTK6" s="97" t="str">
        <f t="shared" si="199"/>
        <v/>
      </c>
      <c r="RTL6" s="97" t="str">
        <f t="shared" si="199"/>
        <v/>
      </c>
      <c r="RTM6" s="97" t="str">
        <f t="shared" si="199"/>
        <v/>
      </c>
      <c r="RTN6" s="97" t="str">
        <f t="shared" si="199"/>
        <v/>
      </c>
      <c r="RTO6" s="97" t="str">
        <f t="shared" si="199"/>
        <v/>
      </c>
      <c r="RTP6" s="97" t="str">
        <f t="shared" si="199"/>
        <v/>
      </c>
      <c r="RTQ6" s="97" t="str">
        <f t="shared" si="199"/>
        <v/>
      </c>
      <c r="RTR6" s="97" t="str">
        <f t="shared" si="199"/>
        <v/>
      </c>
      <c r="RTS6" s="97" t="str">
        <f t="shared" si="199"/>
        <v/>
      </c>
      <c r="RTT6" s="97" t="str">
        <f t="shared" si="199"/>
        <v/>
      </c>
      <c r="RTU6" s="97" t="str">
        <f t="shared" si="199"/>
        <v/>
      </c>
      <c r="RTV6" s="97" t="str">
        <f t="shared" si="199"/>
        <v/>
      </c>
      <c r="RTW6" s="97" t="str">
        <f t="shared" si="199"/>
        <v/>
      </c>
      <c r="RTX6" s="97" t="str">
        <f t="shared" si="199"/>
        <v/>
      </c>
      <c r="RTY6" s="97" t="str">
        <f t="shared" si="199"/>
        <v/>
      </c>
      <c r="RTZ6" s="97" t="str">
        <f t="shared" si="199"/>
        <v/>
      </c>
      <c r="RUA6" s="97" t="str">
        <f t="shared" si="199"/>
        <v/>
      </c>
      <c r="RUB6" s="97" t="str">
        <f t="shared" si="199"/>
        <v/>
      </c>
      <c r="RUC6" s="97" t="str">
        <f t="shared" si="199"/>
        <v/>
      </c>
      <c r="RUD6" s="97" t="str">
        <f t="shared" si="199"/>
        <v/>
      </c>
      <c r="RUE6" s="97" t="str">
        <f t="shared" si="199"/>
        <v/>
      </c>
      <c r="RUF6" s="97" t="str">
        <f t="shared" si="199"/>
        <v/>
      </c>
      <c r="RUG6" s="97" t="str">
        <f t="shared" si="199"/>
        <v/>
      </c>
      <c r="RUH6" s="97" t="str">
        <f t="shared" si="199"/>
        <v/>
      </c>
      <c r="RUI6" s="97" t="str">
        <f t="shared" si="199"/>
        <v/>
      </c>
      <c r="RUJ6" s="97" t="str">
        <f t="shared" si="199"/>
        <v/>
      </c>
      <c r="RUK6" s="97" t="str">
        <f t="shared" si="199"/>
        <v/>
      </c>
      <c r="RUL6" s="97" t="str">
        <f t="shared" si="199"/>
        <v/>
      </c>
      <c r="RUM6" s="97" t="str">
        <f t="shared" si="199"/>
        <v/>
      </c>
      <c r="RUN6" s="97" t="str">
        <f t="shared" si="199"/>
        <v/>
      </c>
      <c r="RUO6" s="97" t="str">
        <f t="shared" si="199"/>
        <v/>
      </c>
      <c r="RUP6" s="97" t="str">
        <f t="shared" si="199"/>
        <v/>
      </c>
      <c r="RUQ6" s="97" t="str">
        <f t="shared" si="199"/>
        <v/>
      </c>
      <c r="RUR6" s="97" t="str">
        <f t="shared" si="199"/>
        <v/>
      </c>
      <c r="RUS6" s="97" t="str">
        <f t="shared" si="199"/>
        <v/>
      </c>
      <c r="RUT6" s="97" t="str">
        <f t="shared" si="199"/>
        <v/>
      </c>
      <c r="RUU6" s="97" t="str">
        <f t="shared" si="199"/>
        <v/>
      </c>
      <c r="RUV6" s="97" t="str">
        <f t="shared" si="199"/>
        <v/>
      </c>
      <c r="RUW6" s="97" t="str">
        <f t="shared" si="199"/>
        <v/>
      </c>
      <c r="RUX6" s="97" t="str">
        <f t="shared" si="199"/>
        <v/>
      </c>
      <c r="RUY6" s="97" t="str">
        <f t="shared" si="199"/>
        <v/>
      </c>
      <c r="RUZ6" s="97" t="str">
        <f t="shared" si="199"/>
        <v/>
      </c>
      <c r="RVA6" s="97" t="str">
        <f t="shared" si="199"/>
        <v/>
      </c>
      <c r="RVB6" s="97" t="str">
        <f t="shared" ref="RVB6:RXM6" si="200">IFERROR(AVERAGE(RVB7:RVB13),"")</f>
        <v/>
      </c>
      <c r="RVC6" s="97" t="str">
        <f t="shared" si="200"/>
        <v/>
      </c>
      <c r="RVD6" s="97" t="str">
        <f t="shared" si="200"/>
        <v/>
      </c>
      <c r="RVE6" s="97" t="str">
        <f t="shared" si="200"/>
        <v/>
      </c>
      <c r="RVF6" s="97" t="str">
        <f t="shared" si="200"/>
        <v/>
      </c>
      <c r="RVG6" s="97" t="str">
        <f t="shared" si="200"/>
        <v/>
      </c>
      <c r="RVH6" s="97" t="str">
        <f t="shared" si="200"/>
        <v/>
      </c>
      <c r="RVI6" s="97" t="str">
        <f t="shared" si="200"/>
        <v/>
      </c>
      <c r="RVJ6" s="97" t="str">
        <f t="shared" si="200"/>
        <v/>
      </c>
      <c r="RVK6" s="97" t="str">
        <f t="shared" si="200"/>
        <v/>
      </c>
      <c r="RVL6" s="97" t="str">
        <f t="shared" si="200"/>
        <v/>
      </c>
      <c r="RVM6" s="97" t="str">
        <f t="shared" si="200"/>
        <v/>
      </c>
      <c r="RVN6" s="97" t="str">
        <f t="shared" si="200"/>
        <v/>
      </c>
      <c r="RVO6" s="97" t="str">
        <f t="shared" si="200"/>
        <v/>
      </c>
      <c r="RVP6" s="97" t="str">
        <f t="shared" si="200"/>
        <v/>
      </c>
      <c r="RVQ6" s="97" t="str">
        <f t="shared" si="200"/>
        <v/>
      </c>
      <c r="RVR6" s="97" t="str">
        <f t="shared" si="200"/>
        <v/>
      </c>
      <c r="RVS6" s="97" t="str">
        <f t="shared" si="200"/>
        <v/>
      </c>
      <c r="RVT6" s="97" t="str">
        <f t="shared" si="200"/>
        <v/>
      </c>
      <c r="RVU6" s="97" t="str">
        <f t="shared" si="200"/>
        <v/>
      </c>
      <c r="RVV6" s="97" t="str">
        <f t="shared" si="200"/>
        <v/>
      </c>
      <c r="RVW6" s="97" t="str">
        <f t="shared" si="200"/>
        <v/>
      </c>
      <c r="RVX6" s="97" t="str">
        <f t="shared" si="200"/>
        <v/>
      </c>
      <c r="RVY6" s="97" t="str">
        <f t="shared" si="200"/>
        <v/>
      </c>
      <c r="RVZ6" s="97" t="str">
        <f t="shared" si="200"/>
        <v/>
      </c>
      <c r="RWA6" s="97" t="str">
        <f t="shared" si="200"/>
        <v/>
      </c>
      <c r="RWB6" s="97" t="str">
        <f t="shared" si="200"/>
        <v/>
      </c>
      <c r="RWC6" s="97" t="str">
        <f t="shared" si="200"/>
        <v/>
      </c>
      <c r="RWD6" s="97" t="str">
        <f t="shared" si="200"/>
        <v/>
      </c>
      <c r="RWE6" s="97" t="str">
        <f t="shared" si="200"/>
        <v/>
      </c>
      <c r="RWF6" s="97" t="str">
        <f t="shared" si="200"/>
        <v/>
      </c>
      <c r="RWG6" s="97" t="str">
        <f t="shared" si="200"/>
        <v/>
      </c>
      <c r="RWH6" s="97" t="str">
        <f t="shared" si="200"/>
        <v/>
      </c>
      <c r="RWI6" s="97" t="str">
        <f t="shared" si="200"/>
        <v/>
      </c>
      <c r="RWJ6" s="97" t="str">
        <f t="shared" si="200"/>
        <v/>
      </c>
      <c r="RWK6" s="97" t="str">
        <f t="shared" si="200"/>
        <v/>
      </c>
      <c r="RWL6" s="97" t="str">
        <f t="shared" si="200"/>
        <v/>
      </c>
      <c r="RWM6" s="97" t="str">
        <f t="shared" si="200"/>
        <v/>
      </c>
      <c r="RWN6" s="97" t="str">
        <f t="shared" si="200"/>
        <v/>
      </c>
      <c r="RWO6" s="97" t="str">
        <f t="shared" si="200"/>
        <v/>
      </c>
      <c r="RWP6" s="97" t="str">
        <f t="shared" si="200"/>
        <v/>
      </c>
      <c r="RWQ6" s="97" t="str">
        <f t="shared" si="200"/>
        <v/>
      </c>
      <c r="RWR6" s="97" t="str">
        <f t="shared" si="200"/>
        <v/>
      </c>
      <c r="RWS6" s="97" t="str">
        <f t="shared" si="200"/>
        <v/>
      </c>
      <c r="RWT6" s="97" t="str">
        <f t="shared" si="200"/>
        <v/>
      </c>
      <c r="RWU6" s="97" t="str">
        <f t="shared" si="200"/>
        <v/>
      </c>
      <c r="RWV6" s="97" t="str">
        <f t="shared" si="200"/>
        <v/>
      </c>
      <c r="RWW6" s="97" t="str">
        <f t="shared" si="200"/>
        <v/>
      </c>
      <c r="RWX6" s="97" t="str">
        <f t="shared" si="200"/>
        <v/>
      </c>
      <c r="RWY6" s="97" t="str">
        <f t="shared" si="200"/>
        <v/>
      </c>
      <c r="RWZ6" s="97" t="str">
        <f t="shared" si="200"/>
        <v/>
      </c>
      <c r="RXA6" s="97" t="str">
        <f t="shared" si="200"/>
        <v/>
      </c>
      <c r="RXB6" s="97" t="str">
        <f t="shared" si="200"/>
        <v/>
      </c>
      <c r="RXC6" s="97" t="str">
        <f t="shared" si="200"/>
        <v/>
      </c>
      <c r="RXD6" s="97" t="str">
        <f t="shared" si="200"/>
        <v/>
      </c>
      <c r="RXE6" s="97" t="str">
        <f t="shared" si="200"/>
        <v/>
      </c>
      <c r="RXF6" s="97" t="str">
        <f t="shared" si="200"/>
        <v/>
      </c>
      <c r="RXG6" s="97" t="str">
        <f t="shared" si="200"/>
        <v/>
      </c>
      <c r="RXH6" s="97" t="str">
        <f t="shared" si="200"/>
        <v/>
      </c>
      <c r="RXI6" s="97" t="str">
        <f t="shared" si="200"/>
        <v/>
      </c>
      <c r="RXJ6" s="97" t="str">
        <f t="shared" si="200"/>
        <v/>
      </c>
      <c r="RXK6" s="97" t="str">
        <f t="shared" si="200"/>
        <v/>
      </c>
      <c r="RXL6" s="97" t="str">
        <f t="shared" si="200"/>
        <v/>
      </c>
      <c r="RXM6" s="97" t="str">
        <f t="shared" si="200"/>
        <v/>
      </c>
      <c r="RXN6" s="97" t="str">
        <f t="shared" ref="RXN6:RZY6" si="201">IFERROR(AVERAGE(RXN7:RXN13),"")</f>
        <v/>
      </c>
      <c r="RXO6" s="97" t="str">
        <f t="shared" si="201"/>
        <v/>
      </c>
      <c r="RXP6" s="97" t="str">
        <f t="shared" si="201"/>
        <v/>
      </c>
      <c r="RXQ6" s="97" t="str">
        <f t="shared" si="201"/>
        <v/>
      </c>
      <c r="RXR6" s="97" t="str">
        <f t="shared" si="201"/>
        <v/>
      </c>
      <c r="RXS6" s="97" t="str">
        <f t="shared" si="201"/>
        <v/>
      </c>
      <c r="RXT6" s="97" t="str">
        <f t="shared" si="201"/>
        <v/>
      </c>
      <c r="RXU6" s="97" t="str">
        <f t="shared" si="201"/>
        <v/>
      </c>
      <c r="RXV6" s="97" t="str">
        <f t="shared" si="201"/>
        <v/>
      </c>
      <c r="RXW6" s="97" t="str">
        <f t="shared" si="201"/>
        <v/>
      </c>
      <c r="RXX6" s="97" t="str">
        <f t="shared" si="201"/>
        <v/>
      </c>
      <c r="RXY6" s="97" t="str">
        <f t="shared" si="201"/>
        <v/>
      </c>
      <c r="RXZ6" s="97" t="str">
        <f t="shared" si="201"/>
        <v/>
      </c>
      <c r="RYA6" s="97" t="str">
        <f t="shared" si="201"/>
        <v/>
      </c>
      <c r="RYB6" s="97" t="str">
        <f t="shared" si="201"/>
        <v/>
      </c>
      <c r="RYC6" s="97" t="str">
        <f t="shared" si="201"/>
        <v/>
      </c>
      <c r="RYD6" s="97" t="str">
        <f t="shared" si="201"/>
        <v/>
      </c>
      <c r="RYE6" s="97" t="str">
        <f t="shared" si="201"/>
        <v/>
      </c>
      <c r="RYF6" s="97" t="str">
        <f t="shared" si="201"/>
        <v/>
      </c>
      <c r="RYG6" s="97" t="str">
        <f t="shared" si="201"/>
        <v/>
      </c>
      <c r="RYH6" s="97" t="str">
        <f t="shared" si="201"/>
        <v/>
      </c>
      <c r="RYI6" s="97" t="str">
        <f t="shared" si="201"/>
        <v/>
      </c>
      <c r="RYJ6" s="97" t="str">
        <f t="shared" si="201"/>
        <v/>
      </c>
      <c r="RYK6" s="97" t="str">
        <f t="shared" si="201"/>
        <v/>
      </c>
      <c r="RYL6" s="97" t="str">
        <f t="shared" si="201"/>
        <v/>
      </c>
      <c r="RYM6" s="97" t="str">
        <f t="shared" si="201"/>
        <v/>
      </c>
      <c r="RYN6" s="97" t="str">
        <f t="shared" si="201"/>
        <v/>
      </c>
      <c r="RYO6" s="97" t="str">
        <f t="shared" si="201"/>
        <v/>
      </c>
      <c r="RYP6" s="97" t="str">
        <f t="shared" si="201"/>
        <v/>
      </c>
      <c r="RYQ6" s="97" t="str">
        <f t="shared" si="201"/>
        <v/>
      </c>
      <c r="RYR6" s="97" t="str">
        <f t="shared" si="201"/>
        <v/>
      </c>
      <c r="RYS6" s="97" t="str">
        <f t="shared" si="201"/>
        <v/>
      </c>
      <c r="RYT6" s="97" t="str">
        <f t="shared" si="201"/>
        <v/>
      </c>
      <c r="RYU6" s="97" t="str">
        <f t="shared" si="201"/>
        <v/>
      </c>
      <c r="RYV6" s="97" t="str">
        <f t="shared" si="201"/>
        <v/>
      </c>
      <c r="RYW6" s="97" t="str">
        <f t="shared" si="201"/>
        <v/>
      </c>
      <c r="RYX6" s="97" t="str">
        <f t="shared" si="201"/>
        <v/>
      </c>
      <c r="RYY6" s="97" t="str">
        <f t="shared" si="201"/>
        <v/>
      </c>
      <c r="RYZ6" s="97" t="str">
        <f t="shared" si="201"/>
        <v/>
      </c>
      <c r="RZA6" s="97" t="str">
        <f t="shared" si="201"/>
        <v/>
      </c>
      <c r="RZB6" s="97" t="str">
        <f t="shared" si="201"/>
        <v/>
      </c>
      <c r="RZC6" s="97" t="str">
        <f t="shared" si="201"/>
        <v/>
      </c>
      <c r="RZD6" s="97" t="str">
        <f t="shared" si="201"/>
        <v/>
      </c>
      <c r="RZE6" s="97" t="str">
        <f t="shared" si="201"/>
        <v/>
      </c>
      <c r="RZF6" s="97" t="str">
        <f t="shared" si="201"/>
        <v/>
      </c>
      <c r="RZG6" s="97" t="str">
        <f t="shared" si="201"/>
        <v/>
      </c>
      <c r="RZH6" s="97" t="str">
        <f t="shared" si="201"/>
        <v/>
      </c>
      <c r="RZI6" s="97" t="str">
        <f t="shared" si="201"/>
        <v/>
      </c>
      <c r="RZJ6" s="97" t="str">
        <f t="shared" si="201"/>
        <v/>
      </c>
      <c r="RZK6" s="97" t="str">
        <f t="shared" si="201"/>
        <v/>
      </c>
      <c r="RZL6" s="97" t="str">
        <f t="shared" si="201"/>
        <v/>
      </c>
      <c r="RZM6" s="97" t="str">
        <f t="shared" si="201"/>
        <v/>
      </c>
      <c r="RZN6" s="97" t="str">
        <f t="shared" si="201"/>
        <v/>
      </c>
      <c r="RZO6" s="97" t="str">
        <f t="shared" si="201"/>
        <v/>
      </c>
      <c r="RZP6" s="97" t="str">
        <f t="shared" si="201"/>
        <v/>
      </c>
      <c r="RZQ6" s="97" t="str">
        <f t="shared" si="201"/>
        <v/>
      </c>
      <c r="RZR6" s="97" t="str">
        <f t="shared" si="201"/>
        <v/>
      </c>
      <c r="RZS6" s="97" t="str">
        <f t="shared" si="201"/>
        <v/>
      </c>
      <c r="RZT6" s="97" t="str">
        <f t="shared" si="201"/>
        <v/>
      </c>
      <c r="RZU6" s="97" t="str">
        <f t="shared" si="201"/>
        <v/>
      </c>
      <c r="RZV6" s="97" t="str">
        <f t="shared" si="201"/>
        <v/>
      </c>
      <c r="RZW6" s="97" t="str">
        <f t="shared" si="201"/>
        <v/>
      </c>
      <c r="RZX6" s="97" t="str">
        <f t="shared" si="201"/>
        <v/>
      </c>
      <c r="RZY6" s="97" t="str">
        <f t="shared" si="201"/>
        <v/>
      </c>
      <c r="RZZ6" s="97" t="str">
        <f t="shared" ref="RZZ6:SCK6" si="202">IFERROR(AVERAGE(RZZ7:RZZ13),"")</f>
        <v/>
      </c>
      <c r="SAA6" s="97" t="str">
        <f t="shared" si="202"/>
        <v/>
      </c>
      <c r="SAB6" s="97" t="str">
        <f t="shared" si="202"/>
        <v/>
      </c>
      <c r="SAC6" s="97" t="str">
        <f t="shared" si="202"/>
        <v/>
      </c>
      <c r="SAD6" s="97" t="str">
        <f t="shared" si="202"/>
        <v/>
      </c>
      <c r="SAE6" s="97" t="str">
        <f t="shared" si="202"/>
        <v/>
      </c>
      <c r="SAF6" s="97" t="str">
        <f t="shared" si="202"/>
        <v/>
      </c>
      <c r="SAG6" s="97" t="str">
        <f t="shared" si="202"/>
        <v/>
      </c>
      <c r="SAH6" s="97" t="str">
        <f t="shared" si="202"/>
        <v/>
      </c>
      <c r="SAI6" s="97" t="str">
        <f t="shared" si="202"/>
        <v/>
      </c>
      <c r="SAJ6" s="97" t="str">
        <f t="shared" si="202"/>
        <v/>
      </c>
      <c r="SAK6" s="97" t="str">
        <f t="shared" si="202"/>
        <v/>
      </c>
      <c r="SAL6" s="97" t="str">
        <f t="shared" si="202"/>
        <v/>
      </c>
      <c r="SAM6" s="97" t="str">
        <f t="shared" si="202"/>
        <v/>
      </c>
      <c r="SAN6" s="97" t="str">
        <f t="shared" si="202"/>
        <v/>
      </c>
      <c r="SAO6" s="97" t="str">
        <f t="shared" si="202"/>
        <v/>
      </c>
      <c r="SAP6" s="97" t="str">
        <f t="shared" si="202"/>
        <v/>
      </c>
      <c r="SAQ6" s="97" t="str">
        <f t="shared" si="202"/>
        <v/>
      </c>
      <c r="SAR6" s="97" t="str">
        <f t="shared" si="202"/>
        <v/>
      </c>
      <c r="SAS6" s="97" t="str">
        <f t="shared" si="202"/>
        <v/>
      </c>
      <c r="SAT6" s="97" t="str">
        <f t="shared" si="202"/>
        <v/>
      </c>
      <c r="SAU6" s="97" t="str">
        <f t="shared" si="202"/>
        <v/>
      </c>
      <c r="SAV6" s="97" t="str">
        <f t="shared" si="202"/>
        <v/>
      </c>
      <c r="SAW6" s="97" t="str">
        <f t="shared" si="202"/>
        <v/>
      </c>
      <c r="SAX6" s="97" t="str">
        <f t="shared" si="202"/>
        <v/>
      </c>
      <c r="SAY6" s="97" t="str">
        <f t="shared" si="202"/>
        <v/>
      </c>
      <c r="SAZ6" s="97" t="str">
        <f t="shared" si="202"/>
        <v/>
      </c>
      <c r="SBA6" s="97" t="str">
        <f t="shared" si="202"/>
        <v/>
      </c>
      <c r="SBB6" s="97" t="str">
        <f t="shared" si="202"/>
        <v/>
      </c>
      <c r="SBC6" s="97" t="str">
        <f t="shared" si="202"/>
        <v/>
      </c>
      <c r="SBD6" s="97" t="str">
        <f t="shared" si="202"/>
        <v/>
      </c>
      <c r="SBE6" s="97" t="str">
        <f t="shared" si="202"/>
        <v/>
      </c>
      <c r="SBF6" s="97" t="str">
        <f t="shared" si="202"/>
        <v/>
      </c>
      <c r="SBG6" s="97" t="str">
        <f t="shared" si="202"/>
        <v/>
      </c>
      <c r="SBH6" s="97" t="str">
        <f t="shared" si="202"/>
        <v/>
      </c>
      <c r="SBI6" s="97" t="str">
        <f t="shared" si="202"/>
        <v/>
      </c>
      <c r="SBJ6" s="97" t="str">
        <f t="shared" si="202"/>
        <v/>
      </c>
      <c r="SBK6" s="97" t="str">
        <f t="shared" si="202"/>
        <v/>
      </c>
      <c r="SBL6" s="97" t="str">
        <f t="shared" si="202"/>
        <v/>
      </c>
      <c r="SBM6" s="97" t="str">
        <f t="shared" si="202"/>
        <v/>
      </c>
      <c r="SBN6" s="97" t="str">
        <f t="shared" si="202"/>
        <v/>
      </c>
      <c r="SBO6" s="97" t="str">
        <f t="shared" si="202"/>
        <v/>
      </c>
      <c r="SBP6" s="97" t="str">
        <f t="shared" si="202"/>
        <v/>
      </c>
      <c r="SBQ6" s="97" t="str">
        <f t="shared" si="202"/>
        <v/>
      </c>
      <c r="SBR6" s="97" t="str">
        <f t="shared" si="202"/>
        <v/>
      </c>
      <c r="SBS6" s="97" t="str">
        <f t="shared" si="202"/>
        <v/>
      </c>
      <c r="SBT6" s="97" t="str">
        <f t="shared" si="202"/>
        <v/>
      </c>
      <c r="SBU6" s="97" t="str">
        <f t="shared" si="202"/>
        <v/>
      </c>
      <c r="SBV6" s="97" t="str">
        <f t="shared" si="202"/>
        <v/>
      </c>
      <c r="SBW6" s="97" t="str">
        <f t="shared" si="202"/>
        <v/>
      </c>
      <c r="SBX6" s="97" t="str">
        <f t="shared" si="202"/>
        <v/>
      </c>
      <c r="SBY6" s="97" t="str">
        <f t="shared" si="202"/>
        <v/>
      </c>
      <c r="SBZ6" s="97" t="str">
        <f t="shared" si="202"/>
        <v/>
      </c>
      <c r="SCA6" s="97" t="str">
        <f t="shared" si="202"/>
        <v/>
      </c>
      <c r="SCB6" s="97" t="str">
        <f t="shared" si="202"/>
        <v/>
      </c>
      <c r="SCC6" s="97" t="str">
        <f t="shared" si="202"/>
        <v/>
      </c>
      <c r="SCD6" s="97" t="str">
        <f t="shared" si="202"/>
        <v/>
      </c>
      <c r="SCE6" s="97" t="str">
        <f t="shared" si="202"/>
        <v/>
      </c>
      <c r="SCF6" s="97" t="str">
        <f t="shared" si="202"/>
        <v/>
      </c>
      <c r="SCG6" s="97" t="str">
        <f t="shared" si="202"/>
        <v/>
      </c>
      <c r="SCH6" s="97" t="str">
        <f t="shared" si="202"/>
        <v/>
      </c>
      <c r="SCI6" s="97" t="str">
        <f t="shared" si="202"/>
        <v/>
      </c>
      <c r="SCJ6" s="97" t="str">
        <f t="shared" si="202"/>
        <v/>
      </c>
      <c r="SCK6" s="97" t="str">
        <f t="shared" si="202"/>
        <v/>
      </c>
      <c r="SCL6" s="97" t="str">
        <f t="shared" ref="SCL6:SEW6" si="203">IFERROR(AVERAGE(SCL7:SCL13),"")</f>
        <v/>
      </c>
      <c r="SCM6" s="97" t="str">
        <f t="shared" si="203"/>
        <v/>
      </c>
      <c r="SCN6" s="97" t="str">
        <f t="shared" si="203"/>
        <v/>
      </c>
      <c r="SCO6" s="97" t="str">
        <f t="shared" si="203"/>
        <v/>
      </c>
      <c r="SCP6" s="97" t="str">
        <f t="shared" si="203"/>
        <v/>
      </c>
      <c r="SCQ6" s="97" t="str">
        <f t="shared" si="203"/>
        <v/>
      </c>
      <c r="SCR6" s="97" t="str">
        <f t="shared" si="203"/>
        <v/>
      </c>
      <c r="SCS6" s="97" t="str">
        <f t="shared" si="203"/>
        <v/>
      </c>
      <c r="SCT6" s="97" t="str">
        <f t="shared" si="203"/>
        <v/>
      </c>
      <c r="SCU6" s="97" t="str">
        <f t="shared" si="203"/>
        <v/>
      </c>
      <c r="SCV6" s="97" t="str">
        <f t="shared" si="203"/>
        <v/>
      </c>
      <c r="SCW6" s="97" t="str">
        <f t="shared" si="203"/>
        <v/>
      </c>
      <c r="SCX6" s="97" t="str">
        <f t="shared" si="203"/>
        <v/>
      </c>
      <c r="SCY6" s="97" t="str">
        <f t="shared" si="203"/>
        <v/>
      </c>
      <c r="SCZ6" s="97" t="str">
        <f t="shared" si="203"/>
        <v/>
      </c>
      <c r="SDA6" s="97" t="str">
        <f t="shared" si="203"/>
        <v/>
      </c>
      <c r="SDB6" s="97" t="str">
        <f t="shared" si="203"/>
        <v/>
      </c>
      <c r="SDC6" s="97" t="str">
        <f t="shared" si="203"/>
        <v/>
      </c>
      <c r="SDD6" s="97" t="str">
        <f t="shared" si="203"/>
        <v/>
      </c>
      <c r="SDE6" s="97" t="str">
        <f t="shared" si="203"/>
        <v/>
      </c>
      <c r="SDF6" s="97" t="str">
        <f t="shared" si="203"/>
        <v/>
      </c>
      <c r="SDG6" s="97" t="str">
        <f t="shared" si="203"/>
        <v/>
      </c>
      <c r="SDH6" s="97" t="str">
        <f t="shared" si="203"/>
        <v/>
      </c>
      <c r="SDI6" s="97" t="str">
        <f t="shared" si="203"/>
        <v/>
      </c>
      <c r="SDJ6" s="97" t="str">
        <f t="shared" si="203"/>
        <v/>
      </c>
      <c r="SDK6" s="97" t="str">
        <f t="shared" si="203"/>
        <v/>
      </c>
      <c r="SDL6" s="97" t="str">
        <f t="shared" si="203"/>
        <v/>
      </c>
      <c r="SDM6" s="97" t="str">
        <f t="shared" si="203"/>
        <v/>
      </c>
      <c r="SDN6" s="97" t="str">
        <f t="shared" si="203"/>
        <v/>
      </c>
      <c r="SDO6" s="97" t="str">
        <f t="shared" si="203"/>
        <v/>
      </c>
      <c r="SDP6" s="97" t="str">
        <f t="shared" si="203"/>
        <v/>
      </c>
      <c r="SDQ6" s="97" t="str">
        <f t="shared" si="203"/>
        <v/>
      </c>
      <c r="SDR6" s="97" t="str">
        <f t="shared" si="203"/>
        <v/>
      </c>
      <c r="SDS6" s="97" t="str">
        <f t="shared" si="203"/>
        <v/>
      </c>
      <c r="SDT6" s="97" t="str">
        <f t="shared" si="203"/>
        <v/>
      </c>
      <c r="SDU6" s="97" t="str">
        <f t="shared" si="203"/>
        <v/>
      </c>
      <c r="SDV6" s="97" t="str">
        <f t="shared" si="203"/>
        <v/>
      </c>
      <c r="SDW6" s="97" t="str">
        <f t="shared" si="203"/>
        <v/>
      </c>
      <c r="SDX6" s="97" t="str">
        <f t="shared" si="203"/>
        <v/>
      </c>
      <c r="SDY6" s="97" t="str">
        <f t="shared" si="203"/>
        <v/>
      </c>
      <c r="SDZ6" s="97" t="str">
        <f t="shared" si="203"/>
        <v/>
      </c>
      <c r="SEA6" s="97" t="str">
        <f t="shared" si="203"/>
        <v/>
      </c>
      <c r="SEB6" s="97" t="str">
        <f t="shared" si="203"/>
        <v/>
      </c>
      <c r="SEC6" s="97" t="str">
        <f t="shared" si="203"/>
        <v/>
      </c>
      <c r="SED6" s="97" t="str">
        <f t="shared" si="203"/>
        <v/>
      </c>
      <c r="SEE6" s="97" t="str">
        <f t="shared" si="203"/>
        <v/>
      </c>
      <c r="SEF6" s="97" t="str">
        <f t="shared" si="203"/>
        <v/>
      </c>
      <c r="SEG6" s="97" t="str">
        <f t="shared" si="203"/>
        <v/>
      </c>
      <c r="SEH6" s="97" t="str">
        <f t="shared" si="203"/>
        <v/>
      </c>
      <c r="SEI6" s="97" t="str">
        <f t="shared" si="203"/>
        <v/>
      </c>
      <c r="SEJ6" s="97" t="str">
        <f t="shared" si="203"/>
        <v/>
      </c>
      <c r="SEK6" s="97" t="str">
        <f t="shared" si="203"/>
        <v/>
      </c>
      <c r="SEL6" s="97" t="str">
        <f t="shared" si="203"/>
        <v/>
      </c>
      <c r="SEM6" s="97" t="str">
        <f t="shared" si="203"/>
        <v/>
      </c>
      <c r="SEN6" s="97" t="str">
        <f t="shared" si="203"/>
        <v/>
      </c>
      <c r="SEO6" s="97" t="str">
        <f t="shared" si="203"/>
        <v/>
      </c>
      <c r="SEP6" s="97" t="str">
        <f t="shared" si="203"/>
        <v/>
      </c>
      <c r="SEQ6" s="97" t="str">
        <f t="shared" si="203"/>
        <v/>
      </c>
      <c r="SER6" s="97" t="str">
        <f t="shared" si="203"/>
        <v/>
      </c>
      <c r="SES6" s="97" t="str">
        <f t="shared" si="203"/>
        <v/>
      </c>
      <c r="SET6" s="97" t="str">
        <f t="shared" si="203"/>
        <v/>
      </c>
      <c r="SEU6" s="97" t="str">
        <f t="shared" si="203"/>
        <v/>
      </c>
      <c r="SEV6" s="97" t="str">
        <f t="shared" si="203"/>
        <v/>
      </c>
      <c r="SEW6" s="97" t="str">
        <f t="shared" si="203"/>
        <v/>
      </c>
      <c r="SEX6" s="97" t="str">
        <f t="shared" ref="SEX6:SHI6" si="204">IFERROR(AVERAGE(SEX7:SEX13),"")</f>
        <v/>
      </c>
      <c r="SEY6" s="97" t="str">
        <f t="shared" si="204"/>
        <v/>
      </c>
      <c r="SEZ6" s="97" t="str">
        <f t="shared" si="204"/>
        <v/>
      </c>
      <c r="SFA6" s="97" t="str">
        <f t="shared" si="204"/>
        <v/>
      </c>
      <c r="SFB6" s="97" t="str">
        <f t="shared" si="204"/>
        <v/>
      </c>
      <c r="SFC6" s="97" t="str">
        <f t="shared" si="204"/>
        <v/>
      </c>
      <c r="SFD6" s="97" t="str">
        <f t="shared" si="204"/>
        <v/>
      </c>
      <c r="SFE6" s="97" t="str">
        <f t="shared" si="204"/>
        <v/>
      </c>
      <c r="SFF6" s="97" t="str">
        <f t="shared" si="204"/>
        <v/>
      </c>
      <c r="SFG6" s="97" t="str">
        <f t="shared" si="204"/>
        <v/>
      </c>
      <c r="SFH6" s="97" t="str">
        <f t="shared" si="204"/>
        <v/>
      </c>
      <c r="SFI6" s="97" t="str">
        <f t="shared" si="204"/>
        <v/>
      </c>
      <c r="SFJ6" s="97" t="str">
        <f t="shared" si="204"/>
        <v/>
      </c>
      <c r="SFK6" s="97" t="str">
        <f t="shared" si="204"/>
        <v/>
      </c>
      <c r="SFL6" s="97" t="str">
        <f t="shared" si="204"/>
        <v/>
      </c>
      <c r="SFM6" s="97" t="str">
        <f t="shared" si="204"/>
        <v/>
      </c>
      <c r="SFN6" s="97" t="str">
        <f t="shared" si="204"/>
        <v/>
      </c>
      <c r="SFO6" s="97" t="str">
        <f t="shared" si="204"/>
        <v/>
      </c>
      <c r="SFP6" s="97" t="str">
        <f t="shared" si="204"/>
        <v/>
      </c>
      <c r="SFQ6" s="97" t="str">
        <f t="shared" si="204"/>
        <v/>
      </c>
      <c r="SFR6" s="97" t="str">
        <f t="shared" si="204"/>
        <v/>
      </c>
      <c r="SFS6" s="97" t="str">
        <f t="shared" si="204"/>
        <v/>
      </c>
      <c r="SFT6" s="97" t="str">
        <f t="shared" si="204"/>
        <v/>
      </c>
      <c r="SFU6" s="97" t="str">
        <f t="shared" si="204"/>
        <v/>
      </c>
      <c r="SFV6" s="97" t="str">
        <f t="shared" si="204"/>
        <v/>
      </c>
      <c r="SFW6" s="97" t="str">
        <f t="shared" si="204"/>
        <v/>
      </c>
      <c r="SFX6" s="97" t="str">
        <f t="shared" si="204"/>
        <v/>
      </c>
      <c r="SFY6" s="97" t="str">
        <f t="shared" si="204"/>
        <v/>
      </c>
      <c r="SFZ6" s="97" t="str">
        <f t="shared" si="204"/>
        <v/>
      </c>
      <c r="SGA6" s="97" t="str">
        <f t="shared" si="204"/>
        <v/>
      </c>
      <c r="SGB6" s="97" t="str">
        <f t="shared" si="204"/>
        <v/>
      </c>
      <c r="SGC6" s="97" t="str">
        <f t="shared" si="204"/>
        <v/>
      </c>
      <c r="SGD6" s="97" t="str">
        <f t="shared" si="204"/>
        <v/>
      </c>
      <c r="SGE6" s="97" t="str">
        <f t="shared" si="204"/>
        <v/>
      </c>
      <c r="SGF6" s="97" t="str">
        <f t="shared" si="204"/>
        <v/>
      </c>
      <c r="SGG6" s="97" t="str">
        <f t="shared" si="204"/>
        <v/>
      </c>
      <c r="SGH6" s="97" t="str">
        <f t="shared" si="204"/>
        <v/>
      </c>
      <c r="SGI6" s="97" t="str">
        <f t="shared" si="204"/>
        <v/>
      </c>
      <c r="SGJ6" s="97" t="str">
        <f t="shared" si="204"/>
        <v/>
      </c>
      <c r="SGK6" s="97" t="str">
        <f t="shared" si="204"/>
        <v/>
      </c>
      <c r="SGL6" s="97" t="str">
        <f t="shared" si="204"/>
        <v/>
      </c>
      <c r="SGM6" s="97" t="str">
        <f t="shared" si="204"/>
        <v/>
      </c>
      <c r="SGN6" s="97" t="str">
        <f t="shared" si="204"/>
        <v/>
      </c>
      <c r="SGO6" s="97" t="str">
        <f t="shared" si="204"/>
        <v/>
      </c>
      <c r="SGP6" s="97" t="str">
        <f t="shared" si="204"/>
        <v/>
      </c>
      <c r="SGQ6" s="97" t="str">
        <f t="shared" si="204"/>
        <v/>
      </c>
      <c r="SGR6" s="97" t="str">
        <f t="shared" si="204"/>
        <v/>
      </c>
      <c r="SGS6" s="97" t="str">
        <f t="shared" si="204"/>
        <v/>
      </c>
      <c r="SGT6" s="97" t="str">
        <f t="shared" si="204"/>
        <v/>
      </c>
      <c r="SGU6" s="97" t="str">
        <f t="shared" si="204"/>
        <v/>
      </c>
      <c r="SGV6" s="97" t="str">
        <f t="shared" si="204"/>
        <v/>
      </c>
      <c r="SGW6" s="97" t="str">
        <f t="shared" si="204"/>
        <v/>
      </c>
      <c r="SGX6" s="97" t="str">
        <f t="shared" si="204"/>
        <v/>
      </c>
      <c r="SGY6" s="97" t="str">
        <f t="shared" si="204"/>
        <v/>
      </c>
      <c r="SGZ6" s="97" t="str">
        <f t="shared" si="204"/>
        <v/>
      </c>
      <c r="SHA6" s="97" t="str">
        <f t="shared" si="204"/>
        <v/>
      </c>
      <c r="SHB6" s="97" t="str">
        <f t="shared" si="204"/>
        <v/>
      </c>
      <c r="SHC6" s="97" t="str">
        <f t="shared" si="204"/>
        <v/>
      </c>
      <c r="SHD6" s="97" t="str">
        <f t="shared" si="204"/>
        <v/>
      </c>
      <c r="SHE6" s="97" t="str">
        <f t="shared" si="204"/>
        <v/>
      </c>
      <c r="SHF6" s="97" t="str">
        <f t="shared" si="204"/>
        <v/>
      </c>
      <c r="SHG6" s="97" t="str">
        <f t="shared" si="204"/>
        <v/>
      </c>
      <c r="SHH6" s="97" t="str">
        <f t="shared" si="204"/>
        <v/>
      </c>
      <c r="SHI6" s="97" t="str">
        <f t="shared" si="204"/>
        <v/>
      </c>
      <c r="SHJ6" s="97" t="str">
        <f t="shared" ref="SHJ6:SJU6" si="205">IFERROR(AVERAGE(SHJ7:SHJ13),"")</f>
        <v/>
      </c>
      <c r="SHK6" s="97" t="str">
        <f t="shared" si="205"/>
        <v/>
      </c>
      <c r="SHL6" s="97" t="str">
        <f t="shared" si="205"/>
        <v/>
      </c>
      <c r="SHM6" s="97" t="str">
        <f t="shared" si="205"/>
        <v/>
      </c>
      <c r="SHN6" s="97" t="str">
        <f t="shared" si="205"/>
        <v/>
      </c>
      <c r="SHO6" s="97" t="str">
        <f t="shared" si="205"/>
        <v/>
      </c>
      <c r="SHP6" s="97" t="str">
        <f t="shared" si="205"/>
        <v/>
      </c>
      <c r="SHQ6" s="97" t="str">
        <f t="shared" si="205"/>
        <v/>
      </c>
      <c r="SHR6" s="97" t="str">
        <f t="shared" si="205"/>
        <v/>
      </c>
      <c r="SHS6" s="97" t="str">
        <f t="shared" si="205"/>
        <v/>
      </c>
      <c r="SHT6" s="97" t="str">
        <f t="shared" si="205"/>
        <v/>
      </c>
      <c r="SHU6" s="97" t="str">
        <f t="shared" si="205"/>
        <v/>
      </c>
      <c r="SHV6" s="97" t="str">
        <f t="shared" si="205"/>
        <v/>
      </c>
      <c r="SHW6" s="97" t="str">
        <f t="shared" si="205"/>
        <v/>
      </c>
      <c r="SHX6" s="97" t="str">
        <f t="shared" si="205"/>
        <v/>
      </c>
      <c r="SHY6" s="97" t="str">
        <f t="shared" si="205"/>
        <v/>
      </c>
      <c r="SHZ6" s="97" t="str">
        <f t="shared" si="205"/>
        <v/>
      </c>
      <c r="SIA6" s="97" t="str">
        <f t="shared" si="205"/>
        <v/>
      </c>
      <c r="SIB6" s="97" t="str">
        <f t="shared" si="205"/>
        <v/>
      </c>
      <c r="SIC6" s="97" t="str">
        <f t="shared" si="205"/>
        <v/>
      </c>
      <c r="SID6" s="97" t="str">
        <f t="shared" si="205"/>
        <v/>
      </c>
      <c r="SIE6" s="97" t="str">
        <f t="shared" si="205"/>
        <v/>
      </c>
      <c r="SIF6" s="97" t="str">
        <f t="shared" si="205"/>
        <v/>
      </c>
      <c r="SIG6" s="97" t="str">
        <f t="shared" si="205"/>
        <v/>
      </c>
      <c r="SIH6" s="97" t="str">
        <f t="shared" si="205"/>
        <v/>
      </c>
      <c r="SII6" s="97" t="str">
        <f t="shared" si="205"/>
        <v/>
      </c>
      <c r="SIJ6" s="97" t="str">
        <f t="shared" si="205"/>
        <v/>
      </c>
      <c r="SIK6" s="97" t="str">
        <f t="shared" si="205"/>
        <v/>
      </c>
      <c r="SIL6" s="97" t="str">
        <f t="shared" si="205"/>
        <v/>
      </c>
      <c r="SIM6" s="97" t="str">
        <f t="shared" si="205"/>
        <v/>
      </c>
      <c r="SIN6" s="97" t="str">
        <f t="shared" si="205"/>
        <v/>
      </c>
      <c r="SIO6" s="97" t="str">
        <f t="shared" si="205"/>
        <v/>
      </c>
      <c r="SIP6" s="97" t="str">
        <f t="shared" si="205"/>
        <v/>
      </c>
      <c r="SIQ6" s="97" t="str">
        <f t="shared" si="205"/>
        <v/>
      </c>
      <c r="SIR6" s="97" t="str">
        <f t="shared" si="205"/>
        <v/>
      </c>
      <c r="SIS6" s="97" t="str">
        <f t="shared" si="205"/>
        <v/>
      </c>
      <c r="SIT6" s="97" t="str">
        <f t="shared" si="205"/>
        <v/>
      </c>
      <c r="SIU6" s="97" t="str">
        <f t="shared" si="205"/>
        <v/>
      </c>
      <c r="SIV6" s="97" t="str">
        <f t="shared" si="205"/>
        <v/>
      </c>
      <c r="SIW6" s="97" t="str">
        <f t="shared" si="205"/>
        <v/>
      </c>
      <c r="SIX6" s="97" t="str">
        <f t="shared" si="205"/>
        <v/>
      </c>
      <c r="SIY6" s="97" t="str">
        <f t="shared" si="205"/>
        <v/>
      </c>
      <c r="SIZ6" s="97" t="str">
        <f t="shared" si="205"/>
        <v/>
      </c>
      <c r="SJA6" s="97" t="str">
        <f t="shared" si="205"/>
        <v/>
      </c>
      <c r="SJB6" s="97" t="str">
        <f t="shared" si="205"/>
        <v/>
      </c>
      <c r="SJC6" s="97" t="str">
        <f t="shared" si="205"/>
        <v/>
      </c>
      <c r="SJD6" s="97" t="str">
        <f t="shared" si="205"/>
        <v/>
      </c>
      <c r="SJE6" s="97" t="str">
        <f t="shared" si="205"/>
        <v/>
      </c>
      <c r="SJF6" s="97" t="str">
        <f t="shared" si="205"/>
        <v/>
      </c>
      <c r="SJG6" s="97" t="str">
        <f t="shared" si="205"/>
        <v/>
      </c>
      <c r="SJH6" s="97" t="str">
        <f t="shared" si="205"/>
        <v/>
      </c>
      <c r="SJI6" s="97" t="str">
        <f t="shared" si="205"/>
        <v/>
      </c>
      <c r="SJJ6" s="97" t="str">
        <f t="shared" si="205"/>
        <v/>
      </c>
      <c r="SJK6" s="97" t="str">
        <f t="shared" si="205"/>
        <v/>
      </c>
      <c r="SJL6" s="97" t="str">
        <f t="shared" si="205"/>
        <v/>
      </c>
      <c r="SJM6" s="97" t="str">
        <f t="shared" si="205"/>
        <v/>
      </c>
      <c r="SJN6" s="97" t="str">
        <f t="shared" si="205"/>
        <v/>
      </c>
      <c r="SJO6" s="97" t="str">
        <f t="shared" si="205"/>
        <v/>
      </c>
      <c r="SJP6" s="97" t="str">
        <f t="shared" si="205"/>
        <v/>
      </c>
      <c r="SJQ6" s="97" t="str">
        <f t="shared" si="205"/>
        <v/>
      </c>
      <c r="SJR6" s="97" t="str">
        <f t="shared" si="205"/>
        <v/>
      </c>
      <c r="SJS6" s="97" t="str">
        <f t="shared" si="205"/>
        <v/>
      </c>
      <c r="SJT6" s="97" t="str">
        <f t="shared" si="205"/>
        <v/>
      </c>
      <c r="SJU6" s="97" t="str">
        <f t="shared" si="205"/>
        <v/>
      </c>
      <c r="SJV6" s="97" t="str">
        <f t="shared" ref="SJV6:SMG6" si="206">IFERROR(AVERAGE(SJV7:SJV13),"")</f>
        <v/>
      </c>
      <c r="SJW6" s="97" t="str">
        <f t="shared" si="206"/>
        <v/>
      </c>
      <c r="SJX6" s="97" t="str">
        <f t="shared" si="206"/>
        <v/>
      </c>
      <c r="SJY6" s="97" t="str">
        <f t="shared" si="206"/>
        <v/>
      </c>
      <c r="SJZ6" s="97" t="str">
        <f t="shared" si="206"/>
        <v/>
      </c>
      <c r="SKA6" s="97" t="str">
        <f t="shared" si="206"/>
        <v/>
      </c>
      <c r="SKB6" s="97" t="str">
        <f t="shared" si="206"/>
        <v/>
      </c>
      <c r="SKC6" s="97" t="str">
        <f t="shared" si="206"/>
        <v/>
      </c>
      <c r="SKD6" s="97" t="str">
        <f t="shared" si="206"/>
        <v/>
      </c>
      <c r="SKE6" s="97" t="str">
        <f t="shared" si="206"/>
        <v/>
      </c>
      <c r="SKF6" s="97" t="str">
        <f t="shared" si="206"/>
        <v/>
      </c>
      <c r="SKG6" s="97" t="str">
        <f t="shared" si="206"/>
        <v/>
      </c>
      <c r="SKH6" s="97" t="str">
        <f t="shared" si="206"/>
        <v/>
      </c>
      <c r="SKI6" s="97" t="str">
        <f t="shared" si="206"/>
        <v/>
      </c>
      <c r="SKJ6" s="97" t="str">
        <f t="shared" si="206"/>
        <v/>
      </c>
      <c r="SKK6" s="97" t="str">
        <f t="shared" si="206"/>
        <v/>
      </c>
      <c r="SKL6" s="97" t="str">
        <f t="shared" si="206"/>
        <v/>
      </c>
      <c r="SKM6" s="97" t="str">
        <f t="shared" si="206"/>
        <v/>
      </c>
      <c r="SKN6" s="97" t="str">
        <f t="shared" si="206"/>
        <v/>
      </c>
      <c r="SKO6" s="97" t="str">
        <f t="shared" si="206"/>
        <v/>
      </c>
      <c r="SKP6" s="97" t="str">
        <f t="shared" si="206"/>
        <v/>
      </c>
      <c r="SKQ6" s="97" t="str">
        <f t="shared" si="206"/>
        <v/>
      </c>
      <c r="SKR6" s="97" t="str">
        <f t="shared" si="206"/>
        <v/>
      </c>
      <c r="SKS6" s="97" t="str">
        <f t="shared" si="206"/>
        <v/>
      </c>
      <c r="SKT6" s="97" t="str">
        <f t="shared" si="206"/>
        <v/>
      </c>
      <c r="SKU6" s="97" t="str">
        <f t="shared" si="206"/>
        <v/>
      </c>
      <c r="SKV6" s="97" t="str">
        <f t="shared" si="206"/>
        <v/>
      </c>
      <c r="SKW6" s="97" t="str">
        <f t="shared" si="206"/>
        <v/>
      </c>
      <c r="SKX6" s="97" t="str">
        <f t="shared" si="206"/>
        <v/>
      </c>
      <c r="SKY6" s="97" t="str">
        <f t="shared" si="206"/>
        <v/>
      </c>
      <c r="SKZ6" s="97" t="str">
        <f t="shared" si="206"/>
        <v/>
      </c>
      <c r="SLA6" s="97" t="str">
        <f t="shared" si="206"/>
        <v/>
      </c>
      <c r="SLB6" s="97" t="str">
        <f t="shared" si="206"/>
        <v/>
      </c>
      <c r="SLC6" s="97" t="str">
        <f t="shared" si="206"/>
        <v/>
      </c>
      <c r="SLD6" s="97" t="str">
        <f t="shared" si="206"/>
        <v/>
      </c>
      <c r="SLE6" s="97" t="str">
        <f t="shared" si="206"/>
        <v/>
      </c>
      <c r="SLF6" s="97" t="str">
        <f t="shared" si="206"/>
        <v/>
      </c>
      <c r="SLG6" s="97" t="str">
        <f t="shared" si="206"/>
        <v/>
      </c>
      <c r="SLH6" s="97" t="str">
        <f t="shared" si="206"/>
        <v/>
      </c>
      <c r="SLI6" s="97" t="str">
        <f t="shared" si="206"/>
        <v/>
      </c>
      <c r="SLJ6" s="97" t="str">
        <f t="shared" si="206"/>
        <v/>
      </c>
      <c r="SLK6" s="97" t="str">
        <f t="shared" si="206"/>
        <v/>
      </c>
      <c r="SLL6" s="97" t="str">
        <f t="shared" si="206"/>
        <v/>
      </c>
      <c r="SLM6" s="97" t="str">
        <f t="shared" si="206"/>
        <v/>
      </c>
      <c r="SLN6" s="97" t="str">
        <f t="shared" si="206"/>
        <v/>
      </c>
      <c r="SLO6" s="97" t="str">
        <f t="shared" si="206"/>
        <v/>
      </c>
      <c r="SLP6" s="97" t="str">
        <f t="shared" si="206"/>
        <v/>
      </c>
      <c r="SLQ6" s="97" t="str">
        <f t="shared" si="206"/>
        <v/>
      </c>
      <c r="SLR6" s="97" t="str">
        <f t="shared" si="206"/>
        <v/>
      </c>
      <c r="SLS6" s="97" t="str">
        <f t="shared" si="206"/>
        <v/>
      </c>
      <c r="SLT6" s="97" t="str">
        <f t="shared" si="206"/>
        <v/>
      </c>
      <c r="SLU6" s="97" t="str">
        <f t="shared" si="206"/>
        <v/>
      </c>
      <c r="SLV6" s="97" t="str">
        <f t="shared" si="206"/>
        <v/>
      </c>
      <c r="SLW6" s="97" t="str">
        <f t="shared" si="206"/>
        <v/>
      </c>
      <c r="SLX6" s="97" t="str">
        <f t="shared" si="206"/>
        <v/>
      </c>
      <c r="SLY6" s="97" t="str">
        <f t="shared" si="206"/>
        <v/>
      </c>
      <c r="SLZ6" s="97" t="str">
        <f t="shared" si="206"/>
        <v/>
      </c>
      <c r="SMA6" s="97" t="str">
        <f t="shared" si="206"/>
        <v/>
      </c>
      <c r="SMB6" s="97" t="str">
        <f t="shared" si="206"/>
        <v/>
      </c>
      <c r="SMC6" s="97" t="str">
        <f t="shared" si="206"/>
        <v/>
      </c>
      <c r="SMD6" s="97" t="str">
        <f t="shared" si="206"/>
        <v/>
      </c>
      <c r="SME6" s="97" t="str">
        <f t="shared" si="206"/>
        <v/>
      </c>
      <c r="SMF6" s="97" t="str">
        <f t="shared" si="206"/>
        <v/>
      </c>
      <c r="SMG6" s="97" t="str">
        <f t="shared" si="206"/>
        <v/>
      </c>
      <c r="SMH6" s="97" t="str">
        <f t="shared" ref="SMH6:SOS6" si="207">IFERROR(AVERAGE(SMH7:SMH13),"")</f>
        <v/>
      </c>
      <c r="SMI6" s="97" t="str">
        <f t="shared" si="207"/>
        <v/>
      </c>
      <c r="SMJ6" s="97" t="str">
        <f t="shared" si="207"/>
        <v/>
      </c>
      <c r="SMK6" s="97" t="str">
        <f t="shared" si="207"/>
        <v/>
      </c>
      <c r="SML6" s="97" t="str">
        <f t="shared" si="207"/>
        <v/>
      </c>
      <c r="SMM6" s="97" t="str">
        <f t="shared" si="207"/>
        <v/>
      </c>
      <c r="SMN6" s="97" t="str">
        <f t="shared" si="207"/>
        <v/>
      </c>
      <c r="SMO6" s="97" t="str">
        <f t="shared" si="207"/>
        <v/>
      </c>
      <c r="SMP6" s="97" t="str">
        <f t="shared" si="207"/>
        <v/>
      </c>
      <c r="SMQ6" s="97" t="str">
        <f t="shared" si="207"/>
        <v/>
      </c>
      <c r="SMR6" s="97" t="str">
        <f t="shared" si="207"/>
        <v/>
      </c>
      <c r="SMS6" s="97" t="str">
        <f t="shared" si="207"/>
        <v/>
      </c>
      <c r="SMT6" s="97" t="str">
        <f t="shared" si="207"/>
        <v/>
      </c>
      <c r="SMU6" s="97" t="str">
        <f t="shared" si="207"/>
        <v/>
      </c>
      <c r="SMV6" s="97" t="str">
        <f t="shared" si="207"/>
        <v/>
      </c>
      <c r="SMW6" s="97" t="str">
        <f t="shared" si="207"/>
        <v/>
      </c>
      <c r="SMX6" s="97" t="str">
        <f t="shared" si="207"/>
        <v/>
      </c>
      <c r="SMY6" s="97" t="str">
        <f t="shared" si="207"/>
        <v/>
      </c>
      <c r="SMZ6" s="97" t="str">
        <f t="shared" si="207"/>
        <v/>
      </c>
      <c r="SNA6" s="97" t="str">
        <f t="shared" si="207"/>
        <v/>
      </c>
      <c r="SNB6" s="97" t="str">
        <f t="shared" si="207"/>
        <v/>
      </c>
      <c r="SNC6" s="97" t="str">
        <f t="shared" si="207"/>
        <v/>
      </c>
      <c r="SND6" s="97" t="str">
        <f t="shared" si="207"/>
        <v/>
      </c>
      <c r="SNE6" s="97" t="str">
        <f t="shared" si="207"/>
        <v/>
      </c>
      <c r="SNF6" s="97" t="str">
        <f t="shared" si="207"/>
        <v/>
      </c>
      <c r="SNG6" s="97" t="str">
        <f t="shared" si="207"/>
        <v/>
      </c>
      <c r="SNH6" s="97" t="str">
        <f t="shared" si="207"/>
        <v/>
      </c>
      <c r="SNI6" s="97" t="str">
        <f t="shared" si="207"/>
        <v/>
      </c>
      <c r="SNJ6" s="97" t="str">
        <f t="shared" si="207"/>
        <v/>
      </c>
      <c r="SNK6" s="97" t="str">
        <f t="shared" si="207"/>
        <v/>
      </c>
      <c r="SNL6" s="97" t="str">
        <f t="shared" si="207"/>
        <v/>
      </c>
      <c r="SNM6" s="97" t="str">
        <f t="shared" si="207"/>
        <v/>
      </c>
      <c r="SNN6" s="97" t="str">
        <f t="shared" si="207"/>
        <v/>
      </c>
      <c r="SNO6" s="97" t="str">
        <f t="shared" si="207"/>
        <v/>
      </c>
      <c r="SNP6" s="97" t="str">
        <f t="shared" si="207"/>
        <v/>
      </c>
      <c r="SNQ6" s="97" t="str">
        <f t="shared" si="207"/>
        <v/>
      </c>
      <c r="SNR6" s="97" t="str">
        <f t="shared" si="207"/>
        <v/>
      </c>
      <c r="SNS6" s="97" t="str">
        <f t="shared" si="207"/>
        <v/>
      </c>
      <c r="SNT6" s="97" t="str">
        <f t="shared" si="207"/>
        <v/>
      </c>
      <c r="SNU6" s="97" t="str">
        <f t="shared" si="207"/>
        <v/>
      </c>
      <c r="SNV6" s="97" t="str">
        <f t="shared" si="207"/>
        <v/>
      </c>
      <c r="SNW6" s="97" t="str">
        <f t="shared" si="207"/>
        <v/>
      </c>
      <c r="SNX6" s="97" t="str">
        <f t="shared" si="207"/>
        <v/>
      </c>
      <c r="SNY6" s="97" t="str">
        <f t="shared" si="207"/>
        <v/>
      </c>
      <c r="SNZ6" s="97" t="str">
        <f t="shared" si="207"/>
        <v/>
      </c>
      <c r="SOA6" s="97" t="str">
        <f t="shared" si="207"/>
        <v/>
      </c>
      <c r="SOB6" s="97" t="str">
        <f t="shared" si="207"/>
        <v/>
      </c>
      <c r="SOC6" s="97" t="str">
        <f t="shared" si="207"/>
        <v/>
      </c>
      <c r="SOD6" s="97" t="str">
        <f t="shared" si="207"/>
        <v/>
      </c>
      <c r="SOE6" s="97" t="str">
        <f t="shared" si="207"/>
        <v/>
      </c>
      <c r="SOF6" s="97" t="str">
        <f t="shared" si="207"/>
        <v/>
      </c>
      <c r="SOG6" s="97" t="str">
        <f t="shared" si="207"/>
        <v/>
      </c>
      <c r="SOH6" s="97" t="str">
        <f t="shared" si="207"/>
        <v/>
      </c>
      <c r="SOI6" s="97" t="str">
        <f t="shared" si="207"/>
        <v/>
      </c>
      <c r="SOJ6" s="97" t="str">
        <f t="shared" si="207"/>
        <v/>
      </c>
      <c r="SOK6" s="97" t="str">
        <f t="shared" si="207"/>
        <v/>
      </c>
      <c r="SOL6" s="97" t="str">
        <f t="shared" si="207"/>
        <v/>
      </c>
      <c r="SOM6" s="97" t="str">
        <f t="shared" si="207"/>
        <v/>
      </c>
      <c r="SON6" s="97" t="str">
        <f t="shared" si="207"/>
        <v/>
      </c>
      <c r="SOO6" s="97" t="str">
        <f t="shared" si="207"/>
        <v/>
      </c>
      <c r="SOP6" s="97" t="str">
        <f t="shared" si="207"/>
        <v/>
      </c>
      <c r="SOQ6" s="97" t="str">
        <f t="shared" si="207"/>
        <v/>
      </c>
      <c r="SOR6" s="97" t="str">
        <f t="shared" si="207"/>
        <v/>
      </c>
      <c r="SOS6" s="97" t="str">
        <f t="shared" si="207"/>
        <v/>
      </c>
      <c r="SOT6" s="97" t="str">
        <f t="shared" ref="SOT6:SRE6" si="208">IFERROR(AVERAGE(SOT7:SOT13),"")</f>
        <v/>
      </c>
      <c r="SOU6" s="97" t="str">
        <f t="shared" si="208"/>
        <v/>
      </c>
      <c r="SOV6" s="97" t="str">
        <f t="shared" si="208"/>
        <v/>
      </c>
      <c r="SOW6" s="97" t="str">
        <f t="shared" si="208"/>
        <v/>
      </c>
      <c r="SOX6" s="97" t="str">
        <f t="shared" si="208"/>
        <v/>
      </c>
      <c r="SOY6" s="97" t="str">
        <f t="shared" si="208"/>
        <v/>
      </c>
      <c r="SOZ6" s="97" t="str">
        <f t="shared" si="208"/>
        <v/>
      </c>
      <c r="SPA6" s="97" t="str">
        <f t="shared" si="208"/>
        <v/>
      </c>
      <c r="SPB6" s="97" t="str">
        <f t="shared" si="208"/>
        <v/>
      </c>
      <c r="SPC6" s="97" t="str">
        <f t="shared" si="208"/>
        <v/>
      </c>
      <c r="SPD6" s="97" t="str">
        <f t="shared" si="208"/>
        <v/>
      </c>
      <c r="SPE6" s="97" t="str">
        <f t="shared" si="208"/>
        <v/>
      </c>
      <c r="SPF6" s="97" t="str">
        <f t="shared" si="208"/>
        <v/>
      </c>
      <c r="SPG6" s="97" t="str">
        <f t="shared" si="208"/>
        <v/>
      </c>
      <c r="SPH6" s="97" t="str">
        <f t="shared" si="208"/>
        <v/>
      </c>
      <c r="SPI6" s="97" t="str">
        <f t="shared" si="208"/>
        <v/>
      </c>
      <c r="SPJ6" s="97" t="str">
        <f t="shared" si="208"/>
        <v/>
      </c>
      <c r="SPK6" s="97" t="str">
        <f t="shared" si="208"/>
        <v/>
      </c>
      <c r="SPL6" s="97" t="str">
        <f t="shared" si="208"/>
        <v/>
      </c>
      <c r="SPM6" s="97" t="str">
        <f t="shared" si="208"/>
        <v/>
      </c>
      <c r="SPN6" s="97" t="str">
        <f t="shared" si="208"/>
        <v/>
      </c>
      <c r="SPO6" s="97" t="str">
        <f t="shared" si="208"/>
        <v/>
      </c>
      <c r="SPP6" s="97" t="str">
        <f t="shared" si="208"/>
        <v/>
      </c>
      <c r="SPQ6" s="97" t="str">
        <f t="shared" si="208"/>
        <v/>
      </c>
      <c r="SPR6" s="97" t="str">
        <f t="shared" si="208"/>
        <v/>
      </c>
      <c r="SPS6" s="97" t="str">
        <f t="shared" si="208"/>
        <v/>
      </c>
      <c r="SPT6" s="97" t="str">
        <f t="shared" si="208"/>
        <v/>
      </c>
      <c r="SPU6" s="97" t="str">
        <f t="shared" si="208"/>
        <v/>
      </c>
      <c r="SPV6" s="97" t="str">
        <f t="shared" si="208"/>
        <v/>
      </c>
      <c r="SPW6" s="97" t="str">
        <f t="shared" si="208"/>
        <v/>
      </c>
      <c r="SPX6" s="97" t="str">
        <f t="shared" si="208"/>
        <v/>
      </c>
      <c r="SPY6" s="97" t="str">
        <f t="shared" si="208"/>
        <v/>
      </c>
      <c r="SPZ6" s="97" t="str">
        <f t="shared" si="208"/>
        <v/>
      </c>
      <c r="SQA6" s="97" t="str">
        <f t="shared" si="208"/>
        <v/>
      </c>
      <c r="SQB6" s="97" t="str">
        <f t="shared" si="208"/>
        <v/>
      </c>
      <c r="SQC6" s="97" t="str">
        <f t="shared" si="208"/>
        <v/>
      </c>
      <c r="SQD6" s="97" t="str">
        <f t="shared" si="208"/>
        <v/>
      </c>
      <c r="SQE6" s="97" t="str">
        <f t="shared" si="208"/>
        <v/>
      </c>
      <c r="SQF6" s="97" t="str">
        <f t="shared" si="208"/>
        <v/>
      </c>
      <c r="SQG6" s="97" t="str">
        <f t="shared" si="208"/>
        <v/>
      </c>
      <c r="SQH6" s="97" t="str">
        <f t="shared" si="208"/>
        <v/>
      </c>
      <c r="SQI6" s="97" t="str">
        <f t="shared" si="208"/>
        <v/>
      </c>
      <c r="SQJ6" s="97" t="str">
        <f t="shared" si="208"/>
        <v/>
      </c>
      <c r="SQK6" s="97" t="str">
        <f t="shared" si="208"/>
        <v/>
      </c>
      <c r="SQL6" s="97" t="str">
        <f t="shared" si="208"/>
        <v/>
      </c>
      <c r="SQM6" s="97" t="str">
        <f t="shared" si="208"/>
        <v/>
      </c>
      <c r="SQN6" s="97" t="str">
        <f t="shared" si="208"/>
        <v/>
      </c>
      <c r="SQO6" s="97" t="str">
        <f t="shared" si="208"/>
        <v/>
      </c>
      <c r="SQP6" s="97" t="str">
        <f t="shared" si="208"/>
        <v/>
      </c>
      <c r="SQQ6" s="97" t="str">
        <f t="shared" si="208"/>
        <v/>
      </c>
      <c r="SQR6" s="97" t="str">
        <f t="shared" si="208"/>
        <v/>
      </c>
      <c r="SQS6" s="97" t="str">
        <f t="shared" si="208"/>
        <v/>
      </c>
      <c r="SQT6" s="97" t="str">
        <f t="shared" si="208"/>
        <v/>
      </c>
      <c r="SQU6" s="97" t="str">
        <f t="shared" si="208"/>
        <v/>
      </c>
      <c r="SQV6" s="97" t="str">
        <f t="shared" si="208"/>
        <v/>
      </c>
      <c r="SQW6" s="97" t="str">
        <f t="shared" si="208"/>
        <v/>
      </c>
      <c r="SQX6" s="97" t="str">
        <f t="shared" si="208"/>
        <v/>
      </c>
      <c r="SQY6" s="97" t="str">
        <f t="shared" si="208"/>
        <v/>
      </c>
      <c r="SQZ6" s="97" t="str">
        <f t="shared" si="208"/>
        <v/>
      </c>
      <c r="SRA6" s="97" t="str">
        <f t="shared" si="208"/>
        <v/>
      </c>
      <c r="SRB6" s="97" t="str">
        <f t="shared" si="208"/>
        <v/>
      </c>
      <c r="SRC6" s="97" t="str">
        <f t="shared" si="208"/>
        <v/>
      </c>
      <c r="SRD6" s="97" t="str">
        <f t="shared" si="208"/>
        <v/>
      </c>
      <c r="SRE6" s="97" t="str">
        <f t="shared" si="208"/>
        <v/>
      </c>
      <c r="SRF6" s="97" t="str">
        <f t="shared" ref="SRF6:STQ6" si="209">IFERROR(AVERAGE(SRF7:SRF13),"")</f>
        <v/>
      </c>
      <c r="SRG6" s="97" t="str">
        <f t="shared" si="209"/>
        <v/>
      </c>
      <c r="SRH6" s="97" t="str">
        <f t="shared" si="209"/>
        <v/>
      </c>
      <c r="SRI6" s="97" t="str">
        <f t="shared" si="209"/>
        <v/>
      </c>
      <c r="SRJ6" s="97" t="str">
        <f t="shared" si="209"/>
        <v/>
      </c>
      <c r="SRK6" s="97" t="str">
        <f t="shared" si="209"/>
        <v/>
      </c>
      <c r="SRL6" s="97" t="str">
        <f t="shared" si="209"/>
        <v/>
      </c>
      <c r="SRM6" s="97" t="str">
        <f t="shared" si="209"/>
        <v/>
      </c>
      <c r="SRN6" s="97" t="str">
        <f t="shared" si="209"/>
        <v/>
      </c>
      <c r="SRO6" s="97" t="str">
        <f t="shared" si="209"/>
        <v/>
      </c>
      <c r="SRP6" s="97" t="str">
        <f t="shared" si="209"/>
        <v/>
      </c>
      <c r="SRQ6" s="97" t="str">
        <f t="shared" si="209"/>
        <v/>
      </c>
      <c r="SRR6" s="97" t="str">
        <f t="shared" si="209"/>
        <v/>
      </c>
      <c r="SRS6" s="97" t="str">
        <f t="shared" si="209"/>
        <v/>
      </c>
      <c r="SRT6" s="97" t="str">
        <f t="shared" si="209"/>
        <v/>
      </c>
      <c r="SRU6" s="97" t="str">
        <f t="shared" si="209"/>
        <v/>
      </c>
      <c r="SRV6" s="97" t="str">
        <f t="shared" si="209"/>
        <v/>
      </c>
      <c r="SRW6" s="97" t="str">
        <f t="shared" si="209"/>
        <v/>
      </c>
      <c r="SRX6" s="97" t="str">
        <f t="shared" si="209"/>
        <v/>
      </c>
      <c r="SRY6" s="97" t="str">
        <f t="shared" si="209"/>
        <v/>
      </c>
      <c r="SRZ6" s="97" t="str">
        <f t="shared" si="209"/>
        <v/>
      </c>
      <c r="SSA6" s="97" t="str">
        <f t="shared" si="209"/>
        <v/>
      </c>
      <c r="SSB6" s="97" t="str">
        <f t="shared" si="209"/>
        <v/>
      </c>
      <c r="SSC6" s="97" t="str">
        <f t="shared" si="209"/>
        <v/>
      </c>
      <c r="SSD6" s="97" t="str">
        <f t="shared" si="209"/>
        <v/>
      </c>
      <c r="SSE6" s="97" t="str">
        <f t="shared" si="209"/>
        <v/>
      </c>
      <c r="SSF6" s="97" t="str">
        <f t="shared" si="209"/>
        <v/>
      </c>
      <c r="SSG6" s="97" t="str">
        <f t="shared" si="209"/>
        <v/>
      </c>
      <c r="SSH6" s="97" t="str">
        <f t="shared" si="209"/>
        <v/>
      </c>
      <c r="SSI6" s="97" t="str">
        <f t="shared" si="209"/>
        <v/>
      </c>
      <c r="SSJ6" s="97" t="str">
        <f t="shared" si="209"/>
        <v/>
      </c>
      <c r="SSK6" s="97" t="str">
        <f t="shared" si="209"/>
        <v/>
      </c>
      <c r="SSL6" s="97" t="str">
        <f t="shared" si="209"/>
        <v/>
      </c>
      <c r="SSM6" s="97" t="str">
        <f t="shared" si="209"/>
        <v/>
      </c>
      <c r="SSN6" s="97" t="str">
        <f t="shared" si="209"/>
        <v/>
      </c>
      <c r="SSO6" s="97" t="str">
        <f t="shared" si="209"/>
        <v/>
      </c>
      <c r="SSP6" s="97" t="str">
        <f t="shared" si="209"/>
        <v/>
      </c>
      <c r="SSQ6" s="97" t="str">
        <f t="shared" si="209"/>
        <v/>
      </c>
      <c r="SSR6" s="97" t="str">
        <f t="shared" si="209"/>
        <v/>
      </c>
      <c r="SSS6" s="97" t="str">
        <f t="shared" si="209"/>
        <v/>
      </c>
      <c r="SST6" s="97" t="str">
        <f t="shared" si="209"/>
        <v/>
      </c>
      <c r="SSU6" s="97" t="str">
        <f t="shared" si="209"/>
        <v/>
      </c>
      <c r="SSV6" s="97" t="str">
        <f t="shared" si="209"/>
        <v/>
      </c>
      <c r="SSW6" s="97" t="str">
        <f t="shared" si="209"/>
        <v/>
      </c>
      <c r="SSX6" s="97" t="str">
        <f t="shared" si="209"/>
        <v/>
      </c>
      <c r="SSY6" s="97" t="str">
        <f t="shared" si="209"/>
        <v/>
      </c>
      <c r="SSZ6" s="97" t="str">
        <f t="shared" si="209"/>
        <v/>
      </c>
      <c r="STA6" s="97" t="str">
        <f t="shared" si="209"/>
        <v/>
      </c>
      <c r="STB6" s="97" t="str">
        <f t="shared" si="209"/>
        <v/>
      </c>
      <c r="STC6" s="97" t="str">
        <f t="shared" si="209"/>
        <v/>
      </c>
      <c r="STD6" s="97" t="str">
        <f t="shared" si="209"/>
        <v/>
      </c>
      <c r="STE6" s="97" t="str">
        <f t="shared" si="209"/>
        <v/>
      </c>
      <c r="STF6" s="97" t="str">
        <f t="shared" si="209"/>
        <v/>
      </c>
      <c r="STG6" s="97" t="str">
        <f t="shared" si="209"/>
        <v/>
      </c>
      <c r="STH6" s="97" t="str">
        <f t="shared" si="209"/>
        <v/>
      </c>
      <c r="STI6" s="97" t="str">
        <f t="shared" si="209"/>
        <v/>
      </c>
      <c r="STJ6" s="97" t="str">
        <f t="shared" si="209"/>
        <v/>
      </c>
      <c r="STK6" s="97" t="str">
        <f t="shared" si="209"/>
        <v/>
      </c>
      <c r="STL6" s="97" t="str">
        <f t="shared" si="209"/>
        <v/>
      </c>
      <c r="STM6" s="97" t="str">
        <f t="shared" si="209"/>
        <v/>
      </c>
      <c r="STN6" s="97" t="str">
        <f t="shared" si="209"/>
        <v/>
      </c>
      <c r="STO6" s="97" t="str">
        <f t="shared" si="209"/>
        <v/>
      </c>
      <c r="STP6" s="97" t="str">
        <f t="shared" si="209"/>
        <v/>
      </c>
      <c r="STQ6" s="97" t="str">
        <f t="shared" si="209"/>
        <v/>
      </c>
      <c r="STR6" s="97" t="str">
        <f t="shared" ref="STR6:SWC6" si="210">IFERROR(AVERAGE(STR7:STR13),"")</f>
        <v/>
      </c>
      <c r="STS6" s="97" t="str">
        <f t="shared" si="210"/>
        <v/>
      </c>
      <c r="STT6" s="97" t="str">
        <f t="shared" si="210"/>
        <v/>
      </c>
      <c r="STU6" s="97" t="str">
        <f t="shared" si="210"/>
        <v/>
      </c>
      <c r="STV6" s="97" t="str">
        <f t="shared" si="210"/>
        <v/>
      </c>
      <c r="STW6" s="97" t="str">
        <f t="shared" si="210"/>
        <v/>
      </c>
      <c r="STX6" s="97" t="str">
        <f t="shared" si="210"/>
        <v/>
      </c>
      <c r="STY6" s="97" t="str">
        <f t="shared" si="210"/>
        <v/>
      </c>
      <c r="STZ6" s="97" t="str">
        <f t="shared" si="210"/>
        <v/>
      </c>
      <c r="SUA6" s="97" t="str">
        <f t="shared" si="210"/>
        <v/>
      </c>
      <c r="SUB6" s="97" t="str">
        <f t="shared" si="210"/>
        <v/>
      </c>
      <c r="SUC6" s="97" t="str">
        <f t="shared" si="210"/>
        <v/>
      </c>
      <c r="SUD6" s="97" t="str">
        <f t="shared" si="210"/>
        <v/>
      </c>
      <c r="SUE6" s="97" t="str">
        <f t="shared" si="210"/>
        <v/>
      </c>
      <c r="SUF6" s="97" t="str">
        <f t="shared" si="210"/>
        <v/>
      </c>
      <c r="SUG6" s="97" t="str">
        <f t="shared" si="210"/>
        <v/>
      </c>
      <c r="SUH6" s="97" t="str">
        <f t="shared" si="210"/>
        <v/>
      </c>
      <c r="SUI6" s="97" t="str">
        <f t="shared" si="210"/>
        <v/>
      </c>
      <c r="SUJ6" s="97" t="str">
        <f t="shared" si="210"/>
        <v/>
      </c>
      <c r="SUK6" s="97" t="str">
        <f t="shared" si="210"/>
        <v/>
      </c>
      <c r="SUL6" s="97" t="str">
        <f t="shared" si="210"/>
        <v/>
      </c>
      <c r="SUM6" s="97" t="str">
        <f t="shared" si="210"/>
        <v/>
      </c>
      <c r="SUN6" s="97" t="str">
        <f t="shared" si="210"/>
        <v/>
      </c>
      <c r="SUO6" s="97" t="str">
        <f t="shared" si="210"/>
        <v/>
      </c>
      <c r="SUP6" s="97" t="str">
        <f t="shared" si="210"/>
        <v/>
      </c>
      <c r="SUQ6" s="97" t="str">
        <f t="shared" si="210"/>
        <v/>
      </c>
      <c r="SUR6" s="97" t="str">
        <f t="shared" si="210"/>
        <v/>
      </c>
      <c r="SUS6" s="97" t="str">
        <f t="shared" si="210"/>
        <v/>
      </c>
      <c r="SUT6" s="97" t="str">
        <f t="shared" si="210"/>
        <v/>
      </c>
      <c r="SUU6" s="97" t="str">
        <f t="shared" si="210"/>
        <v/>
      </c>
      <c r="SUV6" s="97" t="str">
        <f t="shared" si="210"/>
        <v/>
      </c>
      <c r="SUW6" s="97" t="str">
        <f t="shared" si="210"/>
        <v/>
      </c>
      <c r="SUX6" s="97" t="str">
        <f t="shared" si="210"/>
        <v/>
      </c>
      <c r="SUY6" s="97" t="str">
        <f t="shared" si="210"/>
        <v/>
      </c>
      <c r="SUZ6" s="97" t="str">
        <f t="shared" si="210"/>
        <v/>
      </c>
      <c r="SVA6" s="97" t="str">
        <f t="shared" si="210"/>
        <v/>
      </c>
      <c r="SVB6" s="97" t="str">
        <f t="shared" si="210"/>
        <v/>
      </c>
      <c r="SVC6" s="97" t="str">
        <f t="shared" si="210"/>
        <v/>
      </c>
      <c r="SVD6" s="97" t="str">
        <f t="shared" si="210"/>
        <v/>
      </c>
      <c r="SVE6" s="97" t="str">
        <f t="shared" si="210"/>
        <v/>
      </c>
      <c r="SVF6" s="97" t="str">
        <f t="shared" si="210"/>
        <v/>
      </c>
      <c r="SVG6" s="97" t="str">
        <f t="shared" si="210"/>
        <v/>
      </c>
      <c r="SVH6" s="97" t="str">
        <f t="shared" si="210"/>
        <v/>
      </c>
      <c r="SVI6" s="97" t="str">
        <f t="shared" si="210"/>
        <v/>
      </c>
      <c r="SVJ6" s="97" t="str">
        <f t="shared" si="210"/>
        <v/>
      </c>
      <c r="SVK6" s="97" t="str">
        <f t="shared" si="210"/>
        <v/>
      </c>
      <c r="SVL6" s="97" t="str">
        <f t="shared" si="210"/>
        <v/>
      </c>
      <c r="SVM6" s="97" t="str">
        <f t="shared" si="210"/>
        <v/>
      </c>
      <c r="SVN6" s="97" t="str">
        <f t="shared" si="210"/>
        <v/>
      </c>
      <c r="SVO6" s="97" t="str">
        <f t="shared" si="210"/>
        <v/>
      </c>
      <c r="SVP6" s="97" t="str">
        <f t="shared" si="210"/>
        <v/>
      </c>
      <c r="SVQ6" s="97" t="str">
        <f t="shared" si="210"/>
        <v/>
      </c>
      <c r="SVR6" s="97" t="str">
        <f t="shared" si="210"/>
        <v/>
      </c>
      <c r="SVS6" s="97" t="str">
        <f t="shared" si="210"/>
        <v/>
      </c>
      <c r="SVT6" s="97" t="str">
        <f t="shared" si="210"/>
        <v/>
      </c>
      <c r="SVU6" s="97" t="str">
        <f t="shared" si="210"/>
        <v/>
      </c>
      <c r="SVV6" s="97" t="str">
        <f t="shared" si="210"/>
        <v/>
      </c>
      <c r="SVW6" s="97" t="str">
        <f t="shared" si="210"/>
        <v/>
      </c>
      <c r="SVX6" s="97" t="str">
        <f t="shared" si="210"/>
        <v/>
      </c>
      <c r="SVY6" s="97" t="str">
        <f t="shared" si="210"/>
        <v/>
      </c>
      <c r="SVZ6" s="97" t="str">
        <f t="shared" si="210"/>
        <v/>
      </c>
      <c r="SWA6" s="97" t="str">
        <f t="shared" si="210"/>
        <v/>
      </c>
      <c r="SWB6" s="97" t="str">
        <f t="shared" si="210"/>
        <v/>
      </c>
      <c r="SWC6" s="97" t="str">
        <f t="shared" si="210"/>
        <v/>
      </c>
      <c r="SWD6" s="97" t="str">
        <f t="shared" ref="SWD6:SYO6" si="211">IFERROR(AVERAGE(SWD7:SWD13),"")</f>
        <v/>
      </c>
      <c r="SWE6" s="97" t="str">
        <f t="shared" si="211"/>
        <v/>
      </c>
      <c r="SWF6" s="97" t="str">
        <f t="shared" si="211"/>
        <v/>
      </c>
      <c r="SWG6" s="97" t="str">
        <f t="shared" si="211"/>
        <v/>
      </c>
      <c r="SWH6" s="97" t="str">
        <f t="shared" si="211"/>
        <v/>
      </c>
      <c r="SWI6" s="97" t="str">
        <f t="shared" si="211"/>
        <v/>
      </c>
      <c r="SWJ6" s="97" t="str">
        <f t="shared" si="211"/>
        <v/>
      </c>
      <c r="SWK6" s="97" t="str">
        <f t="shared" si="211"/>
        <v/>
      </c>
      <c r="SWL6" s="97" t="str">
        <f t="shared" si="211"/>
        <v/>
      </c>
      <c r="SWM6" s="97" t="str">
        <f t="shared" si="211"/>
        <v/>
      </c>
      <c r="SWN6" s="97" t="str">
        <f t="shared" si="211"/>
        <v/>
      </c>
      <c r="SWO6" s="97" t="str">
        <f t="shared" si="211"/>
        <v/>
      </c>
      <c r="SWP6" s="97" t="str">
        <f t="shared" si="211"/>
        <v/>
      </c>
      <c r="SWQ6" s="97" t="str">
        <f t="shared" si="211"/>
        <v/>
      </c>
      <c r="SWR6" s="97" t="str">
        <f t="shared" si="211"/>
        <v/>
      </c>
      <c r="SWS6" s="97" t="str">
        <f t="shared" si="211"/>
        <v/>
      </c>
      <c r="SWT6" s="97" t="str">
        <f t="shared" si="211"/>
        <v/>
      </c>
      <c r="SWU6" s="97" t="str">
        <f t="shared" si="211"/>
        <v/>
      </c>
      <c r="SWV6" s="97" t="str">
        <f t="shared" si="211"/>
        <v/>
      </c>
      <c r="SWW6" s="97" t="str">
        <f t="shared" si="211"/>
        <v/>
      </c>
      <c r="SWX6" s="97" t="str">
        <f t="shared" si="211"/>
        <v/>
      </c>
      <c r="SWY6" s="97" t="str">
        <f t="shared" si="211"/>
        <v/>
      </c>
      <c r="SWZ6" s="97" t="str">
        <f t="shared" si="211"/>
        <v/>
      </c>
      <c r="SXA6" s="97" t="str">
        <f t="shared" si="211"/>
        <v/>
      </c>
      <c r="SXB6" s="97" t="str">
        <f t="shared" si="211"/>
        <v/>
      </c>
      <c r="SXC6" s="97" t="str">
        <f t="shared" si="211"/>
        <v/>
      </c>
      <c r="SXD6" s="97" t="str">
        <f t="shared" si="211"/>
        <v/>
      </c>
      <c r="SXE6" s="97" t="str">
        <f t="shared" si="211"/>
        <v/>
      </c>
      <c r="SXF6" s="97" t="str">
        <f t="shared" si="211"/>
        <v/>
      </c>
      <c r="SXG6" s="97" t="str">
        <f t="shared" si="211"/>
        <v/>
      </c>
      <c r="SXH6" s="97" t="str">
        <f t="shared" si="211"/>
        <v/>
      </c>
      <c r="SXI6" s="97" t="str">
        <f t="shared" si="211"/>
        <v/>
      </c>
      <c r="SXJ6" s="97" t="str">
        <f t="shared" si="211"/>
        <v/>
      </c>
      <c r="SXK6" s="97" t="str">
        <f t="shared" si="211"/>
        <v/>
      </c>
      <c r="SXL6" s="97" t="str">
        <f t="shared" si="211"/>
        <v/>
      </c>
      <c r="SXM6" s="97" t="str">
        <f t="shared" si="211"/>
        <v/>
      </c>
      <c r="SXN6" s="97" t="str">
        <f t="shared" si="211"/>
        <v/>
      </c>
      <c r="SXO6" s="97" t="str">
        <f t="shared" si="211"/>
        <v/>
      </c>
      <c r="SXP6" s="97" t="str">
        <f t="shared" si="211"/>
        <v/>
      </c>
      <c r="SXQ6" s="97" t="str">
        <f t="shared" si="211"/>
        <v/>
      </c>
      <c r="SXR6" s="97" t="str">
        <f t="shared" si="211"/>
        <v/>
      </c>
      <c r="SXS6" s="97" t="str">
        <f t="shared" si="211"/>
        <v/>
      </c>
      <c r="SXT6" s="97" t="str">
        <f t="shared" si="211"/>
        <v/>
      </c>
      <c r="SXU6" s="97" t="str">
        <f t="shared" si="211"/>
        <v/>
      </c>
      <c r="SXV6" s="97" t="str">
        <f t="shared" si="211"/>
        <v/>
      </c>
      <c r="SXW6" s="97" t="str">
        <f t="shared" si="211"/>
        <v/>
      </c>
      <c r="SXX6" s="97" t="str">
        <f t="shared" si="211"/>
        <v/>
      </c>
      <c r="SXY6" s="97" t="str">
        <f t="shared" si="211"/>
        <v/>
      </c>
      <c r="SXZ6" s="97" t="str">
        <f t="shared" si="211"/>
        <v/>
      </c>
      <c r="SYA6" s="97" t="str">
        <f t="shared" si="211"/>
        <v/>
      </c>
      <c r="SYB6" s="97" t="str">
        <f t="shared" si="211"/>
        <v/>
      </c>
      <c r="SYC6" s="97" t="str">
        <f t="shared" si="211"/>
        <v/>
      </c>
      <c r="SYD6" s="97" t="str">
        <f t="shared" si="211"/>
        <v/>
      </c>
      <c r="SYE6" s="97" t="str">
        <f t="shared" si="211"/>
        <v/>
      </c>
      <c r="SYF6" s="97" t="str">
        <f t="shared" si="211"/>
        <v/>
      </c>
      <c r="SYG6" s="97" t="str">
        <f t="shared" si="211"/>
        <v/>
      </c>
      <c r="SYH6" s="97" t="str">
        <f t="shared" si="211"/>
        <v/>
      </c>
      <c r="SYI6" s="97" t="str">
        <f t="shared" si="211"/>
        <v/>
      </c>
      <c r="SYJ6" s="97" t="str">
        <f t="shared" si="211"/>
        <v/>
      </c>
      <c r="SYK6" s="97" t="str">
        <f t="shared" si="211"/>
        <v/>
      </c>
      <c r="SYL6" s="97" t="str">
        <f t="shared" si="211"/>
        <v/>
      </c>
      <c r="SYM6" s="97" t="str">
        <f t="shared" si="211"/>
        <v/>
      </c>
      <c r="SYN6" s="97" t="str">
        <f t="shared" si="211"/>
        <v/>
      </c>
      <c r="SYO6" s="97" t="str">
        <f t="shared" si="211"/>
        <v/>
      </c>
      <c r="SYP6" s="97" t="str">
        <f t="shared" ref="SYP6:TBA6" si="212">IFERROR(AVERAGE(SYP7:SYP13),"")</f>
        <v/>
      </c>
      <c r="SYQ6" s="97" t="str">
        <f t="shared" si="212"/>
        <v/>
      </c>
      <c r="SYR6" s="97" t="str">
        <f t="shared" si="212"/>
        <v/>
      </c>
      <c r="SYS6" s="97" t="str">
        <f t="shared" si="212"/>
        <v/>
      </c>
      <c r="SYT6" s="97" t="str">
        <f t="shared" si="212"/>
        <v/>
      </c>
      <c r="SYU6" s="97" t="str">
        <f t="shared" si="212"/>
        <v/>
      </c>
      <c r="SYV6" s="97" t="str">
        <f t="shared" si="212"/>
        <v/>
      </c>
      <c r="SYW6" s="97" t="str">
        <f t="shared" si="212"/>
        <v/>
      </c>
      <c r="SYX6" s="97" t="str">
        <f t="shared" si="212"/>
        <v/>
      </c>
      <c r="SYY6" s="97" t="str">
        <f t="shared" si="212"/>
        <v/>
      </c>
      <c r="SYZ6" s="97" t="str">
        <f t="shared" si="212"/>
        <v/>
      </c>
      <c r="SZA6" s="97" t="str">
        <f t="shared" si="212"/>
        <v/>
      </c>
      <c r="SZB6" s="97" t="str">
        <f t="shared" si="212"/>
        <v/>
      </c>
      <c r="SZC6" s="97" t="str">
        <f t="shared" si="212"/>
        <v/>
      </c>
      <c r="SZD6" s="97" t="str">
        <f t="shared" si="212"/>
        <v/>
      </c>
      <c r="SZE6" s="97" t="str">
        <f t="shared" si="212"/>
        <v/>
      </c>
      <c r="SZF6" s="97" t="str">
        <f t="shared" si="212"/>
        <v/>
      </c>
      <c r="SZG6" s="97" t="str">
        <f t="shared" si="212"/>
        <v/>
      </c>
      <c r="SZH6" s="97" t="str">
        <f t="shared" si="212"/>
        <v/>
      </c>
      <c r="SZI6" s="97" t="str">
        <f t="shared" si="212"/>
        <v/>
      </c>
      <c r="SZJ6" s="97" t="str">
        <f t="shared" si="212"/>
        <v/>
      </c>
      <c r="SZK6" s="97" t="str">
        <f t="shared" si="212"/>
        <v/>
      </c>
      <c r="SZL6" s="97" t="str">
        <f t="shared" si="212"/>
        <v/>
      </c>
      <c r="SZM6" s="97" t="str">
        <f t="shared" si="212"/>
        <v/>
      </c>
      <c r="SZN6" s="97" t="str">
        <f t="shared" si="212"/>
        <v/>
      </c>
      <c r="SZO6" s="97" t="str">
        <f t="shared" si="212"/>
        <v/>
      </c>
      <c r="SZP6" s="97" t="str">
        <f t="shared" si="212"/>
        <v/>
      </c>
      <c r="SZQ6" s="97" t="str">
        <f t="shared" si="212"/>
        <v/>
      </c>
      <c r="SZR6" s="97" t="str">
        <f t="shared" si="212"/>
        <v/>
      </c>
      <c r="SZS6" s="97" t="str">
        <f t="shared" si="212"/>
        <v/>
      </c>
      <c r="SZT6" s="97" t="str">
        <f t="shared" si="212"/>
        <v/>
      </c>
      <c r="SZU6" s="97" t="str">
        <f t="shared" si="212"/>
        <v/>
      </c>
      <c r="SZV6" s="97" t="str">
        <f t="shared" si="212"/>
        <v/>
      </c>
      <c r="SZW6" s="97" t="str">
        <f t="shared" si="212"/>
        <v/>
      </c>
      <c r="SZX6" s="97" t="str">
        <f t="shared" si="212"/>
        <v/>
      </c>
      <c r="SZY6" s="97" t="str">
        <f t="shared" si="212"/>
        <v/>
      </c>
      <c r="SZZ6" s="97" t="str">
        <f t="shared" si="212"/>
        <v/>
      </c>
      <c r="TAA6" s="97" t="str">
        <f t="shared" si="212"/>
        <v/>
      </c>
      <c r="TAB6" s="97" t="str">
        <f t="shared" si="212"/>
        <v/>
      </c>
      <c r="TAC6" s="97" t="str">
        <f t="shared" si="212"/>
        <v/>
      </c>
      <c r="TAD6" s="97" t="str">
        <f t="shared" si="212"/>
        <v/>
      </c>
      <c r="TAE6" s="97" t="str">
        <f t="shared" si="212"/>
        <v/>
      </c>
      <c r="TAF6" s="97" t="str">
        <f t="shared" si="212"/>
        <v/>
      </c>
      <c r="TAG6" s="97" t="str">
        <f t="shared" si="212"/>
        <v/>
      </c>
      <c r="TAH6" s="97" t="str">
        <f t="shared" si="212"/>
        <v/>
      </c>
      <c r="TAI6" s="97" t="str">
        <f t="shared" si="212"/>
        <v/>
      </c>
      <c r="TAJ6" s="97" t="str">
        <f t="shared" si="212"/>
        <v/>
      </c>
      <c r="TAK6" s="97" t="str">
        <f t="shared" si="212"/>
        <v/>
      </c>
      <c r="TAL6" s="97" t="str">
        <f t="shared" si="212"/>
        <v/>
      </c>
      <c r="TAM6" s="97" t="str">
        <f t="shared" si="212"/>
        <v/>
      </c>
      <c r="TAN6" s="97" t="str">
        <f t="shared" si="212"/>
        <v/>
      </c>
      <c r="TAO6" s="97" t="str">
        <f t="shared" si="212"/>
        <v/>
      </c>
      <c r="TAP6" s="97" t="str">
        <f t="shared" si="212"/>
        <v/>
      </c>
      <c r="TAQ6" s="97" t="str">
        <f t="shared" si="212"/>
        <v/>
      </c>
      <c r="TAR6" s="97" t="str">
        <f t="shared" si="212"/>
        <v/>
      </c>
      <c r="TAS6" s="97" t="str">
        <f t="shared" si="212"/>
        <v/>
      </c>
      <c r="TAT6" s="97" t="str">
        <f t="shared" si="212"/>
        <v/>
      </c>
      <c r="TAU6" s="97" t="str">
        <f t="shared" si="212"/>
        <v/>
      </c>
      <c r="TAV6" s="97" t="str">
        <f t="shared" si="212"/>
        <v/>
      </c>
      <c r="TAW6" s="97" t="str">
        <f t="shared" si="212"/>
        <v/>
      </c>
      <c r="TAX6" s="97" t="str">
        <f t="shared" si="212"/>
        <v/>
      </c>
      <c r="TAY6" s="97" t="str">
        <f t="shared" si="212"/>
        <v/>
      </c>
      <c r="TAZ6" s="97" t="str">
        <f t="shared" si="212"/>
        <v/>
      </c>
      <c r="TBA6" s="97" t="str">
        <f t="shared" si="212"/>
        <v/>
      </c>
      <c r="TBB6" s="97" t="str">
        <f t="shared" ref="TBB6:TDM6" si="213">IFERROR(AVERAGE(TBB7:TBB13),"")</f>
        <v/>
      </c>
      <c r="TBC6" s="97" t="str">
        <f t="shared" si="213"/>
        <v/>
      </c>
      <c r="TBD6" s="97" t="str">
        <f t="shared" si="213"/>
        <v/>
      </c>
      <c r="TBE6" s="97" t="str">
        <f t="shared" si="213"/>
        <v/>
      </c>
      <c r="TBF6" s="97" t="str">
        <f t="shared" si="213"/>
        <v/>
      </c>
      <c r="TBG6" s="97" t="str">
        <f t="shared" si="213"/>
        <v/>
      </c>
      <c r="TBH6" s="97" t="str">
        <f t="shared" si="213"/>
        <v/>
      </c>
      <c r="TBI6" s="97" t="str">
        <f t="shared" si="213"/>
        <v/>
      </c>
      <c r="TBJ6" s="97" t="str">
        <f t="shared" si="213"/>
        <v/>
      </c>
      <c r="TBK6" s="97" t="str">
        <f t="shared" si="213"/>
        <v/>
      </c>
      <c r="TBL6" s="97" t="str">
        <f t="shared" si="213"/>
        <v/>
      </c>
      <c r="TBM6" s="97" t="str">
        <f t="shared" si="213"/>
        <v/>
      </c>
      <c r="TBN6" s="97" t="str">
        <f t="shared" si="213"/>
        <v/>
      </c>
      <c r="TBO6" s="97" t="str">
        <f t="shared" si="213"/>
        <v/>
      </c>
      <c r="TBP6" s="97" t="str">
        <f t="shared" si="213"/>
        <v/>
      </c>
      <c r="TBQ6" s="97" t="str">
        <f t="shared" si="213"/>
        <v/>
      </c>
      <c r="TBR6" s="97" t="str">
        <f t="shared" si="213"/>
        <v/>
      </c>
      <c r="TBS6" s="97" t="str">
        <f t="shared" si="213"/>
        <v/>
      </c>
      <c r="TBT6" s="97" t="str">
        <f t="shared" si="213"/>
        <v/>
      </c>
      <c r="TBU6" s="97" t="str">
        <f t="shared" si="213"/>
        <v/>
      </c>
      <c r="TBV6" s="97" t="str">
        <f t="shared" si="213"/>
        <v/>
      </c>
      <c r="TBW6" s="97" t="str">
        <f t="shared" si="213"/>
        <v/>
      </c>
      <c r="TBX6" s="97" t="str">
        <f t="shared" si="213"/>
        <v/>
      </c>
      <c r="TBY6" s="97" t="str">
        <f t="shared" si="213"/>
        <v/>
      </c>
      <c r="TBZ6" s="97" t="str">
        <f t="shared" si="213"/>
        <v/>
      </c>
      <c r="TCA6" s="97" t="str">
        <f t="shared" si="213"/>
        <v/>
      </c>
      <c r="TCB6" s="97" t="str">
        <f t="shared" si="213"/>
        <v/>
      </c>
      <c r="TCC6" s="97" t="str">
        <f t="shared" si="213"/>
        <v/>
      </c>
      <c r="TCD6" s="97" t="str">
        <f t="shared" si="213"/>
        <v/>
      </c>
      <c r="TCE6" s="97" t="str">
        <f t="shared" si="213"/>
        <v/>
      </c>
      <c r="TCF6" s="97" t="str">
        <f t="shared" si="213"/>
        <v/>
      </c>
      <c r="TCG6" s="97" t="str">
        <f t="shared" si="213"/>
        <v/>
      </c>
      <c r="TCH6" s="97" t="str">
        <f t="shared" si="213"/>
        <v/>
      </c>
      <c r="TCI6" s="97" t="str">
        <f t="shared" si="213"/>
        <v/>
      </c>
      <c r="TCJ6" s="97" t="str">
        <f t="shared" si="213"/>
        <v/>
      </c>
      <c r="TCK6" s="97" t="str">
        <f t="shared" si="213"/>
        <v/>
      </c>
      <c r="TCL6" s="97" t="str">
        <f t="shared" si="213"/>
        <v/>
      </c>
      <c r="TCM6" s="97" t="str">
        <f t="shared" si="213"/>
        <v/>
      </c>
      <c r="TCN6" s="97" t="str">
        <f t="shared" si="213"/>
        <v/>
      </c>
      <c r="TCO6" s="97" t="str">
        <f t="shared" si="213"/>
        <v/>
      </c>
      <c r="TCP6" s="97" t="str">
        <f t="shared" si="213"/>
        <v/>
      </c>
      <c r="TCQ6" s="97" t="str">
        <f t="shared" si="213"/>
        <v/>
      </c>
      <c r="TCR6" s="97" t="str">
        <f t="shared" si="213"/>
        <v/>
      </c>
      <c r="TCS6" s="97" t="str">
        <f t="shared" si="213"/>
        <v/>
      </c>
      <c r="TCT6" s="97" t="str">
        <f t="shared" si="213"/>
        <v/>
      </c>
      <c r="TCU6" s="97" t="str">
        <f t="shared" si="213"/>
        <v/>
      </c>
      <c r="TCV6" s="97" t="str">
        <f t="shared" si="213"/>
        <v/>
      </c>
      <c r="TCW6" s="97" t="str">
        <f t="shared" si="213"/>
        <v/>
      </c>
      <c r="TCX6" s="97" t="str">
        <f t="shared" si="213"/>
        <v/>
      </c>
      <c r="TCY6" s="97" t="str">
        <f t="shared" si="213"/>
        <v/>
      </c>
      <c r="TCZ6" s="97" t="str">
        <f t="shared" si="213"/>
        <v/>
      </c>
      <c r="TDA6" s="97" t="str">
        <f t="shared" si="213"/>
        <v/>
      </c>
      <c r="TDB6" s="97" t="str">
        <f t="shared" si="213"/>
        <v/>
      </c>
      <c r="TDC6" s="97" t="str">
        <f t="shared" si="213"/>
        <v/>
      </c>
      <c r="TDD6" s="97" t="str">
        <f t="shared" si="213"/>
        <v/>
      </c>
      <c r="TDE6" s="97" t="str">
        <f t="shared" si="213"/>
        <v/>
      </c>
      <c r="TDF6" s="97" t="str">
        <f t="shared" si="213"/>
        <v/>
      </c>
      <c r="TDG6" s="97" t="str">
        <f t="shared" si="213"/>
        <v/>
      </c>
      <c r="TDH6" s="97" t="str">
        <f t="shared" si="213"/>
        <v/>
      </c>
      <c r="TDI6" s="97" t="str">
        <f t="shared" si="213"/>
        <v/>
      </c>
      <c r="TDJ6" s="97" t="str">
        <f t="shared" si="213"/>
        <v/>
      </c>
      <c r="TDK6" s="97" t="str">
        <f t="shared" si="213"/>
        <v/>
      </c>
      <c r="TDL6" s="97" t="str">
        <f t="shared" si="213"/>
        <v/>
      </c>
      <c r="TDM6" s="97" t="str">
        <f t="shared" si="213"/>
        <v/>
      </c>
      <c r="TDN6" s="97" t="str">
        <f t="shared" ref="TDN6:TFY6" si="214">IFERROR(AVERAGE(TDN7:TDN13),"")</f>
        <v/>
      </c>
      <c r="TDO6" s="97" t="str">
        <f t="shared" si="214"/>
        <v/>
      </c>
      <c r="TDP6" s="97" t="str">
        <f t="shared" si="214"/>
        <v/>
      </c>
      <c r="TDQ6" s="97" t="str">
        <f t="shared" si="214"/>
        <v/>
      </c>
      <c r="TDR6" s="97" t="str">
        <f t="shared" si="214"/>
        <v/>
      </c>
      <c r="TDS6" s="97" t="str">
        <f t="shared" si="214"/>
        <v/>
      </c>
      <c r="TDT6" s="97" t="str">
        <f t="shared" si="214"/>
        <v/>
      </c>
      <c r="TDU6" s="97" t="str">
        <f t="shared" si="214"/>
        <v/>
      </c>
      <c r="TDV6" s="97" t="str">
        <f t="shared" si="214"/>
        <v/>
      </c>
      <c r="TDW6" s="97" t="str">
        <f t="shared" si="214"/>
        <v/>
      </c>
      <c r="TDX6" s="97" t="str">
        <f t="shared" si="214"/>
        <v/>
      </c>
      <c r="TDY6" s="97" t="str">
        <f t="shared" si="214"/>
        <v/>
      </c>
      <c r="TDZ6" s="97" t="str">
        <f t="shared" si="214"/>
        <v/>
      </c>
      <c r="TEA6" s="97" t="str">
        <f t="shared" si="214"/>
        <v/>
      </c>
      <c r="TEB6" s="97" t="str">
        <f t="shared" si="214"/>
        <v/>
      </c>
      <c r="TEC6" s="97" t="str">
        <f t="shared" si="214"/>
        <v/>
      </c>
      <c r="TED6" s="97" t="str">
        <f t="shared" si="214"/>
        <v/>
      </c>
      <c r="TEE6" s="97" t="str">
        <f t="shared" si="214"/>
        <v/>
      </c>
      <c r="TEF6" s="97" t="str">
        <f t="shared" si="214"/>
        <v/>
      </c>
      <c r="TEG6" s="97" t="str">
        <f t="shared" si="214"/>
        <v/>
      </c>
      <c r="TEH6" s="97" t="str">
        <f t="shared" si="214"/>
        <v/>
      </c>
      <c r="TEI6" s="97" t="str">
        <f t="shared" si="214"/>
        <v/>
      </c>
      <c r="TEJ6" s="97" t="str">
        <f t="shared" si="214"/>
        <v/>
      </c>
      <c r="TEK6" s="97" t="str">
        <f t="shared" si="214"/>
        <v/>
      </c>
      <c r="TEL6" s="97" t="str">
        <f t="shared" si="214"/>
        <v/>
      </c>
      <c r="TEM6" s="97" t="str">
        <f t="shared" si="214"/>
        <v/>
      </c>
      <c r="TEN6" s="97" t="str">
        <f t="shared" si="214"/>
        <v/>
      </c>
      <c r="TEO6" s="97" t="str">
        <f t="shared" si="214"/>
        <v/>
      </c>
      <c r="TEP6" s="97" t="str">
        <f t="shared" si="214"/>
        <v/>
      </c>
      <c r="TEQ6" s="97" t="str">
        <f t="shared" si="214"/>
        <v/>
      </c>
      <c r="TER6" s="97" t="str">
        <f t="shared" si="214"/>
        <v/>
      </c>
      <c r="TES6" s="97" t="str">
        <f t="shared" si="214"/>
        <v/>
      </c>
      <c r="TET6" s="97" t="str">
        <f t="shared" si="214"/>
        <v/>
      </c>
      <c r="TEU6" s="97" t="str">
        <f t="shared" si="214"/>
        <v/>
      </c>
      <c r="TEV6" s="97" t="str">
        <f t="shared" si="214"/>
        <v/>
      </c>
      <c r="TEW6" s="97" t="str">
        <f t="shared" si="214"/>
        <v/>
      </c>
      <c r="TEX6" s="97" t="str">
        <f t="shared" si="214"/>
        <v/>
      </c>
      <c r="TEY6" s="97" t="str">
        <f t="shared" si="214"/>
        <v/>
      </c>
      <c r="TEZ6" s="97" t="str">
        <f t="shared" si="214"/>
        <v/>
      </c>
      <c r="TFA6" s="97" t="str">
        <f t="shared" si="214"/>
        <v/>
      </c>
      <c r="TFB6" s="97" t="str">
        <f t="shared" si="214"/>
        <v/>
      </c>
      <c r="TFC6" s="97" t="str">
        <f t="shared" si="214"/>
        <v/>
      </c>
      <c r="TFD6" s="97" t="str">
        <f t="shared" si="214"/>
        <v/>
      </c>
      <c r="TFE6" s="97" t="str">
        <f t="shared" si="214"/>
        <v/>
      </c>
      <c r="TFF6" s="97" t="str">
        <f t="shared" si="214"/>
        <v/>
      </c>
      <c r="TFG6" s="97" t="str">
        <f t="shared" si="214"/>
        <v/>
      </c>
      <c r="TFH6" s="97" t="str">
        <f t="shared" si="214"/>
        <v/>
      </c>
      <c r="TFI6" s="97" t="str">
        <f t="shared" si="214"/>
        <v/>
      </c>
      <c r="TFJ6" s="97" t="str">
        <f t="shared" si="214"/>
        <v/>
      </c>
      <c r="TFK6" s="97" t="str">
        <f t="shared" si="214"/>
        <v/>
      </c>
      <c r="TFL6" s="97" t="str">
        <f t="shared" si="214"/>
        <v/>
      </c>
      <c r="TFM6" s="97" t="str">
        <f t="shared" si="214"/>
        <v/>
      </c>
      <c r="TFN6" s="97" t="str">
        <f t="shared" si="214"/>
        <v/>
      </c>
      <c r="TFO6" s="97" t="str">
        <f t="shared" si="214"/>
        <v/>
      </c>
      <c r="TFP6" s="97" t="str">
        <f t="shared" si="214"/>
        <v/>
      </c>
      <c r="TFQ6" s="97" t="str">
        <f t="shared" si="214"/>
        <v/>
      </c>
      <c r="TFR6" s="97" t="str">
        <f t="shared" si="214"/>
        <v/>
      </c>
      <c r="TFS6" s="97" t="str">
        <f t="shared" si="214"/>
        <v/>
      </c>
      <c r="TFT6" s="97" t="str">
        <f t="shared" si="214"/>
        <v/>
      </c>
      <c r="TFU6" s="97" t="str">
        <f t="shared" si="214"/>
        <v/>
      </c>
      <c r="TFV6" s="97" t="str">
        <f t="shared" si="214"/>
        <v/>
      </c>
      <c r="TFW6" s="97" t="str">
        <f t="shared" si="214"/>
        <v/>
      </c>
      <c r="TFX6" s="97" t="str">
        <f t="shared" si="214"/>
        <v/>
      </c>
      <c r="TFY6" s="97" t="str">
        <f t="shared" si="214"/>
        <v/>
      </c>
      <c r="TFZ6" s="97" t="str">
        <f t="shared" ref="TFZ6:TIK6" si="215">IFERROR(AVERAGE(TFZ7:TFZ13),"")</f>
        <v/>
      </c>
      <c r="TGA6" s="97" t="str">
        <f t="shared" si="215"/>
        <v/>
      </c>
      <c r="TGB6" s="97" t="str">
        <f t="shared" si="215"/>
        <v/>
      </c>
      <c r="TGC6" s="97" t="str">
        <f t="shared" si="215"/>
        <v/>
      </c>
      <c r="TGD6" s="97" t="str">
        <f t="shared" si="215"/>
        <v/>
      </c>
      <c r="TGE6" s="97" t="str">
        <f t="shared" si="215"/>
        <v/>
      </c>
      <c r="TGF6" s="97" t="str">
        <f t="shared" si="215"/>
        <v/>
      </c>
      <c r="TGG6" s="97" t="str">
        <f t="shared" si="215"/>
        <v/>
      </c>
      <c r="TGH6" s="97" t="str">
        <f t="shared" si="215"/>
        <v/>
      </c>
      <c r="TGI6" s="97" t="str">
        <f t="shared" si="215"/>
        <v/>
      </c>
      <c r="TGJ6" s="97" t="str">
        <f t="shared" si="215"/>
        <v/>
      </c>
      <c r="TGK6" s="97" t="str">
        <f t="shared" si="215"/>
        <v/>
      </c>
      <c r="TGL6" s="97" t="str">
        <f t="shared" si="215"/>
        <v/>
      </c>
      <c r="TGM6" s="97" t="str">
        <f t="shared" si="215"/>
        <v/>
      </c>
      <c r="TGN6" s="97" t="str">
        <f t="shared" si="215"/>
        <v/>
      </c>
      <c r="TGO6" s="97" t="str">
        <f t="shared" si="215"/>
        <v/>
      </c>
      <c r="TGP6" s="97" t="str">
        <f t="shared" si="215"/>
        <v/>
      </c>
      <c r="TGQ6" s="97" t="str">
        <f t="shared" si="215"/>
        <v/>
      </c>
      <c r="TGR6" s="97" t="str">
        <f t="shared" si="215"/>
        <v/>
      </c>
      <c r="TGS6" s="97" t="str">
        <f t="shared" si="215"/>
        <v/>
      </c>
      <c r="TGT6" s="97" t="str">
        <f t="shared" si="215"/>
        <v/>
      </c>
      <c r="TGU6" s="97" t="str">
        <f t="shared" si="215"/>
        <v/>
      </c>
      <c r="TGV6" s="97" t="str">
        <f t="shared" si="215"/>
        <v/>
      </c>
      <c r="TGW6" s="97" t="str">
        <f t="shared" si="215"/>
        <v/>
      </c>
      <c r="TGX6" s="97" t="str">
        <f t="shared" si="215"/>
        <v/>
      </c>
      <c r="TGY6" s="97" t="str">
        <f t="shared" si="215"/>
        <v/>
      </c>
      <c r="TGZ6" s="97" t="str">
        <f t="shared" si="215"/>
        <v/>
      </c>
      <c r="THA6" s="97" t="str">
        <f t="shared" si="215"/>
        <v/>
      </c>
      <c r="THB6" s="97" t="str">
        <f t="shared" si="215"/>
        <v/>
      </c>
      <c r="THC6" s="97" t="str">
        <f t="shared" si="215"/>
        <v/>
      </c>
      <c r="THD6" s="97" t="str">
        <f t="shared" si="215"/>
        <v/>
      </c>
      <c r="THE6" s="97" t="str">
        <f t="shared" si="215"/>
        <v/>
      </c>
      <c r="THF6" s="97" t="str">
        <f t="shared" si="215"/>
        <v/>
      </c>
      <c r="THG6" s="97" t="str">
        <f t="shared" si="215"/>
        <v/>
      </c>
      <c r="THH6" s="97" t="str">
        <f t="shared" si="215"/>
        <v/>
      </c>
      <c r="THI6" s="97" t="str">
        <f t="shared" si="215"/>
        <v/>
      </c>
      <c r="THJ6" s="97" t="str">
        <f t="shared" si="215"/>
        <v/>
      </c>
      <c r="THK6" s="97" t="str">
        <f t="shared" si="215"/>
        <v/>
      </c>
      <c r="THL6" s="97" t="str">
        <f t="shared" si="215"/>
        <v/>
      </c>
      <c r="THM6" s="97" t="str">
        <f t="shared" si="215"/>
        <v/>
      </c>
      <c r="THN6" s="97" t="str">
        <f t="shared" si="215"/>
        <v/>
      </c>
      <c r="THO6" s="97" t="str">
        <f t="shared" si="215"/>
        <v/>
      </c>
      <c r="THP6" s="97" t="str">
        <f t="shared" si="215"/>
        <v/>
      </c>
      <c r="THQ6" s="97" t="str">
        <f t="shared" si="215"/>
        <v/>
      </c>
      <c r="THR6" s="97" t="str">
        <f t="shared" si="215"/>
        <v/>
      </c>
      <c r="THS6" s="97" t="str">
        <f t="shared" si="215"/>
        <v/>
      </c>
      <c r="THT6" s="97" t="str">
        <f t="shared" si="215"/>
        <v/>
      </c>
      <c r="THU6" s="97" t="str">
        <f t="shared" si="215"/>
        <v/>
      </c>
      <c r="THV6" s="97" t="str">
        <f t="shared" si="215"/>
        <v/>
      </c>
      <c r="THW6" s="97" t="str">
        <f t="shared" si="215"/>
        <v/>
      </c>
      <c r="THX6" s="97" t="str">
        <f t="shared" si="215"/>
        <v/>
      </c>
      <c r="THY6" s="97" t="str">
        <f t="shared" si="215"/>
        <v/>
      </c>
      <c r="THZ6" s="97" t="str">
        <f t="shared" si="215"/>
        <v/>
      </c>
      <c r="TIA6" s="97" t="str">
        <f t="shared" si="215"/>
        <v/>
      </c>
      <c r="TIB6" s="97" t="str">
        <f t="shared" si="215"/>
        <v/>
      </c>
      <c r="TIC6" s="97" t="str">
        <f t="shared" si="215"/>
        <v/>
      </c>
      <c r="TID6" s="97" t="str">
        <f t="shared" si="215"/>
        <v/>
      </c>
      <c r="TIE6" s="97" t="str">
        <f t="shared" si="215"/>
        <v/>
      </c>
      <c r="TIF6" s="97" t="str">
        <f t="shared" si="215"/>
        <v/>
      </c>
      <c r="TIG6" s="97" t="str">
        <f t="shared" si="215"/>
        <v/>
      </c>
      <c r="TIH6" s="97" t="str">
        <f t="shared" si="215"/>
        <v/>
      </c>
      <c r="TII6" s="97" t="str">
        <f t="shared" si="215"/>
        <v/>
      </c>
      <c r="TIJ6" s="97" t="str">
        <f t="shared" si="215"/>
        <v/>
      </c>
      <c r="TIK6" s="97" t="str">
        <f t="shared" si="215"/>
        <v/>
      </c>
      <c r="TIL6" s="97" t="str">
        <f t="shared" ref="TIL6:TKW6" si="216">IFERROR(AVERAGE(TIL7:TIL13),"")</f>
        <v/>
      </c>
      <c r="TIM6" s="97" t="str">
        <f t="shared" si="216"/>
        <v/>
      </c>
      <c r="TIN6" s="97" t="str">
        <f t="shared" si="216"/>
        <v/>
      </c>
      <c r="TIO6" s="97" t="str">
        <f t="shared" si="216"/>
        <v/>
      </c>
      <c r="TIP6" s="97" t="str">
        <f t="shared" si="216"/>
        <v/>
      </c>
      <c r="TIQ6" s="97" t="str">
        <f t="shared" si="216"/>
        <v/>
      </c>
      <c r="TIR6" s="97" t="str">
        <f t="shared" si="216"/>
        <v/>
      </c>
      <c r="TIS6" s="97" t="str">
        <f t="shared" si="216"/>
        <v/>
      </c>
      <c r="TIT6" s="97" t="str">
        <f t="shared" si="216"/>
        <v/>
      </c>
      <c r="TIU6" s="97" t="str">
        <f t="shared" si="216"/>
        <v/>
      </c>
      <c r="TIV6" s="97" t="str">
        <f t="shared" si="216"/>
        <v/>
      </c>
      <c r="TIW6" s="97" t="str">
        <f t="shared" si="216"/>
        <v/>
      </c>
      <c r="TIX6" s="97" t="str">
        <f t="shared" si="216"/>
        <v/>
      </c>
      <c r="TIY6" s="97" t="str">
        <f t="shared" si="216"/>
        <v/>
      </c>
      <c r="TIZ6" s="97" t="str">
        <f t="shared" si="216"/>
        <v/>
      </c>
      <c r="TJA6" s="97" t="str">
        <f t="shared" si="216"/>
        <v/>
      </c>
      <c r="TJB6" s="97" t="str">
        <f t="shared" si="216"/>
        <v/>
      </c>
      <c r="TJC6" s="97" t="str">
        <f t="shared" si="216"/>
        <v/>
      </c>
      <c r="TJD6" s="97" t="str">
        <f t="shared" si="216"/>
        <v/>
      </c>
      <c r="TJE6" s="97" t="str">
        <f t="shared" si="216"/>
        <v/>
      </c>
      <c r="TJF6" s="97" t="str">
        <f t="shared" si="216"/>
        <v/>
      </c>
      <c r="TJG6" s="97" t="str">
        <f t="shared" si="216"/>
        <v/>
      </c>
      <c r="TJH6" s="97" t="str">
        <f t="shared" si="216"/>
        <v/>
      </c>
      <c r="TJI6" s="97" t="str">
        <f t="shared" si="216"/>
        <v/>
      </c>
      <c r="TJJ6" s="97" t="str">
        <f t="shared" si="216"/>
        <v/>
      </c>
      <c r="TJK6" s="97" t="str">
        <f t="shared" si="216"/>
        <v/>
      </c>
      <c r="TJL6" s="97" t="str">
        <f t="shared" si="216"/>
        <v/>
      </c>
      <c r="TJM6" s="97" t="str">
        <f t="shared" si="216"/>
        <v/>
      </c>
      <c r="TJN6" s="97" t="str">
        <f t="shared" si="216"/>
        <v/>
      </c>
      <c r="TJO6" s="97" t="str">
        <f t="shared" si="216"/>
        <v/>
      </c>
      <c r="TJP6" s="97" t="str">
        <f t="shared" si="216"/>
        <v/>
      </c>
      <c r="TJQ6" s="97" t="str">
        <f t="shared" si="216"/>
        <v/>
      </c>
      <c r="TJR6" s="97" t="str">
        <f t="shared" si="216"/>
        <v/>
      </c>
      <c r="TJS6" s="97" t="str">
        <f t="shared" si="216"/>
        <v/>
      </c>
      <c r="TJT6" s="97" t="str">
        <f t="shared" si="216"/>
        <v/>
      </c>
      <c r="TJU6" s="97" t="str">
        <f t="shared" si="216"/>
        <v/>
      </c>
      <c r="TJV6" s="97" t="str">
        <f t="shared" si="216"/>
        <v/>
      </c>
      <c r="TJW6" s="97" t="str">
        <f t="shared" si="216"/>
        <v/>
      </c>
      <c r="TJX6" s="97" t="str">
        <f t="shared" si="216"/>
        <v/>
      </c>
      <c r="TJY6" s="97" t="str">
        <f t="shared" si="216"/>
        <v/>
      </c>
      <c r="TJZ6" s="97" t="str">
        <f t="shared" si="216"/>
        <v/>
      </c>
      <c r="TKA6" s="97" t="str">
        <f t="shared" si="216"/>
        <v/>
      </c>
      <c r="TKB6" s="97" t="str">
        <f t="shared" si="216"/>
        <v/>
      </c>
      <c r="TKC6" s="97" t="str">
        <f t="shared" si="216"/>
        <v/>
      </c>
      <c r="TKD6" s="97" t="str">
        <f t="shared" si="216"/>
        <v/>
      </c>
      <c r="TKE6" s="97" t="str">
        <f t="shared" si="216"/>
        <v/>
      </c>
      <c r="TKF6" s="97" t="str">
        <f t="shared" si="216"/>
        <v/>
      </c>
      <c r="TKG6" s="97" t="str">
        <f t="shared" si="216"/>
        <v/>
      </c>
      <c r="TKH6" s="97" t="str">
        <f t="shared" si="216"/>
        <v/>
      </c>
      <c r="TKI6" s="97" t="str">
        <f t="shared" si="216"/>
        <v/>
      </c>
      <c r="TKJ6" s="97" t="str">
        <f t="shared" si="216"/>
        <v/>
      </c>
      <c r="TKK6" s="97" t="str">
        <f t="shared" si="216"/>
        <v/>
      </c>
      <c r="TKL6" s="97" t="str">
        <f t="shared" si="216"/>
        <v/>
      </c>
      <c r="TKM6" s="97" t="str">
        <f t="shared" si="216"/>
        <v/>
      </c>
      <c r="TKN6" s="97" t="str">
        <f t="shared" si="216"/>
        <v/>
      </c>
      <c r="TKO6" s="97" t="str">
        <f t="shared" si="216"/>
        <v/>
      </c>
      <c r="TKP6" s="97" t="str">
        <f t="shared" si="216"/>
        <v/>
      </c>
      <c r="TKQ6" s="97" t="str">
        <f t="shared" si="216"/>
        <v/>
      </c>
      <c r="TKR6" s="97" t="str">
        <f t="shared" si="216"/>
        <v/>
      </c>
      <c r="TKS6" s="97" t="str">
        <f t="shared" si="216"/>
        <v/>
      </c>
      <c r="TKT6" s="97" t="str">
        <f t="shared" si="216"/>
        <v/>
      </c>
      <c r="TKU6" s="97" t="str">
        <f t="shared" si="216"/>
        <v/>
      </c>
      <c r="TKV6" s="97" t="str">
        <f t="shared" si="216"/>
        <v/>
      </c>
      <c r="TKW6" s="97" t="str">
        <f t="shared" si="216"/>
        <v/>
      </c>
      <c r="TKX6" s="97" t="str">
        <f t="shared" ref="TKX6:TNI6" si="217">IFERROR(AVERAGE(TKX7:TKX13),"")</f>
        <v/>
      </c>
      <c r="TKY6" s="97" t="str">
        <f t="shared" si="217"/>
        <v/>
      </c>
      <c r="TKZ6" s="97" t="str">
        <f t="shared" si="217"/>
        <v/>
      </c>
      <c r="TLA6" s="97" t="str">
        <f t="shared" si="217"/>
        <v/>
      </c>
      <c r="TLB6" s="97" t="str">
        <f t="shared" si="217"/>
        <v/>
      </c>
      <c r="TLC6" s="97" t="str">
        <f t="shared" si="217"/>
        <v/>
      </c>
      <c r="TLD6" s="97" t="str">
        <f t="shared" si="217"/>
        <v/>
      </c>
      <c r="TLE6" s="97" t="str">
        <f t="shared" si="217"/>
        <v/>
      </c>
      <c r="TLF6" s="97" t="str">
        <f t="shared" si="217"/>
        <v/>
      </c>
      <c r="TLG6" s="97" t="str">
        <f t="shared" si="217"/>
        <v/>
      </c>
      <c r="TLH6" s="97" t="str">
        <f t="shared" si="217"/>
        <v/>
      </c>
      <c r="TLI6" s="97" t="str">
        <f t="shared" si="217"/>
        <v/>
      </c>
      <c r="TLJ6" s="97" t="str">
        <f t="shared" si="217"/>
        <v/>
      </c>
      <c r="TLK6" s="97" t="str">
        <f t="shared" si="217"/>
        <v/>
      </c>
      <c r="TLL6" s="97" t="str">
        <f t="shared" si="217"/>
        <v/>
      </c>
      <c r="TLM6" s="97" t="str">
        <f t="shared" si="217"/>
        <v/>
      </c>
      <c r="TLN6" s="97" t="str">
        <f t="shared" si="217"/>
        <v/>
      </c>
      <c r="TLO6" s="97" t="str">
        <f t="shared" si="217"/>
        <v/>
      </c>
      <c r="TLP6" s="97" t="str">
        <f t="shared" si="217"/>
        <v/>
      </c>
      <c r="TLQ6" s="97" t="str">
        <f t="shared" si="217"/>
        <v/>
      </c>
      <c r="TLR6" s="97" t="str">
        <f t="shared" si="217"/>
        <v/>
      </c>
      <c r="TLS6" s="97" t="str">
        <f t="shared" si="217"/>
        <v/>
      </c>
      <c r="TLT6" s="97" t="str">
        <f t="shared" si="217"/>
        <v/>
      </c>
      <c r="TLU6" s="97" t="str">
        <f t="shared" si="217"/>
        <v/>
      </c>
      <c r="TLV6" s="97" t="str">
        <f t="shared" si="217"/>
        <v/>
      </c>
      <c r="TLW6" s="97" t="str">
        <f t="shared" si="217"/>
        <v/>
      </c>
      <c r="TLX6" s="97" t="str">
        <f t="shared" si="217"/>
        <v/>
      </c>
      <c r="TLY6" s="97" t="str">
        <f t="shared" si="217"/>
        <v/>
      </c>
      <c r="TLZ6" s="97" t="str">
        <f t="shared" si="217"/>
        <v/>
      </c>
      <c r="TMA6" s="97" t="str">
        <f t="shared" si="217"/>
        <v/>
      </c>
      <c r="TMB6" s="97" t="str">
        <f t="shared" si="217"/>
        <v/>
      </c>
      <c r="TMC6" s="97" t="str">
        <f t="shared" si="217"/>
        <v/>
      </c>
      <c r="TMD6" s="97" t="str">
        <f t="shared" si="217"/>
        <v/>
      </c>
      <c r="TME6" s="97" t="str">
        <f t="shared" si="217"/>
        <v/>
      </c>
      <c r="TMF6" s="97" t="str">
        <f t="shared" si="217"/>
        <v/>
      </c>
      <c r="TMG6" s="97" t="str">
        <f t="shared" si="217"/>
        <v/>
      </c>
      <c r="TMH6" s="97" t="str">
        <f t="shared" si="217"/>
        <v/>
      </c>
      <c r="TMI6" s="97" t="str">
        <f t="shared" si="217"/>
        <v/>
      </c>
      <c r="TMJ6" s="97" t="str">
        <f t="shared" si="217"/>
        <v/>
      </c>
      <c r="TMK6" s="97" t="str">
        <f t="shared" si="217"/>
        <v/>
      </c>
      <c r="TML6" s="97" t="str">
        <f t="shared" si="217"/>
        <v/>
      </c>
      <c r="TMM6" s="97" t="str">
        <f t="shared" si="217"/>
        <v/>
      </c>
      <c r="TMN6" s="97" t="str">
        <f t="shared" si="217"/>
        <v/>
      </c>
      <c r="TMO6" s="97" t="str">
        <f t="shared" si="217"/>
        <v/>
      </c>
      <c r="TMP6" s="97" t="str">
        <f t="shared" si="217"/>
        <v/>
      </c>
      <c r="TMQ6" s="97" t="str">
        <f t="shared" si="217"/>
        <v/>
      </c>
      <c r="TMR6" s="97" t="str">
        <f t="shared" si="217"/>
        <v/>
      </c>
      <c r="TMS6" s="97" t="str">
        <f t="shared" si="217"/>
        <v/>
      </c>
      <c r="TMT6" s="97" t="str">
        <f t="shared" si="217"/>
        <v/>
      </c>
      <c r="TMU6" s="97" t="str">
        <f t="shared" si="217"/>
        <v/>
      </c>
      <c r="TMV6" s="97" t="str">
        <f t="shared" si="217"/>
        <v/>
      </c>
      <c r="TMW6" s="97" t="str">
        <f t="shared" si="217"/>
        <v/>
      </c>
      <c r="TMX6" s="97" t="str">
        <f t="shared" si="217"/>
        <v/>
      </c>
      <c r="TMY6" s="97" t="str">
        <f t="shared" si="217"/>
        <v/>
      </c>
      <c r="TMZ6" s="97" t="str">
        <f t="shared" si="217"/>
        <v/>
      </c>
      <c r="TNA6" s="97" t="str">
        <f t="shared" si="217"/>
        <v/>
      </c>
      <c r="TNB6" s="97" t="str">
        <f t="shared" si="217"/>
        <v/>
      </c>
      <c r="TNC6" s="97" t="str">
        <f t="shared" si="217"/>
        <v/>
      </c>
      <c r="TND6" s="97" t="str">
        <f t="shared" si="217"/>
        <v/>
      </c>
      <c r="TNE6" s="97" t="str">
        <f t="shared" si="217"/>
        <v/>
      </c>
      <c r="TNF6" s="97" t="str">
        <f t="shared" si="217"/>
        <v/>
      </c>
      <c r="TNG6" s="97" t="str">
        <f t="shared" si="217"/>
        <v/>
      </c>
      <c r="TNH6" s="97" t="str">
        <f t="shared" si="217"/>
        <v/>
      </c>
      <c r="TNI6" s="97" t="str">
        <f t="shared" si="217"/>
        <v/>
      </c>
      <c r="TNJ6" s="97" t="str">
        <f t="shared" ref="TNJ6:TPU6" si="218">IFERROR(AVERAGE(TNJ7:TNJ13),"")</f>
        <v/>
      </c>
      <c r="TNK6" s="97" t="str">
        <f t="shared" si="218"/>
        <v/>
      </c>
      <c r="TNL6" s="97" t="str">
        <f t="shared" si="218"/>
        <v/>
      </c>
      <c r="TNM6" s="97" t="str">
        <f t="shared" si="218"/>
        <v/>
      </c>
      <c r="TNN6" s="97" t="str">
        <f t="shared" si="218"/>
        <v/>
      </c>
      <c r="TNO6" s="97" t="str">
        <f t="shared" si="218"/>
        <v/>
      </c>
      <c r="TNP6" s="97" t="str">
        <f t="shared" si="218"/>
        <v/>
      </c>
      <c r="TNQ6" s="97" t="str">
        <f t="shared" si="218"/>
        <v/>
      </c>
      <c r="TNR6" s="97" t="str">
        <f t="shared" si="218"/>
        <v/>
      </c>
      <c r="TNS6" s="97" t="str">
        <f t="shared" si="218"/>
        <v/>
      </c>
      <c r="TNT6" s="97" t="str">
        <f t="shared" si="218"/>
        <v/>
      </c>
      <c r="TNU6" s="97" t="str">
        <f t="shared" si="218"/>
        <v/>
      </c>
      <c r="TNV6" s="97" t="str">
        <f t="shared" si="218"/>
        <v/>
      </c>
      <c r="TNW6" s="97" t="str">
        <f t="shared" si="218"/>
        <v/>
      </c>
      <c r="TNX6" s="97" t="str">
        <f t="shared" si="218"/>
        <v/>
      </c>
      <c r="TNY6" s="97" t="str">
        <f t="shared" si="218"/>
        <v/>
      </c>
      <c r="TNZ6" s="97" t="str">
        <f t="shared" si="218"/>
        <v/>
      </c>
      <c r="TOA6" s="97" t="str">
        <f t="shared" si="218"/>
        <v/>
      </c>
      <c r="TOB6" s="97" t="str">
        <f t="shared" si="218"/>
        <v/>
      </c>
      <c r="TOC6" s="97" t="str">
        <f t="shared" si="218"/>
        <v/>
      </c>
      <c r="TOD6" s="97" t="str">
        <f t="shared" si="218"/>
        <v/>
      </c>
      <c r="TOE6" s="97" t="str">
        <f t="shared" si="218"/>
        <v/>
      </c>
      <c r="TOF6" s="97" t="str">
        <f t="shared" si="218"/>
        <v/>
      </c>
      <c r="TOG6" s="97" t="str">
        <f t="shared" si="218"/>
        <v/>
      </c>
      <c r="TOH6" s="97" t="str">
        <f t="shared" si="218"/>
        <v/>
      </c>
      <c r="TOI6" s="97" t="str">
        <f t="shared" si="218"/>
        <v/>
      </c>
      <c r="TOJ6" s="97" t="str">
        <f t="shared" si="218"/>
        <v/>
      </c>
      <c r="TOK6" s="97" t="str">
        <f t="shared" si="218"/>
        <v/>
      </c>
      <c r="TOL6" s="97" t="str">
        <f t="shared" si="218"/>
        <v/>
      </c>
      <c r="TOM6" s="97" t="str">
        <f t="shared" si="218"/>
        <v/>
      </c>
      <c r="TON6" s="97" t="str">
        <f t="shared" si="218"/>
        <v/>
      </c>
      <c r="TOO6" s="97" t="str">
        <f t="shared" si="218"/>
        <v/>
      </c>
      <c r="TOP6" s="97" t="str">
        <f t="shared" si="218"/>
        <v/>
      </c>
      <c r="TOQ6" s="97" t="str">
        <f t="shared" si="218"/>
        <v/>
      </c>
      <c r="TOR6" s="97" t="str">
        <f t="shared" si="218"/>
        <v/>
      </c>
      <c r="TOS6" s="97" t="str">
        <f t="shared" si="218"/>
        <v/>
      </c>
      <c r="TOT6" s="97" t="str">
        <f t="shared" si="218"/>
        <v/>
      </c>
      <c r="TOU6" s="97" t="str">
        <f t="shared" si="218"/>
        <v/>
      </c>
      <c r="TOV6" s="97" t="str">
        <f t="shared" si="218"/>
        <v/>
      </c>
      <c r="TOW6" s="97" t="str">
        <f t="shared" si="218"/>
        <v/>
      </c>
      <c r="TOX6" s="97" t="str">
        <f t="shared" si="218"/>
        <v/>
      </c>
      <c r="TOY6" s="97" t="str">
        <f t="shared" si="218"/>
        <v/>
      </c>
      <c r="TOZ6" s="97" t="str">
        <f t="shared" si="218"/>
        <v/>
      </c>
      <c r="TPA6" s="97" t="str">
        <f t="shared" si="218"/>
        <v/>
      </c>
      <c r="TPB6" s="97" t="str">
        <f t="shared" si="218"/>
        <v/>
      </c>
      <c r="TPC6" s="97" t="str">
        <f t="shared" si="218"/>
        <v/>
      </c>
      <c r="TPD6" s="97" t="str">
        <f t="shared" si="218"/>
        <v/>
      </c>
      <c r="TPE6" s="97" t="str">
        <f t="shared" si="218"/>
        <v/>
      </c>
      <c r="TPF6" s="97" t="str">
        <f t="shared" si="218"/>
        <v/>
      </c>
      <c r="TPG6" s="97" t="str">
        <f t="shared" si="218"/>
        <v/>
      </c>
      <c r="TPH6" s="97" t="str">
        <f t="shared" si="218"/>
        <v/>
      </c>
      <c r="TPI6" s="97" t="str">
        <f t="shared" si="218"/>
        <v/>
      </c>
      <c r="TPJ6" s="97" t="str">
        <f t="shared" si="218"/>
        <v/>
      </c>
      <c r="TPK6" s="97" t="str">
        <f t="shared" si="218"/>
        <v/>
      </c>
      <c r="TPL6" s="97" t="str">
        <f t="shared" si="218"/>
        <v/>
      </c>
      <c r="TPM6" s="97" t="str">
        <f t="shared" si="218"/>
        <v/>
      </c>
      <c r="TPN6" s="97" t="str">
        <f t="shared" si="218"/>
        <v/>
      </c>
      <c r="TPO6" s="97" t="str">
        <f t="shared" si="218"/>
        <v/>
      </c>
      <c r="TPP6" s="97" t="str">
        <f t="shared" si="218"/>
        <v/>
      </c>
      <c r="TPQ6" s="97" t="str">
        <f t="shared" si="218"/>
        <v/>
      </c>
      <c r="TPR6" s="97" t="str">
        <f t="shared" si="218"/>
        <v/>
      </c>
      <c r="TPS6" s="97" t="str">
        <f t="shared" si="218"/>
        <v/>
      </c>
      <c r="TPT6" s="97" t="str">
        <f t="shared" si="218"/>
        <v/>
      </c>
      <c r="TPU6" s="97" t="str">
        <f t="shared" si="218"/>
        <v/>
      </c>
      <c r="TPV6" s="97" t="str">
        <f t="shared" ref="TPV6:TSG6" si="219">IFERROR(AVERAGE(TPV7:TPV13),"")</f>
        <v/>
      </c>
      <c r="TPW6" s="97" t="str">
        <f t="shared" si="219"/>
        <v/>
      </c>
      <c r="TPX6" s="97" t="str">
        <f t="shared" si="219"/>
        <v/>
      </c>
      <c r="TPY6" s="97" t="str">
        <f t="shared" si="219"/>
        <v/>
      </c>
      <c r="TPZ6" s="97" t="str">
        <f t="shared" si="219"/>
        <v/>
      </c>
      <c r="TQA6" s="97" t="str">
        <f t="shared" si="219"/>
        <v/>
      </c>
      <c r="TQB6" s="97" t="str">
        <f t="shared" si="219"/>
        <v/>
      </c>
      <c r="TQC6" s="97" t="str">
        <f t="shared" si="219"/>
        <v/>
      </c>
      <c r="TQD6" s="97" t="str">
        <f t="shared" si="219"/>
        <v/>
      </c>
      <c r="TQE6" s="97" t="str">
        <f t="shared" si="219"/>
        <v/>
      </c>
      <c r="TQF6" s="97" t="str">
        <f t="shared" si="219"/>
        <v/>
      </c>
      <c r="TQG6" s="97" t="str">
        <f t="shared" si="219"/>
        <v/>
      </c>
      <c r="TQH6" s="97" t="str">
        <f t="shared" si="219"/>
        <v/>
      </c>
      <c r="TQI6" s="97" t="str">
        <f t="shared" si="219"/>
        <v/>
      </c>
      <c r="TQJ6" s="97" t="str">
        <f t="shared" si="219"/>
        <v/>
      </c>
      <c r="TQK6" s="97" t="str">
        <f t="shared" si="219"/>
        <v/>
      </c>
      <c r="TQL6" s="97" t="str">
        <f t="shared" si="219"/>
        <v/>
      </c>
      <c r="TQM6" s="97" t="str">
        <f t="shared" si="219"/>
        <v/>
      </c>
      <c r="TQN6" s="97" t="str">
        <f t="shared" si="219"/>
        <v/>
      </c>
      <c r="TQO6" s="97" t="str">
        <f t="shared" si="219"/>
        <v/>
      </c>
      <c r="TQP6" s="97" t="str">
        <f t="shared" si="219"/>
        <v/>
      </c>
      <c r="TQQ6" s="97" t="str">
        <f t="shared" si="219"/>
        <v/>
      </c>
      <c r="TQR6" s="97" t="str">
        <f t="shared" si="219"/>
        <v/>
      </c>
      <c r="TQS6" s="97" t="str">
        <f t="shared" si="219"/>
        <v/>
      </c>
      <c r="TQT6" s="97" t="str">
        <f t="shared" si="219"/>
        <v/>
      </c>
      <c r="TQU6" s="97" t="str">
        <f t="shared" si="219"/>
        <v/>
      </c>
      <c r="TQV6" s="97" t="str">
        <f t="shared" si="219"/>
        <v/>
      </c>
      <c r="TQW6" s="97" t="str">
        <f t="shared" si="219"/>
        <v/>
      </c>
      <c r="TQX6" s="97" t="str">
        <f t="shared" si="219"/>
        <v/>
      </c>
      <c r="TQY6" s="97" t="str">
        <f t="shared" si="219"/>
        <v/>
      </c>
      <c r="TQZ6" s="97" t="str">
        <f t="shared" si="219"/>
        <v/>
      </c>
      <c r="TRA6" s="97" t="str">
        <f t="shared" si="219"/>
        <v/>
      </c>
      <c r="TRB6" s="97" t="str">
        <f t="shared" si="219"/>
        <v/>
      </c>
      <c r="TRC6" s="97" t="str">
        <f t="shared" si="219"/>
        <v/>
      </c>
      <c r="TRD6" s="97" t="str">
        <f t="shared" si="219"/>
        <v/>
      </c>
      <c r="TRE6" s="97" t="str">
        <f t="shared" si="219"/>
        <v/>
      </c>
      <c r="TRF6" s="97" t="str">
        <f t="shared" si="219"/>
        <v/>
      </c>
      <c r="TRG6" s="97" t="str">
        <f t="shared" si="219"/>
        <v/>
      </c>
      <c r="TRH6" s="97" t="str">
        <f t="shared" si="219"/>
        <v/>
      </c>
      <c r="TRI6" s="97" t="str">
        <f t="shared" si="219"/>
        <v/>
      </c>
      <c r="TRJ6" s="97" t="str">
        <f t="shared" si="219"/>
        <v/>
      </c>
      <c r="TRK6" s="97" t="str">
        <f t="shared" si="219"/>
        <v/>
      </c>
      <c r="TRL6" s="97" t="str">
        <f t="shared" si="219"/>
        <v/>
      </c>
      <c r="TRM6" s="97" t="str">
        <f t="shared" si="219"/>
        <v/>
      </c>
      <c r="TRN6" s="97" t="str">
        <f t="shared" si="219"/>
        <v/>
      </c>
      <c r="TRO6" s="97" t="str">
        <f t="shared" si="219"/>
        <v/>
      </c>
      <c r="TRP6" s="97" t="str">
        <f t="shared" si="219"/>
        <v/>
      </c>
      <c r="TRQ6" s="97" t="str">
        <f t="shared" si="219"/>
        <v/>
      </c>
      <c r="TRR6" s="97" t="str">
        <f t="shared" si="219"/>
        <v/>
      </c>
      <c r="TRS6" s="97" t="str">
        <f t="shared" si="219"/>
        <v/>
      </c>
      <c r="TRT6" s="97" t="str">
        <f t="shared" si="219"/>
        <v/>
      </c>
      <c r="TRU6" s="97" t="str">
        <f t="shared" si="219"/>
        <v/>
      </c>
      <c r="TRV6" s="97" t="str">
        <f t="shared" si="219"/>
        <v/>
      </c>
      <c r="TRW6" s="97" t="str">
        <f t="shared" si="219"/>
        <v/>
      </c>
      <c r="TRX6" s="97" t="str">
        <f t="shared" si="219"/>
        <v/>
      </c>
      <c r="TRY6" s="97" t="str">
        <f t="shared" si="219"/>
        <v/>
      </c>
      <c r="TRZ6" s="97" t="str">
        <f t="shared" si="219"/>
        <v/>
      </c>
      <c r="TSA6" s="97" t="str">
        <f t="shared" si="219"/>
        <v/>
      </c>
      <c r="TSB6" s="97" t="str">
        <f t="shared" si="219"/>
        <v/>
      </c>
      <c r="TSC6" s="97" t="str">
        <f t="shared" si="219"/>
        <v/>
      </c>
      <c r="TSD6" s="97" t="str">
        <f t="shared" si="219"/>
        <v/>
      </c>
      <c r="TSE6" s="97" t="str">
        <f t="shared" si="219"/>
        <v/>
      </c>
      <c r="TSF6" s="97" t="str">
        <f t="shared" si="219"/>
        <v/>
      </c>
      <c r="TSG6" s="97" t="str">
        <f t="shared" si="219"/>
        <v/>
      </c>
      <c r="TSH6" s="97" t="str">
        <f t="shared" ref="TSH6:TUS6" si="220">IFERROR(AVERAGE(TSH7:TSH13),"")</f>
        <v/>
      </c>
      <c r="TSI6" s="97" t="str">
        <f t="shared" si="220"/>
        <v/>
      </c>
      <c r="TSJ6" s="97" t="str">
        <f t="shared" si="220"/>
        <v/>
      </c>
      <c r="TSK6" s="97" t="str">
        <f t="shared" si="220"/>
        <v/>
      </c>
      <c r="TSL6" s="97" t="str">
        <f t="shared" si="220"/>
        <v/>
      </c>
      <c r="TSM6" s="97" t="str">
        <f t="shared" si="220"/>
        <v/>
      </c>
      <c r="TSN6" s="97" t="str">
        <f t="shared" si="220"/>
        <v/>
      </c>
      <c r="TSO6" s="97" t="str">
        <f t="shared" si="220"/>
        <v/>
      </c>
      <c r="TSP6" s="97" t="str">
        <f t="shared" si="220"/>
        <v/>
      </c>
      <c r="TSQ6" s="97" t="str">
        <f t="shared" si="220"/>
        <v/>
      </c>
      <c r="TSR6" s="97" t="str">
        <f t="shared" si="220"/>
        <v/>
      </c>
      <c r="TSS6" s="97" t="str">
        <f t="shared" si="220"/>
        <v/>
      </c>
      <c r="TST6" s="97" t="str">
        <f t="shared" si="220"/>
        <v/>
      </c>
      <c r="TSU6" s="97" t="str">
        <f t="shared" si="220"/>
        <v/>
      </c>
      <c r="TSV6" s="97" t="str">
        <f t="shared" si="220"/>
        <v/>
      </c>
      <c r="TSW6" s="97" t="str">
        <f t="shared" si="220"/>
        <v/>
      </c>
      <c r="TSX6" s="97" t="str">
        <f t="shared" si="220"/>
        <v/>
      </c>
      <c r="TSY6" s="97" t="str">
        <f t="shared" si="220"/>
        <v/>
      </c>
      <c r="TSZ6" s="97" t="str">
        <f t="shared" si="220"/>
        <v/>
      </c>
      <c r="TTA6" s="97" t="str">
        <f t="shared" si="220"/>
        <v/>
      </c>
      <c r="TTB6" s="97" t="str">
        <f t="shared" si="220"/>
        <v/>
      </c>
      <c r="TTC6" s="97" t="str">
        <f t="shared" si="220"/>
        <v/>
      </c>
      <c r="TTD6" s="97" t="str">
        <f t="shared" si="220"/>
        <v/>
      </c>
      <c r="TTE6" s="97" t="str">
        <f t="shared" si="220"/>
        <v/>
      </c>
      <c r="TTF6" s="97" t="str">
        <f t="shared" si="220"/>
        <v/>
      </c>
      <c r="TTG6" s="97" t="str">
        <f t="shared" si="220"/>
        <v/>
      </c>
      <c r="TTH6" s="97" t="str">
        <f t="shared" si="220"/>
        <v/>
      </c>
      <c r="TTI6" s="97" t="str">
        <f t="shared" si="220"/>
        <v/>
      </c>
      <c r="TTJ6" s="97" t="str">
        <f t="shared" si="220"/>
        <v/>
      </c>
      <c r="TTK6" s="97" t="str">
        <f t="shared" si="220"/>
        <v/>
      </c>
      <c r="TTL6" s="97" t="str">
        <f t="shared" si="220"/>
        <v/>
      </c>
      <c r="TTM6" s="97" t="str">
        <f t="shared" si="220"/>
        <v/>
      </c>
      <c r="TTN6" s="97" t="str">
        <f t="shared" si="220"/>
        <v/>
      </c>
      <c r="TTO6" s="97" t="str">
        <f t="shared" si="220"/>
        <v/>
      </c>
      <c r="TTP6" s="97" t="str">
        <f t="shared" si="220"/>
        <v/>
      </c>
      <c r="TTQ6" s="97" t="str">
        <f t="shared" si="220"/>
        <v/>
      </c>
      <c r="TTR6" s="97" t="str">
        <f t="shared" si="220"/>
        <v/>
      </c>
      <c r="TTS6" s="97" t="str">
        <f t="shared" si="220"/>
        <v/>
      </c>
      <c r="TTT6" s="97" t="str">
        <f t="shared" si="220"/>
        <v/>
      </c>
      <c r="TTU6" s="97" t="str">
        <f t="shared" si="220"/>
        <v/>
      </c>
      <c r="TTV6" s="97" t="str">
        <f t="shared" si="220"/>
        <v/>
      </c>
      <c r="TTW6" s="97" t="str">
        <f t="shared" si="220"/>
        <v/>
      </c>
      <c r="TTX6" s="97" t="str">
        <f t="shared" si="220"/>
        <v/>
      </c>
      <c r="TTY6" s="97" t="str">
        <f t="shared" si="220"/>
        <v/>
      </c>
      <c r="TTZ6" s="97" t="str">
        <f t="shared" si="220"/>
        <v/>
      </c>
      <c r="TUA6" s="97" t="str">
        <f t="shared" si="220"/>
        <v/>
      </c>
      <c r="TUB6" s="97" t="str">
        <f t="shared" si="220"/>
        <v/>
      </c>
      <c r="TUC6" s="97" t="str">
        <f t="shared" si="220"/>
        <v/>
      </c>
      <c r="TUD6" s="97" t="str">
        <f t="shared" si="220"/>
        <v/>
      </c>
      <c r="TUE6" s="97" t="str">
        <f t="shared" si="220"/>
        <v/>
      </c>
      <c r="TUF6" s="97" t="str">
        <f t="shared" si="220"/>
        <v/>
      </c>
      <c r="TUG6" s="97" t="str">
        <f t="shared" si="220"/>
        <v/>
      </c>
      <c r="TUH6" s="97" t="str">
        <f t="shared" si="220"/>
        <v/>
      </c>
      <c r="TUI6" s="97" t="str">
        <f t="shared" si="220"/>
        <v/>
      </c>
      <c r="TUJ6" s="97" t="str">
        <f t="shared" si="220"/>
        <v/>
      </c>
      <c r="TUK6" s="97" t="str">
        <f t="shared" si="220"/>
        <v/>
      </c>
      <c r="TUL6" s="97" t="str">
        <f t="shared" si="220"/>
        <v/>
      </c>
      <c r="TUM6" s="97" t="str">
        <f t="shared" si="220"/>
        <v/>
      </c>
      <c r="TUN6" s="97" t="str">
        <f t="shared" si="220"/>
        <v/>
      </c>
      <c r="TUO6" s="97" t="str">
        <f t="shared" si="220"/>
        <v/>
      </c>
      <c r="TUP6" s="97" t="str">
        <f t="shared" si="220"/>
        <v/>
      </c>
      <c r="TUQ6" s="97" t="str">
        <f t="shared" si="220"/>
        <v/>
      </c>
      <c r="TUR6" s="97" t="str">
        <f t="shared" si="220"/>
        <v/>
      </c>
      <c r="TUS6" s="97" t="str">
        <f t="shared" si="220"/>
        <v/>
      </c>
      <c r="TUT6" s="97" t="str">
        <f t="shared" ref="TUT6:TXE6" si="221">IFERROR(AVERAGE(TUT7:TUT13),"")</f>
        <v/>
      </c>
      <c r="TUU6" s="97" t="str">
        <f t="shared" si="221"/>
        <v/>
      </c>
      <c r="TUV6" s="97" t="str">
        <f t="shared" si="221"/>
        <v/>
      </c>
      <c r="TUW6" s="97" t="str">
        <f t="shared" si="221"/>
        <v/>
      </c>
      <c r="TUX6" s="97" t="str">
        <f t="shared" si="221"/>
        <v/>
      </c>
      <c r="TUY6" s="97" t="str">
        <f t="shared" si="221"/>
        <v/>
      </c>
      <c r="TUZ6" s="97" t="str">
        <f t="shared" si="221"/>
        <v/>
      </c>
      <c r="TVA6" s="97" t="str">
        <f t="shared" si="221"/>
        <v/>
      </c>
      <c r="TVB6" s="97" t="str">
        <f t="shared" si="221"/>
        <v/>
      </c>
      <c r="TVC6" s="97" t="str">
        <f t="shared" si="221"/>
        <v/>
      </c>
      <c r="TVD6" s="97" t="str">
        <f t="shared" si="221"/>
        <v/>
      </c>
      <c r="TVE6" s="97" t="str">
        <f t="shared" si="221"/>
        <v/>
      </c>
      <c r="TVF6" s="97" t="str">
        <f t="shared" si="221"/>
        <v/>
      </c>
      <c r="TVG6" s="97" t="str">
        <f t="shared" si="221"/>
        <v/>
      </c>
      <c r="TVH6" s="97" t="str">
        <f t="shared" si="221"/>
        <v/>
      </c>
      <c r="TVI6" s="97" t="str">
        <f t="shared" si="221"/>
        <v/>
      </c>
      <c r="TVJ6" s="97" t="str">
        <f t="shared" si="221"/>
        <v/>
      </c>
      <c r="TVK6" s="97" t="str">
        <f t="shared" si="221"/>
        <v/>
      </c>
      <c r="TVL6" s="97" t="str">
        <f t="shared" si="221"/>
        <v/>
      </c>
      <c r="TVM6" s="97" t="str">
        <f t="shared" si="221"/>
        <v/>
      </c>
      <c r="TVN6" s="97" t="str">
        <f t="shared" si="221"/>
        <v/>
      </c>
      <c r="TVO6" s="97" t="str">
        <f t="shared" si="221"/>
        <v/>
      </c>
      <c r="TVP6" s="97" t="str">
        <f t="shared" si="221"/>
        <v/>
      </c>
      <c r="TVQ6" s="97" t="str">
        <f t="shared" si="221"/>
        <v/>
      </c>
      <c r="TVR6" s="97" t="str">
        <f t="shared" si="221"/>
        <v/>
      </c>
      <c r="TVS6" s="97" t="str">
        <f t="shared" si="221"/>
        <v/>
      </c>
      <c r="TVT6" s="97" t="str">
        <f t="shared" si="221"/>
        <v/>
      </c>
      <c r="TVU6" s="97" t="str">
        <f t="shared" si="221"/>
        <v/>
      </c>
      <c r="TVV6" s="97" t="str">
        <f t="shared" si="221"/>
        <v/>
      </c>
      <c r="TVW6" s="97" t="str">
        <f t="shared" si="221"/>
        <v/>
      </c>
      <c r="TVX6" s="97" t="str">
        <f t="shared" si="221"/>
        <v/>
      </c>
      <c r="TVY6" s="97" t="str">
        <f t="shared" si="221"/>
        <v/>
      </c>
      <c r="TVZ6" s="97" t="str">
        <f t="shared" si="221"/>
        <v/>
      </c>
      <c r="TWA6" s="97" t="str">
        <f t="shared" si="221"/>
        <v/>
      </c>
      <c r="TWB6" s="97" t="str">
        <f t="shared" si="221"/>
        <v/>
      </c>
      <c r="TWC6" s="97" t="str">
        <f t="shared" si="221"/>
        <v/>
      </c>
      <c r="TWD6" s="97" t="str">
        <f t="shared" si="221"/>
        <v/>
      </c>
      <c r="TWE6" s="97" t="str">
        <f t="shared" si="221"/>
        <v/>
      </c>
      <c r="TWF6" s="97" t="str">
        <f t="shared" si="221"/>
        <v/>
      </c>
      <c r="TWG6" s="97" t="str">
        <f t="shared" si="221"/>
        <v/>
      </c>
      <c r="TWH6" s="97" t="str">
        <f t="shared" si="221"/>
        <v/>
      </c>
      <c r="TWI6" s="97" t="str">
        <f t="shared" si="221"/>
        <v/>
      </c>
      <c r="TWJ6" s="97" t="str">
        <f t="shared" si="221"/>
        <v/>
      </c>
      <c r="TWK6" s="97" t="str">
        <f t="shared" si="221"/>
        <v/>
      </c>
      <c r="TWL6" s="97" t="str">
        <f t="shared" si="221"/>
        <v/>
      </c>
      <c r="TWM6" s="97" t="str">
        <f t="shared" si="221"/>
        <v/>
      </c>
      <c r="TWN6" s="97" t="str">
        <f t="shared" si="221"/>
        <v/>
      </c>
      <c r="TWO6" s="97" t="str">
        <f t="shared" si="221"/>
        <v/>
      </c>
      <c r="TWP6" s="97" t="str">
        <f t="shared" si="221"/>
        <v/>
      </c>
      <c r="TWQ6" s="97" t="str">
        <f t="shared" si="221"/>
        <v/>
      </c>
      <c r="TWR6" s="97" t="str">
        <f t="shared" si="221"/>
        <v/>
      </c>
      <c r="TWS6" s="97" t="str">
        <f t="shared" si="221"/>
        <v/>
      </c>
      <c r="TWT6" s="97" t="str">
        <f t="shared" si="221"/>
        <v/>
      </c>
      <c r="TWU6" s="97" t="str">
        <f t="shared" si="221"/>
        <v/>
      </c>
      <c r="TWV6" s="97" t="str">
        <f t="shared" si="221"/>
        <v/>
      </c>
      <c r="TWW6" s="97" t="str">
        <f t="shared" si="221"/>
        <v/>
      </c>
      <c r="TWX6" s="97" t="str">
        <f t="shared" si="221"/>
        <v/>
      </c>
      <c r="TWY6" s="97" t="str">
        <f t="shared" si="221"/>
        <v/>
      </c>
      <c r="TWZ6" s="97" t="str">
        <f t="shared" si="221"/>
        <v/>
      </c>
      <c r="TXA6" s="97" t="str">
        <f t="shared" si="221"/>
        <v/>
      </c>
      <c r="TXB6" s="97" t="str">
        <f t="shared" si="221"/>
        <v/>
      </c>
      <c r="TXC6" s="97" t="str">
        <f t="shared" si="221"/>
        <v/>
      </c>
      <c r="TXD6" s="97" t="str">
        <f t="shared" si="221"/>
        <v/>
      </c>
      <c r="TXE6" s="97" t="str">
        <f t="shared" si="221"/>
        <v/>
      </c>
      <c r="TXF6" s="97" t="str">
        <f t="shared" ref="TXF6:TZQ6" si="222">IFERROR(AVERAGE(TXF7:TXF13),"")</f>
        <v/>
      </c>
      <c r="TXG6" s="97" t="str">
        <f t="shared" si="222"/>
        <v/>
      </c>
      <c r="TXH6" s="97" t="str">
        <f t="shared" si="222"/>
        <v/>
      </c>
      <c r="TXI6" s="97" t="str">
        <f t="shared" si="222"/>
        <v/>
      </c>
      <c r="TXJ6" s="97" t="str">
        <f t="shared" si="222"/>
        <v/>
      </c>
      <c r="TXK6" s="97" t="str">
        <f t="shared" si="222"/>
        <v/>
      </c>
      <c r="TXL6" s="97" t="str">
        <f t="shared" si="222"/>
        <v/>
      </c>
      <c r="TXM6" s="97" t="str">
        <f t="shared" si="222"/>
        <v/>
      </c>
      <c r="TXN6" s="97" t="str">
        <f t="shared" si="222"/>
        <v/>
      </c>
      <c r="TXO6" s="97" t="str">
        <f t="shared" si="222"/>
        <v/>
      </c>
      <c r="TXP6" s="97" t="str">
        <f t="shared" si="222"/>
        <v/>
      </c>
      <c r="TXQ6" s="97" t="str">
        <f t="shared" si="222"/>
        <v/>
      </c>
      <c r="TXR6" s="97" t="str">
        <f t="shared" si="222"/>
        <v/>
      </c>
      <c r="TXS6" s="97" t="str">
        <f t="shared" si="222"/>
        <v/>
      </c>
      <c r="TXT6" s="97" t="str">
        <f t="shared" si="222"/>
        <v/>
      </c>
      <c r="TXU6" s="97" t="str">
        <f t="shared" si="222"/>
        <v/>
      </c>
      <c r="TXV6" s="97" t="str">
        <f t="shared" si="222"/>
        <v/>
      </c>
      <c r="TXW6" s="97" t="str">
        <f t="shared" si="222"/>
        <v/>
      </c>
      <c r="TXX6" s="97" t="str">
        <f t="shared" si="222"/>
        <v/>
      </c>
      <c r="TXY6" s="97" t="str">
        <f t="shared" si="222"/>
        <v/>
      </c>
      <c r="TXZ6" s="97" t="str">
        <f t="shared" si="222"/>
        <v/>
      </c>
      <c r="TYA6" s="97" t="str">
        <f t="shared" si="222"/>
        <v/>
      </c>
      <c r="TYB6" s="97" t="str">
        <f t="shared" si="222"/>
        <v/>
      </c>
      <c r="TYC6" s="97" t="str">
        <f t="shared" si="222"/>
        <v/>
      </c>
      <c r="TYD6" s="97" t="str">
        <f t="shared" si="222"/>
        <v/>
      </c>
      <c r="TYE6" s="97" t="str">
        <f t="shared" si="222"/>
        <v/>
      </c>
      <c r="TYF6" s="97" t="str">
        <f t="shared" si="222"/>
        <v/>
      </c>
      <c r="TYG6" s="97" t="str">
        <f t="shared" si="222"/>
        <v/>
      </c>
      <c r="TYH6" s="97" t="str">
        <f t="shared" si="222"/>
        <v/>
      </c>
      <c r="TYI6" s="97" t="str">
        <f t="shared" si="222"/>
        <v/>
      </c>
      <c r="TYJ6" s="97" t="str">
        <f t="shared" si="222"/>
        <v/>
      </c>
      <c r="TYK6" s="97" t="str">
        <f t="shared" si="222"/>
        <v/>
      </c>
      <c r="TYL6" s="97" t="str">
        <f t="shared" si="222"/>
        <v/>
      </c>
      <c r="TYM6" s="97" t="str">
        <f t="shared" si="222"/>
        <v/>
      </c>
      <c r="TYN6" s="97" t="str">
        <f t="shared" si="222"/>
        <v/>
      </c>
      <c r="TYO6" s="97" t="str">
        <f t="shared" si="222"/>
        <v/>
      </c>
      <c r="TYP6" s="97" t="str">
        <f t="shared" si="222"/>
        <v/>
      </c>
      <c r="TYQ6" s="97" t="str">
        <f t="shared" si="222"/>
        <v/>
      </c>
      <c r="TYR6" s="97" t="str">
        <f t="shared" si="222"/>
        <v/>
      </c>
      <c r="TYS6" s="97" t="str">
        <f t="shared" si="222"/>
        <v/>
      </c>
      <c r="TYT6" s="97" t="str">
        <f t="shared" si="222"/>
        <v/>
      </c>
      <c r="TYU6" s="97" t="str">
        <f t="shared" si="222"/>
        <v/>
      </c>
      <c r="TYV6" s="97" t="str">
        <f t="shared" si="222"/>
        <v/>
      </c>
      <c r="TYW6" s="97" t="str">
        <f t="shared" si="222"/>
        <v/>
      </c>
      <c r="TYX6" s="97" t="str">
        <f t="shared" si="222"/>
        <v/>
      </c>
      <c r="TYY6" s="97" t="str">
        <f t="shared" si="222"/>
        <v/>
      </c>
      <c r="TYZ6" s="97" t="str">
        <f t="shared" si="222"/>
        <v/>
      </c>
      <c r="TZA6" s="97" t="str">
        <f t="shared" si="222"/>
        <v/>
      </c>
      <c r="TZB6" s="97" t="str">
        <f t="shared" si="222"/>
        <v/>
      </c>
      <c r="TZC6" s="97" t="str">
        <f t="shared" si="222"/>
        <v/>
      </c>
      <c r="TZD6" s="97" t="str">
        <f t="shared" si="222"/>
        <v/>
      </c>
      <c r="TZE6" s="97" t="str">
        <f t="shared" si="222"/>
        <v/>
      </c>
      <c r="TZF6" s="97" t="str">
        <f t="shared" si="222"/>
        <v/>
      </c>
      <c r="TZG6" s="97" t="str">
        <f t="shared" si="222"/>
        <v/>
      </c>
      <c r="TZH6" s="97" t="str">
        <f t="shared" si="222"/>
        <v/>
      </c>
      <c r="TZI6" s="97" t="str">
        <f t="shared" si="222"/>
        <v/>
      </c>
      <c r="TZJ6" s="97" t="str">
        <f t="shared" si="222"/>
        <v/>
      </c>
      <c r="TZK6" s="97" t="str">
        <f t="shared" si="222"/>
        <v/>
      </c>
      <c r="TZL6" s="97" t="str">
        <f t="shared" si="222"/>
        <v/>
      </c>
      <c r="TZM6" s="97" t="str">
        <f t="shared" si="222"/>
        <v/>
      </c>
      <c r="TZN6" s="97" t="str">
        <f t="shared" si="222"/>
        <v/>
      </c>
      <c r="TZO6" s="97" t="str">
        <f t="shared" si="222"/>
        <v/>
      </c>
      <c r="TZP6" s="97" t="str">
        <f t="shared" si="222"/>
        <v/>
      </c>
      <c r="TZQ6" s="97" t="str">
        <f t="shared" si="222"/>
        <v/>
      </c>
      <c r="TZR6" s="97" t="str">
        <f t="shared" ref="TZR6:UCC6" si="223">IFERROR(AVERAGE(TZR7:TZR13),"")</f>
        <v/>
      </c>
      <c r="TZS6" s="97" t="str">
        <f t="shared" si="223"/>
        <v/>
      </c>
      <c r="TZT6" s="97" t="str">
        <f t="shared" si="223"/>
        <v/>
      </c>
      <c r="TZU6" s="97" t="str">
        <f t="shared" si="223"/>
        <v/>
      </c>
      <c r="TZV6" s="97" t="str">
        <f t="shared" si="223"/>
        <v/>
      </c>
      <c r="TZW6" s="97" t="str">
        <f t="shared" si="223"/>
        <v/>
      </c>
      <c r="TZX6" s="97" t="str">
        <f t="shared" si="223"/>
        <v/>
      </c>
      <c r="TZY6" s="97" t="str">
        <f t="shared" si="223"/>
        <v/>
      </c>
      <c r="TZZ6" s="97" t="str">
        <f t="shared" si="223"/>
        <v/>
      </c>
      <c r="UAA6" s="97" t="str">
        <f t="shared" si="223"/>
        <v/>
      </c>
      <c r="UAB6" s="97" t="str">
        <f t="shared" si="223"/>
        <v/>
      </c>
      <c r="UAC6" s="97" t="str">
        <f t="shared" si="223"/>
        <v/>
      </c>
      <c r="UAD6" s="97" t="str">
        <f t="shared" si="223"/>
        <v/>
      </c>
      <c r="UAE6" s="97" t="str">
        <f t="shared" si="223"/>
        <v/>
      </c>
      <c r="UAF6" s="97" t="str">
        <f t="shared" si="223"/>
        <v/>
      </c>
      <c r="UAG6" s="97" t="str">
        <f t="shared" si="223"/>
        <v/>
      </c>
      <c r="UAH6" s="97" t="str">
        <f t="shared" si="223"/>
        <v/>
      </c>
      <c r="UAI6" s="97" t="str">
        <f t="shared" si="223"/>
        <v/>
      </c>
      <c r="UAJ6" s="97" t="str">
        <f t="shared" si="223"/>
        <v/>
      </c>
      <c r="UAK6" s="97" t="str">
        <f t="shared" si="223"/>
        <v/>
      </c>
      <c r="UAL6" s="97" t="str">
        <f t="shared" si="223"/>
        <v/>
      </c>
      <c r="UAM6" s="97" t="str">
        <f t="shared" si="223"/>
        <v/>
      </c>
      <c r="UAN6" s="97" t="str">
        <f t="shared" si="223"/>
        <v/>
      </c>
      <c r="UAO6" s="97" t="str">
        <f t="shared" si="223"/>
        <v/>
      </c>
      <c r="UAP6" s="97" t="str">
        <f t="shared" si="223"/>
        <v/>
      </c>
      <c r="UAQ6" s="97" t="str">
        <f t="shared" si="223"/>
        <v/>
      </c>
      <c r="UAR6" s="97" t="str">
        <f t="shared" si="223"/>
        <v/>
      </c>
      <c r="UAS6" s="97" t="str">
        <f t="shared" si="223"/>
        <v/>
      </c>
      <c r="UAT6" s="97" t="str">
        <f t="shared" si="223"/>
        <v/>
      </c>
      <c r="UAU6" s="97" t="str">
        <f t="shared" si="223"/>
        <v/>
      </c>
      <c r="UAV6" s="97" t="str">
        <f t="shared" si="223"/>
        <v/>
      </c>
      <c r="UAW6" s="97" t="str">
        <f t="shared" si="223"/>
        <v/>
      </c>
      <c r="UAX6" s="97" t="str">
        <f t="shared" si="223"/>
        <v/>
      </c>
      <c r="UAY6" s="97" t="str">
        <f t="shared" si="223"/>
        <v/>
      </c>
      <c r="UAZ6" s="97" t="str">
        <f t="shared" si="223"/>
        <v/>
      </c>
      <c r="UBA6" s="97" t="str">
        <f t="shared" si="223"/>
        <v/>
      </c>
      <c r="UBB6" s="97" t="str">
        <f t="shared" si="223"/>
        <v/>
      </c>
      <c r="UBC6" s="97" t="str">
        <f t="shared" si="223"/>
        <v/>
      </c>
      <c r="UBD6" s="97" t="str">
        <f t="shared" si="223"/>
        <v/>
      </c>
      <c r="UBE6" s="97" t="str">
        <f t="shared" si="223"/>
        <v/>
      </c>
      <c r="UBF6" s="97" t="str">
        <f t="shared" si="223"/>
        <v/>
      </c>
      <c r="UBG6" s="97" t="str">
        <f t="shared" si="223"/>
        <v/>
      </c>
      <c r="UBH6" s="97" t="str">
        <f t="shared" si="223"/>
        <v/>
      </c>
      <c r="UBI6" s="97" t="str">
        <f t="shared" si="223"/>
        <v/>
      </c>
      <c r="UBJ6" s="97" t="str">
        <f t="shared" si="223"/>
        <v/>
      </c>
      <c r="UBK6" s="97" t="str">
        <f t="shared" si="223"/>
        <v/>
      </c>
      <c r="UBL6" s="97" t="str">
        <f t="shared" si="223"/>
        <v/>
      </c>
      <c r="UBM6" s="97" t="str">
        <f t="shared" si="223"/>
        <v/>
      </c>
      <c r="UBN6" s="97" t="str">
        <f t="shared" si="223"/>
        <v/>
      </c>
      <c r="UBO6" s="97" t="str">
        <f t="shared" si="223"/>
        <v/>
      </c>
      <c r="UBP6" s="97" t="str">
        <f t="shared" si="223"/>
        <v/>
      </c>
      <c r="UBQ6" s="97" t="str">
        <f t="shared" si="223"/>
        <v/>
      </c>
      <c r="UBR6" s="97" t="str">
        <f t="shared" si="223"/>
        <v/>
      </c>
      <c r="UBS6" s="97" t="str">
        <f t="shared" si="223"/>
        <v/>
      </c>
      <c r="UBT6" s="97" t="str">
        <f t="shared" si="223"/>
        <v/>
      </c>
      <c r="UBU6" s="97" t="str">
        <f t="shared" si="223"/>
        <v/>
      </c>
      <c r="UBV6" s="97" t="str">
        <f t="shared" si="223"/>
        <v/>
      </c>
      <c r="UBW6" s="97" t="str">
        <f t="shared" si="223"/>
        <v/>
      </c>
      <c r="UBX6" s="97" t="str">
        <f t="shared" si="223"/>
        <v/>
      </c>
      <c r="UBY6" s="97" t="str">
        <f t="shared" si="223"/>
        <v/>
      </c>
      <c r="UBZ6" s="97" t="str">
        <f t="shared" si="223"/>
        <v/>
      </c>
      <c r="UCA6" s="97" t="str">
        <f t="shared" si="223"/>
        <v/>
      </c>
      <c r="UCB6" s="97" t="str">
        <f t="shared" si="223"/>
        <v/>
      </c>
      <c r="UCC6" s="97" t="str">
        <f t="shared" si="223"/>
        <v/>
      </c>
      <c r="UCD6" s="97" t="str">
        <f t="shared" ref="UCD6:UEO6" si="224">IFERROR(AVERAGE(UCD7:UCD13),"")</f>
        <v/>
      </c>
      <c r="UCE6" s="97" t="str">
        <f t="shared" si="224"/>
        <v/>
      </c>
      <c r="UCF6" s="97" t="str">
        <f t="shared" si="224"/>
        <v/>
      </c>
      <c r="UCG6" s="97" t="str">
        <f t="shared" si="224"/>
        <v/>
      </c>
      <c r="UCH6" s="97" t="str">
        <f t="shared" si="224"/>
        <v/>
      </c>
      <c r="UCI6" s="97" t="str">
        <f t="shared" si="224"/>
        <v/>
      </c>
      <c r="UCJ6" s="97" t="str">
        <f t="shared" si="224"/>
        <v/>
      </c>
      <c r="UCK6" s="97" t="str">
        <f t="shared" si="224"/>
        <v/>
      </c>
      <c r="UCL6" s="97" t="str">
        <f t="shared" si="224"/>
        <v/>
      </c>
      <c r="UCM6" s="97" t="str">
        <f t="shared" si="224"/>
        <v/>
      </c>
      <c r="UCN6" s="97" t="str">
        <f t="shared" si="224"/>
        <v/>
      </c>
      <c r="UCO6" s="97" t="str">
        <f t="shared" si="224"/>
        <v/>
      </c>
      <c r="UCP6" s="97" t="str">
        <f t="shared" si="224"/>
        <v/>
      </c>
      <c r="UCQ6" s="97" t="str">
        <f t="shared" si="224"/>
        <v/>
      </c>
      <c r="UCR6" s="97" t="str">
        <f t="shared" si="224"/>
        <v/>
      </c>
      <c r="UCS6" s="97" t="str">
        <f t="shared" si="224"/>
        <v/>
      </c>
      <c r="UCT6" s="97" t="str">
        <f t="shared" si="224"/>
        <v/>
      </c>
      <c r="UCU6" s="97" t="str">
        <f t="shared" si="224"/>
        <v/>
      </c>
      <c r="UCV6" s="97" t="str">
        <f t="shared" si="224"/>
        <v/>
      </c>
      <c r="UCW6" s="97" t="str">
        <f t="shared" si="224"/>
        <v/>
      </c>
      <c r="UCX6" s="97" t="str">
        <f t="shared" si="224"/>
        <v/>
      </c>
      <c r="UCY6" s="97" t="str">
        <f t="shared" si="224"/>
        <v/>
      </c>
      <c r="UCZ6" s="97" t="str">
        <f t="shared" si="224"/>
        <v/>
      </c>
      <c r="UDA6" s="97" t="str">
        <f t="shared" si="224"/>
        <v/>
      </c>
      <c r="UDB6" s="97" t="str">
        <f t="shared" si="224"/>
        <v/>
      </c>
      <c r="UDC6" s="97" t="str">
        <f t="shared" si="224"/>
        <v/>
      </c>
      <c r="UDD6" s="97" t="str">
        <f t="shared" si="224"/>
        <v/>
      </c>
      <c r="UDE6" s="97" t="str">
        <f t="shared" si="224"/>
        <v/>
      </c>
      <c r="UDF6" s="97" t="str">
        <f t="shared" si="224"/>
        <v/>
      </c>
      <c r="UDG6" s="97" t="str">
        <f t="shared" si="224"/>
        <v/>
      </c>
      <c r="UDH6" s="97" t="str">
        <f t="shared" si="224"/>
        <v/>
      </c>
      <c r="UDI6" s="97" t="str">
        <f t="shared" si="224"/>
        <v/>
      </c>
      <c r="UDJ6" s="97" t="str">
        <f t="shared" si="224"/>
        <v/>
      </c>
      <c r="UDK6" s="97" t="str">
        <f t="shared" si="224"/>
        <v/>
      </c>
      <c r="UDL6" s="97" t="str">
        <f t="shared" si="224"/>
        <v/>
      </c>
      <c r="UDM6" s="97" t="str">
        <f t="shared" si="224"/>
        <v/>
      </c>
      <c r="UDN6" s="97" t="str">
        <f t="shared" si="224"/>
        <v/>
      </c>
      <c r="UDO6" s="97" t="str">
        <f t="shared" si="224"/>
        <v/>
      </c>
      <c r="UDP6" s="97" t="str">
        <f t="shared" si="224"/>
        <v/>
      </c>
      <c r="UDQ6" s="97" t="str">
        <f t="shared" si="224"/>
        <v/>
      </c>
      <c r="UDR6" s="97" t="str">
        <f t="shared" si="224"/>
        <v/>
      </c>
      <c r="UDS6" s="97" t="str">
        <f t="shared" si="224"/>
        <v/>
      </c>
      <c r="UDT6" s="97" t="str">
        <f t="shared" si="224"/>
        <v/>
      </c>
      <c r="UDU6" s="97" t="str">
        <f t="shared" si="224"/>
        <v/>
      </c>
      <c r="UDV6" s="97" t="str">
        <f t="shared" si="224"/>
        <v/>
      </c>
      <c r="UDW6" s="97" t="str">
        <f t="shared" si="224"/>
        <v/>
      </c>
      <c r="UDX6" s="97" t="str">
        <f t="shared" si="224"/>
        <v/>
      </c>
      <c r="UDY6" s="97" t="str">
        <f t="shared" si="224"/>
        <v/>
      </c>
      <c r="UDZ6" s="97" t="str">
        <f t="shared" si="224"/>
        <v/>
      </c>
      <c r="UEA6" s="97" t="str">
        <f t="shared" si="224"/>
        <v/>
      </c>
      <c r="UEB6" s="97" t="str">
        <f t="shared" si="224"/>
        <v/>
      </c>
      <c r="UEC6" s="97" t="str">
        <f t="shared" si="224"/>
        <v/>
      </c>
      <c r="UED6" s="97" t="str">
        <f t="shared" si="224"/>
        <v/>
      </c>
      <c r="UEE6" s="97" t="str">
        <f t="shared" si="224"/>
        <v/>
      </c>
      <c r="UEF6" s="97" t="str">
        <f t="shared" si="224"/>
        <v/>
      </c>
      <c r="UEG6" s="97" t="str">
        <f t="shared" si="224"/>
        <v/>
      </c>
      <c r="UEH6" s="97" t="str">
        <f t="shared" si="224"/>
        <v/>
      </c>
      <c r="UEI6" s="97" t="str">
        <f t="shared" si="224"/>
        <v/>
      </c>
      <c r="UEJ6" s="97" t="str">
        <f t="shared" si="224"/>
        <v/>
      </c>
      <c r="UEK6" s="97" t="str">
        <f t="shared" si="224"/>
        <v/>
      </c>
      <c r="UEL6" s="97" t="str">
        <f t="shared" si="224"/>
        <v/>
      </c>
      <c r="UEM6" s="97" t="str">
        <f t="shared" si="224"/>
        <v/>
      </c>
      <c r="UEN6" s="97" t="str">
        <f t="shared" si="224"/>
        <v/>
      </c>
      <c r="UEO6" s="97" t="str">
        <f t="shared" si="224"/>
        <v/>
      </c>
      <c r="UEP6" s="97" t="str">
        <f t="shared" ref="UEP6:UHA6" si="225">IFERROR(AVERAGE(UEP7:UEP13),"")</f>
        <v/>
      </c>
      <c r="UEQ6" s="97" t="str">
        <f t="shared" si="225"/>
        <v/>
      </c>
      <c r="UER6" s="97" t="str">
        <f t="shared" si="225"/>
        <v/>
      </c>
      <c r="UES6" s="97" t="str">
        <f t="shared" si="225"/>
        <v/>
      </c>
      <c r="UET6" s="97" t="str">
        <f t="shared" si="225"/>
        <v/>
      </c>
      <c r="UEU6" s="97" t="str">
        <f t="shared" si="225"/>
        <v/>
      </c>
      <c r="UEV6" s="97" t="str">
        <f t="shared" si="225"/>
        <v/>
      </c>
      <c r="UEW6" s="97" t="str">
        <f t="shared" si="225"/>
        <v/>
      </c>
      <c r="UEX6" s="97" t="str">
        <f t="shared" si="225"/>
        <v/>
      </c>
      <c r="UEY6" s="97" t="str">
        <f t="shared" si="225"/>
        <v/>
      </c>
      <c r="UEZ6" s="97" t="str">
        <f t="shared" si="225"/>
        <v/>
      </c>
      <c r="UFA6" s="97" t="str">
        <f t="shared" si="225"/>
        <v/>
      </c>
      <c r="UFB6" s="97" t="str">
        <f t="shared" si="225"/>
        <v/>
      </c>
      <c r="UFC6" s="97" t="str">
        <f t="shared" si="225"/>
        <v/>
      </c>
      <c r="UFD6" s="97" t="str">
        <f t="shared" si="225"/>
        <v/>
      </c>
      <c r="UFE6" s="97" t="str">
        <f t="shared" si="225"/>
        <v/>
      </c>
      <c r="UFF6" s="97" t="str">
        <f t="shared" si="225"/>
        <v/>
      </c>
      <c r="UFG6" s="97" t="str">
        <f t="shared" si="225"/>
        <v/>
      </c>
      <c r="UFH6" s="97" t="str">
        <f t="shared" si="225"/>
        <v/>
      </c>
      <c r="UFI6" s="97" t="str">
        <f t="shared" si="225"/>
        <v/>
      </c>
      <c r="UFJ6" s="97" t="str">
        <f t="shared" si="225"/>
        <v/>
      </c>
      <c r="UFK6" s="97" t="str">
        <f t="shared" si="225"/>
        <v/>
      </c>
      <c r="UFL6" s="97" t="str">
        <f t="shared" si="225"/>
        <v/>
      </c>
      <c r="UFM6" s="97" t="str">
        <f t="shared" si="225"/>
        <v/>
      </c>
      <c r="UFN6" s="97" t="str">
        <f t="shared" si="225"/>
        <v/>
      </c>
      <c r="UFO6" s="97" t="str">
        <f t="shared" si="225"/>
        <v/>
      </c>
      <c r="UFP6" s="97" t="str">
        <f t="shared" si="225"/>
        <v/>
      </c>
      <c r="UFQ6" s="97" t="str">
        <f t="shared" si="225"/>
        <v/>
      </c>
      <c r="UFR6" s="97" t="str">
        <f t="shared" si="225"/>
        <v/>
      </c>
      <c r="UFS6" s="97" t="str">
        <f t="shared" si="225"/>
        <v/>
      </c>
      <c r="UFT6" s="97" t="str">
        <f t="shared" si="225"/>
        <v/>
      </c>
      <c r="UFU6" s="97" t="str">
        <f t="shared" si="225"/>
        <v/>
      </c>
      <c r="UFV6" s="97" t="str">
        <f t="shared" si="225"/>
        <v/>
      </c>
      <c r="UFW6" s="97" t="str">
        <f t="shared" si="225"/>
        <v/>
      </c>
      <c r="UFX6" s="97" t="str">
        <f t="shared" si="225"/>
        <v/>
      </c>
      <c r="UFY6" s="97" t="str">
        <f t="shared" si="225"/>
        <v/>
      </c>
      <c r="UFZ6" s="97" t="str">
        <f t="shared" si="225"/>
        <v/>
      </c>
      <c r="UGA6" s="97" t="str">
        <f t="shared" si="225"/>
        <v/>
      </c>
      <c r="UGB6" s="97" t="str">
        <f t="shared" si="225"/>
        <v/>
      </c>
      <c r="UGC6" s="97" t="str">
        <f t="shared" si="225"/>
        <v/>
      </c>
      <c r="UGD6" s="97" t="str">
        <f t="shared" si="225"/>
        <v/>
      </c>
      <c r="UGE6" s="97" t="str">
        <f t="shared" si="225"/>
        <v/>
      </c>
      <c r="UGF6" s="97" t="str">
        <f t="shared" si="225"/>
        <v/>
      </c>
      <c r="UGG6" s="97" t="str">
        <f t="shared" si="225"/>
        <v/>
      </c>
      <c r="UGH6" s="97" t="str">
        <f t="shared" si="225"/>
        <v/>
      </c>
      <c r="UGI6" s="97" t="str">
        <f t="shared" si="225"/>
        <v/>
      </c>
      <c r="UGJ6" s="97" t="str">
        <f t="shared" si="225"/>
        <v/>
      </c>
      <c r="UGK6" s="97" t="str">
        <f t="shared" si="225"/>
        <v/>
      </c>
      <c r="UGL6" s="97" t="str">
        <f t="shared" si="225"/>
        <v/>
      </c>
      <c r="UGM6" s="97" t="str">
        <f t="shared" si="225"/>
        <v/>
      </c>
      <c r="UGN6" s="97" t="str">
        <f t="shared" si="225"/>
        <v/>
      </c>
      <c r="UGO6" s="97" t="str">
        <f t="shared" si="225"/>
        <v/>
      </c>
      <c r="UGP6" s="97" t="str">
        <f t="shared" si="225"/>
        <v/>
      </c>
      <c r="UGQ6" s="97" t="str">
        <f t="shared" si="225"/>
        <v/>
      </c>
      <c r="UGR6" s="97" t="str">
        <f t="shared" si="225"/>
        <v/>
      </c>
      <c r="UGS6" s="97" t="str">
        <f t="shared" si="225"/>
        <v/>
      </c>
      <c r="UGT6" s="97" t="str">
        <f t="shared" si="225"/>
        <v/>
      </c>
      <c r="UGU6" s="97" t="str">
        <f t="shared" si="225"/>
        <v/>
      </c>
      <c r="UGV6" s="97" t="str">
        <f t="shared" si="225"/>
        <v/>
      </c>
      <c r="UGW6" s="97" t="str">
        <f t="shared" si="225"/>
        <v/>
      </c>
      <c r="UGX6" s="97" t="str">
        <f t="shared" si="225"/>
        <v/>
      </c>
      <c r="UGY6" s="97" t="str">
        <f t="shared" si="225"/>
        <v/>
      </c>
      <c r="UGZ6" s="97" t="str">
        <f t="shared" si="225"/>
        <v/>
      </c>
      <c r="UHA6" s="97" t="str">
        <f t="shared" si="225"/>
        <v/>
      </c>
      <c r="UHB6" s="97" t="str">
        <f t="shared" ref="UHB6:UJM6" si="226">IFERROR(AVERAGE(UHB7:UHB13),"")</f>
        <v/>
      </c>
      <c r="UHC6" s="97" t="str">
        <f t="shared" si="226"/>
        <v/>
      </c>
      <c r="UHD6" s="97" t="str">
        <f t="shared" si="226"/>
        <v/>
      </c>
      <c r="UHE6" s="97" t="str">
        <f t="shared" si="226"/>
        <v/>
      </c>
      <c r="UHF6" s="97" t="str">
        <f t="shared" si="226"/>
        <v/>
      </c>
      <c r="UHG6" s="97" t="str">
        <f t="shared" si="226"/>
        <v/>
      </c>
      <c r="UHH6" s="97" t="str">
        <f t="shared" si="226"/>
        <v/>
      </c>
      <c r="UHI6" s="97" t="str">
        <f t="shared" si="226"/>
        <v/>
      </c>
      <c r="UHJ6" s="97" t="str">
        <f t="shared" si="226"/>
        <v/>
      </c>
      <c r="UHK6" s="97" t="str">
        <f t="shared" si="226"/>
        <v/>
      </c>
      <c r="UHL6" s="97" t="str">
        <f t="shared" si="226"/>
        <v/>
      </c>
      <c r="UHM6" s="97" t="str">
        <f t="shared" si="226"/>
        <v/>
      </c>
      <c r="UHN6" s="97" t="str">
        <f t="shared" si="226"/>
        <v/>
      </c>
      <c r="UHO6" s="97" t="str">
        <f t="shared" si="226"/>
        <v/>
      </c>
      <c r="UHP6" s="97" t="str">
        <f t="shared" si="226"/>
        <v/>
      </c>
      <c r="UHQ6" s="97" t="str">
        <f t="shared" si="226"/>
        <v/>
      </c>
      <c r="UHR6" s="97" t="str">
        <f t="shared" si="226"/>
        <v/>
      </c>
      <c r="UHS6" s="97" t="str">
        <f t="shared" si="226"/>
        <v/>
      </c>
      <c r="UHT6" s="97" t="str">
        <f t="shared" si="226"/>
        <v/>
      </c>
      <c r="UHU6" s="97" t="str">
        <f t="shared" si="226"/>
        <v/>
      </c>
      <c r="UHV6" s="97" t="str">
        <f t="shared" si="226"/>
        <v/>
      </c>
      <c r="UHW6" s="97" t="str">
        <f t="shared" si="226"/>
        <v/>
      </c>
      <c r="UHX6" s="97" t="str">
        <f t="shared" si="226"/>
        <v/>
      </c>
      <c r="UHY6" s="97" t="str">
        <f t="shared" si="226"/>
        <v/>
      </c>
      <c r="UHZ6" s="97" t="str">
        <f t="shared" si="226"/>
        <v/>
      </c>
      <c r="UIA6" s="97" t="str">
        <f t="shared" si="226"/>
        <v/>
      </c>
      <c r="UIB6" s="97" t="str">
        <f t="shared" si="226"/>
        <v/>
      </c>
      <c r="UIC6" s="97" t="str">
        <f t="shared" si="226"/>
        <v/>
      </c>
      <c r="UID6" s="97" t="str">
        <f t="shared" si="226"/>
        <v/>
      </c>
      <c r="UIE6" s="97" t="str">
        <f t="shared" si="226"/>
        <v/>
      </c>
      <c r="UIF6" s="97" t="str">
        <f t="shared" si="226"/>
        <v/>
      </c>
      <c r="UIG6" s="97" t="str">
        <f t="shared" si="226"/>
        <v/>
      </c>
      <c r="UIH6" s="97" t="str">
        <f t="shared" si="226"/>
        <v/>
      </c>
      <c r="UII6" s="97" t="str">
        <f t="shared" si="226"/>
        <v/>
      </c>
      <c r="UIJ6" s="97" t="str">
        <f t="shared" si="226"/>
        <v/>
      </c>
      <c r="UIK6" s="97" t="str">
        <f t="shared" si="226"/>
        <v/>
      </c>
      <c r="UIL6" s="97" t="str">
        <f t="shared" si="226"/>
        <v/>
      </c>
      <c r="UIM6" s="97" t="str">
        <f t="shared" si="226"/>
        <v/>
      </c>
      <c r="UIN6" s="97" t="str">
        <f t="shared" si="226"/>
        <v/>
      </c>
      <c r="UIO6" s="97" t="str">
        <f t="shared" si="226"/>
        <v/>
      </c>
      <c r="UIP6" s="97" t="str">
        <f t="shared" si="226"/>
        <v/>
      </c>
      <c r="UIQ6" s="97" t="str">
        <f t="shared" si="226"/>
        <v/>
      </c>
      <c r="UIR6" s="97" t="str">
        <f t="shared" si="226"/>
        <v/>
      </c>
      <c r="UIS6" s="97" t="str">
        <f t="shared" si="226"/>
        <v/>
      </c>
      <c r="UIT6" s="97" t="str">
        <f t="shared" si="226"/>
        <v/>
      </c>
      <c r="UIU6" s="97" t="str">
        <f t="shared" si="226"/>
        <v/>
      </c>
      <c r="UIV6" s="97" t="str">
        <f t="shared" si="226"/>
        <v/>
      </c>
      <c r="UIW6" s="97" t="str">
        <f t="shared" si="226"/>
        <v/>
      </c>
      <c r="UIX6" s="97" t="str">
        <f t="shared" si="226"/>
        <v/>
      </c>
      <c r="UIY6" s="97" t="str">
        <f t="shared" si="226"/>
        <v/>
      </c>
      <c r="UIZ6" s="97" t="str">
        <f t="shared" si="226"/>
        <v/>
      </c>
      <c r="UJA6" s="97" t="str">
        <f t="shared" si="226"/>
        <v/>
      </c>
      <c r="UJB6" s="97" t="str">
        <f t="shared" si="226"/>
        <v/>
      </c>
      <c r="UJC6" s="97" t="str">
        <f t="shared" si="226"/>
        <v/>
      </c>
      <c r="UJD6" s="97" t="str">
        <f t="shared" si="226"/>
        <v/>
      </c>
      <c r="UJE6" s="97" t="str">
        <f t="shared" si="226"/>
        <v/>
      </c>
      <c r="UJF6" s="97" t="str">
        <f t="shared" si="226"/>
        <v/>
      </c>
      <c r="UJG6" s="97" t="str">
        <f t="shared" si="226"/>
        <v/>
      </c>
      <c r="UJH6" s="97" t="str">
        <f t="shared" si="226"/>
        <v/>
      </c>
      <c r="UJI6" s="97" t="str">
        <f t="shared" si="226"/>
        <v/>
      </c>
      <c r="UJJ6" s="97" t="str">
        <f t="shared" si="226"/>
        <v/>
      </c>
      <c r="UJK6" s="97" t="str">
        <f t="shared" si="226"/>
        <v/>
      </c>
      <c r="UJL6" s="97" t="str">
        <f t="shared" si="226"/>
        <v/>
      </c>
      <c r="UJM6" s="97" t="str">
        <f t="shared" si="226"/>
        <v/>
      </c>
      <c r="UJN6" s="97" t="str">
        <f t="shared" ref="UJN6:ULY6" si="227">IFERROR(AVERAGE(UJN7:UJN13),"")</f>
        <v/>
      </c>
      <c r="UJO6" s="97" t="str">
        <f t="shared" si="227"/>
        <v/>
      </c>
      <c r="UJP6" s="97" t="str">
        <f t="shared" si="227"/>
        <v/>
      </c>
      <c r="UJQ6" s="97" t="str">
        <f t="shared" si="227"/>
        <v/>
      </c>
      <c r="UJR6" s="97" t="str">
        <f t="shared" si="227"/>
        <v/>
      </c>
      <c r="UJS6" s="97" t="str">
        <f t="shared" si="227"/>
        <v/>
      </c>
      <c r="UJT6" s="97" t="str">
        <f t="shared" si="227"/>
        <v/>
      </c>
      <c r="UJU6" s="97" t="str">
        <f t="shared" si="227"/>
        <v/>
      </c>
      <c r="UJV6" s="97" t="str">
        <f t="shared" si="227"/>
        <v/>
      </c>
      <c r="UJW6" s="97" t="str">
        <f t="shared" si="227"/>
        <v/>
      </c>
      <c r="UJX6" s="97" t="str">
        <f t="shared" si="227"/>
        <v/>
      </c>
      <c r="UJY6" s="97" t="str">
        <f t="shared" si="227"/>
        <v/>
      </c>
      <c r="UJZ6" s="97" t="str">
        <f t="shared" si="227"/>
        <v/>
      </c>
      <c r="UKA6" s="97" t="str">
        <f t="shared" si="227"/>
        <v/>
      </c>
      <c r="UKB6" s="97" t="str">
        <f t="shared" si="227"/>
        <v/>
      </c>
      <c r="UKC6" s="97" t="str">
        <f t="shared" si="227"/>
        <v/>
      </c>
      <c r="UKD6" s="97" t="str">
        <f t="shared" si="227"/>
        <v/>
      </c>
      <c r="UKE6" s="97" t="str">
        <f t="shared" si="227"/>
        <v/>
      </c>
      <c r="UKF6" s="97" t="str">
        <f t="shared" si="227"/>
        <v/>
      </c>
      <c r="UKG6" s="97" t="str">
        <f t="shared" si="227"/>
        <v/>
      </c>
      <c r="UKH6" s="97" t="str">
        <f t="shared" si="227"/>
        <v/>
      </c>
      <c r="UKI6" s="97" t="str">
        <f t="shared" si="227"/>
        <v/>
      </c>
      <c r="UKJ6" s="97" t="str">
        <f t="shared" si="227"/>
        <v/>
      </c>
      <c r="UKK6" s="97" t="str">
        <f t="shared" si="227"/>
        <v/>
      </c>
      <c r="UKL6" s="97" t="str">
        <f t="shared" si="227"/>
        <v/>
      </c>
      <c r="UKM6" s="97" t="str">
        <f t="shared" si="227"/>
        <v/>
      </c>
      <c r="UKN6" s="97" t="str">
        <f t="shared" si="227"/>
        <v/>
      </c>
      <c r="UKO6" s="97" t="str">
        <f t="shared" si="227"/>
        <v/>
      </c>
      <c r="UKP6" s="97" t="str">
        <f t="shared" si="227"/>
        <v/>
      </c>
      <c r="UKQ6" s="97" t="str">
        <f t="shared" si="227"/>
        <v/>
      </c>
      <c r="UKR6" s="97" t="str">
        <f t="shared" si="227"/>
        <v/>
      </c>
      <c r="UKS6" s="97" t="str">
        <f t="shared" si="227"/>
        <v/>
      </c>
      <c r="UKT6" s="97" t="str">
        <f t="shared" si="227"/>
        <v/>
      </c>
      <c r="UKU6" s="97" t="str">
        <f t="shared" si="227"/>
        <v/>
      </c>
      <c r="UKV6" s="97" t="str">
        <f t="shared" si="227"/>
        <v/>
      </c>
      <c r="UKW6" s="97" t="str">
        <f t="shared" si="227"/>
        <v/>
      </c>
      <c r="UKX6" s="97" t="str">
        <f t="shared" si="227"/>
        <v/>
      </c>
      <c r="UKY6" s="97" t="str">
        <f t="shared" si="227"/>
        <v/>
      </c>
      <c r="UKZ6" s="97" t="str">
        <f t="shared" si="227"/>
        <v/>
      </c>
      <c r="ULA6" s="97" t="str">
        <f t="shared" si="227"/>
        <v/>
      </c>
      <c r="ULB6" s="97" t="str">
        <f t="shared" si="227"/>
        <v/>
      </c>
      <c r="ULC6" s="97" t="str">
        <f t="shared" si="227"/>
        <v/>
      </c>
      <c r="ULD6" s="97" t="str">
        <f t="shared" si="227"/>
        <v/>
      </c>
      <c r="ULE6" s="97" t="str">
        <f t="shared" si="227"/>
        <v/>
      </c>
      <c r="ULF6" s="97" t="str">
        <f t="shared" si="227"/>
        <v/>
      </c>
      <c r="ULG6" s="97" t="str">
        <f t="shared" si="227"/>
        <v/>
      </c>
      <c r="ULH6" s="97" t="str">
        <f t="shared" si="227"/>
        <v/>
      </c>
      <c r="ULI6" s="97" t="str">
        <f t="shared" si="227"/>
        <v/>
      </c>
      <c r="ULJ6" s="97" t="str">
        <f t="shared" si="227"/>
        <v/>
      </c>
      <c r="ULK6" s="97" t="str">
        <f t="shared" si="227"/>
        <v/>
      </c>
      <c r="ULL6" s="97" t="str">
        <f t="shared" si="227"/>
        <v/>
      </c>
      <c r="ULM6" s="97" t="str">
        <f t="shared" si="227"/>
        <v/>
      </c>
      <c r="ULN6" s="97" t="str">
        <f t="shared" si="227"/>
        <v/>
      </c>
      <c r="ULO6" s="97" t="str">
        <f t="shared" si="227"/>
        <v/>
      </c>
      <c r="ULP6" s="97" t="str">
        <f t="shared" si="227"/>
        <v/>
      </c>
      <c r="ULQ6" s="97" t="str">
        <f t="shared" si="227"/>
        <v/>
      </c>
      <c r="ULR6" s="97" t="str">
        <f t="shared" si="227"/>
        <v/>
      </c>
      <c r="ULS6" s="97" t="str">
        <f t="shared" si="227"/>
        <v/>
      </c>
      <c r="ULT6" s="97" t="str">
        <f t="shared" si="227"/>
        <v/>
      </c>
      <c r="ULU6" s="97" t="str">
        <f t="shared" si="227"/>
        <v/>
      </c>
      <c r="ULV6" s="97" t="str">
        <f t="shared" si="227"/>
        <v/>
      </c>
      <c r="ULW6" s="97" t="str">
        <f t="shared" si="227"/>
        <v/>
      </c>
      <c r="ULX6" s="97" t="str">
        <f t="shared" si="227"/>
        <v/>
      </c>
      <c r="ULY6" s="97" t="str">
        <f t="shared" si="227"/>
        <v/>
      </c>
      <c r="ULZ6" s="97" t="str">
        <f t="shared" ref="ULZ6:UOK6" si="228">IFERROR(AVERAGE(ULZ7:ULZ13),"")</f>
        <v/>
      </c>
      <c r="UMA6" s="97" t="str">
        <f t="shared" si="228"/>
        <v/>
      </c>
      <c r="UMB6" s="97" t="str">
        <f t="shared" si="228"/>
        <v/>
      </c>
      <c r="UMC6" s="97" t="str">
        <f t="shared" si="228"/>
        <v/>
      </c>
      <c r="UMD6" s="97" t="str">
        <f t="shared" si="228"/>
        <v/>
      </c>
      <c r="UME6" s="97" t="str">
        <f t="shared" si="228"/>
        <v/>
      </c>
      <c r="UMF6" s="97" t="str">
        <f t="shared" si="228"/>
        <v/>
      </c>
      <c r="UMG6" s="97" t="str">
        <f t="shared" si="228"/>
        <v/>
      </c>
      <c r="UMH6" s="97" t="str">
        <f t="shared" si="228"/>
        <v/>
      </c>
      <c r="UMI6" s="97" t="str">
        <f t="shared" si="228"/>
        <v/>
      </c>
      <c r="UMJ6" s="97" t="str">
        <f t="shared" si="228"/>
        <v/>
      </c>
      <c r="UMK6" s="97" t="str">
        <f t="shared" si="228"/>
        <v/>
      </c>
      <c r="UML6" s="97" t="str">
        <f t="shared" si="228"/>
        <v/>
      </c>
      <c r="UMM6" s="97" t="str">
        <f t="shared" si="228"/>
        <v/>
      </c>
      <c r="UMN6" s="97" t="str">
        <f t="shared" si="228"/>
        <v/>
      </c>
      <c r="UMO6" s="97" t="str">
        <f t="shared" si="228"/>
        <v/>
      </c>
      <c r="UMP6" s="97" t="str">
        <f t="shared" si="228"/>
        <v/>
      </c>
      <c r="UMQ6" s="97" t="str">
        <f t="shared" si="228"/>
        <v/>
      </c>
      <c r="UMR6" s="97" t="str">
        <f t="shared" si="228"/>
        <v/>
      </c>
      <c r="UMS6" s="97" t="str">
        <f t="shared" si="228"/>
        <v/>
      </c>
      <c r="UMT6" s="97" t="str">
        <f t="shared" si="228"/>
        <v/>
      </c>
      <c r="UMU6" s="97" t="str">
        <f t="shared" si="228"/>
        <v/>
      </c>
      <c r="UMV6" s="97" t="str">
        <f t="shared" si="228"/>
        <v/>
      </c>
      <c r="UMW6" s="97" t="str">
        <f t="shared" si="228"/>
        <v/>
      </c>
      <c r="UMX6" s="97" t="str">
        <f t="shared" si="228"/>
        <v/>
      </c>
      <c r="UMY6" s="97" t="str">
        <f t="shared" si="228"/>
        <v/>
      </c>
      <c r="UMZ6" s="97" t="str">
        <f t="shared" si="228"/>
        <v/>
      </c>
      <c r="UNA6" s="97" t="str">
        <f t="shared" si="228"/>
        <v/>
      </c>
      <c r="UNB6" s="97" t="str">
        <f t="shared" si="228"/>
        <v/>
      </c>
      <c r="UNC6" s="97" t="str">
        <f t="shared" si="228"/>
        <v/>
      </c>
      <c r="UND6" s="97" t="str">
        <f t="shared" si="228"/>
        <v/>
      </c>
      <c r="UNE6" s="97" t="str">
        <f t="shared" si="228"/>
        <v/>
      </c>
      <c r="UNF6" s="97" t="str">
        <f t="shared" si="228"/>
        <v/>
      </c>
      <c r="UNG6" s="97" t="str">
        <f t="shared" si="228"/>
        <v/>
      </c>
      <c r="UNH6" s="97" t="str">
        <f t="shared" si="228"/>
        <v/>
      </c>
      <c r="UNI6" s="97" t="str">
        <f t="shared" si="228"/>
        <v/>
      </c>
      <c r="UNJ6" s="97" t="str">
        <f t="shared" si="228"/>
        <v/>
      </c>
      <c r="UNK6" s="97" t="str">
        <f t="shared" si="228"/>
        <v/>
      </c>
      <c r="UNL6" s="97" t="str">
        <f t="shared" si="228"/>
        <v/>
      </c>
      <c r="UNM6" s="97" t="str">
        <f t="shared" si="228"/>
        <v/>
      </c>
      <c r="UNN6" s="97" t="str">
        <f t="shared" si="228"/>
        <v/>
      </c>
      <c r="UNO6" s="97" t="str">
        <f t="shared" si="228"/>
        <v/>
      </c>
      <c r="UNP6" s="97" t="str">
        <f t="shared" si="228"/>
        <v/>
      </c>
      <c r="UNQ6" s="97" t="str">
        <f t="shared" si="228"/>
        <v/>
      </c>
      <c r="UNR6" s="97" t="str">
        <f t="shared" si="228"/>
        <v/>
      </c>
      <c r="UNS6" s="97" t="str">
        <f t="shared" si="228"/>
        <v/>
      </c>
      <c r="UNT6" s="97" t="str">
        <f t="shared" si="228"/>
        <v/>
      </c>
      <c r="UNU6" s="97" t="str">
        <f t="shared" si="228"/>
        <v/>
      </c>
      <c r="UNV6" s="97" t="str">
        <f t="shared" si="228"/>
        <v/>
      </c>
      <c r="UNW6" s="97" t="str">
        <f t="shared" si="228"/>
        <v/>
      </c>
      <c r="UNX6" s="97" t="str">
        <f t="shared" si="228"/>
        <v/>
      </c>
      <c r="UNY6" s="97" t="str">
        <f t="shared" si="228"/>
        <v/>
      </c>
      <c r="UNZ6" s="97" t="str">
        <f t="shared" si="228"/>
        <v/>
      </c>
      <c r="UOA6" s="97" t="str">
        <f t="shared" si="228"/>
        <v/>
      </c>
      <c r="UOB6" s="97" t="str">
        <f t="shared" si="228"/>
        <v/>
      </c>
      <c r="UOC6" s="97" t="str">
        <f t="shared" si="228"/>
        <v/>
      </c>
      <c r="UOD6" s="97" t="str">
        <f t="shared" si="228"/>
        <v/>
      </c>
      <c r="UOE6" s="97" t="str">
        <f t="shared" si="228"/>
        <v/>
      </c>
      <c r="UOF6" s="97" t="str">
        <f t="shared" si="228"/>
        <v/>
      </c>
      <c r="UOG6" s="97" t="str">
        <f t="shared" si="228"/>
        <v/>
      </c>
      <c r="UOH6" s="97" t="str">
        <f t="shared" si="228"/>
        <v/>
      </c>
      <c r="UOI6" s="97" t="str">
        <f t="shared" si="228"/>
        <v/>
      </c>
      <c r="UOJ6" s="97" t="str">
        <f t="shared" si="228"/>
        <v/>
      </c>
      <c r="UOK6" s="97" t="str">
        <f t="shared" si="228"/>
        <v/>
      </c>
      <c r="UOL6" s="97" t="str">
        <f t="shared" ref="UOL6:UQW6" si="229">IFERROR(AVERAGE(UOL7:UOL13),"")</f>
        <v/>
      </c>
      <c r="UOM6" s="97" t="str">
        <f t="shared" si="229"/>
        <v/>
      </c>
      <c r="UON6" s="97" t="str">
        <f t="shared" si="229"/>
        <v/>
      </c>
      <c r="UOO6" s="97" t="str">
        <f t="shared" si="229"/>
        <v/>
      </c>
      <c r="UOP6" s="97" t="str">
        <f t="shared" si="229"/>
        <v/>
      </c>
      <c r="UOQ6" s="97" t="str">
        <f t="shared" si="229"/>
        <v/>
      </c>
      <c r="UOR6" s="97" t="str">
        <f t="shared" si="229"/>
        <v/>
      </c>
      <c r="UOS6" s="97" t="str">
        <f t="shared" si="229"/>
        <v/>
      </c>
      <c r="UOT6" s="97" t="str">
        <f t="shared" si="229"/>
        <v/>
      </c>
      <c r="UOU6" s="97" t="str">
        <f t="shared" si="229"/>
        <v/>
      </c>
      <c r="UOV6" s="97" t="str">
        <f t="shared" si="229"/>
        <v/>
      </c>
      <c r="UOW6" s="97" t="str">
        <f t="shared" si="229"/>
        <v/>
      </c>
      <c r="UOX6" s="97" t="str">
        <f t="shared" si="229"/>
        <v/>
      </c>
      <c r="UOY6" s="97" t="str">
        <f t="shared" si="229"/>
        <v/>
      </c>
      <c r="UOZ6" s="97" t="str">
        <f t="shared" si="229"/>
        <v/>
      </c>
      <c r="UPA6" s="97" t="str">
        <f t="shared" si="229"/>
        <v/>
      </c>
      <c r="UPB6" s="97" t="str">
        <f t="shared" si="229"/>
        <v/>
      </c>
      <c r="UPC6" s="97" t="str">
        <f t="shared" si="229"/>
        <v/>
      </c>
      <c r="UPD6" s="97" t="str">
        <f t="shared" si="229"/>
        <v/>
      </c>
      <c r="UPE6" s="97" t="str">
        <f t="shared" si="229"/>
        <v/>
      </c>
      <c r="UPF6" s="97" t="str">
        <f t="shared" si="229"/>
        <v/>
      </c>
      <c r="UPG6" s="97" t="str">
        <f t="shared" si="229"/>
        <v/>
      </c>
      <c r="UPH6" s="97" t="str">
        <f t="shared" si="229"/>
        <v/>
      </c>
      <c r="UPI6" s="97" t="str">
        <f t="shared" si="229"/>
        <v/>
      </c>
      <c r="UPJ6" s="97" t="str">
        <f t="shared" si="229"/>
        <v/>
      </c>
      <c r="UPK6" s="97" t="str">
        <f t="shared" si="229"/>
        <v/>
      </c>
      <c r="UPL6" s="97" t="str">
        <f t="shared" si="229"/>
        <v/>
      </c>
      <c r="UPM6" s="97" t="str">
        <f t="shared" si="229"/>
        <v/>
      </c>
      <c r="UPN6" s="97" t="str">
        <f t="shared" si="229"/>
        <v/>
      </c>
      <c r="UPO6" s="97" t="str">
        <f t="shared" si="229"/>
        <v/>
      </c>
      <c r="UPP6" s="97" t="str">
        <f t="shared" si="229"/>
        <v/>
      </c>
      <c r="UPQ6" s="97" t="str">
        <f t="shared" si="229"/>
        <v/>
      </c>
      <c r="UPR6" s="97" t="str">
        <f t="shared" si="229"/>
        <v/>
      </c>
      <c r="UPS6" s="97" t="str">
        <f t="shared" si="229"/>
        <v/>
      </c>
      <c r="UPT6" s="97" t="str">
        <f t="shared" si="229"/>
        <v/>
      </c>
      <c r="UPU6" s="97" t="str">
        <f t="shared" si="229"/>
        <v/>
      </c>
      <c r="UPV6" s="97" t="str">
        <f t="shared" si="229"/>
        <v/>
      </c>
      <c r="UPW6" s="97" t="str">
        <f t="shared" si="229"/>
        <v/>
      </c>
      <c r="UPX6" s="97" t="str">
        <f t="shared" si="229"/>
        <v/>
      </c>
      <c r="UPY6" s="97" t="str">
        <f t="shared" si="229"/>
        <v/>
      </c>
      <c r="UPZ6" s="97" t="str">
        <f t="shared" si="229"/>
        <v/>
      </c>
      <c r="UQA6" s="97" t="str">
        <f t="shared" si="229"/>
        <v/>
      </c>
      <c r="UQB6" s="97" t="str">
        <f t="shared" si="229"/>
        <v/>
      </c>
      <c r="UQC6" s="97" t="str">
        <f t="shared" si="229"/>
        <v/>
      </c>
      <c r="UQD6" s="97" t="str">
        <f t="shared" si="229"/>
        <v/>
      </c>
      <c r="UQE6" s="97" t="str">
        <f t="shared" si="229"/>
        <v/>
      </c>
      <c r="UQF6" s="97" t="str">
        <f t="shared" si="229"/>
        <v/>
      </c>
      <c r="UQG6" s="97" t="str">
        <f t="shared" si="229"/>
        <v/>
      </c>
      <c r="UQH6" s="97" t="str">
        <f t="shared" si="229"/>
        <v/>
      </c>
      <c r="UQI6" s="97" t="str">
        <f t="shared" si="229"/>
        <v/>
      </c>
      <c r="UQJ6" s="97" t="str">
        <f t="shared" si="229"/>
        <v/>
      </c>
      <c r="UQK6" s="97" t="str">
        <f t="shared" si="229"/>
        <v/>
      </c>
      <c r="UQL6" s="97" t="str">
        <f t="shared" si="229"/>
        <v/>
      </c>
      <c r="UQM6" s="97" t="str">
        <f t="shared" si="229"/>
        <v/>
      </c>
      <c r="UQN6" s="97" t="str">
        <f t="shared" si="229"/>
        <v/>
      </c>
      <c r="UQO6" s="97" t="str">
        <f t="shared" si="229"/>
        <v/>
      </c>
      <c r="UQP6" s="97" t="str">
        <f t="shared" si="229"/>
        <v/>
      </c>
      <c r="UQQ6" s="97" t="str">
        <f t="shared" si="229"/>
        <v/>
      </c>
      <c r="UQR6" s="97" t="str">
        <f t="shared" si="229"/>
        <v/>
      </c>
      <c r="UQS6" s="97" t="str">
        <f t="shared" si="229"/>
        <v/>
      </c>
      <c r="UQT6" s="97" t="str">
        <f t="shared" si="229"/>
        <v/>
      </c>
      <c r="UQU6" s="97" t="str">
        <f t="shared" si="229"/>
        <v/>
      </c>
      <c r="UQV6" s="97" t="str">
        <f t="shared" si="229"/>
        <v/>
      </c>
      <c r="UQW6" s="97" t="str">
        <f t="shared" si="229"/>
        <v/>
      </c>
      <c r="UQX6" s="97" t="str">
        <f t="shared" ref="UQX6:UTI6" si="230">IFERROR(AVERAGE(UQX7:UQX13),"")</f>
        <v/>
      </c>
      <c r="UQY6" s="97" t="str">
        <f t="shared" si="230"/>
        <v/>
      </c>
      <c r="UQZ6" s="97" t="str">
        <f t="shared" si="230"/>
        <v/>
      </c>
      <c r="URA6" s="97" t="str">
        <f t="shared" si="230"/>
        <v/>
      </c>
      <c r="URB6" s="97" t="str">
        <f t="shared" si="230"/>
        <v/>
      </c>
      <c r="URC6" s="97" t="str">
        <f t="shared" si="230"/>
        <v/>
      </c>
      <c r="URD6" s="97" t="str">
        <f t="shared" si="230"/>
        <v/>
      </c>
      <c r="URE6" s="97" t="str">
        <f t="shared" si="230"/>
        <v/>
      </c>
      <c r="URF6" s="97" t="str">
        <f t="shared" si="230"/>
        <v/>
      </c>
      <c r="URG6" s="97" t="str">
        <f t="shared" si="230"/>
        <v/>
      </c>
      <c r="URH6" s="97" t="str">
        <f t="shared" si="230"/>
        <v/>
      </c>
      <c r="URI6" s="97" t="str">
        <f t="shared" si="230"/>
        <v/>
      </c>
      <c r="URJ6" s="97" t="str">
        <f t="shared" si="230"/>
        <v/>
      </c>
      <c r="URK6" s="97" t="str">
        <f t="shared" si="230"/>
        <v/>
      </c>
      <c r="URL6" s="97" t="str">
        <f t="shared" si="230"/>
        <v/>
      </c>
      <c r="URM6" s="97" t="str">
        <f t="shared" si="230"/>
        <v/>
      </c>
      <c r="URN6" s="97" t="str">
        <f t="shared" si="230"/>
        <v/>
      </c>
      <c r="URO6" s="97" t="str">
        <f t="shared" si="230"/>
        <v/>
      </c>
      <c r="URP6" s="97" t="str">
        <f t="shared" si="230"/>
        <v/>
      </c>
      <c r="URQ6" s="97" t="str">
        <f t="shared" si="230"/>
        <v/>
      </c>
      <c r="URR6" s="97" t="str">
        <f t="shared" si="230"/>
        <v/>
      </c>
      <c r="URS6" s="97" t="str">
        <f t="shared" si="230"/>
        <v/>
      </c>
      <c r="URT6" s="97" t="str">
        <f t="shared" si="230"/>
        <v/>
      </c>
      <c r="URU6" s="97" t="str">
        <f t="shared" si="230"/>
        <v/>
      </c>
      <c r="URV6" s="97" t="str">
        <f t="shared" si="230"/>
        <v/>
      </c>
      <c r="URW6" s="97" t="str">
        <f t="shared" si="230"/>
        <v/>
      </c>
      <c r="URX6" s="97" t="str">
        <f t="shared" si="230"/>
        <v/>
      </c>
      <c r="URY6" s="97" t="str">
        <f t="shared" si="230"/>
        <v/>
      </c>
      <c r="URZ6" s="97" t="str">
        <f t="shared" si="230"/>
        <v/>
      </c>
      <c r="USA6" s="97" t="str">
        <f t="shared" si="230"/>
        <v/>
      </c>
      <c r="USB6" s="97" t="str">
        <f t="shared" si="230"/>
        <v/>
      </c>
      <c r="USC6" s="97" t="str">
        <f t="shared" si="230"/>
        <v/>
      </c>
      <c r="USD6" s="97" t="str">
        <f t="shared" si="230"/>
        <v/>
      </c>
      <c r="USE6" s="97" t="str">
        <f t="shared" si="230"/>
        <v/>
      </c>
      <c r="USF6" s="97" t="str">
        <f t="shared" si="230"/>
        <v/>
      </c>
      <c r="USG6" s="97" t="str">
        <f t="shared" si="230"/>
        <v/>
      </c>
      <c r="USH6" s="97" t="str">
        <f t="shared" si="230"/>
        <v/>
      </c>
      <c r="USI6" s="97" t="str">
        <f t="shared" si="230"/>
        <v/>
      </c>
      <c r="USJ6" s="97" t="str">
        <f t="shared" si="230"/>
        <v/>
      </c>
      <c r="USK6" s="97" t="str">
        <f t="shared" si="230"/>
        <v/>
      </c>
      <c r="USL6" s="97" t="str">
        <f t="shared" si="230"/>
        <v/>
      </c>
      <c r="USM6" s="97" t="str">
        <f t="shared" si="230"/>
        <v/>
      </c>
      <c r="USN6" s="97" t="str">
        <f t="shared" si="230"/>
        <v/>
      </c>
      <c r="USO6" s="97" t="str">
        <f t="shared" si="230"/>
        <v/>
      </c>
      <c r="USP6" s="97" t="str">
        <f t="shared" si="230"/>
        <v/>
      </c>
      <c r="USQ6" s="97" t="str">
        <f t="shared" si="230"/>
        <v/>
      </c>
      <c r="USR6" s="97" t="str">
        <f t="shared" si="230"/>
        <v/>
      </c>
      <c r="USS6" s="97" t="str">
        <f t="shared" si="230"/>
        <v/>
      </c>
      <c r="UST6" s="97" t="str">
        <f t="shared" si="230"/>
        <v/>
      </c>
      <c r="USU6" s="97" t="str">
        <f t="shared" si="230"/>
        <v/>
      </c>
      <c r="USV6" s="97" t="str">
        <f t="shared" si="230"/>
        <v/>
      </c>
      <c r="USW6" s="97" t="str">
        <f t="shared" si="230"/>
        <v/>
      </c>
      <c r="USX6" s="97" t="str">
        <f t="shared" si="230"/>
        <v/>
      </c>
      <c r="USY6" s="97" t="str">
        <f t="shared" si="230"/>
        <v/>
      </c>
      <c r="USZ6" s="97" t="str">
        <f t="shared" si="230"/>
        <v/>
      </c>
      <c r="UTA6" s="97" t="str">
        <f t="shared" si="230"/>
        <v/>
      </c>
      <c r="UTB6" s="97" t="str">
        <f t="shared" si="230"/>
        <v/>
      </c>
      <c r="UTC6" s="97" t="str">
        <f t="shared" si="230"/>
        <v/>
      </c>
      <c r="UTD6" s="97" t="str">
        <f t="shared" si="230"/>
        <v/>
      </c>
      <c r="UTE6" s="97" t="str">
        <f t="shared" si="230"/>
        <v/>
      </c>
      <c r="UTF6" s="97" t="str">
        <f t="shared" si="230"/>
        <v/>
      </c>
      <c r="UTG6" s="97" t="str">
        <f t="shared" si="230"/>
        <v/>
      </c>
      <c r="UTH6" s="97" t="str">
        <f t="shared" si="230"/>
        <v/>
      </c>
      <c r="UTI6" s="97" t="str">
        <f t="shared" si="230"/>
        <v/>
      </c>
      <c r="UTJ6" s="97" t="str">
        <f t="shared" ref="UTJ6:UVU6" si="231">IFERROR(AVERAGE(UTJ7:UTJ13),"")</f>
        <v/>
      </c>
      <c r="UTK6" s="97" t="str">
        <f t="shared" si="231"/>
        <v/>
      </c>
      <c r="UTL6" s="97" t="str">
        <f t="shared" si="231"/>
        <v/>
      </c>
      <c r="UTM6" s="97" t="str">
        <f t="shared" si="231"/>
        <v/>
      </c>
      <c r="UTN6" s="97" t="str">
        <f t="shared" si="231"/>
        <v/>
      </c>
      <c r="UTO6" s="97" t="str">
        <f t="shared" si="231"/>
        <v/>
      </c>
      <c r="UTP6" s="97" t="str">
        <f t="shared" si="231"/>
        <v/>
      </c>
      <c r="UTQ6" s="97" t="str">
        <f t="shared" si="231"/>
        <v/>
      </c>
      <c r="UTR6" s="97" t="str">
        <f t="shared" si="231"/>
        <v/>
      </c>
      <c r="UTS6" s="97" t="str">
        <f t="shared" si="231"/>
        <v/>
      </c>
      <c r="UTT6" s="97" t="str">
        <f t="shared" si="231"/>
        <v/>
      </c>
      <c r="UTU6" s="97" t="str">
        <f t="shared" si="231"/>
        <v/>
      </c>
      <c r="UTV6" s="97" t="str">
        <f t="shared" si="231"/>
        <v/>
      </c>
      <c r="UTW6" s="97" t="str">
        <f t="shared" si="231"/>
        <v/>
      </c>
      <c r="UTX6" s="97" t="str">
        <f t="shared" si="231"/>
        <v/>
      </c>
      <c r="UTY6" s="97" t="str">
        <f t="shared" si="231"/>
        <v/>
      </c>
      <c r="UTZ6" s="97" t="str">
        <f t="shared" si="231"/>
        <v/>
      </c>
      <c r="UUA6" s="97" t="str">
        <f t="shared" si="231"/>
        <v/>
      </c>
      <c r="UUB6" s="97" t="str">
        <f t="shared" si="231"/>
        <v/>
      </c>
      <c r="UUC6" s="97" t="str">
        <f t="shared" si="231"/>
        <v/>
      </c>
      <c r="UUD6" s="97" t="str">
        <f t="shared" si="231"/>
        <v/>
      </c>
      <c r="UUE6" s="97" t="str">
        <f t="shared" si="231"/>
        <v/>
      </c>
      <c r="UUF6" s="97" t="str">
        <f t="shared" si="231"/>
        <v/>
      </c>
      <c r="UUG6" s="97" t="str">
        <f t="shared" si="231"/>
        <v/>
      </c>
      <c r="UUH6" s="97" t="str">
        <f t="shared" si="231"/>
        <v/>
      </c>
      <c r="UUI6" s="97" t="str">
        <f t="shared" si="231"/>
        <v/>
      </c>
      <c r="UUJ6" s="97" t="str">
        <f t="shared" si="231"/>
        <v/>
      </c>
      <c r="UUK6" s="97" t="str">
        <f t="shared" si="231"/>
        <v/>
      </c>
      <c r="UUL6" s="97" t="str">
        <f t="shared" si="231"/>
        <v/>
      </c>
      <c r="UUM6" s="97" t="str">
        <f t="shared" si="231"/>
        <v/>
      </c>
      <c r="UUN6" s="97" t="str">
        <f t="shared" si="231"/>
        <v/>
      </c>
      <c r="UUO6" s="97" t="str">
        <f t="shared" si="231"/>
        <v/>
      </c>
      <c r="UUP6" s="97" t="str">
        <f t="shared" si="231"/>
        <v/>
      </c>
      <c r="UUQ6" s="97" t="str">
        <f t="shared" si="231"/>
        <v/>
      </c>
      <c r="UUR6" s="97" t="str">
        <f t="shared" si="231"/>
        <v/>
      </c>
      <c r="UUS6" s="97" t="str">
        <f t="shared" si="231"/>
        <v/>
      </c>
      <c r="UUT6" s="97" t="str">
        <f t="shared" si="231"/>
        <v/>
      </c>
      <c r="UUU6" s="97" t="str">
        <f t="shared" si="231"/>
        <v/>
      </c>
      <c r="UUV6" s="97" t="str">
        <f t="shared" si="231"/>
        <v/>
      </c>
      <c r="UUW6" s="97" t="str">
        <f t="shared" si="231"/>
        <v/>
      </c>
      <c r="UUX6" s="97" t="str">
        <f t="shared" si="231"/>
        <v/>
      </c>
      <c r="UUY6" s="97" t="str">
        <f t="shared" si="231"/>
        <v/>
      </c>
      <c r="UUZ6" s="97" t="str">
        <f t="shared" si="231"/>
        <v/>
      </c>
      <c r="UVA6" s="97" t="str">
        <f t="shared" si="231"/>
        <v/>
      </c>
      <c r="UVB6" s="97" t="str">
        <f t="shared" si="231"/>
        <v/>
      </c>
      <c r="UVC6" s="97" t="str">
        <f t="shared" si="231"/>
        <v/>
      </c>
      <c r="UVD6" s="97" t="str">
        <f t="shared" si="231"/>
        <v/>
      </c>
      <c r="UVE6" s="97" t="str">
        <f t="shared" si="231"/>
        <v/>
      </c>
      <c r="UVF6" s="97" t="str">
        <f t="shared" si="231"/>
        <v/>
      </c>
      <c r="UVG6" s="97" t="str">
        <f t="shared" si="231"/>
        <v/>
      </c>
      <c r="UVH6" s="97" t="str">
        <f t="shared" si="231"/>
        <v/>
      </c>
      <c r="UVI6" s="97" t="str">
        <f t="shared" si="231"/>
        <v/>
      </c>
      <c r="UVJ6" s="97" t="str">
        <f t="shared" si="231"/>
        <v/>
      </c>
      <c r="UVK6" s="97" t="str">
        <f t="shared" si="231"/>
        <v/>
      </c>
      <c r="UVL6" s="97" t="str">
        <f t="shared" si="231"/>
        <v/>
      </c>
      <c r="UVM6" s="97" t="str">
        <f t="shared" si="231"/>
        <v/>
      </c>
      <c r="UVN6" s="97" t="str">
        <f t="shared" si="231"/>
        <v/>
      </c>
      <c r="UVO6" s="97" t="str">
        <f t="shared" si="231"/>
        <v/>
      </c>
      <c r="UVP6" s="97" t="str">
        <f t="shared" si="231"/>
        <v/>
      </c>
      <c r="UVQ6" s="97" t="str">
        <f t="shared" si="231"/>
        <v/>
      </c>
      <c r="UVR6" s="97" t="str">
        <f t="shared" si="231"/>
        <v/>
      </c>
      <c r="UVS6" s="97" t="str">
        <f t="shared" si="231"/>
        <v/>
      </c>
      <c r="UVT6" s="97" t="str">
        <f t="shared" si="231"/>
        <v/>
      </c>
      <c r="UVU6" s="97" t="str">
        <f t="shared" si="231"/>
        <v/>
      </c>
      <c r="UVV6" s="97" t="str">
        <f t="shared" ref="UVV6:UYG6" si="232">IFERROR(AVERAGE(UVV7:UVV13),"")</f>
        <v/>
      </c>
      <c r="UVW6" s="97" t="str">
        <f t="shared" si="232"/>
        <v/>
      </c>
      <c r="UVX6" s="97" t="str">
        <f t="shared" si="232"/>
        <v/>
      </c>
      <c r="UVY6" s="97" t="str">
        <f t="shared" si="232"/>
        <v/>
      </c>
      <c r="UVZ6" s="97" t="str">
        <f t="shared" si="232"/>
        <v/>
      </c>
      <c r="UWA6" s="97" t="str">
        <f t="shared" si="232"/>
        <v/>
      </c>
      <c r="UWB6" s="97" t="str">
        <f t="shared" si="232"/>
        <v/>
      </c>
      <c r="UWC6" s="97" t="str">
        <f t="shared" si="232"/>
        <v/>
      </c>
      <c r="UWD6" s="97" t="str">
        <f t="shared" si="232"/>
        <v/>
      </c>
      <c r="UWE6" s="97" t="str">
        <f t="shared" si="232"/>
        <v/>
      </c>
      <c r="UWF6" s="97" t="str">
        <f t="shared" si="232"/>
        <v/>
      </c>
      <c r="UWG6" s="97" t="str">
        <f t="shared" si="232"/>
        <v/>
      </c>
      <c r="UWH6" s="97" t="str">
        <f t="shared" si="232"/>
        <v/>
      </c>
      <c r="UWI6" s="97" t="str">
        <f t="shared" si="232"/>
        <v/>
      </c>
      <c r="UWJ6" s="97" t="str">
        <f t="shared" si="232"/>
        <v/>
      </c>
      <c r="UWK6" s="97" t="str">
        <f t="shared" si="232"/>
        <v/>
      </c>
      <c r="UWL6" s="97" t="str">
        <f t="shared" si="232"/>
        <v/>
      </c>
      <c r="UWM6" s="97" t="str">
        <f t="shared" si="232"/>
        <v/>
      </c>
      <c r="UWN6" s="97" t="str">
        <f t="shared" si="232"/>
        <v/>
      </c>
      <c r="UWO6" s="97" t="str">
        <f t="shared" si="232"/>
        <v/>
      </c>
      <c r="UWP6" s="97" t="str">
        <f t="shared" si="232"/>
        <v/>
      </c>
      <c r="UWQ6" s="97" t="str">
        <f t="shared" si="232"/>
        <v/>
      </c>
      <c r="UWR6" s="97" t="str">
        <f t="shared" si="232"/>
        <v/>
      </c>
      <c r="UWS6" s="97" t="str">
        <f t="shared" si="232"/>
        <v/>
      </c>
      <c r="UWT6" s="97" t="str">
        <f t="shared" si="232"/>
        <v/>
      </c>
      <c r="UWU6" s="97" t="str">
        <f t="shared" si="232"/>
        <v/>
      </c>
      <c r="UWV6" s="97" t="str">
        <f t="shared" si="232"/>
        <v/>
      </c>
      <c r="UWW6" s="97" t="str">
        <f t="shared" si="232"/>
        <v/>
      </c>
      <c r="UWX6" s="97" t="str">
        <f t="shared" si="232"/>
        <v/>
      </c>
      <c r="UWY6" s="97" t="str">
        <f t="shared" si="232"/>
        <v/>
      </c>
      <c r="UWZ6" s="97" t="str">
        <f t="shared" si="232"/>
        <v/>
      </c>
      <c r="UXA6" s="97" t="str">
        <f t="shared" si="232"/>
        <v/>
      </c>
      <c r="UXB6" s="97" t="str">
        <f t="shared" si="232"/>
        <v/>
      </c>
      <c r="UXC6" s="97" t="str">
        <f t="shared" si="232"/>
        <v/>
      </c>
      <c r="UXD6" s="97" t="str">
        <f t="shared" si="232"/>
        <v/>
      </c>
      <c r="UXE6" s="97" t="str">
        <f t="shared" si="232"/>
        <v/>
      </c>
      <c r="UXF6" s="97" t="str">
        <f t="shared" si="232"/>
        <v/>
      </c>
      <c r="UXG6" s="97" t="str">
        <f t="shared" si="232"/>
        <v/>
      </c>
      <c r="UXH6" s="97" t="str">
        <f t="shared" si="232"/>
        <v/>
      </c>
      <c r="UXI6" s="97" t="str">
        <f t="shared" si="232"/>
        <v/>
      </c>
      <c r="UXJ6" s="97" t="str">
        <f t="shared" si="232"/>
        <v/>
      </c>
      <c r="UXK6" s="97" t="str">
        <f t="shared" si="232"/>
        <v/>
      </c>
      <c r="UXL6" s="97" t="str">
        <f t="shared" si="232"/>
        <v/>
      </c>
      <c r="UXM6" s="97" t="str">
        <f t="shared" si="232"/>
        <v/>
      </c>
      <c r="UXN6" s="97" t="str">
        <f t="shared" si="232"/>
        <v/>
      </c>
      <c r="UXO6" s="97" t="str">
        <f t="shared" si="232"/>
        <v/>
      </c>
      <c r="UXP6" s="97" t="str">
        <f t="shared" si="232"/>
        <v/>
      </c>
      <c r="UXQ6" s="97" t="str">
        <f t="shared" si="232"/>
        <v/>
      </c>
      <c r="UXR6" s="97" t="str">
        <f t="shared" si="232"/>
        <v/>
      </c>
      <c r="UXS6" s="97" t="str">
        <f t="shared" si="232"/>
        <v/>
      </c>
      <c r="UXT6" s="97" t="str">
        <f t="shared" si="232"/>
        <v/>
      </c>
      <c r="UXU6" s="97" t="str">
        <f t="shared" si="232"/>
        <v/>
      </c>
      <c r="UXV6" s="97" t="str">
        <f t="shared" si="232"/>
        <v/>
      </c>
      <c r="UXW6" s="97" t="str">
        <f t="shared" si="232"/>
        <v/>
      </c>
      <c r="UXX6" s="97" t="str">
        <f t="shared" si="232"/>
        <v/>
      </c>
      <c r="UXY6" s="97" t="str">
        <f t="shared" si="232"/>
        <v/>
      </c>
      <c r="UXZ6" s="97" t="str">
        <f t="shared" si="232"/>
        <v/>
      </c>
      <c r="UYA6" s="97" t="str">
        <f t="shared" si="232"/>
        <v/>
      </c>
      <c r="UYB6" s="97" t="str">
        <f t="shared" si="232"/>
        <v/>
      </c>
      <c r="UYC6" s="97" t="str">
        <f t="shared" si="232"/>
        <v/>
      </c>
      <c r="UYD6" s="97" t="str">
        <f t="shared" si="232"/>
        <v/>
      </c>
      <c r="UYE6" s="97" t="str">
        <f t="shared" si="232"/>
        <v/>
      </c>
      <c r="UYF6" s="97" t="str">
        <f t="shared" si="232"/>
        <v/>
      </c>
      <c r="UYG6" s="97" t="str">
        <f t="shared" si="232"/>
        <v/>
      </c>
      <c r="UYH6" s="97" t="str">
        <f t="shared" ref="UYH6:VAS6" si="233">IFERROR(AVERAGE(UYH7:UYH13),"")</f>
        <v/>
      </c>
      <c r="UYI6" s="97" t="str">
        <f t="shared" si="233"/>
        <v/>
      </c>
      <c r="UYJ6" s="97" t="str">
        <f t="shared" si="233"/>
        <v/>
      </c>
      <c r="UYK6" s="97" t="str">
        <f t="shared" si="233"/>
        <v/>
      </c>
      <c r="UYL6" s="97" t="str">
        <f t="shared" si="233"/>
        <v/>
      </c>
      <c r="UYM6" s="97" t="str">
        <f t="shared" si="233"/>
        <v/>
      </c>
      <c r="UYN6" s="97" t="str">
        <f t="shared" si="233"/>
        <v/>
      </c>
      <c r="UYO6" s="97" t="str">
        <f t="shared" si="233"/>
        <v/>
      </c>
      <c r="UYP6" s="97" t="str">
        <f t="shared" si="233"/>
        <v/>
      </c>
      <c r="UYQ6" s="97" t="str">
        <f t="shared" si="233"/>
        <v/>
      </c>
      <c r="UYR6" s="97" t="str">
        <f t="shared" si="233"/>
        <v/>
      </c>
      <c r="UYS6" s="97" t="str">
        <f t="shared" si="233"/>
        <v/>
      </c>
      <c r="UYT6" s="97" t="str">
        <f t="shared" si="233"/>
        <v/>
      </c>
      <c r="UYU6" s="97" t="str">
        <f t="shared" si="233"/>
        <v/>
      </c>
      <c r="UYV6" s="97" t="str">
        <f t="shared" si="233"/>
        <v/>
      </c>
      <c r="UYW6" s="97" t="str">
        <f t="shared" si="233"/>
        <v/>
      </c>
      <c r="UYX6" s="97" t="str">
        <f t="shared" si="233"/>
        <v/>
      </c>
      <c r="UYY6" s="97" t="str">
        <f t="shared" si="233"/>
        <v/>
      </c>
      <c r="UYZ6" s="97" t="str">
        <f t="shared" si="233"/>
        <v/>
      </c>
      <c r="UZA6" s="97" t="str">
        <f t="shared" si="233"/>
        <v/>
      </c>
      <c r="UZB6" s="97" t="str">
        <f t="shared" si="233"/>
        <v/>
      </c>
      <c r="UZC6" s="97" t="str">
        <f t="shared" si="233"/>
        <v/>
      </c>
      <c r="UZD6" s="97" t="str">
        <f t="shared" si="233"/>
        <v/>
      </c>
      <c r="UZE6" s="97" t="str">
        <f t="shared" si="233"/>
        <v/>
      </c>
      <c r="UZF6" s="97" t="str">
        <f t="shared" si="233"/>
        <v/>
      </c>
      <c r="UZG6" s="97" t="str">
        <f t="shared" si="233"/>
        <v/>
      </c>
      <c r="UZH6" s="97" t="str">
        <f t="shared" si="233"/>
        <v/>
      </c>
      <c r="UZI6" s="97" t="str">
        <f t="shared" si="233"/>
        <v/>
      </c>
      <c r="UZJ6" s="97" t="str">
        <f t="shared" si="233"/>
        <v/>
      </c>
      <c r="UZK6" s="97" t="str">
        <f t="shared" si="233"/>
        <v/>
      </c>
      <c r="UZL6" s="97" t="str">
        <f t="shared" si="233"/>
        <v/>
      </c>
      <c r="UZM6" s="97" t="str">
        <f t="shared" si="233"/>
        <v/>
      </c>
      <c r="UZN6" s="97" t="str">
        <f t="shared" si="233"/>
        <v/>
      </c>
      <c r="UZO6" s="97" t="str">
        <f t="shared" si="233"/>
        <v/>
      </c>
      <c r="UZP6" s="97" t="str">
        <f t="shared" si="233"/>
        <v/>
      </c>
      <c r="UZQ6" s="97" t="str">
        <f t="shared" si="233"/>
        <v/>
      </c>
      <c r="UZR6" s="97" t="str">
        <f t="shared" si="233"/>
        <v/>
      </c>
      <c r="UZS6" s="97" t="str">
        <f t="shared" si="233"/>
        <v/>
      </c>
      <c r="UZT6" s="97" t="str">
        <f t="shared" si="233"/>
        <v/>
      </c>
      <c r="UZU6" s="97" t="str">
        <f t="shared" si="233"/>
        <v/>
      </c>
      <c r="UZV6" s="97" t="str">
        <f t="shared" si="233"/>
        <v/>
      </c>
      <c r="UZW6" s="97" t="str">
        <f t="shared" si="233"/>
        <v/>
      </c>
      <c r="UZX6" s="97" t="str">
        <f t="shared" si="233"/>
        <v/>
      </c>
      <c r="UZY6" s="97" t="str">
        <f t="shared" si="233"/>
        <v/>
      </c>
      <c r="UZZ6" s="97" t="str">
        <f t="shared" si="233"/>
        <v/>
      </c>
      <c r="VAA6" s="97" t="str">
        <f t="shared" si="233"/>
        <v/>
      </c>
      <c r="VAB6" s="97" t="str">
        <f t="shared" si="233"/>
        <v/>
      </c>
      <c r="VAC6" s="97" t="str">
        <f t="shared" si="233"/>
        <v/>
      </c>
      <c r="VAD6" s="97" t="str">
        <f t="shared" si="233"/>
        <v/>
      </c>
      <c r="VAE6" s="97" t="str">
        <f t="shared" si="233"/>
        <v/>
      </c>
      <c r="VAF6" s="97" t="str">
        <f t="shared" si="233"/>
        <v/>
      </c>
      <c r="VAG6" s="97" t="str">
        <f t="shared" si="233"/>
        <v/>
      </c>
      <c r="VAH6" s="97" t="str">
        <f t="shared" si="233"/>
        <v/>
      </c>
      <c r="VAI6" s="97" t="str">
        <f t="shared" si="233"/>
        <v/>
      </c>
      <c r="VAJ6" s="97" t="str">
        <f t="shared" si="233"/>
        <v/>
      </c>
      <c r="VAK6" s="97" t="str">
        <f t="shared" si="233"/>
        <v/>
      </c>
      <c r="VAL6" s="97" t="str">
        <f t="shared" si="233"/>
        <v/>
      </c>
      <c r="VAM6" s="97" t="str">
        <f t="shared" si="233"/>
        <v/>
      </c>
      <c r="VAN6" s="97" t="str">
        <f t="shared" si="233"/>
        <v/>
      </c>
      <c r="VAO6" s="97" t="str">
        <f t="shared" si="233"/>
        <v/>
      </c>
      <c r="VAP6" s="97" t="str">
        <f t="shared" si="233"/>
        <v/>
      </c>
      <c r="VAQ6" s="97" t="str">
        <f t="shared" si="233"/>
        <v/>
      </c>
      <c r="VAR6" s="97" t="str">
        <f t="shared" si="233"/>
        <v/>
      </c>
      <c r="VAS6" s="97" t="str">
        <f t="shared" si="233"/>
        <v/>
      </c>
      <c r="VAT6" s="97" t="str">
        <f t="shared" ref="VAT6:VDE6" si="234">IFERROR(AVERAGE(VAT7:VAT13),"")</f>
        <v/>
      </c>
      <c r="VAU6" s="97" t="str">
        <f t="shared" si="234"/>
        <v/>
      </c>
      <c r="VAV6" s="97" t="str">
        <f t="shared" si="234"/>
        <v/>
      </c>
      <c r="VAW6" s="97" t="str">
        <f t="shared" si="234"/>
        <v/>
      </c>
      <c r="VAX6" s="97" t="str">
        <f t="shared" si="234"/>
        <v/>
      </c>
      <c r="VAY6" s="97" t="str">
        <f t="shared" si="234"/>
        <v/>
      </c>
      <c r="VAZ6" s="97" t="str">
        <f t="shared" si="234"/>
        <v/>
      </c>
      <c r="VBA6" s="97" t="str">
        <f t="shared" si="234"/>
        <v/>
      </c>
      <c r="VBB6" s="97" t="str">
        <f t="shared" si="234"/>
        <v/>
      </c>
      <c r="VBC6" s="97" t="str">
        <f t="shared" si="234"/>
        <v/>
      </c>
      <c r="VBD6" s="97" t="str">
        <f t="shared" si="234"/>
        <v/>
      </c>
      <c r="VBE6" s="97" t="str">
        <f t="shared" si="234"/>
        <v/>
      </c>
      <c r="VBF6" s="97" t="str">
        <f t="shared" si="234"/>
        <v/>
      </c>
      <c r="VBG6" s="97" t="str">
        <f t="shared" si="234"/>
        <v/>
      </c>
      <c r="VBH6" s="97" t="str">
        <f t="shared" si="234"/>
        <v/>
      </c>
      <c r="VBI6" s="97" t="str">
        <f t="shared" si="234"/>
        <v/>
      </c>
      <c r="VBJ6" s="97" t="str">
        <f t="shared" si="234"/>
        <v/>
      </c>
      <c r="VBK6" s="97" t="str">
        <f t="shared" si="234"/>
        <v/>
      </c>
      <c r="VBL6" s="97" t="str">
        <f t="shared" si="234"/>
        <v/>
      </c>
      <c r="VBM6" s="97" t="str">
        <f t="shared" si="234"/>
        <v/>
      </c>
      <c r="VBN6" s="97" t="str">
        <f t="shared" si="234"/>
        <v/>
      </c>
      <c r="VBO6" s="97" t="str">
        <f t="shared" si="234"/>
        <v/>
      </c>
      <c r="VBP6" s="97" t="str">
        <f t="shared" si="234"/>
        <v/>
      </c>
      <c r="VBQ6" s="97" t="str">
        <f t="shared" si="234"/>
        <v/>
      </c>
      <c r="VBR6" s="97" t="str">
        <f t="shared" si="234"/>
        <v/>
      </c>
      <c r="VBS6" s="97" t="str">
        <f t="shared" si="234"/>
        <v/>
      </c>
      <c r="VBT6" s="97" t="str">
        <f t="shared" si="234"/>
        <v/>
      </c>
      <c r="VBU6" s="97" t="str">
        <f t="shared" si="234"/>
        <v/>
      </c>
      <c r="VBV6" s="97" t="str">
        <f t="shared" si="234"/>
        <v/>
      </c>
      <c r="VBW6" s="97" t="str">
        <f t="shared" si="234"/>
        <v/>
      </c>
      <c r="VBX6" s="97" t="str">
        <f t="shared" si="234"/>
        <v/>
      </c>
      <c r="VBY6" s="97" t="str">
        <f t="shared" si="234"/>
        <v/>
      </c>
      <c r="VBZ6" s="97" t="str">
        <f t="shared" si="234"/>
        <v/>
      </c>
      <c r="VCA6" s="97" t="str">
        <f t="shared" si="234"/>
        <v/>
      </c>
      <c r="VCB6" s="97" t="str">
        <f t="shared" si="234"/>
        <v/>
      </c>
      <c r="VCC6" s="97" t="str">
        <f t="shared" si="234"/>
        <v/>
      </c>
      <c r="VCD6" s="97" t="str">
        <f t="shared" si="234"/>
        <v/>
      </c>
      <c r="VCE6" s="97" t="str">
        <f t="shared" si="234"/>
        <v/>
      </c>
      <c r="VCF6" s="97" t="str">
        <f t="shared" si="234"/>
        <v/>
      </c>
      <c r="VCG6" s="97" t="str">
        <f t="shared" si="234"/>
        <v/>
      </c>
      <c r="VCH6" s="97" t="str">
        <f t="shared" si="234"/>
        <v/>
      </c>
      <c r="VCI6" s="97" t="str">
        <f t="shared" si="234"/>
        <v/>
      </c>
      <c r="VCJ6" s="97" t="str">
        <f t="shared" si="234"/>
        <v/>
      </c>
      <c r="VCK6" s="97" t="str">
        <f t="shared" si="234"/>
        <v/>
      </c>
      <c r="VCL6" s="97" t="str">
        <f t="shared" si="234"/>
        <v/>
      </c>
      <c r="VCM6" s="97" t="str">
        <f t="shared" si="234"/>
        <v/>
      </c>
      <c r="VCN6" s="97" t="str">
        <f t="shared" si="234"/>
        <v/>
      </c>
      <c r="VCO6" s="97" t="str">
        <f t="shared" si="234"/>
        <v/>
      </c>
      <c r="VCP6" s="97" t="str">
        <f t="shared" si="234"/>
        <v/>
      </c>
      <c r="VCQ6" s="97" t="str">
        <f t="shared" si="234"/>
        <v/>
      </c>
      <c r="VCR6" s="97" t="str">
        <f t="shared" si="234"/>
        <v/>
      </c>
      <c r="VCS6" s="97" t="str">
        <f t="shared" si="234"/>
        <v/>
      </c>
      <c r="VCT6" s="97" t="str">
        <f t="shared" si="234"/>
        <v/>
      </c>
      <c r="VCU6" s="97" t="str">
        <f t="shared" si="234"/>
        <v/>
      </c>
      <c r="VCV6" s="97" t="str">
        <f t="shared" si="234"/>
        <v/>
      </c>
      <c r="VCW6" s="97" t="str">
        <f t="shared" si="234"/>
        <v/>
      </c>
      <c r="VCX6" s="97" t="str">
        <f t="shared" si="234"/>
        <v/>
      </c>
      <c r="VCY6" s="97" t="str">
        <f t="shared" si="234"/>
        <v/>
      </c>
      <c r="VCZ6" s="97" t="str">
        <f t="shared" si="234"/>
        <v/>
      </c>
      <c r="VDA6" s="97" t="str">
        <f t="shared" si="234"/>
        <v/>
      </c>
      <c r="VDB6" s="97" t="str">
        <f t="shared" si="234"/>
        <v/>
      </c>
      <c r="VDC6" s="97" t="str">
        <f t="shared" si="234"/>
        <v/>
      </c>
      <c r="VDD6" s="97" t="str">
        <f t="shared" si="234"/>
        <v/>
      </c>
      <c r="VDE6" s="97" t="str">
        <f t="shared" si="234"/>
        <v/>
      </c>
      <c r="VDF6" s="97" t="str">
        <f t="shared" ref="VDF6:VFQ6" si="235">IFERROR(AVERAGE(VDF7:VDF13),"")</f>
        <v/>
      </c>
      <c r="VDG6" s="97" t="str">
        <f t="shared" si="235"/>
        <v/>
      </c>
      <c r="VDH6" s="97" t="str">
        <f t="shared" si="235"/>
        <v/>
      </c>
      <c r="VDI6" s="97" t="str">
        <f t="shared" si="235"/>
        <v/>
      </c>
      <c r="VDJ6" s="97" t="str">
        <f t="shared" si="235"/>
        <v/>
      </c>
      <c r="VDK6" s="97" t="str">
        <f t="shared" si="235"/>
        <v/>
      </c>
      <c r="VDL6" s="97" t="str">
        <f t="shared" si="235"/>
        <v/>
      </c>
      <c r="VDM6" s="97" t="str">
        <f t="shared" si="235"/>
        <v/>
      </c>
      <c r="VDN6" s="97" t="str">
        <f t="shared" si="235"/>
        <v/>
      </c>
      <c r="VDO6" s="97" t="str">
        <f t="shared" si="235"/>
        <v/>
      </c>
      <c r="VDP6" s="97" t="str">
        <f t="shared" si="235"/>
        <v/>
      </c>
      <c r="VDQ6" s="97" t="str">
        <f t="shared" si="235"/>
        <v/>
      </c>
      <c r="VDR6" s="97" t="str">
        <f t="shared" si="235"/>
        <v/>
      </c>
      <c r="VDS6" s="97" t="str">
        <f t="shared" si="235"/>
        <v/>
      </c>
      <c r="VDT6" s="97" t="str">
        <f t="shared" si="235"/>
        <v/>
      </c>
      <c r="VDU6" s="97" t="str">
        <f t="shared" si="235"/>
        <v/>
      </c>
      <c r="VDV6" s="97" t="str">
        <f t="shared" si="235"/>
        <v/>
      </c>
      <c r="VDW6" s="97" t="str">
        <f t="shared" si="235"/>
        <v/>
      </c>
      <c r="VDX6" s="97" t="str">
        <f t="shared" si="235"/>
        <v/>
      </c>
      <c r="VDY6" s="97" t="str">
        <f t="shared" si="235"/>
        <v/>
      </c>
      <c r="VDZ6" s="97" t="str">
        <f t="shared" si="235"/>
        <v/>
      </c>
      <c r="VEA6" s="97" t="str">
        <f t="shared" si="235"/>
        <v/>
      </c>
      <c r="VEB6" s="97" t="str">
        <f t="shared" si="235"/>
        <v/>
      </c>
      <c r="VEC6" s="97" t="str">
        <f t="shared" si="235"/>
        <v/>
      </c>
      <c r="VED6" s="97" t="str">
        <f t="shared" si="235"/>
        <v/>
      </c>
      <c r="VEE6" s="97" t="str">
        <f t="shared" si="235"/>
        <v/>
      </c>
      <c r="VEF6" s="97" t="str">
        <f t="shared" si="235"/>
        <v/>
      </c>
      <c r="VEG6" s="97" t="str">
        <f t="shared" si="235"/>
        <v/>
      </c>
      <c r="VEH6" s="97" t="str">
        <f t="shared" si="235"/>
        <v/>
      </c>
      <c r="VEI6" s="97" t="str">
        <f t="shared" si="235"/>
        <v/>
      </c>
      <c r="VEJ6" s="97" t="str">
        <f t="shared" si="235"/>
        <v/>
      </c>
      <c r="VEK6" s="97" t="str">
        <f t="shared" si="235"/>
        <v/>
      </c>
      <c r="VEL6" s="97" t="str">
        <f t="shared" si="235"/>
        <v/>
      </c>
      <c r="VEM6" s="97" t="str">
        <f t="shared" si="235"/>
        <v/>
      </c>
      <c r="VEN6" s="97" t="str">
        <f t="shared" si="235"/>
        <v/>
      </c>
      <c r="VEO6" s="97" t="str">
        <f t="shared" si="235"/>
        <v/>
      </c>
      <c r="VEP6" s="97" t="str">
        <f t="shared" si="235"/>
        <v/>
      </c>
      <c r="VEQ6" s="97" t="str">
        <f t="shared" si="235"/>
        <v/>
      </c>
      <c r="VER6" s="97" t="str">
        <f t="shared" si="235"/>
        <v/>
      </c>
      <c r="VES6" s="97" t="str">
        <f t="shared" si="235"/>
        <v/>
      </c>
      <c r="VET6" s="97" t="str">
        <f t="shared" si="235"/>
        <v/>
      </c>
      <c r="VEU6" s="97" t="str">
        <f t="shared" si="235"/>
        <v/>
      </c>
      <c r="VEV6" s="97" t="str">
        <f t="shared" si="235"/>
        <v/>
      </c>
      <c r="VEW6" s="97" t="str">
        <f t="shared" si="235"/>
        <v/>
      </c>
      <c r="VEX6" s="97" t="str">
        <f t="shared" si="235"/>
        <v/>
      </c>
      <c r="VEY6" s="97" t="str">
        <f t="shared" si="235"/>
        <v/>
      </c>
      <c r="VEZ6" s="97" t="str">
        <f t="shared" si="235"/>
        <v/>
      </c>
      <c r="VFA6" s="97" t="str">
        <f t="shared" si="235"/>
        <v/>
      </c>
      <c r="VFB6" s="97" t="str">
        <f t="shared" si="235"/>
        <v/>
      </c>
      <c r="VFC6" s="97" t="str">
        <f t="shared" si="235"/>
        <v/>
      </c>
      <c r="VFD6" s="97" t="str">
        <f t="shared" si="235"/>
        <v/>
      </c>
      <c r="VFE6" s="97" t="str">
        <f t="shared" si="235"/>
        <v/>
      </c>
      <c r="VFF6" s="97" t="str">
        <f t="shared" si="235"/>
        <v/>
      </c>
      <c r="VFG6" s="97" t="str">
        <f t="shared" si="235"/>
        <v/>
      </c>
      <c r="VFH6" s="97" t="str">
        <f t="shared" si="235"/>
        <v/>
      </c>
      <c r="VFI6" s="97" t="str">
        <f t="shared" si="235"/>
        <v/>
      </c>
      <c r="VFJ6" s="97" t="str">
        <f t="shared" si="235"/>
        <v/>
      </c>
      <c r="VFK6" s="97" t="str">
        <f t="shared" si="235"/>
        <v/>
      </c>
      <c r="VFL6" s="97" t="str">
        <f t="shared" si="235"/>
        <v/>
      </c>
      <c r="VFM6" s="97" t="str">
        <f t="shared" si="235"/>
        <v/>
      </c>
      <c r="VFN6" s="97" t="str">
        <f t="shared" si="235"/>
        <v/>
      </c>
      <c r="VFO6" s="97" t="str">
        <f t="shared" si="235"/>
        <v/>
      </c>
      <c r="VFP6" s="97" t="str">
        <f t="shared" si="235"/>
        <v/>
      </c>
      <c r="VFQ6" s="97" t="str">
        <f t="shared" si="235"/>
        <v/>
      </c>
      <c r="VFR6" s="97" t="str">
        <f t="shared" ref="VFR6:VIC6" si="236">IFERROR(AVERAGE(VFR7:VFR13),"")</f>
        <v/>
      </c>
      <c r="VFS6" s="97" t="str">
        <f t="shared" si="236"/>
        <v/>
      </c>
      <c r="VFT6" s="97" t="str">
        <f t="shared" si="236"/>
        <v/>
      </c>
      <c r="VFU6" s="97" t="str">
        <f t="shared" si="236"/>
        <v/>
      </c>
      <c r="VFV6" s="97" t="str">
        <f t="shared" si="236"/>
        <v/>
      </c>
      <c r="VFW6" s="97" t="str">
        <f t="shared" si="236"/>
        <v/>
      </c>
      <c r="VFX6" s="97" t="str">
        <f t="shared" si="236"/>
        <v/>
      </c>
      <c r="VFY6" s="97" t="str">
        <f t="shared" si="236"/>
        <v/>
      </c>
      <c r="VFZ6" s="97" t="str">
        <f t="shared" si="236"/>
        <v/>
      </c>
      <c r="VGA6" s="97" t="str">
        <f t="shared" si="236"/>
        <v/>
      </c>
      <c r="VGB6" s="97" t="str">
        <f t="shared" si="236"/>
        <v/>
      </c>
      <c r="VGC6" s="97" t="str">
        <f t="shared" si="236"/>
        <v/>
      </c>
      <c r="VGD6" s="97" t="str">
        <f t="shared" si="236"/>
        <v/>
      </c>
      <c r="VGE6" s="97" t="str">
        <f t="shared" si="236"/>
        <v/>
      </c>
      <c r="VGF6" s="97" t="str">
        <f t="shared" si="236"/>
        <v/>
      </c>
      <c r="VGG6" s="97" t="str">
        <f t="shared" si="236"/>
        <v/>
      </c>
      <c r="VGH6" s="97" t="str">
        <f t="shared" si="236"/>
        <v/>
      </c>
      <c r="VGI6" s="97" t="str">
        <f t="shared" si="236"/>
        <v/>
      </c>
      <c r="VGJ6" s="97" t="str">
        <f t="shared" si="236"/>
        <v/>
      </c>
      <c r="VGK6" s="97" t="str">
        <f t="shared" si="236"/>
        <v/>
      </c>
      <c r="VGL6" s="97" t="str">
        <f t="shared" si="236"/>
        <v/>
      </c>
      <c r="VGM6" s="97" t="str">
        <f t="shared" si="236"/>
        <v/>
      </c>
      <c r="VGN6" s="97" t="str">
        <f t="shared" si="236"/>
        <v/>
      </c>
      <c r="VGO6" s="97" t="str">
        <f t="shared" si="236"/>
        <v/>
      </c>
      <c r="VGP6" s="97" t="str">
        <f t="shared" si="236"/>
        <v/>
      </c>
      <c r="VGQ6" s="97" t="str">
        <f t="shared" si="236"/>
        <v/>
      </c>
      <c r="VGR6" s="97" t="str">
        <f t="shared" si="236"/>
        <v/>
      </c>
      <c r="VGS6" s="97" t="str">
        <f t="shared" si="236"/>
        <v/>
      </c>
      <c r="VGT6" s="97" t="str">
        <f t="shared" si="236"/>
        <v/>
      </c>
      <c r="VGU6" s="97" t="str">
        <f t="shared" si="236"/>
        <v/>
      </c>
      <c r="VGV6" s="97" t="str">
        <f t="shared" si="236"/>
        <v/>
      </c>
      <c r="VGW6" s="97" t="str">
        <f t="shared" si="236"/>
        <v/>
      </c>
      <c r="VGX6" s="97" t="str">
        <f t="shared" si="236"/>
        <v/>
      </c>
      <c r="VGY6" s="97" t="str">
        <f t="shared" si="236"/>
        <v/>
      </c>
      <c r="VGZ6" s="97" t="str">
        <f t="shared" si="236"/>
        <v/>
      </c>
      <c r="VHA6" s="97" t="str">
        <f t="shared" si="236"/>
        <v/>
      </c>
      <c r="VHB6" s="97" t="str">
        <f t="shared" si="236"/>
        <v/>
      </c>
      <c r="VHC6" s="97" t="str">
        <f t="shared" si="236"/>
        <v/>
      </c>
      <c r="VHD6" s="97" t="str">
        <f t="shared" si="236"/>
        <v/>
      </c>
      <c r="VHE6" s="97" t="str">
        <f t="shared" si="236"/>
        <v/>
      </c>
      <c r="VHF6" s="97" t="str">
        <f t="shared" si="236"/>
        <v/>
      </c>
      <c r="VHG6" s="97" t="str">
        <f t="shared" si="236"/>
        <v/>
      </c>
      <c r="VHH6" s="97" t="str">
        <f t="shared" si="236"/>
        <v/>
      </c>
      <c r="VHI6" s="97" t="str">
        <f t="shared" si="236"/>
        <v/>
      </c>
      <c r="VHJ6" s="97" t="str">
        <f t="shared" si="236"/>
        <v/>
      </c>
      <c r="VHK6" s="97" t="str">
        <f t="shared" si="236"/>
        <v/>
      </c>
      <c r="VHL6" s="97" t="str">
        <f t="shared" si="236"/>
        <v/>
      </c>
      <c r="VHM6" s="97" t="str">
        <f t="shared" si="236"/>
        <v/>
      </c>
      <c r="VHN6" s="97" t="str">
        <f t="shared" si="236"/>
        <v/>
      </c>
      <c r="VHO6" s="97" t="str">
        <f t="shared" si="236"/>
        <v/>
      </c>
      <c r="VHP6" s="97" t="str">
        <f t="shared" si="236"/>
        <v/>
      </c>
      <c r="VHQ6" s="97" t="str">
        <f t="shared" si="236"/>
        <v/>
      </c>
      <c r="VHR6" s="97" t="str">
        <f t="shared" si="236"/>
        <v/>
      </c>
      <c r="VHS6" s="97" t="str">
        <f t="shared" si="236"/>
        <v/>
      </c>
      <c r="VHT6" s="97" t="str">
        <f t="shared" si="236"/>
        <v/>
      </c>
      <c r="VHU6" s="97" t="str">
        <f t="shared" si="236"/>
        <v/>
      </c>
      <c r="VHV6" s="97" t="str">
        <f t="shared" si="236"/>
        <v/>
      </c>
      <c r="VHW6" s="97" t="str">
        <f t="shared" si="236"/>
        <v/>
      </c>
      <c r="VHX6" s="97" t="str">
        <f t="shared" si="236"/>
        <v/>
      </c>
      <c r="VHY6" s="97" t="str">
        <f t="shared" si="236"/>
        <v/>
      </c>
      <c r="VHZ6" s="97" t="str">
        <f t="shared" si="236"/>
        <v/>
      </c>
      <c r="VIA6" s="97" t="str">
        <f t="shared" si="236"/>
        <v/>
      </c>
      <c r="VIB6" s="97" t="str">
        <f t="shared" si="236"/>
        <v/>
      </c>
      <c r="VIC6" s="97" t="str">
        <f t="shared" si="236"/>
        <v/>
      </c>
      <c r="VID6" s="97" t="str">
        <f t="shared" ref="VID6:VKO6" si="237">IFERROR(AVERAGE(VID7:VID13),"")</f>
        <v/>
      </c>
      <c r="VIE6" s="97" t="str">
        <f t="shared" si="237"/>
        <v/>
      </c>
      <c r="VIF6" s="97" t="str">
        <f t="shared" si="237"/>
        <v/>
      </c>
      <c r="VIG6" s="97" t="str">
        <f t="shared" si="237"/>
        <v/>
      </c>
      <c r="VIH6" s="97" t="str">
        <f t="shared" si="237"/>
        <v/>
      </c>
      <c r="VII6" s="97" t="str">
        <f t="shared" si="237"/>
        <v/>
      </c>
      <c r="VIJ6" s="97" t="str">
        <f t="shared" si="237"/>
        <v/>
      </c>
      <c r="VIK6" s="97" t="str">
        <f t="shared" si="237"/>
        <v/>
      </c>
      <c r="VIL6" s="97" t="str">
        <f t="shared" si="237"/>
        <v/>
      </c>
      <c r="VIM6" s="97" t="str">
        <f t="shared" si="237"/>
        <v/>
      </c>
      <c r="VIN6" s="97" t="str">
        <f t="shared" si="237"/>
        <v/>
      </c>
      <c r="VIO6" s="97" t="str">
        <f t="shared" si="237"/>
        <v/>
      </c>
      <c r="VIP6" s="97" t="str">
        <f t="shared" si="237"/>
        <v/>
      </c>
      <c r="VIQ6" s="97" t="str">
        <f t="shared" si="237"/>
        <v/>
      </c>
      <c r="VIR6" s="97" t="str">
        <f t="shared" si="237"/>
        <v/>
      </c>
      <c r="VIS6" s="97" t="str">
        <f t="shared" si="237"/>
        <v/>
      </c>
      <c r="VIT6" s="97" t="str">
        <f t="shared" si="237"/>
        <v/>
      </c>
      <c r="VIU6" s="97" t="str">
        <f t="shared" si="237"/>
        <v/>
      </c>
      <c r="VIV6" s="97" t="str">
        <f t="shared" si="237"/>
        <v/>
      </c>
      <c r="VIW6" s="97" t="str">
        <f t="shared" si="237"/>
        <v/>
      </c>
      <c r="VIX6" s="97" t="str">
        <f t="shared" si="237"/>
        <v/>
      </c>
      <c r="VIY6" s="97" t="str">
        <f t="shared" si="237"/>
        <v/>
      </c>
      <c r="VIZ6" s="97" t="str">
        <f t="shared" si="237"/>
        <v/>
      </c>
      <c r="VJA6" s="97" t="str">
        <f t="shared" si="237"/>
        <v/>
      </c>
      <c r="VJB6" s="97" t="str">
        <f t="shared" si="237"/>
        <v/>
      </c>
      <c r="VJC6" s="97" t="str">
        <f t="shared" si="237"/>
        <v/>
      </c>
      <c r="VJD6" s="97" t="str">
        <f t="shared" si="237"/>
        <v/>
      </c>
      <c r="VJE6" s="97" t="str">
        <f t="shared" si="237"/>
        <v/>
      </c>
      <c r="VJF6" s="97" t="str">
        <f t="shared" si="237"/>
        <v/>
      </c>
      <c r="VJG6" s="97" t="str">
        <f t="shared" si="237"/>
        <v/>
      </c>
      <c r="VJH6" s="97" t="str">
        <f t="shared" si="237"/>
        <v/>
      </c>
      <c r="VJI6" s="97" t="str">
        <f t="shared" si="237"/>
        <v/>
      </c>
      <c r="VJJ6" s="97" t="str">
        <f t="shared" si="237"/>
        <v/>
      </c>
      <c r="VJK6" s="97" t="str">
        <f t="shared" si="237"/>
        <v/>
      </c>
      <c r="VJL6" s="97" t="str">
        <f t="shared" si="237"/>
        <v/>
      </c>
      <c r="VJM6" s="97" t="str">
        <f t="shared" si="237"/>
        <v/>
      </c>
      <c r="VJN6" s="97" t="str">
        <f t="shared" si="237"/>
        <v/>
      </c>
      <c r="VJO6" s="97" t="str">
        <f t="shared" si="237"/>
        <v/>
      </c>
      <c r="VJP6" s="97" t="str">
        <f t="shared" si="237"/>
        <v/>
      </c>
      <c r="VJQ6" s="97" t="str">
        <f t="shared" si="237"/>
        <v/>
      </c>
      <c r="VJR6" s="97" t="str">
        <f t="shared" si="237"/>
        <v/>
      </c>
      <c r="VJS6" s="97" t="str">
        <f t="shared" si="237"/>
        <v/>
      </c>
      <c r="VJT6" s="97" t="str">
        <f t="shared" si="237"/>
        <v/>
      </c>
      <c r="VJU6" s="97" t="str">
        <f t="shared" si="237"/>
        <v/>
      </c>
      <c r="VJV6" s="97" t="str">
        <f t="shared" si="237"/>
        <v/>
      </c>
      <c r="VJW6" s="97" t="str">
        <f t="shared" si="237"/>
        <v/>
      </c>
      <c r="VJX6" s="97" t="str">
        <f t="shared" si="237"/>
        <v/>
      </c>
      <c r="VJY6" s="97" t="str">
        <f t="shared" si="237"/>
        <v/>
      </c>
      <c r="VJZ6" s="97" t="str">
        <f t="shared" si="237"/>
        <v/>
      </c>
      <c r="VKA6" s="97" t="str">
        <f t="shared" si="237"/>
        <v/>
      </c>
      <c r="VKB6" s="97" t="str">
        <f t="shared" si="237"/>
        <v/>
      </c>
      <c r="VKC6" s="97" t="str">
        <f t="shared" si="237"/>
        <v/>
      </c>
      <c r="VKD6" s="97" t="str">
        <f t="shared" si="237"/>
        <v/>
      </c>
      <c r="VKE6" s="97" t="str">
        <f t="shared" si="237"/>
        <v/>
      </c>
      <c r="VKF6" s="97" t="str">
        <f t="shared" si="237"/>
        <v/>
      </c>
      <c r="VKG6" s="97" t="str">
        <f t="shared" si="237"/>
        <v/>
      </c>
      <c r="VKH6" s="97" t="str">
        <f t="shared" si="237"/>
        <v/>
      </c>
      <c r="VKI6" s="97" t="str">
        <f t="shared" si="237"/>
        <v/>
      </c>
      <c r="VKJ6" s="97" t="str">
        <f t="shared" si="237"/>
        <v/>
      </c>
      <c r="VKK6" s="97" t="str">
        <f t="shared" si="237"/>
        <v/>
      </c>
      <c r="VKL6" s="97" t="str">
        <f t="shared" si="237"/>
        <v/>
      </c>
      <c r="VKM6" s="97" t="str">
        <f t="shared" si="237"/>
        <v/>
      </c>
      <c r="VKN6" s="97" t="str">
        <f t="shared" si="237"/>
        <v/>
      </c>
      <c r="VKO6" s="97" t="str">
        <f t="shared" si="237"/>
        <v/>
      </c>
      <c r="VKP6" s="97" t="str">
        <f t="shared" ref="VKP6:VNA6" si="238">IFERROR(AVERAGE(VKP7:VKP13),"")</f>
        <v/>
      </c>
      <c r="VKQ6" s="97" t="str">
        <f t="shared" si="238"/>
        <v/>
      </c>
      <c r="VKR6" s="97" t="str">
        <f t="shared" si="238"/>
        <v/>
      </c>
      <c r="VKS6" s="97" t="str">
        <f t="shared" si="238"/>
        <v/>
      </c>
      <c r="VKT6" s="97" t="str">
        <f t="shared" si="238"/>
        <v/>
      </c>
      <c r="VKU6" s="97" t="str">
        <f t="shared" si="238"/>
        <v/>
      </c>
      <c r="VKV6" s="97" t="str">
        <f t="shared" si="238"/>
        <v/>
      </c>
      <c r="VKW6" s="97" t="str">
        <f t="shared" si="238"/>
        <v/>
      </c>
      <c r="VKX6" s="97" t="str">
        <f t="shared" si="238"/>
        <v/>
      </c>
      <c r="VKY6" s="97" t="str">
        <f t="shared" si="238"/>
        <v/>
      </c>
      <c r="VKZ6" s="97" t="str">
        <f t="shared" si="238"/>
        <v/>
      </c>
      <c r="VLA6" s="97" t="str">
        <f t="shared" si="238"/>
        <v/>
      </c>
      <c r="VLB6" s="97" t="str">
        <f t="shared" si="238"/>
        <v/>
      </c>
      <c r="VLC6" s="97" t="str">
        <f t="shared" si="238"/>
        <v/>
      </c>
      <c r="VLD6" s="97" t="str">
        <f t="shared" si="238"/>
        <v/>
      </c>
      <c r="VLE6" s="97" t="str">
        <f t="shared" si="238"/>
        <v/>
      </c>
      <c r="VLF6" s="97" t="str">
        <f t="shared" si="238"/>
        <v/>
      </c>
      <c r="VLG6" s="97" t="str">
        <f t="shared" si="238"/>
        <v/>
      </c>
      <c r="VLH6" s="97" t="str">
        <f t="shared" si="238"/>
        <v/>
      </c>
      <c r="VLI6" s="97" t="str">
        <f t="shared" si="238"/>
        <v/>
      </c>
      <c r="VLJ6" s="97" t="str">
        <f t="shared" si="238"/>
        <v/>
      </c>
      <c r="VLK6" s="97" t="str">
        <f t="shared" si="238"/>
        <v/>
      </c>
      <c r="VLL6" s="97" t="str">
        <f t="shared" si="238"/>
        <v/>
      </c>
      <c r="VLM6" s="97" t="str">
        <f t="shared" si="238"/>
        <v/>
      </c>
      <c r="VLN6" s="97" t="str">
        <f t="shared" si="238"/>
        <v/>
      </c>
      <c r="VLO6" s="97" t="str">
        <f t="shared" si="238"/>
        <v/>
      </c>
      <c r="VLP6" s="97" t="str">
        <f t="shared" si="238"/>
        <v/>
      </c>
      <c r="VLQ6" s="97" t="str">
        <f t="shared" si="238"/>
        <v/>
      </c>
      <c r="VLR6" s="97" t="str">
        <f t="shared" si="238"/>
        <v/>
      </c>
      <c r="VLS6" s="97" t="str">
        <f t="shared" si="238"/>
        <v/>
      </c>
      <c r="VLT6" s="97" t="str">
        <f t="shared" si="238"/>
        <v/>
      </c>
      <c r="VLU6" s="97" t="str">
        <f t="shared" si="238"/>
        <v/>
      </c>
      <c r="VLV6" s="97" t="str">
        <f t="shared" si="238"/>
        <v/>
      </c>
      <c r="VLW6" s="97" t="str">
        <f t="shared" si="238"/>
        <v/>
      </c>
      <c r="VLX6" s="97" t="str">
        <f t="shared" si="238"/>
        <v/>
      </c>
      <c r="VLY6" s="97" t="str">
        <f t="shared" si="238"/>
        <v/>
      </c>
      <c r="VLZ6" s="97" t="str">
        <f t="shared" si="238"/>
        <v/>
      </c>
      <c r="VMA6" s="97" t="str">
        <f t="shared" si="238"/>
        <v/>
      </c>
      <c r="VMB6" s="97" t="str">
        <f t="shared" si="238"/>
        <v/>
      </c>
      <c r="VMC6" s="97" t="str">
        <f t="shared" si="238"/>
        <v/>
      </c>
      <c r="VMD6" s="97" t="str">
        <f t="shared" si="238"/>
        <v/>
      </c>
      <c r="VME6" s="97" t="str">
        <f t="shared" si="238"/>
        <v/>
      </c>
      <c r="VMF6" s="97" t="str">
        <f t="shared" si="238"/>
        <v/>
      </c>
      <c r="VMG6" s="97" t="str">
        <f t="shared" si="238"/>
        <v/>
      </c>
      <c r="VMH6" s="97" t="str">
        <f t="shared" si="238"/>
        <v/>
      </c>
      <c r="VMI6" s="97" t="str">
        <f t="shared" si="238"/>
        <v/>
      </c>
      <c r="VMJ6" s="97" t="str">
        <f t="shared" si="238"/>
        <v/>
      </c>
      <c r="VMK6" s="97" t="str">
        <f t="shared" si="238"/>
        <v/>
      </c>
      <c r="VML6" s="97" t="str">
        <f t="shared" si="238"/>
        <v/>
      </c>
      <c r="VMM6" s="97" t="str">
        <f t="shared" si="238"/>
        <v/>
      </c>
      <c r="VMN6" s="97" t="str">
        <f t="shared" si="238"/>
        <v/>
      </c>
      <c r="VMO6" s="97" t="str">
        <f t="shared" si="238"/>
        <v/>
      </c>
      <c r="VMP6" s="97" t="str">
        <f t="shared" si="238"/>
        <v/>
      </c>
      <c r="VMQ6" s="97" t="str">
        <f t="shared" si="238"/>
        <v/>
      </c>
      <c r="VMR6" s="97" t="str">
        <f t="shared" si="238"/>
        <v/>
      </c>
      <c r="VMS6" s="97" t="str">
        <f t="shared" si="238"/>
        <v/>
      </c>
      <c r="VMT6" s="97" t="str">
        <f t="shared" si="238"/>
        <v/>
      </c>
      <c r="VMU6" s="97" t="str">
        <f t="shared" si="238"/>
        <v/>
      </c>
      <c r="VMV6" s="97" t="str">
        <f t="shared" si="238"/>
        <v/>
      </c>
      <c r="VMW6" s="97" t="str">
        <f t="shared" si="238"/>
        <v/>
      </c>
      <c r="VMX6" s="97" t="str">
        <f t="shared" si="238"/>
        <v/>
      </c>
      <c r="VMY6" s="97" t="str">
        <f t="shared" si="238"/>
        <v/>
      </c>
      <c r="VMZ6" s="97" t="str">
        <f t="shared" si="238"/>
        <v/>
      </c>
      <c r="VNA6" s="97" t="str">
        <f t="shared" si="238"/>
        <v/>
      </c>
      <c r="VNB6" s="97" t="str">
        <f t="shared" ref="VNB6:VPM6" si="239">IFERROR(AVERAGE(VNB7:VNB13),"")</f>
        <v/>
      </c>
      <c r="VNC6" s="97" t="str">
        <f t="shared" si="239"/>
        <v/>
      </c>
      <c r="VND6" s="97" t="str">
        <f t="shared" si="239"/>
        <v/>
      </c>
      <c r="VNE6" s="97" t="str">
        <f t="shared" si="239"/>
        <v/>
      </c>
      <c r="VNF6" s="97" t="str">
        <f t="shared" si="239"/>
        <v/>
      </c>
      <c r="VNG6" s="97" t="str">
        <f t="shared" si="239"/>
        <v/>
      </c>
      <c r="VNH6" s="97" t="str">
        <f t="shared" si="239"/>
        <v/>
      </c>
      <c r="VNI6" s="97" t="str">
        <f t="shared" si="239"/>
        <v/>
      </c>
      <c r="VNJ6" s="97" t="str">
        <f t="shared" si="239"/>
        <v/>
      </c>
      <c r="VNK6" s="97" t="str">
        <f t="shared" si="239"/>
        <v/>
      </c>
      <c r="VNL6" s="97" t="str">
        <f t="shared" si="239"/>
        <v/>
      </c>
      <c r="VNM6" s="97" t="str">
        <f t="shared" si="239"/>
        <v/>
      </c>
      <c r="VNN6" s="97" t="str">
        <f t="shared" si="239"/>
        <v/>
      </c>
      <c r="VNO6" s="97" t="str">
        <f t="shared" si="239"/>
        <v/>
      </c>
      <c r="VNP6" s="97" t="str">
        <f t="shared" si="239"/>
        <v/>
      </c>
      <c r="VNQ6" s="97" t="str">
        <f t="shared" si="239"/>
        <v/>
      </c>
      <c r="VNR6" s="97" t="str">
        <f t="shared" si="239"/>
        <v/>
      </c>
      <c r="VNS6" s="97" t="str">
        <f t="shared" si="239"/>
        <v/>
      </c>
      <c r="VNT6" s="97" t="str">
        <f t="shared" si="239"/>
        <v/>
      </c>
      <c r="VNU6" s="97" t="str">
        <f t="shared" si="239"/>
        <v/>
      </c>
      <c r="VNV6" s="97" t="str">
        <f t="shared" si="239"/>
        <v/>
      </c>
      <c r="VNW6" s="97" t="str">
        <f t="shared" si="239"/>
        <v/>
      </c>
      <c r="VNX6" s="97" t="str">
        <f t="shared" si="239"/>
        <v/>
      </c>
      <c r="VNY6" s="97" t="str">
        <f t="shared" si="239"/>
        <v/>
      </c>
      <c r="VNZ6" s="97" t="str">
        <f t="shared" si="239"/>
        <v/>
      </c>
      <c r="VOA6" s="97" t="str">
        <f t="shared" si="239"/>
        <v/>
      </c>
      <c r="VOB6" s="97" t="str">
        <f t="shared" si="239"/>
        <v/>
      </c>
      <c r="VOC6" s="97" t="str">
        <f t="shared" si="239"/>
        <v/>
      </c>
      <c r="VOD6" s="97" t="str">
        <f t="shared" si="239"/>
        <v/>
      </c>
      <c r="VOE6" s="97" t="str">
        <f t="shared" si="239"/>
        <v/>
      </c>
      <c r="VOF6" s="97" t="str">
        <f t="shared" si="239"/>
        <v/>
      </c>
      <c r="VOG6" s="97" t="str">
        <f t="shared" si="239"/>
        <v/>
      </c>
      <c r="VOH6" s="97" t="str">
        <f t="shared" si="239"/>
        <v/>
      </c>
      <c r="VOI6" s="97" t="str">
        <f t="shared" si="239"/>
        <v/>
      </c>
      <c r="VOJ6" s="97" t="str">
        <f t="shared" si="239"/>
        <v/>
      </c>
      <c r="VOK6" s="97" t="str">
        <f t="shared" si="239"/>
        <v/>
      </c>
      <c r="VOL6" s="97" t="str">
        <f t="shared" si="239"/>
        <v/>
      </c>
      <c r="VOM6" s="97" t="str">
        <f t="shared" si="239"/>
        <v/>
      </c>
      <c r="VON6" s="97" t="str">
        <f t="shared" si="239"/>
        <v/>
      </c>
      <c r="VOO6" s="97" t="str">
        <f t="shared" si="239"/>
        <v/>
      </c>
      <c r="VOP6" s="97" t="str">
        <f t="shared" si="239"/>
        <v/>
      </c>
      <c r="VOQ6" s="97" t="str">
        <f t="shared" si="239"/>
        <v/>
      </c>
      <c r="VOR6" s="97" t="str">
        <f t="shared" si="239"/>
        <v/>
      </c>
      <c r="VOS6" s="97" t="str">
        <f t="shared" si="239"/>
        <v/>
      </c>
      <c r="VOT6" s="97" t="str">
        <f t="shared" si="239"/>
        <v/>
      </c>
      <c r="VOU6" s="97" t="str">
        <f t="shared" si="239"/>
        <v/>
      </c>
      <c r="VOV6" s="97" t="str">
        <f t="shared" si="239"/>
        <v/>
      </c>
      <c r="VOW6" s="97" t="str">
        <f t="shared" si="239"/>
        <v/>
      </c>
      <c r="VOX6" s="97" t="str">
        <f t="shared" si="239"/>
        <v/>
      </c>
      <c r="VOY6" s="97" t="str">
        <f t="shared" si="239"/>
        <v/>
      </c>
      <c r="VOZ6" s="97" t="str">
        <f t="shared" si="239"/>
        <v/>
      </c>
      <c r="VPA6" s="97" t="str">
        <f t="shared" si="239"/>
        <v/>
      </c>
      <c r="VPB6" s="97" t="str">
        <f t="shared" si="239"/>
        <v/>
      </c>
      <c r="VPC6" s="97" t="str">
        <f t="shared" si="239"/>
        <v/>
      </c>
      <c r="VPD6" s="97" t="str">
        <f t="shared" si="239"/>
        <v/>
      </c>
      <c r="VPE6" s="97" t="str">
        <f t="shared" si="239"/>
        <v/>
      </c>
      <c r="VPF6" s="97" t="str">
        <f t="shared" si="239"/>
        <v/>
      </c>
      <c r="VPG6" s="97" t="str">
        <f t="shared" si="239"/>
        <v/>
      </c>
      <c r="VPH6" s="97" t="str">
        <f t="shared" si="239"/>
        <v/>
      </c>
      <c r="VPI6" s="97" t="str">
        <f t="shared" si="239"/>
        <v/>
      </c>
      <c r="VPJ6" s="97" t="str">
        <f t="shared" si="239"/>
        <v/>
      </c>
      <c r="VPK6" s="97" t="str">
        <f t="shared" si="239"/>
        <v/>
      </c>
      <c r="VPL6" s="97" t="str">
        <f t="shared" si="239"/>
        <v/>
      </c>
      <c r="VPM6" s="97" t="str">
        <f t="shared" si="239"/>
        <v/>
      </c>
      <c r="VPN6" s="97" t="str">
        <f t="shared" ref="VPN6:VRY6" si="240">IFERROR(AVERAGE(VPN7:VPN13),"")</f>
        <v/>
      </c>
      <c r="VPO6" s="97" t="str">
        <f t="shared" si="240"/>
        <v/>
      </c>
      <c r="VPP6" s="97" t="str">
        <f t="shared" si="240"/>
        <v/>
      </c>
      <c r="VPQ6" s="97" t="str">
        <f t="shared" si="240"/>
        <v/>
      </c>
      <c r="VPR6" s="97" t="str">
        <f t="shared" si="240"/>
        <v/>
      </c>
      <c r="VPS6" s="97" t="str">
        <f t="shared" si="240"/>
        <v/>
      </c>
      <c r="VPT6" s="97" t="str">
        <f t="shared" si="240"/>
        <v/>
      </c>
      <c r="VPU6" s="97" t="str">
        <f t="shared" si="240"/>
        <v/>
      </c>
      <c r="VPV6" s="97" t="str">
        <f t="shared" si="240"/>
        <v/>
      </c>
      <c r="VPW6" s="97" t="str">
        <f t="shared" si="240"/>
        <v/>
      </c>
      <c r="VPX6" s="97" t="str">
        <f t="shared" si="240"/>
        <v/>
      </c>
      <c r="VPY6" s="97" t="str">
        <f t="shared" si="240"/>
        <v/>
      </c>
      <c r="VPZ6" s="97" t="str">
        <f t="shared" si="240"/>
        <v/>
      </c>
      <c r="VQA6" s="97" t="str">
        <f t="shared" si="240"/>
        <v/>
      </c>
      <c r="VQB6" s="97" t="str">
        <f t="shared" si="240"/>
        <v/>
      </c>
      <c r="VQC6" s="97" t="str">
        <f t="shared" si="240"/>
        <v/>
      </c>
      <c r="VQD6" s="97" t="str">
        <f t="shared" si="240"/>
        <v/>
      </c>
      <c r="VQE6" s="97" t="str">
        <f t="shared" si="240"/>
        <v/>
      </c>
      <c r="VQF6" s="97" t="str">
        <f t="shared" si="240"/>
        <v/>
      </c>
      <c r="VQG6" s="97" t="str">
        <f t="shared" si="240"/>
        <v/>
      </c>
      <c r="VQH6" s="97" t="str">
        <f t="shared" si="240"/>
        <v/>
      </c>
      <c r="VQI6" s="97" t="str">
        <f t="shared" si="240"/>
        <v/>
      </c>
      <c r="VQJ6" s="97" t="str">
        <f t="shared" si="240"/>
        <v/>
      </c>
      <c r="VQK6" s="97" t="str">
        <f t="shared" si="240"/>
        <v/>
      </c>
      <c r="VQL6" s="97" t="str">
        <f t="shared" si="240"/>
        <v/>
      </c>
      <c r="VQM6" s="97" t="str">
        <f t="shared" si="240"/>
        <v/>
      </c>
      <c r="VQN6" s="97" t="str">
        <f t="shared" si="240"/>
        <v/>
      </c>
      <c r="VQO6" s="97" t="str">
        <f t="shared" si="240"/>
        <v/>
      </c>
      <c r="VQP6" s="97" t="str">
        <f t="shared" si="240"/>
        <v/>
      </c>
      <c r="VQQ6" s="97" t="str">
        <f t="shared" si="240"/>
        <v/>
      </c>
      <c r="VQR6" s="97" t="str">
        <f t="shared" si="240"/>
        <v/>
      </c>
      <c r="VQS6" s="97" t="str">
        <f t="shared" si="240"/>
        <v/>
      </c>
      <c r="VQT6" s="97" t="str">
        <f t="shared" si="240"/>
        <v/>
      </c>
      <c r="VQU6" s="97" t="str">
        <f t="shared" si="240"/>
        <v/>
      </c>
      <c r="VQV6" s="97" t="str">
        <f t="shared" si="240"/>
        <v/>
      </c>
      <c r="VQW6" s="97" t="str">
        <f t="shared" si="240"/>
        <v/>
      </c>
      <c r="VQX6" s="97" t="str">
        <f t="shared" si="240"/>
        <v/>
      </c>
      <c r="VQY6" s="97" t="str">
        <f t="shared" si="240"/>
        <v/>
      </c>
      <c r="VQZ6" s="97" t="str">
        <f t="shared" si="240"/>
        <v/>
      </c>
      <c r="VRA6" s="97" t="str">
        <f t="shared" si="240"/>
        <v/>
      </c>
      <c r="VRB6" s="97" t="str">
        <f t="shared" si="240"/>
        <v/>
      </c>
      <c r="VRC6" s="97" t="str">
        <f t="shared" si="240"/>
        <v/>
      </c>
      <c r="VRD6" s="97" t="str">
        <f t="shared" si="240"/>
        <v/>
      </c>
      <c r="VRE6" s="97" t="str">
        <f t="shared" si="240"/>
        <v/>
      </c>
      <c r="VRF6" s="97" t="str">
        <f t="shared" si="240"/>
        <v/>
      </c>
      <c r="VRG6" s="97" t="str">
        <f t="shared" si="240"/>
        <v/>
      </c>
      <c r="VRH6" s="97" t="str">
        <f t="shared" si="240"/>
        <v/>
      </c>
      <c r="VRI6" s="97" t="str">
        <f t="shared" si="240"/>
        <v/>
      </c>
      <c r="VRJ6" s="97" t="str">
        <f t="shared" si="240"/>
        <v/>
      </c>
      <c r="VRK6" s="97" t="str">
        <f t="shared" si="240"/>
        <v/>
      </c>
      <c r="VRL6" s="97" t="str">
        <f t="shared" si="240"/>
        <v/>
      </c>
      <c r="VRM6" s="97" t="str">
        <f t="shared" si="240"/>
        <v/>
      </c>
      <c r="VRN6" s="97" t="str">
        <f t="shared" si="240"/>
        <v/>
      </c>
      <c r="VRO6" s="97" t="str">
        <f t="shared" si="240"/>
        <v/>
      </c>
      <c r="VRP6" s="97" t="str">
        <f t="shared" si="240"/>
        <v/>
      </c>
      <c r="VRQ6" s="97" t="str">
        <f t="shared" si="240"/>
        <v/>
      </c>
      <c r="VRR6" s="97" t="str">
        <f t="shared" si="240"/>
        <v/>
      </c>
      <c r="VRS6" s="97" t="str">
        <f t="shared" si="240"/>
        <v/>
      </c>
      <c r="VRT6" s="97" t="str">
        <f t="shared" si="240"/>
        <v/>
      </c>
      <c r="VRU6" s="97" t="str">
        <f t="shared" si="240"/>
        <v/>
      </c>
      <c r="VRV6" s="97" t="str">
        <f t="shared" si="240"/>
        <v/>
      </c>
      <c r="VRW6" s="97" t="str">
        <f t="shared" si="240"/>
        <v/>
      </c>
      <c r="VRX6" s="97" t="str">
        <f t="shared" si="240"/>
        <v/>
      </c>
      <c r="VRY6" s="97" t="str">
        <f t="shared" si="240"/>
        <v/>
      </c>
      <c r="VRZ6" s="97" t="str">
        <f t="shared" ref="VRZ6:VUK6" si="241">IFERROR(AVERAGE(VRZ7:VRZ13),"")</f>
        <v/>
      </c>
      <c r="VSA6" s="97" t="str">
        <f t="shared" si="241"/>
        <v/>
      </c>
      <c r="VSB6" s="97" t="str">
        <f t="shared" si="241"/>
        <v/>
      </c>
      <c r="VSC6" s="97" t="str">
        <f t="shared" si="241"/>
        <v/>
      </c>
      <c r="VSD6" s="97" t="str">
        <f t="shared" si="241"/>
        <v/>
      </c>
      <c r="VSE6" s="97" t="str">
        <f t="shared" si="241"/>
        <v/>
      </c>
      <c r="VSF6" s="97" t="str">
        <f t="shared" si="241"/>
        <v/>
      </c>
      <c r="VSG6" s="97" t="str">
        <f t="shared" si="241"/>
        <v/>
      </c>
      <c r="VSH6" s="97" t="str">
        <f t="shared" si="241"/>
        <v/>
      </c>
      <c r="VSI6" s="97" t="str">
        <f t="shared" si="241"/>
        <v/>
      </c>
      <c r="VSJ6" s="97" t="str">
        <f t="shared" si="241"/>
        <v/>
      </c>
      <c r="VSK6" s="97" t="str">
        <f t="shared" si="241"/>
        <v/>
      </c>
      <c r="VSL6" s="97" t="str">
        <f t="shared" si="241"/>
        <v/>
      </c>
      <c r="VSM6" s="97" t="str">
        <f t="shared" si="241"/>
        <v/>
      </c>
      <c r="VSN6" s="97" t="str">
        <f t="shared" si="241"/>
        <v/>
      </c>
      <c r="VSO6" s="97" t="str">
        <f t="shared" si="241"/>
        <v/>
      </c>
      <c r="VSP6" s="97" t="str">
        <f t="shared" si="241"/>
        <v/>
      </c>
      <c r="VSQ6" s="97" t="str">
        <f t="shared" si="241"/>
        <v/>
      </c>
      <c r="VSR6" s="97" t="str">
        <f t="shared" si="241"/>
        <v/>
      </c>
      <c r="VSS6" s="97" t="str">
        <f t="shared" si="241"/>
        <v/>
      </c>
      <c r="VST6" s="97" t="str">
        <f t="shared" si="241"/>
        <v/>
      </c>
      <c r="VSU6" s="97" t="str">
        <f t="shared" si="241"/>
        <v/>
      </c>
      <c r="VSV6" s="97" t="str">
        <f t="shared" si="241"/>
        <v/>
      </c>
      <c r="VSW6" s="97" t="str">
        <f t="shared" si="241"/>
        <v/>
      </c>
      <c r="VSX6" s="97" t="str">
        <f t="shared" si="241"/>
        <v/>
      </c>
      <c r="VSY6" s="97" t="str">
        <f t="shared" si="241"/>
        <v/>
      </c>
      <c r="VSZ6" s="97" t="str">
        <f t="shared" si="241"/>
        <v/>
      </c>
      <c r="VTA6" s="97" t="str">
        <f t="shared" si="241"/>
        <v/>
      </c>
      <c r="VTB6" s="97" t="str">
        <f t="shared" si="241"/>
        <v/>
      </c>
      <c r="VTC6" s="97" t="str">
        <f t="shared" si="241"/>
        <v/>
      </c>
      <c r="VTD6" s="97" t="str">
        <f t="shared" si="241"/>
        <v/>
      </c>
      <c r="VTE6" s="97" t="str">
        <f t="shared" si="241"/>
        <v/>
      </c>
      <c r="VTF6" s="97" t="str">
        <f t="shared" si="241"/>
        <v/>
      </c>
      <c r="VTG6" s="97" t="str">
        <f t="shared" si="241"/>
        <v/>
      </c>
      <c r="VTH6" s="97" t="str">
        <f t="shared" si="241"/>
        <v/>
      </c>
      <c r="VTI6" s="97" t="str">
        <f t="shared" si="241"/>
        <v/>
      </c>
      <c r="VTJ6" s="97" t="str">
        <f t="shared" si="241"/>
        <v/>
      </c>
      <c r="VTK6" s="97" t="str">
        <f t="shared" si="241"/>
        <v/>
      </c>
      <c r="VTL6" s="97" t="str">
        <f t="shared" si="241"/>
        <v/>
      </c>
      <c r="VTM6" s="97" t="str">
        <f t="shared" si="241"/>
        <v/>
      </c>
      <c r="VTN6" s="97" t="str">
        <f t="shared" si="241"/>
        <v/>
      </c>
      <c r="VTO6" s="97" t="str">
        <f t="shared" si="241"/>
        <v/>
      </c>
      <c r="VTP6" s="97" t="str">
        <f t="shared" si="241"/>
        <v/>
      </c>
      <c r="VTQ6" s="97" t="str">
        <f t="shared" si="241"/>
        <v/>
      </c>
      <c r="VTR6" s="97" t="str">
        <f t="shared" si="241"/>
        <v/>
      </c>
      <c r="VTS6" s="97" t="str">
        <f t="shared" si="241"/>
        <v/>
      </c>
      <c r="VTT6" s="97" t="str">
        <f t="shared" si="241"/>
        <v/>
      </c>
      <c r="VTU6" s="97" t="str">
        <f t="shared" si="241"/>
        <v/>
      </c>
      <c r="VTV6" s="97" t="str">
        <f t="shared" si="241"/>
        <v/>
      </c>
      <c r="VTW6" s="97" t="str">
        <f t="shared" si="241"/>
        <v/>
      </c>
      <c r="VTX6" s="97" t="str">
        <f t="shared" si="241"/>
        <v/>
      </c>
      <c r="VTY6" s="97" t="str">
        <f t="shared" si="241"/>
        <v/>
      </c>
      <c r="VTZ6" s="97" t="str">
        <f t="shared" si="241"/>
        <v/>
      </c>
      <c r="VUA6" s="97" t="str">
        <f t="shared" si="241"/>
        <v/>
      </c>
      <c r="VUB6" s="97" t="str">
        <f t="shared" si="241"/>
        <v/>
      </c>
      <c r="VUC6" s="97" t="str">
        <f t="shared" si="241"/>
        <v/>
      </c>
      <c r="VUD6" s="97" t="str">
        <f t="shared" si="241"/>
        <v/>
      </c>
      <c r="VUE6" s="97" t="str">
        <f t="shared" si="241"/>
        <v/>
      </c>
      <c r="VUF6" s="97" t="str">
        <f t="shared" si="241"/>
        <v/>
      </c>
      <c r="VUG6" s="97" t="str">
        <f t="shared" si="241"/>
        <v/>
      </c>
      <c r="VUH6" s="97" t="str">
        <f t="shared" si="241"/>
        <v/>
      </c>
      <c r="VUI6" s="97" t="str">
        <f t="shared" si="241"/>
        <v/>
      </c>
      <c r="VUJ6" s="97" t="str">
        <f t="shared" si="241"/>
        <v/>
      </c>
      <c r="VUK6" s="97" t="str">
        <f t="shared" si="241"/>
        <v/>
      </c>
      <c r="VUL6" s="97" t="str">
        <f t="shared" ref="VUL6:VWW6" si="242">IFERROR(AVERAGE(VUL7:VUL13),"")</f>
        <v/>
      </c>
      <c r="VUM6" s="97" t="str">
        <f t="shared" si="242"/>
        <v/>
      </c>
      <c r="VUN6" s="97" t="str">
        <f t="shared" si="242"/>
        <v/>
      </c>
      <c r="VUO6" s="97" t="str">
        <f t="shared" si="242"/>
        <v/>
      </c>
      <c r="VUP6" s="97" t="str">
        <f t="shared" si="242"/>
        <v/>
      </c>
      <c r="VUQ6" s="97" t="str">
        <f t="shared" si="242"/>
        <v/>
      </c>
      <c r="VUR6" s="97" t="str">
        <f t="shared" si="242"/>
        <v/>
      </c>
      <c r="VUS6" s="97" t="str">
        <f t="shared" si="242"/>
        <v/>
      </c>
      <c r="VUT6" s="97" t="str">
        <f t="shared" si="242"/>
        <v/>
      </c>
      <c r="VUU6" s="97" t="str">
        <f t="shared" si="242"/>
        <v/>
      </c>
      <c r="VUV6" s="97" t="str">
        <f t="shared" si="242"/>
        <v/>
      </c>
      <c r="VUW6" s="97" t="str">
        <f t="shared" si="242"/>
        <v/>
      </c>
      <c r="VUX6" s="97" t="str">
        <f t="shared" si="242"/>
        <v/>
      </c>
      <c r="VUY6" s="97" t="str">
        <f t="shared" si="242"/>
        <v/>
      </c>
      <c r="VUZ6" s="97" t="str">
        <f t="shared" si="242"/>
        <v/>
      </c>
      <c r="VVA6" s="97" t="str">
        <f t="shared" si="242"/>
        <v/>
      </c>
      <c r="VVB6" s="97" t="str">
        <f t="shared" si="242"/>
        <v/>
      </c>
      <c r="VVC6" s="97" t="str">
        <f t="shared" si="242"/>
        <v/>
      </c>
      <c r="VVD6" s="97" t="str">
        <f t="shared" si="242"/>
        <v/>
      </c>
      <c r="VVE6" s="97" t="str">
        <f t="shared" si="242"/>
        <v/>
      </c>
      <c r="VVF6" s="97" t="str">
        <f t="shared" si="242"/>
        <v/>
      </c>
      <c r="VVG6" s="97" t="str">
        <f t="shared" si="242"/>
        <v/>
      </c>
      <c r="VVH6" s="97" t="str">
        <f t="shared" si="242"/>
        <v/>
      </c>
      <c r="VVI6" s="97" t="str">
        <f t="shared" si="242"/>
        <v/>
      </c>
      <c r="VVJ6" s="97" t="str">
        <f t="shared" si="242"/>
        <v/>
      </c>
      <c r="VVK6" s="97" t="str">
        <f t="shared" si="242"/>
        <v/>
      </c>
      <c r="VVL6" s="97" t="str">
        <f t="shared" si="242"/>
        <v/>
      </c>
      <c r="VVM6" s="97" t="str">
        <f t="shared" si="242"/>
        <v/>
      </c>
      <c r="VVN6" s="97" t="str">
        <f t="shared" si="242"/>
        <v/>
      </c>
      <c r="VVO6" s="97" t="str">
        <f t="shared" si="242"/>
        <v/>
      </c>
      <c r="VVP6" s="97" t="str">
        <f t="shared" si="242"/>
        <v/>
      </c>
      <c r="VVQ6" s="97" t="str">
        <f t="shared" si="242"/>
        <v/>
      </c>
      <c r="VVR6" s="97" t="str">
        <f t="shared" si="242"/>
        <v/>
      </c>
      <c r="VVS6" s="97" t="str">
        <f t="shared" si="242"/>
        <v/>
      </c>
      <c r="VVT6" s="97" t="str">
        <f t="shared" si="242"/>
        <v/>
      </c>
      <c r="VVU6" s="97" t="str">
        <f t="shared" si="242"/>
        <v/>
      </c>
      <c r="VVV6" s="97" t="str">
        <f t="shared" si="242"/>
        <v/>
      </c>
      <c r="VVW6" s="97" t="str">
        <f t="shared" si="242"/>
        <v/>
      </c>
      <c r="VVX6" s="97" t="str">
        <f t="shared" si="242"/>
        <v/>
      </c>
      <c r="VVY6" s="97" t="str">
        <f t="shared" si="242"/>
        <v/>
      </c>
      <c r="VVZ6" s="97" t="str">
        <f t="shared" si="242"/>
        <v/>
      </c>
      <c r="VWA6" s="97" t="str">
        <f t="shared" si="242"/>
        <v/>
      </c>
      <c r="VWB6" s="97" t="str">
        <f t="shared" si="242"/>
        <v/>
      </c>
      <c r="VWC6" s="97" t="str">
        <f t="shared" si="242"/>
        <v/>
      </c>
      <c r="VWD6" s="97" t="str">
        <f t="shared" si="242"/>
        <v/>
      </c>
      <c r="VWE6" s="97" t="str">
        <f t="shared" si="242"/>
        <v/>
      </c>
      <c r="VWF6" s="97" t="str">
        <f t="shared" si="242"/>
        <v/>
      </c>
      <c r="VWG6" s="97" t="str">
        <f t="shared" si="242"/>
        <v/>
      </c>
      <c r="VWH6" s="97" t="str">
        <f t="shared" si="242"/>
        <v/>
      </c>
      <c r="VWI6" s="97" t="str">
        <f t="shared" si="242"/>
        <v/>
      </c>
      <c r="VWJ6" s="97" t="str">
        <f t="shared" si="242"/>
        <v/>
      </c>
      <c r="VWK6" s="97" t="str">
        <f t="shared" si="242"/>
        <v/>
      </c>
      <c r="VWL6" s="97" t="str">
        <f t="shared" si="242"/>
        <v/>
      </c>
      <c r="VWM6" s="97" t="str">
        <f t="shared" si="242"/>
        <v/>
      </c>
      <c r="VWN6" s="97" t="str">
        <f t="shared" si="242"/>
        <v/>
      </c>
      <c r="VWO6" s="97" t="str">
        <f t="shared" si="242"/>
        <v/>
      </c>
      <c r="VWP6" s="97" t="str">
        <f t="shared" si="242"/>
        <v/>
      </c>
      <c r="VWQ6" s="97" t="str">
        <f t="shared" si="242"/>
        <v/>
      </c>
      <c r="VWR6" s="97" t="str">
        <f t="shared" si="242"/>
        <v/>
      </c>
      <c r="VWS6" s="97" t="str">
        <f t="shared" si="242"/>
        <v/>
      </c>
      <c r="VWT6" s="97" t="str">
        <f t="shared" si="242"/>
        <v/>
      </c>
      <c r="VWU6" s="97" t="str">
        <f t="shared" si="242"/>
        <v/>
      </c>
      <c r="VWV6" s="97" t="str">
        <f t="shared" si="242"/>
        <v/>
      </c>
      <c r="VWW6" s="97" t="str">
        <f t="shared" si="242"/>
        <v/>
      </c>
      <c r="VWX6" s="97" t="str">
        <f t="shared" ref="VWX6:VZI6" si="243">IFERROR(AVERAGE(VWX7:VWX13),"")</f>
        <v/>
      </c>
      <c r="VWY6" s="97" t="str">
        <f t="shared" si="243"/>
        <v/>
      </c>
      <c r="VWZ6" s="97" t="str">
        <f t="shared" si="243"/>
        <v/>
      </c>
      <c r="VXA6" s="97" t="str">
        <f t="shared" si="243"/>
        <v/>
      </c>
      <c r="VXB6" s="97" t="str">
        <f t="shared" si="243"/>
        <v/>
      </c>
      <c r="VXC6" s="97" t="str">
        <f t="shared" si="243"/>
        <v/>
      </c>
      <c r="VXD6" s="97" t="str">
        <f t="shared" si="243"/>
        <v/>
      </c>
      <c r="VXE6" s="97" t="str">
        <f t="shared" si="243"/>
        <v/>
      </c>
      <c r="VXF6" s="97" t="str">
        <f t="shared" si="243"/>
        <v/>
      </c>
      <c r="VXG6" s="97" t="str">
        <f t="shared" si="243"/>
        <v/>
      </c>
      <c r="VXH6" s="97" t="str">
        <f t="shared" si="243"/>
        <v/>
      </c>
      <c r="VXI6" s="97" t="str">
        <f t="shared" si="243"/>
        <v/>
      </c>
      <c r="VXJ6" s="97" t="str">
        <f t="shared" si="243"/>
        <v/>
      </c>
      <c r="VXK6" s="97" t="str">
        <f t="shared" si="243"/>
        <v/>
      </c>
      <c r="VXL6" s="97" t="str">
        <f t="shared" si="243"/>
        <v/>
      </c>
      <c r="VXM6" s="97" t="str">
        <f t="shared" si="243"/>
        <v/>
      </c>
      <c r="VXN6" s="97" t="str">
        <f t="shared" si="243"/>
        <v/>
      </c>
      <c r="VXO6" s="97" t="str">
        <f t="shared" si="243"/>
        <v/>
      </c>
      <c r="VXP6" s="97" t="str">
        <f t="shared" si="243"/>
        <v/>
      </c>
      <c r="VXQ6" s="97" t="str">
        <f t="shared" si="243"/>
        <v/>
      </c>
      <c r="VXR6" s="97" t="str">
        <f t="shared" si="243"/>
        <v/>
      </c>
      <c r="VXS6" s="97" t="str">
        <f t="shared" si="243"/>
        <v/>
      </c>
      <c r="VXT6" s="97" t="str">
        <f t="shared" si="243"/>
        <v/>
      </c>
      <c r="VXU6" s="97" t="str">
        <f t="shared" si="243"/>
        <v/>
      </c>
      <c r="VXV6" s="97" t="str">
        <f t="shared" si="243"/>
        <v/>
      </c>
      <c r="VXW6" s="97" t="str">
        <f t="shared" si="243"/>
        <v/>
      </c>
      <c r="VXX6" s="97" t="str">
        <f t="shared" si="243"/>
        <v/>
      </c>
      <c r="VXY6" s="97" t="str">
        <f t="shared" si="243"/>
        <v/>
      </c>
      <c r="VXZ6" s="97" t="str">
        <f t="shared" si="243"/>
        <v/>
      </c>
      <c r="VYA6" s="97" t="str">
        <f t="shared" si="243"/>
        <v/>
      </c>
      <c r="VYB6" s="97" t="str">
        <f t="shared" si="243"/>
        <v/>
      </c>
      <c r="VYC6" s="97" t="str">
        <f t="shared" si="243"/>
        <v/>
      </c>
      <c r="VYD6" s="97" t="str">
        <f t="shared" si="243"/>
        <v/>
      </c>
      <c r="VYE6" s="97" t="str">
        <f t="shared" si="243"/>
        <v/>
      </c>
      <c r="VYF6" s="97" t="str">
        <f t="shared" si="243"/>
        <v/>
      </c>
      <c r="VYG6" s="97" t="str">
        <f t="shared" si="243"/>
        <v/>
      </c>
      <c r="VYH6" s="97" t="str">
        <f t="shared" si="243"/>
        <v/>
      </c>
      <c r="VYI6" s="97" t="str">
        <f t="shared" si="243"/>
        <v/>
      </c>
      <c r="VYJ6" s="97" t="str">
        <f t="shared" si="243"/>
        <v/>
      </c>
      <c r="VYK6" s="97" t="str">
        <f t="shared" si="243"/>
        <v/>
      </c>
      <c r="VYL6" s="97" t="str">
        <f t="shared" si="243"/>
        <v/>
      </c>
      <c r="VYM6" s="97" t="str">
        <f t="shared" si="243"/>
        <v/>
      </c>
      <c r="VYN6" s="97" t="str">
        <f t="shared" si="243"/>
        <v/>
      </c>
      <c r="VYO6" s="97" t="str">
        <f t="shared" si="243"/>
        <v/>
      </c>
      <c r="VYP6" s="97" t="str">
        <f t="shared" si="243"/>
        <v/>
      </c>
      <c r="VYQ6" s="97" t="str">
        <f t="shared" si="243"/>
        <v/>
      </c>
      <c r="VYR6" s="97" t="str">
        <f t="shared" si="243"/>
        <v/>
      </c>
      <c r="VYS6" s="97" t="str">
        <f t="shared" si="243"/>
        <v/>
      </c>
      <c r="VYT6" s="97" t="str">
        <f t="shared" si="243"/>
        <v/>
      </c>
      <c r="VYU6" s="97" t="str">
        <f t="shared" si="243"/>
        <v/>
      </c>
      <c r="VYV6" s="97" t="str">
        <f t="shared" si="243"/>
        <v/>
      </c>
      <c r="VYW6" s="97" t="str">
        <f t="shared" si="243"/>
        <v/>
      </c>
      <c r="VYX6" s="97" t="str">
        <f t="shared" si="243"/>
        <v/>
      </c>
      <c r="VYY6" s="97" t="str">
        <f t="shared" si="243"/>
        <v/>
      </c>
      <c r="VYZ6" s="97" t="str">
        <f t="shared" si="243"/>
        <v/>
      </c>
      <c r="VZA6" s="97" t="str">
        <f t="shared" si="243"/>
        <v/>
      </c>
      <c r="VZB6" s="97" t="str">
        <f t="shared" si="243"/>
        <v/>
      </c>
      <c r="VZC6" s="97" t="str">
        <f t="shared" si="243"/>
        <v/>
      </c>
      <c r="VZD6" s="97" t="str">
        <f t="shared" si="243"/>
        <v/>
      </c>
      <c r="VZE6" s="97" t="str">
        <f t="shared" si="243"/>
        <v/>
      </c>
      <c r="VZF6" s="97" t="str">
        <f t="shared" si="243"/>
        <v/>
      </c>
      <c r="VZG6" s="97" t="str">
        <f t="shared" si="243"/>
        <v/>
      </c>
      <c r="VZH6" s="97" t="str">
        <f t="shared" si="243"/>
        <v/>
      </c>
      <c r="VZI6" s="97" t="str">
        <f t="shared" si="243"/>
        <v/>
      </c>
      <c r="VZJ6" s="97" t="str">
        <f t="shared" ref="VZJ6:WBU6" si="244">IFERROR(AVERAGE(VZJ7:VZJ13),"")</f>
        <v/>
      </c>
      <c r="VZK6" s="97" t="str">
        <f t="shared" si="244"/>
        <v/>
      </c>
      <c r="VZL6" s="97" t="str">
        <f t="shared" si="244"/>
        <v/>
      </c>
      <c r="VZM6" s="97" t="str">
        <f t="shared" si="244"/>
        <v/>
      </c>
      <c r="VZN6" s="97" t="str">
        <f t="shared" si="244"/>
        <v/>
      </c>
      <c r="VZO6" s="97" t="str">
        <f t="shared" si="244"/>
        <v/>
      </c>
      <c r="VZP6" s="97" t="str">
        <f t="shared" si="244"/>
        <v/>
      </c>
      <c r="VZQ6" s="97" t="str">
        <f t="shared" si="244"/>
        <v/>
      </c>
      <c r="VZR6" s="97" t="str">
        <f t="shared" si="244"/>
        <v/>
      </c>
      <c r="VZS6" s="97" t="str">
        <f t="shared" si="244"/>
        <v/>
      </c>
      <c r="VZT6" s="97" t="str">
        <f t="shared" si="244"/>
        <v/>
      </c>
      <c r="VZU6" s="97" t="str">
        <f t="shared" si="244"/>
        <v/>
      </c>
      <c r="VZV6" s="97" t="str">
        <f t="shared" si="244"/>
        <v/>
      </c>
      <c r="VZW6" s="97" t="str">
        <f t="shared" si="244"/>
        <v/>
      </c>
      <c r="VZX6" s="97" t="str">
        <f t="shared" si="244"/>
        <v/>
      </c>
      <c r="VZY6" s="97" t="str">
        <f t="shared" si="244"/>
        <v/>
      </c>
      <c r="VZZ6" s="97" t="str">
        <f t="shared" si="244"/>
        <v/>
      </c>
      <c r="WAA6" s="97" t="str">
        <f t="shared" si="244"/>
        <v/>
      </c>
      <c r="WAB6" s="97" t="str">
        <f t="shared" si="244"/>
        <v/>
      </c>
      <c r="WAC6" s="97" t="str">
        <f t="shared" si="244"/>
        <v/>
      </c>
      <c r="WAD6" s="97" t="str">
        <f t="shared" si="244"/>
        <v/>
      </c>
      <c r="WAE6" s="97" t="str">
        <f t="shared" si="244"/>
        <v/>
      </c>
      <c r="WAF6" s="97" t="str">
        <f t="shared" si="244"/>
        <v/>
      </c>
      <c r="WAG6" s="97" t="str">
        <f t="shared" si="244"/>
        <v/>
      </c>
      <c r="WAH6" s="97" t="str">
        <f t="shared" si="244"/>
        <v/>
      </c>
      <c r="WAI6" s="97" t="str">
        <f t="shared" si="244"/>
        <v/>
      </c>
      <c r="WAJ6" s="97" t="str">
        <f t="shared" si="244"/>
        <v/>
      </c>
      <c r="WAK6" s="97" t="str">
        <f t="shared" si="244"/>
        <v/>
      </c>
      <c r="WAL6" s="97" t="str">
        <f t="shared" si="244"/>
        <v/>
      </c>
      <c r="WAM6" s="97" t="str">
        <f t="shared" si="244"/>
        <v/>
      </c>
      <c r="WAN6" s="97" t="str">
        <f t="shared" si="244"/>
        <v/>
      </c>
      <c r="WAO6" s="97" t="str">
        <f t="shared" si="244"/>
        <v/>
      </c>
      <c r="WAP6" s="97" t="str">
        <f t="shared" si="244"/>
        <v/>
      </c>
      <c r="WAQ6" s="97" t="str">
        <f t="shared" si="244"/>
        <v/>
      </c>
      <c r="WAR6" s="97" t="str">
        <f t="shared" si="244"/>
        <v/>
      </c>
      <c r="WAS6" s="97" t="str">
        <f t="shared" si="244"/>
        <v/>
      </c>
      <c r="WAT6" s="97" t="str">
        <f t="shared" si="244"/>
        <v/>
      </c>
      <c r="WAU6" s="97" t="str">
        <f t="shared" si="244"/>
        <v/>
      </c>
      <c r="WAV6" s="97" t="str">
        <f t="shared" si="244"/>
        <v/>
      </c>
      <c r="WAW6" s="97" t="str">
        <f t="shared" si="244"/>
        <v/>
      </c>
      <c r="WAX6" s="97" t="str">
        <f t="shared" si="244"/>
        <v/>
      </c>
      <c r="WAY6" s="97" t="str">
        <f t="shared" si="244"/>
        <v/>
      </c>
      <c r="WAZ6" s="97" t="str">
        <f t="shared" si="244"/>
        <v/>
      </c>
      <c r="WBA6" s="97" t="str">
        <f t="shared" si="244"/>
        <v/>
      </c>
      <c r="WBB6" s="97" t="str">
        <f t="shared" si="244"/>
        <v/>
      </c>
      <c r="WBC6" s="97" t="str">
        <f t="shared" si="244"/>
        <v/>
      </c>
      <c r="WBD6" s="97" t="str">
        <f t="shared" si="244"/>
        <v/>
      </c>
      <c r="WBE6" s="97" t="str">
        <f t="shared" si="244"/>
        <v/>
      </c>
      <c r="WBF6" s="97" t="str">
        <f t="shared" si="244"/>
        <v/>
      </c>
      <c r="WBG6" s="97" t="str">
        <f t="shared" si="244"/>
        <v/>
      </c>
      <c r="WBH6" s="97" t="str">
        <f t="shared" si="244"/>
        <v/>
      </c>
      <c r="WBI6" s="97" t="str">
        <f t="shared" si="244"/>
        <v/>
      </c>
      <c r="WBJ6" s="97" t="str">
        <f t="shared" si="244"/>
        <v/>
      </c>
      <c r="WBK6" s="97" t="str">
        <f t="shared" si="244"/>
        <v/>
      </c>
      <c r="WBL6" s="97" t="str">
        <f t="shared" si="244"/>
        <v/>
      </c>
      <c r="WBM6" s="97" t="str">
        <f t="shared" si="244"/>
        <v/>
      </c>
      <c r="WBN6" s="97" t="str">
        <f t="shared" si="244"/>
        <v/>
      </c>
      <c r="WBO6" s="97" t="str">
        <f t="shared" si="244"/>
        <v/>
      </c>
      <c r="WBP6" s="97" t="str">
        <f t="shared" si="244"/>
        <v/>
      </c>
      <c r="WBQ6" s="97" t="str">
        <f t="shared" si="244"/>
        <v/>
      </c>
      <c r="WBR6" s="97" t="str">
        <f t="shared" si="244"/>
        <v/>
      </c>
      <c r="WBS6" s="97" t="str">
        <f t="shared" si="244"/>
        <v/>
      </c>
      <c r="WBT6" s="97" t="str">
        <f t="shared" si="244"/>
        <v/>
      </c>
      <c r="WBU6" s="97" t="str">
        <f t="shared" si="244"/>
        <v/>
      </c>
      <c r="WBV6" s="97" t="str">
        <f t="shared" ref="WBV6:WEG6" si="245">IFERROR(AVERAGE(WBV7:WBV13),"")</f>
        <v/>
      </c>
      <c r="WBW6" s="97" t="str">
        <f t="shared" si="245"/>
        <v/>
      </c>
      <c r="WBX6" s="97" t="str">
        <f t="shared" si="245"/>
        <v/>
      </c>
      <c r="WBY6" s="97" t="str">
        <f t="shared" si="245"/>
        <v/>
      </c>
      <c r="WBZ6" s="97" t="str">
        <f t="shared" si="245"/>
        <v/>
      </c>
      <c r="WCA6" s="97" t="str">
        <f t="shared" si="245"/>
        <v/>
      </c>
      <c r="WCB6" s="97" t="str">
        <f t="shared" si="245"/>
        <v/>
      </c>
      <c r="WCC6" s="97" t="str">
        <f t="shared" si="245"/>
        <v/>
      </c>
      <c r="WCD6" s="97" t="str">
        <f t="shared" si="245"/>
        <v/>
      </c>
      <c r="WCE6" s="97" t="str">
        <f t="shared" si="245"/>
        <v/>
      </c>
      <c r="WCF6" s="97" t="str">
        <f t="shared" si="245"/>
        <v/>
      </c>
      <c r="WCG6" s="97" t="str">
        <f t="shared" si="245"/>
        <v/>
      </c>
      <c r="WCH6" s="97" t="str">
        <f t="shared" si="245"/>
        <v/>
      </c>
      <c r="WCI6" s="97" t="str">
        <f t="shared" si="245"/>
        <v/>
      </c>
      <c r="WCJ6" s="97" t="str">
        <f t="shared" si="245"/>
        <v/>
      </c>
      <c r="WCK6" s="97" t="str">
        <f t="shared" si="245"/>
        <v/>
      </c>
      <c r="WCL6" s="97" t="str">
        <f t="shared" si="245"/>
        <v/>
      </c>
      <c r="WCM6" s="97" t="str">
        <f t="shared" si="245"/>
        <v/>
      </c>
      <c r="WCN6" s="97" t="str">
        <f t="shared" si="245"/>
        <v/>
      </c>
      <c r="WCO6" s="97" t="str">
        <f t="shared" si="245"/>
        <v/>
      </c>
      <c r="WCP6" s="97" t="str">
        <f t="shared" si="245"/>
        <v/>
      </c>
      <c r="WCQ6" s="97" t="str">
        <f t="shared" si="245"/>
        <v/>
      </c>
      <c r="WCR6" s="97" t="str">
        <f t="shared" si="245"/>
        <v/>
      </c>
      <c r="WCS6" s="97" t="str">
        <f t="shared" si="245"/>
        <v/>
      </c>
      <c r="WCT6" s="97" t="str">
        <f t="shared" si="245"/>
        <v/>
      </c>
      <c r="WCU6" s="97" t="str">
        <f t="shared" si="245"/>
        <v/>
      </c>
      <c r="WCV6" s="97" t="str">
        <f t="shared" si="245"/>
        <v/>
      </c>
      <c r="WCW6" s="97" t="str">
        <f t="shared" si="245"/>
        <v/>
      </c>
      <c r="WCX6" s="97" t="str">
        <f t="shared" si="245"/>
        <v/>
      </c>
      <c r="WCY6" s="97" t="str">
        <f t="shared" si="245"/>
        <v/>
      </c>
      <c r="WCZ6" s="97" t="str">
        <f t="shared" si="245"/>
        <v/>
      </c>
      <c r="WDA6" s="97" t="str">
        <f t="shared" si="245"/>
        <v/>
      </c>
      <c r="WDB6" s="97" t="str">
        <f t="shared" si="245"/>
        <v/>
      </c>
      <c r="WDC6" s="97" t="str">
        <f t="shared" si="245"/>
        <v/>
      </c>
      <c r="WDD6" s="97" t="str">
        <f t="shared" si="245"/>
        <v/>
      </c>
      <c r="WDE6" s="97" t="str">
        <f t="shared" si="245"/>
        <v/>
      </c>
      <c r="WDF6" s="97" t="str">
        <f t="shared" si="245"/>
        <v/>
      </c>
      <c r="WDG6" s="97" t="str">
        <f t="shared" si="245"/>
        <v/>
      </c>
      <c r="WDH6" s="97" t="str">
        <f t="shared" si="245"/>
        <v/>
      </c>
      <c r="WDI6" s="97" t="str">
        <f t="shared" si="245"/>
        <v/>
      </c>
      <c r="WDJ6" s="97" t="str">
        <f t="shared" si="245"/>
        <v/>
      </c>
      <c r="WDK6" s="97" t="str">
        <f t="shared" si="245"/>
        <v/>
      </c>
      <c r="WDL6" s="97" t="str">
        <f t="shared" si="245"/>
        <v/>
      </c>
      <c r="WDM6" s="97" t="str">
        <f t="shared" si="245"/>
        <v/>
      </c>
      <c r="WDN6" s="97" t="str">
        <f t="shared" si="245"/>
        <v/>
      </c>
      <c r="WDO6" s="97" t="str">
        <f t="shared" si="245"/>
        <v/>
      </c>
      <c r="WDP6" s="97" t="str">
        <f t="shared" si="245"/>
        <v/>
      </c>
      <c r="WDQ6" s="97" t="str">
        <f t="shared" si="245"/>
        <v/>
      </c>
      <c r="WDR6" s="97" t="str">
        <f t="shared" si="245"/>
        <v/>
      </c>
      <c r="WDS6" s="97" t="str">
        <f t="shared" si="245"/>
        <v/>
      </c>
      <c r="WDT6" s="97" t="str">
        <f t="shared" si="245"/>
        <v/>
      </c>
      <c r="WDU6" s="97" t="str">
        <f t="shared" si="245"/>
        <v/>
      </c>
      <c r="WDV6" s="97" t="str">
        <f t="shared" si="245"/>
        <v/>
      </c>
      <c r="WDW6" s="97" t="str">
        <f t="shared" si="245"/>
        <v/>
      </c>
      <c r="WDX6" s="97" t="str">
        <f t="shared" si="245"/>
        <v/>
      </c>
      <c r="WDY6" s="97" t="str">
        <f t="shared" si="245"/>
        <v/>
      </c>
      <c r="WDZ6" s="97" t="str">
        <f t="shared" si="245"/>
        <v/>
      </c>
      <c r="WEA6" s="97" t="str">
        <f t="shared" si="245"/>
        <v/>
      </c>
      <c r="WEB6" s="97" t="str">
        <f t="shared" si="245"/>
        <v/>
      </c>
      <c r="WEC6" s="97" t="str">
        <f t="shared" si="245"/>
        <v/>
      </c>
      <c r="WED6" s="97" t="str">
        <f t="shared" si="245"/>
        <v/>
      </c>
      <c r="WEE6" s="97" t="str">
        <f t="shared" si="245"/>
        <v/>
      </c>
      <c r="WEF6" s="97" t="str">
        <f t="shared" si="245"/>
        <v/>
      </c>
      <c r="WEG6" s="97" t="str">
        <f t="shared" si="245"/>
        <v/>
      </c>
      <c r="WEH6" s="97" t="str">
        <f t="shared" ref="WEH6:WGS6" si="246">IFERROR(AVERAGE(WEH7:WEH13),"")</f>
        <v/>
      </c>
      <c r="WEI6" s="97" t="str">
        <f t="shared" si="246"/>
        <v/>
      </c>
      <c r="WEJ6" s="97" t="str">
        <f t="shared" si="246"/>
        <v/>
      </c>
      <c r="WEK6" s="97" t="str">
        <f t="shared" si="246"/>
        <v/>
      </c>
      <c r="WEL6" s="97" t="str">
        <f t="shared" si="246"/>
        <v/>
      </c>
      <c r="WEM6" s="97" t="str">
        <f t="shared" si="246"/>
        <v/>
      </c>
      <c r="WEN6" s="97" t="str">
        <f t="shared" si="246"/>
        <v/>
      </c>
      <c r="WEO6" s="97" t="str">
        <f t="shared" si="246"/>
        <v/>
      </c>
      <c r="WEP6" s="97" t="str">
        <f t="shared" si="246"/>
        <v/>
      </c>
      <c r="WEQ6" s="97" t="str">
        <f t="shared" si="246"/>
        <v/>
      </c>
      <c r="WER6" s="97" t="str">
        <f t="shared" si="246"/>
        <v/>
      </c>
      <c r="WES6" s="97" t="str">
        <f t="shared" si="246"/>
        <v/>
      </c>
      <c r="WET6" s="97" t="str">
        <f t="shared" si="246"/>
        <v/>
      </c>
      <c r="WEU6" s="97" t="str">
        <f t="shared" si="246"/>
        <v/>
      </c>
      <c r="WEV6" s="97" t="str">
        <f t="shared" si="246"/>
        <v/>
      </c>
      <c r="WEW6" s="97" t="str">
        <f t="shared" si="246"/>
        <v/>
      </c>
      <c r="WEX6" s="97" t="str">
        <f t="shared" si="246"/>
        <v/>
      </c>
      <c r="WEY6" s="97" t="str">
        <f t="shared" si="246"/>
        <v/>
      </c>
      <c r="WEZ6" s="97" t="str">
        <f t="shared" si="246"/>
        <v/>
      </c>
      <c r="WFA6" s="97" t="str">
        <f t="shared" si="246"/>
        <v/>
      </c>
      <c r="WFB6" s="97" t="str">
        <f t="shared" si="246"/>
        <v/>
      </c>
      <c r="WFC6" s="97" t="str">
        <f t="shared" si="246"/>
        <v/>
      </c>
      <c r="WFD6" s="97" t="str">
        <f t="shared" si="246"/>
        <v/>
      </c>
      <c r="WFE6" s="97" t="str">
        <f t="shared" si="246"/>
        <v/>
      </c>
      <c r="WFF6" s="97" t="str">
        <f t="shared" si="246"/>
        <v/>
      </c>
      <c r="WFG6" s="97" t="str">
        <f t="shared" si="246"/>
        <v/>
      </c>
      <c r="WFH6" s="97" t="str">
        <f t="shared" si="246"/>
        <v/>
      </c>
      <c r="WFI6" s="97" t="str">
        <f t="shared" si="246"/>
        <v/>
      </c>
      <c r="WFJ6" s="97" t="str">
        <f t="shared" si="246"/>
        <v/>
      </c>
      <c r="WFK6" s="97" t="str">
        <f t="shared" si="246"/>
        <v/>
      </c>
      <c r="WFL6" s="97" t="str">
        <f t="shared" si="246"/>
        <v/>
      </c>
      <c r="WFM6" s="97" t="str">
        <f t="shared" si="246"/>
        <v/>
      </c>
      <c r="WFN6" s="97" t="str">
        <f t="shared" si="246"/>
        <v/>
      </c>
      <c r="WFO6" s="97" t="str">
        <f t="shared" si="246"/>
        <v/>
      </c>
      <c r="WFP6" s="97" t="str">
        <f t="shared" si="246"/>
        <v/>
      </c>
      <c r="WFQ6" s="97" t="str">
        <f t="shared" si="246"/>
        <v/>
      </c>
      <c r="WFR6" s="97" t="str">
        <f t="shared" si="246"/>
        <v/>
      </c>
      <c r="WFS6" s="97" t="str">
        <f t="shared" si="246"/>
        <v/>
      </c>
      <c r="WFT6" s="97" t="str">
        <f t="shared" si="246"/>
        <v/>
      </c>
      <c r="WFU6" s="97" t="str">
        <f t="shared" si="246"/>
        <v/>
      </c>
      <c r="WFV6" s="97" t="str">
        <f t="shared" si="246"/>
        <v/>
      </c>
      <c r="WFW6" s="97" t="str">
        <f t="shared" si="246"/>
        <v/>
      </c>
      <c r="WFX6" s="97" t="str">
        <f t="shared" si="246"/>
        <v/>
      </c>
      <c r="WFY6" s="97" t="str">
        <f t="shared" si="246"/>
        <v/>
      </c>
      <c r="WFZ6" s="97" t="str">
        <f t="shared" si="246"/>
        <v/>
      </c>
      <c r="WGA6" s="97" t="str">
        <f t="shared" si="246"/>
        <v/>
      </c>
      <c r="WGB6" s="97" t="str">
        <f t="shared" si="246"/>
        <v/>
      </c>
      <c r="WGC6" s="97" t="str">
        <f t="shared" si="246"/>
        <v/>
      </c>
      <c r="WGD6" s="97" t="str">
        <f t="shared" si="246"/>
        <v/>
      </c>
      <c r="WGE6" s="97" t="str">
        <f t="shared" si="246"/>
        <v/>
      </c>
      <c r="WGF6" s="97" t="str">
        <f t="shared" si="246"/>
        <v/>
      </c>
      <c r="WGG6" s="97" t="str">
        <f t="shared" si="246"/>
        <v/>
      </c>
      <c r="WGH6" s="97" t="str">
        <f t="shared" si="246"/>
        <v/>
      </c>
      <c r="WGI6" s="97" t="str">
        <f t="shared" si="246"/>
        <v/>
      </c>
      <c r="WGJ6" s="97" t="str">
        <f t="shared" si="246"/>
        <v/>
      </c>
      <c r="WGK6" s="97" t="str">
        <f t="shared" si="246"/>
        <v/>
      </c>
      <c r="WGL6" s="97" t="str">
        <f t="shared" si="246"/>
        <v/>
      </c>
      <c r="WGM6" s="97" t="str">
        <f t="shared" si="246"/>
        <v/>
      </c>
      <c r="WGN6" s="97" t="str">
        <f t="shared" si="246"/>
        <v/>
      </c>
      <c r="WGO6" s="97" t="str">
        <f t="shared" si="246"/>
        <v/>
      </c>
      <c r="WGP6" s="97" t="str">
        <f t="shared" si="246"/>
        <v/>
      </c>
      <c r="WGQ6" s="97" t="str">
        <f t="shared" si="246"/>
        <v/>
      </c>
      <c r="WGR6" s="97" t="str">
        <f t="shared" si="246"/>
        <v/>
      </c>
      <c r="WGS6" s="97" t="str">
        <f t="shared" si="246"/>
        <v/>
      </c>
      <c r="WGT6" s="97" t="str">
        <f t="shared" ref="WGT6:WJE6" si="247">IFERROR(AVERAGE(WGT7:WGT13),"")</f>
        <v/>
      </c>
      <c r="WGU6" s="97" t="str">
        <f t="shared" si="247"/>
        <v/>
      </c>
      <c r="WGV6" s="97" t="str">
        <f t="shared" si="247"/>
        <v/>
      </c>
      <c r="WGW6" s="97" t="str">
        <f t="shared" si="247"/>
        <v/>
      </c>
      <c r="WGX6" s="97" t="str">
        <f t="shared" si="247"/>
        <v/>
      </c>
      <c r="WGY6" s="97" t="str">
        <f t="shared" si="247"/>
        <v/>
      </c>
      <c r="WGZ6" s="97" t="str">
        <f t="shared" si="247"/>
        <v/>
      </c>
      <c r="WHA6" s="97" t="str">
        <f t="shared" si="247"/>
        <v/>
      </c>
      <c r="WHB6" s="97" t="str">
        <f t="shared" si="247"/>
        <v/>
      </c>
      <c r="WHC6" s="97" t="str">
        <f t="shared" si="247"/>
        <v/>
      </c>
      <c r="WHD6" s="97" t="str">
        <f t="shared" si="247"/>
        <v/>
      </c>
      <c r="WHE6" s="97" t="str">
        <f t="shared" si="247"/>
        <v/>
      </c>
      <c r="WHF6" s="97" t="str">
        <f t="shared" si="247"/>
        <v/>
      </c>
      <c r="WHG6" s="97" t="str">
        <f t="shared" si="247"/>
        <v/>
      </c>
      <c r="WHH6" s="97" t="str">
        <f t="shared" si="247"/>
        <v/>
      </c>
      <c r="WHI6" s="97" t="str">
        <f t="shared" si="247"/>
        <v/>
      </c>
      <c r="WHJ6" s="97" t="str">
        <f t="shared" si="247"/>
        <v/>
      </c>
      <c r="WHK6" s="97" t="str">
        <f t="shared" si="247"/>
        <v/>
      </c>
      <c r="WHL6" s="97" t="str">
        <f t="shared" si="247"/>
        <v/>
      </c>
      <c r="WHM6" s="97" t="str">
        <f t="shared" si="247"/>
        <v/>
      </c>
      <c r="WHN6" s="97" t="str">
        <f t="shared" si="247"/>
        <v/>
      </c>
      <c r="WHO6" s="97" t="str">
        <f t="shared" si="247"/>
        <v/>
      </c>
      <c r="WHP6" s="97" t="str">
        <f t="shared" si="247"/>
        <v/>
      </c>
      <c r="WHQ6" s="97" t="str">
        <f t="shared" si="247"/>
        <v/>
      </c>
      <c r="WHR6" s="97" t="str">
        <f t="shared" si="247"/>
        <v/>
      </c>
      <c r="WHS6" s="97" t="str">
        <f t="shared" si="247"/>
        <v/>
      </c>
      <c r="WHT6" s="97" t="str">
        <f t="shared" si="247"/>
        <v/>
      </c>
      <c r="WHU6" s="97" t="str">
        <f t="shared" si="247"/>
        <v/>
      </c>
      <c r="WHV6" s="97" t="str">
        <f t="shared" si="247"/>
        <v/>
      </c>
      <c r="WHW6" s="97" t="str">
        <f t="shared" si="247"/>
        <v/>
      </c>
      <c r="WHX6" s="97" t="str">
        <f t="shared" si="247"/>
        <v/>
      </c>
      <c r="WHY6" s="97" t="str">
        <f t="shared" si="247"/>
        <v/>
      </c>
      <c r="WHZ6" s="97" t="str">
        <f t="shared" si="247"/>
        <v/>
      </c>
      <c r="WIA6" s="97" t="str">
        <f t="shared" si="247"/>
        <v/>
      </c>
      <c r="WIB6" s="97" t="str">
        <f t="shared" si="247"/>
        <v/>
      </c>
      <c r="WIC6" s="97" t="str">
        <f t="shared" si="247"/>
        <v/>
      </c>
      <c r="WID6" s="97" t="str">
        <f t="shared" si="247"/>
        <v/>
      </c>
      <c r="WIE6" s="97" t="str">
        <f t="shared" si="247"/>
        <v/>
      </c>
      <c r="WIF6" s="97" t="str">
        <f t="shared" si="247"/>
        <v/>
      </c>
      <c r="WIG6" s="97" t="str">
        <f t="shared" si="247"/>
        <v/>
      </c>
      <c r="WIH6" s="97" t="str">
        <f t="shared" si="247"/>
        <v/>
      </c>
      <c r="WII6" s="97" t="str">
        <f t="shared" si="247"/>
        <v/>
      </c>
      <c r="WIJ6" s="97" t="str">
        <f t="shared" si="247"/>
        <v/>
      </c>
      <c r="WIK6" s="97" t="str">
        <f t="shared" si="247"/>
        <v/>
      </c>
      <c r="WIL6" s="97" t="str">
        <f t="shared" si="247"/>
        <v/>
      </c>
      <c r="WIM6" s="97" t="str">
        <f t="shared" si="247"/>
        <v/>
      </c>
      <c r="WIN6" s="97" t="str">
        <f t="shared" si="247"/>
        <v/>
      </c>
      <c r="WIO6" s="97" t="str">
        <f t="shared" si="247"/>
        <v/>
      </c>
      <c r="WIP6" s="97" t="str">
        <f t="shared" si="247"/>
        <v/>
      </c>
      <c r="WIQ6" s="97" t="str">
        <f t="shared" si="247"/>
        <v/>
      </c>
      <c r="WIR6" s="97" t="str">
        <f t="shared" si="247"/>
        <v/>
      </c>
      <c r="WIS6" s="97" t="str">
        <f t="shared" si="247"/>
        <v/>
      </c>
      <c r="WIT6" s="97" t="str">
        <f t="shared" si="247"/>
        <v/>
      </c>
      <c r="WIU6" s="97" t="str">
        <f t="shared" si="247"/>
        <v/>
      </c>
      <c r="WIV6" s="97" t="str">
        <f t="shared" si="247"/>
        <v/>
      </c>
      <c r="WIW6" s="97" t="str">
        <f t="shared" si="247"/>
        <v/>
      </c>
      <c r="WIX6" s="97" t="str">
        <f t="shared" si="247"/>
        <v/>
      </c>
      <c r="WIY6" s="97" t="str">
        <f t="shared" si="247"/>
        <v/>
      </c>
      <c r="WIZ6" s="97" t="str">
        <f t="shared" si="247"/>
        <v/>
      </c>
      <c r="WJA6" s="97" t="str">
        <f t="shared" si="247"/>
        <v/>
      </c>
      <c r="WJB6" s="97" t="str">
        <f t="shared" si="247"/>
        <v/>
      </c>
      <c r="WJC6" s="97" t="str">
        <f t="shared" si="247"/>
        <v/>
      </c>
      <c r="WJD6" s="97" t="str">
        <f t="shared" si="247"/>
        <v/>
      </c>
      <c r="WJE6" s="97" t="str">
        <f t="shared" si="247"/>
        <v/>
      </c>
      <c r="WJF6" s="97" t="str">
        <f t="shared" ref="WJF6:WLQ6" si="248">IFERROR(AVERAGE(WJF7:WJF13),"")</f>
        <v/>
      </c>
      <c r="WJG6" s="97" t="str">
        <f t="shared" si="248"/>
        <v/>
      </c>
      <c r="WJH6" s="97" t="str">
        <f t="shared" si="248"/>
        <v/>
      </c>
      <c r="WJI6" s="97" t="str">
        <f t="shared" si="248"/>
        <v/>
      </c>
      <c r="WJJ6" s="97" t="str">
        <f t="shared" si="248"/>
        <v/>
      </c>
      <c r="WJK6" s="97" t="str">
        <f t="shared" si="248"/>
        <v/>
      </c>
      <c r="WJL6" s="97" t="str">
        <f t="shared" si="248"/>
        <v/>
      </c>
      <c r="WJM6" s="97" t="str">
        <f t="shared" si="248"/>
        <v/>
      </c>
      <c r="WJN6" s="97" t="str">
        <f t="shared" si="248"/>
        <v/>
      </c>
      <c r="WJO6" s="97" t="str">
        <f t="shared" si="248"/>
        <v/>
      </c>
      <c r="WJP6" s="97" t="str">
        <f t="shared" si="248"/>
        <v/>
      </c>
      <c r="WJQ6" s="97" t="str">
        <f t="shared" si="248"/>
        <v/>
      </c>
      <c r="WJR6" s="97" t="str">
        <f t="shared" si="248"/>
        <v/>
      </c>
      <c r="WJS6" s="97" t="str">
        <f t="shared" si="248"/>
        <v/>
      </c>
      <c r="WJT6" s="97" t="str">
        <f t="shared" si="248"/>
        <v/>
      </c>
      <c r="WJU6" s="97" t="str">
        <f t="shared" si="248"/>
        <v/>
      </c>
      <c r="WJV6" s="97" t="str">
        <f t="shared" si="248"/>
        <v/>
      </c>
      <c r="WJW6" s="97" t="str">
        <f t="shared" si="248"/>
        <v/>
      </c>
      <c r="WJX6" s="97" t="str">
        <f t="shared" si="248"/>
        <v/>
      </c>
      <c r="WJY6" s="97" t="str">
        <f t="shared" si="248"/>
        <v/>
      </c>
      <c r="WJZ6" s="97" t="str">
        <f t="shared" si="248"/>
        <v/>
      </c>
      <c r="WKA6" s="97" t="str">
        <f t="shared" si="248"/>
        <v/>
      </c>
      <c r="WKB6" s="97" t="str">
        <f t="shared" si="248"/>
        <v/>
      </c>
      <c r="WKC6" s="97" t="str">
        <f t="shared" si="248"/>
        <v/>
      </c>
      <c r="WKD6" s="97" t="str">
        <f t="shared" si="248"/>
        <v/>
      </c>
      <c r="WKE6" s="97" t="str">
        <f t="shared" si="248"/>
        <v/>
      </c>
      <c r="WKF6" s="97" t="str">
        <f t="shared" si="248"/>
        <v/>
      </c>
      <c r="WKG6" s="97" t="str">
        <f t="shared" si="248"/>
        <v/>
      </c>
      <c r="WKH6" s="97" t="str">
        <f t="shared" si="248"/>
        <v/>
      </c>
      <c r="WKI6" s="97" t="str">
        <f t="shared" si="248"/>
        <v/>
      </c>
      <c r="WKJ6" s="97" t="str">
        <f t="shared" si="248"/>
        <v/>
      </c>
      <c r="WKK6" s="97" t="str">
        <f t="shared" si="248"/>
        <v/>
      </c>
      <c r="WKL6" s="97" t="str">
        <f t="shared" si="248"/>
        <v/>
      </c>
      <c r="WKM6" s="97" t="str">
        <f t="shared" si="248"/>
        <v/>
      </c>
      <c r="WKN6" s="97" t="str">
        <f t="shared" si="248"/>
        <v/>
      </c>
      <c r="WKO6" s="97" t="str">
        <f t="shared" si="248"/>
        <v/>
      </c>
      <c r="WKP6" s="97" t="str">
        <f t="shared" si="248"/>
        <v/>
      </c>
      <c r="WKQ6" s="97" t="str">
        <f t="shared" si="248"/>
        <v/>
      </c>
      <c r="WKR6" s="97" t="str">
        <f t="shared" si="248"/>
        <v/>
      </c>
      <c r="WKS6" s="97" t="str">
        <f t="shared" si="248"/>
        <v/>
      </c>
      <c r="WKT6" s="97" t="str">
        <f t="shared" si="248"/>
        <v/>
      </c>
      <c r="WKU6" s="97" t="str">
        <f t="shared" si="248"/>
        <v/>
      </c>
      <c r="WKV6" s="97" t="str">
        <f t="shared" si="248"/>
        <v/>
      </c>
      <c r="WKW6" s="97" t="str">
        <f t="shared" si="248"/>
        <v/>
      </c>
      <c r="WKX6" s="97" t="str">
        <f t="shared" si="248"/>
        <v/>
      </c>
      <c r="WKY6" s="97" t="str">
        <f t="shared" si="248"/>
        <v/>
      </c>
      <c r="WKZ6" s="97" t="str">
        <f t="shared" si="248"/>
        <v/>
      </c>
      <c r="WLA6" s="97" t="str">
        <f t="shared" si="248"/>
        <v/>
      </c>
      <c r="WLB6" s="97" t="str">
        <f t="shared" si="248"/>
        <v/>
      </c>
      <c r="WLC6" s="97" t="str">
        <f t="shared" si="248"/>
        <v/>
      </c>
      <c r="WLD6" s="97" t="str">
        <f t="shared" si="248"/>
        <v/>
      </c>
      <c r="WLE6" s="97" t="str">
        <f t="shared" si="248"/>
        <v/>
      </c>
      <c r="WLF6" s="97" t="str">
        <f t="shared" si="248"/>
        <v/>
      </c>
      <c r="WLG6" s="97" t="str">
        <f t="shared" si="248"/>
        <v/>
      </c>
      <c r="WLH6" s="97" t="str">
        <f t="shared" si="248"/>
        <v/>
      </c>
      <c r="WLI6" s="97" t="str">
        <f t="shared" si="248"/>
        <v/>
      </c>
      <c r="WLJ6" s="97" t="str">
        <f t="shared" si="248"/>
        <v/>
      </c>
      <c r="WLK6" s="97" t="str">
        <f t="shared" si="248"/>
        <v/>
      </c>
      <c r="WLL6" s="97" t="str">
        <f t="shared" si="248"/>
        <v/>
      </c>
      <c r="WLM6" s="97" t="str">
        <f t="shared" si="248"/>
        <v/>
      </c>
      <c r="WLN6" s="97" t="str">
        <f t="shared" si="248"/>
        <v/>
      </c>
      <c r="WLO6" s="97" t="str">
        <f t="shared" si="248"/>
        <v/>
      </c>
      <c r="WLP6" s="97" t="str">
        <f t="shared" si="248"/>
        <v/>
      </c>
      <c r="WLQ6" s="97" t="str">
        <f t="shared" si="248"/>
        <v/>
      </c>
      <c r="WLR6" s="97" t="str">
        <f t="shared" ref="WLR6:WOC6" si="249">IFERROR(AVERAGE(WLR7:WLR13),"")</f>
        <v/>
      </c>
      <c r="WLS6" s="97" t="str">
        <f t="shared" si="249"/>
        <v/>
      </c>
      <c r="WLT6" s="97" t="str">
        <f t="shared" si="249"/>
        <v/>
      </c>
      <c r="WLU6" s="97" t="str">
        <f t="shared" si="249"/>
        <v/>
      </c>
      <c r="WLV6" s="97" t="str">
        <f t="shared" si="249"/>
        <v/>
      </c>
      <c r="WLW6" s="97" t="str">
        <f t="shared" si="249"/>
        <v/>
      </c>
      <c r="WLX6" s="97" t="str">
        <f t="shared" si="249"/>
        <v/>
      </c>
      <c r="WLY6" s="97" t="str">
        <f t="shared" si="249"/>
        <v/>
      </c>
      <c r="WLZ6" s="97" t="str">
        <f t="shared" si="249"/>
        <v/>
      </c>
      <c r="WMA6" s="97" t="str">
        <f t="shared" si="249"/>
        <v/>
      </c>
      <c r="WMB6" s="97" t="str">
        <f t="shared" si="249"/>
        <v/>
      </c>
      <c r="WMC6" s="97" t="str">
        <f t="shared" si="249"/>
        <v/>
      </c>
      <c r="WMD6" s="97" t="str">
        <f t="shared" si="249"/>
        <v/>
      </c>
      <c r="WME6" s="97" t="str">
        <f t="shared" si="249"/>
        <v/>
      </c>
      <c r="WMF6" s="97" t="str">
        <f t="shared" si="249"/>
        <v/>
      </c>
      <c r="WMG6" s="97" t="str">
        <f t="shared" si="249"/>
        <v/>
      </c>
      <c r="WMH6" s="97" t="str">
        <f t="shared" si="249"/>
        <v/>
      </c>
      <c r="WMI6" s="97" t="str">
        <f t="shared" si="249"/>
        <v/>
      </c>
      <c r="WMJ6" s="97" t="str">
        <f t="shared" si="249"/>
        <v/>
      </c>
      <c r="WMK6" s="97" t="str">
        <f t="shared" si="249"/>
        <v/>
      </c>
      <c r="WML6" s="97" t="str">
        <f t="shared" si="249"/>
        <v/>
      </c>
      <c r="WMM6" s="97" t="str">
        <f t="shared" si="249"/>
        <v/>
      </c>
      <c r="WMN6" s="97" t="str">
        <f t="shared" si="249"/>
        <v/>
      </c>
      <c r="WMO6" s="97" t="str">
        <f t="shared" si="249"/>
        <v/>
      </c>
      <c r="WMP6" s="97" t="str">
        <f t="shared" si="249"/>
        <v/>
      </c>
      <c r="WMQ6" s="97" t="str">
        <f t="shared" si="249"/>
        <v/>
      </c>
      <c r="WMR6" s="97" t="str">
        <f t="shared" si="249"/>
        <v/>
      </c>
      <c r="WMS6" s="97" t="str">
        <f t="shared" si="249"/>
        <v/>
      </c>
      <c r="WMT6" s="97" t="str">
        <f t="shared" si="249"/>
        <v/>
      </c>
      <c r="WMU6" s="97" t="str">
        <f t="shared" si="249"/>
        <v/>
      </c>
      <c r="WMV6" s="97" t="str">
        <f t="shared" si="249"/>
        <v/>
      </c>
      <c r="WMW6" s="97" t="str">
        <f t="shared" si="249"/>
        <v/>
      </c>
      <c r="WMX6" s="97" t="str">
        <f t="shared" si="249"/>
        <v/>
      </c>
      <c r="WMY6" s="97" t="str">
        <f t="shared" si="249"/>
        <v/>
      </c>
      <c r="WMZ6" s="97" t="str">
        <f t="shared" si="249"/>
        <v/>
      </c>
      <c r="WNA6" s="97" t="str">
        <f t="shared" si="249"/>
        <v/>
      </c>
      <c r="WNB6" s="97" t="str">
        <f t="shared" si="249"/>
        <v/>
      </c>
      <c r="WNC6" s="97" t="str">
        <f t="shared" si="249"/>
        <v/>
      </c>
      <c r="WND6" s="97" t="str">
        <f t="shared" si="249"/>
        <v/>
      </c>
      <c r="WNE6" s="97" t="str">
        <f t="shared" si="249"/>
        <v/>
      </c>
      <c r="WNF6" s="97" t="str">
        <f t="shared" si="249"/>
        <v/>
      </c>
      <c r="WNG6" s="97" t="str">
        <f t="shared" si="249"/>
        <v/>
      </c>
      <c r="WNH6" s="97" t="str">
        <f t="shared" si="249"/>
        <v/>
      </c>
      <c r="WNI6" s="97" t="str">
        <f t="shared" si="249"/>
        <v/>
      </c>
      <c r="WNJ6" s="97" t="str">
        <f t="shared" si="249"/>
        <v/>
      </c>
      <c r="WNK6" s="97" t="str">
        <f t="shared" si="249"/>
        <v/>
      </c>
      <c r="WNL6" s="97" t="str">
        <f t="shared" si="249"/>
        <v/>
      </c>
      <c r="WNM6" s="97" t="str">
        <f t="shared" si="249"/>
        <v/>
      </c>
      <c r="WNN6" s="97" t="str">
        <f t="shared" si="249"/>
        <v/>
      </c>
      <c r="WNO6" s="97" t="str">
        <f t="shared" si="249"/>
        <v/>
      </c>
      <c r="WNP6" s="97" t="str">
        <f t="shared" si="249"/>
        <v/>
      </c>
      <c r="WNQ6" s="97" t="str">
        <f t="shared" si="249"/>
        <v/>
      </c>
      <c r="WNR6" s="97" t="str">
        <f t="shared" si="249"/>
        <v/>
      </c>
      <c r="WNS6" s="97" t="str">
        <f t="shared" si="249"/>
        <v/>
      </c>
      <c r="WNT6" s="97" t="str">
        <f t="shared" si="249"/>
        <v/>
      </c>
      <c r="WNU6" s="97" t="str">
        <f t="shared" si="249"/>
        <v/>
      </c>
      <c r="WNV6" s="97" t="str">
        <f t="shared" si="249"/>
        <v/>
      </c>
      <c r="WNW6" s="97" t="str">
        <f t="shared" si="249"/>
        <v/>
      </c>
      <c r="WNX6" s="97" t="str">
        <f t="shared" si="249"/>
        <v/>
      </c>
      <c r="WNY6" s="97" t="str">
        <f t="shared" si="249"/>
        <v/>
      </c>
      <c r="WNZ6" s="97" t="str">
        <f t="shared" si="249"/>
        <v/>
      </c>
      <c r="WOA6" s="97" t="str">
        <f t="shared" si="249"/>
        <v/>
      </c>
      <c r="WOB6" s="97" t="str">
        <f t="shared" si="249"/>
        <v/>
      </c>
      <c r="WOC6" s="97" t="str">
        <f t="shared" si="249"/>
        <v/>
      </c>
      <c r="WOD6" s="97" t="str">
        <f t="shared" ref="WOD6:WQO6" si="250">IFERROR(AVERAGE(WOD7:WOD13),"")</f>
        <v/>
      </c>
      <c r="WOE6" s="97" t="str">
        <f t="shared" si="250"/>
        <v/>
      </c>
      <c r="WOF6" s="97" t="str">
        <f t="shared" si="250"/>
        <v/>
      </c>
      <c r="WOG6" s="97" t="str">
        <f t="shared" si="250"/>
        <v/>
      </c>
      <c r="WOH6" s="97" t="str">
        <f t="shared" si="250"/>
        <v/>
      </c>
      <c r="WOI6" s="97" t="str">
        <f t="shared" si="250"/>
        <v/>
      </c>
      <c r="WOJ6" s="97" t="str">
        <f t="shared" si="250"/>
        <v/>
      </c>
      <c r="WOK6" s="97" t="str">
        <f t="shared" si="250"/>
        <v/>
      </c>
      <c r="WOL6" s="97" t="str">
        <f t="shared" si="250"/>
        <v/>
      </c>
      <c r="WOM6" s="97" t="str">
        <f t="shared" si="250"/>
        <v/>
      </c>
      <c r="WON6" s="97" t="str">
        <f t="shared" si="250"/>
        <v/>
      </c>
      <c r="WOO6" s="97" t="str">
        <f t="shared" si="250"/>
        <v/>
      </c>
      <c r="WOP6" s="97" t="str">
        <f t="shared" si="250"/>
        <v/>
      </c>
      <c r="WOQ6" s="97" t="str">
        <f t="shared" si="250"/>
        <v/>
      </c>
      <c r="WOR6" s="97" t="str">
        <f t="shared" si="250"/>
        <v/>
      </c>
      <c r="WOS6" s="97" t="str">
        <f t="shared" si="250"/>
        <v/>
      </c>
      <c r="WOT6" s="97" t="str">
        <f t="shared" si="250"/>
        <v/>
      </c>
      <c r="WOU6" s="97" t="str">
        <f t="shared" si="250"/>
        <v/>
      </c>
      <c r="WOV6" s="97" t="str">
        <f t="shared" si="250"/>
        <v/>
      </c>
      <c r="WOW6" s="97" t="str">
        <f t="shared" si="250"/>
        <v/>
      </c>
      <c r="WOX6" s="97" t="str">
        <f t="shared" si="250"/>
        <v/>
      </c>
      <c r="WOY6" s="97" t="str">
        <f t="shared" si="250"/>
        <v/>
      </c>
      <c r="WOZ6" s="97" t="str">
        <f t="shared" si="250"/>
        <v/>
      </c>
      <c r="WPA6" s="97" t="str">
        <f t="shared" si="250"/>
        <v/>
      </c>
      <c r="WPB6" s="97" t="str">
        <f t="shared" si="250"/>
        <v/>
      </c>
      <c r="WPC6" s="97" t="str">
        <f t="shared" si="250"/>
        <v/>
      </c>
      <c r="WPD6" s="97" t="str">
        <f t="shared" si="250"/>
        <v/>
      </c>
      <c r="WPE6" s="97" t="str">
        <f t="shared" si="250"/>
        <v/>
      </c>
      <c r="WPF6" s="97" t="str">
        <f t="shared" si="250"/>
        <v/>
      </c>
      <c r="WPG6" s="97" t="str">
        <f t="shared" si="250"/>
        <v/>
      </c>
      <c r="WPH6" s="97" t="str">
        <f t="shared" si="250"/>
        <v/>
      </c>
      <c r="WPI6" s="97" t="str">
        <f t="shared" si="250"/>
        <v/>
      </c>
      <c r="WPJ6" s="97" t="str">
        <f t="shared" si="250"/>
        <v/>
      </c>
      <c r="WPK6" s="97" t="str">
        <f t="shared" si="250"/>
        <v/>
      </c>
      <c r="WPL6" s="97" t="str">
        <f t="shared" si="250"/>
        <v/>
      </c>
      <c r="WPM6" s="97" t="str">
        <f t="shared" si="250"/>
        <v/>
      </c>
      <c r="WPN6" s="97" t="str">
        <f t="shared" si="250"/>
        <v/>
      </c>
      <c r="WPO6" s="97" t="str">
        <f t="shared" si="250"/>
        <v/>
      </c>
      <c r="WPP6" s="97" t="str">
        <f t="shared" si="250"/>
        <v/>
      </c>
      <c r="WPQ6" s="97" t="str">
        <f t="shared" si="250"/>
        <v/>
      </c>
      <c r="WPR6" s="97" t="str">
        <f t="shared" si="250"/>
        <v/>
      </c>
      <c r="WPS6" s="97" t="str">
        <f t="shared" si="250"/>
        <v/>
      </c>
      <c r="WPT6" s="97" t="str">
        <f t="shared" si="250"/>
        <v/>
      </c>
      <c r="WPU6" s="97" t="str">
        <f t="shared" si="250"/>
        <v/>
      </c>
      <c r="WPV6" s="97" t="str">
        <f t="shared" si="250"/>
        <v/>
      </c>
      <c r="WPW6" s="97" t="str">
        <f t="shared" si="250"/>
        <v/>
      </c>
      <c r="WPX6" s="97" t="str">
        <f t="shared" si="250"/>
        <v/>
      </c>
      <c r="WPY6" s="97" t="str">
        <f t="shared" si="250"/>
        <v/>
      </c>
      <c r="WPZ6" s="97" t="str">
        <f t="shared" si="250"/>
        <v/>
      </c>
      <c r="WQA6" s="97" t="str">
        <f t="shared" si="250"/>
        <v/>
      </c>
      <c r="WQB6" s="97" t="str">
        <f t="shared" si="250"/>
        <v/>
      </c>
      <c r="WQC6" s="97" t="str">
        <f t="shared" si="250"/>
        <v/>
      </c>
      <c r="WQD6" s="97" t="str">
        <f t="shared" si="250"/>
        <v/>
      </c>
      <c r="WQE6" s="97" t="str">
        <f t="shared" si="250"/>
        <v/>
      </c>
      <c r="WQF6" s="97" t="str">
        <f t="shared" si="250"/>
        <v/>
      </c>
      <c r="WQG6" s="97" t="str">
        <f t="shared" si="250"/>
        <v/>
      </c>
      <c r="WQH6" s="97" t="str">
        <f t="shared" si="250"/>
        <v/>
      </c>
      <c r="WQI6" s="97" t="str">
        <f t="shared" si="250"/>
        <v/>
      </c>
      <c r="WQJ6" s="97" t="str">
        <f t="shared" si="250"/>
        <v/>
      </c>
      <c r="WQK6" s="97" t="str">
        <f t="shared" si="250"/>
        <v/>
      </c>
      <c r="WQL6" s="97" t="str">
        <f t="shared" si="250"/>
        <v/>
      </c>
      <c r="WQM6" s="97" t="str">
        <f t="shared" si="250"/>
        <v/>
      </c>
      <c r="WQN6" s="97" t="str">
        <f t="shared" si="250"/>
        <v/>
      </c>
      <c r="WQO6" s="97" t="str">
        <f t="shared" si="250"/>
        <v/>
      </c>
      <c r="WQP6" s="97" t="str">
        <f t="shared" ref="WQP6:WTA6" si="251">IFERROR(AVERAGE(WQP7:WQP13),"")</f>
        <v/>
      </c>
      <c r="WQQ6" s="97" t="str">
        <f t="shared" si="251"/>
        <v/>
      </c>
      <c r="WQR6" s="97" t="str">
        <f t="shared" si="251"/>
        <v/>
      </c>
      <c r="WQS6" s="97" t="str">
        <f t="shared" si="251"/>
        <v/>
      </c>
      <c r="WQT6" s="97" t="str">
        <f t="shared" si="251"/>
        <v/>
      </c>
      <c r="WQU6" s="97" t="str">
        <f t="shared" si="251"/>
        <v/>
      </c>
      <c r="WQV6" s="97" t="str">
        <f t="shared" si="251"/>
        <v/>
      </c>
      <c r="WQW6" s="97" t="str">
        <f t="shared" si="251"/>
        <v/>
      </c>
      <c r="WQX6" s="97" t="str">
        <f t="shared" si="251"/>
        <v/>
      </c>
      <c r="WQY6" s="97" t="str">
        <f t="shared" si="251"/>
        <v/>
      </c>
      <c r="WQZ6" s="97" t="str">
        <f t="shared" si="251"/>
        <v/>
      </c>
      <c r="WRA6" s="97" t="str">
        <f t="shared" si="251"/>
        <v/>
      </c>
      <c r="WRB6" s="97" t="str">
        <f t="shared" si="251"/>
        <v/>
      </c>
      <c r="WRC6" s="97" t="str">
        <f t="shared" si="251"/>
        <v/>
      </c>
      <c r="WRD6" s="97" t="str">
        <f t="shared" si="251"/>
        <v/>
      </c>
      <c r="WRE6" s="97" t="str">
        <f t="shared" si="251"/>
        <v/>
      </c>
      <c r="WRF6" s="97" t="str">
        <f t="shared" si="251"/>
        <v/>
      </c>
      <c r="WRG6" s="97" t="str">
        <f t="shared" si="251"/>
        <v/>
      </c>
      <c r="WRH6" s="97" t="str">
        <f t="shared" si="251"/>
        <v/>
      </c>
      <c r="WRI6" s="97" t="str">
        <f t="shared" si="251"/>
        <v/>
      </c>
      <c r="WRJ6" s="97" t="str">
        <f t="shared" si="251"/>
        <v/>
      </c>
      <c r="WRK6" s="97" t="str">
        <f t="shared" si="251"/>
        <v/>
      </c>
      <c r="WRL6" s="97" t="str">
        <f t="shared" si="251"/>
        <v/>
      </c>
      <c r="WRM6" s="97" t="str">
        <f t="shared" si="251"/>
        <v/>
      </c>
      <c r="WRN6" s="97" t="str">
        <f t="shared" si="251"/>
        <v/>
      </c>
      <c r="WRO6" s="97" t="str">
        <f t="shared" si="251"/>
        <v/>
      </c>
      <c r="WRP6" s="97" t="str">
        <f t="shared" si="251"/>
        <v/>
      </c>
      <c r="WRQ6" s="97" t="str">
        <f t="shared" si="251"/>
        <v/>
      </c>
      <c r="WRR6" s="97" t="str">
        <f t="shared" si="251"/>
        <v/>
      </c>
      <c r="WRS6" s="97" t="str">
        <f t="shared" si="251"/>
        <v/>
      </c>
      <c r="WRT6" s="97" t="str">
        <f t="shared" si="251"/>
        <v/>
      </c>
      <c r="WRU6" s="97" t="str">
        <f t="shared" si="251"/>
        <v/>
      </c>
      <c r="WRV6" s="97" t="str">
        <f t="shared" si="251"/>
        <v/>
      </c>
      <c r="WRW6" s="97" t="str">
        <f t="shared" si="251"/>
        <v/>
      </c>
      <c r="WRX6" s="97" t="str">
        <f t="shared" si="251"/>
        <v/>
      </c>
      <c r="WRY6" s="97" t="str">
        <f t="shared" si="251"/>
        <v/>
      </c>
      <c r="WRZ6" s="97" t="str">
        <f t="shared" si="251"/>
        <v/>
      </c>
      <c r="WSA6" s="97" t="str">
        <f t="shared" si="251"/>
        <v/>
      </c>
      <c r="WSB6" s="97" t="str">
        <f t="shared" si="251"/>
        <v/>
      </c>
      <c r="WSC6" s="97" t="str">
        <f t="shared" si="251"/>
        <v/>
      </c>
      <c r="WSD6" s="97" t="str">
        <f t="shared" si="251"/>
        <v/>
      </c>
      <c r="WSE6" s="97" t="str">
        <f t="shared" si="251"/>
        <v/>
      </c>
      <c r="WSF6" s="97" t="str">
        <f t="shared" si="251"/>
        <v/>
      </c>
      <c r="WSG6" s="97" t="str">
        <f t="shared" si="251"/>
        <v/>
      </c>
      <c r="WSH6" s="97" t="str">
        <f t="shared" si="251"/>
        <v/>
      </c>
      <c r="WSI6" s="97" t="str">
        <f t="shared" si="251"/>
        <v/>
      </c>
      <c r="WSJ6" s="97" t="str">
        <f t="shared" si="251"/>
        <v/>
      </c>
      <c r="WSK6" s="97" t="str">
        <f t="shared" si="251"/>
        <v/>
      </c>
      <c r="WSL6" s="97" t="str">
        <f t="shared" si="251"/>
        <v/>
      </c>
      <c r="WSM6" s="97" t="str">
        <f t="shared" si="251"/>
        <v/>
      </c>
      <c r="WSN6" s="97" t="str">
        <f t="shared" si="251"/>
        <v/>
      </c>
      <c r="WSO6" s="97" t="str">
        <f t="shared" si="251"/>
        <v/>
      </c>
      <c r="WSP6" s="97" t="str">
        <f t="shared" si="251"/>
        <v/>
      </c>
      <c r="WSQ6" s="97" t="str">
        <f t="shared" si="251"/>
        <v/>
      </c>
      <c r="WSR6" s="97" t="str">
        <f t="shared" si="251"/>
        <v/>
      </c>
      <c r="WSS6" s="97" t="str">
        <f t="shared" si="251"/>
        <v/>
      </c>
      <c r="WST6" s="97" t="str">
        <f t="shared" si="251"/>
        <v/>
      </c>
      <c r="WSU6" s="97" t="str">
        <f t="shared" si="251"/>
        <v/>
      </c>
      <c r="WSV6" s="97" t="str">
        <f t="shared" si="251"/>
        <v/>
      </c>
      <c r="WSW6" s="97" t="str">
        <f t="shared" si="251"/>
        <v/>
      </c>
      <c r="WSX6" s="97" t="str">
        <f t="shared" si="251"/>
        <v/>
      </c>
      <c r="WSY6" s="97" t="str">
        <f t="shared" si="251"/>
        <v/>
      </c>
      <c r="WSZ6" s="97" t="str">
        <f t="shared" si="251"/>
        <v/>
      </c>
      <c r="WTA6" s="97" t="str">
        <f t="shared" si="251"/>
        <v/>
      </c>
      <c r="WTB6" s="97" t="str">
        <f t="shared" ref="WTB6:WVM6" si="252">IFERROR(AVERAGE(WTB7:WTB13),"")</f>
        <v/>
      </c>
      <c r="WTC6" s="97" t="str">
        <f t="shared" si="252"/>
        <v/>
      </c>
      <c r="WTD6" s="97" t="str">
        <f t="shared" si="252"/>
        <v/>
      </c>
      <c r="WTE6" s="97" t="str">
        <f t="shared" si="252"/>
        <v/>
      </c>
      <c r="WTF6" s="97" t="str">
        <f t="shared" si="252"/>
        <v/>
      </c>
      <c r="WTG6" s="97" t="str">
        <f t="shared" si="252"/>
        <v/>
      </c>
      <c r="WTH6" s="97" t="str">
        <f t="shared" si="252"/>
        <v/>
      </c>
      <c r="WTI6" s="97" t="str">
        <f t="shared" si="252"/>
        <v/>
      </c>
      <c r="WTJ6" s="97" t="str">
        <f t="shared" si="252"/>
        <v/>
      </c>
      <c r="WTK6" s="97" t="str">
        <f t="shared" si="252"/>
        <v/>
      </c>
      <c r="WTL6" s="97" t="str">
        <f t="shared" si="252"/>
        <v/>
      </c>
      <c r="WTM6" s="97" t="str">
        <f t="shared" si="252"/>
        <v/>
      </c>
      <c r="WTN6" s="97" t="str">
        <f t="shared" si="252"/>
        <v/>
      </c>
      <c r="WTO6" s="97" t="str">
        <f t="shared" si="252"/>
        <v/>
      </c>
      <c r="WTP6" s="97" t="str">
        <f t="shared" si="252"/>
        <v/>
      </c>
      <c r="WTQ6" s="97" t="str">
        <f t="shared" si="252"/>
        <v/>
      </c>
      <c r="WTR6" s="97" t="str">
        <f t="shared" si="252"/>
        <v/>
      </c>
      <c r="WTS6" s="97" t="str">
        <f t="shared" si="252"/>
        <v/>
      </c>
      <c r="WTT6" s="97" t="str">
        <f t="shared" si="252"/>
        <v/>
      </c>
      <c r="WTU6" s="97" t="str">
        <f t="shared" si="252"/>
        <v/>
      </c>
      <c r="WTV6" s="97" t="str">
        <f t="shared" si="252"/>
        <v/>
      </c>
      <c r="WTW6" s="97" t="str">
        <f t="shared" si="252"/>
        <v/>
      </c>
      <c r="WTX6" s="97" t="str">
        <f t="shared" si="252"/>
        <v/>
      </c>
      <c r="WTY6" s="97" t="str">
        <f t="shared" si="252"/>
        <v/>
      </c>
      <c r="WTZ6" s="97" t="str">
        <f t="shared" si="252"/>
        <v/>
      </c>
      <c r="WUA6" s="97" t="str">
        <f t="shared" si="252"/>
        <v/>
      </c>
      <c r="WUB6" s="97" t="str">
        <f t="shared" si="252"/>
        <v/>
      </c>
      <c r="WUC6" s="97" t="str">
        <f t="shared" si="252"/>
        <v/>
      </c>
      <c r="WUD6" s="97" t="str">
        <f t="shared" si="252"/>
        <v/>
      </c>
      <c r="WUE6" s="97" t="str">
        <f t="shared" si="252"/>
        <v/>
      </c>
      <c r="WUF6" s="97" t="str">
        <f t="shared" si="252"/>
        <v/>
      </c>
      <c r="WUG6" s="97" t="str">
        <f t="shared" si="252"/>
        <v/>
      </c>
      <c r="WUH6" s="97" t="str">
        <f t="shared" si="252"/>
        <v/>
      </c>
      <c r="WUI6" s="97" t="str">
        <f t="shared" si="252"/>
        <v/>
      </c>
      <c r="WUJ6" s="97" t="str">
        <f t="shared" si="252"/>
        <v/>
      </c>
      <c r="WUK6" s="97" t="str">
        <f t="shared" si="252"/>
        <v/>
      </c>
      <c r="WUL6" s="97" t="str">
        <f t="shared" si="252"/>
        <v/>
      </c>
      <c r="WUM6" s="97" t="str">
        <f t="shared" si="252"/>
        <v/>
      </c>
      <c r="WUN6" s="97" t="str">
        <f t="shared" si="252"/>
        <v/>
      </c>
      <c r="WUO6" s="97" t="str">
        <f t="shared" si="252"/>
        <v/>
      </c>
      <c r="WUP6" s="97" t="str">
        <f t="shared" si="252"/>
        <v/>
      </c>
      <c r="WUQ6" s="97" t="str">
        <f t="shared" si="252"/>
        <v/>
      </c>
      <c r="WUR6" s="97" t="str">
        <f t="shared" si="252"/>
        <v/>
      </c>
      <c r="WUS6" s="97" t="str">
        <f t="shared" si="252"/>
        <v/>
      </c>
      <c r="WUT6" s="97" t="str">
        <f t="shared" si="252"/>
        <v/>
      </c>
      <c r="WUU6" s="97" t="str">
        <f t="shared" si="252"/>
        <v/>
      </c>
      <c r="WUV6" s="97" t="str">
        <f t="shared" si="252"/>
        <v/>
      </c>
      <c r="WUW6" s="97" t="str">
        <f t="shared" si="252"/>
        <v/>
      </c>
      <c r="WUX6" s="97" t="str">
        <f t="shared" si="252"/>
        <v/>
      </c>
      <c r="WUY6" s="97" t="str">
        <f t="shared" si="252"/>
        <v/>
      </c>
      <c r="WUZ6" s="97" t="str">
        <f t="shared" si="252"/>
        <v/>
      </c>
      <c r="WVA6" s="97" t="str">
        <f t="shared" si="252"/>
        <v/>
      </c>
      <c r="WVB6" s="97" t="str">
        <f t="shared" si="252"/>
        <v/>
      </c>
      <c r="WVC6" s="97" t="str">
        <f t="shared" si="252"/>
        <v/>
      </c>
      <c r="WVD6" s="97" t="str">
        <f t="shared" si="252"/>
        <v/>
      </c>
      <c r="WVE6" s="97" t="str">
        <f t="shared" si="252"/>
        <v/>
      </c>
      <c r="WVF6" s="97" t="str">
        <f t="shared" si="252"/>
        <v/>
      </c>
      <c r="WVG6" s="97" t="str">
        <f t="shared" si="252"/>
        <v/>
      </c>
      <c r="WVH6" s="97" t="str">
        <f t="shared" si="252"/>
        <v/>
      </c>
      <c r="WVI6" s="97" t="str">
        <f t="shared" si="252"/>
        <v/>
      </c>
      <c r="WVJ6" s="97" t="str">
        <f t="shared" si="252"/>
        <v/>
      </c>
      <c r="WVK6" s="97" t="str">
        <f t="shared" si="252"/>
        <v/>
      </c>
      <c r="WVL6" s="97" t="str">
        <f t="shared" si="252"/>
        <v/>
      </c>
      <c r="WVM6" s="97" t="str">
        <f t="shared" si="252"/>
        <v/>
      </c>
      <c r="WVN6" s="97" t="str">
        <f t="shared" ref="WVN6:WXY6" si="253">IFERROR(AVERAGE(WVN7:WVN13),"")</f>
        <v/>
      </c>
      <c r="WVO6" s="97" t="str">
        <f t="shared" si="253"/>
        <v/>
      </c>
      <c r="WVP6" s="97" t="str">
        <f t="shared" si="253"/>
        <v/>
      </c>
      <c r="WVQ6" s="97" t="str">
        <f t="shared" si="253"/>
        <v/>
      </c>
      <c r="WVR6" s="97" t="str">
        <f t="shared" si="253"/>
        <v/>
      </c>
      <c r="WVS6" s="97" t="str">
        <f t="shared" si="253"/>
        <v/>
      </c>
      <c r="WVT6" s="97" t="str">
        <f t="shared" si="253"/>
        <v/>
      </c>
      <c r="WVU6" s="97" t="str">
        <f t="shared" si="253"/>
        <v/>
      </c>
      <c r="WVV6" s="97" t="str">
        <f t="shared" si="253"/>
        <v/>
      </c>
      <c r="WVW6" s="97" t="str">
        <f t="shared" si="253"/>
        <v/>
      </c>
      <c r="WVX6" s="97" t="str">
        <f t="shared" si="253"/>
        <v/>
      </c>
      <c r="WVY6" s="97" t="str">
        <f t="shared" si="253"/>
        <v/>
      </c>
      <c r="WVZ6" s="97" t="str">
        <f t="shared" si="253"/>
        <v/>
      </c>
      <c r="WWA6" s="97" t="str">
        <f t="shared" si="253"/>
        <v/>
      </c>
      <c r="WWB6" s="97" t="str">
        <f t="shared" si="253"/>
        <v/>
      </c>
      <c r="WWC6" s="97" t="str">
        <f t="shared" si="253"/>
        <v/>
      </c>
      <c r="WWD6" s="97" t="str">
        <f t="shared" si="253"/>
        <v/>
      </c>
      <c r="WWE6" s="97" t="str">
        <f t="shared" si="253"/>
        <v/>
      </c>
      <c r="WWF6" s="97" t="str">
        <f t="shared" si="253"/>
        <v/>
      </c>
      <c r="WWG6" s="97" t="str">
        <f t="shared" si="253"/>
        <v/>
      </c>
      <c r="WWH6" s="97" t="str">
        <f t="shared" si="253"/>
        <v/>
      </c>
      <c r="WWI6" s="97" t="str">
        <f t="shared" si="253"/>
        <v/>
      </c>
      <c r="WWJ6" s="97" t="str">
        <f t="shared" si="253"/>
        <v/>
      </c>
      <c r="WWK6" s="97" t="str">
        <f t="shared" si="253"/>
        <v/>
      </c>
      <c r="WWL6" s="97" t="str">
        <f t="shared" si="253"/>
        <v/>
      </c>
      <c r="WWM6" s="97" t="str">
        <f t="shared" si="253"/>
        <v/>
      </c>
      <c r="WWN6" s="97" t="str">
        <f t="shared" si="253"/>
        <v/>
      </c>
      <c r="WWO6" s="97" t="str">
        <f t="shared" si="253"/>
        <v/>
      </c>
      <c r="WWP6" s="97" t="str">
        <f t="shared" si="253"/>
        <v/>
      </c>
      <c r="WWQ6" s="97" t="str">
        <f t="shared" si="253"/>
        <v/>
      </c>
      <c r="WWR6" s="97" t="str">
        <f t="shared" si="253"/>
        <v/>
      </c>
      <c r="WWS6" s="97" t="str">
        <f t="shared" si="253"/>
        <v/>
      </c>
      <c r="WWT6" s="97" t="str">
        <f t="shared" si="253"/>
        <v/>
      </c>
      <c r="WWU6" s="97" t="str">
        <f t="shared" si="253"/>
        <v/>
      </c>
      <c r="WWV6" s="97" t="str">
        <f t="shared" si="253"/>
        <v/>
      </c>
      <c r="WWW6" s="97" t="str">
        <f t="shared" si="253"/>
        <v/>
      </c>
      <c r="WWX6" s="97" t="str">
        <f t="shared" si="253"/>
        <v/>
      </c>
      <c r="WWY6" s="97" t="str">
        <f t="shared" si="253"/>
        <v/>
      </c>
      <c r="WWZ6" s="97" t="str">
        <f t="shared" si="253"/>
        <v/>
      </c>
      <c r="WXA6" s="97" t="str">
        <f t="shared" si="253"/>
        <v/>
      </c>
      <c r="WXB6" s="97" t="str">
        <f t="shared" si="253"/>
        <v/>
      </c>
      <c r="WXC6" s="97" t="str">
        <f t="shared" si="253"/>
        <v/>
      </c>
      <c r="WXD6" s="97" t="str">
        <f t="shared" si="253"/>
        <v/>
      </c>
      <c r="WXE6" s="97" t="str">
        <f t="shared" si="253"/>
        <v/>
      </c>
      <c r="WXF6" s="97" t="str">
        <f t="shared" si="253"/>
        <v/>
      </c>
      <c r="WXG6" s="97" t="str">
        <f t="shared" si="253"/>
        <v/>
      </c>
      <c r="WXH6" s="97" t="str">
        <f t="shared" si="253"/>
        <v/>
      </c>
      <c r="WXI6" s="97" t="str">
        <f t="shared" si="253"/>
        <v/>
      </c>
      <c r="WXJ6" s="97" t="str">
        <f t="shared" si="253"/>
        <v/>
      </c>
      <c r="WXK6" s="97" t="str">
        <f t="shared" si="253"/>
        <v/>
      </c>
      <c r="WXL6" s="97" t="str">
        <f t="shared" si="253"/>
        <v/>
      </c>
      <c r="WXM6" s="97" t="str">
        <f t="shared" si="253"/>
        <v/>
      </c>
      <c r="WXN6" s="97" t="str">
        <f t="shared" si="253"/>
        <v/>
      </c>
      <c r="WXO6" s="97" t="str">
        <f t="shared" si="253"/>
        <v/>
      </c>
      <c r="WXP6" s="97" t="str">
        <f t="shared" si="253"/>
        <v/>
      </c>
      <c r="WXQ6" s="97" t="str">
        <f t="shared" si="253"/>
        <v/>
      </c>
      <c r="WXR6" s="97" t="str">
        <f t="shared" si="253"/>
        <v/>
      </c>
      <c r="WXS6" s="97" t="str">
        <f t="shared" si="253"/>
        <v/>
      </c>
      <c r="WXT6" s="97" t="str">
        <f t="shared" si="253"/>
        <v/>
      </c>
      <c r="WXU6" s="97" t="str">
        <f t="shared" si="253"/>
        <v/>
      </c>
      <c r="WXV6" s="97" t="str">
        <f t="shared" si="253"/>
        <v/>
      </c>
      <c r="WXW6" s="97" t="str">
        <f t="shared" si="253"/>
        <v/>
      </c>
      <c r="WXX6" s="97" t="str">
        <f t="shared" si="253"/>
        <v/>
      </c>
      <c r="WXY6" s="97" t="str">
        <f t="shared" si="253"/>
        <v/>
      </c>
      <c r="WXZ6" s="97" t="str">
        <f t="shared" ref="WXZ6:XAK6" si="254">IFERROR(AVERAGE(WXZ7:WXZ13),"")</f>
        <v/>
      </c>
      <c r="WYA6" s="97" t="str">
        <f t="shared" si="254"/>
        <v/>
      </c>
      <c r="WYB6" s="97" t="str">
        <f t="shared" si="254"/>
        <v/>
      </c>
      <c r="WYC6" s="97" t="str">
        <f t="shared" si="254"/>
        <v/>
      </c>
      <c r="WYD6" s="97" t="str">
        <f t="shared" si="254"/>
        <v/>
      </c>
      <c r="WYE6" s="97" t="str">
        <f t="shared" si="254"/>
        <v/>
      </c>
      <c r="WYF6" s="97" t="str">
        <f t="shared" si="254"/>
        <v/>
      </c>
      <c r="WYG6" s="97" t="str">
        <f t="shared" si="254"/>
        <v/>
      </c>
      <c r="WYH6" s="97" t="str">
        <f t="shared" si="254"/>
        <v/>
      </c>
      <c r="WYI6" s="97" t="str">
        <f t="shared" si="254"/>
        <v/>
      </c>
      <c r="WYJ6" s="97" t="str">
        <f t="shared" si="254"/>
        <v/>
      </c>
      <c r="WYK6" s="97" t="str">
        <f t="shared" si="254"/>
        <v/>
      </c>
      <c r="WYL6" s="97" t="str">
        <f t="shared" si="254"/>
        <v/>
      </c>
      <c r="WYM6" s="97" t="str">
        <f t="shared" si="254"/>
        <v/>
      </c>
      <c r="WYN6" s="97" t="str">
        <f t="shared" si="254"/>
        <v/>
      </c>
      <c r="WYO6" s="97" t="str">
        <f t="shared" si="254"/>
        <v/>
      </c>
      <c r="WYP6" s="97" t="str">
        <f t="shared" si="254"/>
        <v/>
      </c>
      <c r="WYQ6" s="97" t="str">
        <f t="shared" si="254"/>
        <v/>
      </c>
      <c r="WYR6" s="97" t="str">
        <f t="shared" si="254"/>
        <v/>
      </c>
      <c r="WYS6" s="97" t="str">
        <f t="shared" si="254"/>
        <v/>
      </c>
      <c r="WYT6" s="97" t="str">
        <f t="shared" si="254"/>
        <v/>
      </c>
      <c r="WYU6" s="97" t="str">
        <f t="shared" si="254"/>
        <v/>
      </c>
      <c r="WYV6" s="97" t="str">
        <f t="shared" si="254"/>
        <v/>
      </c>
      <c r="WYW6" s="97" t="str">
        <f t="shared" si="254"/>
        <v/>
      </c>
      <c r="WYX6" s="97" t="str">
        <f t="shared" si="254"/>
        <v/>
      </c>
      <c r="WYY6" s="97" t="str">
        <f t="shared" si="254"/>
        <v/>
      </c>
      <c r="WYZ6" s="97" t="str">
        <f t="shared" si="254"/>
        <v/>
      </c>
      <c r="WZA6" s="97" t="str">
        <f t="shared" si="254"/>
        <v/>
      </c>
      <c r="WZB6" s="97" t="str">
        <f t="shared" si="254"/>
        <v/>
      </c>
      <c r="WZC6" s="97" t="str">
        <f t="shared" si="254"/>
        <v/>
      </c>
      <c r="WZD6" s="97" t="str">
        <f t="shared" si="254"/>
        <v/>
      </c>
      <c r="WZE6" s="97" t="str">
        <f t="shared" si="254"/>
        <v/>
      </c>
      <c r="WZF6" s="97" t="str">
        <f t="shared" si="254"/>
        <v/>
      </c>
      <c r="WZG6" s="97" t="str">
        <f t="shared" si="254"/>
        <v/>
      </c>
      <c r="WZH6" s="97" t="str">
        <f t="shared" si="254"/>
        <v/>
      </c>
      <c r="WZI6" s="97" t="str">
        <f t="shared" si="254"/>
        <v/>
      </c>
      <c r="WZJ6" s="97" t="str">
        <f t="shared" si="254"/>
        <v/>
      </c>
      <c r="WZK6" s="97" t="str">
        <f t="shared" si="254"/>
        <v/>
      </c>
      <c r="WZL6" s="97" t="str">
        <f t="shared" si="254"/>
        <v/>
      </c>
      <c r="WZM6" s="97" t="str">
        <f t="shared" si="254"/>
        <v/>
      </c>
      <c r="WZN6" s="97" t="str">
        <f t="shared" si="254"/>
        <v/>
      </c>
      <c r="WZO6" s="97" t="str">
        <f t="shared" si="254"/>
        <v/>
      </c>
      <c r="WZP6" s="97" t="str">
        <f t="shared" si="254"/>
        <v/>
      </c>
      <c r="WZQ6" s="97" t="str">
        <f t="shared" si="254"/>
        <v/>
      </c>
      <c r="WZR6" s="97" t="str">
        <f t="shared" si="254"/>
        <v/>
      </c>
      <c r="WZS6" s="97" t="str">
        <f t="shared" si="254"/>
        <v/>
      </c>
      <c r="WZT6" s="97" t="str">
        <f t="shared" si="254"/>
        <v/>
      </c>
      <c r="WZU6" s="97" t="str">
        <f t="shared" si="254"/>
        <v/>
      </c>
      <c r="WZV6" s="97" t="str">
        <f t="shared" si="254"/>
        <v/>
      </c>
      <c r="WZW6" s="97" t="str">
        <f t="shared" si="254"/>
        <v/>
      </c>
      <c r="WZX6" s="97" t="str">
        <f t="shared" si="254"/>
        <v/>
      </c>
      <c r="WZY6" s="97" t="str">
        <f t="shared" si="254"/>
        <v/>
      </c>
      <c r="WZZ6" s="97" t="str">
        <f t="shared" si="254"/>
        <v/>
      </c>
      <c r="XAA6" s="97" t="str">
        <f t="shared" si="254"/>
        <v/>
      </c>
      <c r="XAB6" s="97" t="str">
        <f t="shared" si="254"/>
        <v/>
      </c>
      <c r="XAC6" s="97" t="str">
        <f t="shared" si="254"/>
        <v/>
      </c>
      <c r="XAD6" s="97" t="str">
        <f t="shared" si="254"/>
        <v/>
      </c>
      <c r="XAE6" s="97" t="str">
        <f t="shared" si="254"/>
        <v/>
      </c>
      <c r="XAF6" s="97" t="str">
        <f t="shared" si="254"/>
        <v/>
      </c>
      <c r="XAG6" s="97" t="str">
        <f t="shared" si="254"/>
        <v/>
      </c>
      <c r="XAH6" s="97" t="str">
        <f t="shared" si="254"/>
        <v/>
      </c>
      <c r="XAI6" s="97" t="str">
        <f t="shared" si="254"/>
        <v/>
      </c>
      <c r="XAJ6" s="97" t="str">
        <f t="shared" si="254"/>
        <v/>
      </c>
      <c r="XAK6" s="97" t="str">
        <f t="shared" si="254"/>
        <v/>
      </c>
      <c r="XAL6" s="97" t="str">
        <f t="shared" ref="XAL6:XCW6" si="255">IFERROR(AVERAGE(XAL7:XAL13),"")</f>
        <v/>
      </c>
      <c r="XAM6" s="97" t="str">
        <f t="shared" si="255"/>
        <v/>
      </c>
      <c r="XAN6" s="97" t="str">
        <f t="shared" si="255"/>
        <v/>
      </c>
      <c r="XAO6" s="97" t="str">
        <f t="shared" si="255"/>
        <v/>
      </c>
      <c r="XAP6" s="97" t="str">
        <f t="shared" si="255"/>
        <v/>
      </c>
      <c r="XAQ6" s="97" t="str">
        <f t="shared" si="255"/>
        <v/>
      </c>
      <c r="XAR6" s="97" t="str">
        <f t="shared" si="255"/>
        <v/>
      </c>
      <c r="XAS6" s="97" t="str">
        <f t="shared" si="255"/>
        <v/>
      </c>
      <c r="XAT6" s="97" t="str">
        <f t="shared" si="255"/>
        <v/>
      </c>
      <c r="XAU6" s="97" t="str">
        <f t="shared" si="255"/>
        <v/>
      </c>
      <c r="XAV6" s="97" t="str">
        <f t="shared" si="255"/>
        <v/>
      </c>
      <c r="XAW6" s="97" t="str">
        <f t="shared" si="255"/>
        <v/>
      </c>
      <c r="XAX6" s="97" t="str">
        <f t="shared" si="255"/>
        <v/>
      </c>
      <c r="XAY6" s="97" t="str">
        <f t="shared" si="255"/>
        <v/>
      </c>
      <c r="XAZ6" s="97" t="str">
        <f t="shared" si="255"/>
        <v/>
      </c>
      <c r="XBA6" s="97" t="str">
        <f t="shared" si="255"/>
        <v/>
      </c>
      <c r="XBB6" s="97" t="str">
        <f t="shared" si="255"/>
        <v/>
      </c>
      <c r="XBC6" s="97" t="str">
        <f t="shared" si="255"/>
        <v/>
      </c>
      <c r="XBD6" s="97" t="str">
        <f t="shared" si="255"/>
        <v/>
      </c>
      <c r="XBE6" s="97" t="str">
        <f t="shared" si="255"/>
        <v/>
      </c>
      <c r="XBF6" s="97" t="str">
        <f t="shared" si="255"/>
        <v/>
      </c>
      <c r="XBG6" s="97" t="str">
        <f t="shared" si="255"/>
        <v/>
      </c>
      <c r="XBH6" s="97" t="str">
        <f t="shared" si="255"/>
        <v/>
      </c>
      <c r="XBI6" s="97" t="str">
        <f t="shared" si="255"/>
        <v/>
      </c>
      <c r="XBJ6" s="97" t="str">
        <f t="shared" si="255"/>
        <v/>
      </c>
      <c r="XBK6" s="97" t="str">
        <f t="shared" si="255"/>
        <v/>
      </c>
      <c r="XBL6" s="97" t="str">
        <f t="shared" si="255"/>
        <v/>
      </c>
      <c r="XBM6" s="97" t="str">
        <f t="shared" si="255"/>
        <v/>
      </c>
      <c r="XBN6" s="97" t="str">
        <f t="shared" si="255"/>
        <v/>
      </c>
      <c r="XBO6" s="97" t="str">
        <f t="shared" si="255"/>
        <v/>
      </c>
      <c r="XBP6" s="97" t="str">
        <f t="shared" si="255"/>
        <v/>
      </c>
      <c r="XBQ6" s="97" t="str">
        <f t="shared" si="255"/>
        <v/>
      </c>
      <c r="XBR6" s="97" t="str">
        <f t="shared" si="255"/>
        <v/>
      </c>
      <c r="XBS6" s="97" t="str">
        <f t="shared" si="255"/>
        <v/>
      </c>
      <c r="XBT6" s="97" t="str">
        <f t="shared" si="255"/>
        <v/>
      </c>
      <c r="XBU6" s="97" t="str">
        <f t="shared" si="255"/>
        <v/>
      </c>
      <c r="XBV6" s="97" t="str">
        <f t="shared" si="255"/>
        <v/>
      </c>
      <c r="XBW6" s="97" t="str">
        <f t="shared" si="255"/>
        <v/>
      </c>
      <c r="XBX6" s="97" t="str">
        <f t="shared" si="255"/>
        <v/>
      </c>
      <c r="XBY6" s="97" t="str">
        <f t="shared" si="255"/>
        <v/>
      </c>
      <c r="XBZ6" s="97" t="str">
        <f t="shared" si="255"/>
        <v/>
      </c>
      <c r="XCA6" s="97" t="str">
        <f t="shared" si="255"/>
        <v/>
      </c>
      <c r="XCB6" s="97" t="str">
        <f t="shared" si="255"/>
        <v/>
      </c>
      <c r="XCC6" s="97" t="str">
        <f t="shared" si="255"/>
        <v/>
      </c>
      <c r="XCD6" s="97" t="str">
        <f t="shared" si="255"/>
        <v/>
      </c>
      <c r="XCE6" s="97" t="str">
        <f t="shared" si="255"/>
        <v/>
      </c>
      <c r="XCF6" s="97" t="str">
        <f t="shared" si="255"/>
        <v/>
      </c>
      <c r="XCG6" s="97" t="str">
        <f t="shared" si="255"/>
        <v/>
      </c>
      <c r="XCH6" s="97" t="str">
        <f t="shared" si="255"/>
        <v/>
      </c>
      <c r="XCI6" s="97" t="str">
        <f t="shared" si="255"/>
        <v/>
      </c>
      <c r="XCJ6" s="97" t="str">
        <f t="shared" si="255"/>
        <v/>
      </c>
      <c r="XCK6" s="97" t="str">
        <f t="shared" si="255"/>
        <v/>
      </c>
      <c r="XCL6" s="97" t="str">
        <f t="shared" si="255"/>
        <v/>
      </c>
      <c r="XCM6" s="97" t="str">
        <f t="shared" si="255"/>
        <v/>
      </c>
      <c r="XCN6" s="97" t="str">
        <f t="shared" si="255"/>
        <v/>
      </c>
      <c r="XCO6" s="97" t="str">
        <f t="shared" si="255"/>
        <v/>
      </c>
      <c r="XCP6" s="97" t="str">
        <f t="shared" si="255"/>
        <v/>
      </c>
      <c r="XCQ6" s="97" t="str">
        <f t="shared" si="255"/>
        <v/>
      </c>
      <c r="XCR6" s="97" t="str">
        <f t="shared" si="255"/>
        <v/>
      </c>
      <c r="XCS6" s="97" t="str">
        <f t="shared" si="255"/>
        <v/>
      </c>
      <c r="XCT6" s="97" t="str">
        <f t="shared" si="255"/>
        <v/>
      </c>
      <c r="XCU6" s="97" t="str">
        <f t="shared" si="255"/>
        <v/>
      </c>
      <c r="XCV6" s="97" t="str">
        <f t="shared" si="255"/>
        <v/>
      </c>
      <c r="XCW6" s="97" t="str">
        <f t="shared" si="255"/>
        <v/>
      </c>
      <c r="XCX6" s="97" t="str">
        <f t="shared" ref="XCX6:XFD6" si="256">IFERROR(AVERAGE(XCX7:XCX13),"")</f>
        <v/>
      </c>
      <c r="XCY6" s="97" t="str">
        <f t="shared" si="256"/>
        <v/>
      </c>
      <c r="XCZ6" s="97" t="str">
        <f t="shared" si="256"/>
        <v/>
      </c>
      <c r="XDA6" s="97" t="str">
        <f t="shared" si="256"/>
        <v/>
      </c>
      <c r="XDB6" s="97" t="str">
        <f t="shared" si="256"/>
        <v/>
      </c>
      <c r="XDC6" s="97" t="str">
        <f t="shared" si="256"/>
        <v/>
      </c>
      <c r="XDD6" s="97" t="str">
        <f t="shared" si="256"/>
        <v/>
      </c>
      <c r="XDE6" s="97" t="str">
        <f t="shared" si="256"/>
        <v/>
      </c>
      <c r="XDF6" s="97" t="str">
        <f t="shared" si="256"/>
        <v/>
      </c>
      <c r="XDG6" s="97" t="str">
        <f t="shared" si="256"/>
        <v/>
      </c>
      <c r="XDH6" s="97" t="str">
        <f t="shared" si="256"/>
        <v/>
      </c>
      <c r="XDI6" s="97" t="str">
        <f t="shared" si="256"/>
        <v/>
      </c>
      <c r="XDJ6" s="97" t="str">
        <f t="shared" si="256"/>
        <v/>
      </c>
      <c r="XDK6" s="97" t="str">
        <f t="shared" si="256"/>
        <v/>
      </c>
      <c r="XDL6" s="97" t="str">
        <f t="shared" si="256"/>
        <v/>
      </c>
      <c r="XDM6" s="97" t="str">
        <f t="shared" si="256"/>
        <v/>
      </c>
      <c r="XDN6" s="97" t="str">
        <f t="shared" si="256"/>
        <v/>
      </c>
      <c r="XDO6" s="97" t="str">
        <f t="shared" si="256"/>
        <v/>
      </c>
      <c r="XDP6" s="97" t="str">
        <f t="shared" si="256"/>
        <v/>
      </c>
      <c r="XDQ6" s="97" t="str">
        <f t="shared" si="256"/>
        <v/>
      </c>
      <c r="XDR6" s="97" t="str">
        <f t="shared" si="256"/>
        <v/>
      </c>
      <c r="XDS6" s="97" t="str">
        <f t="shared" si="256"/>
        <v/>
      </c>
      <c r="XDT6" s="97" t="str">
        <f t="shared" si="256"/>
        <v/>
      </c>
      <c r="XDU6" s="97" t="str">
        <f t="shared" si="256"/>
        <v/>
      </c>
      <c r="XDV6" s="97" t="str">
        <f t="shared" si="256"/>
        <v/>
      </c>
      <c r="XDW6" s="97" t="str">
        <f t="shared" si="256"/>
        <v/>
      </c>
      <c r="XDX6" s="97" t="str">
        <f t="shared" si="256"/>
        <v/>
      </c>
      <c r="XDY6" s="97" t="str">
        <f t="shared" si="256"/>
        <v/>
      </c>
      <c r="XDZ6" s="97" t="str">
        <f t="shared" si="256"/>
        <v/>
      </c>
      <c r="XEA6" s="97" t="str">
        <f t="shared" si="256"/>
        <v/>
      </c>
      <c r="XEB6" s="97" t="str">
        <f t="shared" si="256"/>
        <v/>
      </c>
      <c r="XEC6" s="97" t="str">
        <f t="shared" si="256"/>
        <v/>
      </c>
      <c r="XED6" s="97" t="str">
        <f t="shared" si="256"/>
        <v/>
      </c>
      <c r="XEE6" s="97" t="str">
        <f t="shared" si="256"/>
        <v/>
      </c>
      <c r="XEF6" s="97" t="str">
        <f t="shared" si="256"/>
        <v/>
      </c>
      <c r="XEG6" s="97" t="str">
        <f t="shared" si="256"/>
        <v/>
      </c>
      <c r="XEH6" s="97" t="str">
        <f t="shared" si="256"/>
        <v/>
      </c>
      <c r="XEI6" s="97" t="str">
        <f t="shared" si="256"/>
        <v/>
      </c>
      <c r="XEJ6" s="97" t="str">
        <f t="shared" si="256"/>
        <v/>
      </c>
      <c r="XEK6" s="97" t="str">
        <f t="shared" si="256"/>
        <v/>
      </c>
      <c r="XEL6" s="97" t="str">
        <f t="shared" si="256"/>
        <v/>
      </c>
      <c r="XEM6" s="97" t="str">
        <f t="shared" si="256"/>
        <v/>
      </c>
      <c r="XEN6" s="97" t="str">
        <f t="shared" si="256"/>
        <v/>
      </c>
      <c r="XEO6" s="97" t="str">
        <f t="shared" si="256"/>
        <v/>
      </c>
      <c r="XEP6" s="97" t="str">
        <f t="shared" si="256"/>
        <v/>
      </c>
      <c r="XEQ6" s="97" t="str">
        <f t="shared" si="256"/>
        <v/>
      </c>
      <c r="XER6" s="97" t="str">
        <f t="shared" si="256"/>
        <v/>
      </c>
      <c r="XES6" s="97" t="str">
        <f t="shared" si="256"/>
        <v/>
      </c>
      <c r="XET6" s="97" t="str">
        <f t="shared" si="256"/>
        <v/>
      </c>
      <c r="XEU6" s="97" t="str">
        <f t="shared" si="256"/>
        <v/>
      </c>
      <c r="XEV6" s="97" t="str">
        <f t="shared" si="256"/>
        <v/>
      </c>
      <c r="XEW6" s="97" t="str">
        <f t="shared" si="256"/>
        <v/>
      </c>
      <c r="XEX6" s="97" t="str">
        <f t="shared" si="256"/>
        <v/>
      </c>
      <c r="XEY6" s="97" t="str">
        <f t="shared" si="256"/>
        <v/>
      </c>
      <c r="XEZ6" s="97" t="str">
        <f t="shared" si="256"/>
        <v/>
      </c>
      <c r="XFA6" s="97" t="str">
        <f t="shared" si="256"/>
        <v/>
      </c>
      <c r="XFB6" s="97" t="str">
        <f t="shared" si="256"/>
        <v/>
      </c>
      <c r="XFC6" s="97" t="str">
        <f t="shared" si="256"/>
        <v/>
      </c>
      <c r="XFD6" s="97" t="str">
        <f t="shared" si="256"/>
        <v/>
      </c>
    </row>
    <row r="7" spans="1:16384" ht="27" customHeight="1">
      <c r="A7" s="30"/>
      <c r="B7" s="801"/>
      <c r="C7" s="74" t="s">
        <v>1571</v>
      </c>
      <c r="D7" s="72" t="s">
        <v>1572</v>
      </c>
      <c r="E7" s="98">
        <v>75</v>
      </c>
      <c r="F7" s="98">
        <v>100</v>
      </c>
      <c r="G7" s="98">
        <v>100</v>
      </c>
      <c r="H7" s="98">
        <v>100</v>
      </c>
      <c r="I7" s="98">
        <v>90</v>
      </c>
      <c r="J7" s="98">
        <v>100</v>
      </c>
      <c r="K7" s="98">
        <v>100</v>
      </c>
      <c r="L7" s="98">
        <v>90</v>
      </c>
      <c r="M7" s="98">
        <v>90</v>
      </c>
      <c r="N7" s="98">
        <v>100</v>
      </c>
      <c r="O7" s="98">
        <v>100</v>
      </c>
      <c r="P7" s="98">
        <v>100</v>
      </c>
      <c r="Q7" s="98">
        <v>100</v>
      </c>
      <c r="R7" s="98">
        <v>85</v>
      </c>
      <c r="S7" s="98">
        <v>100</v>
      </c>
      <c r="T7" s="98">
        <v>85</v>
      </c>
      <c r="U7" s="98">
        <v>100</v>
      </c>
      <c r="V7" s="98">
        <v>100</v>
      </c>
      <c r="W7" s="98">
        <v>90</v>
      </c>
      <c r="X7" s="98">
        <v>85</v>
      </c>
      <c r="Y7" s="98">
        <v>100</v>
      </c>
      <c r="Z7" s="98">
        <v>75</v>
      </c>
      <c r="AA7" s="98">
        <v>80</v>
      </c>
      <c r="AB7" s="98">
        <v>90</v>
      </c>
      <c r="AC7" s="98"/>
      <c r="AD7" s="98"/>
      <c r="AE7" s="98"/>
      <c r="AF7" s="98"/>
      <c r="AG7" s="98"/>
      <c r="AH7" s="98"/>
    </row>
    <row r="8" spans="1:16384" ht="27" customHeight="1">
      <c r="A8" s="30"/>
      <c r="B8" s="801"/>
      <c r="C8" s="74" t="s">
        <v>1573</v>
      </c>
      <c r="D8" s="72" t="s">
        <v>1574</v>
      </c>
      <c r="E8" s="98">
        <v>90</v>
      </c>
      <c r="F8" s="98">
        <v>75</v>
      </c>
      <c r="G8" s="98">
        <v>85</v>
      </c>
      <c r="H8" s="98">
        <v>85</v>
      </c>
      <c r="I8" s="98">
        <v>90</v>
      </c>
      <c r="J8" s="98">
        <v>100</v>
      </c>
      <c r="K8" s="98">
        <v>100</v>
      </c>
      <c r="L8" s="98">
        <v>100</v>
      </c>
      <c r="M8" s="98">
        <v>100</v>
      </c>
      <c r="N8" s="98">
        <v>75</v>
      </c>
      <c r="O8" s="98">
        <v>100</v>
      </c>
      <c r="P8" s="98">
        <v>100</v>
      </c>
      <c r="Q8" s="98">
        <v>85</v>
      </c>
      <c r="R8" s="98">
        <v>75</v>
      </c>
      <c r="S8" s="98">
        <v>75</v>
      </c>
      <c r="T8" s="98">
        <v>100</v>
      </c>
      <c r="U8" s="98">
        <v>75</v>
      </c>
      <c r="V8" s="98">
        <v>90</v>
      </c>
      <c r="W8" s="98">
        <v>75</v>
      </c>
      <c r="X8" s="98">
        <v>88</v>
      </c>
      <c r="Y8" s="98">
        <v>98</v>
      </c>
      <c r="Z8" s="98">
        <v>75</v>
      </c>
      <c r="AA8" s="98">
        <v>70</v>
      </c>
      <c r="AB8" s="98">
        <v>100</v>
      </c>
      <c r="AC8" s="98"/>
      <c r="AD8" s="98"/>
      <c r="AE8" s="98"/>
      <c r="AF8" s="98"/>
      <c r="AG8" s="98"/>
      <c r="AH8" s="98"/>
    </row>
    <row r="9" spans="1:16384" ht="27" customHeight="1">
      <c r="A9" s="30"/>
      <c r="B9" s="801"/>
      <c r="C9" s="74" t="s">
        <v>1575</v>
      </c>
      <c r="D9" s="72" t="s">
        <v>1576</v>
      </c>
      <c r="E9" s="98">
        <v>85</v>
      </c>
      <c r="F9" s="98">
        <v>75</v>
      </c>
      <c r="G9" s="98">
        <v>100</v>
      </c>
      <c r="H9" s="98">
        <v>100</v>
      </c>
      <c r="I9" s="98">
        <v>100</v>
      </c>
      <c r="J9" s="98">
        <v>100</v>
      </c>
      <c r="K9" s="98">
        <v>100</v>
      </c>
      <c r="L9" s="98">
        <v>85</v>
      </c>
      <c r="M9" s="98">
        <v>100</v>
      </c>
      <c r="N9" s="98">
        <v>100</v>
      </c>
      <c r="O9" s="98">
        <v>100</v>
      </c>
      <c r="P9" s="98">
        <v>100</v>
      </c>
      <c r="Q9" s="98">
        <v>85</v>
      </c>
      <c r="R9" s="98">
        <v>100</v>
      </c>
      <c r="S9" s="98">
        <v>100</v>
      </c>
      <c r="T9" s="98">
        <v>100</v>
      </c>
      <c r="U9" s="98">
        <v>100</v>
      </c>
      <c r="V9" s="98">
        <v>100</v>
      </c>
      <c r="W9" s="98">
        <v>75</v>
      </c>
      <c r="X9" s="98">
        <v>90</v>
      </c>
      <c r="Y9" s="98">
        <v>100</v>
      </c>
      <c r="Z9" s="98">
        <v>100</v>
      </c>
      <c r="AA9" s="98">
        <v>100</v>
      </c>
      <c r="AB9" s="98">
        <v>100</v>
      </c>
      <c r="AC9" s="98"/>
      <c r="AD9" s="98"/>
      <c r="AE9" s="98"/>
      <c r="AF9" s="98"/>
      <c r="AG9" s="98"/>
      <c r="AH9" s="98"/>
    </row>
    <row r="10" spans="1:16384" ht="27" hidden="1" customHeight="1">
      <c r="A10" s="30"/>
      <c r="B10" s="801"/>
      <c r="C10" s="74" t="s">
        <v>148</v>
      </c>
      <c r="D10" s="72"/>
      <c r="E10" s="98"/>
      <c r="F10" s="98"/>
      <c r="G10" s="98"/>
      <c r="H10" s="98"/>
      <c r="I10" s="98"/>
      <c r="J10" s="98"/>
      <c r="K10" s="98"/>
      <c r="L10" s="98"/>
      <c r="M10" s="98"/>
      <c r="N10" s="98"/>
      <c r="O10" s="98"/>
      <c r="P10" s="98"/>
      <c r="Q10" s="98"/>
      <c r="R10" s="98"/>
      <c r="S10" s="98"/>
      <c r="T10" s="98"/>
      <c r="U10" s="98"/>
      <c r="V10" s="98"/>
      <c r="W10" s="98"/>
      <c r="X10" s="98"/>
      <c r="Y10" s="98"/>
      <c r="Z10" s="98"/>
      <c r="AA10" s="98"/>
      <c r="AB10" s="98"/>
      <c r="AC10" s="98"/>
      <c r="AD10" s="98"/>
      <c r="AE10" s="98"/>
      <c r="AF10" s="98"/>
      <c r="AG10" s="98"/>
      <c r="AH10" s="98"/>
    </row>
    <row r="11" spans="1:16384" ht="27" hidden="1" customHeight="1">
      <c r="A11" s="30"/>
      <c r="B11" s="801"/>
      <c r="C11" s="74" t="s">
        <v>149</v>
      </c>
      <c r="D11" s="72"/>
      <c r="E11" s="98"/>
      <c r="F11" s="98"/>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row>
    <row r="12" spans="1:16384" ht="27" hidden="1" customHeight="1">
      <c r="A12" s="30"/>
      <c r="B12" s="801"/>
      <c r="C12" s="74" t="s">
        <v>150</v>
      </c>
      <c r="D12" s="72"/>
      <c r="E12" s="98"/>
      <c r="F12" s="98"/>
      <c r="G12" s="98"/>
      <c r="H12" s="98"/>
      <c r="I12" s="98"/>
      <c r="J12" s="98"/>
      <c r="K12" s="98"/>
      <c r="L12" s="98"/>
      <c r="M12" s="98"/>
      <c r="N12" s="98"/>
      <c r="O12" s="98"/>
      <c r="P12" s="98"/>
      <c r="Q12" s="98"/>
      <c r="R12" s="98"/>
      <c r="S12" s="98"/>
      <c r="T12" s="98"/>
      <c r="U12" s="98"/>
      <c r="V12" s="98"/>
      <c r="W12" s="98"/>
      <c r="X12" s="98"/>
      <c r="Y12" s="98"/>
      <c r="Z12" s="98"/>
      <c r="AA12" s="98"/>
      <c r="AB12" s="98"/>
      <c r="AC12" s="98"/>
      <c r="AD12" s="98"/>
      <c r="AE12" s="98"/>
      <c r="AF12" s="98"/>
      <c r="AG12" s="98"/>
      <c r="AH12" s="98"/>
    </row>
    <row r="13" spans="1:16384" ht="27" hidden="1" customHeight="1">
      <c r="A13" s="30"/>
      <c r="B13" s="802"/>
      <c r="C13" s="74" t="s">
        <v>151</v>
      </c>
      <c r="D13" s="72"/>
      <c r="E13" s="98"/>
      <c r="F13" s="98"/>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row>
    <row r="14" spans="1:16384" ht="27" customHeight="1">
      <c r="A14" s="30"/>
      <c r="B14" s="800">
        <v>2</v>
      </c>
      <c r="C14" s="795" t="s">
        <v>1960</v>
      </c>
      <c r="D14" s="796"/>
      <c r="E14" s="97">
        <f>IFERROR(AVERAGE(E15:E21),"")</f>
        <v>95</v>
      </c>
      <c r="F14" s="97">
        <f t="shared" ref="F14:AA14" si="257">IFERROR(AVERAGE(F15:F21),"")</f>
        <v>95</v>
      </c>
      <c r="G14" s="97">
        <f t="shared" si="257"/>
        <v>90</v>
      </c>
      <c r="H14" s="97">
        <f t="shared" si="257"/>
        <v>95</v>
      </c>
      <c r="I14" s="97">
        <f t="shared" si="257"/>
        <v>100</v>
      </c>
      <c r="J14" s="97">
        <f t="shared" si="257"/>
        <v>80</v>
      </c>
      <c r="K14" s="97">
        <f t="shared" si="257"/>
        <v>100</v>
      </c>
      <c r="L14" s="97">
        <f t="shared" si="257"/>
        <v>100</v>
      </c>
      <c r="M14" s="97">
        <f t="shared" si="257"/>
        <v>90</v>
      </c>
      <c r="N14" s="97">
        <f t="shared" si="257"/>
        <v>98</v>
      </c>
      <c r="O14" s="97">
        <f t="shared" si="257"/>
        <v>100</v>
      </c>
      <c r="P14" s="97">
        <f t="shared" si="257"/>
        <v>100</v>
      </c>
      <c r="Q14" s="97">
        <f t="shared" si="257"/>
        <v>100</v>
      </c>
      <c r="R14" s="97">
        <f t="shared" si="257"/>
        <v>100</v>
      </c>
      <c r="S14" s="97">
        <f t="shared" si="257"/>
        <v>90</v>
      </c>
      <c r="T14" s="97">
        <f t="shared" si="257"/>
        <v>95</v>
      </c>
      <c r="U14" s="97">
        <f t="shared" si="257"/>
        <v>100</v>
      </c>
      <c r="V14" s="97">
        <f t="shared" si="257"/>
        <v>100</v>
      </c>
      <c r="W14" s="97">
        <f t="shared" si="257"/>
        <v>85</v>
      </c>
      <c r="X14" s="97">
        <f t="shared" si="257"/>
        <v>92</v>
      </c>
      <c r="Y14" s="97">
        <f t="shared" si="257"/>
        <v>100</v>
      </c>
      <c r="Z14" s="97">
        <f t="shared" si="257"/>
        <v>100</v>
      </c>
      <c r="AA14" s="97">
        <f t="shared" si="257"/>
        <v>90</v>
      </c>
      <c r="AB14" s="97">
        <f t="shared" ref="AB14:AH14" si="258">IFERROR(AVERAGE(AB15:AB21),"")</f>
        <v>95</v>
      </c>
      <c r="AC14" s="97" t="str">
        <f t="shared" si="258"/>
        <v/>
      </c>
      <c r="AD14" s="97" t="str">
        <f t="shared" si="258"/>
        <v/>
      </c>
      <c r="AE14" s="97" t="str">
        <f t="shared" si="258"/>
        <v/>
      </c>
      <c r="AF14" s="97" t="str">
        <f t="shared" si="258"/>
        <v/>
      </c>
      <c r="AG14" s="97" t="str">
        <f t="shared" si="258"/>
        <v/>
      </c>
      <c r="AH14" s="97" t="str">
        <f t="shared" si="258"/>
        <v/>
      </c>
    </row>
    <row r="15" spans="1:16384" ht="27" customHeight="1">
      <c r="A15" s="30"/>
      <c r="B15" s="801"/>
      <c r="C15" s="74" t="s">
        <v>1577</v>
      </c>
      <c r="D15" s="72" t="s">
        <v>1578</v>
      </c>
      <c r="E15" s="98">
        <v>95</v>
      </c>
      <c r="F15" s="98">
        <v>95</v>
      </c>
      <c r="G15" s="98">
        <v>90</v>
      </c>
      <c r="H15" s="98">
        <v>95</v>
      </c>
      <c r="I15" s="98">
        <v>100</v>
      </c>
      <c r="J15" s="98">
        <v>80</v>
      </c>
      <c r="K15" s="98">
        <v>100</v>
      </c>
      <c r="L15" s="98">
        <v>100</v>
      </c>
      <c r="M15" s="98">
        <v>90</v>
      </c>
      <c r="N15" s="98">
        <v>98</v>
      </c>
      <c r="O15" s="98">
        <v>100</v>
      </c>
      <c r="P15" s="98">
        <v>100</v>
      </c>
      <c r="Q15" s="98">
        <v>100</v>
      </c>
      <c r="R15" s="98">
        <v>100</v>
      </c>
      <c r="S15" s="98">
        <v>90</v>
      </c>
      <c r="T15" s="98">
        <v>95</v>
      </c>
      <c r="U15" s="98">
        <v>100</v>
      </c>
      <c r="V15" s="98">
        <v>100</v>
      </c>
      <c r="W15" s="98">
        <v>85</v>
      </c>
      <c r="X15" s="98">
        <v>92</v>
      </c>
      <c r="Y15" s="98">
        <v>100</v>
      </c>
      <c r="Z15" s="98">
        <v>100</v>
      </c>
      <c r="AA15" s="98">
        <v>90</v>
      </c>
      <c r="AB15" s="98">
        <v>95</v>
      </c>
      <c r="AC15" s="98"/>
      <c r="AD15" s="98"/>
      <c r="AE15" s="98"/>
      <c r="AF15" s="98"/>
      <c r="AG15" s="98"/>
      <c r="AH15" s="98"/>
    </row>
    <row r="16" spans="1:16384" ht="27" hidden="1" customHeight="1">
      <c r="A16" s="30"/>
      <c r="B16" s="801"/>
      <c r="C16" s="74" t="s">
        <v>153</v>
      </c>
      <c r="D16" s="72"/>
      <c r="E16" s="98"/>
      <c r="F16" s="98"/>
      <c r="G16" s="98"/>
      <c r="H16" s="98"/>
      <c r="I16" s="98"/>
      <c r="J16" s="98"/>
      <c r="K16" s="98"/>
      <c r="L16" s="98"/>
      <c r="M16" s="98"/>
      <c r="N16" s="98"/>
      <c r="O16" s="98"/>
      <c r="P16" s="98"/>
      <c r="Q16" s="98"/>
      <c r="R16" s="98"/>
      <c r="S16" s="98"/>
      <c r="T16" s="98"/>
      <c r="U16" s="98"/>
      <c r="V16" s="98"/>
      <c r="W16" s="98"/>
      <c r="X16" s="98"/>
      <c r="Y16" s="98"/>
      <c r="Z16" s="98"/>
      <c r="AA16" s="98"/>
      <c r="AB16" s="98"/>
      <c r="AC16" s="98"/>
      <c r="AD16" s="98"/>
      <c r="AE16" s="98"/>
      <c r="AF16" s="98"/>
      <c r="AG16" s="98"/>
      <c r="AH16" s="98"/>
    </row>
    <row r="17" spans="1:34" ht="27" hidden="1" customHeight="1">
      <c r="A17" s="30"/>
      <c r="B17" s="801"/>
      <c r="C17" s="74" t="s">
        <v>154</v>
      </c>
      <c r="D17" s="72"/>
      <c r="E17" s="98"/>
      <c r="F17" s="98"/>
      <c r="G17" s="98"/>
      <c r="H17" s="98"/>
      <c r="I17" s="98"/>
      <c r="J17" s="98"/>
      <c r="K17" s="98"/>
      <c r="L17" s="98"/>
      <c r="M17" s="98"/>
      <c r="N17" s="98"/>
      <c r="O17" s="98"/>
      <c r="P17" s="98"/>
      <c r="Q17" s="98"/>
      <c r="R17" s="98"/>
      <c r="S17" s="98"/>
      <c r="T17" s="98"/>
      <c r="U17" s="98"/>
      <c r="V17" s="98"/>
      <c r="W17" s="98"/>
      <c r="X17" s="98"/>
      <c r="Y17" s="98"/>
      <c r="Z17" s="98"/>
      <c r="AA17" s="98"/>
      <c r="AB17" s="98"/>
      <c r="AC17" s="98"/>
      <c r="AD17" s="98"/>
      <c r="AE17" s="98"/>
      <c r="AF17" s="98"/>
      <c r="AG17" s="98"/>
      <c r="AH17" s="98"/>
    </row>
    <row r="18" spans="1:34" ht="27" hidden="1" customHeight="1">
      <c r="A18" s="30"/>
      <c r="B18" s="801"/>
      <c r="C18" s="74" t="s">
        <v>155</v>
      </c>
      <c r="D18" s="72"/>
      <c r="E18" s="98"/>
      <c r="F18" s="98"/>
      <c r="G18" s="98"/>
      <c r="H18" s="98"/>
      <c r="I18" s="98"/>
      <c r="J18" s="98"/>
      <c r="K18" s="98"/>
      <c r="L18" s="98"/>
      <c r="M18" s="98"/>
      <c r="N18" s="98"/>
      <c r="O18" s="98"/>
      <c r="P18" s="98"/>
      <c r="Q18" s="98"/>
      <c r="R18" s="98"/>
      <c r="S18" s="98"/>
      <c r="T18" s="98"/>
      <c r="U18" s="98"/>
      <c r="V18" s="98"/>
      <c r="W18" s="98"/>
      <c r="X18" s="98"/>
      <c r="Y18" s="98"/>
      <c r="Z18" s="98"/>
      <c r="AA18" s="98"/>
      <c r="AB18" s="98"/>
      <c r="AC18" s="98"/>
      <c r="AD18" s="98"/>
      <c r="AE18" s="98"/>
      <c r="AF18" s="98"/>
      <c r="AG18" s="98"/>
      <c r="AH18" s="98"/>
    </row>
    <row r="19" spans="1:34" ht="27" hidden="1" customHeight="1">
      <c r="A19" s="30"/>
      <c r="B19" s="801"/>
      <c r="C19" s="74" t="s">
        <v>156</v>
      </c>
      <c r="D19" s="72"/>
      <c r="E19" s="98"/>
      <c r="F19" s="98"/>
      <c r="G19" s="98"/>
      <c r="H19" s="98"/>
      <c r="I19" s="98"/>
      <c r="J19" s="98"/>
      <c r="K19" s="98"/>
      <c r="L19" s="98"/>
      <c r="M19" s="98"/>
      <c r="N19" s="98"/>
      <c r="O19" s="98"/>
      <c r="P19" s="98"/>
      <c r="Q19" s="98"/>
      <c r="R19" s="98"/>
      <c r="S19" s="98"/>
      <c r="T19" s="98"/>
      <c r="U19" s="98"/>
      <c r="V19" s="98"/>
      <c r="W19" s="98"/>
      <c r="X19" s="98"/>
      <c r="Y19" s="98"/>
      <c r="Z19" s="98"/>
      <c r="AA19" s="98"/>
      <c r="AB19" s="98"/>
      <c r="AC19" s="98"/>
      <c r="AD19" s="98"/>
      <c r="AE19" s="98"/>
      <c r="AF19" s="98"/>
      <c r="AG19" s="98"/>
      <c r="AH19" s="98"/>
    </row>
    <row r="20" spans="1:34" ht="27" hidden="1" customHeight="1">
      <c r="A20" s="30"/>
      <c r="B20" s="801"/>
      <c r="C20" s="74" t="s">
        <v>157</v>
      </c>
      <c r="D20" s="72"/>
      <c r="E20" s="98"/>
      <c r="F20" s="98"/>
      <c r="G20" s="98"/>
      <c r="H20" s="98"/>
      <c r="I20" s="98"/>
      <c r="J20" s="98"/>
      <c r="K20" s="98"/>
      <c r="L20" s="98"/>
      <c r="M20" s="98"/>
      <c r="N20" s="98"/>
      <c r="O20" s="98"/>
      <c r="P20" s="98"/>
      <c r="Q20" s="98"/>
      <c r="R20" s="98"/>
      <c r="S20" s="98"/>
      <c r="T20" s="98"/>
      <c r="U20" s="98"/>
      <c r="V20" s="98"/>
      <c r="W20" s="98"/>
      <c r="X20" s="98"/>
      <c r="Y20" s="98"/>
      <c r="Z20" s="98"/>
      <c r="AA20" s="98"/>
      <c r="AB20" s="98"/>
      <c r="AC20" s="98"/>
      <c r="AD20" s="98"/>
      <c r="AE20" s="98"/>
      <c r="AF20" s="98"/>
      <c r="AG20" s="98"/>
      <c r="AH20" s="98"/>
    </row>
    <row r="21" spans="1:34" ht="27" hidden="1" customHeight="1">
      <c r="A21" s="30"/>
      <c r="B21" s="802"/>
      <c r="C21" s="74" t="s">
        <v>158</v>
      </c>
      <c r="D21" s="72"/>
      <c r="E21" s="98"/>
      <c r="F21" s="98"/>
      <c r="G21" s="98"/>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row>
    <row r="22" spans="1:34" ht="27" customHeight="1">
      <c r="A22" s="30"/>
      <c r="B22" s="800">
        <v>3</v>
      </c>
      <c r="C22" s="795" t="s">
        <v>1965</v>
      </c>
      <c r="D22" s="796"/>
      <c r="E22" s="97">
        <f>IFERROR(AVERAGE(E23:E29),"")</f>
        <v>90</v>
      </c>
      <c r="F22" s="97">
        <f t="shared" ref="F22:AA22" si="259">IFERROR(AVERAGE(F23:F29),"")</f>
        <v>90</v>
      </c>
      <c r="G22" s="97">
        <f t="shared" si="259"/>
        <v>80</v>
      </c>
      <c r="H22" s="97">
        <f t="shared" si="259"/>
        <v>85</v>
      </c>
      <c r="I22" s="97">
        <f t="shared" si="259"/>
        <v>75</v>
      </c>
      <c r="J22" s="97">
        <f t="shared" si="259"/>
        <v>100</v>
      </c>
      <c r="K22" s="97">
        <f t="shared" si="259"/>
        <v>100</v>
      </c>
      <c r="L22" s="97">
        <f t="shared" si="259"/>
        <v>85</v>
      </c>
      <c r="M22" s="97">
        <f t="shared" si="259"/>
        <v>80</v>
      </c>
      <c r="N22" s="97">
        <f t="shared" si="259"/>
        <v>90</v>
      </c>
      <c r="O22" s="97">
        <f t="shared" si="259"/>
        <v>100</v>
      </c>
      <c r="P22" s="97">
        <f t="shared" si="259"/>
        <v>100</v>
      </c>
      <c r="Q22" s="97">
        <f t="shared" si="259"/>
        <v>100</v>
      </c>
      <c r="R22" s="97">
        <f t="shared" si="259"/>
        <v>90</v>
      </c>
      <c r="S22" s="97">
        <f t="shared" si="259"/>
        <v>80</v>
      </c>
      <c r="T22" s="97">
        <f t="shared" si="259"/>
        <v>75</v>
      </c>
      <c r="U22" s="97">
        <f t="shared" si="259"/>
        <v>90</v>
      </c>
      <c r="V22" s="97">
        <f t="shared" si="259"/>
        <v>95</v>
      </c>
      <c r="W22" s="97">
        <f t="shared" si="259"/>
        <v>92</v>
      </c>
      <c r="X22" s="97">
        <f t="shared" si="259"/>
        <v>80</v>
      </c>
      <c r="Y22" s="97">
        <f t="shared" si="259"/>
        <v>75</v>
      </c>
      <c r="Z22" s="97">
        <f t="shared" si="259"/>
        <v>90</v>
      </c>
      <c r="AA22" s="97">
        <f t="shared" si="259"/>
        <v>90</v>
      </c>
      <c r="AB22" s="97">
        <f t="shared" ref="AB22:AH22" si="260">IFERROR(AVERAGE(AB23:AB29),"")</f>
        <v>95</v>
      </c>
      <c r="AC22" s="97" t="str">
        <f t="shared" si="260"/>
        <v/>
      </c>
      <c r="AD22" s="97" t="str">
        <f t="shared" si="260"/>
        <v/>
      </c>
      <c r="AE22" s="97" t="str">
        <f t="shared" si="260"/>
        <v/>
      </c>
      <c r="AF22" s="97" t="str">
        <f t="shared" si="260"/>
        <v/>
      </c>
      <c r="AG22" s="97" t="str">
        <f t="shared" si="260"/>
        <v/>
      </c>
      <c r="AH22" s="97" t="str">
        <f t="shared" si="260"/>
        <v/>
      </c>
    </row>
    <row r="23" spans="1:34" ht="42" customHeight="1">
      <c r="A23" s="30"/>
      <c r="B23" s="801"/>
      <c r="C23" s="74" t="s">
        <v>1579</v>
      </c>
      <c r="D23" s="72">
        <v>43675</v>
      </c>
      <c r="E23" s="98">
        <v>90</v>
      </c>
      <c r="F23" s="98">
        <v>90</v>
      </c>
      <c r="G23" s="98">
        <v>80</v>
      </c>
      <c r="H23" s="98">
        <v>85</v>
      </c>
      <c r="I23" s="98">
        <v>75</v>
      </c>
      <c r="J23" s="98">
        <v>100</v>
      </c>
      <c r="K23" s="98">
        <v>100</v>
      </c>
      <c r="L23" s="98">
        <v>85</v>
      </c>
      <c r="M23" s="98">
        <v>80</v>
      </c>
      <c r="N23" s="98">
        <v>90</v>
      </c>
      <c r="O23" s="98">
        <v>100</v>
      </c>
      <c r="P23" s="98">
        <v>100</v>
      </c>
      <c r="Q23" s="98">
        <v>100</v>
      </c>
      <c r="R23" s="98">
        <v>90</v>
      </c>
      <c r="S23" s="98">
        <v>80</v>
      </c>
      <c r="T23" s="98">
        <v>75</v>
      </c>
      <c r="U23" s="98">
        <v>90</v>
      </c>
      <c r="V23" s="98">
        <v>95</v>
      </c>
      <c r="W23" s="98">
        <v>92</v>
      </c>
      <c r="X23" s="98">
        <v>80</v>
      </c>
      <c r="Y23" s="98">
        <v>75</v>
      </c>
      <c r="Z23" s="98">
        <v>90</v>
      </c>
      <c r="AA23" s="98">
        <v>90</v>
      </c>
      <c r="AB23" s="98">
        <v>95</v>
      </c>
      <c r="AC23" s="98"/>
      <c r="AD23" s="98"/>
      <c r="AE23" s="98"/>
      <c r="AF23" s="98"/>
      <c r="AG23" s="98"/>
      <c r="AH23" s="98"/>
    </row>
    <row r="24" spans="1:34" ht="27" hidden="1" customHeight="1">
      <c r="A24" s="30"/>
      <c r="B24" s="801"/>
      <c r="C24" s="74"/>
      <c r="D24" s="72"/>
      <c r="E24" s="98"/>
      <c r="F24" s="98"/>
      <c r="G24" s="98"/>
      <c r="H24" s="98"/>
      <c r="I24" s="98"/>
      <c r="J24" s="98"/>
      <c r="K24" s="98"/>
      <c r="L24" s="98"/>
      <c r="M24" s="98"/>
      <c r="N24" s="98"/>
      <c r="O24" s="98"/>
      <c r="P24" s="98"/>
      <c r="Q24" s="98"/>
      <c r="R24" s="98"/>
      <c r="S24" s="98"/>
      <c r="T24" s="98"/>
      <c r="U24" s="98"/>
      <c r="V24" s="98"/>
      <c r="W24" s="98"/>
      <c r="X24" s="98"/>
      <c r="Y24" s="98"/>
      <c r="Z24" s="98"/>
      <c r="AA24" s="98"/>
      <c r="AB24" s="98"/>
      <c r="AC24" s="98"/>
      <c r="AD24" s="98"/>
      <c r="AE24" s="98"/>
      <c r="AF24" s="98"/>
      <c r="AG24" s="98"/>
      <c r="AH24" s="98"/>
    </row>
    <row r="25" spans="1:34" ht="27" hidden="1" customHeight="1">
      <c r="A25" s="30"/>
      <c r="B25" s="801"/>
      <c r="C25" s="74" t="s">
        <v>161</v>
      </c>
      <c r="D25" s="72"/>
      <c r="E25" s="98"/>
      <c r="F25" s="98"/>
      <c r="G25" s="98"/>
      <c r="H25" s="98"/>
      <c r="I25" s="98"/>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row>
    <row r="26" spans="1:34" ht="27" hidden="1" customHeight="1">
      <c r="A26" s="30"/>
      <c r="B26" s="801"/>
      <c r="C26" s="74" t="s">
        <v>162</v>
      </c>
      <c r="D26" s="72"/>
      <c r="E26" s="98"/>
      <c r="F26" s="98"/>
      <c r="G26" s="98"/>
      <c r="H26" s="98"/>
      <c r="I26" s="98"/>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row>
    <row r="27" spans="1:34" ht="27" hidden="1" customHeight="1">
      <c r="A27" s="30"/>
      <c r="B27" s="801"/>
      <c r="C27" s="74" t="s">
        <v>163</v>
      </c>
      <c r="D27" s="72"/>
      <c r="E27" s="98"/>
      <c r="F27" s="98"/>
      <c r="G27" s="98"/>
      <c r="H27" s="98"/>
      <c r="I27" s="98"/>
      <c r="J27" s="98"/>
      <c r="K27" s="98"/>
      <c r="L27" s="98"/>
      <c r="M27" s="98"/>
      <c r="N27" s="98"/>
      <c r="O27" s="98"/>
      <c r="P27" s="98"/>
      <c r="Q27" s="98"/>
      <c r="R27" s="98"/>
      <c r="S27" s="98"/>
      <c r="T27" s="98"/>
      <c r="U27" s="98"/>
      <c r="V27" s="98"/>
      <c r="W27" s="98"/>
      <c r="X27" s="98"/>
      <c r="Y27" s="98"/>
      <c r="Z27" s="98"/>
      <c r="AA27" s="98"/>
      <c r="AB27" s="98"/>
      <c r="AC27" s="98"/>
      <c r="AD27" s="98"/>
      <c r="AE27" s="98"/>
      <c r="AF27" s="98"/>
      <c r="AG27" s="98"/>
      <c r="AH27" s="98"/>
    </row>
    <row r="28" spans="1:34" ht="27" hidden="1" customHeight="1">
      <c r="A28" s="30"/>
      <c r="B28" s="801"/>
      <c r="C28" s="74" t="s">
        <v>164</v>
      </c>
      <c r="D28" s="72"/>
      <c r="E28" s="98"/>
      <c r="F28" s="98"/>
      <c r="G28" s="98"/>
      <c r="H28" s="98"/>
      <c r="I28" s="98"/>
      <c r="J28" s="98"/>
      <c r="K28" s="98"/>
      <c r="L28" s="98"/>
      <c r="M28" s="98"/>
      <c r="N28" s="98"/>
      <c r="O28" s="98"/>
      <c r="P28" s="98"/>
      <c r="Q28" s="98"/>
      <c r="R28" s="98"/>
      <c r="S28" s="98"/>
      <c r="T28" s="98"/>
      <c r="U28" s="98"/>
      <c r="V28" s="98"/>
      <c r="W28" s="98"/>
      <c r="X28" s="98"/>
      <c r="Y28" s="98"/>
      <c r="Z28" s="98"/>
      <c r="AA28" s="98"/>
      <c r="AB28" s="98"/>
      <c r="AC28" s="98"/>
      <c r="AD28" s="98"/>
      <c r="AE28" s="98"/>
      <c r="AF28" s="98"/>
      <c r="AG28" s="98"/>
      <c r="AH28" s="98"/>
    </row>
    <row r="29" spans="1:34" ht="27" hidden="1" customHeight="1">
      <c r="A29" s="30"/>
      <c r="B29" s="802"/>
      <c r="C29" s="74" t="s">
        <v>165</v>
      </c>
      <c r="D29" s="72"/>
      <c r="E29" s="98"/>
      <c r="F29" s="98"/>
      <c r="G29" s="98"/>
      <c r="H29" s="98"/>
      <c r="I29" s="98"/>
      <c r="J29" s="98"/>
      <c r="K29" s="98"/>
      <c r="L29" s="98"/>
      <c r="M29" s="98"/>
      <c r="N29" s="98"/>
      <c r="O29" s="98"/>
      <c r="P29" s="98"/>
      <c r="Q29" s="98"/>
      <c r="R29" s="98"/>
      <c r="S29" s="98"/>
      <c r="T29" s="98"/>
      <c r="U29" s="98"/>
      <c r="V29" s="98"/>
      <c r="W29" s="98"/>
      <c r="X29" s="98"/>
      <c r="Y29" s="98"/>
      <c r="Z29" s="98"/>
      <c r="AA29" s="98"/>
      <c r="AB29" s="98"/>
      <c r="AC29" s="98"/>
      <c r="AD29" s="98"/>
      <c r="AE29" s="98"/>
      <c r="AF29" s="98"/>
      <c r="AG29" s="98"/>
      <c r="AH29" s="98"/>
    </row>
    <row r="30" spans="1:34" ht="27" customHeight="1">
      <c r="A30" s="30"/>
      <c r="B30" s="800">
        <v>4</v>
      </c>
      <c r="C30" s="795" t="s">
        <v>1961</v>
      </c>
      <c r="D30" s="796"/>
      <c r="E30" s="97">
        <f>IFERROR(AVERAGE(E31:E37),"")</f>
        <v>83.333333333333329</v>
      </c>
      <c r="F30" s="97">
        <f t="shared" ref="F30:AA30" si="261">IFERROR(AVERAGE(F31:F37),"")</f>
        <v>83.333333333333329</v>
      </c>
      <c r="G30" s="97">
        <f t="shared" si="261"/>
        <v>95</v>
      </c>
      <c r="H30" s="97">
        <f t="shared" si="261"/>
        <v>95</v>
      </c>
      <c r="I30" s="97">
        <f t="shared" si="261"/>
        <v>93.333333333333329</v>
      </c>
      <c r="J30" s="97">
        <f t="shared" si="261"/>
        <v>100</v>
      </c>
      <c r="K30" s="97">
        <f t="shared" si="261"/>
        <v>100</v>
      </c>
      <c r="L30" s="97">
        <f t="shared" si="261"/>
        <v>91.666666666666671</v>
      </c>
      <c r="M30" s="97">
        <f t="shared" si="261"/>
        <v>96.666666666666671</v>
      </c>
      <c r="N30" s="97">
        <f t="shared" si="261"/>
        <v>91.666666666666671</v>
      </c>
      <c r="O30" s="97">
        <f t="shared" si="261"/>
        <v>100</v>
      </c>
      <c r="P30" s="97">
        <f t="shared" si="261"/>
        <v>100</v>
      </c>
      <c r="Q30" s="97">
        <f t="shared" si="261"/>
        <v>90</v>
      </c>
      <c r="R30" s="97">
        <f t="shared" si="261"/>
        <v>86.666666666666671</v>
      </c>
      <c r="S30" s="97">
        <f t="shared" si="261"/>
        <v>91.666666666666671</v>
      </c>
      <c r="T30" s="97">
        <f t="shared" si="261"/>
        <v>95</v>
      </c>
      <c r="U30" s="97">
        <f t="shared" si="261"/>
        <v>91.666666666666671</v>
      </c>
      <c r="V30" s="97">
        <f t="shared" si="261"/>
        <v>96.666666666666671</v>
      </c>
      <c r="W30" s="97">
        <f t="shared" si="261"/>
        <v>80</v>
      </c>
      <c r="X30" s="97">
        <f t="shared" si="261"/>
        <v>87.666666666666671</v>
      </c>
      <c r="Y30" s="97">
        <f t="shared" si="261"/>
        <v>99.333333333333329</v>
      </c>
      <c r="Z30" s="97">
        <f t="shared" si="261"/>
        <v>83.333333333333329</v>
      </c>
      <c r="AA30" s="97">
        <f t="shared" si="261"/>
        <v>83.333333333333329</v>
      </c>
      <c r="AB30" s="97">
        <f t="shared" ref="AB30:AH30" si="262">IFERROR(AVERAGE(AB31:AB37),"")</f>
        <v>96.666666666666671</v>
      </c>
      <c r="AC30" s="97" t="str">
        <f t="shared" si="262"/>
        <v/>
      </c>
      <c r="AD30" s="97" t="str">
        <f t="shared" si="262"/>
        <v/>
      </c>
      <c r="AE30" s="97" t="str">
        <f t="shared" si="262"/>
        <v/>
      </c>
      <c r="AF30" s="97" t="str">
        <f t="shared" si="262"/>
        <v/>
      </c>
      <c r="AG30" s="97" t="str">
        <f t="shared" si="262"/>
        <v/>
      </c>
      <c r="AH30" s="97" t="str">
        <f t="shared" si="262"/>
        <v/>
      </c>
    </row>
    <row r="31" spans="1:34" ht="27" customHeight="1">
      <c r="A31" s="30"/>
      <c r="B31" s="801"/>
      <c r="C31" s="74" t="s">
        <v>1580</v>
      </c>
      <c r="D31" s="72" t="s">
        <v>1572</v>
      </c>
      <c r="E31" s="98">
        <v>75</v>
      </c>
      <c r="F31" s="98">
        <v>100</v>
      </c>
      <c r="G31" s="98">
        <v>100</v>
      </c>
      <c r="H31" s="98">
        <v>100</v>
      </c>
      <c r="I31" s="98">
        <v>90</v>
      </c>
      <c r="J31" s="98">
        <v>100</v>
      </c>
      <c r="K31" s="98">
        <v>100</v>
      </c>
      <c r="L31" s="98">
        <v>90</v>
      </c>
      <c r="M31" s="98">
        <v>90</v>
      </c>
      <c r="N31" s="98">
        <v>100</v>
      </c>
      <c r="O31" s="98">
        <v>100</v>
      </c>
      <c r="P31" s="98">
        <v>100</v>
      </c>
      <c r="Q31" s="98">
        <v>100</v>
      </c>
      <c r="R31" s="98">
        <v>85</v>
      </c>
      <c r="S31" s="98">
        <v>100</v>
      </c>
      <c r="T31" s="98">
        <v>85</v>
      </c>
      <c r="U31" s="98">
        <v>100</v>
      </c>
      <c r="V31" s="98">
        <v>100</v>
      </c>
      <c r="W31" s="98">
        <v>90</v>
      </c>
      <c r="X31" s="98">
        <v>85</v>
      </c>
      <c r="Y31" s="98">
        <v>100</v>
      </c>
      <c r="Z31" s="98">
        <v>75</v>
      </c>
      <c r="AA31" s="98">
        <v>80</v>
      </c>
      <c r="AB31" s="98">
        <v>90</v>
      </c>
      <c r="AC31" s="98"/>
      <c r="AD31" s="98"/>
      <c r="AE31" s="98"/>
      <c r="AF31" s="98"/>
      <c r="AG31" s="98"/>
      <c r="AH31" s="98"/>
    </row>
    <row r="32" spans="1:34" ht="27" customHeight="1">
      <c r="A32" s="30"/>
      <c r="B32" s="801"/>
      <c r="C32" s="74" t="s">
        <v>1581</v>
      </c>
      <c r="D32" s="72" t="s">
        <v>1574</v>
      </c>
      <c r="E32" s="98">
        <v>90</v>
      </c>
      <c r="F32" s="98">
        <v>75</v>
      </c>
      <c r="G32" s="98">
        <v>85</v>
      </c>
      <c r="H32" s="98">
        <v>85</v>
      </c>
      <c r="I32" s="98">
        <v>90</v>
      </c>
      <c r="J32" s="98">
        <v>100</v>
      </c>
      <c r="K32" s="98">
        <v>100</v>
      </c>
      <c r="L32" s="98">
        <v>100</v>
      </c>
      <c r="M32" s="98">
        <v>100</v>
      </c>
      <c r="N32" s="98">
        <v>75</v>
      </c>
      <c r="O32" s="98">
        <v>100</v>
      </c>
      <c r="P32" s="98">
        <v>100</v>
      </c>
      <c r="Q32" s="98">
        <v>85</v>
      </c>
      <c r="R32" s="98">
        <v>75</v>
      </c>
      <c r="S32" s="98">
        <v>75</v>
      </c>
      <c r="T32" s="98">
        <v>100</v>
      </c>
      <c r="U32" s="98">
        <v>75</v>
      </c>
      <c r="V32" s="98">
        <v>90</v>
      </c>
      <c r="W32" s="98">
        <v>75</v>
      </c>
      <c r="X32" s="98">
        <v>88</v>
      </c>
      <c r="Y32" s="98">
        <v>98</v>
      </c>
      <c r="Z32" s="98">
        <v>75</v>
      </c>
      <c r="AA32" s="98">
        <v>70</v>
      </c>
      <c r="AB32" s="98">
        <v>100</v>
      </c>
      <c r="AC32" s="98"/>
      <c r="AD32" s="98"/>
      <c r="AE32" s="98"/>
      <c r="AF32" s="98"/>
      <c r="AG32" s="98"/>
      <c r="AH32" s="98"/>
    </row>
    <row r="33" spans="1:34" ht="27" customHeight="1">
      <c r="A33" s="30"/>
      <c r="B33" s="801"/>
      <c r="C33" s="74" t="s">
        <v>1582</v>
      </c>
      <c r="D33" s="72" t="s">
        <v>1576</v>
      </c>
      <c r="E33" s="98">
        <v>85</v>
      </c>
      <c r="F33" s="98">
        <v>75</v>
      </c>
      <c r="G33" s="98">
        <v>100</v>
      </c>
      <c r="H33" s="98">
        <v>100</v>
      </c>
      <c r="I33" s="98">
        <v>100</v>
      </c>
      <c r="J33" s="98">
        <v>100</v>
      </c>
      <c r="K33" s="98">
        <v>100</v>
      </c>
      <c r="L33" s="98">
        <v>85</v>
      </c>
      <c r="M33" s="98">
        <v>100</v>
      </c>
      <c r="N33" s="98">
        <v>100</v>
      </c>
      <c r="O33" s="98">
        <v>100</v>
      </c>
      <c r="P33" s="98">
        <v>100</v>
      </c>
      <c r="Q33" s="98">
        <v>85</v>
      </c>
      <c r="R33" s="98">
        <v>100</v>
      </c>
      <c r="S33" s="98">
        <v>100</v>
      </c>
      <c r="T33" s="98">
        <v>100</v>
      </c>
      <c r="U33" s="98">
        <v>100</v>
      </c>
      <c r="V33" s="98">
        <v>100</v>
      </c>
      <c r="W33" s="98">
        <v>75</v>
      </c>
      <c r="X33" s="98">
        <v>90</v>
      </c>
      <c r="Y33" s="98">
        <v>100</v>
      </c>
      <c r="Z33" s="98">
        <v>100</v>
      </c>
      <c r="AA33" s="98">
        <v>100</v>
      </c>
      <c r="AB33" s="98">
        <v>100</v>
      </c>
      <c r="AC33" s="98"/>
      <c r="AD33" s="98"/>
      <c r="AE33" s="98"/>
      <c r="AF33" s="98"/>
      <c r="AG33" s="98"/>
      <c r="AH33" s="98"/>
    </row>
    <row r="34" spans="1:34" ht="27" hidden="1" customHeight="1">
      <c r="A34" s="30"/>
      <c r="B34" s="801"/>
      <c r="C34" s="74" t="s">
        <v>169</v>
      </c>
      <c r="D34" s="72"/>
      <c r="E34" s="98"/>
      <c r="F34" s="98"/>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row>
    <row r="35" spans="1:34" ht="27" hidden="1" customHeight="1">
      <c r="A35" s="30"/>
      <c r="B35" s="801"/>
      <c r="C35" s="74" t="s">
        <v>170</v>
      </c>
      <c r="D35" s="72"/>
      <c r="E35" s="98"/>
      <c r="F35" s="98"/>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row>
    <row r="36" spans="1:34" ht="27" hidden="1" customHeight="1">
      <c r="A36" s="30"/>
      <c r="B36" s="801"/>
      <c r="C36" s="74" t="s">
        <v>171</v>
      </c>
      <c r="D36" s="72"/>
      <c r="E36" s="98"/>
      <c r="F36" s="98"/>
      <c r="G36" s="98"/>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row>
    <row r="37" spans="1:34" ht="27" hidden="1" customHeight="1">
      <c r="A37" s="30"/>
      <c r="B37" s="802"/>
      <c r="C37" s="74" t="s">
        <v>172</v>
      </c>
      <c r="D37" s="72"/>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row>
    <row r="38" spans="1:34" ht="27" customHeight="1">
      <c r="A38" s="30"/>
      <c r="B38" s="800">
        <v>5</v>
      </c>
      <c r="C38" s="795" t="s">
        <v>1962</v>
      </c>
      <c r="D38" s="796"/>
      <c r="E38" s="97">
        <f t="shared" ref="E38:AH38" si="263">IFERROR(AVERAGE(E39:E45),"")</f>
        <v>78.333333333333329</v>
      </c>
      <c r="F38" s="97">
        <f t="shared" si="263"/>
        <v>83.333333333333329</v>
      </c>
      <c r="G38" s="97">
        <f t="shared" si="263"/>
        <v>95</v>
      </c>
      <c r="H38" s="97">
        <f t="shared" si="263"/>
        <v>91.666666666666671</v>
      </c>
      <c r="I38" s="97">
        <f t="shared" si="263"/>
        <v>96</v>
      </c>
      <c r="J38" s="97">
        <f t="shared" si="263"/>
        <v>98.333333333333329</v>
      </c>
      <c r="K38" s="97">
        <f t="shared" si="263"/>
        <v>99.333333333333329</v>
      </c>
      <c r="L38" s="97">
        <f t="shared" si="263"/>
        <v>83.333333333333329</v>
      </c>
      <c r="M38" s="97">
        <f t="shared" si="263"/>
        <v>94</v>
      </c>
      <c r="N38" s="97">
        <f t="shared" si="263"/>
        <v>98.333333333333329</v>
      </c>
      <c r="O38" s="97">
        <f t="shared" si="263"/>
        <v>99.333333333333329</v>
      </c>
      <c r="P38" s="97">
        <f t="shared" si="263"/>
        <v>98.333333333333329</v>
      </c>
      <c r="Q38" s="97">
        <f t="shared" si="263"/>
        <v>93.333333333333329</v>
      </c>
      <c r="R38" s="97">
        <f t="shared" si="263"/>
        <v>86.666666666666671</v>
      </c>
      <c r="S38" s="97">
        <f t="shared" si="263"/>
        <v>91.666666666666671</v>
      </c>
      <c r="T38" s="97">
        <f t="shared" si="263"/>
        <v>91.666666666666671</v>
      </c>
      <c r="U38" s="97">
        <f t="shared" si="263"/>
        <v>94.333333333333329</v>
      </c>
      <c r="V38" s="97">
        <f t="shared" si="263"/>
        <v>98.333333333333329</v>
      </c>
      <c r="W38" s="97">
        <f t="shared" si="263"/>
        <v>80</v>
      </c>
      <c r="X38" s="97">
        <f t="shared" si="263"/>
        <v>85.666666666666671</v>
      </c>
      <c r="Y38" s="97">
        <f t="shared" si="263"/>
        <v>98.333333333333329</v>
      </c>
      <c r="Z38" s="97">
        <f t="shared" si="263"/>
        <v>83.333333333333329</v>
      </c>
      <c r="AA38" s="97">
        <f t="shared" si="263"/>
        <v>92.666666666666671</v>
      </c>
      <c r="AB38" s="97">
        <f t="shared" si="263"/>
        <v>95</v>
      </c>
      <c r="AC38" s="97" t="str">
        <f t="shared" si="263"/>
        <v/>
      </c>
      <c r="AD38" s="97" t="str">
        <f t="shared" si="263"/>
        <v/>
      </c>
      <c r="AE38" s="97" t="str">
        <f t="shared" si="263"/>
        <v/>
      </c>
      <c r="AF38" s="97" t="str">
        <f t="shared" si="263"/>
        <v/>
      </c>
      <c r="AG38" s="97" t="str">
        <f t="shared" si="263"/>
        <v/>
      </c>
      <c r="AH38" s="97" t="str">
        <f t="shared" si="263"/>
        <v/>
      </c>
    </row>
    <row r="39" spans="1:34" ht="27" customHeight="1">
      <c r="A39" s="30"/>
      <c r="B39" s="801"/>
      <c r="C39" s="74" t="s">
        <v>1583</v>
      </c>
      <c r="D39" s="72">
        <v>43717</v>
      </c>
      <c r="E39" s="98">
        <v>75</v>
      </c>
      <c r="F39" s="98">
        <v>100</v>
      </c>
      <c r="G39" s="98">
        <v>100</v>
      </c>
      <c r="H39" s="98">
        <v>100</v>
      </c>
      <c r="I39" s="98">
        <v>90</v>
      </c>
      <c r="J39" s="98">
        <v>100</v>
      </c>
      <c r="K39" s="98">
        <v>100</v>
      </c>
      <c r="L39" s="98">
        <v>90</v>
      </c>
      <c r="M39" s="98">
        <v>90</v>
      </c>
      <c r="N39" s="98">
        <v>100</v>
      </c>
      <c r="O39" s="98">
        <v>100</v>
      </c>
      <c r="P39" s="98">
        <v>100</v>
      </c>
      <c r="Q39" s="98">
        <v>100</v>
      </c>
      <c r="R39" s="98">
        <v>85</v>
      </c>
      <c r="S39" s="98">
        <v>100</v>
      </c>
      <c r="T39" s="98">
        <v>85</v>
      </c>
      <c r="U39" s="98">
        <v>100</v>
      </c>
      <c r="V39" s="98">
        <v>100</v>
      </c>
      <c r="W39" s="98">
        <v>90</v>
      </c>
      <c r="X39" s="98">
        <v>85</v>
      </c>
      <c r="Y39" s="98">
        <v>100</v>
      </c>
      <c r="Z39" s="98">
        <v>75</v>
      </c>
      <c r="AA39" s="98">
        <v>80</v>
      </c>
      <c r="AB39" s="98">
        <v>90</v>
      </c>
      <c r="AC39" s="98"/>
      <c r="AD39" s="98"/>
      <c r="AE39" s="98"/>
      <c r="AF39" s="98"/>
      <c r="AG39" s="98"/>
      <c r="AH39" s="98"/>
    </row>
    <row r="40" spans="1:34" ht="27" customHeight="1">
      <c r="A40" s="30"/>
      <c r="B40" s="801"/>
      <c r="C40" s="74" t="s">
        <v>1584</v>
      </c>
      <c r="D40" s="72">
        <v>43656</v>
      </c>
      <c r="E40" s="98">
        <v>85</v>
      </c>
      <c r="F40" s="98">
        <v>75</v>
      </c>
      <c r="G40" s="98">
        <v>100</v>
      </c>
      <c r="H40" s="98">
        <v>100</v>
      </c>
      <c r="I40" s="98">
        <v>100</v>
      </c>
      <c r="J40" s="98">
        <v>100</v>
      </c>
      <c r="K40" s="98">
        <v>100</v>
      </c>
      <c r="L40" s="98">
        <v>85</v>
      </c>
      <c r="M40" s="98">
        <v>100</v>
      </c>
      <c r="N40" s="98">
        <v>100</v>
      </c>
      <c r="O40" s="98">
        <v>100</v>
      </c>
      <c r="P40" s="98">
        <v>100</v>
      </c>
      <c r="Q40" s="98">
        <v>85</v>
      </c>
      <c r="R40" s="98">
        <v>100</v>
      </c>
      <c r="S40" s="98">
        <v>100</v>
      </c>
      <c r="T40" s="98">
        <v>100</v>
      </c>
      <c r="U40" s="98">
        <v>100</v>
      </c>
      <c r="V40" s="98">
        <v>100</v>
      </c>
      <c r="W40" s="98">
        <v>75</v>
      </c>
      <c r="X40" s="98">
        <v>90</v>
      </c>
      <c r="Y40" s="98">
        <v>100</v>
      </c>
      <c r="Z40" s="98">
        <v>100</v>
      </c>
      <c r="AA40" s="98">
        <v>100</v>
      </c>
      <c r="AB40" s="98">
        <v>100</v>
      </c>
      <c r="AC40" s="98"/>
      <c r="AD40" s="98"/>
      <c r="AE40" s="98"/>
      <c r="AF40" s="98"/>
      <c r="AG40" s="98"/>
      <c r="AH40" s="98"/>
    </row>
    <row r="41" spans="1:34" ht="27" customHeight="1">
      <c r="A41" s="30"/>
      <c r="B41" s="801"/>
      <c r="C41" s="74" t="s">
        <v>1585</v>
      </c>
      <c r="D41" s="72">
        <v>43766</v>
      </c>
      <c r="E41" s="98">
        <v>75</v>
      </c>
      <c r="F41" s="98">
        <v>75</v>
      </c>
      <c r="G41" s="98">
        <v>85</v>
      </c>
      <c r="H41" s="98">
        <v>75</v>
      </c>
      <c r="I41" s="98">
        <v>98</v>
      </c>
      <c r="J41" s="98">
        <v>95</v>
      </c>
      <c r="K41" s="98">
        <v>98</v>
      </c>
      <c r="L41" s="98">
        <v>75</v>
      </c>
      <c r="M41" s="98">
        <v>92</v>
      </c>
      <c r="N41" s="98">
        <v>95</v>
      </c>
      <c r="O41" s="98">
        <v>98</v>
      </c>
      <c r="P41" s="98">
        <v>95</v>
      </c>
      <c r="Q41" s="98">
        <v>95</v>
      </c>
      <c r="R41" s="98">
        <v>75</v>
      </c>
      <c r="S41" s="98">
        <v>75</v>
      </c>
      <c r="T41" s="98">
        <v>90</v>
      </c>
      <c r="U41" s="98">
        <v>83</v>
      </c>
      <c r="V41" s="98">
        <v>95</v>
      </c>
      <c r="W41" s="98">
        <v>75</v>
      </c>
      <c r="X41" s="98">
        <v>82</v>
      </c>
      <c r="Y41" s="98">
        <v>95</v>
      </c>
      <c r="Z41" s="98">
        <v>75</v>
      </c>
      <c r="AA41" s="98">
        <v>98</v>
      </c>
      <c r="AB41" s="98">
        <v>95</v>
      </c>
      <c r="AC41" s="98"/>
      <c r="AD41" s="98"/>
      <c r="AE41" s="98"/>
      <c r="AF41" s="98"/>
      <c r="AG41" s="98"/>
      <c r="AH41" s="98"/>
    </row>
    <row r="42" spans="1:34" ht="27" hidden="1" customHeight="1">
      <c r="A42" s="30"/>
      <c r="B42" s="801"/>
      <c r="C42" s="74" t="s">
        <v>176</v>
      </c>
      <c r="D42" s="72"/>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row>
    <row r="43" spans="1:34" ht="27" hidden="1" customHeight="1">
      <c r="A43" s="30"/>
      <c r="B43" s="801"/>
      <c r="C43" s="74" t="s">
        <v>177</v>
      </c>
      <c r="D43" s="72"/>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row>
    <row r="44" spans="1:34" ht="27" hidden="1" customHeight="1">
      <c r="A44" s="30"/>
      <c r="B44" s="801"/>
      <c r="C44" s="74" t="s">
        <v>178</v>
      </c>
      <c r="D44" s="72"/>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row>
    <row r="45" spans="1:34" ht="27" hidden="1" customHeight="1">
      <c r="A45" s="30"/>
      <c r="B45" s="802"/>
      <c r="C45" s="74" t="s">
        <v>179</v>
      </c>
      <c r="D45" s="72"/>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row>
    <row r="46" spans="1:34" ht="27" customHeight="1">
      <c r="A46" s="30"/>
      <c r="B46" s="800">
        <v>6</v>
      </c>
      <c r="C46" s="795" t="s">
        <v>1963</v>
      </c>
      <c r="D46" s="796"/>
      <c r="E46" s="97">
        <f>IFERROR(AVERAGE(E47:E53),"")</f>
        <v>80</v>
      </c>
      <c r="F46" s="97">
        <f t="shared" ref="F46:AA46" si="264">IFERROR(AVERAGE(F47:F53),"")</f>
        <v>75</v>
      </c>
      <c r="G46" s="97">
        <f t="shared" si="264"/>
        <v>80</v>
      </c>
      <c r="H46" s="97">
        <f t="shared" si="264"/>
        <v>92</v>
      </c>
      <c r="I46" s="97">
        <f t="shared" si="264"/>
        <v>95</v>
      </c>
      <c r="J46" s="97">
        <f t="shared" si="264"/>
        <v>90</v>
      </c>
      <c r="K46" s="97">
        <f t="shared" si="264"/>
        <v>95</v>
      </c>
      <c r="L46" s="97">
        <f t="shared" si="264"/>
        <v>90</v>
      </c>
      <c r="M46" s="97">
        <f t="shared" si="264"/>
        <v>85</v>
      </c>
      <c r="N46" s="97">
        <f t="shared" si="264"/>
        <v>98</v>
      </c>
      <c r="O46" s="97">
        <f t="shared" si="264"/>
        <v>92</v>
      </c>
      <c r="P46" s="97">
        <f t="shared" si="264"/>
        <v>92</v>
      </c>
      <c r="Q46" s="97">
        <f t="shared" si="264"/>
        <v>90</v>
      </c>
      <c r="R46" s="97">
        <f t="shared" si="264"/>
        <v>78</v>
      </c>
      <c r="S46" s="97">
        <f t="shared" si="264"/>
        <v>75</v>
      </c>
      <c r="T46" s="97">
        <f t="shared" si="264"/>
        <v>100</v>
      </c>
      <c r="U46" s="97">
        <f t="shared" si="264"/>
        <v>91</v>
      </c>
      <c r="V46" s="97">
        <f t="shared" si="264"/>
        <v>85</v>
      </c>
      <c r="W46" s="97">
        <f t="shared" si="264"/>
        <v>85</v>
      </c>
      <c r="X46" s="97">
        <f t="shared" si="264"/>
        <v>92</v>
      </c>
      <c r="Y46" s="97">
        <f t="shared" si="264"/>
        <v>92</v>
      </c>
      <c r="Z46" s="97">
        <f t="shared" si="264"/>
        <v>75</v>
      </c>
      <c r="AA46" s="97">
        <f t="shared" si="264"/>
        <v>75</v>
      </c>
      <c r="AB46" s="97">
        <f t="shared" ref="AB46:AH46" si="265">IFERROR(AVERAGE(AB47:AB53),"")</f>
        <v>86</v>
      </c>
      <c r="AC46" s="97" t="str">
        <f t="shared" si="265"/>
        <v/>
      </c>
      <c r="AD46" s="97" t="str">
        <f t="shared" si="265"/>
        <v/>
      </c>
      <c r="AE46" s="97" t="str">
        <f t="shared" si="265"/>
        <v/>
      </c>
      <c r="AF46" s="97" t="str">
        <f t="shared" si="265"/>
        <v/>
      </c>
      <c r="AG46" s="97" t="str">
        <f t="shared" si="265"/>
        <v/>
      </c>
      <c r="AH46" s="97" t="str">
        <f t="shared" si="265"/>
        <v/>
      </c>
    </row>
    <row r="47" spans="1:34" ht="27" customHeight="1">
      <c r="A47" s="30"/>
      <c r="B47" s="801"/>
      <c r="C47" s="74" t="s">
        <v>1586</v>
      </c>
      <c r="D47" s="72">
        <v>43689</v>
      </c>
      <c r="E47" s="98">
        <v>80</v>
      </c>
      <c r="F47" s="98">
        <v>75</v>
      </c>
      <c r="G47" s="98">
        <v>80</v>
      </c>
      <c r="H47" s="98">
        <v>92</v>
      </c>
      <c r="I47" s="98">
        <v>95</v>
      </c>
      <c r="J47" s="98">
        <v>90</v>
      </c>
      <c r="K47" s="98">
        <v>95</v>
      </c>
      <c r="L47" s="98">
        <v>90</v>
      </c>
      <c r="M47" s="98">
        <v>85</v>
      </c>
      <c r="N47" s="98">
        <v>98</v>
      </c>
      <c r="O47" s="98">
        <v>92</v>
      </c>
      <c r="P47" s="98">
        <v>92</v>
      </c>
      <c r="Q47" s="98">
        <v>90</v>
      </c>
      <c r="R47" s="98">
        <v>78</v>
      </c>
      <c r="S47" s="98">
        <v>75</v>
      </c>
      <c r="T47" s="98">
        <v>100</v>
      </c>
      <c r="U47" s="98">
        <v>91</v>
      </c>
      <c r="V47" s="98">
        <v>85</v>
      </c>
      <c r="W47" s="98">
        <v>85</v>
      </c>
      <c r="X47" s="98">
        <v>92</v>
      </c>
      <c r="Y47" s="98">
        <v>92</v>
      </c>
      <c r="Z47" s="98">
        <v>75</v>
      </c>
      <c r="AA47" s="98">
        <v>75</v>
      </c>
      <c r="AB47" s="98">
        <v>86</v>
      </c>
      <c r="AC47" s="98"/>
      <c r="AD47" s="98"/>
      <c r="AE47" s="98"/>
      <c r="AF47" s="98"/>
      <c r="AG47" s="98"/>
      <c r="AH47" s="98"/>
    </row>
    <row r="48" spans="1:34" ht="27" hidden="1" customHeight="1">
      <c r="A48" s="30"/>
      <c r="B48" s="801"/>
      <c r="C48" s="74"/>
      <c r="D48" s="72"/>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row>
    <row r="49" spans="1:34" ht="27" hidden="1" customHeight="1">
      <c r="A49" s="30"/>
      <c r="B49" s="801"/>
      <c r="C49" s="74" t="s">
        <v>182</v>
      </c>
      <c r="D49" s="72"/>
      <c r="E49" s="98"/>
      <c r="F49" s="98"/>
      <c r="G49" s="98"/>
      <c r="H49" s="98"/>
      <c r="I49" s="98"/>
      <c r="J49" s="98"/>
      <c r="K49" s="98"/>
      <c r="L49" s="98"/>
      <c r="M49" s="98"/>
      <c r="N49" s="98"/>
      <c r="O49" s="98"/>
      <c r="P49" s="98"/>
      <c r="Q49" s="98"/>
      <c r="R49" s="98"/>
      <c r="S49" s="98"/>
      <c r="T49" s="98"/>
      <c r="U49" s="98"/>
      <c r="V49" s="98"/>
      <c r="W49" s="98"/>
      <c r="X49" s="98"/>
      <c r="Y49" s="98"/>
      <c r="Z49" s="98"/>
      <c r="AA49" s="98"/>
      <c r="AB49" s="98"/>
      <c r="AC49" s="98"/>
      <c r="AD49" s="98"/>
      <c r="AE49" s="98"/>
      <c r="AF49" s="98"/>
      <c r="AG49" s="98"/>
      <c r="AH49" s="98"/>
    </row>
    <row r="50" spans="1:34" ht="27" hidden="1" customHeight="1">
      <c r="A50" s="30"/>
      <c r="B50" s="801"/>
      <c r="C50" s="74" t="s">
        <v>183</v>
      </c>
      <c r="D50" s="72"/>
      <c r="E50" s="98"/>
      <c r="F50" s="98"/>
      <c r="G50" s="98"/>
      <c r="H50" s="98"/>
      <c r="I50" s="98"/>
      <c r="J50" s="98"/>
      <c r="K50" s="98"/>
      <c r="L50" s="98"/>
      <c r="M50" s="98"/>
      <c r="N50" s="98"/>
      <c r="O50" s="98"/>
      <c r="P50" s="98"/>
      <c r="Q50" s="98"/>
      <c r="R50" s="98"/>
      <c r="S50" s="98"/>
      <c r="T50" s="98"/>
      <c r="U50" s="98"/>
      <c r="V50" s="98"/>
      <c r="W50" s="98"/>
      <c r="X50" s="98"/>
      <c r="Y50" s="98"/>
      <c r="Z50" s="98"/>
      <c r="AA50" s="98"/>
      <c r="AB50" s="98"/>
      <c r="AC50" s="98"/>
      <c r="AD50" s="98"/>
      <c r="AE50" s="98"/>
      <c r="AF50" s="98"/>
      <c r="AG50" s="98"/>
      <c r="AH50" s="98"/>
    </row>
    <row r="51" spans="1:34" ht="27" hidden="1" customHeight="1">
      <c r="A51" s="30"/>
      <c r="B51" s="801"/>
      <c r="C51" s="74" t="s">
        <v>184</v>
      </c>
      <c r="D51" s="72"/>
      <c r="E51" s="98"/>
      <c r="F51" s="98"/>
      <c r="G51" s="98"/>
      <c r="H51" s="98"/>
      <c r="I51" s="98"/>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row>
    <row r="52" spans="1:34" ht="27" hidden="1" customHeight="1">
      <c r="A52" s="30"/>
      <c r="B52" s="801"/>
      <c r="C52" s="74" t="s">
        <v>185</v>
      </c>
      <c r="D52" s="72"/>
      <c r="E52" s="98"/>
      <c r="F52" s="98"/>
      <c r="G52" s="98"/>
      <c r="H52" s="98"/>
      <c r="I52" s="98"/>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row>
    <row r="53" spans="1:34" ht="27" hidden="1" customHeight="1">
      <c r="A53" s="30"/>
      <c r="B53" s="802"/>
      <c r="C53" s="74" t="s">
        <v>186</v>
      </c>
      <c r="D53" s="72"/>
      <c r="E53" s="98"/>
      <c r="F53" s="98"/>
      <c r="G53" s="98"/>
      <c r="H53" s="98"/>
      <c r="I53" s="98"/>
      <c r="J53" s="98"/>
      <c r="K53" s="98"/>
      <c r="L53" s="98"/>
      <c r="M53" s="98"/>
      <c r="N53" s="98"/>
      <c r="O53" s="98"/>
      <c r="P53" s="98"/>
      <c r="Q53" s="98"/>
      <c r="R53" s="98"/>
      <c r="S53" s="98"/>
      <c r="T53" s="98"/>
      <c r="U53" s="98"/>
      <c r="V53" s="98"/>
      <c r="W53" s="98"/>
      <c r="X53" s="98"/>
      <c r="Y53" s="98"/>
      <c r="Z53" s="98"/>
      <c r="AA53" s="98"/>
      <c r="AB53" s="98"/>
      <c r="AC53" s="98"/>
      <c r="AD53" s="98"/>
      <c r="AE53" s="98"/>
      <c r="AF53" s="98"/>
      <c r="AG53" s="98"/>
      <c r="AH53" s="98"/>
    </row>
    <row r="54" spans="1:34" ht="27" customHeight="1">
      <c r="A54" s="30"/>
      <c r="B54" s="800">
        <v>7</v>
      </c>
      <c r="C54" s="795" t="s">
        <v>1964</v>
      </c>
      <c r="D54" s="796"/>
      <c r="E54" s="97">
        <f>IFERROR(AVERAGE(E55:E61),"")</f>
        <v>98</v>
      </c>
      <c r="F54" s="97">
        <f t="shared" ref="F54:AA54" si="266">IFERROR(AVERAGE(F55:F61),"")</f>
        <v>96.5</v>
      </c>
      <c r="G54" s="97">
        <f t="shared" si="266"/>
        <v>95</v>
      </c>
      <c r="H54" s="97">
        <f t="shared" si="266"/>
        <v>95</v>
      </c>
      <c r="I54" s="97">
        <f t="shared" si="266"/>
        <v>100</v>
      </c>
      <c r="J54" s="97">
        <f t="shared" si="266"/>
        <v>94</v>
      </c>
      <c r="K54" s="97">
        <f t="shared" si="266"/>
        <v>95</v>
      </c>
      <c r="L54" s="97">
        <f t="shared" si="266"/>
        <v>95</v>
      </c>
      <c r="M54" s="97">
        <f t="shared" si="266"/>
        <v>94</v>
      </c>
      <c r="N54" s="97">
        <f t="shared" si="266"/>
        <v>97.5</v>
      </c>
      <c r="O54" s="97">
        <f t="shared" si="266"/>
        <v>97.5</v>
      </c>
      <c r="P54" s="97">
        <f t="shared" si="266"/>
        <v>95</v>
      </c>
      <c r="Q54" s="97">
        <f t="shared" si="266"/>
        <v>97.5</v>
      </c>
      <c r="R54" s="97">
        <f t="shared" si="266"/>
        <v>97.5</v>
      </c>
      <c r="S54" s="97">
        <f t="shared" si="266"/>
        <v>91</v>
      </c>
      <c r="T54" s="97">
        <f t="shared" si="266"/>
        <v>90</v>
      </c>
      <c r="U54" s="97">
        <f t="shared" si="266"/>
        <v>82.5</v>
      </c>
      <c r="V54" s="97">
        <f t="shared" si="266"/>
        <v>95</v>
      </c>
      <c r="W54" s="97">
        <f t="shared" si="266"/>
        <v>90</v>
      </c>
      <c r="X54" s="97">
        <f t="shared" si="266"/>
        <v>83.5</v>
      </c>
      <c r="Y54" s="97">
        <f t="shared" si="266"/>
        <v>97.5</v>
      </c>
      <c r="Z54" s="97">
        <f t="shared" si="266"/>
        <v>95</v>
      </c>
      <c r="AA54" s="97">
        <f t="shared" si="266"/>
        <v>80</v>
      </c>
      <c r="AB54" s="97">
        <f t="shared" ref="AB54:AH54" si="267">IFERROR(AVERAGE(AB55:AB61),"")</f>
        <v>95</v>
      </c>
      <c r="AC54" s="97" t="str">
        <f t="shared" si="267"/>
        <v/>
      </c>
      <c r="AD54" s="97" t="str">
        <f t="shared" si="267"/>
        <v/>
      </c>
      <c r="AE54" s="97" t="str">
        <f t="shared" si="267"/>
        <v/>
      </c>
      <c r="AF54" s="97" t="str">
        <f t="shared" si="267"/>
        <v/>
      </c>
      <c r="AG54" s="97" t="str">
        <f t="shared" si="267"/>
        <v/>
      </c>
      <c r="AH54" s="97" t="str">
        <f t="shared" si="267"/>
        <v/>
      </c>
    </row>
    <row r="55" spans="1:34" ht="27" customHeight="1">
      <c r="A55" s="30"/>
      <c r="B55" s="801"/>
      <c r="C55" s="74" t="s">
        <v>1587</v>
      </c>
      <c r="D55" s="72">
        <v>43780</v>
      </c>
      <c r="E55" s="98">
        <v>98</v>
      </c>
      <c r="F55" s="98">
        <v>98</v>
      </c>
      <c r="G55" s="98">
        <v>100</v>
      </c>
      <c r="H55" s="98">
        <v>100</v>
      </c>
      <c r="I55" s="98">
        <v>100</v>
      </c>
      <c r="J55" s="98">
        <v>100</v>
      </c>
      <c r="K55" s="98">
        <v>100</v>
      </c>
      <c r="L55" s="98">
        <v>100</v>
      </c>
      <c r="M55" s="98">
        <v>98</v>
      </c>
      <c r="N55" s="98">
        <v>100</v>
      </c>
      <c r="O55" s="98">
        <v>100</v>
      </c>
      <c r="P55" s="98">
        <v>100</v>
      </c>
      <c r="Q55" s="98">
        <v>100</v>
      </c>
      <c r="R55" s="98">
        <v>100</v>
      </c>
      <c r="S55" s="98">
        <v>92</v>
      </c>
      <c r="T55" s="98">
        <v>90</v>
      </c>
      <c r="U55" s="98">
        <v>75</v>
      </c>
      <c r="V55" s="98">
        <v>100</v>
      </c>
      <c r="W55" s="98">
        <v>90</v>
      </c>
      <c r="X55" s="98">
        <v>92</v>
      </c>
      <c r="Y55" s="98">
        <v>100</v>
      </c>
      <c r="Z55" s="98">
        <v>100</v>
      </c>
      <c r="AA55" s="98">
        <v>75</v>
      </c>
      <c r="AB55" s="98">
        <v>100</v>
      </c>
      <c r="AC55" s="98"/>
      <c r="AD55" s="98"/>
      <c r="AE55" s="98"/>
      <c r="AF55" s="98"/>
      <c r="AG55" s="98"/>
      <c r="AH55" s="98"/>
    </row>
    <row r="56" spans="1:34" ht="27" customHeight="1">
      <c r="A56" s="30"/>
      <c r="B56" s="801"/>
      <c r="C56" s="74" t="s">
        <v>1588</v>
      </c>
      <c r="D56" s="72">
        <v>43783</v>
      </c>
      <c r="E56" s="98">
        <v>98</v>
      </c>
      <c r="F56" s="98">
        <v>95</v>
      </c>
      <c r="G56" s="98">
        <v>90</v>
      </c>
      <c r="H56" s="98">
        <v>90</v>
      </c>
      <c r="I56" s="98">
        <v>100</v>
      </c>
      <c r="J56" s="98">
        <v>88</v>
      </c>
      <c r="K56" s="98">
        <v>90</v>
      </c>
      <c r="L56" s="98">
        <v>90</v>
      </c>
      <c r="M56" s="98">
        <v>90</v>
      </c>
      <c r="N56" s="98">
        <v>95</v>
      </c>
      <c r="O56" s="98">
        <v>95</v>
      </c>
      <c r="P56" s="98">
        <v>90</v>
      </c>
      <c r="Q56" s="98">
        <v>95</v>
      </c>
      <c r="R56" s="98">
        <v>95</v>
      </c>
      <c r="S56" s="98">
        <v>90</v>
      </c>
      <c r="T56" s="98">
        <v>90</v>
      </c>
      <c r="U56" s="98">
        <v>90</v>
      </c>
      <c r="V56" s="98">
        <v>90</v>
      </c>
      <c r="W56" s="98">
        <v>90</v>
      </c>
      <c r="X56" s="98">
        <v>75</v>
      </c>
      <c r="Y56" s="98">
        <v>95</v>
      </c>
      <c r="Z56" s="98">
        <v>90</v>
      </c>
      <c r="AA56" s="98">
        <v>85</v>
      </c>
      <c r="AB56" s="98">
        <v>90</v>
      </c>
      <c r="AC56" s="98"/>
      <c r="AD56" s="98"/>
      <c r="AE56" s="98"/>
      <c r="AF56" s="98"/>
      <c r="AG56" s="98"/>
      <c r="AH56" s="98"/>
    </row>
    <row r="57" spans="1:34" ht="27" hidden="1" customHeight="1">
      <c r="A57" s="30"/>
      <c r="B57" s="801"/>
      <c r="C57" s="74" t="s">
        <v>189</v>
      </c>
      <c r="D57" s="72"/>
      <c r="E57" s="98"/>
      <c r="F57" s="98"/>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row>
    <row r="58" spans="1:34" ht="27" hidden="1" customHeight="1">
      <c r="A58" s="30"/>
      <c r="B58" s="801"/>
      <c r="C58" s="74" t="s">
        <v>190</v>
      </c>
      <c r="D58" s="72"/>
      <c r="E58" s="98"/>
      <c r="F58" s="98"/>
      <c r="G58" s="98"/>
      <c r="H58" s="98"/>
      <c r="I58" s="98"/>
      <c r="J58" s="98"/>
      <c r="K58" s="98"/>
      <c r="L58" s="98"/>
      <c r="M58" s="98"/>
      <c r="N58" s="98"/>
      <c r="O58" s="98"/>
      <c r="P58" s="98"/>
      <c r="Q58" s="98"/>
      <c r="R58" s="98"/>
      <c r="S58" s="98"/>
      <c r="T58" s="98"/>
      <c r="U58" s="98"/>
      <c r="V58" s="98"/>
      <c r="W58" s="98"/>
      <c r="X58" s="98"/>
      <c r="Y58" s="98"/>
      <c r="Z58" s="98"/>
      <c r="AA58" s="98"/>
      <c r="AB58" s="98"/>
      <c r="AC58" s="98"/>
      <c r="AD58" s="98"/>
      <c r="AE58" s="98"/>
      <c r="AF58" s="98"/>
      <c r="AG58" s="98"/>
      <c r="AH58" s="98"/>
    </row>
    <row r="59" spans="1:34" ht="27" hidden="1" customHeight="1">
      <c r="A59" s="30"/>
      <c r="B59" s="801"/>
      <c r="C59" s="74" t="s">
        <v>191</v>
      </c>
      <c r="D59" s="72"/>
      <c r="E59" s="98"/>
      <c r="F59" s="98"/>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F59" s="98"/>
      <c r="AG59" s="98"/>
      <c r="AH59" s="98"/>
    </row>
    <row r="60" spans="1:34" ht="27" hidden="1" customHeight="1">
      <c r="A60" s="30"/>
      <c r="B60" s="801"/>
      <c r="C60" s="74" t="s">
        <v>192</v>
      </c>
      <c r="D60" s="72"/>
      <c r="E60" s="98"/>
      <c r="F60" s="98"/>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F60" s="98"/>
      <c r="AG60" s="98"/>
      <c r="AH60" s="98"/>
    </row>
    <row r="61" spans="1:34" ht="27" hidden="1" customHeight="1">
      <c r="A61" s="30"/>
      <c r="B61" s="802"/>
      <c r="C61" s="74" t="s">
        <v>193</v>
      </c>
      <c r="D61" s="72"/>
      <c r="E61" s="98"/>
      <c r="F61" s="98"/>
      <c r="G61" s="98"/>
      <c r="H61" s="98"/>
      <c r="I61" s="98"/>
      <c r="J61" s="98"/>
      <c r="K61" s="98"/>
      <c r="L61" s="98"/>
      <c r="M61" s="98"/>
      <c r="N61" s="98"/>
      <c r="O61" s="98"/>
      <c r="P61" s="98"/>
      <c r="Q61" s="98"/>
      <c r="R61" s="98"/>
      <c r="S61" s="98"/>
      <c r="T61" s="98"/>
      <c r="U61" s="98"/>
      <c r="V61" s="98"/>
      <c r="W61" s="98"/>
      <c r="X61" s="98"/>
      <c r="Y61" s="98"/>
      <c r="Z61" s="98"/>
      <c r="AA61" s="98"/>
      <c r="AB61" s="98"/>
      <c r="AC61" s="98"/>
      <c r="AD61" s="98"/>
      <c r="AE61" s="98"/>
      <c r="AF61" s="98"/>
      <c r="AG61" s="98"/>
      <c r="AH61" s="98"/>
    </row>
    <row r="62" spans="1:34" ht="27" hidden="1" customHeight="1">
      <c r="A62" s="30"/>
      <c r="B62" s="800">
        <v>7</v>
      </c>
      <c r="C62" s="795"/>
      <c r="D62" s="796"/>
      <c r="E62" s="97" t="str">
        <f>IFERROR(AVERAGE(E63:E69),"")</f>
        <v/>
      </c>
      <c r="F62" s="97" t="str">
        <f t="shared" ref="F62:AA62" si="268">IFERROR(AVERAGE(F63:F69),"")</f>
        <v/>
      </c>
      <c r="G62" s="97" t="str">
        <f t="shared" si="268"/>
        <v/>
      </c>
      <c r="H62" s="97" t="str">
        <f t="shared" si="268"/>
        <v/>
      </c>
      <c r="I62" s="97" t="str">
        <f t="shared" si="268"/>
        <v/>
      </c>
      <c r="J62" s="97" t="str">
        <f t="shared" si="268"/>
        <v/>
      </c>
      <c r="K62" s="97" t="str">
        <f t="shared" si="268"/>
        <v/>
      </c>
      <c r="L62" s="97" t="str">
        <f t="shared" si="268"/>
        <v/>
      </c>
      <c r="M62" s="97" t="str">
        <f t="shared" si="268"/>
        <v/>
      </c>
      <c r="N62" s="97" t="str">
        <f t="shared" si="268"/>
        <v/>
      </c>
      <c r="O62" s="97" t="str">
        <f t="shared" si="268"/>
        <v/>
      </c>
      <c r="P62" s="97" t="str">
        <f t="shared" si="268"/>
        <v/>
      </c>
      <c r="Q62" s="97" t="str">
        <f t="shared" si="268"/>
        <v/>
      </c>
      <c r="R62" s="97" t="str">
        <f t="shared" si="268"/>
        <v/>
      </c>
      <c r="S62" s="97" t="str">
        <f t="shared" si="268"/>
        <v/>
      </c>
      <c r="T62" s="97" t="str">
        <f t="shared" si="268"/>
        <v/>
      </c>
      <c r="U62" s="97" t="str">
        <f t="shared" si="268"/>
        <v/>
      </c>
      <c r="V62" s="97" t="str">
        <f t="shared" si="268"/>
        <v/>
      </c>
      <c r="W62" s="97" t="str">
        <f t="shared" si="268"/>
        <v/>
      </c>
      <c r="X62" s="97" t="str">
        <f t="shared" si="268"/>
        <v/>
      </c>
      <c r="Y62" s="97" t="str">
        <f t="shared" si="268"/>
        <v/>
      </c>
      <c r="Z62" s="97" t="str">
        <f t="shared" si="268"/>
        <v/>
      </c>
      <c r="AA62" s="97" t="str">
        <f t="shared" si="268"/>
        <v/>
      </c>
      <c r="AB62" s="97" t="str">
        <f t="shared" ref="AB62:AH62" si="269">IFERROR(AVERAGE(AB63:AB69),"")</f>
        <v/>
      </c>
      <c r="AC62" s="97" t="str">
        <f t="shared" si="269"/>
        <v/>
      </c>
      <c r="AD62" s="97" t="str">
        <f t="shared" si="269"/>
        <v/>
      </c>
      <c r="AE62" s="97" t="str">
        <f t="shared" si="269"/>
        <v/>
      </c>
      <c r="AF62" s="97" t="str">
        <f t="shared" si="269"/>
        <v/>
      </c>
      <c r="AG62" s="97" t="str">
        <f t="shared" si="269"/>
        <v/>
      </c>
      <c r="AH62" s="97" t="str">
        <f t="shared" si="269"/>
        <v/>
      </c>
    </row>
    <row r="63" spans="1:34" ht="27" hidden="1" customHeight="1">
      <c r="A63" s="30"/>
      <c r="B63" s="801"/>
      <c r="C63" s="74"/>
      <c r="D63" s="72"/>
      <c r="E63" s="98"/>
      <c r="F63" s="98"/>
      <c r="G63" s="98"/>
      <c r="H63" s="98"/>
      <c r="I63" s="98"/>
      <c r="J63" s="98"/>
      <c r="K63" s="98"/>
      <c r="L63" s="98"/>
      <c r="M63" s="98"/>
      <c r="N63" s="98"/>
      <c r="O63" s="98"/>
      <c r="P63" s="98"/>
      <c r="Q63" s="98"/>
      <c r="R63" s="98"/>
      <c r="S63" s="98"/>
      <c r="T63" s="98"/>
      <c r="U63" s="98"/>
      <c r="V63" s="98"/>
      <c r="W63" s="98"/>
      <c r="X63" s="98"/>
      <c r="Y63" s="98"/>
      <c r="Z63" s="98"/>
      <c r="AA63" s="98"/>
      <c r="AB63" s="98"/>
      <c r="AC63" s="98"/>
      <c r="AD63" s="98"/>
      <c r="AE63" s="98"/>
      <c r="AF63" s="98"/>
      <c r="AG63" s="98"/>
      <c r="AH63" s="98"/>
    </row>
    <row r="64" spans="1:34" ht="27" hidden="1" customHeight="1">
      <c r="A64" s="30"/>
      <c r="B64" s="801"/>
      <c r="C64" s="74"/>
      <c r="D64" s="72"/>
      <c r="E64" s="98"/>
      <c r="F64" s="98"/>
      <c r="G64" s="98"/>
      <c r="H64" s="98"/>
      <c r="I64" s="98"/>
      <c r="J64" s="98"/>
      <c r="K64" s="98"/>
      <c r="L64" s="98"/>
      <c r="M64" s="98"/>
      <c r="N64" s="98"/>
      <c r="O64" s="98"/>
      <c r="P64" s="98"/>
      <c r="Q64" s="98"/>
      <c r="R64" s="98"/>
      <c r="S64" s="98"/>
      <c r="T64" s="98"/>
      <c r="U64" s="98"/>
      <c r="V64" s="98"/>
      <c r="W64" s="98"/>
      <c r="X64" s="98"/>
      <c r="Y64" s="98"/>
      <c r="Z64" s="98"/>
      <c r="AA64" s="98"/>
      <c r="AB64" s="98"/>
      <c r="AC64" s="98"/>
      <c r="AD64" s="98"/>
      <c r="AE64" s="98"/>
      <c r="AF64" s="98"/>
      <c r="AG64" s="98"/>
      <c r="AH64" s="98"/>
    </row>
    <row r="65" spans="1:34" ht="27" hidden="1" customHeight="1">
      <c r="A65" s="30"/>
      <c r="B65" s="801"/>
      <c r="C65" s="74"/>
      <c r="D65" s="72"/>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row>
    <row r="66" spans="1:34" ht="27" hidden="1" customHeight="1">
      <c r="A66" s="30"/>
      <c r="B66" s="801"/>
      <c r="C66" s="74"/>
      <c r="D66" s="72"/>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row>
    <row r="67" spans="1:34" ht="27" hidden="1" customHeight="1">
      <c r="A67" s="30"/>
      <c r="B67" s="801"/>
      <c r="C67" s="74"/>
      <c r="D67" s="72"/>
      <c r="E67" s="98"/>
      <c r="F67" s="98"/>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row>
    <row r="68" spans="1:34" ht="27" hidden="1" customHeight="1">
      <c r="A68" s="30"/>
      <c r="B68" s="801"/>
      <c r="C68" s="74" t="s">
        <v>192</v>
      </c>
      <c r="D68" s="72"/>
      <c r="E68" s="98"/>
      <c r="F68" s="98"/>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row>
    <row r="69" spans="1:34" ht="27" hidden="1" customHeight="1">
      <c r="A69" s="30"/>
      <c r="B69" s="802"/>
      <c r="C69" s="74" t="s">
        <v>193</v>
      </c>
      <c r="D69" s="72"/>
      <c r="E69" s="98"/>
      <c r="F69" s="98"/>
      <c r="G69" s="98"/>
      <c r="H69" s="98"/>
      <c r="I69" s="98"/>
      <c r="J69" s="98"/>
      <c r="K69" s="98"/>
      <c r="L69" s="98"/>
      <c r="M69" s="98"/>
      <c r="N69" s="98"/>
      <c r="O69" s="98"/>
      <c r="P69" s="98"/>
      <c r="Q69" s="98"/>
      <c r="R69" s="98"/>
      <c r="S69" s="98"/>
      <c r="T69" s="98"/>
      <c r="U69" s="98"/>
      <c r="V69" s="98"/>
      <c r="W69" s="98"/>
      <c r="X69" s="98"/>
      <c r="Y69" s="98"/>
      <c r="Z69" s="98"/>
      <c r="AA69" s="98"/>
      <c r="AB69" s="98"/>
      <c r="AC69" s="98"/>
      <c r="AD69" s="98"/>
      <c r="AE69" s="98"/>
      <c r="AF69" s="98"/>
      <c r="AG69" s="98"/>
      <c r="AH69" s="98"/>
    </row>
    <row r="70" spans="1:34" ht="27" hidden="1" customHeight="1">
      <c r="A70" s="30"/>
      <c r="B70" s="800">
        <v>8</v>
      </c>
      <c r="C70" s="795"/>
      <c r="D70" s="796"/>
      <c r="E70" s="97" t="str">
        <f t="shared" ref="E70:AH70" si="270">IFERROR(AVERAGE(E71:E77),"")</f>
        <v/>
      </c>
      <c r="F70" s="97" t="str">
        <f t="shared" si="270"/>
        <v/>
      </c>
      <c r="G70" s="97" t="str">
        <f t="shared" si="270"/>
        <v/>
      </c>
      <c r="H70" s="97" t="str">
        <f t="shared" si="270"/>
        <v/>
      </c>
      <c r="I70" s="97" t="str">
        <f t="shared" si="270"/>
        <v/>
      </c>
      <c r="J70" s="97" t="str">
        <f t="shared" si="270"/>
        <v/>
      </c>
      <c r="K70" s="97" t="str">
        <f t="shared" si="270"/>
        <v/>
      </c>
      <c r="L70" s="97" t="str">
        <f t="shared" si="270"/>
        <v/>
      </c>
      <c r="M70" s="97" t="str">
        <f t="shared" si="270"/>
        <v/>
      </c>
      <c r="N70" s="97" t="str">
        <f t="shared" si="270"/>
        <v/>
      </c>
      <c r="O70" s="97" t="str">
        <f t="shared" si="270"/>
        <v/>
      </c>
      <c r="P70" s="97" t="str">
        <f t="shared" si="270"/>
        <v/>
      </c>
      <c r="Q70" s="97" t="str">
        <f t="shared" si="270"/>
        <v/>
      </c>
      <c r="R70" s="97" t="str">
        <f t="shared" si="270"/>
        <v/>
      </c>
      <c r="S70" s="97" t="str">
        <f t="shared" si="270"/>
        <v/>
      </c>
      <c r="T70" s="97" t="str">
        <f t="shared" si="270"/>
        <v/>
      </c>
      <c r="U70" s="97" t="str">
        <f t="shared" si="270"/>
        <v/>
      </c>
      <c r="V70" s="97" t="str">
        <f t="shared" si="270"/>
        <v/>
      </c>
      <c r="W70" s="97" t="str">
        <f t="shared" si="270"/>
        <v/>
      </c>
      <c r="X70" s="97" t="str">
        <f t="shared" si="270"/>
        <v/>
      </c>
      <c r="Y70" s="97" t="str">
        <f t="shared" si="270"/>
        <v/>
      </c>
      <c r="Z70" s="97" t="str">
        <f t="shared" si="270"/>
        <v/>
      </c>
      <c r="AA70" s="97" t="str">
        <f t="shared" si="270"/>
        <v/>
      </c>
      <c r="AB70" s="97" t="str">
        <f t="shared" si="270"/>
        <v/>
      </c>
      <c r="AC70" s="97" t="str">
        <f t="shared" si="270"/>
        <v/>
      </c>
      <c r="AD70" s="97" t="str">
        <f t="shared" si="270"/>
        <v/>
      </c>
      <c r="AE70" s="97" t="str">
        <f t="shared" si="270"/>
        <v/>
      </c>
      <c r="AF70" s="97" t="str">
        <f t="shared" si="270"/>
        <v/>
      </c>
      <c r="AG70" s="97" t="str">
        <f t="shared" si="270"/>
        <v/>
      </c>
      <c r="AH70" s="97" t="str">
        <f t="shared" si="270"/>
        <v/>
      </c>
    </row>
    <row r="71" spans="1:34" ht="27" hidden="1" customHeight="1">
      <c r="A71" s="30"/>
      <c r="B71" s="801"/>
      <c r="C71" s="74"/>
      <c r="D71" s="72"/>
      <c r="E71" s="98"/>
      <c r="F71" s="98"/>
      <c r="G71" s="98"/>
      <c r="H71" s="98"/>
      <c r="I71" s="98"/>
      <c r="J71" s="98"/>
      <c r="K71" s="98"/>
      <c r="L71" s="98"/>
      <c r="M71" s="98"/>
      <c r="N71" s="98"/>
      <c r="O71" s="98"/>
      <c r="P71" s="98"/>
      <c r="Q71" s="98"/>
      <c r="R71" s="98"/>
      <c r="S71" s="98"/>
      <c r="T71" s="98"/>
      <c r="U71" s="98"/>
      <c r="V71" s="98"/>
      <c r="W71" s="98"/>
      <c r="X71" s="98"/>
      <c r="Y71" s="98"/>
      <c r="Z71" s="98"/>
      <c r="AA71" s="98"/>
      <c r="AB71" s="98"/>
      <c r="AC71" s="98"/>
      <c r="AD71" s="98"/>
      <c r="AE71" s="98"/>
      <c r="AF71" s="98"/>
      <c r="AG71" s="98"/>
      <c r="AH71" s="98"/>
    </row>
    <row r="72" spans="1:34" ht="27" hidden="1" customHeight="1">
      <c r="A72" s="30"/>
      <c r="B72" s="801"/>
      <c r="C72" s="74" t="s">
        <v>195</v>
      </c>
      <c r="D72" s="72"/>
      <c r="E72" s="98"/>
      <c r="F72" s="98"/>
      <c r="G72" s="98"/>
      <c r="H72" s="98"/>
      <c r="I72" s="98"/>
      <c r="J72" s="98"/>
      <c r="K72" s="98"/>
      <c r="L72" s="98"/>
      <c r="M72" s="98"/>
      <c r="N72" s="98"/>
      <c r="O72" s="98"/>
      <c r="P72" s="98"/>
      <c r="Q72" s="98"/>
      <c r="R72" s="98"/>
      <c r="S72" s="98"/>
      <c r="T72" s="98"/>
      <c r="U72" s="98"/>
      <c r="V72" s="98"/>
      <c r="W72" s="98"/>
      <c r="X72" s="98"/>
      <c r="Y72" s="98"/>
      <c r="Z72" s="98"/>
      <c r="AA72" s="98"/>
      <c r="AB72" s="98"/>
      <c r="AC72" s="98"/>
      <c r="AD72" s="98"/>
      <c r="AE72" s="98"/>
      <c r="AF72" s="98"/>
      <c r="AG72" s="98"/>
      <c r="AH72" s="98"/>
    </row>
    <row r="73" spans="1:34" ht="27" hidden="1" customHeight="1">
      <c r="A73" s="30"/>
      <c r="B73" s="801"/>
      <c r="C73" s="74" t="s">
        <v>196</v>
      </c>
      <c r="D73" s="72"/>
      <c r="E73" s="98"/>
      <c r="F73" s="98"/>
      <c r="G73" s="98"/>
      <c r="H73" s="98"/>
      <c r="I73" s="98"/>
      <c r="J73" s="98"/>
      <c r="K73" s="98"/>
      <c r="L73" s="98"/>
      <c r="M73" s="98"/>
      <c r="N73" s="98"/>
      <c r="O73" s="98"/>
      <c r="P73" s="98"/>
      <c r="Q73" s="98"/>
      <c r="R73" s="98"/>
      <c r="S73" s="98"/>
      <c r="T73" s="98"/>
      <c r="U73" s="98"/>
      <c r="V73" s="98"/>
      <c r="W73" s="98"/>
      <c r="X73" s="98"/>
      <c r="Y73" s="98"/>
      <c r="Z73" s="98"/>
      <c r="AA73" s="98"/>
      <c r="AB73" s="98"/>
      <c r="AC73" s="98"/>
      <c r="AD73" s="98"/>
      <c r="AE73" s="98"/>
      <c r="AF73" s="98"/>
      <c r="AG73" s="98"/>
      <c r="AH73" s="98"/>
    </row>
    <row r="74" spans="1:34" ht="27" hidden="1" customHeight="1">
      <c r="A74" s="30"/>
      <c r="B74" s="801"/>
      <c r="C74" s="74" t="s">
        <v>197</v>
      </c>
      <c r="D74" s="72"/>
      <c r="E74" s="98"/>
      <c r="F74" s="98"/>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row>
    <row r="75" spans="1:34" ht="27" hidden="1" customHeight="1">
      <c r="A75" s="30"/>
      <c r="B75" s="801"/>
      <c r="C75" s="74" t="s">
        <v>198</v>
      </c>
      <c r="D75" s="72"/>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row>
    <row r="76" spans="1:34" ht="27" hidden="1" customHeight="1">
      <c r="A76" s="30"/>
      <c r="B76" s="801"/>
      <c r="C76" s="74" t="s">
        <v>199</v>
      </c>
      <c r="D76" s="72"/>
      <c r="E76" s="98"/>
      <c r="F76" s="98"/>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row>
    <row r="77" spans="1:34" ht="27" hidden="1" customHeight="1">
      <c r="A77" s="30"/>
      <c r="B77" s="802"/>
      <c r="C77" s="74" t="s">
        <v>200</v>
      </c>
      <c r="D77" s="72"/>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row>
    <row r="78" spans="1:34" ht="27" hidden="1" customHeight="1">
      <c r="A78" s="30"/>
      <c r="B78" s="794">
        <v>9</v>
      </c>
      <c r="C78" s="795"/>
      <c r="D78" s="796"/>
      <c r="E78" s="97" t="str">
        <f t="shared" ref="E78:AH78" si="271">IFERROR(AVERAGE(E79:E85),"")</f>
        <v/>
      </c>
      <c r="F78" s="97" t="str">
        <f t="shared" si="271"/>
        <v/>
      </c>
      <c r="G78" s="97" t="str">
        <f t="shared" si="271"/>
        <v/>
      </c>
      <c r="H78" s="97" t="str">
        <f t="shared" si="271"/>
        <v/>
      </c>
      <c r="I78" s="97" t="str">
        <f t="shared" si="271"/>
        <v/>
      </c>
      <c r="J78" s="97" t="str">
        <f t="shared" si="271"/>
        <v/>
      </c>
      <c r="K78" s="97" t="str">
        <f t="shared" si="271"/>
        <v/>
      </c>
      <c r="L78" s="97" t="str">
        <f t="shared" si="271"/>
        <v/>
      </c>
      <c r="M78" s="97" t="str">
        <f t="shared" si="271"/>
        <v/>
      </c>
      <c r="N78" s="97" t="str">
        <f t="shared" si="271"/>
        <v/>
      </c>
      <c r="O78" s="97" t="str">
        <f t="shared" si="271"/>
        <v/>
      </c>
      <c r="P78" s="97" t="str">
        <f t="shared" si="271"/>
        <v/>
      </c>
      <c r="Q78" s="97" t="str">
        <f t="shared" si="271"/>
        <v/>
      </c>
      <c r="R78" s="97" t="str">
        <f t="shared" si="271"/>
        <v/>
      </c>
      <c r="S78" s="97" t="str">
        <f t="shared" si="271"/>
        <v/>
      </c>
      <c r="T78" s="97" t="str">
        <f t="shared" si="271"/>
        <v/>
      </c>
      <c r="U78" s="97" t="str">
        <f t="shared" si="271"/>
        <v/>
      </c>
      <c r="V78" s="97" t="str">
        <f t="shared" si="271"/>
        <v/>
      </c>
      <c r="W78" s="97" t="str">
        <f t="shared" si="271"/>
        <v/>
      </c>
      <c r="X78" s="97" t="str">
        <f t="shared" si="271"/>
        <v/>
      </c>
      <c r="Y78" s="97" t="str">
        <f t="shared" si="271"/>
        <v/>
      </c>
      <c r="Z78" s="97" t="str">
        <f t="shared" si="271"/>
        <v/>
      </c>
      <c r="AA78" s="97" t="str">
        <f t="shared" si="271"/>
        <v/>
      </c>
      <c r="AB78" s="97" t="str">
        <f t="shared" si="271"/>
        <v/>
      </c>
      <c r="AC78" s="97" t="str">
        <f t="shared" si="271"/>
        <v/>
      </c>
      <c r="AD78" s="97" t="str">
        <f t="shared" si="271"/>
        <v/>
      </c>
      <c r="AE78" s="97" t="str">
        <f t="shared" si="271"/>
        <v/>
      </c>
      <c r="AF78" s="97" t="str">
        <f t="shared" si="271"/>
        <v/>
      </c>
      <c r="AG78" s="97" t="str">
        <f t="shared" si="271"/>
        <v/>
      </c>
      <c r="AH78" s="97" t="str">
        <f t="shared" si="271"/>
        <v/>
      </c>
    </row>
    <row r="79" spans="1:34" ht="27" hidden="1" customHeight="1">
      <c r="A79" s="30"/>
      <c r="B79" s="794"/>
      <c r="C79" s="74" t="s">
        <v>201</v>
      </c>
      <c r="D79" s="72"/>
      <c r="E79" s="98"/>
      <c r="F79" s="98"/>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row>
    <row r="80" spans="1:34" ht="27" hidden="1" customHeight="1">
      <c r="A80" s="30"/>
      <c r="B80" s="794"/>
      <c r="C80" s="74" t="s">
        <v>202</v>
      </c>
      <c r="D80" s="72"/>
      <c r="E80" s="98"/>
      <c r="F80" s="98"/>
      <c r="G80" s="98"/>
      <c r="H80" s="98"/>
      <c r="I80" s="98"/>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row>
    <row r="81" spans="1:34" ht="27" hidden="1" customHeight="1">
      <c r="A81" s="30"/>
      <c r="B81" s="794"/>
      <c r="C81" s="74" t="s">
        <v>203</v>
      </c>
      <c r="D81" s="72"/>
      <c r="E81" s="98"/>
      <c r="F81" s="98"/>
      <c r="G81" s="98"/>
      <c r="H81" s="98"/>
      <c r="I81" s="98"/>
      <c r="J81" s="98"/>
      <c r="K81" s="98"/>
      <c r="L81" s="98"/>
      <c r="M81" s="98"/>
      <c r="N81" s="98"/>
      <c r="O81" s="98"/>
      <c r="P81" s="98"/>
      <c r="Q81" s="98"/>
      <c r="R81" s="98"/>
      <c r="S81" s="98"/>
      <c r="T81" s="98"/>
      <c r="U81" s="98"/>
      <c r="V81" s="98"/>
      <c r="W81" s="98"/>
      <c r="X81" s="98"/>
      <c r="Y81" s="98"/>
      <c r="Z81" s="98"/>
      <c r="AA81" s="98"/>
      <c r="AB81" s="98"/>
      <c r="AC81" s="98"/>
      <c r="AD81" s="98"/>
      <c r="AE81" s="98"/>
      <c r="AF81" s="98"/>
      <c r="AG81" s="98"/>
      <c r="AH81" s="98"/>
    </row>
    <row r="82" spans="1:34" ht="27" hidden="1" customHeight="1">
      <c r="A82" s="30"/>
      <c r="B82" s="794"/>
      <c r="C82" s="74" t="s">
        <v>204</v>
      </c>
      <c r="D82" s="72"/>
      <c r="E82" s="98"/>
      <c r="F82" s="98"/>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row>
    <row r="83" spans="1:34" ht="27" hidden="1" customHeight="1">
      <c r="A83" s="30"/>
      <c r="B83" s="794"/>
      <c r="C83" s="74" t="s">
        <v>205</v>
      </c>
      <c r="D83" s="72"/>
      <c r="E83" s="98"/>
      <c r="F83" s="98"/>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row>
    <row r="84" spans="1:34" ht="27" hidden="1" customHeight="1">
      <c r="A84" s="30"/>
      <c r="B84" s="794"/>
      <c r="C84" s="74" t="s">
        <v>206</v>
      </c>
      <c r="D84" s="72"/>
      <c r="E84" s="98"/>
      <c r="F84" s="98"/>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row>
    <row r="85" spans="1:34" ht="27" hidden="1" customHeight="1">
      <c r="A85" s="30"/>
      <c r="B85" s="794"/>
      <c r="C85" s="74" t="s">
        <v>207</v>
      </c>
      <c r="D85" s="72"/>
      <c r="E85" s="98"/>
      <c r="F85" s="98"/>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row>
    <row r="86" spans="1:34" ht="27" hidden="1" customHeight="1">
      <c r="A86" s="30"/>
      <c r="B86" s="800">
        <v>10</v>
      </c>
      <c r="C86" s="795"/>
      <c r="D86" s="796"/>
      <c r="E86" s="97" t="str">
        <f t="shared" ref="E86:AH86" si="272">IFERROR(AVERAGE(E87:E93),"")</f>
        <v/>
      </c>
      <c r="F86" s="97" t="str">
        <f t="shared" si="272"/>
        <v/>
      </c>
      <c r="G86" s="97" t="str">
        <f t="shared" si="272"/>
        <v/>
      </c>
      <c r="H86" s="97" t="str">
        <f t="shared" si="272"/>
        <v/>
      </c>
      <c r="I86" s="97" t="str">
        <f t="shared" si="272"/>
        <v/>
      </c>
      <c r="J86" s="97" t="str">
        <f t="shared" si="272"/>
        <v/>
      </c>
      <c r="K86" s="97" t="str">
        <f t="shared" si="272"/>
        <v/>
      </c>
      <c r="L86" s="97" t="str">
        <f t="shared" si="272"/>
        <v/>
      </c>
      <c r="M86" s="97" t="str">
        <f t="shared" si="272"/>
        <v/>
      </c>
      <c r="N86" s="97" t="str">
        <f t="shared" si="272"/>
        <v/>
      </c>
      <c r="O86" s="97" t="str">
        <f t="shared" si="272"/>
        <v/>
      </c>
      <c r="P86" s="97" t="str">
        <f t="shared" si="272"/>
        <v/>
      </c>
      <c r="Q86" s="97" t="str">
        <f t="shared" si="272"/>
        <v/>
      </c>
      <c r="R86" s="97" t="str">
        <f t="shared" si="272"/>
        <v/>
      </c>
      <c r="S86" s="97" t="str">
        <f t="shared" si="272"/>
        <v/>
      </c>
      <c r="T86" s="97" t="str">
        <f t="shared" si="272"/>
        <v/>
      </c>
      <c r="U86" s="97" t="str">
        <f t="shared" si="272"/>
        <v/>
      </c>
      <c r="V86" s="97" t="str">
        <f t="shared" si="272"/>
        <v/>
      </c>
      <c r="W86" s="97" t="str">
        <f t="shared" si="272"/>
        <v/>
      </c>
      <c r="X86" s="97" t="str">
        <f t="shared" si="272"/>
        <v/>
      </c>
      <c r="Y86" s="97" t="str">
        <f t="shared" si="272"/>
        <v/>
      </c>
      <c r="Z86" s="97" t="str">
        <f t="shared" si="272"/>
        <v/>
      </c>
      <c r="AA86" s="97" t="str">
        <f t="shared" si="272"/>
        <v/>
      </c>
      <c r="AB86" s="97" t="str">
        <f t="shared" si="272"/>
        <v/>
      </c>
      <c r="AC86" s="97" t="str">
        <f t="shared" si="272"/>
        <v/>
      </c>
      <c r="AD86" s="97" t="str">
        <f t="shared" si="272"/>
        <v/>
      </c>
      <c r="AE86" s="97" t="str">
        <f t="shared" si="272"/>
        <v/>
      </c>
      <c r="AF86" s="97" t="str">
        <f t="shared" si="272"/>
        <v/>
      </c>
      <c r="AG86" s="97" t="str">
        <f t="shared" si="272"/>
        <v/>
      </c>
      <c r="AH86" s="97" t="str">
        <f t="shared" si="272"/>
        <v/>
      </c>
    </row>
    <row r="87" spans="1:34" ht="27" hidden="1" customHeight="1">
      <c r="A87" s="30"/>
      <c r="B87" s="801"/>
      <c r="C87" s="74" t="s">
        <v>208</v>
      </c>
      <c r="D87" s="72"/>
      <c r="E87" s="99"/>
      <c r="F87" s="99"/>
      <c r="G87" s="99"/>
      <c r="H87" s="99"/>
      <c r="I87" s="99"/>
      <c r="J87" s="99"/>
      <c r="K87" s="99"/>
      <c r="L87" s="99"/>
      <c r="M87" s="99"/>
      <c r="N87" s="99"/>
      <c r="O87" s="99"/>
      <c r="P87" s="99"/>
      <c r="Q87" s="99"/>
      <c r="R87" s="99"/>
      <c r="S87" s="99"/>
      <c r="T87" s="99"/>
      <c r="U87" s="99"/>
      <c r="V87" s="99"/>
      <c r="W87" s="99"/>
      <c r="X87" s="99"/>
      <c r="Y87" s="99"/>
      <c r="Z87" s="99"/>
      <c r="AA87" s="99"/>
      <c r="AB87" s="99"/>
      <c r="AC87" s="99"/>
      <c r="AD87" s="99"/>
      <c r="AE87" s="99"/>
      <c r="AF87" s="99"/>
      <c r="AG87" s="99"/>
      <c r="AH87" s="99"/>
    </row>
    <row r="88" spans="1:34" ht="27" hidden="1" customHeight="1">
      <c r="A88" s="30"/>
      <c r="B88" s="801"/>
      <c r="C88" s="74" t="s">
        <v>209</v>
      </c>
      <c r="D88" s="72"/>
      <c r="E88" s="98"/>
      <c r="F88" s="98"/>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row>
    <row r="89" spans="1:34" ht="27" hidden="1" customHeight="1">
      <c r="A89" s="30"/>
      <c r="B89" s="801"/>
      <c r="C89" s="74" t="s">
        <v>210</v>
      </c>
      <c r="D89" s="72"/>
      <c r="E89" s="98"/>
      <c r="F89" s="98"/>
      <c r="G89" s="98"/>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row>
    <row r="90" spans="1:34" ht="27" hidden="1" customHeight="1">
      <c r="A90" s="30"/>
      <c r="B90" s="801"/>
      <c r="C90" s="74" t="s">
        <v>211</v>
      </c>
      <c r="D90" s="72"/>
      <c r="E90" s="98"/>
      <c r="F90" s="98"/>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row>
    <row r="91" spans="1:34" ht="27" hidden="1" customHeight="1">
      <c r="A91" s="30"/>
      <c r="B91" s="801"/>
      <c r="C91" s="74" t="s">
        <v>212</v>
      </c>
      <c r="D91" s="72"/>
      <c r="E91" s="98"/>
      <c r="F91" s="98"/>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row>
    <row r="92" spans="1:34" ht="27" hidden="1" customHeight="1">
      <c r="A92" s="30"/>
      <c r="B92" s="801"/>
      <c r="C92" s="74" t="s">
        <v>213</v>
      </c>
      <c r="D92" s="72"/>
      <c r="E92" s="98"/>
      <c r="F92" s="98"/>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row>
    <row r="93" spans="1:34" ht="27" hidden="1" customHeight="1">
      <c r="A93" s="30"/>
      <c r="B93" s="802"/>
      <c r="C93" s="74" t="s">
        <v>214</v>
      </c>
      <c r="D93" s="72"/>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row>
    <row r="94" spans="1:34" ht="27" hidden="1" customHeight="1">
      <c r="A94" s="30"/>
      <c r="B94" s="800">
        <v>11</v>
      </c>
      <c r="C94" s="795"/>
      <c r="D94" s="796"/>
      <c r="E94" s="97" t="str">
        <f t="shared" ref="E94:AH94" si="273">IFERROR(AVERAGE(E95:E101),"")</f>
        <v/>
      </c>
      <c r="F94" s="97" t="str">
        <f t="shared" si="273"/>
        <v/>
      </c>
      <c r="G94" s="97" t="str">
        <f t="shared" si="273"/>
        <v/>
      </c>
      <c r="H94" s="97" t="str">
        <f t="shared" si="273"/>
        <v/>
      </c>
      <c r="I94" s="97" t="str">
        <f t="shared" si="273"/>
        <v/>
      </c>
      <c r="J94" s="97" t="str">
        <f t="shared" si="273"/>
        <v/>
      </c>
      <c r="K94" s="97" t="str">
        <f t="shared" si="273"/>
        <v/>
      </c>
      <c r="L94" s="97" t="str">
        <f t="shared" si="273"/>
        <v/>
      </c>
      <c r="M94" s="97" t="str">
        <f t="shared" si="273"/>
        <v/>
      </c>
      <c r="N94" s="97" t="str">
        <f t="shared" si="273"/>
        <v/>
      </c>
      <c r="O94" s="97" t="str">
        <f t="shared" si="273"/>
        <v/>
      </c>
      <c r="P94" s="97" t="str">
        <f t="shared" si="273"/>
        <v/>
      </c>
      <c r="Q94" s="97" t="str">
        <f t="shared" si="273"/>
        <v/>
      </c>
      <c r="R94" s="97" t="str">
        <f t="shared" si="273"/>
        <v/>
      </c>
      <c r="S94" s="97" t="str">
        <f t="shared" si="273"/>
        <v/>
      </c>
      <c r="T94" s="97" t="str">
        <f t="shared" si="273"/>
        <v/>
      </c>
      <c r="U94" s="97" t="str">
        <f t="shared" si="273"/>
        <v/>
      </c>
      <c r="V94" s="97" t="str">
        <f t="shared" si="273"/>
        <v/>
      </c>
      <c r="W94" s="97" t="str">
        <f t="shared" si="273"/>
        <v/>
      </c>
      <c r="X94" s="97" t="str">
        <f t="shared" si="273"/>
        <v/>
      </c>
      <c r="Y94" s="97" t="str">
        <f t="shared" si="273"/>
        <v/>
      </c>
      <c r="Z94" s="97" t="str">
        <f t="shared" si="273"/>
        <v/>
      </c>
      <c r="AA94" s="97" t="str">
        <f t="shared" si="273"/>
        <v/>
      </c>
      <c r="AB94" s="97" t="str">
        <f t="shared" si="273"/>
        <v/>
      </c>
      <c r="AC94" s="97" t="str">
        <f t="shared" si="273"/>
        <v/>
      </c>
      <c r="AD94" s="97" t="str">
        <f t="shared" si="273"/>
        <v/>
      </c>
      <c r="AE94" s="97" t="str">
        <f t="shared" si="273"/>
        <v/>
      </c>
      <c r="AF94" s="97" t="str">
        <f t="shared" si="273"/>
        <v/>
      </c>
      <c r="AG94" s="97" t="str">
        <f t="shared" si="273"/>
        <v/>
      </c>
      <c r="AH94" s="97" t="str">
        <f t="shared" si="273"/>
        <v/>
      </c>
    </row>
    <row r="95" spans="1:34" ht="27" hidden="1" customHeight="1">
      <c r="A95" s="30"/>
      <c r="B95" s="801"/>
      <c r="C95" s="74" t="s">
        <v>215</v>
      </c>
      <c r="D95" s="72"/>
      <c r="E95" s="98"/>
      <c r="F95" s="98"/>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row>
    <row r="96" spans="1:34" ht="27" hidden="1" customHeight="1">
      <c r="A96" s="30"/>
      <c r="B96" s="801"/>
      <c r="C96" s="74" t="s">
        <v>216</v>
      </c>
      <c r="D96" s="72"/>
      <c r="E96" s="98"/>
      <c r="F96" s="98"/>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row>
    <row r="97" spans="1:34" ht="27" hidden="1" customHeight="1">
      <c r="A97" s="30"/>
      <c r="B97" s="801"/>
      <c r="C97" s="74" t="s">
        <v>217</v>
      </c>
      <c r="D97" s="72"/>
      <c r="E97" s="98"/>
      <c r="F97" s="98"/>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row>
    <row r="98" spans="1:34" ht="27" hidden="1" customHeight="1">
      <c r="A98" s="30"/>
      <c r="B98" s="801"/>
      <c r="C98" s="74" t="s">
        <v>218</v>
      </c>
      <c r="D98" s="72"/>
      <c r="E98" s="98"/>
      <c r="F98" s="98"/>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row>
    <row r="99" spans="1:34" ht="27" hidden="1" customHeight="1">
      <c r="A99" s="30"/>
      <c r="B99" s="801"/>
      <c r="C99" s="74" t="s">
        <v>219</v>
      </c>
      <c r="D99" s="72"/>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row>
    <row r="100" spans="1:34" ht="27" hidden="1" customHeight="1">
      <c r="A100" s="30"/>
      <c r="B100" s="801"/>
      <c r="C100" s="74" t="s">
        <v>220</v>
      </c>
      <c r="D100" s="72"/>
      <c r="E100" s="98"/>
      <c r="F100" s="98"/>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row>
    <row r="101" spans="1:34" ht="27" hidden="1" customHeight="1">
      <c r="A101" s="30"/>
      <c r="B101" s="802"/>
      <c r="C101" s="74" t="s">
        <v>221</v>
      </c>
      <c r="D101" s="72"/>
      <c r="E101" s="98"/>
      <c r="F101" s="98"/>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row>
    <row r="102" spans="1:34" ht="27" hidden="1" customHeight="1">
      <c r="A102" s="30"/>
      <c r="B102" s="800">
        <v>12</v>
      </c>
      <c r="C102" s="795"/>
      <c r="D102" s="796"/>
      <c r="E102" s="97" t="str">
        <f t="shared" ref="E102:AH102" si="274">IFERROR(AVERAGE(E103:E109),"")</f>
        <v/>
      </c>
      <c r="F102" s="97" t="str">
        <f t="shared" si="274"/>
        <v/>
      </c>
      <c r="G102" s="97" t="str">
        <f t="shared" si="274"/>
        <v/>
      </c>
      <c r="H102" s="97" t="str">
        <f t="shared" si="274"/>
        <v/>
      </c>
      <c r="I102" s="97" t="str">
        <f t="shared" si="274"/>
        <v/>
      </c>
      <c r="J102" s="97" t="str">
        <f t="shared" si="274"/>
        <v/>
      </c>
      <c r="K102" s="97" t="str">
        <f t="shared" si="274"/>
        <v/>
      </c>
      <c r="L102" s="97" t="str">
        <f t="shared" si="274"/>
        <v/>
      </c>
      <c r="M102" s="97" t="str">
        <f t="shared" si="274"/>
        <v/>
      </c>
      <c r="N102" s="97" t="str">
        <f t="shared" si="274"/>
        <v/>
      </c>
      <c r="O102" s="97" t="str">
        <f t="shared" si="274"/>
        <v/>
      </c>
      <c r="P102" s="97" t="str">
        <f t="shared" si="274"/>
        <v/>
      </c>
      <c r="Q102" s="97" t="str">
        <f t="shared" si="274"/>
        <v/>
      </c>
      <c r="R102" s="97" t="str">
        <f t="shared" si="274"/>
        <v/>
      </c>
      <c r="S102" s="97" t="str">
        <f t="shared" si="274"/>
        <v/>
      </c>
      <c r="T102" s="97" t="str">
        <f t="shared" si="274"/>
        <v/>
      </c>
      <c r="U102" s="97" t="str">
        <f t="shared" si="274"/>
        <v/>
      </c>
      <c r="V102" s="97" t="str">
        <f t="shared" si="274"/>
        <v/>
      </c>
      <c r="W102" s="97" t="str">
        <f t="shared" si="274"/>
        <v/>
      </c>
      <c r="X102" s="97" t="str">
        <f t="shared" si="274"/>
        <v/>
      </c>
      <c r="Y102" s="97" t="str">
        <f t="shared" si="274"/>
        <v/>
      </c>
      <c r="Z102" s="97" t="str">
        <f t="shared" si="274"/>
        <v/>
      </c>
      <c r="AA102" s="97" t="str">
        <f t="shared" si="274"/>
        <v/>
      </c>
      <c r="AB102" s="97" t="str">
        <f t="shared" si="274"/>
        <v/>
      </c>
      <c r="AC102" s="97" t="str">
        <f t="shared" si="274"/>
        <v/>
      </c>
      <c r="AD102" s="97" t="str">
        <f t="shared" si="274"/>
        <v/>
      </c>
      <c r="AE102" s="97" t="str">
        <f t="shared" si="274"/>
        <v/>
      </c>
      <c r="AF102" s="97" t="str">
        <f t="shared" si="274"/>
        <v/>
      </c>
      <c r="AG102" s="97" t="str">
        <f t="shared" si="274"/>
        <v/>
      </c>
      <c r="AH102" s="97" t="str">
        <f t="shared" si="274"/>
        <v/>
      </c>
    </row>
    <row r="103" spans="1:34" ht="27" hidden="1" customHeight="1">
      <c r="A103" s="30"/>
      <c r="B103" s="801"/>
      <c r="C103" s="74" t="s">
        <v>222</v>
      </c>
      <c r="D103" s="72"/>
      <c r="E103" s="98"/>
      <c r="F103" s="98"/>
      <c r="G103" s="98"/>
      <c r="H103" s="98"/>
      <c r="I103" s="98"/>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row>
    <row r="104" spans="1:34" ht="27" hidden="1" customHeight="1">
      <c r="A104" s="30"/>
      <c r="B104" s="801"/>
      <c r="C104" s="74" t="s">
        <v>223</v>
      </c>
      <c r="D104" s="72"/>
      <c r="E104" s="98"/>
      <c r="F104" s="98"/>
      <c r="G104" s="98"/>
      <c r="H104" s="98"/>
      <c r="I104" s="98"/>
      <c r="J104" s="98"/>
      <c r="K104" s="98"/>
      <c r="L104" s="98"/>
      <c r="M104" s="98"/>
      <c r="N104" s="98"/>
      <c r="O104" s="98"/>
      <c r="P104" s="98"/>
      <c r="Q104" s="98"/>
      <c r="R104" s="98"/>
      <c r="S104" s="98"/>
      <c r="T104" s="98"/>
      <c r="U104" s="98"/>
      <c r="V104" s="98"/>
      <c r="W104" s="98"/>
      <c r="X104" s="98"/>
      <c r="Y104" s="98"/>
      <c r="Z104" s="98"/>
      <c r="AA104" s="98"/>
      <c r="AB104" s="98"/>
      <c r="AC104" s="98"/>
      <c r="AD104" s="98"/>
      <c r="AE104" s="98"/>
      <c r="AF104" s="98"/>
      <c r="AG104" s="98"/>
      <c r="AH104" s="98"/>
    </row>
    <row r="105" spans="1:34" ht="27" hidden="1" customHeight="1">
      <c r="A105" s="30"/>
      <c r="B105" s="801"/>
      <c r="C105" s="74" t="s">
        <v>224</v>
      </c>
      <c r="D105" s="72"/>
      <c r="E105" s="98"/>
      <c r="F105" s="98"/>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row>
    <row r="106" spans="1:34" ht="27" hidden="1" customHeight="1">
      <c r="A106" s="30"/>
      <c r="B106" s="801"/>
      <c r="C106" s="74" t="s">
        <v>225</v>
      </c>
      <c r="D106" s="72"/>
      <c r="E106" s="98"/>
      <c r="F106" s="98"/>
      <c r="G106" s="98"/>
      <c r="H106" s="98"/>
      <c r="I106" s="98"/>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row>
    <row r="107" spans="1:34" ht="27" hidden="1" customHeight="1">
      <c r="A107" s="30"/>
      <c r="B107" s="801"/>
      <c r="C107" s="74" t="s">
        <v>226</v>
      </c>
      <c r="D107" s="72"/>
      <c r="E107" s="98"/>
      <c r="F107" s="98"/>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row>
    <row r="108" spans="1:34" ht="27" hidden="1" customHeight="1">
      <c r="A108" s="30"/>
      <c r="B108" s="801"/>
      <c r="C108" s="74" t="s">
        <v>227</v>
      </c>
      <c r="D108" s="72"/>
      <c r="E108" s="98"/>
      <c r="F108" s="98"/>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row>
    <row r="109" spans="1:34" ht="27" hidden="1" customHeight="1">
      <c r="A109" s="30"/>
      <c r="B109" s="802"/>
      <c r="C109" s="74" t="s">
        <v>228</v>
      </c>
      <c r="D109" s="72"/>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row>
    <row r="110" spans="1:34" ht="27" hidden="1" customHeight="1">
      <c r="A110" s="30"/>
      <c r="B110" s="794">
        <v>13</v>
      </c>
      <c r="C110" s="795"/>
      <c r="D110" s="796"/>
      <c r="E110" s="100">
        <f t="shared" ref="E110:AH110" si="275">IFERROR(AVERAGE(E6,E14,E22,E30,E38,E46,E54,E62,E70,E78,E86,E94,E102),"")</f>
        <v>86.857142857142861</v>
      </c>
      <c r="F110" s="100">
        <f t="shared" si="275"/>
        <v>86.642857142857139</v>
      </c>
      <c r="G110" s="100">
        <f t="shared" si="275"/>
        <v>90</v>
      </c>
      <c r="H110" s="100">
        <f t="shared" si="275"/>
        <v>92.666666666666671</v>
      </c>
      <c r="I110" s="100">
        <f t="shared" si="275"/>
        <v>93.238095238095227</v>
      </c>
      <c r="J110" s="100">
        <f t="shared" si="275"/>
        <v>94.619047619047606</v>
      </c>
      <c r="K110" s="100">
        <f t="shared" si="275"/>
        <v>98.476190476190467</v>
      </c>
      <c r="L110" s="100">
        <f t="shared" si="275"/>
        <v>90.952380952380963</v>
      </c>
      <c r="M110" s="100">
        <f t="shared" si="275"/>
        <v>90.904761904761912</v>
      </c>
      <c r="N110" s="100">
        <f t="shared" si="275"/>
        <v>95.023809523809533</v>
      </c>
      <c r="O110" s="100">
        <f t="shared" si="275"/>
        <v>98.404761904761898</v>
      </c>
      <c r="P110" s="100">
        <f t="shared" si="275"/>
        <v>97.904761904761898</v>
      </c>
      <c r="Q110" s="100">
        <f t="shared" si="275"/>
        <v>94.404761904761898</v>
      </c>
      <c r="R110" s="100">
        <f t="shared" si="275"/>
        <v>89.357142857142861</v>
      </c>
      <c r="S110" s="100">
        <f t="shared" si="275"/>
        <v>87.285714285714292</v>
      </c>
      <c r="T110" s="100">
        <f t="shared" si="275"/>
        <v>91.666666666666671</v>
      </c>
      <c r="U110" s="100">
        <f t="shared" si="275"/>
        <v>91.595238095238102</v>
      </c>
      <c r="V110" s="100">
        <f t="shared" si="275"/>
        <v>95.238095238095255</v>
      </c>
      <c r="W110" s="100">
        <f t="shared" si="275"/>
        <v>84.571428571428569</v>
      </c>
      <c r="X110" s="100">
        <f t="shared" si="275"/>
        <v>86.928571428571431</v>
      </c>
      <c r="Y110" s="100">
        <f t="shared" si="275"/>
        <v>94.5</v>
      </c>
      <c r="Z110" s="100">
        <f t="shared" si="275"/>
        <v>87.142857142857139</v>
      </c>
      <c r="AA110" s="100">
        <f t="shared" si="275"/>
        <v>84.904761904761898</v>
      </c>
      <c r="AB110" s="100">
        <f t="shared" si="275"/>
        <v>94.19047619047619</v>
      </c>
      <c r="AC110" s="100" t="str">
        <f t="shared" si="275"/>
        <v/>
      </c>
      <c r="AD110" s="100" t="str">
        <f t="shared" si="275"/>
        <v/>
      </c>
      <c r="AE110" s="100" t="str">
        <f t="shared" si="275"/>
        <v/>
      </c>
      <c r="AF110" s="100" t="str">
        <f t="shared" si="275"/>
        <v/>
      </c>
      <c r="AG110" s="100" t="str">
        <f t="shared" si="275"/>
        <v/>
      </c>
      <c r="AH110" s="100" t="str">
        <f t="shared" si="275"/>
        <v/>
      </c>
    </row>
    <row r="111" spans="1:34" ht="27" hidden="1" customHeight="1">
      <c r="A111" s="30"/>
      <c r="B111" s="794"/>
      <c r="C111" s="74" t="s">
        <v>229</v>
      </c>
      <c r="D111" s="72"/>
    </row>
    <row r="112" spans="1:34" ht="27" hidden="1" customHeight="1">
      <c r="A112" s="30"/>
      <c r="B112" s="794"/>
      <c r="C112" s="74" t="s">
        <v>230</v>
      </c>
      <c r="D112" s="72"/>
    </row>
    <row r="113" spans="1:16384" ht="27" hidden="1" customHeight="1">
      <c r="A113" s="30"/>
      <c r="B113" s="794"/>
      <c r="C113" s="74" t="s">
        <v>231</v>
      </c>
      <c r="D113" s="72"/>
    </row>
    <row r="114" spans="1:16384" ht="27" hidden="1" customHeight="1">
      <c r="A114" s="30"/>
      <c r="B114" s="794"/>
      <c r="C114" s="74" t="s">
        <v>232</v>
      </c>
      <c r="D114" s="72"/>
    </row>
    <row r="115" spans="1:16384" ht="27" hidden="1" customHeight="1">
      <c r="A115" s="30"/>
      <c r="B115" s="794"/>
      <c r="C115" s="74" t="s">
        <v>233</v>
      </c>
      <c r="D115" s="72"/>
    </row>
    <row r="116" spans="1:16384" ht="27" hidden="1" customHeight="1">
      <c r="A116" s="30"/>
      <c r="B116" s="794"/>
      <c r="C116" s="74" t="s">
        <v>234</v>
      </c>
      <c r="D116" s="72"/>
    </row>
    <row r="117" spans="1:16384" ht="4.5" hidden="1" customHeight="1">
      <c r="A117" s="30"/>
      <c r="B117" s="794"/>
      <c r="C117" s="74" t="s">
        <v>235</v>
      </c>
      <c r="D117" s="72"/>
    </row>
    <row r="118" spans="1:16384" ht="27" customHeight="1">
      <c r="A118" s="30"/>
      <c r="B118" s="797" t="s">
        <v>143</v>
      </c>
      <c r="C118" s="798"/>
      <c r="D118" s="799"/>
      <c r="E118" s="100">
        <f t="shared" ref="E118:AH118" si="276">IFERROR(AVERAGE(E6,E16,E25,E34,E42,E54,E62,E70,E78,E86,E94,E102,E110),"")</f>
        <v>89.396825396825378</v>
      </c>
      <c r="F118" s="100">
        <f t="shared" si="276"/>
        <v>88.825396825396822</v>
      </c>
      <c r="G118" s="100">
        <f t="shared" si="276"/>
        <v>93.333333333333329</v>
      </c>
      <c r="H118" s="100">
        <f t="shared" si="276"/>
        <v>94.222222222222229</v>
      </c>
      <c r="I118" s="100">
        <f t="shared" si="276"/>
        <v>95.523809523809518</v>
      </c>
      <c r="J118" s="100">
        <f t="shared" si="276"/>
        <v>96.206349206349202</v>
      </c>
      <c r="K118" s="100">
        <f t="shared" si="276"/>
        <v>97.825396825396822</v>
      </c>
      <c r="L118" s="100">
        <f t="shared" si="276"/>
        <v>92.539682539682545</v>
      </c>
      <c r="M118" s="100">
        <f t="shared" si="276"/>
        <v>93.857142857142875</v>
      </c>
      <c r="N118" s="100">
        <f t="shared" si="276"/>
        <v>94.730158730158735</v>
      </c>
      <c r="O118" s="100">
        <f t="shared" si="276"/>
        <v>98.634920634920647</v>
      </c>
      <c r="P118" s="100">
        <f t="shared" si="276"/>
        <v>97.634920634920647</v>
      </c>
      <c r="Q118" s="100">
        <f t="shared" si="276"/>
        <v>93.968253968253975</v>
      </c>
      <c r="R118" s="100">
        <f t="shared" si="276"/>
        <v>91.174603174603178</v>
      </c>
      <c r="S118" s="100">
        <f t="shared" si="276"/>
        <v>89.984126984126988</v>
      </c>
      <c r="T118" s="100">
        <f t="shared" si="276"/>
        <v>92.222222222222229</v>
      </c>
      <c r="U118" s="100">
        <f t="shared" si="276"/>
        <v>88.58730158730161</v>
      </c>
      <c r="V118" s="100">
        <f t="shared" si="276"/>
        <v>95.634920634920647</v>
      </c>
      <c r="W118" s="100">
        <f t="shared" si="276"/>
        <v>84.857142857142847</v>
      </c>
      <c r="X118" s="100">
        <f t="shared" si="276"/>
        <v>86.031746031746039</v>
      </c>
      <c r="Y118" s="100">
        <f t="shared" si="276"/>
        <v>97.1111111111111</v>
      </c>
      <c r="Z118" s="100">
        <f t="shared" si="276"/>
        <v>88.492063492063494</v>
      </c>
      <c r="AA118" s="100">
        <f t="shared" si="276"/>
        <v>82.746031746031733</v>
      </c>
      <c r="AB118" s="100">
        <f t="shared" si="276"/>
        <v>95.285714285714292</v>
      </c>
      <c r="AC118" s="100" t="str">
        <f t="shared" si="276"/>
        <v/>
      </c>
      <c r="AD118" s="100" t="str">
        <f t="shared" si="276"/>
        <v/>
      </c>
      <c r="AE118" s="100" t="str">
        <f t="shared" si="276"/>
        <v/>
      </c>
      <c r="AF118" s="100" t="str">
        <f t="shared" si="276"/>
        <v/>
      </c>
      <c r="AG118" s="100" t="str">
        <f t="shared" si="276"/>
        <v/>
      </c>
      <c r="AH118" s="100" t="str">
        <f t="shared" si="276"/>
        <v/>
      </c>
      <c r="AI118" s="100" t="str">
        <f t="shared" ref="AI118:BP118" si="277">IFERROR(AVERAGE(AI6,AI16,AI25,AI34,AI42,AI54,AI62,AI70,AI78,AI86,AI94,AI102,AI110),"")</f>
        <v/>
      </c>
      <c r="AJ118" s="100" t="str">
        <f t="shared" si="277"/>
        <v/>
      </c>
      <c r="AK118" s="100" t="str">
        <f t="shared" si="277"/>
        <v/>
      </c>
      <c r="AL118" s="100" t="str">
        <f t="shared" si="277"/>
        <v/>
      </c>
      <c r="AM118" s="100" t="str">
        <f t="shared" si="277"/>
        <v/>
      </c>
      <c r="AN118" s="100" t="str">
        <f t="shared" si="277"/>
        <v/>
      </c>
      <c r="AO118" s="100" t="str">
        <f t="shared" si="277"/>
        <v/>
      </c>
      <c r="AP118" s="100" t="str">
        <f t="shared" si="277"/>
        <v/>
      </c>
      <c r="AQ118" s="100" t="str">
        <f t="shared" si="277"/>
        <v/>
      </c>
      <c r="AR118" s="100" t="str">
        <f t="shared" si="277"/>
        <v/>
      </c>
      <c r="AS118" s="100" t="str">
        <f t="shared" si="277"/>
        <v/>
      </c>
      <c r="AT118" s="100" t="str">
        <f t="shared" si="277"/>
        <v/>
      </c>
      <c r="AU118" s="100" t="str">
        <f t="shared" si="277"/>
        <v/>
      </c>
      <c r="AV118" s="100" t="str">
        <f t="shared" si="277"/>
        <v/>
      </c>
      <c r="AW118" s="100" t="str">
        <f t="shared" si="277"/>
        <v/>
      </c>
      <c r="AX118" s="100" t="str">
        <f t="shared" si="277"/>
        <v/>
      </c>
      <c r="AY118" s="100" t="str">
        <f t="shared" si="277"/>
        <v/>
      </c>
      <c r="AZ118" s="100" t="str">
        <f t="shared" si="277"/>
        <v/>
      </c>
      <c r="BA118" s="100" t="str">
        <f t="shared" si="277"/>
        <v/>
      </c>
      <c r="BB118" s="100" t="str">
        <f t="shared" si="277"/>
        <v/>
      </c>
      <c r="BC118" s="100" t="str">
        <f t="shared" si="277"/>
        <v/>
      </c>
      <c r="BD118" s="100" t="str">
        <f t="shared" si="277"/>
        <v/>
      </c>
      <c r="BE118" s="100" t="str">
        <f t="shared" si="277"/>
        <v/>
      </c>
      <c r="BF118" s="100" t="str">
        <f t="shared" si="277"/>
        <v/>
      </c>
      <c r="BG118" s="100" t="str">
        <f t="shared" si="277"/>
        <v/>
      </c>
      <c r="BH118" s="100" t="str">
        <f t="shared" si="277"/>
        <v/>
      </c>
      <c r="BI118" s="100" t="str">
        <f t="shared" si="277"/>
        <v/>
      </c>
      <c r="BJ118" s="100" t="str">
        <f t="shared" si="277"/>
        <v/>
      </c>
      <c r="BK118" s="100" t="str">
        <f t="shared" si="277"/>
        <v/>
      </c>
      <c r="BL118" s="100" t="str">
        <f t="shared" si="277"/>
        <v/>
      </c>
      <c r="BM118" s="100" t="str">
        <f t="shared" si="277"/>
        <v/>
      </c>
      <c r="BN118" s="100" t="str">
        <f t="shared" si="277"/>
        <v/>
      </c>
      <c r="BO118" s="100" t="str">
        <f t="shared" si="277"/>
        <v/>
      </c>
      <c r="BP118" s="100" t="str">
        <f t="shared" si="277"/>
        <v/>
      </c>
      <c r="BQ118" s="100" t="str">
        <f t="shared" ref="BQ118:EB118" si="278">IFERROR(AVERAGE(BQ6,BQ16,BQ25,BQ34,BQ42,BQ54,BQ62,BQ70,BQ78,BQ86,BQ94,BQ102,BQ110),"")</f>
        <v/>
      </c>
      <c r="BR118" s="100" t="str">
        <f t="shared" si="278"/>
        <v/>
      </c>
      <c r="BS118" s="100" t="str">
        <f t="shared" si="278"/>
        <v/>
      </c>
      <c r="BT118" s="100" t="str">
        <f t="shared" si="278"/>
        <v/>
      </c>
      <c r="BU118" s="100" t="str">
        <f t="shared" si="278"/>
        <v/>
      </c>
      <c r="BV118" s="100" t="str">
        <f t="shared" si="278"/>
        <v/>
      </c>
      <c r="BW118" s="100" t="str">
        <f t="shared" si="278"/>
        <v/>
      </c>
      <c r="BX118" s="100" t="str">
        <f t="shared" si="278"/>
        <v/>
      </c>
      <c r="BY118" s="100" t="str">
        <f t="shared" si="278"/>
        <v/>
      </c>
      <c r="BZ118" s="100" t="str">
        <f t="shared" si="278"/>
        <v/>
      </c>
      <c r="CA118" s="100" t="str">
        <f t="shared" si="278"/>
        <v/>
      </c>
      <c r="CB118" s="100" t="str">
        <f t="shared" si="278"/>
        <v/>
      </c>
      <c r="CC118" s="100" t="str">
        <f t="shared" si="278"/>
        <v/>
      </c>
      <c r="CD118" s="100" t="str">
        <f t="shared" si="278"/>
        <v/>
      </c>
      <c r="CE118" s="100" t="str">
        <f t="shared" si="278"/>
        <v/>
      </c>
      <c r="CF118" s="100" t="str">
        <f t="shared" si="278"/>
        <v/>
      </c>
      <c r="CG118" s="100" t="str">
        <f t="shared" si="278"/>
        <v/>
      </c>
      <c r="CH118" s="100" t="str">
        <f t="shared" si="278"/>
        <v/>
      </c>
      <c r="CI118" s="100" t="str">
        <f t="shared" si="278"/>
        <v/>
      </c>
      <c r="CJ118" s="100" t="str">
        <f t="shared" si="278"/>
        <v/>
      </c>
      <c r="CK118" s="100" t="str">
        <f t="shared" si="278"/>
        <v/>
      </c>
      <c r="CL118" s="100" t="str">
        <f t="shared" si="278"/>
        <v/>
      </c>
      <c r="CM118" s="100" t="str">
        <f t="shared" si="278"/>
        <v/>
      </c>
      <c r="CN118" s="100" t="str">
        <f t="shared" si="278"/>
        <v/>
      </c>
      <c r="CO118" s="100" t="str">
        <f t="shared" si="278"/>
        <v/>
      </c>
      <c r="CP118" s="100" t="str">
        <f t="shared" si="278"/>
        <v/>
      </c>
      <c r="CQ118" s="100" t="str">
        <f t="shared" si="278"/>
        <v/>
      </c>
      <c r="CR118" s="100" t="str">
        <f t="shared" si="278"/>
        <v/>
      </c>
      <c r="CS118" s="100" t="str">
        <f t="shared" si="278"/>
        <v/>
      </c>
      <c r="CT118" s="100" t="str">
        <f t="shared" si="278"/>
        <v/>
      </c>
      <c r="CU118" s="100" t="str">
        <f t="shared" si="278"/>
        <v/>
      </c>
      <c r="CV118" s="100" t="str">
        <f t="shared" si="278"/>
        <v/>
      </c>
      <c r="CW118" s="100" t="str">
        <f t="shared" si="278"/>
        <v/>
      </c>
      <c r="CX118" s="100" t="str">
        <f t="shared" si="278"/>
        <v/>
      </c>
      <c r="CY118" s="100" t="str">
        <f t="shared" si="278"/>
        <v/>
      </c>
      <c r="CZ118" s="100" t="str">
        <f t="shared" si="278"/>
        <v/>
      </c>
      <c r="DA118" s="100" t="str">
        <f t="shared" si="278"/>
        <v/>
      </c>
      <c r="DB118" s="100" t="str">
        <f t="shared" si="278"/>
        <v/>
      </c>
      <c r="DC118" s="100" t="str">
        <f t="shared" si="278"/>
        <v/>
      </c>
      <c r="DD118" s="100" t="str">
        <f t="shared" si="278"/>
        <v/>
      </c>
      <c r="DE118" s="100" t="str">
        <f t="shared" si="278"/>
        <v/>
      </c>
      <c r="DF118" s="100" t="str">
        <f t="shared" si="278"/>
        <v/>
      </c>
      <c r="DG118" s="100" t="str">
        <f t="shared" si="278"/>
        <v/>
      </c>
      <c r="DH118" s="100" t="str">
        <f t="shared" si="278"/>
        <v/>
      </c>
      <c r="DI118" s="100" t="str">
        <f t="shared" si="278"/>
        <v/>
      </c>
      <c r="DJ118" s="100" t="str">
        <f t="shared" si="278"/>
        <v/>
      </c>
      <c r="DK118" s="100" t="str">
        <f t="shared" si="278"/>
        <v/>
      </c>
      <c r="DL118" s="100" t="str">
        <f t="shared" si="278"/>
        <v/>
      </c>
      <c r="DM118" s="100" t="str">
        <f t="shared" si="278"/>
        <v/>
      </c>
      <c r="DN118" s="100" t="str">
        <f t="shared" si="278"/>
        <v/>
      </c>
      <c r="DO118" s="100" t="str">
        <f t="shared" si="278"/>
        <v/>
      </c>
      <c r="DP118" s="100" t="str">
        <f t="shared" si="278"/>
        <v/>
      </c>
      <c r="DQ118" s="100" t="str">
        <f t="shared" si="278"/>
        <v/>
      </c>
      <c r="DR118" s="100" t="str">
        <f t="shared" si="278"/>
        <v/>
      </c>
      <c r="DS118" s="100" t="str">
        <f t="shared" si="278"/>
        <v/>
      </c>
      <c r="DT118" s="100" t="str">
        <f t="shared" si="278"/>
        <v/>
      </c>
      <c r="DU118" s="100" t="str">
        <f t="shared" si="278"/>
        <v/>
      </c>
      <c r="DV118" s="100" t="str">
        <f t="shared" si="278"/>
        <v/>
      </c>
      <c r="DW118" s="100" t="str">
        <f t="shared" si="278"/>
        <v/>
      </c>
      <c r="DX118" s="100" t="str">
        <f t="shared" si="278"/>
        <v/>
      </c>
      <c r="DY118" s="100" t="str">
        <f t="shared" si="278"/>
        <v/>
      </c>
      <c r="DZ118" s="100" t="str">
        <f t="shared" si="278"/>
        <v/>
      </c>
      <c r="EA118" s="100" t="str">
        <f t="shared" si="278"/>
        <v/>
      </c>
      <c r="EB118" s="100" t="str">
        <f t="shared" si="278"/>
        <v/>
      </c>
      <c r="EC118" s="100" t="str">
        <f t="shared" ref="EC118:GN118" si="279">IFERROR(AVERAGE(EC6,EC16,EC25,EC34,EC42,EC54,EC62,EC70,EC78,EC86,EC94,EC102,EC110),"")</f>
        <v/>
      </c>
      <c r="ED118" s="100" t="str">
        <f t="shared" si="279"/>
        <v/>
      </c>
      <c r="EE118" s="100" t="str">
        <f t="shared" si="279"/>
        <v/>
      </c>
      <c r="EF118" s="100" t="str">
        <f t="shared" si="279"/>
        <v/>
      </c>
      <c r="EG118" s="100" t="str">
        <f t="shared" si="279"/>
        <v/>
      </c>
      <c r="EH118" s="100" t="str">
        <f t="shared" si="279"/>
        <v/>
      </c>
      <c r="EI118" s="100" t="str">
        <f t="shared" si="279"/>
        <v/>
      </c>
      <c r="EJ118" s="100" t="str">
        <f t="shared" si="279"/>
        <v/>
      </c>
      <c r="EK118" s="100" t="str">
        <f t="shared" si="279"/>
        <v/>
      </c>
      <c r="EL118" s="100" t="str">
        <f t="shared" si="279"/>
        <v/>
      </c>
      <c r="EM118" s="100" t="str">
        <f t="shared" si="279"/>
        <v/>
      </c>
      <c r="EN118" s="100" t="str">
        <f t="shared" si="279"/>
        <v/>
      </c>
      <c r="EO118" s="100" t="str">
        <f t="shared" si="279"/>
        <v/>
      </c>
      <c r="EP118" s="100" t="str">
        <f t="shared" si="279"/>
        <v/>
      </c>
      <c r="EQ118" s="100" t="str">
        <f t="shared" si="279"/>
        <v/>
      </c>
      <c r="ER118" s="100" t="str">
        <f t="shared" si="279"/>
        <v/>
      </c>
      <c r="ES118" s="100" t="str">
        <f t="shared" si="279"/>
        <v/>
      </c>
      <c r="ET118" s="100" t="str">
        <f t="shared" si="279"/>
        <v/>
      </c>
      <c r="EU118" s="100" t="str">
        <f t="shared" si="279"/>
        <v/>
      </c>
      <c r="EV118" s="100" t="str">
        <f t="shared" si="279"/>
        <v/>
      </c>
      <c r="EW118" s="100" t="str">
        <f t="shared" si="279"/>
        <v/>
      </c>
      <c r="EX118" s="100" t="str">
        <f t="shared" si="279"/>
        <v/>
      </c>
      <c r="EY118" s="100" t="str">
        <f t="shared" si="279"/>
        <v/>
      </c>
      <c r="EZ118" s="100" t="str">
        <f t="shared" si="279"/>
        <v/>
      </c>
      <c r="FA118" s="100" t="str">
        <f t="shared" si="279"/>
        <v/>
      </c>
      <c r="FB118" s="100" t="str">
        <f t="shared" si="279"/>
        <v/>
      </c>
      <c r="FC118" s="100" t="str">
        <f t="shared" si="279"/>
        <v/>
      </c>
      <c r="FD118" s="100" t="str">
        <f t="shared" si="279"/>
        <v/>
      </c>
      <c r="FE118" s="100" t="str">
        <f t="shared" si="279"/>
        <v/>
      </c>
      <c r="FF118" s="100" t="str">
        <f t="shared" si="279"/>
        <v/>
      </c>
      <c r="FG118" s="100" t="str">
        <f t="shared" si="279"/>
        <v/>
      </c>
      <c r="FH118" s="100" t="str">
        <f t="shared" si="279"/>
        <v/>
      </c>
      <c r="FI118" s="100" t="str">
        <f t="shared" si="279"/>
        <v/>
      </c>
      <c r="FJ118" s="100" t="str">
        <f t="shared" si="279"/>
        <v/>
      </c>
      <c r="FK118" s="100" t="str">
        <f t="shared" si="279"/>
        <v/>
      </c>
      <c r="FL118" s="100" t="str">
        <f t="shared" si="279"/>
        <v/>
      </c>
      <c r="FM118" s="100" t="str">
        <f t="shared" si="279"/>
        <v/>
      </c>
      <c r="FN118" s="100" t="str">
        <f t="shared" si="279"/>
        <v/>
      </c>
      <c r="FO118" s="100" t="str">
        <f t="shared" si="279"/>
        <v/>
      </c>
      <c r="FP118" s="100" t="str">
        <f t="shared" si="279"/>
        <v/>
      </c>
      <c r="FQ118" s="100" t="str">
        <f t="shared" si="279"/>
        <v/>
      </c>
      <c r="FR118" s="100" t="str">
        <f t="shared" si="279"/>
        <v/>
      </c>
      <c r="FS118" s="100" t="str">
        <f t="shared" si="279"/>
        <v/>
      </c>
      <c r="FT118" s="100" t="str">
        <f t="shared" si="279"/>
        <v/>
      </c>
      <c r="FU118" s="100" t="str">
        <f t="shared" si="279"/>
        <v/>
      </c>
      <c r="FV118" s="100" t="str">
        <f t="shared" si="279"/>
        <v/>
      </c>
      <c r="FW118" s="100" t="str">
        <f t="shared" si="279"/>
        <v/>
      </c>
      <c r="FX118" s="100" t="str">
        <f t="shared" si="279"/>
        <v/>
      </c>
      <c r="FY118" s="100" t="str">
        <f t="shared" si="279"/>
        <v/>
      </c>
      <c r="FZ118" s="100" t="str">
        <f t="shared" si="279"/>
        <v/>
      </c>
      <c r="GA118" s="100" t="str">
        <f t="shared" si="279"/>
        <v/>
      </c>
      <c r="GB118" s="100" t="str">
        <f t="shared" si="279"/>
        <v/>
      </c>
      <c r="GC118" s="100" t="str">
        <f t="shared" si="279"/>
        <v/>
      </c>
      <c r="GD118" s="100" t="str">
        <f t="shared" si="279"/>
        <v/>
      </c>
      <c r="GE118" s="100" t="str">
        <f t="shared" si="279"/>
        <v/>
      </c>
      <c r="GF118" s="100" t="str">
        <f t="shared" si="279"/>
        <v/>
      </c>
      <c r="GG118" s="100" t="str">
        <f t="shared" si="279"/>
        <v/>
      </c>
      <c r="GH118" s="100" t="str">
        <f t="shared" si="279"/>
        <v/>
      </c>
      <c r="GI118" s="100" t="str">
        <f t="shared" si="279"/>
        <v/>
      </c>
      <c r="GJ118" s="100" t="str">
        <f t="shared" si="279"/>
        <v/>
      </c>
      <c r="GK118" s="100" t="str">
        <f t="shared" si="279"/>
        <v/>
      </c>
      <c r="GL118" s="100" t="str">
        <f t="shared" si="279"/>
        <v/>
      </c>
      <c r="GM118" s="100" t="str">
        <f t="shared" si="279"/>
        <v/>
      </c>
      <c r="GN118" s="100" t="str">
        <f t="shared" si="279"/>
        <v/>
      </c>
      <c r="GO118" s="100" t="str">
        <f t="shared" ref="GO118:IZ118" si="280">IFERROR(AVERAGE(GO6,GO16,GO25,GO34,GO42,GO54,GO62,GO70,GO78,GO86,GO94,GO102,GO110),"")</f>
        <v/>
      </c>
      <c r="GP118" s="100" t="str">
        <f t="shared" si="280"/>
        <v/>
      </c>
      <c r="GQ118" s="100" t="str">
        <f t="shared" si="280"/>
        <v/>
      </c>
      <c r="GR118" s="100" t="str">
        <f t="shared" si="280"/>
        <v/>
      </c>
      <c r="GS118" s="100" t="str">
        <f t="shared" si="280"/>
        <v/>
      </c>
      <c r="GT118" s="100" t="str">
        <f t="shared" si="280"/>
        <v/>
      </c>
      <c r="GU118" s="100" t="str">
        <f t="shared" si="280"/>
        <v/>
      </c>
      <c r="GV118" s="100" t="str">
        <f t="shared" si="280"/>
        <v/>
      </c>
      <c r="GW118" s="100" t="str">
        <f t="shared" si="280"/>
        <v/>
      </c>
      <c r="GX118" s="100" t="str">
        <f t="shared" si="280"/>
        <v/>
      </c>
      <c r="GY118" s="100" t="str">
        <f t="shared" si="280"/>
        <v/>
      </c>
      <c r="GZ118" s="100" t="str">
        <f t="shared" si="280"/>
        <v/>
      </c>
      <c r="HA118" s="100" t="str">
        <f t="shared" si="280"/>
        <v/>
      </c>
      <c r="HB118" s="100" t="str">
        <f t="shared" si="280"/>
        <v/>
      </c>
      <c r="HC118" s="100" t="str">
        <f t="shared" si="280"/>
        <v/>
      </c>
      <c r="HD118" s="100" t="str">
        <f t="shared" si="280"/>
        <v/>
      </c>
      <c r="HE118" s="100" t="str">
        <f t="shared" si="280"/>
        <v/>
      </c>
      <c r="HF118" s="100" t="str">
        <f t="shared" si="280"/>
        <v/>
      </c>
      <c r="HG118" s="100" t="str">
        <f t="shared" si="280"/>
        <v/>
      </c>
      <c r="HH118" s="100" t="str">
        <f t="shared" si="280"/>
        <v/>
      </c>
      <c r="HI118" s="100" t="str">
        <f t="shared" si="280"/>
        <v/>
      </c>
      <c r="HJ118" s="100" t="str">
        <f t="shared" si="280"/>
        <v/>
      </c>
      <c r="HK118" s="100" t="str">
        <f t="shared" si="280"/>
        <v/>
      </c>
      <c r="HL118" s="100" t="str">
        <f t="shared" si="280"/>
        <v/>
      </c>
      <c r="HM118" s="100" t="str">
        <f t="shared" si="280"/>
        <v/>
      </c>
      <c r="HN118" s="100" t="str">
        <f t="shared" si="280"/>
        <v/>
      </c>
      <c r="HO118" s="100" t="str">
        <f t="shared" si="280"/>
        <v/>
      </c>
      <c r="HP118" s="100" t="str">
        <f t="shared" si="280"/>
        <v/>
      </c>
      <c r="HQ118" s="100" t="str">
        <f t="shared" si="280"/>
        <v/>
      </c>
      <c r="HR118" s="100" t="str">
        <f t="shared" si="280"/>
        <v/>
      </c>
      <c r="HS118" s="100" t="str">
        <f t="shared" si="280"/>
        <v/>
      </c>
      <c r="HT118" s="100" t="str">
        <f t="shared" si="280"/>
        <v/>
      </c>
      <c r="HU118" s="100" t="str">
        <f t="shared" si="280"/>
        <v/>
      </c>
      <c r="HV118" s="100" t="str">
        <f t="shared" si="280"/>
        <v/>
      </c>
      <c r="HW118" s="100" t="str">
        <f t="shared" si="280"/>
        <v/>
      </c>
      <c r="HX118" s="100" t="str">
        <f t="shared" si="280"/>
        <v/>
      </c>
      <c r="HY118" s="100" t="str">
        <f t="shared" si="280"/>
        <v/>
      </c>
      <c r="HZ118" s="100" t="str">
        <f t="shared" si="280"/>
        <v/>
      </c>
      <c r="IA118" s="100" t="str">
        <f t="shared" si="280"/>
        <v/>
      </c>
      <c r="IB118" s="100" t="str">
        <f t="shared" si="280"/>
        <v/>
      </c>
      <c r="IC118" s="100" t="str">
        <f t="shared" si="280"/>
        <v/>
      </c>
      <c r="ID118" s="100" t="str">
        <f t="shared" si="280"/>
        <v/>
      </c>
      <c r="IE118" s="100" t="str">
        <f t="shared" si="280"/>
        <v/>
      </c>
      <c r="IF118" s="100" t="str">
        <f t="shared" si="280"/>
        <v/>
      </c>
      <c r="IG118" s="100" t="str">
        <f t="shared" si="280"/>
        <v/>
      </c>
      <c r="IH118" s="100" t="str">
        <f t="shared" si="280"/>
        <v/>
      </c>
      <c r="II118" s="100" t="str">
        <f t="shared" si="280"/>
        <v/>
      </c>
      <c r="IJ118" s="100" t="str">
        <f t="shared" si="280"/>
        <v/>
      </c>
      <c r="IK118" s="100" t="str">
        <f t="shared" si="280"/>
        <v/>
      </c>
      <c r="IL118" s="100" t="str">
        <f t="shared" si="280"/>
        <v/>
      </c>
      <c r="IM118" s="100" t="str">
        <f t="shared" si="280"/>
        <v/>
      </c>
      <c r="IN118" s="100" t="str">
        <f t="shared" si="280"/>
        <v/>
      </c>
      <c r="IO118" s="100" t="str">
        <f t="shared" si="280"/>
        <v/>
      </c>
      <c r="IP118" s="100" t="str">
        <f t="shared" si="280"/>
        <v/>
      </c>
      <c r="IQ118" s="100" t="str">
        <f t="shared" si="280"/>
        <v/>
      </c>
      <c r="IR118" s="100" t="str">
        <f t="shared" si="280"/>
        <v/>
      </c>
      <c r="IS118" s="100" t="str">
        <f t="shared" si="280"/>
        <v/>
      </c>
      <c r="IT118" s="100" t="str">
        <f t="shared" si="280"/>
        <v/>
      </c>
      <c r="IU118" s="100" t="str">
        <f t="shared" si="280"/>
        <v/>
      </c>
      <c r="IV118" s="100" t="str">
        <f t="shared" si="280"/>
        <v/>
      </c>
      <c r="IW118" s="100" t="str">
        <f t="shared" si="280"/>
        <v/>
      </c>
      <c r="IX118" s="100" t="str">
        <f t="shared" si="280"/>
        <v/>
      </c>
      <c r="IY118" s="100" t="str">
        <f t="shared" si="280"/>
        <v/>
      </c>
      <c r="IZ118" s="100" t="str">
        <f t="shared" si="280"/>
        <v/>
      </c>
      <c r="JA118" s="100" t="str">
        <f t="shared" ref="JA118:LL118" si="281">IFERROR(AVERAGE(JA6,JA16,JA25,JA34,JA42,JA54,JA62,JA70,JA78,JA86,JA94,JA102,JA110),"")</f>
        <v/>
      </c>
      <c r="JB118" s="100" t="str">
        <f t="shared" si="281"/>
        <v/>
      </c>
      <c r="JC118" s="100" t="str">
        <f t="shared" si="281"/>
        <v/>
      </c>
      <c r="JD118" s="100" t="str">
        <f t="shared" si="281"/>
        <v/>
      </c>
      <c r="JE118" s="100" t="str">
        <f t="shared" si="281"/>
        <v/>
      </c>
      <c r="JF118" s="100" t="str">
        <f t="shared" si="281"/>
        <v/>
      </c>
      <c r="JG118" s="100" t="str">
        <f t="shared" si="281"/>
        <v/>
      </c>
      <c r="JH118" s="100" t="str">
        <f t="shared" si="281"/>
        <v/>
      </c>
      <c r="JI118" s="100" t="str">
        <f t="shared" si="281"/>
        <v/>
      </c>
      <c r="JJ118" s="100" t="str">
        <f t="shared" si="281"/>
        <v/>
      </c>
      <c r="JK118" s="100" t="str">
        <f t="shared" si="281"/>
        <v/>
      </c>
      <c r="JL118" s="100" t="str">
        <f t="shared" si="281"/>
        <v/>
      </c>
      <c r="JM118" s="100" t="str">
        <f t="shared" si="281"/>
        <v/>
      </c>
      <c r="JN118" s="100" t="str">
        <f t="shared" si="281"/>
        <v/>
      </c>
      <c r="JO118" s="100" t="str">
        <f t="shared" si="281"/>
        <v/>
      </c>
      <c r="JP118" s="100" t="str">
        <f t="shared" si="281"/>
        <v/>
      </c>
      <c r="JQ118" s="100" t="str">
        <f t="shared" si="281"/>
        <v/>
      </c>
      <c r="JR118" s="100" t="str">
        <f t="shared" si="281"/>
        <v/>
      </c>
      <c r="JS118" s="100" t="str">
        <f t="shared" si="281"/>
        <v/>
      </c>
      <c r="JT118" s="100" t="str">
        <f t="shared" si="281"/>
        <v/>
      </c>
      <c r="JU118" s="100" t="str">
        <f t="shared" si="281"/>
        <v/>
      </c>
      <c r="JV118" s="100" t="str">
        <f t="shared" si="281"/>
        <v/>
      </c>
      <c r="JW118" s="100" t="str">
        <f t="shared" si="281"/>
        <v/>
      </c>
      <c r="JX118" s="100" t="str">
        <f t="shared" si="281"/>
        <v/>
      </c>
      <c r="JY118" s="100" t="str">
        <f t="shared" si="281"/>
        <v/>
      </c>
      <c r="JZ118" s="100" t="str">
        <f t="shared" si="281"/>
        <v/>
      </c>
      <c r="KA118" s="100" t="str">
        <f t="shared" si="281"/>
        <v/>
      </c>
      <c r="KB118" s="100" t="str">
        <f t="shared" si="281"/>
        <v/>
      </c>
      <c r="KC118" s="100" t="str">
        <f t="shared" si="281"/>
        <v/>
      </c>
      <c r="KD118" s="100" t="str">
        <f t="shared" si="281"/>
        <v/>
      </c>
      <c r="KE118" s="100" t="str">
        <f t="shared" si="281"/>
        <v/>
      </c>
      <c r="KF118" s="100" t="str">
        <f t="shared" si="281"/>
        <v/>
      </c>
      <c r="KG118" s="100" t="str">
        <f t="shared" si="281"/>
        <v/>
      </c>
      <c r="KH118" s="100" t="str">
        <f t="shared" si="281"/>
        <v/>
      </c>
      <c r="KI118" s="100" t="str">
        <f t="shared" si="281"/>
        <v/>
      </c>
      <c r="KJ118" s="100" t="str">
        <f t="shared" si="281"/>
        <v/>
      </c>
      <c r="KK118" s="100" t="str">
        <f t="shared" si="281"/>
        <v/>
      </c>
      <c r="KL118" s="100" t="str">
        <f t="shared" si="281"/>
        <v/>
      </c>
      <c r="KM118" s="100" t="str">
        <f t="shared" si="281"/>
        <v/>
      </c>
      <c r="KN118" s="100" t="str">
        <f t="shared" si="281"/>
        <v/>
      </c>
      <c r="KO118" s="100" t="str">
        <f t="shared" si="281"/>
        <v/>
      </c>
      <c r="KP118" s="100" t="str">
        <f t="shared" si="281"/>
        <v/>
      </c>
      <c r="KQ118" s="100" t="str">
        <f t="shared" si="281"/>
        <v/>
      </c>
      <c r="KR118" s="100" t="str">
        <f t="shared" si="281"/>
        <v/>
      </c>
      <c r="KS118" s="100" t="str">
        <f t="shared" si="281"/>
        <v/>
      </c>
      <c r="KT118" s="100" t="str">
        <f t="shared" si="281"/>
        <v/>
      </c>
      <c r="KU118" s="100" t="str">
        <f t="shared" si="281"/>
        <v/>
      </c>
      <c r="KV118" s="100" t="str">
        <f t="shared" si="281"/>
        <v/>
      </c>
      <c r="KW118" s="100" t="str">
        <f t="shared" si="281"/>
        <v/>
      </c>
      <c r="KX118" s="100" t="str">
        <f t="shared" si="281"/>
        <v/>
      </c>
      <c r="KY118" s="100" t="str">
        <f t="shared" si="281"/>
        <v/>
      </c>
      <c r="KZ118" s="100" t="str">
        <f t="shared" si="281"/>
        <v/>
      </c>
      <c r="LA118" s="100" t="str">
        <f t="shared" si="281"/>
        <v/>
      </c>
      <c r="LB118" s="100" t="str">
        <f t="shared" si="281"/>
        <v/>
      </c>
      <c r="LC118" s="100" t="str">
        <f t="shared" si="281"/>
        <v/>
      </c>
      <c r="LD118" s="100" t="str">
        <f t="shared" si="281"/>
        <v/>
      </c>
      <c r="LE118" s="100" t="str">
        <f t="shared" si="281"/>
        <v/>
      </c>
      <c r="LF118" s="100" t="str">
        <f t="shared" si="281"/>
        <v/>
      </c>
      <c r="LG118" s="100" t="str">
        <f t="shared" si="281"/>
        <v/>
      </c>
      <c r="LH118" s="100" t="str">
        <f t="shared" si="281"/>
        <v/>
      </c>
      <c r="LI118" s="100" t="str">
        <f t="shared" si="281"/>
        <v/>
      </c>
      <c r="LJ118" s="100" t="str">
        <f t="shared" si="281"/>
        <v/>
      </c>
      <c r="LK118" s="100" t="str">
        <f t="shared" si="281"/>
        <v/>
      </c>
      <c r="LL118" s="100" t="str">
        <f t="shared" si="281"/>
        <v/>
      </c>
      <c r="LM118" s="100" t="str">
        <f t="shared" ref="LM118:NX118" si="282">IFERROR(AVERAGE(LM6,LM16,LM25,LM34,LM42,LM54,LM62,LM70,LM78,LM86,LM94,LM102,LM110),"")</f>
        <v/>
      </c>
      <c r="LN118" s="100" t="str">
        <f t="shared" si="282"/>
        <v/>
      </c>
      <c r="LO118" s="100" t="str">
        <f t="shared" si="282"/>
        <v/>
      </c>
      <c r="LP118" s="100" t="str">
        <f t="shared" si="282"/>
        <v/>
      </c>
      <c r="LQ118" s="100" t="str">
        <f t="shared" si="282"/>
        <v/>
      </c>
      <c r="LR118" s="100" t="str">
        <f t="shared" si="282"/>
        <v/>
      </c>
      <c r="LS118" s="100" t="str">
        <f t="shared" si="282"/>
        <v/>
      </c>
      <c r="LT118" s="100" t="str">
        <f t="shared" si="282"/>
        <v/>
      </c>
      <c r="LU118" s="100" t="str">
        <f t="shared" si="282"/>
        <v/>
      </c>
      <c r="LV118" s="100" t="str">
        <f t="shared" si="282"/>
        <v/>
      </c>
      <c r="LW118" s="100" t="str">
        <f t="shared" si="282"/>
        <v/>
      </c>
      <c r="LX118" s="100" t="str">
        <f t="shared" si="282"/>
        <v/>
      </c>
      <c r="LY118" s="100" t="str">
        <f t="shared" si="282"/>
        <v/>
      </c>
      <c r="LZ118" s="100" t="str">
        <f t="shared" si="282"/>
        <v/>
      </c>
      <c r="MA118" s="100" t="str">
        <f t="shared" si="282"/>
        <v/>
      </c>
      <c r="MB118" s="100" t="str">
        <f t="shared" si="282"/>
        <v/>
      </c>
      <c r="MC118" s="100" t="str">
        <f t="shared" si="282"/>
        <v/>
      </c>
      <c r="MD118" s="100" t="str">
        <f t="shared" si="282"/>
        <v/>
      </c>
      <c r="ME118" s="100" t="str">
        <f t="shared" si="282"/>
        <v/>
      </c>
      <c r="MF118" s="100" t="str">
        <f t="shared" si="282"/>
        <v/>
      </c>
      <c r="MG118" s="100" t="str">
        <f t="shared" si="282"/>
        <v/>
      </c>
      <c r="MH118" s="100" t="str">
        <f t="shared" si="282"/>
        <v/>
      </c>
      <c r="MI118" s="100" t="str">
        <f t="shared" si="282"/>
        <v/>
      </c>
      <c r="MJ118" s="100" t="str">
        <f t="shared" si="282"/>
        <v/>
      </c>
      <c r="MK118" s="100" t="str">
        <f t="shared" si="282"/>
        <v/>
      </c>
      <c r="ML118" s="100" t="str">
        <f t="shared" si="282"/>
        <v/>
      </c>
      <c r="MM118" s="100" t="str">
        <f t="shared" si="282"/>
        <v/>
      </c>
      <c r="MN118" s="100" t="str">
        <f t="shared" si="282"/>
        <v/>
      </c>
      <c r="MO118" s="100" t="str">
        <f t="shared" si="282"/>
        <v/>
      </c>
      <c r="MP118" s="100" t="str">
        <f t="shared" si="282"/>
        <v/>
      </c>
      <c r="MQ118" s="100" t="str">
        <f t="shared" si="282"/>
        <v/>
      </c>
      <c r="MR118" s="100" t="str">
        <f t="shared" si="282"/>
        <v/>
      </c>
      <c r="MS118" s="100" t="str">
        <f t="shared" si="282"/>
        <v/>
      </c>
      <c r="MT118" s="100" t="str">
        <f t="shared" si="282"/>
        <v/>
      </c>
      <c r="MU118" s="100" t="str">
        <f t="shared" si="282"/>
        <v/>
      </c>
      <c r="MV118" s="100" t="str">
        <f t="shared" si="282"/>
        <v/>
      </c>
      <c r="MW118" s="100" t="str">
        <f t="shared" si="282"/>
        <v/>
      </c>
      <c r="MX118" s="100" t="str">
        <f t="shared" si="282"/>
        <v/>
      </c>
      <c r="MY118" s="100" t="str">
        <f t="shared" si="282"/>
        <v/>
      </c>
      <c r="MZ118" s="100" t="str">
        <f t="shared" si="282"/>
        <v/>
      </c>
      <c r="NA118" s="100" t="str">
        <f t="shared" si="282"/>
        <v/>
      </c>
      <c r="NB118" s="100" t="str">
        <f t="shared" si="282"/>
        <v/>
      </c>
      <c r="NC118" s="100" t="str">
        <f t="shared" si="282"/>
        <v/>
      </c>
      <c r="ND118" s="100" t="str">
        <f t="shared" si="282"/>
        <v/>
      </c>
      <c r="NE118" s="100" t="str">
        <f t="shared" si="282"/>
        <v/>
      </c>
      <c r="NF118" s="100" t="str">
        <f t="shared" si="282"/>
        <v/>
      </c>
      <c r="NG118" s="100" t="str">
        <f t="shared" si="282"/>
        <v/>
      </c>
      <c r="NH118" s="100" t="str">
        <f t="shared" si="282"/>
        <v/>
      </c>
      <c r="NI118" s="100" t="str">
        <f t="shared" si="282"/>
        <v/>
      </c>
      <c r="NJ118" s="100" t="str">
        <f t="shared" si="282"/>
        <v/>
      </c>
      <c r="NK118" s="100" t="str">
        <f t="shared" si="282"/>
        <v/>
      </c>
      <c r="NL118" s="100" t="str">
        <f t="shared" si="282"/>
        <v/>
      </c>
      <c r="NM118" s="100" t="str">
        <f t="shared" si="282"/>
        <v/>
      </c>
      <c r="NN118" s="100" t="str">
        <f t="shared" si="282"/>
        <v/>
      </c>
      <c r="NO118" s="100" t="str">
        <f t="shared" si="282"/>
        <v/>
      </c>
      <c r="NP118" s="100" t="str">
        <f t="shared" si="282"/>
        <v/>
      </c>
      <c r="NQ118" s="100" t="str">
        <f t="shared" si="282"/>
        <v/>
      </c>
      <c r="NR118" s="100" t="str">
        <f t="shared" si="282"/>
        <v/>
      </c>
      <c r="NS118" s="100" t="str">
        <f t="shared" si="282"/>
        <v/>
      </c>
      <c r="NT118" s="100" t="str">
        <f t="shared" si="282"/>
        <v/>
      </c>
      <c r="NU118" s="100" t="str">
        <f t="shared" si="282"/>
        <v/>
      </c>
      <c r="NV118" s="100" t="str">
        <f t="shared" si="282"/>
        <v/>
      </c>
      <c r="NW118" s="100" t="str">
        <f t="shared" si="282"/>
        <v/>
      </c>
      <c r="NX118" s="100" t="str">
        <f t="shared" si="282"/>
        <v/>
      </c>
      <c r="NY118" s="100" t="str">
        <f t="shared" ref="NY118:QJ118" si="283">IFERROR(AVERAGE(NY6,NY16,NY25,NY34,NY42,NY54,NY62,NY70,NY78,NY86,NY94,NY102,NY110),"")</f>
        <v/>
      </c>
      <c r="NZ118" s="100" t="str">
        <f t="shared" si="283"/>
        <v/>
      </c>
      <c r="OA118" s="100" t="str">
        <f t="shared" si="283"/>
        <v/>
      </c>
      <c r="OB118" s="100" t="str">
        <f t="shared" si="283"/>
        <v/>
      </c>
      <c r="OC118" s="100" t="str">
        <f t="shared" si="283"/>
        <v/>
      </c>
      <c r="OD118" s="100" t="str">
        <f t="shared" si="283"/>
        <v/>
      </c>
      <c r="OE118" s="100" t="str">
        <f t="shared" si="283"/>
        <v/>
      </c>
      <c r="OF118" s="100" t="str">
        <f t="shared" si="283"/>
        <v/>
      </c>
      <c r="OG118" s="100" t="str">
        <f t="shared" si="283"/>
        <v/>
      </c>
      <c r="OH118" s="100" t="str">
        <f t="shared" si="283"/>
        <v/>
      </c>
      <c r="OI118" s="100" t="str">
        <f t="shared" si="283"/>
        <v/>
      </c>
      <c r="OJ118" s="100" t="str">
        <f t="shared" si="283"/>
        <v/>
      </c>
      <c r="OK118" s="100" t="str">
        <f t="shared" si="283"/>
        <v/>
      </c>
      <c r="OL118" s="100" t="str">
        <f t="shared" si="283"/>
        <v/>
      </c>
      <c r="OM118" s="100" t="str">
        <f t="shared" si="283"/>
        <v/>
      </c>
      <c r="ON118" s="100" t="str">
        <f t="shared" si="283"/>
        <v/>
      </c>
      <c r="OO118" s="100" t="str">
        <f t="shared" si="283"/>
        <v/>
      </c>
      <c r="OP118" s="100" t="str">
        <f t="shared" si="283"/>
        <v/>
      </c>
      <c r="OQ118" s="100" t="str">
        <f t="shared" si="283"/>
        <v/>
      </c>
      <c r="OR118" s="100" t="str">
        <f t="shared" si="283"/>
        <v/>
      </c>
      <c r="OS118" s="100" t="str">
        <f t="shared" si="283"/>
        <v/>
      </c>
      <c r="OT118" s="100" t="str">
        <f t="shared" si="283"/>
        <v/>
      </c>
      <c r="OU118" s="100" t="str">
        <f t="shared" si="283"/>
        <v/>
      </c>
      <c r="OV118" s="100" t="str">
        <f t="shared" si="283"/>
        <v/>
      </c>
      <c r="OW118" s="100" t="str">
        <f t="shared" si="283"/>
        <v/>
      </c>
      <c r="OX118" s="100" t="str">
        <f t="shared" si="283"/>
        <v/>
      </c>
      <c r="OY118" s="100" t="str">
        <f t="shared" si="283"/>
        <v/>
      </c>
      <c r="OZ118" s="100" t="str">
        <f t="shared" si="283"/>
        <v/>
      </c>
      <c r="PA118" s="100" t="str">
        <f t="shared" si="283"/>
        <v/>
      </c>
      <c r="PB118" s="100" t="str">
        <f t="shared" si="283"/>
        <v/>
      </c>
      <c r="PC118" s="100" t="str">
        <f t="shared" si="283"/>
        <v/>
      </c>
      <c r="PD118" s="100" t="str">
        <f t="shared" si="283"/>
        <v/>
      </c>
      <c r="PE118" s="100" t="str">
        <f t="shared" si="283"/>
        <v/>
      </c>
      <c r="PF118" s="100" t="str">
        <f t="shared" si="283"/>
        <v/>
      </c>
      <c r="PG118" s="100" t="str">
        <f t="shared" si="283"/>
        <v/>
      </c>
      <c r="PH118" s="100" t="str">
        <f t="shared" si="283"/>
        <v/>
      </c>
      <c r="PI118" s="100" t="str">
        <f t="shared" si="283"/>
        <v/>
      </c>
      <c r="PJ118" s="100" t="str">
        <f t="shared" si="283"/>
        <v/>
      </c>
      <c r="PK118" s="100" t="str">
        <f t="shared" si="283"/>
        <v/>
      </c>
      <c r="PL118" s="100" t="str">
        <f t="shared" si="283"/>
        <v/>
      </c>
      <c r="PM118" s="100" t="str">
        <f t="shared" si="283"/>
        <v/>
      </c>
      <c r="PN118" s="100" t="str">
        <f t="shared" si="283"/>
        <v/>
      </c>
      <c r="PO118" s="100" t="str">
        <f t="shared" si="283"/>
        <v/>
      </c>
      <c r="PP118" s="100" t="str">
        <f t="shared" si="283"/>
        <v/>
      </c>
      <c r="PQ118" s="100" t="str">
        <f t="shared" si="283"/>
        <v/>
      </c>
      <c r="PR118" s="100" t="str">
        <f t="shared" si="283"/>
        <v/>
      </c>
      <c r="PS118" s="100" t="str">
        <f t="shared" si="283"/>
        <v/>
      </c>
      <c r="PT118" s="100" t="str">
        <f t="shared" si="283"/>
        <v/>
      </c>
      <c r="PU118" s="100" t="str">
        <f t="shared" si="283"/>
        <v/>
      </c>
      <c r="PV118" s="100" t="str">
        <f t="shared" si="283"/>
        <v/>
      </c>
      <c r="PW118" s="100" t="str">
        <f t="shared" si="283"/>
        <v/>
      </c>
      <c r="PX118" s="100" t="str">
        <f t="shared" si="283"/>
        <v/>
      </c>
      <c r="PY118" s="100" t="str">
        <f t="shared" si="283"/>
        <v/>
      </c>
      <c r="PZ118" s="100" t="str">
        <f t="shared" si="283"/>
        <v/>
      </c>
      <c r="QA118" s="100" t="str">
        <f t="shared" si="283"/>
        <v/>
      </c>
      <c r="QB118" s="100" t="str">
        <f t="shared" si="283"/>
        <v/>
      </c>
      <c r="QC118" s="100" t="str">
        <f t="shared" si="283"/>
        <v/>
      </c>
      <c r="QD118" s="100" t="str">
        <f t="shared" si="283"/>
        <v/>
      </c>
      <c r="QE118" s="100" t="str">
        <f t="shared" si="283"/>
        <v/>
      </c>
      <c r="QF118" s="100" t="str">
        <f t="shared" si="283"/>
        <v/>
      </c>
      <c r="QG118" s="100" t="str">
        <f t="shared" si="283"/>
        <v/>
      </c>
      <c r="QH118" s="100" t="str">
        <f t="shared" si="283"/>
        <v/>
      </c>
      <c r="QI118" s="100" t="str">
        <f t="shared" si="283"/>
        <v/>
      </c>
      <c r="QJ118" s="100" t="str">
        <f t="shared" si="283"/>
        <v/>
      </c>
      <c r="QK118" s="100" t="str">
        <f t="shared" ref="QK118:SV118" si="284">IFERROR(AVERAGE(QK6,QK16,QK25,QK34,QK42,QK54,QK62,QK70,QK78,QK86,QK94,QK102,QK110),"")</f>
        <v/>
      </c>
      <c r="QL118" s="100" t="str">
        <f t="shared" si="284"/>
        <v/>
      </c>
      <c r="QM118" s="100" t="str">
        <f t="shared" si="284"/>
        <v/>
      </c>
      <c r="QN118" s="100" t="str">
        <f t="shared" si="284"/>
        <v/>
      </c>
      <c r="QO118" s="100" t="str">
        <f t="shared" si="284"/>
        <v/>
      </c>
      <c r="QP118" s="100" t="str">
        <f t="shared" si="284"/>
        <v/>
      </c>
      <c r="QQ118" s="100" t="str">
        <f t="shared" si="284"/>
        <v/>
      </c>
      <c r="QR118" s="100" t="str">
        <f t="shared" si="284"/>
        <v/>
      </c>
      <c r="QS118" s="100" t="str">
        <f t="shared" si="284"/>
        <v/>
      </c>
      <c r="QT118" s="100" t="str">
        <f t="shared" si="284"/>
        <v/>
      </c>
      <c r="QU118" s="100" t="str">
        <f t="shared" si="284"/>
        <v/>
      </c>
      <c r="QV118" s="100" t="str">
        <f t="shared" si="284"/>
        <v/>
      </c>
      <c r="QW118" s="100" t="str">
        <f t="shared" si="284"/>
        <v/>
      </c>
      <c r="QX118" s="100" t="str">
        <f t="shared" si="284"/>
        <v/>
      </c>
      <c r="QY118" s="100" t="str">
        <f t="shared" si="284"/>
        <v/>
      </c>
      <c r="QZ118" s="100" t="str">
        <f t="shared" si="284"/>
        <v/>
      </c>
      <c r="RA118" s="100" t="str">
        <f t="shared" si="284"/>
        <v/>
      </c>
      <c r="RB118" s="100" t="str">
        <f t="shared" si="284"/>
        <v/>
      </c>
      <c r="RC118" s="100" t="str">
        <f t="shared" si="284"/>
        <v/>
      </c>
      <c r="RD118" s="100" t="str">
        <f t="shared" si="284"/>
        <v/>
      </c>
      <c r="RE118" s="100" t="str">
        <f t="shared" si="284"/>
        <v/>
      </c>
      <c r="RF118" s="100" t="str">
        <f t="shared" si="284"/>
        <v/>
      </c>
      <c r="RG118" s="100" t="str">
        <f t="shared" si="284"/>
        <v/>
      </c>
      <c r="RH118" s="100" t="str">
        <f t="shared" si="284"/>
        <v/>
      </c>
      <c r="RI118" s="100" t="str">
        <f t="shared" si="284"/>
        <v/>
      </c>
      <c r="RJ118" s="100" t="str">
        <f t="shared" si="284"/>
        <v/>
      </c>
      <c r="RK118" s="100" t="str">
        <f t="shared" si="284"/>
        <v/>
      </c>
      <c r="RL118" s="100" t="str">
        <f t="shared" si="284"/>
        <v/>
      </c>
      <c r="RM118" s="100" t="str">
        <f t="shared" si="284"/>
        <v/>
      </c>
      <c r="RN118" s="100" t="str">
        <f t="shared" si="284"/>
        <v/>
      </c>
      <c r="RO118" s="100" t="str">
        <f t="shared" si="284"/>
        <v/>
      </c>
      <c r="RP118" s="100" t="str">
        <f t="shared" si="284"/>
        <v/>
      </c>
      <c r="RQ118" s="100" t="str">
        <f t="shared" si="284"/>
        <v/>
      </c>
      <c r="RR118" s="100" t="str">
        <f t="shared" si="284"/>
        <v/>
      </c>
      <c r="RS118" s="100" t="str">
        <f t="shared" si="284"/>
        <v/>
      </c>
      <c r="RT118" s="100" t="str">
        <f t="shared" si="284"/>
        <v/>
      </c>
      <c r="RU118" s="100" t="str">
        <f t="shared" si="284"/>
        <v/>
      </c>
      <c r="RV118" s="100" t="str">
        <f t="shared" si="284"/>
        <v/>
      </c>
      <c r="RW118" s="100" t="str">
        <f t="shared" si="284"/>
        <v/>
      </c>
      <c r="RX118" s="100" t="str">
        <f t="shared" si="284"/>
        <v/>
      </c>
      <c r="RY118" s="100" t="str">
        <f t="shared" si="284"/>
        <v/>
      </c>
      <c r="RZ118" s="100" t="str">
        <f t="shared" si="284"/>
        <v/>
      </c>
      <c r="SA118" s="100" t="str">
        <f t="shared" si="284"/>
        <v/>
      </c>
      <c r="SB118" s="100" t="str">
        <f t="shared" si="284"/>
        <v/>
      </c>
      <c r="SC118" s="100" t="str">
        <f t="shared" si="284"/>
        <v/>
      </c>
      <c r="SD118" s="100" t="str">
        <f t="shared" si="284"/>
        <v/>
      </c>
      <c r="SE118" s="100" t="str">
        <f t="shared" si="284"/>
        <v/>
      </c>
      <c r="SF118" s="100" t="str">
        <f t="shared" si="284"/>
        <v/>
      </c>
      <c r="SG118" s="100" t="str">
        <f t="shared" si="284"/>
        <v/>
      </c>
      <c r="SH118" s="100" t="str">
        <f t="shared" si="284"/>
        <v/>
      </c>
      <c r="SI118" s="100" t="str">
        <f t="shared" si="284"/>
        <v/>
      </c>
      <c r="SJ118" s="100" t="str">
        <f t="shared" si="284"/>
        <v/>
      </c>
      <c r="SK118" s="100" t="str">
        <f t="shared" si="284"/>
        <v/>
      </c>
      <c r="SL118" s="100" t="str">
        <f t="shared" si="284"/>
        <v/>
      </c>
      <c r="SM118" s="100" t="str">
        <f t="shared" si="284"/>
        <v/>
      </c>
      <c r="SN118" s="100" t="str">
        <f t="shared" si="284"/>
        <v/>
      </c>
      <c r="SO118" s="100" t="str">
        <f t="shared" si="284"/>
        <v/>
      </c>
      <c r="SP118" s="100" t="str">
        <f t="shared" si="284"/>
        <v/>
      </c>
      <c r="SQ118" s="100" t="str">
        <f t="shared" si="284"/>
        <v/>
      </c>
      <c r="SR118" s="100" t="str">
        <f t="shared" si="284"/>
        <v/>
      </c>
      <c r="SS118" s="100" t="str">
        <f t="shared" si="284"/>
        <v/>
      </c>
      <c r="ST118" s="100" t="str">
        <f t="shared" si="284"/>
        <v/>
      </c>
      <c r="SU118" s="100" t="str">
        <f t="shared" si="284"/>
        <v/>
      </c>
      <c r="SV118" s="100" t="str">
        <f t="shared" si="284"/>
        <v/>
      </c>
      <c r="SW118" s="100" t="str">
        <f t="shared" ref="SW118:VH118" si="285">IFERROR(AVERAGE(SW6,SW16,SW25,SW34,SW42,SW54,SW62,SW70,SW78,SW86,SW94,SW102,SW110),"")</f>
        <v/>
      </c>
      <c r="SX118" s="100" t="str">
        <f t="shared" si="285"/>
        <v/>
      </c>
      <c r="SY118" s="100" t="str">
        <f t="shared" si="285"/>
        <v/>
      </c>
      <c r="SZ118" s="100" t="str">
        <f t="shared" si="285"/>
        <v/>
      </c>
      <c r="TA118" s="100" t="str">
        <f t="shared" si="285"/>
        <v/>
      </c>
      <c r="TB118" s="100" t="str">
        <f t="shared" si="285"/>
        <v/>
      </c>
      <c r="TC118" s="100" t="str">
        <f t="shared" si="285"/>
        <v/>
      </c>
      <c r="TD118" s="100" t="str">
        <f t="shared" si="285"/>
        <v/>
      </c>
      <c r="TE118" s="100" t="str">
        <f t="shared" si="285"/>
        <v/>
      </c>
      <c r="TF118" s="100" t="str">
        <f t="shared" si="285"/>
        <v/>
      </c>
      <c r="TG118" s="100" t="str">
        <f t="shared" si="285"/>
        <v/>
      </c>
      <c r="TH118" s="100" t="str">
        <f t="shared" si="285"/>
        <v/>
      </c>
      <c r="TI118" s="100" t="str">
        <f t="shared" si="285"/>
        <v/>
      </c>
      <c r="TJ118" s="100" t="str">
        <f t="shared" si="285"/>
        <v/>
      </c>
      <c r="TK118" s="100" t="str">
        <f t="shared" si="285"/>
        <v/>
      </c>
      <c r="TL118" s="100" t="str">
        <f t="shared" si="285"/>
        <v/>
      </c>
      <c r="TM118" s="100" t="str">
        <f t="shared" si="285"/>
        <v/>
      </c>
      <c r="TN118" s="100" t="str">
        <f t="shared" si="285"/>
        <v/>
      </c>
      <c r="TO118" s="100" t="str">
        <f t="shared" si="285"/>
        <v/>
      </c>
      <c r="TP118" s="100" t="str">
        <f t="shared" si="285"/>
        <v/>
      </c>
      <c r="TQ118" s="100" t="str">
        <f t="shared" si="285"/>
        <v/>
      </c>
      <c r="TR118" s="100" t="str">
        <f t="shared" si="285"/>
        <v/>
      </c>
      <c r="TS118" s="100" t="str">
        <f t="shared" si="285"/>
        <v/>
      </c>
      <c r="TT118" s="100" t="str">
        <f t="shared" si="285"/>
        <v/>
      </c>
      <c r="TU118" s="100" t="str">
        <f t="shared" si="285"/>
        <v/>
      </c>
      <c r="TV118" s="100" t="str">
        <f t="shared" si="285"/>
        <v/>
      </c>
      <c r="TW118" s="100" t="str">
        <f t="shared" si="285"/>
        <v/>
      </c>
      <c r="TX118" s="100" t="str">
        <f t="shared" si="285"/>
        <v/>
      </c>
      <c r="TY118" s="100" t="str">
        <f t="shared" si="285"/>
        <v/>
      </c>
      <c r="TZ118" s="100" t="str">
        <f t="shared" si="285"/>
        <v/>
      </c>
      <c r="UA118" s="100" t="str">
        <f t="shared" si="285"/>
        <v/>
      </c>
      <c r="UB118" s="100" t="str">
        <f t="shared" si="285"/>
        <v/>
      </c>
      <c r="UC118" s="100" t="str">
        <f t="shared" si="285"/>
        <v/>
      </c>
      <c r="UD118" s="100" t="str">
        <f t="shared" si="285"/>
        <v/>
      </c>
      <c r="UE118" s="100" t="str">
        <f t="shared" si="285"/>
        <v/>
      </c>
      <c r="UF118" s="100" t="str">
        <f t="shared" si="285"/>
        <v/>
      </c>
      <c r="UG118" s="100" t="str">
        <f t="shared" si="285"/>
        <v/>
      </c>
      <c r="UH118" s="100" t="str">
        <f t="shared" si="285"/>
        <v/>
      </c>
      <c r="UI118" s="100" t="str">
        <f t="shared" si="285"/>
        <v/>
      </c>
      <c r="UJ118" s="100" t="str">
        <f t="shared" si="285"/>
        <v/>
      </c>
      <c r="UK118" s="100" t="str">
        <f t="shared" si="285"/>
        <v/>
      </c>
      <c r="UL118" s="100" t="str">
        <f t="shared" si="285"/>
        <v/>
      </c>
      <c r="UM118" s="100" t="str">
        <f t="shared" si="285"/>
        <v/>
      </c>
      <c r="UN118" s="100" t="str">
        <f t="shared" si="285"/>
        <v/>
      </c>
      <c r="UO118" s="100" t="str">
        <f t="shared" si="285"/>
        <v/>
      </c>
      <c r="UP118" s="100" t="str">
        <f t="shared" si="285"/>
        <v/>
      </c>
      <c r="UQ118" s="100" t="str">
        <f t="shared" si="285"/>
        <v/>
      </c>
      <c r="UR118" s="100" t="str">
        <f t="shared" si="285"/>
        <v/>
      </c>
      <c r="US118" s="100" t="str">
        <f t="shared" si="285"/>
        <v/>
      </c>
      <c r="UT118" s="100" t="str">
        <f t="shared" si="285"/>
        <v/>
      </c>
      <c r="UU118" s="100" t="str">
        <f t="shared" si="285"/>
        <v/>
      </c>
      <c r="UV118" s="100" t="str">
        <f t="shared" si="285"/>
        <v/>
      </c>
      <c r="UW118" s="100" t="str">
        <f t="shared" si="285"/>
        <v/>
      </c>
      <c r="UX118" s="100" t="str">
        <f t="shared" si="285"/>
        <v/>
      </c>
      <c r="UY118" s="100" t="str">
        <f t="shared" si="285"/>
        <v/>
      </c>
      <c r="UZ118" s="100" t="str">
        <f t="shared" si="285"/>
        <v/>
      </c>
      <c r="VA118" s="100" t="str">
        <f t="shared" si="285"/>
        <v/>
      </c>
      <c r="VB118" s="100" t="str">
        <f t="shared" si="285"/>
        <v/>
      </c>
      <c r="VC118" s="100" t="str">
        <f t="shared" si="285"/>
        <v/>
      </c>
      <c r="VD118" s="100" t="str">
        <f t="shared" si="285"/>
        <v/>
      </c>
      <c r="VE118" s="100" t="str">
        <f t="shared" si="285"/>
        <v/>
      </c>
      <c r="VF118" s="100" t="str">
        <f t="shared" si="285"/>
        <v/>
      </c>
      <c r="VG118" s="100" t="str">
        <f t="shared" si="285"/>
        <v/>
      </c>
      <c r="VH118" s="100" t="str">
        <f t="shared" si="285"/>
        <v/>
      </c>
      <c r="VI118" s="100" t="str">
        <f t="shared" ref="VI118:XT118" si="286">IFERROR(AVERAGE(VI6,VI16,VI25,VI34,VI42,VI54,VI62,VI70,VI78,VI86,VI94,VI102,VI110),"")</f>
        <v/>
      </c>
      <c r="VJ118" s="100" t="str">
        <f t="shared" si="286"/>
        <v/>
      </c>
      <c r="VK118" s="100" t="str">
        <f t="shared" si="286"/>
        <v/>
      </c>
      <c r="VL118" s="100" t="str">
        <f t="shared" si="286"/>
        <v/>
      </c>
      <c r="VM118" s="100" t="str">
        <f t="shared" si="286"/>
        <v/>
      </c>
      <c r="VN118" s="100" t="str">
        <f t="shared" si="286"/>
        <v/>
      </c>
      <c r="VO118" s="100" t="str">
        <f t="shared" si="286"/>
        <v/>
      </c>
      <c r="VP118" s="100" t="str">
        <f t="shared" si="286"/>
        <v/>
      </c>
      <c r="VQ118" s="100" t="str">
        <f t="shared" si="286"/>
        <v/>
      </c>
      <c r="VR118" s="100" t="str">
        <f t="shared" si="286"/>
        <v/>
      </c>
      <c r="VS118" s="100" t="str">
        <f t="shared" si="286"/>
        <v/>
      </c>
      <c r="VT118" s="100" t="str">
        <f t="shared" si="286"/>
        <v/>
      </c>
      <c r="VU118" s="100" t="str">
        <f t="shared" si="286"/>
        <v/>
      </c>
      <c r="VV118" s="100" t="str">
        <f t="shared" si="286"/>
        <v/>
      </c>
      <c r="VW118" s="100" t="str">
        <f t="shared" si="286"/>
        <v/>
      </c>
      <c r="VX118" s="100" t="str">
        <f t="shared" si="286"/>
        <v/>
      </c>
      <c r="VY118" s="100" t="str">
        <f t="shared" si="286"/>
        <v/>
      </c>
      <c r="VZ118" s="100" t="str">
        <f t="shared" si="286"/>
        <v/>
      </c>
      <c r="WA118" s="100" t="str">
        <f t="shared" si="286"/>
        <v/>
      </c>
      <c r="WB118" s="100" t="str">
        <f t="shared" si="286"/>
        <v/>
      </c>
      <c r="WC118" s="100" t="str">
        <f t="shared" si="286"/>
        <v/>
      </c>
      <c r="WD118" s="100" t="str">
        <f t="shared" si="286"/>
        <v/>
      </c>
      <c r="WE118" s="100" t="str">
        <f t="shared" si="286"/>
        <v/>
      </c>
      <c r="WF118" s="100" t="str">
        <f t="shared" si="286"/>
        <v/>
      </c>
      <c r="WG118" s="100" t="str">
        <f t="shared" si="286"/>
        <v/>
      </c>
      <c r="WH118" s="100" t="str">
        <f t="shared" si="286"/>
        <v/>
      </c>
      <c r="WI118" s="100" t="str">
        <f t="shared" si="286"/>
        <v/>
      </c>
      <c r="WJ118" s="100" t="str">
        <f t="shared" si="286"/>
        <v/>
      </c>
      <c r="WK118" s="100" t="str">
        <f t="shared" si="286"/>
        <v/>
      </c>
      <c r="WL118" s="100" t="str">
        <f t="shared" si="286"/>
        <v/>
      </c>
      <c r="WM118" s="100" t="str">
        <f t="shared" si="286"/>
        <v/>
      </c>
      <c r="WN118" s="100" t="str">
        <f t="shared" si="286"/>
        <v/>
      </c>
      <c r="WO118" s="100" t="str">
        <f t="shared" si="286"/>
        <v/>
      </c>
      <c r="WP118" s="100" t="str">
        <f t="shared" si="286"/>
        <v/>
      </c>
      <c r="WQ118" s="100" t="str">
        <f t="shared" si="286"/>
        <v/>
      </c>
      <c r="WR118" s="100" t="str">
        <f t="shared" si="286"/>
        <v/>
      </c>
      <c r="WS118" s="100" t="str">
        <f t="shared" si="286"/>
        <v/>
      </c>
      <c r="WT118" s="100" t="str">
        <f t="shared" si="286"/>
        <v/>
      </c>
      <c r="WU118" s="100" t="str">
        <f t="shared" si="286"/>
        <v/>
      </c>
      <c r="WV118" s="100" t="str">
        <f t="shared" si="286"/>
        <v/>
      </c>
      <c r="WW118" s="100" t="str">
        <f t="shared" si="286"/>
        <v/>
      </c>
      <c r="WX118" s="100" t="str">
        <f t="shared" si="286"/>
        <v/>
      </c>
      <c r="WY118" s="100" t="str">
        <f t="shared" si="286"/>
        <v/>
      </c>
      <c r="WZ118" s="100" t="str">
        <f t="shared" si="286"/>
        <v/>
      </c>
      <c r="XA118" s="100" t="str">
        <f t="shared" si="286"/>
        <v/>
      </c>
      <c r="XB118" s="100" t="str">
        <f t="shared" si="286"/>
        <v/>
      </c>
      <c r="XC118" s="100" t="str">
        <f t="shared" si="286"/>
        <v/>
      </c>
      <c r="XD118" s="100" t="str">
        <f t="shared" si="286"/>
        <v/>
      </c>
      <c r="XE118" s="100" t="str">
        <f t="shared" si="286"/>
        <v/>
      </c>
      <c r="XF118" s="100" t="str">
        <f t="shared" si="286"/>
        <v/>
      </c>
      <c r="XG118" s="100" t="str">
        <f t="shared" si="286"/>
        <v/>
      </c>
      <c r="XH118" s="100" t="str">
        <f t="shared" si="286"/>
        <v/>
      </c>
      <c r="XI118" s="100" t="str">
        <f t="shared" si="286"/>
        <v/>
      </c>
      <c r="XJ118" s="100" t="str">
        <f t="shared" si="286"/>
        <v/>
      </c>
      <c r="XK118" s="100" t="str">
        <f t="shared" si="286"/>
        <v/>
      </c>
      <c r="XL118" s="100" t="str">
        <f t="shared" si="286"/>
        <v/>
      </c>
      <c r="XM118" s="100" t="str">
        <f t="shared" si="286"/>
        <v/>
      </c>
      <c r="XN118" s="100" t="str">
        <f t="shared" si="286"/>
        <v/>
      </c>
      <c r="XO118" s="100" t="str">
        <f t="shared" si="286"/>
        <v/>
      </c>
      <c r="XP118" s="100" t="str">
        <f t="shared" si="286"/>
        <v/>
      </c>
      <c r="XQ118" s="100" t="str">
        <f t="shared" si="286"/>
        <v/>
      </c>
      <c r="XR118" s="100" t="str">
        <f t="shared" si="286"/>
        <v/>
      </c>
      <c r="XS118" s="100" t="str">
        <f t="shared" si="286"/>
        <v/>
      </c>
      <c r="XT118" s="100" t="str">
        <f t="shared" si="286"/>
        <v/>
      </c>
      <c r="XU118" s="100" t="str">
        <f t="shared" ref="XU118:AAF118" si="287">IFERROR(AVERAGE(XU6,XU16,XU25,XU34,XU42,XU54,XU62,XU70,XU78,XU86,XU94,XU102,XU110),"")</f>
        <v/>
      </c>
      <c r="XV118" s="100" t="str">
        <f t="shared" si="287"/>
        <v/>
      </c>
      <c r="XW118" s="100" t="str">
        <f t="shared" si="287"/>
        <v/>
      </c>
      <c r="XX118" s="100" t="str">
        <f t="shared" si="287"/>
        <v/>
      </c>
      <c r="XY118" s="100" t="str">
        <f t="shared" si="287"/>
        <v/>
      </c>
      <c r="XZ118" s="100" t="str">
        <f t="shared" si="287"/>
        <v/>
      </c>
      <c r="YA118" s="100" t="str">
        <f t="shared" si="287"/>
        <v/>
      </c>
      <c r="YB118" s="100" t="str">
        <f t="shared" si="287"/>
        <v/>
      </c>
      <c r="YC118" s="100" t="str">
        <f t="shared" si="287"/>
        <v/>
      </c>
      <c r="YD118" s="100" t="str">
        <f t="shared" si="287"/>
        <v/>
      </c>
      <c r="YE118" s="100" t="str">
        <f t="shared" si="287"/>
        <v/>
      </c>
      <c r="YF118" s="100" t="str">
        <f t="shared" si="287"/>
        <v/>
      </c>
      <c r="YG118" s="100" t="str">
        <f t="shared" si="287"/>
        <v/>
      </c>
      <c r="YH118" s="100" t="str">
        <f t="shared" si="287"/>
        <v/>
      </c>
      <c r="YI118" s="100" t="str">
        <f t="shared" si="287"/>
        <v/>
      </c>
      <c r="YJ118" s="100" t="str">
        <f t="shared" si="287"/>
        <v/>
      </c>
      <c r="YK118" s="100" t="str">
        <f t="shared" si="287"/>
        <v/>
      </c>
      <c r="YL118" s="100" t="str">
        <f t="shared" si="287"/>
        <v/>
      </c>
      <c r="YM118" s="100" t="str">
        <f t="shared" si="287"/>
        <v/>
      </c>
      <c r="YN118" s="100" t="str">
        <f t="shared" si="287"/>
        <v/>
      </c>
      <c r="YO118" s="100" t="str">
        <f t="shared" si="287"/>
        <v/>
      </c>
      <c r="YP118" s="100" t="str">
        <f t="shared" si="287"/>
        <v/>
      </c>
      <c r="YQ118" s="100" t="str">
        <f t="shared" si="287"/>
        <v/>
      </c>
      <c r="YR118" s="100" t="str">
        <f t="shared" si="287"/>
        <v/>
      </c>
      <c r="YS118" s="100" t="str">
        <f t="shared" si="287"/>
        <v/>
      </c>
      <c r="YT118" s="100" t="str">
        <f t="shared" si="287"/>
        <v/>
      </c>
      <c r="YU118" s="100" t="str">
        <f t="shared" si="287"/>
        <v/>
      </c>
      <c r="YV118" s="100" t="str">
        <f t="shared" si="287"/>
        <v/>
      </c>
      <c r="YW118" s="100" t="str">
        <f t="shared" si="287"/>
        <v/>
      </c>
      <c r="YX118" s="100" t="str">
        <f t="shared" si="287"/>
        <v/>
      </c>
      <c r="YY118" s="100" t="str">
        <f t="shared" si="287"/>
        <v/>
      </c>
      <c r="YZ118" s="100" t="str">
        <f t="shared" si="287"/>
        <v/>
      </c>
      <c r="ZA118" s="100" t="str">
        <f t="shared" si="287"/>
        <v/>
      </c>
      <c r="ZB118" s="100" t="str">
        <f t="shared" si="287"/>
        <v/>
      </c>
      <c r="ZC118" s="100" t="str">
        <f t="shared" si="287"/>
        <v/>
      </c>
      <c r="ZD118" s="100" t="str">
        <f t="shared" si="287"/>
        <v/>
      </c>
      <c r="ZE118" s="100" t="str">
        <f t="shared" si="287"/>
        <v/>
      </c>
      <c r="ZF118" s="100" t="str">
        <f t="shared" si="287"/>
        <v/>
      </c>
      <c r="ZG118" s="100" t="str">
        <f t="shared" si="287"/>
        <v/>
      </c>
      <c r="ZH118" s="100" t="str">
        <f t="shared" si="287"/>
        <v/>
      </c>
      <c r="ZI118" s="100" t="str">
        <f t="shared" si="287"/>
        <v/>
      </c>
      <c r="ZJ118" s="100" t="str">
        <f t="shared" si="287"/>
        <v/>
      </c>
      <c r="ZK118" s="100" t="str">
        <f t="shared" si="287"/>
        <v/>
      </c>
      <c r="ZL118" s="100" t="str">
        <f t="shared" si="287"/>
        <v/>
      </c>
      <c r="ZM118" s="100" t="str">
        <f t="shared" si="287"/>
        <v/>
      </c>
      <c r="ZN118" s="100" t="str">
        <f t="shared" si="287"/>
        <v/>
      </c>
      <c r="ZO118" s="100" t="str">
        <f t="shared" si="287"/>
        <v/>
      </c>
      <c r="ZP118" s="100" t="str">
        <f t="shared" si="287"/>
        <v/>
      </c>
      <c r="ZQ118" s="100" t="str">
        <f t="shared" si="287"/>
        <v/>
      </c>
      <c r="ZR118" s="100" t="str">
        <f t="shared" si="287"/>
        <v/>
      </c>
      <c r="ZS118" s="100" t="str">
        <f t="shared" si="287"/>
        <v/>
      </c>
      <c r="ZT118" s="100" t="str">
        <f t="shared" si="287"/>
        <v/>
      </c>
      <c r="ZU118" s="100" t="str">
        <f t="shared" si="287"/>
        <v/>
      </c>
      <c r="ZV118" s="100" t="str">
        <f t="shared" si="287"/>
        <v/>
      </c>
      <c r="ZW118" s="100" t="str">
        <f t="shared" si="287"/>
        <v/>
      </c>
      <c r="ZX118" s="100" t="str">
        <f t="shared" si="287"/>
        <v/>
      </c>
      <c r="ZY118" s="100" t="str">
        <f t="shared" si="287"/>
        <v/>
      </c>
      <c r="ZZ118" s="100" t="str">
        <f t="shared" si="287"/>
        <v/>
      </c>
      <c r="AAA118" s="100" t="str">
        <f t="shared" si="287"/>
        <v/>
      </c>
      <c r="AAB118" s="100" t="str">
        <f t="shared" si="287"/>
        <v/>
      </c>
      <c r="AAC118" s="100" t="str">
        <f t="shared" si="287"/>
        <v/>
      </c>
      <c r="AAD118" s="100" t="str">
        <f t="shared" si="287"/>
        <v/>
      </c>
      <c r="AAE118" s="100" t="str">
        <f t="shared" si="287"/>
        <v/>
      </c>
      <c r="AAF118" s="100" t="str">
        <f t="shared" si="287"/>
        <v/>
      </c>
      <c r="AAG118" s="100" t="str">
        <f t="shared" ref="AAG118:ACR118" si="288">IFERROR(AVERAGE(AAG6,AAG16,AAG25,AAG34,AAG42,AAG54,AAG62,AAG70,AAG78,AAG86,AAG94,AAG102,AAG110),"")</f>
        <v/>
      </c>
      <c r="AAH118" s="100" t="str">
        <f t="shared" si="288"/>
        <v/>
      </c>
      <c r="AAI118" s="100" t="str">
        <f t="shared" si="288"/>
        <v/>
      </c>
      <c r="AAJ118" s="100" t="str">
        <f t="shared" si="288"/>
        <v/>
      </c>
      <c r="AAK118" s="100" t="str">
        <f t="shared" si="288"/>
        <v/>
      </c>
      <c r="AAL118" s="100" t="str">
        <f t="shared" si="288"/>
        <v/>
      </c>
      <c r="AAM118" s="100" t="str">
        <f t="shared" si="288"/>
        <v/>
      </c>
      <c r="AAN118" s="100" t="str">
        <f t="shared" si="288"/>
        <v/>
      </c>
      <c r="AAO118" s="100" t="str">
        <f t="shared" si="288"/>
        <v/>
      </c>
      <c r="AAP118" s="100" t="str">
        <f t="shared" si="288"/>
        <v/>
      </c>
      <c r="AAQ118" s="100" t="str">
        <f t="shared" si="288"/>
        <v/>
      </c>
      <c r="AAR118" s="100" t="str">
        <f t="shared" si="288"/>
        <v/>
      </c>
      <c r="AAS118" s="100" t="str">
        <f t="shared" si="288"/>
        <v/>
      </c>
      <c r="AAT118" s="100" t="str">
        <f t="shared" si="288"/>
        <v/>
      </c>
      <c r="AAU118" s="100" t="str">
        <f t="shared" si="288"/>
        <v/>
      </c>
      <c r="AAV118" s="100" t="str">
        <f t="shared" si="288"/>
        <v/>
      </c>
      <c r="AAW118" s="100" t="str">
        <f t="shared" si="288"/>
        <v/>
      </c>
      <c r="AAX118" s="100" t="str">
        <f t="shared" si="288"/>
        <v/>
      </c>
      <c r="AAY118" s="100" t="str">
        <f t="shared" si="288"/>
        <v/>
      </c>
      <c r="AAZ118" s="100" t="str">
        <f t="shared" si="288"/>
        <v/>
      </c>
      <c r="ABA118" s="100" t="str">
        <f t="shared" si="288"/>
        <v/>
      </c>
      <c r="ABB118" s="100" t="str">
        <f t="shared" si="288"/>
        <v/>
      </c>
      <c r="ABC118" s="100" t="str">
        <f t="shared" si="288"/>
        <v/>
      </c>
      <c r="ABD118" s="100" t="str">
        <f t="shared" si="288"/>
        <v/>
      </c>
      <c r="ABE118" s="100" t="str">
        <f t="shared" si="288"/>
        <v/>
      </c>
      <c r="ABF118" s="100" t="str">
        <f t="shared" si="288"/>
        <v/>
      </c>
      <c r="ABG118" s="100" t="str">
        <f t="shared" si="288"/>
        <v/>
      </c>
      <c r="ABH118" s="100" t="str">
        <f t="shared" si="288"/>
        <v/>
      </c>
      <c r="ABI118" s="100" t="str">
        <f t="shared" si="288"/>
        <v/>
      </c>
      <c r="ABJ118" s="100" t="str">
        <f t="shared" si="288"/>
        <v/>
      </c>
      <c r="ABK118" s="100" t="str">
        <f t="shared" si="288"/>
        <v/>
      </c>
      <c r="ABL118" s="100" t="str">
        <f t="shared" si="288"/>
        <v/>
      </c>
      <c r="ABM118" s="100" t="str">
        <f t="shared" si="288"/>
        <v/>
      </c>
      <c r="ABN118" s="100" t="str">
        <f t="shared" si="288"/>
        <v/>
      </c>
      <c r="ABO118" s="100" t="str">
        <f t="shared" si="288"/>
        <v/>
      </c>
      <c r="ABP118" s="100" t="str">
        <f t="shared" si="288"/>
        <v/>
      </c>
      <c r="ABQ118" s="100" t="str">
        <f t="shared" si="288"/>
        <v/>
      </c>
      <c r="ABR118" s="100" t="str">
        <f t="shared" si="288"/>
        <v/>
      </c>
      <c r="ABS118" s="100" t="str">
        <f t="shared" si="288"/>
        <v/>
      </c>
      <c r="ABT118" s="100" t="str">
        <f t="shared" si="288"/>
        <v/>
      </c>
      <c r="ABU118" s="100" t="str">
        <f t="shared" si="288"/>
        <v/>
      </c>
      <c r="ABV118" s="100" t="str">
        <f t="shared" si="288"/>
        <v/>
      </c>
      <c r="ABW118" s="100" t="str">
        <f t="shared" si="288"/>
        <v/>
      </c>
      <c r="ABX118" s="100" t="str">
        <f t="shared" si="288"/>
        <v/>
      </c>
      <c r="ABY118" s="100" t="str">
        <f t="shared" si="288"/>
        <v/>
      </c>
      <c r="ABZ118" s="100" t="str">
        <f t="shared" si="288"/>
        <v/>
      </c>
      <c r="ACA118" s="100" t="str">
        <f t="shared" si="288"/>
        <v/>
      </c>
      <c r="ACB118" s="100" t="str">
        <f t="shared" si="288"/>
        <v/>
      </c>
      <c r="ACC118" s="100" t="str">
        <f t="shared" si="288"/>
        <v/>
      </c>
      <c r="ACD118" s="100" t="str">
        <f t="shared" si="288"/>
        <v/>
      </c>
      <c r="ACE118" s="100" t="str">
        <f t="shared" si="288"/>
        <v/>
      </c>
      <c r="ACF118" s="100" t="str">
        <f t="shared" si="288"/>
        <v/>
      </c>
      <c r="ACG118" s="100" t="str">
        <f t="shared" si="288"/>
        <v/>
      </c>
      <c r="ACH118" s="100" t="str">
        <f t="shared" si="288"/>
        <v/>
      </c>
      <c r="ACI118" s="100" t="str">
        <f t="shared" si="288"/>
        <v/>
      </c>
      <c r="ACJ118" s="100" t="str">
        <f t="shared" si="288"/>
        <v/>
      </c>
      <c r="ACK118" s="100" t="str">
        <f t="shared" si="288"/>
        <v/>
      </c>
      <c r="ACL118" s="100" t="str">
        <f t="shared" si="288"/>
        <v/>
      </c>
      <c r="ACM118" s="100" t="str">
        <f t="shared" si="288"/>
        <v/>
      </c>
      <c r="ACN118" s="100" t="str">
        <f t="shared" si="288"/>
        <v/>
      </c>
      <c r="ACO118" s="100" t="str">
        <f t="shared" si="288"/>
        <v/>
      </c>
      <c r="ACP118" s="100" t="str">
        <f t="shared" si="288"/>
        <v/>
      </c>
      <c r="ACQ118" s="100" t="str">
        <f t="shared" si="288"/>
        <v/>
      </c>
      <c r="ACR118" s="100" t="str">
        <f t="shared" si="288"/>
        <v/>
      </c>
      <c r="ACS118" s="100" t="str">
        <f t="shared" ref="ACS118:AFD118" si="289">IFERROR(AVERAGE(ACS6,ACS16,ACS25,ACS34,ACS42,ACS54,ACS62,ACS70,ACS78,ACS86,ACS94,ACS102,ACS110),"")</f>
        <v/>
      </c>
      <c r="ACT118" s="100" t="str">
        <f t="shared" si="289"/>
        <v/>
      </c>
      <c r="ACU118" s="100" t="str">
        <f t="shared" si="289"/>
        <v/>
      </c>
      <c r="ACV118" s="100" t="str">
        <f t="shared" si="289"/>
        <v/>
      </c>
      <c r="ACW118" s="100" t="str">
        <f t="shared" si="289"/>
        <v/>
      </c>
      <c r="ACX118" s="100" t="str">
        <f t="shared" si="289"/>
        <v/>
      </c>
      <c r="ACY118" s="100" t="str">
        <f t="shared" si="289"/>
        <v/>
      </c>
      <c r="ACZ118" s="100" t="str">
        <f t="shared" si="289"/>
        <v/>
      </c>
      <c r="ADA118" s="100" t="str">
        <f t="shared" si="289"/>
        <v/>
      </c>
      <c r="ADB118" s="100" t="str">
        <f t="shared" si="289"/>
        <v/>
      </c>
      <c r="ADC118" s="100" t="str">
        <f t="shared" si="289"/>
        <v/>
      </c>
      <c r="ADD118" s="100" t="str">
        <f t="shared" si="289"/>
        <v/>
      </c>
      <c r="ADE118" s="100" t="str">
        <f t="shared" si="289"/>
        <v/>
      </c>
      <c r="ADF118" s="100" t="str">
        <f t="shared" si="289"/>
        <v/>
      </c>
      <c r="ADG118" s="100" t="str">
        <f t="shared" si="289"/>
        <v/>
      </c>
      <c r="ADH118" s="100" t="str">
        <f t="shared" si="289"/>
        <v/>
      </c>
      <c r="ADI118" s="100" t="str">
        <f t="shared" si="289"/>
        <v/>
      </c>
      <c r="ADJ118" s="100" t="str">
        <f t="shared" si="289"/>
        <v/>
      </c>
      <c r="ADK118" s="100" t="str">
        <f t="shared" si="289"/>
        <v/>
      </c>
      <c r="ADL118" s="100" t="str">
        <f t="shared" si="289"/>
        <v/>
      </c>
      <c r="ADM118" s="100" t="str">
        <f t="shared" si="289"/>
        <v/>
      </c>
      <c r="ADN118" s="100" t="str">
        <f t="shared" si="289"/>
        <v/>
      </c>
      <c r="ADO118" s="100" t="str">
        <f t="shared" si="289"/>
        <v/>
      </c>
      <c r="ADP118" s="100" t="str">
        <f t="shared" si="289"/>
        <v/>
      </c>
      <c r="ADQ118" s="100" t="str">
        <f t="shared" si="289"/>
        <v/>
      </c>
      <c r="ADR118" s="100" t="str">
        <f t="shared" si="289"/>
        <v/>
      </c>
      <c r="ADS118" s="100" t="str">
        <f t="shared" si="289"/>
        <v/>
      </c>
      <c r="ADT118" s="100" t="str">
        <f t="shared" si="289"/>
        <v/>
      </c>
      <c r="ADU118" s="100" t="str">
        <f t="shared" si="289"/>
        <v/>
      </c>
      <c r="ADV118" s="100" t="str">
        <f t="shared" si="289"/>
        <v/>
      </c>
      <c r="ADW118" s="100" t="str">
        <f t="shared" si="289"/>
        <v/>
      </c>
      <c r="ADX118" s="100" t="str">
        <f t="shared" si="289"/>
        <v/>
      </c>
      <c r="ADY118" s="100" t="str">
        <f t="shared" si="289"/>
        <v/>
      </c>
      <c r="ADZ118" s="100" t="str">
        <f t="shared" si="289"/>
        <v/>
      </c>
      <c r="AEA118" s="100" t="str">
        <f t="shared" si="289"/>
        <v/>
      </c>
      <c r="AEB118" s="100" t="str">
        <f t="shared" si="289"/>
        <v/>
      </c>
      <c r="AEC118" s="100" t="str">
        <f t="shared" si="289"/>
        <v/>
      </c>
      <c r="AED118" s="100" t="str">
        <f t="shared" si="289"/>
        <v/>
      </c>
      <c r="AEE118" s="100" t="str">
        <f t="shared" si="289"/>
        <v/>
      </c>
      <c r="AEF118" s="100" t="str">
        <f t="shared" si="289"/>
        <v/>
      </c>
      <c r="AEG118" s="100" t="str">
        <f t="shared" si="289"/>
        <v/>
      </c>
      <c r="AEH118" s="100" t="str">
        <f t="shared" si="289"/>
        <v/>
      </c>
      <c r="AEI118" s="100" t="str">
        <f t="shared" si="289"/>
        <v/>
      </c>
      <c r="AEJ118" s="100" t="str">
        <f t="shared" si="289"/>
        <v/>
      </c>
      <c r="AEK118" s="100" t="str">
        <f t="shared" si="289"/>
        <v/>
      </c>
      <c r="AEL118" s="100" t="str">
        <f t="shared" si="289"/>
        <v/>
      </c>
      <c r="AEM118" s="100" t="str">
        <f t="shared" si="289"/>
        <v/>
      </c>
      <c r="AEN118" s="100" t="str">
        <f t="shared" si="289"/>
        <v/>
      </c>
      <c r="AEO118" s="100" t="str">
        <f t="shared" si="289"/>
        <v/>
      </c>
      <c r="AEP118" s="100" t="str">
        <f t="shared" si="289"/>
        <v/>
      </c>
      <c r="AEQ118" s="100" t="str">
        <f t="shared" si="289"/>
        <v/>
      </c>
      <c r="AER118" s="100" t="str">
        <f t="shared" si="289"/>
        <v/>
      </c>
      <c r="AES118" s="100" t="str">
        <f t="shared" si="289"/>
        <v/>
      </c>
      <c r="AET118" s="100" t="str">
        <f t="shared" si="289"/>
        <v/>
      </c>
      <c r="AEU118" s="100" t="str">
        <f t="shared" si="289"/>
        <v/>
      </c>
      <c r="AEV118" s="100" t="str">
        <f t="shared" si="289"/>
        <v/>
      </c>
      <c r="AEW118" s="100" t="str">
        <f t="shared" si="289"/>
        <v/>
      </c>
      <c r="AEX118" s="100" t="str">
        <f t="shared" si="289"/>
        <v/>
      </c>
      <c r="AEY118" s="100" t="str">
        <f t="shared" si="289"/>
        <v/>
      </c>
      <c r="AEZ118" s="100" t="str">
        <f t="shared" si="289"/>
        <v/>
      </c>
      <c r="AFA118" s="100" t="str">
        <f t="shared" si="289"/>
        <v/>
      </c>
      <c r="AFB118" s="100" t="str">
        <f t="shared" si="289"/>
        <v/>
      </c>
      <c r="AFC118" s="100" t="str">
        <f t="shared" si="289"/>
        <v/>
      </c>
      <c r="AFD118" s="100" t="str">
        <f t="shared" si="289"/>
        <v/>
      </c>
      <c r="AFE118" s="100" t="str">
        <f t="shared" ref="AFE118:AHP118" si="290">IFERROR(AVERAGE(AFE6,AFE16,AFE25,AFE34,AFE42,AFE54,AFE62,AFE70,AFE78,AFE86,AFE94,AFE102,AFE110),"")</f>
        <v/>
      </c>
      <c r="AFF118" s="100" t="str">
        <f t="shared" si="290"/>
        <v/>
      </c>
      <c r="AFG118" s="100" t="str">
        <f t="shared" si="290"/>
        <v/>
      </c>
      <c r="AFH118" s="100" t="str">
        <f t="shared" si="290"/>
        <v/>
      </c>
      <c r="AFI118" s="100" t="str">
        <f t="shared" si="290"/>
        <v/>
      </c>
      <c r="AFJ118" s="100" t="str">
        <f t="shared" si="290"/>
        <v/>
      </c>
      <c r="AFK118" s="100" t="str">
        <f t="shared" si="290"/>
        <v/>
      </c>
      <c r="AFL118" s="100" t="str">
        <f t="shared" si="290"/>
        <v/>
      </c>
      <c r="AFM118" s="100" t="str">
        <f t="shared" si="290"/>
        <v/>
      </c>
      <c r="AFN118" s="100" t="str">
        <f t="shared" si="290"/>
        <v/>
      </c>
      <c r="AFO118" s="100" t="str">
        <f t="shared" si="290"/>
        <v/>
      </c>
      <c r="AFP118" s="100" t="str">
        <f t="shared" si="290"/>
        <v/>
      </c>
      <c r="AFQ118" s="100" t="str">
        <f t="shared" si="290"/>
        <v/>
      </c>
      <c r="AFR118" s="100" t="str">
        <f t="shared" si="290"/>
        <v/>
      </c>
      <c r="AFS118" s="100" t="str">
        <f t="shared" si="290"/>
        <v/>
      </c>
      <c r="AFT118" s="100" t="str">
        <f t="shared" si="290"/>
        <v/>
      </c>
      <c r="AFU118" s="100" t="str">
        <f t="shared" si="290"/>
        <v/>
      </c>
      <c r="AFV118" s="100" t="str">
        <f t="shared" si="290"/>
        <v/>
      </c>
      <c r="AFW118" s="100" t="str">
        <f t="shared" si="290"/>
        <v/>
      </c>
      <c r="AFX118" s="100" t="str">
        <f t="shared" si="290"/>
        <v/>
      </c>
      <c r="AFY118" s="100" t="str">
        <f t="shared" si="290"/>
        <v/>
      </c>
      <c r="AFZ118" s="100" t="str">
        <f t="shared" si="290"/>
        <v/>
      </c>
      <c r="AGA118" s="100" t="str">
        <f t="shared" si="290"/>
        <v/>
      </c>
      <c r="AGB118" s="100" t="str">
        <f t="shared" si="290"/>
        <v/>
      </c>
      <c r="AGC118" s="100" t="str">
        <f t="shared" si="290"/>
        <v/>
      </c>
      <c r="AGD118" s="100" t="str">
        <f t="shared" si="290"/>
        <v/>
      </c>
      <c r="AGE118" s="100" t="str">
        <f t="shared" si="290"/>
        <v/>
      </c>
      <c r="AGF118" s="100" t="str">
        <f t="shared" si="290"/>
        <v/>
      </c>
      <c r="AGG118" s="100" t="str">
        <f t="shared" si="290"/>
        <v/>
      </c>
      <c r="AGH118" s="100" t="str">
        <f t="shared" si="290"/>
        <v/>
      </c>
      <c r="AGI118" s="100" t="str">
        <f t="shared" si="290"/>
        <v/>
      </c>
      <c r="AGJ118" s="100" t="str">
        <f t="shared" si="290"/>
        <v/>
      </c>
      <c r="AGK118" s="100" t="str">
        <f t="shared" si="290"/>
        <v/>
      </c>
      <c r="AGL118" s="100" t="str">
        <f t="shared" si="290"/>
        <v/>
      </c>
      <c r="AGM118" s="100" t="str">
        <f t="shared" si="290"/>
        <v/>
      </c>
      <c r="AGN118" s="100" t="str">
        <f t="shared" si="290"/>
        <v/>
      </c>
      <c r="AGO118" s="100" t="str">
        <f t="shared" si="290"/>
        <v/>
      </c>
      <c r="AGP118" s="100" t="str">
        <f t="shared" si="290"/>
        <v/>
      </c>
      <c r="AGQ118" s="100" t="str">
        <f t="shared" si="290"/>
        <v/>
      </c>
      <c r="AGR118" s="100" t="str">
        <f t="shared" si="290"/>
        <v/>
      </c>
      <c r="AGS118" s="100" t="str">
        <f t="shared" si="290"/>
        <v/>
      </c>
      <c r="AGT118" s="100" t="str">
        <f t="shared" si="290"/>
        <v/>
      </c>
      <c r="AGU118" s="100" t="str">
        <f t="shared" si="290"/>
        <v/>
      </c>
      <c r="AGV118" s="100" t="str">
        <f t="shared" si="290"/>
        <v/>
      </c>
      <c r="AGW118" s="100" t="str">
        <f t="shared" si="290"/>
        <v/>
      </c>
      <c r="AGX118" s="100" t="str">
        <f t="shared" si="290"/>
        <v/>
      </c>
      <c r="AGY118" s="100" t="str">
        <f t="shared" si="290"/>
        <v/>
      </c>
      <c r="AGZ118" s="100" t="str">
        <f t="shared" si="290"/>
        <v/>
      </c>
      <c r="AHA118" s="100" t="str">
        <f t="shared" si="290"/>
        <v/>
      </c>
      <c r="AHB118" s="100" t="str">
        <f t="shared" si="290"/>
        <v/>
      </c>
      <c r="AHC118" s="100" t="str">
        <f t="shared" si="290"/>
        <v/>
      </c>
      <c r="AHD118" s="100" t="str">
        <f t="shared" si="290"/>
        <v/>
      </c>
      <c r="AHE118" s="100" t="str">
        <f t="shared" si="290"/>
        <v/>
      </c>
      <c r="AHF118" s="100" t="str">
        <f t="shared" si="290"/>
        <v/>
      </c>
      <c r="AHG118" s="100" t="str">
        <f t="shared" si="290"/>
        <v/>
      </c>
      <c r="AHH118" s="100" t="str">
        <f t="shared" si="290"/>
        <v/>
      </c>
      <c r="AHI118" s="100" t="str">
        <f t="shared" si="290"/>
        <v/>
      </c>
      <c r="AHJ118" s="100" t="str">
        <f t="shared" si="290"/>
        <v/>
      </c>
      <c r="AHK118" s="100" t="str">
        <f t="shared" si="290"/>
        <v/>
      </c>
      <c r="AHL118" s="100" t="str">
        <f t="shared" si="290"/>
        <v/>
      </c>
      <c r="AHM118" s="100" t="str">
        <f t="shared" si="290"/>
        <v/>
      </c>
      <c r="AHN118" s="100" t="str">
        <f t="shared" si="290"/>
        <v/>
      </c>
      <c r="AHO118" s="100" t="str">
        <f t="shared" si="290"/>
        <v/>
      </c>
      <c r="AHP118" s="100" t="str">
        <f t="shared" si="290"/>
        <v/>
      </c>
      <c r="AHQ118" s="100" t="str">
        <f t="shared" ref="AHQ118:AKB118" si="291">IFERROR(AVERAGE(AHQ6,AHQ16,AHQ25,AHQ34,AHQ42,AHQ54,AHQ62,AHQ70,AHQ78,AHQ86,AHQ94,AHQ102,AHQ110),"")</f>
        <v/>
      </c>
      <c r="AHR118" s="100" t="str">
        <f t="shared" si="291"/>
        <v/>
      </c>
      <c r="AHS118" s="100" t="str">
        <f t="shared" si="291"/>
        <v/>
      </c>
      <c r="AHT118" s="100" t="str">
        <f t="shared" si="291"/>
        <v/>
      </c>
      <c r="AHU118" s="100" t="str">
        <f t="shared" si="291"/>
        <v/>
      </c>
      <c r="AHV118" s="100" t="str">
        <f t="shared" si="291"/>
        <v/>
      </c>
      <c r="AHW118" s="100" t="str">
        <f t="shared" si="291"/>
        <v/>
      </c>
      <c r="AHX118" s="100" t="str">
        <f t="shared" si="291"/>
        <v/>
      </c>
      <c r="AHY118" s="100" t="str">
        <f t="shared" si="291"/>
        <v/>
      </c>
      <c r="AHZ118" s="100" t="str">
        <f t="shared" si="291"/>
        <v/>
      </c>
      <c r="AIA118" s="100" t="str">
        <f t="shared" si="291"/>
        <v/>
      </c>
      <c r="AIB118" s="100" t="str">
        <f t="shared" si="291"/>
        <v/>
      </c>
      <c r="AIC118" s="100" t="str">
        <f t="shared" si="291"/>
        <v/>
      </c>
      <c r="AID118" s="100" t="str">
        <f t="shared" si="291"/>
        <v/>
      </c>
      <c r="AIE118" s="100" t="str">
        <f t="shared" si="291"/>
        <v/>
      </c>
      <c r="AIF118" s="100" t="str">
        <f t="shared" si="291"/>
        <v/>
      </c>
      <c r="AIG118" s="100" t="str">
        <f t="shared" si="291"/>
        <v/>
      </c>
      <c r="AIH118" s="100" t="str">
        <f t="shared" si="291"/>
        <v/>
      </c>
      <c r="AII118" s="100" t="str">
        <f t="shared" si="291"/>
        <v/>
      </c>
      <c r="AIJ118" s="100" t="str">
        <f t="shared" si="291"/>
        <v/>
      </c>
      <c r="AIK118" s="100" t="str">
        <f t="shared" si="291"/>
        <v/>
      </c>
      <c r="AIL118" s="100" t="str">
        <f t="shared" si="291"/>
        <v/>
      </c>
      <c r="AIM118" s="100" t="str">
        <f t="shared" si="291"/>
        <v/>
      </c>
      <c r="AIN118" s="100" t="str">
        <f t="shared" si="291"/>
        <v/>
      </c>
      <c r="AIO118" s="100" t="str">
        <f t="shared" si="291"/>
        <v/>
      </c>
      <c r="AIP118" s="100" t="str">
        <f t="shared" si="291"/>
        <v/>
      </c>
      <c r="AIQ118" s="100" t="str">
        <f t="shared" si="291"/>
        <v/>
      </c>
      <c r="AIR118" s="100" t="str">
        <f t="shared" si="291"/>
        <v/>
      </c>
      <c r="AIS118" s="100" t="str">
        <f t="shared" si="291"/>
        <v/>
      </c>
      <c r="AIT118" s="100" t="str">
        <f t="shared" si="291"/>
        <v/>
      </c>
      <c r="AIU118" s="100" t="str">
        <f t="shared" si="291"/>
        <v/>
      </c>
      <c r="AIV118" s="100" t="str">
        <f t="shared" si="291"/>
        <v/>
      </c>
      <c r="AIW118" s="100" t="str">
        <f t="shared" si="291"/>
        <v/>
      </c>
      <c r="AIX118" s="100" t="str">
        <f t="shared" si="291"/>
        <v/>
      </c>
      <c r="AIY118" s="100" t="str">
        <f t="shared" si="291"/>
        <v/>
      </c>
      <c r="AIZ118" s="100" t="str">
        <f t="shared" si="291"/>
        <v/>
      </c>
      <c r="AJA118" s="100" t="str">
        <f t="shared" si="291"/>
        <v/>
      </c>
      <c r="AJB118" s="100" t="str">
        <f t="shared" si="291"/>
        <v/>
      </c>
      <c r="AJC118" s="100" t="str">
        <f t="shared" si="291"/>
        <v/>
      </c>
      <c r="AJD118" s="100" t="str">
        <f t="shared" si="291"/>
        <v/>
      </c>
      <c r="AJE118" s="100" t="str">
        <f t="shared" si="291"/>
        <v/>
      </c>
      <c r="AJF118" s="100" t="str">
        <f t="shared" si="291"/>
        <v/>
      </c>
      <c r="AJG118" s="100" t="str">
        <f t="shared" si="291"/>
        <v/>
      </c>
      <c r="AJH118" s="100" t="str">
        <f t="shared" si="291"/>
        <v/>
      </c>
      <c r="AJI118" s="100" t="str">
        <f t="shared" si="291"/>
        <v/>
      </c>
      <c r="AJJ118" s="100" t="str">
        <f t="shared" si="291"/>
        <v/>
      </c>
      <c r="AJK118" s="100" t="str">
        <f t="shared" si="291"/>
        <v/>
      </c>
      <c r="AJL118" s="100" t="str">
        <f t="shared" si="291"/>
        <v/>
      </c>
      <c r="AJM118" s="100" t="str">
        <f t="shared" si="291"/>
        <v/>
      </c>
      <c r="AJN118" s="100" t="str">
        <f t="shared" si="291"/>
        <v/>
      </c>
      <c r="AJO118" s="100" t="str">
        <f t="shared" si="291"/>
        <v/>
      </c>
      <c r="AJP118" s="100" t="str">
        <f t="shared" si="291"/>
        <v/>
      </c>
      <c r="AJQ118" s="100" t="str">
        <f t="shared" si="291"/>
        <v/>
      </c>
      <c r="AJR118" s="100" t="str">
        <f t="shared" si="291"/>
        <v/>
      </c>
      <c r="AJS118" s="100" t="str">
        <f t="shared" si="291"/>
        <v/>
      </c>
      <c r="AJT118" s="100" t="str">
        <f t="shared" si="291"/>
        <v/>
      </c>
      <c r="AJU118" s="100" t="str">
        <f t="shared" si="291"/>
        <v/>
      </c>
      <c r="AJV118" s="100" t="str">
        <f t="shared" si="291"/>
        <v/>
      </c>
      <c r="AJW118" s="100" t="str">
        <f t="shared" si="291"/>
        <v/>
      </c>
      <c r="AJX118" s="100" t="str">
        <f t="shared" si="291"/>
        <v/>
      </c>
      <c r="AJY118" s="100" t="str">
        <f t="shared" si="291"/>
        <v/>
      </c>
      <c r="AJZ118" s="100" t="str">
        <f t="shared" si="291"/>
        <v/>
      </c>
      <c r="AKA118" s="100" t="str">
        <f t="shared" si="291"/>
        <v/>
      </c>
      <c r="AKB118" s="100" t="str">
        <f t="shared" si="291"/>
        <v/>
      </c>
      <c r="AKC118" s="100" t="str">
        <f t="shared" ref="AKC118:AMN118" si="292">IFERROR(AVERAGE(AKC6,AKC16,AKC25,AKC34,AKC42,AKC54,AKC62,AKC70,AKC78,AKC86,AKC94,AKC102,AKC110),"")</f>
        <v/>
      </c>
      <c r="AKD118" s="100" t="str">
        <f t="shared" si="292"/>
        <v/>
      </c>
      <c r="AKE118" s="100" t="str">
        <f t="shared" si="292"/>
        <v/>
      </c>
      <c r="AKF118" s="100" t="str">
        <f t="shared" si="292"/>
        <v/>
      </c>
      <c r="AKG118" s="100" t="str">
        <f t="shared" si="292"/>
        <v/>
      </c>
      <c r="AKH118" s="100" t="str">
        <f t="shared" si="292"/>
        <v/>
      </c>
      <c r="AKI118" s="100" t="str">
        <f t="shared" si="292"/>
        <v/>
      </c>
      <c r="AKJ118" s="100" t="str">
        <f t="shared" si="292"/>
        <v/>
      </c>
      <c r="AKK118" s="100" t="str">
        <f t="shared" si="292"/>
        <v/>
      </c>
      <c r="AKL118" s="100" t="str">
        <f t="shared" si="292"/>
        <v/>
      </c>
      <c r="AKM118" s="100" t="str">
        <f t="shared" si="292"/>
        <v/>
      </c>
      <c r="AKN118" s="100" t="str">
        <f t="shared" si="292"/>
        <v/>
      </c>
      <c r="AKO118" s="100" t="str">
        <f t="shared" si="292"/>
        <v/>
      </c>
      <c r="AKP118" s="100" t="str">
        <f t="shared" si="292"/>
        <v/>
      </c>
      <c r="AKQ118" s="100" t="str">
        <f t="shared" si="292"/>
        <v/>
      </c>
      <c r="AKR118" s="100" t="str">
        <f t="shared" si="292"/>
        <v/>
      </c>
      <c r="AKS118" s="100" t="str">
        <f t="shared" si="292"/>
        <v/>
      </c>
      <c r="AKT118" s="100" t="str">
        <f t="shared" si="292"/>
        <v/>
      </c>
      <c r="AKU118" s="100" t="str">
        <f t="shared" si="292"/>
        <v/>
      </c>
      <c r="AKV118" s="100" t="str">
        <f t="shared" si="292"/>
        <v/>
      </c>
      <c r="AKW118" s="100" t="str">
        <f t="shared" si="292"/>
        <v/>
      </c>
      <c r="AKX118" s="100" t="str">
        <f t="shared" si="292"/>
        <v/>
      </c>
      <c r="AKY118" s="100" t="str">
        <f t="shared" si="292"/>
        <v/>
      </c>
      <c r="AKZ118" s="100" t="str">
        <f t="shared" si="292"/>
        <v/>
      </c>
      <c r="ALA118" s="100" t="str">
        <f t="shared" si="292"/>
        <v/>
      </c>
      <c r="ALB118" s="100" t="str">
        <f t="shared" si="292"/>
        <v/>
      </c>
      <c r="ALC118" s="100" t="str">
        <f t="shared" si="292"/>
        <v/>
      </c>
      <c r="ALD118" s="100" t="str">
        <f t="shared" si="292"/>
        <v/>
      </c>
      <c r="ALE118" s="100" t="str">
        <f t="shared" si="292"/>
        <v/>
      </c>
      <c r="ALF118" s="100" t="str">
        <f t="shared" si="292"/>
        <v/>
      </c>
      <c r="ALG118" s="100" t="str">
        <f t="shared" si="292"/>
        <v/>
      </c>
      <c r="ALH118" s="100" t="str">
        <f t="shared" si="292"/>
        <v/>
      </c>
      <c r="ALI118" s="100" t="str">
        <f t="shared" si="292"/>
        <v/>
      </c>
      <c r="ALJ118" s="100" t="str">
        <f t="shared" si="292"/>
        <v/>
      </c>
      <c r="ALK118" s="100" t="str">
        <f t="shared" si="292"/>
        <v/>
      </c>
      <c r="ALL118" s="100" t="str">
        <f t="shared" si="292"/>
        <v/>
      </c>
      <c r="ALM118" s="100" t="str">
        <f t="shared" si="292"/>
        <v/>
      </c>
      <c r="ALN118" s="100" t="str">
        <f t="shared" si="292"/>
        <v/>
      </c>
      <c r="ALO118" s="100" t="str">
        <f t="shared" si="292"/>
        <v/>
      </c>
      <c r="ALP118" s="100" t="str">
        <f t="shared" si="292"/>
        <v/>
      </c>
      <c r="ALQ118" s="100" t="str">
        <f t="shared" si="292"/>
        <v/>
      </c>
      <c r="ALR118" s="100" t="str">
        <f t="shared" si="292"/>
        <v/>
      </c>
      <c r="ALS118" s="100" t="str">
        <f t="shared" si="292"/>
        <v/>
      </c>
      <c r="ALT118" s="100" t="str">
        <f t="shared" si="292"/>
        <v/>
      </c>
      <c r="ALU118" s="100" t="str">
        <f t="shared" si="292"/>
        <v/>
      </c>
      <c r="ALV118" s="100" t="str">
        <f t="shared" si="292"/>
        <v/>
      </c>
      <c r="ALW118" s="100" t="str">
        <f t="shared" si="292"/>
        <v/>
      </c>
      <c r="ALX118" s="100" t="str">
        <f t="shared" si="292"/>
        <v/>
      </c>
      <c r="ALY118" s="100" t="str">
        <f t="shared" si="292"/>
        <v/>
      </c>
      <c r="ALZ118" s="100" t="str">
        <f t="shared" si="292"/>
        <v/>
      </c>
      <c r="AMA118" s="100" t="str">
        <f t="shared" si="292"/>
        <v/>
      </c>
      <c r="AMB118" s="100" t="str">
        <f t="shared" si="292"/>
        <v/>
      </c>
      <c r="AMC118" s="100" t="str">
        <f t="shared" si="292"/>
        <v/>
      </c>
      <c r="AMD118" s="100" t="str">
        <f t="shared" si="292"/>
        <v/>
      </c>
      <c r="AME118" s="100" t="str">
        <f t="shared" si="292"/>
        <v/>
      </c>
      <c r="AMF118" s="100" t="str">
        <f t="shared" si="292"/>
        <v/>
      </c>
      <c r="AMG118" s="100" t="str">
        <f t="shared" si="292"/>
        <v/>
      </c>
      <c r="AMH118" s="100" t="str">
        <f t="shared" si="292"/>
        <v/>
      </c>
      <c r="AMI118" s="100" t="str">
        <f t="shared" si="292"/>
        <v/>
      </c>
      <c r="AMJ118" s="100" t="str">
        <f t="shared" si="292"/>
        <v/>
      </c>
      <c r="AMK118" s="100" t="str">
        <f t="shared" si="292"/>
        <v/>
      </c>
      <c r="AML118" s="100" t="str">
        <f t="shared" si="292"/>
        <v/>
      </c>
      <c r="AMM118" s="100" t="str">
        <f t="shared" si="292"/>
        <v/>
      </c>
      <c r="AMN118" s="100" t="str">
        <f t="shared" si="292"/>
        <v/>
      </c>
      <c r="AMO118" s="100" t="str">
        <f t="shared" ref="AMO118:AOZ118" si="293">IFERROR(AVERAGE(AMO6,AMO16,AMO25,AMO34,AMO42,AMO54,AMO62,AMO70,AMO78,AMO86,AMO94,AMO102,AMO110),"")</f>
        <v/>
      </c>
      <c r="AMP118" s="100" t="str">
        <f t="shared" si="293"/>
        <v/>
      </c>
      <c r="AMQ118" s="100" t="str">
        <f t="shared" si="293"/>
        <v/>
      </c>
      <c r="AMR118" s="100" t="str">
        <f t="shared" si="293"/>
        <v/>
      </c>
      <c r="AMS118" s="100" t="str">
        <f t="shared" si="293"/>
        <v/>
      </c>
      <c r="AMT118" s="100" t="str">
        <f t="shared" si="293"/>
        <v/>
      </c>
      <c r="AMU118" s="100" t="str">
        <f t="shared" si="293"/>
        <v/>
      </c>
      <c r="AMV118" s="100" t="str">
        <f t="shared" si="293"/>
        <v/>
      </c>
      <c r="AMW118" s="100" t="str">
        <f t="shared" si="293"/>
        <v/>
      </c>
      <c r="AMX118" s="100" t="str">
        <f t="shared" si="293"/>
        <v/>
      </c>
      <c r="AMY118" s="100" t="str">
        <f t="shared" si="293"/>
        <v/>
      </c>
      <c r="AMZ118" s="100" t="str">
        <f t="shared" si="293"/>
        <v/>
      </c>
      <c r="ANA118" s="100" t="str">
        <f t="shared" si="293"/>
        <v/>
      </c>
      <c r="ANB118" s="100" t="str">
        <f t="shared" si="293"/>
        <v/>
      </c>
      <c r="ANC118" s="100" t="str">
        <f t="shared" si="293"/>
        <v/>
      </c>
      <c r="AND118" s="100" t="str">
        <f t="shared" si="293"/>
        <v/>
      </c>
      <c r="ANE118" s="100" t="str">
        <f t="shared" si="293"/>
        <v/>
      </c>
      <c r="ANF118" s="100" t="str">
        <f t="shared" si="293"/>
        <v/>
      </c>
      <c r="ANG118" s="100" t="str">
        <f t="shared" si="293"/>
        <v/>
      </c>
      <c r="ANH118" s="100" t="str">
        <f t="shared" si="293"/>
        <v/>
      </c>
      <c r="ANI118" s="100" t="str">
        <f t="shared" si="293"/>
        <v/>
      </c>
      <c r="ANJ118" s="100" t="str">
        <f t="shared" si="293"/>
        <v/>
      </c>
      <c r="ANK118" s="100" t="str">
        <f t="shared" si="293"/>
        <v/>
      </c>
      <c r="ANL118" s="100" t="str">
        <f t="shared" si="293"/>
        <v/>
      </c>
      <c r="ANM118" s="100" t="str">
        <f t="shared" si="293"/>
        <v/>
      </c>
      <c r="ANN118" s="100" t="str">
        <f t="shared" si="293"/>
        <v/>
      </c>
      <c r="ANO118" s="100" t="str">
        <f t="shared" si="293"/>
        <v/>
      </c>
      <c r="ANP118" s="100" t="str">
        <f t="shared" si="293"/>
        <v/>
      </c>
      <c r="ANQ118" s="100" t="str">
        <f t="shared" si="293"/>
        <v/>
      </c>
      <c r="ANR118" s="100" t="str">
        <f t="shared" si="293"/>
        <v/>
      </c>
      <c r="ANS118" s="100" t="str">
        <f t="shared" si="293"/>
        <v/>
      </c>
      <c r="ANT118" s="100" t="str">
        <f t="shared" si="293"/>
        <v/>
      </c>
      <c r="ANU118" s="100" t="str">
        <f t="shared" si="293"/>
        <v/>
      </c>
      <c r="ANV118" s="100" t="str">
        <f t="shared" si="293"/>
        <v/>
      </c>
      <c r="ANW118" s="100" t="str">
        <f t="shared" si="293"/>
        <v/>
      </c>
      <c r="ANX118" s="100" t="str">
        <f t="shared" si="293"/>
        <v/>
      </c>
      <c r="ANY118" s="100" t="str">
        <f t="shared" si="293"/>
        <v/>
      </c>
      <c r="ANZ118" s="100" t="str">
        <f t="shared" si="293"/>
        <v/>
      </c>
      <c r="AOA118" s="100" t="str">
        <f t="shared" si="293"/>
        <v/>
      </c>
      <c r="AOB118" s="100" t="str">
        <f t="shared" si="293"/>
        <v/>
      </c>
      <c r="AOC118" s="100" t="str">
        <f t="shared" si="293"/>
        <v/>
      </c>
      <c r="AOD118" s="100" t="str">
        <f t="shared" si="293"/>
        <v/>
      </c>
      <c r="AOE118" s="100" t="str">
        <f t="shared" si="293"/>
        <v/>
      </c>
      <c r="AOF118" s="100" t="str">
        <f t="shared" si="293"/>
        <v/>
      </c>
      <c r="AOG118" s="100" t="str">
        <f t="shared" si="293"/>
        <v/>
      </c>
      <c r="AOH118" s="100" t="str">
        <f t="shared" si="293"/>
        <v/>
      </c>
      <c r="AOI118" s="100" t="str">
        <f t="shared" si="293"/>
        <v/>
      </c>
      <c r="AOJ118" s="100" t="str">
        <f t="shared" si="293"/>
        <v/>
      </c>
      <c r="AOK118" s="100" t="str">
        <f t="shared" si="293"/>
        <v/>
      </c>
      <c r="AOL118" s="100" t="str">
        <f t="shared" si="293"/>
        <v/>
      </c>
      <c r="AOM118" s="100" t="str">
        <f t="shared" si="293"/>
        <v/>
      </c>
      <c r="AON118" s="100" t="str">
        <f t="shared" si="293"/>
        <v/>
      </c>
      <c r="AOO118" s="100" t="str">
        <f t="shared" si="293"/>
        <v/>
      </c>
      <c r="AOP118" s="100" t="str">
        <f t="shared" si="293"/>
        <v/>
      </c>
      <c r="AOQ118" s="100" t="str">
        <f t="shared" si="293"/>
        <v/>
      </c>
      <c r="AOR118" s="100" t="str">
        <f t="shared" si="293"/>
        <v/>
      </c>
      <c r="AOS118" s="100" t="str">
        <f t="shared" si="293"/>
        <v/>
      </c>
      <c r="AOT118" s="100" t="str">
        <f t="shared" si="293"/>
        <v/>
      </c>
      <c r="AOU118" s="100" t="str">
        <f t="shared" si="293"/>
        <v/>
      </c>
      <c r="AOV118" s="100" t="str">
        <f t="shared" si="293"/>
        <v/>
      </c>
      <c r="AOW118" s="100" t="str">
        <f t="shared" si="293"/>
        <v/>
      </c>
      <c r="AOX118" s="100" t="str">
        <f t="shared" si="293"/>
        <v/>
      </c>
      <c r="AOY118" s="100" t="str">
        <f t="shared" si="293"/>
        <v/>
      </c>
      <c r="AOZ118" s="100" t="str">
        <f t="shared" si="293"/>
        <v/>
      </c>
      <c r="APA118" s="100" t="str">
        <f t="shared" ref="APA118:ARL118" si="294">IFERROR(AVERAGE(APA6,APA16,APA25,APA34,APA42,APA54,APA62,APA70,APA78,APA86,APA94,APA102,APA110),"")</f>
        <v/>
      </c>
      <c r="APB118" s="100" t="str">
        <f t="shared" si="294"/>
        <v/>
      </c>
      <c r="APC118" s="100" t="str">
        <f t="shared" si="294"/>
        <v/>
      </c>
      <c r="APD118" s="100" t="str">
        <f t="shared" si="294"/>
        <v/>
      </c>
      <c r="APE118" s="100" t="str">
        <f t="shared" si="294"/>
        <v/>
      </c>
      <c r="APF118" s="100" t="str">
        <f t="shared" si="294"/>
        <v/>
      </c>
      <c r="APG118" s="100" t="str">
        <f t="shared" si="294"/>
        <v/>
      </c>
      <c r="APH118" s="100" t="str">
        <f t="shared" si="294"/>
        <v/>
      </c>
      <c r="API118" s="100" t="str">
        <f t="shared" si="294"/>
        <v/>
      </c>
      <c r="APJ118" s="100" t="str">
        <f t="shared" si="294"/>
        <v/>
      </c>
      <c r="APK118" s="100" t="str">
        <f t="shared" si="294"/>
        <v/>
      </c>
      <c r="APL118" s="100" t="str">
        <f t="shared" si="294"/>
        <v/>
      </c>
      <c r="APM118" s="100" t="str">
        <f t="shared" si="294"/>
        <v/>
      </c>
      <c r="APN118" s="100" t="str">
        <f t="shared" si="294"/>
        <v/>
      </c>
      <c r="APO118" s="100" t="str">
        <f t="shared" si="294"/>
        <v/>
      </c>
      <c r="APP118" s="100" t="str">
        <f t="shared" si="294"/>
        <v/>
      </c>
      <c r="APQ118" s="100" t="str">
        <f t="shared" si="294"/>
        <v/>
      </c>
      <c r="APR118" s="100" t="str">
        <f t="shared" si="294"/>
        <v/>
      </c>
      <c r="APS118" s="100" t="str">
        <f t="shared" si="294"/>
        <v/>
      </c>
      <c r="APT118" s="100" t="str">
        <f t="shared" si="294"/>
        <v/>
      </c>
      <c r="APU118" s="100" t="str">
        <f t="shared" si="294"/>
        <v/>
      </c>
      <c r="APV118" s="100" t="str">
        <f t="shared" si="294"/>
        <v/>
      </c>
      <c r="APW118" s="100" t="str">
        <f t="shared" si="294"/>
        <v/>
      </c>
      <c r="APX118" s="100" t="str">
        <f t="shared" si="294"/>
        <v/>
      </c>
      <c r="APY118" s="100" t="str">
        <f t="shared" si="294"/>
        <v/>
      </c>
      <c r="APZ118" s="100" t="str">
        <f t="shared" si="294"/>
        <v/>
      </c>
      <c r="AQA118" s="100" t="str">
        <f t="shared" si="294"/>
        <v/>
      </c>
      <c r="AQB118" s="100" t="str">
        <f t="shared" si="294"/>
        <v/>
      </c>
      <c r="AQC118" s="100" t="str">
        <f t="shared" si="294"/>
        <v/>
      </c>
      <c r="AQD118" s="100" t="str">
        <f t="shared" si="294"/>
        <v/>
      </c>
      <c r="AQE118" s="100" t="str">
        <f t="shared" si="294"/>
        <v/>
      </c>
      <c r="AQF118" s="100" t="str">
        <f t="shared" si="294"/>
        <v/>
      </c>
      <c r="AQG118" s="100" t="str">
        <f t="shared" si="294"/>
        <v/>
      </c>
      <c r="AQH118" s="100" t="str">
        <f t="shared" si="294"/>
        <v/>
      </c>
      <c r="AQI118" s="100" t="str">
        <f t="shared" si="294"/>
        <v/>
      </c>
      <c r="AQJ118" s="100" t="str">
        <f t="shared" si="294"/>
        <v/>
      </c>
      <c r="AQK118" s="100" t="str">
        <f t="shared" si="294"/>
        <v/>
      </c>
      <c r="AQL118" s="100" t="str">
        <f t="shared" si="294"/>
        <v/>
      </c>
      <c r="AQM118" s="100" t="str">
        <f t="shared" si="294"/>
        <v/>
      </c>
      <c r="AQN118" s="100" t="str">
        <f t="shared" si="294"/>
        <v/>
      </c>
      <c r="AQO118" s="100" t="str">
        <f t="shared" si="294"/>
        <v/>
      </c>
      <c r="AQP118" s="100" t="str">
        <f t="shared" si="294"/>
        <v/>
      </c>
      <c r="AQQ118" s="100" t="str">
        <f t="shared" si="294"/>
        <v/>
      </c>
      <c r="AQR118" s="100" t="str">
        <f t="shared" si="294"/>
        <v/>
      </c>
      <c r="AQS118" s="100" t="str">
        <f t="shared" si="294"/>
        <v/>
      </c>
      <c r="AQT118" s="100" t="str">
        <f t="shared" si="294"/>
        <v/>
      </c>
      <c r="AQU118" s="100" t="str">
        <f t="shared" si="294"/>
        <v/>
      </c>
      <c r="AQV118" s="100" t="str">
        <f t="shared" si="294"/>
        <v/>
      </c>
      <c r="AQW118" s="100" t="str">
        <f t="shared" si="294"/>
        <v/>
      </c>
      <c r="AQX118" s="100" t="str">
        <f t="shared" si="294"/>
        <v/>
      </c>
      <c r="AQY118" s="100" t="str">
        <f t="shared" si="294"/>
        <v/>
      </c>
      <c r="AQZ118" s="100" t="str">
        <f t="shared" si="294"/>
        <v/>
      </c>
      <c r="ARA118" s="100" t="str">
        <f t="shared" si="294"/>
        <v/>
      </c>
      <c r="ARB118" s="100" t="str">
        <f t="shared" si="294"/>
        <v/>
      </c>
      <c r="ARC118" s="100" t="str">
        <f t="shared" si="294"/>
        <v/>
      </c>
      <c r="ARD118" s="100" t="str">
        <f t="shared" si="294"/>
        <v/>
      </c>
      <c r="ARE118" s="100" t="str">
        <f t="shared" si="294"/>
        <v/>
      </c>
      <c r="ARF118" s="100" t="str">
        <f t="shared" si="294"/>
        <v/>
      </c>
      <c r="ARG118" s="100" t="str">
        <f t="shared" si="294"/>
        <v/>
      </c>
      <c r="ARH118" s="100" t="str">
        <f t="shared" si="294"/>
        <v/>
      </c>
      <c r="ARI118" s="100" t="str">
        <f t="shared" si="294"/>
        <v/>
      </c>
      <c r="ARJ118" s="100" t="str">
        <f t="shared" si="294"/>
        <v/>
      </c>
      <c r="ARK118" s="100" t="str">
        <f t="shared" si="294"/>
        <v/>
      </c>
      <c r="ARL118" s="100" t="str">
        <f t="shared" si="294"/>
        <v/>
      </c>
      <c r="ARM118" s="100" t="str">
        <f t="shared" ref="ARM118:ATX118" si="295">IFERROR(AVERAGE(ARM6,ARM16,ARM25,ARM34,ARM42,ARM54,ARM62,ARM70,ARM78,ARM86,ARM94,ARM102,ARM110),"")</f>
        <v/>
      </c>
      <c r="ARN118" s="100" t="str">
        <f t="shared" si="295"/>
        <v/>
      </c>
      <c r="ARO118" s="100" t="str">
        <f t="shared" si="295"/>
        <v/>
      </c>
      <c r="ARP118" s="100" t="str">
        <f t="shared" si="295"/>
        <v/>
      </c>
      <c r="ARQ118" s="100" t="str">
        <f t="shared" si="295"/>
        <v/>
      </c>
      <c r="ARR118" s="100" t="str">
        <f t="shared" si="295"/>
        <v/>
      </c>
      <c r="ARS118" s="100" t="str">
        <f t="shared" si="295"/>
        <v/>
      </c>
      <c r="ART118" s="100" t="str">
        <f t="shared" si="295"/>
        <v/>
      </c>
      <c r="ARU118" s="100" t="str">
        <f t="shared" si="295"/>
        <v/>
      </c>
      <c r="ARV118" s="100" t="str">
        <f t="shared" si="295"/>
        <v/>
      </c>
      <c r="ARW118" s="100" t="str">
        <f t="shared" si="295"/>
        <v/>
      </c>
      <c r="ARX118" s="100" t="str">
        <f t="shared" si="295"/>
        <v/>
      </c>
      <c r="ARY118" s="100" t="str">
        <f t="shared" si="295"/>
        <v/>
      </c>
      <c r="ARZ118" s="100" t="str">
        <f t="shared" si="295"/>
        <v/>
      </c>
      <c r="ASA118" s="100" t="str">
        <f t="shared" si="295"/>
        <v/>
      </c>
      <c r="ASB118" s="100" t="str">
        <f t="shared" si="295"/>
        <v/>
      </c>
      <c r="ASC118" s="100" t="str">
        <f t="shared" si="295"/>
        <v/>
      </c>
      <c r="ASD118" s="100" t="str">
        <f t="shared" si="295"/>
        <v/>
      </c>
      <c r="ASE118" s="100" t="str">
        <f t="shared" si="295"/>
        <v/>
      </c>
      <c r="ASF118" s="100" t="str">
        <f t="shared" si="295"/>
        <v/>
      </c>
      <c r="ASG118" s="100" t="str">
        <f t="shared" si="295"/>
        <v/>
      </c>
      <c r="ASH118" s="100" t="str">
        <f t="shared" si="295"/>
        <v/>
      </c>
      <c r="ASI118" s="100" t="str">
        <f t="shared" si="295"/>
        <v/>
      </c>
      <c r="ASJ118" s="100" t="str">
        <f t="shared" si="295"/>
        <v/>
      </c>
      <c r="ASK118" s="100" t="str">
        <f t="shared" si="295"/>
        <v/>
      </c>
      <c r="ASL118" s="100" t="str">
        <f t="shared" si="295"/>
        <v/>
      </c>
      <c r="ASM118" s="100" t="str">
        <f t="shared" si="295"/>
        <v/>
      </c>
      <c r="ASN118" s="100" t="str">
        <f t="shared" si="295"/>
        <v/>
      </c>
      <c r="ASO118" s="100" t="str">
        <f t="shared" si="295"/>
        <v/>
      </c>
      <c r="ASP118" s="100" t="str">
        <f t="shared" si="295"/>
        <v/>
      </c>
      <c r="ASQ118" s="100" t="str">
        <f t="shared" si="295"/>
        <v/>
      </c>
      <c r="ASR118" s="100" t="str">
        <f t="shared" si="295"/>
        <v/>
      </c>
      <c r="ASS118" s="100" t="str">
        <f t="shared" si="295"/>
        <v/>
      </c>
      <c r="AST118" s="100" t="str">
        <f t="shared" si="295"/>
        <v/>
      </c>
      <c r="ASU118" s="100" t="str">
        <f t="shared" si="295"/>
        <v/>
      </c>
      <c r="ASV118" s="100" t="str">
        <f t="shared" si="295"/>
        <v/>
      </c>
      <c r="ASW118" s="100" t="str">
        <f t="shared" si="295"/>
        <v/>
      </c>
      <c r="ASX118" s="100" t="str">
        <f t="shared" si="295"/>
        <v/>
      </c>
      <c r="ASY118" s="100" t="str">
        <f t="shared" si="295"/>
        <v/>
      </c>
      <c r="ASZ118" s="100" t="str">
        <f t="shared" si="295"/>
        <v/>
      </c>
      <c r="ATA118" s="100" t="str">
        <f t="shared" si="295"/>
        <v/>
      </c>
      <c r="ATB118" s="100" t="str">
        <f t="shared" si="295"/>
        <v/>
      </c>
      <c r="ATC118" s="100" t="str">
        <f t="shared" si="295"/>
        <v/>
      </c>
      <c r="ATD118" s="100" t="str">
        <f t="shared" si="295"/>
        <v/>
      </c>
      <c r="ATE118" s="100" t="str">
        <f t="shared" si="295"/>
        <v/>
      </c>
      <c r="ATF118" s="100" t="str">
        <f t="shared" si="295"/>
        <v/>
      </c>
      <c r="ATG118" s="100" t="str">
        <f t="shared" si="295"/>
        <v/>
      </c>
      <c r="ATH118" s="100" t="str">
        <f t="shared" si="295"/>
        <v/>
      </c>
      <c r="ATI118" s="100" t="str">
        <f t="shared" si="295"/>
        <v/>
      </c>
      <c r="ATJ118" s="100" t="str">
        <f t="shared" si="295"/>
        <v/>
      </c>
      <c r="ATK118" s="100" t="str">
        <f t="shared" si="295"/>
        <v/>
      </c>
      <c r="ATL118" s="100" t="str">
        <f t="shared" si="295"/>
        <v/>
      </c>
      <c r="ATM118" s="100" t="str">
        <f t="shared" si="295"/>
        <v/>
      </c>
      <c r="ATN118" s="100" t="str">
        <f t="shared" si="295"/>
        <v/>
      </c>
      <c r="ATO118" s="100" t="str">
        <f t="shared" si="295"/>
        <v/>
      </c>
      <c r="ATP118" s="100" t="str">
        <f t="shared" si="295"/>
        <v/>
      </c>
      <c r="ATQ118" s="100" t="str">
        <f t="shared" si="295"/>
        <v/>
      </c>
      <c r="ATR118" s="100" t="str">
        <f t="shared" si="295"/>
        <v/>
      </c>
      <c r="ATS118" s="100" t="str">
        <f t="shared" si="295"/>
        <v/>
      </c>
      <c r="ATT118" s="100" t="str">
        <f t="shared" si="295"/>
        <v/>
      </c>
      <c r="ATU118" s="100" t="str">
        <f t="shared" si="295"/>
        <v/>
      </c>
      <c r="ATV118" s="100" t="str">
        <f t="shared" si="295"/>
        <v/>
      </c>
      <c r="ATW118" s="100" t="str">
        <f t="shared" si="295"/>
        <v/>
      </c>
      <c r="ATX118" s="100" t="str">
        <f t="shared" si="295"/>
        <v/>
      </c>
      <c r="ATY118" s="100" t="str">
        <f t="shared" ref="ATY118:AWJ118" si="296">IFERROR(AVERAGE(ATY6,ATY16,ATY25,ATY34,ATY42,ATY54,ATY62,ATY70,ATY78,ATY86,ATY94,ATY102,ATY110),"")</f>
        <v/>
      </c>
      <c r="ATZ118" s="100" t="str">
        <f t="shared" si="296"/>
        <v/>
      </c>
      <c r="AUA118" s="100" t="str">
        <f t="shared" si="296"/>
        <v/>
      </c>
      <c r="AUB118" s="100" t="str">
        <f t="shared" si="296"/>
        <v/>
      </c>
      <c r="AUC118" s="100" t="str">
        <f t="shared" si="296"/>
        <v/>
      </c>
      <c r="AUD118" s="100" t="str">
        <f t="shared" si="296"/>
        <v/>
      </c>
      <c r="AUE118" s="100" t="str">
        <f t="shared" si="296"/>
        <v/>
      </c>
      <c r="AUF118" s="100" t="str">
        <f t="shared" si="296"/>
        <v/>
      </c>
      <c r="AUG118" s="100" t="str">
        <f t="shared" si="296"/>
        <v/>
      </c>
      <c r="AUH118" s="100" t="str">
        <f t="shared" si="296"/>
        <v/>
      </c>
      <c r="AUI118" s="100" t="str">
        <f t="shared" si="296"/>
        <v/>
      </c>
      <c r="AUJ118" s="100" t="str">
        <f t="shared" si="296"/>
        <v/>
      </c>
      <c r="AUK118" s="100" t="str">
        <f t="shared" si="296"/>
        <v/>
      </c>
      <c r="AUL118" s="100" t="str">
        <f t="shared" si="296"/>
        <v/>
      </c>
      <c r="AUM118" s="100" t="str">
        <f t="shared" si="296"/>
        <v/>
      </c>
      <c r="AUN118" s="100" t="str">
        <f t="shared" si="296"/>
        <v/>
      </c>
      <c r="AUO118" s="100" t="str">
        <f t="shared" si="296"/>
        <v/>
      </c>
      <c r="AUP118" s="100" t="str">
        <f t="shared" si="296"/>
        <v/>
      </c>
      <c r="AUQ118" s="100" t="str">
        <f t="shared" si="296"/>
        <v/>
      </c>
      <c r="AUR118" s="100" t="str">
        <f t="shared" si="296"/>
        <v/>
      </c>
      <c r="AUS118" s="100" t="str">
        <f t="shared" si="296"/>
        <v/>
      </c>
      <c r="AUT118" s="100" t="str">
        <f t="shared" si="296"/>
        <v/>
      </c>
      <c r="AUU118" s="100" t="str">
        <f t="shared" si="296"/>
        <v/>
      </c>
      <c r="AUV118" s="100" t="str">
        <f t="shared" si="296"/>
        <v/>
      </c>
      <c r="AUW118" s="100" t="str">
        <f t="shared" si="296"/>
        <v/>
      </c>
      <c r="AUX118" s="100" t="str">
        <f t="shared" si="296"/>
        <v/>
      </c>
      <c r="AUY118" s="100" t="str">
        <f t="shared" si="296"/>
        <v/>
      </c>
      <c r="AUZ118" s="100" t="str">
        <f t="shared" si="296"/>
        <v/>
      </c>
      <c r="AVA118" s="100" t="str">
        <f t="shared" si="296"/>
        <v/>
      </c>
      <c r="AVB118" s="100" t="str">
        <f t="shared" si="296"/>
        <v/>
      </c>
      <c r="AVC118" s="100" t="str">
        <f t="shared" si="296"/>
        <v/>
      </c>
      <c r="AVD118" s="100" t="str">
        <f t="shared" si="296"/>
        <v/>
      </c>
      <c r="AVE118" s="100" t="str">
        <f t="shared" si="296"/>
        <v/>
      </c>
      <c r="AVF118" s="100" t="str">
        <f t="shared" si="296"/>
        <v/>
      </c>
      <c r="AVG118" s="100" t="str">
        <f t="shared" si="296"/>
        <v/>
      </c>
      <c r="AVH118" s="100" t="str">
        <f t="shared" si="296"/>
        <v/>
      </c>
      <c r="AVI118" s="100" t="str">
        <f t="shared" si="296"/>
        <v/>
      </c>
      <c r="AVJ118" s="100" t="str">
        <f t="shared" si="296"/>
        <v/>
      </c>
      <c r="AVK118" s="100" t="str">
        <f t="shared" si="296"/>
        <v/>
      </c>
      <c r="AVL118" s="100" t="str">
        <f t="shared" si="296"/>
        <v/>
      </c>
      <c r="AVM118" s="100" t="str">
        <f t="shared" si="296"/>
        <v/>
      </c>
      <c r="AVN118" s="100" t="str">
        <f t="shared" si="296"/>
        <v/>
      </c>
      <c r="AVO118" s="100" t="str">
        <f t="shared" si="296"/>
        <v/>
      </c>
      <c r="AVP118" s="100" t="str">
        <f t="shared" si="296"/>
        <v/>
      </c>
      <c r="AVQ118" s="100" t="str">
        <f t="shared" si="296"/>
        <v/>
      </c>
      <c r="AVR118" s="100" t="str">
        <f t="shared" si="296"/>
        <v/>
      </c>
      <c r="AVS118" s="100" t="str">
        <f t="shared" si="296"/>
        <v/>
      </c>
      <c r="AVT118" s="100" t="str">
        <f t="shared" si="296"/>
        <v/>
      </c>
      <c r="AVU118" s="100" t="str">
        <f t="shared" si="296"/>
        <v/>
      </c>
      <c r="AVV118" s="100" t="str">
        <f t="shared" si="296"/>
        <v/>
      </c>
      <c r="AVW118" s="100" t="str">
        <f t="shared" si="296"/>
        <v/>
      </c>
      <c r="AVX118" s="100" t="str">
        <f t="shared" si="296"/>
        <v/>
      </c>
      <c r="AVY118" s="100" t="str">
        <f t="shared" si="296"/>
        <v/>
      </c>
      <c r="AVZ118" s="100" t="str">
        <f t="shared" si="296"/>
        <v/>
      </c>
      <c r="AWA118" s="100" t="str">
        <f t="shared" si="296"/>
        <v/>
      </c>
      <c r="AWB118" s="100" t="str">
        <f t="shared" si="296"/>
        <v/>
      </c>
      <c r="AWC118" s="100" t="str">
        <f t="shared" si="296"/>
        <v/>
      </c>
      <c r="AWD118" s="100" t="str">
        <f t="shared" si="296"/>
        <v/>
      </c>
      <c r="AWE118" s="100" t="str">
        <f t="shared" si="296"/>
        <v/>
      </c>
      <c r="AWF118" s="100" t="str">
        <f t="shared" si="296"/>
        <v/>
      </c>
      <c r="AWG118" s="100" t="str">
        <f t="shared" si="296"/>
        <v/>
      </c>
      <c r="AWH118" s="100" t="str">
        <f t="shared" si="296"/>
        <v/>
      </c>
      <c r="AWI118" s="100" t="str">
        <f t="shared" si="296"/>
        <v/>
      </c>
      <c r="AWJ118" s="100" t="str">
        <f t="shared" si="296"/>
        <v/>
      </c>
      <c r="AWK118" s="100" t="str">
        <f t="shared" ref="AWK118:AYV118" si="297">IFERROR(AVERAGE(AWK6,AWK16,AWK25,AWK34,AWK42,AWK54,AWK62,AWK70,AWK78,AWK86,AWK94,AWK102,AWK110),"")</f>
        <v/>
      </c>
      <c r="AWL118" s="100" t="str">
        <f t="shared" si="297"/>
        <v/>
      </c>
      <c r="AWM118" s="100" t="str">
        <f t="shared" si="297"/>
        <v/>
      </c>
      <c r="AWN118" s="100" t="str">
        <f t="shared" si="297"/>
        <v/>
      </c>
      <c r="AWO118" s="100" t="str">
        <f t="shared" si="297"/>
        <v/>
      </c>
      <c r="AWP118" s="100" t="str">
        <f t="shared" si="297"/>
        <v/>
      </c>
      <c r="AWQ118" s="100" t="str">
        <f t="shared" si="297"/>
        <v/>
      </c>
      <c r="AWR118" s="100" t="str">
        <f t="shared" si="297"/>
        <v/>
      </c>
      <c r="AWS118" s="100" t="str">
        <f t="shared" si="297"/>
        <v/>
      </c>
      <c r="AWT118" s="100" t="str">
        <f t="shared" si="297"/>
        <v/>
      </c>
      <c r="AWU118" s="100" t="str">
        <f t="shared" si="297"/>
        <v/>
      </c>
      <c r="AWV118" s="100" t="str">
        <f t="shared" si="297"/>
        <v/>
      </c>
      <c r="AWW118" s="100" t="str">
        <f t="shared" si="297"/>
        <v/>
      </c>
      <c r="AWX118" s="100" t="str">
        <f t="shared" si="297"/>
        <v/>
      </c>
      <c r="AWY118" s="100" t="str">
        <f t="shared" si="297"/>
        <v/>
      </c>
      <c r="AWZ118" s="100" t="str">
        <f t="shared" si="297"/>
        <v/>
      </c>
      <c r="AXA118" s="100" t="str">
        <f t="shared" si="297"/>
        <v/>
      </c>
      <c r="AXB118" s="100" t="str">
        <f t="shared" si="297"/>
        <v/>
      </c>
      <c r="AXC118" s="100" t="str">
        <f t="shared" si="297"/>
        <v/>
      </c>
      <c r="AXD118" s="100" t="str">
        <f t="shared" si="297"/>
        <v/>
      </c>
      <c r="AXE118" s="100" t="str">
        <f t="shared" si="297"/>
        <v/>
      </c>
      <c r="AXF118" s="100" t="str">
        <f t="shared" si="297"/>
        <v/>
      </c>
      <c r="AXG118" s="100" t="str">
        <f t="shared" si="297"/>
        <v/>
      </c>
      <c r="AXH118" s="100" t="str">
        <f t="shared" si="297"/>
        <v/>
      </c>
      <c r="AXI118" s="100" t="str">
        <f t="shared" si="297"/>
        <v/>
      </c>
      <c r="AXJ118" s="100" t="str">
        <f t="shared" si="297"/>
        <v/>
      </c>
      <c r="AXK118" s="100" t="str">
        <f t="shared" si="297"/>
        <v/>
      </c>
      <c r="AXL118" s="100" t="str">
        <f t="shared" si="297"/>
        <v/>
      </c>
      <c r="AXM118" s="100" t="str">
        <f t="shared" si="297"/>
        <v/>
      </c>
      <c r="AXN118" s="100" t="str">
        <f t="shared" si="297"/>
        <v/>
      </c>
      <c r="AXO118" s="100" t="str">
        <f t="shared" si="297"/>
        <v/>
      </c>
      <c r="AXP118" s="100" t="str">
        <f t="shared" si="297"/>
        <v/>
      </c>
      <c r="AXQ118" s="100" t="str">
        <f t="shared" si="297"/>
        <v/>
      </c>
      <c r="AXR118" s="100" t="str">
        <f t="shared" si="297"/>
        <v/>
      </c>
      <c r="AXS118" s="100" t="str">
        <f t="shared" si="297"/>
        <v/>
      </c>
      <c r="AXT118" s="100" t="str">
        <f t="shared" si="297"/>
        <v/>
      </c>
      <c r="AXU118" s="100" t="str">
        <f t="shared" si="297"/>
        <v/>
      </c>
      <c r="AXV118" s="100" t="str">
        <f t="shared" si="297"/>
        <v/>
      </c>
      <c r="AXW118" s="100" t="str">
        <f t="shared" si="297"/>
        <v/>
      </c>
      <c r="AXX118" s="100" t="str">
        <f t="shared" si="297"/>
        <v/>
      </c>
      <c r="AXY118" s="100" t="str">
        <f t="shared" si="297"/>
        <v/>
      </c>
      <c r="AXZ118" s="100" t="str">
        <f t="shared" si="297"/>
        <v/>
      </c>
      <c r="AYA118" s="100" t="str">
        <f t="shared" si="297"/>
        <v/>
      </c>
      <c r="AYB118" s="100" t="str">
        <f t="shared" si="297"/>
        <v/>
      </c>
      <c r="AYC118" s="100" t="str">
        <f t="shared" si="297"/>
        <v/>
      </c>
      <c r="AYD118" s="100" t="str">
        <f t="shared" si="297"/>
        <v/>
      </c>
      <c r="AYE118" s="100" t="str">
        <f t="shared" si="297"/>
        <v/>
      </c>
      <c r="AYF118" s="100" t="str">
        <f t="shared" si="297"/>
        <v/>
      </c>
      <c r="AYG118" s="100" t="str">
        <f t="shared" si="297"/>
        <v/>
      </c>
      <c r="AYH118" s="100" t="str">
        <f t="shared" si="297"/>
        <v/>
      </c>
      <c r="AYI118" s="100" t="str">
        <f t="shared" si="297"/>
        <v/>
      </c>
      <c r="AYJ118" s="100" t="str">
        <f t="shared" si="297"/>
        <v/>
      </c>
      <c r="AYK118" s="100" t="str">
        <f t="shared" si="297"/>
        <v/>
      </c>
      <c r="AYL118" s="100" t="str">
        <f t="shared" si="297"/>
        <v/>
      </c>
      <c r="AYM118" s="100" t="str">
        <f t="shared" si="297"/>
        <v/>
      </c>
      <c r="AYN118" s="100" t="str">
        <f t="shared" si="297"/>
        <v/>
      </c>
      <c r="AYO118" s="100" t="str">
        <f t="shared" si="297"/>
        <v/>
      </c>
      <c r="AYP118" s="100" t="str">
        <f t="shared" si="297"/>
        <v/>
      </c>
      <c r="AYQ118" s="100" t="str">
        <f t="shared" si="297"/>
        <v/>
      </c>
      <c r="AYR118" s="100" t="str">
        <f t="shared" si="297"/>
        <v/>
      </c>
      <c r="AYS118" s="100" t="str">
        <f t="shared" si="297"/>
        <v/>
      </c>
      <c r="AYT118" s="100" t="str">
        <f t="shared" si="297"/>
        <v/>
      </c>
      <c r="AYU118" s="100" t="str">
        <f t="shared" si="297"/>
        <v/>
      </c>
      <c r="AYV118" s="100" t="str">
        <f t="shared" si="297"/>
        <v/>
      </c>
      <c r="AYW118" s="100" t="str">
        <f t="shared" ref="AYW118:BBH118" si="298">IFERROR(AVERAGE(AYW6,AYW16,AYW25,AYW34,AYW42,AYW54,AYW62,AYW70,AYW78,AYW86,AYW94,AYW102,AYW110),"")</f>
        <v/>
      </c>
      <c r="AYX118" s="100" t="str">
        <f t="shared" si="298"/>
        <v/>
      </c>
      <c r="AYY118" s="100" t="str">
        <f t="shared" si="298"/>
        <v/>
      </c>
      <c r="AYZ118" s="100" t="str">
        <f t="shared" si="298"/>
        <v/>
      </c>
      <c r="AZA118" s="100" t="str">
        <f t="shared" si="298"/>
        <v/>
      </c>
      <c r="AZB118" s="100" t="str">
        <f t="shared" si="298"/>
        <v/>
      </c>
      <c r="AZC118" s="100" t="str">
        <f t="shared" si="298"/>
        <v/>
      </c>
      <c r="AZD118" s="100" t="str">
        <f t="shared" si="298"/>
        <v/>
      </c>
      <c r="AZE118" s="100" t="str">
        <f t="shared" si="298"/>
        <v/>
      </c>
      <c r="AZF118" s="100" t="str">
        <f t="shared" si="298"/>
        <v/>
      </c>
      <c r="AZG118" s="100" t="str">
        <f t="shared" si="298"/>
        <v/>
      </c>
      <c r="AZH118" s="100" t="str">
        <f t="shared" si="298"/>
        <v/>
      </c>
      <c r="AZI118" s="100" t="str">
        <f t="shared" si="298"/>
        <v/>
      </c>
      <c r="AZJ118" s="100" t="str">
        <f t="shared" si="298"/>
        <v/>
      </c>
      <c r="AZK118" s="100" t="str">
        <f t="shared" si="298"/>
        <v/>
      </c>
      <c r="AZL118" s="100" t="str">
        <f t="shared" si="298"/>
        <v/>
      </c>
      <c r="AZM118" s="100" t="str">
        <f t="shared" si="298"/>
        <v/>
      </c>
      <c r="AZN118" s="100" t="str">
        <f t="shared" si="298"/>
        <v/>
      </c>
      <c r="AZO118" s="100" t="str">
        <f t="shared" si="298"/>
        <v/>
      </c>
      <c r="AZP118" s="100" t="str">
        <f t="shared" si="298"/>
        <v/>
      </c>
      <c r="AZQ118" s="100" t="str">
        <f t="shared" si="298"/>
        <v/>
      </c>
      <c r="AZR118" s="100" t="str">
        <f t="shared" si="298"/>
        <v/>
      </c>
      <c r="AZS118" s="100" t="str">
        <f t="shared" si="298"/>
        <v/>
      </c>
      <c r="AZT118" s="100" t="str">
        <f t="shared" si="298"/>
        <v/>
      </c>
      <c r="AZU118" s="100" t="str">
        <f t="shared" si="298"/>
        <v/>
      </c>
      <c r="AZV118" s="100" t="str">
        <f t="shared" si="298"/>
        <v/>
      </c>
      <c r="AZW118" s="100" t="str">
        <f t="shared" si="298"/>
        <v/>
      </c>
      <c r="AZX118" s="100" t="str">
        <f t="shared" si="298"/>
        <v/>
      </c>
      <c r="AZY118" s="100" t="str">
        <f t="shared" si="298"/>
        <v/>
      </c>
      <c r="AZZ118" s="100" t="str">
        <f t="shared" si="298"/>
        <v/>
      </c>
      <c r="BAA118" s="100" t="str">
        <f t="shared" si="298"/>
        <v/>
      </c>
      <c r="BAB118" s="100" t="str">
        <f t="shared" si="298"/>
        <v/>
      </c>
      <c r="BAC118" s="100" t="str">
        <f t="shared" si="298"/>
        <v/>
      </c>
      <c r="BAD118" s="100" t="str">
        <f t="shared" si="298"/>
        <v/>
      </c>
      <c r="BAE118" s="100" t="str">
        <f t="shared" si="298"/>
        <v/>
      </c>
      <c r="BAF118" s="100" t="str">
        <f t="shared" si="298"/>
        <v/>
      </c>
      <c r="BAG118" s="100" t="str">
        <f t="shared" si="298"/>
        <v/>
      </c>
      <c r="BAH118" s="100" t="str">
        <f t="shared" si="298"/>
        <v/>
      </c>
      <c r="BAI118" s="100" t="str">
        <f t="shared" si="298"/>
        <v/>
      </c>
      <c r="BAJ118" s="100" t="str">
        <f t="shared" si="298"/>
        <v/>
      </c>
      <c r="BAK118" s="100" t="str">
        <f t="shared" si="298"/>
        <v/>
      </c>
      <c r="BAL118" s="100" t="str">
        <f t="shared" si="298"/>
        <v/>
      </c>
      <c r="BAM118" s="100" t="str">
        <f t="shared" si="298"/>
        <v/>
      </c>
      <c r="BAN118" s="100" t="str">
        <f t="shared" si="298"/>
        <v/>
      </c>
      <c r="BAO118" s="100" t="str">
        <f t="shared" si="298"/>
        <v/>
      </c>
      <c r="BAP118" s="100" t="str">
        <f t="shared" si="298"/>
        <v/>
      </c>
      <c r="BAQ118" s="100" t="str">
        <f t="shared" si="298"/>
        <v/>
      </c>
      <c r="BAR118" s="100" t="str">
        <f t="shared" si="298"/>
        <v/>
      </c>
      <c r="BAS118" s="100" t="str">
        <f t="shared" si="298"/>
        <v/>
      </c>
      <c r="BAT118" s="100" t="str">
        <f t="shared" si="298"/>
        <v/>
      </c>
      <c r="BAU118" s="100" t="str">
        <f t="shared" si="298"/>
        <v/>
      </c>
      <c r="BAV118" s="100" t="str">
        <f t="shared" si="298"/>
        <v/>
      </c>
      <c r="BAW118" s="100" t="str">
        <f t="shared" si="298"/>
        <v/>
      </c>
      <c r="BAX118" s="100" t="str">
        <f t="shared" si="298"/>
        <v/>
      </c>
      <c r="BAY118" s="100" t="str">
        <f t="shared" si="298"/>
        <v/>
      </c>
      <c r="BAZ118" s="100" t="str">
        <f t="shared" si="298"/>
        <v/>
      </c>
      <c r="BBA118" s="100" t="str">
        <f t="shared" si="298"/>
        <v/>
      </c>
      <c r="BBB118" s="100" t="str">
        <f t="shared" si="298"/>
        <v/>
      </c>
      <c r="BBC118" s="100" t="str">
        <f t="shared" si="298"/>
        <v/>
      </c>
      <c r="BBD118" s="100" t="str">
        <f t="shared" si="298"/>
        <v/>
      </c>
      <c r="BBE118" s="100" t="str">
        <f t="shared" si="298"/>
        <v/>
      </c>
      <c r="BBF118" s="100" t="str">
        <f t="shared" si="298"/>
        <v/>
      </c>
      <c r="BBG118" s="100" t="str">
        <f t="shared" si="298"/>
        <v/>
      </c>
      <c r="BBH118" s="100" t="str">
        <f t="shared" si="298"/>
        <v/>
      </c>
      <c r="BBI118" s="100" t="str">
        <f t="shared" ref="BBI118:BDT118" si="299">IFERROR(AVERAGE(BBI6,BBI16,BBI25,BBI34,BBI42,BBI54,BBI62,BBI70,BBI78,BBI86,BBI94,BBI102,BBI110),"")</f>
        <v/>
      </c>
      <c r="BBJ118" s="100" t="str">
        <f t="shared" si="299"/>
        <v/>
      </c>
      <c r="BBK118" s="100" t="str">
        <f t="shared" si="299"/>
        <v/>
      </c>
      <c r="BBL118" s="100" t="str">
        <f t="shared" si="299"/>
        <v/>
      </c>
      <c r="BBM118" s="100" t="str">
        <f t="shared" si="299"/>
        <v/>
      </c>
      <c r="BBN118" s="100" t="str">
        <f t="shared" si="299"/>
        <v/>
      </c>
      <c r="BBO118" s="100" t="str">
        <f t="shared" si="299"/>
        <v/>
      </c>
      <c r="BBP118" s="100" t="str">
        <f t="shared" si="299"/>
        <v/>
      </c>
      <c r="BBQ118" s="100" t="str">
        <f t="shared" si="299"/>
        <v/>
      </c>
      <c r="BBR118" s="100" t="str">
        <f t="shared" si="299"/>
        <v/>
      </c>
      <c r="BBS118" s="100" t="str">
        <f t="shared" si="299"/>
        <v/>
      </c>
      <c r="BBT118" s="100" t="str">
        <f t="shared" si="299"/>
        <v/>
      </c>
      <c r="BBU118" s="100" t="str">
        <f t="shared" si="299"/>
        <v/>
      </c>
      <c r="BBV118" s="100" t="str">
        <f t="shared" si="299"/>
        <v/>
      </c>
      <c r="BBW118" s="100" t="str">
        <f t="shared" si="299"/>
        <v/>
      </c>
      <c r="BBX118" s="100" t="str">
        <f t="shared" si="299"/>
        <v/>
      </c>
      <c r="BBY118" s="100" t="str">
        <f t="shared" si="299"/>
        <v/>
      </c>
      <c r="BBZ118" s="100" t="str">
        <f t="shared" si="299"/>
        <v/>
      </c>
      <c r="BCA118" s="100" t="str">
        <f t="shared" si="299"/>
        <v/>
      </c>
      <c r="BCB118" s="100" t="str">
        <f t="shared" si="299"/>
        <v/>
      </c>
      <c r="BCC118" s="100" t="str">
        <f t="shared" si="299"/>
        <v/>
      </c>
      <c r="BCD118" s="100" t="str">
        <f t="shared" si="299"/>
        <v/>
      </c>
      <c r="BCE118" s="100" t="str">
        <f t="shared" si="299"/>
        <v/>
      </c>
      <c r="BCF118" s="100" t="str">
        <f t="shared" si="299"/>
        <v/>
      </c>
      <c r="BCG118" s="100" t="str">
        <f t="shared" si="299"/>
        <v/>
      </c>
      <c r="BCH118" s="100" t="str">
        <f t="shared" si="299"/>
        <v/>
      </c>
      <c r="BCI118" s="100" t="str">
        <f t="shared" si="299"/>
        <v/>
      </c>
      <c r="BCJ118" s="100" t="str">
        <f t="shared" si="299"/>
        <v/>
      </c>
      <c r="BCK118" s="100" t="str">
        <f t="shared" si="299"/>
        <v/>
      </c>
      <c r="BCL118" s="100" t="str">
        <f t="shared" si="299"/>
        <v/>
      </c>
      <c r="BCM118" s="100" t="str">
        <f t="shared" si="299"/>
        <v/>
      </c>
      <c r="BCN118" s="100" t="str">
        <f t="shared" si="299"/>
        <v/>
      </c>
      <c r="BCO118" s="100" t="str">
        <f t="shared" si="299"/>
        <v/>
      </c>
      <c r="BCP118" s="100" t="str">
        <f t="shared" si="299"/>
        <v/>
      </c>
      <c r="BCQ118" s="100" t="str">
        <f t="shared" si="299"/>
        <v/>
      </c>
      <c r="BCR118" s="100" t="str">
        <f t="shared" si="299"/>
        <v/>
      </c>
      <c r="BCS118" s="100" t="str">
        <f t="shared" si="299"/>
        <v/>
      </c>
      <c r="BCT118" s="100" t="str">
        <f t="shared" si="299"/>
        <v/>
      </c>
      <c r="BCU118" s="100" t="str">
        <f t="shared" si="299"/>
        <v/>
      </c>
      <c r="BCV118" s="100" t="str">
        <f t="shared" si="299"/>
        <v/>
      </c>
      <c r="BCW118" s="100" t="str">
        <f t="shared" si="299"/>
        <v/>
      </c>
      <c r="BCX118" s="100" t="str">
        <f t="shared" si="299"/>
        <v/>
      </c>
      <c r="BCY118" s="100" t="str">
        <f t="shared" si="299"/>
        <v/>
      </c>
      <c r="BCZ118" s="100" t="str">
        <f t="shared" si="299"/>
        <v/>
      </c>
      <c r="BDA118" s="100" t="str">
        <f t="shared" si="299"/>
        <v/>
      </c>
      <c r="BDB118" s="100" t="str">
        <f t="shared" si="299"/>
        <v/>
      </c>
      <c r="BDC118" s="100" t="str">
        <f t="shared" si="299"/>
        <v/>
      </c>
      <c r="BDD118" s="100" t="str">
        <f t="shared" si="299"/>
        <v/>
      </c>
      <c r="BDE118" s="100" t="str">
        <f t="shared" si="299"/>
        <v/>
      </c>
      <c r="BDF118" s="100" t="str">
        <f t="shared" si="299"/>
        <v/>
      </c>
      <c r="BDG118" s="100" t="str">
        <f t="shared" si="299"/>
        <v/>
      </c>
      <c r="BDH118" s="100" t="str">
        <f t="shared" si="299"/>
        <v/>
      </c>
      <c r="BDI118" s="100" t="str">
        <f t="shared" si="299"/>
        <v/>
      </c>
      <c r="BDJ118" s="100" t="str">
        <f t="shared" si="299"/>
        <v/>
      </c>
      <c r="BDK118" s="100" t="str">
        <f t="shared" si="299"/>
        <v/>
      </c>
      <c r="BDL118" s="100" t="str">
        <f t="shared" si="299"/>
        <v/>
      </c>
      <c r="BDM118" s="100" t="str">
        <f t="shared" si="299"/>
        <v/>
      </c>
      <c r="BDN118" s="100" t="str">
        <f t="shared" si="299"/>
        <v/>
      </c>
      <c r="BDO118" s="100" t="str">
        <f t="shared" si="299"/>
        <v/>
      </c>
      <c r="BDP118" s="100" t="str">
        <f t="shared" si="299"/>
        <v/>
      </c>
      <c r="BDQ118" s="100" t="str">
        <f t="shared" si="299"/>
        <v/>
      </c>
      <c r="BDR118" s="100" t="str">
        <f t="shared" si="299"/>
        <v/>
      </c>
      <c r="BDS118" s="100" t="str">
        <f t="shared" si="299"/>
        <v/>
      </c>
      <c r="BDT118" s="100" t="str">
        <f t="shared" si="299"/>
        <v/>
      </c>
      <c r="BDU118" s="100" t="str">
        <f t="shared" ref="BDU118:BGF118" si="300">IFERROR(AVERAGE(BDU6,BDU16,BDU25,BDU34,BDU42,BDU54,BDU62,BDU70,BDU78,BDU86,BDU94,BDU102,BDU110),"")</f>
        <v/>
      </c>
      <c r="BDV118" s="100" t="str">
        <f t="shared" si="300"/>
        <v/>
      </c>
      <c r="BDW118" s="100" t="str">
        <f t="shared" si="300"/>
        <v/>
      </c>
      <c r="BDX118" s="100" t="str">
        <f t="shared" si="300"/>
        <v/>
      </c>
      <c r="BDY118" s="100" t="str">
        <f t="shared" si="300"/>
        <v/>
      </c>
      <c r="BDZ118" s="100" t="str">
        <f t="shared" si="300"/>
        <v/>
      </c>
      <c r="BEA118" s="100" t="str">
        <f t="shared" si="300"/>
        <v/>
      </c>
      <c r="BEB118" s="100" t="str">
        <f t="shared" si="300"/>
        <v/>
      </c>
      <c r="BEC118" s="100" t="str">
        <f t="shared" si="300"/>
        <v/>
      </c>
      <c r="BED118" s="100" t="str">
        <f t="shared" si="300"/>
        <v/>
      </c>
      <c r="BEE118" s="100" t="str">
        <f t="shared" si="300"/>
        <v/>
      </c>
      <c r="BEF118" s="100" t="str">
        <f t="shared" si="300"/>
        <v/>
      </c>
      <c r="BEG118" s="100" t="str">
        <f t="shared" si="300"/>
        <v/>
      </c>
      <c r="BEH118" s="100" t="str">
        <f t="shared" si="300"/>
        <v/>
      </c>
      <c r="BEI118" s="100" t="str">
        <f t="shared" si="300"/>
        <v/>
      </c>
      <c r="BEJ118" s="100" t="str">
        <f t="shared" si="300"/>
        <v/>
      </c>
      <c r="BEK118" s="100" t="str">
        <f t="shared" si="300"/>
        <v/>
      </c>
      <c r="BEL118" s="100" t="str">
        <f t="shared" si="300"/>
        <v/>
      </c>
      <c r="BEM118" s="100" t="str">
        <f t="shared" si="300"/>
        <v/>
      </c>
      <c r="BEN118" s="100" t="str">
        <f t="shared" si="300"/>
        <v/>
      </c>
      <c r="BEO118" s="100" t="str">
        <f t="shared" si="300"/>
        <v/>
      </c>
      <c r="BEP118" s="100" t="str">
        <f t="shared" si="300"/>
        <v/>
      </c>
      <c r="BEQ118" s="100" t="str">
        <f t="shared" si="300"/>
        <v/>
      </c>
      <c r="BER118" s="100" t="str">
        <f t="shared" si="300"/>
        <v/>
      </c>
      <c r="BES118" s="100" t="str">
        <f t="shared" si="300"/>
        <v/>
      </c>
      <c r="BET118" s="100" t="str">
        <f t="shared" si="300"/>
        <v/>
      </c>
      <c r="BEU118" s="100" t="str">
        <f t="shared" si="300"/>
        <v/>
      </c>
      <c r="BEV118" s="100" t="str">
        <f t="shared" si="300"/>
        <v/>
      </c>
      <c r="BEW118" s="100" t="str">
        <f t="shared" si="300"/>
        <v/>
      </c>
      <c r="BEX118" s="100" t="str">
        <f t="shared" si="300"/>
        <v/>
      </c>
      <c r="BEY118" s="100" t="str">
        <f t="shared" si="300"/>
        <v/>
      </c>
      <c r="BEZ118" s="100" t="str">
        <f t="shared" si="300"/>
        <v/>
      </c>
      <c r="BFA118" s="100" t="str">
        <f t="shared" si="300"/>
        <v/>
      </c>
      <c r="BFB118" s="100" t="str">
        <f t="shared" si="300"/>
        <v/>
      </c>
      <c r="BFC118" s="100" t="str">
        <f t="shared" si="300"/>
        <v/>
      </c>
      <c r="BFD118" s="100" t="str">
        <f t="shared" si="300"/>
        <v/>
      </c>
      <c r="BFE118" s="100" t="str">
        <f t="shared" si="300"/>
        <v/>
      </c>
      <c r="BFF118" s="100" t="str">
        <f t="shared" si="300"/>
        <v/>
      </c>
      <c r="BFG118" s="100" t="str">
        <f t="shared" si="300"/>
        <v/>
      </c>
      <c r="BFH118" s="100" t="str">
        <f t="shared" si="300"/>
        <v/>
      </c>
      <c r="BFI118" s="100" t="str">
        <f t="shared" si="300"/>
        <v/>
      </c>
      <c r="BFJ118" s="100" t="str">
        <f t="shared" si="300"/>
        <v/>
      </c>
      <c r="BFK118" s="100" t="str">
        <f t="shared" si="300"/>
        <v/>
      </c>
      <c r="BFL118" s="100" t="str">
        <f t="shared" si="300"/>
        <v/>
      </c>
      <c r="BFM118" s="100" t="str">
        <f t="shared" si="300"/>
        <v/>
      </c>
      <c r="BFN118" s="100" t="str">
        <f t="shared" si="300"/>
        <v/>
      </c>
      <c r="BFO118" s="100" t="str">
        <f t="shared" si="300"/>
        <v/>
      </c>
      <c r="BFP118" s="100" t="str">
        <f t="shared" si="300"/>
        <v/>
      </c>
      <c r="BFQ118" s="100" t="str">
        <f t="shared" si="300"/>
        <v/>
      </c>
      <c r="BFR118" s="100" t="str">
        <f t="shared" si="300"/>
        <v/>
      </c>
      <c r="BFS118" s="100" t="str">
        <f t="shared" si="300"/>
        <v/>
      </c>
      <c r="BFT118" s="100" t="str">
        <f t="shared" si="300"/>
        <v/>
      </c>
      <c r="BFU118" s="100" t="str">
        <f t="shared" si="300"/>
        <v/>
      </c>
      <c r="BFV118" s="100" t="str">
        <f t="shared" si="300"/>
        <v/>
      </c>
      <c r="BFW118" s="100" t="str">
        <f t="shared" si="300"/>
        <v/>
      </c>
      <c r="BFX118" s="100" t="str">
        <f t="shared" si="300"/>
        <v/>
      </c>
      <c r="BFY118" s="100" t="str">
        <f t="shared" si="300"/>
        <v/>
      </c>
      <c r="BFZ118" s="100" t="str">
        <f t="shared" si="300"/>
        <v/>
      </c>
      <c r="BGA118" s="100" t="str">
        <f t="shared" si="300"/>
        <v/>
      </c>
      <c r="BGB118" s="100" t="str">
        <f t="shared" si="300"/>
        <v/>
      </c>
      <c r="BGC118" s="100" t="str">
        <f t="shared" si="300"/>
        <v/>
      </c>
      <c r="BGD118" s="100" t="str">
        <f t="shared" si="300"/>
        <v/>
      </c>
      <c r="BGE118" s="100" t="str">
        <f t="shared" si="300"/>
        <v/>
      </c>
      <c r="BGF118" s="100" t="str">
        <f t="shared" si="300"/>
        <v/>
      </c>
      <c r="BGG118" s="100" t="str">
        <f t="shared" ref="BGG118:BIR118" si="301">IFERROR(AVERAGE(BGG6,BGG16,BGG25,BGG34,BGG42,BGG54,BGG62,BGG70,BGG78,BGG86,BGG94,BGG102,BGG110),"")</f>
        <v/>
      </c>
      <c r="BGH118" s="100" t="str">
        <f t="shared" si="301"/>
        <v/>
      </c>
      <c r="BGI118" s="100" t="str">
        <f t="shared" si="301"/>
        <v/>
      </c>
      <c r="BGJ118" s="100" t="str">
        <f t="shared" si="301"/>
        <v/>
      </c>
      <c r="BGK118" s="100" t="str">
        <f t="shared" si="301"/>
        <v/>
      </c>
      <c r="BGL118" s="100" t="str">
        <f t="shared" si="301"/>
        <v/>
      </c>
      <c r="BGM118" s="100" t="str">
        <f t="shared" si="301"/>
        <v/>
      </c>
      <c r="BGN118" s="100" t="str">
        <f t="shared" si="301"/>
        <v/>
      </c>
      <c r="BGO118" s="100" t="str">
        <f t="shared" si="301"/>
        <v/>
      </c>
      <c r="BGP118" s="100" t="str">
        <f t="shared" si="301"/>
        <v/>
      </c>
      <c r="BGQ118" s="100" t="str">
        <f t="shared" si="301"/>
        <v/>
      </c>
      <c r="BGR118" s="100" t="str">
        <f t="shared" si="301"/>
        <v/>
      </c>
      <c r="BGS118" s="100" t="str">
        <f t="shared" si="301"/>
        <v/>
      </c>
      <c r="BGT118" s="100" t="str">
        <f t="shared" si="301"/>
        <v/>
      </c>
      <c r="BGU118" s="100" t="str">
        <f t="shared" si="301"/>
        <v/>
      </c>
      <c r="BGV118" s="100" t="str">
        <f t="shared" si="301"/>
        <v/>
      </c>
      <c r="BGW118" s="100" t="str">
        <f t="shared" si="301"/>
        <v/>
      </c>
      <c r="BGX118" s="100" t="str">
        <f t="shared" si="301"/>
        <v/>
      </c>
      <c r="BGY118" s="100" t="str">
        <f t="shared" si="301"/>
        <v/>
      </c>
      <c r="BGZ118" s="100" t="str">
        <f t="shared" si="301"/>
        <v/>
      </c>
      <c r="BHA118" s="100" t="str">
        <f t="shared" si="301"/>
        <v/>
      </c>
      <c r="BHB118" s="100" t="str">
        <f t="shared" si="301"/>
        <v/>
      </c>
      <c r="BHC118" s="100" t="str">
        <f t="shared" si="301"/>
        <v/>
      </c>
      <c r="BHD118" s="100" t="str">
        <f t="shared" si="301"/>
        <v/>
      </c>
      <c r="BHE118" s="100" t="str">
        <f t="shared" si="301"/>
        <v/>
      </c>
      <c r="BHF118" s="100" t="str">
        <f t="shared" si="301"/>
        <v/>
      </c>
      <c r="BHG118" s="100" t="str">
        <f t="shared" si="301"/>
        <v/>
      </c>
      <c r="BHH118" s="100" t="str">
        <f t="shared" si="301"/>
        <v/>
      </c>
      <c r="BHI118" s="100" t="str">
        <f t="shared" si="301"/>
        <v/>
      </c>
      <c r="BHJ118" s="100" t="str">
        <f t="shared" si="301"/>
        <v/>
      </c>
      <c r="BHK118" s="100" t="str">
        <f t="shared" si="301"/>
        <v/>
      </c>
      <c r="BHL118" s="100" t="str">
        <f t="shared" si="301"/>
        <v/>
      </c>
      <c r="BHM118" s="100" t="str">
        <f t="shared" si="301"/>
        <v/>
      </c>
      <c r="BHN118" s="100" t="str">
        <f t="shared" si="301"/>
        <v/>
      </c>
      <c r="BHO118" s="100" t="str">
        <f t="shared" si="301"/>
        <v/>
      </c>
      <c r="BHP118" s="100" t="str">
        <f t="shared" si="301"/>
        <v/>
      </c>
      <c r="BHQ118" s="100" t="str">
        <f t="shared" si="301"/>
        <v/>
      </c>
      <c r="BHR118" s="100" t="str">
        <f t="shared" si="301"/>
        <v/>
      </c>
      <c r="BHS118" s="100" t="str">
        <f t="shared" si="301"/>
        <v/>
      </c>
      <c r="BHT118" s="100" t="str">
        <f t="shared" si="301"/>
        <v/>
      </c>
      <c r="BHU118" s="100" t="str">
        <f t="shared" si="301"/>
        <v/>
      </c>
      <c r="BHV118" s="100" t="str">
        <f t="shared" si="301"/>
        <v/>
      </c>
      <c r="BHW118" s="100" t="str">
        <f t="shared" si="301"/>
        <v/>
      </c>
      <c r="BHX118" s="100" t="str">
        <f t="shared" si="301"/>
        <v/>
      </c>
      <c r="BHY118" s="100" t="str">
        <f t="shared" si="301"/>
        <v/>
      </c>
      <c r="BHZ118" s="100" t="str">
        <f t="shared" si="301"/>
        <v/>
      </c>
      <c r="BIA118" s="100" t="str">
        <f t="shared" si="301"/>
        <v/>
      </c>
      <c r="BIB118" s="100" t="str">
        <f t="shared" si="301"/>
        <v/>
      </c>
      <c r="BIC118" s="100" t="str">
        <f t="shared" si="301"/>
        <v/>
      </c>
      <c r="BID118" s="100" t="str">
        <f t="shared" si="301"/>
        <v/>
      </c>
      <c r="BIE118" s="100" t="str">
        <f t="shared" si="301"/>
        <v/>
      </c>
      <c r="BIF118" s="100" t="str">
        <f t="shared" si="301"/>
        <v/>
      </c>
      <c r="BIG118" s="100" t="str">
        <f t="shared" si="301"/>
        <v/>
      </c>
      <c r="BIH118" s="100" t="str">
        <f t="shared" si="301"/>
        <v/>
      </c>
      <c r="BII118" s="100" t="str">
        <f t="shared" si="301"/>
        <v/>
      </c>
      <c r="BIJ118" s="100" t="str">
        <f t="shared" si="301"/>
        <v/>
      </c>
      <c r="BIK118" s="100" t="str">
        <f t="shared" si="301"/>
        <v/>
      </c>
      <c r="BIL118" s="100" t="str">
        <f t="shared" si="301"/>
        <v/>
      </c>
      <c r="BIM118" s="100" t="str">
        <f t="shared" si="301"/>
        <v/>
      </c>
      <c r="BIN118" s="100" t="str">
        <f t="shared" si="301"/>
        <v/>
      </c>
      <c r="BIO118" s="100" t="str">
        <f t="shared" si="301"/>
        <v/>
      </c>
      <c r="BIP118" s="100" t="str">
        <f t="shared" si="301"/>
        <v/>
      </c>
      <c r="BIQ118" s="100" t="str">
        <f t="shared" si="301"/>
        <v/>
      </c>
      <c r="BIR118" s="100" t="str">
        <f t="shared" si="301"/>
        <v/>
      </c>
      <c r="BIS118" s="100" t="str">
        <f t="shared" ref="BIS118:BLD118" si="302">IFERROR(AVERAGE(BIS6,BIS16,BIS25,BIS34,BIS42,BIS54,BIS62,BIS70,BIS78,BIS86,BIS94,BIS102,BIS110),"")</f>
        <v/>
      </c>
      <c r="BIT118" s="100" t="str">
        <f t="shared" si="302"/>
        <v/>
      </c>
      <c r="BIU118" s="100" t="str">
        <f t="shared" si="302"/>
        <v/>
      </c>
      <c r="BIV118" s="100" t="str">
        <f t="shared" si="302"/>
        <v/>
      </c>
      <c r="BIW118" s="100" t="str">
        <f t="shared" si="302"/>
        <v/>
      </c>
      <c r="BIX118" s="100" t="str">
        <f t="shared" si="302"/>
        <v/>
      </c>
      <c r="BIY118" s="100" t="str">
        <f t="shared" si="302"/>
        <v/>
      </c>
      <c r="BIZ118" s="100" t="str">
        <f t="shared" si="302"/>
        <v/>
      </c>
      <c r="BJA118" s="100" t="str">
        <f t="shared" si="302"/>
        <v/>
      </c>
      <c r="BJB118" s="100" t="str">
        <f t="shared" si="302"/>
        <v/>
      </c>
      <c r="BJC118" s="100" t="str">
        <f t="shared" si="302"/>
        <v/>
      </c>
      <c r="BJD118" s="100" t="str">
        <f t="shared" si="302"/>
        <v/>
      </c>
      <c r="BJE118" s="100" t="str">
        <f t="shared" si="302"/>
        <v/>
      </c>
      <c r="BJF118" s="100" t="str">
        <f t="shared" si="302"/>
        <v/>
      </c>
      <c r="BJG118" s="100" t="str">
        <f t="shared" si="302"/>
        <v/>
      </c>
      <c r="BJH118" s="100" t="str">
        <f t="shared" si="302"/>
        <v/>
      </c>
      <c r="BJI118" s="100" t="str">
        <f t="shared" si="302"/>
        <v/>
      </c>
      <c r="BJJ118" s="100" t="str">
        <f t="shared" si="302"/>
        <v/>
      </c>
      <c r="BJK118" s="100" t="str">
        <f t="shared" si="302"/>
        <v/>
      </c>
      <c r="BJL118" s="100" t="str">
        <f t="shared" si="302"/>
        <v/>
      </c>
      <c r="BJM118" s="100" t="str">
        <f t="shared" si="302"/>
        <v/>
      </c>
      <c r="BJN118" s="100" t="str">
        <f t="shared" si="302"/>
        <v/>
      </c>
      <c r="BJO118" s="100" t="str">
        <f t="shared" si="302"/>
        <v/>
      </c>
      <c r="BJP118" s="100" t="str">
        <f t="shared" si="302"/>
        <v/>
      </c>
      <c r="BJQ118" s="100" t="str">
        <f t="shared" si="302"/>
        <v/>
      </c>
      <c r="BJR118" s="100" t="str">
        <f t="shared" si="302"/>
        <v/>
      </c>
      <c r="BJS118" s="100" t="str">
        <f t="shared" si="302"/>
        <v/>
      </c>
      <c r="BJT118" s="100" t="str">
        <f t="shared" si="302"/>
        <v/>
      </c>
      <c r="BJU118" s="100" t="str">
        <f t="shared" si="302"/>
        <v/>
      </c>
      <c r="BJV118" s="100" t="str">
        <f t="shared" si="302"/>
        <v/>
      </c>
      <c r="BJW118" s="100" t="str">
        <f t="shared" si="302"/>
        <v/>
      </c>
      <c r="BJX118" s="100" t="str">
        <f t="shared" si="302"/>
        <v/>
      </c>
      <c r="BJY118" s="100" t="str">
        <f t="shared" si="302"/>
        <v/>
      </c>
      <c r="BJZ118" s="100" t="str">
        <f t="shared" si="302"/>
        <v/>
      </c>
      <c r="BKA118" s="100" t="str">
        <f t="shared" si="302"/>
        <v/>
      </c>
      <c r="BKB118" s="100" t="str">
        <f t="shared" si="302"/>
        <v/>
      </c>
      <c r="BKC118" s="100" t="str">
        <f t="shared" si="302"/>
        <v/>
      </c>
      <c r="BKD118" s="100" t="str">
        <f t="shared" si="302"/>
        <v/>
      </c>
      <c r="BKE118" s="100" t="str">
        <f t="shared" si="302"/>
        <v/>
      </c>
      <c r="BKF118" s="100" t="str">
        <f t="shared" si="302"/>
        <v/>
      </c>
      <c r="BKG118" s="100" t="str">
        <f t="shared" si="302"/>
        <v/>
      </c>
      <c r="BKH118" s="100" t="str">
        <f t="shared" si="302"/>
        <v/>
      </c>
      <c r="BKI118" s="100" t="str">
        <f t="shared" si="302"/>
        <v/>
      </c>
      <c r="BKJ118" s="100" t="str">
        <f t="shared" si="302"/>
        <v/>
      </c>
      <c r="BKK118" s="100" t="str">
        <f t="shared" si="302"/>
        <v/>
      </c>
      <c r="BKL118" s="100" t="str">
        <f t="shared" si="302"/>
        <v/>
      </c>
      <c r="BKM118" s="100" t="str">
        <f t="shared" si="302"/>
        <v/>
      </c>
      <c r="BKN118" s="100" t="str">
        <f t="shared" si="302"/>
        <v/>
      </c>
      <c r="BKO118" s="100" t="str">
        <f t="shared" si="302"/>
        <v/>
      </c>
      <c r="BKP118" s="100" t="str">
        <f t="shared" si="302"/>
        <v/>
      </c>
      <c r="BKQ118" s="100" t="str">
        <f t="shared" si="302"/>
        <v/>
      </c>
      <c r="BKR118" s="100" t="str">
        <f t="shared" si="302"/>
        <v/>
      </c>
      <c r="BKS118" s="100" t="str">
        <f t="shared" si="302"/>
        <v/>
      </c>
      <c r="BKT118" s="100" t="str">
        <f t="shared" si="302"/>
        <v/>
      </c>
      <c r="BKU118" s="100" t="str">
        <f t="shared" si="302"/>
        <v/>
      </c>
      <c r="BKV118" s="100" t="str">
        <f t="shared" si="302"/>
        <v/>
      </c>
      <c r="BKW118" s="100" t="str">
        <f t="shared" si="302"/>
        <v/>
      </c>
      <c r="BKX118" s="100" t="str">
        <f t="shared" si="302"/>
        <v/>
      </c>
      <c r="BKY118" s="100" t="str">
        <f t="shared" si="302"/>
        <v/>
      </c>
      <c r="BKZ118" s="100" t="str">
        <f t="shared" si="302"/>
        <v/>
      </c>
      <c r="BLA118" s="100" t="str">
        <f t="shared" si="302"/>
        <v/>
      </c>
      <c r="BLB118" s="100" t="str">
        <f t="shared" si="302"/>
        <v/>
      </c>
      <c r="BLC118" s="100" t="str">
        <f t="shared" si="302"/>
        <v/>
      </c>
      <c r="BLD118" s="100" t="str">
        <f t="shared" si="302"/>
        <v/>
      </c>
      <c r="BLE118" s="100" t="str">
        <f t="shared" ref="BLE118:BNP118" si="303">IFERROR(AVERAGE(BLE6,BLE16,BLE25,BLE34,BLE42,BLE54,BLE62,BLE70,BLE78,BLE86,BLE94,BLE102,BLE110),"")</f>
        <v/>
      </c>
      <c r="BLF118" s="100" t="str">
        <f t="shared" si="303"/>
        <v/>
      </c>
      <c r="BLG118" s="100" t="str">
        <f t="shared" si="303"/>
        <v/>
      </c>
      <c r="BLH118" s="100" t="str">
        <f t="shared" si="303"/>
        <v/>
      </c>
      <c r="BLI118" s="100" t="str">
        <f t="shared" si="303"/>
        <v/>
      </c>
      <c r="BLJ118" s="100" t="str">
        <f t="shared" si="303"/>
        <v/>
      </c>
      <c r="BLK118" s="100" t="str">
        <f t="shared" si="303"/>
        <v/>
      </c>
      <c r="BLL118" s="100" t="str">
        <f t="shared" si="303"/>
        <v/>
      </c>
      <c r="BLM118" s="100" t="str">
        <f t="shared" si="303"/>
        <v/>
      </c>
      <c r="BLN118" s="100" t="str">
        <f t="shared" si="303"/>
        <v/>
      </c>
      <c r="BLO118" s="100" t="str">
        <f t="shared" si="303"/>
        <v/>
      </c>
      <c r="BLP118" s="100" t="str">
        <f t="shared" si="303"/>
        <v/>
      </c>
      <c r="BLQ118" s="100" t="str">
        <f t="shared" si="303"/>
        <v/>
      </c>
      <c r="BLR118" s="100" t="str">
        <f t="shared" si="303"/>
        <v/>
      </c>
      <c r="BLS118" s="100" t="str">
        <f t="shared" si="303"/>
        <v/>
      </c>
      <c r="BLT118" s="100" t="str">
        <f t="shared" si="303"/>
        <v/>
      </c>
      <c r="BLU118" s="100" t="str">
        <f t="shared" si="303"/>
        <v/>
      </c>
      <c r="BLV118" s="100" t="str">
        <f t="shared" si="303"/>
        <v/>
      </c>
      <c r="BLW118" s="100" t="str">
        <f t="shared" si="303"/>
        <v/>
      </c>
      <c r="BLX118" s="100" t="str">
        <f t="shared" si="303"/>
        <v/>
      </c>
      <c r="BLY118" s="100" t="str">
        <f t="shared" si="303"/>
        <v/>
      </c>
      <c r="BLZ118" s="100" t="str">
        <f t="shared" si="303"/>
        <v/>
      </c>
      <c r="BMA118" s="100" t="str">
        <f t="shared" si="303"/>
        <v/>
      </c>
      <c r="BMB118" s="100" t="str">
        <f t="shared" si="303"/>
        <v/>
      </c>
      <c r="BMC118" s="100" t="str">
        <f t="shared" si="303"/>
        <v/>
      </c>
      <c r="BMD118" s="100" t="str">
        <f t="shared" si="303"/>
        <v/>
      </c>
      <c r="BME118" s="100" t="str">
        <f t="shared" si="303"/>
        <v/>
      </c>
      <c r="BMF118" s="100" t="str">
        <f t="shared" si="303"/>
        <v/>
      </c>
      <c r="BMG118" s="100" t="str">
        <f t="shared" si="303"/>
        <v/>
      </c>
      <c r="BMH118" s="100" t="str">
        <f t="shared" si="303"/>
        <v/>
      </c>
      <c r="BMI118" s="100" t="str">
        <f t="shared" si="303"/>
        <v/>
      </c>
      <c r="BMJ118" s="100" t="str">
        <f t="shared" si="303"/>
        <v/>
      </c>
      <c r="BMK118" s="100" t="str">
        <f t="shared" si="303"/>
        <v/>
      </c>
      <c r="BML118" s="100" t="str">
        <f t="shared" si="303"/>
        <v/>
      </c>
      <c r="BMM118" s="100" t="str">
        <f t="shared" si="303"/>
        <v/>
      </c>
      <c r="BMN118" s="100" t="str">
        <f t="shared" si="303"/>
        <v/>
      </c>
      <c r="BMO118" s="100" t="str">
        <f t="shared" si="303"/>
        <v/>
      </c>
      <c r="BMP118" s="100" t="str">
        <f t="shared" si="303"/>
        <v/>
      </c>
      <c r="BMQ118" s="100" t="str">
        <f t="shared" si="303"/>
        <v/>
      </c>
      <c r="BMR118" s="100" t="str">
        <f t="shared" si="303"/>
        <v/>
      </c>
      <c r="BMS118" s="100" t="str">
        <f t="shared" si="303"/>
        <v/>
      </c>
      <c r="BMT118" s="100" t="str">
        <f t="shared" si="303"/>
        <v/>
      </c>
      <c r="BMU118" s="100" t="str">
        <f t="shared" si="303"/>
        <v/>
      </c>
      <c r="BMV118" s="100" t="str">
        <f t="shared" si="303"/>
        <v/>
      </c>
      <c r="BMW118" s="100" t="str">
        <f t="shared" si="303"/>
        <v/>
      </c>
      <c r="BMX118" s="100" t="str">
        <f t="shared" si="303"/>
        <v/>
      </c>
      <c r="BMY118" s="100" t="str">
        <f t="shared" si="303"/>
        <v/>
      </c>
      <c r="BMZ118" s="100" t="str">
        <f t="shared" si="303"/>
        <v/>
      </c>
      <c r="BNA118" s="100" t="str">
        <f t="shared" si="303"/>
        <v/>
      </c>
      <c r="BNB118" s="100" t="str">
        <f t="shared" si="303"/>
        <v/>
      </c>
      <c r="BNC118" s="100" t="str">
        <f t="shared" si="303"/>
        <v/>
      </c>
      <c r="BND118" s="100" t="str">
        <f t="shared" si="303"/>
        <v/>
      </c>
      <c r="BNE118" s="100" t="str">
        <f t="shared" si="303"/>
        <v/>
      </c>
      <c r="BNF118" s="100" t="str">
        <f t="shared" si="303"/>
        <v/>
      </c>
      <c r="BNG118" s="100" t="str">
        <f t="shared" si="303"/>
        <v/>
      </c>
      <c r="BNH118" s="100" t="str">
        <f t="shared" si="303"/>
        <v/>
      </c>
      <c r="BNI118" s="100" t="str">
        <f t="shared" si="303"/>
        <v/>
      </c>
      <c r="BNJ118" s="100" t="str">
        <f t="shared" si="303"/>
        <v/>
      </c>
      <c r="BNK118" s="100" t="str">
        <f t="shared" si="303"/>
        <v/>
      </c>
      <c r="BNL118" s="100" t="str">
        <f t="shared" si="303"/>
        <v/>
      </c>
      <c r="BNM118" s="100" t="str">
        <f t="shared" si="303"/>
        <v/>
      </c>
      <c r="BNN118" s="100" t="str">
        <f t="shared" si="303"/>
        <v/>
      </c>
      <c r="BNO118" s="100" t="str">
        <f t="shared" si="303"/>
        <v/>
      </c>
      <c r="BNP118" s="100" t="str">
        <f t="shared" si="303"/>
        <v/>
      </c>
      <c r="BNQ118" s="100" t="str">
        <f t="shared" ref="BNQ118:BQB118" si="304">IFERROR(AVERAGE(BNQ6,BNQ16,BNQ25,BNQ34,BNQ42,BNQ54,BNQ62,BNQ70,BNQ78,BNQ86,BNQ94,BNQ102,BNQ110),"")</f>
        <v/>
      </c>
      <c r="BNR118" s="100" t="str">
        <f t="shared" si="304"/>
        <v/>
      </c>
      <c r="BNS118" s="100" t="str">
        <f t="shared" si="304"/>
        <v/>
      </c>
      <c r="BNT118" s="100" t="str">
        <f t="shared" si="304"/>
        <v/>
      </c>
      <c r="BNU118" s="100" t="str">
        <f t="shared" si="304"/>
        <v/>
      </c>
      <c r="BNV118" s="100" t="str">
        <f t="shared" si="304"/>
        <v/>
      </c>
      <c r="BNW118" s="100" t="str">
        <f t="shared" si="304"/>
        <v/>
      </c>
      <c r="BNX118" s="100" t="str">
        <f t="shared" si="304"/>
        <v/>
      </c>
      <c r="BNY118" s="100" t="str">
        <f t="shared" si="304"/>
        <v/>
      </c>
      <c r="BNZ118" s="100" t="str">
        <f t="shared" si="304"/>
        <v/>
      </c>
      <c r="BOA118" s="100" t="str">
        <f t="shared" si="304"/>
        <v/>
      </c>
      <c r="BOB118" s="100" t="str">
        <f t="shared" si="304"/>
        <v/>
      </c>
      <c r="BOC118" s="100" t="str">
        <f t="shared" si="304"/>
        <v/>
      </c>
      <c r="BOD118" s="100" t="str">
        <f t="shared" si="304"/>
        <v/>
      </c>
      <c r="BOE118" s="100" t="str">
        <f t="shared" si="304"/>
        <v/>
      </c>
      <c r="BOF118" s="100" t="str">
        <f t="shared" si="304"/>
        <v/>
      </c>
      <c r="BOG118" s="100" t="str">
        <f t="shared" si="304"/>
        <v/>
      </c>
      <c r="BOH118" s="100" t="str">
        <f t="shared" si="304"/>
        <v/>
      </c>
      <c r="BOI118" s="100" t="str">
        <f t="shared" si="304"/>
        <v/>
      </c>
      <c r="BOJ118" s="100" t="str">
        <f t="shared" si="304"/>
        <v/>
      </c>
      <c r="BOK118" s="100" t="str">
        <f t="shared" si="304"/>
        <v/>
      </c>
      <c r="BOL118" s="100" t="str">
        <f t="shared" si="304"/>
        <v/>
      </c>
      <c r="BOM118" s="100" t="str">
        <f t="shared" si="304"/>
        <v/>
      </c>
      <c r="BON118" s="100" t="str">
        <f t="shared" si="304"/>
        <v/>
      </c>
      <c r="BOO118" s="100" t="str">
        <f t="shared" si="304"/>
        <v/>
      </c>
      <c r="BOP118" s="100" t="str">
        <f t="shared" si="304"/>
        <v/>
      </c>
      <c r="BOQ118" s="100" t="str">
        <f t="shared" si="304"/>
        <v/>
      </c>
      <c r="BOR118" s="100" t="str">
        <f t="shared" si="304"/>
        <v/>
      </c>
      <c r="BOS118" s="100" t="str">
        <f t="shared" si="304"/>
        <v/>
      </c>
      <c r="BOT118" s="100" t="str">
        <f t="shared" si="304"/>
        <v/>
      </c>
      <c r="BOU118" s="100" t="str">
        <f t="shared" si="304"/>
        <v/>
      </c>
      <c r="BOV118" s="100" t="str">
        <f t="shared" si="304"/>
        <v/>
      </c>
      <c r="BOW118" s="100" t="str">
        <f t="shared" si="304"/>
        <v/>
      </c>
      <c r="BOX118" s="100" t="str">
        <f t="shared" si="304"/>
        <v/>
      </c>
      <c r="BOY118" s="100" t="str">
        <f t="shared" si="304"/>
        <v/>
      </c>
      <c r="BOZ118" s="100" t="str">
        <f t="shared" si="304"/>
        <v/>
      </c>
      <c r="BPA118" s="100" t="str">
        <f t="shared" si="304"/>
        <v/>
      </c>
      <c r="BPB118" s="100" t="str">
        <f t="shared" si="304"/>
        <v/>
      </c>
      <c r="BPC118" s="100" t="str">
        <f t="shared" si="304"/>
        <v/>
      </c>
      <c r="BPD118" s="100" t="str">
        <f t="shared" si="304"/>
        <v/>
      </c>
      <c r="BPE118" s="100" t="str">
        <f t="shared" si="304"/>
        <v/>
      </c>
      <c r="BPF118" s="100" t="str">
        <f t="shared" si="304"/>
        <v/>
      </c>
      <c r="BPG118" s="100" t="str">
        <f t="shared" si="304"/>
        <v/>
      </c>
      <c r="BPH118" s="100" t="str">
        <f t="shared" si="304"/>
        <v/>
      </c>
      <c r="BPI118" s="100" t="str">
        <f t="shared" si="304"/>
        <v/>
      </c>
      <c r="BPJ118" s="100" t="str">
        <f t="shared" si="304"/>
        <v/>
      </c>
      <c r="BPK118" s="100" t="str">
        <f t="shared" si="304"/>
        <v/>
      </c>
      <c r="BPL118" s="100" t="str">
        <f t="shared" si="304"/>
        <v/>
      </c>
      <c r="BPM118" s="100" t="str">
        <f t="shared" si="304"/>
        <v/>
      </c>
      <c r="BPN118" s="100" t="str">
        <f t="shared" si="304"/>
        <v/>
      </c>
      <c r="BPO118" s="100" t="str">
        <f t="shared" si="304"/>
        <v/>
      </c>
      <c r="BPP118" s="100" t="str">
        <f t="shared" si="304"/>
        <v/>
      </c>
      <c r="BPQ118" s="100" t="str">
        <f t="shared" si="304"/>
        <v/>
      </c>
      <c r="BPR118" s="100" t="str">
        <f t="shared" si="304"/>
        <v/>
      </c>
      <c r="BPS118" s="100" t="str">
        <f t="shared" si="304"/>
        <v/>
      </c>
      <c r="BPT118" s="100" t="str">
        <f t="shared" si="304"/>
        <v/>
      </c>
      <c r="BPU118" s="100" t="str">
        <f t="shared" si="304"/>
        <v/>
      </c>
      <c r="BPV118" s="100" t="str">
        <f t="shared" si="304"/>
        <v/>
      </c>
      <c r="BPW118" s="100" t="str">
        <f t="shared" si="304"/>
        <v/>
      </c>
      <c r="BPX118" s="100" t="str">
        <f t="shared" si="304"/>
        <v/>
      </c>
      <c r="BPY118" s="100" t="str">
        <f t="shared" si="304"/>
        <v/>
      </c>
      <c r="BPZ118" s="100" t="str">
        <f t="shared" si="304"/>
        <v/>
      </c>
      <c r="BQA118" s="100" t="str">
        <f t="shared" si="304"/>
        <v/>
      </c>
      <c r="BQB118" s="100" t="str">
        <f t="shared" si="304"/>
        <v/>
      </c>
      <c r="BQC118" s="100" t="str">
        <f t="shared" ref="BQC118:BSN118" si="305">IFERROR(AVERAGE(BQC6,BQC16,BQC25,BQC34,BQC42,BQC54,BQC62,BQC70,BQC78,BQC86,BQC94,BQC102,BQC110),"")</f>
        <v/>
      </c>
      <c r="BQD118" s="100" t="str">
        <f t="shared" si="305"/>
        <v/>
      </c>
      <c r="BQE118" s="100" t="str">
        <f t="shared" si="305"/>
        <v/>
      </c>
      <c r="BQF118" s="100" t="str">
        <f t="shared" si="305"/>
        <v/>
      </c>
      <c r="BQG118" s="100" t="str">
        <f t="shared" si="305"/>
        <v/>
      </c>
      <c r="BQH118" s="100" t="str">
        <f t="shared" si="305"/>
        <v/>
      </c>
      <c r="BQI118" s="100" t="str">
        <f t="shared" si="305"/>
        <v/>
      </c>
      <c r="BQJ118" s="100" t="str">
        <f t="shared" si="305"/>
        <v/>
      </c>
      <c r="BQK118" s="100" t="str">
        <f t="shared" si="305"/>
        <v/>
      </c>
      <c r="BQL118" s="100" t="str">
        <f t="shared" si="305"/>
        <v/>
      </c>
      <c r="BQM118" s="100" t="str">
        <f t="shared" si="305"/>
        <v/>
      </c>
      <c r="BQN118" s="100" t="str">
        <f t="shared" si="305"/>
        <v/>
      </c>
      <c r="BQO118" s="100" t="str">
        <f t="shared" si="305"/>
        <v/>
      </c>
      <c r="BQP118" s="100" t="str">
        <f t="shared" si="305"/>
        <v/>
      </c>
      <c r="BQQ118" s="100" t="str">
        <f t="shared" si="305"/>
        <v/>
      </c>
      <c r="BQR118" s="100" t="str">
        <f t="shared" si="305"/>
        <v/>
      </c>
      <c r="BQS118" s="100" t="str">
        <f t="shared" si="305"/>
        <v/>
      </c>
      <c r="BQT118" s="100" t="str">
        <f t="shared" si="305"/>
        <v/>
      </c>
      <c r="BQU118" s="100" t="str">
        <f t="shared" si="305"/>
        <v/>
      </c>
      <c r="BQV118" s="100" t="str">
        <f t="shared" si="305"/>
        <v/>
      </c>
      <c r="BQW118" s="100" t="str">
        <f t="shared" si="305"/>
        <v/>
      </c>
      <c r="BQX118" s="100" t="str">
        <f t="shared" si="305"/>
        <v/>
      </c>
      <c r="BQY118" s="100" t="str">
        <f t="shared" si="305"/>
        <v/>
      </c>
      <c r="BQZ118" s="100" t="str">
        <f t="shared" si="305"/>
        <v/>
      </c>
      <c r="BRA118" s="100" t="str">
        <f t="shared" si="305"/>
        <v/>
      </c>
      <c r="BRB118" s="100" t="str">
        <f t="shared" si="305"/>
        <v/>
      </c>
      <c r="BRC118" s="100" t="str">
        <f t="shared" si="305"/>
        <v/>
      </c>
      <c r="BRD118" s="100" t="str">
        <f t="shared" si="305"/>
        <v/>
      </c>
      <c r="BRE118" s="100" t="str">
        <f t="shared" si="305"/>
        <v/>
      </c>
      <c r="BRF118" s="100" t="str">
        <f t="shared" si="305"/>
        <v/>
      </c>
      <c r="BRG118" s="100" t="str">
        <f t="shared" si="305"/>
        <v/>
      </c>
      <c r="BRH118" s="100" t="str">
        <f t="shared" si="305"/>
        <v/>
      </c>
      <c r="BRI118" s="100" t="str">
        <f t="shared" si="305"/>
        <v/>
      </c>
      <c r="BRJ118" s="100" t="str">
        <f t="shared" si="305"/>
        <v/>
      </c>
      <c r="BRK118" s="100" t="str">
        <f t="shared" si="305"/>
        <v/>
      </c>
      <c r="BRL118" s="100" t="str">
        <f t="shared" si="305"/>
        <v/>
      </c>
      <c r="BRM118" s="100" t="str">
        <f t="shared" si="305"/>
        <v/>
      </c>
      <c r="BRN118" s="100" t="str">
        <f t="shared" si="305"/>
        <v/>
      </c>
      <c r="BRO118" s="100" t="str">
        <f t="shared" si="305"/>
        <v/>
      </c>
      <c r="BRP118" s="100" t="str">
        <f t="shared" si="305"/>
        <v/>
      </c>
      <c r="BRQ118" s="100" t="str">
        <f t="shared" si="305"/>
        <v/>
      </c>
      <c r="BRR118" s="100" t="str">
        <f t="shared" si="305"/>
        <v/>
      </c>
      <c r="BRS118" s="100" t="str">
        <f t="shared" si="305"/>
        <v/>
      </c>
      <c r="BRT118" s="100" t="str">
        <f t="shared" si="305"/>
        <v/>
      </c>
      <c r="BRU118" s="100" t="str">
        <f t="shared" si="305"/>
        <v/>
      </c>
      <c r="BRV118" s="100" t="str">
        <f t="shared" si="305"/>
        <v/>
      </c>
      <c r="BRW118" s="100" t="str">
        <f t="shared" si="305"/>
        <v/>
      </c>
      <c r="BRX118" s="100" t="str">
        <f t="shared" si="305"/>
        <v/>
      </c>
      <c r="BRY118" s="100" t="str">
        <f t="shared" si="305"/>
        <v/>
      </c>
      <c r="BRZ118" s="100" t="str">
        <f t="shared" si="305"/>
        <v/>
      </c>
      <c r="BSA118" s="100" t="str">
        <f t="shared" si="305"/>
        <v/>
      </c>
      <c r="BSB118" s="100" t="str">
        <f t="shared" si="305"/>
        <v/>
      </c>
      <c r="BSC118" s="100" t="str">
        <f t="shared" si="305"/>
        <v/>
      </c>
      <c r="BSD118" s="100" t="str">
        <f t="shared" si="305"/>
        <v/>
      </c>
      <c r="BSE118" s="100" t="str">
        <f t="shared" si="305"/>
        <v/>
      </c>
      <c r="BSF118" s="100" t="str">
        <f t="shared" si="305"/>
        <v/>
      </c>
      <c r="BSG118" s="100" t="str">
        <f t="shared" si="305"/>
        <v/>
      </c>
      <c r="BSH118" s="100" t="str">
        <f t="shared" si="305"/>
        <v/>
      </c>
      <c r="BSI118" s="100" t="str">
        <f t="shared" si="305"/>
        <v/>
      </c>
      <c r="BSJ118" s="100" t="str">
        <f t="shared" si="305"/>
        <v/>
      </c>
      <c r="BSK118" s="100" t="str">
        <f t="shared" si="305"/>
        <v/>
      </c>
      <c r="BSL118" s="100" t="str">
        <f t="shared" si="305"/>
        <v/>
      </c>
      <c r="BSM118" s="100" t="str">
        <f t="shared" si="305"/>
        <v/>
      </c>
      <c r="BSN118" s="100" t="str">
        <f t="shared" si="305"/>
        <v/>
      </c>
      <c r="BSO118" s="100" t="str">
        <f t="shared" ref="BSO118:BUZ118" si="306">IFERROR(AVERAGE(BSO6,BSO16,BSO25,BSO34,BSO42,BSO54,BSO62,BSO70,BSO78,BSO86,BSO94,BSO102,BSO110),"")</f>
        <v/>
      </c>
      <c r="BSP118" s="100" t="str">
        <f t="shared" si="306"/>
        <v/>
      </c>
      <c r="BSQ118" s="100" t="str">
        <f t="shared" si="306"/>
        <v/>
      </c>
      <c r="BSR118" s="100" t="str">
        <f t="shared" si="306"/>
        <v/>
      </c>
      <c r="BSS118" s="100" t="str">
        <f t="shared" si="306"/>
        <v/>
      </c>
      <c r="BST118" s="100" t="str">
        <f t="shared" si="306"/>
        <v/>
      </c>
      <c r="BSU118" s="100" t="str">
        <f t="shared" si="306"/>
        <v/>
      </c>
      <c r="BSV118" s="100" t="str">
        <f t="shared" si="306"/>
        <v/>
      </c>
      <c r="BSW118" s="100" t="str">
        <f t="shared" si="306"/>
        <v/>
      </c>
      <c r="BSX118" s="100" t="str">
        <f t="shared" si="306"/>
        <v/>
      </c>
      <c r="BSY118" s="100" t="str">
        <f t="shared" si="306"/>
        <v/>
      </c>
      <c r="BSZ118" s="100" t="str">
        <f t="shared" si="306"/>
        <v/>
      </c>
      <c r="BTA118" s="100" t="str">
        <f t="shared" si="306"/>
        <v/>
      </c>
      <c r="BTB118" s="100" t="str">
        <f t="shared" si="306"/>
        <v/>
      </c>
      <c r="BTC118" s="100" t="str">
        <f t="shared" si="306"/>
        <v/>
      </c>
      <c r="BTD118" s="100" t="str">
        <f t="shared" si="306"/>
        <v/>
      </c>
      <c r="BTE118" s="100" t="str">
        <f t="shared" si="306"/>
        <v/>
      </c>
      <c r="BTF118" s="100" t="str">
        <f t="shared" si="306"/>
        <v/>
      </c>
      <c r="BTG118" s="100" t="str">
        <f t="shared" si="306"/>
        <v/>
      </c>
      <c r="BTH118" s="100" t="str">
        <f t="shared" si="306"/>
        <v/>
      </c>
      <c r="BTI118" s="100" t="str">
        <f t="shared" si="306"/>
        <v/>
      </c>
      <c r="BTJ118" s="100" t="str">
        <f t="shared" si="306"/>
        <v/>
      </c>
      <c r="BTK118" s="100" t="str">
        <f t="shared" si="306"/>
        <v/>
      </c>
      <c r="BTL118" s="100" t="str">
        <f t="shared" si="306"/>
        <v/>
      </c>
      <c r="BTM118" s="100" t="str">
        <f t="shared" si="306"/>
        <v/>
      </c>
      <c r="BTN118" s="100" t="str">
        <f t="shared" si="306"/>
        <v/>
      </c>
      <c r="BTO118" s="100" t="str">
        <f t="shared" si="306"/>
        <v/>
      </c>
      <c r="BTP118" s="100" t="str">
        <f t="shared" si="306"/>
        <v/>
      </c>
      <c r="BTQ118" s="100" t="str">
        <f t="shared" si="306"/>
        <v/>
      </c>
      <c r="BTR118" s="100" t="str">
        <f t="shared" si="306"/>
        <v/>
      </c>
      <c r="BTS118" s="100" t="str">
        <f t="shared" si="306"/>
        <v/>
      </c>
      <c r="BTT118" s="100" t="str">
        <f t="shared" si="306"/>
        <v/>
      </c>
      <c r="BTU118" s="100" t="str">
        <f t="shared" si="306"/>
        <v/>
      </c>
      <c r="BTV118" s="100" t="str">
        <f t="shared" si="306"/>
        <v/>
      </c>
      <c r="BTW118" s="100" t="str">
        <f t="shared" si="306"/>
        <v/>
      </c>
      <c r="BTX118" s="100" t="str">
        <f t="shared" si="306"/>
        <v/>
      </c>
      <c r="BTY118" s="100" t="str">
        <f t="shared" si="306"/>
        <v/>
      </c>
      <c r="BTZ118" s="100" t="str">
        <f t="shared" si="306"/>
        <v/>
      </c>
      <c r="BUA118" s="100" t="str">
        <f t="shared" si="306"/>
        <v/>
      </c>
      <c r="BUB118" s="100" t="str">
        <f t="shared" si="306"/>
        <v/>
      </c>
      <c r="BUC118" s="100" t="str">
        <f t="shared" si="306"/>
        <v/>
      </c>
      <c r="BUD118" s="100" t="str">
        <f t="shared" si="306"/>
        <v/>
      </c>
      <c r="BUE118" s="100" t="str">
        <f t="shared" si="306"/>
        <v/>
      </c>
      <c r="BUF118" s="100" t="str">
        <f t="shared" si="306"/>
        <v/>
      </c>
      <c r="BUG118" s="100" t="str">
        <f t="shared" si="306"/>
        <v/>
      </c>
      <c r="BUH118" s="100" t="str">
        <f t="shared" si="306"/>
        <v/>
      </c>
      <c r="BUI118" s="100" t="str">
        <f t="shared" si="306"/>
        <v/>
      </c>
      <c r="BUJ118" s="100" t="str">
        <f t="shared" si="306"/>
        <v/>
      </c>
      <c r="BUK118" s="100" t="str">
        <f t="shared" si="306"/>
        <v/>
      </c>
      <c r="BUL118" s="100" t="str">
        <f t="shared" si="306"/>
        <v/>
      </c>
      <c r="BUM118" s="100" t="str">
        <f t="shared" si="306"/>
        <v/>
      </c>
      <c r="BUN118" s="100" t="str">
        <f t="shared" si="306"/>
        <v/>
      </c>
      <c r="BUO118" s="100" t="str">
        <f t="shared" si="306"/>
        <v/>
      </c>
      <c r="BUP118" s="100" t="str">
        <f t="shared" si="306"/>
        <v/>
      </c>
      <c r="BUQ118" s="100" t="str">
        <f t="shared" si="306"/>
        <v/>
      </c>
      <c r="BUR118" s="100" t="str">
        <f t="shared" si="306"/>
        <v/>
      </c>
      <c r="BUS118" s="100" t="str">
        <f t="shared" si="306"/>
        <v/>
      </c>
      <c r="BUT118" s="100" t="str">
        <f t="shared" si="306"/>
        <v/>
      </c>
      <c r="BUU118" s="100" t="str">
        <f t="shared" si="306"/>
        <v/>
      </c>
      <c r="BUV118" s="100" t="str">
        <f t="shared" si="306"/>
        <v/>
      </c>
      <c r="BUW118" s="100" t="str">
        <f t="shared" si="306"/>
        <v/>
      </c>
      <c r="BUX118" s="100" t="str">
        <f t="shared" si="306"/>
        <v/>
      </c>
      <c r="BUY118" s="100" t="str">
        <f t="shared" si="306"/>
        <v/>
      </c>
      <c r="BUZ118" s="100" t="str">
        <f t="shared" si="306"/>
        <v/>
      </c>
      <c r="BVA118" s="100" t="str">
        <f t="shared" ref="BVA118:BXL118" si="307">IFERROR(AVERAGE(BVA6,BVA16,BVA25,BVA34,BVA42,BVA54,BVA62,BVA70,BVA78,BVA86,BVA94,BVA102,BVA110),"")</f>
        <v/>
      </c>
      <c r="BVB118" s="100" t="str">
        <f t="shared" si="307"/>
        <v/>
      </c>
      <c r="BVC118" s="100" t="str">
        <f t="shared" si="307"/>
        <v/>
      </c>
      <c r="BVD118" s="100" t="str">
        <f t="shared" si="307"/>
        <v/>
      </c>
      <c r="BVE118" s="100" t="str">
        <f t="shared" si="307"/>
        <v/>
      </c>
      <c r="BVF118" s="100" t="str">
        <f t="shared" si="307"/>
        <v/>
      </c>
      <c r="BVG118" s="100" t="str">
        <f t="shared" si="307"/>
        <v/>
      </c>
      <c r="BVH118" s="100" t="str">
        <f t="shared" si="307"/>
        <v/>
      </c>
      <c r="BVI118" s="100" t="str">
        <f t="shared" si="307"/>
        <v/>
      </c>
      <c r="BVJ118" s="100" t="str">
        <f t="shared" si="307"/>
        <v/>
      </c>
      <c r="BVK118" s="100" t="str">
        <f t="shared" si="307"/>
        <v/>
      </c>
      <c r="BVL118" s="100" t="str">
        <f t="shared" si="307"/>
        <v/>
      </c>
      <c r="BVM118" s="100" t="str">
        <f t="shared" si="307"/>
        <v/>
      </c>
      <c r="BVN118" s="100" t="str">
        <f t="shared" si="307"/>
        <v/>
      </c>
      <c r="BVO118" s="100" t="str">
        <f t="shared" si="307"/>
        <v/>
      </c>
      <c r="BVP118" s="100" t="str">
        <f t="shared" si="307"/>
        <v/>
      </c>
      <c r="BVQ118" s="100" t="str">
        <f t="shared" si="307"/>
        <v/>
      </c>
      <c r="BVR118" s="100" t="str">
        <f t="shared" si="307"/>
        <v/>
      </c>
      <c r="BVS118" s="100" t="str">
        <f t="shared" si="307"/>
        <v/>
      </c>
      <c r="BVT118" s="100" t="str">
        <f t="shared" si="307"/>
        <v/>
      </c>
      <c r="BVU118" s="100" t="str">
        <f t="shared" si="307"/>
        <v/>
      </c>
      <c r="BVV118" s="100" t="str">
        <f t="shared" si="307"/>
        <v/>
      </c>
      <c r="BVW118" s="100" t="str">
        <f t="shared" si="307"/>
        <v/>
      </c>
      <c r="BVX118" s="100" t="str">
        <f t="shared" si="307"/>
        <v/>
      </c>
      <c r="BVY118" s="100" t="str">
        <f t="shared" si="307"/>
        <v/>
      </c>
      <c r="BVZ118" s="100" t="str">
        <f t="shared" si="307"/>
        <v/>
      </c>
      <c r="BWA118" s="100" t="str">
        <f t="shared" si="307"/>
        <v/>
      </c>
      <c r="BWB118" s="100" t="str">
        <f t="shared" si="307"/>
        <v/>
      </c>
      <c r="BWC118" s="100" t="str">
        <f t="shared" si="307"/>
        <v/>
      </c>
      <c r="BWD118" s="100" t="str">
        <f t="shared" si="307"/>
        <v/>
      </c>
      <c r="BWE118" s="100" t="str">
        <f t="shared" si="307"/>
        <v/>
      </c>
      <c r="BWF118" s="100" t="str">
        <f t="shared" si="307"/>
        <v/>
      </c>
      <c r="BWG118" s="100" t="str">
        <f t="shared" si="307"/>
        <v/>
      </c>
      <c r="BWH118" s="100" t="str">
        <f t="shared" si="307"/>
        <v/>
      </c>
      <c r="BWI118" s="100" t="str">
        <f t="shared" si="307"/>
        <v/>
      </c>
      <c r="BWJ118" s="100" t="str">
        <f t="shared" si="307"/>
        <v/>
      </c>
      <c r="BWK118" s="100" t="str">
        <f t="shared" si="307"/>
        <v/>
      </c>
      <c r="BWL118" s="100" t="str">
        <f t="shared" si="307"/>
        <v/>
      </c>
      <c r="BWM118" s="100" t="str">
        <f t="shared" si="307"/>
        <v/>
      </c>
      <c r="BWN118" s="100" t="str">
        <f t="shared" si="307"/>
        <v/>
      </c>
      <c r="BWO118" s="100" t="str">
        <f t="shared" si="307"/>
        <v/>
      </c>
      <c r="BWP118" s="100" t="str">
        <f t="shared" si="307"/>
        <v/>
      </c>
      <c r="BWQ118" s="100" t="str">
        <f t="shared" si="307"/>
        <v/>
      </c>
      <c r="BWR118" s="100" t="str">
        <f t="shared" si="307"/>
        <v/>
      </c>
      <c r="BWS118" s="100" t="str">
        <f t="shared" si="307"/>
        <v/>
      </c>
      <c r="BWT118" s="100" t="str">
        <f t="shared" si="307"/>
        <v/>
      </c>
      <c r="BWU118" s="100" t="str">
        <f t="shared" si="307"/>
        <v/>
      </c>
      <c r="BWV118" s="100" t="str">
        <f t="shared" si="307"/>
        <v/>
      </c>
      <c r="BWW118" s="100" t="str">
        <f t="shared" si="307"/>
        <v/>
      </c>
      <c r="BWX118" s="100" t="str">
        <f t="shared" si="307"/>
        <v/>
      </c>
      <c r="BWY118" s="100" t="str">
        <f t="shared" si="307"/>
        <v/>
      </c>
      <c r="BWZ118" s="100" t="str">
        <f t="shared" si="307"/>
        <v/>
      </c>
      <c r="BXA118" s="100" t="str">
        <f t="shared" si="307"/>
        <v/>
      </c>
      <c r="BXB118" s="100" t="str">
        <f t="shared" si="307"/>
        <v/>
      </c>
      <c r="BXC118" s="100" t="str">
        <f t="shared" si="307"/>
        <v/>
      </c>
      <c r="BXD118" s="100" t="str">
        <f t="shared" si="307"/>
        <v/>
      </c>
      <c r="BXE118" s="100" t="str">
        <f t="shared" si="307"/>
        <v/>
      </c>
      <c r="BXF118" s="100" t="str">
        <f t="shared" si="307"/>
        <v/>
      </c>
      <c r="BXG118" s="100" t="str">
        <f t="shared" si="307"/>
        <v/>
      </c>
      <c r="BXH118" s="100" t="str">
        <f t="shared" si="307"/>
        <v/>
      </c>
      <c r="BXI118" s="100" t="str">
        <f t="shared" si="307"/>
        <v/>
      </c>
      <c r="BXJ118" s="100" t="str">
        <f t="shared" si="307"/>
        <v/>
      </c>
      <c r="BXK118" s="100" t="str">
        <f t="shared" si="307"/>
        <v/>
      </c>
      <c r="BXL118" s="100" t="str">
        <f t="shared" si="307"/>
        <v/>
      </c>
      <c r="BXM118" s="100" t="str">
        <f t="shared" ref="BXM118:BZX118" si="308">IFERROR(AVERAGE(BXM6,BXM16,BXM25,BXM34,BXM42,BXM54,BXM62,BXM70,BXM78,BXM86,BXM94,BXM102,BXM110),"")</f>
        <v/>
      </c>
      <c r="BXN118" s="100" t="str">
        <f t="shared" si="308"/>
        <v/>
      </c>
      <c r="BXO118" s="100" t="str">
        <f t="shared" si="308"/>
        <v/>
      </c>
      <c r="BXP118" s="100" t="str">
        <f t="shared" si="308"/>
        <v/>
      </c>
      <c r="BXQ118" s="100" t="str">
        <f t="shared" si="308"/>
        <v/>
      </c>
      <c r="BXR118" s="100" t="str">
        <f t="shared" si="308"/>
        <v/>
      </c>
      <c r="BXS118" s="100" t="str">
        <f t="shared" si="308"/>
        <v/>
      </c>
      <c r="BXT118" s="100" t="str">
        <f t="shared" si="308"/>
        <v/>
      </c>
      <c r="BXU118" s="100" t="str">
        <f t="shared" si="308"/>
        <v/>
      </c>
      <c r="BXV118" s="100" t="str">
        <f t="shared" si="308"/>
        <v/>
      </c>
      <c r="BXW118" s="100" t="str">
        <f t="shared" si="308"/>
        <v/>
      </c>
      <c r="BXX118" s="100" t="str">
        <f t="shared" si="308"/>
        <v/>
      </c>
      <c r="BXY118" s="100" t="str">
        <f t="shared" si="308"/>
        <v/>
      </c>
      <c r="BXZ118" s="100" t="str">
        <f t="shared" si="308"/>
        <v/>
      </c>
      <c r="BYA118" s="100" t="str">
        <f t="shared" si="308"/>
        <v/>
      </c>
      <c r="BYB118" s="100" t="str">
        <f t="shared" si="308"/>
        <v/>
      </c>
      <c r="BYC118" s="100" t="str">
        <f t="shared" si="308"/>
        <v/>
      </c>
      <c r="BYD118" s="100" t="str">
        <f t="shared" si="308"/>
        <v/>
      </c>
      <c r="BYE118" s="100" t="str">
        <f t="shared" si="308"/>
        <v/>
      </c>
      <c r="BYF118" s="100" t="str">
        <f t="shared" si="308"/>
        <v/>
      </c>
      <c r="BYG118" s="100" t="str">
        <f t="shared" si="308"/>
        <v/>
      </c>
      <c r="BYH118" s="100" t="str">
        <f t="shared" si="308"/>
        <v/>
      </c>
      <c r="BYI118" s="100" t="str">
        <f t="shared" si="308"/>
        <v/>
      </c>
      <c r="BYJ118" s="100" t="str">
        <f t="shared" si="308"/>
        <v/>
      </c>
      <c r="BYK118" s="100" t="str">
        <f t="shared" si="308"/>
        <v/>
      </c>
      <c r="BYL118" s="100" t="str">
        <f t="shared" si="308"/>
        <v/>
      </c>
      <c r="BYM118" s="100" t="str">
        <f t="shared" si="308"/>
        <v/>
      </c>
      <c r="BYN118" s="100" t="str">
        <f t="shared" si="308"/>
        <v/>
      </c>
      <c r="BYO118" s="100" t="str">
        <f t="shared" si="308"/>
        <v/>
      </c>
      <c r="BYP118" s="100" t="str">
        <f t="shared" si="308"/>
        <v/>
      </c>
      <c r="BYQ118" s="100" t="str">
        <f t="shared" si="308"/>
        <v/>
      </c>
      <c r="BYR118" s="100" t="str">
        <f t="shared" si="308"/>
        <v/>
      </c>
      <c r="BYS118" s="100" t="str">
        <f t="shared" si="308"/>
        <v/>
      </c>
      <c r="BYT118" s="100" t="str">
        <f t="shared" si="308"/>
        <v/>
      </c>
      <c r="BYU118" s="100" t="str">
        <f t="shared" si="308"/>
        <v/>
      </c>
      <c r="BYV118" s="100" t="str">
        <f t="shared" si="308"/>
        <v/>
      </c>
      <c r="BYW118" s="100" t="str">
        <f t="shared" si="308"/>
        <v/>
      </c>
      <c r="BYX118" s="100" t="str">
        <f t="shared" si="308"/>
        <v/>
      </c>
      <c r="BYY118" s="100" t="str">
        <f t="shared" si="308"/>
        <v/>
      </c>
      <c r="BYZ118" s="100" t="str">
        <f t="shared" si="308"/>
        <v/>
      </c>
      <c r="BZA118" s="100" t="str">
        <f t="shared" si="308"/>
        <v/>
      </c>
      <c r="BZB118" s="100" t="str">
        <f t="shared" si="308"/>
        <v/>
      </c>
      <c r="BZC118" s="100" t="str">
        <f t="shared" si="308"/>
        <v/>
      </c>
      <c r="BZD118" s="100" t="str">
        <f t="shared" si="308"/>
        <v/>
      </c>
      <c r="BZE118" s="100" t="str">
        <f t="shared" si="308"/>
        <v/>
      </c>
      <c r="BZF118" s="100" t="str">
        <f t="shared" si="308"/>
        <v/>
      </c>
      <c r="BZG118" s="100" t="str">
        <f t="shared" si="308"/>
        <v/>
      </c>
      <c r="BZH118" s="100" t="str">
        <f t="shared" si="308"/>
        <v/>
      </c>
      <c r="BZI118" s="100" t="str">
        <f t="shared" si="308"/>
        <v/>
      </c>
      <c r="BZJ118" s="100" t="str">
        <f t="shared" si="308"/>
        <v/>
      </c>
      <c r="BZK118" s="100" t="str">
        <f t="shared" si="308"/>
        <v/>
      </c>
      <c r="BZL118" s="100" t="str">
        <f t="shared" si="308"/>
        <v/>
      </c>
      <c r="BZM118" s="100" t="str">
        <f t="shared" si="308"/>
        <v/>
      </c>
      <c r="BZN118" s="100" t="str">
        <f t="shared" si="308"/>
        <v/>
      </c>
      <c r="BZO118" s="100" t="str">
        <f t="shared" si="308"/>
        <v/>
      </c>
      <c r="BZP118" s="100" t="str">
        <f t="shared" si="308"/>
        <v/>
      </c>
      <c r="BZQ118" s="100" t="str">
        <f t="shared" si="308"/>
        <v/>
      </c>
      <c r="BZR118" s="100" t="str">
        <f t="shared" si="308"/>
        <v/>
      </c>
      <c r="BZS118" s="100" t="str">
        <f t="shared" si="308"/>
        <v/>
      </c>
      <c r="BZT118" s="100" t="str">
        <f t="shared" si="308"/>
        <v/>
      </c>
      <c r="BZU118" s="100" t="str">
        <f t="shared" si="308"/>
        <v/>
      </c>
      <c r="BZV118" s="100" t="str">
        <f t="shared" si="308"/>
        <v/>
      </c>
      <c r="BZW118" s="100" t="str">
        <f t="shared" si="308"/>
        <v/>
      </c>
      <c r="BZX118" s="100" t="str">
        <f t="shared" si="308"/>
        <v/>
      </c>
      <c r="BZY118" s="100" t="str">
        <f t="shared" ref="BZY118:CCJ118" si="309">IFERROR(AVERAGE(BZY6,BZY16,BZY25,BZY34,BZY42,BZY54,BZY62,BZY70,BZY78,BZY86,BZY94,BZY102,BZY110),"")</f>
        <v/>
      </c>
      <c r="BZZ118" s="100" t="str">
        <f t="shared" si="309"/>
        <v/>
      </c>
      <c r="CAA118" s="100" t="str">
        <f t="shared" si="309"/>
        <v/>
      </c>
      <c r="CAB118" s="100" t="str">
        <f t="shared" si="309"/>
        <v/>
      </c>
      <c r="CAC118" s="100" t="str">
        <f t="shared" si="309"/>
        <v/>
      </c>
      <c r="CAD118" s="100" t="str">
        <f t="shared" si="309"/>
        <v/>
      </c>
      <c r="CAE118" s="100" t="str">
        <f t="shared" si="309"/>
        <v/>
      </c>
      <c r="CAF118" s="100" t="str">
        <f t="shared" si="309"/>
        <v/>
      </c>
      <c r="CAG118" s="100" t="str">
        <f t="shared" si="309"/>
        <v/>
      </c>
      <c r="CAH118" s="100" t="str">
        <f t="shared" si="309"/>
        <v/>
      </c>
      <c r="CAI118" s="100" t="str">
        <f t="shared" si="309"/>
        <v/>
      </c>
      <c r="CAJ118" s="100" t="str">
        <f t="shared" si="309"/>
        <v/>
      </c>
      <c r="CAK118" s="100" t="str">
        <f t="shared" si="309"/>
        <v/>
      </c>
      <c r="CAL118" s="100" t="str">
        <f t="shared" si="309"/>
        <v/>
      </c>
      <c r="CAM118" s="100" t="str">
        <f t="shared" si="309"/>
        <v/>
      </c>
      <c r="CAN118" s="100" t="str">
        <f t="shared" si="309"/>
        <v/>
      </c>
      <c r="CAO118" s="100" t="str">
        <f t="shared" si="309"/>
        <v/>
      </c>
      <c r="CAP118" s="100" t="str">
        <f t="shared" si="309"/>
        <v/>
      </c>
      <c r="CAQ118" s="100" t="str">
        <f t="shared" si="309"/>
        <v/>
      </c>
      <c r="CAR118" s="100" t="str">
        <f t="shared" si="309"/>
        <v/>
      </c>
      <c r="CAS118" s="100" t="str">
        <f t="shared" si="309"/>
        <v/>
      </c>
      <c r="CAT118" s="100" t="str">
        <f t="shared" si="309"/>
        <v/>
      </c>
      <c r="CAU118" s="100" t="str">
        <f t="shared" si="309"/>
        <v/>
      </c>
      <c r="CAV118" s="100" t="str">
        <f t="shared" si="309"/>
        <v/>
      </c>
      <c r="CAW118" s="100" t="str">
        <f t="shared" si="309"/>
        <v/>
      </c>
      <c r="CAX118" s="100" t="str">
        <f t="shared" si="309"/>
        <v/>
      </c>
      <c r="CAY118" s="100" t="str">
        <f t="shared" si="309"/>
        <v/>
      </c>
      <c r="CAZ118" s="100" t="str">
        <f t="shared" si="309"/>
        <v/>
      </c>
      <c r="CBA118" s="100" t="str">
        <f t="shared" si="309"/>
        <v/>
      </c>
      <c r="CBB118" s="100" t="str">
        <f t="shared" si="309"/>
        <v/>
      </c>
      <c r="CBC118" s="100" t="str">
        <f t="shared" si="309"/>
        <v/>
      </c>
      <c r="CBD118" s="100" t="str">
        <f t="shared" si="309"/>
        <v/>
      </c>
      <c r="CBE118" s="100" t="str">
        <f t="shared" si="309"/>
        <v/>
      </c>
      <c r="CBF118" s="100" t="str">
        <f t="shared" si="309"/>
        <v/>
      </c>
      <c r="CBG118" s="100" t="str">
        <f t="shared" si="309"/>
        <v/>
      </c>
      <c r="CBH118" s="100" t="str">
        <f t="shared" si="309"/>
        <v/>
      </c>
      <c r="CBI118" s="100" t="str">
        <f t="shared" si="309"/>
        <v/>
      </c>
      <c r="CBJ118" s="100" t="str">
        <f t="shared" si="309"/>
        <v/>
      </c>
      <c r="CBK118" s="100" t="str">
        <f t="shared" si="309"/>
        <v/>
      </c>
      <c r="CBL118" s="100" t="str">
        <f t="shared" si="309"/>
        <v/>
      </c>
      <c r="CBM118" s="100" t="str">
        <f t="shared" si="309"/>
        <v/>
      </c>
      <c r="CBN118" s="100" t="str">
        <f t="shared" si="309"/>
        <v/>
      </c>
      <c r="CBO118" s="100" t="str">
        <f t="shared" si="309"/>
        <v/>
      </c>
      <c r="CBP118" s="100" t="str">
        <f t="shared" si="309"/>
        <v/>
      </c>
      <c r="CBQ118" s="100" t="str">
        <f t="shared" si="309"/>
        <v/>
      </c>
      <c r="CBR118" s="100" t="str">
        <f t="shared" si="309"/>
        <v/>
      </c>
      <c r="CBS118" s="100" t="str">
        <f t="shared" si="309"/>
        <v/>
      </c>
      <c r="CBT118" s="100" t="str">
        <f t="shared" si="309"/>
        <v/>
      </c>
      <c r="CBU118" s="100" t="str">
        <f t="shared" si="309"/>
        <v/>
      </c>
      <c r="CBV118" s="100" t="str">
        <f t="shared" si="309"/>
        <v/>
      </c>
      <c r="CBW118" s="100" t="str">
        <f t="shared" si="309"/>
        <v/>
      </c>
      <c r="CBX118" s="100" t="str">
        <f t="shared" si="309"/>
        <v/>
      </c>
      <c r="CBY118" s="100" t="str">
        <f t="shared" si="309"/>
        <v/>
      </c>
      <c r="CBZ118" s="100" t="str">
        <f t="shared" si="309"/>
        <v/>
      </c>
      <c r="CCA118" s="100" t="str">
        <f t="shared" si="309"/>
        <v/>
      </c>
      <c r="CCB118" s="100" t="str">
        <f t="shared" si="309"/>
        <v/>
      </c>
      <c r="CCC118" s="100" t="str">
        <f t="shared" si="309"/>
        <v/>
      </c>
      <c r="CCD118" s="100" t="str">
        <f t="shared" si="309"/>
        <v/>
      </c>
      <c r="CCE118" s="100" t="str">
        <f t="shared" si="309"/>
        <v/>
      </c>
      <c r="CCF118" s="100" t="str">
        <f t="shared" si="309"/>
        <v/>
      </c>
      <c r="CCG118" s="100" t="str">
        <f t="shared" si="309"/>
        <v/>
      </c>
      <c r="CCH118" s="100" t="str">
        <f t="shared" si="309"/>
        <v/>
      </c>
      <c r="CCI118" s="100" t="str">
        <f t="shared" si="309"/>
        <v/>
      </c>
      <c r="CCJ118" s="100" t="str">
        <f t="shared" si="309"/>
        <v/>
      </c>
      <c r="CCK118" s="100" t="str">
        <f t="shared" ref="CCK118:CEV118" si="310">IFERROR(AVERAGE(CCK6,CCK16,CCK25,CCK34,CCK42,CCK54,CCK62,CCK70,CCK78,CCK86,CCK94,CCK102,CCK110),"")</f>
        <v/>
      </c>
      <c r="CCL118" s="100" t="str">
        <f t="shared" si="310"/>
        <v/>
      </c>
      <c r="CCM118" s="100" t="str">
        <f t="shared" si="310"/>
        <v/>
      </c>
      <c r="CCN118" s="100" t="str">
        <f t="shared" si="310"/>
        <v/>
      </c>
      <c r="CCO118" s="100" t="str">
        <f t="shared" si="310"/>
        <v/>
      </c>
      <c r="CCP118" s="100" t="str">
        <f t="shared" si="310"/>
        <v/>
      </c>
      <c r="CCQ118" s="100" t="str">
        <f t="shared" si="310"/>
        <v/>
      </c>
      <c r="CCR118" s="100" t="str">
        <f t="shared" si="310"/>
        <v/>
      </c>
      <c r="CCS118" s="100" t="str">
        <f t="shared" si="310"/>
        <v/>
      </c>
      <c r="CCT118" s="100" t="str">
        <f t="shared" si="310"/>
        <v/>
      </c>
      <c r="CCU118" s="100" t="str">
        <f t="shared" si="310"/>
        <v/>
      </c>
      <c r="CCV118" s="100" t="str">
        <f t="shared" si="310"/>
        <v/>
      </c>
      <c r="CCW118" s="100" t="str">
        <f t="shared" si="310"/>
        <v/>
      </c>
      <c r="CCX118" s="100" t="str">
        <f t="shared" si="310"/>
        <v/>
      </c>
      <c r="CCY118" s="100" t="str">
        <f t="shared" si="310"/>
        <v/>
      </c>
      <c r="CCZ118" s="100" t="str">
        <f t="shared" si="310"/>
        <v/>
      </c>
      <c r="CDA118" s="100" t="str">
        <f t="shared" si="310"/>
        <v/>
      </c>
      <c r="CDB118" s="100" t="str">
        <f t="shared" si="310"/>
        <v/>
      </c>
      <c r="CDC118" s="100" t="str">
        <f t="shared" si="310"/>
        <v/>
      </c>
      <c r="CDD118" s="100" t="str">
        <f t="shared" si="310"/>
        <v/>
      </c>
      <c r="CDE118" s="100" t="str">
        <f t="shared" si="310"/>
        <v/>
      </c>
      <c r="CDF118" s="100" t="str">
        <f t="shared" si="310"/>
        <v/>
      </c>
      <c r="CDG118" s="100" t="str">
        <f t="shared" si="310"/>
        <v/>
      </c>
      <c r="CDH118" s="100" t="str">
        <f t="shared" si="310"/>
        <v/>
      </c>
      <c r="CDI118" s="100" t="str">
        <f t="shared" si="310"/>
        <v/>
      </c>
      <c r="CDJ118" s="100" t="str">
        <f t="shared" si="310"/>
        <v/>
      </c>
      <c r="CDK118" s="100" t="str">
        <f t="shared" si="310"/>
        <v/>
      </c>
      <c r="CDL118" s="100" t="str">
        <f t="shared" si="310"/>
        <v/>
      </c>
      <c r="CDM118" s="100" t="str">
        <f t="shared" si="310"/>
        <v/>
      </c>
      <c r="CDN118" s="100" t="str">
        <f t="shared" si="310"/>
        <v/>
      </c>
      <c r="CDO118" s="100" t="str">
        <f t="shared" si="310"/>
        <v/>
      </c>
      <c r="CDP118" s="100" t="str">
        <f t="shared" si="310"/>
        <v/>
      </c>
      <c r="CDQ118" s="100" t="str">
        <f t="shared" si="310"/>
        <v/>
      </c>
      <c r="CDR118" s="100" t="str">
        <f t="shared" si="310"/>
        <v/>
      </c>
      <c r="CDS118" s="100" t="str">
        <f t="shared" si="310"/>
        <v/>
      </c>
      <c r="CDT118" s="100" t="str">
        <f t="shared" si="310"/>
        <v/>
      </c>
      <c r="CDU118" s="100" t="str">
        <f t="shared" si="310"/>
        <v/>
      </c>
      <c r="CDV118" s="100" t="str">
        <f t="shared" si="310"/>
        <v/>
      </c>
      <c r="CDW118" s="100" t="str">
        <f t="shared" si="310"/>
        <v/>
      </c>
      <c r="CDX118" s="100" t="str">
        <f t="shared" si="310"/>
        <v/>
      </c>
      <c r="CDY118" s="100" t="str">
        <f t="shared" si="310"/>
        <v/>
      </c>
      <c r="CDZ118" s="100" t="str">
        <f t="shared" si="310"/>
        <v/>
      </c>
      <c r="CEA118" s="100" t="str">
        <f t="shared" si="310"/>
        <v/>
      </c>
      <c r="CEB118" s="100" t="str">
        <f t="shared" si="310"/>
        <v/>
      </c>
      <c r="CEC118" s="100" t="str">
        <f t="shared" si="310"/>
        <v/>
      </c>
      <c r="CED118" s="100" t="str">
        <f t="shared" si="310"/>
        <v/>
      </c>
      <c r="CEE118" s="100" t="str">
        <f t="shared" si="310"/>
        <v/>
      </c>
      <c r="CEF118" s="100" t="str">
        <f t="shared" si="310"/>
        <v/>
      </c>
      <c r="CEG118" s="100" t="str">
        <f t="shared" si="310"/>
        <v/>
      </c>
      <c r="CEH118" s="100" t="str">
        <f t="shared" si="310"/>
        <v/>
      </c>
      <c r="CEI118" s="100" t="str">
        <f t="shared" si="310"/>
        <v/>
      </c>
      <c r="CEJ118" s="100" t="str">
        <f t="shared" si="310"/>
        <v/>
      </c>
      <c r="CEK118" s="100" t="str">
        <f t="shared" si="310"/>
        <v/>
      </c>
      <c r="CEL118" s="100" t="str">
        <f t="shared" si="310"/>
        <v/>
      </c>
      <c r="CEM118" s="100" t="str">
        <f t="shared" si="310"/>
        <v/>
      </c>
      <c r="CEN118" s="100" t="str">
        <f t="shared" si="310"/>
        <v/>
      </c>
      <c r="CEO118" s="100" t="str">
        <f t="shared" si="310"/>
        <v/>
      </c>
      <c r="CEP118" s="100" t="str">
        <f t="shared" si="310"/>
        <v/>
      </c>
      <c r="CEQ118" s="100" t="str">
        <f t="shared" si="310"/>
        <v/>
      </c>
      <c r="CER118" s="100" t="str">
        <f t="shared" si="310"/>
        <v/>
      </c>
      <c r="CES118" s="100" t="str">
        <f t="shared" si="310"/>
        <v/>
      </c>
      <c r="CET118" s="100" t="str">
        <f t="shared" si="310"/>
        <v/>
      </c>
      <c r="CEU118" s="100" t="str">
        <f t="shared" si="310"/>
        <v/>
      </c>
      <c r="CEV118" s="100" t="str">
        <f t="shared" si="310"/>
        <v/>
      </c>
      <c r="CEW118" s="100" t="str">
        <f t="shared" ref="CEW118:CHH118" si="311">IFERROR(AVERAGE(CEW6,CEW16,CEW25,CEW34,CEW42,CEW54,CEW62,CEW70,CEW78,CEW86,CEW94,CEW102,CEW110),"")</f>
        <v/>
      </c>
      <c r="CEX118" s="100" t="str">
        <f t="shared" si="311"/>
        <v/>
      </c>
      <c r="CEY118" s="100" t="str">
        <f t="shared" si="311"/>
        <v/>
      </c>
      <c r="CEZ118" s="100" t="str">
        <f t="shared" si="311"/>
        <v/>
      </c>
      <c r="CFA118" s="100" t="str">
        <f t="shared" si="311"/>
        <v/>
      </c>
      <c r="CFB118" s="100" t="str">
        <f t="shared" si="311"/>
        <v/>
      </c>
      <c r="CFC118" s="100" t="str">
        <f t="shared" si="311"/>
        <v/>
      </c>
      <c r="CFD118" s="100" t="str">
        <f t="shared" si="311"/>
        <v/>
      </c>
      <c r="CFE118" s="100" t="str">
        <f t="shared" si="311"/>
        <v/>
      </c>
      <c r="CFF118" s="100" t="str">
        <f t="shared" si="311"/>
        <v/>
      </c>
      <c r="CFG118" s="100" t="str">
        <f t="shared" si="311"/>
        <v/>
      </c>
      <c r="CFH118" s="100" t="str">
        <f t="shared" si="311"/>
        <v/>
      </c>
      <c r="CFI118" s="100" t="str">
        <f t="shared" si="311"/>
        <v/>
      </c>
      <c r="CFJ118" s="100" t="str">
        <f t="shared" si="311"/>
        <v/>
      </c>
      <c r="CFK118" s="100" t="str">
        <f t="shared" si="311"/>
        <v/>
      </c>
      <c r="CFL118" s="100" t="str">
        <f t="shared" si="311"/>
        <v/>
      </c>
      <c r="CFM118" s="100" t="str">
        <f t="shared" si="311"/>
        <v/>
      </c>
      <c r="CFN118" s="100" t="str">
        <f t="shared" si="311"/>
        <v/>
      </c>
      <c r="CFO118" s="100" t="str">
        <f t="shared" si="311"/>
        <v/>
      </c>
      <c r="CFP118" s="100" t="str">
        <f t="shared" si="311"/>
        <v/>
      </c>
      <c r="CFQ118" s="100" t="str">
        <f t="shared" si="311"/>
        <v/>
      </c>
      <c r="CFR118" s="100" t="str">
        <f t="shared" si="311"/>
        <v/>
      </c>
      <c r="CFS118" s="100" t="str">
        <f t="shared" si="311"/>
        <v/>
      </c>
      <c r="CFT118" s="100" t="str">
        <f t="shared" si="311"/>
        <v/>
      </c>
      <c r="CFU118" s="100" t="str">
        <f t="shared" si="311"/>
        <v/>
      </c>
      <c r="CFV118" s="100" t="str">
        <f t="shared" si="311"/>
        <v/>
      </c>
      <c r="CFW118" s="100" t="str">
        <f t="shared" si="311"/>
        <v/>
      </c>
      <c r="CFX118" s="100" t="str">
        <f t="shared" si="311"/>
        <v/>
      </c>
      <c r="CFY118" s="100" t="str">
        <f t="shared" si="311"/>
        <v/>
      </c>
      <c r="CFZ118" s="100" t="str">
        <f t="shared" si="311"/>
        <v/>
      </c>
      <c r="CGA118" s="100" t="str">
        <f t="shared" si="311"/>
        <v/>
      </c>
      <c r="CGB118" s="100" t="str">
        <f t="shared" si="311"/>
        <v/>
      </c>
      <c r="CGC118" s="100" t="str">
        <f t="shared" si="311"/>
        <v/>
      </c>
      <c r="CGD118" s="100" t="str">
        <f t="shared" si="311"/>
        <v/>
      </c>
      <c r="CGE118" s="100" t="str">
        <f t="shared" si="311"/>
        <v/>
      </c>
      <c r="CGF118" s="100" t="str">
        <f t="shared" si="311"/>
        <v/>
      </c>
      <c r="CGG118" s="100" t="str">
        <f t="shared" si="311"/>
        <v/>
      </c>
      <c r="CGH118" s="100" t="str">
        <f t="shared" si="311"/>
        <v/>
      </c>
      <c r="CGI118" s="100" t="str">
        <f t="shared" si="311"/>
        <v/>
      </c>
      <c r="CGJ118" s="100" t="str">
        <f t="shared" si="311"/>
        <v/>
      </c>
      <c r="CGK118" s="100" t="str">
        <f t="shared" si="311"/>
        <v/>
      </c>
      <c r="CGL118" s="100" t="str">
        <f t="shared" si="311"/>
        <v/>
      </c>
      <c r="CGM118" s="100" t="str">
        <f t="shared" si="311"/>
        <v/>
      </c>
      <c r="CGN118" s="100" t="str">
        <f t="shared" si="311"/>
        <v/>
      </c>
      <c r="CGO118" s="100" t="str">
        <f t="shared" si="311"/>
        <v/>
      </c>
      <c r="CGP118" s="100" t="str">
        <f t="shared" si="311"/>
        <v/>
      </c>
      <c r="CGQ118" s="100" t="str">
        <f t="shared" si="311"/>
        <v/>
      </c>
      <c r="CGR118" s="100" t="str">
        <f t="shared" si="311"/>
        <v/>
      </c>
      <c r="CGS118" s="100" t="str">
        <f t="shared" si="311"/>
        <v/>
      </c>
      <c r="CGT118" s="100" t="str">
        <f t="shared" si="311"/>
        <v/>
      </c>
      <c r="CGU118" s="100" t="str">
        <f t="shared" si="311"/>
        <v/>
      </c>
      <c r="CGV118" s="100" t="str">
        <f t="shared" si="311"/>
        <v/>
      </c>
      <c r="CGW118" s="100" t="str">
        <f t="shared" si="311"/>
        <v/>
      </c>
      <c r="CGX118" s="100" t="str">
        <f t="shared" si="311"/>
        <v/>
      </c>
      <c r="CGY118" s="100" t="str">
        <f t="shared" si="311"/>
        <v/>
      </c>
      <c r="CGZ118" s="100" t="str">
        <f t="shared" si="311"/>
        <v/>
      </c>
      <c r="CHA118" s="100" t="str">
        <f t="shared" si="311"/>
        <v/>
      </c>
      <c r="CHB118" s="100" t="str">
        <f t="shared" si="311"/>
        <v/>
      </c>
      <c r="CHC118" s="100" t="str">
        <f t="shared" si="311"/>
        <v/>
      </c>
      <c r="CHD118" s="100" t="str">
        <f t="shared" si="311"/>
        <v/>
      </c>
      <c r="CHE118" s="100" t="str">
        <f t="shared" si="311"/>
        <v/>
      </c>
      <c r="CHF118" s="100" t="str">
        <f t="shared" si="311"/>
        <v/>
      </c>
      <c r="CHG118" s="100" t="str">
        <f t="shared" si="311"/>
        <v/>
      </c>
      <c r="CHH118" s="100" t="str">
        <f t="shared" si="311"/>
        <v/>
      </c>
      <c r="CHI118" s="100" t="str">
        <f t="shared" ref="CHI118:CJT118" si="312">IFERROR(AVERAGE(CHI6,CHI16,CHI25,CHI34,CHI42,CHI54,CHI62,CHI70,CHI78,CHI86,CHI94,CHI102,CHI110),"")</f>
        <v/>
      </c>
      <c r="CHJ118" s="100" t="str">
        <f t="shared" si="312"/>
        <v/>
      </c>
      <c r="CHK118" s="100" t="str">
        <f t="shared" si="312"/>
        <v/>
      </c>
      <c r="CHL118" s="100" t="str">
        <f t="shared" si="312"/>
        <v/>
      </c>
      <c r="CHM118" s="100" t="str">
        <f t="shared" si="312"/>
        <v/>
      </c>
      <c r="CHN118" s="100" t="str">
        <f t="shared" si="312"/>
        <v/>
      </c>
      <c r="CHO118" s="100" t="str">
        <f t="shared" si="312"/>
        <v/>
      </c>
      <c r="CHP118" s="100" t="str">
        <f t="shared" si="312"/>
        <v/>
      </c>
      <c r="CHQ118" s="100" t="str">
        <f t="shared" si="312"/>
        <v/>
      </c>
      <c r="CHR118" s="100" t="str">
        <f t="shared" si="312"/>
        <v/>
      </c>
      <c r="CHS118" s="100" t="str">
        <f t="shared" si="312"/>
        <v/>
      </c>
      <c r="CHT118" s="100" t="str">
        <f t="shared" si="312"/>
        <v/>
      </c>
      <c r="CHU118" s="100" t="str">
        <f t="shared" si="312"/>
        <v/>
      </c>
      <c r="CHV118" s="100" t="str">
        <f t="shared" si="312"/>
        <v/>
      </c>
      <c r="CHW118" s="100" t="str">
        <f t="shared" si="312"/>
        <v/>
      </c>
      <c r="CHX118" s="100" t="str">
        <f t="shared" si="312"/>
        <v/>
      </c>
      <c r="CHY118" s="100" t="str">
        <f t="shared" si="312"/>
        <v/>
      </c>
      <c r="CHZ118" s="100" t="str">
        <f t="shared" si="312"/>
        <v/>
      </c>
      <c r="CIA118" s="100" t="str">
        <f t="shared" si="312"/>
        <v/>
      </c>
      <c r="CIB118" s="100" t="str">
        <f t="shared" si="312"/>
        <v/>
      </c>
      <c r="CIC118" s="100" t="str">
        <f t="shared" si="312"/>
        <v/>
      </c>
      <c r="CID118" s="100" t="str">
        <f t="shared" si="312"/>
        <v/>
      </c>
      <c r="CIE118" s="100" t="str">
        <f t="shared" si="312"/>
        <v/>
      </c>
      <c r="CIF118" s="100" t="str">
        <f t="shared" si="312"/>
        <v/>
      </c>
      <c r="CIG118" s="100" t="str">
        <f t="shared" si="312"/>
        <v/>
      </c>
      <c r="CIH118" s="100" t="str">
        <f t="shared" si="312"/>
        <v/>
      </c>
      <c r="CII118" s="100" t="str">
        <f t="shared" si="312"/>
        <v/>
      </c>
      <c r="CIJ118" s="100" t="str">
        <f t="shared" si="312"/>
        <v/>
      </c>
      <c r="CIK118" s="100" t="str">
        <f t="shared" si="312"/>
        <v/>
      </c>
      <c r="CIL118" s="100" t="str">
        <f t="shared" si="312"/>
        <v/>
      </c>
      <c r="CIM118" s="100" t="str">
        <f t="shared" si="312"/>
        <v/>
      </c>
      <c r="CIN118" s="100" t="str">
        <f t="shared" si="312"/>
        <v/>
      </c>
      <c r="CIO118" s="100" t="str">
        <f t="shared" si="312"/>
        <v/>
      </c>
      <c r="CIP118" s="100" t="str">
        <f t="shared" si="312"/>
        <v/>
      </c>
      <c r="CIQ118" s="100" t="str">
        <f t="shared" si="312"/>
        <v/>
      </c>
      <c r="CIR118" s="100" t="str">
        <f t="shared" si="312"/>
        <v/>
      </c>
      <c r="CIS118" s="100" t="str">
        <f t="shared" si="312"/>
        <v/>
      </c>
      <c r="CIT118" s="100" t="str">
        <f t="shared" si="312"/>
        <v/>
      </c>
      <c r="CIU118" s="100" t="str">
        <f t="shared" si="312"/>
        <v/>
      </c>
      <c r="CIV118" s="100" t="str">
        <f t="shared" si="312"/>
        <v/>
      </c>
      <c r="CIW118" s="100" t="str">
        <f t="shared" si="312"/>
        <v/>
      </c>
      <c r="CIX118" s="100" t="str">
        <f t="shared" si="312"/>
        <v/>
      </c>
      <c r="CIY118" s="100" t="str">
        <f t="shared" si="312"/>
        <v/>
      </c>
      <c r="CIZ118" s="100" t="str">
        <f t="shared" si="312"/>
        <v/>
      </c>
      <c r="CJA118" s="100" t="str">
        <f t="shared" si="312"/>
        <v/>
      </c>
      <c r="CJB118" s="100" t="str">
        <f t="shared" si="312"/>
        <v/>
      </c>
      <c r="CJC118" s="100" t="str">
        <f t="shared" si="312"/>
        <v/>
      </c>
      <c r="CJD118" s="100" t="str">
        <f t="shared" si="312"/>
        <v/>
      </c>
      <c r="CJE118" s="100" t="str">
        <f t="shared" si="312"/>
        <v/>
      </c>
      <c r="CJF118" s="100" t="str">
        <f t="shared" si="312"/>
        <v/>
      </c>
      <c r="CJG118" s="100" t="str">
        <f t="shared" si="312"/>
        <v/>
      </c>
      <c r="CJH118" s="100" t="str">
        <f t="shared" si="312"/>
        <v/>
      </c>
      <c r="CJI118" s="100" t="str">
        <f t="shared" si="312"/>
        <v/>
      </c>
      <c r="CJJ118" s="100" t="str">
        <f t="shared" si="312"/>
        <v/>
      </c>
      <c r="CJK118" s="100" t="str">
        <f t="shared" si="312"/>
        <v/>
      </c>
      <c r="CJL118" s="100" t="str">
        <f t="shared" si="312"/>
        <v/>
      </c>
      <c r="CJM118" s="100" t="str">
        <f t="shared" si="312"/>
        <v/>
      </c>
      <c r="CJN118" s="100" t="str">
        <f t="shared" si="312"/>
        <v/>
      </c>
      <c r="CJO118" s="100" t="str">
        <f t="shared" si="312"/>
        <v/>
      </c>
      <c r="CJP118" s="100" t="str">
        <f t="shared" si="312"/>
        <v/>
      </c>
      <c r="CJQ118" s="100" t="str">
        <f t="shared" si="312"/>
        <v/>
      </c>
      <c r="CJR118" s="100" t="str">
        <f t="shared" si="312"/>
        <v/>
      </c>
      <c r="CJS118" s="100" t="str">
        <f t="shared" si="312"/>
        <v/>
      </c>
      <c r="CJT118" s="100" t="str">
        <f t="shared" si="312"/>
        <v/>
      </c>
      <c r="CJU118" s="100" t="str">
        <f t="shared" ref="CJU118:CMF118" si="313">IFERROR(AVERAGE(CJU6,CJU16,CJU25,CJU34,CJU42,CJU54,CJU62,CJU70,CJU78,CJU86,CJU94,CJU102,CJU110),"")</f>
        <v/>
      </c>
      <c r="CJV118" s="100" t="str">
        <f t="shared" si="313"/>
        <v/>
      </c>
      <c r="CJW118" s="100" t="str">
        <f t="shared" si="313"/>
        <v/>
      </c>
      <c r="CJX118" s="100" t="str">
        <f t="shared" si="313"/>
        <v/>
      </c>
      <c r="CJY118" s="100" t="str">
        <f t="shared" si="313"/>
        <v/>
      </c>
      <c r="CJZ118" s="100" t="str">
        <f t="shared" si="313"/>
        <v/>
      </c>
      <c r="CKA118" s="100" t="str">
        <f t="shared" si="313"/>
        <v/>
      </c>
      <c r="CKB118" s="100" t="str">
        <f t="shared" si="313"/>
        <v/>
      </c>
      <c r="CKC118" s="100" t="str">
        <f t="shared" si="313"/>
        <v/>
      </c>
      <c r="CKD118" s="100" t="str">
        <f t="shared" si="313"/>
        <v/>
      </c>
      <c r="CKE118" s="100" t="str">
        <f t="shared" si="313"/>
        <v/>
      </c>
      <c r="CKF118" s="100" t="str">
        <f t="shared" si="313"/>
        <v/>
      </c>
      <c r="CKG118" s="100" t="str">
        <f t="shared" si="313"/>
        <v/>
      </c>
      <c r="CKH118" s="100" t="str">
        <f t="shared" si="313"/>
        <v/>
      </c>
      <c r="CKI118" s="100" t="str">
        <f t="shared" si="313"/>
        <v/>
      </c>
      <c r="CKJ118" s="100" t="str">
        <f t="shared" si="313"/>
        <v/>
      </c>
      <c r="CKK118" s="100" t="str">
        <f t="shared" si="313"/>
        <v/>
      </c>
      <c r="CKL118" s="100" t="str">
        <f t="shared" si="313"/>
        <v/>
      </c>
      <c r="CKM118" s="100" t="str">
        <f t="shared" si="313"/>
        <v/>
      </c>
      <c r="CKN118" s="100" t="str">
        <f t="shared" si="313"/>
        <v/>
      </c>
      <c r="CKO118" s="100" t="str">
        <f t="shared" si="313"/>
        <v/>
      </c>
      <c r="CKP118" s="100" t="str">
        <f t="shared" si="313"/>
        <v/>
      </c>
      <c r="CKQ118" s="100" t="str">
        <f t="shared" si="313"/>
        <v/>
      </c>
      <c r="CKR118" s="100" t="str">
        <f t="shared" si="313"/>
        <v/>
      </c>
      <c r="CKS118" s="100" t="str">
        <f t="shared" si="313"/>
        <v/>
      </c>
      <c r="CKT118" s="100" t="str">
        <f t="shared" si="313"/>
        <v/>
      </c>
      <c r="CKU118" s="100" t="str">
        <f t="shared" si="313"/>
        <v/>
      </c>
      <c r="CKV118" s="100" t="str">
        <f t="shared" si="313"/>
        <v/>
      </c>
      <c r="CKW118" s="100" t="str">
        <f t="shared" si="313"/>
        <v/>
      </c>
      <c r="CKX118" s="100" t="str">
        <f t="shared" si="313"/>
        <v/>
      </c>
      <c r="CKY118" s="100" t="str">
        <f t="shared" si="313"/>
        <v/>
      </c>
      <c r="CKZ118" s="100" t="str">
        <f t="shared" si="313"/>
        <v/>
      </c>
      <c r="CLA118" s="100" t="str">
        <f t="shared" si="313"/>
        <v/>
      </c>
      <c r="CLB118" s="100" t="str">
        <f t="shared" si="313"/>
        <v/>
      </c>
      <c r="CLC118" s="100" t="str">
        <f t="shared" si="313"/>
        <v/>
      </c>
      <c r="CLD118" s="100" t="str">
        <f t="shared" si="313"/>
        <v/>
      </c>
      <c r="CLE118" s="100" t="str">
        <f t="shared" si="313"/>
        <v/>
      </c>
      <c r="CLF118" s="100" t="str">
        <f t="shared" si="313"/>
        <v/>
      </c>
      <c r="CLG118" s="100" t="str">
        <f t="shared" si="313"/>
        <v/>
      </c>
      <c r="CLH118" s="100" t="str">
        <f t="shared" si="313"/>
        <v/>
      </c>
      <c r="CLI118" s="100" t="str">
        <f t="shared" si="313"/>
        <v/>
      </c>
      <c r="CLJ118" s="100" t="str">
        <f t="shared" si="313"/>
        <v/>
      </c>
      <c r="CLK118" s="100" t="str">
        <f t="shared" si="313"/>
        <v/>
      </c>
      <c r="CLL118" s="100" t="str">
        <f t="shared" si="313"/>
        <v/>
      </c>
      <c r="CLM118" s="100" t="str">
        <f t="shared" si="313"/>
        <v/>
      </c>
      <c r="CLN118" s="100" t="str">
        <f t="shared" si="313"/>
        <v/>
      </c>
      <c r="CLO118" s="100" t="str">
        <f t="shared" si="313"/>
        <v/>
      </c>
      <c r="CLP118" s="100" t="str">
        <f t="shared" si="313"/>
        <v/>
      </c>
      <c r="CLQ118" s="100" t="str">
        <f t="shared" si="313"/>
        <v/>
      </c>
      <c r="CLR118" s="100" t="str">
        <f t="shared" si="313"/>
        <v/>
      </c>
      <c r="CLS118" s="100" t="str">
        <f t="shared" si="313"/>
        <v/>
      </c>
      <c r="CLT118" s="100" t="str">
        <f t="shared" si="313"/>
        <v/>
      </c>
      <c r="CLU118" s="100" t="str">
        <f t="shared" si="313"/>
        <v/>
      </c>
      <c r="CLV118" s="100" t="str">
        <f t="shared" si="313"/>
        <v/>
      </c>
      <c r="CLW118" s="100" t="str">
        <f t="shared" si="313"/>
        <v/>
      </c>
      <c r="CLX118" s="100" t="str">
        <f t="shared" si="313"/>
        <v/>
      </c>
      <c r="CLY118" s="100" t="str">
        <f t="shared" si="313"/>
        <v/>
      </c>
      <c r="CLZ118" s="100" t="str">
        <f t="shared" si="313"/>
        <v/>
      </c>
      <c r="CMA118" s="100" t="str">
        <f t="shared" si="313"/>
        <v/>
      </c>
      <c r="CMB118" s="100" t="str">
        <f t="shared" si="313"/>
        <v/>
      </c>
      <c r="CMC118" s="100" t="str">
        <f t="shared" si="313"/>
        <v/>
      </c>
      <c r="CMD118" s="100" t="str">
        <f t="shared" si="313"/>
        <v/>
      </c>
      <c r="CME118" s="100" t="str">
        <f t="shared" si="313"/>
        <v/>
      </c>
      <c r="CMF118" s="100" t="str">
        <f t="shared" si="313"/>
        <v/>
      </c>
      <c r="CMG118" s="100" t="str">
        <f t="shared" ref="CMG118:COR118" si="314">IFERROR(AVERAGE(CMG6,CMG16,CMG25,CMG34,CMG42,CMG54,CMG62,CMG70,CMG78,CMG86,CMG94,CMG102,CMG110),"")</f>
        <v/>
      </c>
      <c r="CMH118" s="100" t="str">
        <f t="shared" si="314"/>
        <v/>
      </c>
      <c r="CMI118" s="100" t="str">
        <f t="shared" si="314"/>
        <v/>
      </c>
      <c r="CMJ118" s="100" t="str">
        <f t="shared" si="314"/>
        <v/>
      </c>
      <c r="CMK118" s="100" t="str">
        <f t="shared" si="314"/>
        <v/>
      </c>
      <c r="CML118" s="100" t="str">
        <f t="shared" si="314"/>
        <v/>
      </c>
      <c r="CMM118" s="100" t="str">
        <f t="shared" si="314"/>
        <v/>
      </c>
      <c r="CMN118" s="100" t="str">
        <f t="shared" si="314"/>
        <v/>
      </c>
      <c r="CMO118" s="100" t="str">
        <f t="shared" si="314"/>
        <v/>
      </c>
      <c r="CMP118" s="100" t="str">
        <f t="shared" si="314"/>
        <v/>
      </c>
      <c r="CMQ118" s="100" t="str">
        <f t="shared" si="314"/>
        <v/>
      </c>
      <c r="CMR118" s="100" t="str">
        <f t="shared" si="314"/>
        <v/>
      </c>
      <c r="CMS118" s="100" t="str">
        <f t="shared" si="314"/>
        <v/>
      </c>
      <c r="CMT118" s="100" t="str">
        <f t="shared" si="314"/>
        <v/>
      </c>
      <c r="CMU118" s="100" t="str">
        <f t="shared" si="314"/>
        <v/>
      </c>
      <c r="CMV118" s="100" t="str">
        <f t="shared" si="314"/>
        <v/>
      </c>
      <c r="CMW118" s="100" t="str">
        <f t="shared" si="314"/>
        <v/>
      </c>
      <c r="CMX118" s="100" t="str">
        <f t="shared" si="314"/>
        <v/>
      </c>
      <c r="CMY118" s="100" t="str">
        <f t="shared" si="314"/>
        <v/>
      </c>
      <c r="CMZ118" s="100" t="str">
        <f t="shared" si="314"/>
        <v/>
      </c>
      <c r="CNA118" s="100" t="str">
        <f t="shared" si="314"/>
        <v/>
      </c>
      <c r="CNB118" s="100" t="str">
        <f t="shared" si="314"/>
        <v/>
      </c>
      <c r="CNC118" s="100" t="str">
        <f t="shared" si="314"/>
        <v/>
      </c>
      <c r="CND118" s="100" t="str">
        <f t="shared" si="314"/>
        <v/>
      </c>
      <c r="CNE118" s="100" t="str">
        <f t="shared" si="314"/>
        <v/>
      </c>
      <c r="CNF118" s="100" t="str">
        <f t="shared" si="314"/>
        <v/>
      </c>
      <c r="CNG118" s="100" t="str">
        <f t="shared" si="314"/>
        <v/>
      </c>
      <c r="CNH118" s="100" t="str">
        <f t="shared" si="314"/>
        <v/>
      </c>
      <c r="CNI118" s="100" t="str">
        <f t="shared" si="314"/>
        <v/>
      </c>
      <c r="CNJ118" s="100" t="str">
        <f t="shared" si="314"/>
        <v/>
      </c>
      <c r="CNK118" s="100" t="str">
        <f t="shared" si="314"/>
        <v/>
      </c>
      <c r="CNL118" s="100" t="str">
        <f t="shared" si="314"/>
        <v/>
      </c>
      <c r="CNM118" s="100" t="str">
        <f t="shared" si="314"/>
        <v/>
      </c>
      <c r="CNN118" s="100" t="str">
        <f t="shared" si="314"/>
        <v/>
      </c>
      <c r="CNO118" s="100" t="str">
        <f t="shared" si="314"/>
        <v/>
      </c>
      <c r="CNP118" s="100" t="str">
        <f t="shared" si="314"/>
        <v/>
      </c>
      <c r="CNQ118" s="100" t="str">
        <f t="shared" si="314"/>
        <v/>
      </c>
      <c r="CNR118" s="100" t="str">
        <f t="shared" si="314"/>
        <v/>
      </c>
      <c r="CNS118" s="100" t="str">
        <f t="shared" si="314"/>
        <v/>
      </c>
      <c r="CNT118" s="100" t="str">
        <f t="shared" si="314"/>
        <v/>
      </c>
      <c r="CNU118" s="100" t="str">
        <f t="shared" si="314"/>
        <v/>
      </c>
      <c r="CNV118" s="100" t="str">
        <f t="shared" si="314"/>
        <v/>
      </c>
      <c r="CNW118" s="100" t="str">
        <f t="shared" si="314"/>
        <v/>
      </c>
      <c r="CNX118" s="100" t="str">
        <f t="shared" si="314"/>
        <v/>
      </c>
      <c r="CNY118" s="100" t="str">
        <f t="shared" si="314"/>
        <v/>
      </c>
      <c r="CNZ118" s="100" t="str">
        <f t="shared" si="314"/>
        <v/>
      </c>
      <c r="COA118" s="100" t="str">
        <f t="shared" si="314"/>
        <v/>
      </c>
      <c r="COB118" s="100" t="str">
        <f t="shared" si="314"/>
        <v/>
      </c>
      <c r="COC118" s="100" t="str">
        <f t="shared" si="314"/>
        <v/>
      </c>
      <c r="COD118" s="100" t="str">
        <f t="shared" si="314"/>
        <v/>
      </c>
      <c r="COE118" s="100" t="str">
        <f t="shared" si="314"/>
        <v/>
      </c>
      <c r="COF118" s="100" t="str">
        <f t="shared" si="314"/>
        <v/>
      </c>
      <c r="COG118" s="100" t="str">
        <f t="shared" si="314"/>
        <v/>
      </c>
      <c r="COH118" s="100" t="str">
        <f t="shared" si="314"/>
        <v/>
      </c>
      <c r="COI118" s="100" t="str">
        <f t="shared" si="314"/>
        <v/>
      </c>
      <c r="COJ118" s="100" t="str">
        <f t="shared" si="314"/>
        <v/>
      </c>
      <c r="COK118" s="100" t="str">
        <f t="shared" si="314"/>
        <v/>
      </c>
      <c r="COL118" s="100" t="str">
        <f t="shared" si="314"/>
        <v/>
      </c>
      <c r="COM118" s="100" t="str">
        <f t="shared" si="314"/>
        <v/>
      </c>
      <c r="CON118" s="100" t="str">
        <f t="shared" si="314"/>
        <v/>
      </c>
      <c r="COO118" s="100" t="str">
        <f t="shared" si="314"/>
        <v/>
      </c>
      <c r="COP118" s="100" t="str">
        <f t="shared" si="314"/>
        <v/>
      </c>
      <c r="COQ118" s="100" t="str">
        <f t="shared" si="314"/>
        <v/>
      </c>
      <c r="COR118" s="100" t="str">
        <f t="shared" si="314"/>
        <v/>
      </c>
      <c r="COS118" s="100" t="str">
        <f t="shared" ref="COS118:CRD118" si="315">IFERROR(AVERAGE(COS6,COS16,COS25,COS34,COS42,COS54,COS62,COS70,COS78,COS86,COS94,COS102,COS110),"")</f>
        <v/>
      </c>
      <c r="COT118" s="100" t="str">
        <f t="shared" si="315"/>
        <v/>
      </c>
      <c r="COU118" s="100" t="str">
        <f t="shared" si="315"/>
        <v/>
      </c>
      <c r="COV118" s="100" t="str">
        <f t="shared" si="315"/>
        <v/>
      </c>
      <c r="COW118" s="100" t="str">
        <f t="shared" si="315"/>
        <v/>
      </c>
      <c r="COX118" s="100" t="str">
        <f t="shared" si="315"/>
        <v/>
      </c>
      <c r="COY118" s="100" t="str">
        <f t="shared" si="315"/>
        <v/>
      </c>
      <c r="COZ118" s="100" t="str">
        <f t="shared" si="315"/>
        <v/>
      </c>
      <c r="CPA118" s="100" t="str">
        <f t="shared" si="315"/>
        <v/>
      </c>
      <c r="CPB118" s="100" t="str">
        <f t="shared" si="315"/>
        <v/>
      </c>
      <c r="CPC118" s="100" t="str">
        <f t="shared" si="315"/>
        <v/>
      </c>
      <c r="CPD118" s="100" t="str">
        <f t="shared" si="315"/>
        <v/>
      </c>
      <c r="CPE118" s="100" t="str">
        <f t="shared" si="315"/>
        <v/>
      </c>
      <c r="CPF118" s="100" t="str">
        <f t="shared" si="315"/>
        <v/>
      </c>
      <c r="CPG118" s="100" t="str">
        <f t="shared" si="315"/>
        <v/>
      </c>
      <c r="CPH118" s="100" t="str">
        <f t="shared" si="315"/>
        <v/>
      </c>
      <c r="CPI118" s="100" t="str">
        <f t="shared" si="315"/>
        <v/>
      </c>
      <c r="CPJ118" s="100" t="str">
        <f t="shared" si="315"/>
        <v/>
      </c>
      <c r="CPK118" s="100" t="str">
        <f t="shared" si="315"/>
        <v/>
      </c>
      <c r="CPL118" s="100" t="str">
        <f t="shared" si="315"/>
        <v/>
      </c>
      <c r="CPM118" s="100" t="str">
        <f t="shared" si="315"/>
        <v/>
      </c>
      <c r="CPN118" s="100" t="str">
        <f t="shared" si="315"/>
        <v/>
      </c>
      <c r="CPO118" s="100" t="str">
        <f t="shared" si="315"/>
        <v/>
      </c>
      <c r="CPP118" s="100" t="str">
        <f t="shared" si="315"/>
        <v/>
      </c>
      <c r="CPQ118" s="100" t="str">
        <f t="shared" si="315"/>
        <v/>
      </c>
      <c r="CPR118" s="100" t="str">
        <f t="shared" si="315"/>
        <v/>
      </c>
      <c r="CPS118" s="100" t="str">
        <f t="shared" si="315"/>
        <v/>
      </c>
      <c r="CPT118" s="100" t="str">
        <f t="shared" si="315"/>
        <v/>
      </c>
      <c r="CPU118" s="100" t="str">
        <f t="shared" si="315"/>
        <v/>
      </c>
      <c r="CPV118" s="100" t="str">
        <f t="shared" si="315"/>
        <v/>
      </c>
      <c r="CPW118" s="100" t="str">
        <f t="shared" si="315"/>
        <v/>
      </c>
      <c r="CPX118" s="100" t="str">
        <f t="shared" si="315"/>
        <v/>
      </c>
      <c r="CPY118" s="100" t="str">
        <f t="shared" si="315"/>
        <v/>
      </c>
      <c r="CPZ118" s="100" t="str">
        <f t="shared" si="315"/>
        <v/>
      </c>
      <c r="CQA118" s="100" t="str">
        <f t="shared" si="315"/>
        <v/>
      </c>
      <c r="CQB118" s="100" t="str">
        <f t="shared" si="315"/>
        <v/>
      </c>
      <c r="CQC118" s="100" t="str">
        <f t="shared" si="315"/>
        <v/>
      </c>
      <c r="CQD118" s="100" t="str">
        <f t="shared" si="315"/>
        <v/>
      </c>
      <c r="CQE118" s="100" t="str">
        <f t="shared" si="315"/>
        <v/>
      </c>
      <c r="CQF118" s="100" t="str">
        <f t="shared" si="315"/>
        <v/>
      </c>
      <c r="CQG118" s="100" t="str">
        <f t="shared" si="315"/>
        <v/>
      </c>
      <c r="CQH118" s="100" t="str">
        <f t="shared" si="315"/>
        <v/>
      </c>
      <c r="CQI118" s="100" t="str">
        <f t="shared" si="315"/>
        <v/>
      </c>
      <c r="CQJ118" s="100" t="str">
        <f t="shared" si="315"/>
        <v/>
      </c>
      <c r="CQK118" s="100" t="str">
        <f t="shared" si="315"/>
        <v/>
      </c>
      <c r="CQL118" s="100" t="str">
        <f t="shared" si="315"/>
        <v/>
      </c>
      <c r="CQM118" s="100" t="str">
        <f t="shared" si="315"/>
        <v/>
      </c>
      <c r="CQN118" s="100" t="str">
        <f t="shared" si="315"/>
        <v/>
      </c>
      <c r="CQO118" s="100" t="str">
        <f t="shared" si="315"/>
        <v/>
      </c>
      <c r="CQP118" s="100" t="str">
        <f t="shared" si="315"/>
        <v/>
      </c>
      <c r="CQQ118" s="100" t="str">
        <f t="shared" si="315"/>
        <v/>
      </c>
      <c r="CQR118" s="100" t="str">
        <f t="shared" si="315"/>
        <v/>
      </c>
      <c r="CQS118" s="100" t="str">
        <f t="shared" si="315"/>
        <v/>
      </c>
      <c r="CQT118" s="100" t="str">
        <f t="shared" si="315"/>
        <v/>
      </c>
      <c r="CQU118" s="100" t="str">
        <f t="shared" si="315"/>
        <v/>
      </c>
      <c r="CQV118" s="100" t="str">
        <f t="shared" si="315"/>
        <v/>
      </c>
      <c r="CQW118" s="100" t="str">
        <f t="shared" si="315"/>
        <v/>
      </c>
      <c r="CQX118" s="100" t="str">
        <f t="shared" si="315"/>
        <v/>
      </c>
      <c r="CQY118" s="100" t="str">
        <f t="shared" si="315"/>
        <v/>
      </c>
      <c r="CQZ118" s="100" t="str">
        <f t="shared" si="315"/>
        <v/>
      </c>
      <c r="CRA118" s="100" t="str">
        <f t="shared" si="315"/>
        <v/>
      </c>
      <c r="CRB118" s="100" t="str">
        <f t="shared" si="315"/>
        <v/>
      </c>
      <c r="CRC118" s="100" t="str">
        <f t="shared" si="315"/>
        <v/>
      </c>
      <c r="CRD118" s="100" t="str">
        <f t="shared" si="315"/>
        <v/>
      </c>
      <c r="CRE118" s="100" t="str">
        <f t="shared" ref="CRE118:CTP118" si="316">IFERROR(AVERAGE(CRE6,CRE16,CRE25,CRE34,CRE42,CRE54,CRE62,CRE70,CRE78,CRE86,CRE94,CRE102,CRE110),"")</f>
        <v/>
      </c>
      <c r="CRF118" s="100" t="str">
        <f t="shared" si="316"/>
        <v/>
      </c>
      <c r="CRG118" s="100" t="str">
        <f t="shared" si="316"/>
        <v/>
      </c>
      <c r="CRH118" s="100" t="str">
        <f t="shared" si="316"/>
        <v/>
      </c>
      <c r="CRI118" s="100" t="str">
        <f t="shared" si="316"/>
        <v/>
      </c>
      <c r="CRJ118" s="100" t="str">
        <f t="shared" si="316"/>
        <v/>
      </c>
      <c r="CRK118" s="100" t="str">
        <f t="shared" si="316"/>
        <v/>
      </c>
      <c r="CRL118" s="100" t="str">
        <f t="shared" si="316"/>
        <v/>
      </c>
      <c r="CRM118" s="100" t="str">
        <f t="shared" si="316"/>
        <v/>
      </c>
      <c r="CRN118" s="100" t="str">
        <f t="shared" si="316"/>
        <v/>
      </c>
      <c r="CRO118" s="100" t="str">
        <f t="shared" si="316"/>
        <v/>
      </c>
      <c r="CRP118" s="100" t="str">
        <f t="shared" si="316"/>
        <v/>
      </c>
      <c r="CRQ118" s="100" t="str">
        <f t="shared" si="316"/>
        <v/>
      </c>
      <c r="CRR118" s="100" t="str">
        <f t="shared" si="316"/>
        <v/>
      </c>
      <c r="CRS118" s="100" t="str">
        <f t="shared" si="316"/>
        <v/>
      </c>
      <c r="CRT118" s="100" t="str">
        <f t="shared" si="316"/>
        <v/>
      </c>
      <c r="CRU118" s="100" t="str">
        <f t="shared" si="316"/>
        <v/>
      </c>
      <c r="CRV118" s="100" t="str">
        <f t="shared" si="316"/>
        <v/>
      </c>
      <c r="CRW118" s="100" t="str">
        <f t="shared" si="316"/>
        <v/>
      </c>
      <c r="CRX118" s="100" t="str">
        <f t="shared" si="316"/>
        <v/>
      </c>
      <c r="CRY118" s="100" t="str">
        <f t="shared" si="316"/>
        <v/>
      </c>
      <c r="CRZ118" s="100" t="str">
        <f t="shared" si="316"/>
        <v/>
      </c>
      <c r="CSA118" s="100" t="str">
        <f t="shared" si="316"/>
        <v/>
      </c>
      <c r="CSB118" s="100" t="str">
        <f t="shared" si="316"/>
        <v/>
      </c>
      <c r="CSC118" s="100" t="str">
        <f t="shared" si="316"/>
        <v/>
      </c>
      <c r="CSD118" s="100" t="str">
        <f t="shared" si="316"/>
        <v/>
      </c>
      <c r="CSE118" s="100" t="str">
        <f t="shared" si="316"/>
        <v/>
      </c>
      <c r="CSF118" s="100" t="str">
        <f t="shared" si="316"/>
        <v/>
      </c>
      <c r="CSG118" s="100" t="str">
        <f t="shared" si="316"/>
        <v/>
      </c>
      <c r="CSH118" s="100" t="str">
        <f t="shared" si="316"/>
        <v/>
      </c>
      <c r="CSI118" s="100" t="str">
        <f t="shared" si="316"/>
        <v/>
      </c>
      <c r="CSJ118" s="100" t="str">
        <f t="shared" si="316"/>
        <v/>
      </c>
      <c r="CSK118" s="100" t="str">
        <f t="shared" si="316"/>
        <v/>
      </c>
      <c r="CSL118" s="100" t="str">
        <f t="shared" si="316"/>
        <v/>
      </c>
      <c r="CSM118" s="100" t="str">
        <f t="shared" si="316"/>
        <v/>
      </c>
      <c r="CSN118" s="100" t="str">
        <f t="shared" si="316"/>
        <v/>
      </c>
      <c r="CSO118" s="100" t="str">
        <f t="shared" si="316"/>
        <v/>
      </c>
      <c r="CSP118" s="100" t="str">
        <f t="shared" si="316"/>
        <v/>
      </c>
      <c r="CSQ118" s="100" t="str">
        <f t="shared" si="316"/>
        <v/>
      </c>
      <c r="CSR118" s="100" t="str">
        <f t="shared" si="316"/>
        <v/>
      </c>
      <c r="CSS118" s="100" t="str">
        <f t="shared" si="316"/>
        <v/>
      </c>
      <c r="CST118" s="100" t="str">
        <f t="shared" si="316"/>
        <v/>
      </c>
      <c r="CSU118" s="100" t="str">
        <f t="shared" si="316"/>
        <v/>
      </c>
      <c r="CSV118" s="100" t="str">
        <f t="shared" si="316"/>
        <v/>
      </c>
      <c r="CSW118" s="100" t="str">
        <f t="shared" si="316"/>
        <v/>
      </c>
      <c r="CSX118" s="100" t="str">
        <f t="shared" si="316"/>
        <v/>
      </c>
      <c r="CSY118" s="100" t="str">
        <f t="shared" si="316"/>
        <v/>
      </c>
      <c r="CSZ118" s="100" t="str">
        <f t="shared" si="316"/>
        <v/>
      </c>
      <c r="CTA118" s="100" t="str">
        <f t="shared" si="316"/>
        <v/>
      </c>
      <c r="CTB118" s="100" t="str">
        <f t="shared" si="316"/>
        <v/>
      </c>
      <c r="CTC118" s="100" t="str">
        <f t="shared" si="316"/>
        <v/>
      </c>
      <c r="CTD118" s="100" t="str">
        <f t="shared" si="316"/>
        <v/>
      </c>
      <c r="CTE118" s="100" t="str">
        <f t="shared" si="316"/>
        <v/>
      </c>
      <c r="CTF118" s="100" t="str">
        <f t="shared" si="316"/>
        <v/>
      </c>
      <c r="CTG118" s="100" t="str">
        <f t="shared" si="316"/>
        <v/>
      </c>
      <c r="CTH118" s="100" t="str">
        <f t="shared" si="316"/>
        <v/>
      </c>
      <c r="CTI118" s="100" t="str">
        <f t="shared" si="316"/>
        <v/>
      </c>
      <c r="CTJ118" s="100" t="str">
        <f t="shared" si="316"/>
        <v/>
      </c>
      <c r="CTK118" s="100" t="str">
        <f t="shared" si="316"/>
        <v/>
      </c>
      <c r="CTL118" s="100" t="str">
        <f t="shared" si="316"/>
        <v/>
      </c>
      <c r="CTM118" s="100" t="str">
        <f t="shared" si="316"/>
        <v/>
      </c>
      <c r="CTN118" s="100" t="str">
        <f t="shared" si="316"/>
        <v/>
      </c>
      <c r="CTO118" s="100" t="str">
        <f t="shared" si="316"/>
        <v/>
      </c>
      <c r="CTP118" s="100" t="str">
        <f t="shared" si="316"/>
        <v/>
      </c>
      <c r="CTQ118" s="100" t="str">
        <f t="shared" ref="CTQ118:CWB118" si="317">IFERROR(AVERAGE(CTQ6,CTQ16,CTQ25,CTQ34,CTQ42,CTQ54,CTQ62,CTQ70,CTQ78,CTQ86,CTQ94,CTQ102,CTQ110),"")</f>
        <v/>
      </c>
      <c r="CTR118" s="100" t="str">
        <f t="shared" si="317"/>
        <v/>
      </c>
      <c r="CTS118" s="100" t="str">
        <f t="shared" si="317"/>
        <v/>
      </c>
      <c r="CTT118" s="100" t="str">
        <f t="shared" si="317"/>
        <v/>
      </c>
      <c r="CTU118" s="100" t="str">
        <f t="shared" si="317"/>
        <v/>
      </c>
      <c r="CTV118" s="100" t="str">
        <f t="shared" si="317"/>
        <v/>
      </c>
      <c r="CTW118" s="100" t="str">
        <f t="shared" si="317"/>
        <v/>
      </c>
      <c r="CTX118" s="100" t="str">
        <f t="shared" si="317"/>
        <v/>
      </c>
      <c r="CTY118" s="100" t="str">
        <f t="shared" si="317"/>
        <v/>
      </c>
      <c r="CTZ118" s="100" t="str">
        <f t="shared" si="317"/>
        <v/>
      </c>
      <c r="CUA118" s="100" t="str">
        <f t="shared" si="317"/>
        <v/>
      </c>
      <c r="CUB118" s="100" t="str">
        <f t="shared" si="317"/>
        <v/>
      </c>
      <c r="CUC118" s="100" t="str">
        <f t="shared" si="317"/>
        <v/>
      </c>
      <c r="CUD118" s="100" t="str">
        <f t="shared" si="317"/>
        <v/>
      </c>
      <c r="CUE118" s="100" t="str">
        <f t="shared" si="317"/>
        <v/>
      </c>
      <c r="CUF118" s="100" t="str">
        <f t="shared" si="317"/>
        <v/>
      </c>
      <c r="CUG118" s="100" t="str">
        <f t="shared" si="317"/>
        <v/>
      </c>
      <c r="CUH118" s="100" t="str">
        <f t="shared" si="317"/>
        <v/>
      </c>
      <c r="CUI118" s="100" t="str">
        <f t="shared" si="317"/>
        <v/>
      </c>
      <c r="CUJ118" s="100" t="str">
        <f t="shared" si="317"/>
        <v/>
      </c>
      <c r="CUK118" s="100" t="str">
        <f t="shared" si="317"/>
        <v/>
      </c>
      <c r="CUL118" s="100" t="str">
        <f t="shared" si="317"/>
        <v/>
      </c>
      <c r="CUM118" s="100" t="str">
        <f t="shared" si="317"/>
        <v/>
      </c>
      <c r="CUN118" s="100" t="str">
        <f t="shared" si="317"/>
        <v/>
      </c>
      <c r="CUO118" s="100" t="str">
        <f t="shared" si="317"/>
        <v/>
      </c>
      <c r="CUP118" s="100" t="str">
        <f t="shared" si="317"/>
        <v/>
      </c>
      <c r="CUQ118" s="100" t="str">
        <f t="shared" si="317"/>
        <v/>
      </c>
      <c r="CUR118" s="100" t="str">
        <f t="shared" si="317"/>
        <v/>
      </c>
      <c r="CUS118" s="100" t="str">
        <f t="shared" si="317"/>
        <v/>
      </c>
      <c r="CUT118" s="100" t="str">
        <f t="shared" si="317"/>
        <v/>
      </c>
      <c r="CUU118" s="100" t="str">
        <f t="shared" si="317"/>
        <v/>
      </c>
      <c r="CUV118" s="100" t="str">
        <f t="shared" si="317"/>
        <v/>
      </c>
      <c r="CUW118" s="100" t="str">
        <f t="shared" si="317"/>
        <v/>
      </c>
      <c r="CUX118" s="100" t="str">
        <f t="shared" si="317"/>
        <v/>
      </c>
      <c r="CUY118" s="100" t="str">
        <f t="shared" si="317"/>
        <v/>
      </c>
      <c r="CUZ118" s="100" t="str">
        <f t="shared" si="317"/>
        <v/>
      </c>
      <c r="CVA118" s="100" t="str">
        <f t="shared" si="317"/>
        <v/>
      </c>
      <c r="CVB118" s="100" t="str">
        <f t="shared" si="317"/>
        <v/>
      </c>
      <c r="CVC118" s="100" t="str">
        <f t="shared" si="317"/>
        <v/>
      </c>
      <c r="CVD118" s="100" t="str">
        <f t="shared" si="317"/>
        <v/>
      </c>
      <c r="CVE118" s="100" t="str">
        <f t="shared" si="317"/>
        <v/>
      </c>
      <c r="CVF118" s="100" t="str">
        <f t="shared" si="317"/>
        <v/>
      </c>
      <c r="CVG118" s="100" t="str">
        <f t="shared" si="317"/>
        <v/>
      </c>
      <c r="CVH118" s="100" t="str">
        <f t="shared" si="317"/>
        <v/>
      </c>
      <c r="CVI118" s="100" t="str">
        <f t="shared" si="317"/>
        <v/>
      </c>
      <c r="CVJ118" s="100" t="str">
        <f t="shared" si="317"/>
        <v/>
      </c>
      <c r="CVK118" s="100" t="str">
        <f t="shared" si="317"/>
        <v/>
      </c>
      <c r="CVL118" s="100" t="str">
        <f t="shared" si="317"/>
        <v/>
      </c>
      <c r="CVM118" s="100" t="str">
        <f t="shared" si="317"/>
        <v/>
      </c>
      <c r="CVN118" s="100" t="str">
        <f t="shared" si="317"/>
        <v/>
      </c>
      <c r="CVO118" s="100" t="str">
        <f t="shared" si="317"/>
        <v/>
      </c>
      <c r="CVP118" s="100" t="str">
        <f t="shared" si="317"/>
        <v/>
      </c>
      <c r="CVQ118" s="100" t="str">
        <f t="shared" si="317"/>
        <v/>
      </c>
      <c r="CVR118" s="100" t="str">
        <f t="shared" si="317"/>
        <v/>
      </c>
      <c r="CVS118" s="100" t="str">
        <f t="shared" si="317"/>
        <v/>
      </c>
      <c r="CVT118" s="100" t="str">
        <f t="shared" si="317"/>
        <v/>
      </c>
      <c r="CVU118" s="100" t="str">
        <f t="shared" si="317"/>
        <v/>
      </c>
      <c r="CVV118" s="100" t="str">
        <f t="shared" si="317"/>
        <v/>
      </c>
      <c r="CVW118" s="100" t="str">
        <f t="shared" si="317"/>
        <v/>
      </c>
      <c r="CVX118" s="100" t="str">
        <f t="shared" si="317"/>
        <v/>
      </c>
      <c r="CVY118" s="100" t="str">
        <f t="shared" si="317"/>
        <v/>
      </c>
      <c r="CVZ118" s="100" t="str">
        <f t="shared" si="317"/>
        <v/>
      </c>
      <c r="CWA118" s="100" t="str">
        <f t="shared" si="317"/>
        <v/>
      </c>
      <c r="CWB118" s="100" t="str">
        <f t="shared" si="317"/>
        <v/>
      </c>
      <c r="CWC118" s="100" t="str">
        <f t="shared" ref="CWC118:CYN118" si="318">IFERROR(AVERAGE(CWC6,CWC16,CWC25,CWC34,CWC42,CWC54,CWC62,CWC70,CWC78,CWC86,CWC94,CWC102,CWC110),"")</f>
        <v/>
      </c>
      <c r="CWD118" s="100" t="str">
        <f t="shared" si="318"/>
        <v/>
      </c>
      <c r="CWE118" s="100" t="str">
        <f t="shared" si="318"/>
        <v/>
      </c>
      <c r="CWF118" s="100" t="str">
        <f t="shared" si="318"/>
        <v/>
      </c>
      <c r="CWG118" s="100" t="str">
        <f t="shared" si="318"/>
        <v/>
      </c>
      <c r="CWH118" s="100" t="str">
        <f t="shared" si="318"/>
        <v/>
      </c>
      <c r="CWI118" s="100" t="str">
        <f t="shared" si="318"/>
        <v/>
      </c>
      <c r="CWJ118" s="100" t="str">
        <f t="shared" si="318"/>
        <v/>
      </c>
      <c r="CWK118" s="100" t="str">
        <f t="shared" si="318"/>
        <v/>
      </c>
      <c r="CWL118" s="100" t="str">
        <f t="shared" si="318"/>
        <v/>
      </c>
      <c r="CWM118" s="100" t="str">
        <f t="shared" si="318"/>
        <v/>
      </c>
      <c r="CWN118" s="100" t="str">
        <f t="shared" si="318"/>
        <v/>
      </c>
      <c r="CWO118" s="100" t="str">
        <f t="shared" si="318"/>
        <v/>
      </c>
      <c r="CWP118" s="100" t="str">
        <f t="shared" si="318"/>
        <v/>
      </c>
      <c r="CWQ118" s="100" t="str">
        <f t="shared" si="318"/>
        <v/>
      </c>
      <c r="CWR118" s="100" t="str">
        <f t="shared" si="318"/>
        <v/>
      </c>
      <c r="CWS118" s="100" t="str">
        <f t="shared" si="318"/>
        <v/>
      </c>
      <c r="CWT118" s="100" t="str">
        <f t="shared" si="318"/>
        <v/>
      </c>
      <c r="CWU118" s="100" t="str">
        <f t="shared" si="318"/>
        <v/>
      </c>
      <c r="CWV118" s="100" t="str">
        <f t="shared" si="318"/>
        <v/>
      </c>
      <c r="CWW118" s="100" t="str">
        <f t="shared" si="318"/>
        <v/>
      </c>
      <c r="CWX118" s="100" t="str">
        <f t="shared" si="318"/>
        <v/>
      </c>
      <c r="CWY118" s="100" t="str">
        <f t="shared" si="318"/>
        <v/>
      </c>
      <c r="CWZ118" s="100" t="str">
        <f t="shared" si="318"/>
        <v/>
      </c>
      <c r="CXA118" s="100" t="str">
        <f t="shared" si="318"/>
        <v/>
      </c>
      <c r="CXB118" s="100" t="str">
        <f t="shared" si="318"/>
        <v/>
      </c>
      <c r="CXC118" s="100" t="str">
        <f t="shared" si="318"/>
        <v/>
      </c>
      <c r="CXD118" s="100" t="str">
        <f t="shared" si="318"/>
        <v/>
      </c>
      <c r="CXE118" s="100" t="str">
        <f t="shared" si="318"/>
        <v/>
      </c>
      <c r="CXF118" s="100" t="str">
        <f t="shared" si="318"/>
        <v/>
      </c>
      <c r="CXG118" s="100" t="str">
        <f t="shared" si="318"/>
        <v/>
      </c>
      <c r="CXH118" s="100" t="str">
        <f t="shared" si="318"/>
        <v/>
      </c>
      <c r="CXI118" s="100" t="str">
        <f t="shared" si="318"/>
        <v/>
      </c>
      <c r="CXJ118" s="100" t="str">
        <f t="shared" si="318"/>
        <v/>
      </c>
      <c r="CXK118" s="100" t="str">
        <f t="shared" si="318"/>
        <v/>
      </c>
      <c r="CXL118" s="100" t="str">
        <f t="shared" si="318"/>
        <v/>
      </c>
      <c r="CXM118" s="100" t="str">
        <f t="shared" si="318"/>
        <v/>
      </c>
      <c r="CXN118" s="100" t="str">
        <f t="shared" si="318"/>
        <v/>
      </c>
      <c r="CXO118" s="100" t="str">
        <f t="shared" si="318"/>
        <v/>
      </c>
      <c r="CXP118" s="100" t="str">
        <f t="shared" si="318"/>
        <v/>
      </c>
      <c r="CXQ118" s="100" t="str">
        <f t="shared" si="318"/>
        <v/>
      </c>
      <c r="CXR118" s="100" t="str">
        <f t="shared" si="318"/>
        <v/>
      </c>
      <c r="CXS118" s="100" t="str">
        <f t="shared" si="318"/>
        <v/>
      </c>
      <c r="CXT118" s="100" t="str">
        <f t="shared" si="318"/>
        <v/>
      </c>
      <c r="CXU118" s="100" t="str">
        <f t="shared" si="318"/>
        <v/>
      </c>
      <c r="CXV118" s="100" t="str">
        <f t="shared" si="318"/>
        <v/>
      </c>
      <c r="CXW118" s="100" t="str">
        <f t="shared" si="318"/>
        <v/>
      </c>
      <c r="CXX118" s="100" t="str">
        <f t="shared" si="318"/>
        <v/>
      </c>
      <c r="CXY118" s="100" t="str">
        <f t="shared" si="318"/>
        <v/>
      </c>
      <c r="CXZ118" s="100" t="str">
        <f t="shared" si="318"/>
        <v/>
      </c>
      <c r="CYA118" s="100" t="str">
        <f t="shared" si="318"/>
        <v/>
      </c>
      <c r="CYB118" s="100" t="str">
        <f t="shared" si="318"/>
        <v/>
      </c>
      <c r="CYC118" s="100" t="str">
        <f t="shared" si="318"/>
        <v/>
      </c>
      <c r="CYD118" s="100" t="str">
        <f t="shared" si="318"/>
        <v/>
      </c>
      <c r="CYE118" s="100" t="str">
        <f t="shared" si="318"/>
        <v/>
      </c>
      <c r="CYF118" s="100" t="str">
        <f t="shared" si="318"/>
        <v/>
      </c>
      <c r="CYG118" s="100" t="str">
        <f t="shared" si="318"/>
        <v/>
      </c>
      <c r="CYH118" s="100" t="str">
        <f t="shared" si="318"/>
        <v/>
      </c>
      <c r="CYI118" s="100" t="str">
        <f t="shared" si="318"/>
        <v/>
      </c>
      <c r="CYJ118" s="100" t="str">
        <f t="shared" si="318"/>
        <v/>
      </c>
      <c r="CYK118" s="100" t="str">
        <f t="shared" si="318"/>
        <v/>
      </c>
      <c r="CYL118" s="100" t="str">
        <f t="shared" si="318"/>
        <v/>
      </c>
      <c r="CYM118" s="100" t="str">
        <f t="shared" si="318"/>
        <v/>
      </c>
      <c r="CYN118" s="100" t="str">
        <f t="shared" si="318"/>
        <v/>
      </c>
      <c r="CYO118" s="100" t="str">
        <f t="shared" ref="CYO118:DAZ118" si="319">IFERROR(AVERAGE(CYO6,CYO16,CYO25,CYO34,CYO42,CYO54,CYO62,CYO70,CYO78,CYO86,CYO94,CYO102,CYO110),"")</f>
        <v/>
      </c>
      <c r="CYP118" s="100" t="str">
        <f t="shared" si="319"/>
        <v/>
      </c>
      <c r="CYQ118" s="100" t="str">
        <f t="shared" si="319"/>
        <v/>
      </c>
      <c r="CYR118" s="100" t="str">
        <f t="shared" si="319"/>
        <v/>
      </c>
      <c r="CYS118" s="100" t="str">
        <f t="shared" si="319"/>
        <v/>
      </c>
      <c r="CYT118" s="100" t="str">
        <f t="shared" si="319"/>
        <v/>
      </c>
      <c r="CYU118" s="100" t="str">
        <f t="shared" si="319"/>
        <v/>
      </c>
      <c r="CYV118" s="100" t="str">
        <f t="shared" si="319"/>
        <v/>
      </c>
      <c r="CYW118" s="100" t="str">
        <f t="shared" si="319"/>
        <v/>
      </c>
      <c r="CYX118" s="100" t="str">
        <f t="shared" si="319"/>
        <v/>
      </c>
      <c r="CYY118" s="100" t="str">
        <f t="shared" si="319"/>
        <v/>
      </c>
      <c r="CYZ118" s="100" t="str">
        <f t="shared" si="319"/>
        <v/>
      </c>
      <c r="CZA118" s="100" t="str">
        <f t="shared" si="319"/>
        <v/>
      </c>
      <c r="CZB118" s="100" t="str">
        <f t="shared" si="319"/>
        <v/>
      </c>
      <c r="CZC118" s="100" t="str">
        <f t="shared" si="319"/>
        <v/>
      </c>
      <c r="CZD118" s="100" t="str">
        <f t="shared" si="319"/>
        <v/>
      </c>
      <c r="CZE118" s="100" t="str">
        <f t="shared" si="319"/>
        <v/>
      </c>
      <c r="CZF118" s="100" t="str">
        <f t="shared" si="319"/>
        <v/>
      </c>
      <c r="CZG118" s="100" t="str">
        <f t="shared" si="319"/>
        <v/>
      </c>
      <c r="CZH118" s="100" t="str">
        <f t="shared" si="319"/>
        <v/>
      </c>
      <c r="CZI118" s="100" t="str">
        <f t="shared" si="319"/>
        <v/>
      </c>
      <c r="CZJ118" s="100" t="str">
        <f t="shared" si="319"/>
        <v/>
      </c>
      <c r="CZK118" s="100" t="str">
        <f t="shared" si="319"/>
        <v/>
      </c>
      <c r="CZL118" s="100" t="str">
        <f t="shared" si="319"/>
        <v/>
      </c>
      <c r="CZM118" s="100" t="str">
        <f t="shared" si="319"/>
        <v/>
      </c>
      <c r="CZN118" s="100" t="str">
        <f t="shared" si="319"/>
        <v/>
      </c>
      <c r="CZO118" s="100" t="str">
        <f t="shared" si="319"/>
        <v/>
      </c>
      <c r="CZP118" s="100" t="str">
        <f t="shared" si="319"/>
        <v/>
      </c>
      <c r="CZQ118" s="100" t="str">
        <f t="shared" si="319"/>
        <v/>
      </c>
      <c r="CZR118" s="100" t="str">
        <f t="shared" si="319"/>
        <v/>
      </c>
      <c r="CZS118" s="100" t="str">
        <f t="shared" si="319"/>
        <v/>
      </c>
      <c r="CZT118" s="100" t="str">
        <f t="shared" si="319"/>
        <v/>
      </c>
      <c r="CZU118" s="100" t="str">
        <f t="shared" si="319"/>
        <v/>
      </c>
      <c r="CZV118" s="100" t="str">
        <f t="shared" si="319"/>
        <v/>
      </c>
      <c r="CZW118" s="100" t="str">
        <f t="shared" si="319"/>
        <v/>
      </c>
      <c r="CZX118" s="100" t="str">
        <f t="shared" si="319"/>
        <v/>
      </c>
      <c r="CZY118" s="100" t="str">
        <f t="shared" si="319"/>
        <v/>
      </c>
      <c r="CZZ118" s="100" t="str">
        <f t="shared" si="319"/>
        <v/>
      </c>
      <c r="DAA118" s="100" t="str">
        <f t="shared" si="319"/>
        <v/>
      </c>
      <c r="DAB118" s="100" t="str">
        <f t="shared" si="319"/>
        <v/>
      </c>
      <c r="DAC118" s="100" t="str">
        <f t="shared" si="319"/>
        <v/>
      </c>
      <c r="DAD118" s="100" t="str">
        <f t="shared" si="319"/>
        <v/>
      </c>
      <c r="DAE118" s="100" t="str">
        <f t="shared" si="319"/>
        <v/>
      </c>
      <c r="DAF118" s="100" t="str">
        <f t="shared" si="319"/>
        <v/>
      </c>
      <c r="DAG118" s="100" t="str">
        <f t="shared" si="319"/>
        <v/>
      </c>
      <c r="DAH118" s="100" t="str">
        <f t="shared" si="319"/>
        <v/>
      </c>
      <c r="DAI118" s="100" t="str">
        <f t="shared" si="319"/>
        <v/>
      </c>
      <c r="DAJ118" s="100" t="str">
        <f t="shared" si="319"/>
        <v/>
      </c>
      <c r="DAK118" s="100" t="str">
        <f t="shared" si="319"/>
        <v/>
      </c>
      <c r="DAL118" s="100" t="str">
        <f t="shared" si="319"/>
        <v/>
      </c>
      <c r="DAM118" s="100" t="str">
        <f t="shared" si="319"/>
        <v/>
      </c>
      <c r="DAN118" s="100" t="str">
        <f t="shared" si="319"/>
        <v/>
      </c>
      <c r="DAO118" s="100" t="str">
        <f t="shared" si="319"/>
        <v/>
      </c>
      <c r="DAP118" s="100" t="str">
        <f t="shared" si="319"/>
        <v/>
      </c>
      <c r="DAQ118" s="100" t="str">
        <f t="shared" si="319"/>
        <v/>
      </c>
      <c r="DAR118" s="100" t="str">
        <f t="shared" si="319"/>
        <v/>
      </c>
      <c r="DAS118" s="100" t="str">
        <f t="shared" si="319"/>
        <v/>
      </c>
      <c r="DAT118" s="100" t="str">
        <f t="shared" si="319"/>
        <v/>
      </c>
      <c r="DAU118" s="100" t="str">
        <f t="shared" si="319"/>
        <v/>
      </c>
      <c r="DAV118" s="100" t="str">
        <f t="shared" si="319"/>
        <v/>
      </c>
      <c r="DAW118" s="100" t="str">
        <f t="shared" si="319"/>
        <v/>
      </c>
      <c r="DAX118" s="100" t="str">
        <f t="shared" si="319"/>
        <v/>
      </c>
      <c r="DAY118" s="100" t="str">
        <f t="shared" si="319"/>
        <v/>
      </c>
      <c r="DAZ118" s="100" t="str">
        <f t="shared" si="319"/>
        <v/>
      </c>
      <c r="DBA118" s="100" t="str">
        <f t="shared" ref="DBA118:DDL118" si="320">IFERROR(AVERAGE(DBA6,DBA16,DBA25,DBA34,DBA42,DBA54,DBA62,DBA70,DBA78,DBA86,DBA94,DBA102,DBA110),"")</f>
        <v/>
      </c>
      <c r="DBB118" s="100" t="str">
        <f t="shared" si="320"/>
        <v/>
      </c>
      <c r="DBC118" s="100" t="str">
        <f t="shared" si="320"/>
        <v/>
      </c>
      <c r="DBD118" s="100" t="str">
        <f t="shared" si="320"/>
        <v/>
      </c>
      <c r="DBE118" s="100" t="str">
        <f t="shared" si="320"/>
        <v/>
      </c>
      <c r="DBF118" s="100" t="str">
        <f t="shared" si="320"/>
        <v/>
      </c>
      <c r="DBG118" s="100" t="str">
        <f t="shared" si="320"/>
        <v/>
      </c>
      <c r="DBH118" s="100" t="str">
        <f t="shared" si="320"/>
        <v/>
      </c>
      <c r="DBI118" s="100" t="str">
        <f t="shared" si="320"/>
        <v/>
      </c>
      <c r="DBJ118" s="100" t="str">
        <f t="shared" si="320"/>
        <v/>
      </c>
      <c r="DBK118" s="100" t="str">
        <f t="shared" si="320"/>
        <v/>
      </c>
      <c r="DBL118" s="100" t="str">
        <f t="shared" si="320"/>
        <v/>
      </c>
      <c r="DBM118" s="100" t="str">
        <f t="shared" si="320"/>
        <v/>
      </c>
      <c r="DBN118" s="100" t="str">
        <f t="shared" si="320"/>
        <v/>
      </c>
      <c r="DBO118" s="100" t="str">
        <f t="shared" si="320"/>
        <v/>
      </c>
      <c r="DBP118" s="100" t="str">
        <f t="shared" si="320"/>
        <v/>
      </c>
      <c r="DBQ118" s="100" t="str">
        <f t="shared" si="320"/>
        <v/>
      </c>
      <c r="DBR118" s="100" t="str">
        <f t="shared" si="320"/>
        <v/>
      </c>
      <c r="DBS118" s="100" t="str">
        <f t="shared" si="320"/>
        <v/>
      </c>
      <c r="DBT118" s="100" t="str">
        <f t="shared" si="320"/>
        <v/>
      </c>
      <c r="DBU118" s="100" t="str">
        <f t="shared" si="320"/>
        <v/>
      </c>
      <c r="DBV118" s="100" t="str">
        <f t="shared" si="320"/>
        <v/>
      </c>
      <c r="DBW118" s="100" t="str">
        <f t="shared" si="320"/>
        <v/>
      </c>
      <c r="DBX118" s="100" t="str">
        <f t="shared" si="320"/>
        <v/>
      </c>
      <c r="DBY118" s="100" t="str">
        <f t="shared" si="320"/>
        <v/>
      </c>
      <c r="DBZ118" s="100" t="str">
        <f t="shared" si="320"/>
        <v/>
      </c>
      <c r="DCA118" s="100" t="str">
        <f t="shared" si="320"/>
        <v/>
      </c>
      <c r="DCB118" s="100" t="str">
        <f t="shared" si="320"/>
        <v/>
      </c>
      <c r="DCC118" s="100" t="str">
        <f t="shared" si="320"/>
        <v/>
      </c>
      <c r="DCD118" s="100" t="str">
        <f t="shared" si="320"/>
        <v/>
      </c>
      <c r="DCE118" s="100" t="str">
        <f t="shared" si="320"/>
        <v/>
      </c>
      <c r="DCF118" s="100" t="str">
        <f t="shared" si="320"/>
        <v/>
      </c>
      <c r="DCG118" s="100" t="str">
        <f t="shared" si="320"/>
        <v/>
      </c>
      <c r="DCH118" s="100" t="str">
        <f t="shared" si="320"/>
        <v/>
      </c>
      <c r="DCI118" s="100" t="str">
        <f t="shared" si="320"/>
        <v/>
      </c>
      <c r="DCJ118" s="100" t="str">
        <f t="shared" si="320"/>
        <v/>
      </c>
      <c r="DCK118" s="100" t="str">
        <f t="shared" si="320"/>
        <v/>
      </c>
      <c r="DCL118" s="100" t="str">
        <f t="shared" si="320"/>
        <v/>
      </c>
      <c r="DCM118" s="100" t="str">
        <f t="shared" si="320"/>
        <v/>
      </c>
      <c r="DCN118" s="100" t="str">
        <f t="shared" si="320"/>
        <v/>
      </c>
      <c r="DCO118" s="100" t="str">
        <f t="shared" si="320"/>
        <v/>
      </c>
      <c r="DCP118" s="100" t="str">
        <f t="shared" si="320"/>
        <v/>
      </c>
      <c r="DCQ118" s="100" t="str">
        <f t="shared" si="320"/>
        <v/>
      </c>
      <c r="DCR118" s="100" t="str">
        <f t="shared" si="320"/>
        <v/>
      </c>
      <c r="DCS118" s="100" t="str">
        <f t="shared" si="320"/>
        <v/>
      </c>
      <c r="DCT118" s="100" t="str">
        <f t="shared" si="320"/>
        <v/>
      </c>
      <c r="DCU118" s="100" t="str">
        <f t="shared" si="320"/>
        <v/>
      </c>
      <c r="DCV118" s="100" t="str">
        <f t="shared" si="320"/>
        <v/>
      </c>
      <c r="DCW118" s="100" t="str">
        <f t="shared" si="320"/>
        <v/>
      </c>
      <c r="DCX118" s="100" t="str">
        <f t="shared" si="320"/>
        <v/>
      </c>
      <c r="DCY118" s="100" t="str">
        <f t="shared" si="320"/>
        <v/>
      </c>
      <c r="DCZ118" s="100" t="str">
        <f t="shared" si="320"/>
        <v/>
      </c>
      <c r="DDA118" s="100" t="str">
        <f t="shared" si="320"/>
        <v/>
      </c>
      <c r="DDB118" s="100" t="str">
        <f t="shared" si="320"/>
        <v/>
      </c>
      <c r="DDC118" s="100" t="str">
        <f t="shared" si="320"/>
        <v/>
      </c>
      <c r="DDD118" s="100" t="str">
        <f t="shared" si="320"/>
        <v/>
      </c>
      <c r="DDE118" s="100" t="str">
        <f t="shared" si="320"/>
        <v/>
      </c>
      <c r="DDF118" s="100" t="str">
        <f t="shared" si="320"/>
        <v/>
      </c>
      <c r="DDG118" s="100" t="str">
        <f t="shared" si="320"/>
        <v/>
      </c>
      <c r="DDH118" s="100" t="str">
        <f t="shared" si="320"/>
        <v/>
      </c>
      <c r="DDI118" s="100" t="str">
        <f t="shared" si="320"/>
        <v/>
      </c>
      <c r="DDJ118" s="100" t="str">
        <f t="shared" si="320"/>
        <v/>
      </c>
      <c r="DDK118" s="100" t="str">
        <f t="shared" si="320"/>
        <v/>
      </c>
      <c r="DDL118" s="100" t="str">
        <f t="shared" si="320"/>
        <v/>
      </c>
      <c r="DDM118" s="100" t="str">
        <f t="shared" ref="DDM118:DFX118" si="321">IFERROR(AVERAGE(DDM6,DDM16,DDM25,DDM34,DDM42,DDM54,DDM62,DDM70,DDM78,DDM86,DDM94,DDM102,DDM110),"")</f>
        <v/>
      </c>
      <c r="DDN118" s="100" t="str">
        <f t="shared" si="321"/>
        <v/>
      </c>
      <c r="DDO118" s="100" t="str">
        <f t="shared" si="321"/>
        <v/>
      </c>
      <c r="DDP118" s="100" t="str">
        <f t="shared" si="321"/>
        <v/>
      </c>
      <c r="DDQ118" s="100" t="str">
        <f t="shared" si="321"/>
        <v/>
      </c>
      <c r="DDR118" s="100" t="str">
        <f t="shared" si="321"/>
        <v/>
      </c>
      <c r="DDS118" s="100" t="str">
        <f t="shared" si="321"/>
        <v/>
      </c>
      <c r="DDT118" s="100" t="str">
        <f t="shared" si="321"/>
        <v/>
      </c>
      <c r="DDU118" s="100" t="str">
        <f t="shared" si="321"/>
        <v/>
      </c>
      <c r="DDV118" s="100" t="str">
        <f t="shared" si="321"/>
        <v/>
      </c>
      <c r="DDW118" s="100" t="str">
        <f t="shared" si="321"/>
        <v/>
      </c>
      <c r="DDX118" s="100" t="str">
        <f t="shared" si="321"/>
        <v/>
      </c>
      <c r="DDY118" s="100" t="str">
        <f t="shared" si="321"/>
        <v/>
      </c>
      <c r="DDZ118" s="100" t="str">
        <f t="shared" si="321"/>
        <v/>
      </c>
      <c r="DEA118" s="100" t="str">
        <f t="shared" si="321"/>
        <v/>
      </c>
      <c r="DEB118" s="100" t="str">
        <f t="shared" si="321"/>
        <v/>
      </c>
      <c r="DEC118" s="100" t="str">
        <f t="shared" si="321"/>
        <v/>
      </c>
      <c r="DED118" s="100" t="str">
        <f t="shared" si="321"/>
        <v/>
      </c>
      <c r="DEE118" s="100" t="str">
        <f t="shared" si="321"/>
        <v/>
      </c>
      <c r="DEF118" s="100" t="str">
        <f t="shared" si="321"/>
        <v/>
      </c>
      <c r="DEG118" s="100" t="str">
        <f t="shared" si="321"/>
        <v/>
      </c>
      <c r="DEH118" s="100" t="str">
        <f t="shared" si="321"/>
        <v/>
      </c>
      <c r="DEI118" s="100" t="str">
        <f t="shared" si="321"/>
        <v/>
      </c>
      <c r="DEJ118" s="100" t="str">
        <f t="shared" si="321"/>
        <v/>
      </c>
      <c r="DEK118" s="100" t="str">
        <f t="shared" si="321"/>
        <v/>
      </c>
      <c r="DEL118" s="100" t="str">
        <f t="shared" si="321"/>
        <v/>
      </c>
      <c r="DEM118" s="100" t="str">
        <f t="shared" si="321"/>
        <v/>
      </c>
      <c r="DEN118" s="100" t="str">
        <f t="shared" si="321"/>
        <v/>
      </c>
      <c r="DEO118" s="100" t="str">
        <f t="shared" si="321"/>
        <v/>
      </c>
      <c r="DEP118" s="100" t="str">
        <f t="shared" si="321"/>
        <v/>
      </c>
      <c r="DEQ118" s="100" t="str">
        <f t="shared" si="321"/>
        <v/>
      </c>
      <c r="DER118" s="100" t="str">
        <f t="shared" si="321"/>
        <v/>
      </c>
      <c r="DES118" s="100" t="str">
        <f t="shared" si="321"/>
        <v/>
      </c>
      <c r="DET118" s="100" t="str">
        <f t="shared" si="321"/>
        <v/>
      </c>
      <c r="DEU118" s="100" t="str">
        <f t="shared" si="321"/>
        <v/>
      </c>
      <c r="DEV118" s="100" t="str">
        <f t="shared" si="321"/>
        <v/>
      </c>
      <c r="DEW118" s="100" t="str">
        <f t="shared" si="321"/>
        <v/>
      </c>
      <c r="DEX118" s="100" t="str">
        <f t="shared" si="321"/>
        <v/>
      </c>
      <c r="DEY118" s="100" t="str">
        <f t="shared" si="321"/>
        <v/>
      </c>
      <c r="DEZ118" s="100" t="str">
        <f t="shared" si="321"/>
        <v/>
      </c>
      <c r="DFA118" s="100" t="str">
        <f t="shared" si="321"/>
        <v/>
      </c>
      <c r="DFB118" s="100" t="str">
        <f t="shared" si="321"/>
        <v/>
      </c>
      <c r="DFC118" s="100" t="str">
        <f t="shared" si="321"/>
        <v/>
      </c>
      <c r="DFD118" s="100" t="str">
        <f t="shared" si="321"/>
        <v/>
      </c>
      <c r="DFE118" s="100" t="str">
        <f t="shared" si="321"/>
        <v/>
      </c>
      <c r="DFF118" s="100" t="str">
        <f t="shared" si="321"/>
        <v/>
      </c>
      <c r="DFG118" s="100" t="str">
        <f t="shared" si="321"/>
        <v/>
      </c>
      <c r="DFH118" s="100" t="str">
        <f t="shared" si="321"/>
        <v/>
      </c>
      <c r="DFI118" s="100" t="str">
        <f t="shared" si="321"/>
        <v/>
      </c>
      <c r="DFJ118" s="100" t="str">
        <f t="shared" si="321"/>
        <v/>
      </c>
      <c r="DFK118" s="100" t="str">
        <f t="shared" si="321"/>
        <v/>
      </c>
      <c r="DFL118" s="100" t="str">
        <f t="shared" si="321"/>
        <v/>
      </c>
      <c r="DFM118" s="100" t="str">
        <f t="shared" si="321"/>
        <v/>
      </c>
      <c r="DFN118" s="100" t="str">
        <f t="shared" si="321"/>
        <v/>
      </c>
      <c r="DFO118" s="100" t="str">
        <f t="shared" si="321"/>
        <v/>
      </c>
      <c r="DFP118" s="100" t="str">
        <f t="shared" si="321"/>
        <v/>
      </c>
      <c r="DFQ118" s="100" t="str">
        <f t="shared" si="321"/>
        <v/>
      </c>
      <c r="DFR118" s="100" t="str">
        <f t="shared" si="321"/>
        <v/>
      </c>
      <c r="DFS118" s="100" t="str">
        <f t="shared" si="321"/>
        <v/>
      </c>
      <c r="DFT118" s="100" t="str">
        <f t="shared" si="321"/>
        <v/>
      </c>
      <c r="DFU118" s="100" t="str">
        <f t="shared" si="321"/>
        <v/>
      </c>
      <c r="DFV118" s="100" t="str">
        <f t="shared" si="321"/>
        <v/>
      </c>
      <c r="DFW118" s="100" t="str">
        <f t="shared" si="321"/>
        <v/>
      </c>
      <c r="DFX118" s="100" t="str">
        <f t="shared" si="321"/>
        <v/>
      </c>
      <c r="DFY118" s="100" t="str">
        <f t="shared" ref="DFY118:DIJ118" si="322">IFERROR(AVERAGE(DFY6,DFY16,DFY25,DFY34,DFY42,DFY54,DFY62,DFY70,DFY78,DFY86,DFY94,DFY102,DFY110),"")</f>
        <v/>
      </c>
      <c r="DFZ118" s="100" t="str">
        <f t="shared" si="322"/>
        <v/>
      </c>
      <c r="DGA118" s="100" t="str">
        <f t="shared" si="322"/>
        <v/>
      </c>
      <c r="DGB118" s="100" t="str">
        <f t="shared" si="322"/>
        <v/>
      </c>
      <c r="DGC118" s="100" t="str">
        <f t="shared" si="322"/>
        <v/>
      </c>
      <c r="DGD118" s="100" t="str">
        <f t="shared" si="322"/>
        <v/>
      </c>
      <c r="DGE118" s="100" t="str">
        <f t="shared" si="322"/>
        <v/>
      </c>
      <c r="DGF118" s="100" t="str">
        <f t="shared" si="322"/>
        <v/>
      </c>
      <c r="DGG118" s="100" t="str">
        <f t="shared" si="322"/>
        <v/>
      </c>
      <c r="DGH118" s="100" t="str">
        <f t="shared" si="322"/>
        <v/>
      </c>
      <c r="DGI118" s="100" t="str">
        <f t="shared" si="322"/>
        <v/>
      </c>
      <c r="DGJ118" s="100" t="str">
        <f t="shared" si="322"/>
        <v/>
      </c>
      <c r="DGK118" s="100" t="str">
        <f t="shared" si="322"/>
        <v/>
      </c>
      <c r="DGL118" s="100" t="str">
        <f t="shared" si="322"/>
        <v/>
      </c>
      <c r="DGM118" s="100" t="str">
        <f t="shared" si="322"/>
        <v/>
      </c>
      <c r="DGN118" s="100" t="str">
        <f t="shared" si="322"/>
        <v/>
      </c>
      <c r="DGO118" s="100" t="str">
        <f t="shared" si="322"/>
        <v/>
      </c>
      <c r="DGP118" s="100" t="str">
        <f t="shared" si="322"/>
        <v/>
      </c>
      <c r="DGQ118" s="100" t="str">
        <f t="shared" si="322"/>
        <v/>
      </c>
      <c r="DGR118" s="100" t="str">
        <f t="shared" si="322"/>
        <v/>
      </c>
      <c r="DGS118" s="100" t="str">
        <f t="shared" si="322"/>
        <v/>
      </c>
      <c r="DGT118" s="100" t="str">
        <f t="shared" si="322"/>
        <v/>
      </c>
      <c r="DGU118" s="100" t="str">
        <f t="shared" si="322"/>
        <v/>
      </c>
      <c r="DGV118" s="100" t="str">
        <f t="shared" si="322"/>
        <v/>
      </c>
      <c r="DGW118" s="100" t="str">
        <f t="shared" si="322"/>
        <v/>
      </c>
      <c r="DGX118" s="100" t="str">
        <f t="shared" si="322"/>
        <v/>
      </c>
      <c r="DGY118" s="100" t="str">
        <f t="shared" si="322"/>
        <v/>
      </c>
      <c r="DGZ118" s="100" t="str">
        <f t="shared" si="322"/>
        <v/>
      </c>
      <c r="DHA118" s="100" t="str">
        <f t="shared" si="322"/>
        <v/>
      </c>
      <c r="DHB118" s="100" t="str">
        <f t="shared" si="322"/>
        <v/>
      </c>
      <c r="DHC118" s="100" t="str">
        <f t="shared" si="322"/>
        <v/>
      </c>
      <c r="DHD118" s="100" t="str">
        <f t="shared" si="322"/>
        <v/>
      </c>
      <c r="DHE118" s="100" t="str">
        <f t="shared" si="322"/>
        <v/>
      </c>
      <c r="DHF118" s="100" t="str">
        <f t="shared" si="322"/>
        <v/>
      </c>
      <c r="DHG118" s="100" t="str">
        <f t="shared" si="322"/>
        <v/>
      </c>
      <c r="DHH118" s="100" t="str">
        <f t="shared" si="322"/>
        <v/>
      </c>
      <c r="DHI118" s="100" t="str">
        <f t="shared" si="322"/>
        <v/>
      </c>
      <c r="DHJ118" s="100" t="str">
        <f t="shared" si="322"/>
        <v/>
      </c>
      <c r="DHK118" s="100" t="str">
        <f t="shared" si="322"/>
        <v/>
      </c>
      <c r="DHL118" s="100" t="str">
        <f t="shared" si="322"/>
        <v/>
      </c>
      <c r="DHM118" s="100" t="str">
        <f t="shared" si="322"/>
        <v/>
      </c>
      <c r="DHN118" s="100" t="str">
        <f t="shared" si="322"/>
        <v/>
      </c>
      <c r="DHO118" s="100" t="str">
        <f t="shared" si="322"/>
        <v/>
      </c>
      <c r="DHP118" s="100" t="str">
        <f t="shared" si="322"/>
        <v/>
      </c>
      <c r="DHQ118" s="100" t="str">
        <f t="shared" si="322"/>
        <v/>
      </c>
      <c r="DHR118" s="100" t="str">
        <f t="shared" si="322"/>
        <v/>
      </c>
      <c r="DHS118" s="100" t="str">
        <f t="shared" si="322"/>
        <v/>
      </c>
      <c r="DHT118" s="100" t="str">
        <f t="shared" si="322"/>
        <v/>
      </c>
      <c r="DHU118" s="100" t="str">
        <f t="shared" si="322"/>
        <v/>
      </c>
      <c r="DHV118" s="100" t="str">
        <f t="shared" si="322"/>
        <v/>
      </c>
      <c r="DHW118" s="100" t="str">
        <f t="shared" si="322"/>
        <v/>
      </c>
      <c r="DHX118" s="100" t="str">
        <f t="shared" si="322"/>
        <v/>
      </c>
      <c r="DHY118" s="100" t="str">
        <f t="shared" si="322"/>
        <v/>
      </c>
      <c r="DHZ118" s="100" t="str">
        <f t="shared" si="322"/>
        <v/>
      </c>
      <c r="DIA118" s="100" t="str">
        <f t="shared" si="322"/>
        <v/>
      </c>
      <c r="DIB118" s="100" t="str">
        <f t="shared" si="322"/>
        <v/>
      </c>
      <c r="DIC118" s="100" t="str">
        <f t="shared" si="322"/>
        <v/>
      </c>
      <c r="DID118" s="100" t="str">
        <f t="shared" si="322"/>
        <v/>
      </c>
      <c r="DIE118" s="100" t="str">
        <f t="shared" si="322"/>
        <v/>
      </c>
      <c r="DIF118" s="100" t="str">
        <f t="shared" si="322"/>
        <v/>
      </c>
      <c r="DIG118" s="100" t="str">
        <f t="shared" si="322"/>
        <v/>
      </c>
      <c r="DIH118" s="100" t="str">
        <f t="shared" si="322"/>
        <v/>
      </c>
      <c r="DII118" s="100" t="str">
        <f t="shared" si="322"/>
        <v/>
      </c>
      <c r="DIJ118" s="100" t="str">
        <f t="shared" si="322"/>
        <v/>
      </c>
      <c r="DIK118" s="100" t="str">
        <f t="shared" ref="DIK118:DKV118" si="323">IFERROR(AVERAGE(DIK6,DIK16,DIK25,DIK34,DIK42,DIK54,DIK62,DIK70,DIK78,DIK86,DIK94,DIK102,DIK110),"")</f>
        <v/>
      </c>
      <c r="DIL118" s="100" t="str">
        <f t="shared" si="323"/>
        <v/>
      </c>
      <c r="DIM118" s="100" t="str">
        <f t="shared" si="323"/>
        <v/>
      </c>
      <c r="DIN118" s="100" t="str">
        <f t="shared" si="323"/>
        <v/>
      </c>
      <c r="DIO118" s="100" t="str">
        <f t="shared" si="323"/>
        <v/>
      </c>
      <c r="DIP118" s="100" t="str">
        <f t="shared" si="323"/>
        <v/>
      </c>
      <c r="DIQ118" s="100" t="str">
        <f t="shared" si="323"/>
        <v/>
      </c>
      <c r="DIR118" s="100" t="str">
        <f t="shared" si="323"/>
        <v/>
      </c>
      <c r="DIS118" s="100" t="str">
        <f t="shared" si="323"/>
        <v/>
      </c>
      <c r="DIT118" s="100" t="str">
        <f t="shared" si="323"/>
        <v/>
      </c>
      <c r="DIU118" s="100" t="str">
        <f t="shared" si="323"/>
        <v/>
      </c>
      <c r="DIV118" s="100" t="str">
        <f t="shared" si="323"/>
        <v/>
      </c>
      <c r="DIW118" s="100" t="str">
        <f t="shared" si="323"/>
        <v/>
      </c>
      <c r="DIX118" s="100" t="str">
        <f t="shared" si="323"/>
        <v/>
      </c>
      <c r="DIY118" s="100" t="str">
        <f t="shared" si="323"/>
        <v/>
      </c>
      <c r="DIZ118" s="100" t="str">
        <f t="shared" si="323"/>
        <v/>
      </c>
      <c r="DJA118" s="100" t="str">
        <f t="shared" si="323"/>
        <v/>
      </c>
      <c r="DJB118" s="100" t="str">
        <f t="shared" si="323"/>
        <v/>
      </c>
      <c r="DJC118" s="100" t="str">
        <f t="shared" si="323"/>
        <v/>
      </c>
      <c r="DJD118" s="100" t="str">
        <f t="shared" si="323"/>
        <v/>
      </c>
      <c r="DJE118" s="100" t="str">
        <f t="shared" si="323"/>
        <v/>
      </c>
      <c r="DJF118" s="100" t="str">
        <f t="shared" si="323"/>
        <v/>
      </c>
      <c r="DJG118" s="100" t="str">
        <f t="shared" si="323"/>
        <v/>
      </c>
      <c r="DJH118" s="100" t="str">
        <f t="shared" si="323"/>
        <v/>
      </c>
      <c r="DJI118" s="100" t="str">
        <f t="shared" si="323"/>
        <v/>
      </c>
      <c r="DJJ118" s="100" t="str">
        <f t="shared" si="323"/>
        <v/>
      </c>
      <c r="DJK118" s="100" t="str">
        <f t="shared" si="323"/>
        <v/>
      </c>
      <c r="DJL118" s="100" t="str">
        <f t="shared" si="323"/>
        <v/>
      </c>
      <c r="DJM118" s="100" t="str">
        <f t="shared" si="323"/>
        <v/>
      </c>
      <c r="DJN118" s="100" t="str">
        <f t="shared" si="323"/>
        <v/>
      </c>
      <c r="DJO118" s="100" t="str">
        <f t="shared" si="323"/>
        <v/>
      </c>
      <c r="DJP118" s="100" t="str">
        <f t="shared" si="323"/>
        <v/>
      </c>
      <c r="DJQ118" s="100" t="str">
        <f t="shared" si="323"/>
        <v/>
      </c>
      <c r="DJR118" s="100" t="str">
        <f t="shared" si="323"/>
        <v/>
      </c>
      <c r="DJS118" s="100" t="str">
        <f t="shared" si="323"/>
        <v/>
      </c>
      <c r="DJT118" s="100" t="str">
        <f t="shared" si="323"/>
        <v/>
      </c>
      <c r="DJU118" s="100" t="str">
        <f t="shared" si="323"/>
        <v/>
      </c>
      <c r="DJV118" s="100" t="str">
        <f t="shared" si="323"/>
        <v/>
      </c>
      <c r="DJW118" s="100" t="str">
        <f t="shared" si="323"/>
        <v/>
      </c>
      <c r="DJX118" s="100" t="str">
        <f t="shared" si="323"/>
        <v/>
      </c>
      <c r="DJY118" s="100" t="str">
        <f t="shared" si="323"/>
        <v/>
      </c>
      <c r="DJZ118" s="100" t="str">
        <f t="shared" si="323"/>
        <v/>
      </c>
      <c r="DKA118" s="100" t="str">
        <f t="shared" si="323"/>
        <v/>
      </c>
      <c r="DKB118" s="100" t="str">
        <f t="shared" si="323"/>
        <v/>
      </c>
      <c r="DKC118" s="100" t="str">
        <f t="shared" si="323"/>
        <v/>
      </c>
      <c r="DKD118" s="100" t="str">
        <f t="shared" si="323"/>
        <v/>
      </c>
      <c r="DKE118" s="100" t="str">
        <f t="shared" si="323"/>
        <v/>
      </c>
      <c r="DKF118" s="100" t="str">
        <f t="shared" si="323"/>
        <v/>
      </c>
      <c r="DKG118" s="100" t="str">
        <f t="shared" si="323"/>
        <v/>
      </c>
      <c r="DKH118" s="100" t="str">
        <f t="shared" si="323"/>
        <v/>
      </c>
      <c r="DKI118" s="100" t="str">
        <f t="shared" si="323"/>
        <v/>
      </c>
      <c r="DKJ118" s="100" t="str">
        <f t="shared" si="323"/>
        <v/>
      </c>
      <c r="DKK118" s="100" t="str">
        <f t="shared" si="323"/>
        <v/>
      </c>
      <c r="DKL118" s="100" t="str">
        <f t="shared" si="323"/>
        <v/>
      </c>
      <c r="DKM118" s="100" t="str">
        <f t="shared" si="323"/>
        <v/>
      </c>
      <c r="DKN118" s="100" t="str">
        <f t="shared" si="323"/>
        <v/>
      </c>
      <c r="DKO118" s="100" t="str">
        <f t="shared" si="323"/>
        <v/>
      </c>
      <c r="DKP118" s="100" t="str">
        <f t="shared" si="323"/>
        <v/>
      </c>
      <c r="DKQ118" s="100" t="str">
        <f t="shared" si="323"/>
        <v/>
      </c>
      <c r="DKR118" s="100" t="str">
        <f t="shared" si="323"/>
        <v/>
      </c>
      <c r="DKS118" s="100" t="str">
        <f t="shared" si="323"/>
        <v/>
      </c>
      <c r="DKT118" s="100" t="str">
        <f t="shared" si="323"/>
        <v/>
      </c>
      <c r="DKU118" s="100" t="str">
        <f t="shared" si="323"/>
        <v/>
      </c>
      <c r="DKV118" s="100" t="str">
        <f t="shared" si="323"/>
        <v/>
      </c>
      <c r="DKW118" s="100" t="str">
        <f t="shared" ref="DKW118:DNH118" si="324">IFERROR(AVERAGE(DKW6,DKW16,DKW25,DKW34,DKW42,DKW54,DKW62,DKW70,DKW78,DKW86,DKW94,DKW102,DKW110),"")</f>
        <v/>
      </c>
      <c r="DKX118" s="100" t="str">
        <f t="shared" si="324"/>
        <v/>
      </c>
      <c r="DKY118" s="100" t="str">
        <f t="shared" si="324"/>
        <v/>
      </c>
      <c r="DKZ118" s="100" t="str">
        <f t="shared" si="324"/>
        <v/>
      </c>
      <c r="DLA118" s="100" t="str">
        <f t="shared" si="324"/>
        <v/>
      </c>
      <c r="DLB118" s="100" t="str">
        <f t="shared" si="324"/>
        <v/>
      </c>
      <c r="DLC118" s="100" t="str">
        <f t="shared" si="324"/>
        <v/>
      </c>
      <c r="DLD118" s="100" t="str">
        <f t="shared" si="324"/>
        <v/>
      </c>
      <c r="DLE118" s="100" t="str">
        <f t="shared" si="324"/>
        <v/>
      </c>
      <c r="DLF118" s="100" t="str">
        <f t="shared" si="324"/>
        <v/>
      </c>
      <c r="DLG118" s="100" t="str">
        <f t="shared" si="324"/>
        <v/>
      </c>
      <c r="DLH118" s="100" t="str">
        <f t="shared" si="324"/>
        <v/>
      </c>
      <c r="DLI118" s="100" t="str">
        <f t="shared" si="324"/>
        <v/>
      </c>
      <c r="DLJ118" s="100" t="str">
        <f t="shared" si="324"/>
        <v/>
      </c>
      <c r="DLK118" s="100" t="str">
        <f t="shared" si="324"/>
        <v/>
      </c>
      <c r="DLL118" s="100" t="str">
        <f t="shared" si="324"/>
        <v/>
      </c>
      <c r="DLM118" s="100" t="str">
        <f t="shared" si="324"/>
        <v/>
      </c>
      <c r="DLN118" s="100" t="str">
        <f t="shared" si="324"/>
        <v/>
      </c>
      <c r="DLO118" s="100" t="str">
        <f t="shared" si="324"/>
        <v/>
      </c>
      <c r="DLP118" s="100" t="str">
        <f t="shared" si="324"/>
        <v/>
      </c>
      <c r="DLQ118" s="100" t="str">
        <f t="shared" si="324"/>
        <v/>
      </c>
      <c r="DLR118" s="100" t="str">
        <f t="shared" si="324"/>
        <v/>
      </c>
      <c r="DLS118" s="100" t="str">
        <f t="shared" si="324"/>
        <v/>
      </c>
      <c r="DLT118" s="100" t="str">
        <f t="shared" si="324"/>
        <v/>
      </c>
      <c r="DLU118" s="100" t="str">
        <f t="shared" si="324"/>
        <v/>
      </c>
      <c r="DLV118" s="100" t="str">
        <f t="shared" si="324"/>
        <v/>
      </c>
      <c r="DLW118" s="100" t="str">
        <f t="shared" si="324"/>
        <v/>
      </c>
      <c r="DLX118" s="100" t="str">
        <f t="shared" si="324"/>
        <v/>
      </c>
      <c r="DLY118" s="100" t="str">
        <f t="shared" si="324"/>
        <v/>
      </c>
      <c r="DLZ118" s="100" t="str">
        <f t="shared" si="324"/>
        <v/>
      </c>
      <c r="DMA118" s="100" t="str">
        <f t="shared" si="324"/>
        <v/>
      </c>
      <c r="DMB118" s="100" t="str">
        <f t="shared" si="324"/>
        <v/>
      </c>
      <c r="DMC118" s="100" t="str">
        <f t="shared" si="324"/>
        <v/>
      </c>
      <c r="DMD118" s="100" t="str">
        <f t="shared" si="324"/>
        <v/>
      </c>
      <c r="DME118" s="100" t="str">
        <f t="shared" si="324"/>
        <v/>
      </c>
      <c r="DMF118" s="100" t="str">
        <f t="shared" si="324"/>
        <v/>
      </c>
      <c r="DMG118" s="100" t="str">
        <f t="shared" si="324"/>
        <v/>
      </c>
      <c r="DMH118" s="100" t="str">
        <f t="shared" si="324"/>
        <v/>
      </c>
      <c r="DMI118" s="100" t="str">
        <f t="shared" si="324"/>
        <v/>
      </c>
      <c r="DMJ118" s="100" t="str">
        <f t="shared" si="324"/>
        <v/>
      </c>
      <c r="DMK118" s="100" t="str">
        <f t="shared" si="324"/>
        <v/>
      </c>
      <c r="DML118" s="100" t="str">
        <f t="shared" si="324"/>
        <v/>
      </c>
      <c r="DMM118" s="100" t="str">
        <f t="shared" si="324"/>
        <v/>
      </c>
      <c r="DMN118" s="100" t="str">
        <f t="shared" si="324"/>
        <v/>
      </c>
      <c r="DMO118" s="100" t="str">
        <f t="shared" si="324"/>
        <v/>
      </c>
      <c r="DMP118" s="100" t="str">
        <f t="shared" si="324"/>
        <v/>
      </c>
      <c r="DMQ118" s="100" t="str">
        <f t="shared" si="324"/>
        <v/>
      </c>
      <c r="DMR118" s="100" t="str">
        <f t="shared" si="324"/>
        <v/>
      </c>
      <c r="DMS118" s="100" t="str">
        <f t="shared" si="324"/>
        <v/>
      </c>
      <c r="DMT118" s="100" t="str">
        <f t="shared" si="324"/>
        <v/>
      </c>
      <c r="DMU118" s="100" t="str">
        <f t="shared" si="324"/>
        <v/>
      </c>
      <c r="DMV118" s="100" t="str">
        <f t="shared" si="324"/>
        <v/>
      </c>
      <c r="DMW118" s="100" t="str">
        <f t="shared" si="324"/>
        <v/>
      </c>
      <c r="DMX118" s="100" t="str">
        <f t="shared" si="324"/>
        <v/>
      </c>
      <c r="DMY118" s="100" t="str">
        <f t="shared" si="324"/>
        <v/>
      </c>
      <c r="DMZ118" s="100" t="str">
        <f t="shared" si="324"/>
        <v/>
      </c>
      <c r="DNA118" s="100" t="str">
        <f t="shared" si="324"/>
        <v/>
      </c>
      <c r="DNB118" s="100" t="str">
        <f t="shared" si="324"/>
        <v/>
      </c>
      <c r="DNC118" s="100" t="str">
        <f t="shared" si="324"/>
        <v/>
      </c>
      <c r="DND118" s="100" t="str">
        <f t="shared" si="324"/>
        <v/>
      </c>
      <c r="DNE118" s="100" t="str">
        <f t="shared" si="324"/>
        <v/>
      </c>
      <c r="DNF118" s="100" t="str">
        <f t="shared" si="324"/>
        <v/>
      </c>
      <c r="DNG118" s="100" t="str">
        <f t="shared" si="324"/>
        <v/>
      </c>
      <c r="DNH118" s="100" t="str">
        <f t="shared" si="324"/>
        <v/>
      </c>
      <c r="DNI118" s="100" t="str">
        <f t="shared" ref="DNI118:DPT118" si="325">IFERROR(AVERAGE(DNI6,DNI16,DNI25,DNI34,DNI42,DNI54,DNI62,DNI70,DNI78,DNI86,DNI94,DNI102,DNI110),"")</f>
        <v/>
      </c>
      <c r="DNJ118" s="100" t="str">
        <f t="shared" si="325"/>
        <v/>
      </c>
      <c r="DNK118" s="100" t="str">
        <f t="shared" si="325"/>
        <v/>
      </c>
      <c r="DNL118" s="100" t="str">
        <f t="shared" si="325"/>
        <v/>
      </c>
      <c r="DNM118" s="100" t="str">
        <f t="shared" si="325"/>
        <v/>
      </c>
      <c r="DNN118" s="100" t="str">
        <f t="shared" si="325"/>
        <v/>
      </c>
      <c r="DNO118" s="100" t="str">
        <f t="shared" si="325"/>
        <v/>
      </c>
      <c r="DNP118" s="100" t="str">
        <f t="shared" si="325"/>
        <v/>
      </c>
      <c r="DNQ118" s="100" t="str">
        <f t="shared" si="325"/>
        <v/>
      </c>
      <c r="DNR118" s="100" t="str">
        <f t="shared" si="325"/>
        <v/>
      </c>
      <c r="DNS118" s="100" t="str">
        <f t="shared" si="325"/>
        <v/>
      </c>
      <c r="DNT118" s="100" t="str">
        <f t="shared" si="325"/>
        <v/>
      </c>
      <c r="DNU118" s="100" t="str">
        <f t="shared" si="325"/>
        <v/>
      </c>
      <c r="DNV118" s="100" t="str">
        <f t="shared" si="325"/>
        <v/>
      </c>
      <c r="DNW118" s="100" t="str">
        <f t="shared" si="325"/>
        <v/>
      </c>
      <c r="DNX118" s="100" t="str">
        <f t="shared" si="325"/>
        <v/>
      </c>
      <c r="DNY118" s="100" t="str">
        <f t="shared" si="325"/>
        <v/>
      </c>
      <c r="DNZ118" s="100" t="str">
        <f t="shared" si="325"/>
        <v/>
      </c>
      <c r="DOA118" s="100" t="str">
        <f t="shared" si="325"/>
        <v/>
      </c>
      <c r="DOB118" s="100" t="str">
        <f t="shared" si="325"/>
        <v/>
      </c>
      <c r="DOC118" s="100" t="str">
        <f t="shared" si="325"/>
        <v/>
      </c>
      <c r="DOD118" s="100" t="str">
        <f t="shared" si="325"/>
        <v/>
      </c>
      <c r="DOE118" s="100" t="str">
        <f t="shared" si="325"/>
        <v/>
      </c>
      <c r="DOF118" s="100" t="str">
        <f t="shared" si="325"/>
        <v/>
      </c>
      <c r="DOG118" s="100" t="str">
        <f t="shared" si="325"/>
        <v/>
      </c>
      <c r="DOH118" s="100" t="str">
        <f t="shared" si="325"/>
        <v/>
      </c>
      <c r="DOI118" s="100" t="str">
        <f t="shared" si="325"/>
        <v/>
      </c>
      <c r="DOJ118" s="100" t="str">
        <f t="shared" si="325"/>
        <v/>
      </c>
      <c r="DOK118" s="100" t="str">
        <f t="shared" si="325"/>
        <v/>
      </c>
      <c r="DOL118" s="100" t="str">
        <f t="shared" si="325"/>
        <v/>
      </c>
      <c r="DOM118" s="100" t="str">
        <f t="shared" si="325"/>
        <v/>
      </c>
      <c r="DON118" s="100" t="str">
        <f t="shared" si="325"/>
        <v/>
      </c>
      <c r="DOO118" s="100" t="str">
        <f t="shared" si="325"/>
        <v/>
      </c>
      <c r="DOP118" s="100" t="str">
        <f t="shared" si="325"/>
        <v/>
      </c>
      <c r="DOQ118" s="100" t="str">
        <f t="shared" si="325"/>
        <v/>
      </c>
      <c r="DOR118" s="100" t="str">
        <f t="shared" si="325"/>
        <v/>
      </c>
      <c r="DOS118" s="100" t="str">
        <f t="shared" si="325"/>
        <v/>
      </c>
      <c r="DOT118" s="100" t="str">
        <f t="shared" si="325"/>
        <v/>
      </c>
      <c r="DOU118" s="100" t="str">
        <f t="shared" si="325"/>
        <v/>
      </c>
      <c r="DOV118" s="100" t="str">
        <f t="shared" si="325"/>
        <v/>
      </c>
      <c r="DOW118" s="100" t="str">
        <f t="shared" si="325"/>
        <v/>
      </c>
      <c r="DOX118" s="100" t="str">
        <f t="shared" si="325"/>
        <v/>
      </c>
      <c r="DOY118" s="100" t="str">
        <f t="shared" si="325"/>
        <v/>
      </c>
      <c r="DOZ118" s="100" t="str">
        <f t="shared" si="325"/>
        <v/>
      </c>
      <c r="DPA118" s="100" t="str">
        <f t="shared" si="325"/>
        <v/>
      </c>
      <c r="DPB118" s="100" t="str">
        <f t="shared" si="325"/>
        <v/>
      </c>
      <c r="DPC118" s="100" t="str">
        <f t="shared" si="325"/>
        <v/>
      </c>
      <c r="DPD118" s="100" t="str">
        <f t="shared" si="325"/>
        <v/>
      </c>
      <c r="DPE118" s="100" t="str">
        <f t="shared" si="325"/>
        <v/>
      </c>
      <c r="DPF118" s="100" t="str">
        <f t="shared" si="325"/>
        <v/>
      </c>
      <c r="DPG118" s="100" t="str">
        <f t="shared" si="325"/>
        <v/>
      </c>
      <c r="DPH118" s="100" t="str">
        <f t="shared" si="325"/>
        <v/>
      </c>
      <c r="DPI118" s="100" t="str">
        <f t="shared" si="325"/>
        <v/>
      </c>
      <c r="DPJ118" s="100" t="str">
        <f t="shared" si="325"/>
        <v/>
      </c>
      <c r="DPK118" s="100" t="str">
        <f t="shared" si="325"/>
        <v/>
      </c>
      <c r="DPL118" s="100" t="str">
        <f t="shared" si="325"/>
        <v/>
      </c>
      <c r="DPM118" s="100" t="str">
        <f t="shared" si="325"/>
        <v/>
      </c>
      <c r="DPN118" s="100" t="str">
        <f t="shared" si="325"/>
        <v/>
      </c>
      <c r="DPO118" s="100" t="str">
        <f t="shared" si="325"/>
        <v/>
      </c>
      <c r="DPP118" s="100" t="str">
        <f t="shared" si="325"/>
        <v/>
      </c>
      <c r="DPQ118" s="100" t="str">
        <f t="shared" si="325"/>
        <v/>
      </c>
      <c r="DPR118" s="100" t="str">
        <f t="shared" si="325"/>
        <v/>
      </c>
      <c r="DPS118" s="100" t="str">
        <f t="shared" si="325"/>
        <v/>
      </c>
      <c r="DPT118" s="100" t="str">
        <f t="shared" si="325"/>
        <v/>
      </c>
      <c r="DPU118" s="100" t="str">
        <f t="shared" ref="DPU118:DSF118" si="326">IFERROR(AVERAGE(DPU6,DPU16,DPU25,DPU34,DPU42,DPU54,DPU62,DPU70,DPU78,DPU86,DPU94,DPU102,DPU110),"")</f>
        <v/>
      </c>
      <c r="DPV118" s="100" t="str">
        <f t="shared" si="326"/>
        <v/>
      </c>
      <c r="DPW118" s="100" t="str">
        <f t="shared" si="326"/>
        <v/>
      </c>
      <c r="DPX118" s="100" t="str">
        <f t="shared" si="326"/>
        <v/>
      </c>
      <c r="DPY118" s="100" t="str">
        <f t="shared" si="326"/>
        <v/>
      </c>
      <c r="DPZ118" s="100" t="str">
        <f t="shared" si="326"/>
        <v/>
      </c>
      <c r="DQA118" s="100" t="str">
        <f t="shared" si="326"/>
        <v/>
      </c>
      <c r="DQB118" s="100" t="str">
        <f t="shared" si="326"/>
        <v/>
      </c>
      <c r="DQC118" s="100" t="str">
        <f t="shared" si="326"/>
        <v/>
      </c>
      <c r="DQD118" s="100" t="str">
        <f t="shared" si="326"/>
        <v/>
      </c>
      <c r="DQE118" s="100" t="str">
        <f t="shared" si="326"/>
        <v/>
      </c>
      <c r="DQF118" s="100" t="str">
        <f t="shared" si="326"/>
        <v/>
      </c>
      <c r="DQG118" s="100" t="str">
        <f t="shared" si="326"/>
        <v/>
      </c>
      <c r="DQH118" s="100" t="str">
        <f t="shared" si="326"/>
        <v/>
      </c>
      <c r="DQI118" s="100" t="str">
        <f t="shared" si="326"/>
        <v/>
      </c>
      <c r="DQJ118" s="100" t="str">
        <f t="shared" si="326"/>
        <v/>
      </c>
      <c r="DQK118" s="100" t="str">
        <f t="shared" si="326"/>
        <v/>
      </c>
      <c r="DQL118" s="100" t="str">
        <f t="shared" si="326"/>
        <v/>
      </c>
      <c r="DQM118" s="100" t="str">
        <f t="shared" si="326"/>
        <v/>
      </c>
      <c r="DQN118" s="100" t="str">
        <f t="shared" si="326"/>
        <v/>
      </c>
      <c r="DQO118" s="100" t="str">
        <f t="shared" si="326"/>
        <v/>
      </c>
      <c r="DQP118" s="100" t="str">
        <f t="shared" si="326"/>
        <v/>
      </c>
      <c r="DQQ118" s="100" t="str">
        <f t="shared" si="326"/>
        <v/>
      </c>
      <c r="DQR118" s="100" t="str">
        <f t="shared" si="326"/>
        <v/>
      </c>
      <c r="DQS118" s="100" t="str">
        <f t="shared" si="326"/>
        <v/>
      </c>
      <c r="DQT118" s="100" t="str">
        <f t="shared" si="326"/>
        <v/>
      </c>
      <c r="DQU118" s="100" t="str">
        <f t="shared" si="326"/>
        <v/>
      </c>
      <c r="DQV118" s="100" t="str">
        <f t="shared" si="326"/>
        <v/>
      </c>
      <c r="DQW118" s="100" t="str">
        <f t="shared" si="326"/>
        <v/>
      </c>
      <c r="DQX118" s="100" t="str">
        <f t="shared" si="326"/>
        <v/>
      </c>
      <c r="DQY118" s="100" t="str">
        <f t="shared" si="326"/>
        <v/>
      </c>
      <c r="DQZ118" s="100" t="str">
        <f t="shared" si="326"/>
        <v/>
      </c>
      <c r="DRA118" s="100" t="str">
        <f t="shared" si="326"/>
        <v/>
      </c>
      <c r="DRB118" s="100" t="str">
        <f t="shared" si="326"/>
        <v/>
      </c>
      <c r="DRC118" s="100" t="str">
        <f t="shared" si="326"/>
        <v/>
      </c>
      <c r="DRD118" s="100" t="str">
        <f t="shared" si="326"/>
        <v/>
      </c>
      <c r="DRE118" s="100" t="str">
        <f t="shared" si="326"/>
        <v/>
      </c>
      <c r="DRF118" s="100" t="str">
        <f t="shared" si="326"/>
        <v/>
      </c>
      <c r="DRG118" s="100" t="str">
        <f t="shared" si="326"/>
        <v/>
      </c>
      <c r="DRH118" s="100" t="str">
        <f t="shared" si="326"/>
        <v/>
      </c>
      <c r="DRI118" s="100" t="str">
        <f t="shared" si="326"/>
        <v/>
      </c>
      <c r="DRJ118" s="100" t="str">
        <f t="shared" si="326"/>
        <v/>
      </c>
      <c r="DRK118" s="100" t="str">
        <f t="shared" si="326"/>
        <v/>
      </c>
      <c r="DRL118" s="100" t="str">
        <f t="shared" si="326"/>
        <v/>
      </c>
      <c r="DRM118" s="100" t="str">
        <f t="shared" si="326"/>
        <v/>
      </c>
      <c r="DRN118" s="100" t="str">
        <f t="shared" si="326"/>
        <v/>
      </c>
      <c r="DRO118" s="100" t="str">
        <f t="shared" si="326"/>
        <v/>
      </c>
      <c r="DRP118" s="100" t="str">
        <f t="shared" si="326"/>
        <v/>
      </c>
      <c r="DRQ118" s="100" t="str">
        <f t="shared" si="326"/>
        <v/>
      </c>
      <c r="DRR118" s="100" t="str">
        <f t="shared" si="326"/>
        <v/>
      </c>
      <c r="DRS118" s="100" t="str">
        <f t="shared" si="326"/>
        <v/>
      </c>
      <c r="DRT118" s="100" t="str">
        <f t="shared" si="326"/>
        <v/>
      </c>
      <c r="DRU118" s="100" t="str">
        <f t="shared" si="326"/>
        <v/>
      </c>
      <c r="DRV118" s="100" t="str">
        <f t="shared" si="326"/>
        <v/>
      </c>
      <c r="DRW118" s="100" t="str">
        <f t="shared" si="326"/>
        <v/>
      </c>
      <c r="DRX118" s="100" t="str">
        <f t="shared" si="326"/>
        <v/>
      </c>
      <c r="DRY118" s="100" t="str">
        <f t="shared" si="326"/>
        <v/>
      </c>
      <c r="DRZ118" s="100" t="str">
        <f t="shared" si="326"/>
        <v/>
      </c>
      <c r="DSA118" s="100" t="str">
        <f t="shared" si="326"/>
        <v/>
      </c>
      <c r="DSB118" s="100" t="str">
        <f t="shared" si="326"/>
        <v/>
      </c>
      <c r="DSC118" s="100" t="str">
        <f t="shared" si="326"/>
        <v/>
      </c>
      <c r="DSD118" s="100" t="str">
        <f t="shared" si="326"/>
        <v/>
      </c>
      <c r="DSE118" s="100" t="str">
        <f t="shared" si="326"/>
        <v/>
      </c>
      <c r="DSF118" s="100" t="str">
        <f t="shared" si="326"/>
        <v/>
      </c>
      <c r="DSG118" s="100" t="str">
        <f t="shared" ref="DSG118:DUR118" si="327">IFERROR(AVERAGE(DSG6,DSG16,DSG25,DSG34,DSG42,DSG54,DSG62,DSG70,DSG78,DSG86,DSG94,DSG102,DSG110),"")</f>
        <v/>
      </c>
      <c r="DSH118" s="100" t="str">
        <f t="shared" si="327"/>
        <v/>
      </c>
      <c r="DSI118" s="100" t="str">
        <f t="shared" si="327"/>
        <v/>
      </c>
      <c r="DSJ118" s="100" t="str">
        <f t="shared" si="327"/>
        <v/>
      </c>
      <c r="DSK118" s="100" t="str">
        <f t="shared" si="327"/>
        <v/>
      </c>
      <c r="DSL118" s="100" t="str">
        <f t="shared" si="327"/>
        <v/>
      </c>
      <c r="DSM118" s="100" t="str">
        <f t="shared" si="327"/>
        <v/>
      </c>
      <c r="DSN118" s="100" t="str">
        <f t="shared" si="327"/>
        <v/>
      </c>
      <c r="DSO118" s="100" t="str">
        <f t="shared" si="327"/>
        <v/>
      </c>
      <c r="DSP118" s="100" t="str">
        <f t="shared" si="327"/>
        <v/>
      </c>
      <c r="DSQ118" s="100" t="str">
        <f t="shared" si="327"/>
        <v/>
      </c>
      <c r="DSR118" s="100" t="str">
        <f t="shared" si="327"/>
        <v/>
      </c>
      <c r="DSS118" s="100" t="str">
        <f t="shared" si="327"/>
        <v/>
      </c>
      <c r="DST118" s="100" t="str">
        <f t="shared" si="327"/>
        <v/>
      </c>
      <c r="DSU118" s="100" t="str">
        <f t="shared" si="327"/>
        <v/>
      </c>
      <c r="DSV118" s="100" t="str">
        <f t="shared" si="327"/>
        <v/>
      </c>
      <c r="DSW118" s="100" t="str">
        <f t="shared" si="327"/>
        <v/>
      </c>
      <c r="DSX118" s="100" t="str">
        <f t="shared" si="327"/>
        <v/>
      </c>
      <c r="DSY118" s="100" t="str">
        <f t="shared" si="327"/>
        <v/>
      </c>
      <c r="DSZ118" s="100" t="str">
        <f t="shared" si="327"/>
        <v/>
      </c>
      <c r="DTA118" s="100" t="str">
        <f t="shared" si="327"/>
        <v/>
      </c>
      <c r="DTB118" s="100" t="str">
        <f t="shared" si="327"/>
        <v/>
      </c>
      <c r="DTC118" s="100" t="str">
        <f t="shared" si="327"/>
        <v/>
      </c>
      <c r="DTD118" s="100" t="str">
        <f t="shared" si="327"/>
        <v/>
      </c>
      <c r="DTE118" s="100" t="str">
        <f t="shared" si="327"/>
        <v/>
      </c>
      <c r="DTF118" s="100" t="str">
        <f t="shared" si="327"/>
        <v/>
      </c>
      <c r="DTG118" s="100" t="str">
        <f t="shared" si="327"/>
        <v/>
      </c>
      <c r="DTH118" s="100" t="str">
        <f t="shared" si="327"/>
        <v/>
      </c>
      <c r="DTI118" s="100" t="str">
        <f t="shared" si="327"/>
        <v/>
      </c>
      <c r="DTJ118" s="100" t="str">
        <f t="shared" si="327"/>
        <v/>
      </c>
      <c r="DTK118" s="100" t="str">
        <f t="shared" si="327"/>
        <v/>
      </c>
      <c r="DTL118" s="100" t="str">
        <f t="shared" si="327"/>
        <v/>
      </c>
      <c r="DTM118" s="100" t="str">
        <f t="shared" si="327"/>
        <v/>
      </c>
      <c r="DTN118" s="100" t="str">
        <f t="shared" si="327"/>
        <v/>
      </c>
      <c r="DTO118" s="100" t="str">
        <f t="shared" si="327"/>
        <v/>
      </c>
      <c r="DTP118" s="100" t="str">
        <f t="shared" si="327"/>
        <v/>
      </c>
      <c r="DTQ118" s="100" t="str">
        <f t="shared" si="327"/>
        <v/>
      </c>
      <c r="DTR118" s="100" t="str">
        <f t="shared" si="327"/>
        <v/>
      </c>
      <c r="DTS118" s="100" t="str">
        <f t="shared" si="327"/>
        <v/>
      </c>
      <c r="DTT118" s="100" t="str">
        <f t="shared" si="327"/>
        <v/>
      </c>
      <c r="DTU118" s="100" t="str">
        <f t="shared" si="327"/>
        <v/>
      </c>
      <c r="DTV118" s="100" t="str">
        <f t="shared" si="327"/>
        <v/>
      </c>
      <c r="DTW118" s="100" t="str">
        <f t="shared" si="327"/>
        <v/>
      </c>
      <c r="DTX118" s="100" t="str">
        <f t="shared" si="327"/>
        <v/>
      </c>
      <c r="DTY118" s="100" t="str">
        <f t="shared" si="327"/>
        <v/>
      </c>
      <c r="DTZ118" s="100" t="str">
        <f t="shared" si="327"/>
        <v/>
      </c>
      <c r="DUA118" s="100" t="str">
        <f t="shared" si="327"/>
        <v/>
      </c>
      <c r="DUB118" s="100" t="str">
        <f t="shared" si="327"/>
        <v/>
      </c>
      <c r="DUC118" s="100" t="str">
        <f t="shared" si="327"/>
        <v/>
      </c>
      <c r="DUD118" s="100" t="str">
        <f t="shared" si="327"/>
        <v/>
      </c>
      <c r="DUE118" s="100" t="str">
        <f t="shared" si="327"/>
        <v/>
      </c>
      <c r="DUF118" s="100" t="str">
        <f t="shared" si="327"/>
        <v/>
      </c>
      <c r="DUG118" s="100" t="str">
        <f t="shared" si="327"/>
        <v/>
      </c>
      <c r="DUH118" s="100" t="str">
        <f t="shared" si="327"/>
        <v/>
      </c>
      <c r="DUI118" s="100" t="str">
        <f t="shared" si="327"/>
        <v/>
      </c>
      <c r="DUJ118" s="100" t="str">
        <f t="shared" si="327"/>
        <v/>
      </c>
      <c r="DUK118" s="100" t="str">
        <f t="shared" si="327"/>
        <v/>
      </c>
      <c r="DUL118" s="100" t="str">
        <f t="shared" si="327"/>
        <v/>
      </c>
      <c r="DUM118" s="100" t="str">
        <f t="shared" si="327"/>
        <v/>
      </c>
      <c r="DUN118" s="100" t="str">
        <f t="shared" si="327"/>
        <v/>
      </c>
      <c r="DUO118" s="100" t="str">
        <f t="shared" si="327"/>
        <v/>
      </c>
      <c r="DUP118" s="100" t="str">
        <f t="shared" si="327"/>
        <v/>
      </c>
      <c r="DUQ118" s="100" t="str">
        <f t="shared" si="327"/>
        <v/>
      </c>
      <c r="DUR118" s="100" t="str">
        <f t="shared" si="327"/>
        <v/>
      </c>
      <c r="DUS118" s="100" t="str">
        <f t="shared" ref="DUS118:DXD118" si="328">IFERROR(AVERAGE(DUS6,DUS16,DUS25,DUS34,DUS42,DUS54,DUS62,DUS70,DUS78,DUS86,DUS94,DUS102,DUS110),"")</f>
        <v/>
      </c>
      <c r="DUT118" s="100" t="str">
        <f t="shared" si="328"/>
        <v/>
      </c>
      <c r="DUU118" s="100" t="str">
        <f t="shared" si="328"/>
        <v/>
      </c>
      <c r="DUV118" s="100" t="str">
        <f t="shared" si="328"/>
        <v/>
      </c>
      <c r="DUW118" s="100" t="str">
        <f t="shared" si="328"/>
        <v/>
      </c>
      <c r="DUX118" s="100" t="str">
        <f t="shared" si="328"/>
        <v/>
      </c>
      <c r="DUY118" s="100" t="str">
        <f t="shared" si="328"/>
        <v/>
      </c>
      <c r="DUZ118" s="100" t="str">
        <f t="shared" si="328"/>
        <v/>
      </c>
      <c r="DVA118" s="100" t="str">
        <f t="shared" si="328"/>
        <v/>
      </c>
      <c r="DVB118" s="100" t="str">
        <f t="shared" si="328"/>
        <v/>
      </c>
      <c r="DVC118" s="100" t="str">
        <f t="shared" si="328"/>
        <v/>
      </c>
      <c r="DVD118" s="100" t="str">
        <f t="shared" si="328"/>
        <v/>
      </c>
      <c r="DVE118" s="100" t="str">
        <f t="shared" si="328"/>
        <v/>
      </c>
      <c r="DVF118" s="100" t="str">
        <f t="shared" si="328"/>
        <v/>
      </c>
      <c r="DVG118" s="100" t="str">
        <f t="shared" si="328"/>
        <v/>
      </c>
      <c r="DVH118" s="100" t="str">
        <f t="shared" si="328"/>
        <v/>
      </c>
      <c r="DVI118" s="100" t="str">
        <f t="shared" si="328"/>
        <v/>
      </c>
      <c r="DVJ118" s="100" t="str">
        <f t="shared" si="328"/>
        <v/>
      </c>
      <c r="DVK118" s="100" t="str">
        <f t="shared" si="328"/>
        <v/>
      </c>
      <c r="DVL118" s="100" t="str">
        <f t="shared" si="328"/>
        <v/>
      </c>
      <c r="DVM118" s="100" t="str">
        <f t="shared" si="328"/>
        <v/>
      </c>
      <c r="DVN118" s="100" t="str">
        <f t="shared" si="328"/>
        <v/>
      </c>
      <c r="DVO118" s="100" t="str">
        <f t="shared" si="328"/>
        <v/>
      </c>
      <c r="DVP118" s="100" t="str">
        <f t="shared" si="328"/>
        <v/>
      </c>
      <c r="DVQ118" s="100" t="str">
        <f t="shared" si="328"/>
        <v/>
      </c>
      <c r="DVR118" s="100" t="str">
        <f t="shared" si="328"/>
        <v/>
      </c>
      <c r="DVS118" s="100" t="str">
        <f t="shared" si="328"/>
        <v/>
      </c>
      <c r="DVT118" s="100" t="str">
        <f t="shared" si="328"/>
        <v/>
      </c>
      <c r="DVU118" s="100" t="str">
        <f t="shared" si="328"/>
        <v/>
      </c>
      <c r="DVV118" s="100" t="str">
        <f t="shared" si="328"/>
        <v/>
      </c>
      <c r="DVW118" s="100" t="str">
        <f t="shared" si="328"/>
        <v/>
      </c>
      <c r="DVX118" s="100" t="str">
        <f t="shared" si="328"/>
        <v/>
      </c>
      <c r="DVY118" s="100" t="str">
        <f t="shared" si="328"/>
        <v/>
      </c>
      <c r="DVZ118" s="100" t="str">
        <f t="shared" si="328"/>
        <v/>
      </c>
      <c r="DWA118" s="100" t="str">
        <f t="shared" si="328"/>
        <v/>
      </c>
      <c r="DWB118" s="100" t="str">
        <f t="shared" si="328"/>
        <v/>
      </c>
      <c r="DWC118" s="100" t="str">
        <f t="shared" si="328"/>
        <v/>
      </c>
      <c r="DWD118" s="100" t="str">
        <f t="shared" si="328"/>
        <v/>
      </c>
      <c r="DWE118" s="100" t="str">
        <f t="shared" si="328"/>
        <v/>
      </c>
      <c r="DWF118" s="100" t="str">
        <f t="shared" si="328"/>
        <v/>
      </c>
      <c r="DWG118" s="100" t="str">
        <f t="shared" si="328"/>
        <v/>
      </c>
      <c r="DWH118" s="100" t="str">
        <f t="shared" si="328"/>
        <v/>
      </c>
      <c r="DWI118" s="100" t="str">
        <f t="shared" si="328"/>
        <v/>
      </c>
      <c r="DWJ118" s="100" t="str">
        <f t="shared" si="328"/>
        <v/>
      </c>
      <c r="DWK118" s="100" t="str">
        <f t="shared" si="328"/>
        <v/>
      </c>
      <c r="DWL118" s="100" t="str">
        <f t="shared" si="328"/>
        <v/>
      </c>
      <c r="DWM118" s="100" t="str">
        <f t="shared" si="328"/>
        <v/>
      </c>
      <c r="DWN118" s="100" t="str">
        <f t="shared" si="328"/>
        <v/>
      </c>
      <c r="DWO118" s="100" t="str">
        <f t="shared" si="328"/>
        <v/>
      </c>
      <c r="DWP118" s="100" t="str">
        <f t="shared" si="328"/>
        <v/>
      </c>
      <c r="DWQ118" s="100" t="str">
        <f t="shared" si="328"/>
        <v/>
      </c>
      <c r="DWR118" s="100" t="str">
        <f t="shared" si="328"/>
        <v/>
      </c>
      <c r="DWS118" s="100" t="str">
        <f t="shared" si="328"/>
        <v/>
      </c>
      <c r="DWT118" s="100" t="str">
        <f t="shared" si="328"/>
        <v/>
      </c>
      <c r="DWU118" s="100" t="str">
        <f t="shared" si="328"/>
        <v/>
      </c>
      <c r="DWV118" s="100" t="str">
        <f t="shared" si="328"/>
        <v/>
      </c>
      <c r="DWW118" s="100" t="str">
        <f t="shared" si="328"/>
        <v/>
      </c>
      <c r="DWX118" s="100" t="str">
        <f t="shared" si="328"/>
        <v/>
      </c>
      <c r="DWY118" s="100" t="str">
        <f t="shared" si="328"/>
        <v/>
      </c>
      <c r="DWZ118" s="100" t="str">
        <f t="shared" si="328"/>
        <v/>
      </c>
      <c r="DXA118" s="100" t="str">
        <f t="shared" si="328"/>
        <v/>
      </c>
      <c r="DXB118" s="100" t="str">
        <f t="shared" si="328"/>
        <v/>
      </c>
      <c r="DXC118" s="100" t="str">
        <f t="shared" si="328"/>
        <v/>
      </c>
      <c r="DXD118" s="100" t="str">
        <f t="shared" si="328"/>
        <v/>
      </c>
      <c r="DXE118" s="100" t="str">
        <f t="shared" ref="DXE118:DZP118" si="329">IFERROR(AVERAGE(DXE6,DXE16,DXE25,DXE34,DXE42,DXE54,DXE62,DXE70,DXE78,DXE86,DXE94,DXE102,DXE110),"")</f>
        <v/>
      </c>
      <c r="DXF118" s="100" t="str">
        <f t="shared" si="329"/>
        <v/>
      </c>
      <c r="DXG118" s="100" t="str">
        <f t="shared" si="329"/>
        <v/>
      </c>
      <c r="DXH118" s="100" t="str">
        <f t="shared" si="329"/>
        <v/>
      </c>
      <c r="DXI118" s="100" t="str">
        <f t="shared" si="329"/>
        <v/>
      </c>
      <c r="DXJ118" s="100" t="str">
        <f t="shared" si="329"/>
        <v/>
      </c>
      <c r="DXK118" s="100" t="str">
        <f t="shared" si="329"/>
        <v/>
      </c>
      <c r="DXL118" s="100" t="str">
        <f t="shared" si="329"/>
        <v/>
      </c>
      <c r="DXM118" s="100" t="str">
        <f t="shared" si="329"/>
        <v/>
      </c>
      <c r="DXN118" s="100" t="str">
        <f t="shared" si="329"/>
        <v/>
      </c>
      <c r="DXO118" s="100" t="str">
        <f t="shared" si="329"/>
        <v/>
      </c>
      <c r="DXP118" s="100" t="str">
        <f t="shared" si="329"/>
        <v/>
      </c>
      <c r="DXQ118" s="100" t="str">
        <f t="shared" si="329"/>
        <v/>
      </c>
      <c r="DXR118" s="100" t="str">
        <f t="shared" si="329"/>
        <v/>
      </c>
      <c r="DXS118" s="100" t="str">
        <f t="shared" si="329"/>
        <v/>
      </c>
      <c r="DXT118" s="100" t="str">
        <f t="shared" si="329"/>
        <v/>
      </c>
      <c r="DXU118" s="100" t="str">
        <f t="shared" si="329"/>
        <v/>
      </c>
      <c r="DXV118" s="100" t="str">
        <f t="shared" si="329"/>
        <v/>
      </c>
      <c r="DXW118" s="100" t="str">
        <f t="shared" si="329"/>
        <v/>
      </c>
      <c r="DXX118" s="100" t="str">
        <f t="shared" si="329"/>
        <v/>
      </c>
      <c r="DXY118" s="100" t="str">
        <f t="shared" si="329"/>
        <v/>
      </c>
      <c r="DXZ118" s="100" t="str">
        <f t="shared" si="329"/>
        <v/>
      </c>
      <c r="DYA118" s="100" t="str">
        <f t="shared" si="329"/>
        <v/>
      </c>
      <c r="DYB118" s="100" t="str">
        <f t="shared" si="329"/>
        <v/>
      </c>
      <c r="DYC118" s="100" t="str">
        <f t="shared" si="329"/>
        <v/>
      </c>
      <c r="DYD118" s="100" t="str">
        <f t="shared" si="329"/>
        <v/>
      </c>
      <c r="DYE118" s="100" t="str">
        <f t="shared" si="329"/>
        <v/>
      </c>
      <c r="DYF118" s="100" t="str">
        <f t="shared" si="329"/>
        <v/>
      </c>
      <c r="DYG118" s="100" t="str">
        <f t="shared" si="329"/>
        <v/>
      </c>
      <c r="DYH118" s="100" t="str">
        <f t="shared" si="329"/>
        <v/>
      </c>
      <c r="DYI118" s="100" t="str">
        <f t="shared" si="329"/>
        <v/>
      </c>
      <c r="DYJ118" s="100" t="str">
        <f t="shared" si="329"/>
        <v/>
      </c>
      <c r="DYK118" s="100" t="str">
        <f t="shared" si="329"/>
        <v/>
      </c>
      <c r="DYL118" s="100" t="str">
        <f t="shared" si="329"/>
        <v/>
      </c>
      <c r="DYM118" s="100" t="str">
        <f t="shared" si="329"/>
        <v/>
      </c>
      <c r="DYN118" s="100" t="str">
        <f t="shared" si="329"/>
        <v/>
      </c>
      <c r="DYO118" s="100" t="str">
        <f t="shared" si="329"/>
        <v/>
      </c>
      <c r="DYP118" s="100" t="str">
        <f t="shared" si="329"/>
        <v/>
      </c>
      <c r="DYQ118" s="100" t="str">
        <f t="shared" si="329"/>
        <v/>
      </c>
      <c r="DYR118" s="100" t="str">
        <f t="shared" si="329"/>
        <v/>
      </c>
      <c r="DYS118" s="100" t="str">
        <f t="shared" si="329"/>
        <v/>
      </c>
      <c r="DYT118" s="100" t="str">
        <f t="shared" si="329"/>
        <v/>
      </c>
      <c r="DYU118" s="100" t="str">
        <f t="shared" si="329"/>
        <v/>
      </c>
      <c r="DYV118" s="100" t="str">
        <f t="shared" si="329"/>
        <v/>
      </c>
      <c r="DYW118" s="100" t="str">
        <f t="shared" si="329"/>
        <v/>
      </c>
      <c r="DYX118" s="100" t="str">
        <f t="shared" si="329"/>
        <v/>
      </c>
      <c r="DYY118" s="100" t="str">
        <f t="shared" si="329"/>
        <v/>
      </c>
      <c r="DYZ118" s="100" t="str">
        <f t="shared" si="329"/>
        <v/>
      </c>
      <c r="DZA118" s="100" t="str">
        <f t="shared" si="329"/>
        <v/>
      </c>
      <c r="DZB118" s="100" t="str">
        <f t="shared" si="329"/>
        <v/>
      </c>
      <c r="DZC118" s="100" t="str">
        <f t="shared" si="329"/>
        <v/>
      </c>
      <c r="DZD118" s="100" t="str">
        <f t="shared" si="329"/>
        <v/>
      </c>
      <c r="DZE118" s="100" t="str">
        <f t="shared" si="329"/>
        <v/>
      </c>
      <c r="DZF118" s="100" t="str">
        <f t="shared" si="329"/>
        <v/>
      </c>
      <c r="DZG118" s="100" t="str">
        <f t="shared" si="329"/>
        <v/>
      </c>
      <c r="DZH118" s="100" t="str">
        <f t="shared" si="329"/>
        <v/>
      </c>
      <c r="DZI118" s="100" t="str">
        <f t="shared" si="329"/>
        <v/>
      </c>
      <c r="DZJ118" s="100" t="str">
        <f t="shared" si="329"/>
        <v/>
      </c>
      <c r="DZK118" s="100" t="str">
        <f t="shared" si="329"/>
        <v/>
      </c>
      <c r="DZL118" s="100" t="str">
        <f t="shared" si="329"/>
        <v/>
      </c>
      <c r="DZM118" s="100" t="str">
        <f t="shared" si="329"/>
        <v/>
      </c>
      <c r="DZN118" s="100" t="str">
        <f t="shared" si="329"/>
        <v/>
      </c>
      <c r="DZO118" s="100" t="str">
        <f t="shared" si="329"/>
        <v/>
      </c>
      <c r="DZP118" s="100" t="str">
        <f t="shared" si="329"/>
        <v/>
      </c>
      <c r="DZQ118" s="100" t="str">
        <f t="shared" ref="DZQ118:ECB118" si="330">IFERROR(AVERAGE(DZQ6,DZQ16,DZQ25,DZQ34,DZQ42,DZQ54,DZQ62,DZQ70,DZQ78,DZQ86,DZQ94,DZQ102,DZQ110),"")</f>
        <v/>
      </c>
      <c r="DZR118" s="100" t="str">
        <f t="shared" si="330"/>
        <v/>
      </c>
      <c r="DZS118" s="100" t="str">
        <f t="shared" si="330"/>
        <v/>
      </c>
      <c r="DZT118" s="100" t="str">
        <f t="shared" si="330"/>
        <v/>
      </c>
      <c r="DZU118" s="100" t="str">
        <f t="shared" si="330"/>
        <v/>
      </c>
      <c r="DZV118" s="100" t="str">
        <f t="shared" si="330"/>
        <v/>
      </c>
      <c r="DZW118" s="100" t="str">
        <f t="shared" si="330"/>
        <v/>
      </c>
      <c r="DZX118" s="100" t="str">
        <f t="shared" si="330"/>
        <v/>
      </c>
      <c r="DZY118" s="100" t="str">
        <f t="shared" si="330"/>
        <v/>
      </c>
      <c r="DZZ118" s="100" t="str">
        <f t="shared" si="330"/>
        <v/>
      </c>
      <c r="EAA118" s="100" t="str">
        <f t="shared" si="330"/>
        <v/>
      </c>
      <c r="EAB118" s="100" t="str">
        <f t="shared" si="330"/>
        <v/>
      </c>
      <c r="EAC118" s="100" t="str">
        <f t="shared" si="330"/>
        <v/>
      </c>
      <c r="EAD118" s="100" t="str">
        <f t="shared" si="330"/>
        <v/>
      </c>
      <c r="EAE118" s="100" t="str">
        <f t="shared" si="330"/>
        <v/>
      </c>
      <c r="EAF118" s="100" t="str">
        <f t="shared" si="330"/>
        <v/>
      </c>
      <c r="EAG118" s="100" t="str">
        <f t="shared" si="330"/>
        <v/>
      </c>
      <c r="EAH118" s="100" t="str">
        <f t="shared" si="330"/>
        <v/>
      </c>
      <c r="EAI118" s="100" t="str">
        <f t="shared" si="330"/>
        <v/>
      </c>
      <c r="EAJ118" s="100" t="str">
        <f t="shared" si="330"/>
        <v/>
      </c>
      <c r="EAK118" s="100" t="str">
        <f t="shared" si="330"/>
        <v/>
      </c>
      <c r="EAL118" s="100" t="str">
        <f t="shared" si="330"/>
        <v/>
      </c>
      <c r="EAM118" s="100" t="str">
        <f t="shared" si="330"/>
        <v/>
      </c>
      <c r="EAN118" s="100" t="str">
        <f t="shared" si="330"/>
        <v/>
      </c>
      <c r="EAO118" s="100" t="str">
        <f t="shared" si="330"/>
        <v/>
      </c>
      <c r="EAP118" s="100" t="str">
        <f t="shared" si="330"/>
        <v/>
      </c>
      <c r="EAQ118" s="100" t="str">
        <f t="shared" si="330"/>
        <v/>
      </c>
      <c r="EAR118" s="100" t="str">
        <f t="shared" si="330"/>
        <v/>
      </c>
      <c r="EAS118" s="100" t="str">
        <f t="shared" si="330"/>
        <v/>
      </c>
      <c r="EAT118" s="100" t="str">
        <f t="shared" si="330"/>
        <v/>
      </c>
      <c r="EAU118" s="100" t="str">
        <f t="shared" si="330"/>
        <v/>
      </c>
      <c r="EAV118" s="100" t="str">
        <f t="shared" si="330"/>
        <v/>
      </c>
      <c r="EAW118" s="100" t="str">
        <f t="shared" si="330"/>
        <v/>
      </c>
      <c r="EAX118" s="100" t="str">
        <f t="shared" si="330"/>
        <v/>
      </c>
      <c r="EAY118" s="100" t="str">
        <f t="shared" si="330"/>
        <v/>
      </c>
      <c r="EAZ118" s="100" t="str">
        <f t="shared" si="330"/>
        <v/>
      </c>
      <c r="EBA118" s="100" t="str">
        <f t="shared" si="330"/>
        <v/>
      </c>
      <c r="EBB118" s="100" t="str">
        <f t="shared" si="330"/>
        <v/>
      </c>
      <c r="EBC118" s="100" t="str">
        <f t="shared" si="330"/>
        <v/>
      </c>
      <c r="EBD118" s="100" t="str">
        <f t="shared" si="330"/>
        <v/>
      </c>
      <c r="EBE118" s="100" t="str">
        <f t="shared" si="330"/>
        <v/>
      </c>
      <c r="EBF118" s="100" t="str">
        <f t="shared" si="330"/>
        <v/>
      </c>
      <c r="EBG118" s="100" t="str">
        <f t="shared" si="330"/>
        <v/>
      </c>
      <c r="EBH118" s="100" t="str">
        <f t="shared" si="330"/>
        <v/>
      </c>
      <c r="EBI118" s="100" t="str">
        <f t="shared" si="330"/>
        <v/>
      </c>
      <c r="EBJ118" s="100" t="str">
        <f t="shared" si="330"/>
        <v/>
      </c>
      <c r="EBK118" s="100" t="str">
        <f t="shared" si="330"/>
        <v/>
      </c>
      <c r="EBL118" s="100" t="str">
        <f t="shared" si="330"/>
        <v/>
      </c>
      <c r="EBM118" s="100" t="str">
        <f t="shared" si="330"/>
        <v/>
      </c>
      <c r="EBN118" s="100" t="str">
        <f t="shared" si="330"/>
        <v/>
      </c>
      <c r="EBO118" s="100" t="str">
        <f t="shared" si="330"/>
        <v/>
      </c>
      <c r="EBP118" s="100" t="str">
        <f t="shared" si="330"/>
        <v/>
      </c>
      <c r="EBQ118" s="100" t="str">
        <f t="shared" si="330"/>
        <v/>
      </c>
      <c r="EBR118" s="100" t="str">
        <f t="shared" si="330"/>
        <v/>
      </c>
      <c r="EBS118" s="100" t="str">
        <f t="shared" si="330"/>
        <v/>
      </c>
      <c r="EBT118" s="100" t="str">
        <f t="shared" si="330"/>
        <v/>
      </c>
      <c r="EBU118" s="100" t="str">
        <f t="shared" si="330"/>
        <v/>
      </c>
      <c r="EBV118" s="100" t="str">
        <f t="shared" si="330"/>
        <v/>
      </c>
      <c r="EBW118" s="100" t="str">
        <f t="shared" si="330"/>
        <v/>
      </c>
      <c r="EBX118" s="100" t="str">
        <f t="shared" si="330"/>
        <v/>
      </c>
      <c r="EBY118" s="100" t="str">
        <f t="shared" si="330"/>
        <v/>
      </c>
      <c r="EBZ118" s="100" t="str">
        <f t="shared" si="330"/>
        <v/>
      </c>
      <c r="ECA118" s="100" t="str">
        <f t="shared" si="330"/>
        <v/>
      </c>
      <c r="ECB118" s="100" t="str">
        <f t="shared" si="330"/>
        <v/>
      </c>
      <c r="ECC118" s="100" t="str">
        <f t="shared" ref="ECC118:EEN118" si="331">IFERROR(AVERAGE(ECC6,ECC16,ECC25,ECC34,ECC42,ECC54,ECC62,ECC70,ECC78,ECC86,ECC94,ECC102,ECC110),"")</f>
        <v/>
      </c>
      <c r="ECD118" s="100" t="str">
        <f t="shared" si="331"/>
        <v/>
      </c>
      <c r="ECE118" s="100" t="str">
        <f t="shared" si="331"/>
        <v/>
      </c>
      <c r="ECF118" s="100" t="str">
        <f t="shared" si="331"/>
        <v/>
      </c>
      <c r="ECG118" s="100" t="str">
        <f t="shared" si="331"/>
        <v/>
      </c>
      <c r="ECH118" s="100" t="str">
        <f t="shared" si="331"/>
        <v/>
      </c>
      <c r="ECI118" s="100" t="str">
        <f t="shared" si="331"/>
        <v/>
      </c>
      <c r="ECJ118" s="100" t="str">
        <f t="shared" si="331"/>
        <v/>
      </c>
      <c r="ECK118" s="100" t="str">
        <f t="shared" si="331"/>
        <v/>
      </c>
      <c r="ECL118" s="100" t="str">
        <f t="shared" si="331"/>
        <v/>
      </c>
      <c r="ECM118" s="100" t="str">
        <f t="shared" si="331"/>
        <v/>
      </c>
      <c r="ECN118" s="100" t="str">
        <f t="shared" si="331"/>
        <v/>
      </c>
      <c r="ECO118" s="100" t="str">
        <f t="shared" si="331"/>
        <v/>
      </c>
      <c r="ECP118" s="100" t="str">
        <f t="shared" si="331"/>
        <v/>
      </c>
      <c r="ECQ118" s="100" t="str">
        <f t="shared" si="331"/>
        <v/>
      </c>
      <c r="ECR118" s="100" t="str">
        <f t="shared" si="331"/>
        <v/>
      </c>
      <c r="ECS118" s="100" t="str">
        <f t="shared" si="331"/>
        <v/>
      </c>
      <c r="ECT118" s="100" t="str">
        <f t="shared" si="331"/>
        <v/>
      </c>
      <c r="ECU118" s="100" t="str">
        <f t="shared" si="331"/>
        <v/>
      </c>
      <c r="ECV118" s="100" t="str">
        <f t="shared" si="331"/>
        <v/>
      </c>
      <c r="ECW118" s="100" t="str">
        <f t="shared" si="331"/>
        <v/>
      </c>
      <c r="ECX118" s="100" t="str">
        <f t="shared" si="331"/>
        <v/>
      </c>
      <c r="ECY118" s="100" t="str">
        <f t="shared" si="331"/>
        <v/>
      </c>
      <c r="ECZ118" s="100" t="str">
        <f t="shared" si="331"/>
        <v/>
      </c>
      <c r="EDA118" s="100" t="str">
        <f t="shared" si="331"/>
        <v/>
      </c>
      <c r="EDB118" s="100" t="str">
        <f t="shared" si="331"/>
        <v/>
      </c>
      <c r="EDC118" s="100" t="str">
        <f t="shared" si="331"/>
        <v/>
      </c>
      <c r="EDD118" s="100" t="str">
        <f t="shared" si="331"/>
        <v/>
      </c>
      <c r="EDE118" s="100" t="str">
        <f t="shared" si="331"/>
        <v/>
      </c>
      <c r="EDF118" s="100" t="str">
        <f t="shared" si="331"/>
        <v/>
      </c>
      <c r="EDG118" s="100" t="str">
        <f t="shared" si="331"/>
        <v/>
      </c>
      <c r="EDH118" s="100" t="str">
        <f t="shared" si="331"/>
        <v/>
      </c>
      <c r="EDI118" s="100" t="str">
        <f t="shared" si="331"/>
        <v/>
      </c>
      <c r="EDJ118" s="100" t="str">
        <f t="shared" si="331"/>
        <v/>
      </c>
      <c r="EDK118" s="100" t="str">
        <f t="shared" si="331"/>
        <v/>
      </c>
      <c r="EDL118" s="100" t="str">
        <f t="shared" si="331"/>
        <v/>
      </c>
      <c r="EDM118" s="100" t="str">
        <f t="shared" si="331"/>
        <v/>
      </c>
      <c r="EDN118" s="100" t="str">
        <f t="shared" si="331"/>
        <v/>
      </c>
      <c r="EDO118" s="100" t="str">
        <f t="shared" si="331"/>
        <v/>
      </c>
      <c r="EDP118" s="100" t="str">
        <f t="shared" si="331"/>
        <v/>
      </c>
      <c r="EDQ118" s="100" t="str">
        <f t="shared" si="331"/>
        <v/>
      </c>
      <c r="EDR118" s="100" t="str">
        <f t="shared" si="331"/>
        <v/>
      </c>
      <c r="EDS118" s="100" t="str">
        <f t="shared" si="331"/>
        <v/>
      </c>
      <c r="EDT118" s="100" t="str">
        <f t="shared" si="331"/>
        <v/>
      </c>
      <c r="EDU118" s="100" t="str">
        <f t="shared" si="331"/>
        <v/>
      </c>
      <c r="EDV118" s="100" t="str">
        <f t="shared" si="331"/>
        <v/>
      </c>
      <c r="EDW118" s="100" t="str">
        <f t="shared" si="331"/>
        <v/>
      </c>
      <c r="EDX118" s="100" t="str">
        <f t="shared" si="331"/>
        <v/>
      </c>
      <c r="EDY118" s="100" t="str">
        <f t="shared" si="331"/>
        <v/>
      </c>
      <c r="EDZ118" s="100" t="str">
        <f t="shared" si="331"/>
        <v/>
      </c>
      <c r="EEA118" s="100" t="str">
        <f t="shared" si="331"/>
        <v/>
      </c>
      <c r="EEB118" s="100" t="str">
        <f t="shared" si="331"/>
        <v/>
      </c>
      <c r="EEC118" s="100" t="str">
        <f t="shared" si="331"/>
        <v/>
      </c>
      <c r="EED118" s="100" t="str">
        <f t="shared" si="331"/>
        <v/>
      </c>
      <c r="EEE118" s="100" t="str">
        <f t="shared" si="331"/>
        <v/>
      </c>
      <c r="EEF118" s="100" t="str">
        <f t="shared" si="331"/>
        <v/>
      </c>
      <c r="EEG118" s="100" t="str">
        <f t="shared" si="331"/>
        <v/>
      </c>
      <c r="EEH118" s="100" t="str">
        <f t="shared" si="331"/>
        <v/>
      </c>
      <c r="EEI118" s="100" t="str">
        <f t="shared" si="331"/>
        <v/>
      </c>
      <c r="EEJ118" s="100" t="str">
        <f t="shared" si="331"/>
        <v/>
      </c>
      <c r="EEK118" s="100" t="str">
        <f t="shared" si="331"/>
        <v/>
      </c>
      <c r="EEL118" s="100" t="str">
        <f t="shared" si="331"/>
        <v/>
      </c>
      <c r="EEM118" s="100" t="str">
        <f t="shared" si="331"/>
        <v/>
      </c>
      <c r="EEN118" s="100" t="str">
        <f t="shared" si="331"/>
        <v/>
      </c>
      <c r="EEO118" s="100" t="str">
        <f t="shared" ref="EEO118:EGZ118" si="332">IFERROR(AVERAGE(EEO6,EEO16,EEO25,EEO34,EEO42,EEO54,EEO62,EEO70,EEO78,EEO86,EEO94,EEO102,EEO110),"")</f>
        <v/>
      </c>
      <c r="EEP118" s="100" t="str">
        <f t="shared" si="332"/>
        <v/>
      </c>
      <c r="EEQ118" s="100" t="str">
        <f t="shared" si="332"/>
        <v/>
      </c>
      <c r="EER118" s="100" t="str">
        <f t="shared" si="332"/>
        <v/>
      </c>
      <c r="EES118" s="100" t="str">
        <f t="shared" si="332"/>
        <v/>
      </c>
      <c r="EET118" s="100" t="str">
        <f t="shared" si="332"/>
        <v/>
      </c>
      <c r="EEU118" s="100" t="str">
        <f t="shared" si="332"/>
        <v/>
      </c>
      <c r="EEV118" s="100" t="str">
        <f t="shared" si="332"/>
        <v/>
      </c>
      <c r="EEW118" s="100" t="str">
        <f t="shared" si="332"/>
        <v/>
      </c>
      <c r="EEX118" s="100" t="str">
        <f t="shared" si="332"/>
        <v/>
      </c>
      <c r="EEY118" s="100" t="str">
        <f t="shared" si="332"/>
        <v/>
      </c>
      <c r="EEZ118" s="100" t="str">
        <f t="shared" si="332"/>
        <v/>
      </c>
      <c r="EFA118" s="100" t="str">
        <f t="shared" si="332"/>
        <v/>
      </c>
      <c r="EFB118" s="100" t="str">
        <f t="shared" si="332"/>
        <v/>
      </c>
      <c r="EFC118" s="100" t="str">
        <f t="shared" si="332"/>
        <v/>
      </c>
      <c r="EFD118" s="100" t="str">
        <f t="shared" si="332"/>
        <v/>
      </c>
      <c r="EFE118" s="100" t="str">
        <f t="shared" si="332"/>
        <v/>
      </c>
      <c r="EFF118" s="100" t="str">
        <f t="shared" si="332"/>
        <v/>
      </c>
      <c r="EFG118" s="100" t="str">
        <f t="shared" si="332"/>
        <v/>
      </c>
      <c r="EFH118" s="100" t="str">
        <f t="shared" si="332"/>
        <v/>
      </c>
      <c r="EFI118" s="100" t="str">
        <f t="shared" si="332"/>
        <v/>
      </c>
      <c r="EFJ118" s="100" t="str">
        <f t="shared" si="332"/>
        <v/>
      </c>
      <c r="EFK118" s="100" t="str">
        <f t="shared" si="332"/>
        <v/>
      </c>
      <c r="EFL118" s="100" t="str">
        <f t="shared" si="332"/>
        <v/>
      </c>
      <c r="EFM118" s="100" t="str">
        <f t="shared" si="332"/>
        <v/>
      </c>
      <c r="EFN118" s="100" t="str">
        <f t="shared" si="332"/>
        <v/>
      </c>
      <c r="EFO118" s="100" t="str">
        <f t="shared" si="332"/>
        <v/>
      </c>
      <c r="EFP118" s="100" t="str">
        <f t="shared" si="332"/>
        <v/>
      </c>
      <c r="EFQ118" s="100" t="str">
        <f t="shared" si="332"/>
        <v/>
      </c>
      <c r="EFR118" s="100" t="str">
        <f t="shared" si="332"/>
        <v/>
      </c>
      <c r="EFS118" s="100" t="str">
        <f t="shared" si="332"/>
        <v/>
      </c>
      <c r="EFT118" s="100" t="str">
        <f t="shared" si="332"/>
        <v/>
      </c>
      <c r="EFU118" s="100" t="str">
        <f t="shared" si="332"/>
        <v/>
      </c>
      <c r="EFV118" s="100" t="str">
        <f t="shared" si="332"/>
        <v/>
      </c>
      <c r="EFW118" s="100" t="str">
        <f t="shared" si="332"/>
        <v/>
      </c>
      <c r="EFX118" s="100" t="str">
        <f t="shared" si="332"/>
        <v/>
      </c>
      <c r="EFY118" s="100" t="str">
        <f t="shared" si="332"/>
        <v/>
      </c>
      <c r="EFZ118" s="100" t="str">
        <f t="shared" si="332"/>
        <v/>
      </c>
      <c r="EGA118" s="100" t="str">
        <f t="shared" si="332"/>
        <v/>
      </c>
      <c r="EGB118" s="100" t="str">
        <f t="shared" si="332"/>
        <v/>
      </c>
      <c r="EGC118" s="100" t="str">
        <f t="shared" si="332"/>
        <v/>
      </c>
      <c r="EGD118" s="100" t="str">
        <f t="shared" si="332"/>
        <v/>
      </c>
      <c r="EGE118" s="100" t="str">
        <f t="shared" si="332"/>
        <v/>
      </c>
      <c r="EGF118" s="100" t="str">
        <f t="shared" si="332"/>
        <v/>
      </c>
      <c r="EGG118" s="100" t="str">
        <f t="shared" si="332"/>
        <v/>
      </c>
      <c r="EGH118" s="100" t="str">
        <f t="shared" si="332"/>
        <v/>
      </c>
      <c r="EGI118" s="100" t="str">
        <f t="shared" si="332"/>
        <v/>
      </c>
      <c r="EGJ118" s="100" t="str">
        <f t="shared" si="332"/>
        <v/>
      </c>
      <c r="EGK118" s="100" t="str">
        <f t="shared" si="332"/>
        <v/>
      </c>
      <c r="EGL118" s="100" t="str">
        <f t="shared" si="332"/>
        <v/>
      </c>
      <c r="EGM118" s="100" t="str">
        <f t="shared" si="332"/>
        <v/>
      </c>
      <c r="EGN118" s="100" t="str">
        <f t="shared" si="332"/>
        <v/>
      </c>
      <c r="EGO118" s="100" t="str">
        <f t="shared" si="332"/>
        <v/>
      </c>
      <c r="EGP118" s="100" t="str">
        <f t="shared" si="332"/>
        <v/>
      </c>
      <c r="EGQ118" s="100" t="str">
        <f t="shared" si="332"/>
        <v/>
      </c>
      <c r="EGR118" s="100" t="str">
        <f t="shared" si="332"/>
        <v/>
      </c>
      <c r="EGS118" s="100" t="str">
        <f t="shared" si="332"/>
        <v/>
      </c>
      <c r="EGT118" s="100" t="str">
        <f t="shared" si="332"/>
        <v/>
      </c>
      <c r="EGU118" s="100" t="str">
        <f t="shared" si="332"/>
        <v/>
      </c>
      <c r="EGV118" s="100" t="str">
        <f t="shared" si="332"/>
        <v/>
      </c>
      <c r="EGW118" s="100" t="str">
        <f t="shared" si="332"/>
        <v/>
      </c>
      <c r="EGX118" s="100" t="str">
        <f t="shared" si="332"/>
        <v/>
      </c>
      <c r="EGY118" s="100" t="str">
        <f t="shared" si="332"/>
        <v/>
      </c>
      <c r="EGZ118" s="100" t="str">
        <f t="shared" si="332"/>
        <v/>
      </c>
      <c r="EHA118" s="100" t="str">
        <f t="shared" ref="EHA118:EJL118" si="333">IFERROR(AVERAGE(EHA6,EHA16,EHA25,EHA34,EHA42,EHA54,EHA62,EHA70,EHA78,EHA86,EHA94,EHA102,EHA110),"")</f>
        <v/>
      </c>
      <c r="EHB118" s="100" t="str">
        <f t="shared" si="333"/>
        <v/>
      </c>
      <c r="EHC118" s="100" t="str">
        <f t="shared" si="333"/>
        <v/>
      </c>
      <c r="EHD118" s="100" t="str">
        <f t="shared" si="333"/>
        <v/>
      </c>
      <c r="EHE118" s="100" t="str">
        <f t="shared" si="333"/>
        <v/>
      </c>
      <c r="EHF118" s="100" t="str">
        <f t="shared" si="333"/>
        <v/>
      </c>
      <c r="EHG118" s="100" t="str">
        <f t="shared" si="333"/>
        <v/>
      </c>
      <c r="EHH118" s="100" t="str">
        <f t="shared" si="333"/>
        <v/>
      </c>
      <c r="EHI118" s="100" t="str">
        <f t="shared" si="333"/>
        <v/>
      </c>
      <c r="EHJ118" s="100" t="str">
        <f t="shared" si="333"/>
        <v/>
      </c>
      <c r="EHK118" s="100" t="str">
        <f t="shared" si="333"/>
        <v/>
      </c>
      <c r="EHL118" s="100" t="str">
        <f t="shared" si="333"/>
        <v/>
      </c>
      <c r="EHM118" s="100" t="str">
        <f t="shared" si="333"/>
        <v/>
      </c>
      <c r="EHN118" s="100" t="str">
        <f t="shared" si="333"/>
        <v/>
      </c>
      <c r="EHO118" s="100" t="str">
        <f t="shared" si="333"/>
        <v/>
      </c>
      <c r="EHP118" s="100" t="str">
        <f t="shared" si="333"/>
        <v/>
      </c>
      <c r="EHQ118" s="100" t="str">
        <f t="shared" si="333"/>
        <v/>
      </c>
      <c r="EHR118" s="100" t="str">
        <f t="shared" si="333"/>
        <v/>
      </c>
      <c r="EHS118" s="100" t="str">
        <f t="shared" si="333"/>
        <v/>
      </c>
      <c r="EHT118" s="100" t="str">
        <f t="shared" si="333"/>
        <v/>
      </c>
      <c r="EHU118" s="100" t="str">
        <f t="shared" si="333"/>
        <v/>
      </c>
      <c r="EHV118" s="100" t="str">
        <f t="shared" si="333"/>
        <v/>
      </c>
      <c r="EHW118" s="100" t="str">
        <f t="shared" si="333"/>
        <v/>
      </c>
      <c r="EHX118" s="100" t="str">
        <f t="shared" si="333"/>
        <v/>
      </c>
      <c r="EHY118" s="100" t="str">
        <f t="shared" si="333"/>
        <v/>
      </c>
      <c r="EHZ118" s="100" t="str">
        <f t="shared" si="333"/>
        <v/>
      </c>
      <c r="EIA118" s="100" t="str">
        <f t="shared" si="333"/>
        <v/>
      </c>
      <c r="EIB118" s="100" t="str">
        <f t="shared" si="333"/>
        <v/>
      </c>
      <c r="EIC118" s="100" t="str">
        <f t="shared" si="333"/>
        <v/>
      </c>
      <c r="EID118" s="100" t="str">
        <f t="shared" si="333"/>
        <v/>
      </c>
      <c r="EIE118" s="100" t="str">
        <f t="shared" si="333"/>
        <v/>
      </c>
      <c r="EIF118" s="100" t="str">
        <f t="shared" si="333"/>
        <v/>
      </c>
      <c r="EIG118" s="100" t="str">
        <f t="shared" si="333"/>
        <v/>
      </c>
      <c r="EIH118" s="100" t="str">
        <f t="shared" si="333"/>
        <v/>
      </c>
      <c r="EII118" s="100" t="str">
        <f t="shared" si="333"/>
        <v/>
      </c>
      <c r="EIJ118" s="100" t="str">
        <f t="shared" si="333"/>
        <v/>
      </c>
      <c r="EIK118" s="100" t="str">
        <f t="shared" si="333"/>
        <v/>
      </c>
      <c r="EIL118" s="100" t="str">
        <f t="shared" si="333"/>
        <v/>
      </c>
      <c r="EIM118" s="100" t="str">
        <f t="shared" si="333"/>
        <v/>
      </c>
      <c r="EIN118" s="100" t="str">
        <f t="shared" si="333"/>
        <v/>
      </c>
      <c r="EIO118" s="100" t="str">
        <f t="shared" si="333"/>
        <v/>
      </c>
      <c r="EIP118" s="100" t="str">
        <f t="shared" si="333"/>
        <v/>
      </c>
      <c r="EIQ118" s="100" t="str">
        <f t="shared" si="333"/>
        <v/>
      </c>
      <c r="EIR118" s="100" t="str">
        <f t="shared" si="333"/>
        <v/>
      </c>
      <c r="EIS118" s="100" t="str">
        <f t="shared" si="333"/>
        <v/>
      </c>
      <c r="EIT118" s="100" t="str">
        <f t="shared" si="333"/>
        <v/>
      </c>
      <c r="EIU118" s="100" t="str">
        <f t="shared" si="333"/>
        <v/>
      </c>
      <c r="EIV118" s="100" t="str">
        <f t="shared" si="333"/>
        <v/>
      </c>
      <c r="EIW118" s="100" t="str">
        <f t="shared" si="333"/>
        <v/>
      </c>
      <c r="EIX118" s="100" t="str">
        <f t="shared" si="333"/>
        <v/>
      </c>
      <c r="EIY118" s="100" t="str">
        <f t="shared" si="333"/>
        <v/>
      </c>
      <c r="EIZ118" s="100" t="str">
        <f t="shared" si="333"/>
        <v/>
      </c>
      <c r="EJA118" s="100" t="str">
        <f t="shared" si="333"/>
        <v/>
      </c>
      <c r="EJB118" s="100" t="str">
        <f t="shared" si="333"/>
        <v/>
      </c>
      <c r="EJC118" s="100" t="str">
        <f t="shared" si="333"/>
        <v/>
      </c>
      <c r="EJD118" s="100" t="str">
        <f t="shared" si="333"/>
        <v/>
      </c>
      <c r="EJE118" s="100" t="str">
        <f t="shared" si="333"/>
        <v/>
      </c>
      <c r="EJF118" s="100" t="str">
        <f t="shared" si="333"/>
        <v/>
      </c>
      <c r="EJG118" s="100" t="str">
        <f t="shared" si="333"/>
        <v/>
      </c>
      <c r="EJH118" s="100" t="str">
        <f t="shared" si="333"/>
        <v/>
      </c>
      <c r="EJI118" s="100" t="str">
        <f t="shared" si="333"/>
        <v/>
      </c>
      <c r="EJJ118" s="100" t="str">
        <f t="shared" si="333"/>
        <v/>
      </c>
      <c r="EJK118" s="100" t="str">
        <f t="shared" si="333"/>
        <v/>
      </c>
      <c r="EJL118" s="100" t="str">
        <f t="shared" si="333"/>
        <v/>
      </c>
      <c r="EJM118" s="100" t="str">
        <f t="shared" ref="EJM118:ELX118" si="334">IFERROR(AVERAGE(EJM6,EJM16,EJM25,EJM34,EJM42,EJM54,EJM62,EJM70,EJM78,EJM86,EJM94,EJM102,EJM110),"")</f>
        <v/>
      </c>
      <c r="EJN118" s="100" t="str">
        <f t="shared" si="334"/>
        <v/>
      </c>
      <c r="EJO118" s="100" t="str">
        <f t="shared" si="334"/>
        <v/>
      </c>
      <c r="EJP118" s="100" t="str">
        <f t="shared" si="334"/>
        <v/>
      </c>
      <c r="EJQ118" s="100" t="str">
        <f t="shared" si="334"/>
        <v/>
      </c>
      <c r="EJR118" s="100" t="str">
        <f t="shared" si="334"/>
        <v/>
      </c>
      <c r="EJS118" s="100" t="str">
        <f t="shared" si="334"/>
        <v/>
      </c>
      <c r="EJT118" s="100" t="str">
        <f t="shared" si="334"/>
        <v/>
      </c>
      <c r="EJU118" s="100" t="str">
        <f t="shared" si="334"/>
        <v/>
      </c>
      <c r="EJV118" s="100" t="str">
        <f t="shared" si="334"/>
        <v/>
      </c>
      <c r="EJW118" s="100" t="str">
        <f t="shared" si="334"/>
        <v/>
      </c>
      <c r="EJX118" s="100" t="str">
        <f t="shared" si="334"/>
        <v/>
      </c>
      <c r="EJY118" s="100" t="str">
        <f t="shared" si="334"/>
        <v/>
      </c>
      <c r="EJZ118" s="100" t="str">
        <f t="shared" si="334"/>
        <v/>
      </c>
      <c r="EKA118" s="100" t="str">
        <f t="shared" si="334"/>
        <v/>
      </c>
      <c r="EKB118" s="100" t="str">
        <f t="shared" si="334"/>
        <v/>
      </c>
      <c r="EKC118" s="100" t="str">
        <f t="shared" si="334"/>
        <v/>
      </c>
      <c r="EKD118" s="100" t="str">
        <f t="shared" si="334"/>
        <v/>
      </c>
      <c r="EKE118" s="100" t="str">
        <f t="shared" si="334"/>
        <v/>
      </c>
      <c r="EKF118" s="100" t="str">
        <f t="shared" si="334"/>
        <v/>
      </c>
      <c r="EKG118" s="100" t="str">
        <f t="shared" si="334"/>
        <v/>
      </c>
      <c r="EKH118" s="100" t="str">
        <f t="shared" si="334"/>
        <v/>
      </c>
      <c r="EKI118" s="100" t="str">
        <f t="shared" si="334"/>
        <v/>
      </c>
      <c r="EKJ118" s="100" t="str">
        <f t="shared" si="334"/>
        <v/>
      </c>
      <c r="EKK118" s="100" t="str">
        <f t="shared" si="334"/>
        <v/>
      </c>
      <c r="EKL118" s="100" t="str">
        <f t="shared" si="334"/>
        <v/>
      </c>
      <c r="EKM118" s="100" t="str">
        <f t="shared" si="334"/>
        <v/>
      </c>
      <c r="EKN118" s="100" t="str">
        <f t="shared" si="334"/>
        <v/>
      </c>
      <c r="EKO118" s="100" t="str">
        <f t="shared" si="334"/>
        <v/>
      </c>
      <c r="EKP118" s="100" t="str">
        <f t="shared" si="334"/>
        <v/>
      </c>
      <c r="EKQ118" s="100" t="str">
        <f t="shared" si="334"/>
        <v/>
      </c>
      <c r="EKR118" s="100" t="str">
        <f t="shared" si="334"/>
        <v/>
      </c>
      <c r="EKS118" s="100" t="str">
        <f t="shared" si="334"/>
        <v/>
      </c>
      <c r="EKT118" s="100" t="str">
        <f t="shared" si="334"/>
        <v/>
      </c>
      <c r="EKU118" s="100" t="str">
        <f t="shared" si="334"/>
        <v/>
      </c>
      <c r="EKV118" s="100" t="str">
        <f t="shared" si="334"/>
        <v/>
      </c>
      <c r="EKW118" s="100" t="str">
        <f t="shared" si="334"/>
        <v/>
      </c>
      <c r="EKX118" s="100" t="str">
        <f t="shared" si="334"/>
        <v/>
      </c>
      <c r="EKY118" s="100" t="str">
        <f t="shared" si="334"/>
        <v/>
      </c>
      <c r="EKZ118" s="100" t="str">
        <f t="shared" si="334"/>
        <v/>
      </c>
      <c r="ELA118" s="100" t="str">
        <f t="shared" si="334"/>
        <v/>
      </c>
      <c r="ELB118" s="100" t="str">
        <f t="shared" si="334"/>
        <v/>
      </c>
      <c r="ELC118" s="100" t="str">
        <f t="shared" si="334"/>
        <v/>
      </c>
      <c r="ELD118" s="100" t="str">
        <f t="shared" si="334"/>
        <v/>
      </c>
      <c r="ELE118" s="100" t="str">
        <f t="shared" si="334"/>
        <v/>
      </c>
      <c r="ELF118" s="100" t="str">
        <f t="shared" si="334"/>
        <v/>
      </c>
      <c r="ELG118" s="100" t="str">
        <f t="shared" si="334"/>
        <v/>
      </c>
      <c r="ELH118" s="100" t="str">
        <f t="shared" si="334"/>
        <v/>
      </c>
      <c r="ELI118" s="100" t="str">
        <f t="shared" si="334"/>
        <v/>
      </c>
      <c r="ELJ118" s="100" t="str">
        <f t="shared" si="334"/>
        <v/>
      </c>
      <c r="ELK118" s="100" t="str">
        <f t="shared" si="334"/>
        <v/>
      </c>
      <c r="ELL118" s="100" t="str">
        <f t="shared" si="334"/>
        <v/>
      </c>
      <c r="ELM118" s="100" t="str">
        <f t="shared" si="334"/>
        <v/>
      </c>
      <c r="ELN118" s="100" t="str">
        <f t="shared" si="334"/>
        <v/>
      </c>
      <c r="ELO118" s="100" t="str">
        <f t="shared" si="334"/>
        <v/>
      </c>
      <c r="ELP118" s="100" t="str">
        <f t="shared" si="334"/>
        <v/>
      </c>
      <c r="ELQ118" s="100" t="str">
        <f t="shared" si="334"/>
        <v/>
      </c>
      <c r="ELR118" s="100" t="str">
        <f t="shared" si="334"/>
        <v/>
      </c>
      <c r="ELS118" s="100" t="str">
        <f t="shared" si="334"/>
        <v/>
      </c>
      <c r="ELT118" s="100" t="str">
        <f t="shared" si="334"/>
        <v/>
      </c>
      <c r="ELU118" s="100" t="str">
        <f t="shared" si="334"/>
        <v/>
      </c>
      <c r="ELV118" s="100" t="str">
        <f t="shared" si="334"/>
        <v/>
      </c>
      <c r="ELW118" s="100" t="str">
        <f t="shared" si="334"/>
        <v/>
      </c>
      <c r="ELX118" s="100" t="str">
        <f t="shared" si="334"/>
        <v/>
      </c>
      <c r="ELY118" s="100" t="str">
        <f t="shared" ref="ELY118:EOJ118" si="335">IFERROR(AVERAGE(ELY6,ELY16,ELY25,ELY34,ELY42,ELY54,ELY62,ELY70,ELY78,ELY86,ELY94,ELY102,ELY110),"")</f>
        <v/>
      </c>
      <c r="ELZ118" s="100" t="str">
        <f t="shared" si="335"/>
        <v/>
      </c>
      <c r="EMA118" s="100" t="str">
        <f t="shared" si="335"/>
        <v/>
      </c>
      <c r="EMB118" s="100" t="str">
        <f t="shared" si="335"/>
        <v/>
      </c>
      <c r="EMC118" s="100" t="str">
        <f t="shared" si="335"/>
        <v/>
      </c>
      <c r="EMD118" s="100" t="str">
        <f t="shared" si="335"/>
        <v/>
      </c>
      <c r="EME118" s="100" t="str">
        <f t="shared" si="335"/>
        <v/>
      </c>
      <c r="EMF118" s="100" t="str">
        <f t="shared" si="335"/>
        <v/>
      </c>
      <c r="EMG118" s="100" t="str">
        <f t="shared" si="335"/>
        <v/>
      </c>
      <c r="EMH118" s="100" t="str">
        <f t="shared" si="335"/>
        <v/>
      </c>
      <c r="EMI118" s="100" t="str">
        <f t="shared" si="335"/>
        <v/>
      </c>
      <c r="EMJ118" s="100" t="str">
        <f t="shared" si="335"/>
        <v/>
      </c>
      <c r="EMK118" s="100" t="str">
        <f t="shared" si="335"/>
        <v/>
      </c>
      <c r="EML118" s="100" t="str">
        <f t="shared" si="335"/>
        <v/>
      </c>
      <c r="EMM118" s="100" t="str">
        <f t="shared" si="335"/>
        <v/>
      </c>
      <c r="EMN118" s="100" t="str">
        <f t="shared" si="335"/>
        <v/>
      </c>
      <c r="EMO118" s="100" t="str">
        <f t="shared" si="335"/>
        <v/>
      </c>
      <c r="EMP118" s="100" t="str">
        <f t="shared" si="335"/>
        <v/>
      </c>
      <c r="EMQ118" s="100" t="str">
        <f t="shared" si="335"/>
        <v/>
      </c>
      <c r="EMR118" s="100" t="str">
        <f t="shared" si="335"/>
        <v/>
      </c>
      <c r="EMS118" s="100" t="str">
        <f t="shared" si="335"/>
        <v/>
      </c>
      <c r="EMT118" s="100" t="str">
        <f t="shared" si="335"/>
        <v/>
      </c>
      <c r="EMU118" s="100" t="str">
        <f t="shared" si="335"/>
        <v/>
      </c>
      <c r="EMV118" s="100" t="str">
        <f t="shared" si="335"/>
        <v/>
      </c>
      <c r="EMW118" s="100" t="str">
        <f t="shared" si="335"/>
        <v/>
      </c>
      <c r="EMX118" s="100" t="str">
        <f t="shared" si="335"/>
        <v/>
      </c>
      <c r="EMY118" s="100" t="str">
        <f t="shared" si="335"/>
        <v/>
      </c>
      <c r="EMZ118" s="100" t="str">
        <f t="shared" si="335"/>
        <v/>
      </c>
      <c r="ENA118" s="100" t="str">
        <f t="shared" si="335"/>
        <v/>
      </c>
      <c r="ENB118" s="100" t="str">
        <f t="shared" si="335"/>
        <v/>
      </c>
      <c r="ENC118" s="100" t="str">
        <f t="shared" si="335"/>
        <v/>
      </c>
      <c r="END118" s="100" t="str">
        <f t="shared" si="335"/>
        <v/>
      </c>
      <c r="ENE118" s="100" t="str">
        <f t="shared" si="335"/>
        <v/>
      </c>
      <c r="ENF118" s="100" t="str">
        <f t="shared" si="335"/>
        <v/>
      </c>
      <c r="ENG118" s="100" t="str">
        <f t="shared" si="335"/>
        <v/>
      </c>
      <c r="ENH118" s="100" t="str">
        <f t="shared" si="335"/>
        <v/>
      </c>
      <c r="ENI118" s="100" t="str">
        <f t="shared" si="335"/>
        <v/>
      </c>
      <c r="ENJ118" s="100" t="str">
        <f t="shared" si="335"/>
        <v/>
      </c>
      <c r="ENK118" s="100" t="str">
        <f t="shared" si="335"/>
        <v/>
      </c>
      <c r="ENL118" s="100" t="str">
        <f t="shared" si="335"/>
        <v/>
      </c>
      <c r="ENM118" s="100" t="str">
        <f t="shared" si="335"/>
        <v/>
      </c>
      <c r="ENN118" s="100" t="str">
        <f t="shared" si="335"/>
        <v/>
      </c>
      <c r="ENO118" s="100" t="str">
        <f t="shared" si="335"/>
        <v/>
      </c>
      <c r="ENP118" s="100" t="str">
        <f t="shared" si="335"/>
        <v/>
      </c>
      <c r="ENQ118" s="100" t="str">
        <f t="shared" si="335"/>
        <v/>
      </c>
      <c r="ENR118" s="100" t="str">
        <f t="shared" si="335"/>
        <v/>
      </c>
      <c r="ENS118" s="100" t="str">
        <f t="shared" si="335"/>
        <v/>
      </c>
      <c r="ENT118" s="100" t="str">
        <f t="shared" si="335"/>
        <v/>
      </c>
      <c r="ENU118" s="100" t="str">
        <f t="shared" si="335"/>
        <v/>
      </c>
      <c r="ENV118" s="100" t="str">
        <f t="shared" si="335"/>
        <v/>
      </c>
      <c r="ENW118" s="100" t="str">
        <f t="shared" si="335"/>
        <v/>
      </c>
      <c r="ENX118" s="100" t="str">
        <f t="shared" si="335"/>
        <v/>
      </c>
      <c r="ENY118" s="100" t="str">
        <f t="shared" si="335"/>
        <v/>
      </c>
      <c r="ENZ118" s="100" t="str">
        <f t="shared" si="335"/>
        <v/>
      </c>
      <c r="EOA118" s="100" t="str">
        <f t="shared" si="335"/>
        <v/>
      </c>
      <c r="EOB118" s="100" t="str">
        <f t="shared" si="335"/>
        <v/>
      </c>
      <c r="EOC118" s="100" t="str">
        <f t="shared" si="335"/>
        <v/>
      </c>
      <c r="EOD118" s="100" t="str">
        <f t="shared" si="335"/>
        <v/>
      </c>
      <c r="EOE118" s="100" t="str">
        <f t="shared" si="335"/>
        <v/>
      </c>
      <c r="EOF118" s="100" t="str">
        <f t="shared" si="335"/>
        <v/>
      </c>
      <c r="EOG118" s="100" t="str">
        <f t="shared" si="335"/>
        <v/>
      </c>
      <c r="EOH118" s="100" t="str">
        <f t="shared" si="335"/>
        <v/>
      </c>
      <c r="EOI118" s="100" t="str">
        <f t="shared" si="335"/>
        <v/>
      </c>
      <c r="EOJ118" s="100" t="str">
        <f t="shared" si="335"/>
        <v/>
      </c>
      <c r="EOK118" s="100" t="str">
        <f t="shared" ref="EOK118:EQV118" si="336">IFERROR(AVERAGE(EOK6,EOK16,EOK25,EOK34,EOK42,EOK54,EOK62,EOK70,EOK78,EOK86,EOK94,EOK102,EOK110),"")</f>
        <v/>
      </c>
      <c r="EOL118" s="100" t="str">
        <f t="shared" si="336"/>
        <v/>
      </c>
      <c r="EOM118" s="100" t="str">
        <f t="shared" si="336"/>
        <v/>
      </c>
      <c r="EON118" s="100" t="str">
        <f t="shared" si="336"/>
        <v/>
      </c>
      <c r="EOO118" s="100" t="str">
        <f t="shared" si="336"/>
        <v/>
      </c>
      <c r="EOP118" s="100" t="str">
        <f t="shared" si="336"/>
        <v/>
      </c>
      <c r="EOQ118" s="100" t="str">
        <f t="shared" si="336"/>
        <v/>
      </c>
      <c r="EOR118" s="100" t="str">
        <f t="shared" si="336"/>
        <v/>
      </c>
      <c r="EOS118" s="100" t="str">
        <f t="shared" si="336"/>
        <v/>
      </c>
      <c r="EOT118" s="100" t="str">
        <f t="shared" si="336"/>
        <v/>
      </c>
      <c r="EOU118" s="100" t="str">
        <f t="shared" si="336"/>
        <v/>
      </c>
      <c r="EOV118" s="100" t="str">
        <f t="shared" si="336"/>
        <v/>
      </c>
      <c r="EOW118" s="100" t="str">
        <f t="shared" si="336"/>
        <v/>
      </c>
      <c r="EOX118" s="100" t="str">
        <f t="shared" si="336"/>
        <v/>
      </c>
      <c r="EOY118" s="100" t="str">
        <f t="shared" si="336"/>
        <v/>
      </c>
      <c r="EOZ118" s="100" t="str">
        <f t="shared" si="336"/>
        <v/>
      </c>
      <c r="EPA118" s="100" t="str">
        <f t="shared" si="336"/>
        <v/>
      </c>
      <c r="EPB118" s="100" t="str">
        <f t="shared" si="336"/>
        <v/>
      </c>
      <c r="EPC118" s="100" t="str">
        <f t="shared" si="336"/>
        <v/>
      </c>
      <c r="EPD118" s="100" t="str">
        <f t="shared" si="336"/>
        <v/>
      </c>
      <c r="EPE118" s="100" t="str">
        <f t="shared" si="336"/>
        <v/>
      </c>
      <c r="EPF118" s="100" t="str">
        <f t="shared" si="336"/>
        <v/>
      </c>
      <c r="EPG118" s="100" t="str">
        <f t="shared" si="336"/>
        <v/>
      </c>
      <c r="EPH118" s="100" t="str">
        <f t="shared" si="336"/>
        <v/>
      </c>
      <c r="EPI118" s="100" t="str">
        <f t="shared" si="336"/>
        <v/>
      </c>
      <c r="EPJ118" s="100" t="str">
        <f t="shared" si="336"/>
        <v/>
      </c>
      <c r="EPK118" s="100" t="str">
        <f t="shared" si="336"/>
        <v/>
      </c>
      <c r="EPL118" s="100" t="str">
        <f t="shared" si="336"/>
        <v/>
      </c>
      <c r="EPM118" s="100" t="str">
        <f t="shared" si="336"/>
        <v/>
      </c>
      <c r="EPN118" s="100" t="str">
        <f t="shared" si="336"/>
        <v/>
      </c>
      <c r="EPO118" s="100" t="str">
        <f t="shared" si="336"/>
        <v/>
      </c>
      <c r="EPP118" s="100" t="str">
        <f t="shared" si="336"/>
        <v/>
      </c>
      <c r="EPQ118" s="100" t="str">
        <f t="shared" si="336"/>
        <v/>
      </c>
      <c r="EPR118" s="100" t="str">
        <f t="shared" si="336"/>
        <v/>
      </c>
      <c r="EPS118" s="100" t="str">
        <f t="shared" si="336"/>
        <v/>
      </c>
      <c r="EPT118" s="100" t="str">
        <f t="shared" si="336"/>
        <v/>
      </c>
      <c r="EPU118" s="100" t="str">
        <f t="shared" si="336"/>
        <v/>
      </c>
      <c r="EPV118" s="100" t="str">
        <f t="shared" si="336"/>
        <v/>
      </c>
      <c r="EPW118" s="100" t="str">
        <f t="shared" si="336"/>
        <v/>
      </c>
      <c r="EPX118" s="100" t="str">
        <f t="shared" si="336"/>
        <v/>
      </c>
      <c r="EPY118" s="100" t="str">
        <f t="shared" si="336"/>
        <v/>
      </c>
      <c r="EPZ118" s="100" t="str">
        <f t="shared" si="336"/>
        <v/>
      </c>
      <c r="EQA118" s="100" t="str">
        <f t="shared" si="336"/>
        <v/>
      </c>
      <c r="EQB118" s="100" t="str">
        <f t="shared" si="336"/>
        <v/>
      </c>
      <c r="EQC118" s="100" t="str">
        <f t="shared" si="336"/>
        <v/>
      </c>
      <c r="EQD118" s="100" t="str">
        <f t="shared" si="336"/>
        <v/>
      </c>
      <c r="EQE118" s="100" t="str">
        <f t="shared" si="336"/>
        <v/>
      </c>
      <c r="EQF118" s="100" t="str">
        <f t="shared" si="336"/>
        <v/>
      </c>
      <c r="EQG118" s="100" t="str">
        <f t="shared" si="336"/>
        <v/>
      </c>
      <c r="EQH118" s="100" t="str">
        <f t="shared" si="336"/>
        <v/>
      </c>
      <c r="EQI118" s="100" t="str">
        <f t="shared" si="336"/>
        <v/>
      </c>
      <c r="EQJ118" s="100" t="str">
        <f t="shared" si="336"/>
        <v/>
      </c>
      <c r="EQK118" s="100" t="str">
        <f t="shared" si="336"/>
        <v/>
      </c>
      <c r="EQL118" s="100" t="str">
        <f t="shared" si="336"/>
        <v/>
      </c>
      <c r="EQM118" s="100" t="str">
        <f t="shared" si="336"/>
        <v/>
      </c>
      <c r="EQN118" s="100" t="str">
        <f t="shared" si="336"/>
        <v/>
      </c>
      <c r="EQO118" s="100" t="str">
        <f t="shared" si="336"/>
        <v/>
      </c>
      <c r="EQP118" s="100" t="str">
        <f t="shared" si="336"/>
        <v/>
      </c>
      <c r="EQQ118" s="100" t="str">
        <f t="shared" si="336"/>
        <v/>
      </c>
      <c r="EQR118" s="100" t="str">
        <f t="shared" si="336"/>
        <v/>
      </c>
      <c r="EQS118" s="100" t="str">
        <f t="shared" si="336"/>
        <v/>
      </c>
      <c r="EQT118" s="100" t="str">
        <f t="shared" si="336"/>
        <v/>
      </c>
      <c r="EQU118" s="100" t="str">
        <f t="shared" si="336"/>
        <v/>
      </c>
      <c r="EQV118" s="100" t="str">
        <f t="shared" si="336"/>
        <v/>
      </c>
      <c r="EQW118" s="100" t="str">
        <f t="shared" ref="EQW118:ETH118" si="337">IFERROR(AVERAGE(EQW6,EQW16,EQW25,EQW34,EQW42,EQW54,EQW62,EQW70,EQW78,EQW86,EQW94,EQW102,EQW110),"")</f>
        <v/>
      </c>
      <c r="EQX118" s="100" t="str">
        <f t="shared" si="337"/>
        <v/>
      </c>
      <c r="EQY118" s="100" t="str">
        <f t="shared" si="337"/>
        <v/>
      </c>
      <c r="EQZ118" s="100" t="str">
        <f t="shared" si="337"/>
        <v/>
      </c>
      <c r="ERA118" s="100" t="str">
        <f t="shared" si="337"/>
        <v/>
      </c>
      <c r="ERB118" s="100" t="str">
        <f t="shared" si="337"/>
        <v/>
      </c>
      <c r="ERC118" s="100" t="str">
        <f t="shared" si="337"/>
        <v/>
      </c>
      <c r="ERD118" s="100" t="str">
        <f t="shared" si="337"/>
        <v/>
      </c>
      <c r="ERE118" s="100" t="str">
        <f t="shared" si="337"/>
        <v/>
      </c>
      <c r="ERF118" s="100" t="str">
        <f t="shared" si="337"/>
        <v/>
      </c>
      <c r="ERG118" s="100" t="str">
        <f t="shared" si="337"/>
        <v/>
      </c>
      <c r="ERH118" s="100" t="str">
        <f t="shared" si="337"/>
        <v/>
      </c>
      <c r="ERI118" s="100" t="str">
        <f t="shared" si="337"/>
        <v/>
      </c>
      <c r="ERJ118" s="100" t="str">
        <f t="shared" si="337"/>
        <v/>
      </c>
      <c r="ERK118" s="100" t="str">
        <f t="shared" si="337"/>
        <v/>
      </c>
      <c r="ERL118" s="100" t="str">
        <f t="shared" si="337"/>
        <v/>
      </c>
      <c r="ERM118" s="100" t="str">
        <f t="shared" si="337"/>
        <v/>
      </c>
      <c r="ERN118" s="100" t="str">
        <f t="shared" si="337"/>
        <v/>
      </c>
      <c r="ERO118" s="100" t="str">
        <f t="shared" si="337"/>
        <v/>
      </c>
      <c r="ERP118" s="100" t="str">
        <f t="shared" si="337"/>
        <v/>
      </c>
      <c r="ERQ118" s="100" t="str">
        <f t="shared" si="337"/>
        <v/>
      </c>
      <c r="ERR118" s="100" t="str">
        <f t="shared" si="337"/>
        <v/>
      </c>
      <c r="ERS118" s="100" t="str">
        <f t="shared" si="337"/>
        <v/>
      </c>
      <c r="ERT118" s="100" t="str">
        <f t="shared" si="337"/>
        <v/>
      </c>
      <c r="ERU118" s="100" t="str">
        <f t="shared" si="337"/>
        <v/>
      </c>
      <c r="ERV118" s="100" t="str">
        <f t="shared" si="337"/>
        <v/>
      </c>
      <c r="ERW118" s="100" t="str">
        <f t="shared" si="337"/>
        <v/>
      </c>
      <c r="ERX118" s="100" t="str">
        <f t="shared" si="337"/>
        <v/>
      </c>
      <c r="ERY118" s="100" t="str">
        <f t="shared" si="337"/>
        <v/>
      </c>
      <c r="ERZ118" s="100" t="str">
        <f t="shared" si="337"/>
        <v/>
      </c>
      <c r="ESA118" s="100" t="str">
        <f t="shared" si="337"/>
        <v/>
      </c>
      <c r="ESB118" s="100" t="str">
        <f t="shared" si="337"/>
        <v/>
      </c>
      <c r="ESC118" s="100" t="str">
        <f t="shared" si="337"/>
        <v/>
      </c>
      <c r="ESD118" s="100" t="str">
        <f t="shared" si="337"/>
        <v/>
      </c>
      <c r="ESE118" s="100" t="str">
        <f t="shared" si="337"/>
        <v/>
      </c>
      <c r="ESF118" s="100" t="str">
        <f t="shared" si="337"/>
        <v/>
      </c>
      <c r="ESG118" s="100" t="str">
        <f t="shared" si="337"/>
        <v/>
      </c>
      <c r="ESH118" s="100" t="str">
        <f t="shared" si="337"/>
        <v/>
      </c>
      <c r="ESI118" s="100" t="str">
        <f t="shared" si="337"/>
        <v/>
      </c>
      <c r="ESJ118" s="100" t="str">
        <f t="shared" si="337"/>
        <v/>
      </c>
      <c r="ESK118" s="100" t="str">
        <f t="shared" si="337"/>
        <v/>
      </c>
      <c r="ESL118" s="100" t="str">
        <f t="shared" si="337"/>
        <v/>
      </c>
      <c r="ESM118" s="100" t="str">
        <f t="shared" si="337"/>
        <v/>
      </c>
      <c r="ESN118" s="100" t="str">
        <f t="shared" si="337"/>
        <v/>
      </c>
      <c r="ESO118" s="100" t="str">
        <f t="shared" si="337"/>
        <v/>
      </c>
      <c r="ESP118" s="100" t="str">
        <f t="shared" si="337"/>
        <v/>
      </c>
      <c r="ESQ118" s="100" t="str">
        <f t="shared" si="337"/>
        <v/>
      </c>
      <c r="ESR118" s="100" t="str">
        <f t="shared" si="337"/>
        <v/>
      </c>
      <c r="ESS118" s="100" t="str">
        <f t="shared" si="337"/>
        <v/>
      </c>
      <c r="EST118" s="100" t="str">
        <f t="shared" si="337"/>
        <v/>
      </c>
      <c r="ESU118" s="100" t="str">
        <f t="shared" si="337"/>
        <v/>
      </c>
      <c r="ESV118" s="100" t="str">
        <f t="shared" si="337"/>
        <v/>
      </c>
      <c r="ESW118" s="100" t="str">
        <f t="shared" si="337"/>
        <v/>
      </c>
      <c r="ESX118" s="100" t="str">
        <f t="shared" si="337"/>
        <v/>
      </c>
      <c r="ESY118" s="100" t="str">
        <f t="shared" si="337"/>
        <v/>
      </c>
      <c r="ESZ118" s="100" t="str">
        <f t="shared" si="337"/>
        <v/>
      </c>
      <c r="ETA118" s="100" t="str">
        <f t="shared" si="337"/>
        <v/>
      </c>
      <c r="ETB118" s="100" t="str">
        <f t="shared" si="337"/>
        <v/>
      </c>
      <c r="ETC118" s="100" t="str">
        <f t="shared" si="337"/>
        <v/>
      </c>
      <c r="ETD118" s="100" t="str">
        <f t="shared" si="337"/>
        <v/>
      </c>
      <c r="ETE118" s="100" t="str">
        <f t="shared" si="337"/>
        <v/>
      </c>
      <c r="ETF118" s="100" t="str">
        <f t="shared" si="337"/>
        <v/>
      </c>
      <c r="ETG118" s="100" t="str">
        <f t="shared" si="337"/>
        <v/>
      </c>
      <c r="ETH118" s="100" t="str">
        <f t="shared" si="337"/>
        <v/>
      </c>
      <c r="ETI118" s="100" t="str">
        <f t="shared" ref="ETI118:EVT118" si="338">IFERROR(AVERAGE(ETI6,ETI16,ETI25,ETI34,ETI42,ETI54,ETI62,ETI70,ETI78,ETI86,ETI94,ETI102,ETI110),"")</f>
        <v/>
      </c>
      <c r="ETJ118" s="100" t="str">
        <f t="shared" si="338"/>
        <v/>
      </c>
      <c r="ETK118" s="100" t="str">
        <f t="shared" si="338"/>
        <v/>
      </c>
      <c r="ETL118" s="100" t="str">
        <f t="shared" si="338"/>
        <v/>
      </c>
      <c r="ETM118" s="100" t="str">
        <f t="shared" si="338"/>
        <v/>
      </c>
      <c r="ETN118" s="100" t="str">
        <f t="shared" si="338"/>
        <v/>
      </c>
      <c r="ETO118" s="100" t="str">
        <f t="shared" si="338"/>
        <v/>
      </c>
      <c r="ETP118" s="100" t="str">
        <f t="shared" si="338"/>
        <v/>
      </c>
      <c r="ETQ118" s="100" t="str">
        <f t="shared" si="338"/>
        <v/>
      </c>
      <c r="ETR118" s="100" t="str">
        <f t="shared" si="338"/>
        <v/>
      </c>
      <c r="ETS118" s="100" t="str">
        <f t="shared" si="338"/>
        <v/>
      </c>
      <c r="ETT118" s="100" t="str">
        <f t="shared" si="338"/>
        <v/>
      </c>
      <c r="ETU118" s="100" t="str">
        <f t="shared" si="338"/>
        <v/>
      </c>
      <c r="ETV118" s="100" t="str">
        <f t="shared" si="338"/>
        <v/>
      </c>
      <c r="ETW118" s="100" t="str">
        <f t="shared" si="338"/>
        <v/>
      </c>
      <c r="ETX118" s="100" t="str">
        <f t="shared" si="338"/>
        <v/>
      </c>
      <c r="ETY118" s="100" t="str">
        <f t="shared" si="338"/>
        <v/>
      </c>
      <c r="ETZ118" s="100" t="str">
        <f t="shared" si="338"/>
        <v/>
      </c>
      <c r="EUA118" s="100" t="str">
        <f t="shared" si="338"/>
        <v/>
      </c>
      <c r="EUB118" s="100" t="str">
        <f t="shared" si="338"/>
        <v/>
      </c>
      <c r="EUC118" s="100" t="str">
        <f t="shared" si="338"/>
        <v/>
      </c>
      <c r="EUD118" s="100" t="str">
        <f t="shared" si="338"/>
        <v/>
      </c>
      <c r="EUE118" s="100" t="str">
        <f t="shared" si="338"/>
        <v/>
      </c>
      <c r="EUF118" s="100" t="str">
        <f t="shared" si="338"/>
        <v/>
      </c>
      <c r="EUG118" s="100" t="str">
        <f t="shared" si="338"/>
        <v/>
      </c>
      <c r="EUH118" s="100" t="str">
        <f t="shared" si="338"/>
        <v/>
      </c>
      <c r="EUI118" s="100" t="str">
        <f t="shared" si="338"/>
        <v/>
      </c>
      <c r="EUJ118" s="100" t="str">
        <f t="shared" si="338"/>
        <v/>
      </c>
      <c r="EUK118" s="100" t="str">
        <f t="shared" si="338"/>
        <v/>
      </c>
      <c r="EUL118" s="100" t="str">
        <f t="shared" si="338"/>
        <v/>
      </c>
      <c r="EUM118" s="100" t="str">
        <f t="shared" si="338"/>
        <v/>
      </c>
      <c r="EUN118" s="100" t="str">
        <f t="shared" si="338"/>
        <v/>
      </c>
      <c r="EUO118" s="100" t="str">
        <f t="shared" si="338"/>
        <v/>
      </c>
      <c r="EUP118" s="100" t="str">
        <f t="shared" si="338"/>
        <v/>
      </c>
      <c r="EUQ118" s="100" t="str">
        <f t="shared" si="338"/>
        <v/>
      </c>
      <c r="EUR118" s="100" t="str">
        <f t="shared" si="338"/>
        <v/>
      </c>
      <c r="EUS118" s="100" t="str">
        <f t="shared" si="338"/>
        <v/>
      </c>
      <c r="EUT118" s="100" t="str">
        <f t="shared" si="338"/>
        <v/>
      </c>
      <c r="EUU118" s="100" t="str">
        <f t="shared" si="338"/>
        <v/>
      </c>
      <c r="EUV118" s="100" t="str">
        <f t="shared" si="338"/>
        <v/>
      </c>
      <c r="EUW118" s="100" t="str">
        <f t="shared" si="338"/>
        <v/>
      </c>
      <c r="EUX118" s="100" t="str">
        <f t="shared" si="338"/>
        <v/>
      </c>
      <c r="EUY118" s="100" t="str">
        <f t="shared" si="338"/>
        <v/>
      </c>
      <c r="EUZ118" s="100" t="str">
        <f t="shared" si="338"/>
        <v/>
      </c>
      <c r="EVA118" s="100" t="str">
        <f t="shared" si="338"/>
        <v/>
      </c>
      <c r="EVB118" s="100" t="str">
        <f t="shared" si="338"/>
        <v/>
      </c>
      <c r="EVC118" s="100" t="str">
        <f t="shared" si="338"/>
        <v/>
      </c>
      <c r="EVD118" s="100" t="str">
        <f t="shared" si="338"/>
        <v/>
      </c>
      <c r="EVE118" s="100" t="str">
        <f t="shared" si="338"/>
        <v/>
      </c>
      <c r="EVF118" s="100" t="str">
        <f t="shared" si="338"/>
        <v/>
      </c>
      <c r="EVG118" s="100" t="str">
        <f t="shared" si="338"/>
        <v/>
      </c>
      <c r="EVH118" s="100" t="str">
        <f t="shared" si="338"/>
        <v/>
      </c>
      <c r="EVI118" s="100" t="str">
        <f t="shared" si="338"/>
        <v/>
      </c>
      <c r="EVJ118" s="100" t="str">
        <f t="shared" si="338"/>
        <v/>
      </c>
      <c r="EVK118" s="100" t="str">
        <f t="shared" si="338"/>
        <v/>
      </c>
      <c r="EVL118" s="100" t="str">
        <f t="shared" si="338"/>
        <v/>
      </c>
      <c r="EVM118" s="100" t="str">
        <f t="shared" si="338"/>
        <v/>
      </c>
      <c r="EVN118" s="100" t="str">
        <f t="shared" si="338"/>
        <v/>
      </c>
      <c r="EVO118" s="100" t="str">
        <f t="shared" si="338"/>
        <v/>
      </c>
      <c r="EVP118" s="100" t="str">
        <f t="shared" si="338"/>
        <v/>
      </c>
      <c r="EVQ118" s="100" t="str">
        <f t="shared" si="338"/>
        <v/>
      </c>
      <c r="EVR118" s="100" t="str">
        <f t="shared" si="338"/>
        <v/>
      </c>
      <c r="EVS118" s="100" t="str">
        <f t="shared" si="338"/>
        <v/>
      </c>
      <c r="EVT118" s="100" t="str">
        <f t="shared" si="338"/>
        <v/>
      </c>
      <c r="EVU118" s="100" t="str">
        <f t="shared" ref="EVU118:EYF118" si="339">IFERROR(AVERAGE(EVU6,EVU16,EVU25,EVU34,EVU42,EVU54,EVU62,EVU70,EVU78,EVU86,EVU94,EVU102,EVU110),"")</f>
        <v/>
      </c>
      <c r="EVV118" s="100" t="str">
        <f t="shared" si="339"/>
        <v/>
      </c>
      <c r="EVW118" s="100" t="str">
        <f t="shared" si="339"/>
        <v/>
      </c>
      <c r="EVX118" s="100" t="str">
        <f t="shared" si="339"/>
        <v/>
      </c>
      <c r="EVY118" s="100" t="str">
        <f t="shared" si="339"/>
        <v/>
      </c>
      <c r="EVZ118" s="100" t="str">
        <f t="shared" si="339"/>
        <v/>
      </c>
      <c r="EWA118" s="100" t="str">
        <f t="shared" si="339"/>
        <v/>
      </c>
      <c r="EWB118" s="100" t="str">
        <f t="shared" si="339"/>
        <v/>
      </c>
      <c r="EWC118" s="100" t="str">
        <f t="shared" si="339"/>
        <v/>
      </c>
      <c r="EWD118" s="100" t="str">
        <f t="shared" si="339"/>
        <v/>
      </c>
      <c r="EWE118" s="100" t="str">
        <f t="shared" si="339"/>
        <v/>
      </c>
      <c r="EWF118" s="100" t="str">
        <f t="shared" si="339"/>
        <v/>
      </c>
      <c r="EWG118" s="100" t="str">
        <f t="shared" si="339"/>
        <v/>
      </c>
      <c r="EWH118" s="100" t="str">
        <f t="shared" si="339"/>
        <v/>
      </c>
      <c r="EWI118" s="100" t="str">
        <f t="shared" si="339"/>
        <v/>
      </c>
      <c r="EWJ118" s="100" t="str">
        <f t="shared" si="339"/>
        <v/>
      </c>
      <c r="EWK118" s="100" t="str">
        <f t="shared" si="339"/>
        <v/>
      </c>
      <c r="EWL118" s="100" t="str">
        <f t="shared" si="339"/>
        <v/>
      </c>
      <c r="EWM118" s="100" t="str">
        <f t="shared" si="339"/>
        <v/>
      </c>
      <c r="EWN118" s="100" t="str">
        <f t="shared" si="339"/>
        <v/>
      </c>
      <c r="EWO118" s="100" t="str">
        <f t="shared" si="339"/>
        <v/>
      </c>
      <c r="EWP118" s="100" t="str">
        <f t="shared" si="339"/>
        <v/>
      </c>
      <c r="EWQ118" s="100" t="str">
        <f t="shared" si="339"/>
        <v/>
      </c>
      <c r="EWR118" s="100" t="str">
        <f t="shared" si="339"/>
        <v/>
      </c>
      <c r="EWS118" s="100" t="str">
        <f t="shared" si="339"/>
        <v/>
      </c>
      <c r="EWT118" s="100" t="str">
        <f t="shared" si="339"/>
        <v/>
      </c>
      <c r="EWU118" s="100" t="str">
        <f t="shared" si="339"/>
        <v/>
      </c>
      <c r="EWV118" s="100" t="str">
        <f t="shared" si="339"/>
        <v/>
      </c>
      <c r="EWW118" s="100" t="str">
        <f t="shared" si="339"/>
        <v/>
      </c>
      <c r="EWX118" s="100" t="str">
        <f t="shared" si="339"/>
        <v/>
      </c>
      <c r="EWY118" s="100" t="str">
        <f t="shared" si="339"/>
        <v/>
      </c>
      <c r="EWZ118" s="100" t="str">
        <f t="shared" si="339"/>
        <v/>
      </c>
      <c r="EXA118" s="100" t="str">
        <f t="shared" si="339"/>
        <v/>
      </c>
      <c r="EXB118" s="100" t="str">
        <f t="shared" si="339"/>
        <v/>
      </c>
      <c r="EXC118" s="100" t="str">
        <f t="shared" si="339"/>
        <v/>
      </c>
      <c r="EXD118" s="100" t="str">
        <f t="shared" si="339"/>
        <v/>
      </c>
      <c r="EXE118" s="100" t="str">
        <f t="shared" si="339"/>
        <v/>
      </c>
      <c r="EXF118" s="100" t="str">
        <f t="shared" si="339"/>
        <v/>
      </c>
      <c r="EXG118" s="100" t="str">
        <f t="shared" si="339"/>
        <v/>
      </c>
      <c r="EXH118" s="100" t="str">
        <f t="shared" si="339"/>
        <v/>
      </c>
      <c r="EXI118" s="100" t="str">
        <f t="shared" si="339"/>
        <v/>
      </c>
      <c r="EXJ118" s="100" t="str">
        <f t="shared" si="339"/>
        <v/>
      </c>
      <c r="EXK118" s="100" t="str">
        <f t="shared" si="339"/>
        <v/>
      </c>
      <c r="EXL118" s="100" t="str">
        <f t="shared" si="339"/>
        <v/>
      </c>
      <c r="EXM118" s="100" t="str">
        <f t="shared" si="339"/>
        <v/>
      </c>
      <c r="EXN118" s="100" t="str">
        <f t="shared" si="339"/>
        <v/>
      </c>
      <c r="EXO118" s="100" t="str">
        <f t="shared" si="339"/>
        <v/>
      </c>
      <c r="EXP118" s="100" t="str">
        <f t="shared" si="339"/>
        <v/>
      </c>
      <c r="EXQ118" s="100" t="str">
        <f t="shared" si="339"/>
        <v/>
      </c>
      <c r="EXR118" s="100" t="str">
        <f t="shared" si="339"/>
        <v/>
      </c>
      <c r="EXS118" s="100" t="str">
        <f t="shared" si="339"/>
        <v/>
      </c>
      <c r="EXT118" s="100" t="str">
        <f t="shared" si="339"/>
        <v/>
      </c>
      <c r="EXU118" s="100" t="str">
        <f t="shared" si="339"/>
        <v/>
      </c>
      <c r="EXV118" s="100" t="str">
        <f t="shared" si="339"/>
        <v/>
      </c>
      <c r="EXW118" s="100" t="str">
        <f t="shared" si="339"/>
        <v/>
      </c>
      <c r="EXX118" s="100" t="str">
        <f t="shared" si="339"/>
        <v/>
      </c>
      <c r="EXY118" s="100" t="str">
        <f t="shared" si="339"/>
        <v/>
      </c>
      <c r="EXZ118" s="100" t="str">
        <f t="shared" si="339"/>
        <v/>
      </c>
      <c r="EYA118" s="100" t="str">
        <f t="shared" si="339"/>
        <v/>
      </c>
      <c r="EYB118" s="100" t="str">
        <f t="shared" si="339"/>
        <v/>
      </c>
      <c r="EYC118" s="100" t="str">
        <f t="shared" si="339"/>
        <v/>
      </c>
      <c r="EYD118" s="100" t="str">
        <f t="shared" si="339"/>
        <v/>
      </c>
      <c r="EYE118" s="100" t="str">
        <f t="shared" si="339"/>
        <v/>
      </c>
      <c r="EYF118" s="100" t="str">
        <f t="shared" si="339"/>
        <v/>
      </c>
      <c r="EYG118" s="100" t="str">
        <f t="shared" ref="EYG118:FAR118" si="340">IFERROR(AVERAGE(EYG6,EYG16,EYG25,EYG34,EYG42,EYG54,EYG62,EYG70,EYG78,EYG86,EYG94,EYG102,EYG110),"")</f>
        <v/>
      </c>
      <c r="EYH118" s="100" t="str">
        <f t="shared" si="340"/>
        <v/>
      </c>
      <c r="EYI118" s="100" t="str">
        <f t="shared" si="340"/>
        <v/>
      </c>
      <c r="EYJ118" s="100" t="str">
        <f t="shared" si="340"/>
        <v/>
      </c>
      <c r="EYK118" s="100" t="str">
        <f t="shared" si="340"/>
        <v/>
      </c>
      <c r="EYL118" s="100" t="str">
        <f t="shared" si="340"/>
        <v/>
      </c>
      <c r="EYM118" s="100" t="str">
        <f t="shared" si="340"/>
        <v/>
      </c>
      <c r="EYN118" s="100" t="str">
        <f t="shared" si="340"/>
        <v/>
      </c>
      <c r="EYO118" s="100" t="str">
        <f t="shared" si="340"/>
        <v/>
      </c>
      <c r="EYP118" s="100" t="str">
        <f t="shared" si="340"/>
        <v/>
      </c>
      <c r="EYQ118" s="100" t="str">
        <f t="shared" si="340"/>
        <v/>
      </c>
      <c r="EYR118" s="100" t="str">
        <f t="shared" si="340"/>
        <v/>
      </c>
      <c r="EYS118" s="100" t="str">
        <f t="shared" si="340"/>
        <v/>
      </c>
      <c r="EYT118" s="100" t="str">
        <f t="shared" si="340"/>
        <v/>
      </c>
      <c r="EYU118" s="100" t="str">
        <f t="shared" si="340"/>
        <v/>
      </c>
      <c r="EYV118" s="100" t="str">
        <f t="shared" si="340"/>
        <v/>
      </c>
      <c r="EYW118" s="100" t="str">
        <f t="shared" si="340"/>
        <v/>
      </c>
      <c r="EYX118" s="100" t="str">
        <f t="shared" si="340"/>
        <v/>
      </c>
      <c r="EYY118" s="100" t="str">
        <f t="shared" si="340"/>
        <v/>
      </c>
      <c r="EYZ118" s="100" t="str">
        <f t="shared" si="340"/>
        <v/>
      </c>
      <c r="EZA118" s="100" t="str">
        <f t="shared" si="340"/>
        <v/>
      </c>
      <c r="EZB118" s="100" t="str">
        <f t="shared" si="340"/>
        <v/>
      </c>
      <c r="EZC118" s="100" t="str">
        <f t="shared" si="340"/>
        <v/>
      </c>
      <c r="EZD118" s="100" t="str">
        <f t="shared" si="340"/>
        <v/>
      </c>
      <c r="EZE118" s="100" t="str">
        <f t="shared" si="340"/>
        <v/>
      </c>
      <c r="EZF118" s="100" t="str">
        <f t="shared" si="340"/>
        <v/>
      </c>
      <c r="EZG118" s="100" t="str">
        <f t="shared" si="340"/>
        <v/>
      </c>
      <c r="EZH118" s="100" t="str">
        <f t="shared" si="340"/>
        <v/>
      </c>
      <c r="EZI118" s="100" t="str">
        <f t="shared" si="340"/>
        <v/>
      </c>
      <c r="EZJ118" s="100" t="str">
        <f t="shared" si="340"/>
        <v/>
      </c>
      <c r="EZK118" s="100" t="str">
        <f t="shared" si="340"/>
        <v/>
      </c>
      <c r="EZL118" s="100" t="str">
        <f t="shared" si="340"/>
        <v/>
      </c>
      <c r="EZM118" s="100" t="str">
        <f t="shared" si="340"/>
        <v/>
      </c>
      <c r="EZN118" s="100" t="str">
        <f t="shared" si="340"/>
        <v/>
      </c>
      <c r="EZO118" s="100" t="str">
        <f t="shared" si="340"/>
        <v/>
      </c>
      <c r="EZP118" s="100" t="str">
        <f t="shared" si="340"/>
        <v/>
      </c>
      <c r="EZQ118" s="100" t="str">
        <f t="shared" si="340"/>
        <v/>
      </c>
      <c r="EZR118" s="100" t="str">
        <f t="shared" si="340"/>
        <v/>
      </c>
      <c r="EZS118" s="100" t="str">
        <f t="shared" si="340"/>
        <v/>
      </c>
      <c r="EZT118" s="100" t="str">
        <f t="shared" si="340"/>
        <v/>
      </c>
      <c r="EZU118" s="100" t="str">
        <f t="shared" si="340"/>
        <v/>
      </c>
      <c r="EZV118" s="100" t="str">
        <f t="shared" si="340"/>
        <v/>
      </c>
      <c r="EZW118" s="100" t="str">
        <f t="shared" si="340"/>
        <v/>
      </c>
      <c r="EZX118" s="100" t="str">
        <f t="shared" si="340"/>
        <v/>
      </c>
      <c r="EZY118" s="100" t="str">
        <f t="shared" si="340"/>
        <v/>
      </c>
      <c r="EZZ118" s="100" t="str">
        <f t="shared" si="340"/>
        <v/>
      </c>
      <c r="FAA118" s="100" t="str">
        <f t="shared" si="340"/>
        <v/>
      </c>
      <c r="FAB118" s="100" t="str">
        <f t="shared" si="340"/>
        <v/>
      </c>
      <c r="FAC118" s="100" t="str">
        <f t="shared" si="340"/>
        <v/>
      </c>
      <c r="FAD118" s="100" t="str">
        <f t="shared" si="340"/>
        <v/>
      </c>
      <c r="FAE118" s="100" t="str">
        <f t="shared" si="340"/>
        <v/>
      </c>
      <c r="FAF118" s="100" t="str">
        <f t="shared" si="340"/>
        <v/>
      </c>
      <c r="FAG118" s="100" t="str">
        <f t="shared" si="340"/>
        <v/>
      </c>
      <c r="FAH118" s="100" t="str">
        <f t="shared" si="340"/>
        <v/>
      </c>
      <c r="FAI118" s="100" t="str">
        <f t="shared" si="340"/>
        <v/>
      </c>
      <c r="FAJ118" s="100" t="str">
        <f t="shared" si="340"/>
        <v/>
      </c>
      <c r="FAK118" s="100" t="str">
        <f t="shared" si="340"/>
        <v/>
      </c>
      <c r="FAL118" s="100" t="str">
        <f t="shared" si="340"/>
        <v/>
      </c>
      <c r="FAM118" s="100" t="str">
        <f t="shared" si="340"/>
        <v/>
      </c>
      <c r="FAN118" s="100" t="str">
        <f t="shared" si="340"/>
        <v/>
      </c>
      <c r="FAO118" s="100" t="str">
        <f t="shared" si="340"/>
        <v/>
      </c>
      <c r="FAP118" s="100" t="str">
        <f t="shared" si="340"/>
        <v/>
      </c>
      <c r="FAQ118" s="100" t="str">
        <f t="shared" si="340"/>
        <v/>
      </c>
      <c r="FAR118" s="100" t="str">
        <f t="shared" si="340"/>
        <v/>
      </c>
      <c r="FAS118" s="100" t="str">
        <f t="shared" ref="FAS118:FDD118" si="341">IFERROR(AVERAGE(FAS6,FAS16,FAS25,FAS34,FAS42,FAS54,FAS62,FAS70,FAS78,FAS86,FAS94,FAS102,FAS110),"")</f>
        <v/>
      </c>
      <c r="FAT118" s="100" t="str">
        <f t="shared" si="341"/>
        <v/>
      </c>
      <c r="FAU118" s="100" t="str">
        <f t="shared" si="341"/>
        <v/>
      </c>
      <c r="FAV118" s="100" t="str">
        <f t="shared" si="341"/>
        <v/>
      </c>
      <c r="FAW118" s="100" t="str">
        <f t="shared" si="341"/>
        <v/>
      </c>
      <c r="FAX118" s="100" t="str">
        <f t="shared" si="341"/>
        <v/>
      </c>
      <c r="FAY118" s="100" t="str">
        <f t="shared" si="341"/>
        <v/>
      </c>
      <c r="FAZ118" s="100" t="str">
        <f t="shared" si="341"/>
        <v/>
      </c>
      <c r="FBA118" s="100" t="str">
        <f t="shared" si="341"/>
        <v/>
      </c>
      <c r="FBB118" s="100" t="str">
        <f t="shared" si="341"/>
        <v/>
      </c>
      <c r="FBC118" s="100" t="str">
        <f t="shared" si="341"/>
        <v/>
      </c>
      <c r="FBD118" s="100" t="str">
        <f t="shared" si="341"/>
        <v/>
      </c>
      <c r="FBE118" s="100" t="str">
        <f t="shared" si="341"/>
        <v/>
      </c>
      <c r="FBF118" s="100" t="str">
        <f t="shared" si="341"/>
        <v/>
      </c>
      <c r="FBG118" s="100" t="str">
        <f t="shared" si="341"/>
        <v/>
      </c>
      <c r="FBH118" s="100" t="str">
        <f t="shared" si="341"/>
        <v/>
      </c>
      <c r="FBI118" s="100" t="str">
        <f t="shared" si="341"/>
        <v/>
      </c>
      <c r="FBJ118" s="100" t="str">
        <f t="shared" si="341"/>
        <v/>
      </c>
      <c r="FBK118" s="100" t="str">
        <f t="shared" si="341"/>
        <v/>
      </c>
      <c r="FBL118" s="100" t="str">
        <f t="shared" si="341"/>
        <v/>
      </c>
      <c r="FBM118" s="100" t="str">
        <f t="shared" si="341"/>
        <v/>
      </c>
      <c r="FBN118" s="100" t="str">
        <f t="shared" si="341"/>
        <v/>
      </c>
      <c r="FBO118" s="100" t="str">
        <f t="shared" si="341"/>
        <v/>
      </c>
      <c r="FBP118" s="100" t="str">
        <f t="shared" si="341"/>
        <v/>
      </c>
      <c r="FBQ118" s="100" t="str">
        <f t="shared" si="341"/>
        <v/>
      </c>
      <c r="FBR118" s="100" t="str">
        <f t="shared" si="341"/>
        <v/>
      </c>
      <c r="FBS118" s="100" t="str">
        <f t="shared" si="341"/>
        <v/>
      </c>
      <c r="FBT118" s="100" t="str">
        <f t="shared" si="341"/>
        <v/>
      </c>
      <c r="FBU118" s="100" t="str">
        <f t="shared" si="341"/>
        <v/>
      </c>
      <c r="FBV118" s="100" t="str">
        <f t="shared" si="341"/>
        <v/>
      </c>
      <c r="FBW118" s="100" t="str">
        <f t="shared" si="341"/>
        <v/>
      </c>
      <c r="FBX118" s="100" t="str">
        <f t="shared" si="341"/>
        <v/>
      </c>
      <c r="FBY118" s="100" t="str">
        <f t="shared" si="341"/>
        <v/>
      </c>
      <c r="FBZ118" s="100" t="str">
        <f t="shared" si="341"/>
        <v/>
      </c>
      <c r="FCA118" s="100" t="str">
        <f t="shared" si="341"/>
        <v/>
      </c>
      <c r="FCB118" s="100" t="str">
        <f t="shared" si="341"/>
        <v/>
      </c>
      <c r="FCC118" s="100" t="str">
        <f t="shared" si="341"/>
        <v/>
      </c>
      <c r="FCD118" s="100" t="str">
        <f t="shared" si="341"/>
        <v/>
      </c>
      <c r="FCE118" s="100" t="str">
        <f t="shared" si="341"/>
        <v/>
      </c>
      <c r="FCF118" s="100" t="str">
        <f t="shared" si="341"/>
        <v/>
      </c>
      <c r="FCG118" s="100" t="str">
        <f t="shared" si="341"/>
        <v/>
      </c>
      <c r="FCH118" s="100" t="str">
        <f t="shared" si="341"/>
        <v/>
      </c>
      <c r="FCI118" s="100" t="str">
        <f t="shared" si="341"/>
        <v/>
      </c>
      <c r="FCJ118" s="100" t="str">
        <f t="shared" si="341"/>
        <v/>
      </c>
      <c r="FCK118" s="100" t="str">
        <f t="shared" si="341"/>
        <v/>
      </c>
      <c r="FCL118" s="100" t="str">
        <f t="shared" si="341"/>
        <v/>
      </c>
      <c r="FCM118" s="100" t="str">
        <f t="shared" si="341"/>
        <v/>
      </c>
      <c r="FCN118" s="100" t="str">
        <f t="shared" si="341"/>
        <v/>
      </c>
      <c r="FCO118" s="100" t="str">
        <f t="shared" si="341"/>
        <v/>
      </c>
      <c r="FCP118" s="100" t="str">
        <f t="shared" si="341"/>
        <v/>
      </c>
      <c r="FCQ118" s="100" t="str">
        <f t="shared" si="341"/>
        <v/>
      </c>
      <c r="FCR118" s="100" t="str">
        <f t="shared" si="341"/>
        <v/>
      </c>
      <c r="FCS118" s="100" t="str">
        <f t="shared" si="341"/>
        <v/>
      </c>
      <c r="FCT118" s="100" t="str">
        <f t="shared" si="341"/>
        <v/>
      </c>
      <c r="FCU118" s="100" t="str">
        <f t="shared" si="341"/>
        <v/>
      </c>
      <c r="FCV118" s="100" t="str">
        <f t="shared" si="341"/>
        <v/>
      </c>
      <c r="FCW118" s="100" t="str">
        <f t="shared" si="341"/>
        <v/>
      </c>
      <c r="FCX118" s="100" t="str">
        <f t="shared" si="341"/>
        <v/>
      </c>
      <c r="FCY118" s="100" t="str">
        <f t="shared" si="341"/>
        <v/>
      </c>
      <c r="FCZ118" s="100" t="str">
        <f t="shared" si="341"/>
        <v/>
      </c>
      <c r="FDA118" s="100" t="str">
        <f t="shared" si="341"/>
        <v/>
      </c>
      <c r="FDB118" s="100" t="str">
        <f t="shared" si="341"/>
        <v/>
      </c>
      <c r="FDC118" s="100" t="str">
        <f t="shared" si="341"/>
        <v/>
      </c>
      <c r="FDD118" s="100" t="str">
        <f t="shared" si="341"/>
        <v/>
      </c>
      <c r="FDE118" s="100" t="str">
        <f t="shared" ref="FDE118:FFP118" si="342">IFERROR(AVERAGE(FDE6,FDE16,FDE25,FDE34,FDE42,FDE54,FDE62,FDE70,FDE78,FDE86,FDE94,FDE102,FDE110),"")</f>
        <v/>
      </c>
      <c r="FDF118" s="100" t="str">
        <f t="shared" si="342"/>
        <v/>
      </c>
      <c r="FDG118" s="100" t="str">
        <f t="shared" si="342"/>
        <v/>
      </c>
      <c r="FDH118" s="100" t="str">
        <f t="shared" si="342"/>
        <v/>
      </c>
      <c r="FDI118" s="100" t="str">
        <f t="shared" si="342"/>
        <v/>
      </c>
      <c r="FDJ118" s="100" t="str">
        <f t="shared" si="342"/>
        <v/>
      </c>
      <c r="FDK118" s="100" t="str">
        <f t="shared" si="342"/>
        <v/>
      </c>
      <c r="FDL118" s="100" t="str">
        <f t="shared" si="342"/>
        <v/>
      </c>
      <c r="FDM118" s="100" t="str">
        <f t="shared" si="342"/>
        <v/>
      </c>
      <c r="FDN118" s="100" t="str">
        <f t="shared" si="342"/>
        <v/>
      </c>
      <c r="FDO118" s="100" t="str">
        <f t="shared" si="342"/>
        <v/>
      </c>
      <c r="FDP118" s="100" t="str">
        <f t="shared" si="342"/>
        <v/>
      </c>
      <c r="FDQ118" s="100" t="str">
        <f t="shared" si="342"/>
        <v/>
      </c>
      <c r="FDR118" s="100" t="str">
        <f t="shared" si="342"/>
        <v/>
      </c>
      <c r="FDS118" s="100" t="str">
        <f t="shared" si="342"/>
        <v/>
      </c>
      <c r="FDT118" s="100" t="str">
        <f t="shared" si="342"/>
        <v/>
      </c>
      <c r="FDU118" s="100" t="str">
        <f t="shared" si="342"/>
        <v/>
      </c>
      <c r="FDV118" s="100" t="str">
        <f t="shared" si="342"/>
        <v/>
      </c>
      <c r="FDW118" s="100" t="str">
        <f t="shared" si="342"/>
        <v/>
      </c>
      <c r="FDX118" s="100" t="str">
        <f t="shared" si="342"/>
        <v/>
      </c>
      <c r="FDY118" s="100" t="str">
        <f t="shared" si="342"/>
        <v/>
      </c>
      <c r="FDZ118" s="100" t="str">
        <f t="shared" si="342"/>
        <v/>
      </c>
      <c r="FEA118" s="100" t="str">
        <f t="shared" si="342"/>
        <v/>
      </c>
      <c r="FEB118" s="100" t="str">
        <f t="shared" si="342"/>
        <v/>
      </c>
      <c r="FEC118" s="100" t="str">
        <f t="shared" si="342"/>
        <v/>
      </c>
      <c r="FED118" s="100" t="str">
        <f t="shared" si="342"/>
        <v/>
      </c>
      <c r="FEE118" s="100" t="str">
        <f t="shared" si="342"/>
        <v/>
      </c>
      <c r="FEF118" s="100" t="str">
        <f t="shared" si="342"/>
        <v/>
      </c>
      <c r="FEG118" s="100" t="str">
        <f t="shared" si="342"/>
        <v/>
      </c>
      <c r="FEH118" s="100" t="str">
        <f t="shared" si="342"/>
        <v/>
      </c>
      <c r="FEI118" s="100" t="str">
        <f t="shared" si="342"/>
        <v/>
      </c>
      <c r="FEJ118" s="100" t="str">
        <f t="shared" si="342"/>
        <v/>
      </c>
      <c r="FEK118" s="100" t="str">
        <f t="shared" si="342"/>
        <v/>
      </c>
      <c r="FEL118" s="100" t="str">
        <f t="shared" si="342"/>
        <v/>
      </c>
      <c r="FEM118" s="100" t="str">
        <f t="shared" si="342"/>
        <v/>
      </c>
      <c r="FEN118" s="100" t="str">
        <f t="shared" si="342"/>
        <v/>
      </c>
      <c r="FEO118" s="100" t="str">
        <f t="shared" si="342"/>
        <v/>
      </c>
      <c r="FEP118" s="100" t="str">
        <f t="shared" si="342"/>
        <v/>
      </c>
      <c r="FEQ118" s="100" t="str">
        <f t="shared" si="342"/>
        <v/>
      </c>
      <c r="FER118" s="100" t="str">
        <f t="shared" si="342"/>
        <v/>
      </c>
      <c r="FES118" s="100" t="str">
        <f t="shared" si="342"/>
        <v/>
      </c>
      <c r="FET118" s="100" t="str">
        <f t="shared" si="342"/>
        <v/>
      </c>
      <c r="FEU118" s="100" t="str">
        <f t="shared" si="342"/>
        <v/>
      </c>
      <c r="FEV118" s="100" t="str">
        <f t="shared" si="342"/>
        <v/>
      </c>
      <c r="FEW118" s="100" t="str">
        <f t="shared" si="342"/>
        <v/>
      </c>
      <c r="FEX118" s="100" t="str">
        <f t="shared" si="342"/>
        <v/>
      </c>
      <c r="FEY118" s="100" t="str">
        <f t="shared" si="342"/>
        <v/>
      </c>
      <c r="FEZ118" s="100" t="str">
        <f t="shared" si="342"/>
        <v/>
      </c>
      <c r="FFA118" s="100" t="str">
        <f t="shared" si="342"/>
        <v/>
      </c>
      <c r="FFB118" s="100" t="str">
        <f t="shared" si="342"/>
        <v/>
      </c>
      <c r="FFC118" s="100" t="str">
        <f t="shared" si="342"/>
        <v/>
      </c>
      <c r="FFD118" s="100" t="str">
        <f t="shared" si="342"/>
        <v/>
      </c>
      <c r="FFE118" s="100" t="str">
        <f t="shared" si="342"/>
        <v/>
      </c>
      <c r="FFF118" s="100" t="str">
        <f t="shared" si="342"/>
        <v/>
      </c>
      <c r="FFG118" s="100" t="str">
        <f t="shared" si="342"/>
        <v/>
      </c>
      <c r="FFH118" s="100" t="str">
        <f t="shared" si="342"/>
        <v/>
      </c>
      <c r="FFI118" s="100" t="str">
        <f t="shared" si="342"/>
        <v/>
      </c>
      <c r="FFJ118" s="100" t="str">
        <f t="shared" si="342"/>
        <v/>
      </c>
      <c r="FFK118" s="100" t="str">
        <f t="shared" si="342"/>
        <v/>
      </c>
      <c r="FFL118" s="100" t="str">
        <f t="shared" si="342"/>
        <v/>
      </c>
      <c r="FFM118" s="100" t="str">
        <f t="shared" si="342"/>
        <v/>
      </c>
      <c r="FFN118" s="100" t="str">
        <f t="shared" si="342"/>
        <v/>
      </c>
      <c r="FFO118" s="100" t="str">
        <f t="shared" si="342"/>
        <v/>
      </c>
      <c r="FFP118" s="100" t="str">
        <f t="shared" si="342"/>
        <v/>
      </c>
      <c r="FFQ118" s="100" t="str">
        <f t="shared" ref="FFQ118:FIB118" si="343">IFERROR(AVERAGE(FFQ6,FFQ16,FFQ25,FFQ34,FFQ42,FFQ54,FFQ62,FFQ70,FFQ78,FFQ86,FFQ94,FFQ102,FFQ110),"")</f>
        <v/>
      </c>
      <c r="FFR118" s="100" t="str">
        <f t="shared" si="343"/>
        <v/>
      </c>
      <c r="FFS118" s="100" t="str">
        <f t="shared" si="343"/>
        <v/>
      </c>
      <c r="FFT118" s="100" t="str">
        <f t="shared" si="343"/>
        <v/>
      </c>
      <c r="FFU118" s="100" t="str">
        <f t="shared" si="343"/>
        <v/>
      </c>
      <c r="FFV118" s="100" t="str">
        <f t="shared" si="343"/>
        <v/>
      </c>
      <c r="FFW118" s="100" t="str">
        <f t="shared" si="343"/>
        <v/>
      </c>
      <c r="FFX118" s="100" t="str">
        <f t="shared" si="343"/>
        <v/>
      </c>
      <c r="FFY118" s="100" t="str">
        <f t="shared" si="343"/>
        <v/>
      </c>
      <c r="FFZ118" s="100" t="str">
        <f t="shared" si="343"/>
        <v/>
      </c>
      <c r="FGA118" s="100" t="str">
        <f t="shared" si="343"/>
        <v/>
      </c>
      <c r="FGB118" s="100" t="str">
        <f t="shared" si="343"/>
        <v/>
      </c>
      <c r="FGC118" s="100" t="str">
        <f t="shared" si="343"/>
        <v/>
      </c>
      <c r="FGD118" s="100" t="str">
        <f t="shared" si="343"/>
        <v/>
      </c>
      <c r="FGE118" s="100" t="str">
        <f t="shared" si="343"/>
        <v/>
      </c>
      <c r="FGF118" s="100" t="str">
        <f t="shared" si="343"/>
        <v/>
      </c>
      <c r="FGG118" s="100" t="str">
        <f t="shared" si="343"/>
        <v/>
      </c>
      <c r="FGH118" s="100" t="str">
        <f t="shared" si="343"/>
        <v/>
      </c>
      <c r="FGI118" s="100" t="str">
        <f t="shared" si="343"/>
        <v/>
      </c>
      <c r="FGJ118" s="100" t="str">
        <f t="shared" si="343"/>
        <v/>
      </c>
      <c r="FGK118" s="100" t="str">
        <f t="shared" si="343"/>
        <v/>
      </c>
      <c r="FGL118" s="100" t="str">
        <f t="shared" si="343"/>
        <v/>
      </c>
      <c r="FGM118" s="100" t="str">
        <f t="shared" si="343"/>
        <v/>
      </c>
      <c r="FGN118" s="100" t="str">
        <f t="shared" si="343"/>
        <v/>
      </c>
      <c r="FGO118" s="100" t="str">
        <f t="shared" si="343"/>
        <v/>
      </c>
      <c r="FGP118" s="100" t="str">
        <f t="shared" si="343"/>
        <v/>
      </c>
      <c r="FGQ118" s="100" t="str">
        <f t="shared" si="343"/>
        <v/>
      </c>
      <c r="FGR118" s="100" t="str">
        <f t="shared" si="343"/>
        <v/>
      </c>
      <c r="FGS118" s="100" t="str">
        <f t="shared" si="343"/>
        <v/>
      </c>
      <c r="FGT118" s="100" t="str">
        <f t="shared" si="343"/>
        <v/>
      </c>
      <c r="FGU118" s="100" t="str">
        <f t="shared" si="343"/>
        <v/>
      </c>
      <c r="FGV118" s="100" t="str">
        <f t="shared" si="343"/>
        <v/>
      </c>
      <c r="FGW118" s="100" t="str">
        <f t="shared" si="343"/>
        <v/>
      </c>
      <c r="FGX118" s="100" t="str">
        <f t="shared" si="343"/>
        <v/>
      </c>
      <c r="FGY118" s="100" t="str">
        <f t="shared" si="343"/>
        <v/>
      </c>
      <c r="FGZ118" s="100" t="str">
        <f t="shared" si="343"/>
        <v/>
      </c>
      <c r="FHA118" s="100" t="str">
        <f t="shared" si="343"/>
        <v/>
      </c>
      <c r="FHB118" s="100" t="str">
        <f t="shared" si="343"/>
        <v/>
      </c>
      <c r="FHC118" s="100" t="str">
        <f t="shared" si="343"/>
        <v/>
      </c>
      <c r="FHD118" s="100" t="str">
        <f t="shared" si="343"/>
        <v/>
      </c>
      <c r="FHE118" s="100" t="str">
        <f t="shared" si="343"/>
        <v/>
      </c>
      <c r="FHF118" s="100" t="str">
        <f t="shared" si="343"/>
        <v/>
      </c>
      <c r="FHG118" s="100" t="str">
        <f t="shared" si="343"/>
        <v/>
      </c>
      <c r="FHH118" s="100" t="str">
        <f t="shared" si="343"/>
        <v/>
      </c>
      <c r="FHI118" s="100" t="str">
        <f t="shared" si="343"/>
        <v/>
      </c>
      <c r="FHJ118" s="100" t="str">
        <f t="shared" si="343"/>
        <v/>
      </c>
      <c r="FHK118" s="100" t="str">
        <f t="shared" si="343"/>
        <v/>
      </c>
      <c r="FHL118" s="100" t="str">
        <f t="shared" si="343"/>
        <v/>
      </c>
      <c r="FHM118" s="100" t="str">
        <f t="shared" si="343"/>
        <v/>
      </c>
      <c r="FHN118" s="100" t="str">
        <f t="shared" si="343"/>
        <v/>
      </c>
      <c r="FHO118" s="100" t="str">
        <f t="shared" si="343"/>
        <v/>
      </c>
      <c r="FHP118" s="100" t="str">
        <f t="shared" si="343"/>
        <v/>
      </c>
      <c r="FHQ118" s="100" t="str">
        <f t="shared" si="343"/>
        <v/>
      </c>
      <c r="FHR118" s="100" t="str">
        <f t="shared" si="343"/>
        <v/>
      </c>
      <c r="FHS118" s="100" t="str">
        <f t="shared" si="343"/>
        <v/>
      </c>
      <c r="FHT118" s="100" t="str">
        <f t="shared" si="343"/>
        <v/>
      </c>
      <c r="FHU118" s="100" t="str">
        <f t="shared" si="343"/>
        <v/>
      </c>
      <c r="FHV118" s="100" t="str">
        <f t="shared" si="343"/>
        <v/>
      </c>
      <c r="FHW118" s="100" t="str">
        <f t="shared" si="343"/>
        <v/>
      </c>
      <c r="FHX118" s="100" t="str">
        <f t="shared" si="343"/>
        <v/>
      </c>
      <c r="FHY118" s="100" t="str">
        <f t="shared" si="343"/>
        <v/>
      </c>
      <c r="FHZ118" s="100" t="str">
        <f t="shared" si="343"/>
        <v/>
      </c>
      <c r="FIA118" s="100" t="str">
        <f t="shared" si="343"/>
        <v/>
      </c>
      <c r="FIB118" s="100" t="str">
        <f t="shared" si="343"/>
        <v/>
      </c>
      <c r="FIC118" s="100" t="str">
        <f t="shared" ref="FIC118:FKN118" si="344">IFERROR(AVERAGE(FIC6,FIC16,FIC25,FIC34,FIC42,FIC54,FIC62,FIC70,FIC78,FIC86,FIC94,FIC102,FIC110),"")</f>
        <v/>
      </c>
      <c r="FID118" s="100" t="str">
        <f t="shared" si="344"/>
        <v/>
      </c>
      <c r="FIE118" s="100" t="str">
        <f t="shared" si="344"/>
        <v/>
      </c>
      <c r="FIF118" s="100" t="str">
        <f t="shared" si="344"/>
        <v/>
      </c>
      <c r="FIG118" s="100" t="str">
        <f t="shared" si="344"/>
        <v/>
      </c>
      <c r="FIH118" s="100" t="str">
        <f t="shared" si="344"/>
        <v/>
      </c>
      <c r="FII118" s="100" t="str">
        <f t="shared" si="344"/>
        <v/>
      </c>
      <c r="FIJ118" s="100" t="str">
        <f t="shared" si="344"/>
        <v/>
      </c>
      <c r="FIK118" s="100" t="str">
        <f t="shared" si="344"/>
        <v/>
      </c>
      <c r="FIL118" s="100" t="str">
        <f t="shared" si="344"/>
        <v/>
      </c>
      <c r="FIM118" s="100" t="str">
        <f t="shared" si="344"/>
        <v/>
      </c>
      <c r="FIN118" s="100" t="str">
        <f t="shared" si="344"/>
        <v/>
      </c>
      <c r="FIO118" s="100" t="str">
        <f t="shared" si="344"/>
        <v/>
      </c>
      <c r="FIP118" s="100" t="str">
        <f t="shared" si="344"/>
        <v/>
      </c>
      <c r="FIQ118" s="100" t="str">
        <f t="shared" si="344"/>
        <v/>
      </c>
      <c r="FIR118" s="100" t="str">
        <f t="shared" si="344"/>
        <v/>
      </c>
      <c r="FIS118" s="100" t="str">
        <f t="shared" si="344"/>
        <v/>
      </c>
      <c r="FIT118" s="100" t="str">
        <f t="shared" si="344"/>
        <v/>
      </c>
      <c r="FIU118" s="100" t="str">
        <f t="shared" si="344"/>
        <v/>
      </c>
      <c r="FIV118" s="100" t="str">
        <f t="shared" si="344"/>
        <v/>
      </c>
      <c r="FIW118" s="100" t="str">
        <f t="shared" si="344"/>
        <v/>
      </c>
      <c r="FIX118" s="100" t="str">
        <f t="shared" si="344"/>
        <v/>
      </c>
      <c r="FIY118" s="100" t="str">
        <f t="shared" si="344"/>
        <v/>
      </c>
      <c r="FIZ118" s="100" t="str">
        <f t="shared" si="344"/>
        <v/>
      </c>
      <c r="FJA118" s="100" t="str">
        <f t="shared" si="344"/>
        <v/>
      </c>
      <c r="FJB118" s="100" t="str">
        <f t="shared" si="344"/>
        <v/>
      </c>
      <c r="FJC118" s="100" t="str">
        <f t="shared" si="344"/>
        <v/>
      </c>
      <c r="FJD118" s="100" t="str">
        <f t="shared" si="344"/>
        <v/>
      </c>
      <c r="FJE118" s="100" t="str">
        <f t="shared" si="344"/>
        <v/>
      </c>
      <c r="FJF118" s="100" t="str">
        <f t="shared" si="344"/>
        <v/>
      </c>
      <c r="FJG118" s="100" t="str">
        <f t="shared" si="344"/>
        <v/>
      </c>
      <c r="FJH118" s="100" t="str">
        <f t="shared" si="344"/>
        <v/>
      </c>
      <c r="FJI118" s="100" t="str">
        <f t="shared" si="344"/>
        <v/>
      </c>
      <c r="FJJ118" s="100" t="str">
        <f t="shared" si="344"/>
        <v/>
      </c>
      <c r="FJK118" s="100" t="str">
        <f t="shared" si="344"/>
        <v/>
      </c>
      <c r="FJL118" s="100" t="str">
        <f t="shared" si="344"/>
        <v/>
      </c>
      <c r="FJM118" s="100" t="str">
        <f t="shared" si="344"/>
        <v/>
      </c>
      <c r="FJN118" s="100" t="str">
        <f t="shared" si="344"/>
        <v/>
      </c>
      <c r="FJO118" s="100" t="str">
        <f t="shared" si="344"/>
        <v/>
      </c>
      <c r="FJP118" s="100" t="str">
        <f t="shared" si="344"/>
        <v/>
      </c>
      <c r="FJQ118" s="100" t="str">
        <f t="shared" si="344"/>
        <v/>
      </c>
      <c r="FJR118" s="100" t="str">
        <f t="shared" si="344"/>
        <v/>
      </c>
      <c r="FJS118" s="100" t="str">
        <f t="shared" si="344"/>
        <v/>
      </c>
      <c r="FJT118" s="100" t="str">
        <f t="shared" si="344"/>
        <v/>
      </c>
      <c r="FJU118" s="100" t="str">
        <f t="shared" si="344"/>
        <v/>
      </c>
      <c r="FJV118" s="100" t="str">
        <f t="shared" si="344"/>
        <v/>
      </c>
      <c r="FJW118" s="100" t="str">
        <f t="shared" si="344"/>
        <v/>
      </c>
      <c r="FJX118" s="100" t="str">
        <f t="shared" si="344"/>
        <v/>
      </c>
      <c r="FJY118" s="100" t="str">
        <f t="shared" si="344"/>
        <v/>
      </c>
      <c r="FJZ118" s="100" t="str">
        <f t="shared" si="344"/>
        <v/>
      </c>
      <c r="FKA118" s="100" t="str">
        <f t="shared" si="344"/>
        <v/>
      </c>
      <c r="FKB118" s="100" t="str">
        <f t="shared" si="344"/>
        <v/>
      </c>
      <c r="FKC118" s="100" t="str">
        <f t="shared" si="344"/>
        <v/>
      </c>
      <c r="FKD118" s="100" t="str">
        <f t="shared" si="344"/>
        <v/>
      </c>
      <c r="FKE118" s="100" t="str">
        <f t="shared" si="344"/>
        <v/>
      </c>
      <c r="FKF118" s="100" t="str">
        <f t="shared" si="344"/>
        <v/>
      </c>
      <c r="FKG118" s="100" t="str">
        <f t="shared" si="344"/>
        <v/>
      </c>
      <c r="FKH118" s="100" t="str">
        <f t="shared" si="344"/>
        <v/>
      </c>
      <c r="FKI118" s="100" t="str">
        <f t="shared" si="344"/>
        <v/>
      </c>
      <c r="FKJ118" s="100" t="str">
        <f t="shared" si="344"/>
        <v/>
      </c>
      <c r="FKK118" s="100" t="str">
        <f t="shared" si="344"/>
        <v/>
      </c>
      <c r="FKL118" s="100" t="str">
        <f t="shared" si="344"/>
        <v/>
      </c>
      <c r="FKM118" s="100" t="str">
        <f t="shared" si="344"/>
        <v/>
      </c>
      <c r="FKN118" s="100" t="str">
        <f t="shared" si="344"/>
        <v/>
      </c>
      <c r="FKO118" s="100" t="str">
        <f t="shared" ref="FKO118:FMZ118" si="345">IFERROR(AVERAGE(FKO6,FKO16,FKO25,FKO34,FKO42,FKO54,FKO62,FKO70,FKO78,FKO86,FKO94,FKO102,FKO110),"")</f>
        <v/>
      </c>
      <c r="FKP118" s="100" t="str">
        <f t="shared" si="345"/>
        <v/>
      </c>
      <c r="FKQ118" s="100" t="str">
        <f t="shared" si="345"/>
        <v/>
      </c>
      <c r="FKR118" s="100" t="str">
        <f t="shared" si="345"/>
        <v/>
      </c>
      <c r="FKS118" s="100" t="str">
        <f t="shared" si="345"/>
        <v/>
      </c>
      <c r="FKT118" s="100" t="str">
        <f t="shared" si="345"/>
        <v/>
      </c>
      <c r="FKU118" s="100" t="str">
        <f t="shared" si="345"/>
        <v/>
      </c>
      <c r="FKV118" s="100" t="str">
        <f t="shared" si="345"/>
        <v/>
      </c>
      <c r="FKW118" s="100" t="str">
        <f t="shared" si="345"/>
        <v/>
      </c>
      <c r="FKX118" s="100" t="str">
        <f t="shared" si="345"/>
        <v/>
      </c>
      <c r="FKY118" s="100" t="str">
        <f t="shared" si="345"/>
        <v/>
      </c>
      <c r="FKZ118" s="100" t="str">
        <f t="shared" si="345"/>
        <v/>
      </c>
      <c r="FLA118" s="100" t="str">
        <f t="shared" si="345"/>
        <v/>
      </c>
      <c r="FLB118" s="100" t="str">
        <f t="shared" si="345"/>
        <v/>
      </c>
      <c r="FLC118" s="100" t="str">
        <f t="shared" si="345"/>
        <v/>
      </c>
      <c r="FLD118" s="100" t="str">
        <f t="shared" si="345"/>
        <v/>
      </c>
      <c r="FLE118" s="100" t="str">
        <f t="shared" si="345"/>
        <v/>
      </c>
      <c r="FLF118" s="100" t="str">
        <f t="shared" si="345"/>
        <v/>
      </c>
      <c r="FLG118" s="100" t="str">
        <f t="shared" si="345"/>
        <v/>
      </c>
      <c r="FLH118" s="100" t="str">
        <f t="shared" si="345"/>
        <v/>
      </c>
      <c r="FLI118" s="100" t="str">
        <f t="shared" si="345"/>
        <v/>
      </c>
      <c r="FLJ118" s="100" t="str">
        <f t="shared" si="345"/>
        <v/>
      </c>
      <c r="FLK118" s="100" t="str">
        <f t="shared" si="345"/>
        <v/>
      </c>
      <c r="FLL118" s="100" t="str">
        <f t="shared" si="345"/>
        <v/>
      </c>
      <c r="FLM118" s="100" t="str">
        <f t="shared" si="345"/>
        <v/>
      </c>
      <c r="FLN118" s="100" t="str">
        <f t="shared" si="345"/>
        <v/>
      </c>
      <c r="FLO118" s="100" t="str">
        <f t="shared" si="345"/>
        <v/>
      </c>
      <c r="FLP118" s="100" t="str">
        <f t="shared" si="345"/>
        <v/>
      </c>
      <c r="FLQ118" s="100" t="str">
        <f t="shared" si="345"/>
        <v/>
      </c>
      <c r="FLR118" s="100" t="str">
        <f t="shared" si="345"/>
        <v/>
      </c>
      <c r="FLS118" s="100" t="str">
        <f t="shared" si="345"/>
        <v/>
      </c>
      <c r="FLT118" s="100" t="str">
        <f t="shared" si="345"/>
        <v/>
      </c>
      <c r="FLU118" s="100" t="str">
        <f t="shared" si="345"/>
        <v/>
      </c>
      <c r="FLV118" s="100" t="str">
        <f t="shared" si="345"/>
        <v/>
      </c>
      <c r="FLW118" s="100" t="str">
        <f t="shared" si="345"/>
        <v/>
      </c>
      <c r="FLX118" s="100" t="str">
        <f t="shared" si="345"/>
        <v/>
      </c>
      <c r="FLY118" s="100" t="str">
        <f t="shared" si="345"/>
        <v/>
      </c>
      <c r="FLZ118" s="100" t="str">
        <f t="shared" si="345"/>
        <v/>
      </c>
      <c r="FMA118" s="100" t="str">
        <f t="shared" si="345"/>
        <v/>
      </c>
      <c r="FMB118" s="100" t="str">
        <f t="shared" si="345"/>
        <v/>
      </c>
      <c r="FMC118" s="100" t="str">
        <f t="shared" si="345"/>
        <v/>
      </c>
      <c r="FMD118" s="100" t="str">
        <f t="shared" si="345"/>
        <v/>
      </c>
      <c r="FME118" s="100" t="str">
        <f t="shared" si="345"/>
        <v/>
      </c>
      <c r="FMF118" s="100" t="str">
        <f t="shared" si="345"/>
        <v/>
      </c>
      <c r="FMG118" s="100" t="str">
        <f t="shared" si="345"/>
        <v/>
      </c>
      <c r="FMH118" s="100" t="str">
        <f t="shared" si="345"/>
        <v/>
      </c>
      <c r="FMI118" s="100" t="str">
        <f t="shared" si="345"/>
        <v/>
      </c>
      <c r="FMJ118" s="100" t="str">
        <f t="shared" si="345"/>
        <v/>
      </c>
      <c r="FMK118" s="100" t="str">
        <f t="shared" si="345"/>
        <v/>
      </c>
      <c r="FML118" s="100" t="str">
        <f t="shared" si="345"/>
        <v/>
      </c>
      <c r="FMM118" s="100" t="str">
        <f t="shared" si="345"/>
        <v/>
      </c>
      <c r="FMN118" s="100" t="str">
        <f t="shared" si="345"/>
        <v/>
      </c>
      <c r="FMO118" s="100" t="str">
        <f t="shared" si="345"/>
        <v/>
      </c>
      <c r="FMP118" s="100" t="str">
        <f t="shared" si="345"/>
        <v/>
      </c>
      <c r="FMQ118" s="100" t="str">
        <f t="shared" si="345"/>
        <v/>
      </c>
      <c r="FMR118" s="100" t="str">
        <f t="shared" si="345"/>
        <v/>
      </c>
      <c r="FMS118" s="100" t="str">
        <f t="shared" si="345"/>
        <v/>
      </c>
      <c r="FMT118" s="100" t="str">
        <f t="shared" si="345"/>
        <v/>
      </c>
      <c r="FMU118" s="100" t="str">
        <f t="shared" si="345"/>
        <v/>
      </c>
      <c r="FMV118" s="100" t="str">
        <f t="shared" si="345"/>
        <v/>
      </c>
      <c r="FMW118" s="100" t="str">
        <f t="shared" si="345"/>
        <v/>
      </c>
      <c r="FMX118" s="100" t="str">
        <f t="shared" si="345"/>
        <v/>
      </c>
      <c r="FMY118" s="100" t="str">
        <f t="shared" si="345"/>
        <v/>
      </c>
      <c r="FMZ118" s="100" t="str">
        <f t="shared" si="345"/>
        <v/>
      </c>
      <c r="FNA118" s="100" t="str">
        <f t="shared" ref="FNA118:FPL118" si="346">IFERROR(AVERAGE(FNA6,FNA16,FNA25,FNA34,FNA42,FNA54,FNA62,FNA70,FNA78,FNA86,FNA94,FNA102,FNA110),"")</f>
        <v/>
      </c>
      <c r="FNB118" s="100" t="str">
        <f t="shared" si="346"/>
        <v/>
      </c>
      <c r="FNC118" s="100" t="str">
        <f t="shared" si="346"/>
        <v/>
      </c>
      <c r="FND118" s="100" t="str">
        <f t="shared" si="346"/>
        <v/>
      </c>
      <c r="FNE118" s="100" t="str">
        <f t="shared" si="346"/>
        <v/>
      </c>
      <c r="FNF118" s="100" t="str">
        <f t="shared" si="346"/>
        <v/>
      </c>
      <c r="FNG118" s="100" t="str">
        <f t="shared" si="346"/>
        <v/>
      </c>
      <c r="FNH118" s="100" t="str">
        <f t="shared" si="346"/>
        <v/>
      </c>
      <c r="FNI118" s="100" t="str">
        <f t="shared" si="346"/>
        <v/>
      </c>
      <c r="FNJ118" s="100" t="str">
        <f t="shared" si="346"/>
        <v/>
      </c>
      <c r="FNK118" s="100" t="str">
        <f t="shared" si="346"/>
        <v/>
      </c>
      <c r="FNL118" s="100" t="str">
        <f t="shared" si="346"/>
        <v/>
      </c>
      <c r="FNM118" s="100" t="str">
        <f t="shared" si="346"/>
        <v/>
      </c>
      <c r="FNN118" s="100" t="str">
        <f t="shared" si="346"/>
        <v/>
      </c>
      <c r="FNO118" s="100" t="str">
        <f t="shared" si="346"/>
        <v/>
      </c>
      <c r="FNP118" s="100" t="str">
        <f t="shared" si="346"/>
        <v/>
      </c>
      <c r="FNQ118" s="100" t="str">
        <f t="shared" si="346"/>
        <v/>
      </c>
      <c r="FNR118" s="100" t="str">
        <f t="shared" si="346"/>
        <v/>
      </c>
      <c r="FNS118" s="100" t="str">
        <f t="shared" si="346"/>
        <v/>
      </c>
      <c r="FNT118" s="100" t="str">
        <f t="shared" si="346"/>
        <v/>
      </c>
      <c r="FNU118" s="100" t="str">
        <f t="shared" si="346"/>
        <v/>
      </c>
      <c r="FNV118" s="100" t="str">
        <f t="shared" si="346"/>
        <v/>
      </c>
      <c r="FNW118" s="100" t="str">
        <f t="shared" si="346"/>
        <v/>
      </c>
      <c r="FNX118" s="100" t="str">
        <f t="shared" si="346"/>
        <v/>
      </c>
      <c r="FNY118" s="100" t="str">
        <f t="shared" si="346"/>
        <v/>
      </c>
      <c r="FNZ118" s="100" t="str">
        <f t="shared" si="346"/>
        <v/>
      </c>
      <c r="FOA118" s="100" t="str">
        <f t="shared" si="346"/>
        <v/>
      </c>
      <c r="FOB118" s="100" t="str">
        <f t="shared" si="346"/>
        <v/>
      </c>
      <c r="FOC118" s="100" t="str">
        <f t="shared" si="346"/>
        <v/>
      </c>
      <c r="FOD118" s="100" t="str">
        <f t="shared" si="346"/>
        <v/>
      </c>
      <c r="FOE118" s="100" t="str">
        <f t="shared" si="346"/>
        <v/>
      </c>
      <c r="FOF118" s="100" t="str">
        <f t="shared" si="346"/>
        <v/>
      </c>
      <c r="FOG118" s="100" t="str">
        <f t="shared" si="346"/>
        <v/>
      </c>
      <c r="FOH118" s="100" t="str">
        <f t="shared" si="346"/>
        <v/>
      </c>
      <c r="FOI118" s="100" t="str">
        <f t="shared" si="346"/>
        <v/>
      </c>
      <c r="FOJ118" s="100" t="str">
        <f t="shared" si="346"/>
        <v/>
      </c>
      <c r="FOK118" s="100" t="str">
        <f t="shared" si="346"/>
        <v/>
      </c>
      <c r="FOL118" s="100" t="str">
        <f t="shared" si="346"/>
        <v/>
      </c>
      <c r="FOM118" s="100" t="str">
        <f t="shared" si="346"/>
        <v/>
      </c>
      <c r="FON118" s="100" t="str">
        <f t="shared" si="346"/>
        <v/>
      </c>
      <c r="FOO118" s="100" t="str">
        <f t="shared" si="346"/>
        <v/>
      </c>
      <c r="FOP118" s="100" t="str">
        <f t="shared" si="346"/>
        <v/>
      </c>
      <c r="FOQ118" s="100" t="str">
        <f t="shared" si="346"/>
        <v/>
      </c>
      <c r="FOR118" s="100" t="str">
        <f t="shared" si="346"/>
        <v/>
      </c>
      <c r="FOS118" s="100" t="str">
        <f t="shared" si="346"/>
        <v/>
      </c>
      <c r="FOT118" s="100" t="str">
        <f t="shared" si="346"/>
        <v/>
      </c>
      <c r="FOU118" s="100" t="str">
        <f t="shared" si="346"/>
        <v/>
      </c>
      <c r="FOV118" s="100" t="str">
        <f t="shared" si="346"/>
        <v/>
      </c>
      <c r="FOW118" s="100" t="str">
        <f t="shared" si="346"/>
        <v/>
      </c>
      <c r="FOX118" s="100" t="str">
        <f t="shared" si="346"/>
        <v/>
      </c>
      <c r="FOY118" s="100" t="str">
        <f t="shared" si="346"/>
        <v/>
      </c>
      <c r="FOZ118" s="100" t="str">
        <f t="shared" si="346"/>
        <v/>
      </c>
      <c r="FPA118" s="100" t="str">
        <f t="shared" si="346"/>
        <v/>
      </c>
      <c r="FPB118" s="100" t="str">
        <f t="shared" si="346"/>
        <v/>
      </c>
      <c r="FPC118" s="100" t="str">
        <f t="shared" si="346"/>
        <v/>
      </c>
      <c r="FPD118" s="100" t="str">
        <f t="shared" si="346"/>
        <v/>
      </c>
      <c r="FPE118" s="100" t="str">
        <f t="shared" si="346"/>
        <v/>
      </c>
      <c r="FPF118" s="100" t="str">
        <f t="shared" si="346"/>
        <v/>
      </c>
      <c r="FPG118" s="100" t="str">
        <f t="shared" si="346"/>
        <v/>
      </c>
      <c r="FPH118" s="100" t="str">
        <f t="shared" si="346"/>
        <v/>
      </c>
      <c r="FPI118" s="100" t="str">
        <f t="shared" si="346"/>
        <v/>
      </c>
      <c r="FPJ118" s="100" t="str">
        <f t="shared" si="346"/>
        <v/>
      </c>
      <c r="FPK118" s="100" t="str">
        <f t="shared" si="346"/>
        <v/>
      </c>
      <c r="FPL118" s="100" t="str">
        <f t="shared" si="346"/>
        <v/>
      </c>
      <c r="FPM118" s="100" t="str">
        <f t="shared" ref="FPM118:FRX118" si="347">IFERROR(AVERAGE(FPM6,FPM16,FPM25,FPM34,FPM42,FPM54,FPM62,FPM70,FPM78,FPM86,FPM94,FPM102,FPM110),"")</f>
        <v/>
      </c>
      <c r="FPN118" s="100" t="str">
        <f t="shared" si="347"/>
        <v/>
      </c>
      <c r="FPO118" s="100" t="str">
        <f t="shared" si="347"/>
        <v/>
      </c>
      <c r="FPP118" s="100" t="str">
        <f t="shared" si="347"/>
        <v/>
      </c>
      <c r="FPQ118" s="100" t="str">
        <f t="shared" si="347"/>
        <v/>
      </c>
      <c r="FPR118" s="100" t="str">
        <f t="shared" si="347"/>
        <v/>
      </c>
      <c r="FPS118" s="100" t="str">
        <f t="shared" si="347"/>
        <v/>
      </c>
      <c r="FPT118" s="100" t="str">
        <f t="shared" si="347"/>
        <v/>
      </c>
      <c r="FPU118" s="100" t="str">
        <f t="shared" si="347"/>
        <v/>
      </c>
      <c r="FPV118" s="100" t="str">
        <f t="shared" si="347"/>
        <v/>
      </c>
      <c r="FPW118" s="100" t="str">
        <f t="shared" si="347"/>
        <v/>
      </c>
      <c r="FPX118" s="100" t="str">
        <f t="shared" si="347"/>
        <v/>
      </c>
      <c r="FPY118" s="100" t="str">
        <f t="shared" si="347"/>
        <v/>
      </c>
      <c r="FPZ118" s="100" t="str">
        <f t="shared" si="347"/>
        <v/>
      </c>
      <c r="FQA118" s="100" t="str">
        <f t="shared" si="347"/>
        <v/>
      </c>
      <c r="FQB118" s="100" t="str">
        <f t="shared" si="347"/>
        <v/>
      </c>
      <c r="FQC118" s="100" t="str">
        <f t="shared" si="347"/>
        <v/>
      </c>
      <c r="FQD118" s="100" t="str">
        <f t="shared" si="347"/>
        <v/>
      </c>
      <c r="FQE118" s="100" t="str">
        <f t="shared" si="347"/>
        <v/>
      </c>
      <c r="FQF118" s="100" t="str">
        <f t="shared" si="347"/>
        <v/>
      </c>
      <c r="FQG118" s="100" t="str">
        <f t="shared" si="347"/>
        <v/>
      </c>
      <c r="FQH118" s="100" t="str">
        <f t="shared" si="347"/>
        <v/>
      </c>
      <c r="FQI118" s="100" t="str">
        <f t="shared" si="347"/>
        <v/>
      </c>
      <c r="FQJ118" s="100" t="str">
        <f t="shared" si="347"/>
        <v/>
      </c>
      <c r="FQK118" s="100" t="str">
        <f t="shared" si="347"/>
        <v/>
      </c>
      <c r="FQL118" s="100" t="str">
        <f t="shared" si="347"/>
        <v/>
      </c>
      <c r="FQM118" s="100" t="str">
        <f t="shared" si="347"/>
        <v/>
      </c>
      <c r="FQN118" s="100" t="str">
        <f t="shared" si="347"/>
        <v/>
      </c>
      <c r="FQO118" s="100" t="str">
        <f t="shared" si="347"/>
        <v/>
      </c>
      <c r="FQP118" s="100" t="str">
        <f t="shared" si="347"/>
        <v/>
      </c>
      <c r="FQQ118" s="100" t="str">
        <f t="shared" si="347"/>
        <v/>
      </c>
      <c r="FQR118" s="100" t="str">
        <f t="shared" si="347"/>
        <v/>
      </c>
      <c r="FQS118" s="100" t="str">
        <f t="shared" si="347"/>
        <v/>
      </c>
      <c r="FQT118" s="100" t="str">
        <f t="shared" si="347"/>
        <v/>
      </c>
      <c r="FQU118" s="100" t="str">
        <f t="shared" si="347"/>
        <v/>
      </c>
      <c r="FQV118" s="100" t="str">
        <f t="shared" si="347"/>
        <v/>
      </c>
      <c r="FQW118" s="100" t="str">
        <f t="shared" si="347"/>
        <v/>
      </c>
      <c r="FQX118" s="100" t="str">
        <f t="shared" si="347"/>
        <v/>
      </c>
      <c r="FQY118" s="100" t="str">
        <f t="shared" si="347"/>
        <v/>
      </c>
      <c r="FQZ118" s="100" t="str">
        <f t="shared" si="347"/>
        <v/>
      </c>
      <c r="FRA118" s="100" t="str">
        <f t="shared" si="347"/>
        <v/>
      </c>
      <c r="FRB118" s="100" t="str">
        <f t="shared" si="347"/>
        <v/>
      </c>
      <c r="FRC118" s="100" t="str">
        <f t="shared" si="347"/>
        <v/>
      </c>
      <c r="FRD118" s="100" t="str">
        <f t="shared" si="347"/>
        <v/>
      </c>
      <c r="FRE118" s="100" t="str">
        <f t="shared" si="347"/>
        <v/>
      </c>
      <c r="FRF118" s="100" t="str">
        <f t="shared" si="347"/>
        <v/>
      </c>
      <c r="FRG118" s="100" t="str">
        <f t="shared" si="347"/>
        <v/>
      </c>
      <c r="FRH118" s="100" t="str">
        <f t="shared" si="347"/>
        <v/>
      </c>
      <c r="FRI118" s="100" t="str">
        <f t="shared" si="347"/>
        <v/>
      </c>
      <c r="FRJ118" s="100" t="str">
        <f t="shared" si="347"/>
        <v/>
      </c>
      <c r="FRK118" s="100" t="str">
        <f t="shared" si="347"/>
        <v/>
      </c>
      <c r="FRL118" s="100" t="str">
        <f t="shared" si="347"/>
        <v/>
      </c>
      <c r="FRM118" s="100" t="str">
        <f t="shared" si="347"/>
        <v/>
      </c>
      <c r="FRN118" s="100" t="str">
        <f t="shared" si="347"/>
        <v/>
      </c>
      <c r="FRO118" s="100" t="str">
        <f t="shared" si="347"/>
        <v/>
      </c>
      <c r="FRP118" s="100" t="str">
        <f t="shared" si="347"/>
        <v/>
      </c>
      <c r="FRQ118" s="100" t="str">
        <f t="shared" si="347"/>
        <v/>
      </c>
      <c r="FRR118" s="100" t="str">
        <f t="shared" si="347"/>
        <v/>
      </c>
      <c r="FRS118" s="100" t="str">
        <f t="shared" si="347"/>
        <v/>
      </c>
      <c r="FRT118" s="100" t="str">
        <f t="shared" si="347"/>
        <v/>
      </c>
      <c r="FRU118" s="100" t="str">
        <f t="shared" si="347"/>
        <v/>
      </c>
      <c r="FRV118" s="100" t="str">
        <f t="shared" si="347"/>
        <v/>
      </c>
      <c r="FRW118" s="100" t="str">
        <f t="shared" si="347"/>
        <v/>
      </c>
      <c r="FRX118" s="100" t="str">
        <f t="shared" si="347"/>
        <v/>
      </c>
      <c r="FRY118" s="100" t="str">
        <f t="shared" ref="FRY118:FUJ118" si="348">IFERROR(AVERAGE(FRY6,FRY16,FRY25,FRY34,FRY42,FRY54,FRY62,FRY70,FRY78,FRY86,FRY94,FRY102,FRY110),"")</f>
        <v/>
      </c>
      <c r="FRZ118" s="100" t="str">
        <f t="shared" si="348"/>
        <v/>
      </c>
      <c r="FSA118" s="100" t="str">
        <f t="shared" si="348"/>
        <v/>
      </c>
      <c r="FSB118" s="100" t="str">
        <f t="shared" si="348"/>
        <v/>
      </c>
      <c r="FSC118" s="100" t="str">
        <f t="shared" si="348"/>
        <v/>
      </c>
      <c r="FSD118" s="100" t="str">
        <f t="shared" si="348"/>
        <v/>
      </c>
      <c r="FSE118" s="100" t="str">
        <f t="shared" si="348"/>
        <v/>
      </c>
      <c r="FSF118" s="100" t="str">
        <f t="shared" si="348"/>
        <v/>
      </c>
      <c r="FSG118" s="100" t="str">
        <f t="shared" si="348"/>
        <v/>
      </c>
      <c r="FSH118" s="100" t="str">
        <f t="shared" si="348"/>
        <v/>
      </c>
      <c r="FSI118" s="100" t="str">
        <f t="shared" si="348"/>
        <v/>
      </c>
      <c r="FSJ118" s="100" t="str">
        <f t="shared" si="348"/>
        <v/>
      </c>
      <c r="FSK118" s="100" t="str">
        <f t="shared" si="348"/>
        <v/>
      </c>
      <c r="FSL118" s="100" t="str">
        <f t="shared" si="348"/>
        <v/>
      </c>
      <c r="FSM118" s="100" t="str">
        <f t="shared" si="348"/>
        <v/>
      </c>
      <c r="FSN118" s="100" t="str">
        <f t="shared" si="348"/>
        <v/>
      </c>
      <c r="FSO118" s="100" t="str">
        <f t="shared" si="348"/>
        <v/>
      </c>
      <c r="FSP118" s="100" t="str">
        <f t="shared" si="348"/>
        <v/>
      </c>
      <c r="FSQ118" s="100" t="str">
        <f t="shared" si="348"/>
        <v/>
      </c>
      <c r="FSR118" s="100" t="str">
        <f t="shared" si="348"/>
        <v/>
      </c>
      <c r="FSS118" s="100" t="str">
        <f t="shared" si="348"/>
        <v/>
      </c>
      <c r="FST118" s="100" t="str">
        <f t="shared" si="348"/>
        <v/>
      </c>
      <c r="FSU118" s="100" t="str">
        <f t="shared" si="348"/>
        <v/>
      </c>
      <c r="FSV118" s="100" t="str">
        <f t="shared" si="348"/>
        <v/>
      </c>
      <c r="FSW118" s="100" t="str">
        <f t="shared" si="348"/>
        <v/>
      </c>
      <c r="FSX118" s="100" t="str">
        <f t="shared" si="348"/>
        <v/>
      </c>
      <c r="FSY118" s="100" t="str">
        <f t="shared" si="348"/>
        <v/>
      </c>
      <c r="FSZ118" s="100" t="str">
        <f t="shared" si="348"/>
        <v/>
      </c>
      <c r="FTA118" s="100" t="str">
        <f t="shared" si="348"/>
        <v/>
      </c>
      <c r="FTB118" s="100" t="str">
        <f t="shared" si="348"/>
        <v/>
      </c>
      <c r="FTC118" s="100" t="str">
        <f t="shared" si="348"/>
        <v/>
      </c>
      <c r="FTD118" s="100" t="str">
        <f t="shared" si="348"/>
        <v/>
      </c>
      <c r="FTE118" s="100" t="str">
        <f t="shared" si="348"/>
        <v/>
      </c>
      <c r="FTF118" s="100" t="str">
        <f t="shared" si="348"/>
        <v/>
      </c>
      <c r="FTG118" s="100" t="str">
        <f t="shared" si="348"/>
        <v/>
      </c>
      <c r="FTH118" s="100" t="str">
        <f t="shared" si="348"/>
        <v/>
      </c>
      <c r="FTI118" s="100" t="str">
        <f t="shared" si="348"/>
        <v/>
      </c>
      <c r="FTJ118" s="100" t="str">
        <f t="shared" si="348"/>
        <v/>
      </c>
      <c r="FTK118" s="100" t="str">
        <f t="shared" si="348"/>
        <v/>
      </c>
      <c r="FTL118" s="100" t="str">
        <f t="shared" si="348"/>
        <v/>
      </c>
      <c r="FTM118" s="100" t="str">
        <f t="shared" si="348"/>
        <v/>
      </c>
      <c r="FTN118" s="100" t="str">
        <f t="shared" si="348"/>
        <v/>
      </c>
      <c r="FTO118" s="100" t="str">
        <f t="shared" si="348"/>
        <v/>
      </c>
      <c r="FTP118" s="100" t="str">
        <f t="shared" si="348"/>
        <v/>
      </c>
      <c r="FTQ118" s="100" t="str">
        <f t="shared" si="348"/>
        <v/>
      </c>
      <c r="FTR118" s="100" t="str">
        <f t="shared" si="348"/>
        <v/>
      </c>
      <c r="FTS118" s="100" t="str">
        <f t="shared" si="348"/>
        <v/>
      </c>
      <c r="FTT118" s="100" t="str">
        <f t="shared" si="348"/>
        <v/>
      </c>
      <c r="FTU118" s="100" t="str">
        <f t="shared" si="348"/>
        <v/>
      </c>
      <c r="FTV118" s="100" t="str">
        <f t="shared" si="348"/>
        <v/>
      </c>
      <c r="FTW118" s="100" t="str">
        <f t="shared" si="348"/>
        <v/>
      </c>
      <c r="FTX118" s="100" t="str">
        <f t="shared" si="348"/>
        <v/>
      </c>
      <c r="FTY118" s="100" t="str">
        <f t="shared" si="348"/>
        <v/>
      </c>
      <c r="FTZ118" s="100" t="str">
        <f t="shared" si="348"/>
        <v/>
      </c>
      <c r="FUA118" s="100" t="str">
        <f t="shared" si="348"/>
        <v/>
      </c>
      <c r="FUB118" s="100" t="str">
        <f t="shared" si="348"/>
        <v/>
      </c>
      <c r="FUC118" s="100" t="str">
        <f t="shared" si="348"/>
        <v/>
      </c>
      <c r="FUD118" s="100" t="str">
        <f t="shared" si="348"/>
        <v/>
      </c>
      <c r="FUE118" s="100" t="str">
        <f t="shared" si="348"/>
        <v/>
      </c>
      <c r="FUF118" s="100" t="str">
        <f t="shared" si="348"/>
        <v/>
      </c>
      <c r="FUG118" s="100" t="str">
        <f t="shared" si="348"/>
        <v/>
      </c>
      <c r="FUH118" s="100" t="str">
        <f t="shared" si="348"/>
        <v/>
      </c>
      <c r="FUI118" s="100" t="str">
        <f t="shared" si="348"/>
        <v/>
      </c>
      <c r="FUJ118" s="100" t="str">
        <f t="shared" si="348"/>
        <v/>
      </c>
      <c r="FUK118" s="100" t="str">
        <f t="shared" ref="FUK118:FWV118" si="349">IFERROR(AVERAGE(FUK6,FUK16,FUK25,FUK34,FUK42,FUK54,FUK62,FUK70,FUK78,FUK86,FUK94,FUK102,FUK110),"")</f>
        <v/>
      </c>
      <c r="FUL118" s="100" t="str">
        <f t="shared" si="349"/>
        <v/>
      </c>
      <c r="FUM118" s="100" t="str">
        <f t="shared" si="349"/>
        <v/>
      </c>
      <c r="FUN118" s="100" t="str">
        <f t="shared" si="349"/>
        <v/>
      </c>
      <c r="FUO118" s="100" t="str">
        <f t="shared" si="349"/>
        <v/>
      </c>
      <c r="FUP118" s="100" t="str">
        <f t="shared" si="349"/>
        <v/>
      </c>
      <c r="FUQ118" s="100" t="str">
        <f t="shared" si="349"/>
        <v/>
      </c>
      <c r="FUR118" s="100" t="str">
        <f t="shared" si="349"/>
        <v/>
      </c>
      <c r="FUS118" s="100" t="str">
        <f t="shared" si="349"/>
        <v/>
      </c>
      <c r="FUT118" s="100" t="str">
        <f t="shared" si="349"/>
        <v/>
      </c>
      <c r="FUU118" s="100" t="str">
        <f t="shared" si="349"/>
        <v/>
      </c>
      <c r="FUV118" s="100" t="str">
        <f t="shared" si="349"/>
        <v/>
      </c>
      <c r="FUW118" s="100" t="str">
        <f t="shared" si="349"/>
        <v/>
      </c>
      <c r="FUX118" s="100" t="str">
        <f t="shared" si="349"/>
        <v/>
      </c>
      <c r="FUY118" s="100" t="str">
        <f t="shared" si="349"/>
        <v/>
      </c>
      <c r="FUZ118" s="100" t="str">
        <f t="shared" si="349"/>
        <v/>
      </c>
      <c r="FVA118" s="100" t="str">
        <f t="shared" si="349"/>
        <v/>
      </c>
      <c r="FVB118" s="100" t="str">
        <f t="shared" si="349"/>
        <v/>
      </c>
      <c r="FVC118" s="100" t="str">
        <f t="shared" si="349"/>
        <v/>
      </c>
      <c r="FVD118" s="100" t="str">
        <f t="shared" si="349"/>
        <v/>
      </c>
      <c r="FVE118" s="100" t="str">
        <f t="shared" si="349"/>
        <v/>
      </c>
      <c r="FVF118" s="100" t="str">
        <f t="shared" si="349"/>
        <v/>
      </c>
      <c r="FVG118" s="100" t="str">
        <f t="shared" si="349"/>
        <v/>
      </c>
      <c r="FVH118" s="100" t="str">
        <f t="shared" si="349"/>
        <v/>
      </c>
      <c r="FVI118" s="100" t="str">
        <f t="shared" si="349"/>
        <v/>
      </c>
      <c r="FVJ118" s="100" t="str">
        <f t="shared" si="349"/>
        <v/>
      </c>
      <c r="FVK118" s="100" t="str">
        <f t="shared" si="349"/>
        <v/>
      </c>
      <c r="FVL118" s="100" t="str">
        <f t="shared" si="349"/>
        <v/>
      </c>
      <c r="FVM118" s="100" t="str">
        <f t="shared" si="349"/>
        <v/>
      </c>
      <c r="FVN118" s="100" t="str">
        <f t="shared" si="349"/>
        <v/>
      </c>
      <c r="FVO118" s="100" t="str">
        <f t="shared" si="349"/>
        <v/>
      </c>
      <c r="FVP118" s="100" t="str">
        <f t="shared" si="349"/>
        <v/>
      </c>
      <c r="FVQ118" s="100" t="str">
        <f t="shared" si="349"/>
        <v/>
      </c>
      <c r="FVR118" s="100" t="str">
        <f t="shared" si="349"/>
        <v/>
      </c>
      <c r="FVS118" s="100" t="str">
        <f t="shared" si="349"/>
        <v/>
      </c>
      <c r="FVT118" s="100" t="str">
        <f t="shared" si="349"/>
        <v/>
      </c>
      <c r="FVU118" s="100" t="str">
        <f t="shared" si="349"/>
        <v/>
      </c>
      <c r="FVV118" s="100" t="str">
        <f t="shared" si="349"/>
        <v/>
      </c>
      <c r="FVW118" s="100" t="str">
        <f t="shared" si="349"/>
        <v/>
      </c>
      <c r="FVX118" s="100" t="str">
        <f t="shared" si="349"/>
        <v/>
      </c>
      <c r="FVY118" s="100" t="str">
        <f t="shared" si="349"/>
        <v/>
      </c>
      <c r="FVZ118" s="100" t="str">
        <f t="shared" si="349"/>
        <v/>
      </c>
      <c r="FWA118" s="100" t="str">
        <f t="shared" si="349"/>
        <v/>
      </c>
      <c r="FWB118" s="100" t="str">
        <f t="shared" si="349"/>
        <v/>
      </c>
      <c r="FWC118" s="100" t="str">
        <f t="shared" si="349"/>
        <v/>
      </c>
      <c r="FWD118" s="100" t="str">
        <f t="shared" si="349"/>
        <v/>
      </c>
      <c r="FWE118" s="100" t="str">
        <f t="shared" si="349"/>
        <v/>
      </c>
      <c r="FWF118" s="100" t="str">
        <f t="shared" si="349"/>
        <v/>
      </c>
      <c r="FWG118" s="100" t="str">
        <f t="shared" si="349"/>
        <v/>
      </c>
      <c r="FWH118" s="100" t="str">
        <f t="shared" si="349"/>
        <v/>
      </c>
      <c r="FWI118" s="100" t="str">
        <f t="shared" si="349"/>
        <v/>
      </c>
      <c r="FWJ118" s="100" t="str">
        <f t="shared" si="349"/>
        <v/>
      </c>
      <c r="FWK118" s="100" t="str">
        <f t="shared" si="349"/>
        <v/>
      </c>
      <c r="FWL118" s="100" t="str">
        <f t="shared" si="349"/>
        <v/>
      </c>
      <c r="FWM118" s="100" t="str">
        <f t="shared" si="349"/>
        <v/>
      </c>
      <c r="FWN118" s="100" t="str">
        <f t="shared" si="349"/>
        <v/>
      </c>
      <c r="FWO118" s="100" t="str">
        <f t="shared" si="349"/>
        <v/>
      </c>
      <c r="FWP118" s="100" t="str">
        <f t="shared" si="349"/>
        <v/>
      </c>
      <c r="FWQ118" s="100" t="str">
        <f t="shared" si="349"/>
        <v/>
      </c>
      <c r="FWR118" s="100" t="str">
        <f t="shared" si="349"/>
        <v/>
      </c>
      <c r="FWS118" s="100" t="str">
        <f t="shared" si="349"/>
        <v/>
      </c>
      <c r="FWT118" s="100" t="str">
        <f t="shared" si="349"/>
        <v/>
      </c>
      <c r="FWU118" s="100" t="str">
        <f t="shared" si="349"/>
        <v/>
      </c>
      <c r="FWV118" s="100" t="str">
        <f t="shared" si="349"/>
        <v/>
      </c>
      <c r="FWW118" s="100" t="str">
        <f t="shared" ref="FWW118:FZH118" si="350">IFERROR(AVERAGE(FWW6,FWW16,FWW25,FWW34,FWW42,FWW54,FWW62,FWW70,FWW78,FWW86,FWW94,FWW102,FWW110),"")</f>
        <v/>
      </c>
      <c r="FWX118" s="100" t="str">
        <f t="shared" si="350"/>
        <v/>
      </c>
      <c r="FWY118" s="100" t="str">
        <f t="shared" si="350"/>
        <v/>
      </c>
      <c r="FWZ118" s="100" t="str">
        <f t="shared" si="350"/>
        <v/>
      </c>
      <c r="FXA118" s="100" t="str">
        <f t="shared" si="350"/>
        <v/>
      </c>
      <c r="FXB118" s="100" t="str">
        <f t="shared" si="350"/>
        <v/>
      </c>
      <c r="FXC118" s="100" t="str">
        <f t="shared" si="350"/>
        <v/>
      </c>
      <c r="FXD118" s="100" t="str">
        <f t="shared" si="350"/>
        <v/>
      </c>
      <c r="FXE118" s="100" t="str">
        <f t="shared" si="350"/>
        <v/>
      </c>
      <c r="FXF118" s="100" t="str">
        <f t="shared" si="350"/>
        <v/>
      </c>
      <c r="FXG118" s="100" t="str">
        <f t="shared" si="350"/>
        <v/>
      </c>
      <c r="FXH118" s="100" t="str">
        <f t="shared" si="350"/>
        <v/>
      </c>
      <c r="FXI118" s="100" t="str">
        <f t="shared" si="350"/>
        <v/>
      </c>
      <c r="FXJ118" s="100" t="str">
        <f t="shared" si="350"/>
        <v/>
      </c>
      <c r="FXK118" s="100" t="str">
        <f t="shared" si="350"/>
        <v/>
      </c>
      <c r="FXL118" s="100" t="str">
        <f t="shared" si="350"/>
        <v/>
      </c>
      <c r="FXM118" s="100" t="str">
        <f t="shared" si="350"/>
        <v/>
      </c>
      <c r="FXN118" s="100" t="str">
        <f t="shared" si="350"/>
        <v/>
      </c>
      <c r="FXO118" s="100" t="str">
        <f t="shared" si="350"/>
        <v/>
      </c>
      <c r="FXP118" s="100" t="str">
        <f t="shared" si="350"/>
        <v/>
      </c>
      <c r="FXQ118" s="100" t="str">
        <f t="shared" si="350"/>
        <v/>
      </c>
      <c r="FXR118" s="100" t="str">
        <f t="shared" si="350"/>
        <v/>
      </c>
      <c r="FXS118" s="100" t="str">
        <f t="shared" si="350"/>
        <v/>
      </c>
      <c r="FXT118" s="100" t="str">
        <f t="shared" si="350"/>
        <v/>
      </c>
      <c r="FXU118" s="100" t="str">
        <f t="shared" si="350"/>
        <v/>
      </c>
      <c r="FXV118" s="100" t="str">
        <f t="shared" si="350"/>
        <v/>
      </c>
      <c r="FXW118" s="100" t="str">
        <f t="shared" si="350"/>
        <v/>
      </c>
      <c r="FXX118" s="100" t="str">
        <f t="shared" si="350"/>
        <v/>
      </c>
      <c r="FXY118" s="100" t="str">
        <f t="shared" si="350"/>
        <v/>
      </c>
      <c r="FXZ118" s="100" t="str">
        <f t="shared" si="350"/>
        <v/>
      </c>
      <c r="FYA118" s="100" t="str">
        <f t="shared" si="350"/>
        <v/>
      </c>
      <c r="FYB118" s="100" t="str">
        <f t="shared" si="350"/>
        <v/>
      </c>
      <c r="FYC118" s="100" t="str">
        <f t="shared" si="350"/>
        <v/>
      </c>
      <c r="FYD118" s="100" t="str">
        <f t="shared" si="350"/>
        <v/>
      </c>
      <c r="FYE118" s="100" t="str">
        <f t="shared" si="350"/>
        <v/>
      </c>
      <c r="FYF118" s="100" t="str">
        <f t="shared" si="350"/>
        <v/>
      </c>
      <c r="FYG118" s="100" t="str">
        <f t="shared" si="350"/>
        <v/>
      </c>
      <c r="FYH118" s="100" t="str">
        <f t="shared" si="350"/>
        <v/>
      </c>
      <c r="FYI118" s="100" t="str">
        <f t="shared" si="350"/>
        <v/>
      </c>
      <c r="FYJ118" s="100" t="str">
        <f t="shared" si="350"/>
        <v/>
      </c>
      <c r="FYK118" s="100" t="str">
        <f t="shared" si="350"/>
        <v/>
      </c>
      <c r="FYL118" s="100" t="str">
        <f t="shared" si="350"/>
        <v/>
      </c>
      <c r="FYM118" s="100" t="str">
        <f t="shared" si="350"/>
        <v/>
      </c>
      <c r="FYN118" s="100" t="str">
        <f t="shared" si="350"/>
        <v/>
      </c>
      <c r="FYO118" s="100" t="str">
        <f t="shared" si="350"/>
        <v/>
      </c>
      <c r="FYP118" s="100" t="str">
        <f t="shared" si="350"/>
        <v/>
      </c>
      <c r="FYQ118" s="100" t="str">
        <f t="shared" si="350"/>
        <v/>
      </c>
      <c r="FYR118" s="100" t="str">
        <f t="shared" si="350"/>
        <v/>
      </c>
      <c r="FYS118" s="100" t="str">
        <f t="shared" si="350"/>
        <v/>
      </c>
      <c r="FYT118" s="100" t="str">
        <f t="shared" si="350"/>
        <v/>
      </c>
      <c r="FYU118" s="100" t="str">
        <f t="shared" si="350"/>
        <v/>
      </c>
      <c r="FYV118" s="100" t="str">
        <f t="shared" si="350"/>
        <v/>
      </c>
      <c r="FYW118" s="100" t="str">
        <f t="shared" si="350"/>
        <v/>
      </c>
      <c r="FYX118" s="100" t="str">
        <f t="shared" si="350"/>
        <v/>
      </c>
      <c r="FYY118" s="100" t="str">
        <f t="shared" si="350"/>
        <v/>
      </c>
      <c r="FYZ118" s="100" t="str">
        <f t="shared" si="350"/>
        <v/>
      </c>
      <c r="FZA118" s="100" t="str">
        <f t="shared" si="350"/>
        <v/>
      </c>
      <c r="FZB118" s="100" t="str">
        <f t="shared" si="350"/>
        <v/>
      </c>
      <c r="FZC118" s="100" t="str">
        <f t="shared" si="350"/>
        <v/>
      </c>
      <c r="FZD118" s="100" t="str">
        <f t="shared" si="350"/>
        <v/>
      </c>
      <c r="FZE118" s="100" t="str">
        <f t="shared" si="350"/>
        <v/>
      </c>
      <c r="FZF118" s="100" t="str">
        <f t="shared" si="350"/>
        <v/>
      </c>
      <c r="FZG118" s="100" t="str">
        <f t="shared" si="350"/>
        <v/>
      </c>
      <c r="FZH118" s="100" t="str">
        <f t="shared" si="350"/>
        <v/>
      </c>
      <c r="FZI118" s="100" t="str">
        <f t="shared" ref="FZI118:GBT118" si="351">IFERROR(AVERAGE(FZI6,FZI16,FZI25,FZI34,FZI42,FZI54,FZI62,FZI70,FZI78,FZI86,FZI94,FZI102,FZI110),"")</f>
        <v/>
      </c>
      <c r="FZJ118" s="100" t="str">
        <f t="shared" si="351"/>
        <v/>
      </c>
      <c r="FZK118" s="100" t="str">
        <f t="shared" si="351"/>
        <v/>
      </c>
      <c r="FZL118" s="100" t="str">
        <f t="shared" si="351"/>
        <v/>
      </c>
      <c r="FZM118" s="100" t="str">
        <f t="shared" si="351"/>
        <v/>
      </c>
      <c r="FZN118" s="100" t="str">
        <f t="shared" si="351"/>
        <v/>
      </c>
      <c r="FZO118" s="100" t="str">
        <f t="shared" si="351"/>
        <v/>
      </c>
      <c r="FZP118" s="100" t="str">
        <f t="shared" si="351"/>
        <v/>
      </c>
      <c r="FZQ118" s="100" t="str">
        <f t="shared" si="351"/>
        <v/>
      </c>
      <c r="FZR118" s="100" t="str">
        <f t="shared" si="351"/>
        <v/>
      </c>
      <c r="FZS118" s="100" t="str">
        <f t="shared" si="351"/>
        <v/>
      </c>
      <c r="FZT118" s="100" t="str">
        <f t="shared" si="351"/>
        <v/>
      </c>
      <c r="FZU118" s="100" t="str">
        <f t="shared" si="351"/>
        <v/>
      </c>
      <c r="FZV118" s="100" t="str">
        <f t="shared" si="351"/>
        <v/>
      </c>
      <c r="FZW118" s="100" t="str">
        <f t="shared" si="351"/>
        <v/>
      </c>
      <c r="FZX118" s="100" t="str">
        <f t="shared" si="351"/>
        <v/>
      </c>
      <c r="FZY118" s="100" t="str">
        <f t="shared" si="351"/>
        <v/>
      </c>
      <c r="FZZ118" s="100" t="str">
        <f t="shared" si="351"/>
        <v/>
      </c>
      <c r="GAA118" s="100" t="str">
        <f t="shared" si="351"/>
        <v/>
      </c>
      <c r="GAB118" s="100" t="str">
        <f t="shared" si="351"/>
        <v/>
      </c>
      <c r="GAC118" s="100" t="str">
        <f t="shared" si="351"/>
        <v/>
      </c>
      <c r="GAD118" s="100" t="str">
        <f t="shared" si="351"/>
        <v/>
      </c>
      <c r="GAE118" s="100" t="str">
        <f t="shared" si="351"/>
        <v/>
      </c>
      <c r="GAF118" s="100" t="str">
        <f t="shared" si="351"/>
        <v/>
      </c>
      <c r="GAG118" s="100" t="str">
        <f t="shared" si="351"/>
        <v/>
      </c>
      <c r="GAH118" s="100" t="str">
        <f t="shared" si="351"/>
        <v/>
      </c>
      <c r="GAI118" s="100" t="str">
        <f t="shared" si="351"/>
        <v/>
      </c>
      <c r="GAJ118" s="100" t="str">
        <f t="shared" si="351"/>
        <v/>
      </c>
      <c r="GAK118" s="100" t="str">
        <f t="shared" si="351"/>
        <v/>
      </c>
      <c r="GAL118" s="100" t="str">
        <f t="shared" si="351"/>
        <v/>
      </c>
      <c r="GAM118" s="100" t="str">
        <f t="shared" si="351"/>
        <v/>
      </c>
      <c r="GAN118" s="100" t="str">
        <f t="shared" si="351"/>
        <v/>
      </c>
      <c r="GAO118" s="100" t="str">
        <f t="shared" si="351"/>
        <v/>
      </c>
      <c r="GAP118" s="100" t="str">
        <f t="shared" si="351"/>
        <v/>
      </c>
      <c r="GAQ118" s="100" t="str">
        <f t="shared" si="351"/>
        <v/>
      </c>
      <c r="GAR118" s="100" t="str">
        <f t="shared" si="351"/>
        <v/>
      </c>
      <c r="GAS118" s="100" t="str">
        <f t="shared" si="351"/>
        <v/>
      </c>
      <c r="GAT118" s="100" t="str">
        <f t="shared" si="351"/>
        <v/>
      </c>
      <c r="GAU118" s="100" t="str">
        <f t="shared" si="351"/>
        <v/>
      </c>
      <c r="GAV118" s="100" t="str">
        <f t="shared" si="351"/>
        <v/>
      </c>
      <c r="GAW118" s="100" t="str">
        <f t="shared" si="351"/>
        <v/>
      </c>
      <c r="GAX118" s="100" t="str">
        <f t="shared" si="351"/>
        <v/>
      </c>
      <c r="GAY118" s="100" t="str">
        <f t="shared" si="351"/>
        <v/>
      </c>
      <c r="GAZ118" s="100" t="str">
        <f t="shared" si="351"/>
        <v/>
      </c>
      <c r="GBA118" s="100" t="str">
        <f t="shared" si="351"/>
        <v/>
      </c>
      <c r="GBB118" s="100" t="str">
        <f t="shared" si="351"/>
        <v/>
      </c>
      <c r="GBC118" s="100" t="str">
        <f t="shared" si="351"/>
        <v/>
      </c>
      <c r="GBD118" s="100" t="str">
        <f t="shared" si="351"/>
        <v/>
      </c>
      <c r="GBE118" s="100" t="str">
        <f t="shared" si="351"/>
        <v/>
      </c>
      <c r="GBF118" s="100" t="str">
        <f t="shared" si="351"/>
        <v/>
      </c>
      <c r="GBG118" s="100" t="str">
        <f t="shared" si="351"/>
        <v/>
      </c>
      <c r="GBH118" s="100" t="str">
        <f t="shared" si="351"/>
        <v/>
      </c>
      <c r="GBI118" s="100" t="str">
        <f t="shared" si="351"/>
        <v/>
      </c>
      <c r="GBJ118" s="100" t="str">
        <f t="shared" si="351"/>
        <v/>
      </c>
      <c r="GBK118" s="100" t="str">
        <f t="shared" si="351"/>
        <v/>
      </c>
      <c r="GBL118" s="100" t="str">
        <f t="shared" si="351"/>
        <v/>
      </c>
      <c r="GBM118" s="100" t="str">
        <f t="shared" si="351"/>
        <v/>
      </c>
      <c r="GBN118" s="100" t="str">
        <f t="shared" si="351"/>
        <v/>
      </c>
      <c r="GBO118" s="100" t="str">
        <f t="shared" si="351"/>
        <v/>
      </c>
      <c r="GBP118" s="100" t="str">
        <f t="shared" si="351"/>
        <v/>
      </c>
      <c r="GBQ118" s="100" t="str">
        <f t="shared" si="351"/>
        <v/>
      </c>
      <c r="GBR118" s="100" t="str">
        <f t="shared" si="351"/>
        <v/>
      </c>
      <c r="GBS118" s="100" t="str">
        <f t="shared" si="351"/>
        <v/>
      </c>
      <c r="GBT118" s="100" t="str">
        <f t="shared" si="351"/>
        <v/>
      </c>
      <c r="GBU118" s="100" t="str">
        <f t="shared" ref="GBU118:GEF118" si="352">IFERROR(AVERAGE(GBU6,GBU16,GBU25,GBU34,GBU42,GBU54,GBU62,GBU70,GBU78,GBU86,GBU94,GBU102,GBU110),"")</f>
        <v/>
      </c>
      <c r="GBV118" s="100" t="str">
        <f t="shared" si="352"/>
        <v/>
      </c>
      <c r="GBW118" s="100" t="str">
        <f t="shared" si="352"/>
        <v/>
      </c>
      <c r="GBX118" s="100" t="str">
        <f t="shared" si="352"/>
        <v/>
      </c>
      <c r="GBY118" s="100" t="str">
        <f t="shared" si="352"/>
        <v/>
      </c>
      <c r="GBZ118" s="100" t="str">
        <f t="shared" si="352"/>
        <v/>
      </c>
      <c r="GCA118" s="100" t="str">
        <f t="shared" si="352"/>
        <v/>
      </c>
      <c r="GCB118" s="100" t="str">
        <f t="shared" si="352"/>
        <v/>
      </c>
      <c r="GCC118" s="100" t="str">
        <f t="shared" si="352"/>
        <v/>
      </c>
      <c r="GCD118" s="100" t="str">
        <f t="shared" si="352"/>
        <v/>
      </c>
      <c r="GCE118" s="100" t="str">
        <f t="shared" si="352"/>
        <v/>
      </c>
      <c r="GCF118" s="100" t="str">
        <f t="shared" si="352"/>
        <v/>
      </c>
      <c r="GCG118" s="100" t="str">
        <f t="shared" si="352"/>
        <v/>
      </c>
      <c r="GCH118" s="100" t="str">
        <f t="shared" si="352"/>
        <v/>
      </c>
      <c r="GCI118" s="100" t="str">
        <f t="shared" si="352"/>
        <v/>
      </c>
      <c r="GCJ118" s="100" t="str">
        <f t="shared" si="352"/>
        <v/>
      </c>
      <c r="GCK118" s="100" t="str">
        <f t="shared" si="352"/>
        <v/>
      </c>
      <c r="GCL118" s="100" t="str">
        <f t="shared" si="352"/>
        <v/>
      </c>
      <c r="GCM118" s="100" t="str">
        <f t="shared" si="352"/>
        <v/>
      </c>
      <c r="GCN118" s="100" t="str">
        <f t="shared" si="352"/>
        <v/>
      </c>
      <c r="GCO118" s="100" t="str">
        <f t="shared" si="352"/>
        <v/>
      </c>
      <c r="GCP118" s="100" t="str">
        <f t="shared" si="352"/>
        <v/>
      </c>
      <c r="GCQ118" s="100" t="str">
        <f t="shared" si="352"/>
        <v/>
      </c>
      <c r="GCR118" s="100" t="str">
        <f t="shared" si="352"/>
        <v/>
      </c>
      <c r="GCS118" s="100" t="str">
        <f t="shared" si="352"/>
        <v/>
      </c>
      <c r="GCT118" s="100" t="str">
        <f t="shared" si="352"/>
        <v/>
      </c>
      <c r="GCU118" s="100" t="str">
        <f t="shared" si="352"/>
        <v/>
      </c>
      <c r="GCV118" s="100" t="str">
        <f t="shared" si="352"/>
        <v/>
      </c>
      <c r="GCW118" s="100" t="str">
        <f t="shared" si="352"/>
        <v/>
      </c>
      <c r="GCX118" s="100" t="str">
        <f t="shared" si="352"/>
        <v/>
      </c>
      <c r="GCY118" s="100" t="str">
        <f t="shared" si="352"/>
        <v/>
      </c>
      <c r="GCZ118" s="100" t="str">
        <f t="shared" si="352"/>
        <v/>
      </c>
      <c r="GDA118" s="100" t="str">
        <f t="shared" si="352"/>
        <v/>
      </c>
      <c r="GDB118" s="100" t="str">
        <f t="shared" si="352"/>
        <v/>
      </c>
      <c r="GDC118" s="100" t="str">
        <f t="shared" si="352"/>
        <v/>
      </c>
      <c r="GDD118" s="100" t="str">
        <f t="shared" si="352"/>
        <v/>
      </c>
      <c r="GDE118" s="100" t="str">
        <f t="shared" si="352"/>
        <v/>
      </c>
      <c r="GDF118" s="100" t="str">
        <f t="shared" si="352"/>
        <v/>
      </c>
      <c r="GDG118" s="100" t="str">
        <f t="shared" si="352"/>
        <v/>
      </c>
      <c r="GDH118" s="100" t="str">
        <f t="shared" si="352"/>
        <v/>
      </c>
      <c r="GDI118" s="100" t="str">
        <f t="shared" si="352"/>
        <v/>
      </c>
      <c r="GDJ118" s="100" t="str">
        <f t="shared" si="352"/>
        <v/>
      </c>
      <c r="GDK118" s="100" t="str">
        <f t="shared" si="352"/>
        <v/>
      </c>
      <c r="GDL118" s="100" t="str">
        <f t="shared" si="352"/>
        <v/>
      </c>
      <c r="GDM118" s="100" t="str">
        <f t="shared" si="352"/>
        <v/>
      </c>
      <c r="GDN118" s="100" t="str">
        <f t="shared" si="352"/>
        <v/>
      </c>
      <c r="GDO118" s="100" t="str">
        <f t="shared" si="352"/>
        <v/>
      </c>
      <c r="GDP118" s="100" t="str">
        <f t="shared" si="352"/>
        <v/>
      </c>
      <c r="GDQ118" s="100" t="str">
        <f t="shared" si="352"/>
        <v/>
      </c>
      <c r="GDR118" s="100" t="str">
        <f t="shared" si="352"/>
        <v/>
      </c>
      <c r="GDS118" s="100" t="str">
        <f t="shared" si="352"/>
        <v/>
      </c>
      <c r="GDT118" s="100" t="str">
        <f t="shared" si="352"/>
        <v/>
      </c>
      <c r="GDU118" s="100" t="str">
        <f t="shared" si="352"/>
        <v/>
      </c>
      <c r="GDV118" s="100" t="str">
        <f t="shared" si="352"/>
        <v/>
      </c>
      <c r="GDW118" s="100" t="str">
        <f t="shared" si="352"/>
        <v/>
      </c>
      <c r="GDX118" s="100" t="str">
        <f t="shared" si="352"/>
        <v/>
      </c>
      <c r="GDY118" s="100" t="str">
        <f t="shared" si="352"/>
        <v/>
      </c>
      <c r="GDZ118" s="100" t="str">
        <f t="shared" si="352"/>
        <v/>
      </c>
      <c r="GEA118" s="100" t="str">
        <f t="shared" si="352"/>
        <v/>
      </c>
      <c r="GEB118" s="100" t="str">
        <f t="shared" si="352"/>
        <v/>
      </c>
      <c r="GEC118" s="100" t="str">
        <f t="shared" si="352"/>
        <v/>
      </c>
      <c r="GED118" s="100" t="str">
        <f t="shared" si="352"/>
        <v/>
      </c>
      <c r="GEE118" s="100" t="str">
        <f t="shared" si="352"/>
        <v/>
      </c>
      <c r="GEF118" s="100" t="str">
        <f t="shared" si="352"/>
        <v/>
      </c>
      <c r="GEG118" s="100" t="str">
        <f t="shared" ref="GEG118:GGR118" si="353">IFERROR(AVERAGE(GEG6,GEG16,GEG25,GEG34,GEG42,GEG54,GEG62,GEG70,GEG78,GEG86,GEG94,GEG102,GEG110),"")</f>
        <v/>
      </c>
      <c r="GEH118" s="100" t="str">
        <f t="shared" si="353"/>
        <v/>
      </c>
      <c r="GEI118" s="100" t="str">
        <f t="shared" si="353"/>
        <v/>
      </c>
      <c r="GEJ118" s="100" t="str">
        <f t="shared" si="353"/>
        <v/>
      </c>
      <c r="GEK118" s="100" t="str">
        <f t="shared" si="353"/>
        <v/>
      </c>
      <c r="GEL118" s="100" t="str">
        <f t="shared" si="353"/>
        <v/>
      </c>
      <c r="GEM118" s="100" t="str">
        <f t="shared" si="353"/>
        <v/>
      </c>
      <c r="GEN118" s="100" t="str">
        <f t="shared" si="353"/>
        <v/>
      </c>
      <c r="GEO118" s="100" t="str">
        <f t="shared" si="353"/>
        <v/>
      </c>
      <c r="GEP118" s="100" t="str">
        <f t="shared" si="353"/>
        <v/>
      </c>
      <c r="GEQ118" s="100" t="str">
        <f t="shared" si="353"/>
        <v/>
      </c>
      <c r="GER118" s="100" t="str">
        <f t="shared" si="353"/>
        <v/>
      </c>
      <c r="GES118" s="100" t="str">
        <f t="shared" si="353"/>
        <v/>
      </c>
      <c r="GET118" s="100" t="str">
        <f t="shared" si="353"/>
        <v/>
      </c>
      <c r="GEU118" s="100" t="str">
        <f t="shared" si="353"/>
        <v/>
      </c>
      <c r="GEV118" s="100" t="str">
        <f t="shared" si="353"/>
        <v/>
      </c>
      <c r="GEW118" s="100" t="str">
        <f t="shared" si="353"/>
        <v/>
      </c>
      <c r="GEX118" s="100" t="str">
        <f t="shared" si="353"/>
        <v/>
      </c>
      <c r="GEY118" s="100" t="str">
        <f t="shared" si="353"/>
        <v/>
      </c>
      <c r="GEZ118" s="100" t="str">
        <f t="shared" si="353"/>
        <v/>
      </c>
      <c r="GFA118" s="100" t="str">
        <f t="shared" si="353"/>
        <v/>
      </c>
      <c r="GFB118" s="100" t="str">
        <f t="shared" si="353"/>
        <v/>
      </c>
      <c r="GFC118" s="100" t="str">
        <f t="shared" si="353"/>
        <v/>
      </c>
      <c r="GFD118" s="100" t="str">
        <f t="shared" si="353"/>
        <v/>
      </c>
      <c r="GFE118" s="100" t="str">
        <f t="shared" si="353"/>
        <v/>
      </c>
      <c r="GFF118" s="100" t="str">
        <f t="shared" si="353"/>
        <v/>
      </c>
      <c r="GFG118" s="100" t="str">
        <f t="shared" si="353"/>
        <v/>
      </c>
      <c r="GFH118" s="100" t="str">
        <f t="shared" si="353"/>
        <v/>
      </c>
      <c r="GFI118" s="100" t="str">
        <f t="shared" si="353"/>
        <v/>
      </c>
      <c r="GFJ118" s="100" t="str">
        <f t="shared" si="353"/>
        <v/>
      </c>
      <c r="GFK118" s="100" t="str">
        <f t="shared" si="353"/>
        <v/>
      </c>
      <c r="GFL118" s="100" t="str">
        <f t="shared" si="353"/>
        <v/>
      </c>
      <c r="GFM118" s="100" t="str">
        <f t="shared" si="353"/>
        <v/>
      </c>
      <c r="GFN118" s="100" t="str">
        <f t="shared" si="353"/>
        <v/>
      </c>
      <c r="GFO118" s="100" t="str">
        <f t="shared" si="353"/>
        <v/>
      </c>
      <c r="GFP118" s="100" t="str">
        <f t="shared" si="353"/>
        <v/>
      </c>
      <c r="GFQ118" s="100" t="str">
        <f t="shared" si="353"/>
        <v/>
      </c>
      <c r="GFR118" s="100" t="str">
        <f t="shared" si="353"/>
        <v/>
      </c>
      <c r="GFS118" s="100" t="str">
        <f t="shared" si="353"/>
        <v/>
      </c>
      <c r="GFT118" s="100" t="str">
        <f t="shared" si="353"/>
        <v/>
      </c>
      <c r="GFU118" s="100" t="str">
        <f t="shared" si="353"/>
        <v/>
      </c>
      <c r="GFV118" s="100" t="str">
        <f t="shared" si="353"/>
        <v/>
      </c>
      <c r="GFW118" s="100" t="str">
        <f t="shared" si="353"/>
        <v/>
      </c>
      <c r="GFX118" s="100" t="str">
        <f t="shared" si="353"/>
        <v/>
      </c>
      <c r="GFY118" s="100" t="str">
        <f t="shared" si="353"/>
        <v/>
      </c>
      <c r="GFZ118" s="100" t="str">
        <f t="shared" si="353"/>
        <v/>
      </c>
      <c r="GGA118" s="100" t="str">
        <f t="shared" si="353"/>
        <v/>
      </c>
      <c r="GGB118" s="100" t="str">
        <f t="shared" si="353"/>
        <v/>
      </c>
      <c r="GGC118" s="100" t="str">
        <f t="shared" si="353"/>
        <v/>
      </c>
      <c r="GGD118" s="100" t="str">
        <f t="shared" si="353"/>
        <v/>
      </c>
      <c r="GGE118" s="100" t="str">
        <f t="shared" si="353"/>
        <v/>
      </c>
      <c r="GGF118" s="100" t="str">
        <f t="shared" si="353"/>
        <v/>
      </c>
      <c r="GGG118" s="100" t="str">
        <f t="shared" si="353"/>
        <v/>
      </c>
      <c r="GGH118" s="100" t="str">
        <f t="shared" si="353"/>
        <v/>
      </c>
      <c r="GGI118" s="100" t="str">
        <f t="shared" si="353"/>
        <v/>
      </c>
      <c r="GGJ118" s="100" t="str">
        <f t="shared" si="353"/>
        <v/>
      </c>
      <c r="GGK118" s="100" t="str">
        <f t="shared" si="353"/>
        <v/>
      </c>
      <c r="GGL118" s="100" t="str">
        <f t="shared" si="353"/>
        <v/>
      </c>
      <c r="GGM118" s="100" t="str">
        <f t="shared" si="353"/>
        <v/>
      </c>
      <c r="GGN118" s="100" t="str">
        <f t="shared" si="353"/>
        <v/>
      </c>
      <c r="GGO118" s="100" t="str">
        <f t="shared" si="353"/>
        <v/>
      </c>
      <c r="GGP118" s="100" t="str">
        <f t="shared" si="353"/>
        <v/>
      </c>
      <c r="GGQ118" s="100" t="str">
        <f t="shared" si="353"/>
        <v/>
      </c>
      <c r="GGR118" s="100" t="str">
        <f t="shared" si="353"/>
        <v/>
      </c>
      <c r="GGS118" s="100" t="str">
        <f t="shared" ref="GGS118:GJD118" si="354">IFERROR(AVERAGE(GGS6,GGS16,GGS25,GGS34,GGS42,GGS54,GGS62,GGS70,GGS78,GGS86,GGS94,GGS102,GGS110),"")</f>
        <v/>
      </c>
      <c r="GGT118" s="100" t="str">
        <f t="shared" si="354"/>
        <v/>
      </c>
      <c r="GGU118" s="100" t="str">
        <f t="shared" si="354"/>
        <v/>
      </c>
      <c r="GGV118" s="100" t="str">
        <f t="shared" si="354"/>
        <v/>
      </c>
      <c r="GGW118" s="100" t="str">
        <f t="shared" si="354"/>
        <v/>
      </c>
      <c r="GGX118" s="100" t="str">
        <f t="shared" si="354"/>
        <v/>
      </c>
      <c r="GGY118" s="100" t="str">
        <f t="shared" si="354"/>
        <v/>
      </c>
      <c r="GGZ118" s="100" t="str">
        <f t="shared" si="354"/>
        <v/>
      </c>
      <c r="GHA118" s="100" t="str">
        <f t="shared" si="354"/>
        <v/>
      </c>
      <c r="GHB118" s="100" t="str">
        <f t="shared" si="354"/>
        <v/>
      </c>
      <c r="GHC118" s="100" t="str">
        <f t="shared" si="354"/>
        <v/>
      </c>
      <c r="GHD118" s="100" t="str">
        <f t="shared" si="354"/>
        <v/>
      </c>
      <c r="GHE118" s="100" t="str">
        <f t="shared" si="354"/>
        <v/>
      </c>
      <c r="GHF118" s="100" t="str">
        <f t="shared" si="354"/>
        <v/>
      </c>
      <c r="GHG118" s="100" t="str">
        <f t="shared" si="354"/>
        <v/>
      </c>
      <c r="GHH118" s="100" t="str">
        <f t="shared" si="354"/>
        <v/>
      </c>
      <c r="GHI118" s="100" t="str">
        <f t="shared" si="354"/>
        <v/>
      </c>
      <c r="GHJ118" s="100" t="str">
        <f t="shared" si="354"/>
        <v/>
      </c>
      <c r="GHK118" s="100" t="str">
        <f t="shared" si="354"/>
        <v/>
      </c>
      <c r="GHL118" s="100" t="str">
        <f t="shared" si="354"/>
        <v/>
      </c>
      <c r="GHM118" s="100" t="str">
        <f t="shared" si="354"/>
        <v/>
      </c>
      <c r="GHN118" s="100" t="str">
        <f t="shared" si="354"/>
        <v/>
      </c>
      <c r="GHO118" s="100" t="str">
        <f t="shared" si="354"/>
        <v/>
      </c>
      <c r="GHP118" s="100" t="str">
        <f t="shared" si="354"/>
        <v/>
      </c>
      <c r="GHQ118" s="100" t="str">
        <f t="shared" si="354"/>
        <v/>
      </c>
      <c r="GHR118" s="100" t="str">
        <f t="shared" si="354"/>
        <v/>
      </c>
      <c r="GHS118" s="100" t="str">
        <f t="shared" si="354"/>
        <v/>
      </c>
      <c r="GHT118" s="100" t="str">
        <f t="shared" si="354"/>
        <v/>
      </c>
      <c r="GHU118" s="100" t="str">
        <f t="shared" si="354"/>
        <v/>
      </c>
      <c r="GHV118" s="100" t="str">
        <f t="shared" si="354"/>
        <v/>
      </c>
      <c r="GHW118" s="100" t="str">
        <f t="shared" si="354"/>
        <v/>
      </c>
      <c r="GHX118" s="100" t="str">
        <f t="shared" si="354"/>
        <v/>
      </c>
      <c r="GHY118" s="100" t="str">
        <f t="shared" si="354"/>
        <v/>
      </c>
      <c r="GHZ118" s="100" t="str">
        <f t="shared" si="354"/>
        <v/>
      </c>
      <c r="GIA118" s="100" t="str">
        <f t="shared" si="354"/>
        <v/>
      </c>
      <c r="GIB118" s="100" t="str">
        <f t="shared" si="354"/>
        <v/>
      </c>
      <c r="GIC118" s="100" t="str">
        <f t="shared" si="354"/>
        <v/>
      </c>
      <c r="GID118" s="100" t="str">
        <f t="shared" si="354"/>
        <v/>
      </c>
      <c r="GIE118" s="100" t="str">
        <f t="shared" si="354"/>
        <v/>
      </c>
      <c r="GIF118" s="100" t="str">
        <f t="shared" si="354"/>
        <v/>
      </c>
      <c r="GIG118" s="100" t="str">
        <f t="shared" si="354"/>
        <v/>
      </c>
      <c r="GIH118" s="100" t="str">
        <f t="shared" si="354"/>
        <v/>
      </c>
      <c r="GII118" s="100" t="str">
        <f t="shared" si="354"/>
        <v/>
      </c>
      <c r="GIJ118" s="100" t="str">
        <f t="shared" si="354"/>
        <v/>
      </c>
      <c r="GIK118" s="100" t="str">
        <f t="shared" si="354"/>
        <v/>
      </c>
      <c r="GIL118" s="100" t="str">
        <f t="shared" si="354"/>
        <v/>
      </c>
      <c r="GIM118" s="100" t="str">
        <f t="shared" si="354"/>
        <v/>
      </c>
      <c r="GIN118" s="100" t="str">
        <f t="shared" si="354"/>
        <v/>
      </c>
      <c r="GIO118" s="100" t="str">
        <f t="shared" si="354"/>
        <v/>
      </c>
      <c r="GIP118" s="100" t="str">
        <f t="shared" si="354"/>
        <v/>
      </c>
      <c r="GIQ118" s="100" t="str">
        <f t="shared" si="354"/>
        <v/>
      </c>
      <c r="GIR118" s="100" t="str">
        <f t="shared" si="354"/>
        <v/>
      </c>
      <c r="GIS118" s="100" t="str">
        <f t="shared" si="354"/>
        <v/>
      </c>
      <c r="GIT118" s="100" t="str">
        <f t="shared" si="354"/>
        <v/>
      </c>
      <c r="GIU118" s="100" t="str">
        <f t="shared" si="354"/>
        <v/>
      </c>
      <c r="GIV118" s="100" t="str">
        <f t="shared" si="354"/>
        <v/>
      </c>
      <c r="GIW118" s="100" t="str">
        <f t="shared" si="354"/>
        <v/>
      </c>
      <c r="GIX118" s="100" t="str">
        <f t="shared" si="354"/>
        <v/>
      </c>
      <c r="GIY118" s="100" t="str">
        <f t="shared" si="354"/>
        <v/>
      </c>
      <c r="GIZ118" s="100" t="str">
        <f t="shared" si="354"/>
        <v/>
      </c>
      <c r="GJA118" s="100" t="str">
        <f t="shared" si="354"/>
        <v/>
      </c>
      <c r="GJB118" s="100" t="str">
        <f t="shared" si="354"/>
        <v/>
      </c>
      <c r="GJC118" s="100" t="str">
        <f t="shared" si="354"/>
        <v/>
      </c>
      <c r="GJD118" s="100" t="str">
        <f t="shared" si="354"/>
        <v/>
      </c>
      <c r="GJE118" s="100" t="str">
        <f t="shared" ref="GJE118:GLP118" si="355">IFERROR(AVERAGE(GJE6,GJE16,GJE25,GJE34,GJE42,GJE54,GJE62,GJE70,GJE78,GJE86,GJE94,GJE102,GJE110),"")</f>
        <v/>
      </c>
      <c r="GJF118" s="100" t="str">
        <f t="shared" si="355"/>
        <v/>
      </c>
      <c r="GJG118" s="100" t="str">
        <f t="shared" si="355"/>
        <v/>
      </c>
      <c r="GJH118" s="100" t="str">
        <f t="shared" si="355"/>
        <v/>
      </c>
      <c r="GJI118" s="100" t="str">
        <f t="shared" si="355"/>
        <v/>
      </c>
      <c r="GJJ118" s="100" t="str">
        <f t="shared" si="355"/>
        <v/>
      </c>
      <c r="GJK118" s="100" t="str">
        <f t="shared" si="355"/>
        <v/>
      </c>
      <c r="GJL118" s="100" t="str">
        <f t="shared" si="355"/>
        <v/>
      </c>
      <c r="GJM118" s="100" t="str">
        <f t="shared" si="355"/>
        <v/>
      </c>
      <c r="GJN118" s="100" t="str">
        <f t="shared" si="355"/>
        <v/>
      </c>
      <c r="GJO118" s="100" t="str">
        <f t="shared" si="355"/>
        <v/>
      </c>
      <c r="GJP118" s="100" t="str">
        <f t="shared" si="355"/>
        <v/>
      </c>
      <c r="GJQ118" s="100" t="str">
        <f t="shared" si="355"/>
        <v/>
      </c>
      <c r="GJR118" s="100" t="str">
        <f t="shared" si="355"/>
        <v/>
      </c>
      <c r="GJS118" s="100" t="str">
        <f t="shared" si="355"/>
        <v/>
      </c>
      <c r="GJT118" s="100" t="str">
        <f t="shared" si="355"/>
        <v/>
      </c>
      <c r="GJU118" s="100" t="str">
        <f t="shared" si="355"/>
        <v/>
      </c>
      <c r="GJV118" s="100" t="str">
        <f t="shared" si="355"/>
        <v/>
      </c>
      <c r="GJW118" s="100" t="str">
        <f t="shared" si="355"/>
        <v/>
      </c>
      <c r="GJX118" s="100" t="str">
        <f t="shared" si="355"/>
        <v/>
      </c>
      <c r="GJY118" s="100" t="str">
        <f t="shared" si="355"/>
        <v/>
      </c>
      <c r="GJZ118" s="100" t="str">
        <f t="shared" si="355"/>
        <v/>
      </c>
      <c r="GKA118" s="100" t="str">
        <f t="shared" si="355"/>
        <v/>
      </c>
      <c r="GKB118" s="100" t="str">
        <f t="shared" si="355"/>
        <v/>
      </c>
      <c r="GKC118" s="100" t="str">
        <f t="shared" si="355"/>
        <v/>
      </c>
      <c r="GKD118" s="100" t="str">
        <f t="shared" si="355"/>
        <v/>
      </c>
      <c r="GKE118" s="100" t="str">
        <f t="shared" si="355"/>
        <v/>
      </c>
      <c r="GKF118" s="100" t="str">
        <f t="shared" si="355"/>
        <v/>
      </c>
      <c r="GKG118" s="100" t="str">
        <f t="shared" si="355"/>
        <v/>
      </c>
      <c r="GKH118" s="100" t="str">
        <f t="shared" si="355"/>
        <v/>
      </c>
      <c r="GKI118" s="100" t="str">
        <f t="shared" si="355"/>
        <v/>
      </c>
      <c r="GKJ118" s="100" t="str">
        <f t="shared" si="355"/>
        <v/>
      </c>
      <c r="GKK118" s="100" t="str">
        <f t="shared" si="355"/>
        <v/>
      </c>
      <c r="GKL118" s="100" t="str">
        <f t="shared" si="355"/>
        <v/>
      </c>
      <c r="GKM118" s="100" t="str">
        <f t="shared" si="355"/>
        <v/>
      </c>
      <c r="GKN118" s="100" t="str">
        <f t="shared" si="355"/>
        <v/>
      </c>
      <c r="GKO118" s="100" t="str">
        <f t="shared" si="355"/>
        <v/>
      </c>
      <c r="GKP118" s="100" t="str">
        <f t="shared" si="355"/>
        <v/>
      </c>
      <c r="GKQ118" s="100" t="str">
        <f t="shared" si="355"/>
        <v/>
      </c>
      <c r="GKR118" s="100" t="str">
        <f t="shared" si="355"/>
        <v/>
      </c>
      <c r="GKS118" s="100" t="str">
        <f t="shared" si="355"/>
        <v/>
      </c>
      <c r="GKT118" s="100" t="str">
        <f t="shared" si="355"/>
        <v/>
      </c>
      <c r="GKU118" s="100" t="str">
        <f t="shared" si="355"/>
        <v/>
      </c>
      <c r="GKV118" s="100" t="str">
        <f t="shared" si="355"/>
        <v/>
      </c>
      <c r="GKW118" s="100" t="str">
        <f t="shared" si="355"/>
        <v/>
      </c>
      <c r="GKX118" s="100" t="str">
        <f t="shared" si="355"/>
        <v/>
      </c>
      <c r="GKY118" s="100" t="str">
        <f t="shared" si="355"/>
        <v/>
      </c>
      <c r="GKZ118" s="100" t="str">
        <f t="shared" si="355"/>
        <v/>
      </c>
      <c r="GLA118" s="100" t="str">
        <f t="shared" si="355"/>
        <v/>
      </c>
      <c r="GLB118" s="100" t="str">
        <f t="shared" si="355"/>
        <v/>
      </c>
      <c r="GLC118" s="100" t="str">
        <f t="shared" si="355"/>
        <v/>
      </c>
      <c r="GLD118" s="100" t="str">
        <f t="shared" si="355"/>
        <v/>
      </c>
      <c r="GLE118" s="100" t="str">
        <f t="shared" si="355"/>
        <v/>
      </c>
      <c r="GLF118" s="100" t="str">
        <f t="shared" si="355"/>
        <v/>
      </c>
      <c r="GLG118" s="100" t="str">
        <f t="shared" si="355"/>
        <v/>
      </c>
      <c r="GLH118" s="100" t="str">
        <f t="shared" si="355"/>
        <v/>
      </c>
      <c r="GLI118" s="100" t="str">
        <f t="shared" si="355"/>
        <v/>
      </c>
      <c r="GLJ118" s="100" t="str">
        <f t="shared" si="355"/>
        <v/>
      </c>
      <c r="GLK118" s="100" t="str">
        <f t="shared" si="355"/>
        <v/>
      </c>
      <c r="GLL118" s="100" t="str">
        <f t="shared" si="355"/>
        <v/>
      </c>
      <c r="GLM118" s="100" t="str">
        <f t="shared" si="355"/>
        <v/>
      </c>
      <c r="GLN118" s="100" t="str">
        <f t="shared" si="355"/>
        <v/>
      </c>
      <c r="GLO118" s="100" t="str">
        <f t="shared" si="355"/>
        <v/>
      </c>
      <c r="GLP118" s="100" t="str">
        <f t="shared" si="355"/>
        <v/>
      </c>
      <c r="GLQ118" s="100" t="str">
        <f t="shared" ref="GLQ118:GOB118" si="356">IFERROR(AVERAGE(GLQ6,GLQ16,GLQ25,GLQ34,GLQ42,GLQ54,GLQ62,GLQ70,GLQ78,GLQ86,GLQ94,GLQ102,GLQ110),"")</f>
        <v/>
      </c>
      <c r="GLR118" s="100" t="str">
        <f t="shared" si="356"/>
        <v/>
      </c>
      <c r="GLS118" s="100" t="str">
        <f t="shared" si="356"/>
        <v/>
      </c>
      <c r="GLT118" s="100" t="str">
        <f t="shared" si="356"/>
        <v/>
      </c>
      <c r="GLU118" s="100" t="str">
        <f t="shared" si="356"/>
        <v/>
      </c>
      <c r="GLV118" s="100" t="str">
        <f t="shared" si="356"/>
        <v/>
      </c>
      <c r="GLW118" s="100" t="str">
        <f t="shared" si="356"/>
        <v/>
      </c>
      <c r="GLX118" s="100" t="str">
        <f t="shared" si="356"/>
        <v/>
      </c>
      <c r="GLY118" s="100" t="str">
        <f t="shared" si="356"/>
        <v/>
      </c>
      <c r="GLZ118" s="100" t="str">
        <f t="shared" si="356"/>
        <v/>
      </c>
      <c r="GMA118" s="100" t="str">
        <f t="shared" si="356"/>
        <v/>
      </c>
      <c r="GMB118" s="100" t="str">
        <f t="shared" si="356"/>
        <v/>
      </c>
      <c r="GMC118" s="100" t="str">
        <f t="shared" si="356"/>
        <v/>
      </c>
      <c r="GMD118" s="100" t="str">
        <f t="shared" si="356"/>
        <v/>
      </c>
      <c r="GME118" s="100" t="str">
        <f t="shared" si="356"/>
        <v/>
      </c>
      <c r="GMF118" s="100" t="str">
        <f t="shared" si="356"/>
        <v/>
      </c>
      <c r="GMG118" s="100" t="str">
        <f t="shared" si="356"/>
        <v/>
      </c>
      <c r="GMH118" s="100" t="str">
        <f t="shared" si="356"/>
        <v/>
      </c>
      <c r="GMI118" s="100" t="str">
        <f t="shared" si="356"/>
        <v/>
      </c>
      <c r="GMJ118" s="100" t="str">
        <f t="shared" si="356"/>
        <v/>
      </c>
      <c r="GMK118" s="100" t="str">
        <f t="shared" si="356"/>
        <v/>
      </c>
      <c r="GML118" s="100" t="str">
        <f t="shared" si="356"/>
        <v/>
      </c>
      <c r="GMM118" s="100" t="str">
        <f t="shared" si="356"/>
        <v/>
      </c>
      <c r="GMN118" s="100" t="str">
        <f t="shared" si="356"/>
        <v/>
      </c>
      <c r="GMO118" s="100" t="str">
        <f t="shared" si="356"/>
        <v/>
      </c>
      <c r="GMP118" s="100" t="str">
        <f t="shared" si="356"/>
        <v/>
      </c>
      <c r="GMQ118" s="100" t="str">
        <f t="shared" si="356"/>
        <v/>
      </c>
      <c r="GMR118" s="100" t="str">
        <f t="shared" si="356"/>
        <v/>
      </c>
      <c r="GMS118" s="100" t="str">
        <f t="shared" si="356"/>
        <v/>
      </c>
      <c r="GMT118" s="100" t="str">
        <f t="shared" si="356"/>
        <v/>
      </c>
      <c r="GMU118" s="100" t="str">
        <f t="shared" si="356"/>
        <v/>
      </c>
      <c r="GMV118" s="100" t="str">
        <f t="shared" si="356"/>
        <v/>
      </c>
      <c r="GMW118" s="100" t="str">
        <f t="shared" si="356"/>
        <v/>
      </c>
      <c r="GMX118" s="100" t="str">
        <f t="shared" si="356"/>
        <v/>
      </c>
      <c r="GMY118" s="100" t="str">
        <f t="shared" si="356"/>
        <v/>
      </c>
      <c r="GMZ118" s="100" t="str">
        <f t="shared" si="356"/>
        <v/>
      </c>
      <c r="GNA118" s="100" t="str">
        <f t="shared" si="356"/>
        <v/>
      </c>
      <c r="GNB118" s="100" t="str">
        <f t="shared" si="356"/>
        <v/>
      </c>
      <c r="GNC118" s="100" t="str">
        <f t="shared" si="356"/>
        <v/>
      </c>
      <c r="GND118" s="100" t="str">
        <f t="shared" si="356"/>
        <v/>
      </c>
      <c r="GNE118" s="100" t="str">
        <f t="shared" si="356"/>
        <v/>
      </c>
      <c r="GNF118" s="100" t="str">
        <f t="shared" si="356"/>
        <v/>
      </c>
      <c r="GNG118" s="100" t="str">
        <f t="shared" si="356"/>
        <v/>
      </c>
      <c r="GNH118" s="100" t="str">
        <f t="shared" si="356"/>
        <v/>
      </c>
      <c r="GNI118" s="100" t="str">
        <f t="shared" si="356"/>
        <v/>
      </c>
      <c r="GNJ118" s="100" t="str">
        <f t="shared" si="356"/>
        <v/>
      </c>
      <c r="GNK118" s="100" t="str">
        <f t="shared" si="356"/>
        <v/>
      </c>
      <c r="GNL118" s="100" t="str">
        <f t="shared" si="356"/>
        <v/>
      </c>
      <c r="GNM118" s="100" t="str">
        <f t="shared" si="356"/>
        <v/>
      </c>
      <c r="GNN118" s="100" t="str">
        <f t="shared" si="356"/>
        <v/>
      </c>
      <c r="GNO118" s="100" t="str">
        <f t="shared" si="356"/>
        <v/>
      </c>
      <c r="GNP118" s="100" t="str">
        <f t="shared" si="356"/>
        <v/>
      </c>
      <c r="GNQ118" s="100" t="str">
        <f t="shared" si="356"/>
        <v/>
      </c>
      <c r="GNR118" s="100" t="str">
        <f t="shared" si="356"/>
        <v/>
      </c>
      <c r="GNS118" s="100" t="str">
        <f t="shared" si="356"/>
        <v/>
      </c>
      <c r="GNT118" s="100" t="str">
        <f t="shared" si="356"/>
        <v/>
      </c>
      <c r="GNU118" s="100" t="str">
        <f t="shared" si="356"/>
        <v/>
      </c>
      <c r="GNV118" s="100" t="str">
        <f t="shared" si="356"/>
        <v/>
      </c>
      <c r="GNW118" s="100" t="str">
        <f t="shared" si="356"/>
        <v/>
      </c>
      <c r="GNX118" s="100" t="str">
        <f t="shared" si="356"/>
        <v/>
      </c>
      <c r="GNY118" s="100" t="str">
        <f t="shared" si="356"/>
        <v/>
      </c>
      <c r="GNZ118" s="100" t="str">
        <f t="shared" si="356"/>
        <v/>
      </c>
      <c r="GOA118" s="100" t="str">
        <f t="shared" si="356"/>
        <v/>
      </c>
      <c r="GOB118" s="100" t="str">
        <f t="shared" si="356"/>
        <v/>
      </c>
      <c r="GOC118" s="100" t="str">
        <f t="shared" ref="GOC118:GQN118" si="357">IFERROR(AVERAGE(GOC6,GOC16,GOC25,GOC34,GOC42,GOC54,GOC62,GOC70,GOC78,GOC86,GOC94,GOC102,GOC110),"")</f>
        <v/>
      </c>
      <c r="GOD118" s="100" t="str">
        <f t="shared" si="357"/>
        <v/>
      </c>
      <c r="GOE118" s="100" t="str">
        <f t="shared" si="357"/>
        <v/>
      </c>
      <c r="GOF118" s="100" t="str">
        <f t="shared" si="357"/>
        <v/>
      </c>
      <c r="GOG118" s="100" t="str">
        <f t="shared" si="357"/>
        <v/>
      </c>
      <c r="GOH118" s="100" t="str">
        <f t="shared" si="357"/>
        <v/>
      </c>
      <c r="GOI118" s="100" t="str">
        <f t="shared" si="357"/>
        <v/>
      </c>
      <c r="GOJ118" s="100" t="str">
        <f t="shared" si="357"/>
        <v/>
      </c>
      <c r="GOK118" s="100" t="str">
        <f t="shared" si="357"/>
        <v/>
      </c>
      <c r="GOL118" s="100" t="str">
        <f t="shared" si="357"/>
        <v/>
      </c>
      <c r="GOM118" s="100" t="str">
        <f t="shared" si="357"/>
        <v/>
      </c>
      <c r="GON118" s="100" t="str">
        <f t="shared" si="357"/>
        <v/>
      </c>
      <c r="GOO118" s="100" t="str">
        <f t="shared" si="357"/>
        <v/>
      </c>
      <c r="GOP118" s="100" t="str">
        <f t="shared" si="357"/>
        <v/>
      </c>
      <c r="GOQ118" s="100" t="str">
        <f t="shared" si="357"/>
        <v/>
      </c>
      <c r="GOR118" s="100" t="str">
        <f t="shared" si="357"/>
        <v/>
      </c>
      <c r="GOS118" s="100" t="str">
        <f t="shared" si="357"/>
        <v/>
      </c>
      <c r="GOT118" s="100" t="str">
        <f t="shared" si="357"/>
        <v/>
      </c>
      <c r="GOU118" s="100" t="str">
        <f t="shared" si="357"/>
        <v/>
      </c>
      <c r="GOV118" s="100" t="str">
        <f t="shared" si="357"/>
        <v/>
      </c>
      <c r="GOW118" s="100" t="str">
        <f t="shared" si="357"/>
        <v/>
      </c>
      <c r="GOX118" s="100" t="str">
        <f t="shared" si="357"/>
        <v/>
      </c>
      <c r="GOY118" s="100" t="str">
        <f t="shared" si="357"/>
        <v/>
      </c>
      <c r="GOZ118" s="100" t="str">
        <f t="shared" si="357"/>
        <v/>
      </c>
      <c r="GPA118" s="100" t="str">
        <f t="shared" si="357"/>
        <v/>
      </c>
      <c r="GPB118" s="100" t="str">
        <f t="shared" si="357"/>
        <v/>
      </c>
      <c r="GPC118" s="100" t="str">
        <f t="shared" si="357"/>
        <v/>
      </c>
      <c r="GPD118" s="100" t="str">
        <f t="shared" si="357"/>
        <v/>
      </c>
      <c r="GPE118" s="100" t="str">
        <f t="shared" si="357"/>
        <v/>
      </c>
      <c r="GPF118" s="100" t="str">
        <f t="shared" si="357"/>
        <v/>
      </c>
      <c r="GPG118" s="100" t="str">
        <f t="shared" si="357"/>
        <v/>
      </c>
      <c r="GPH118" s="100" t="str">
        <f t="shared" si="357"/>
        <v/>
      </c>
      <c r="GPI118" s="100" t="str">
        <f t="shared" si="357"/>
        <v/>
      </c>
      <c r="GPJ118" s="100" t="str">
        <f t="shared" si="357"/>
        <v/>
      </c>
      <c r="GPK118" s="100" t="str">
        <f t="shared" si="357"/>
        <v/>
      </c>
      <c r="GPL118" s="100" t="str">
        <f t="shared" si="357"/>
        <v/>
      </c>
      <c r="GPM118" s="100" t="str">
        <f t="shared" si="357"/>
        <v/>
      </c>
      <c r="GPN118" s="100" t="str">
        <f t="shared" si="357"/>
        <v/>
      </c>
      <c r="GPO118" s="100" t="str">
        <f t="shared" si="357"/>
        <v/>
      </c>
      <c r="GPP118" s="100" t="str">
        <f t="shared" si="357"/>
        <v/>
      </c>
      <c r="GPQ118" s="100" t="str">
        <f t="shared" si="357"/>
        <v/>
      </c>
      <c r="GPR118" s="100" t="str">
        <f t="shared" si="357"/>
        <v/>
      </c>
      <c r="GPS118" s="100" t="str">
        <f t="shared" si="357"/>
        <v/>
      </c>
      <c r="GPT118" s="100" t="str">
        <f t="shared" si="357"/>
        <v/>
      </c>
      <c r="GPU118" s="100" t="str">
        <f t="shared" si="357"/>
        <v/>
      </c>
      <c r="GPV118" s="100" t="str">
        <f t="shared" si="357"/>
        <v/>
      </c>
      <c r="GPW118" s="100" t="str">
        <f t="shared" si="357"/>
        <v/>
      </c>
      <c r="GPX118" s="100" t="str">
        <f t="shared" si="357"/>
        <v/>
      </c>
      <c r="GPY118" s="100" t="str">
        <f t="shared" si="357"/>
        <v/>
      </c>
      <c r="GPZ118" s="100" t="str">
        <f t="shared" si="357"/>
        <v/>
      </c>
      <c r="GQA118" s="100" t="str">
        <f t="shared" si="357"/>
        <v/>
      </c>
      <c r="GQB118" s="100" t="str">
        <f t="shared" si="357"/>
        <v/>
      </c>
      <c r="GQC118" s="100" t="str">
        <f t="shared" si="357"/>
        <v/>
      </c>
      <c r="GQD118" s="100" t="str">
        <f t="shared" si="357"/>
        <v/>
      </c>
      <c r="GQE118" s="100" t="str">
        <f t="shared" si="357"/>
        <v/>
      </c>
      <c r="GQF118" s="100" t="str">
        <f t="shared" si="357"/>
        <v/>
      </c>
      <c r="GQG118" s="100" t="str">
        <f t="shared" si="357"/>
        <v/>
      </c>
      <c r="GQH118" s="100" t="str">
        <f t="shared" si="357"/>
        <v/>
      </c>
      <c r="GQI118" s="100" t="str">
        <f t="shared" si="357"/>
        <v/>
      </c>
      <c r="GQJ118" s="100" t="str">
        <f t="shared" si="357"/>
        <v/>
      </c>
      <c r="GQK118" s="100" t="str">
        <f t="shared" si="357"/>
        <v/>
      </c>
      <c r="GQL118" s="100" t="str">
        <f t="shared" si="357"/>
        <v/>
      </c>
      <c r="GQM118" s="100" t="str">
        <f t="shared" si="357"/>
        <v/>
      </c>
      <c r="GQN118" s="100" t="str">
        <f t="shared" si="357"/>
        <v/>
      </c>
      <c r="GQO118" s="100" t="str">
        <f t="shared" ref="GQO118:GSZ118" si="358">IFERROR(AVERAGE(GQO6,GQO16,GQO25,GQO34,GQO42,GQO54,GQO62,GQO70,GQO78,GQO86,GQO94,GQO102,GQO110),"")</f>
        <v/>
      </c>
      <c r="GQP118" s="100" t="str">
        <f t="shared" si="358"/>
        <v/>
      </c>
      <c r="GQQ118" s="100" t="str">
        <f t="shared" si="358"/>
        <v/>
      </c>
      <c r="GQR118" s="100" t="str">
        <f t="shared" si="358"/>
        <v/>
      </c>
      <c r="GQS118" s="100" t="str">
        <f t="shared" si="358"/>
        <v/>
      </c>
      <c r="GQT118" s="100" t="str">
        <f t="shared" si="358"/>
        <v/>
      </c>
      <c r="GQU118" s="100" t="str">
        <f t="shared" si="358"/>
        <v/>
      </c>
      <c r="GQV118" s="100" t="str">
        <f t="shared" si="358"/>
        <v/>
      </c>
      <c r="GQW118" s="100" t="str">
        <f t="shared" si="358"/>
        <v/>
      </c>
      <c r="GQX118" s="100" t="str">
        <f t="shared" si="358"/>
        <v/>
      </c>
      <c r="GQY118" s="100" t="str">
        <f t="shared" si="358"/>
        <v/>
      </c>
      <c r="GQZ118" s="100" t="str">
        <f t="shared" si="358"/>
        <v/>
      </c>
      <c r="GRA118" s="100" t="str">
        <f t="shared" si="358"/>
        <v/>
      </c>
      <c r="GRB118" s="100" t="str">
        <f t="shared" si="358"/>
        <v/>
      </c>
      <c r="GRC118" s="100" t="str">
        <f t="shared" si="358"/>
        <v/>
      </c>
      <c r="GRD118" s="100" t="str">
        <f t="shared" si="358"/>
        <v/>
      </c>
      <c r="GRE118" s="100" t="str">
        <f t="shared" si="358"/>
        <v/>
      </c>
      <c r="GRF118" s="100" t="str">
        <f t="shared" si="358"/>
        <v/>
      </c>
      <c r="GRG118" s="100" t="str">
        <f t="shared" si="358"/>
        <v/>
      </c>
      <c r="GRH118" s="100" t="str">
        <f t="shared" si="358"/>
        <v/>
      </c>
      <c r="GRI118" s="100" t="str">
        <f t="shared" si="358"/>
        <v/>
      </c>
      <c r="GRJ118" s="100" t="str">
        <f t="shared" si="358"/>
        <v/>
      </c>
      <c r="GRK118" s="100" t="str">
        <f t="shared" si="358"/>
        <v/>
      </c>
      <c r="GRL118" s="100" t="str">
        <f t="shared" si="358"/>
        <v/>
      </c>
      <c r="GRM118" s="100" t="str">
        <f t="shared" si="358"/>
        <v/>
      </c>
      <c r="GRN118" s="100" t="str">
        <f t="shared" si="358"/>
        <v/>
      </c>
      <c r="GRO118" s="100" t="str">
        <f t="shared" si="358"/>
        <v/>
      </c>
      <c r="GRP118" s="100" t="str">
        <f t="shared" si="358"/>
        <v/>
      </c>
      <c r="GRQ118" s="100" t="str">
        <f t="shared" si="358"/>
        <v/>
      </c>
      <c r="GRR118" s="100" t="str">
        <f t="shared" si="358"/>
        <v/>
      </c>
      <c r="GRS118" s="100" t="str">
        <f t="shared" si="358"/>
        <v/>
      </c>
      <c r="GRT118" s="100" t="str">
        <f t="shared" si="358"/>
        <v/>
      </c>
      <c r="GRU118" s="100" t="str">
        <f t="shared" si="358"/>
        <v/>
      </c>
      <c r="GRV118" s="100" t="str">
        <f t="shared" si="358"/>
        <v/>
      </c>
      <c r="GRW118" s="100" t="str">
        <f t="shared" si="358"/>
        <v/>
      </c>
      <c r="GRX118" s="100" t="str">
        <f t="shared" si="358"/>
        <v/>
      </c>
      <c r="GRY118" s="100" t="str">
        <f t="shared" si="358"/>
        <v/>
      </c>
      <c r="GRZ118" s="100" t="str">
        <f t="shared" si="358"/>
        <v/>
      </c>
      <c r="GSA118" s="100" t="str">
        <f t="shared" si="358"/>
        <v/>
      </c>
      <c r="GSB118" s="100" t="str">
        <f t="shared" si="358"/>
        <v/>
      </c>
      <c r="GSC118" s="100" t="str">
        <f t="shared" si="358"/>
        <v/>
      </c>
      <c r="GSD118" s="100" t="str">
        <f t="shared" si="358"/>
        <v/>
      </c>
      <c r="GSE118" s="100" t="str">
        <f t="shared" si="358"/>
        <v/>
      </c>
      <c r="GSF118" s="100" t="str">
        <f t="shared" si="358"/>
        <v/>
      </c>
      <c r="GSG118" s="100" t="str">
        <f t="shared" si="358"/>
        <v/>
      </c>
      <c r="GSH118" s="100" t="str">
        <f t="shared" si="358"/>
        <v/>
      </c>
      <c r="GSI118" s="100" t="str">
        <f t="shared" si="358"/>
        <v/>
      </c>
      <c r="GSJ118" s="100" t="str">
        <f t="shared" si="358"/>
        <v/>
      </c>
      <c r="GSK118" s="100" t="str">
        <f t="shared" si="358"/>
        <v/>
      </c>
      <c r="GSL118" s="100" t="str">
        <f t="shared" si="358"/>
        <v/>
      </c>
      <c r="GSM118" s="100" t="str">
        <f t="shared" si="358"/>
        <v/>
      </c>
      <c r="GSN118" s="100" t="str">
        <f t="shared" si="358"/>
        <v/>
      </c>
      <c r="GSO118" s="100" t="str">
        <f t="shared" si="358"/>
        <v/>
      </c>
      <c r="GSP118" s="100" t="str">
        <f t="shared" si="358"/>
        <v/>
      </c>
      <c r="GSQ118" s="100" t="str">
        <f t="shared" si="358"/>
        <v/>
      </c>
      <c r="GSR118" s="100" t="str">
        <f t="shared" si="358"/>
        <v/>
      </c>
      <c r="GSS118" s="100" t="str">
        <f t="shared" si="358"/>
        <v/>
      </c>
      <c r="GST118" s="100" t="str">
        <f t="shared" si="358"/>
        <v/>
      </c>
      <c r="GSU118" s="100" t="str">
        <f t="shared" si="358"/>
        <v/>
      </c>
      <c r="GSV118" s="100" t="str">
        <f t="shared" si="358"/>
        <v/>
      </c>
      <c r="GSW118" s="100" t="str">
        <f t="shared" si="358"/>
        <v/>
      </c>
      <c r="GSX118" s="100" t="str">
        <f t="shared" si="358"/>
        <v/>
      </c>
      <c r="GSY118" s="100" t="str">
        <f t="shared" si="358"/>
        <v/>
      </c>
      <c r="GSZ118" s="100" t="str">
        <f t="shared" si="358"/>
        <v/>
      </c>
      <c r="GTA118" s="100" t="str">
        <f t="shared" ref="GTA118:GVL118" si="359">IFERROR(AVERAGE(GTA6,GTA16,GTA25,GTA34,GTA42,GTA54,GTA62,GTA70,GTA78,GTA86,GTA94,GTA102,GTA110),"")</f>
        <v/>
      </c>
      <c r="GTB118" s="100" t="str">
        <f t="shared" si="359"/>
        <v/>
      </c>
      <c r="GTC118" s="100" t="str">
        <f t="shared" si="359"/>
        <v/>
      </c>
      <c r="GTD118" s="100" t="str">
        <f t="shared" si="359"/>
        <v/>
      </c>
      <c r="GTE118" s="100" t="str">
        <f t="shared" si="359"/>
        <v/>
      </c>
      <c r="GTF118" s="100" t="str">
        <f t="shared" si="359"/>
        <v/>
      </c>
      <c r="GTG118" s="100" t="str">
        <f t="shared" si="359"/>
        <v/>
      </c>
      <c r="GTH118" s="100" t="str">
        <f t="shared" si="359"/>
        <v/>
      </c>
      <c r="GTI118" s="100" t="str">
        <f t="shared" si="359"/>
        <v/>
      </c>
      <c r="GTJ118" s="100" t="str">
        <f t="shared" si="359"/>
        <v/>
      </c>
      <c r="GTK118" s="100" t="str">
        <f t="shared" si="359"/>
        <v/>
      </c>
      <c r="GTL118" s="100" t="str">
        <f t="shared" si="359"/>
        <v/>
      </c>
      <c r="GTM118" s="100" t="str">
        <f t="shared" si="359"/>
        <v/>
      </c>
      <c r="GTN118" s="100" t="str">
        <f t="shared" si="359"/>
        <v/>
      </c>
      <c r="GTO118" s="100" t="str">
        <f t="shared" si="359"/>
        <v/>
      </c>
      <c r="GTP118" s="100" t="str">
        <f t="shared" si="359"/>
        <v/>
      </c>
      <c r="GTQ118" s="100" t="str">
        <f t="shared" si="359"/>
        <v/>
      </c>
      <c r="GTR118" s="100" t="str">
        <f t="shared" si="359"/>
        <v/>
      </c>
      <c r="GTS118" s="100" t="str">
        <f t="shared" si="359"/>
        <v/>
      </c>
      <c r="GTT118" s="100" t="str">
        <f t="shared" si="359"/>
        <v/>
      </c>
      <c r="GTU118" s="100" t="str">
        <f t="shared" si="359"/>
        <v/>
      </c>
      <c r="GTV118" s="100" t="str">
        <f t="shared" si="359"/>
        <v/>
      </c>
      <c r="GTW118" s="100" t="str">
        <f t="shared" si="359"/>
        <v/>
      </c>
      <c r="GTX118" s="100" t="str">
        <f t="shared" si="359"/>
        <v/>
      </c>
      <c r="GTY118" s="100" t="str">
        <f t="shared" si="359"/>
        <v/>
      </c>
      <c r="GTZ118" s="100" t="str">
        <f t="shared" si="359"/>
        <v/>
      </c>
      <c r="GUA118" s="100" t="str">
        <f t="shared" si="359"/>
        <v/>
      </c>
      <c r="GUB118" s="100" t="str">
        <f t="shared" si="359"/>
        <v/>
      </c>
      <c r="GUC118" s="100" t="str">
        <f t="shared" si="359"/>
        <v/>
      </c>
      <c r="GUD118" s="100" t="str">
        <f t="shared" si="359"/>
        <v/>
      </c>
      <c r="GUE118" s="100" t="str">
        <f t="shared" si="359"/>
        <v/>
      </c>
      <c r="GUF118" s="100" t="str">
        <f t="shared" si="359"/>
        <v/>
      </c>
      <c r="GUG118" s="100" t="str">
        <f t="shared" si="359"/>
        <v/>
      </c>
      <c r="GUH118" s="100" t="str">
        <f t="shared" si="359"/>
        <v/>
      </c>
      <c r="GUI118" s="100" t="str">
        <f t="shared" si="359"/>
        <v/>
      </c>
      <c r="GUJ118" s="100" t="str">
        <f t="shared" si="359"/>
        <v/>
      </c>
      <c r="GUK118" s="100" t="str">
        <f t="shared" si="359"/>
        <v/>
      </c>
      <c r="GUL118" s="100" t="str">
        <f t="shared" si="359"/>
        <v/>
      </c>
      <c r="GUM118" s="100" t="str">
        <f t="shared" si="359"/>
        <v/>
      </c>
      <c r="GUN118" s="100" t="str">
        <f t="shared" si="359"/>
        <v/>
      </c>
      <c r="GUO118" s="100" t="str">
        <f t="shared" si="359"/>
        <v/>
      </c>
      <c r="GUP118" s="100" t="str">
        <f t="shared" si="359"/>
        <v/>
      </c>
      <c r="GUQ118" s="100" t="str">
        <f t="shared" si="359"/>
        <v/>
      </c>
      <c r="GUR118" s="100" t="str">
        <f t="shared" si="359"/>
        <v/>
      </c>
      <c r="GUS118" s="100" t="str">
        <f t="shared" si="359"/>
        <v/>
      </c>
      <c r="GUT118" s="100" t="str">
        <f t="shared" si="359"/>
        <v/>
      </c>
      <c r="GUU118" s="100" t="str">
        <f t="shared" si="359"/>
        <v/>
      </c>
      <c r="GUV118" s="100" t="str">
        <f t="shared" si="359"/>
        <v/>
      </c>
      <c r="GUW118" s="100" t="str">
        <f t="shared" si="359"/>
        <v/>
      </c>
      <c r="GUX118" s="100" t="str">
        <f t="shared" si="359"/>
        <v/>
      </c>
      <c r="GUY118" s="100" t="str">
        <f t="shared" si="359"/>
        <v/>
      </c>
      <c r="GUZ118" s="100" t="str">
        <f t="shared" si="359"/>
        <v/>
      </c>
      <c r="GVA118" s="100" t="str">
        <f t="shared" si="359"/>
        <v/>
      </c>
      <c r="GVB118" s="100" t="str">
        <f t="shared" si="359"/>
        <v/>
      </c>
      <c r="GVC118" s="100" t="str">
        <f t="shared" si="359"/>
        <v/>
      </c>
      <c r="GVD118" s="100" t="str">
        <f t="shared" si="359"/>
        <v/>
      </c>
      <c r="GVE118" s="100" t="str">
        <f t="shared" si="359"/>
        <v/>
      </c>
      <c r="GVF118" s="100" t="str">
        <f t="shared" si="359"/>
        <v/>
      </c>
      <c r="GVG118" s="100" t="str">
        <f t="shared" si="359"/>
        <v/>
      </c>
      <c r="GVH118" s="100" t="str">
        <f t="shared" si="359"/>
        <v/>
      </c>
      <c r="GVI118" s="100" t="str">
        <f t="shared" si="359"/>
        <v/>
      </c>
      <c r="GVJ118" s="100" t="str">
        <f t="shared" si="359"/>
        <v/>
      </c>
      <c r="GVK118" s="100" t="str">
        <f t="shared" si="359"/>
        <v/>
      </c>
      <c r="GVL118" s="100" t="str">
        <f t="shared" si="359"/>
        <v/>
      </c>
      <c r="GVM118" s="100" t="str">
        <f t="shared" ref="GVM118:GXX118" si="360">IFERROR(AVERAGE(GVM6,GVM16,GVM25,GVM34,GVM42,GVM54,GVM62,GVM70,GVM78,GVM86,GVM94,GVM102,GVM110),"")</f>
        <v/>
      </c>
      <c r="GVN118" s="100" t="str">
        <f t="shared" si="360"/>
        <v/>
      </c>
      <c r="GVO118" s="100" t="str">
        <f t="shared" si="360"/>
        <v/>
      </c>
      <c r="GVP118" s="100" t="str">
        <f t="shared" si="360"/>
        <v/>
      </c>
      <c r="GVQ118" s="100" t="str">
        <f t="shared" si="360"/>
        <v/>
      </c>
      <c r="GVR118" s="100" t="str">
        <f t="shared" si="360"/>
        <v/>
      </c>
      <c r="GVS118" s="100" t="str">
        <f t="shared" si="360"/>
        <v/>
      </c>
      <c r="GVT118" s="100" t="str">
        <f t="shared" si="360"/>
        <v/>
      </c>
      <c r="GVU118" s="100" t="str">
        <f t="shared" si="360"/>
        <v/>
      </c>
      <c r="GVV118" s="100" t="str">
        <f t="shared" si="360"/>
        <v/>
      </c>
      <c r="GVW118" s="100" t="str">
        <f t="shared" si="360"/>
        <v/>
      </c>
      <c r="GVX118" s="100" t="str">
        <f t="shared" si="360"/>
        <v/>
      </c>
      <c r="GVY118" s="100" t="str">
        <f t="shared" si="360"/>
        <v/>
      </c>
      <c r="GVZ118" s="100" t="str">
        <f t="shared" si="360"/>
        <v/>
      </c>
      <c r="GWA118" s="100" t="str">
        <f t="shared" si="360"/>
        <v/>
      </c>
      <c r="GWB118" s="100" t="str">
        <f t="shared" si="360"/>
        <v/>
      </c>
      <c r="GWC118" s="100" t="str">
        <f t="shared" si="360"/>
        <v/>
      </c>
      <c r="GWD118" s="100" t="str">
        <f t="shared" si="360"/>
        <v/>
      </c>
      <c r="GWE118" s="100" t="str">
        <f t="shared" si="360"/>
        <v/>
      </c>
      <c r="GWF118" s="100" t="str">
        <f t="shared" si="360"/>
        <v/>
      </c>
      <c r="GWG118" s="100" t="str">
        <f t="shared" si="360"/>
        <v/>
      </c>
      <c r="GWH118" s="100" t="str">
        <f t="shared" si="360"/>
        <v/>
      </c>
      <c r="GWI118" s="100" t="str">
        <f t="shared" si="360"/>
        <v/>
      </c>
      <c r="GWJ118" s="100" t="str">
        <f t="shared" si="360"/>
        <v/>
      </c>
      <c r="GWK118" s="100" t="str">
        <f t="shared" si="360"/>
        <v/>
      </c>
      <c r="GWL118" s="100" t="str">
        <f t="shared" si="360"/>
        <v/>
      </c>
      <c r="GWM118" s="100" t="str">
        <f t="shared" si="360"/>
        <v/>
      </c>
      <c r="GWN118" s="100" t="str">
        <f t="shared" si="360"/>
        <v/>
      </c>
      <c r="GWO118" s="100" t="str">
        <f t="shared" si="360"/>
        <v/>
      </c>
      <c r="GWP118" s="100" t="str">
        <f t="shared" si="360"/>
        <v/>
      </c>
      <c r="GWQ118" s="100" t="str">
        <f t="shared" si="360"/>
        <v/>
      </c>
      <c r="GWR118" s="100" t="str">
        <f t="shared" si="360"/>
        <v/>
      </c>
      <c r="GWS118" s="100" t="str">
        <f t="shared" si="360"/>
        <v/>
      </c>
      <c r="GWT118" s="100" t="str">
        <f t="shared" si="360"/>
        <v/>
      </c>
      <c r="GWU118" s="100" t="str">
        <f t="shared" si="360"/>
        <v/>
      </c>
      <c r="GWV118" s="100" t="str">
        <f t="shared" si="360"/>
        <v/>
      </c>
      <c r="GWW118" s="100" t="str">
        <f t="shared" si="360"/>
        <v/>
      </c>
      <c r="GWX118" s="100" t="str">
        <f t="shared" si="360"/>
        <v/>
      </c>
      <c r="GWY118" s="100" t="str">
        <f t="shared" si="360"/>
        <v/>
      </c>
      <c r="GWZ118" s="100" t="str">
        <f t="shared" si="360"/>
        <v/>
      </c>
      <c r="GXA118" s="100" t="str">
        <f t="shared" si="360"/>
        <v/>
      </c>
      <c r="GXB118" s="100" t="str">
        <f t="shared" si="360"/>
        <v/>
      </c>
      <c r="GXC118" s="100" t="str">
        <f t="shared" si="360"/>
        <v/>
      </c>
      <c r="GXD118" s="100" t="str">
        <f t="shared" si="360"/>
        <v/>
      </c>
      <c r="GXE118" s="100" t="str">
        <f t="shared" si="360"/>
        <v/>
      </c>
      <c r="GXF118" s="100" t="str">
        <f t="shared" si="360"/>
        <v/>
      </c>
      <c r="GXG118" s="100" t="str">
        <f t="shared" si="360"/>
        <v/>
      </c>
      <c r="GXH118" s="100" t="str">
        <f t="shared" si="360"/>
        <v/>
      </c>
      <c r="GXI118" s="100" t="str">
        <f t="shared" si="360"/>
        <v/>
      </c>
      <c r="GXJ118" s="100" t="str">
        <f t="shared" si="360"/>
        <v/>
      </c>
      <c r="GXK118" s="100" t="str">
        <f t="shared" si="360"/>
        <v/>
      </c>
      <c r="GXL118" s="100" t="str">
        <f t="shared" si="360"/>
        <v/>
      </c>
      <c r="GXM118" s="100" t="str">
        <f t="shared" si="360"/>
        <v/>
      </c>
      <c r="GXN118" s="100" t="str">
        <f t="shared" si="360"/>
        <v/>
      </c>
      <c r="GXO118" s="100" t="str">
        <f t="shared" si="360"/>
        <v/>
      </c>
      <c r="GXP118" s="100" t="str">
        <f t="shared" si="360"/>
        <v/>
      </c>
      <c r="GXQ118" s="100" t="str">
        <f t="shared" si="360"/>
        <v/>
      </c>
      <c r="GXR118" s="100" t="str">
        <f t="shared" si="360"/>
        <v/>
      </c>
      <c r="GXS118" s="100" t="str">
        <f t="shared" si="360"/>
        <v/>
      </c>
      <c r="GXT118" s="100" t="str">
        <f t="shared" si="360"/>
        <v/>
      </c>
      <c r="GXU118" s="100" t="str">
        <f t="shared" si="360"/>
        <v/>
      </c>
      <c r="GXV118" s="100" t="str">
        <f t="shared" si="360"/>
        <v/>
      </c>
      <c r="GXW118" s="100" t="str">
        <f t="shared" si="360"/>
        <v/>
      </c>
      <c r="GXX118" s="100" t="str">
        <f t="shared" si="360"/>
        <v/>
      </c>
      <c r="GXY118" s="100" t="str">
        <f t="shared" ref="GXY118:HAJ118" si="361">IFERROR(AVERAGE(GXY6,GXY16,GXY25,GXY34,GXY42,GXY54,GXY62,GXY70,GXY78,GXY86,GXY94,GXY102,GXY110),"")</f>
        <v/>
      </c>
      <c r="GXZ118" s="100" t="str">
        <f t="shared" si="361"/>
        <v/>
      </c>
      <c r="GYA118" s="100" t="str">
        <f t="shared" si="361"/>
        <v/>
      </c>
      <c r="GYB118" s="100" t="str">
        <f t="shared" si="361"/>
        <v/>
      </c>
      <c r="GYC118" s="100" t="str">
        <f t="shared" si="361"/>
        <v/>
      </c>
      <c r="GYD118" s="100" t="str">
        <f t="shared" si="361"/>
        <v/>
      </c>
      <c r="GYE118" s="100" t="str">
        <f t="shared" si="361"/>
        <v/>
      </c>
      <c r="GYF118" s="100" t="str">
        <f t="shared" si="361"/>
        <v/>
      </c>
      <c r="GYG118" s="100" t="str">
        <f t="shared" si="361"/>
        <v/>
      </c>
      <c r="GYH118" s="100" t="str">
        <f t="shared" si="361"/>
        <v/>
      </c>
      <c r="GYI118" s="100" t="str">
        <f t="shared" si="361"/>
        <v/>
      </c>
      <c r="GYJ118" s="100" t="str">
        <f t="shared" si="361"/>
        <v/>
      </c>
      <c r="GYK118" s="100" t="str">
        <f t="shared" si="361"/>
        <v/>
      </c>
      <c r="GYL118" s="100" t="str">
        <f t="shared" si="361"/>
        <v/>
      </c>
      <c r="GYM118" s="100" t="str">
        <f t="shared" si="361"/>
        <v/>
      </c>
      <c r="GYN118" s="100" t="str">
        <f t="shared" si="361"/>
        <v/>
      </c>
      <c r="GYO118" s="100" t="str">
        <f t="shared" si="361"/>
        <v/>
      </c>
      <c r="GYP118" s="100" t="str">
        <f t="shared" si="361"/>
        <v/>
      </c>
      <c r="GYQ118" s="100" t="str">
        <f t="shared" si="361"/>
        <v/>
      </c>
      <c r="GYR118" s="100" t="str">
        <f t="shared" si="361"/>
        <v/>
      </c>
      <c r="GYS118" s="100" t="str">
        <f t="shared" si="361"/>
        <v/>
      </c>
      <c r="GYT118" s="100" t="str">
        <f t="shared" si="361"/>
        <v/>
      </c>
      <c r="GYU118" s="100" t="str">
        <f t="shared" si="361"/>
        <v/>
      </c>
      <c r="GYV118" s="100" t="str">
        <f t="shared" si="361"/>
        <v/>
      </c>
      <c r="GYW118" s="100" t="str">
        <f t="shared" si="361"/>
        <v/>
      </c>
      <c r="GYX118" s="100" t="str">
        <f t="shared" si="361"/>
        <v/>
      </c>
      <c r="GYY118" s="100" t="str">
        <f t="shared" si="361"/>
        <v/>
      </c>
      <c r="GYZ118" s="100" t="str">
        <f t="shared" si="361"/>
        <v/>
      </c>
      <c r="GZA118" s="100" t="str">
        <f t="shared" si="361"/>
        <v/>
      </c>
      <c r="GZB118" s="100" t="str">
        <f t="shared" si="361"/>
        <v/>
      </c>
      <c r="GZC118" s="100" t="str">
        <f t="shared" si="361"/>
        <v/>
      </c>
      <c r="GZD118" s="100" t="str">
        <f t="shared" si="361"/>
        <v/>
      </c>
      <c r="GZE118" s="100" t="str">
        <f t="shared" si="361"/>
        <v/>
      </c>
      <c r="GZF118" s="100" t="str">
        <f t="shared" si="361"/>
        <v/>
      </c>
      <c r="GZG118" s="100" t="str">
        <f t="shared" si="361"/>
        <v/>
      </c>
      <c r="GZH118" s="100" t="str">
        <f t="shared" si="361"/>
        <v/>
      </c>
      <c r="GZI118" s="100" t="str">
        <f t="shared" si="361"/>
        <v/>
      </c>
      <c r="GZJ118" s="100" t="str">
        <f t="shared" si="361"/>
        <v/>
      </c>
      <c r="GZK118" s="100" t="str">
        <f t="shared" si="361"/>
        <v/>
      </c>
      <c r="GZL118" s="100" t="str">
        <f t="shared" si="361"/>
        <v/>
      </c>
      <c r="GZM118" s="100" t="str">
        <f t="shared" si="361"/>
        <v/>
      </c>
      <c r="GZN118" s="100" t="str">
        <f t="shared" si="361"/>
        <v/>
      </c>
      <c r="GZO118" s="100" t="str">
        <f t="shared" si="361"/>
        <v/>
      </c>
      <c r="GZP118" s="100" t="str">
        <f t="shared" si="361"/>
        <v/>
      </c>
      <c r="GZQ118" s="100" t="str">
        <f t="shared" si="361"/>
        <v/>
      </c>
      <c r="GZR118" s="100" t="str">
        <f t="shared" si="361"/>
        <v/>
      </c>
      <c r="GZS118" s="100" t="str">
        <f t="shared" si="361"/>
        <v/>
      </c>
      <c r="GZT118" s="100" t="str">
        <f t="shared" si="361"/>
        <v/>
      </c>
      <c r="GZU118" s="100" t="str">
        <f t="shared" si="361"/>
        <v/>
      </c>
      <c r="GZV118" s="100" t="str">
        <f t="shared" si="361"/>
        <v/>
      </c>
      <c r="GZW118" s="100" t="str">
        <f t="shared" si="361"/>
        <v/>
      </c>
      <c r="GZX118" s="100" t="str">
        <f t="shared" si="361"/>
        <v/>
      </c>
      <c r="GZY118" s="100" t="str">
        <f t="shared" si="361"/>
        <v/>
      </c>
      <c r="GZZ118" s="100" t="str">
        <f t="shared" si="361"/>
        <v/>
      </c>
      <c r="HAA118" s="100" t="str">
        <f t="shared" si="361"/>
        <v/>
      </c>
      <c r="HAB118" s="100" t="str">
        <f t="shared" si="361"/>
        <v/>
      </c>
      <c r="HAC118" s="100" t="str">
        <f t="shared" si="361"/>
        <v/>
      </c>
      <c r="HAD118" s="100" t="str">
        <f t="shared" si="361"/>
        <v/>
      </c>
      <c r="HAE118" s="100" t="str">
        <f t="shared" si="361"/>
        <v/>
      </c>
      <c r="HAF118" s="100" t="str">
        <f t="shared" si="361"/>
        <v/>
      </c>
      <c r="HAG118" s="100" t="str">
        <f t="shared" si="361"/>
        <v/>
      </c>
      <c r="HAH118" s="100" t="str">
        <f t="shared" si="361"/>
        <v/>
      </c>
      <c r="HAI118" s="100" t="str">
        <f t="shared" si="361"/>
        <v/>
      </c>
      <c r="HAJ118" s="100" t="str">
        <f t="shared" si="361"/>
        <v/>
      </c>
      <c r="HAK118" s="100" t="str">
        <f t="shared" ref="HAK118:HCV118" si="362">IFERROR(AVERAGE(HAK6,HAK16,HAK25,HAK34,HAK42,HAK54,HAK62,HAK70,HAK78,HAK86,HAK94,HAK102,HAK110),"")</f>
        <v/>
      </c>
      <c r="HAL118" s="100" t="str">
        <f t="shared" si="362"/>
        <v/>
      </c>
      <c r="HAM118" s="100" t="str">
        <f t="shared" si="362"/>
        <v/>
      </c>
      <c r="HAN118" s="100" t="str">
        <f t="shared" si="362"/>
        <v/>
      </c>
      <c r="HAO118" s="100" t="str">
        <f t="shared" si="362"/>
        <v/>
      </c>
      <c r="HAP118" s="100" t="str">
        <f t="shared" si="362"/>
        <v/>
      </c>
      <c r="HAQ118" s="100" t="str">
        <f t="shared" si="362"/>
        <v/>
      </c>
      <c r="HAR118" s="100" t="str">
        <f t="shared" si="362"/>
        <v/>
      </c>
      <c r="HAS118" s="100" t="str">
        <f t="shared" si="362"/>
        <v/>
      </c>
      <c r="HAT118" s="100" t="str">
        <f t="shared" si="362"/>
        <v/>
      </c>
      <c r="HAU118" s="100" t="str">
        <f t="shared" si="362"/>
        <v/>
      </c>
      <c r="HAV118" s="100" t="str">
        <f t="shared" si="362"/>
        <v/>
      </c>
      <c r="HAW118" s="100" t="str">
        <f t="shared" si="362"/>
        <v/>
      </c>
      <c r="HAX118" s="100" t="str">
        <f t="shared" si="362"/>
        <v/>
      </c>
      <c r="HAY118" s="100" t="str">
        <f t="shared" si="362"/>
        <v/>
      </c>
      <c r="HAZ118" s="100" t="str">
        <f t="shared" si="362"/>
        <v/>
      </c>
      <c r="HBA118" s="100" t="str">
        <f t="shared" si="362"/>
        <v/>
      </c>
      <c r="HBB118" s="100" t="str">
        <f t="shared" si="362"/>
        <v/>
      </c>
      <c r="HBC118" s="100" t="str">
        <f t="shared" si="362"/>
        <v/>
      </c>
      <c r="HBD118" s="100" t="str">
        <f t="shared" si="362"/>
        <v/>
      </c>
      <c r="HBE118" s="100" t="str">
        <f t="shared" si="362"/>
        <v/>
      </c>
      <c r="HBF118" s="100" t="str">
        <f t="shared" si="362"/>
        <v/>
      </c>
      <c r="HBG118" s="100" t="str">
        <f t="shared" si="362"/>
        <v/>
      </c>
      <c r="HBH118" s="100" t="str">
        <f t="shared" si="362"/>
        <v/>
      </c>
      <c r="HBI118" s="100" t="str">
        <f t="shared" si="362"/>
        <v/>
      </c>
      <c r="HBJ118" s="100" t="str">
        <f t="shared" si="362"/>
        <v/>
      </c>
      <c r="HBK118" s="100" t="str">
        <f t="shared" si="362"/>
        <v/>
      </c>
      <c r="HBL118" s="100" t="str">
        <f t="shared" si="362"/>
        <v/>
      </c>
      <c r="HBM118" s="100" t="str">
        <f t="shared" si="362"/>
        <v/>
      </c>
      <c r="HBN118" s="100" t="str">
        <f t="shared" si="362"/>
        <v/>
      </c>
      <c r="HBO118" s="100" t="str">
        <f t="shared" si="362"/>
        <v/>
      </c>
      <c r="HBP118" s="100" t="str">
        <f t="shared" si="362"/>
        <v/>
      </c>
      <c r="HBQ118" s="100" t="str">
        <f t="shared" si="362"/>
        <v/>
      </c>
      <c r="HBR118" s="100" t="str">
        <f t="shared" si="362"/>
        <v/>
      </c>
      <c r="HBS118" s="100" t="str">
        <f t="shared" si="362"/>
        <v/>
      </c>
      <c r="HBT118" s="100" t="str">
        <f t="shared" si="362"/>
        <v/>
      </c>
      <c r="HBU118" s="100" t="str">
        <f t="shared" si="362"/>
        <v/>
      </c>
      <c r="HBV118" s="100" t="str">
        <f t="shared" si="362"/>
        <v/>
      </c>
      <c r="HBW118" s="100" t="str">
        <f t="shared" si="362"/>
        <v/>
      </c>
      <c r="HBX118" s="100" t="str">
        <f t="shared" si="362"/>
        <v/>
      </c>
      <c r="HBY118" s="100" t="str">
        <f t="shared" si="362"/>
        <v/>
      </c>
      <c r="HBZ118" s="100" t="str">
        <f t="shared" si="362"/>
        <v/>
      </c>
      <c r="HCA118" s="100" t="str">
        <f t="shared" si="362"/>
        <v/>
      </c>
      <c r="HCB118" s="100" t="str">
        <f t="shared" si="362"/>
        <v/>
      </c>
      <c r="HCC118" s="100" t="str">
        <f t="shared" si="362"/>
        <v/>
      </c>
      <c r="HCD118" s="100" t="str">
        <f t="shared" si="362"/>
        <v/>
      </c>
      <c r="HCE118" s="100" t="str">
        <f t="shared" si="362"/>
        <v/>
      </c>
      <c r="HCF118" s="100" t="str">
        <f t="shared" si="362"/>
        <v/>
      </c>
      <c r="HCG118" s="100" t="str">
        <f t="shared" si="362"/>
        <v/>
      </c>
      <c r="HCH118" s="100" t="str">
        <f t="shared" si="362"/>
        <v/>
      </c>
      <c r="HCI118" s="100" t="str">
        <f t="shared" si="362"/>
        <v/>
      </c>
      <c r="HCJ118" s="100" t="str">
        <f t="shared" si="362"/>
        <v/>
      </c>
      <c r="HCK118" s="100" t="str">
        <f t="shared" si="362"/>
        <v/>
      </c>
      <c r="HCL118" s="100" t="str">
        <f t="shared" si="362"/>
        <v/>
      </c>
      <c r="HCM118" s="100" t="str">
        <f t="shared" si="362"/>
        <v/>
      </c>
      <c r="HCN118" s="100" t="str">
        <f t="shared" si="362"/>
        <v/>
      </c>
      <c r="HCO118" s="100" t="str">
        <f t="shared" si="362"/>
        <v/>
      </c>
      <c r="HCP118" s="100" t="str">
        <f t="shared" si="362"/>
        <v/>
      </c>
      <c r="HCQ118" s="100" t="str">
        <f t="shared" si="362"/>
        <v/>
      </c>
      <c r="HCR118" s="100" t="str">
        <f t="shared" si="362"/>
        <v/>
      </c>
      <c r="HCS118" s="100" t="str">
        <f t="shared" si="362"/>
        <v/>
      </c>
      <c r="HCT118" s="100" t="str">
        <f t="shared" si="362"/>
        <v/>
      </c>
      <c r="HCU118" s="100" t="str">
        <f t="shared" si="362"/>
        <v/>
      </c>
      <c r="HCV118" s="100" t="str">
        <f t="shared" si="362"/>
        <v/>
      </c>
      <c r="HCW118" s="100" t="str">
        <f t="shared" ref="HCW118:HFH118" si="363">IFERROR(AVERAGE(HCW6,HCW16,HCW25,HCW34,HCW42,HCW54,HCW62,HCW70,HCW78,HCW86,HCW94,HCW102,HCW110),"")</f>
        <v/>
      </c>
      <c r="HCX118" s="100" t="str">
        <f t="shared" si="363"/>
        <v/>
      </c>
      <c r="HCY118" s="100" t="str">
        <f t="shared" si="363"/>
        <v/>
      </c>
      <c r="HCZ118" s="100" t="str">
        <f t="shared" si="363"/>
        <v/>
      </c>
      <c r="HDA118" s="100" t="str">
        <f t="shared" si="363"/>
        <v/>
      </c>
      <c r="HDB118" s="100" t="str">
        <f t="shared" si="363"/>
        <v/>
      </c>
      <c r="HDC118" s="100" t="str">
        <f t="shared" si="363"/>
        <v/>
      </c>
      <c r="HDD118" s="100" t="str">
        <f t="shared" si="363"/>
        <v/>
      </c>
      <c r="HDE118" s="100" t="str">
        <f t="shared" si="363"/>
        <v/>
      </c>
      <c r="HDF118" s="100" t="str">
        <f t="shared" si="363"/>
        <v/>
      </c>
      <c r="HDG118" s="100" t="str">
        <f t="shared" si="363"/>
        <v/>
      </c>
      <c r="HDH118" s="100" t="str">
        <f t="shared" si="363"/>
        <v/>
      </c>
      <c r="HDI118" s="100" t="str">
        <f t="shared" si="363"/>
        <v/>
      </c>
      <c r="HDJ118" s="100" t="str">
        <f t="shared" si="363"/>
        <v/>
      </c>
      <c r="HDK118" s="100" t="str">
        <f t="shared" si="363"/>
        <v/>
      </c>
      <c r="HDL118" s="100" t="str">
        <f t="shared" si="363"/>
        <v/>
      </c>
      <c r="HDM118" s="100" t="str">
        <f t="shared" si="363"/>
        <v/>
      </c>
      <c r="HDN118" s="100" t="str">
        <f t="shared" si="363"/>
        <v/>
      </c>
      <c r="HDO118" s="100" t="str">
        <f t="shared" si="363"/>
        <v/>
      </c>
      <c r="HDP118" s="100" t="str">
        <f t="shared" si="363"/>
        <v/>
      </c>
      <c r="HDQ118" s="100" t="str">
        <f t="shared" si="363"/>
        <v/>
      </c>
      <c r="HDR118" s="100" t="str">
        <f t="shared" si="363"/>
        <v/>
      </c>
      <c r="HDS118" s="100" t="str">
        <f t="shared" si="363"/>
        <v/>
      </c>
      <c r="HDT118" s="100" t="str">
        <f t="shared" si="363"/>
        <v/>
      </c>
      <c r="HDU118" s="100" t="str">
        <f t="shared" si="363"/>
        <v/>
      </c>
      <c r="HDV118" s="100" t="str">
        <f t="shared" si="363"/>
        <v/>
      </c>
      <c r="HDW118" s="100" t="str">
        <f t="shared" si="363"/>
        <v/>
      </c>
      <c r="HDX118" s="100" t="str">
        <f t="shared" si="363"/>
        <v/>
      </c>
      <c r="HDY118" s="100" t="str">
        <f t="shared" si="363"/>
        <v/>
      </c>
      <c r="HDZ118" s="100" t="str">
        <f t="shared" si="363"/>
        <v/>
      </c>
      <c r="HEA118" s="100" t="str">
        <f t="shared" si="363"/>
        <v/>
      </c>
      <c r="HEB118" s="100" t="str">
        <f t="shared" si="363"/>
        <v/>
      </c>
      <c r="HEC118" s="100" t="str">
        <f t="shared" si="363"/>
        <v/>
      </c>
      <c r="HED118" s="100" t="str">
        <f t="shared" si="363"/>
        <v/>
      </c>
      <c r="HEE118" s="100" t="str">
        <f t="shared" si="363"/>
        <v/>
      </c>
      <c r="HEF118" s="100" t="str">
        <f t="shared" si="363"/>
        <v/>
      </c>
      <c r="HEG118" s="100" t="str">
        <f t="shared" si="363"/>
        <v/>
      </c>
      <c r="HEH118" s="100" t="str">
        <f t="shared" si="363"/>
        <v/>
      </c>
      <c r="HEI118" s="100" t="str">
        <f t="shared" si="363"/>
        <v/>
      </c>
      <c r="HEJ118" s="100" t="str">
        <f t="shared" si="363"/>
        <v/>
      </c>
      <c r="HEK118" s="100" t="str">
        <f t="shared" si="363"/>
        <v/>
      </c>
      <c r="HEL118" s="100" t="str">
        <f t="shared" si="363"/>
        <v/>
      </c>
      <c r="HEM118" s="100" t="str">
        <f t="shared" si="363"/>
        <v/>
      </c>
      <c r="HEN118" s="100" t="str">
        <f t="shared" si="363"/>
        <v/>
      </c>
      <c r="HEO118" s="100" t="str">
        <f t="shared" si="363"/>
        <v/>
      </c>
      <c r="HEP118" s="100" t="str">
        <f t="shared" si="363"/>
        <v/>
      </c>
      <c r="HEQ118" s="100" t="str">
        <f t="shared" si="363"/>
        <v/>
      </c>
      <c r="HER118" s="100" t="str">
        <f t="shared" si="363"/>
        <v/>
      </c>
      <c r="HES118" s="100" t="str">
        <f t="shared" si="363"/>
        <v/>
      </c>
      <c r="HET118" s="100" t="str">
        <f t="shared" si="363"/>
        <v/>
      </c>
      <c r="HEU118" s="100" t="str">
        <f t="shared" si="363"/>
        <v/>
      </c>
      <c r="HEV118" s="100" t="str">
        <f t="shared" si="363"/>
        <v/>
      </c>
      <c r="HEW118" s="100" t="str">
        <f t="shared" si="363"/>
        <v/>
      </c>
      <c r="HEX118" s="100" t="str">
        <f t="shared" si="363"/>
        <v/>
      </c>
      <c r="HEY118" s="100" t="str">
        <f t="shared" si="363"/>
        <v/>
      </c>
      <c r="HEZ118" s="100" t="str">
        <f t="shared" si="363"/>
        <v/>
      </c>
      <c r="HFA118" s="100" t="str">
        <f t="shared" si="363"/>
        <v/>
      </c>
      <c r="HFB118" s="100" t="str">
        <f t="shared" si="363"/>
        <v/>
      </c>
      <c r="HFC118" s="100" t="str">
        <f t="shared" si="363"/>
        <v/>
      </c>
      <c r="HFD118" s="100" t="str">
        <f t="shared" si="363"/>
        <v/>
      </c>
      <c r="HFE118" s="100" t="str">
        <f t="shared" si="363"/>
        <v/>
      </c>
      <c r="HFF118" s="100" t="str">
        <f t="shared" si="363"/>
        <v/>
      </c>
      <c r="HFG118" s="100" t="str">
        <f t="shared" si="363"/>
        <v/>
      </c>
      <c r="HFH118" s="100" t="str">
        <f t="shared" si="363"/>
        <v/>
      </c>
      <c r="HFI118" s="100" t="str">
        <f t="shared" ref="HFI118:HHT118" si="364">IFERROR(AVERAGE(HFI6,HFI16,HFI25,HFI34,HFI42,HFI54,HFI62,HFI70,HFI78,HFI86,HFI94,HFI102,HFI110),"")</f>
        <v/>
      </c>
      <c r="HFJ118" s="100" t="str">
        <f t="shared" si="364"/>
        <v/>
      </c>
      <c r="HFK118" s="100" t="str">
        <f t="shared" si="364"/>
        <v/>
      </c>
      <c r="HFL118" s="100" t="str">
        <f t="shared" si="364"/>
        <v/>
      </c>
      <c r="HFM118" s="100" t="str">
        <f t="shared" si="364"/>
        <v/>
      </c>
      <c r="HFN118" s="100" t="str">
        <f t="shared" si="364"/>
        <v/>
      </c>
      <c r="HFO118" s="100" t="str">
        <f t="shared" si="364"/>
        <v/>
      </c>
      <c r="HFP118" s="100" t="str">
        <f t="shared" si="364"/>
        <v/>
      </c>
      <c r="HFQ118" s="100" t="str">
        <f t="shared" si="364"/>
        <v/>
      </c>
      <c r="HFR118" s="100" t="str">
        <f t="shared" si="364"/>
        <v/>
      </c>
      <c r="HFS118" s="100" t="str">
        <f t="shared" si="364"/>
        <v/>
      </c>
      <c r="HFT118" s="100" t="str">
        <f t="shared" si="364"/>
        <v/>
      </c>
      <c r="HFU118" s="100" t="str">
        <f t="shared" si="364"/>
        <v/>
      </c>
      <c r="HFV118" s="100" t="str">
        <f t="shared" si="364"/>
        <v/>
      </c>
      <c r="HFW118" s="100" t="str">
        <f t="shared" si="364"/>
        <v/>
      </c>
      <c r="HFX118" s="100" t="str">
        <f t="shared" si="364"/>
        <v/>
      </c>
      <c r="HFY118" s="100" t="str">
        <f t="shared" si="364"/>
        <v/>
      </c>
      <c r="HFZ118" s="100" t="str">
        <f t="shared" si="364"/>
        <v/>
      </c>
      <c r="HGA118" s="100" t="str">
        <f t="shared" si="364"/>
        <v/>
      </c>
      <c r="HGB118" s="100" t="str">
        <f t="shared" si="364"/>
        <v/>
      </c>
      <c r="HGC118" s="100" t="str">
        <f t="shared" si="364"/>
        <v/>
      </c>
      <c r="HGD118" s="100" t="str">
        <f t="shared" si="364"/>
        <v/>
      </c>
      <c r="HGE118" s="100" t="str">
        <f t="shared" si="364"/>
        <v/>
      </c>
      <c r="HGF118" s="100" t="str">
        <f t="shared" si="364"/>
        <v/>
      </c>
      <c r="HGG118" s="100" t="str">
        <f t="shared" si="364"/>
        <v/>
      </c>
      <c r="HGH118" s="100" t="str">
        <f t="shared" si="364"/>
        <v/>
      </c>
      <c r="HGI118" s="100" t="str">
        <f t="shared" si="364"/>
        <v/>
      </c>
      <c r="HGJ118" s="100" t="str">
        <f t="shared" si="364"/>
        <v/>
      </c>
      <c r="HGK118" s="100" t="str">
        <f t="shared" si="364"/>
        <v/>
      </c>
      <c r="HGL118" s="100" t="str">
        <f t="shared" si="364"/>
        <v/>
      </c>
      <c r="HGM118" s="100" t="str">
        <f t="shared" si="364"/>
        <v/>
      </c>
      <c r="HGN118" s="100" t="str">
        <f t="shared" si="364"/>
        <v/>
      </c>
      <c r="HGO118" s="100" t="str">
        <f t="shared" si="364"/>
        <v/>
      </c>
      <c r="HGP118" s="100" t="str">
        <f t="shared" si="364"/>
        <v/>
      </c>
      <c r="HGQ118" s="100" t="str">
        <f t="shared" si="364"/>
        <v/>
      </c>
      <c r="HGR118" s="100" t="str">
        <f t="shared" si="364"/>
        <v/>
      </c>
      <c r="HGS118" s="100" t="str">
        <f t="shared" si="364"/>
        <v/>
      </c>
      <c r="HGT118" s="100" t="str">
        <f t="shared" si="364"/>
        <v/>
      </c>
      <c r="HGU118" s="100" t="str">
        <f t="shared" si="364"/>
        <v/>
      </c>
      <c r="HGV118" s="100" t="str">
        <f t="shared" si="364"/>
        <v/>
      </c>
      <c r="HGW118" s="100" t="str">
        <f t="shared" si="364"/>
        <v/>
      </c>
      <c r="HGX118" s="100" t="str">
        <f t="shared" si="364"/>
        <v/>
      </c>
      <c r="HGY118" s="100" t="str">
        <f t="shared" si="364"/>
        <v/>
      </c>
      <c r="HGZ118" s="100" t="str">
        <f t="shared" si="364"/>
        <v/>
      </c>
      <c r="HHA118" s="100" t="str">
        <f t="shared" si="364"/>
        <v/>
      </c>
      <c r="HHB118" s="100" t="str">
        <f t="shared" si="364"/>
        <v/>
      </c>
      <c r="HHC118" s="100" t="str">
        <f t="shared" si="364"/>
        <v/>
      </c>
      <c r="HHD118" s="100" t="str">
        <f t="shared" si="364"/>
        <v/>
      </c>
      <c r="HHE118" s="100" t="str">
        <f t="shared" si="364"/>
        <v/>
      </c>
      <c r="HHF118" s="100" t="str">
        <f t="shared" si="364"/>
        <v/>
      </c>
      <c r="HHG118" s="100" t="str">
        <f t="shared" si="364"/>
        <v/>
      </c>
      <c r="HHH118" s="100" t="str">
        <f t="shared" si="364"/>
        <v/>
      </c>
      <c r="HHI118" s="100" t="str">
        <f t="shared" si="364"/>
        <v/>
      </c>
      <c r="HHJ118" s="100" t="str">
        <f t="shared" si="364"/>
        <v/>
      </c>
      <c r="HHK118" s="100" t="str">
        <f t="shared" si="364"/>
        <v/>
      </c>
      <c r="HHL118" s="100" t="str">
        <f t="shared" si="364"/>
        <v/>
      </c>
      <c r="HHM118" s="100" t="str">
        <f t="shared" si="364"/>
        <v/>
      </c>
      <c r="HHN118" s="100" t="str">
        <f t="shared" si="364"/>
        <v/>
      </c>
      <c r="HHO118" s="100" t="str">
        <f t="shared" si="364"/>
        <v/>
      </c>
      <c r="HHP118" s="100" t="str">
        <f t="shared" si="364"/>
        <v/>
      </c>
      <c r="HHQ118" s="100" t="str">
        <f t="shared" si="364"/>
        <v/>
      </c>
      <c r="HHR118" s="100" t="str">
        <f t="shared" si="364"/>
        <v/>
      </c>
      <c r="HHS118" s="100" t="str">
        <f t="shared" si="364"/>
        <v/>
      </c>
      <c r="HHT118" s="100" t="str">
        <f t="shared" si="364"/>
        <v/>
      </c>
      <c r="HHU118" s="100" t="str">
        <f t="shared" ref="HHU118:HKF118" si="365">IFERROR(AVERAGE(HHU6,HHU16,HHU25,HHU34,HHU42,HHU54,HHU62,HHU70,HHU78,HHU86,HHU94,HHU102,HHU110),"")</f>
        <v/>
      </c>
      <c r="HHV118" s="100" t="str">
        <f t="shared" si="365"/>
        <v/>
      </c>
      <c r="HHW118" s="100" t="str">
        <f t="shared" si="365"/>
        <v/>
      </c>
      <c r="HHX118" s="100" t="str">
        <f t="shared" si="365"/>
        <v/>
      </c>
      <c r="HHY118" s="100" t="str">
        <f t="shared" si="365"/>
        <v/>
      </c>
      <c r="HHZ118" s="100" t="str">
        <f t="shared" si="365"/>
        <v/>
      </c>
      <c r="HIA118" s="100" t="str">
        <f t="shared" si="365"/>
        <v/>
      </c>
      <c r="HIB118" s="100" t="str">
        <f t="shared" si="365"/>
        <v/>
      </c>
      <c r="HIC118" s="100" t="str">
        <f t="shared" si="365"/>
        <v/>
      </c>
      <c r="HID118" s="100" t="str">
        <f t="shared" si="365"/>
        <v/>
      </c>
      <c r="HIE118" s="100" t="str">
        <f t="shared" si="365"/>
        <v/>
      </c>
      <c r="HIF118" s="100" t="str">
        <f t="shared" si="365"/>
        <v/>
      </c>
      <c r="HIG118" s="100" t="str">
        <f t="shared" si="365"/>
        <v/>
      </c>
      <c r="HIH118" s="100" t="str">
        <f t="shared" si="365"/>
        <v/>
      </c>
      <c r="HII118" s="100" t="str">
        <f t="shared" si="365"/>
        <v/>
      </c>
      <c r="HIJ118" s="100" t="str">
        <f t="shared" si="365"/>
        <v/>
      </c>
      <c r="HIK118" s="100" t="str">
        <f t="shared" si="365"/>
        <v/>
      </c>
      <c r="HIL118" s="100" t="str">
        <f t="shared" si="365"/>
        <v/>
      </c>
      <c r="HIM118" s="100" t="str">
        <f t="shared" si="365"/>
        <v/>
      </c>
      <c r="HIN118" s="100" t="str">
        <f t="shared" si="365"/>
        <v/>
      </c>
      <c r="HIO118" s="100" t="str">
        <f t="shared" si="365"/>
        <v/>
      </c>
      <c r="HIP118" s="100" t="str">
        <f t="shared" si="365"/>
        <v/>
      </c>
      <c r="HIQ118" s="100" t="str">
        <f t="shared" si="365"/>
        <v/>
      </c>
      <c r="HIR118" s="100" t="str">
        <f t="shared" si="365"/>
        <v/>
      </c>
      <c r="HIS118" s="100" t="str">
        <f t="shared" si="365"/>
        <v/>
      </c>
      <c r="HIT118" s="100" t="str">
        <f t="shared" si="365"/>
        <v/>
      </c>
      <c r="HIU118" s="100" t="str">
        <f t="shared" si="365"/>
        <v/>
      </c>
      <c r="HIV118" s="100" t="str">
        <f t="shared" si="365"/>
        <v/>
      </c>
      <c r="HIW118" s="100" t="str">
        <f t="shared" si="365"/>
        <v/>
      </c>
      <c r="HIX118" s="100" t="str">
        <f t="shared" si="365"/>
        <v/>
      </c>
      <c r="HIY118" s="100" t="str">
        <f t="shared" si="365"/>
        <v/>
      </c>
      <c r="HIZ118" s="100" t="str">
        <f t="shared" si="365"/>
        <v/>
      </c>
      <c r="HJA118" s="100" t="str">
        <f t="shared" si="365"/>
        <v/>
      </c>
      <c r="HJB118" s="100" t="str">
        <f t="shared" si="365"/>
        <v/>
      </c>
      <c r="HJC118" s="100" t="str">
        <f t="shared" si="365"/>
        <v/>
      </c>
      <c r="HJD118" s="100" t="str">
        <f t="shared" si="365"/>
        <v/>
      </c>
      <c r="HJE118" s="100" t="str">
        <f t="shared" si="365"/>
        <v/>
      </c>
      <c r="HJF118" s="100" t="str">
        <f t="shared" si="365"/>
        <v/>
      </c>
      <c r="HJG118" s="100" t="str">
        <f t="shared" si="365"/>
        <v/>
      </c>
      <c r="HJH118" s="100" t="str">
        <f t="shared" si="365"/>
        <v/>
      </c>
      <c r="HJI118" s="100" t="str">
        <f t="shared" si="365"/>
        <v/>
      </c>
      <c r="HJJ118" s="100" t="str">
        <f t="shared" si="365"/>
        <v/>
      </c>
      <c r="HJK118" s="100" t="str">
        <f t="shared" si="365"/>
        <v/>
      </c>
      <c r="HJL118" s="100" t="str">
        <f t="shared" si="365"/>
        <v/>
      </c>
      <c r="HJM118" s="100" t="str">
        <f t="shared" si="365"/>
        <v/>
      </c>
      <c r="HJN118" s="100" t="str">
        <f t="shared" si="365"/>
        <v/>
      </c>
      <c r="HJO118" s="100" t="str">
        <f t="shared" si="365"/>
        <v/>
      </c>
      <c r="HJP118" s="100" t="str">
        <f t="shared" si="365"/>
        <v/>
      </c>
      <c r="HJQ118" s="100" t="str">
        <f t="shared" si="365"/>
        <v/>
      </c>
      <c r="HJR118" s="100" t="str">
        <f t="shared" si="365"/>
        <v/>
      </c>
      <c r="HJS118" s="100" t="str">
        <f t="shared" si="365"/>
        <v/>
      </c>
      <c r="HJT118" s="100" t="str">
        <f t="shared" si="365"/>
        <v/>
      </c>
      <c r="HJU118" s="100" t="str">
        <f t="shared" si="365"/>
        <v/>
      </c>
      <c r="HJV118" s="100" t="str">
        <f t="shared" si="365"/>
        <v/>
      </c>
      <c r="HJW118" s="100" t="str">
        <f t="shared" si="365"/>
        <v/>
      </c>
      <c r="HJX118" s="100" t="str">
        <f t="shared" si="365"/>
        <v/>
      </c>
      <c r="HJY118" s="100" t="str">
        <f t="shared" si="365"/>
        <v/>
      </c>
      <c r="HJZ118" s="100" t="str">
        <f t="shared" si="365"/>
        <v/>
      </c>
      <c r="HKA118" s="100" t="str">
        <f t="shared" si="365"/>
        <v/>
      </c>
      <c r="HKB118" s="100" t="str">
        <f t="shared" si="365"/>
        <v/>
      </c>
      <c r="HKC118" s="100" t="str">
        <f t="shared" si="365"/>
        <v/>
      </c>
      <c r="HKD118" s="100" t="str">
        <f t="shared" si="365"/>
        <v/>
      </c>
      <c r="HKE118" s="100" t="str">
        <f t="shared" si="365"/>
        <v/>
      </c>
      <c r="HKF118" s="100" t="str">
        <f t="shared" si="365"/>
        <v/>
      </c>
      <c r="HKG118" s="100" t="str">
        <f t="shared" ref="HKG118:HMR118" si="366">IFERROR(AVERAGE(HKG6,HKG16,HKG25,HKG34,HKG42,HKG54,HKG62,HKG70,HKG78,HKG86,HKG94,HKG102,HKG110),"")</f>
        <v/>
      </c>
      <c r="HKH118" s="100" t="str">
        <f t="shared" si="366"/>
        <v/>
      </c>
      <c r="HKI118" s="100" t="str">
        <f t="shared" si="366"/>
        <v/>
      </c>
      <c r="HKJ118" s="100" t="str">
        <f t="shared" si="366"/>
        <v/>
      </c>
      <c r="HKK118" s="100" t="str">
        <f t="shared" si="366"/>
        <v/>
      </c>
      <c r="HKL118" s="100" t="str">
        <f t="shared" si="366"/>
        <v/>
      </c>
      <c r="HKM118" s="100" t="str">
        <f t="shared" si="366"/>
        <v/>
      </c>
      <c r="HKN118" s="100" t="str">
        <f t="shared" si="366"/>
        <v/>
      </c>
      <c r="HKO118" s="100" t="str">
        <f t="shared" si="366"/>
        <v/>
      </c>
      <c r="HKP118" s="100" t="str">
        <f t="shared" si="366"/>
        <v/>
      </c>
      <c r="HKQ118" s="100" t="str">
        <f t="shared" si="366"/>
        <v/>
      </c>
      <c r="HKR118" s="100" t="str">
        <f t="shared" si="366"/>
        <v/>
      </c>
      <c r="HKS118" s="100" t="str">
        <f t="shared" si="366"/>
        <v/>
      </c>
      <c r="HKT118" s="100" t="str">
        <f t="shared" si="366"/>
        <v/>
      </c>
      <c r="HKU118" s="100" t="str">
        <f t="shared" si="366"/>
        <v/>
      </c>
      <c r="HKV118" s="100" t="str">
        <f t="shared" si="366"/>
        <v/>
      </c>
      <c r="HKW118" s="100" t="str">
        <f t="shared" si="366"/>
        <v/>
      </c>
      <c r="HKX118" s="100" t="str">
        <f t="shared" si="366"/>
        <v/>
      </c>
      <c r="HKY118" s="100" t="str">
        <f t="shared" si="366"/>
        <v/>
      </c>
      <c r="HKZ118" s="100" t="str">
        <f t="shared" si="366"/>
        <v/>
      </c>
      <c r="HLA118" s="100" t="str">
        <f t="shared" si="366"/>
        <v/>
      </c>
      <c r="HLB118" s="100" t="str">
        <f t="shared" si="366"/>
        <v/>
      </c>
      <c r="HLC118" s="100" t="str">
        <f t="shared" si="366"/>
        <v/>
      </c>
      <c r="HLD118" s="100" t="str">
        <f t="shared" si="366"/>
        <v/>
      </c>
      <c r="HLE118" s="100" t="str">
        <f t="shared" si="366"/>
        <v/>
      </c>
      <c r="HLF118" s="100" t="str">
        <f t="shared" si="366"/>
        <v/>
      </c>
      <c r="HLG118" s="100" t="str">
        <f t="shared" si="366"/>
        <v/>
      </c>
      <c r="HLH118" s="100" t="str">
        <f t="shared" si="366"/>
        <v/>
      </c>
      <c r="HLI118" s="100" t="str">
        <f t="shared" si="366"/>
        <v/>
      </c>
      <c r="HLJ118" s="100" t="str">
        <f t="shared" si="366"/>
        <v/>
      </c>
      <c r="HLK118" s="100" t="str">
        <f t="shared" si="366"/>
        <v/>
      </c>
      <c r="HLL118" s="100" t="str">
        <f t="shared" si="366"/>
        <v/>
      </c>
      <c r="HLM118" s="100" t="str">
        <f t="shared" si="366"/>
        <v/>
      </c>
      <c r="HLN118" s="100" t="str">
        <f t="shared" si="366"/>
        <v/>
      </c>
      <c r="HLO118" s="100" t="str">
        <f t="shared" si="366"/>
        <v/>
      </c>
      <c r="HLP118" s="100" t="str">
        <f t="shared" si="366"/>
        <v/>
      </c>
      <c r="HLQ118" s="100" t="str">
        <f t="shared" si="366"/>
        <v/>
      </c>
      <c r="HLR118" s="100" t="str">
        <f t="shared" si="366"/>
        <v/>
      </c>
      <c r="HLS118" s="100" t="str">
        <f t="shared" si="366"/>
        <v/>
      </c>
      <c r="HLT118" s="100" t="str">
        <f t="shared" si="366"/>
        <v/>
      </c>
      <c r="HLU118" s="100" t="str">
        <f t="shared" si="366"/>
        <v/>
      </c>
      <c r="HLV118" s="100" t="str">
        <f t="shared" si="366"/>
        <v/>
      </c>
      <c r="HLW118" s="100" t="str">
        <f t="shared" si="366"/>
        <v/>
      </c>
      <c r="HLX118" s="100" t="str">
        <f t="shared" si="366"/>
        <v/>
      </c>
      <c r="HLY118" s="100" t="str">
        <f t="shared" si="366"/>
        <v/>
      </c>
      <c r="HLZ118" s="100" t="str">
        <f t="shared" si="366"/>
        <v/>
      </c>
      <c r="HMA118" s="100" t="str">
        <f t="shared" si="366"/>
        <v/>
      </c>
      <c r="HMB118" s="100" t="str">
        <f t="shared" si="366"/>
        <v/>
      </c>
      <c r="HMC118" s="100" t="str">
        <f t="shared" si="366"/>
        <v/>
      </c>
      <c r="HMD118" s="100" t="str">
        <f t="shared" si="366"/>
        <v/>
      </c>
      <c r="HME118" s="100" t="str">
        <f t="shared" si="366"/>
        <v/>
      </c>
      <c r="HMF118" s="100" t="str">
        <f t="shared" si="366"/>
        <v/>
      </c>
      <c r="HMG118" s="100" t="str">
        <f t="shared" si="366"/>
        <v/>
      </c>
      <c r="HMH118" s="100" t="str">
        <f t="shared" si="366"/>
        <v/>
      </c>
      <c r="HMI118" s="100" t="str">
        <f t="shared" si="366"/>
        <v/>
      </c>
      <c r="HMJ118" s="100" t="str">
        <f t="shared" si="366"/>
        <v/>
      </c>
      <c r="HMK118" s="100" t="str">
        <f t="shared" si="366"/>
        <v/>
      </c>
      <c r="HML118" s="100" t="str">
        <f t="shared" si="366"/>
        <v/>
      </c>
      <c r="HMM118" s="100" t="str">
        <f t="shared" si="366"/>
        <v/>
      </c>
      <c r="HMN118" s="100" t="str">
        <f t="shared" si="366"/>
        <v/>
      </c>
      <c r="HMO118" s="100" t="str">
        <f t="shared" si="366"/>
        <v/>
      </c>
      <c r="HMP118" s="100" t="str">
        <f t="shared" si="366"/>
        <v/>
      </c>
      <c r="HMQ118" s="100" t="str">
        <f t="shared" si="366"/>
        <v/>
      </c>
      <c r="HMR118" s="100" t="str">
        <f t="shared" si="366"/>
        <v/>
      </c>
      <c r="HMS118" s="100" t="str">
        <f t="shared" ref="HMS118:HPD118" si="367">IFERROR(AVERAGE(HMS6,HMS16,HMS25,HMS34,HMS42,HMS54,HMS62,HMS70,HMS78,HMS86,HMS94,HMS102,HMS110),"")</f>
        <v/>
      </c>
      <c r="HMT118" s="100" t="str">
        <f t="shared" si="367"/>
        <v/>
      </c>
      <c r="HMU118" s="100" t="str">
        <f t="shared" si="367"/>
        <v/>
      </c>
      <c r="HMV118" s="100" t="str">
        <f t="shared" si="367"/>
        <v/>
      </c>
      <c r="HMW118" s="100" t="str">
        <f t="shared" si="367"/>
        <v/>
      </c>
      <c r="HMX118" s="100" t="str">
        <f t="shared" si="367"/>
        <v/>
      </c>
      <c r="HMY118" s="100" t="str">
        <f t="shared" si="367"/>
        <v/>
      </c>
      <c r="HMZ118" s="100" t="str">
        <f t="shared" si="367"/>
        <v/>
      </c>
      <c r="HNA118" s="100" t="str">
        <f t="shared" si="367"/>
        <v/>
      </c>
      <c r="HNB118" s="100" t="str">
        <f t="shared" si="367"/>
        <v/>
      </c>
      <c r="HNC118" s="100" t="str">
        <f t="shared" si="367"/>
        <v/>
      </c>
      <c r="HND118" s="100" t="str">
        <f t="shared" si="367"/>
        <v/>
      </c>
      <c r="HNE118" s="100" t="str">
        <f t="shared" si="367"/>
        <v/>
      </c>
      <c r="HNF118" s="100" t="str">
        <f t="shared" si="367"/>
        <v/>
      </c>
      <c r="HNG118" s="100" t="str">
        <f t="shared" si="367"/>
        <v/>
      </c>
      <c r="HNH118" s="100" t="str">
        <f t="shared" si="367"/>
        <v/>
      </c>
      <c r="HNI118" s="100" t="str">
        <f t="shared" si="367"/>
        <v/>
      </c>
      <c r="HNJ118" s="100" t="str">
        <f t="shared" si="367"/>
        <v/>
      </c>
      <c r="HNK118" s="100" t="str">
        <f t="shared" si="367"/>
        <v/>
      </c>
      <c r="HNL118" s="100" t="str">
        <f t="shared" si="367"/>
        <v/>
      </c>
      <c r="HNM118" s="100" t="str">
        <f t="shared" si="367"/>
        <v/>
      </c>
      <c r="HNN118" s="100" t="str">
        <f t="shared" si="367"/>
        <v/>
      </c>
      <c r="HNO118" s="100" t="str">
        <f t="shared" si="367"/>
        <v/>
      </c>
      <c r="HNP118" s="100" t="str">
        <f t="shared" si="367"/>
        <v/>
      </c>
      <c r="HNQ118" s="100" t="str">
        <f t="shared" si="367"/>
        <v/>
      </c>
      <c r="HNR118" s="100" t="str">
        <f t="shared" si="367"/>
        <v/>
      </c>
      <c r="HNS118" s="100" t="str">
        <f t="shared" si="367"/>
        <v/>
      </c>
      <c r="HNT118" s="100" t="str">
        <f t="shared" si="367"/>
        <v/>
      </c>
      <c r="HNU118" s="100" t="str">
        <f t="shared" si="367"/>
        <v/>
      </c>
      <c r="HNV118" s="100" t="str">
        <f t="shared" si="367"/>
        <v/>
      </c>
      <c r="HNW118" s="100" t="str">
        <f t="shared" si="367"/>
        <v/>
      </c>
      <c r="HNX118" s="100" t="str">
        <f t="shared" si="367"/>
        <v/>
      </c>
      <c r="HNY118" s="100" t="str">
        <f t="shared" si="367"/>
        <v/>
      </c>
      <c r="HNZ118" s="100" t="str">
        <f t="shared" si="367"/>
        <v/>
      </c>
      <c r="HOA118" s="100" t="str">
        <f t="shared" si="367"/>
        <v/>
      </c>
      <c r="HOB118" s="100" t="str">
        <f t="shared" si="367"/>
        <v/>
      </c>
      <c r="HOC118" s="100" t="str">
        <f t="shared" si="367"/>
        <v/>
      </c>
      <c r="HOD118" s="100" t="str">
        <f t="shared" si="367"/>
        <v/>
      </c>
      <c r="HOE118" s="100" t="str">
        <f t="shared" si="367"/>
        <v/>
      </c>
      <c r="HOF118" s="100" t="str">
        <f t="shared" si="367"/>
        <v/>
      </c>
      <c r="HOG118" s="100" t="str">
        <f t="shared" si="367"/>
        <v/>
      </c>
      <c r="HOH118" s="100" t="str">
        <f t="shared" si="367"/>
        <v/>
      </c>
      <c r="HOI118" s="100" t="str">
        <f t="shared" si="367"/>
        <v/>
      </c>
      <c r="HOJ118" s="100" t="str">
        <f t="shared" si="367"/>
        <v/>
      </c>
      <c r="HOK118" s="100" t="str">
        <f t="shared" si="367"/>
        <v/>
      </c>
      <c r="HOL118" s="100" t="str">
        <f t="shared" si="367"/>
        <v/>
      </c>
      <c r="HOM118" s="100" t="str">
        <f t="shared" si="367"/>
        <v/>
      </c>
      <c r="HON118" s="100" t="str">
        <f t="shared" si="367"/>
        <v/>
      </c>
      <c r="HOO118" s="100" t="str">
        <f t="shared" si="367"/>
        <v/>
      </c>
      <c r="HOP118" s="100" t="str">
        <f t="shared" si="367"/>
        <v/>
      </c>
      <c r="HOQ118" s="100" t="str">
        <f t="shared" si="367"/>
        <v/>
      </c>
      <c r="HOR118" s="100" t="str">
        <f t="shared" si="367"/>
        <v/>
      </c>
      <c r="HOS118" s="100" t="str">
        <f t="shared" si="367"/>
        <v/>
      </c>
      <c r="HOT118" s="100" t="str">
        <f t="shared" si="367"/>
        <v/>
      </c>
      <c r="HOU118" s="100" t="str">
        <f t="shared" si="367"/>
        <v/>
      </c>
      <c r="HOV118" s="100" t="str">
        <f t="shared" si="367"/>
        <v/>
      </c>
      <c r="HOW118" s="100" t="str">
        <f t="shared" si="367"/>
        <v/>
      </c>
      <c r="HOX118" s="100" t="str">
        <f t="shared" si="367"/>
        <v/>
      </c>
      <c r="HOY118" s="100" t="str">
        <f t="shared" si="367"/>
        <v/>
      </c>
      <c r="HOZ118" s="100" t="str">
        <f t="shared" si="367"/>
        <v/>
      </c>
      <c r="HPA118" s="100" t="str">
        <f t="shared" si="367"/>
        <v/>
      </c>
      <c r="HPB118" s="100" t="str">
        <f t="shared" si="367"/>
        <v/>
      </c>
      <c r="HPC118" s="100" t="str">
        <f t="shared" si="367"/>
        <v/>
      </c>
      <c r="HPD118" s="100" t="str">
        <f t="shared" si="367"/>
        <v/>
      </c>
      <c r="HPE118" s="100" t="str">
        <f t="shared" ref="HPE118:HRP118" si="368">IFERROR(AVERAGE(HPE6,HPE16,HPE25,HPE34,HPE42,HPE54,HPE62,HPE70,HPE78,HPE86,HPE94,HPE102,HPE110),"")</f>
        <v/>
      </c>
      <c r="HPF118" s="100" t="str">
        <f t="shared" si="368"/>
        <v/>
      </c>
      <c r="HPG118" s="100" t="str">
        <f t="shared" si="368"/>
        <v/>
      </c>
      <c r="HPH118" s="100" t="str">
        <f t="shared" si="368"/>
        <v/>
      </c>
      <c r="HPI118" s="100" t="str">
        <f t="shared" si="368"/>
        <v/>
      </c>
      <c r="HPJ118" s="100" t="str">
        <f t="shared" si="368"/>
        <v/>
      </c>
      <c r="HPK118" s="100" t="str">
        <f t="shared" si="368"/>
        <v/>
      </c>
      <c r="HPL118" s="100" t="str">
        <f t="shared" si="368"/>
        <v/>
      </c>
      <c r="HPM118" s="100" t="str">
        <f t="shared" si="368"/>
        <v/>
      </c>
      <c r="HPN118" s="100" t="str">
        <f t="shared" si="368"/>
        <v/>
      </c>
      <c r="HPO118" s="100" t="str">
        <f t="shared" si="368"/>
        <v/>
      </c>
      <c r="HPP118" s="100" t="str">
        <f t="shared" si="368"/>
        <v/>
      </c>
      <c r="HPQ118" s="100" t="str">
        <f t="shared" si="368"/>
        <v/>
      </c>
      <c r="HPR118" s="100" t="str">
        <f t="shared" si="368"/>
        <v/>
      </c>
      <c r="HPS118" s="100" t="str">
        <f t="shared" si="368"/>
        <v/>
      </c>
      <c r="HPT118" s="100" t="str">
        <f t="shared" si="368"/>
        <v/>
      </c>
      <c r="HPU118" s="100" t="str">
        <f t="shared" si="368"/>
        <v/>
      </c>
      <c r="HPV118" s="100" t="str">
        <f t="shared" si="368"/>
        <v/>
      </c>
      <c r="HPW118" s="100" t="str">
        <f t="shared" si="368"/>
        <v/>
      </c>
      <c r="HPX118" s="100" t="str">
        <f t="shared" si="368"/>
        <v/>
      </c>
      <c r="HPY118" s="100" t="str">
        <f t="shared" si="368"/>
        <v/>
      </c>
      <c r="HPZ118" s="100" t="str">
        <f t="shared" si="368"/>
        <v/>
      </c>
      <c r="HQA118" s="100" t="str">
        <f t="shared" si="368"/>
        <v/>
      </c>
      <c r="HQB118" s="100" t="str">
        <f t="shared" si="368"/>
        <v/>
      </c>
      <c r="HQC118" s="100" t="str">
        <f t="shared" si="368"/>
        <v/>
      </c>
      <c r="HQD118" s="100" t="str">
        <f t="shared" si="368"/>
        <v/>
      </c>
      <c r="HQE118" s="100" t="str">
        <f t="shared" si="368"/>
        <v/>
      </c>
      <c r="HQF118" s="100" t="str">
        <f t="shared" si="368"/>
        <v/>
      </c>
      <c r="HQG118" s="100" t="str">
        <f t="shared" si="368"/>
        <v/>
      </c>
      <c r="HQH118" s="100" t="str">
        <f t="shared" si="368"/>
        <v/>
      </c>
      <c r="HQI118" s="100" t="str">
        <f t="shared" si="368"/>
        <v/>
      </c>
      <c r="HQJ118" s="100" t="str">
        <f t="shared" si="368"/>
        <v/>
      </c>
      <c r="HQK118" s="100" t="str">
        <f t="shared" si="368"/>
        <v/>
      </c>
      <c r="HQL118" s="100" t="str">
        <f t="shared" si="368"/>
        <v/>
      </c>
      <c r="HQM118" s="100" t="str">
        <f t="shared" si="368"/>
        <v/>
      </c>
      <c r="HQN118" s="100" t="str">
        <f t="shared" si="368"/>
        <v/>
      </c>
      <c r="HQO118" s="100" t="str">
        <f t="shared" si="368"/>
        <v/>
      </c>
      <c r="HQP118" s="100" t="str">
        <f t="shared" si="368"/>
        <v/>
      </c>
      <c r="HQQ118" s="100" t="str">
        <f t="shared" si="368"/>
        <v/>
      </c>
      <c r="HQR118" s="100" t="str">
        <f t="shared" si="368"/>
        <v/>
      </c>
      <c r="HQS118" s="100" t="str">
        <f t="shared" si="368"/>
        <v/>
      </c>
      <c r="HQT118" s="100" t="str">
        <f t="shared" si="368"/>
        <v/>
      </c>
      <c r="HQU118" s="100" t="str">
        <f t="shared" si="368"/>
        <v/>
      </c>
      <c r="HQV118" s="100" t="str">
        <f t="shared" si="368"/>
        <v/>
      </c>
      <c r="HQW118" s="100" t="str">
        <f t="shared" si="368"/>
        <v/>
      </c>
      <c r="HQX118" s="100" t="str">
        <f t="shared" si="368"/>
        <v/>
      </c>
      <c r="HQY118" s="100" t="str">
        <f t="shared" si="368"/>
        <v/>
      </c>
      <c r="HQZ118" s="100" t="str">
        <f t="shared" si="368"/>
        <v/>
      </c>
      <c r="HRA118" s="100" t="str">
        <f t="shared" si="368"/>
        <v/>
      </c>
      <c r="HRB118" s="100" t="str">
        <f t="shared" si="368"/>
        <v/>
      </c>
      <c r="HRC118" s="100" t="str">
        <f t="shared" si="368"/>
        <v/>
      </c>
      <c r="HRD118" s="100" t="str">
        <f t="shared" si="368"/>
        <v/>
      </c>
      <c r="HRE118" s="100" t="str">
        <f t="shared" si="368"/>
        <v/>
      </c>
      <c r="HRF118" s="100" t="str">
        <f t="shared" si="368"/>
        <v/>
      </c>
      <c r="HRG118" s="100" t="str">
        <f t="shared" si="368"/>
        <v/>
      </c>
      <c r="HRH118" s="100" t="str">
        <f t="shared" si="368"/>
        <v/>
      </c>
      <c r="HRI118" s="100" t="str">
        <f t="shared" si="368"/>
        <v/>
      </c>
      <c r="HRJ118" s="100" t="str">
        <f t="shared" si="368"/>
        <v/>
      </c>
      <c r="HRK118" s="100" t="str">
        <f t="shared" si="368"/>
        <v/>
      </c>
      <c r="HRL118" s="100" t="str">
        <f t="shared" si="368"/>
        <v/>
      </c>
      <c r="HRM118" s="100" t="str">
        <f t="shared" si="368"/>
        <v/>
      </c>
      <c r="HRN118" s="100" t="str">
        <f t="shared" si="368"/>
        <v/>
      </c>
      <c r="HRO118" s="100" t="str">
        <f t="shared" si="368"/>
        <v/>
      </c>
      <c r="HRP118" s="100" t="str">
        <f t="shared" si="368"/>
        <v/>
      </c>
      <c r="HRQ118" s="100" t="str">
        <f t="shared" ref="HRQ118:HUB118" si="369">IFERROR(AVERAGE(HRQ6,HRQ16,HRQ25,HRQ34,HRQ42,HRQ54,HRQ62,HRQ70,HRQ78,HRQ86,HRQ94,HRQ102,HRQ110),"")</f>
        <v/>
      </c>
      <c r="HRR118" s="100" t="str">
        <f t="shared" si="369"/>
        <v/>
      </c>
      <c r="HRS118" s="100" t="str">
        <f t="shared" si="369"/>
        <v/>
      </c>
      <c r="HRT118" s="100" t="str">
        <f t="shared" si="369"/>
        <v/>
      </c>
      <c r="HRU118" s="100" t="str">
        <f t="shared" si="369"/>
        <v/>
      </c>
      <c r="HRV118" s="100" t="str">
        <f t="shared" si="369"/>
        <v/>
      </c>
      <c r="HRW118" s="100" t="str">
        <f t="shared" si="369"/>
        <v/>
      </c>
      <c r="HRX118" s="100" t="str">
        <f t="shared" si="369"/>
        <v/>
      </c>
      <c r="HRY118" s="100" t="str">
        <f t="shared" si="369"/>
        <v/>
      </c>
      <c r="HRZ118" s="100" t="str">
        <f t="shared" si="369"/>
        <v/>
      </c>
      <c r="HSA118" s="100" t="str">
        <f t="shared" si="369"/>
        <v/>
      </c>
      <c r="HSB118" s="100" t="str">
        <f t="shared" si="369"/>
        <v/>
      </c>
      <c r="HSC118" s="100" t="str">
        <f t="shared" si="369"/>
        <v/>
      </c>
      <c r="HSD118" s="100" t="str">
        <f t="shared" si="369"/>
        <v/>
      </c>
      <c r="HSE118" s="100" t="str">
        <f t="shared" si="369"/>
        <v/>
      </c>
      <c r="HSF118" s="100" t="str">
        <f t="shared" si="369"/>
        <v/>
      </c>
      <c r="HSG118" s="100" t="str">
        <f t="shared" si="369"/>
        <v/>
      </c>
      <c r="HSH118" s="100" t="str">
        <f t="shared" si="369"/>
        <v/>
      </c>
      <c r="HSI118" s="100" t="str">
        <f t="shared" si="369"/>
        <v/>
      </c>
      <c r="HSJ118" s="100" t="str">
        <f t="shared" si="369"/>
        <v/>
      </c>
      <c r="HSK118" s="100" t="str">
        <f t="shared" si="369"/>
        <v/>
      </c>
      <c r="HSL118" s="100" t="str">
        <f t="shared" si="369"/>
        <v/>
      </c>
      <c r="HSM118" s="100" t="str">
        <f t="shared" si="369"/>
        <v/>
      </c>
      <c r="HSN118" s="100" t="str">
        <f t="shared" si="369"/>
        <v/>
      </c>
      <c r="HSO118" s="100" t="str">
        <f t="shared" si="369"/>
        <v/>
      </c>
      <c r="HSP118" s="100" t="str">
        <f t="shared" si="369"/>
        <v/>
      </c>
      <c r="HSQ118" s="100" t="str">
        <f t="shared" si="369"/>
        <v/>
      </c>
      <c r="HSR118" s="100" t="str">
        <f t="shared" si="369"/>
        <v/>
      </c>
      <c r="HSS118" s="100" t="str">
        <f t="shared" si="369"/>
        <v/>
      </c>
      <c r="HST118" s="100" t="str">
        <f t="shared" si="369"/>
        <v/>
      </c>
      <c r="HSU118" s="100" t="str">
        <f t="shared" si="369"/>
        <v/>
      </c>
      <c r="HSV118" s="100" t="str">
        <f t="shared" si="369"/>
        <v/>
      </c>
      <c r="HSW118" s="100" t="str">
        <f t="shared" si="369"/>
        <v/>
      </c>
      <c r="HSX118" s="100" t="str">
        <f t="shared" si="369"/>
        <v/>
      </c>
      <c r="HSY118" s="100" t="str">
        <f t="shared" si="369"/>
        <v/>
      </c>
      <c r="HSZ118" s="100" t="str">
        <f t="shared" si="369"/>
        <v/>
      </c>
      <c r="HTA118" s="100" t="str">
        <f t="shared" si="369"/>
        <v/>
      </c>
      <c r="HTB118" s="100" t="str">
        <f t="shared" si="369"/>
        <v/>
      </c>
      <c r="HTC118" s="100" t="str">
        <f t="shared" si="369"/>
        <v/>
      </c>
      <c r="HTD118" s="100" t="str">
        <f t="shared" si="369"/>
        <v/>
      </c>
      <c r="HTE118" s="100" t="str">
        <f t="shared" si="369"/>
        <v/>
      </c>
      <c r="HTF118" s="100" t="str">
        <f t="shared" si="369"/>
        <v/>
      </c>
      <c r="HTG118" s="100" t="str">
        <f t="shared" si="369"/>
        <v/>
      </c>
      <c r="HTH118" s="100" t="str">
        <f t="shared" si="369"/>
        <v/>
      </c>
      <c r="HTI118" s="100" t="str">
        <f t="shared" si="369"/>
        <v/>
      </c>
      <c r="HTJ118" s="100" t="str">
        <f t="shared" si="369"/>
        <v/>
      </c>
      <c r="HTK118" s="100" t="str">
        <f t="shared" si="369"/>
        <v/>
      </c>
      <c r="HTL118" s="100" t="str">
        <f t="shared" si="369"/>
        <v/>
      </c>
      <c r="HTM118" s="100" t="str">
        <f t="shared" si="369"/>
        <v/>
      </c>
      <c r="HTN118" s="100" t="str">
        <f t="shared" si="369"/>
        <v/>
      </c>
      <c r="HTO118" s="100" t="str">
        <f t="shared" si="369"/>
        <v/>
      </c>
      <c r="HTP118" s="100" t="str">
        <f t="shared" si="369"/>
        <v/>
      </c>
      <c r="HTQ118" s="100" t="str">
        <f t="shared" si="369"/>
        <v/>
      </c>
      <c r="HTR118" s="100" t="str">
        <f t="shared" si="369"/>
        <v/>
      </c>
      <c r="HTS118" s="100" t="str">
        <f t="shared" si="369"/>
        <v/>
      </c>
      <c r="HTT118" s="100" t="str">
        <f t="shared" si="369"/>
        <v/>
      </c>
      <c r="HTU118" s="100" t="str">
        <f t="shared" si="369"/>
        <v/>
      </c>
      <c r="HTV118" s="100" t="str">
        <f t="shared" si="369"/>
        <v/>
      </c>
      <c r="HTW118" s="100" t="str">
        <f t="shared" si="369"/>
        <v/>
      </c>
      <c r="HTX118" s="100" t="str">
        <f t="shared" si="369"/>
        <v/>
      </c>
      <c r="HTY118" s="100" t="str">
        <f t="shared" si="369"/>
        <v/>
      </c>
      <c r="HTZ118" s="100" t="str">
        <f t="shared" si="369"/>
        <v/>
      </c>
      <c r="HUA118" s="100" t="str">
        <f t="shared" si="369"/>
        <v/>
      </c>
      <c r="HUB118" s="100" t="str">
        <f t="shared" si="369"/>
        <v/>
      </c>
      <c r="HUC118" s="100" t="str">
        <f t="shared" ref="HUC118:HWN118" si="370">IFERROR(AVERAGE(HUC6,HUC16,HUC25,HUC34,HUC42,HUC54,HUC62,HUC70,HUC78,HUC86,HUC94,HUC102,HUC110),"")</f>
        <v/>
      </c>
      <c r="HUD118" s="100" t="str">
        <f t="shared" si="370"/>
        <v/>
      </c>
      <c r="HUE118" s="100" t="str">
        <f t="shared" si="370"/>
        <v/>
      </c>
      <c r="HUF118" s="100" t="str">
        <f t="shared" si="370"/>
        <v/>
      </c>
      <c r="HUG118" s="100" t="str">
        <f t="shared" si="370"/>
        <v/>
      </c>
      <c r="HUH118" s="100" t="str">
        <f t="shared" si="370"/>
        <v/>
      </c>
      <c r="HUI118" s="100" t="str">
        <f t="shared" si="370"/>
        <v/>
      </c>
      <c r="HUJ118" s="100" t="str">
        <f t="shared" si="370"/>
        <v/>
      </c>
      <c r="HUK118" s="100" t="str">
        <f t="shared" si="370"/>
        <v/>
      </c>
      <c r="HUL118" s="100" t="str">
        <f t="shared" si="370"/>
        <v/>
      </c>
      <c r="HUM118" s="100" t="str">
        <f t="shared" si="370"/>
        <v/>
      </c>
      <c r="HUN118" s="100" t="str">
        <f t="shared" si="370"/>
        <v/>
      </c>
      <c r="HUO118" s="100" t="str">
        <f t="shared" si="370"/>
        <v/>
      </c>
      <c r="HUP118" s="100" t="str">
        <f t="shared" si="370"/>
        <v/>
      </c>
      <c r="HUQ118" s="100" t="str">
        <f t="shared" si="370"/>
        <v/>
      </c>
      <c r="HUR118" s="100" t="str">
        <f t="shared" si="370"/>
        <v/>
      </c>
      <c r="HUS118" s="100" t="str">
        <f t="shared" si="370"/>
        <v/>
      </c>
      <c r="HUT118" s="100" t="str">
        <f t="shared" si="370"/>
        <v/>
      </c>
      <c r="HUU118" s="100" t="str">
        <f t="shared" si="370"/>
        <v/>
      </c>
      <c r="HUV118" s="100" t="str">
        <f t="shared" si="370"/>
        <v/>
      </c>
      <c r="HUW118" s="100" t="str">
        <f t="shared" si="370"/>
        <v/>
      </c>
      <c r="HUX118" s="100" t="str">
        <f t="shared" si="370"/>
        <v/>
      </c>
      <c r="HUY118" s="100" t="str">
        <f t="shared" si="370"/>
        <v/>
      </c>
      <c r="HUZ118" s="100" t="str">
        <f t="shared" si="370"/>
        <v/>
      </c>
      <c r="HVA118" s="100" t="str">
        <f t="shared" si="370"/>
        <v/>
      </c>
      <c r="HVB118" s="100" t="str">
        <f t="shared" si="370"/>
        <v/>
      </c>
      <c r="HVC118" s="100" t="str">
        <f t="shared" si="370"/>
        <v/>
      </c>
      <c r="HVD118" s="100" t="str">
        <f t="shared" si="370"/>
        <v/>
      </c>
      <c r="HVE118" s="100" t="str">
        <f t="shared" si="370"/>
        <v/>
      </c>
      <c r="HVF118" s="100" t="str">
        <f t="shared" si="370"/>
        <v/>
      </c>
      <c r="HVG118" s="100" t="str">
        <f t="shared" si="370"/>
        <v/>
      </c>
      <c r="HVH118" s="100" t="str">
        <f t="shared" si="370"/>
        <v/>
      </c>
      <c r="HVI118" s="100" t="str">
        <f t="shared" si="370"/>
        <v/>
      </c>
      <c r="HVJ118" s="100" t="str">
        <f t="shared" si="370"/>
        <v/>
      </c>
      <c r="HVK118" s="100" t="str">
        <f t="shared" si="370"/>
        <v/>
      </c>
      <c r="HVL118" s="100" t="str">
        <f t="shared" si="370"/>
        <v/>
      </c>
      <c r="HVM118" s="100" t="str">
        <f t="shared" si="370"/>
        <v/>
      </c>
      <c r="HVN118" s="100" t="str">
        <f t="shared" si="370"/>
        <v/>
      </c>
      <c r="HVO118" s="100" t="str">
        <f t="shared" si="370"/>
        <v/>
      </c>
      <c r="HVP118" s="100" t="str">
        <f t="shared" si="370"/>
        <v/>
      </c>
      <c r="HVQ118" s="100" t="str">
        <f t="shared" si="370"/>
        <v/>
      </c>
      <c r="HVR118" s="100" t="str">
        <f t="shared" si="370"/>
        <v/>
      </c>
      <c r="HVS118" s="100" t="str">
        <f t="shared" si="370"/>
        <v/>
      </c>
      <c r="HVT118" s="100" t="str">
        <f t="shared" si="370"/>
        <v/>
      </c>
      <c r="HVU118" s="100" t="str">
        <f t="shared" si="370"/>
        <v/>
      </c>
      <c r="HVV118" s="100" t="str">
        <f t="shared" si="370"/>
        <v/>
      </c>
      <c r="HVW118" s="100" t="str">
        <f t="shared" si="370"/>
        <v/>
      </c>
      <c r="HVX118" s="100" t="str">
        <f t="shared" si="370"/>
        <v/>
      </c>
      <c r="HVY118" s="100" t="str">
        <f t="shared" si="370"/>
        <v/>
      </c>
      <c r="HVZ118" s="100" t="str">
        <f t="shared" si="370"/>
        <v/>
      </c>
      <c r="HWA118" s="100" t="str">
        <f t="shared" si="370"/>
        <v/>
      </c>
      <c r="HWB118" s="100" t="str">
        <f t="shared" si="370"/>
        <v/>
      </c>
      <c r="HWC118" s="100" t="str">
        <f t="shared" si="370"/>
        <v/>
      </c>
      <c r="HWD118" s="100" t="str">
        <f t="shared" si="370"/>
        <v/>
      </c>
      <c r="HWE118" s="100" t="str">
        <f t="shared" si="370"/>
        <v/>
      </c>
      <c r="HWF118" s="100" t="str">
        <f t="shared" si="370"/>
        <v/>
      </c>
      <c r="HWG118" s="100" t="str">
        <f t="shared" si="370"/>
        <v/>
      </c>
      <c r="HWH118" s="100" t="str">
        <f t="shared" si="370"/>
        <v/>
      </c>
      <c r="HWI118" s="100" t="str">
        <f t="shared" si="370"/>
        <v/>
      </c>
      <c r="HWJ118" s="100" t="str">
        <f t="shared" si="370"/>
        <v/>
      </c>
      <c r="HWK118" s="100" t="str">
        <f t="shared" si="370"/>
        <v/>
      </c>
      <c r="HWL118" s="100" t="str">
        <f t="shared" si="370"/>
        <v/>
      </c>
      <c r="HWM118" s="100" t="str">
        <f t="shared" si="370"/>
        <v/>
      </c>
      <c r="HWN118" s="100" t="str">
        <f t="shared" si="370"/>
        <v/>
      </c>
      <c r="HWO118" s="100" t="str">
        <f t="shared" ref="HWO118:HYZ118" si="371">IFERROR(AVERAGE(HWO6,HWO16,HWO25,HWO34,HWO42,HWO54,HWO62,HWO70,HWO78,HWO86,HWO94,HWO102,HWO110),"")</f>
        <v/>
      </c>
      <c r="HWP118" s="100" t="str">
        <f t="shared" si="371"/>
        <v/>
      </c>
      <c r="HWQ118" s="100" t="str">
        <f t="shared" si="371"/>
        <v/>
      </c>
      <c r="HWR118" s="100" t="str">
        <f t="shared" si="371"/>
        <v/>
      </c>
      <c r="HWS118" s="100" t="str">
        <f t="shared" si="371"/>
        <v/>
      </c>
      <c r="HWT118" s="100" t="str">
        <f t="shared" si="371"/>
        <v/>
      </c>
      <c r="HWU118" s="100" t="str">
        <f t="shared" si="371"/>
        <v/>
      </c>
      <c r="HWV118" s="100" t="str">
        <f t="shared" si="371"/>
        <v/>
      </c>
      <c r="HWW118" s="100" t="str">
        <f t="shared" si="371"/>
        <v/>
      </c>
      <c r="HWX118" s="100" t="str">
        <f t="shared" si="371"/>
        <v/>
      </c>
      <c r="HWY118" s="100" t="str">
        <f t="shared" si="371"/>
        <v/>
      </c>
      <c r="HWZ118" s="100" t="str">
        <f t="shared" si="371"/>
        <v/>
      </c>
      <c r="HXA118" s="100" t="str">
        <f t="shared" si="371"/>
        <v/>
      </c>
      <c r="HXB118" s="100" t="str">
        <f t="shared" si="371"/>
        <v/>
      </c>
      <c r="HXC118" s="100" t="str">
        <f t="shared" si="371"/>
        <v/>
      </c>
      <c r="HXD118" s="100" t="str">
        <f t="shared" si="371"/>
        <v/>
      </c>
      <c r="HXE118" s="100" t="str">
        <f t="shared" si="371"/>
        <v/>
      </c>
      <c r="HXF118" s="100" t="str">
        <f t="shared" si="371"/>
        <v/>
      </c>
      <c r="HXG118" s="100" t="str">
        <f t="shared" si="371"/>
        <v/>
      </c>
      <c r="HXH118" s="100" t="str">
        <f t="shared" si="371"/>
        <v/>
      </c>
      <c r="HXI118" s="100" t="str">
        <f t="shared" si="371"/>
        <v/>
      </c>
      <c r="HXJ118" s="100" t="str">
        <f t="shared" si="371"/>
        <v/>
      </c>
      <c r="HXK118" s="100" t="str">
        <f t="shared" si="371"/>
        <v/>
      </c>
      <c r="HXL118" s="100" t="str">
        <f t="shared" si="371"/>
        <v/>
      </c>
      <c r="HXM118" s="100" t="str">
        <f t="shared" si="371"/>
        <v/>
      </c>
      <c r="HXN118" s="100" t="str">
        <f t="shared" si="371"/>
        <v/>
      </c>
      <c r="HXO118" s="100" t="str">
        <f t="shared" si="371"/>
        <v/>
      </c>
      <c r="HXP118" s="100" t="str">
        <f t="shared" si="371"/>
        <v/>
      </c>
      <c r="HXQ118" s="100" t="str">
        <f t="shared" si="371"/>
        <v/>
      </c>
      <c r="HXR118" s="100" t="str">
        <f t="shared" si="371"/>
        <v/>
      </c>
      <c r="HXS118" s="100" t="str">
        <f t="shared" si="371"/>
        <v/>
      </c>
      <c r="HXT118" s="100" t="str">
        <f t="shared" si="371"/>
        <v/>
      </c>
      <c r="HXU118" s="100" t="str">
        <f t="shared" si="371"/>
        <v/>
      </c>
      <c r="HXV118" s="100" t="str">
        <f t="shared" si="371"/>
        <v/>
      </c>
      <c r="HXW118" s="100" t="str">
        <f t="shared" si="371"/>
        <v/>
      </c>
      <c r="HXX118" s="100" t="str">
        <f t="shared" si="371"/>
        <v/>
      </c>
      <c r="HXY118" s="100" t="str">
        <f t="shared" si="371"/>
        <v/>
      </c>
      <c r="HXZ118" s="100" t="str">
        <f t="shared" si="371"/>
        <v/>
      </c>
      <c r="HYA118" s="100" t="str">
        <f t="shared" si="371"/>
        <v/>
      </c>
      <c r="HYB118" s="100" t="str">
        <f t="shared" si="371"/>
        <v/>
      </c>
      <c r="HYC118" s="100" t="str">
        <f t="shared" si="371"/>
        <v/>
      </c>
      <c r="HYD118" s="100" t="str">
        <f t="shared" si="371"/>
        <v/>
      </c>
      <c r="HYE118" s="100" t="str">
        <f t="shared" si="371"/>
        <v/>
      </c>
      <c r="HYF118" s="100" t="str">
        <f t="shared" si="371"/>
        <v/>
      </c>
      <c r="HYG118" s="100" t="str">
        <f t="shared" si="371"/>
        <v/>
      </c>
      <c r="HYH118" s="100" t="str">
        <f t="shared" si="371"/>
        <v/>
      </c>
      <c r="HYI118" s="100" t="str">
        <f t="shared" si="371"/>
        <v/>
      </c>
      <c r="HYJ118" s="100" t="str">
        <f t="shared" si="371"/>
        <v/>
      </c>
      <c r="HYK118" s="100" t="str">
        <f t="shared" si="371"/>
        <v/>
      </c>
      <c r="HYL118" s="100" t="str">
        <f t="shared" si="371"/>
        <v/>
      </c>
      <c r="HYM118" s="100" t="str">
        <f t="shared" si="371"/>
        <v/>
      </c>
      <c r="HYN118" s="100" t="str">
        <f t="shared" si="371"/>
        <v/>
      </c>
      <c r="HYO118" s="100" t="str">
        <f t="shared" si="371"/>
        <v/>
      </c>
      <c r="HYP118" s="100" t="str">
        <f t="shared" si="371"/>
        <v/>
      </c>
      <c r="HYQ118" s="100" t="str">
        <f t="shared" si="371"/>
        <v/>
      </c>
      <c r="HYR118" s="100" t="str">
        <f t="shared" si="371"/>
        <v/>
      </c>
      <c r="HYS118" s="100" t="str">
        <f t="shared" si="371"/>
        <v/>
      </c>
      <c r="HYT118" s="100" t="str">
        <f t="shared" si="371"/>
        <v/>
      </c>
      <c r="HYU118" s="100" t="str">
        <f t="shared" si="371"/>
        <v/>
      </c>
      <c r="HYV118" s="100" t="str">
        <f t="shared" si="371"/>
        <v/>
      </c>
      <c r="HYW118" s="100" t="str">
        <f t="shared" si="371"/>
        <v/>
      </c>
      <c r="HYX118" s="100" t="str">
        <f t="shared" si="371"/>
        <v/>
      </c>
      <c r="HYY118" s="100" t="str">
        <f t="shared" si="371"/>
        <v/>
      </c>
      <c r="HYZ118" s="100" t="str">
        <f t="shared" si="371"/>
        <v/>
      </c>
      <c r="HZA118" s="100" t="str">
        <f t="shared" ref="HZA118:IBL118" si="372">IFERROR(AVERAGE(HZA6,HZA16,HZA25,HZA34,HZA42,HZA54,HZA62,HZA70,HZA78,HZA86,HZA94,HZA102,HZA110),"")</f>
        <v/>
      </c>
      <c r="HZB118" s="100" t="str">
        <f t="shared" si="372"/>
        <v/>
      </c>
      <c r="HZC118" s="100" t="str">
        <f t="shared" si="372"/>
        <v/>
      </c>
      <c r="HZD118" s="100" t="str">
        <f t="shared" si="372"/>
        <v/>
      </c>
      <c r="HZE118" s="100" t="str">
        <f t="shared" si="372"/>
        <v/>
      </c>
      <c r="HZF118" s="100" t="str">
        <f t="shared" si="372"/>
        <v/>
      </c>
      <c r="HZG118" s="100" t="str">
        <f t="shared" si="372"/>
        <v/>
      </c>
      <c r="HZH118" s="100" t="str">
        <f t="shared" si="372"/>
        <v/>
      </c>
      <c r="HZI118" s="100" t="str">
        <f t="shared" si="372"/>
        <v/>
      </c>
      <c r="HZJ118" s="100" t="str">
        <f t="shared" si="372"/>
        <v/>
      </c>
      <c r="HZK118" s="100" t="str">
        <f t="shared" si="372"/>
        <v/>
      </c>
      <c r="HZL118" s="100" t="str">
        <f t="shared" si="372"/>
        <v/>
      </c>
      <c r="HZM118" s="100" t="str">
        <f t="shared" si="372"/>
        <v/>
      </c>
      <c r="HZN118" s="100" t="str">
        <f t="shared" si="372"/>
        <v/>
      </c>
      <c r="HZO118" s="100" t="str">
        <f t="shared" si="372"/>
        <v/>
      </c>
      <c r="HZP118" s="100" t="str">
        <f t="shared" si="372"/>
        <v/>
      </c>
      <c r="HZQ118" s="100" t="str">
        <f t="shared" si="372"/>
        <v/>
      </c>
      <c r="HZR118" s="100" t="str">
        <f t="shared" si="372"/>
        <v/>
      </c>
      <c r="HZS118" s="100" t="str">
        <f t="shared" si="372"/>
        <v/>
      </c>
      <c r="HZT118" s="100" t="str">
        <f t="shared" si="372"/>
        <v/>
      </c>
      <c r="HZU118" s="100" t="str">
        <f t="shared" si="372"/>
        <v/>
      </c>
      <c r="HZV118" s="100" t="str">
        <f t="shared" si="372"/>
        <v/>
      </c>
      <c r="HZW118" s="100" t="str">
        <f t="shared" si="372"/>
        <v/>
      </c>
      <c r="HZX118" s="100" t="str">
        <f t="shared" si="372"/>
        <v/>
      </c>
      <c r="HZY118" s="100" t="str">
        <f t="shared" si="372"/>
        <v/>
      </c>
      <c r="HZZ118" s="100" t="str">
        <f t="shared" si="372"/>
        <v/>
      </c>
      <c r="IAA118" s="100" t="str">
        <f t="shared" si="372"/>
        <v/>
      </c>
      <c r="IAB118" s="100" t="str">
        <f t="shared" si="372"/>
        <v/>
      </c>
      <c r="IAC118" s="100" t="str">
        <f t="shared" si="372"/>
        <v/>
      </c>
      <c r="IAD118" s="100" t="str">
        <f t="shared" si="372"/>
        <v/>
      </c>
      <c r="IAE118" s="100" t="str">
        <f t="shared" si="372"/>
        <v/>
      </c>
      <c r="IAF118" s="100" t="str">
        <f t="shared" si="372"/>
        <v/>
      </c>
      <c r="IAG118" s="100" t="str">
        <f t="shared" si="372"/>
        <v/>
      </c>
      <c r="IAH118" s="100" t="str">
        <f t="shared" si="372"/>
        <v/>
      </c>
      <c r="IAI118" s="100" t="str">
        <f t="shared" si="372"/>
        <v/>
      </c>
      <c r="IAJ118" s="100" t="str">
        <f t="shared" si="372"/>
        <v/>
      </c>
      <c r="IAK118" s="100" t="str">
        <f t="shared" si="372"/>
        <v/>
      </c>
      <c r="IAL118" s="100" t="str">
        <f t="shared" si="372"/>
        <v/>
      </c>
      <c r="IAM118" s="100" t="str">
        <f t="shared" si="372"/>
        <v/>
      </c>
      <c r="IAN118" s="100" t="str">
        <f t="shared" si="372"/>
        <v/>
      </c>
      <c r="IAO118" s="100" t="str">
        <f t="shared" si="372"/>
        <v/>
      </c>
      <c r="IAP118" s="100" t="str">
        <f t="shared" si="372"/>
        <v/>
      </c>
      <c r="IAQ118" s="100" t="str">
        <f t="shared" si="372"/>
        <v/>
      </c>
      <c r="IAR118" s="100" t="str">
        <f t="shared" si="372"/>
        <v/>
      </c>
      <c r="IAS118" s="100" t="str">
        <f t="shared" si="372"/>
        <v/>
      </c>
      <c r="IAT118" s="100" t="str">
        <f t="shared" si="372"/>
        <v/>
      </c>
      <c r="IAU118" s="100" t="str">
        <f t="shared" si="372"/>
        <v/>
      </c>
      <c r="IAV118" s="100" t="str">
        <f t="shared" si="372"/>
        <v/>
      </c>
      <c r="IAW118" s="100" t="str">
        <f t="shared" si="372"/>
        <v/>
      </c>
      <c r="IAX118" s="100" t="str">
        <f t="shared" si="372"/>
        <v/>
      </c>
      <c r="IAY118" s="100" t="str">
        <f t="shared" si="372"/>
        <v/>
      </c>
      <c r="IAZ118" s="100" t="str">
        <f t="shared" si="372"/>
        <v/>
      </c>
      <c r="IBA118" s="100" t="str">
        <f t="shared" si="372"/>
        <v/>
      </c>
      <c r="IBB118" s="100" t="str">
        <f t="shared" si="372"/>
        <v/>
      </c>
      <c r="IBC118" s="100" t="str">
        <f t="shared" si="372"/>
        <v/>
      </c>
      <c r="IBD118" s="100" t="str">
        <f t="shared" si="372"/>
        <v/>
      </c>
      <c r="IBE118" s="100" t="str">
        <f t="shared" si="372"/>
        <v/>
      </c>
      <c r="IBF118" s="100" t="str">
        <f t="shared" si="372"/>
        <v/>
      </c>
      <c r="IBG118" s="100" t="str">
        <f t="shared" si="372"/>
        <v/>
      </c>
      <c r="IBH118" s="100" t="str">
        <f t="shared" si="372"/>
        <v/>
      </c>
      <c r="IBI118" s="100" t="str">
        <f t="shared" si="372"/>
        <v/>
      </c>
      <c r="IBJ118" s="100" t="str">
        <f t="shared" si="372"/>
        <v/>
      </c>
      <c r="IBK118" s="100" t="str">
        <f t="shared" si="372"/>
        <v/>
      </c>
      <c r="IBL118" s="100" t="str">
        <f t="shared" si="372"/>
        <v/>
      </c>
      <c r="IBM118" s="100" t="str">
        <f t="shared" ref="IBM118:IDX118" si="373">IFERROR(AVERAGE(IBM6,IBM16,IBM25,IBM34,IBM42,IBM54,IBM62,IBM70,IBM78,IBM86,IBM94,IBM102,IBM110),"")</f>
        <v/>
      </c>
      <c r="IBN118" s="100" t="str">
        <f t="shared" si="373"/>
        <v/>
      </c>
      <c r="IBO118" s="100" t="str">
        <f t="shared" si="373"/>
        <v/>
      </c>
      <c r="IBP118" s="100" t="str">
        <f t="shared" si="373"/>
        <v/>
      </c>
      <c r="IBQ118" s="100" t="str">
        <f t="shared" si="373"/>
        <v/>
      </c>
      <c r="IBR118" s="100" t="str">
        <f t="shared" si="373"/>
        <v/>
      </c>
      <c r="IBS118" s="100" t="str">
        <f t="shared" si="373"/>
        <v/>
      </c>
      <c r="IBT118" s="100" t="str">
        <f t="shared" si="373"/>
        <v/>
      </c>
      <c r="IBU118" s="100" t="str">
        <f t="shared" si="373"/>
        <v/>
      </c>
      <c r="IBV118" s="100" t="str">
        <f t="shared" si="373"/>
        <v/>
      </c>
      <c r="IBW118" s="100" t="str">
        <f t="shared" si="373"/>
        <v/>
      </c>
      <c r="IBX118" s="100" t="str">
        <f t="shared" si="373"/>
        <v/>
      </c>
      <c r="IBY118" s="100" t="str">
        <f t="shared" si="373"/>
        <v/>
      </c>
      <c r="IBZ118" s="100" t="str">
        <f t="shared" si="373"/>
        <v/>
      </c>
      <c r="ICA118" s="100" t="str">
        <f t="shared" si="373"/>
        <v/>
      </c>
      <c r="ICB118" s="100" t="str">
        <f t="shared" si="373"/>
        <v/>
      </c>
      <c r="ICC118" s="100" t="str">
        <f t="shared" si="373"/>
        <v/>
      </c>
      <c r="ICD118" s="100" t="str">
        <f t="shared" si="373"/>
        <v/>
      </c>
      <c r="ICE118" s="100" t="str">
        <f t="shared" si="373"/>
        <v/>
      </c>
      <c r="ICF118" s="100" t="str">
        <f t="shared" si="373"/>
        <v/>
      </c>
      <c r="ICG118" s="100" t="str">
        <f t="shared" si="373"/>
        <v/>
      </c>
      <c r="ICH118" s="100" t="str">
        <f t="shared" si="373"/>
        <v/>
      </c>
      <c r="ICI118" s="100" t="str">
        <f t="shared" si="373"/>
        <v/>
      </c>
      <c r="ICJ118" s="100" t="str">
        <f t="shared" si="373"/>
        <v/>
      </c>
      <c r="ICK118" s="100" t="str">
        <f t="shared" si="373"/>
        <v/>
      </c>
      <c r="ICL118" s="100" t="str">
        <f t="shared" si="373"/>
        <v/>
      </c>
      <c r="ICM118" s="100" t="str">
        <f t="shared" si="373"/>
        <v/>
      </c>
      <c r="ICN118" s="100" t="str">
        <f t="shared" si="373"/>
        <v/>
      </c>
      <c r="ICO118" s="100" t="str">
        <f t="shared" si="373"/>
        <v/>
      </c>
      <c r="ICP118" s="100" t="str">
        <f t="shared" si="373"/>
        <v/>
      </c>
      <c r="ICQ118" s="100" t="str">
        <f t="shared" si="373"/>
        <v/>
      </c>
      <c r="ICR118" s="100" t="str">
        <f t="shared" si="373"/>
        <v/>
      </c>
      <c r="ICS118" s="100" t="str">
        <f t="shared" si="373"/>
        <v/>
      </c>
      <c r="ICT118" s="100" t="str">
        <f t="shared" si="373"/>
        <v/>
      </c>
      <c r="ICU118" s="100" t="str">
        <f t="shared" si="373"/>
        <v/>
      </c>
      <c r="ICV118" s="100" t="str">
        <f t="shared" si="373"/>
        <v/>
      </c>
      <c r="ICW118" s="100" t="str">
        <f t="shared" si="373"/>
        <v/>
      </c>
      <c r="ICX118" s="100" t="str">
        <f t="shared" si="373"/>
        <v/>
      </c>
      <c r="ICY118" s="100" t="str">
        <f t="shared" si="373"/>
        <v/>
      </c>
      <c r="ICZ118" s="100" t="str">
        <f t="shared" si="373"/>
        <v/>
      </c>
      <c r="IDA118" s="100" t="str">
        <f t="shared" si="373"/>
        <v/>
      </c>
      <c r="IDB118" s="100" t="str">
        <f t="shared" si="373"/>
        <v/>
      </c>
      <c r="IDC118" s="100" t="str">
        <f t="shared" si="373"/>
        <v/>
      </c>
      <c r="IDD118" s="100" t="str">
        <f t="shared" si="373"/>
        <v/>
      </c>
      <c r="IDE118" s="100" t="str">
        <f t="shared" si="373"/>
        <v/>
      </c>
      <c r="IDF118" s="100" t="str">
        <f t="shared" si="373"/>
        <v/>
      </c>
      <c r="IDG118" s="100" t="str">
        <f t="shared" si="373"/>
        <v/>
      </c>
      <c r="IDH118" s="100" t="str">
        <f t="shared" si="373"/>
        <v/>
      </c>
      <c r="IDI118" s="100" t="str">
        <f t="shared" si="373"/>
        <v/>
      </c>
      <c r="IDJ118" s="100" t="str">
        <f t="shared" si="373"/>
        <v/>
      </c>
      <c r="IDK118" s="100" t="str">
        <f t="shared" si="373"/>
        <v/>
      </c>
      <c r="IDL118" s="100" t="str">
        <f t="shared" si="373"/>
        <v/>
      </c>
      <c r="IDM118" s="100" t="str">
        <f t="shared" si="373"/>
        <v/>
      </c>
      <c r="IDN118" s="100" t="str">
        <f t="shared" si="373"/>
        <v/>
      </c>
      <c r="IDO118" s="100" t="str">
        <f t="shared" si="373"/>
        <v/>
      </c>
      <c r="IDP118" s="100" t="str">
        <f t="shared" si="373"/>
        <v/>
      </c>
      <c r="IDQ118" s="100" t="str">
        <f t="shared" si="373"/>
        <v/>
      </c>
      <c r="IDR118" s="100" t="str">
        <f t="shared" si="373"/>
        <v/>
      </c>
      <c r="IDS118" s="100" t="str">
        <f t="shared" si="373"/>
        <v/>
      </c>
      <c r="IDT118" s="100" t="str">
        <f t="shared" si="373"/>
        <v/>
      </c>
      <c r="IDU118" s="100" t="str">
        <f t="shared" si="373"/>
        <v/>
      </c>
      <c r="IDV118" s="100" t="str">
        <f t="shared" si="373"/>
        <v/>
      </c>
      <c r="IDW118" s="100" t="str">
        <f t="shared" si="373"/>
        <v/>
      </c>
      <c r="IDX118" s="100" t="str">
        <f t="shared" si="373"/>
        <v/>
      </c>
      <c r="IDY118" s="100" t="str">
        <f t="shared" ref="IDY118:IGJ118" si="374">IFERROR(AVERAGE(IDY6,IDY16,IDY25,IDY34,IDY42,IDY54,IDY62,IDY70,IDY78,IDY86,IDY94,IDY102,IDY110),"")</f>
        <v/>
      </c>
      <c r="IDZ118" s="100" t="str">
        <f t="shared" si="374"/>
        <v/>
      </c>
      <c r="IEA118" s="100" t="str">
        <f t="shared" si="374"/>
        <v/>
      </c>
      <c r="IEB118" s="100" t="str">
        <f t="shared" si="374"/>
        <v/>
      </c>
      <c r="IEC118" s="100" t="str">
        <f t="shared" si="374"/>
        <v/>
      </c>
      <c r="IED118" s="100" t="str">
        <f t="shared" si="374"/>
        <v/>
      </c>
      <c r="IEE118" s="100" t="str">
        <f t="shared" si="374"/>
        <v/>
      </c>
      <c r="IEF118" s="100" t="str">
        <f t="shared" si="374"/>
        <v/>
      </c>
      <c r="IEG118" s="100" t="str">
        <f t="shared" si="374"/>
        <v/>
      </c>
      <c r="IEH118" s="100" t="str">
        <f t="shared" si="374"/>
        <v/>
      </c>
      <c r="IEI118" s="100" t="str">
        <f t="shared" si="374"/>
        <v/>
      </c>
      <c r="IEJ118" s="100" t="str">
        <f t="shared" si="374"/>
        <v/>
      </c>
      <c r="IEK118" s="100" t="str">
        <f t="shared" si="374"/>
        <v/>
      </c>
      <c r="IEL118" s="100" t="str">
        <f t="shared" si="374"/>
        <v/>
      </c>
      <c r="IEM118" s="100" t="str">
        <f t="shared" si="374"/>
        <v/>
      </c>
      <c r="IEN118" s="100" t="str">
        <f t="shared" si="374"/>
        <v/>
      </c>
      <c r="IEO118" s="100" t="str">
        <f t="shared" si="374"/>
        <v/>
      </c>
      <c r="IEP118" s="100" t="str">
        <f t="shared" si="374"/>
        <v/>
      </c>
      <c r="IEQ118" s="100" t="str">
        <f t="shared" si="374"/>
        <v/>
      </c>
      <c r="IER118" s="100" t="str">
        <f t="shared" si="374"/>
        <v/>
      </c>
      <c r="IES118" s="100" t="str">
        <f t="shared" si="374"/>
        <v/>
      </c>
      <c r="IET118" s="100" t="str">
        <f t="shared" si="374"/>
        <v/>
      </c>
      <c r="IEU118" s="100" t="str">
        <f t="shared" si="374"/>
        <v/>
      </c>
      <c r="IEV118" s="100" t="str">
        <f t="shared" si="374"/>
        <v/>
      </c>
      <c r="IEW118" s="100" t="str">
        <f t="shared" si="374"/>
        <v/>
      </c>
      <c r="IEX118" s="100" t="str">
        <f t="shared" si="374"/>
        <v/>
      </c>
      <c r="IEY118" s="100" t="str">
        <f t="shared" si="374"/>
        <v/>
      </c>
      <c r="IEZ118" s="100" t="str">
        <f t="shared" si="374"/>
        <v/>
      </c>
      <c r="IFA118" s="100" t="str">
        <f t="shared" si="374"/>
        <v/>
      </c>
      <c r="IFB118" s="100" t="str">
        <f t="shared" si="374"/>
        <v/>
      </c>
      <c r="IFC118" s="100" t="str">
        <f t="shared" si="374"/>
        <v/>
      </c>
      <c r="IFD118" s="100" t="str">
        <f t="shared" si="374"/>
        <v/>
      </c>
      <c r="IFE118" s="100" t="str">
        <f t="shared" si="374"/>
        <v/>
      </c>
      <c r="IFF118" s="100" t="str">
        <f t="shared" si="374"/>
        <v/>
      </c>
      <c r="IFG118" s="100" t="str">
        <f t="shared" si="374"/>
        <v/>
      </c>
      <c r="IFH118" s="100" t="str">
        <f t="shared" si="374"/>
        <v/>
      </c>
      <c r="IFI118" s="100" t="str">
        <f t="shared" si="374"/>
        <v/>
      </c>
      <c r="IFJ118" s="100" t="str">
        <f t="shared" si="374"/>
        <v/>
      </c>
      <c r="IFK118" s="100" t="str">
        <f t="shared" si="374"/>
        <v/>
      </c>
      <c r="IFL118" s="100" t="str">
        <f t="shared" si="374"/>
        <v/>
      </c>
      <c r="IFM118" s="100" t="str">
        <f t="shared" si="374"/>
        <v/>
      </c>
      <c r="IFN118" s="100" t="str">
        <f t="shared" si="374"/>
        <v/>
      </c>
      <c r="IFO118" s="100" t="str">
        <f t="shared" si="374"/>
        <v/>
      </c>
      <c r="IFP118" s="100" t="str">
        <f t="shared" si="374"/>
        <v/>
      </c>
      <c r="IFQ118" s="100" t="str">
        <f t="shared" si="374"/>
        <v/>
      </c>
      <c r="IFR118" s="100" t="str">
        <f t="shared" si="374"/>
        <v/>
      </c>
      <c r="IFS118" s="100" t="str">
        <f t="shared" si="374"/>
        <v/>
      </c>
      <c r="IFT118" s="100" t="str">
        <f t="shared" si="374"/>
        <v/>
      </c>
      <c r="IFU118" s="100" t="str">
        <f t="shared" si="374"/>
        <v/>
      </c>
      <c r="IFV118" s="100" t="str">
        <f t="shared" si="374"/>
        <v/>
      </c>
      <c r="IFW118" s="100" t="str">
        <f t="shared" si="374"/>
        <v/>
      </c>
      <c r="IFX118" s="100" t="str">
        <f t="shared" si="374"/>
        <v/>
      </c>
      <c r="IFY118" s="100" t="str">
        <f t="shared" si="374"/>
        <v/>
      </c>
      <c r="IFZ118" s="100" t="str">
        <f t="shared" si="374"/>
        <v/>
      </c>
      <c r="IGA118" s="100" t="str">
        <f t="shared" si="374"/>
        <v/>
      </c>
      <c r="IGB118" s="100" t="str">
        <f t="shared" si="374"/>
        <v/>
      </c>
      <c r="IGC118" s="100" t="str">
        <f t="shared" si="374"/>
        <v/>
      </c>
      <c r="IGD118" s="100" t="str">
        <f t="shared" si="374"/>
        <v/>
      </c>
      <c r="IGE118" s="100" t="str">
        <f t="shared" si="374"/>
        <v/>
      </c>
      <c r="IGF118" s="100" t="str">
        <f t="shared" si="374"/>
        <v/>
      </c>
      <c r="IGG118" s="100" t="str">
        <f t="shared" si="374"/>
        <v/>
      </c>
      <c r="IGH118" s="100" t="str">
        <f t="shared" si="374"/>
        <v/>
      </c>
      <c r="IGI118" s="100" t="str">
        <f t="shared" si="374"/>
        <v/>
      </c>
      <c r="IGJ118" s="100" t="str">
        <f t="shared" si="374"/>
        <v/>
      </c>
      <c r="IGK118" s="100" t="str">
        <f t="shared" ref="IGK118:IIV118" si="375">IFERROR(AVERAGE(IGK6,IGK16,IGK25,IGK34,IGK42,IGK54,IGK62,IGK70,IGK78,IGK86,IGK94,IGK102,IGK110),"")</f>
        <v/>
      </c>
      <c r="IGL118" s="100" t="str">
        <f t="shared" si="375"/>
        <v/>
      </c>
      <c r="IGM118" s="100" t="str">
        <f t="shared" si="375"/>
        <v/>
      </c>
      <c r="IGN118" s="100" t="str">
        <f t="shared" si="375"/>
        <v/>
      </c>
      <c r="IGO118" s="100" t="str">
        <f t="shared" si="375"/>
        <v/>
      </c>
      <c r="IGP118" s="100" t="str">
        <f t="shared" si="375"/>
        <v/>
      </c>
      <c r="IGQ118" s="100" t="str">
        <f t="shared" si="375"/>
        <v/>
      </c>
      <c r="IGR118" s="100" t="str">
        <f t="shared" si="375"/>
        <v/>
      </c>
      <c r="IGS118" s="100" t="str">
        <f t="shared" si="375"/>
        <v/>
      </c>
      <c r="IGT118" s="100" t="str">
        <f t="shared" si="375"/>
        <v/>
      </c>
      <c r="IGU118" s="100" t="str">
        <f t="shared" si="375"/>
        <v/>
      </c>
      <c r="IGV118" s="100" t="str">
        <f t="shared" si="375"/>
        <v/>
      </c>
      <c r="IGW118" s="100" t="str">
        <f t="shared" si="375"/>
        <v/>
      </c>
      <c r="IGX118" s="100" t="str">
        <f t="shared" si="375"/>
        <v/>
      </c>
      <c r="IGY118" s="100" t="str">
        <f t="shared" si="375"/>
        <v/>
      </c>
      <c r="IGZ118" s="100" t="str">
        <f t="shared" si="375"/>
        <v/>
      </c>
      <c r="IHA118" s="100" t="str">
        <f t="shared" si="375"/>
        <v/>
      </c>
      <c r="IHB118" s="100" t="str">
        <f t="shared" si="375"/>
        <v/>
      </c>
      <c r="IHC118" s="100" t="str">
        <f t="shared" si="375"/>
        <v/>
      </c>
      <c r="IHD118" s="100" t="str">
        <f t="shared" si="375"/>
        <v/>
      </c>
      <c r="IHE118" s="100" t="str">
        <f t="shared" si="375"/>
        <v/>
      </c>
      <c r="IHF118" s="100" t="str">
        <f t="shared" si="375"/>
        <v/>
      </c>
      <c r="IHG118" s="100" t="str">
        <f t="shared" si="375"/>
        <v/>
      </c>
      <c r="IHH118" s="100" t="str">
        <f t="shared" si="375"/>
        <v/>
      </c>
      <c r="IHI118" s="100" t="str">
        <f t="shared" si="375"/>
        <v/>
      </c>
      <c r="IHJ118" s="100" t="str">
        <f t="shared" si="375"/>
        <v/>
      </c>
      <c r="IHK118" s="100" t="str">
        <f t="shared" si="375"/>
        <v/>
      </c>
      <c r="IHL118" s="100" t="str">
        <f t="shared" si="375"/>
        <v/>
      </c>
      <c r="IHM118" s="100" t="str">
        <f t="shared" si="375"/>
        <v/>
      </c>
      <c r="IHN118" s="100" t="str">
        <f t="shared" si="375"/>
        <v/>
      </c>
      <c r="IHO118" s="100" t="str">
        <f t="shared" si="375"/>
        <v/>
      </c>
      <c r="IHP118" s="100" t="str">
        <f t="shared" si="375"/>
        <v/>
      </c>
      <c r="IHQ118" s="100" t="str">
        <f t="shared" si="375"/>
        <v/>
      </c>
      <c r="IHR118" s="100" t="str">
        <f t="shared" si="375"/>
        <v/>
      </c>
      <c r="IHS118" s="100" t="str">
        <f t="shared" si="375"/>
        <v/>
      </c>
      <c r="IHT118" s="100" t="str">
        <f t="shared" si="375"/>
        <v/>
      </c>
      <c r="IHU118" s="100" t="str">
        <f t="shared" si="375"/>
        <v/>
      </c>
      <c r="IHV118" s="100" t="str">
        <f t="shared" si="375"/>
        <v/>
      </c>
      <c r="IHW118" s="100" t="str">
        <f t="shared" si="375"/>
        <v/>
      </c>
      <c r="IHX118" s="100" t="str">
        <f t="shared" si="375"/>
        <v/>
      </c>
      <c r="IHY118" s="100" t="str">
        <f t="shared" si="375"/>
        <v/>
      </c>
      <c r="IHZ118" s="100" t="str">
        <f t="shared" si="375"/>
        <v/>
      </c>
      <c r="IIA118" s="100" t="str">
        <f t="shared" si="375"/>
        <v/>
      </c>
      <c r="IIB118" s="100" t="str">
        <f t="shared" si="375"/>
        <v/>
      </c>
      <c r="IIC118" s="100" t="str">
        <f t="shared" si="375"/>
        <v/>
      </c>
      <c r="IID118" s="100" t="str">
        <f t="shared" si="375"/>
        <v/>
      </c>
      <c r="IIE118" s="100" t="str">
        <f t="shared" si="375"/>
        <v/>
      </c>
      <c r="IIF118" s="100" t="str">
        <f t="shared" si="375"/>
        <v/>
      </c>
      <c r="IIG118" s="100" t="str">
        <f t="shared" si="375"/>
        <v/>
      </c>
      <c r="IIH118" s="100" t="str">
        <f t="shared" si="375"/>
        <v/>
      </c>
      <c r="III118" s="100" t="str">
        <f t="shared" si="375"/>
        <v/>
      </c>
      <c r="IIJ118" s="100" t="str">
        <f t="shared" si="375"/>
        <v/>
      </c>
      <c r="IIK118" s="100" t="str">
        <f t="shared" si="375"/>
        <v/>
      </c>
      <c r="IIL118" s="100" t="str">
        <f t="shared" si="375"/>
        <v/>
      </c>
      <c r="IIM118" s="100" t="str">
        <f t="shared" si="375"/>
        <v/>
      </c>
      <c r="IIN118" s="100" t="str">
        <f t="shared" si="375"/>
        <v/>
      </c>
      <c r="IIO118" s="100" t="str">
        <f t="shared" si="375"/>
        <v/>
      </c>
      <c r="IIP118" s="100" t="str">
        <f t="shared" si="375"/>
        <v/>
      </c>
      <c r="IIQ118" s="100" t="str">
        <f t="shared" si="375"/>
        <v/>
      </c>
      <c r="IIR118" s="100" t="str">
        <f t="shared" si="375"/>
        <v/>
      </c>
      <c r="IIS118" s="100" t="str">
        <f t="shared" si="375"/>
        <v/>
      </c>
      <c r="IIT118" s="100" t="str">
        <f t="shared" si="375"/>
        <v/>
      </c>
      <c r="IIU118" s="100" t="str">
        <f t="shared" si="375"/>
        <v/>
      </c>
      <c r="IIV118" s="100" t="str">
        <f t="shared" si="375"/>
        <v/>
      </c>
      <c r="IIW118" s="100" t="str">
        <f t="shared" ref="IIW118:ILH118" si="376">IFERROR(AVERAGE(IIW6,IIW16,IIW25,IIW34,IIW42,IIW54,IIW62,IIW70,IIW78,IIW86,IIW94,IIW102,IIW110),"")</f>
        <v/>
      </c>
      <c r="IIX118" s="100" t="str">
        <f t="shared" si="376"/>
        <v/>
      </c>
      <c r="IIY118" s="100" t="str">
        <f t="shared" si="376"/>
        <v/>
      </c>
      <c r="IIZ118" s="100" t="str">
        <f t="shared" si="376"/>
        <v/>
      </c>
      <c r="IJA118" s="100" t="str">
        <f t="shared" si="376"/>
        <v/>
      </c>
      <c r="IJB118" s="100" t="str">
        <f t="shared" si="376"/>
        <v/>
      </c>
      <c r="IJC118" s="100" t="str">
        <f t="shared" si="376"/>
        <v/>
      </c>
      <c r="IJD118" s="100" t="str">
        <f t="shared" si="376"/>
        <v/>
      </c>
      <c r="IJE118" s="100" t="str">
        <f t="shared" si="376"/>
        <v/>
      </c>
      <c r="IJF118" s="100" t="str">
        <f t="shared" si="376"/>
        <v/>
      </c>
      <c r="IJG118" s="100" t="str">
        <f t="shared" si="376"/>
        <v/>
      </c>
      <c r="IJH118" s="100" t="str">
        <f t="shared" si="376"/>
        <v/>
      </c>
      <c r="IJI118" s="100" t="str">
        <f t="shared" si="376"/>
        <v/>
      </c>
      <c r="IJJ118" s="100" t="str">
        <f t="shared" si="376"/>
        <v/>
      </c>
      <c r="IJK118" s="100" t="str">
        <f t="shared" si="376"/>
        <v/>
      </c>
      <c r="IJL118" s="100" t="str">
        <f t="shared" si="376"/>
        <v/>
      </c>
      <c r="IJM118" s="100" t="str">
        <f t="shared" si="376"/>
        <v/>
      </c>
      <c r="IJN118" s="100" t="str">
        <f t="shared" si="376"/>
        <v/>
      </c>
      <c r="IJO118" s="100" t="str">
        <f t="shared" si="376"/>
        <v/>
      </c>
      <c r="IJP118" s="100" t="str">
        <f t="shared" si="376"/>
        <v/>
      </c>
      <c r="IJQ118" s="100" t="str">
        <f t="shared" si="376"/>
        <v/>
      </c>
      <c r="IJR118" s="100" t="str">
        <f t="shared" si="376"/>
        <v/>
      </c>
      <c r="IJS118" s="100" t="str">
        <f t="shared" si="376"/>
        <v/>
      </c>
      <c r="IJT118" s="100" t="str">
        <f t="shared" si="376"/>
        <v/>
      </c>
      <c r="IJU118" s="100" t="str">
        <f t="shared" si="376"/>
        <v/>
      </c>
      <c r="IJV118" s="100" t="str">
        <f t="shared" si="376"/>
        <v/>
      </c>
      <c r="IJW118" s="100" t="str">
        <f t="shared" si="376"/>
        <v/>
      </c>
      <c r="IJX118" s="100" t="str">
        <f t="shared" si="376"/>
        <v/>
      </c>
      <c r="IJY118" s="100" t="str">
        <f t="shared" si="376"/>
        <v/>
      </c>
      <c r="IJZ118" s="100" t="str">
        <f t="shared" si="376"/>
        <v/>
      </c>
      <c r="IKA118" s="100" t="str">
        <f t="shared" si="376"/>
        <v/>
      </c>
      <c r="IKB118" s="100" t="str">
        <f t="shared" si="376"/>
        <v/>
      </c>
      <c r="IKC118" s="100" t="str">
        <f t="shared" si="376"/>
        <v/>
      </c>
      <c r="IKD118" s="100" t="str">
        <f t="shared" si="376"/>
        <v/>
      </c>
      <c r="IKE118" s="100" t="str">
        <f t="shared" si="376"/>
        <v/>
      </c>
      <c r="IKF118" s="100" t="str">
        <f t="shared" si="376"/>
        <v/>
      </c>
      <c r="IKG118" s="100" t="str">
        <f t="shared" si="376"/>
        <v/>
      </c>
      <c r="IKH118" s="100" t="str">
        <f t="shared" si="376"/>
        <v/>
      </c>
      <c r="IKI118" s="100" t="str">
        <f t="shared" si="376"/>
        <v/>
      </c>
      <c r="IKJ118" s="100" t="str">
        <f t="shared" si="376"/>
        <v/>
      </c>
      <c r="IKK118" s="100" t="str">
        <f t="shared" si="376"/>
        <v/>
      </c>
      <c r="IKL118" s="100" t="str">
        <f t="shared" si="376"/>
        <v/>
      </c>
      <c r="IKM118" s="100" t="str">
        <f t="shared" si="376"/>
        <v/>
      </c>
      <c r="IKN118" s="100" t="str">
        <f t="shared" si="376"/>
        <v/>
      </c>
      <c r="IKO118" s="100" t="str">
        <f t="shared" si="376"/>
        <v/>
      </c>
      <c r="IKP118" s="100" t="str">
        <f t="shared" si="376"/>
        <v/>
      </c>
      <c r="IKQ118" s="100" t="str">
        <f t="shared" si="376"/>
        <v/>
      </c>
      <c r="IKR118" s="100" t="str">
        <f t="shared" si="376"/>
        <v/>
      </c>
      <c r="IKS118" s="100" t="str">
        <f t="shared" si="376"/>
        <v/>
      </c>
      <c r="IKT118" s="100" t="str">
        <f t="shared" si="376"/>
        <v/>
      </c>
      <c r="IKU118" s="100" t="str">
        <f t="shared" si="376"/>
        <v/>
      </c>
      <c r="IKV118" s="100" t="str">
        <f t="shared" si="376"/>
        <v/>
      </c>
      <c r="IKW118" s="100" t="str">
        <f t="shared" si="376"/>
        <v/>
      </c>
      <c r="IKX118" s="100" t="str">
        <f t="shared" si="376"/>
        <v/>
      </c>
      <c r="IKY118" s="100" t="str">
        <f t="shared" si="376"/>
        <v/>
      </c>
      <c r="IKZ118" s="100" t="str">
        <f t="shared" si="376"/>
        <v/>
      </c>
      <c r="ILA118" s="100" t="str">
        <f t="shared" si="376"/>
        <v/>
      </c>
      <c r="ILB118" s="100" t="str">
        <f t="shared" si="376"/>
        <v/>
      </c>
      <c r="ILC118" s="100" t="str">
        <f t="shared" si="376"/>
        <v/>
      </c>
      <c r="ILD118" s="100" t="str">
        <f t="shared" si="376"/>
        <v/>
      </c>
      <c r="ILE118" s="100" t="str">
        <f t="shared" si="376"/>
        <v/>
      </c>
      <c r="ILF118" s="100" t="str">
        <f t="shared" si="376"/>
        <v/>
      </c>
      <c r="ILG118" s="100" t="str">
        <f t="shared" si="376"/>
        <v/>
      </c>
      <c r="ILH118" s="100" t="str">
        <f t="shared" si="376"/>
        <v/>
      </c>
      <c r="ILI118" s="100" t="str">
        <f t="shared" ref="ILI118:INT118" si="377">IFERROR(AVERAGE(ILI6,ILI16,ILI25,ILI34,ILI42,ILI54,ILI62,ILI70,ILI78,ILI86,ILI94,ILI102,ILI110),"")</f>
        <v/>
      </c>
      <c r="ILJ118" s="100" t="str">
        <f t="shared" si="377"/>
        <v/>
      </c>
      <c r="ILK118" s="100" t="str">
        <f t="shared" si="377"/>
        <v/>
      </c>
      <c r="ILL118" s="100" t="str">
        <f t="shared" si="377"/>
        <v/>
      </c>
      <c r="ILM118" s="100" t="str">
        <f t="shared" si="377"/>
        <v/>
      </c>
      <c r="ILN118" s="100" t="str">
        <f t="shared" si="377"/>
        <v/>
      </c>
      <c r="ILO118" s="100" t="str">
        <f t="shared" si="377"/>
        <v/>
      </c>
      <c r="ILP118" s="100" t="str">
        <f t="shared" si="377"/>
        <v/>
      </c>
      <c r="ILQ118" s="100" t="str">
        <f t="shared" si="377"/>
        <v/>
      </c>
      <c r="ILR118" s="100" t="str">
        <f t="shared" si="377"/>
        <v/>
      </c>
      <c r="ILS118" s="100" t="str">
        <f t="shared" si="377"/>
        <v/>
      </c>
      <c r="ILT118" s="100" t="str">
        <f t="shared" si="377"/>
        <v/>
      </c>
      <c r="ILU118" s="100" t="str">
        <f t="shared" si="377"/>
        <v/>
      </c>
      <c r="ILV118" s="100" t="str">
        <f t="shared" si="377"/>
        <v/>
      </c>
      <c r="ILW118" s="100" t="str">
        <f t="shared" si="377"/>
        <v/>
      </c>
      <c r="ILX118" s="100" t="str">
        <f t="shared" si="377"/>
        <v/>
      </c>
      <c r="ILY118" s="100" t="str">
        <f t="shared" si="377"/>
        <v/>
      </c>
      <c r="ILZ118" s="100" t="str">
        <f t="shared" si="377"/>
        <v/>
      </c>
      <c r="IMA118" s="100" t="str">
        <f t="shared" si="377"/>
        <v/>
      </c>
      <c r="IMB118" s="100" t="str">
        <f t="shared" si="377"/>
        <v/>
      </c>
      <c r="IMC118" s="100" t="str">
        <f t="shared" si="377"/>
        <v/>
      </c>
      <c r="IMD118" s="100" t="str">
        <f t="shared" si="377"/>
        <v/>
      </c>
      <c r="IME118" s="100" t="str">
        <f t="shared" si="377"/>
        <v/>
      </c>
      <c r="IMF118" s="100" t="str">
        <f t="shared" si="377"/>
        <v/>
      </c>
      <c r="IMG118" s="100" t="str">
        <f t="shared" si="377"/>
        <v/>
      </c>
      <c r="IMH118" s="100" t="str">
        <f t="shared" si="377"/>
        <v/>
      </c>
      <c r="IMI118" s="100" t="str">
        <f t="shared" si="377"/>
        <v/>
      </c>
      <c r="IMJ118" s="100" t="str">
        <f t="shared" si="377"/>
        <v/>
      </c>
      <c r="IMK118" s="100" t="str">
        <f t="shared" si="377"/>
        <v/>
      </c>
      <c r="IML118" s="100" t="str">
        <f t="shared" si="377"/>
        <v/>
      </c>
      <c r="IMM118" s="100" t="str">
        <f t="shared" si="377"/>
        <v/>
      </c>
      <c r="IMN118" s="100" t="str">
        <f t="shared" si="377"/>
        <v/>
      </c>
      <c r="IMO118" s="100" t="str">
        <f t="shared" si="377"/>
        <v/>
      </c>
      <c r="IMP118" s="100" t="str">
        <f t="shared" si="377"/>
        <v/>
      </c>
      <c r="IMQ118" s="100" t="str">
        <f t="shared" si="377"/>
        <v/>
      </c>
      <c r="IMR118" s="100" t="str">
        <f t="shared" si="377"/>
        <v/>
      </c>
      <c r="IMS118" s="100" t="str">
        <f t="shared" si="377"/>
        <v/>
      </c>
      <c r="IMT118" s="100" t="str">
        <f t="shared" si="377"/>
        <v/>
      </c>
      <c r="IMU118" s="100" t="str">
        <f t="shared" si="377"/>
        <v/>
      </c>
      <c r="IMV118" s="100" t="str">
        <f t="shared" si="377"/>
        <v/>
      </c>
      <c r="IMW118" s="100" t="str">
        <f t="shared" si="377"/>
        <v/>
      </c>
      <c r="IMX118" s="100" t="str">
        <f t="shared" si="377"/>
        <v/>
      </c>
      <c r="IMY118" s="100" t="str">
        <f t="shared" si="377"/>
        <v/>
      </c>
      <c r="IMZ118" s="100" t="str">
        <f t="shared" si="377"/>
        <v/>
      </c>
      <c r="INA118" s="100" t="str">
        <f t="shared" si="377"/>
        <v/>
      </c>
      <c r="INB118" s="100" t="str">
        <f t="shared" si="377"/>
        <v/>
      </c>
      <c r="INC118" s="100" t="str">
        <f t="shared" si="377"/>
        <v/>
      </c>
      <c r="IND118" s="100" t="str">
        <f t="shared" si="377"/>
        <v/>
      </c>
      <c r="INE118" s="100" t="str">
        <f t="shared" si="377"/>
        <v/>
      </c>
      <c r="INF118" s="100" t="str">
        <f t="shared" si="377"/>
        <v/>
      </c>
      <c r="ING118" s="100" t="str">
        <f t="shared" si="377"/>
        <v/>
      </c>
      <c r="INH118" s="100" t="str">
        <f t="shared" si="377"/>
        <v/>
      </c>
      <c r="INI118" s="100" t="str">
        <f t="shared" si="377"/>
        <v/>
      </c>
      <c r="INJ118" s="100" t="str">
        <f t="shared" si="377"/>
        <v/>
      </c>
      <c r="INK118" s="100" t="str">
        <f t="shared" si="377"/>
        <v/>
      </c>
      <c r="INL118" s="100" t="str">
        <f t="shared" si="377"/>
        <v/>
      </c>
      <c r="INM118" s="100" t="str">
        <f t="shared" si="377"/>
        <v/>
      </c>
      <c r="INN118" s="100" t="str">
        <f t="shared" si="377"/>
        <v/>
      </c>
      <c r="INO118" s="100" t="str">
        <f t="shared" si="377"/>
        <v/>
      </c>
      <c r="INP118" s="100" t="str">
        <f t="shared" si="377"/>
        <v/>
      </c>
      <c r="INQ118" s="100" t="str">
        <f t="shared" si="377"/>
        <v/>
      </c>
      <c r="INR118" s="100" t="str">
        <f t="shared" si="377"/>
        <v/>
      </c>
      <c r="INS118" s="100" t="str">
        <f t="shared" si="377"/>
        <v/>
      </c>
      <c r="INT118" s="100" t="str">
        <f t="shared" si="377"/>
        <v/>
      </c>
      <c r="INU118" s="100" t="str">
        <f t="shared" ref="INU118:IQF118" si="378">IFERROR(AVERAGE(INU6,INU16,INU25,INU34,INU42,INU54,INU62,INU70,INU78,INU86,INU94,INU102,INU110),"")</f>
        <v/>
      </c>
      <c r="INV118" s="100" t="str">
        <f t="shared" si="378"/>
        <v/>
      </c>
      <c r="INW118" s="100" t="str">
        <f t="shared" si="378"/>
        <v/>
      </c>
      <c r="INX118" s="100" t="str">
        <f t="shared" si="378"/>
        <v/>
      </c>
      <c r="INY118" s="100" t="str">
        <f t="shared" si="378"/>
        <v/>
      </c>
      <c r="INZ118" s="100" t="str">
        <f t="shared" si="378"/>
        <v/>
      </c>
      <c r="IOA118" s="100" t="str">
        <f t="shared" si="378"/>
        <v/>
      </c>
      <c r="IOB118" s="100" t="str">
        <f t="shared" si="378"/>
        <v/>
      </c>
      <c r="IOC118" s="100" t="str">
        <f t="shared" si="378"/>
        <v/>
      </c>
      <c r="IOD118" s="100" t="str">
        <f t="shared" si="378"/>
        <v/>
      </c>
      <c r="IOE118" s="100" t="str">
        <f t="shared" si="378"/>
        <v/>
      </c>
      <c r="IOF118" s="100" t="str">
        <f t="shared" si="378"/>
        <v/>
      </c>
      <c r="IOG118" s="100" t="str">
        <f t="shared" si="378"/>
        <v/>
      </c>
      <c r="IOH118" s="100" t="str">
        <f t="shared" si="378"/>
        <v/>
      </c>
      <c r="IOI118" s="100" t="str">
        <f t="shared" si="378"/>
        <v/>
      </c>
      <c r="IOJ118" s="100" t="str">
        <f t="shared" si="378"/>
        <v/>
      </c>
      <c r="IOK118" s="100" t="str">
        <f t="shared" si="378"/>
        <v/>
      </c>
      <c r="IOL118" s="100" t="str">
        <f t="shared" si="378"/>
        <v/>
      </c>
      <c r="IOM118" s="100" t="str">
        <f t="shared" si="378"/>
        <v/>
      </c>
      <c r="ION118" s="100" t="str">
        <f t="shared" si="378"/>
        <v/>
      </c>
      <c r="IOO118" s="100" t="str">
        <f t="shared" si="378"/>
        <v/>
      </c>
      <c r="IOP118" s="100" t="str">
        <f t="shared" si="378"/>
        <v/>
      </c>
      <c r="IOQ118" s="100" t="str">
        <f t="shared" si="378"/>
        <v/>
      </c>
      <c r="IOR118" s="100" t="str">
        <f t="shared" si="378"/>
        <v/>
      </c>
      <c r="IOS118" s="100" t="str">
        <f t="shared" si="378"/>
        <v/>
      </c>
      <c r="IOT118" s="100" t="str">
        <f t="shared" si="378"/>
        <v/>
      </c>
      <c r="IOU118" s="100" t="str">
        <f t="shared" si="378"/>
        <v/>
      </c>
      <c r="IOV118" s="100" t="str">
        <f t="shared" si="378"/>
        <v/>
      </c>
      <c r="IOW118" s="100" t="str">
        <f t="shared" si="378"/>
        <v/>
      </c>
      <c r="IOX118" s="100" t="str">
        <f t="shared" si="378"/>
        <v/>
      </c>
      <c r="IOY118" s="100" t="str">
        <f t="shared" si="378"/>
        <v/>
      </c>
      <c r="IOZ118" s="100" t="str">
        <f t="shared" si="378"/>
        <v/>
      </c>
      <c r="IPA118" s="100" t="str">
        <f t="shared" si="378"/>
        <v/>
      </c>
      <c r="IPB118" s="100" t="str">
        <f t="shared" si="378"/>
        <v/>
      </c>
      <c r="IPC118" s="100" t="str">
        <f t="shared" si="378"/>
        <v/>
      </c>
      <c r="IPD118" s="100" t="str">
        <f t="shared" si="378"/>
        <v/>
      </c>
      <c r="IPE118" s="100" t="str">
        <f t="shared" si="378"/>
        <v/>
      </c>
      <c r="IPF118" s="100" t="str">
        <f t="shared" si="378"/>
        <v/>
      </c>
      <c r="IPG118" s="100" t="str">
        <f t="shared" si="378"/>
        <v/>
      </c>
      <c r="IPH118" s="100" t="str">
        <f t="shared" si="378"/>
        <v/>
      </c>
      <c r="IPI118" s="100" t="str">
        <f t="shared" si="378"/>
        <v/>
      </c>
      <c r="IPJ118" s="100" t="str">
        <f t="shared" si="378"/>
        <v/>
      </c>
      <c r="IPK118" s="100" t="str">
        <f t="shared" si="378"/>
        <v/>
      </c>
      <c r="IPL118" s="100" t="str">
        <f t="shared" si="378"/>
        <v/>
      </c>
      <c r="IPM118" s="100" t="str">
        <f t="shared" si="378"/>
        <v/>
      </c>
      <c r="IPN118" s="100" t="str">
        <f t="shared" si="378"/>
        <v/>
      </c>
      <c r="IPO118" s="100" t="str">
        <f t="shared" si="378"/>
        <v/>
      </c>
      <c r="IPP118" s="100" t="str">
        <f t="shared" si="378"/>
        <v/>
      </c>
      <c r="IPQ118" s="100" t="str">
        <f t="shared" si="378"/>
        <v/>
      </c>
      <c r="IPR118" s="100" t="str">
        <f t="shared" si="378"/>
        <v/>
      </c>
      <c r="IPS118" s="100" t="str">
        <f t="shared" si="378"/>
        <v/>
      </c>
      <c r="IPT118" s="100" t="str">
        <f t="shared" si="378"/>
        <v/>
      </c>
      <c r="IPU118" s="100" t="str">
        <f t="shared" si="378"/>
        <v/>
      </c>
      <c r="IPV118" s="100" t="str">
        <f t="shared" si="378"/>
        <v/>
      </c>
      <c r="IPW118" s="100" t="str">
        <f t="shared" si="378"/>
        <v/>
      </c>
      <c r="IPX118" s="100" t="str">
        <f t="shared" si="378"/>
        <v/>
      </c>
      <c r="IPY118" s="100" t="str">
        <f t="shared" si="378"/>
        <v/>
      </c>
      <c r="IPZ118" s="100" t="str">
        <f t="shared" si="378"/>
        <v/>
      </c>
      <c r="IQA118" s="100" t="str">
        <f t="shared" si="378"/>
        <v/>
      </c>
      <c r="IQB118" s="100" t="str">
        <f t="shared" si="378"/>
        <v/>
      </c>
      <c r="IQC118" s="100" t="str">
        <f t="shared" si="378"/>
        <v/>
      </c>
      <c r="IQD118" s="100" t="str">
        <f t="shared" si="378"/>
        <v/>
      </c>
      <c r="IQE118" s="100" t="str">
        <f t="shared" si="378"/>
        <v/>
      </c>
      <c r="IQF118" s="100" t="str">
        <f t="shared" si="378"/>
        <v/>
      </c>
      <c r="IQG118" s="100" t="str">
        <f t="shared" ref="IQG118:ISR118" si="379">IFERROR(AVERAGE(IQG6,IQG16,IQG25,IQG34,IQG42,IQG54,IQG62,IQG70,IQG78,IQG86,IQG94,IQG102,IQG110),"")</f>
        <v/>
      </c>
      <c r="IQH118" s="100" t="str">
        <f t="shared" si="379"/>
        <v/>
      </c>
      <c r="IQI118" s="100" t="str">
        <f t="shared" si="379"/>
        <v/>
      </c>
      <c r="IQJ118" s="100" t="str">
        <f t="shared" si="379"/>
        <v/>
      </c>
      <c r="IQK118" s="100" t="str">
        <f t="shared" si="379"/>
        <v/>
      </c>
      <c r="IQL118" s="100" t="str">
        <f t="shared" si="379"/>
        <v/>
      </c>
      <c r="IQM118" s="100" t="str">
        <f t="shared" si="379"/>
        <v/>
      </c>
      <c r="IQN118" s="100" t="str">
        <f t="shared" si="379"/>
        <v/>
      </c>
      <c r="IQO118" s="100" t="str">
        <f t="shared" si="379"/>
        <v/>
      </c>
      <c r="IQP118" s="100" t="str">
        <f t="shared" si="379"/>
        <v/>
      </c>
      <c r="IQQ118" s="100" t="str">
        <f t="shared" si="379"/>
        <v/>
      </c>
      <c r="IQR118" s="100" t="str">
        <f t="shared" si="379"/>
        <v/>
      </c>
      <c r="IQS118" s="100" t="str">
        <f t="shared" si="379"/>
        <v/>
      </c>
      <c r="IQT118" s="100" t="str">
        <f t="shared" si="379"/>
        <v/>
      </c>
      <c r="IQU118" s="100" t="str">
        <f t="shared" si="379"/>
        <v/>
      </c>
      <c r="IQV118" s="100" t="str">
        <f t="shared" si="379"/>
        <v/>
      </c>
      <c r="IQW118" s="100" t="str">
        <f t="shared" si="379"/>
        <v/>
      </c>
      <c r="IQX118" s="100" t="str">
        <f t="shared" si="379"/>
        <v/>
      </c>
      <c r="IQY118" s="100" t="str">
        <f t="shared" si="379"/>
        <v/>
      </c>
      <c r="IQZ118" s="100" t="str">
        <f t="shared" si="379"/>
        <v/>
      </c>
      <c r="IRA118" s="100" t="str">
        <f t="shared" si="379"/>
        <v/>
      </c>
      <c r="IRB118" s="100" t="str">
        <f t="shared" si="379"/>
        <v/>
      </c>
      <c r="IRC118" s="100" t="str">
        <f t="shared" si="379"/>
        <v/>
      </c>
      <c r="IRD118" s="100" t="str">
        <f t="shared" si="379"/>
        <v/>
      </c>
      <c r="IRE118" s="100" t="str">
        <f t="shared" si="379"/>
        <v/>
      </c>
      <c r="IRF118" s="100" t="str">
        <f t="shared" si="379"/>
        <v/>
      </c>
      <c r="IRG118" s="100" t="str">
        <f t="shared" si="379"/>
        <v/>
      </c>
      <c r="IRH118" s="100" t="str">
        <f t="shared" si="379"/>
        <v/>
      </c>
      <c r="IRI118" s="100" t="str">
        <f t="shared" si="379"/>
        <v/>
      </c>
      <c r="IRJ118" s="100" t="str">
        <f t="shared" si="379"/>
        <v/>
      </c>
      <c r="IRK118" s="100" t="str">
        <f t="shared" si="379"/>
        <v/>
      </c>
      <c r="IRL118" s="100" t="str">
        <f t="shared" si="379"/>
        <v/>
      </c>
      <c r="IRM118" s="100" t="str">
        <f t="shared" si="379"/>
        <v/>
      </c>
      <c r="IRN118" s="100" t="str">
        <f t="shared" si="379"/>
        <v/>
      </c>
      <c r="IRO118" s="100" t="str">
        <f t="shared" si="379"/>
        <v/>
      </c>
      <c r="IRP118" s="100" t="str">
        <f t="shared" si="379"/>
        <v/>
      </c>
      <c r="IRQ118" s="100" t="str">
        <f t="shared" si="379"/>
        <v/>
      </c>
      <c r="IRR118" s="100" t="str">
        <f t="shared" si="379"/>
        <v/>
      </c>
      <c r="IRS118" s="100" t="str">
        <f t="shared" si="379"/>
        <v/>
      </c>
      <c r="IRT118" s="100" t="str">
        <f t="shared" si="379"/>
        <v/>
      </c>
      <c r="IRU118" s="100" t="str">
        <f t="shared" si="379"/>
        <v/>
      </c>
      <c r="IRV118" s="100" t="str">
        <f t="shared" si="379"/>
        <v/>
      </c>
      <c r="IRW118" s="100" t="str">
        <f t="shared" si="379"/>
        <v/>
      </c>
      <c r="IRX118" s="100" t="str">
        <f t="shared" si="379"/>
        <v/>
      </c>
      <c r="IRY118" s="100" t="str">
        <f t="shared" si="379"/>
        <v/>
      </c>
      <c r="IRZ118" s="100" t="str">
        <f t="shared" si="379"/>
        <v/>
      </c>
      <c r="ISA118" s="100" t="str">
        <f t="shared" si="379"/>
        <v/>
      </c>
      <c r="ISB118" s="100" t="str">
        <f t="shared" si="379"/>
        <v/>
      </c>
      <c r="ISC118" s="100" t="str">
        <f t="shared" si="379"/>
        <v/>
      </c>
      <c r="ISD118" s="100" t="str">
        <f t="shared" si="379"/>
        <v/>
      </c>
      <c r="ISE118" s="100" t="str">
        <f t="shared" si="379"/>
        <v/>
      </c>
      <c r="ISF118" s="100" t="str">
        <f t="shared" si="379"/>
        <v/>
      </c>
      <c r="ISG118" s="100" t="str">
        <f t="shared" si="379"/>
        <v/>
      </c>
      <c r="ISH118" s="100" t="str">
        <f t="shared" si="379"/>
        <v/>
      </c>
      <c r="ISI118" s="100" t="str">
        <f t="shared" si="379"/>
        <v/>
      </c>
      <c r="ISJ118" s="100" t="str">
        <f t="shared" si="379"/>
        <v/>
      </c>
      <c r="ISK118" s="100" t="str">
        <f t="shared" si="379"/>
        <v/>
      </c>
      <c r="ISL118" s="100" t="str">
        <f t="shared" si="379"/>
        <v/>
      </c>
      <c r="ISM118" s="100" t="str">
        <f t="shared" si="379"/>
        <v/>
      </c>
      <c r="ISN118" s="100" t="str">
        <f t="shared" si="379"/>
        <v/>
      </c>
      <c r="ISO118" s="100" t="str">
        <f t="shared" si="379"/>
        <v/>
      </c>
      <c r="ISP118" s="100" t="str">
        <f t="shared" si="379"/>
        <v/>
      </c>
      <c r="ISQ118" s="100" t="str">
        <f t="shared" si="379"/>
        <v/>
      </c>
      <c r="ISR118" s="100" t="str">
        <f t="shared" si="379"/>
        <v/>
      </c>
      <c r="ISS118" s="100" t="str">
        <f t="shared" ref="ISS118:IVD118" si="380">IFERROR(AVERAGE(ISS6,ISS16,ISS25,ISS34,ISS42,ISS54,ISS62,ISS70,ISS78,ISS86,ISS94,ISS102,ISS110),"")</f>
        <v/>
      </c>
      <c r="IST118" s="100" t="str">
        <f t="shared" si="380"/>
        <v/>
      </c>
      <c r="ISU118" s="100" t="str">
        <f t="shared" si="380"/>
        <v/>
      </c>
      <c r="ISV118" s="100" t="str">
        <f t="shared" si="380"/>
        <v/>
      </c>
      <c r="ISW118" s="100" t="str">
        <f t="shared" si="380"/>
        <v/>
      </c>
      <c r="ISX118" s="100" t="str">
        <f t="shared" si="380"/>
        <v/>
      </c>
      <c r="ISY118" s="100" t="str">
        <f t="shared" si="380"/>
        <v/>
      </c>
      <c r="ISZ118" s="100" t="str">
        <f t="shared" si="380"/>
        <v/>
      </c>
      <c r="ITA118" s="100" t="str">
        <f t="shared" si="380"/>
        <v/>
      </c>
      <c r="ITB118" s="100" t="str">
        <f t="shared" si="380"/>
        <v/>
      </c>
      <c r="ITC118" s="100" t="str">
        <f t="shared" si="380"/>
        <v/>
      </c>
      <c r="ITD118" s="100" t="str">
        <f t="shared" si="380"/>
        <v/>
      </c>
      <c r="ITE118" s="100" t="str">
        <f t="shared" si="380"/>
        <v/>
      </c>
      <c r="ITF118" s="100" t="str">
        <f t="shared" si="380"/>
        <v/>
      </c>
      <c r="ITG118" s="100" t="str">
        <f t="shared" si="380"/>
        <v/>
      </c>
      <c r="ITH118" s="100" t="str">
        <f t="shared" si="380"/>
        <v/>
      </c>
      <c r="ITI118" s="100" t="str">
        <f t="shared" si="380"/>
        <v/>
      </c>
      <c r="ITJ118" s="100" t="str">
        <f t="shared" si="380"/>
        <v/>
      </c>
      <c r="ITK118" s="100" t="str">
        <f t="shared" si="380"/>
        <v/>
      </c>
      <c r="ITL118" s="100" t="str">
        <f t="shared" si="380"/>
        <v/>
      </c>
      <c r="ITM118" s="100" t="str">
        <f t="shared" si="380"/>
        <v/>
      </c>
      <c r="ITN118" s="100" t="str">
        <f t="shared" si="380"/>
        <v/>
      </c>
      <c r="ITO118" s="100" t="str">
        <f t="shared" si="380"/>
        <v/>
      </c>
      <c r="ITP118" s="100" t="str">
        <f t="shared" si="380"/>
        <v/>
      </c>
      <c r="ITQ118" s="100" t="str">
        <f t="shared" si="380"/>
        <v/>
      </c>
      <c r="ITR118" s="100" t="str">
        <f t="shared" si="380"/>
        <v/>
      </c>
      <c r="ITS118" s="100" t="str">
        <f t="shared" si="380"/>
        <v/>
      </c>
      <c r="ITT118" s="100" t="str">
        <f t="shared" si="380"/>
        <v/>
      </c>
      <c r="ITU118" s="100" t="str">
        <f t="shared" si="380"/>
        <v/>
      </c>
      <c r="ITV118" s="100" t="str">
        <f t="shared" si="380"/>
        <v/>
      </c>
      <c r="ITW118" s="100" t="str">
        <f t="shared" si="380"/>
        <v/>
      </c>
      <c r="ITX118" s="100" t="str">
        <f t="shared" si="380"/>
        <v/>
      </c>
      <c r="ITY118" s="100" t="str">
        <f t="shared" si="380"/>
        <v/>
      </c>
      <c r="ITZ118" s="100" t="str">
        <f t="shared" si="380"/>
        <v/>
      </c>
      <c r="IUA118" s="100" t="str">
        <f t="shared" si="380"/>
        <v/>
      </c>
      <c r="IUB118" s="100" t="str">
        <f t="shared" si="380"/>
        <v/>
      </c>
      <c r="IUC118" s="100" t="str">
        <f t="shared" si="380"/>
        <v/>
      </c>
      <c r="IUD118" s="100" t="str">
        <f t="shared" si="380"/>
        <v/>
      </c>
      <c r="IUE118" s="100" t="str">
        <f t="shared" si="380"/>
        <v/>
      </c>
      <c r="IUF118" s="100" t="str">
        <f t="shared" si="380"/>
        <v/>
      </c>
      <c r="IUG118" s="100" t="str">
        <f t="shared" si="380"/>
        <v/>
      </c>
      <c r="IUH118" s="100" t="str">
        <f t="shared" si="380"/>
        <v/>
      </c>
      <c r="IUI118" s="100" t="str">
        <f t="shared" si="380"/>
        <v/>
      </c>
      <c r="IUJ118" s="100" t="str">
        <f t="shared" si="380"/>
        <v/>
      </c>
      <c r="IUK118" s="100" t="str">
        <f t="shared" si="380"/>
        <v/>
      </c>
      <c r="IUL118" s="100" t="str">
        <f t="shared" si="380"/>
        <v/>
      </c>
      <c r="IUM118" s="100" t="str">
        <f t="shared" si="380"/>
        <v/>
      </c>
      <c r="IUN118" s="100" t="str">
        <f t="shared" si="380"/>
        <v/>
      </c>
      <c r="IUO118" s="100" t="str">
        <f t="shared" si="380"/>
        <v/>
      </c>
      <c r="IUP118" s="100" t="str">
        <f t="shared" si="380"/>
        <v/>
      </c>
      <c r="IUQ118" s="100" t="str">
        <f t="shared" si="380"/>
        <v/>
      </c>
      <c r="IUR118" s="100" t="str">
        <f t="shared" si="380"/>
        <v/>
      </c>
      <c r="IUS118" s="100" t="str">
        <f t="shared" si="380"/>
        <v/>
      </c>
      <c r="IUT118" s="100" t="str">
        <f t="shared" si="380"/>
        <v/>
      </c>
      <c r="IUU118" s="100" t="str">
        <f t="shared" si="380"/>
        <v/>
      </c>
      <c r="IUV118" s="100" t="str">
        <f t="shared" si="380"/>
        <v/>
      </c>
      <c r="IUW118" s="100" t="str">
        <f t="shared" si="380"/>
        <v/>
      </c>
      <c r="IUX118" s="100" t="str">
        <f t="shared" si="380"/>
        <v/>
      </c>
      <c r="IUY118" s="100" t="str">
        <f t="shared" si="380"/>
        <v/>
      </c>
      <c r="IUZ118" s="100" t="str">
        <f t="shared" si="380"/>
        <v/>
      </c>
      <c r="IVA118" s="100" t="str">
        <f t="shared" si="380"/>
        <v/>
      </c>
      <c r="IVB118" s="100" t="str">
        <f t="shared" si="380"/>
        <v/>
      </c>
      <c r="IVC118" s="100" t="str">
        <f t="shared" si="380"/>
        <v/>
      </c>
      <c r="IVD118" s="100" t="str">
        <f t="shared" si="380"/>
        <v/>
      </c>
      <c r="IVE118" s="100" t="str">
        <f t="shared" ref="IVE118:IXP118" si="381">IFERROR(AVERAGE(IVE6,IVE16,IVE25,IVE34,IVE42,IVE54,IVE62,IVE70,IVE78,IVE86,IVE94,IVE102,IVE110),"")</f>
        <v/>
      </c>
      <c r="IVF118" s="100" t="str">
        <f t="shared" si="381"/>
        <v/>
      </c>
      <c r="IVG118" s="100" t="str">
        <f t="shared" si="381"/>
        <v/>
      </c>
      <c r="IVH118" s="100" t="str">
        <f t="shared" si="381"/>
        <v/>
      </c>
      <c r="IVI118" s="100" t="str">
        <f t="shared" si="381"/>
        <v/>
      </c>
      <c r="IVJ118" s="100" t="str">
        <f t="shared" si="381"/>
        <v/>
      </c>
      <c r="IVK118" s="100" t="str">
        <f t="shared" si="381"/>
        <v/>
      </c>
      <c r="IVL118" s="100" t="str">
        <f t="shared" si="381"/>
        <v/>
      </c>
      <c r="IVM118" s="100" t="str">
        <f t="shared" si="381"/>
        <v/>
      </c>
      <c r="IVN118" s="100" t="str">
        <f t="shared" si="381"/>
        <v/>
      </c>
      <c r="IVO118" s="100" t="str">
        <f t="shared" si="381"/>
        <v/>
      </c>
      <c r="IVP118" s="100" t="str">
        <f t="shared" si="381"/>
        <v/>
      </c>
      <c r="IVQ118" s="100" t="str">
        <f t="shared" si="381"/>
        <v/>
      </c>
      <c r="IVR118" s="100" t="str">
        <f t="shared" si="381"/>
        <v/>
      </c>
      <c r="IVS118" s="100" t="str">
        <f t="shared" si="381"/>
        <v/>
      </c>
      <c r="IVT118" s="100" t="str">
        <f t="shared" si="381"/>
        <v/>
      </c>
      <c r="IVU118" s="100" t="str">
        <f t="shared" si="381"/>
        <v/>
      </c>
      <c r="IVV118" s="100" t="str">
        <f t="shared" si="381"/>
        <v/>
      </c>
      <c r="IVW118" s="100" t="str">
        <f t="shared" si="381"/>
        <v/>
      </c>
      <c r="IVX118" s="100" t="str">
        <f t="shared" si="381"/>
        <v/>
      </c>
      <c r="IVY118" s="100" t="str">
        <f t="shared" si="381"/>
        <v/>
      </c>
      <c r="IVZ118" s="100" t="str">
        <f t="shared" si="381"/>
        <v/>
      </c>
      <c r="IWA118" s="100" t="str">
        <f t="shared" si="381"/>
        <v/>
      </c>
      <c r="IWB118" s="100" t="str">
        <f t="shared" si="381"/>
        <v/>
      </c>
      <c r="IWC118" s="100" t="str">
        <f t="shared" si="381"/>
        <v/>
      </c>
      <c r="IWD118" s="100" t="str">
        <f t="shared" si="381"/>
        <v/>
      </c>
      <c r="IWE118" s="100" t="str">
        <f t="shared" si="381"/>
        <v/>
      </c>
      <c r="IWF118" s="100" t="str">
        <f t="shared" si="381"/>
        <v/>
      </c>
      <c r="IWG118" s="100" t="str">
        <f t="shared" si="381"/>
        <v/>
      </c>
      <c r="IWH118" s="100" t="str">
        <f t="shared" si="381"/>
        <v/>
      </c>
      <c r="IWI118" s="100" t="str">
        <f t="shared" si="381"/>
        <v/>
      </c>
      <c r="IWJ118" s="100" t="str">
        <f t="shared" si="381"/>
        <v/>
      </c>
      <c r="IWK118" s="100" t="str">
        <f t="shared" si="381"/>
        <v/>
      </c>
      <c r="IWL118" s="100" t="str">
        <f t="shared" si="381"/>
        <v/>
      </c>
      <c r="IWM118" s="100" t="str">
        <f t="shared" si="381"/>
        <v/>
      </c>
      <c r="IWN118" s="100" t="str">
        <f t="shared" si="381"/>
        <v/>
      </c>
      <c r="IWO118" s="100" t="str">
        <f t="shared" si="381"/>
        <v/>
      </c>
      <c r="IWP118" s="100" t="str">
        <f t="shared" si="381"/>
        <v/>
      </c>
      <c r="IWQ118" s="100" t="str">
        <f t="shared" si="381"/>
        <v/>
      </c>
      <c r="IWR118" s="100" t="str">
        <f t="shared" si="381"/>
        <v/>
      </c>
      <c r="IWS118" s="100" t="str">
        <f t="shared" si="381"/>
        <v/>
      </c>
      <c r="IWT118" s="100" t="str">
        <f t="shared" si="381"/>
        <v/>
      </c>
      <c r="IWU118" s="100" t="str">
        <f t="shared" si="381"/>
        <v/>
      </c>
      <c r="IWV118" s="100" t="str">
        <f t="shared" si="381"/>
        <v/>
      </c>
      <c r="IWW118" s="100" t="str">
        <f t="shared" si="381"/>
        <v/>
      </c>
      <c r="IWX118" s="100" t="str">
        <f t="shared" si="381"/>
        <v/>
      </c>
      <c r="IWY118" s="100" t="str">
        <f t="shared" si="381"/>
        <v/>
      </c>
      <c r="IWZ118" s="100" t="str">
        <f t="shared" si="381"/>
        <v/>
      </c>
      <c r="IXA118" s="100" t="str">
        <f t="shared" si="381"/>
        <v/>
      </c>
      <c r="IXB118" s="100" t="str">
        <f t="shared" si="381"/>
        <v/>
      </c>
      <c r="IXC118" s="100" t="str">
        <f t="shared" si="381"/>
        <v/>
      </c>
      <c r="IXD118" s="100" t="str">
        <f t="shared" si="381"/>
        <v/>
      </c>
      <c r="IXE118" s="100" t="str">
        <f t="shared" si="381"/>
        <v/>
      </c>
      <c r="IXF118" s="100" t="str">
        <f t="shared" si="381"/>
        <v/>
      </c>
      <c r="IXG118" s="100" t="str">
        <f t="shared" si="381"/>
        <v/>
      </c>
      <c r="IXH118" s="100" t="str">
        <f t="shared" si="381"/>
        <v/>
      </c>
      <c r="IXI118" s="100" t="str">
        <f t="shared" si="381"/>
        <v/>
      </c>
      <c r="IXJ118" s="100" t="str">
        <f t="shared" si="381"/>
        <v/>
      </c>
      <c r="IXK118" s="100" t="str">
        <f t="shared" si="381"/>
        <v/>
      </c>
      <c r="IXL118" s="100" t="str">
        <f t="shared" si="381"/>
        <v/>
      </c>
      <c r="IXM118" s="100" t="str">
        <f t="shared" si="381"/>
        <v/>
      </c>
      <c r="IXN118" s="100" t="str">
        <f t="shared" si="381"/>
        <v/>
      </c>
      <c r="IXO118" s="100" t="str">
        <f t="shared" si="381"/>
        <v/>
      </c>
      <c r="IXP118" s="100" t="str">
        <f t="shared" si="381"/>
        <v/>
      </c>
      <c r="IXQ118" s="100" t="str">
        <f t="shared" ref="IXQ118:JAB118" si="382">IFERROR(AVERAGE(IXQ6,IXQ16,IXQ25,IXQ34,IXQ42,IXQ54,IXQ62,IXQ70,IXQ78,IXQ86,IXQ94,IXQ102,IXQ110),"")</f>
        <v/>
      </c>
      <c r="IXR118" s="100" t="str">
        <f t="shared" si="382"/>
        <v/>
      </c>
      <c r="IXS118" s="100" t="str">
        <f t="shared" si="382"/>
        <v/>
      </c>
      <c r="IXT118" s="100" t="str">
        <f t="shared" si="382"/>
        <v/>
      </c>
      <c r="IXU118" s="100" t="str">
        <f t="shared" si="382"/>
        <v/>
      </c>
      <c r="IXV118" s="100" t="str">
        <f t="shared" si="382"/>
        <v/>
      </c>
      <c r="IXW118" s="100" t="str">
        <f t="shared" si="382"/>
        <v/>
      </c>
      <c r="IXX118" s="100" t="str">
        <f t="shared" si="382"/>
        <v/>
      </c>
      <c r="IXY118" s="100" t="str">
        <f t="shared" si="382"/>
        <v/>
      </c>
      <c r="IXZ118" s="100" t="str">
        <f t="shared" si="382"/>
        <v/>
      </c>
      <c r="IYA118" s="100" t="str">
        <f t="shared" si="382"/>
        <v/>
      </c>
      <c r="IYB118" s="100" t="str">
        <f t="shared" si="382"/>
        <v/>
      </c>
      <c r="IYC118" s="100" t="str">
        <f t="shared" si="382"/>
        <v/>
      </c>
      <c r="IYD118" s="100" t="str">
        <f t="shared" si="382"/>
        <v/>
      </c>
      <c r="IYE118" s="100" t="str">
        <f t="shared" si="382"/>
        <v/>
      </c>
      <c r="IYF118" s="100" t="str">
        <f t="shared" si="382"/>
        <v/>
      </c>
      <c r="IYG118" s="100" t="str">
        <f t="shared" si="382"/>
        <v/>
      </c>
      <c r="IYH118" s="100" t="str">
        <f t="shared" si="382"/>
        <v/>
      </c>
      <c r="IYI118" s="100" t="str">
        <f t="shared" si="382"/>
        <v/>
      </c>
      <c r="IYJ118" s="100" t="str">
        <f t="shared" si="382"/>
        <v/>
      </c>
      <c r="IYK118" s="100" t="str">
        <f t="shared" si="382"/>
        <v/>
      </c>
      <c r="IYL118" s="100" t="str">
        <f t="shared" si="382"/>
        <v/>
      </c>
      <c r="IYM118" s="100" t="str">
        <f t="shared" si="382"/>
        <v/>
      </c>
      <c r="IYN118" s="100" t="str">
        <f t="shared" si="382"/>
        <v/>
      </c>
      <c r="IYO118" s="100" t="str">
        <f t="shared" si="382"/>
        <v/>
      </c>
      <c r="IYP118" s="100" t="str">
        <f t="shared" si="382"/>
        <v/>
      </c>
      <c r="IYQ118" s="100" t="str">
        <f t="shared" si="382"/>
        <v/>
      </c>
      <c r="IYR118" s="100" t="str">
        <f t="shared" si="382"/>
        <v/>
      </c>
      <c r="IYS118" s="100" t="str">
        <f t="shared" si="382"/>
        <v/>
      </c>
      <c r="IYT118" s="100" t="str">
        <f t="shared" si="382"/>
        <v/>
      </c>
      <c r="IYU118" s="100" t="str">
        <f t="shared" si="382"/>
        <v/>
      </c>
      <c r="IYV118" s="100" t="str">
        <f t="shared" si="382"/>
        <v/>
      </c>
      <c r="IYW118" s="100" t="str">
        <f t="shared" si="382"/>
        <v/>
      </c>
      <c r="IYX118" s="100" t="str">
        <f t="shared" si="382"/>
        <v/>
      </c>
      <c r="IYY118" s="100" t="str">
        <f t="shared" si="382"/>
        <v/>
      </c>
      <c r="IYZ118" s="100" t="str">
        <f t="shared" si="382"/>
        <v/>
      </c>
      <c r="IZA118" s="100" t="str">
        <f t="shared" si="382"/>
        <v/>
      </c>
      <c r="IZB118" s="100" t="str">
        <f t="shared" si="382"/>
        <v/>
      </c>
      <c r="IZC118" s="100" t="str">
        <f t="shared" si="382"/>
        <v/>
      </c>
      <c r="IZD118" s="100" t="str">
        <f t="shared" si="382"/>
        <v/>
      </c>
      <c r="IZE118" s="100" t="str">
        <f t="shared" si="382"/>
        <v/>
      </c>
      <c r="IZF118" s="100" t="str">
        <f t="shared" si="382"/>
        <v/>
      </c>
      <c r="IZG118" s="100" t="str">
        <f t="shared" si="382"/>
        <v/>
      </c>
      <c r="IZH118" s="100" t="str">
        <f t="shared" si="382"/>
        <v/>
      </c>
      <c r="IZI118" s="100" t="str">
        <f t="shared" si="382"/>
        <v/>
      </c>
      <c r="IZJ118" s="100" t="str">
        <f t="shared" si="382"/>
        <v/>
      </c>
      <c r="IZK118" s="100" t="str">
        <f t="shared" si="382"/>
        <v/>
      </c>
      <c r="IZL118" s="100" t="str">
        <f t="shared" si="382"/>
        <v/>
      </c>
      <c r="IZM118" s="100" t="str">
        <f t="shared" si="382"/>
        <v/>
      </c>
      <c r="IZN118" s="100" t="str">
        <f t="shared" si="382"/>
        <v/>
      </c>
      <c r="IZO118" s="100" t="str">
        <f t="shared" si="382"/>
        <v/>
      </c>
      <c r="IZP118" s="100" t="str">
        <f t="shared" si="382"/>
        <v/>
      </c>
      <c r="IZQ118" s="100" t="str">
        <f t="shared" si="382"/>
        <v/>
      </c>
      <c r="IZR118" s="100" t="str">
        <f t="shared" si="382"/>
        <v/>
      </c>
      <c r="IZS118" s="100" t="str">
        <f t="shared" si="382"/>
        <v/>
      </c>
      <c r="IZT118" s="100" t="str">
        <f t="shared" si="382"/>
        <v/>
      </c>
      <c r="IZU118" s="100" t="str">
        <f t="shared" si="382"/>
        <v/>
      </c>
      <c r="IZV118" s="100" t="str">
        <f t="shared" si="382"/>
        <v/>
      </c>
      <c r="IZW118" s="100" t="str">
        <f t="shared" si="382"/>
        <v/>
      </c>
      <c r="IZX118" s="100" t="str">
        <f t="shared" si="382"/>
        <v/>
      </c>
      <c r="IZY118" s="100" t="str">
        <f t="shared" si="382"/>
        <v/>
      </c>
      <c r="IZZ118" s="100" t="str">
        <f t="shared" si="382"/>
        <v/>
      </c>
      <c r="JAA118" s="100" t="str">
        <f t="shared" si="382"/>
        <v/>
      </c>
      <c r="JAB118" s="100" t="str">
        <f t="shared" si="382"/>
        <v/>
      </c>
      <c r="JAC118" s="100" t="str">
        <f t="shared" ref="JAC118:JCN118" si="383">IFERROR(AVERAGE(JAC6,JAC16,JAC25,JAC34,JAC42,JAC54,JAC62,JAC70,JAC78,JAC86,JAC94,JAC102,JAC110),"")</f>
        <v/>
      </c>
      <c r="JAD118" s="100" t="str">
        <f t="shared" si="383"/>
        <v/>
      </c>
      <c r="JAE118" s="100" t="str">
        <f t="shared" si="383"/>
        <v/>
      </c>
      <c r="JAF118" s="100" t="str">
        <f t="shared" si="383"/>
        <v/>
      </c>
      <c r="JAG118" s="100" t="str">
        <f t="shared" si="383"/>
        <v/>
      </c>
      <c r="JAH118" s="100" t="str">
        <f t="shared" si="383"/>
        <v/>
      </c>
      <c r="JAI118" s="100" t="str">
        <f t="shared" si="383"/>
        <v/>
      </c>
      <c r="JAJ118" s="100" t="str">
        <f t="shared" si="383"/>
        <v/>
      </c>
      <c r="JAK118" s="100" t="str">
        <f t="shared" si="383"/>
        <v/>
      </c>
      <c r="JAL118" s="100" t="str">
        <f t="shared" si="383"/>
        <v/>
      </c>
      <c r="JAM118" s="100" t="str">
        <f t="shared" si="383"/>
        <v/>
      </c>
      <c r="JAN118" s="100" t="str">
        <f t="shared" si="383"/>
        <v/>
      </c>
      <c r="JAO118" s="100" t="str">
        <f t="shared" si="383"/>
        <v/>
      </c>
      <c r="JAP118" s="100" t="str">
        <f t="shared" si="383"/>
        <v/>
      </c>
      <c r="JAQ118" s="100" t="str">
        <f t="shared" si="383"/>
        <v/>
      </c>
      <c r="JAR118" s="100" t="str">
        <f t="shared" si="383"/>
        <v/>
      </c>
      <c r="JAS118" s="100" t="str">
        <f t="shared" si="383"/>
        <v/>
      </c>
      <c r="JAT118" s="100" t="str">
        <f t="shared" si="383"/>
        <v/>
      </c>
      <c r="JAU118" s="100" t="str">
        <f t="shared" si="383"/>
        <v/>
      </c>
      <c r="JAV118" s="100" t="str">
        <f t="shared" si="383"/>
        <v/>
      </c>
      <c r="JAW118" s="100" t="str">
        <f t="shared" si="383"/>
        <v/>
      </c>
      <c r="JAX118" s="100" t="str">
        <f t="shared" si="383"/>
        <v/>
      </c>
      <c r="JAY118" s="100" t="str">
        <f t="shared" si="383"/>
        <v/>
      </c>
      <c r="JAZ118" s="100" t="str">
        <f t="shared" si="383"/>
        <v/>
      </c>
      <c r="JBA118" s="100" t="str">
        <f t="shared" si="383"/>
        <v/>
      </c>
      <c r="JBB118" s="100" t="str">
        <f t="shared" si="383"/>
        <v/>
      </c>
      <c r="JBC118" s="100" t="str">
        <f t="shared" si="383"/>
        <v/>
      </c>
      <c r="JBD118" s="100" t="str">
        <f t="shared" si="383"/>
        <v/>
      </c>
      <c r="JBE118" s="100" t="str">
        <f t="shared" si="383"/>
        <v/>
      </c>
      <c r="JBF118" s="100" t="str">
        <f t="shared" si="383"/>
        <v/>
      </c>
      <c r="JBG118" s="100" t="str">
        <f t="shared" si="383"/>
        <v/>
      </c>
      <c r="JBH118" s="100" t="str">
        <f t="shared" si="383"/>
        <v/>
      </c>
      <c r="JBI118" s="100" t="str">
        <f t="shared" si="383"/>
        <v/>
      </c>
      <c r="JBJ118" s="100" t="str">
        <f t="shared" si="383"/>
        <v/>
      </c>
      <c r="JBK118" s="100" t="str">
        <f t="shared" si="383"/>
        <v/>
      </c>
      <c r="JBL118" s="100" t="str">
        <f t="shared" si="383"/>
        <v/>
      </c>
      <c r="JBM118" s="100" t="str">
        <f t="shared" si="383"/>
        <v/>
      </c>
      <c r="JBN118" s="100" t="str">
        <f t="shared" si="383"/>
        <v/>
      </c>
      <c r="JBO118" s="100" t="str">
        <f t="shared" si="383"/>
        <v/>
      </c>
      <c r="JBP118" s="100" t="str">
        <f t="shared" si="383"/>
        <v/>
      </c>
      <c r="JBQ118" s="100" t="str">
        <f t="shared" si="383"/>
        <v/>
      </c>
      <c r="JBR118" s="100" t="str">
        <f t="shared" si="383"/>
        <v/>
      </c>
      <c r="JBS118" s="100" t="str">
        <f t="shared" si="383"/>
        <v/>
      </c>
      <c r="JBT118" s="100" t="str">
        <f t="shared" si="383"/>
        <v/>
      </c>
      <c r="JBU118" s="100" t="str">
        <f t="shared" si="383"/>
        <v/>
      </c>
      <c r="JBV118" s="100" t="str">
        <f t="shared" si="383"/>
        <v/>
      </c>
      <c r="JBW118" s="100" t="str">
        <f t="shared" si="383"/>
        <v/>
      </c>
      <c r="JBX118" s="100" t="str">
        <f t="shared" si="383"/>
        <v/>
      </c>
      <c r="JBY118" s="100" t="str">
        <f t="shared" si="383"/>
        <v/>
      </c>
      <c r="JBZ118" s="100" t="str">
        <f t="shared" si="383"/>
        <v/>
      </c>
      <c r="JCA118" s="100" t="str">
        <f t="shared" si="383"/>
        <v/>
      </c>
      <c r="JCB118" s="100" t="str">
        <f t="shared" si="383"/>
        <v/>
      </c>
      <c r="JCC118" s="100" t="str">
        <f t="shared" si="383"/>
        <v/>
      </c>
      <c r="JCD118" s="100" t="str">
        <f t="shared" si="383"/>
        <v/>
      </c>
      <c r="JCE118" s="100" t="str">
        <f t="shared" si="383"/>
        <v/>
      </c>
      <c r="JCF118" s="100" t="str">
        <f t="shared" si="383"/>
        <v/>
      </c>
      <c r="JCG118" s="100" t="str">
        <f t="shared" si="383"/>
        <v/>
      </c>
      <c r="JCH118" s="100" t="str">
        <f t="shared" si="383"/>
        <v/>
      </c>
      <c r="JCI118" s="100" t="str">
        <f t="shared" si="383"/>
        <v/>
      </c>
      <c r="JCJ118" s="100" t="str">
        <f t="shared" si="383"/>
        <v/>
      </c>
      <c r="JCK118" s="100" t="str">
        <f t="shared" si="383"/>
        <v/>
      </c>
      <c r="JCL118" s="100" t="str">
        <f t="shared" si="383"/>
        <v/>
      </c>
      <c r="JCM118" s="100" t="str">
        <f t="shared" si="383"/>
        <v/>
      </c>
      <c r="JCN118" s="100" t="str">
        <f t="shared" si="383"/>
        <v/>
      </c>
      <c r="JCO118" s="100" t="str">
        <f t="shared" ref="JCO118:JEZ118" si="384">IFERROR(AVERAGE(JCO6,JCO16,JCO25,JCO34,JCO42,JCO54,JCO62,JCO70,JCO78,JCO86,JCO94,JCO102,JCO110),"")</f>
        <v/>
      </c>
      <c r="JCP118" s="100" t="str">
        <f t="shared" si="384"/>
        <v/>
      </c>
      <c r="JCQ118" s="100" t="str">
        <f t="shared" si="384"/>
        <v/>
      </c>
      <c r="JCR118" s="100" t="str">
        <f t="shared" si="384"/>
        <v/>
      </c>
      <c r="JCS118" s="100" t="str">
        <f t="shared" si="384"/>
        <v/>
      </c>
      <c r="JCT118" s="100" t="str">
        <f t="shared" si="384"/>
        <v/>
      </c>
      <c r="JCU118" s="100" t="str">
        <f t="shared" si="384"/>
        <v/>
      </c>
      <c r="JCV118" s="100" t="str">
        <f t="shared" si="384"/>
        <v/>
      </c>
      <c r="JCW118" s="100" t="str">
        <f t="shared" si="384"/>
        <v/>
      </c>
      <c r="JCX118" s="100" t="str">
        <f t="shared" si="384"/>
        <v/>
      </c>
      <c r="JCY118" s="100" t="str">
        <f t="shared" si="384"/>
        <v/>
      </c>
      <c r="JCZ118" s="100" t="str">
        <f t="shared" si="384"/>
        <v/>
      </c>
      <c r="JDA118" s="100" t="str">
        <f t="shared" si="384"/>
        <v/>
      </c>
      <c r="JDB118" s="100" t="str">
        <f t="shared" si="384"/>
        <v/>
      </c>
      <c r="JDC118" s="100" t="str">
        <f t="shared" si="384"/>
        <v/>
      </c>
      <c r="JDD118" s="100" t="str">
        <f t="shared" si="384"/>
        <v/>
      </c>
      <c r="JDE118" s="100" t="str">
        <f t="shared" si="384"/>
        <v/>
      </c>
      <c r="JDF118" s="100" t="str">
        <f t="shared" si="384"/>
        <v/>
      </c>
      <c r="JDG118" s="100" t="str">
        <f t="shared" si="384"/>
        <v/>
      </c>
      <c r="JDH118" s="100" t="str">
        <f t="shared" si="384"/>
        <v/>
      </c>
      <c r="JDI118" s="100" t="str">
        <f t="shared" si="384"/>
        <v/>
      </c>
      <c r="JDJ118" s="100" t="str">
        <f t="shared" si="384"/>
        <v/>
      </c>
      <c r="JDK118" s="100" t="str">
        <f t="shared" si="384"/>
        <v/>
      </c>
      <c r="JDL118" s="100" t="str">
        <f t="shared" si="384"/>
        <v/>
      </c>
      <c r="JDM118" s="100" t="str">
        <f t="shared" si="384"/>
        <v/>
      </c>
      <c r="JDN118" s="100" t="str">
        <f t="shared" si="384"/>
        <v/>
      </c>
      <c r="JDO118" s="100" t="str">
        <f t="shared" si="384"/>
        <v/>
      </c>
      <c r="JDP118" s="100" t="str">
        <f t="shared" si="384"/>
        <v/>
      </c>
      <c r="JDQ118" s="100" t="str">
        <f t="shared" si="384"/>
        <v/>
      </c>
      <c r="JDR118" s="100" t="str">
        <f t="shared" si="384"/>
        <v/>
      </c>
      <c r="JDS118" s="100" t="str">
        <f t="shared" si="384"/>
        <v/>
      </c>
      <c r="JDT118" s="100" t="str">
        <f t="shared" si="384"/>
        <v/>
      </c>
      <c r="JDU118" s="100" t="str">
        <f t="shared" si="384"/>
        <v/>
      </c>
      <c r="JDV118" s="100" t="str">
        <f t="shared" si="384"/>
        <v/>
      </c>
      <c r="JDW118" s="100" t="str">
        <f t="shared" si="384"/>
        <v/>
      </c>
      <c r="JDX118" s="100" t="str">
        <f t="shared" si="384"/>
        <v/>
      </c>
      <c r="JDY118" s="100" t="str">
        <f t="shared" si="384"/>
        <v/>
      </c>
      <c r="JDZ118" s="100" t="str">
        <f t="shared" si="384"/>
        <v/>
      </c>
      <c r="JEA118" s="100" t="str">
        <f t="shared" si="384"/>
        <v/>
      </c>
      <c r="JEB118" s="100" t="str">
        <f t="shared" si="384"/>
        <v/>
      </c>
      <c r="JEC118" s="100" t="str">
        <f t="shared" si="384"/>
        <v/>
      </c>
      <c r="JED118" s="100" t="str">
        <f t="shared" si="384"/>
        <v/>
      </c>
      <c r="JEE118" s="100" t="str">
        <f t="shared" si="384"/>
        <v/>
      </c>
      <c r="JEF118" s="100" t="str">
        <f t="shared" si="384"/>
        <v/>
      </c>
      <c r="JEG118" s="100" t="str">
        <f t="shared" si="384"/>
        <v/>
      </c>
      <c r="JEH118" s="100" t="str">
        <f t="shared" si="384"/>
        <v/>
      </c>
      <c r="JEI118" s="100" t="str">
        <f t="shared" si="384"/>
        <v/>
      </c>
      <c r="JEJ118" s="100" t="str">
        <f t="shared" si="384"/>
        <v/>
      </c>
      <c r="JEK118" s="100" t="str">
        <f t="shared" si="384"/>
        <v/>
      </c>
      <c r="JEL118" s="100" t="str">
        <f t="shared" si="384"/>
        <v/>
      </c>
      <c r="JEM118" s="100" t="str">
        <f t="shared" si="384"/>
        <v/>
      </c>
      <c r="JEN118" s="100" t="str">
        <f t="shared" si="384"/>
        <v/>
      </c>
      <c r="JEO118" s="100" t="str">
        <f t="shared" si="384"/>
        <v/>
      </c>
      <c r="JEP118" s="100" t="str">
        <f t="shared" si="384"/>
        <v/>
      </c>
      <c r="JEQ118" s="100" t="str">
        <f t="shared" si="384"/>
        <v/>
      </c>
      <c r="JER118" s="100" t="str">
        <f t="shared" si="384"/>
        <v/>
      </c>
      <c r="JES118" s="100" t="str">
        <f t="shared" si="384"/>
        <v/>
      </c>
      <c r="JET118" s="100" t="str">
        <f t="shared" si="384"/>
        <v/>
      </c>
      <c r="JEU118" s="100" t="str">
        <f t="shared" si="384"/>
        <v/>
      </c>
      <c r="JEV118" s="100" t="str">
        <f t="shared" si="384"/>
        <v/>
      </c>
      <c r="JEW118" s="100" t="str">
        <f t="shared" si="384"/>
        <v/>
      </c>
      <c r="JEX118" s="100" t="str">
        <f t="shared" si="384"/>
        <v/>
      </c>
      <c r="JEY118" s="100" t="str">
        <f t="shared" si="384"/>
        <v/>
      </c>
      <c r="JEZ118" s="100" t="str">
        <f t="shared" si="384"/>
        <v/>
      </c>
      <c r="JFA118" s="100" t="str">
        <f t="shared" ref="JFA118:JHL118" si="385">IFERROR(AVERAGE(JFA6,JFA16,JFA25,JFA34,JFA42,JFA54,JFA62,JFA70,JFA78,JFA86,JFA94,JFA102,JFA110),"")</f>
        <v/>
      </c>
      <c r="JFB118" s="100" t="str">
        <f t="shared" si="385"/>
        <v/>
      </c>
      <c r="JFC118" s="100" t="str">
        <f t="shared" si="385"/>
        <v/>
      </c>
      <c r="JFD118" s="100" t="str">
        <f t="shared" si="385"/>
        <v/>
      </c>
      <c r="JFE118" s="100" t="str">
        <f t="shared" si="385"/>
        <v/>
      </c>
      <c r="JFF118" s="100" t="str">
        <f t="shared" si="385"/>
        <v/>
      </c>
      <c r="JFG118" s="100" t="str">
        <f t="shared" si="385"/>
        <v/>
      </c>
      <c r="JFH118" s="100" t="str">
        <f t="shared" si="385"/>
        <v/>
      </c>
      <c r="JFI118" s="100" t="str">
        <f t="shared" si="385"/>
        <v/>
      </c>
      <c r="JFJ118" s="100" t="str">
        <f t="shared" si="385"/>
        <v/>
      </c>
      <c r="JFK118" s="100" t="str">
        <f t="shared" si="385"/>
        <v/>
      </c>
      <c r="JFL118" s="100" t="str">
        <f t="shared" si="385"/>
        <v/>
      </c>
      <c r="JFM118" s="100" t="str">
        <f t="shared" si="385"/>
        <v/>
      </c>
      <c r="JFN118" s="100" t="str">
        <f t="shared" si="385"/>
        <v/>
      </c>
      <c r="JFO118" s="100" t="str">
        <f t="shared" si="385"/>
        <v/>
      </c>
      <c r="JFP118" s="100" t="str">
        <f t="shared" si="385"/>
        <v/>
      </c>
      <c r="JFQ118" s="100" t="str">
        <f t="shared" si="385"/>
        <v/>
      </c>
      <c r="JFR118" s="100" t="str">
        <f t="shared" si="385"/>
        <v/>
      </c>
      <c r="JFS118" s="100" t="str">
        <f t="shared" si="385"/>
        <v/>
      </c>
      <c r="JFT118" s="100" t="str">
        <f t="shared" si="385"/>
        <v/>
      </c>
      <c r="JFU118" s="100" t="str">
        <f t="shared" si="385"/>
        <v/>
      </c>
      <c r="JFV118" s="100" t="str">
        <f t="shared" si="385"/>
        <v/>
      </c>
      <c r="JFW118" s="100" t="str">
        <f t="shared" si="385"/>
        <v/>
      </c>
      <c r="JFX118" s="100" t="str">
        <f t="shared" si="385"/>
        <v/>
      </c>
      <c r="JFY118" s="100" t="str">
        <f t="shared" si="385"/>
        <v/>
      </c>
      <c r="JFZ118" s="100" t="str">
        <f t="shared" si="385"/>
        <v/>
      </c>
      <c r="JGA118" s="100" t="str">
        <f t="shared" si="385"/>
        <v/>
      </c>
      <c r="JGB118" s="100" t="str">
        <f t="shared" si="385"/>
        <v/>
      </c>
      <c r="JGC118" s="100" t="str">
        <f t="shared" si="385"/>
        <v/>
      </c>
      <c r="JGD118" s="100" t="str">
        <f t="shared" si="385"/>
        <v/>
      </c>
      <c r="JGE118" s="100" t="str">
        <f t="shared" si="385"/>
        <v/>
      </c>
      <c r="JGF118" s="100" t="str">
        <f t="shared" si="385"/>
        <v/>
      </c>
      <c r="JGG118" s="100" t="str">
        <f t="shared" si="385"/>
        <v/>
      </c>
      <c r="JGH118" s="100" t="str">
        <f t="shared" si="385"/>
        <v/>
      </c>
      <c r="JGI118" s="100" t="str">
        <f t="shared" si="385"/>
        <v/>
      </c>
      <c r="JGJ118" s="100" t="str">
        <f t="shared" si="385"/>
        <v/>
      </c>
      <c r="JGK118" s="100" t="str">
        <f t="shared" si="385"/>
        <v/>
      </c>
      <c r="JGL118" s="100" t="str">
        <f t="shared" si="385"/>
        <v/>
      </c>
      <c r="JGM118" s="100" t="str">
        <f t="shared" si="385"/>
        <v/>
      </c>
      <c r="JGN118" s="100" t="str">
        <f t="shared" si="385"/>
        <v/>
      </c>
      <c r="JGO118" s="100" t="str">
        <f t="shared" si="385"/>
        <v/>
      </c>
      <c r="JGP118" s="100" t="str">
        <f t="shared" si="385"/>
        <v/>
      </c>
      <c r="JGQ118" s="100" t="str">
        <f t="shared" si="385"/>
        <v/>
      </c>
      <c r="JGR118" s="100" t="str">
        <f t="shared" si="385"/>
        <v/>
      </c>
      <c r="JGS118" s="100" t="str">
        <f t="shared" si="385"/>
        <v/>
      </c>
      <c r="JGT118" s="100" t="str">
        <f t="shared" si="385"/>
        <v/>
      </c>
      <c r="JGU118" s="100" t="str">
        <f t="shared" si="385"/>
        <v/>
      </c>
      <c r="JGV118" s="100" t="str">
        <f t="shared" si="385"/>
        <v/>
      </c>
      <c r="JGW118" s="100" t="str">
        <f t="shared" si="385"/>
        <v/>
      </c>
      <c r="JGX118" s="100" t="str">
        <f t="shared" si="385"/>
        <v/>
      </c>
      <c r="JGY118" s="100" t="str">
        <f t="shared" si="385"/>
        <v/>
      </c>
      <c r="JGZ118" s="100" t="str">
        <f t="shared" si="385"/>
        <v/>
      </c>
      <c r="JHA118" s="100" t="str">
        <f t="shared" si="385"/>
        <v/>
      </c>
      <c r="JHB118" s="100" t="str">
        <f t="shared" si="385"/>
        <v/>
      </c>
      <c r="JHC118" s="100" t="str">
        <f t="shared" si="385"/>
        <v/>
      </c>
      <c r="JHD118" s="100" t="str">
        <f t="shared" si="385"/>
        <v/>
      </c>
      <c r="JHE118" s="100" t="str">
        <f t="shared" si="385"/>
        <v/>
      </c>
      <c r="JHF118" s="100" t="str">
        <f t="shared" si="385"/>
        <v/>
      </c>
      <c r="JHG118" s="100" t="str">
        <f t="shared" si="385"/>
        <v/>
      </c>
      <c r="JHH118" s="100" t="str">
        <f t="shared" si="385"/>
        <v/>
      </c>
      <c r="JHI118" s="100" t="str">
        <f t="shared" si="385"/>
        <v/>
      </c>
      <c r="JHJ118" s="100" t="str">
        <f t="shared" si="385"/>
        <v/>
      </c>
      <c r="JHK118" s="100" t="str">
        <f t="shared" si="385"/>
        <v/>
      </c>
      <c r="JHL118" s="100" t="str">
        <f t="shared" si="385"/>
        <v/>
      </c>
      <c r="JHM118" s="100" t="str">
        <f t="shared" ref="JHM118:JJX118" si="386">IFERROR(AVERAGE(JHM6,JHM16,JHM25,JHM34,JHM42,JHM54,JHM62,JHM70,JHM78,JHM86,JHM94,JHM102,JHM110),"")</f>
        <v/>
      </c>
      <c r="JHN118" s="100" t="str">
        <f t="shared" si="386"/>
        <v/>
      </c>
      <c r="JHO118" s="100" t="str">
        <f t="shared" si="386"/>
        <v/>
      </c>
      <c r="JHP118" s="100" t="str">
        <f t="shared" si="386"/>
        <v/>
      </c>
      <c r="JHQ118" s="100" t="str">
        <f t="shared" si="386"/>
        <v/>
      </c>
      <c r="JHR118" s="100" t="str">
        <f t="shared" si="386"/>
        <v/>
      </c>
      <c r="JHS118" s="100" t="str">
        <f t="shared" si="386"/>
        <v/>
      </c>
      <c r="JHT118" s="100" t="str">
        <f t="shared" si="386"/>
        <v/>
      </c>
      <c r="JHU118" s="100" t="str">
        <f t="shared" si="386"/>
        <v/>
      </c>
      <c r="JHV118" s="100" t="str">
        <f t="shared" si="386"/>
        <v/>
      </c>
      <c r="JHW118" s="100" t="str">
        <f t="shared" si="386"/>
        <v/>
      </c>
      <c r="JHX118" s="100" t="str">
        <f t="shared" si="386"/>
        <v/>
      </c>
      <c r="JHY118" s="100" t="str">
        <f t="shared" si="386"/>
        <v/>
      </c>
      <c r="JHZ118" s="100" t="str">
        <f t="shared" si="386"/>
        <v/>
      </c>
      <c r="JIA118" s="100" t="str">
        <f t="shared" si="386"/>
        <v/>
      </c>
      <c r="JIB118" s="100" t="str">
        <f t="shared" si="386"/>
        <v/>
      </c>
      <c r="JIC118" s="100" t="str">
        <f t="shared" si="386"/>
        <v/>
      </c>
      <c r="JID118" s="100" t="str">
        <f t="shared" si="386"/>
        <v/>
      </c>
      <c r="JIE118" s="100" t="str">
        <f t="shared" si="386"/>
        <v/>
      </c>
      <c r="JIF118" s="100" t="str">
        <f t="shared" si="386"/>
        <v/>
      </c>
      <c r="JIG118" s="100" t="str">
        <f t="shared" si="386"/>
        <v/>
      </c>
      <c r="JIH118" s="100" t="str">
        <f t="shared" si="386"/>
        <v/>
      </c>
      <c r="JII118" s="100" t="str">
        <f t="shared" si="386"/>
        <v/>
      </c>
      <c r="JIJ118" s="100" t="str">
        <f t="shared" si="386"/>
        <v/>
      </c>
      <c r="JIK118" s="100" t="str">
        <f t="shared" si="386"/>
        <v/>
      </c>
      <c r="JIL118" s="100" t="str">
        <f t="shared" si="386"/>
        <v/>
      </c>
      <c r="JIM118" s="100" t="str">
        <f t="shared" si="386"/>
        <v/>
      </c>
      <c r="JIN118" s="100" t="str">
        <f t="shared" si="386"/>
        <v/>
      </c>
      <c r="JIO118" s="100" t="str">
        <f t="shared" si="386"/>
        <v/>
      </c>
      <c r="JIP118" s="100" t="str">
        <f t="shared" si="386"/>
        <v/>
      </c>
      <c r="JIQ118" s="100" t="str">
        <f t="shared" si="386"/>
        <v/>
      </c>
      <c r="JIR118" s="100" t="str">
        <f t="shared" si="386"/>
        <v/>
      </c>
      <c r="JIS118" s="100" t="str">
        <f t="shared" si="386"/>
        <v/>
      </c>
      <c r="JIT118" s="100" t="str">
        <f t="shared" si="386"/>
        <v/>
      </c>
      <c r="JIU118" s="100" t="str">
        <f t="shared" si="386"/>
        <v/>
      </c>
      <c r="JIV118" s="100" t="str">
        <f t="shared" si="386"/>
        <v/>
      </c>
      <c r="JIW118" s="100" t="str">
        <f t="shared" si="386"/>
        <v/>
      </c>
      <c r="JIX118" s="100" t="str">
        <f t="shared" si="386"/>
        <v/>
      </c>
      <c r="JIY118" s="100" t="str">
        <f t="shared" si="386"/>
        <v/>
      </c>
      <c r="JIZ118" s="100" t="str">
        <f t="shared" si="386"/>
        <v/>
      </c>
      <c r="JJA118" s="100" t="str">
        <f t="shared" si="386"/>
        <v/>
      </c>
      <c r="JJB118" s="100" t="str">
        <f t="shared" si="386"/>
        <v/>
      </c>
      <c r="JJC118" s="100" t="str">
        <f t="shared" si="386"/>
        <v/>
      </c>
      <c r="JJD118" s="100" t="str">
        <f t="shared" si="386"/>
        <v/>
      </c>
      <c r="JJE118" s="100" t="str">
        <f t="shared" si="386"/>
        <v/>
      </c>
      <c r="JJF118" s="100" t="str">
        <f t="shared" si="386"/>
        <v/>
      </c>
      <c r="JJG118" s="100" t="str">
        <f t="shared" si="386"/>
        <v/>
      </c>
      <c r="JJH118" s="100" t="str">
        <f t="shared" si="386"/>
        <v/>
      </c>
      <c r="JJI118" s="100" t="str">
        <f t="shared" si="386"/>
        <v/>
      </c>
      <c r="JJJ118" s="100" t="str">
        <f t="shared" si="386"/>
        <v/>
      </c>
      <c r="JJK118" s="100" t="str">
        <f t="shared" si="386"/>
        <v/>
      </c>
      <c r="JJL118" s="100" t="str">
        <f t="shared" si="386"/>
        <v/>
      </c>
      <c r="JJM118" s="100" t="str">
        <f t="shared" si="386"/>
        <v/>
      </c>
      <c r="JJN118" s="100" t="str">
        <f t="shared" si="386"/>
        <v/>
      </c>
      <c r="JJO118" s="100" t="str">
        <f t="shared" si="386"/>
        <v/>
      </c>
      <c r="JJP118" s="100" t="str">
        <f t="shared" si="386"/>
        <v/>
      </c>
      <c r="JJQ118" s="100" t="str">
        <f t="shared" si="386"/>
        <v/>
      </c>
      <c r="JJR118" s="100" t="str">
        <f t="shared" si="386"/>
        <v/>
      </c>
      <c r="JJS118" s="100" t="str">
        <f t="shared" si="386"/>
        <v/>
      </c>
      <c r="JJT118" s="100" t="str">
        <f t="shared" si="386"/>
        <v/>
      </c>
      <c r="JJU118" s="100" t="str">
        <f t="shared" si="386"/>
        <v/>
      </c>
      <c r="JJV118" s="100" t="str">
        <f t="shared" si="386"/>
        <v/>
      </c>
      <c r="JJW118" s="100" t="str">
        <f t="shared" si="386"/>
        <v/>
      </c>
      <c r="JJX118" s="100" t="str">
        <f t="shared" si="386"/>
        <v/>
      </c>
      <c r="JJY118" s="100" t="str">
        <f t="shared" ref="JJY118:JMJ118" si="387">IFERROR(AVERAGE(JJY6,JJY16,JJY25,JJY34,JJY42,JJY54,JJY62,JJY70,JJY78,JJY86,JJY94,JJY102,JJY110),"")</f>
        <v/>
      </c>
      <c r="JJZ118" s="100" t="str">
        <f t="shared" si="387"/>
        <v/>
      </c>
      <c r="JKA118" s="100" t="str">
        <f t="shared" si="387"/>
        <v/>
      </c>
      <c r="JKB118" s="100" t="str">
        <f t="shared" si="387"/>
        <v/>
      </c>
      <c r="JKC118" s="100" t="str">
        <f t="shared" si="387"/>
        <v/>
      </c>
      <c r="JKD118" s="100" t="str">
        <f t="shared" si="387"/>
        <v/>
      </c>
      <c r="JKE118" s="100" t="str">
        <f t="shared" si="387"/>
        <v/>
      </c>
      <c r="JKF118" s="100" t="str">
        <f t="shared" si="387"/>
        <v/>
      </c>
      <c r="JKG118" s="100" t="str">
        <f t="shared" si="387"/>
        <v/>
      </c>
      <c r="JKH118" s="100" t="str">
        <f t="shared" si="387"/>
        <v/>
      </c>
      <c r="JKI118" s="100" t="str">
        <f t="shared" si="387"/>
        <v/>
      </c>
      <c r="JKJ118" s="100" t="str">
        <f t="shared" si="387"/>
        <v/>
      </c>
      <c r="JKK118" s="100" t="str">
        <f t="shared" si="387"/>
        <v/>
      </c>
      <c r="JKL118" s="100" t="str">
        <f t="shared" si="387"/>
        <v/>
      </c>
      <c r="JKM118" s="100" t="str">
        <f t="shared" si="387"/>
        <v/>
      </c>
      <c r="JKN118" s="100" t="str">
        <f t="shared" si="387"/>
        <v/>
      </c>
      <c r="JKO118" s="100" t="str">
        <f t="shared" si="387"/>
        <v/>
      </c>
      <c r="JKP118" s="100" t="str">
        <f t="shared" si="387"/>
        <v/>
      </c>
      <c r="JKQ118" s="100" t="str">
        <f t="shared" si="387"/>
        <v/>
      </c>
      <c r="JKR118" s="100" t="str">
        <f t="shared" si="387"/>
        <v/>
      </c>
      <c r="JKS118" s="100" t="str">
        <f t="shared" si="387"/>
        <v/>
      </c>
      <c r="JKT118" s="100" t="str">
        <f t="shared" si="387"/>
        <v/>
      </c>
      <c r="JKU118" s="100" t="str">
        <f t="shared" si="387"/>
        <v/>
      </c>
      <c r="JKV118" s="100" t="str">
        <f t="shared" si="387"/>
        <v/>
      </c>
      <c r="JKW118" s="100" t="str">
        <f t="shared" si="387"/>
        <v/>
      </c>
      <c r="JKX118" s="100" t="str">
        <f t="shared" si="387"/>
        <v/>
      </c>
      <c r="JKY118" s="100" t="str">
        <f t="shared" si="387"/>
        <v/>
      </c>
      <c r="JKZ118" s="100" t="str">
        <f t="shared" si="387"/>
        <v/>
      </c>
      <c r="JLA118" s="100" t="str">
        <f t="shared" si="387"/>
        <v/>
      </c>
      <c r="JLB118" s="100" t="str">
        <f t="shared" si="387"/>
        <v/>
      </c>
      <c r="JLC118" s="100" t="str">
        <f t="shared" si="387"/>
        <v/>
      </c>
      <c r="JLD118" s="100" t="str">
        <f t="shared" si="387"/>
        <v/>
      </c>
      <c r="JLE118" s="100" t="str">
        <f t="shared" si="387"/>
        <v/>
      </c>
      <c r="JLF118" s="100" t="str">
        <f t="shared" si="387"/>
        <v/>
      </c>
      <c r="JLG118" s="100" t="str">
        <f t="shared" si="387"/>
        <v/>
      </c>
      <c r="JLH118" s="100" t="str">
        <f t="shared" si="387"/>
        <v/>
      </c>
      <c r="JLI118" s="100" t="str">
        <f t="shared" si="387"/>
        <v/>
      </c>
      <c r="JLJ118" s="100" t="str">
        <f t="shared" si="387"/>
        <v/>
      </c>
      <c r="JLK118" s="100" t="str">
        <f t="shared" si="387"/>
        <v/>
      </c>
      <c r="JLL118" s="100" t="str">
        <f t="shared" si="387"/>
        <v/>
      </c>
      <c r="JLM118" s="100" t="str">
        <f t="shared" si="387"/>
        <v/>
      </c>
      <c r="JLN118" s="100" t="str">
        <f t="shared" si="387"/>
        <v/>
      </c>
      <c r="JLO118" s="100" t="str">
        <f t="shared" si="387"/>
        <v/>
      </c>
      <c r="JLP118" s="100" t="str">
        <f t="shared" si="387"/>
        <v/>
      </c>
      <c r="JLQ118" s="100" t="str">
        <f t="shared" si="387"/>
        <v/>
      </c>
      <c r="JLR118" s="100" t="str">
        <f t="shared" si="387"/>
        <v/>
      </c>
      <c r="JLS118" s="100" t="str">
        <f t="shared" si="387"/>
        <v/>
      </c>
      <c r="JLT118" s="100" t="str">
        <f t="shared" si="387"/>
        <v/>
      </c>
      <c r="JLU118" s="100" t="str">
        <f t="shared" si="387"/>
        <v/>
      </c>
      <c r="JLV118" s="100" t="str">
        <f t="shared" si="387"/>
        <v/>
      </c>
      <c r="JLW118" s="100" t="str">
        <f t="shared" si="387"/>
        <v/>
      </c>
      <c r="JLX118" s="100" t="str">
        <f t="shared" si="387"/>
        <v/>
      </c>
      <c r="JLY118" s="100" t="str">
        <f t="shared" si="387"/>
        <v/>
      </c>
      <c r="JLZ118" s="100" t="str">
        <f t="shared" si="387"/>
        <v/>
      </c>
      <c r="JMA118" s="100" t="str">
        <f t="shared" si="387"/>
        <v/>
      </c>
      <c r="JMB118" s="100" t="str">
        <f t="shared" si="387"/>
        <v/>
      </c>
      <c r="JMC118" s="100" t="str">
        <f t="shared" si="387"/>
        <v/>
      </c>
      <c r="JMD118" s="100" t="str">
        <f t="shared" si="387"/>
        <v/>
      </c>
      <c r="JME118" s="100" t="str">
        <f t="shared" si="387"/>
        <v/>
      </c>
      <c r="JMF118" s="100" t="str">
        <f t="shared" si="387"/>
        <v/>
      </c>
      <c r="JMG118" s="100" t="str">
        <f t="shared" si="387"/>
        <v/>
      </c>
      <c r="JMH118" s="100" t="str">
        <f t="shared" si="387"/>
        <v/>
      </c>
      <c r="JMI118" s="100" t="str">
        <f t="shared" si="387"/>
        <v/>
      </c>
      <c r="JMJ118" s="100" t="str">
        <f t="shared" si="387"/>
        <v/>
      </c>
      <c r="JMK118" s="100" t="str">
        <f t="shared" ref="JMK118:JOV118" si="388">IFERROR(AVERAGE(JMK6,JMK16,JMK25,JMK34,JMK42,JMK54,JMK62,JMK70,JMK78,JMK86,JMK94,JMK102,JMK110),"")</f>
        <v/>
      </c>
      <c r="JML118" s="100" t="str">
        <f t="shared" si="388"/>
        <v/>
      </c>
      <c r="JMM118" s="100" t="str">
        <f t="shared" si="388"/>
        <v/>
      </c>
      <c r="JMN118" s="100" t="str">
        <f t="shared" si="388"/>
        <v/>
      </c>
      <c r="JMO118" s="100" t="str">
        <f t="shared" si="388"/>
        <v/>
      </c>
      <c r="JMP118" s="100" t="str">
        <f t="shared" si="388"/>
        <v/>
      </c>
      <c r="JMQ118" s="100" t="str">
        <f t="shared" si="388"/>
        <v/>
      </c>
      <c r="JMR118" s="100" t="str">
        <f t="shared" si="388"/>
        <v/>
      </c>
      <c r="JMS118" s="100" t="str">
        <f t="shared" si="388"/>
        <v/>
      </c>
      <c r="JMT118" s="100" t="str">
        <f t="shared" si="388"/>
        <v/>
      </c>
      <c r="JMU118" s="100" t="str">
        <f t="shared" si="388"/>
        <v/>
      </c>
      <c r="JMV118" s="100" t="str">
        <f t="shared" si="388"/>
        <v/>
      </c>
      <c r="JMW118" s="100" t="str">
        <f t="shared" si="388"/>
        <v/>
      </c>
      <c r="JMX118" s="100" t="str">
        <f t="shared" si="388"/>
        <v/>
      </c>
      <c r="JMY118" s="100" t="str">
        <f t="shared" si="388"/>
        <v/>
      </c>
      <c r="JMZ118" s="100" t="str">
        <f t="shared" si="388"/>
        <v/>
      </c>
      <c r="JNA118" s="100" t="str">
        <f t="shared" si="388"/>
        <v/>
      </c>
      <c r="JNB118" s="100" t="str">
        <f t="shared" si="388"/>
        <v/>
      </c>
      <c r="JNC118" s="100" t="str">
        <f t="shared" si="388"/>
        <v/>
      </c>
      <c r="JND118" s="100" t="str">
        <f t="shared" si="388"/>
        <v/>
      </c>
      <c r="JNE118" s="100" t="str">
        <f t="shared" si="388"/>
        <v/>
      </c>
      <c r="JNF118" s="100" t="str">
        <f t="shared" si="388"/>
        <v/>
      </c>
      <c r="JNG118" s="100" t="str">
        <f t="shared" si="388"/>
        <v/>
      </c>
      <c r="JNH118" s="100" t="str">
        <f t="shared" si="388"/>
        <v/>
      </c>
      <c r="JNI118" s="100" t="str">
        <f t="shared" si="388"/>
        <v/>
      </c>
      <c r="JNJ118" s="100" t="str">
        <f t="shared" si="388"/>
        <v/>
      </c>
      <c r="JNK118" s="100" t="str">
        <f t="shared" si="388"/>
        <v/>
      </c>
      <c r="JNL118" s="100" t="str">
        <f t="shared" si="388"/>
        <v/>
      </c>
      <c r="JNM118" s="100" t="str">
        <f t="shared" si="388"/>
        <v/>
      </c>
      <c r="JNN118" s="100" t="str">
        <f t="shared" si="388"/>
        <v/>
      </c>
      <c r="JNO118" s="100" t="str">
        <f t="shared" si="388"/>
        <v/>
      </c>
      <c r="JNP118" s="100" t="str">
        <f t="shared" si="388"/>
        <v/>
      </c>
      <c r="JNQ118" s="100" t="str">
        <f t="shared" si="388"/>
        <v/>
      </c>
      <c r="JNR118" s="100" t="str">
        <f t="shared" si="388"/>
        <v/>
      </c>
      <c r="JNS118" s="100" t="str">
        <f t="shared" si="388"/>
        <v/>
      </c>
      <c r="JNT118" s="100" t="str">
        <f t="shared" si="388"/>
        <v/>
      </c>
      <c r="JNU118" s="100" t="str">
        <f t="shared" si="388"/>
        <v/>
      </c>
      <c r="JNV118" s="100" t="str">
        <f t="shared" si="388"/>
        <v/>
      </c>
      <c r="JNW118" s="100" t="str">
        <f t="shared" si="388"/>
        <v/>
      </c>
      <c r="JNX118" s="100" t="str">
        <f t="shared" si="388"/>
        <v/>
      </c>
      <c r="JNY118" s="100" t="str">
        <f t="shared" si="388"/>
        <v/>
      </c>
      <c r="JNZ118" s="100" t="str">
        <f t="shared" si="388"/>
        <v/>
      </c>
      <c r="JOA118" s="100" t="str">
        <f t="shared" si="388"/>
        <v/>
      </c>
      <c r="JOB118" s="100" t="str">
        <f t="shared" si="388"/>
        <v/>
      </c>
      <c r="JOC118" s="100" t="str">
        <f t="shared" si="388"/>
        <v/>
      </c>
      <c r="JOD118" s="100" t="str">
        <f t="shared" si="388"/>
        <v/>
      </c>
      <c r="JOE118" s="100" t="str">
        <f t="shared" si="388"/>
        <v/>
      </c>
      <c r="JOF118" s="100" t="str">
        <f t="shared" si="388"/>
        <v/>
      </c>
      <c r="JOG118" s="100" t="str">
        <f t="shared" si="388"/>
        <v/>
      </c>
      <c r="JOH118" s="100" t="str">
        <f t="shared" si="388"/>
        <v/>
      </c>
      <c r="JOI118" s="100" t="str">
        <f t="shared" si="388"/>
        <v/>
      </c>
      <c r="JOJ118" s="100" t="str">
        <f t="shared" si="388"/>
        <v/>
      </c>
      <c r="JOK118" s="100" t="str">
        <f t="shared" si="388"/>
        <v/>
      </c>
      <c r="JOL118" s="100" t="str">
        <f t="shared" si="388"/>
        <v/>
      </c>
      <c r="JOM118" s="100" t="str">
        <f t="shared" si="388"/>
        <v/>
      </c>
      <c r="JON118" s="100" t="str">
        <f t="shared" si="388"/>
        <v/>
      </c>
      <c r="JOO118" s="100" t="str">
        <f t="shared" si="388"/>
        <v/>
      </c>
      <c r="JOP118" s="100" t="str">
        <f t="shared" si="388"/>
        <v/>
      </c>
      <c r="JOQ118" s="100" t="str">
        <f t="shared" si="388"/>
        <v/>
      </c>
      <c r="JOR118" s="100" t="str">
        <f t="shared" si="388"/>
        <v/>
      </c>
      <c r="JOS118" s="100" t="str">
        <f t="shared" si="388"/>
        <v/>
      </c>
      <c r="JOT118" s="100" t="str">
        <f t="shared" si="388"/>
        <v/>
      </c>
      <c r="JOU118" s="100" t="str">
        <f t="shared" si="388"/>
        <v/>
      </c>
      <c r="JOV118" s="100" t="str">
        <f t="shared" si="388"/>
        <v/>
      </c>
      <c r="JOW118" s="100" t="str">
        <f t="shared" ref="JOW118:JRH118" si="389">IFERROR(AVERAGE(JOW6,JOW16,JOW25,JOW34,JOW42,JOW54,JOW62,JOW70,JOW78,JOW86,JOW94,JOW102,JOW110),"")</f>
        <v/>
      </c>
      <c r="JOX118" s="100" t="str">
        <f t="shared" si="389"/>
        <v/>
      </c>
      <c r="JOY118" s="100" t="str">
        <f t="shared" si="389"/>
        <v/>
      </c>
      <c r="JOZ118" s="100" t="str">
        <f t="shared" si="389"/>
        <v/>
      </c>
      <c r="JPA118" s="100" t="str">
        <f t="shared" si="389"/>
        <v/>
      </c>
      <c r="JPB118" s="100" t="str">
        <f t="shared" si="389"/>
        <v/>
      </c>
      <c r="JPC118" s="100" t="str">
        <f t="shared" si="389"/>
        <v/>
      </c>
      <c r="JPD118" s="100" t="str">
        <f t="shared" si="389"/>
        <v/>
      </c>
      <c r="JPE118" s="100" t="str">
        <f t="shared" si="389"/>
        <v/>
      </c>
      <c r="JPF118" s="100" t="str">
        <f t="shared" si="389"/>
        <v/>
      </c>
      <c r="JPG118" s="100" t="str">
        <f t="shared" si="389"/>
        <v/>
      </c>
      <c r="JPH118" s="100" t="str">
        <f t="shared" si="389"/>
        <v/>
      </c>
      <c r="JPI118" s="100" t="str">
        <f t="shared" si="389"/>
        <v/>
      </c>
      <c r="JPJ118" s="100" t="str">
        <f t="shared" si="389"/>
        <v/>
      </c>
      <c r="JPK118" s="100" t="str">
        <f t="shared" si="389"/>
        <v/>
      </c>
      <c r="JPL118" s="100" t="str">
        <f t="shared" si="389"/>
        <v/>
      </c>
      <c r="JPM118" s="100" t="str">
        <f t="shared" si="389"/>
        <v/>
      </c>
      <c r="JPN118" s="100" t="str">
        <f t="shared" si="389"/>
        <v/>
      </c>
      <c r="JPO118" s="100" t="str">
        <f t="shared" si="389"/>
        <v/>
      </c>
      <c r="JPP118" s="100" t="str">
        <f t="shared" si="389"/>
        <v/>
      </c>
      <c r="JPQ118" s="100" t="str">
        <f t="shared" si="389"/>
        <v/>
      </c>
      <c r="JPR118" s="100" t="str">
        <f t="shared" si="389"/>
        <v/>
      </c>
      <c r="JPS118" s="100" t="str">
        <f t="shared" si="389"/>
        <v/>
      </c>
      <c r="JPT118" s="100" t="str">
        <f t="shared" si="389"/>
        <v/>
      </c>
      <c r="JPU118" s="100" t="str">
        <f t="shared" si="389"/>
        <v/>
      </c>
      <c r="JPV118" s="100" t="str">
        <f t="shared" si="389"/>
        <v/>
      </c>
      <c r="JPW118" s="100" t="str">
        <f t="shared" si="389"/>
        <v/>
      </c>
      <c r="JPX118" s="100" t="str">
        <f t="shared" si="389"/>
        <v/>
      </c>
      <c r="JPY118" s="100" t="str">
        <f t="shared" si="389"/>
        <v/>
      </c>
      <c r="JPZ118" s="100" t="str">
        <f t="shared" si="389"/>
        <v/>
      </c>
      <c r="JQA118" s="100" t="str">
        <f t="shared" si="389"/>
        <v/>
      </c>
      <c r="JQB118" s="100" t="str">
        <f t="shared" si="389"/>
        <v/>
      </c>
      <c r="JQC118" s="100" t="str">
        <f t="shared" si="389"/>
        <v/>
      </c>
      <c r="JQD118" s="100" t="str">
        <f t="shared" si="389"/>
        <v/>
      </c>
      <c r="JQE118" s="100" t="str">
        <f t="shared" si="389"/>
        <v/>
      </c>
      <c r="JQF118" s="100" t="str">
        <f t="shared" si="389"/>
        <v/>
      </c>
      <c r="JQG118" s="100" t="str">
        <f t="shared" si="389"/>
        <v/>
      </c>
      <c r="JQH118" s="100" t="str">
        <f t="shared" si="389"/>
        <v/>
      </c>
      <c r="JQI118" s="100" t="str">
        <f t="shared" si="389"/>
        <v/>
      </c>
      <c r="JQJ118" s="100" t="str">
        <f t="shared" si="389"/>
        <v/>
      </c>
      <c r="JQK118" s="100" t="str">
        <f t="shared" si="389"/>
        <v/>
      </c>
      <c r="JQL118" s="100" t="str">
        <f t="shared" si="389"/>
        <v/>
      </c>
      <c r="JQM118" s="100" t="str">
        <f t="shared" si="389"/>
        <v/>
      </c>
      <c r="JQN118" s="100" t="str">
        <f t="shared" si="389"/>
        <v/>
      </c>
      <c r="JQO118" s="100" t="str">
        <f t="shared" si="389"/>
        <v/>
      </c>
      <c r="JQP118" s="100" t="str">
        <f t="shared" si="389"/>
        <v/>
      </c>
      <c r="JQQ118" s="100" t="str">
        <f t="shared" si="389"/>
        <v/>
      </c>
      <c r="JQR118" s="100" t="str">
        <f t="shared" si="389"/>
        <v/>
      </c>
      <c r="JQS118" s="100" t="str">
        <f t="shared" si="389"/>
        <v/>
      </c>
      <c r="JQT118" s="100" t="str">
        <f t="shared" si="389"/>
        <v/>
      </c>
      <c r="JQU118" s="100" t="str">
        <f t="shared" si="389"/>
        <v/>
      </c>
      <c r="JQV118" s="100" t="str">
        <f t="shared" si="389"/>
        <v/>
      </c>
      <c r="JQW118" s="100" t="str">
        <f t="shared" si="389"/>
        <v/>
      </c>
      <c r="JQX118" s="100" t="str">
        <f t="shared" si="389"/>
        <v/>
      </c>
      <c r="JQY118" s="100" t="str">
        <f t="shared" si="389"/>
        <v/>
      </c>
      <c r="JQZ118" s="100" t="str">
        <f t="shared" si="389"/>
        <v/>
      </c>
      <c r="JRA118" s="100" t="str">
        <f t="shared" si="389"/>
        <v/>
      </c>
      <c r="JRB118" s="100" t="str">
        <f t="shared" si="389"/>
        <v/>
      </c>
      <c r="JRC118" s="100" t="str">
        <f t="shared" si="389"/>
        <v/>
      </c>
      <c r="JRD118" s="100" t="str">
        <f t="shared" si="389"/>
        <v/>
      </c>
      <c r="JRE118" s="100" t="str">
        <f t="shared" si="389"/>
        <v/>
      </c>
      <c r="JRF118" s="100" t="str">
        <f t="shared" si="389"/>
        <v/>
      </c>
      <c r="JRG118" s="100" t="str">
        <f t="shared" si="389"/>
        <v/>
      </c>
      <c r="JRH118" s="100" t="str">
        <f t="shared" si="389"/>
        <v/>
      </c>
      <c r="JRI118" s="100" t="str">
        <f t="shared" ref="JRI118:JTT118" si="390">IFERROR(AVERAGE(JRI6,JRI16,JRI25,JRI34,JRI42,JRI54,JRI62,JRI70,JRI78,JRI86,JRI94,JRI102,JRI110),"")</f>
        <v/>
      </c>
      <c r="JRJ118" s="100" t="str">
        <f t="shared" si="390"/>
        <v/>
      </c>
      <c r="JRK118" s="100" t="str">
        <f t="shared" si="390"/>
        <v/>
      </c>
      <c r="JRL118" s="100" t="str">
        <f t="shared" si="390"/>
        <v/>
      </c>
      <c r="JRM118" s="100" t="str">
        <f t="shared" si="390"/>
        <v/>
      </c>
      <c r="JRN118" s="100" t="str">
        <f t="shared" si="390"/>
        <v/>
      </c>
      <c r="JRO118" s="100" t="str">
        <f t="shared" si="390"/>
        <v/>
      </c>
      <c r="JRP118" s="100" t="str">
        <f t="shared" si="390"/>
        <v/>
      </c>
      <c r="JRQ118" s="100" t="str">
        <f t="shared" si="390"/>
        <v/>
      </c>
      <c r="JRR118" s="100" t="str">
        <f t="shared" si="390"/>
        <v/>
      </c>
      <c r="JRS118" s="100" t="str">
        <f t="shared" si="390"/>
        <v/>
      </c>
      <c r="JRT118" s="100" t="str">
        <f t="shared" si="390"/>
        <v/>
      </c>
      <c r="JRU118" s="100" t="str">
        <f t="shared" si="390"/>
        <v/>
      </c>
      <c r="JRV118" s="100" t="str">
        <f t="shared" si="390"/>
        <v/>
      </c>
      <c r="JRW118" s="100" t="str">
        <f t="shared" si="390"/>
        <v/>
      </c>
      <c r="JRX118" s="100" t="str">
        <f t="shared" si="390"/>
        <v/>
      </c>
      <c r="JRY118" s="100" t="str">
        <f t="shared" si="390"/>
        <v/>
      </c>
      <c r="JRZ118" s="100" t="str">
        <f t="shared" si="390"/>
        <v/>
      </c>
      <c r="JSA118" s="100" t="str">
        <f t="shared" si="390"/>
        <v/>
      </c>
      <c r="JSB118" s="100" t="str">
        <f t="shared" si="390"/>
        <v/>
      </c>
      <c r="JSC118" s="100" t="str">
        <f t="shared" si="390"/>
        <v/>
      </c>
      <c r="JSD118" s="100" t="str">
        <f t="shared" si="390"/>
        <v/>
      </c>
      <c r="JSE118" s="100" t="str">
        <f t="shared" si="390"/>
        <v/>
      </c>
      <c r="JSF118" s="100" t="str">
        <f t="shared" si="390"/>
        <v/>
      </c>
      <c r="JSG118" s="100" t="str">
        <f t="shared" si="390"/>
        <v/>
      </c>
      <c r="JSH118" s="100" t="str">
        <f t="shared" si="390"/>
        <v/>
      </c>
      <c r="JSI118" s="100" t="str">
        <f t="shared" si="390"/>
        <v/>
      </c>
      <c r="JSJ118" s="100" t="str">
        <f t="shared" si="390"/>
        <v/>
      </c>
      <c r="JSK118" s="100" t="str">
        <f t="shared" si="390"/>
        <v/>
      </c>
      <c r="JSL118" s="100" t="str">
        <f t="shared" si="390"/>
        <v/>
      </c>
      <c r="JSM118" s="100" t="str">
        <f t="shared" si="390"/>
        <v/>
      </c>
      <c r="JSN118" s="100" t="str">
        <f t="shared" si="390"/>
        <v/>
      </c>
      <c r="JSO118" s="100" t="str">
        <f t="shared" si="390"/>
        <v/>
      </c>
      <c r="JSP118" s="100" t="str">
        <f t="shared" si="390"/>
        <v/>
      </c>
      <c r="JSQ118" s="100" t="str">
        <f t="shared" si="390"/>
        <v/>
      </c>
      <c r="JSR118" s="100" t="str">
        <f t="shared" si="390"/>
        <v/>
      </c>
      <c r="JSS118" s="100" t="str">
        <f t="shared" si="390"/>
        <v/>
      </c>
      <c r="JST118" s="100" t="str">
        <f t="shared" si="390"/>
        <v/>
      </c>
      <c r="JSU118" s="100" t="str">
        <f t="shared" si="390"/>
        <v/>
      </c>
      <c r="JSV118" s="100" t="str">
        <f t="shared" si="390"/>
        <v/>
      </c>
      <c r="JSW118" s="100" t="str">
        <f t="shared" si="390"/>
        <v/>
      </c>
      <c r="JSX118" s="100" t="str">
        <f t="shared" si="390"/>
        <v/>
      </c>
      <c r="JSY118" s="100" t="str">
        <f t="shared" si="390"/>
        <v/>
      </c>
      <c r="JSZ118" s="100" t="str">
        <f t="shared" si="390"/>
        <v/>
      </c>
      <c r="JTA118" s="100" t="str">
        <f t="shared" si="390"/>
        <v/>
      </c>
      <c r="JTB118" s="100" t="str">
        <f t="shared" si="390"/>
        <v/>
      </c>
      <c r="JTC118" s="100" t="str">
        <f t="shared" si="390"/>
        <v/>
      </c>
      <c r="JTD118" s="100" t="str">
        <f t="shared" si="390"/>
        <v/>
      </c>
      <c r="JTE118" s="100" t="str">
        <f t="shared" si="390"/>
        <v/>
      </c>
      <c r="JTF118" s="100" t="str">
        <f t="shared" si="390"/>
        <v/>
      </c>
      <c r="JTG118" s="100" t="str">
        <f t="shared" si="390"/>
        <v/>
      </c>
      <c r="JTH118" s="100" t="str">
        <f t="shared" si="390"/>
        <v/>
      </c>
      <c r="JTI118" s="100" t="str">
        <f t="shared" si="390"/>
        <v/>
      </c>
      <c r="JTJ118" s="100" t="str">
        <f t="shared" si="390"/>
        <v/>
      </c>
      <c r="JTK118" s="100" t="str">
        <f t="shared" si="390"/>
        <v/>
      </c>
      <c r="JTL118" s="100" t="str">
        <f t="shared" si="390"/>
        <v/>
      </c>
      <c r="JTM118" s="100" t="str">
        <f t="shared" si="390"/>
        <v/>
      </c>
      <c r="JTN118" s="100" t="str">
        <f t="shared" si="390"/>
        <v/>
      </c>
      <c r="JTO118" s="100" t="str">
        <f t="shared" si="390"/>
        <v/>
      </c>
      <c r="JTP118" s="100" t="str">
        <f t="shared" si="390"/>
        <v/>
      </c>
      <c r="JTQ118" s="100" t="str">
        <f t="shared" si="390"/>
        <v/>
      </c>
      <c r="JTR118" s="100" t="str">
        <f t="shared" si="390"/>
        <v/>
      </c>
      <c r="JTS118" s="100" t="str">
        <f t="shared" si="390"/>
        <v/>
      </c>
      <c r="JTT118" s="100" t="str">
        <f t="shared" si="390"/>
        <v/>
      </c>
      <c r="JTU118" s="100" t="str">
        <f t="shared" ref="JTU118:JWF118" si="391">IFERROR(AVERAGE(JTU6,JTU16,JTU25,JTU34,JTU42,JTU54,JTU62,JTU70,JTU78,JTU86,JTU94,JTU102,JTU110),"")</f>
        <v/>
      </c>
      <c r="JTV118" s="100" t="str">
        <f t="shared" si="391"/>
        <v/>
      </c>
      <c r="JTW118" s="100" t="str">
        <f t="shared" si="391"/>
        <v/>
      </c>
      <c r="JTX118" s="100" t="str">
        <f t="shared" si="391"/>
        <v/>
      </c>
      <c r="JTY118" s="100" t="str">
        <f t="shared" si="391"/>
        <v/>
      </c>
      <c r="JTZ118" s="100" t="str">
        <f t="shared" si="391"/>
        <v/>
      </c>
      <c r="JUA118" s="100" t="str">
        <f t="shared" si="391"/>
        <v/>
      </c>
      <c r="JUB118" s="100" t="str">
        <f t="shared" si="391"/>
        <v/>
      </c>
      <c r="JUC118" s="100" t="str">
        <f t="shared" si="391"/>
        <v/>
      </c>
      <c r="JUD118" s="100" t="str">
        <f t="shared" si="391"/>
        <v/>
      </c>
      <c r="JUE118" s="100" t="str">
        <f t="shared" si="391"/>
        <v/>
      </c>
      <c r="JUF118" s="100" t="str">
        <f t="shared" si="391"/>
        <v/>
      </c>
      <c r="JUG118" s="100" t="str">
        <f t="shared" si="391"/>
        <v/>
      </c>
      <c r="JUH118" s="100" t="str">
        <f t="shared" si="391"/>
        <v/>
      </c>
      <c r="JUI118" s="100" t="str">
        <f t="shared" si="391"/>
        <v/>
      </c>
      <c r="JUJ118" s="100" t="str">
        <f t="shared" si="391"/>
        <v/>
      </c>
      <c r="JUK118" s="100" t="str">
        <f t="shared" si="391"/>
        <v/>
      </c>
      <c r="JUL118" s="100" t="str">
        <f t="shared" si="391"/>
        <v/>
      </c>
      <c r="JUM118" s="100" t="str">
        <f t="shared" si="391"/>
        <v/>
      </c>
      <c r="JUN118" s="100" t="str">
        <f t="shared" si="391"/>
        <v/>
      </c>
      <c r="JUO118" s="100" t="str">
        <f t="shared" si="391"/>
        <v/>
      </c>
      <c r="JUP118" s="100" t="str">
        <f t="shared" si="391"/>
        <v/>
      </c>
      <c r="JUQ118" s="100" t="str">
        <f t="shared" si="391"/>
        <v/>
      </c>
      <c r="JUR118" s="100" t="str">
        <f t="shared" si="391"/>
        <v/>
      </c>
      <c r="JUS118" s="100" t="str">
        <f t="shared" si="391"/>
        <v/>
      </c>
      <c r="JUT118" s="100" t="str">
        <f t="shared" si="391"/>
        <v/>
      </c>
      <c r="JUU118" s="100" t="str">
        <f t="shared" si="391"/>
        <v/>
      </c>
      <c r="JUV118" s="100" t="str">
        <f t="shared" si="391"/>
        <v/>
      </c>
      <c r="JUW118" s="100" t="str">
        <f t="shared" si="391"/>
        <v/>
      </c>
      <c r="JUX118" s="100" t="str">
        <f t="shared" si="391"/>
        <v/>
      </c>
      <c r="JUY118" s="100" t="str">
        <f t="shared" si="391"/>
        <v/>
      </c>
      <c r="JUZ118" s="100" t="str">
        <f t="shared" si="391"/>
        <v/>
      </c>
      <c r="JVA118" s="100" t="str">
        <f t="shared" si="391"/>
        <v/>
      </c>
      <c r="JVB118" s="100" t="str">
        <f t="shared" si="391"/>
        <v/>
      </c>
      <c r="JVC118" s="100" t="str">
        <f t="shared" si="391"/>
        <v/>
      </c>
      <c r="JVD118" s="100" t="str">
        <f t="shared" si="391"/>
        <v/>
      </c>
      <c r="JVE118" s="100" t="str">
        <f t="shared" si="391"/>
        <v/>
      </c>
      <c r="JVF118" s="100" t="str">
        <f t="shared" si="391"/>
        <v/>
      </c>
      <c r="JVG118" s="100" t="str">
        <f t="shared" si="391"/>
        <v/>
      </c>
      <c r="JVH118" s="100" t="str">
        <f t="shared" si="391"/>
        <v/>
      </c>
      <c r="JVI118" s="100" t="str">
        <f t="shared" si="391"/>
        <v/>
      </c>
      <c r="JVJ118" s="100" t="str">
        <f t="shared" si="391"/>
        <v/>
      </c>
      <c r="JVK118" s="100" t="str">
        <f t="shared" si="391"/>
        <v/>
      </c>
      <c r="JVL118" s="100" t="str">
        <f t="shared" si="391"/>
        <v/>
      </c>
      <c r="JVM118" s="100" t="str">
        <f t="shared" si="391"/>
        <v/>
      </c>
      <c r="JVN118" s="100" t="str">
        <f t="shared" si="391"/>
        <v/>
      </c>
      <c r="JVO118" s="100" t="str">
        <f t="shared" si="391"/>
        <v/>
      </c>
      <c r="JVP118" s="100" t="str">
        <f t="shared" si="391"/>
        <v/>
      </c>
      <c r="JVQ118" s="100" t="str">
        <f t="shared" si="391"/>
        <v/>
      </c>
      <c r="JVR118" s="100" t="str">
        <f t="shared" si="391"/>
        <v/>
      </c>
      <c r="JVS118" s="100" t="str">
        <f t="shared" si="391"/>
        <v/>
      </c>
      <c r="JVT118" s="100" t="str">
        <f t="shared" si="391"/>
        <v/>
      </c>
      <c r="JVU118" s="100" t="str">
        <f t="shared" si="391"/>
        <v/>
      </c>
      <c r="JVV118" s="100" t="str">
        <f t="shared" si="391"/>
        <v/>
      </c>
      <c r="JVW118" s="100" t="str">
        <f t="shared" si="391"/>
        <v/>
      </c>
      <c r="JVX118" s="100" t="str">
        <f t="shared" si="391"/>
        <v/>
      </c>
      <c r="JVY118" s="100" t="str">
        <f t="shared" si="391"/>
        <v/>
      </c>
      <c r="JVZ118" s="100" t="str">
        <f t="shared" si="391"/>
        <v/>
      </c>
      <c r="JWA118" s="100" t="str">
        <f t="shared" si="391"/>
        <v/>
      </c>
      <c r="JWB118" s="100" t="str">
        <f t="shared" si="391"/>
        <v/>
      </c>
      <c r="JWC118" s="100" t="str">
        <f t="shared" si="391"/>
        <v/>
      </c>
      <c r="JWD118" s="100" t="str">
        <f t="shared" si="391"/>
        <v/>
      </c>
      <c r="JWE118" s="100" t="str">
        <f t="shared" si="391"/>
        <v/>
      </c>
      <c r="JWF118" s="100" t="str">
        <f t="shared" si="391"/>
        <v/>
      </c>
      <c r="JWG118" s="100" t="str">
        <f t="shared" ref="JWG118:JYR118" si="392">IFERROR(AVERAGE(JWG6,JWG16,JWG25,JWG34,JWG42,JWG54,JWG62,JWG70,JWG78,JWG86,JWG94,JWG102,JWG110),"")</f>
        <v/>
      </c>
      <c r="JWH118" s="100" t="str">
        <f t="shared" si="392"/>
        <v/>
      </c>
      <c r="JWI118" s="100" t="str">
        <f t="shared" si="392"/>
        <v/>
      </c>
      <c r="JWJ118" s="100" t="str">
        <f t="shared" si="392"/>
        <v/>
      </c>
      <c r="JWK118" s="100" t="str">
        <f t="shared" si="392"/>
        <v/>
      </c>
      <c r="JWL118" s="100" t="str">
        <f t="shared" si="392"/>
        <v/>
      </c>
      <c r="JWM118" s="100" t="str">
        <f t="shared" si="392"/>
        <v/>
      </c>
      <c r="JWN118" s="100" t="str">
        <f t="shared" si="392"/>
        <v/>
      </c>
      <c r="JWO118" s="100" t="str">
        <f t="shared" si="392"/>
        <v/>
      </c>
      <c r="JWP118" s="100" t="str">
        <f t="shared" si="392"/>
        <v/>
      </c>
      <c r="JWQ118" s="100" t="str">
        <f t="shared" si="392"/>
        <v/>
      </c>
      <c r="JWR118" s="100" t="str">
        <f t="shared" si="392"/>
        <v/>
      </c>
      <c r="JWS118" s="100" t="str">
        <f t="shared" si="392"/>
        <v/>
      </c>
      <c r="JWT118" s="100" t="str">
        <f t="shared" si="392"/>
        <v/>
      </c>
      <c r="JWU118" s="100" t="str">
        <f t="shared" si="392"/>
        <v/>
      </c>
      <c r="JWV118" s="100" t="str">
        <f t="shared" si="392"/>
        <v/>
      </c>
      <c r="JWW118" s="100" t="str">
        <f t="shared" si="392"/>
        <v/>
      </c>
      <c r="JWX118" s="100" t="str">
        <f t="shared" si="392"/>
        <v/>
      </c>
      <c r="JWY118" s="100" t="str">
        <f t="shared" si="392"/>
        <v/>
      </c>
      <c r="JWZ118" s="100" t="str">
        <f t="shared" si="392"/>
        <v/>
      </c>
      <c r="JXA118" s="100" t="str">
        <f t="shared" si="392"/>
        <v/>
      </c>
      <c r="JXB118" s="100" t="str">
        <f t="shared" si="392"/>
        <v/>
      </c>
      <c r="JXC118" s="100" t="str">
        <f t="shared" si="392"/>
        <v/>
      </c>
      <c r="JXD118" s="100" t="str">
        <f t="shared" si="392"/>
        <v/>
      </c>
      <c r="JXE118" s="100" t="str">
        <f t="shared" si="392"/>
        <v/>
      </c>
      <c r="JXF118" s="100" t="str">
        <f t="shared" si="392"/>
        <v/>
      </c>
      <c r="JXG118" s="100" t="str">
        <f t="shared" si="392"/>
        <v/>
      </c>
      <c r="JXH118" s="100" t="str">
        <f t="shared" si="392"/>
        <v/>
      </c>
      <c r="JXI118" s="100" t="str">
        <f t="shared" si="392"/>
        <v/>
      </c>
      <c r="JXJ118" s="100" t="str">
        <f t="shared" si="392"/>
        <v/>
      </c>
      <c r="JXK118" s="100" t="str">
        <f t="shared" si="392"/>
        <v/>
      </c>
      <c r="JXL118" s="100" t="str">
        <f t="shared" si="392"/>
        <v/>
      </c>
      <c r="JXM118" s="100" t="str">
        <f t="shared" si="392"/>
        <v/>
      </c>
      <c r="JXN118" s="100" t="str">
        <f t="shared" si="392"/>
        <v/>
      </c>
      <c r="JXO118" s="100" t="str">
        <f t="shared" si="392"/>
        <v/>
      </c>
      <c r="JXP118" s="100" t="str">
        <f t="shared" si="392"/>
        <v/>
      </c>
      <c r="JXQ118" s="100" t="str">
        <f t="shared" si="392"/>
        <v/>
      </c>
      <c r="JXR118" s="100" t="str">
        <f t="shared" si="392"/>
        <v/>
      </c>
      <c r="JXS118" s="100" t="str">
        <f t="shared" si="392"/>
        <v/>
      </c>
      <c r="JXT118" s="100" t="str">
        <f t="shared" si="392"/>
        <v/>
      </c>
      <c r="JXU118" s="100" t="str">
        <f t="shared" si="392"/>
        <v/>
      </c>
      <c r="JXV118" s="100" t="str">
        <f t="shared" si="392"/>
        <v/>
      </c>
      <c r="JXW118" s="100" t="str">
        <f t="shared" si="392"/>
        <v/>
      </c>
      <c r="JXX118" s="100" t="str">
        <f t="shared" si="392"/>
        <v/>
      </c>
      <c r="JXY118" s="100" t="str">
        <f t="shared" si="392"/>
        <v/>
      </c>
      <c r="JXZ118" s="100" t="str">
        <f t="shared" si="392"/>
        <v/>
      </c>
      <c r="JYA118" s="100" t="str">
        <f t="shared" si="392"/>
        <v/>
      </c>
      <c r="JYB118" s="100" t="str">
        <f t="shared" si="392"/>
        <v/>
      </c>
      <c r="JYC118" s="100" t="str">
        <f t="shared" si="392"/>
        <v/>
      </c>
      <c r="JYD118" s="100" t="str">
        <f t="shared" si="392"/>
        <v/>
      </c>
      <c r="JYE118" s="100" t="str">
        <f t="shared" si="392"/>
        <v/>
      </c>
      <c r="JYF118" s="100" t="str">
        <f t="shared" si="392"/>
        <v/>
      </c>
      <c r="JYG118" s="100" t="str">
        <f t="shared" si="392"/>
        <v/>
      </c>
      <c r="JYH118" s="100" t="str">
        <f t="shared" si="392"/>
        <v/>
      </c>
      <c r="JYI118" s="100" t="str">
        <f t="shared" si="392"/>
        <v/>
      </c>
      <c r="JYJ118" s="100" t="str">
        <f t="shared" si="392"/>
        <v/>
      </c>
      <c r="JYK118" s="100" t="str">
        <f t="shared" si="392"/>
        <v/>
      </c>
      <c r="JYL118" s="100" t="str">
        <f t="shared" si="392"/>
        <v/>
      </c>
      <c r="JYM118" s="100" t="str">
        <f t="shared" si="392"/>
        <v/>
      </c>
      <c r="JYN118" s="100" t="str">
        <f t="shared" si="392"/>
        <v/>
      </c>
      <c r="JYO118" s="100" t="str">
        <f t="shared" si="392"/>
        <v/>
      </c>
      <c r="JYP118" s="100" t="str">
        <f t="shared" si="392"/>
        <v/>
      </c>
      <c r="JYQ118" s="100" t="str">
        <f t="shared" si="392"/>
        <v/>
      </c>
      <c r="JYR118" s="100" t="str">
        <f t="shared" si="392"/>
        <v/>
      </c>
      <c r="JYS118" s="100" t="str">
        <f t="shared" ref="JYS118:KBD118" si="393">IFERROR(AVERAGE(JYS6,JYS16,JYS25,JYS34,JYS42,JYS54,JYS62,JYS70,JYS78,JYS86,JYS94,JYS102,JYS110),"")</f>
        <v/>
      </c>
      <c r="JYT118" s="100" t="str">
        <f t="shared" si="393"/>
        <v/>
      </c>
      <c r="JYU118" s="100" t="str">
        <f t="shared" si="393"/>
        <v/>
      </c>
      <c r="JYV118" s="100" t="str">
        <f t="shared" si="393"/>
        <v/>
      </c>
      <c r="JYW118" s="100" t="str">
        <f t="shared" si="393"/>
        <v/>
      </c>
      <c r="JYX118" s="100" t="str">
        <f t="shared" si="393"/>
        <v/>
      </c>
      <c r="JYY118" s="100" t="str">
        <f t="shared" si="393"/>
        <v/>
      </c>
      <c r="JYZ118" s="100" t="str">
        <f t="shared" si="393"/>
        <v/>
      </c>
      <c r="JZA118" s="100" t="str">
        <f t="shared" si="393"/>
        <v/>
      </c>
      <c r="JZB118" s="100" t="str">
        <f t="shared" si="393"/>
        <v/>
      </c>
      <c r="JZC118" s="100" t="str">
        <f t="shared" si="393"/>
        <v/>
      </c>
      <c r="JZD118" s="100" t="str">
        <f t="shared" si="393"/>
        <v/>
      </c>
      <c r="JZE118" s="100" t="str">
        <f t="shared" si="393"/>
        <v/>
      </c>
      <c r="JZF118" s="100" t="str">
        <f t="shared" si="393"/>
        <v/>
      </c>
      <c r="JZG118" s="100" t="str">
        <f t="shared" si="393"/>
        <v/>
      </c>
      <c r="JZH118" s="100" t="str">
        <f t="shared" si="393"/>
        <v/>
      </c>
      <c r="JZI118" s="100" t="str">
        <f t="shared" si="393"/>
        <v/>
      </c>
      <c r="JZJ118" s="100" t="str">
        <f t="shared" si="393"/>
        <v/>
      </c>
      <c r="JZK118" s="100" t="str">
        <f t="shared" si="393"/>
        <v/>
      </c>
      <c r="JZL118" s="100" t="str">
        <f t="shared" si="393"/>
        <v/>
      </c>
      <c r="JZM118" s="100" t="str">
        <f t="shared" si="393"/>
        <v/>
      </c>
      <c r="JZN118" s="100" t="str">
        <f t="shared" si="393"/>
        <v/>
      </c>
      <c r="JZO118" s="100" t="str">
        <f t="shared" si="393"/>
        <v/>
      </c>
      <c r="JZP118" s="100" t="str">
        <f t="shared" si="393"/>
        <v/>
      </c>
      <c r="JZQ118" s="100" t="str">
        <f t="shared" si="393"/>
        <v/>
      </c>
      <c r="JZR118" s="100" t="str">
        <f t="shared" si="393"/>
        <v/>
      </c>
      <c r="JZS118" s="100" t="str">
        <f t="shared" si="393"/>
        <v/>
      </c>
      <c r="JZT118" s="100" t="str">
        <f t="shared" si="393"/>
        <v/>
      </c>
      <c r="JZU118" s="100" t="str">
        <f t="shared" si="393"/>
        <v/>
      </c>
      <c r="JZV118" s="100" t="str">
        <f t="shared" si="393"/>
        <v/>
      </c>
      <c r="JZW118" s="100" t="str">
        <f t="shared" si="393"/>
        <v/>
      </c>
      <c r="JZX118" s="100" t="str">
        <f t="shared" si="393"/>
        <v/>
      </c>
      <c r="JZY118" s="100" t="str">
        <f t="shared" si="393"/>
        <v/>
      </c>
      <c r="JZZ118" s="100" t="str">
        <f t="shared" si="393"/>
        <v/>
      </c>
      <c r="KAA118" s="100" t="str">
        <f t="shared" si="393"/>
        <v/>
      </c>
      <c r="KAB118" s="100" t="str">
        <f t="shared" si="393"/>
        <v/>
      </c>
      <c r="KAC118" s="100" t="str">
        <f t="shared" si="393"/>
        <v/>
      </c>
      <c r="KAD118" s="100" t="str">
        <f t="shared" si="393"/>
        <v/>
      </c>
      <c r="KAE118" s="100" t="str">
        <f t="shared" si="393"/>
        <v/>
      </c>
      <c r="KAF118" s="100" t="str">
        <f t="shared" si="393"/>
        <v/>
      </c>
      <c r="KAG118" s="100" t="str">
        <f t="shared" si="393"/>
        <v/>
      </c>
      <c r="KAH118" s="100" t="str">
        <f t="shared" si="393"/>
        <v/>
      </c>
      <c r="KAI118" s="100" t="str">
        <f t="shared" si="393"/>
        <v/>
      </c>
      <c r="KAJ118" s="100" t="str">
        <f t="shared" si="393"/>
        <v/>
      </c>
      <c r="KAK118" s="100" t="str">
        <f t="shared" si="393"/>
        <v/>
      </c>
      <c r="KAL118" s="100" t="str">
        <f t="shared" si="393"/>
        <v/>
      </c>
      <c r="KAM118" s="100" t="str">
        <f t="shared" si="393"/>
        <v/>
      </c>
      <c r="KAN118" s="100" t="str">
        <f t="shared" si="393"/>
        <v/>
      </c>
      <c r="KAO118" s="100" t="str">
        <f t="shared" si="393"/>
        <v/>
      </c>
      <c r="KAP118" s="100" t="str">
        <f t="shared" si="393"/>
        <v/>
      </c>
      <c r="KAQ118" s="100" t="str">
        <f t="shared" si="393"/>
        <v/>
      </c>
      <c r="KAR118" s="100" t="str">
        <f t="shared" si="393"/>
        <v/>
      </c>
      <c r="KAS118" s="100" t="str">
        <f t="shared" si="393"/>
        <v/>
      </c>
      <c r="KAT118" s="100" t="str">
        <f t="shared" si="393"/>
        <v/>
      </c>
      <c r="KAU118" s="100" t="str">
        <f t="shared" si="393"/>
        <v/>
      </c>
      <c r="KAV118" s="100" t="str">
        <f t="shared" si="393"/>
        <v/>
      </c>
      <c r="KAW118" s="100" t="str">
        <f t="shared" si="393"/>
        <v/>
      </c>
      <c r="KAX118" s="100" t="str">
        <f t="shared" si="393"/>
        <v/>
      </c>
      <c r="KAY118" s="100" t="str">
        <f t="shared" si="393"/>
        <v/>
      </c>
      <c r="KAZ118" s="100" t="str">
        <f t="shared" si="393"/>
        <v/>
      </c>
      <c r="KBA118" s="100" t="str">
        <f t="shared" si="393"/>
        <v/>
      </c>
      <c r="KBB118" s="100" t="str">
        <f t="shared" si="393"/>
        <v/>
      </c>
      <c r="KBC118" s="100" t="str">
        <f t="shared" si="393"/>
        <v/>
      </c>
      <c r="KBD118" s="100" t="str">
        <f t="shared" si="393"/>
        <v/>
      </c>
      <c r="KBE118" s="100" t="str">
        <f t="shared" ref="KBE118:KDP118" si="394">IFERROR(AVERAGE(KBE6,KBE16,KBE25,KBE34,KBE42,KBE54,KBE62,KBE70,KBE78,KBE86,KBE94,KBE102,KBE110),"")</f>
        <v/>
      </c>
      <c r="KBF118" s="100" t="str">
        <f t="shared" si="394"/>
        <v/>
      </c>
      <c r="KBG118" s="100" t="str">
        <f t="shared" si="394"/>
        <v/>
      </c>
      <c r="KBH118" s="100" t="str">
        <f t="shared" si="394"/>
        <v/>
      </c>
      <c r="KBI118" s="100" t="str">
        <f t="shared" si="394"/>
        <v/>
      </c>
      <c r="KBJ118" s="100" t="str">
        <f t="shared" si="394"/>
        <v/>
      </c>
      <c r="KBK118" s="100" t="str">
        <f t="shared" si="394"/>
        <v/>
      </c>
      <c r="KBL118" s="100" t="str">
        <f t="shared" si="394"/>
        <v/>
      </c>
      <c r="KBM118" s="100" t="str">
        <f t="shared" si="394"/>
        <v/>
      </c>
      <c r="KBN118" s="100" t="str">
        <f t="shared" si="394"/>
        <v/>
      </c>
      <c r="KBO118" s="100" t="str">
        <f t="shared" si="394"/>
        <v/>
      </c>
      <c r="KBP118" s="100" t="str">
        <f t="shared" si="394"/>
        <v/>
      </c>
      <c r="KBQ118" s="100" t="str">
        <f t="shared" si="394"/>
        <v/>
      </c>
      <c r="KBR118" s="100" t="str">
        <f t="shared" si="394"/>
        <v/>
      </c>
      <c r="KBS118" s="100" t="str">
        <f t="shared" si="394"/>
        <v/>
      </c>
      <c r="KBT118" s="100" t="str">
        <f t="shared" si="394"/>
        <v/>
      </c>
      <c r="KBU118" s="100" t="str">
        <f t="shared" si="394"/>
        <v/>
      </c>
      <c r="KBV118" s="100" t="str">
        <f t="shared" si="394"/>
        <v/>
      </c>
      <c r="KBW118" s="100" t="str">
        <f t="shared" si="394"/>
        <v/>
      </c>
      <c r="KBX118" s="100" t="str">
        <f t="shared" si="394"/>
        <v/>
      </c>
      <c r="KBY118" s="100" t="str">
        <f t="shared" si="394"/>
        <v/>
      </c>
      <c r="KBZ118" s="100" t="str">
        <f t="shared" si="394"/>
        <v/>
      </c>
      <c r="KCA118" s="100" t="str">
        <f t="shared" si="394"/>
        <v/>
      </c>
      <c r="KCB118" s="100" t="str">
        <f t="shared" si="394"/>
        <v/>
      </c>
      <c r="KCC118" s="100" t="str">
        <f t="shared" si="394"/>
        <v/>
      </c>
      <c r="KCD118" s="100" t="str">
        <f t="shared" si="394"/>
        <v/>
      </c>
      <c r="KCE118" s="100" t="str">
        <f t="shared" si="394"/>
        <v/>
      </c>
      <c r="KCF118" s="100" t="str">
        <f t="shared" si="394"/>
        <v/>
      </c>
      <c r="KCG118" s="100" t="str">
        <f t="shared" si="394"/>
        <v/>
      </c>
      <c r="KCH118" s="100" t="str">
        <f t="shared" si="394"/>
        <v/>
      </c>
      <c r="KCI118" s="100" t="str">
        <f t="shared" si="394"/>
        <v/>
      </c>
      <c r="KCJ118" s="100" t="str">
        <f t="shared" si="394"/>
        <v/>
      </c>
      <c r="KCK118" s="100" t="str">
        <f t="shared" si="394"/>
        <v/>
      </c>
      <c r="KCL118" s="100" t="str">
        <f t="shared" si="394"/>
        <v/>
      </c>
      <c r="KCM118" s="100" t="str">
        <f t="shared" si="394"/>
        <v/>
      </c>
      <c r="KCN118" s="100" t="str">
        <f t="shared" si="394"/>
        <v/>
      </c>
      <c r="KCO118" s="100" t="str">
        <f t="shared" si="394"/>
        <v/>
      </c>
      <c r="KCP118" s="100" t="str">
        <f t="shared" si="394"/>
        <v/>
      </c>
      <c r="KCQ118" s="100" t="str">
        <f t="shared" si="394"/>
        <v/>
      </c>
      <c r="KCR118" s="100" t="str">
        <f t="shared" si="394"/>
        <v/>
      </c>
      <c r="KCS118" s="100" t="str">
        <f t="shared" si="394"/>
        <v/>
      </c>
      <c r="KCT118" s="100" t="str">
        <f t="shared" si="394"/>
        <v/>
      </c>
      <c r="KCU118" s="100" t="str">
        <f t="shared" si="394"/>
        <v/>
      </c>
      <c r="KCV118" s="100" t="str">
        <f t="shared" si="394"/>
        <v/>
      </c>
      <c r="KCW118" s="100" t="str">
        <f t="shared" si="394"/>
        <v/>
      </c>
      <c r="KCX118" s="100" t="str">
        <f t="shared" si="394"/>
        <v/>
      </c>
      <c r="KCY118" s="100" t="str">
        <f t="shared" si="394"/>
        <v/>
      </c>
      <c r="KCZ118" s="100" t="str">
        <f t="shared" si="394"/>
        <v/>
      </c>
      <c r="KDA118" s="100" t="str">
        <f t="shared" si="394"/>
        <v/>
      </c>
      <c r="KDB118" s="100" t="str">
        <f t="shared" si="394"/>
        <v/>
      </c>
      <c r="KDC118" s="100" t="str">
        <f t="shared" si="394"/>
        <v/>
      </c>
      <c r="KDD118" s="100" t="str">
        <f t="shared" si="394"/>
        <v/>
      </c>
      <c r="KDE118" s="100" t="str">
        <f t="shared" si="394"/>
        <v/>
      </c>
      <c r="KDF118" s="100" t="str">
        <f t="shared" si="394"/>
        <v/>
      </c>
      <c r="KDG118" s="100" t="str">
        <f t="shared" si="394"/>
        <v/>
      </c>
      <c r="KDH118" s="100" t="str">
        <f t="shared" si="394"/>
        <v/>
      </c>
      <c r="KDI118" s="100" t="str">
        <f t="shared" si="394"/>
        <v/>
      </c>
      <c r="KDJ118" s="100" t="str">
        <f t="shared" si="394"/>
        <v/>
      </c>
      <c r="KDK118" s="100" t="str">
        <f t="shared" si="394"/>
        <v/>
      </c>
      <c r="KDL118" s="100" t="str">
        <f t="shared" si="394"/>
        <v/>
      </c>
      <c r="KDM118" s="100" t="str">
        <f t="shared" si="394"/>
        <v/>
      </c>
      <c r="KDN118" s="100" t="str">
        <f t="shared" si="394"/>
        <v/>
      </c>
      <c r="KDO118" s="100" t="str">
        <f t="shared" si="394"/>
        <v/>
      </c>
      <c r="KDP118" s="100" t="str">
        <f t="shared" si="394"/>
        <v/>
      </c>
      <c r="KDQ118" s="100" t="str">
        <f t="shared" ref="KDQ118:KGB118" si="395">IFERROR(AVERAGE(KDQ6,KDQ16,KDQ25,KDQ34,KDQ42,KDQ54,KDQ62,KDQ70,KDQ78,KDQ86,KDQ94,KDQ102,KDQ110),"")</f>
        <v/>
      </c>
      <c r="KDR118" s="100" t="str">
        <f t="shared" si="395"/>
        <v/>
      </c>
      <c r="KDS118" s="100" t="str">
        <f t="shared" si="395"/>
        <v/>
      </c>
      <c r="KDT118" s="100" t="str">
        <f t="shared" si="395"/>
        <v/>
      </c>
      <c r="KDU118" s="100" t="str">
        <f t="shared" si="395"/>
        <v/>
      </c>
      <c r="KDV118" s="100" t="str">
        <f t="shared" si="395"/>
        <v/>
      </c>
      <c r="KDW118" s="100" t="str">
        <f t="shared" si="395"/>
        <v/>
      </c>
      <c r="KDX118" s="100" t="str">
        <f t="shared" si="395"/>
        <v/>
      </c>
      <c r="KDY118" s="100" t="str">
        <f t="shared" si="395"/>
        <v/>
      </c>
      <c r="KDZ118" s="100" t="str">
        <f t="shared" si="395"/>
        <v/>
      </c>
      <c r="KEA118" s="100" t="str">
        <f t="shared" si="395"/>
        <v/>
      </c>
      <c r="KEB118" s="100" t="str">
        <f t="shared" si="395"/>
        <v/>
      </c>
      <c r="KEC118" s="100" t="str">
        <f t="shared" si="395"/>
        <v/>
      </c>
      <c r="KED118" s="100" t="str">
        <f t="shared" si="395"/>
        <v/>
      </c>
      <c r="KEE118" s="100" t="str">
        <f t="shared" si="395"/>
        <v/>
      </c>
      <c r="KEF118" s="100" t="str">
        <f t="shared" si="395"/>
        <v/>
      </c>
      <c r="KEG118" s="100" t="str">
        <f t="shared" si="395"/>
        <v/>
      </c>
      <c r="KEH118" s="100" t="str">
        <f t="shared" si="395"/>
        <v/>
      </c>
      <c r="KEI118" s="100" t="str">
        <f t="shared" si="395"/>
        <v/>
      </c>
      <c r="KEJ118" s="100" t="str">
        <f t="shared" si="395"/>
        <v/>
      </c>
      <c r="KEK118" s="100" t="str">
        <f t="shared" si="395"/>
        <v/>
      </c>
      <c r="KEL118" s="100" t="str">
        <f t="shared" si="395"/>
        <v/>
      </c>
      <c r="KEM118" s="100" t="str">
        <f t="shared" si="395"/>
        <v/>
      </c>
      <c r="KEN118" s="100" t="str">
        <f t="shared" si="395"/>
        <v/>
      </c>
      <c r="KEO118" s="100" t="str">
        <f t="shared" si="395"/>
        <v/>
      </c>
      <c r="KEP118" s="100" t="str">
        <f t="shared" si="395"/>
        <v/>
      </c>
      <c r="KEQ118" s="100" t="str">
        <f t="shared" si="395"/>
        <v/>
      </c>
      <c r="KER118" s="100" t="str">
        <f t="shared" si="395"/>
        <v/>
      </c>
      <c r="KES118" s="100" t="str">
        <f t="shared" si="395"/>
        <v/>
      </c>
      <c r="KET118" s="100" t="str">
        <f t="shared" si="395"/>
        <v/>
      </c>
      <c r="KEU118" s="100" t="str">
        <f t="shared" si="395"/>
        <v/>
      </c>
      <c r="KEV118" s="100" t="str">
        <f t="shared" si="395"/>
        <v/>
      </c>
      <c r="KEW118" s="100" t="str">
        <f t="shared" si="395"/>
        <v/>
      </c>
      <c r="KEX118" s="100" t="str">
        <f t="shared" si="395"/>
        <v/>
      </c>
      <c r="KEY118" s="100" t="str">
        <f t="shared" si="395"/>
        <v/>
      </c>
      <c r="KEZ118" s="100" t="str">
        <f t="shared" si="395"/>
        <v/>
      </c>
      <c r="KFA118" s="100" t="str">
        <f t="shared" si="395"/>
        <v/>
      </c>
      <c r="KFB118" s="100" t="str">
        <f t="shared" si="395"/>
        <v/>
      </c>
      <c r="KFC118" s="100" t="str">
        <f t="shared" si="395"/>
        <v/>
      </c>
      <c r="KFD118" s="100" t="str">
        <f t="shared" si="395"/>
        <v/>
      </c>
      <c r="KFE118" s="100" t="str">
        <f t="shared" si="395"/>
        <v/>
      </c>
      <c r="KFF118" s="100" t="str">
        <f t="shared" si="395"/>
        <v/>
      </c>
      <c r="KFG118" s="100" t="str">
        <f t="shared" si="395"/>
        <v/>
      </c>
      <c r="KFH118" s="100" t="str">
        <f t="shared" si="395"/>
        <v/>
      </c>
      <c r="KFI118" s="100" t="str">
        <f t="shared" si="395"/>
        <v/>
      </c>
      <c r="KFJ118" s="100" t="str">
        <f t="shared" si="395"/>
        <v/>
      </c>
      <c r="KFK118" s="100" t="str">
        <f t="shared" si="395"/>
        <v/>
      </c>
      <c r="KFL118" s="100" t="str">
        <f t="shared" si="395"/>
        <v/>
      </c>
      <c r="KFM118" s="100" t="str">
        <f t="shared" si="395"/>
        <v/>
      </c>
      <c r="KFN118" s="100" t="str">
        <f t="shared" si="395"/>
        <v/>
      </c>
      <c r="KFO118" s="100" t="str">
        <f t="shared" si="395"/>
        <v/>
      </c>
      <c r="KFP118" s="100" t="str">
        <f t="shared" si="395"/>
        <v/>
      </c>
      <c r="KFQ118" s="100" t="str">
        <f t="shared" si="395"/>
        <v/>
      </c>
      <c r="KFR118" s="100" t="str">
        <f t="shared" si="395"/>
        <v/>
      </c>
      <c r="KFS118" s="100" t="str">
        <f t="shared" si="395"/>
        <v/>
      </c>
      <c r="KFT118" s="100" t="str">
        <f t="shared" si="395"/>
        <v/>
      </c>
      <c r="KFU118" s="100" t="str">
        <f t="shared" si="395"/>
        <v/>
      </c>
      <c r="KFV118" s="100" t="str">
        <f t="shared" si="395"/>
        <v/>
      </c>
      <c r="KFW118" s="100" t="str">
        <f t="shared" si="395"/>
        <v/>
      </c>
      <c r="KFX118" s="100" t="str">
        <f t="shared" si="395"/>
        <v/>
      </c>
      <c r="KFY118" s="100" t="str">
        <f t="shared" si="395"/>
        <v/>
      </c>
      <c r="KFZ118" s="100" t="str">
        <f t="shared" si="395"/>
        <v/>
      </c>
      <c r="KGA118" s="100" t="str">
        <f t="shared" si="395"/>
        <v/>
      </c>
      <c r="KGB118" s="100" t="str">
        <f t="shared" si="395"/>
        <v/>
      </c>
      <c r="KGC118" s="100" t="str">
        <f t="shared" ref="KGC118:KIN118" si="396">IFERROR(AVERAGE(KGC6,KGC16,KGC25,KGC34,KGC42,KGC54,KGC62,KGC70,KGC78,KGC86,KGC94,KGC102,KGC110),"")</f>
        <v/>
      </c>
      <c r="KGD118" s="100" t="str">
        <f t="shared" si="396"/>
        <v/>
      </c>
      <c r="KGE118" s="100" t="str">
        <f t="shared" si="396"/>
        <v/>
      </c>
      <c r="KGF118" s="100" t="str">
        <f t="shared" si="396"/>
        <v/>
      </c>
      <c r="KGG118" s="100" t="str">
        <f t="shared" si="396"/>
        <v/>
      </c>
      <c r="KGH118" s="100" t="str">
        <f t="shared" si="396"/>
        <v/>
      </c>
      <c r="KGI118" s="100" t="str">
        <f t="shared" si="396"/>
        <v/>
      </c>
      <c r="KGJ118" s="100" t="str">
        <f t="shared" si="396"/>
        <v/>
      </c>
      <c r="KGK118" s="100" t="str">
        <f t="shared" si="396"/>
        <v/>
      </c>
      <c r="KGL118" s="100" t="str">
        <f t="shared" si="396"/>
        <v/>
      </c>
      <c r="KGM118" s="100" t="str">
        <f t="shared" si="396"/>
        <v/>
      </c>
      <c r="KGN118" s="100" t="str">
        <f t="shared" si="396"/>
        <v/>
      </c>
      <c r="KGO118" s="100" t="str">
        <f t="shared" si="396"/>
        <v/>
      </c>
      <c r="KGP118" s="100" t="str">
        <f t="shared" si="396"/>
        <v/>
      </c>
      <c r="KGQ118" s="100" t="str">
        <f t="shared" si="396"/>
        <v/>
      </c>
      <c r="KGR118" s="100" t="str">
        <f t="shared" si="396"/>
        <v/>
      </c>
      <c r="KGS118" s="100" t="str">
        <f t="shared" si="396"/>
        <v/>
      </c>
      <c r="KGT118" s="100" t="str">
        <f t="shared" si="396"/>
        <v/>
      </c>
      <c r="KGU118" s="100" t="str">
        <f t="shared" si="396"/>
        <v/>
      </c>
      <c r="KGV118" s="100" t="str">
        <f t="shared" si="396"/>
        <v/>
      </c>
      <c r="KGW118" s="100" t="str">
        <f t="shared" si="396"/>
        <v/>
      </c>
      <c r="KGX118" s="100" t="str">
        <f t="shared" si="396"/>
        <v/>
      </c>
      <c r="KGY118" s="100" t="str">
        <f t="shared" si="396"/>
        <v/>
      </c>
      <c r="KGZ118" s="100" t="str">
        <f t="shared" si="396"/>
        <v/>
      </c>
      <c r="KHA118" s="100" t="str">
        <f t="shared" si="396"/>
        <v/>
      </c>
      <c r="KHB118" s="100" t="str">
        <f t="shared" si="396"/>
        <v/>
      </c>
      <c r="KHC118" s="100" t="str">
        <f t="shared" si="396"/>
        <v/>
      </c>
      <c r="KHD118" s="100" t="str">
        <f t="shared" si="396"/>
        <v/>
      </c>
      <c r="KHE118" s="100" t="str">
        <f t="shared" si="396"/>
        <v/>
      </c>
      <c r="KHF118" s="100" t="str">
        <f t="shared" si="396"/>
        <v/>
      </c>
      <c r="KHG118" s="100" t="str">
        <f t="shared" si="396"/>
        <v/>
      </c>
      <c r="KHH118" s="100" t="str">
        <f t="shared" si="396"/>
        <v/>
      </c>
      <c r="KHI118" s="100" t="str">
        <f t="shared" si="396"/>
        <v/>
      </c>
      <c r="KHJ118" s="100" t="str">
        <f t="shared" si="396"/>
        <v/>
      </c>
      <c r="KHK118" s="100" t="str">
        <f t="shared" si="396"/>
        <v/>
      </c>
      <c r="KHL118" s="100" t="str">
        <f t="shared" si="396"/>
        <v/>
      </c>
      <c r="KHM118" s="100" t="str">
        <f t="shared" si="396"/>
        <v/>
      </c>
      <c r="KHN118" s="100" t="str">
        <f t="shared" si="396"/>
        <v/>
      </c>
      <c r="KHO118" s="100" t="str">
        <f t="shared" si="396"/>
        <v/>
      </c>
      <c r="KHP118" s="100" t="str">
        <f t="shared" si="396"/>
        <v/>
      </c>
      <c r="KHQ118" s="100" t="str">
        <f t="shared" si="396"/>
        <v/>
      </c>
      <c r="KHR118" s="100" t="str">
        <f t="shared" si="396"/>
        <v/>
      </c>
      <c r="KHS118" s="100" t="str">
        <f t="shared" si="396"/>
        <v/>
      </c>
      <c r="KHT118" s="100" t="str">
        <f t="shared" si="396"/>
        <v/>
      </c>
      <c r="KHU118" s="100" t="str">
        <f t="shared" si="396"/>
        <v/>
      </c>
      <c r="KHV118" s="100" t="str">
        <f t="shared" si="396"/>
        <v/>
      </c>
      <c r="KHW118" s="100" t="str">
        <f t="shared" si="396"/>
        <v/>
      </c>
      <c r="KHX118" s="100" t="str">
        <f t="shared" si="396"/>
        <v/>
      </c>
      <c r="KHY118" s="100" t="str">
        <f t="shared" si="396"/>
        <v/>
      </c>
      <c r="KHZ118" s="100" t="str">
        <f t="shared" si="396"/>
        <v/>
      </c>
      <c r="KIA118" s="100" t="str">
        <f t="shared" si="396"/>
        <v/>
      </c>
      <c r="KIB118" s="100" t="str">
        <f t="shared" si="396"/>
        <v/>
      </c>
      <c r="KIC118" s="100" t="str">
        <f t="shared" si="396"/>
        <v/>
      </c>
      <c r="KID118" s="100" t="str">
        <f t="shared" si="396"/>
        <v/>
      </c>
      <c r="KIE118" s="100" t="str">
        <f t="shared" si="396"/>
        <v/>
      </c>
      <c r="KIF118" s="100" t="str">
        <f t="shared" si="396"/>
        <v/>
      </c>
      <c r="KIG118" s="100" t="str">
        <f t="shared" si="396"/>
        <v/>
      </c>
      <c r="KIH118" s="100" t="str">
        <f t="shared" si="396"/>
        <v/>
      </c>
      <c r="KII118" s="100" t="str">
        <f t="shared" si="396"/>
        <v/>
      </c>
      <c r="KIJ118" s="100" t="str">
        <f t="shared" si="396"/>
        <v/>
      </c>
      <c r="KIK118" s="100" t="str">
        <f t="shared" si="396"/>
        <v/>
      </c>
      <c r="KIL118" s="100" t="str">
        <f t="shared" si="396"/>
        <v/>
      </c>
      <c r="KIM118" s="100" t="str">
        <f t="shared" si="396"/>
        <v/>
      </c>
      <c r="KIN118" s="100" t="str">
        <f t="shared" si="396"/>
        <v/>
      </c>
      <c r="KIO118" s="100" t="str">
        <f t="shared" ref="KIO118:KKZ118" si="397">IFERROR(AVERAGE(KIO6,KIO16,KIO25,KIO34,KIO42,KIO54,KIO62,KIO70,KIO78,KIO86,KIO94,KIO102,KIO110),"")</f>
        <v/>
      </c>
      <c r="KIP118" s="100" t="str">
        <f t="shared" si="397"/>
        <v/>
      </c>
      <c r="KIQ118" s="100" t="str">
        <f t="shared" si="397"/>
        <v/>
      </c>
      <c r="KIR118" s="100" t="str">
        <f t="shared" si="397"/>
        <v/>
      </c>
      <c r="KIS118" s="100" t="str">
        <f t="shared" si="397"/>
        <v/>
      </c>
      <c r="KIT118" s="100" t="str">
        <f t="shared" si="397"/>
        <v/>
      </c>
      <c r="KIU118" s="100" t="str">
        <f t="shared" si="397"/>
        <v/>
      </c>
      <c r="KIV118" s="100" t="str">
        <f t="shared" si="397"/>
        <v/>
      </c>
      <c r="KIW118" s="100" t="str">
        <f t="shared" si="397"/>
        <v/>
      </c>
      <c r="KIX118" s="100" t="str">
        <f t="shared" si="397"/>
        <v/>
      </c>
      <c r="KIY118" s="100" t="str">
        <f t="shared" si="397"/>
        <v/>
      </c>
      <c r="KIZ118" s="100" t="str">
        <f t="shared" si="397"/>
        <v/>
      </c>
      <c r="KJA118" s="100" t="str">
        <f t="shared" si="397"/>
        <v/>
      </c>
      <c r="KJB118" s="100" t="str">
        <f t="shared" si="397"/>
        <v/>
      </c>
      <c r="KJC118" s="100" t="str">
        <f t="shared" si="397"/>
        <v/>
      </c>
      <c r="KJD118" s="100" t="str">
        <f t="shared" si="397"/>
        <v/>
      </c>
      <c r="KJE118" s="100" t="str">
        <f t="shared" si="397"/>
        <v/>
      </c>
      <c r="KJF118" s="100" t="str">
        <f t="shared" si="397"/>
        <v/>
      </c>
      <c r="KJG118" s="100" t="str">
        <f t="shared" si="397"/>
        <v/>
      </c>
      <c r="KJH118" s="100" t="str">
        <f t="shared" si="397"/>
        <v/>
      </c>
      <c r="KJI118" s="100" t="str">
        <f t="shared" si="397"/>
        <v/>
      </c>
      <c r="KJJ118" s="100" t="str">
        <f t="shared" si="397"/>
        <v/>
      </c>
      <c r="KJK118" s="100" t="str">
        <f t="shared" si="397"/>
        <v/>
      </c>
      <c r="KJL118" s="100" t="str">
        <f t="shared" si="397"/>
        <v/>
      </c>
      <c r="KJM118" s="100" t="str">
        <f t="shared" si="397"/>
        <v/>
      </c>
      <c r="KJN118" s="100" t="str">
        <f t="shared" si="397"/>
        <v/>
      </c>
      <c r="KJO118" s="100" t="str">
        <f t="shared" si="397"/>
        <v/>
      </c>
      <c r="KJP118" s="100" t="str">
        <f t="shared" si="397"/>
        <v/>
      </c>
      <c r="KJQ118" s="100" t="str">
        <f t="shared" si="397"/>
        <v/>
      </c>
      <c r="KJR118" s="100" t="str">
        <f t="shared" si="397"/>
        <v/>
      </c>
      <c r="KJS118" s="100" t="str">
        <f t="shared" si="397"/>
        <v/>
      </c>
      <c r="KJT118" s="100" t="str">
        <f t="shared" si="397"/>
        <v/>
      </c>
      <c r="KJU118" s="100" t="str">
        <f t="shared" si="397"/>
        <v/>
      </c>
      <c r="KJV118" s="100" t="str">
        <f t="shared" si="397"/>
        <v/>
      </c>
      <c r="KJW118" s="100" t="str">
        <f t="shared" si="397"/>
        <v/>
      </c>
      <c r="KJX118" s="100" t="str">
        <f t="shared" si="397"/>
        <v/>
      </c>
      <c r="KJY118" s="100" t="str">
        <f t="shared" si="397"/>
        <v/>
      </c>
      <c r="KJZ118" s="100" t="str">
        <f t="shared" si="397"/>
        <v/>
      </c>
      <c r="KKA118" s="100" t="str">
        <f t="shared" si="397"/>
        <v/>
      </c>
      <c r="KKB118" s="100" t="str">
        <f t="shared" si="397"/>
        <v/>
      </c>
      <c r="KKC118" s="100" t="str">
        <f t="shared" si="397"/>
        <v/>
      </c>
      <c r="KKD118" s="100" t="str">
        <f t="shared" si="397"/>
        <v/>
      </c>
      <c r="KKE118" s="100" t="str">
        <f t="shared" si="397"/>
        <v/>
      </c>
      <c r="KKF118" s="100" t="str">
        <f t="shared" si="397"/>
        <v/>
      </c>
      <c r="KKG118" s="100" t="str">
        <f t="shared" si="397"/>
        <v/>
      </c>
      <c r="KKH118" s="100" t="str">
        <f t="shared" si="397"/>
        <v/>
      </c>
      <c r="KKI118" s="100" t="str">
        <f t="shared" si="397"/>
        <v/>
      </c>
      <c r="KKJ118" s="100" t="str">
        <f t="shared" si="397"/>
        <v/>
      </c>
      <c r="KKK118" s="100" t="str">
        <f t="shared" si="397"/>
        <v/>
      </c>
      <c r="KKL118" s="100" t="str">
        <f t="shared" si="397"/>
        <v/>
      </c>
      <c r="KKM118" s="100" t="str">
        <f t="shared" si="397"/>
        <v/>
      </c>
      <c r="KKN118" s="100" t="str">
        <f t="shared" si="397"/>
        <v/>
      </c>
      <c r="KKO118" s="100" t="str">
        <f t="shared" si="397"/>
        <v/>
      </c>
      <c r="KKP118" s="100" t="str">
        <f t="shared" si="397"/>
        <v/>
      </c>
      <c r="KKQ118" s="100" t="str">
        <f t="shared" si="397"/>
        <v/>
      </c>
      <c r="KKR118" s="100" t="str">
        <f t="shared" si="397"/>
        <v/>
      </c>
      <c r="KKS118" s="100" t="str">
        <f t="shared" si="397"/>
        <v/>
      </c>
      <c r="KKT118" s="100" t="str">
        <f t="shared" si="397"/>
        <v/>
      </c>
      <c r="KKU118" s="100" t="str">
        <f t="shared" si="397"/>
        <v/>
      </c>
      <c r="KKV118" s="100" t="str">
        <f t="shared" si="397"/>
        <v/>
      </c>
      <c r="KKW118" s="100" t="str">
        <f t="shared" si="397"/>
        <v/>
      </c>
      <c r="KKX118" s="100" t="str">
        <f t="shared" si="397"/>
        <v/>
      </c>
      <c r="KKY118" s="100" t="str">
        <f t="shared" si="397"/>
        <v/>
      </c>
      <c r="KKZ118" s="100" t="str">
        <f t="shared" si="397"/>
        <v/>
      </c>
      <c r="KLA118" s="100" t="str">
        <f t="shared" ref="KLA118:KNL118" si="398">IFERROR(AVERAGE(KLA6,KLA16,KLA25,KLA34,KLA42,KLA54,KLA62,KLA70,KLA78,KLA86,KLA94,KLA102,KLA110),"")</f>
        <v/>
      </c>
      <c r="KLB118" s="100" t="str">
        <f t="shared" si="398"/>
        <v/>
      </c>
      <c r="KLC118" s="100" t="str">
        <f t="shared" si="398"/>
        <v/>
      </c>
      <c r="KLD118" s="100" t="str">
        <f t="shared" si="398"/>
        <v/>
      </c>
      <c r="KLE118" s="100" t="str">
        <f t="shared" si="398"/>
        <v/>
      </c>
      <c r="KLF118" s="100" t="str">
        <f t="shared" si="398"/>
        <v/>
      </c>
      <c r="KLG118" s="100" t="str">
        <f t="shared" si="398"/>
        <v/>
      </c>
      <c r="KLH118" s="100" t="str">
        <f t="shared" si="398"/>
        <v/>
      </c>
      <c r="KLI118" s="100" t="str">
        <f t="shared" si="398"/>
        <v/>
      </c>
      <c r="KLJ118" s="100" t="str">
        <f t="shared" si="398"/>
        <v/>
      </c>
      <c r="KLK118" s="100" t="str">
        <f t="shared" si="398"/>
        <v/>
      </c>
      <c r="KLL118" s="100" t="str">
        <f t="shared" si="398"/>
        <v/>
      </c>
      <c r="KLM118" s="100" t="str">
        <f t="shared" si="398"/>
        <v/>
      </c>
      <c r="KLN118" s="100" t="str">
        <f t="shared" si="398"/>
        <v/>
      </c>
      <c r="KLO118" s="100" t="str">
        <f t="shared" si="398"/>
        <v/>
      </c>
      <c r="KLP118" s="100" t="str">
        <f t="shared" si="398"/>
        <v/>
      </c>
      <c r="KLQ118" s="100" t="str">
        <f t="shared" si="398"/>
        <v/>
      </c>
      <c r="KLR118" s="100" t="str">
        <f t="shared" si="398"/>
        <v/>
      </c>
      <c r="KLS118" s="100" t="str">
        <f t="shared" si="398"/>
        <v/>
      </c>
      <c r="KLT118" s="100" t="str">
        <f t="shared" si="398"/>
        <v/>
      </c>
      <c r="KLU118" s="100" t="str">
        <f t="shared" si="398"/>
        <v/>
      </c>
      <c r="KLV118" s="100" t="str">
        <f t="shared" si="398"/>
        <v/>
      </c>
      <c r="KLW118" s="100" t="str">
        <f t="shared" si="398"/>
        <v/>
      </c>
      <c r="KLX118" s="100" t="str">
        <f t="shared" si="398"/>
        <v/>
      </c>
      <c r="KLY118" s="100" t="str">
        <f t="shared" si="398"/>
        <v/>
      </c>
      <c r="KLZ118" s="100" t="str">
        <f t="shared" si="398"/>
        <v/>
      </c>
      <c r="KMA118" s="100" t="str">
        <f t="shared" si="398"/>
        <v/>
      </c>
      <c r="KMB118" s="100" t="str">
        <f t="shared" si="398"/>
        <v/>
      </c>
      <c r="KMC118" s="100" t="str">
        <f t="shared" si="398"/>
        <v/>
      </c>
      <c r="KMD118" s="100" t="str">
        <f t="shared" si="398"/>
        <v/>
      </c>
      <c r="KME118" s="100" t="str">
        <f t="shared" si="398"/>
        <v/>
      </c>
      <c r="KMF118" s="100" t="str">
        <f t="shared" si="398"/>
        <v/>
      </c>
      <c r="KMG118" s="100" t="str">
        <f t="shared" si="398"/>
        <v/>
      </c>
      <c r="KMH118" s="100" t="str">
        <f t="shared" si="398"/>
        <v/>
      </c>
      <c r="KMI118" s="100" t="str">
        <f t="shared" si="398"/>
        <v/>
      </c>
      <c r="KMJ118" s="100" t="str">
        <f t="shared" si="398"/>
        <v/>
      </c>
      <c r="KMK118" s="100" t="str">
        <f t="shared" si="398"/>
        <v/>
      </c>
      <c r="KML118" s="100" t="str">
        <f t="shared" si="398"/>
        <v/>
      </c>
      <c r="KMM118" s="100" t="str">
        <f t="shared" si="398"/>
        <v/>
      </c>
      <c r="KMN118" s="100" t="str">
        <f t="shared" si="398"/>
        <v/>
      </c>
      <c r="KMO118" s="100" t="str">
        <f t="shared" si="398"/>
        <v/>
      </c>
      <c r="KMP118" s="100" t="str">
        <f t="shared" si="398"/>
        <v/>
      </c>
      <c r="KMQ118" s="100" t="str">
        <f t="shared" si="398"/>
        <v/>
      </c>
      <c r="KMR118" s="100" t="str">
        <f t="shared" si="398"/>
        <v/>
      </c>
      <c r="KMS118" s="100" t="str">
        <f t="shared" si="398"/>
        <v/>
      </c>
      <c r="KMT118" s="100" t="str">
        <f t="shared" si="398"/>
        <v/>
      </c>
      <c r="KMU118" s="100" t="str">
        <f t="shared" si="398"/>
        <v/>
      </c>
      <c r="KMV118" s="100" t="str">
        <f t="shared" si="398"/>
        <v/>
      </c>
      <c r="KMW118" s="100" t="str">
        <f t="shared" si="398"/>
        <v/>
      </c>
      <c r="KMX118" s="100" t="str">
        <f t="shared" si="398"/>
        <v/>
      </c>
      <c r="KMY118" s="100" t="str">
        <f t="shared" si="398"/>
        <v/>
      </c>
      <c r="KMZ118" s="100" t="str">
        <f t="shared" si="398"/>
        <v/>
      </c>
      <c r="KNA118" s="100" t="str">
        <f t="shared" si="398"/>
        <v/>
      </c>
      <c r="KNB118" s="100" t="str">
        <f t="shared" si="398"/>
        <v/>
      </c>
      <c r="KNC118" s="100" t="str">
        <f t="shared" si="398"/>
        <v/>
      </c>
      <c r="KND118" s="100" t="str">
        <f t="shared" si="398"/>
        <v/>
      </c>
      <c r="KNE118" s="100" t="str">
        <f t="shared" si="398"/>
        <v/>
      </c>
      <c r="KNF118" s="100" t="str">
        <f t="shared" si="398"/>
        <v/>
      </c>
      <c r="KNG118" s="100" t="str">
        <f t="shared" si="398"/>
        <v/>
      </c>
      <c r="KNH118" s="100" t="str">
        <f t="shared" si="398"/>
        <v/>
      </c>
      <c r="KNI118" s="100" t="str">
        <f t="shared" si="398"/>
        <v/>
      </c>
      <c r="KNJ118" s="100" t="str">
        <f t="shared" si="398"/>
        <v/>
      </c>
      <c r="KNK118" s="100" t="str">
        <f t="shared" si="398"/>
        <v/>
      </c>
      <c r="KNL118" s="100" t="str">
        <f t="shared" si="398"/>
        <v/>
      </c>
      <c r="KNM118" s="100" t="str">
        <f t="shared" ref="KNM118:KPX118" si="399">IFERROR(AVERAGE(KNM6,KNM16,KNM25,KNM34,KNM42,KNM54,KNM62,KNM70,KNM78,KNM86,KNM94,KNM102,KNM110),"")</f>
        <v/>
      </c>
      <c r="KNN118" s="100" t="str">
        <f t="shared" si="399"/>
        <v/>
      </c>
      <c r="KNO118" s="100" t="str">
        <f t="shared" si="399"/>
        <v/>
      </c>
      <c r="KNP118" s="100" t="str">
        <f t="shared" si="399"/>
        <v/>
      </c>
      <c r="KNQ118" s="100" t="str">
        <f t="shared" si="399"/>
        <v/>
      </c>
      <c r="KNR118" s="100" t="str">
        <f t="shared" si="399"/>
        <v/>
      </c>
      <c r="KNS118" s="100" t="str">
        <f t="shared" si="399"/>
        <v/>
      </c>
      <c r="KNT118" s="100" t="str">
        <f t="shared" si="399"/>
        <v/>
      </c>
      <c r="KNU118" s="100" t="str">
        <f t="shared" si="399"/>
        <v/>
      </c>
      <c r="KNV118" s="100" t="str">
        <f t="shared" si="399"/>
        <v/>
      </c>
      <c r="KNW118" s="100" t="str">
        <f t="shared" si="399"/>
        <v/>
      </c>
      <c r="KNX118" s="100" t="str">
        <f t="shared" si="399"/>
        <v/>
      </c>
      <c r="KNY118" s="100" t="str">
        <f t="shared" si="399"/>
        <v/>
      </c>
      <c r="KNZ118" s="100" t="str">
        <f t="shared" si="399"/>
        <v/>
      </c>
      <c r="KOA118" s="100" t="str">
        <f t="shared" si="399"/>
        <v/>
      </c>
      <c r="KOB118" s="100" t="str">
        <f t="shared" si="399"/>
        <v/>
      </c>
      <c r="KOC118" s="100" t="str">
        <f t="shared" si="399"/>
        <v/>
      </c>
      <c r="KOD118" s="100" t="str">
        <f t="shared" si="399"/>
        <v/>
      </c>
      <c r="KOE118" s="100" t="str">
        <f t="shared" si="399"/>
        <v/>
      </c>
      <c r="KOF118" s="100" t="str">
        <f t="shared" si="399"/>
        <v/>
      </c>
      <c r="KOG118" s="100" t="str">
        <f t="shared" si="399"/>
        <v/>
      </c>
      <c r="KOH118" s="100" t="str">
        <f t="shared" si="399"/>
        <v/>
      </c>
      <c r="KOI118" s="100" t="str">
        <f t="shared" si="399"/>
        <v/>
      </c>
      <c r="KOJ118" s="100" t="str">
        <f t="shared" si="399"/>
        <v/>
      </c>
      <c r="KOK118" s="100" t="str">
        <f t="shared" si="399"/>
        <v/>
      </c>
      <c r="KOL118" s="100" t="str">
        <f t="shared" si="399"/>
        <v/>
      </c>
      <c r="KOM118" s="100" t="str">
        <f t="shared" si="399"/>
        <v/>
      </c>
      <c r="KON118" s="100" t="str">
        <f t="shared" si="399"/>
        <v/>
      </c>
      <c r="KOO118" s="100" t="str">
        <f t="shared" si="399"/>
        <v/>
      </c>
      <c r="KOP118" s="100" t="str">
        <f t="shared" si="399"/>
        <v/>
      </c>
      <c r="KOQ118" s="100" t="str">
        <f t="shared" si="399"/>
        <v/>
      </c>
      <c r="KOR118" s="100" t="str">
        <f t="shared" si="399"/>
        <v/>
      </c>
      <c r="KOS118" s="100" t="str">
        <f t="shared" si="399"/>
        <v/>
      </c>
      <c r="KOT118" s="100" t="str">
        <f t="shared" si="399"/>
        <v/>
      </c>
      <c r="KOU118" s="100" t="str">
        <f t="shared" si="399"/>
        <v/>
      </c>
      <c r="KOV118" s="100" t="str">
        <f t="shared" si="399"/>
        <v/>
      </c>
      <c r="KOW118" s="100" t="str">
        <f t="shared" si="399"/>
        <v/>
      </c>
      <c r="KOX118" s="100" t="str">
        <f t="shared" si="399"/>
        <v/>
      </c>
      <c r="KOY118" s="100" t="str">
        <f t="shared" si="399"/>
        <v/>
      </c>
      <c r="KOZ118" s="100" t="str">
        <f t="shared" si="399"/>
        <v/>
      </c>
      <c r="KPA118" s="100" t="str">
        <f t="shared" si="399"/>
        <v/>
      </c>
      <c r="KPB118" s="100" t="str">
        <f t="shared" si="399"/>
        <v/>
      </c>
      <c r="KPC118" s="100" t="str">
        <f t="shared" si="399"/>
        <v/>
      </c>
      <c r="KPD118" s="100" t="str">
        <f t="shared" si="399"/>
        <v/>
      </c>
      <c r="KPE118" s="100" t="str">
        <f t="shared" si="399"/>
        <v/>
      </c>
      <c r="KPF118" s="100" t="str">
        <f t="shared" si="399"/>
        <v/>
      </c>
      <c r="KPG118" s="100" t="str">
        <f t="shared" si="399"/>
        <v/>
      </c>
      <c r="KPH118" s="100" t="str">
        <f t="shared" si="399"/>
        <v/>
      </c>
      <c r="KPI118" s="100" t="str">
        <f t="shared" si="399"/>
        <v/>
      </c>
      <c r="KPJ118" s="100" t="str">
        <f t="shared" si="399"/>
        <v/>
      </c>
      <c r="KPK118" s="100" t="str">
        <f t="shared" si="399"/>
        <v/>
      </c>
      <c r="KPL118" s="100" t="str">
        <f t="shared" si="399"/>
        <v/>
      </c>
      <c r="KPM118" s="100" t="str">
        <f t="shared" si="399"/>
        <v/>
      </c>
      <c r="KPN118" s="100" t="str">
        <f t="shared" si="399"/>
        <v/>
      </c>
      <c r="KPO118" s="100" t="str">
        <f t="shared" si="399"/>
        <v/>
      </c>
      <c r="KPP118" s="100" t="str">
        <f t="shared" si="399"/>
        <v/>
      </c>
      <c r="KPQ118" s="100" t="str">
        <f t="shared" si="399"/>
        <v/>
      </c>
      <c r="KPR118" s="100" t="str">
        <f t="shared" si="399"/>
        <v/>
      </c>
      <c r="KPS118" s="100" t="str">
        <f t="shared" si="399"/>
        <v/>
      </c>
      <c r="KPT118" s="100" t="str">
        <f t="shared" si="399"/>
        <v/>
      </c>
      <c r="KPU118" s="100" t="str">
        <f t="shared" si="399"/>
        <v/>
      </c>
      <c r="KPV118" s="100" t="str">
        <f t="shared" si="399"/>
        <v/>
      </c>
      <c r="KPW118" s="100" t="str">
        <f t="shared" si="399"/>
        <v/>
      </c>
      <c r="KPX118" s="100" t="str">
        <f t="shared" si="399"/>
        <v/>
      </c>
      <c r="KPY118" s="100" t="str">
        <f t="shared" ref="KPY118:KSJ118" si="400">IFERROR(AVERAGE(KPY6,KPY16,KPY25,KPY34,KPY42,KPY54,KPY62,KPY70,KPY78,KPY86,KPY94,KPY102,KPY110),"")</f>
        <v/>
      </c>
      <c r="KPZ118" s="100" t="str">
        <f t="shared" si="400"/>
        <v/>
      </c>
      <c r="KQA118" s="100" t="str">
        <f t="shared" si="400"/>
        <v/>
      </c>
      <c r="KQB118" s="100" t="str">
        <f t="shared" si="400"/>
        <v/>
      </c>
      <c r="KQC118" s="100" t="str">
        <f t="shared" si="400"/>
        <v/>
      </c>
      <c r="KQD118" s="100" t="str">
        <f t="shared" si="400"/>
        <v/>
      </c>
      <c r="KQE118" s="100" t="str">
        <f t="shared" si="400"/>
        <v/>
      </c>
      <c r="KQF118" s="100" t="str">
        <f t="shared" si="400"/>
        <v/>
      </c>
      <c r="KQG118" s="100" t="str">
        <f t="shared" si="400"/>
        <v/>
      </c>
      <c r="KQH118" s="100" t="str">
        <f t="shared" si="400"/>
        <v/>
      </c>
      <c r="KQI118" s="100" t="str">
        <f t="shared" si="400"/>
        <v/>
      </c>
      <c r="KQJ118" s="100" t="str">
        <f t="shared" si="400"/>
        <v/>
      </c>
      <c r="KQK118" s="100" t="str">
        <f t="shared" si="400"/>
        <v/>
      </c>
      <c r="KQL118" s="100" t="str">
        <f t="shared" si="400"/>
        <v/>
      </c>
      <c r="KQM118" s="100" t="str">
        <f t="shared" si="400"/>
        <v/>
      </c>
      <c r="KQN118" s="100" t="str">
        <f t="shared" si="400"/>
        <v/>
      </c>
      <c r="KQO118" s="100" t="str">
        <f t="shared" si="400"/>
        <v/>
      </c>
      <c r="KQP118" s="100" t="str">
        <f t="shared" si="400"/>
        <v/>
      </c>
      <c r="KQQ118" s="100" t="str">
        <f t="shared" si="400"/>
        <v/>
      </c>
      <c r="KQR118" s="100" t="str">
        <f t="shared" si="400"/>
        <v/>
      </c>
      <c r="KQS118" s="100" t="str">
        <f t="shared" si="400"/>
        <v/>
      </c>
      <c r="KQT118" s="100" t="str">
        <f t="shared" si="400"/>
        <v/>
      </c>
      <c r="KQU118" s="100" t="str">
        <f t="shared" si="400"/>
        <v/>
      </c>
      <c r="KQV118" s="100" t="str">
        <f t="shared" si="400"/>
        <v/>
      </c>
      <c r="KQW118" s="100" t="str">
        <f t="shared" si="400"/>
        <v/>
      </c>
      <c r="KQX118" s="100" t="str">
        <f t="shared" si="400"/>
        <v/>
      </c>
      <c r="KQY118" s="100" t="str">
        <f t="shared" si="400"/>
        <v/>
      </c>
      <c r="KQZ118" s="100" t="str">
        <f t="shared" si="400"/>
        <v/>
      </c>
      <c r="KRA118" s="100" t="str">
        <f t="shared" si="400"/>
        <v/>
      </c>
      <c r="KRB118" s="100" t="str">
        <f t="shared" si="400"/>
        <v/>
      </c>
      <c r="KRC118" s="100" t="str">
        <f t="shared" si="400"/>
        <v/>
      </c>
      <c r="KRD118" s="100" t="str">
        <f t="shared" si="400"/>
        <v/>
      </c>
      <c r="KRE118" s="100" t="str">
        <f t="shared" si="400"/>
        <v/>
      </c>
      <c r="KRF118" s="100" t="str">
        <f t="shared" si="400"/>
        <v/>
      </c>
      <c r="KRG118" s="100" t="str">
        <f t="shared" si="400"/>
        <v/>
      </c>
      <c r="KRH118" s="100" t="str">
        <f t="shared" si="400"/>
        <v/>
      </c>
      <c r="KRI118" s="100" t="str">
        <f t="shared" si="400"/>
        <v/>
      </c>
      <c r="KRJ118" s="100" t="str">
        <f t="shared" si="400"/>
        <v/>
      </c>
      <c r="KRK118" s="100" t="str">
        <f t="shared" si="400"/>
        <v/>
      </c>
      <c r="KRL118" s="100" t="str">
        <f t="shared" si="400"/>
        <v/>
      </c>
      <c r="KRM118" s="100" t="str">
        <f t="shared" si="400"/>
        <v/>
      </c>
      <c r="KRN118" s="100" t="str">
        <f t="shared" si="400"/>
        <v/>
      </c>
      <c r="KRO118" s="100" t="str">
        <f t="shared" si="400"/>
        <v/>
      </c>
      <c r="KRP118" s="100" t="str">
        <f t="shared" si="400"/>
        <v/>
      </c>
      <c r="KRQ118" s="100" t="str">
        <f t="shared" si="400"/>
        <v/>
      </c>
      <c r="KRR118" s="100" t="str">
        <f t="shared" si="400"/>
        <v/>
      </c>
      <c r="KRS118" s="100" t="str">
        <f t="shared" si="400"/>
        <v/>
      </c>
      <c r="KRT118" s="100" t="str">
        <f t="shared" si="400"/>
        <v/>
      </c>
      <c r="KRU118" s="100" t="str">
        <f t="shared" si="400"/>
        <v/>
      </c>
      <c r="KRV118" s="100" t="str">
        <f t="shared" si="400"/>
        <v/>
      </c>
      <c r="KRW118" s="100" t="str">
        <f t="shared" si="400"/>
        <v/>
      </c>
      <c r="KRX118" s="100" t="str">
        <f t="shared" si="400"/>
        <v/>
      </c>
      <c r="KRY118" s="100" t="str">
        <f t="shared" si="400"/>
        <v/>
      </c>
      <c r="KRZ118" s="100" t="str">
        <f t="shared" si="400"/>
        <v/>
      </c>
      <c r="KSA118" s="100" t="str">
        <f t="shared" si="400"/>
        <v/>
      </c>
      <c r="KSB118" s="100" t="str">
        <f t="shared" si="400"/>
        <v/>
      </c>
      <c r="KSC118" s="100" t="str">
        <f t="shared" si="400"/>
        <v/>
      </c>
      <c r="KSD118" s="100" t="str">
        <f t="shared" si="400"/>
        <v/>
      </c>
      <c r="KSE118" s="100" t="str">
        <f t="shared" si="400"/>
        <v/>
      </c>
      <c r="KSF118" s="100" t="str">
        <f t="shared" si="400"/>
        <v/>
      </c>
      <c r="KSG118" s="100" t="str">
        <f t="shared" si="400"/>
        <v/>
      </c>
      <c r="KSH118" s="100" t="str">
        <f t="shared" si="400"/>
        <v/>
      </c>
      <c r="KSI118" s="100" t="str">
        <f t="shared" si="400"/>
        <v/>
      </c>
      <c r="KSJ118" s="100" t="str">
        <f t="shared" si="400"/>
        <v/>
      </c>
      <c r="KSK118" s="100" t="str">
        <f t="shared" ref="KSK118:KUV118" si="401">IFERROR(AVERAGE(KSK6,KSK16,KSK25,KSK34,KSK42,KSK54,KSK62,KSK70,KSK78,KSK86,KSK94,KSK102,KSK110),"")</f>
        <v/>
      </c>
      <c r="KSL118" s="100" t="str">
        <f t="shared" si="401"/>
        <v/>
      </c>
      <c r="KSM118" s="100" t="str">
        <f t="shared" si="401"/>
        <v/>
      </c>
      <c r="KSN118" s="100" t="str">
        <f t="shared" si="401"/>
        <v/>
      </c>
      <c r="KSO118" s="100" t="str">
        <f t="shared" si="401"/>
        <v/>
      </c>
      <c r="KSP118" s="100" t="str">
        <f t="shared" si="401"/>
        <v/>
      </c>
      <c r="KSQ118" s="100" t="str">
        <f t="shared" si="401"/>
        <v/>
      </c>
      <c r="KSR118" s="100" t="str">
        <f t="shared" si="401"/>
        <v/>
      </c>
      <c r="KSS118" s="100" t="str">
        <f t="shared" si="401"/>
        <v/>
      </c>
      <c r="KST118" s="100" t="str">
        <f t="shared" si="401"/>
        <v/>
      </c>
      <c r="KSU118" s="100" t="str">
        <f t="shared" si="401"/>
        <v/>
      </c>
      <c r="KSV118" s="100" t="str">
        <f t="shared" si="401"/>
        <v/>
      </c>
      <c r="KSW118" s="100" t="str">
        <f t="shared" si="401"/>
        <v/>
      </c>
      <c r="KSX118" s="100" t="str">
        <f t="shared" si="401"/>
        <v/>
      </c>
      <c r="KSY118" s="100" t="str">
        <f t="shared" si="401"/>
        <v/>
      </c>
      <c r="KSZ118" s="100" t="str">
        <f t="shared" si="401"/>
        <v/>
      </c>
      <c r="KTA118" s="100" t="str">
        <f t="shared" si="401"/>
        <v/>
      </c>
      <c r="KTB118" s="100" t="str">
        <f t="shared" si="401"/>
        <v/>
      </c>
      <c r="KTC118" s="100" t="str">
        <f t="shared" si="401"/>
        <v/>
      </c>
      <c r="KTD118" s="100" t="str">
        <f t="shared" si="401"/>
        <v/>
      </c>
      <c r="KTE118" s="100" t="str">
        <f t="shared" si="401"/>
        <v/>
      </c>
      <c r="KTF118" s="100" t="str">
        <f t="shared" si="401"/>
        <v/>
      </c>
      <c r="KTG118" s="100" t="str">
        <f t="shared" si="401"/>
        <v/>
      </c>
      <c r="KTH118" s="100" t="str">
        <f t="shared" si="401"/>
        <v/>
      </c>
      <c r="KTI118" s="100" t="str">
        <f t="shared" si="401"/>
        <v/>
      </c>
      <c r="KTJ118" s="100" t="str">
        <f t="shared" si="401"/>
        <v/>
      </c>
      <c r="KTK118" s="100" t="str">
        <f t="shared" si="401"/>
        <v/>
      </c>
      <c r="KTL118" s="100" t="str">
        <f t="shared" si="401"/>
        <v/>
      </c>
      <c r="KTM118" s="100" t="str">
        <f t="shared" si="401"/>
        <v/>
      </c>
      <c r="KTN118" s="100" t="str">
        <f t="shared" si="401"/>
        <v/>
      </c>
      <c r="KTO118" s="100" t="str">
        <f t="shared" si="401"/>
        <v/>
      </c>
      <c r="KTP118" s="100" t="str">
        <f t="shared" si="401"/>
        <v/>
      </c>
      <c r="KTQ118" s="100" t="str">
        <f t="shared" si="401"/>
        <v/>
      </c>
      <c r="KTR118" s="100" t="str">
        <f t="shared" si="401"/>
        <v/>
      </c>
      <c r="KTS118" s="100" t="str">
        <f t="shared" si="401"/>
        <v/>
      </c>
      <c r="KTT118" s="100" t="str">
        <f t="shared" si="401"/>
        <v/>
      </c>
      <c r="KTU118" s="100" t="str">
        <f t="shared" si="401"/>
        <v/>
      </c>
      <c r="KTV118" s="100" t="str">
        <f t="shared" si="401"/>
        <v/>
      </c>
      <c r="KTW118" s="100" t="str">
        <f t="shared" si="401"/>
        <v/>
      </c>
      <c r="KTX118" s="100" t="str">
        <f t="shared" si="401"/>
        <v/>
      </c>
      <c r="KTY118" s="100" t="str">
        <f t="shared" si="401"/>
        <v/>
      </c>
      <c r="KTZ118" s="100" t="str">
        <f t="shared" si="401"/>
        <v/>
      </c>
      <c r="KUA118" s="100" t="str">
        <f t="shared" si="401"/>
        <v/>
      </c>
      <c r="KUB118" s="100" t="str">
        <f t="shared" si="401"/>
        <v/>
      </c>
      <c r="KUC118" s="100" t="str">
        <f t="shared" si="401"/>
        <v/>
      </c>
      <c r="KUD118" s="100" t="str">
        <f t="shared" si="401"/>
        <v/>
      </c>
      <c r="KUE118" s="100" t="str">
        <f t="shared" si="401"/>
        <v/>
      </c>
      <c r="KUF118" s="100" t="str">
        <f t="shared" si="401"/>
        <v/>
      </c>
      <c r="KUG118" s="100" t="str">
        <f t="shared" si="401"/>
        <v/>
      </c>
      <c r="KUH118" s="100" t="str">
        <f t="shared" si="401"/>
        <v/>
      </c>
      <c r="KUI118" s="100" t="str">
        <f t="shared" si="401"/>
        <v/>
      </c>
      <c r="KUJ118" s="100" t="str">
        <f t="shared" si="401"/>
        <v/>
      </c>
      <c r="KUK118" s="100" t="str">
        <f t="shared" si="401"/>
        <v/>
      </c>
      <c r="KUL118" s="100" t="str">
        <f t="shared" si="401"/>
        <v/>
      </c>
      <c r="KUM118" s="100" t="str">
        <f t="shared" si="401"/>
        <v/>
      </c>
      <c r="KUN118" s="100" t="str">
        <f t="shared" si="401"/>
        <v/>
      </c>
      <c r="KUO118" s="100" t="str">
        <f t="shared" si="401"/>
        <v/>
      </c>
      <c r="KUP118" s="100" t="str">
        <f t="shared" si="401"/>
        <v/>
      </c>
      <c r="KUQ118" s="100" t="str">
        <f t="shared" si="401"/>
        <v/>
      </c>
      <c r="KUR118" s="100" t="str">
        <f t="shared" si="401"/>
        <v/>
      </c>
      <c r="KUS118" s="100" t="str">
        <f t="shared" si="401"/>
        <v/>
      </c>
      <c r="KUT118" s="100" t="str">
        <f t="shared" si="401"/>
        <v/>
      </c>
      <c r="KUU118" s="100" t="str">
        <f t="shared" si="401"/>
        <v/>
      </c>
      <c r="KUV118" s="100" t="str">
        <f t="shared" si="401"/>
        <v/>
      </c>
      <c r="KUW118" s="100" t="str">
        <f t="shared" ref="KUW118:KXH118" si="402">IFERROR(AVERAGE(KUW6,KUW16,KUW25,KUW34,KUW42,KUW54,KUW62,KUW70,KUW78,KUW86,KUW94,KUW102,KUW110),"")</f>
        <v/>
      </c>
      <c r="KUX118" s="100" t="str">
        <f t="shared" si="402"/>
        <v/>
      </c>
      <c r="KUY118" s="100" t="str">
        <f t="shared" si="402"/>
        <v/>
      </c>
      <c r="KUZ118" s="100" t="str">
        <f t="shared" si="402"/>
        <v/>
      </c>
      <c r="KVA118" s="100" t="str">
        <f t="shared" si="402"/>
        <v/>
      </c>
      <c r="KVB118" s="100" t="str">
        <f t="shared" si="402"/>
        <v/>
      </c>
      <c r="KVC118" s="100" t="str">
        <f t="shared" si="402"/>
        <v/>
      </c>
      <c r="KVD118" s="100" t="str">
        <f t="shared" si="402"/>
        <v/>
      </c>
      <c r="KVE118" s="100" t="str">
        <f t="shared" si="402"/>
        <v/>
      </c>
      <c r="KVF118" s="100" t="str">
        <f t="shared" si="402"/>
        <v/>
      </c>
      <c r="KVG118" s="100" t="str">
        <f t="shared" si="402"/>
        <v/>
      </c>
      <c r="KVH118" s="100" t="str">
        <f t="shared" si="402"/>
        <v/>
      </c>
      <c r="KVI118" s="100" t="str">
        <f t="shared" si="402"/>
        <v/>
      </c>
      <c r="KVJ118" s="100" t="str">
        <f t="shared" si="402"/>
        <v/>
      </c>
      <c r="KVK118" s="100" t="str">
        <f t="shared" si="402"/>
        <v/>
      </c>
      <c r="KVL118" s="100" t="str">
        <f t="shared" si="402"/>
        <v/>
      </c>
      <c r="KVM118" s="100" t="str">
        <f t="shared" si="402"/>
        <v/>
      </c>
      <c r="KVN118" s="100" t="str">
        <f t="shared" si="402"/>
        <v/>
      </c>
      <c r="KVO118" s="100" t="str">
        <f t="shared" si="402"/>
        <v/>
      </c>
      <c r="KVP118" s="100" t="str">
        <f t="shared" si="402"/>
        <v/>
      </c>
      <c r="KVQ118" s="100" t="str">
        <f t="shared" si="402"/>
        <v/>
      </c>
      <c r="KVR118" s="100" t="str">
        <f t="shared" si="402"/>
        <v/>
      </c>
      <c r="KVS118" s="100" t="str">
        <f t="shared" si="402"/>
        <v/>
      </c>
      <c r="KVT118" s="100" t="str">
        <f t="shared" si="402"/>
        <v/>
      </c>
      <c r="KVU118" s="100" t="str">
        <f t="shared" si="402"/>
        <v/>
      </c>
      <c r="KVV118" s="100" t="str">
        <f t="shared" si="402"/>
        <v/>
      </c>
      <c r="KVW118" s="100" t="str">
        <f t="shared" si="402"/>
        <v/>
      </c>
      <c r="KVX118" s="100" t="str">
        <f t="shared" si="402"/>
        <v/>
      </c>
      <c r="KVY118" s="100" t="str">
        <f t="shared" si="402"/>
        <v/>
      </c>
      <c r="KVZ118" s="100" t="str">
        <f t="shared" si="402"/>
        <v/>
      </c>
      <c r="KWA118" s="100" t="str">
        <f t="shared" si="402"/>
        <v/>
      </c>
      <c r="KWB118" s="100" t="str">
        <f t="shared" si="402"/>
        <v/>
      </c>
      <c r="KWC118" s="100" t="str">
        <f t="shared" si="402"/>
        <v/>
      </c>
      <c r="KWD118" s="100" t="str">
        <f t="shared" si="402"/>
        <v/>
      </c>
      <c r="KWE118" s="100" t="str">
        <f t="shared" si="402"/>
        <v/>
      </c>
      <c r="KWF118" s="100" t="str">
        <f t="shared" si="402"/>
        <v/>
      </c>
      <c r="KWG118" s="100" t="str">
        <f t="shared" si="402"/>
        <v/>
      </c>
      <c r="KWH118" s="100" t="str">
        <f t="shared" si="402"/>
        <v/>
      </c>
      <c r="KWI118" s="100" t="str">
        <f t="shared" si="402"/>
        <v/>
      </c>
      <c r="KWJ118" s="100" t="str">
        <f t="shared" si="402"/>
        <v/>
      </c>
      <c r="KWK118" s="100" t="str">
        <f t="shared" si="402"/>
        <v/>
      </c>
      <c r="KWL118" s="100" t="str">
        <f t="shared" si="402"/>
        <v/>
      </c>
      <c r="KWM118" s="100" t="str">
        <f t="shared" si="402"/>
        <v/>
      </c>
      <c r="KWN118" s="100" t="str">
        <f t="shared" si="402"/>
        <v/>
      </c>
      <c r="KWO118" s="100" t="str">
        <f t="shared" si="402"/>
        <v/>
      </c>
      <c r="KWP118" s="100" t="str">
        <f t="shared" si="402"/>
        <v/>
      </c>
      <c r="KWQ118" s="100" t="str">
        <f t="shared" si="402"/>
        <v/>
      </c>
      <c r="KWR118" s="100" t="str">
        <f t="shared" si="402"/>
        <v/>
      </c>
      <c r="KWS118" s="100" t="str">
        <f t="shared" si="402"/>
        <v/>
      </c>
      <c r="KWT118" s="100" t="str">
        <f t="shared" si="402"/>
        <v/>
      </c>
      <c r="KWU118" s="100" t="str">
        <f t="shared" si="402"/>
        <v/>
      </c>
      <c r="KWV118" s="100" t="str">
        <f t="shared" si="402"/>
        <v/>
      </c>
      <c r="KWW118" s="100" t="str">
        <f t="shared" si="402"/>
        <v/>
      </c>
      <c r="KWX118" s="100" t="str">
        <f t="shared" si="402"/>
        <v/>
      </c>
      <c r="KWY118" s="100" t="str">
        <f t="shared" si="402"/>
        <v/>
      </c>
      <c r="KWZ118" s="100" t="str">
        <f t="shared" si="402"/>
        <v/>
      </c>
      <c r="KXA118" s="100" t="str">
        <f t="shared" si="402"/>
        <v/>
      </c>
      <c r="KXB118" s="100" t="str">
        <f t="shared" si="402"/>
        <v/>
      </c>
      <c r="KXC118" s="100" t="str">
        <f t="shared" si="402"/>
        <v/>
      </c>
      <c r="KXD118" s="100" t="str">
        <f t="shared" si="402"/>
        <v/>
      </c>
      <c r="KXE118" s="100" t="str">
        <f t="shared" si="402"/>
        <v/>
      </c>
      <c r="KXF118" s="100" t="str">
        <f t="shared" si="402"/>
        <v/>
      </c>
      <c r="KXG118" s="100" t="str">
        <f t="shared" si="402"/>
        <v/>
      </c>
      <c r="KXH118" s="100" t="str">
        <f t="shared" si="402"/>
        <v/>
      </c>
      <c r="KXI118" s="100" t="str">
        <f t="shared" ref="KXI118:KZT118" si="403">IFERROR(AVERAGE(KXI6,KXI16,KXI25,KXI34,KXI42,KXI54,KXI62,KXI70,KXI78,KXI86,KXI94,KXI102,KXI110),"")</f>
        <v/>
      </c>
      <c r="KXJ118" s="100" t="str">
        <f t="shared" si="403"/>
        <v/>
      </c>
      <c r="KXK118" s="100" t="str">
        <f t="shared" si="403"/>
        <v/>
      </c>
      <c r="KXL118" s="100" t="str">
        <f t="shared" si="403"/>
        <v/>
      </c>
      <c r="KXM118" s="100" t="str">
        <f t="shared" si="403"/>
        <v/>
      </c>
      <c r="KXN118" s="100" t="str">
        <f t="shared" si="403"/>
        <v/>
      </c>
      <c r="KXO118" s="100" t="str">
        <f t="shared" si="403"/>
        <v/>
      </c>
      <c r="KXP118" s="100" t="str">
        <f t="shared" si="403"/>
        <v/>
      </c>
      <c r="KXQ118" s="100" t="str">
        <f t="shared" si="403"/>
        <v/>
      </c>
      <c r="KXR118" s="100" t="str">
        <f t="shared" si="403"/>
        <v/>
      </c>
      <c r="KXS118" s="100" t="str">
        <f t="shared" si="403"/>
        <v/>
      </c>
      <c r="KXT118" s="100" t="str">
        <f t="shared" si="403"/>
        <v/>
      </c>
      <c r="KXU118" s="100" t="str">
        <f t="shared" si="403"/>
        <v/>
      </c>
      <c r="KXV118" s="100" t="str">
        <f t="shared" si="403"/>
        <v/>
      </c>
      <c r="KXW118" s="100" t="str">
        <f t="shared" si="403"/>
        <v/>
      </c>
      <c r="KXX118" s="100" t="str">
        <f t="shared" si="403"/>
        <v/>
      </c>
      <c r="KXY118" s="100" t="str">
        <f t="shared" si="403"/>
        <v/>
      </c>
      <c r="KXZ118" s="100" t="str">
        <f t="shared" si="403"/>
        <v/>
      </c>
      <c r="KYA118" s="100" t="str">
        <f t="shared" si="403"/>
        <v/>
      </c>
      <c r="KYB118" s="100" t="str">
        <f t="shared" si="403"/>
        <v/>
      </c>
      <c r="KYC118" s="100" t="str">
        <f t="shared" si="403"/>
        <v/>
      </c>
      <c r="KYD118" s="100" t="str">
        <f t="shared" si="403"/>
        <v/>
      </c>
      <c r="KYE118" s="100" t="str">
        <f t="shared" si="403"/>
        <v/>
      </c>
      <c r="KYF118" s="100" t="str">
        <f t="shared" si="403"/>
        <v/>
      </c>
      <c r="KYG118" s="100" t="str">
        <f t="shared" si="403"/>
        <v/>
      </c>
      <c r="KYH118" s="100" t="str">
        <f t="shared" si="403"/>
        <v/>
      </c>
      <c r="KYI118" s="100" t="str">
        <f t="shared" si="403"/>
        <v/>
      </c>
      <c r="KYJ118" s="100" t="str">
        <f t="shared" si="403"/>
        <v/>
      </c>
      <c r="KYK118" s="100" t="str">
        <f t="shared" si="403"/>
        <v/>
      </c>
      <c r="KYL118" s="100" t="str">
        <f t="shared" si="403"/>
        <v/>
      </c>
      <c r="KYM118" s="100" t="str">
        <f t="shared" si="403"/>
        <v/>
      </c>
      <c r="KYN118" s="100" t="str">
        <f t="shared" si="403"/>
        <v/>
      </c>
      <c r="KYO118" s="100" t="str">
        <f t="shared" si="403"/>
        <v/>
      </c>
      <c r="KYP118" s="100" t="str">
        <f t="shared" si="403"/>
        <v/>
      </c>
      <c r="KYQ118" s="100" t="str">
        <f t="shared" si="403"/>
        <v/>
      </c>
      <c r="KYR118" s="100" t="str">
        <f t="shared" si="403"/>
        <v/>
      </c>
      <c r="KYS118" s="100" t="str">
        <f t="shared" si="403"/>
        <v/>
      </c>
      <c r="KYT118" s="100" t="str">
        <f t="shared" si="403"/>
        <v/>
      </c>
      <c r="KYU118" s="100" t="str">
        <f t="shared" si="403"/>
        <v/>
      </c>
      <c r="KYV118" s="100" t="str">
        <f t="shared" si="403"/>
        <v/>
      </c>
      <c r="KYW118" s="100" t="str">
        <f t="shared" si="403"/>
        <v/>
      </c>
      <c r="KYX118" s="100" t="str">
        <f t="shared" si="403"/>
        <v/>
      </c>
      <c r="KYY118" s="100" t="str">
        <f t="shared" si="403"/>
        <v/>
      </c>
      <c r="KYZ118" s="100" t="str">
        <f t="shared" si="403"/>
        <v/>
      </c>
      <c r="KZA118" s="100" t="str">
        <f t="shared" si="403"/>
        <v/>
      </c>
      <c r="KZB118" s="100" t="str">
        <f t="shared" si="403"/>
        <v/>
      </c>
      <c r="KZC118" s="100" t="str">
        <f t="shared" si="403"/>
        <v/>
      </c>
      <c r="KZD118" s="100" t="str">
        <f t="shared" si="403"/>
        <v/>
      </c>
      <c r="KZE118" s="100" t="str">
        <f t="shared" si="403"/>
        <v/>
      </c>
      <c r="KZF118" s="100" t="str">
        <f t="shared" si="403"/>
        <v/>
      </c>
      <c r="KZG118" s="100" t="str">
        <f t="shared" si="403"/>
        <v/>
      </c>
      <c r="KZH118" s="100" t="str">
        <f t="shared" si="403"/>
        <v/>
      </c>
      <c r="KZI118" s="100" t="str">
        <f t="shared" si="403"/>
        <v/>
      </c>
      <c r="KZJ118" s="100" t="str">
        <f t="shared" si="403"/>
        <v/>
      </c>
      <c r="KZK118" s="100" t="str">
        <f t="shared" si="403"/>
        <v/>
      </c>
      <c r="KZL118" s="100" t="str">
        <f t="shared" si="403"/>
        <v/>
      </c>
      <c r="KZM118" s="100" t="str">
        <f t="shared" si="403"/>
        <v/>
      </c>
      <c r="KZN118" s="100" t="str">
        <f t="shared" si="403"/>
        <v/>
      </c>
      <c r="KZO118" s="100" t="str">
        <f t="shared" si="403"/>
        <v/>
      </c>
      <c r="KZP118" s="100" t="str">
        <f t="shared" si="403"/>
        <v/>
      </c>
      <c r="KZQ118" s="100" t="str">
        <f t="shared" si="403"/>
        <v/>
      </c>
      <c r="KZR118" s="100" t="str">
        <f t="shared" si="403"/>
        <v/>
      </c>
      <c r="KZS118" s="100" t="str">
        <f t="shared" si="403"/>
        <v/>
      </c>
      <c r="KZT118" s="100" t="str">
        <f t="shared" si="403"/>
        <v/>
      </c>
      <c r="KZU118" s="100" t="str">
        <f t="shared" ref="KZU118:LCF118" si="404">IFERROR(AVERAGE(KZU6,KZU16,KZU25,KZU34,KZU42,KZU54,KZU62,KZU70,KZU78,KZU86,KZU94,KZU102,KZU110),"")</f>
        <v/>
      </c>
      <c r="KZV118" s="100" t="str">
        <f t="shared" si="404"/>
        <v/>
      </c>
      <c r="KZW118" s="100" t="str">
        <f t="shared" si="404"/>
        <v/>
      </c>
      <c r="KZX118" s="100" t="str">
        <f t="shared" si="404"/>
        <v/>
      </c>
      <c r="KZY118" s="100" t="str">
        <f t="shared" si="404"/>
        <v/>
      </c>
      <c r="KZZ118" s="100" t="str">
        <f t="shared" si="404"/>
        <v/>
      </c>
      <c r="LAA118" s="100" t="str">
        <f t="shared" si="404"/>
        <v/>
      </c>
      <c r="LAB118" s="100" t="str">
        <f t="shared" si="404"/>
        <v/>
      </c>
      <c r="LAC118" s="100" t="str">
        <f t="shared" si="404"/>
        <v/>
      </c>
      <c r="LAD118" s="100" t="str">
        <f t="shared" si="404"/>
        <v/>
      </c>
      <c r="LAE118" s="100" t="str">
        <f t="shared" si="404"/>
        <v/>
      </c>
      <c r="LAF118" s="100" t="str">
        <f t="shared" si="404"/>
        <v/>
      </c>
      <c r="LAG118" s="100" t="str">
        <f t="shared" si="404"/>
        <v/>
      </c>
      <c r="LAH118" s="100" t="str">
        <f t="shared" si="404"/>
        <v/>
      </c>
      <c r="LAI118" s="100" t="str">
        <f t="shared" si="404"/>
        <v/>
      </c>
      <c r="LAJ118" s="100" t="str">
        <f t="shared" si="404"/>
        <v/>
      </c>
      <c r="LAK118" s="100" t="str">
        <f t="shared" si="404"/>
        <v/>
      </c>
      <c r="LAL118" s="100" t="str">
        <f t="shared" si="404"/>
        <v/>
      </c>
      <c r="LAM118" s="100" t="str">
        <f t="shared" si="404"/>
        <v/>
      </c>
      <c r="LAN118" s="100" t="str">
        <f t="shared" si="404"/>
        <v/>
      </c>
      <c r="LAO118" s="100" t="str">
        <f t="shared" si="404"/>
        <v/>
      </c>
      <c r="LAP118" s="100" t="str">
        <f t="shared" si="404"/>
        <v/>
      </c>
      <c r="LAQ118" s="100" t="str">
        <f t="shared" si="404"/>
        <v/>
      </c>
      <c r="LAR118" s="100" t="str">
        <f t="shared" si="404"/>
        <v/>
      </c>
      <c r="LAS118" s="100" t="str">
        <f t="shared" si="404"/>
        <v/>
      </c>
      <c r="LAT118" s="100" t="str">
        <f t="shared" si="404"/>
        <v/>
      </c>
      <c r="LAU118" s="100" t="str">
        <f t="shared" si="404"/>
        <v/>
      </c>
      <c r="LAV118" s="100" t="str">
        <f t="shared" si="404"/>
        <v/>
      </c>
      <c r="LAW118" s="100" t="str">
        <f t="shared" si="404"/>
        <v/>
      </c>
      <c r="LAX118" s="100" t="str">
        <f t="shared" si="404"/>
        <v/>
      </c>
      <c r="LAY118" s="100" t="str">
        <f t="shared" si="404"/>
        <v/>
      </c>
      <c r="LAZ118" s="100" t="str">
        <f t="shared" si="404"/>
        <v/>
      </c>
      <c r="LBA118" s="100" t="str">
        <f t="shared" si="404"/>
        <v/>
      </c>
      <c r="LBB118" s="100" t="str">
        <f t="shared" si="404"/>
        <v/>
      </c>
      <c r="LBC118" s="100" t="str">
        <f t="shared" si="404"/>
        <v/>
      </c>
      <c r="LBD118" s="100" t="str">
        <f t="shared" si="404"/>
        <v/>
      </c>
      <c r="LBE118" s="100" t="str">
        <f t="shared" si="404"/>
        <v/>
      </c>
      <c r="LBF118" s="100" t="str">
        <f t="shared" si="404"/>
        <v/>
      </c>
      <c r="LBG118" s="100" t="str">
        <f t="shared" si="404"/>
        <v/>
      </c>
      <c r="LBH118" s="100" t="str">
        <f t="shared" si="404"/>
        <v/>
      </c>
      <c r="LBI118" s="100" t="str">
        <f t="shared" si="404"/>
        <v/>
      </c>
      <c r="LBJ118" s="100" t="str">
        <f t="shared" si="404"/>
        <v/>
      </c>
      <c r="LBK118" s="100" t="str">
        <f t="shared" si="404"/>
        <v/>
      </c>
      <c r="LBL118" s="100" t="str">
        <f t="shared" si="404"/>
        <v/>
      </c>
      <c r="LBM118" s="100" t="str">
        <f t="shared" si="404"/>
        <v/>
      </c>
      <c r="LBN118" s="100" t="str">
        <f t="shared" si="404"/>
        <v/>
      </c>
      <c r="LBO118" s="100" t="str">
        <f t="shared" si="404"/>
        <v/>
      </c>
      <c r="LBP118" s="100" t="str">
        <f t="shared" si="404"/>
        <v/>
      </c>
      <c r="LBQ118" s="100" t="str">
        <f t="shared" si="404"/>
        <v/>
      </c>
      <c r="LBR118" s="100" t="str">
        <f t="shared" si="404"/>
        <v/>
      </c>
      <c r="LBS118" s="100" t="str">
        <f t="shared" si="404"/>
        <v/>
      </c>
      <c r="LBT118" s="100" t="str">
        <f t="shared" si="404"/>
        <v/>
      </c>
      <c r="LBU118" s="100" t="str">
        <f t="shared" si="404"/>
        <v/>
      </c>
      <c r="LBV118" s="100" t="str">
        <f t="shared" si="404"/>
        <v/>
      </c>
      <c r="LBW118" s="100" t="str">
        <f t="shared" si="404"/>
        <v/>
      </c>
      <c r="LBX118" s="100" t="str">
        <f t="shared" si="404"/>
        <v/>
      </c>
      <c r="LBY118" s="100" t="str">
        <f t="shared" si="404"/>
        <v/>
      </c>
      <c r="LBZ118" s="100" t="str">
        <f t="shared" si="404"/>
        <v/>
      </c>
      <c r="LCA118" s="100" t="str">
        <f t="shared" si="404"/>
        <v/>
      </c>
      <c r="LCB118" s="100" t="str">
        <f t="shared" si="404"/>
        <v/>
      </c>
      <c r="LCC118" s="100" t="str">
        <f t="shared" si="404"/>
        <v/>
      </c>
      <c r="LCD118" s="100" t="str">
        <f t="shared" si="404"/>
        <v/>
      </c>
      <c r="LCE118" s="100" t="str">
        <f t="shared" si="404"/>
        <v/>
      </c>
      <c r="LCF118" s="100" t="str">
        <f t="shared" si="404"/>
        <v/>
      </c>
      <c r="LCG118" s="100" t="str">
        <f t="shared" ref="LCG118:LER118" si="405">IFERROR(AVERAGE(LCG6,LCG16,LCG25,LCG34,LCG42,LCG54,LCG62,LCG70,LCG78,LCG86,LCG94,LCG102,LCG110),"")</f>
        <v/>
      </c>
      <c r="LCH118" s="100" t="str">
        <f t="shared" si="405"/>
        <v/>
      </c>
      <c r="LCI118" s="100" t="str">
        <f t="shared" si="405"/>
        <v/>
      </c>
      <c r="LCJ118" s="100" t="str">
        <f t="shared" si="405"/>
        <v/>
      </c>
      <c r="LCK118" s="100" t="str">
        <f t="shared" si="405"/>
        <v/>
      </c>
      <c r="LCL118" s="100" t="str">
        <f t="shared" si="405"/>
        <v/>
      </c>
      <c r="LCM118" s="100" t="str">
        <f t="shared" si="405"/>
        <v/>
      </c>
      <c r="LCN118" s="100" t="str">
        <f t="shared" si="405"/>
        <v/>
      </c>
      <c r="LCO118" s="100" t="str">
        <f t="shared" si="405"/>
        <v/>
      </c>
      <c r="LCP118" s="100" t="str">
        <f t="shared" si="405"/>
        <v/>
      </c>
      <c r="LCQ118" s="100" t="str">
        <f t="shared" si="405"/>
        <v/>
      </c>
      <c r="LCR118" s="100" t="str">
        <f t="shared" si="405"/>
        <v/>
      </c>
      <c r="LCS118" s="100" t="str">
        <f t="shared" si="405"/>
        <v/>
      </c>
      <c r="LCT118" s="100" t="str">
        <f t="shared" si="405"/>
        <v/>
      </c>
      <c r="LCU118" s="100" t="str">
        <f t="shared" si="405"/>
        <v/>
      </c>
      <c r="LCV118" s="100" t="str">
        <f t="shared" si="405"/>
        <v/>
      </c>
      <c r="LCW118" s="100" t="str">
        <f t="shared" si="405"/>
        <v/>
      </c>
      <c r="LCX118" s="100" t="str">
        <f t="shared" si="405"/>
        <v/>
      </c>
      <c r="LCY118" s="100" t="str">
        <f t="shared" si="405"/>
        <v/>
      </c>
      <c r="LCZ118" s="100" t="str">
        <f t="shared" si="405"/>
        <v/>
      </c>
      <c r="LDA118" s="100" t="str">
        <f t="shared" si="405"/>
        <v/>
      </c>
      <c r="LDB118" s="100" t="str">
        <f t="shared" si="405"/>
        <v/>
      </c>
      <c r="LDC118" s="100" t="str">
        <f t="shared" si="405"/>
        <v/>
      </c>
      <c r="LDD118" s="100" t="str">
        <f t="shared" si="405"/>
        <v/>
      </c>
      <c r="LDE118" s="100" t="str">
        <f t="shared" si="405"/>
        <v/>
      </c>
      <c r="LDF118" s="100" t="str">
        <f t="shared" si="405"/>
        <v/>
      </c>
      <c r="LDG118" s="100" t="str">
        <f t="shared" si="405"/>
        <v/>
      </c>
      <c r="LDH118" s="100" t="str">
        <f t="shared" si="405"/>
        <v/>
      </c>
      <c r="LDI118" s="100" t="str">
        <f t="shared" si="405"/>
        <v/>
      </c>
      <c r="LDJ118" s="100" t="str">
        <f t="shared" si="405"/>
        <v/>
      </c>
      <c r="LDK118" s="100" t="str">
        <f t="shared" si="405"/>
        <v/>
      </c>
      <c r="LDL118" s="100" t="str">
        <f t="shared" si="405"/>
        <v/>
      </c>
      <c r="LDM118" s="100" t="str">
        <f t="shared" si="405"/>
        <v/>
      </c>
      <c r="LDN118" s="100" t="str">
        <f t="shared" si="405"/>
        <v/>
      </c>
      <c r="LDO118" s="100" t="str">
        <f t="shared" si="405"/>
        <v/>
      </c>
      <c r="LDP118" s="100" t="str">
        <f t="shared" si="405"/>
        <v/>
      </c>
      <c r="LDQ118" s="100" t="str">
        <f t="shared" si="405"/>
        <v/>
      </c>
      <c r="LDR118" s="100" t="str">
        <f t="shared" si="405"/>
        <v/>
      </c>
      <c r="LDS118" s="100" t="str">
        <f t="shared" si="405"/>
        <v/>
      </c>
      <c r="LDT118" s="100" t="str">
        <f t="shared" si="405"/>
        <v/>
      </c>
      <c r="LDU118" s="100" t="str">
        <f t="shared" si="405"/>
        <v/>
      </c>
      <c r="LDV118" s="100" t="str">
        <f t="shared" si="405"/>
        <v/>
      </c>
      <c r="LDW118" s="100" t="str">
        <f t="shared" si="405"/>
        <v/>
      </c>
      <c r="LDX118" s="100" t="str">
        <f t="shared" si="405"/>
        <v/>
      </c>
      <c r="LDY118" s="100" t="str">
        <f t="shared" si="405"/>
        <v/>
      </c>
      <c r="LDZ118" s="100" t="str">
        <f t="shared" si="405"/>
        <v/>
      </c>
      <c r="LEA118" s="100" t="str">
        <f t="shared" si="405"/>
        <v/>
      </c>
      <c r="LEB118" s="100" t="str">
        <f t="shared" si="405"/>
        <v/>
      </c>
      <c r="LEC118" s="100" t="str">
        <f t="shared" si="405"/>
        <v/>
      </c>
      <c r="LED118" s="100" t="str">
        <f t="shared" si="405"/>
        <v/>
      </c>
      <c r="LEE118" s="100" t="str">
        <f t="shared" si="405"/>
        <v/>
      </c>
      <c r="LEF118" s="100" t="str">
        <f t="shared" si="405"/>
        <v/>
      </c>
      <c r="LEG118" s="100" t="str">
        <f t="shared" si="405"/>
        <v/>
      </c>
      <c r="LEH118" s="100" t="str">
        <f t="shared" si="405"/>
        <v/>
      </c>
      <c r="LEI118" s="100" t="str">
        <f t="shared" si="405"/>
        <v/>
      </c>
      <c r="LEJ118" s="100" t="str">
        <f t="shared" si="405"/>
        <v/>
      </c>
      <c r="LEK118" s="100" t="str">
        <f t="shared" si="405"/>
        <v/>
      </c>
      <c r="LEL118" s="100" t="str">
        <f t="shared" si="405"/>
        <v/>
      </c>
      <c r="LEM118" s="100" t="str">
        <f t="shared" si="405"/>
        <v/>
      </c>
      <c r="LEN118" s="100" t="str">
        <f t="shared" si="405"/>
        <v/>
      </c>
      <c r="LEO118" s="100" t="str">
        <f t="shared" si="405"/>
        <v/>
      </c>
      <c r="LEP118" s="100" t="str">
        <f t="shared" si="405"/>
        <v/>
      </c>
      <c r="LEQ118" s="100" t="str">
        <f t="shared" si="405"/>
        <v/>
      </c>
      <c r="LER118" s="100" t="str">
        <f t="shared" si="405"/>
        <v/>
      </c>
      <c r="LES118" s="100" t="str">
        <f t="shared" ref="LES118:LHD118" si="406">IFERROR(AVERAGE(LES6,LES16,LES25,LES34,LES42,LES54,LES62,LES70,LES78,LES86,LES94,LES102,LES110),"")</f>
        <v/>
      </c>
      <c r="LET118" s="100" t="str">
        <f t="shared" si="406"/>
        <v/>
      </c>
      <c r="LEU118" s="100" t="str">
        <f t="shared" si="406"/>
        <v/>
      </c>
      <c r="LEV118" s="100" t="str">
        <f t="shared" si="406"/>
        <v/>
      </c>
      <c r="LEW118" s="100" t="str">
        <f t="shared" si="406"/>
        <v/>
      </c>
      <c r="LEX118" s="100" t="str">
        <f t="shared" si="406"/>
        <v/>
      </c>
      <c r="LEY118" s="100" t="str">
        <f t="shared" si="406"/>
        <v/>
      </c>
      <c r="LEZ118" s="100" t="str">
        <f t="shared" si="406"/>
        <v/>
      </c>
      <c r="LFA118" s="100" t="str">
        <f t="shared" si="406"/>
        <v/>
      </c>
      <c r="LFB118" s="100" t="str">
        <f t="shared" si="406"/>
        <v/>
      </c>
      <c r="LFC118" s="100" t="str">
        <f t="shared" si="406"/>
        <v/>
      </c>
      <c r="LFD118" s="100" t="str">
        <f t="shared" si="406"/>
        <v/>
      </c>
      <c r="LFE118" s="100" t="str">
        <f t="shared" si="406"/>
        <v/>
      </c>
      <c r="LFF118" s="100" t="str">
        <f t="shared" si="406"/>
        <v/>
      </c>
      <c r="LFG118" s="100" t="str">
        <f t="shared" si="406"/>
        <v/>
      </c>
      <c r="LFH118" s="100" t="str">
        <f t="shared" si="406"/>
        <v/>
      </c>
      <c r="LFI118" s="100" t="str">
        <f t="shared" si="406"/>
        <v/>
      </c>
      <c r="LFJ118" s="100" t="str">
        <f t="shared" si="406"/>
        <v/>
      </c>
      <c r="LFK118" s="100" t="str">
        <f t="shared" si="406"/>
        <v/>
      </c>
      <c r="LFL118" s="100" t="str">
        <f t="shared" si="406"/>
        <v/>
      </c>
      <c r="LFM118" s="100" t="str">
        <f t="shared" si="406"/>
        <v/>
      </c>
      <c r="LFN118" s="100" t="str">
        <f t="shared" si="406"/>
        <v/>
      </c>
      <c r="LFO118" s="100" t="str">
        <f t="shared" si="406"/>
        <v/>
      </c>
      <c r="LFP118" s="100" t="str">
        <f t="shared" si="406"/>
        <v/>
      </c>
      <c r="LFQ118" s="100" t="str">
        <f t="shared" si="406"/>
        <v/>
      </c>
      <c r="LFR118" s="100" t="str">
        <f t="shared" si="406"/>
        <v/>
      </c>
      <c r="LFS118" s="100" t="str">
        <f t="shared" si="406"/>
        <v/>
      </c>
      <c r="LFT118" s="100" t="str">
        <f t="shared" si="406"/>
        <v/>
      </c>
      <c r="LFU118" s="100" t="str">
        <f t="shared" si="406"/>
        <v/>
      </c>
      <c r="LFV118" s="100" t="str">
        <f t="shared" si="406"/>
        <v/>
      </c>
      <c r="LFW118" s="100" t="str">
        <f t="shared" si="406"/>
        <v/>
      </c>
      <c r="LFX118" s="100" t="str">
        <f t="shared" si="406"/>
        <v/>
      </c>
      <c r="LFY118" s="100" t="str">
        <f t="shared" si="406"/>
        <v/>
      </c>
      <c r="LFZ118" s="100" t="str">
        <f t="shared" si="406"/>
        <v/>
      </c>
      <c r="LGA118" s="100" t="str">
        <f t="shared" si="406"/>
        <v/>
      </c>
      <c r="LGB118" s="100" t="str">
        <f t="shared" si="406"/>
        <v/>
      </c>
      <c r="LGC118" s="100" t="str">
        <f t="shared" si="406"/>
        <v/>
      </c>
      <c r="LGD118" s="100" t="str">
        <f t="shared" si="406"/>
        <v/>
      </c>
      <c r="LGE118" s="100" t="str">
        <f t="shared" si="406"/>
        <v/>
      </c>
      <c r="LGF118" s="100" t="str">
        <f t="shared" si="406"/>
        <v/>
      </c>
      <c r="LGG118" s="100" t="str">
        <f t="shared" si="406"/>
        <v/>
      </c>
      <c r="LGH118" s="100" t="str">
        <f t="shared" si="406"/>
        <v/>
      </c>
      <c r="LGI118" s="100" t="str">
        <f t="shared" si="406"/>
        <v/>
      </c>
      <c r="LGJ118" s="100" t="str">
        <f t="shared" si="406"/>
        <v/>
      </c>
      <c r="LGK118" s="100" t="str">
        <f t="shared" si="406"/>
        <v/>
      </c>
      <c r="LGL118" s="100" t="str">
        <f t="shared" si="406"/>
        <v/>
      </c>
      <c r="LGM118" s="100" t="str">
        <f t="shared" si="406"/>
        <v/>
      </c>
      <c r="LGN118" s="100" t="str">
        <f t="shared" si="406"/>
        <v/>
      </c>
      <c r="LGO118" s="100" t="str">
        <f t="shared" si="406"/>
        <v/>
      </c>
      <c r="LGP118" s="100" t="str">
        <f t="shared" si="406"/>
        <v/>
      </c>
      <c r="LGQ118" s="100" t="str">
        <f t="shared" si="406"/>
        <v/>
      </c>
      <c r="LGR118" s="100" t="str">
        <f t="shared" si="406"/>
        <v/>
      </c>
      <c r="LGS118" s="100" t="str">
        <f t="shared" si="406"/>
        <v/>
      </c>
      <c r="LGT118" s="100" t="str">
        <f t="shared" si="406"/>
        <v/>
      </c>
      <c r="LGU118" s="100" t="str">
        <f t="shared" si="406"/>
        <v/>
      </c>
      <c r="LGV118" s="100" t="str">
        <f t="shared" si="406"/>
        <v/>
      </c>
      <c r="LGW118" s="100" t="str">
        <f t="shared" si="406"/>
        <v/>
      </c>
      <c r="LGX118" s="100" t="str">
        <f t="shared" si="406"/>
        <v/>
      </c>
      <c r="LGY118" s="100" t="str">
        <f t="shared" si="406"/>
        <v/>
      </c>
      <c r="LGZ118" s="100" t="str">
        <f t="shared" si="406"/>
        <v/>
      </c>
      <c r="LHA118" s="100" t="str">
        <f t="shared" si="406"/>
        <v/>
      </c>
      <c r="LHB118" s="100" t="str">
        <f t="shared" si="406"/>
        <v/>
      </c>
      <c r="LHC118" s="100" t="str">
        <f t="shared" si="406"/>
        <v/>
      </c>
      <c r="LHD118" s="100" t="str">
        <f t="shared" si="406"/>
        <v/>
      </c>
      <c r="LHE118" s="100" t="str">
        <f t="shared" ref="LHE118:LJP118" si="407">IFERROR(AVERAGE(LHE6,LHE16,LHE25,LHE34,LHE42,LHE54,LHE62,LHE70,LHE78,LHE86,LHE94,LHE102,LHE110),"")</f>
        <v/>
      </c>
      <c r="LHF118" s="100" t="str">
        <f t="shared" si="407"/>
        <v/>
      </c>
      <c r="LHG118" s="100" t="str">
        <f t="shared" si="407"/>
        <v/>
      </c>
      <c r="LHH118" s="100" t="str">
        <f t="shared" si="407"/>
        <v/>
      </c>
      <c r="LHI118" s="100" t="str">
        <f t="shared" si="407"/>
        <v/>
      </c>
      <c r="LHJ118" s="100" t="str">
        <f t="shared" si="407"/>
        <v/>
      </c>
      <c r="LHK118" s="100" t="str">
        <f t="shared" si="407"/>
        <v/>
      </c>
      <c r="LHL118" s="100" t="str">
        <f t="shared" si="407"/>
        <v/>
      </c>
      <c r="LHM118" s="100" t="str">
        <f t="shared" si="407"/>
        <v/>
      </c>
      <c r="LHN118" s="100" t="str">
        <f t="shared" si="407"/>
        <v/>
      </c>
      <c r="LHO118" s="100" t="str">
        <f t="shared" si="407"/>
        <v/>
      </c>
      <c r="LHP118" s="100" t="str">
        <f t="shared" si="407"/>
        <v/>
      </c>
      <c r="LHQ118" s="100" t="str">
        <f t="shared" si="407"/>
        <v/>
      </c>
      <c r="LHR118" s="100" t="str">
        <f t="shared" si="407"/>
        <v/>
      </c>
      <c r="LHS118" s="100" t="str">
        <f t="shared" si="407"/>
        <v/>
      </c>
      <c r="LHT118" s="100" t="str">
        <f t="shared" si="407"/>
        <v/>
      </c>
      <c r="LHU118" s="100" t="str">
        <f t="shared" si="407"/>
        <v/>
      </c>
      <c r="LHV118" s="100" t="str">
        <f t="shared" si="407"/>
        <v/>
      </c>
      <c r="LHW118" s="100" t="str">
        <f t="shared" si="407"/>
        <v/>
      </c>
      <c r="LHX118" s="100" t="str">
        <f t="shared" si="407"/>
        <v/>
      </c>
      <c r="LHY118" s="100" t="str">
        <f t="shared" si="407"/>
        <v/>
      </c>
      <c r="LHZ118" s="100" t="str">
        <f t="shared" si="407"/>
        <v/>
      </c>
      <c r="LIA118" s="100" t="str">
        <f t="shared" si="407"/>
        <v/>
      </c>
      <c r="LIB118" s="100" t="str">
        <f t="shared" si="407"/>
        <v/>
      </c>
      <c r="LIC118" s="100" t="str">
        <f t="shared" si="407"/>
        <v/>
      </c>
      <c r="LID118" s="100" t="str">
        <f t="shared" si="407"/>
        <v/>
      </c>
      <c r="LIE118" s="100" t="str">
        <f t="shared" si="407"/>
        <v/>
      </c>
      <c r="LIF118" s="100" t="str">
        <f t="shared" si="407"/>
        <v/>
      </c>
      <c r="LIG118" s="100" t="str">
        <f t="shared" si="407"/>
        <v/>
      </c>
      <c r="LIH118" s="100" t="str">
        <f t="shared" si="407"/>
        <v/>
      </c>
      <c r="LII118" s="100" t="str">
        <f t="shared" si="407"/>
        <v/>
      </c>
      <c r="LIJ118" s="100" t="str">
        <f t="shared" si="407"/>
        <v/>
      </c>
      <c r="LIK118" s="100" t="str">
        <f t="shared" si="407"/>
        <v/>
      </c>
      <c r="LIL118" s="100" t="str">
        <f t="shared" si="407"/>
        <v/>
      </c>
      <c r="LIM118" s="100" t="str">
        <f t="shared" si="407"/>
        <v/>
      </c>
      <c r="LIN118" s="100" t="str">
        <f t="shared" si="407"/>
        <v/>
      </c>
      <c r="LIO118" s="100" t="str">
        <f t="shared" si="407"/>
        <v/>
      </c>
      <c r="LIP118" s="100" t="str">
        <f t="shared" si="407"/>
        <v/>
      </c>
      <c r="LIQ118" s="100" t="str">
        <f t="shared" si="407"/>
        <v/>
      </c>
      <c r="LIR118" s="100" t="str">
        <f t="shared" si="407"/>
        <v/>
      </c>
      <c r="LIS118" s="100" t="str">
        <f t="shared" si="407"/>
        <v/>
      </c>
      <c r="LIT118" s="100" t="str">
        <f t="shared" si="407"/>
        <v/>
      </c>
      <c r="LIU118" s="100" t="str">
        <f t="shared" si="407"/>
        <v/>
      </c>
      <c r="LIV118" s="100" t="str">
        <f t="shared" si="407"/>
        <v/>
      </c>
      <c r="LIW118" s="100" t="str">
        <f t="shared" si="407"/>
        <v/>
      </c>
      <c r="LIX118" s="100" t="str">
        <f t="shared" si="407"/>
        <v/>
      </c>
      <c r="LIY118" s="100" t="str">
        <f t="shared" si="407"/>
        <v/>
      </c>
      <c r="LIZ118" s="100" t="str">
        <f t="shared" si="407"/>
        <v/>
      </c>
      <c r="LJA118" s="100" t="str">
        <f t="shared" si="407"/>
        <v/>
      </c>
      <c r="LJB118" s="100" t="str">
        <f t="shared" si="407"/>
        <v/>
      </c>
      <c r="LJC118" s="100" t="str">
        <f t="shared" si="407"/>
        <v/>
      </c>
      <c r="LJD118" s="100" t="str">
        <f t="shared" si="407"/>
        <v/>
      </c>
      <c r="LJE118" s="100" t="str">
        <f t="shared" si="407"/>
        <v/>
      </c>
      <c r="LJF118" s="100" t="str">
        <f t="shared" si="407"/>
        <v/>
      </c>
      <c r="LJG118" s="100" t="str">
        <f t="shared" si="407"/>
        <v/>
      </c>
      <c r="LJH118" s="100" t="str">
        <f t="shared" si="407"/>
        <v/>
      </c>
      <c r="LJI118" s="100" t="str">
        <f t="shared" si="407"/>
        <v/>
      </c>
      <c r="LJJ118" s="100" t="str">
        <f t="shared" si="407"/>
        <v/>
      </c>
      <c r="LJK118" s="100" t="str">
        <f t="shared" si="407"/>
        <v/>
      </c>
      <c r="LJL118" s="100" t="str">
        <f t="shared" si="407"/>
        <v/>
      </c>
      <c r="LJM118" s="100" t="str">
        <f t="shared" si="407"/>
        <v/>
      </c>
      <c r="LJN118" s="100" t="str">
        <f t="shared" si="407"/>
        <v/>
      </c>
      <c r="LJO118" s="100" t="str">
        <f t="shared" si="407"/>
        <v/>
      </c>
      <c r="LJP118" s="100" t="str">
        <f t="shared" si="407"/>
        <v/>
      </c>
      <c r="LJQ118" s="100" t="str">
        <f t="shared" ref="LJQ118:LMB118" si="408">IFERROR(AVERAGE(LJQ6,LJQ16,LJQ25,LJQ34,LJQ42,LJQ54,LJQ62,LJQ70,LJQ78,LJQ86,LJQ94,LJQ102,LJQ110),"")</f>
        <v/>
      </c>
      <c r="LJR118" s="100" t="str">
        <f t="shared" si="408"/>
        <v/>
      </c>
      <c r="LJS118" s="100" t="str">
        <f t="shared" si="408"/>
        <v/>
      </c>
      <c r="LJT118" s="100" t="str">
        <f t="shared" si="408"/>
        <v/>
      </c>
      <c r="LJU118" s="100" t="str">
        <f t="shared" si="408"/>
        <v/>
      </c>
      <c r="LJV118" s="100" t="str">
        <f t="shared" si="408"/>
        <v/>
      </c>
      <c r="LJW118" s="100" t="str">
        <f t="shared" si="408"/>
        <v/>
      </c>
      <c r="LJX118" s="100" t="str">
        <f t="shared" si="408"/>
        <v/>
      </c>
      <c r="LJY118" s="100" t="str">
        <f t="shared" si="408"/>
        <v/>
      </c>
      <c r="LJZ118" s="100" t="str">
        <f t="shared" si="408"/>
        <v/>
      </c>
      <c r="LKA118" s="100" t="str">
        <f t="shared" si="408"/>
        <v/>
      </c>
      <c r="LKB118" s="100" t="str">
        <f t="shared" si="408"/>
        <v/>
      </c>
      <c r="LKC118" s="100" t="str">
        <f t="shared" si="408"/>
        <v/>
      </c>
      <c r="LKD118" s="100" t="str">
        <f t="shared" si="408"/>
        <v/>
      </c>
      <c r="LKE118" s="100" t="str">
        <f t="shared" si="408"/>
        <v/>
      </c>
      <c r="LKF118" s="100" t="str">
        <f t="shared" si="408"/>
        <v/>
      </c>
      <c r="LKG118" s="100" t="str">
        <f t="shared" si="408"/>
        <v/>
      </c>
      <c r="LKH118" s="100" t="str">
        <f t="shared" si="408"/>
        <v/>
      </c>
      <c r="LKI118" s="100" t="str">
        <f t="shared" si="408"/>
        <v/>
      </c>
      <c r="LKJ118" s="100" t="str">
        <f t="shared" si="408"/>
        <v/>
      </c>
      <c r="LKK118" s="100" t="str">
        <f t="shared" si="408"/>
        <v/>
      </c>
      <c r="LKL118" s="100" t="str">
        <f t="shared" si="408"/>
        <v/>
      </c>
      <c r="LKM118" s="100" t="str">
        <f t="shared" si="408"/>
        <v/>
      </c>
      <c r="LKN118" s="100" t="str">
        <f t="shared" si="408"/>
        <v/>
      </c>
      <c r="LKO118" s="100" t="str">
        <f t="shared" si="408"/>
        <v/>
      </c>
      <c r="LKP118" s="100" t="str">
        <f t="shared" si="408"/>
        <v/>
      </c>
      <c r="LKQ118" s="100" t="str">
        <f t="shared" si="408"/>
        <v/>
      </c>
      <c r="LKR118" s="100" t="str">
        <f t="shared" si="408"/>
        <v/>
      </c>
      <c r="LKS118" s="100" t="str">
        <f t="shared" si="408"/>
        <v/>
      </c>
      <c r="LKT118" s="100" t="str">
        <f t="shared" si="408"/>
        <v/>
      </c>
      <c r="LKU118" s="100" t="str">
        <f t="shared" si="408"/>
        <v/>
      </c>
      <c r="LKV118" s="100" t="str">
        <f t="shared" si="408"/>
        <v/>
      </c>
      <c r="LKW118" s="100" t="str">
        <f t="shared" si="408"/>
        <v/>
      </c>
      <c r="LKX118" s="100" t="str">
        <f t="shared" si="408"/>
        <v/>
      </c>
      <c r="LKY118" s="100" t="str">
        <f t="shared" si="408"/>
        <v/>
      </c>
      <c r="LKZ118" s="100" t="str">
        <f t="shared" si="408"/>
        <v/>
      </c>
      <c r="LLA118" s="100" t="str">
        <f t="shared" si="408"/>
        <v/>
      </c>
      <c r="LLB118" s="100" t="str">
        <f t="shared" si="408"/>
        <v/>
      </c>
      <c r="LLC118" s="100" t="str">
        <f t="shared" si="408"/>
        <v/>
      </c>
      <c r="LLD118" s="100" t="str">
        <f t="shared" si="408"/>
        <v/>
      </c>
      <c r="LLE118" s="100" t="str">
        <f t="shared" si="408"/>
        <v/>
      </c>
      <c r="LLF118" s="100" t="str">
        <f t="shared" si="408"/>
        <v/>
      </c>
      <c r="LLG118" s="100" t="str">
        <f t="shared" si="408"/>
        <v/>
      </c>
      <c r="LLH118" s="100" t="str">
        <f t="shared" si="408"/>
        <v/>
      </c>
      <c r="LLI118" s="100" t="str">
        <f t="shared" si="408"/>
        <v/>
      </c>
      <c r="LLJ118" s="100" t="str">
        <f t="shared" si="408"/>
        <v/>
      </c>
      <c r="LLK118" s="100" t="str">
        <f t="shared" si="408"/>
        <v/>
      </c>
      <c r="LLL118" s="100" t="str">
        <f t="shared" si="408"/>
        <v/>
      </c>
      <c r="LLM118" s="100" t="str">
        <f t="shared" si="408"/>
        <v/>
      </c>
      <c r="LLN118" s="100" t="str">
        <f t="shared" si="408"/>
        <v/>
      </c>
      <c r="LLO118" s="100" t="str">
        <f t="shared" si="408"/>
        <v/>
      </c>
      <c r="LLP118" s="100" t="str">
        <f t="shared" si="408"/>
        <v/>
      </c>
      <c r="LLQ118" s="100" t="str">
        <f t="shared" si="408"/>
        <v/>
      </c>
      <c r="LLR118" s="100" t="str">
        <f t="shared" si="408"/>
        <v/>
      </c>
      <c r="LLS118" s="100" t="str">
        <f t="shared" si="408"/>
        <v/>
      </c>
      <c r="LLT118" s="100" t="str">
        <f t="shared" si="408"/>
        <v/>
      </c>
      <c r="LLU118" s="100" t="str">
        <f t="shared" si="408"/>
        <v/>
      </c>
      <c r="LLV118" s="100" t="str">
        <f t="shared" si="408"/>
        <v/>
      </c>
      <c r="LLW118" s="100" t="str">
        <f t="shared" si="408"/>
        <v/>
      </c>
      <c r="LLX118" s="100" t="str">
        <f t="shared" si="408"/>
        <v/>
      </c>
      <c r="LLY118" s="100" t="str">
        <f t="shared" si="408"/>
        <v/>
      </c>
      <c r="LLZ118" s="100" t="str">
        <f t="shared" si="408"/>
        <v/>
      </c>
      <c r="LMA118" s="100" t="str">
        <f t="shared" si="408"/>
        <v/>
      </c>
      <c r="LMB118" s="100" t="str">
        <f t="shared" si="408"/>
        <v/>
      </c>
      <c r="LMC118" s="100" t="str">
        <f t="shared" ref="LMC118:LON118" si="409">IFERROR(AVERAGE(LMC6,LMC16,LMC25,LMC34,LMC42,LMC54,LMC62,LMC70,LMC78,LMC86,LMC94,LMC102,LMC110),"")</f>
        <v/>
      </c>
      <c r="LMD118" s="100" t="str">
        <f t="shared" si="409"/>
        <v/>
      </c>
      <c r="LME118" s="100" t="str">
        <f t="shared" si="409"/>
        <v/>
      </c>
      <c r="LMF118" s="100" t="str">
        <f t="shared" si="409"/>
        <v/>
      </c>
      <c r="LMG118" s="100" t="str">
        <f t="shared" si="409"/>
        <v/>
      </c>
      <c r="LMH118" s="100" t="str">
        <f t="shared" si="409"/>
        <v/>
      </c>
      <c r="LMI118" s="100" t="str">
        <f t="shared" si="409"/>
        <v/>
      </c>
      <c r="LMJ118" s="100" t="str">
        <f t="shared" si="409"/>
        <v/>
      </c>
      <c r="LMK118" s="100" t="str">
        <f t="shared" si="409"/>
        <v/>
      </c>
      <c r="LML118" s="100" t="str">
        <f t="shared" si="409"/>
        <v/>
      </c>
      <c r="LMM118" s="100" t="str">
        <f t="shared" si="409"/>
        <v/>
      </c>
      <c r="LMN118" s="100" t="str">
        <f t="shared" si="409"/>
        <v/>
      </c>
      <c r="LMO118" s="100" t="str">
        <f t="shared" si="409"/>
        <v/>
      </c>
      <c r="LMP118" s="100" t="str">
        <f t="shared" si="409"/>
        <v/>
      </c>
      <c r="LMQ118" s="100" t="str">
        <f t="shared" si="409"/>
        <v/>
      </c>
      <c r="LMR118" s="100" t="str">
        <f t="shared" si="409"/>
        <v/>
      </c>
      <c r="LMS118" s="100" t="str">
        <f t="shared" si="409"/>
        <v/>
      </c>
      <c r="LMT118" s="100" t="str">
        <f t="shared" si="409"/>
        <v/>
      </c>
      <c r="LMU118" s="100" t="str">
        <f t="shared" si="409"/>
        <v/>
      </c>
      <c r="LMV118" s="100" t="str">
        <f t="shared" si="409"/>
        <v/>
      </c>
      <c r="LMW118" s="100" t="str">
        <f t="shared" si="409"/>
        <v/>
      </c>
      <c r="LMX118" s="100" t="str">
        <f t="shared" si="409"/>
        <v/>
      </c>
      <c r="LMY118" s="100" t="str">
        <f t="shared" si="409"/>
        <v/>
      </c>
      <c r="LMZ118" s="100" t="str">
        <f t="shared" si="409"/>
        <v/>
      </c>
      <c r="LNA118" s="100" t="str">
        <f t="shared" si="409"/>
        <v/>
      </c>
      <c r="LNB118" s="100" t="str">
        <f t="shared" si="409"/>
        <v/>
      </c>
      <c r="LNC118" s="100" t="str">
        <f t="shared" si="409"/>
        <v/>
      </c>
      <c r="LND118" s="100" t="str">
        <f t="shared" si="409"/>
        <v/>
      </c>
      <c r="LNE118" s="100" t="str">
        <f t="shared" si="409"/>
        <v/>
      </c>
      <c r="LNF118" s="100" t="str">
        <f t="shared" si="409"/>
        <v/>
      </c>
      <c r="LNG118" s="100" t="str">
        <f t="shared" si="409"/>
        <v/>
      </c>
      <c r="LNH118" s="100" t="str">
        <f t="shared" si="409"/>
        <v/>
      </c>
      <c r="LNI118" s="100" t="str">
        <f t="shared" si="409"/>
        <v/>
      </c>
      <c r="LNJ118" s="100" t="str">
        <f t="shared" si="409"/>
        <v/>
      </c>
      <c r="LNK118" s="100" t="str">
        <f t="shared" si="409"/>
        <v/>
      </c>
      <c r="LNL118" s="100" t="str">
        <f t="shared" si="409"/>
        <v/>
      </c>
      <c r="LNM118" s="100" t="str">
        <f t="shared" si="409"/>
        <v/>
      </c>
      <c r="LNN118" s="100" t="str">
        <f t="shared" si="409"/>
        <v/>
      </c>
      <c r="LNO118" s="100" t="str">
        <f t="shared" si="409"/>
        <v/>
      </c>
      <c r="LNP118" s="100" t="str">
        <f t="shared" si="409"/>
        <v/>
      </c>
      <c r="LNQ118" s="100" t="str">
        <f t="shared" si="409"/>
        <v/>
      </c>
      <c r="LNR118" s="100" t="str">
        <f t="shared" si="409"/>
        <v/>
      </c>
      <c r="LNS118" s="100" t="str">
        <f t="shared" si="409"/>
        <v/>
      </c>
      <c r="LNT118" s="100" t="str">
        <f t="shared" si="409"/>
        <v/>
      </c>
      <c r="LNU118" s="100" t="str">
        <f t="shared" si="409"/>
        <v/>
      </c>
      <c r="LNV118" s="100" t="str">
        <f t="shared" si="409"/>
        <v/>
      </c>
      <c r="LNW118" s="100" t="str">
        <f t="shared" si="409"/>
        <v/>
      </c>
      <c r="LNX118" s="100" t="str">
        <f t="shared" si="409"/>
        <v/>
      </c>
      <c r="LNY118" s="100" t="str">
        <f t="shared" si="409"/>
        <v/>
      </c>
      <c r="LNZ118" s="100" t="str">
        <f t="shared" si="409"/>
        <v/>
      </c>
      <c r="LOA118" s="100" t="str">
        <f t="shared" si="409"/>
        <v/>
      </c>
      <c r="LOB118" s="100" t="str">
        <f t="shared" si="409"/>
        <v/>
      </c>
      <c r="LOC118" s="100" t="str">
        <f t="shared" si="409"/>
        <v/>
      </c>
      <c r="LOD118" s="100" t="str">
        <f t="shared" si="409"/>
        <v/>
      </c>
      <c r="LOE118" s="100" t="str">
        <f t="shared" si="409"/>
        <v/>
      </c>
      <c r="LOF118" s="100" t="str">
        <f t="shared" si="409"/>
        <v/>
      </c>
      <c r="LOG118" s="100" t="str">
        <f t="shared" si="409"/>
        <v/>
      </c>
      <c r="LOH118" s="100" t="str">
        <f t="shared" si="409"/>
        <v/>
      </c>
      <c r="LOI118" s="100" t="str">
        <f t="shared" si="409"/>
        <v/>
      </c>
      <c r="LOJ118" s="100" t="str">
        <f t="shared" si="409"/>
        <v/>
      </c>
      <c r="LOK118" s="100" t="str">
        <f t="shared" si="409"/>
        <v/>
      </c>
      <c r="LOL118" s="100" t="str">
        <f t="shared" si="409"/>
        <v/>
      </c>
      <c r="LOM118" s="100" t="str">
        <f t="shared" si="409"/>
        <v/>
      </c>
      <c r="LON118" s="100" t="str">
        <f t="shared" si="409"/>
        <v/>
      </c>
      <c r="LOO118" s="100" t="str">
        <f t="shared" ref="LOO118:LQZ118" si="410">IFERROR(AVERAGE(LOO6,LOO16,LOO25,LOO34,LOO42,LOO54,LOO62,LOO70,LOO78,LOO86,LOO94,LOO102,LOO110),"")</f>
        <v/>
      </c>
      <c r="LOP118" s="100" t="str">
        <f t="shared" si="410"/>
        <v/>
      </c>
      <c r="LOQ118" s="100" t="str">
        <f t="shared" si="410"/>
        <v/>
      </c>
      <c r="LOR118" s="100" t="str">
        <f t="shared" si="410"/>
        <v/>
      </c>
      <c r="LOS118" s="100" t="str">
        <f t="shared" si="410"/>
        <v/>
      </c>
      <c r="LOT118" s="100" t="str">
        <f t="shared" si="410"/>
        <v/>
      </c>
      <c r="LOU118" s="100" t="str">
        <f t="shared" si="410"/>
        <v/>
      </c>
      <c r="LOV118" s="100" t="str">
        <f t="shared" si="410"/>
        <v/>
      </c>
      <c r="LOW118" s="100" t="str">
        <f t="shared" si="410"/>
        <v/>
      </c>
      <c r="LOX118" s="100" t="str">
        <f t="shared" si="410"/>
        <v/>
      </c>
      <c r="LOY118" s="100" t="str">
        <f t="shared" si="410"/>
        <v/>
      </c>
      <c r="LOZ118" s="100" t="str">
        <f t="shared" si="410"/>
        <v/>
      </c>
      <c r="LPA118" s="100" t="str">
        <f t="shared" si="410"/>
        <v/>
      </c>
      <c r="LPB118" s="100" t="str">
        <f t="shared" si="410"/>
        <v/>
      </c>
      <c r="LPC118" s="100" t="str">
        <f t="shared" si="410"/>
        <v/>
      </c>
      <c r="LPD118" s="100" t="str">
        <f t="shared" si="410"/>
        <v/>
      </c>
      <c r="LPE118" s="100" t="str">
        <f t="shared" si="410"/>
        <v/>
      </c>
      <c r="LPF118" s="100" t="str">
        <f t="shared" si="410"/>
        <v/>
      </c>
      <c r="LPG118" s="100" t="str">
        <f t="shared" si="410"/>
        <v/>
      </c>
      <c r="LPH118" s="100" t="str">
        <f t="shared" si="410"/>
        <v/>
      </c>
      <c r="LPI118" s="100" t="str">
        <f t="shared" si="410"/>
        <v/>
      </c>
      <c r="LPJ118" s="100" t="str">
        <f t="shared" si="410"/>
        <v/>
      </c>
      <c r="LPK118" s="100" t="str">
        <f t="shared" si="410"/>
        <v/>
      </c>
      <c r="LPL118" s="100" t="str">
        <f t="shared" si="410"/>
        <v/>
      </c>
      <c r="LPM118" s="100" t="str">
        <f t="shared" si="410"/>
        <v/>
      </c>
      <c r="LPN118" s="100" t="str">
        <f t="shared" si="410"/>
        <v/>
      </c>
      <c r="LPO118" s="100" t="str">
        <f t="shared" si="410"/>
        <v/>
      </c>
      <c r="LPP118" s="100" t="str">
        <f t="shared" si="410"/>
        <v/>
      </c>
      <c r="LPQ118" s="100" t="str">
        <f t="shared" si="410"/>
        <v/>
      </c>
      <c r="LPR118" s="100" t="str">
        <f t="shared" si="410"/>
        <v/>
      </c>
      <c r="LPS118" s="100" t="str">
        <f t="shared" si="410"/>
        <v/>
      </c>
      <c r="LPT118" s="100" t="str">
        <f t="shared" si="410"/>
        <v/>
      </c>
      <c r="LPU118" s="100" t="str">
        <f t="shared" si="410"/>
        <v/>
      </c>
      <c r="LPV118" s="100" t="str">
        <f t="shared" si="410"/>
        <v/>
      </c>
      <c r="LPW118" s="100" t="str">
        <f t="shared" si="410"/>
        <v/>
      </c>
      <c r="LPX118" s="100" t="str">
        <f t="shared" si="410"/>
        <v/>
      </c>
      <c r="LPY118" s="100" t="str">
        <f t="shared" si="410"/>
        <v/>
      </c>
      <c r="LPZ118" s="100" t="str">
        <f t="shared" si="410"/>
        <v/>
      </c>
      <c r="LQA118" s="100" t="str">
        <f t="shared" si="410"/>
        <v/>
      </c>
      <c r="LQB118" s="100" t="str">
        <f t="shared" si="410"/>
        <v/>
      </c>
      <c r="LQC118" s="100" t="str">
        <f t="shared" si="410"/>
        <v/>
      </c>
      <c r="LQD118" s="100" t="str">
        <f t="shared" si="410"/>
        <v/>
      </c>
      <c r="LQE118" s="100" t="str">
        <f t="shared" si="410"/>
        <v/>
      </c>
      <c r="LQF118" s="100" t="str">
        <f t="shared" si="410"/>
        <v/>
      </c>
      <c r="LQG118" s="100" t="str">
        <f t="shared" si="410"/>
        <v/>
      </c>
      <c r="LQH118" s="100" t="str">
        <f t="shared" si="410"/>
        <v/>
      </c>
      <c r="LQI118" s="100" t="str">
        <f t="shared" si="410"/>
        <v/>
      </c>
      <c r="LQJ118" s="100" t="str">
        <f t="shared" si="410"/>
        <v/>
      </c>
      <c r="LQK118" s="100" t="str">
        <f t="shared" si="410"/>
        <v/>
      </c>
      <c r="LQL118" s="100" t="str">
        <f t="shared" si="410"/>
        <v/>
      </c>
      <c r="LQM118" s="100" t="str">
        <f t="shared" si="410"/>
        <v/>
      </c>
      <c r="LQN118" s="100" t="str">
        <f t="shared" si="410"/>
        <v/>
      </c>
      <c r="LQO118" s="100" t="str">
        <f t="shared" si="410"/>
        <v/>
      </c>
      <c r="LQP118" s="100" t="str">
        <f t="shared" si="410"/>
        <v/>
      </c>
      <c r="LQQ118" s="100" t="str">
        <f t="shared" si="410"/>
        <v/>
      </c>
      <c r="LQR118" s="100" t="str">
        <f t="shared" si="410"/>
        <v/>
      </c>
      <c r="LQS118" s="100" t="str">
        <f t="shared" si="410"/>
        <v/>
      </c>
      <c r="LQT118" s="100" t="str">
        <f t="shared" si="410"/>
        <v/>
      </c>
      <c r="LQU118" s="100" t="str">
        <f t="shared" si="410"/>
        <v/>
      </c>
      <c r="LQV118" s="100" t="str">
        <f t="shared" si="410"/>
        <v/>
      </c>
      <c r="LQW118" s="100" t="str">
        <f t="shared" si="410"/>
        <v/>
      </c>
      <c r="LQX118" s="100" t="str">
        <f t="shared" si="410"/>
        <v/>
      </c>
      <c r="LQY118" s="100" t="str">
        <f t="shared" si="410"/>
        <v/>
      </c>
      <c r="LQZ118" s="100" t="str">
        <f t="shared" si="410"/>
        <v/>
      </c>
      <c r="LRA118" s="100" t="str">
        <f t="shared" ref="LRA118:LTL118" si="411">IFERROR(AVERAGE(LRA6,LRA16,LRA25,LRA34,LRA42,LRA54,LRA62,LRA70,LRA78,LRA86,LRA94,LRA102,LRA110),"")</f>
        <v/>
      </c>
      <c r="LRB118" s="100" t="str">
        <f t="shared" si="411"/>
        <v/>
      </c>
      <c r="LRC118" s="100" t="str">
        <f t="shared" si="411"/>
        <v/>
      </c>
      <c r="LRD118" s="100" t="str">
        <f t="shared" si="411"/>
        <v/>
      </c>
      <c r="LRE118" s="100" t="str">
        <f t="shared" si="411"/>
        <v/>
      </c>
      <c r="LRF118" s="100" t="str">
        <f t="shared" si="411"/>
        <v/>
      </c>
      <c r="LRG118" s="100" t="str">
        <f t="shared" si="411"/>
        <v/>
      </c>
      <c r="LRH118" s="100" t="str">
        <f t="shared" si="411"/>
        <v/>
      </c>
      <c r="LRI118" s="100" t="str">
        <f t="shared" si="411"/>
        <v/>
      </c>
      <c r="LRJ118" s="100" t="str">
        <f t="shared" si="411"/>
        <v/>
      </c>
      <c r="LRK118" s="100" t="str">
        <f t="shared" si="411"/>
        <v/>
      </c>
      <c r="LRL118" s="100" t="str">
        <f t="shared" si="411"/>
        <v/>
      </c>
      <c r="LRM118" s="100" t="str">
        <f t="shared" si="411"/>
        <v/>
      </c>
      <c r="LRN118" s="100" t="str">
        <f t="shared" si="411"/>
        <v/>
      </c>
      <c r="LRO118" s="100" t="str">
        <f t="shared" si="411"/>
        <v/>
      </c>
      <c r="LRP118" s="100" t="str">
        <f t="shared" si="411"/>
        <v/>
      </c>
      <c r="LRQ118" s="100" t="str">
        <f t="shared" si="411"/>
        <v/>
      </c>
      <c r="LRR118" s="100" t="str">
        <f t="shared" si="411"/>
        <v/>
      </c>
      <c r="LRS118" s="100" t="str">
        <f t="shared" si="411"/>
        <v/>
      </c>
      <c r="LRT118" s="100" t="str">
        <f t="shared" si="411"/>
        <v/>
      </c>
      <c r="LRU118" s="100" t="str">
        <f t="shared" si="411"/>
        <v/>
      </c>
      <c r="LRV118" s="100" t="str">
        <f t="shared" si="411"/>
        <v/>
      </c>
      <c r="LRW118" s="100" t="str">
        <f t="shared" si="411"/>
        <v/>
      </c>
      <c r="LRX118" s="100" t="str">
        <f t="shared" si="411"/>
        <v/>
      </c>
      <c r="LRY118" s="100" t="str">
        <f t="shared" si="411"/>
        <v/>
      </c>
      <c r="LRZ118" s="100" t="str">
        <f t="shared" si="411"/>
        <v/>
      </c>
      <c r="LSA118" s="100" t="str">
        <f t="shared" si="411"/>
        <v/>
      </c>
      <c r="LSB118" s="100" t="str">
        <f t="shared" si="411"/>
        <v/>
      </c>
      <c r="LSC118" s="100" t="str">
        <f t="shared" si="411"/>
        <v/>
      </c>
      <c r="LSD118" s="100" t="str">
        <f t="shared" si="411"/>
        <v/>
      </c>
      <c r="LSE118" s="100" t="str">
        <f t="shared" si="411"/>
        <v/>
      </c>
      <c r="LSF118" s="100" t="str">
        <f t="shared" si="411"/>
        <v/>
      </c>
      <c r="LSG118" s="100" t="str">
        <f t="shared" si="411"/>
        <v/>
      </c>
      <c r="LSH118" s="100" t="str">
        <f t="shared" si="411"/>
        <v/>
      </c>
      <c r="LSI118" s="100" t="str">
        <f t="shared" si="411"/>
        <v/>
      </c>
      <c r="LSJ118" s="100" t="str">
        <f t="shared" si="411"/>
        <v/>
      </c>
      <c r="LSK118" s="100" t="str">
        <f t="shared" si="411"/>
        <v/>
      </c>
      <c r="LSL118" s="100" t="str">
        <f t="shared" si="411"/>
        <v/>
      </c>
      <c r="LSM118" s="100" t="str">
        <f t="shared" si="411"/>
        <v/>
      </c>
      <c r="LSN118" s="100" t="str">
        <f t="shared" si="411"/>
        <v/>
      </c>
      <c r="LSO118" s="100" t="str">
        <f t="shared" si="411"/>
        <v/>
      </c>
      <c r="LSP118" s="100" t="str">
        <f t="shared" si="411"/>
        <v/>
      </c>
      <c r="LSQ118" s="100" t="str">
        <f t="shared" si="411"/>
        <v/>
      </c>
      <c r="LSR118" s="100" t="str">
        <f t="shared" si="411"/>
        <v/>
      </c>
      <c r="LSS118" s="100" t="str">
        <f t="shared" si="411"/>
        <v/>
      </c>
      <c r="LST118" s="100" t="str">
        <f t="shared" si="411"/>
        <v/>
      </c>
      <c r="LSU118" s="100" t="str">
        <f t="shared" si="411"/>
        <v/>
      </c>
      <c r="LSV118" s="100" t="str">
        <f t="shared" si="411"/>
        <v/>
      </c>
      <c r="LSW118" s="100" t="str">
        <f t="shared" si="411"/>
        <v/>
      </c>
      <c r="LSX118" s="100" t="str">
        <f t="shared" si="411"/>
        <v/>
      </c>
      <c r="LSY118" s="100" t="str">
        <f t="shared" si="411"/>
        <v/>
      </c>
      <c r="LSZ118" s="100" t="str">
        <f t="shared" si="411"/>
        <v/>
      </c>
      <c r="LTA118" s="100" t="str">
        <f t="shared" si="411"/>
        <v/>
      </c>
      <c r="LTB118" s="100" t="str">
        <f t="shared" si="411"/>
        <v/>
      </c>
      <c r="LTC118" s="100" t="str">
        <f t="shared" si="411"/>
        <v/>
      </c>
      <c r="LTD118" s="100" t="str">
        <f t="shared" si="411"/>
        <v/>
      </c>
      <c r="LTE118" s="100" t="str">
        <f t="shared" si="411"/>
        <v/>
      </c>
      <c r="LTF118" s="100" t="str">
        <f t="shared" si="411"/>
        <v/>
      </c>
      <c r="LTG118" s="100" t="str">
        <f t="shared" si="411"/>
        <v/>
      </c>
      <c r="LTH118" s="100" t="str">
        <f t="shared" si="411"/>
        <v/>
      </c>
      <c r="LTI118" s="100" t="str">
        <f t="shared" si="411"/>
        <v/>
      </c>
      <c r="LTJ118" s="100" t="str">
        <f t="shared" si="411"/>
        <v/>
      </c>
      <c r="LTK118" s="100" t="str">
        <f t="shared" si="411"/>
        <v/>
      </c>
      <c r="LTL118" s="100" t="str">
        <f t="shared" si="411"/>
        <v/>
      </c>
      <c r="LTM118" s="100" t="str">
        <f t="shared" ref="LTM118:LVX118" si="412">IFERROR(AVERAGE(LTM6,LTM16,LTM25,LTM34,LTM42,LTM54,LTM62,LTM70,LTM78,LTM86,LTM94,LTM102,LTM110),"")</f>
        <v/>
      </c>
      <c r="LTN118" s="100" t="str">
        <f t="shared" si="412"/>
        <v/>
      </c>
      <c r="LTO118" s="100" t="str">
        <f t="shared" si="412"/>
        <v/>
      </c>
      <c r="LTP118" s="100" t="str">
        <f t="shared" si="412"/>
        <v/>
      </c>
      <c r="LTQ118" s="100" t="str">
        <f t="shared" si="412"/>
        <v/>
      </c>
      <c r="LTR118" s="100" t="str">
        <f t="shared" si="412"/>
        <v/>
      </c>
      <c r="LTS118" s="100" t="str">
        <f t="shared" si="412"/>
        <v/>
      </c>
      <c r="LTT118" s="100" t="str">
        <f t="shared" si="412"/>
        <v/>
      </c>
      <c r="LTU118" s="100" t="str">
        <f t="shared" si="412"/>
        <v/>
      </c>
      <c r="LTV118" s="100" t="str">
        <f t="shared" si="412"/>
        <v/>
      </c>
      <c r="LTW118" s="100" t="str">
        <f t="shared" si="412"/>
        <v/>
      </c>
      <c r="LTX118" s="100" t="str">
        <f t="shared" si="412"/>
        <v/>
      </c>
      <c r="LTY118" s="100" t="str">
        <f t="shared" si="412"/>
        <v/>
      </c>
      <c r="LTZ118" s="100" t="str">
        <f t="shared" si="412"/>
        <v/>
      </c>
      <c r="LUA118" s="100" t="str">
        <f t="shared" si="412"/>
        <v/>
      </c>
      <c r="LUB118" s="100" t="str">
        <f t="shared" si="412"/>
        <v/>
      </c>
      <c r="LUC118" s="100" t="str">
        <f t="shared" si="412"/>
        <v/>
      </c>
      <c r="LUD118" s="100" t="str">
        <f t="shared" si="412"/>
        <v/>
      </c>
      <c r="LUE118" s="100" t="str">
        <f t="shared" si="412"/>
        <v/>
      </c>
      <c r="LUF118" s="100" t="str">
        <f t="shared" si="412"/>
        <v/>
      </c>
      <c r="LUG118" s="100" t="str">
        <f t="shared" si="412"/>
        <v/>
      </c>
      <c r="LUH118" s="100" t="str">
        <f t="shared" si="412"/>
        <v/>
      </c>
      <c r="LUI118" s="100" t="str">
        <f t="shared" si="412"/>
        <v/>
      </c>
      <c r="LUJ118" s="100" t="str">
        <f t="shared" si="412"/>
        <v/>
      </c>
      <c r="LUK118" s="100" t="str">
        <f t="shared" si="412"/>
        <v/>
      </c>
      <c r="LUL118" s="100" t="str">
        <f t="shared" si="412"/>
        <v/>
      </c>
      <c r="LUM118" s="100" t="str">
        <f t="shared" si="412"/>
        <v/>
      </c>
      <c r="LUN118" s="100" t="str">
        <f t="shared" si="412"/>
        <v/>
      </c>
      <c r="LUO118" s="100" t="str">
        <f t="shared" si="412"/>
        <v/>
      </c>
      <c r="LUP118" s="100" t="str">
        <f t="shared" si="412"/>
        <v/>
      </c>
      <c r="LUQ118" s="100" t="str">
        <f t="shared" si="412"/>
        <v/>
      </c>
      <c r="LUR118" s="100" t="str">
        <f t="shared" si="412"/>
        <v/>
      </c>
      <c r="LUS118" s="100" t="str">
        <f t="shared" si="412"/>
        <v/>
      </c>
      <c r="LUT118" s="100" t="str">
        <f t="shared" si="412"/>
        <v/>
      </c>
      <c r="LUU118" s="100" t="str">
        <f t="shared" si="412"/>
        <v/>
      </c>
      <c r="LUV118" s="100" t="str">
        <f t="shared" si="412"/>
        <v/>
      </c>
      <c r="LUW118" s="100" t="str">
        <f t="shared" si="412"/>
        <v/>
      </c>
      <c r="LUX118" s="100" t="str">
        <f t="shared" si="412"/>
        <v/>
      </c>
      <c r="LUY118" s="100" t="str">
        <f t="shared" si="412"/>
        <v/>
      </c>
      <c r="LUZ118" s="100" t="str">
        <f t="shared" si="412"/>
        <v/>
      </c>
      <c r="LVA118" s="100" t="str">
        <f t="shared" si="412"/>
        <v/>
      </c>
      <c r="LVB118" s="100" t="str">
        <f t="shared" si="412"/>
        <v/>
      </c>
      <c r="LVC118" s="100" t="str">
        <f t="shared" si="412"/>
        <v/>
      </c>
      <c r="LVD118" s="100" t="str">
        <f t="shared" si="412"/>
        <v/>
      </c>
      <c r="LVE118" s="100" t="str">
        <f t="shared" si="412"/>
        <v/>
      </c>
      <c r="LVF118" s="100" t="str">
        <f t="shared" si="412"/>
        <v/>
      </c>
      <c r="LVG118" s="100" t="str">
        <f t="shared" si="412"/>
        <v/>
      </c>
      <c r="LVH118" s="100" t="str">
        <f t="shared" si="412"/>
        <v/>
      </c>
      <c r="LVI118" s="100" t="str">
        <f t="shared" si="412"/>
        <v/>
      </c>
      <c r="LVJ118" s="100" t="str">
        <f t="shared" si="412"/>
        <v/>
      </c>
      <c r="LVK118" s="100" t="str">
        <f t="shared" si="412"/>
        <v/>
      </c>
      <c r="LVL118" s="100" t="str">
        <f t="shared" si="412"/>
        <v/>
      </c>
      <c r="LVM118" s="100" t="str">
        <f t="shared" si="412"/>
        <v/>
      </c>
      <c r="LVN118" s="100" t="str">
        <f t="shared" si="412"/>
        <v/>
      </c>
      <c r="LVO118" s="100" t="str">
        <f t="shared" si="412"/>
        <v/>
      </c>
      <c r="LVP118" s="100" t="str">
        <f t="shared" si="412"/>
        <v/>
      </c>
      <c r="LVQ118" s="100" t="str">
        <f t="shared" si="412"/>
        <v/>
      </c>
      <c r="LVR118" s="100" t="str">
        <f t="shared" si="412"/>
        <v/>
      </c>
      <c r="LVS118" s="100" t="str">
        <f t="shared" si="412"/>
        <v/>
      </c>
      <c r="LVT118" s="100" t="str">
        <f t="shared" si="412"/>
        <v/>
      </c>
      <c r="LVU118" s="100" t="str">
        <f t="shared" si="412"/>
        <v/>
      </c>
      <c r="LVV118" s="100" t="str">
        <f t="shared" si="412"/>
        <v/>
      </c>
      <c r="LVW118" s="100" t="str">
        <f t="shared" si="412"/>
        <v/>
      </c>
      <c r="LVX118" s="100" t="str">
        <f t="shared" si="412"/>
        <v/>
      </c>
      <c r="LVY118" s="100" t="str">
        <f t="shared" ref="LVY118:LYJ118" si="413">IFERROR(AVERAGE(LVY6,LVY16,LVY25,LVY34,LVY42,LVY54,LVY62,LVY70,LVY78,LVY86,LVY94,LVY102,LVY110),"")</f>
        <v/>
      </c>
      <c r="LVZ118" s="100" t="str">
        <f t="shared" si="413"/>
        <v/>
      </c>
      <c r="LWA118" s="100" t="str">
        <f t="shared" si="413"/>
        <v/>
      </c>
      <c r="LWB118" s="100" t="str">
        <f t="shared" si="413"/>
        <v/>
      </c>
      <c r="LWC118" s="100" t="str">
        <f t="shared" si="413"/>
        <v/>
      </c>
      <c r="LWD118" s="100" t="str">
        <f t="shared" si="413"/>
        <v/>
      </c>
      <c r="LWE118" s="100" t="str">
        <f t="shared" si="413"/>
        <v/>
      </c>
      <c r="LWF118" s="100" t="str">
        <f t="shared" si="413"/>
        <v/>
      </c>
      <c r="LWG118" s="100" t="str">
        <f t="shared" si="413"/>
        <v/>
      </c>
      <c r="LWH118" s="100" t="str">
        <f t="shared" si="413"/>
        <v/>
      </c>
      <c r="LWI118" s="100" t="str">
        <f t="shared" si="413"/>
        <v/>
      </c>
      <c r="LWJ118" s="100" t="str">
        <f t="shared" si="413"/>
        <v/>
      </c>
      <c r="LWK118" s="100" t="str">
        <f t="shared" si="413"/>
        <v/>
      </c>
      <c r="LWL118" s="100" t="str">
        <f t="shared" si="413"/>
        <v/>
      </c>
      <c r="LWM118" s="100" t="str">
        <f t="shared" si="413"/>
        <v/>
      </c>
      <c r="LWN118" s="100" t="str">
        <f t="shared" si="413"/>
        <v/>
      </c>
      <c r="LWO118" s="100" t="str">
        <f t="shared" si="413"/>
        <v/>
      </c>
      <c r="LWP118" s="100" t="str">
        <f t="shared" si="413"/>
        <v/>
      </c>
      <c r="LWQ118" s="100" t="str">
        <f t="shared" si="413"/>
        <v/>
      </c>
      <c r="LWR118" s="100" t="str">
        <f t="shared" si="413"/>
        <v/>
      </c>
      <c r="LWS118" s="100" t="str">
        <f t="shared" si="413"/>
        <v/>
      </c>
      <c r="LWT118" s="100" t="str">
        <f t="shared" si="413"/>
        <v/>
      </c>
      <c r="LWU118" s="100" t="str">
        <f t="shared" si="413"/>
        <v/>
      </c>
      <c r="LWV118" s="100" t="str">
        <f t="shared" si="413"/>
        <v/>
      </c>
      <c r="LWW118" s="100" t="str">
        <f t="shared" si="413"/>
        <v/>
      </c>
      <c r="LWX118" s="100" t="str">
        <f t="shared" si="413"/>
        <v/>
      </c>
      <c r="LWY118" s="100" t="str">
        <f t="shared" si="413"/>
        <v/>
      </c>
      <c r="LWZ118" s="100" t="str">
        <f t="shared" si="413"/>
        <v/>
      </c>
      <c r="LXA118" s="100" t="str">
        <f t="shared" si="413"/>
        <v/>
      </c>
      <c r="LXB118" s="100" t="str">
        <f t="shared" si="413"/>
        <v/>
      </c>
      <c r="LXC118" s="100" t="str">
        <f t="shared" si="413"/>
        <v/>
      </c>
      <c r="LXD118" s="100" t="str">
        <f t="shared" si="413"/>
        <v/>
      </c>
      <c r="LXE118" s="100" t="str">
        <f t="shared" si="413"/>
        <v/>
      </c>
      <c r="LXF118" s="100" t="str">
        <f t="shared" si="413"/>
        <v/>
      </c>
      <c r="LXG118" s="100" t="str">
        <f t="shared" si="413"/>
        <v/>
      </c>
      <c r="LXH118" s="100" t="str">
        <f t="shared" si="413"/>
        <v/>
      </c>
      <c r="LXI118" s="100" t="str">
        <f t="shared" si="413"/>
        <v/>
      </c>
      <c r="LXJ118" s="100" t="str">
        <f t="shared" si="413"/>
        <v/>
      </c>
      <c r="LXK118" s="100" t="str">
        <f t="shared" si="413"/>
        <v/>
      </c>
      <c r="LXL118" s="100" t="str">
        <f t="shared" si="413"/>
        <v/>
      </c>
      <c r="LXM118" s="100" t="str">
        <f t="shared" si="413"/>
        <v/>
      </c>
      <c r="LXN118" s="100" t="str">
        <f t="shared" si="413"/>
        <v/>
      </c>
      <c r="LXO118" s="100" t="str">
        <f t="shared" si="413"/>
        <v/>
      </c>
      <c r="LXP118" s="100" t="str">
        <f t="shared" si="413"/>
        <v/>
      </c>
      <c r="LXQ118" s="100" t="str">
        <f t="shared" si="413"/>
        <v/>
      </c>
      <c r="LXR118" s="100" t="str">
        <f t="shared" si="413"/>
        <v/>
      </c>
      <c r="LXS118" s="100" t="str">
        <f t="shared" si="413"/>
        <v/>
      </c>
      <c r="LXT118" s="100" t="str">
        <f t="shared" si="413"/>
        <v/>
      </c>
      <c r="LXU118" s="100" t="str">
        <f t="shared" si="413"/>
        <v/>
      </c>
      <c r="LXV118" s="100" t="str">
        <f t="shared" si="413"/>
        <v/>
      </c>
      <c r="LXW118" s="100" t="str">
        <f t="shared" si="413"/>
        <v/>
      </c>
      <c r="LXX118" s="100" t="str">
        <f t="shared" si="413"/>
        <v/>
      </c>
      <c r="LXY118" s="100" t="str">
        <f t="shared" si="413"/>
        <v/>
      </c>
      <c r="LXZ118" s="100" t="str">
        <f t="shared" si="413"/>
        <v/>
      </c>
      <c r="LYA118" s="100" t="str">
        <f t="shared" si="413"/>
        <v/>
      </c>
      <c r="LYB118" s="100" t="str">
        <f t="shared" si="413"/>
        <v/>
      </c>
      <c r="LYC118" s="100" t="str">
        <f t="shared" si="413"/>
        <v/>
      </c>
      <c r="LYD118" s="100" t="str">
        <f t="shared" si="413"/>
        <v/>
      </c>
      <c r="LYE118" s="100" t="str">
        <f t="shared" si="413"/>
        <v/>
      </c>
      <c r="LYF118" s="100" t="str">
        <f t="shared" si="413"/>
        <v/>
      </c>
      <c r="LYG118" s="100" t="str">
        <f t="shared" si="413"/>
        <v/>
      </c>
      <c r="LYH118" s="100" t="str">
        <f t="shared" si="413"/>
        <v/>
      </c>
      <c r="LYI118" s="100" t="str">
        <f t="shared" si="413"/>
        <v/>
      </c>
      <c r="LYJ118" s="100" t="str">
        <f t="shared" si="413"/>
        <v/>
      </c>
      <c r="LYK118" s="100" t="str">
        <f t="shared" ref="LYK118:MAV118" si="414">IFERROR(AVERAGE(LYK6,LYK16,LYK25,LYK34,LYK42,LYK54,LYK62,LYK70,LYK78,LYK86,LYK94,LYK102,LYK110),"")</f>
        <v/>
      </c>
      <c r="LYL118" s="100" t="str">
        <f t="shared" si="414"/>
        <v/>
      </c>
      <c r="LYM118" s="100" t="str">
        <f t="shared" si="414"/>
        <v/>
      </c>
      <c r="LYN118" s="100" t="str">
        <f t="shared" si="414"/>
        <v/>
      </c>
      <c r="LYO118" s="100" t="str">
        <f t="shared" si="414"/>
        <v/>
      </c>
      <c r="LYP118" s="100" t="str">
        <f t="shared" si="414"/>
        <v/>
      </c>
      <c r="LYQ118" s="100" t="str">
        <f t="shared" si="414"/>
        <v/>
      </c>
      <c r="LYR118" s="100" t="str">
        <f t="shared" si="414"/>
        <v/>
      </c>
      <c r="LYS118" s="100" t="str">
        <f t="shared" si="414"/>
        <v/>
      </c>
      <c r="LYT118" s="100" t="str">
        <f t="shared" si="414"/>
        <v/>
      </c>
      <c r="LYU118" s="100" t="str">
        <f t="shared" si="414"/>
        <v/>
      </c>
      <c r="LYV118" s="100" t="str">
        <f t="shared" si="414"/>
        <v/>
      </c>
      <c r="LYW118" s="100" t="str">
        <f t="shared" si="414"/>
        <v/>
      </c>
      <c r="LYX118" s="100" t="str">
        <f t="shared" si="414"/>
        <v/>
      </c>
      <c r="LYY118" s="100" t="str">
        <f t="shared" si="414"/>
        <v/>
      </c>
      <c r="LYZ118" s="100" t="str">
        <f t="shared" si="414"/>
        <v/>
      </c>
      <c r="LZA118" s="100" t="str">
        <f t="shared" si="414"/>
        <v/>
      </c>
      <c r="LZB118" s="100" t="str">
        <f t="shared" si="414"/>
        <v/>
      </c>
      <c r="LZC118" s="100" t="str">
        <f t="shared" si="414"/>
        <v/>
      </c>
      <c r="LZD118" s="100" t="str">
        <f t="shared" si="414"/>
        <v/>
      </c>
      <c r="LZE118" s="100" t="str">
        <f t="shared" si="414"/>
        <v/>
      </c>
      <c r="LZF118" s="100" t="str">
        <f t="shared" si="414"/>
        <v/>
      </c>
      <c r="LZG118" s="100" t="str">
        <f t="shared" si="414"/>
        <v/>
      </c>
      <c r="LZH118" s="100" t="str">
        <f t="shared" si="414"/>
        <v/>
      </c>
      <c r="LZI118" s="100" t="str">
        <f t="shared" si="414"/>
        <v/>
      </c>
      <c r="LZJ118" s="100" t="str">
        <f t="shared" si="414"/>
        <v/>
      </c>
      <c r="LZK118" s="100" t="str">
        <f t="shared" si="414"/>
        <v/>
      </c>
      <c r="LZL118" s="100" t="str">
        <f t="shared" si="414"/>
        <v/>
      </c>
      <c r="LZM118" s="100" t="str">
        <f t="shared" si="414"/>
        <v/>
      </c>
      <c r="LZN118" s="100" t="str">
        <f t="shared" si="414"/>
        <v/>
      </c>
      <c r="LZO118" s="100" t="str">
        <f t="shared" si="414"/>
        <v/>
      </c>
      <c r="LZP118" s="100" t="str">
        <f t="shared" si="414"/>
        <v/>
      </c>
      <c r="LZQ118" s="100" t="str">
        <f t="shared" si="414"/>
        <v/>
      </c>
      <c r="LZR118" s="100" t="str">
        <f t="shared" si="414"/>
        <v/>
      </c>
      <c r="LZS118" s="100" t="str">
        <f t="shared" si="414"/>
        <v/>
      </c>
      <c r="LZT118" s="100" t="str">
        <f t="shared" si="414"/>
        <v/>
      </c>
      <c r="LZU118" s="100" t="str">
        <f t="shared" si="414"/>
        <v/>
      </c>
      <c r="LZV118" s="100" t="str">
        <f t="shared" si="414"/>
        <v/>
      </c>
      <c r="LZW118" s="100" t="str">
        <f t="shared" si="414"/>
        <v/>
      </c>
      <c r="LZX118" s="100" t="str">
        <f t="shared" si="414"/>
        <v/>
      </c>
      <c r="LZY118" s="100" t="str">
        <f t="shared" si="414"/>
        <v/>
      </c>
      <c r="LZZ118" s="100" t="str">
        <f t="shared" si="414"/>
        <v/>
      </c>
      <c r="MAA118" s="100" t="str">
        <f t="shared" si="414"/>
        <v/>
      </c>
      <c r="MAB118" s="100" t="str">
        <f t="shared" si="414"/>
        <v/>
      </c>
      <c r="MAC118" s="100" t="str">
        <f t="shared" si="414"/>
        <v/>
      </c>
      <c r="MAD118" s="100" t="str">
        <f t="shared" si="414"/>
        <v/>
      </c>
      <c r="MAE118" s="100" t="str">
        <f t="shared" si="414"/>
        <v/>
      </c>
      <c r="MAF118" s="100" t="str">
        <f t="shared" si="414"/>
        <v/>
      </c>
      <c r="MAG118" s="100" t="str">
        <f t="shared" si="414"/>
        <v/>
      </c>
      <c r="MAH118" s="100" t="str">
        <f t="shared" si="414"/>
        <v/>
      </c>
      <c r="MAI118" s="100" t="str">
        <f t="shared" si="414"/>
        <v/>
      </c>
      <c r="MAJ118" s="100" t="str">
        <f t="shared" si="414"/>
        <v/>
      </c>
      <c r="MAK118" s="100" t="str">
        <f t="shared" si="414"/>
        <v/>
      </c>
      <c r="MAL118" s="100" t="str">
        <f t="shared" si="414"/>
        <v/>
      </c>
      <c r="MAM118" s="100" t="str">
        <f t="shared" si="414"/>
        <v/>
      </c>
      <c r="MAN118" s="100" t="str">
        <f t="shared" si="414"/>
        <v/>
      </c>
      <c r="MAO118" s="100" t="str">
        <f t="shared" si="414"/>
        <v/>
      </c>
      <c r="MAP118" s="100" t="str">
        <f t="shared" si="414"/>
        <v/>
      </c>
      <c r="MAQ118" s="100" t="str">
        <f t="shared" si="414"/>
        <v/>
      </c>
      <c r="MAR118" s="100" t="str">
        <f t="shared" si="414"/>
        <v/>
      </c>
      <c r="MAS118" s="100" t="str">
        <f t="shared" si="414"/>
        <v/>
      </c>
      <c r="MAT118" s="100" t="str">
        <f t="shared" si="414"/>
        <v/>
      </c>
      <c r="MAU118" s="100" t="str">
        <f t="shared" si="414"/>
        <v/>
      </c>
      <c r="MAV118" s="100" t="str">
        <f t="shared" si="414"/>
        <v/>
      </c>
      <c r="MAW118" s="100" t="str">
        <f t="shared" ref="MAW118:MDH118" si="415">IFERROR(AVERAGE(MAW6,MAW16,MAW25,MAW34,MAW42,MAW54,MAW62,MAW70,MAW78,MAW86,MAW94,MAW102,MAW110),"")</f>
        <v/>
      </c>
      <c r="MAX118" s="100" t="str">
        <f t="shared" si="415"/>
        <v/>
      </c>
      <c r="MAY118" s="100" t="str">
        <f t="shared" si="415"/>
        <v/>
      </c>
      <c r="MAZ118" s="100" t="str">
        <f t="shared" si="415"/>
        <v/>
      </c>
      <c r="MBA118" s="100" t="str">
        <f t="shared" si="415"/>
        <v/>
      </c>
      <c r="MBB118" s="100" t="str">
        <f t="shared" si="415"/>
        <v/>
      </c>
      <c r="MBC118" s="100" t="str">
        <f t="shared" si="415"/>
        <v/>
      </c>
      <c r="MBD118" s="100" t="str">
        <f t="shared" si="415"/>
        <v/>
      </c>
      <c r="MBE118" s="100" t="str">
        <f t="shared" si="415"/>
        <v/>
      </c>
      <c r="MBF118" s="100" t="str">
        <f t="shared" si="415"/>
        <v/>
      </c>
      <c r="MBG118" s="100" t="str">
        <f t="shared" si="415"/>
        <v/>
      </c>
      <c r="MBH118" s="100" t="str">
        <f t="shared" si="415"/>
        <v/>
      </c>
      <c r="MBI118" s="100" t="str">
        <f t="shared" si="415"/>
        <v/>
      </c>
      <c r="MBJ118" s="100" t="str">
        <f t="shared" si="415"/>
        <v/>
      </c>
      <c r="MBK118" s="100" t="str">
        <f t="shared" si="415"/>
        <v/>
      </c>
      <c r="MBL118" s="100" t="str">
        <f t="shared" si="415"/>
        <v/>
      </c>
      <c r="MBM118" s="100" t="str">
        <f t="shared" si="415"/>
        <v/>
      </c>
      <c r="MBN118" s="100" t="str">
        <f t="shared" si="415"/>
        <v/>
      </c>
      <c r="MBO118" s="100" t="str">
        <f t="shared" si="415"/>
        <v/>
      </c>
      <c r="MBP118" s="100" t="str">
        <f t="shared" si="415"/>
        <v/>
      </c>
      <c r="MBQ118" s="100" t="str">
        <f t="shared" si="415"/>
        <v/>
      </c>
      <c r="MBR118" s="100" t="str">
        <f t="shared" si="415"/>
        <v/>
      </c>
      <c r="MBS118" s="100" t="str">
        <f t="shared" si="415"/>
        <v/>
      </c>
      <c r="MBT118" s="100" t="str">
        <f t="shared" si="415"/>
        <v/>
      </c>
      <c r="MBU118" s="100" t="str">
        <f t="shared" si="415"/>
        <v/>
      </c>
      <c r="MBV118" s="100" t="str">
        <f t="shared" si="415"/>
        <v/>
      </c>
      <c r="MBW118" s="100" t="str">
        <f t="shared" si="415"/>
        <v/>
      </c>
      <c r="MBX118" s="100" t="str">
        <f t="shared" si="415"/>
        <v/>
      </c>
      <c r="MBY118" s="100" t="str">
        <f t="shared" si="415"/>
        <v/>
      </c>
      <c r="MBZ118" s="100" t="str">
        <f t="shared" si="415"/>
        <v/>
      </c>
      <c r="MCA118" s="100" t="str">
        <f t="shared" si="415"/>
        <v/>
      </c>
      <c r="MCB118" s="100" t="str">
        <f t="shared" si="415"/>
        <v/>
      </c>
      <c r="MCC118" s="100" t="str">
        <f t="shared" si="415"/>
        <v/>
      </c>
      <c r="MCD118" s="100" t="str">
        <f t="shared" si="415"/>
        <v/>
      </c>
      <c r="MCE118" s="100" t="str">
        <f t="shared" si="415"/>
        <v/>
      </c>
      <c r="MCF118" s="100" t="str">
        <f t="shared" si="415"/>
        <v/>
      </c>
      <c r="MCG118" s="100" t="str">
        <f t="shared" si="415"/>
        <v/>
      </c>
      <c r="MCH118" s="100" t="str">
        <f t="shared" si="415"/>
        <v/>
      </c>
      <c r="MCI118" s="100" t="str">
        <f t="shared" si="415"/>
        <v/>
      </c>
      <c r="MCJ118" s="100" t="str">
        <f t="shared" si="415"/>
        <v/>
      </c>
      <c r="MCK118" s="100" t="str">
        <f t="shared" si="415"/>
        <v/>
      </c>
      <c r="MCL118" s="100" t="str">
        <f t="shared" si="415"/>
        <v/>
      </c>
      <c r="MCM118" s="100" t="str">
        <f t="shared" si="415"/>
        <v/>
      </c>
      <c r="MCN118" s="100" t="str">
        <f t="shared" si="415"/>
        <v/>
      </c>
      <c r="MCO118" s="100" t="str">
        <f t="shared" si="415"/>
        <v/>
      </c>
      <c r="MCP118" s="100" t="str">
        <f t="shared" si="415"/>
        <v/>
      </c>
      <c r="MCQ118" s="100" t="str">
        <f t="shared" si="415"/>
        <v/>
      </c>
      <c r="MCR118" s="100" t="str">
        <f t="shared" si="415"/>
        <v/>
      </c>
      <c r="MCS118" s="100" t="str">
        <f t="shared" si="415"/>
        <v/>
      </c>
      <c r="MCT118" s="100" t="str">
        <f t="shared" si="415"/>
        <v/>
      </c>
      <c r="MCU118" s="100" t="str">
        <f t="shared" si="415"/>
        <v/>
      </c>
      <c r="MCV118" s="100" t="str">
        <f t="shared" si="415"/>
        <v/>
      </c>
      <c r="MCW118" s="100" t="str">
        <f t="shared" si="415"/>
        <v/>
      </c>
      <c r="MCX118" s="100" t="str">
        <f t="shared" si="415"/>
        <v/>
      </c>
      <c r="MCY118" s="100" t="str">
        <f t="shared" si="415"/>
        <v/>
      </c>
      <c r="MCZ118" s="100" t="str">
        <f t="shared" si="415"/>
        <v/>
      </c>
      <c r="MDA118" s="100" t="str">
        <f t="shared" si="415"/>
        <v/>
      </c>
      <c r="MDB118" s="100" t="str">
        <f t="shared" si="415"/>
        <v/>
      </c>
      <c r="MDC118" s="100" t="str">
        <f t="shared" si="415"/>
        <v/>
      </c>
      <c r="MDD118" s="100" t="str">
        <f t="shared" si="415"/>
        <v/>
      </c>
      <c r="MDE118" s="100" t="str">
        <f t="shared" si="415"/>
        <v/>
      </c>
      <c r="MDF118" s="100" t="str">
        <f t="shared" si="415"/>
        <v/>
      </c>
      <c r="MDG118" s="100" t="str">
        <f t="shared" si="415"/>
        <v/>
      </c>
      <c r="MDH118" s="100" t="str">
        <f t="shared" si="415"/>
        <v/>
      </c>
      <c r="MDI118" s="100" t="str">
        <f t="shared" ref="MDI118:MFT118" si="416">IFERROR(AVERAGE(MDI6,MDI16,MDI25,MDI34,MDI42,MDI54,MDI62,MDI70,MDI78,MDI86,MDI94,MDI102,MDI110),"")</f>
        <v/>
      </c>
      <c r="MDJ118" s="100" t="str">
        <f t="shared" si="416"/>
        <v/>
      </c>
      <c r="MDK118" s="100" t="str">
        <f t="shared" si="416"/>
        <v/>
      </c>
      <c r="MDL118" s="100" t="str">
        <f t="shared" si="416"/>
        <v/>
      </c>
      <c r="MDM118" s="100" t="str">
        <f t="shared" si="416"/>
        <v/>
      </c>
      <c r="MDN118" s="100" t="str">
        <f t="shared" si="416"/>
        <v/>
      </c>
      <c r="MDO118" s="100" t="str">
        <f t="shared" si="416"/>
        <v/>
      </c>
      <c r="MDP118" s="100" t="str">
        <f t="shared" si="416"/>
        <v/>
      </c>
      <c r="MDQ118" s="100" t="str">
        <f t="shared" si="416"/>
        <v/>
      </c>
      <c r="MDR118" s="100" t="str">
        <f t="shared" si="416"/>
        <v/>
      </c>
      <c r="MDS118" s="100" t="str">
        <f t="shared" si="416"/>
        <v/>
      </c>
      <c r="MDT118" s="100" t="str">
        <f t="shared" si="416"/>
        <v/>
      </c>
      <c r="MDU118" s="100" t="str">
        <f t="shared" si="416"/>
        <v/>
      </c>
      <c r="MDV118" s="100" t="str">
        <f t="shared" si="416"/>
        <v/>
      </c>
      <c r="MDW118" s="100" t="str">
        <f t="shared" si="416"/>
        <v/>
      </c>
      <c r="MDX118" s="100" t="str">
        <f t="shared" si="416"/>
        <v/>
      </c>
      <c r="MDY118" s="100" t="str">
        <f t="shared" si="416"/>
        <v/>
      </c>
      <c r="MDZ118" s="100" t="str">
        <f t="shared" si="416"/>
        <v/>
      </c>
      <c r="MEA118" s="100" t="str">
        <f t="shared" si="416"/>
        <v/>
      </c>
      <c r="MEB118" s="100" t="str">
        <f t="shared" si="416"/>
        <v/>
      </c>
      <c r="MEC118" s="100" t="str">
        <f t="shared" si="416"/>
        <v/>
      </c>
      <c r="MED118" s="100" t="str">
        <f t="shared" si="416"/>
        <v/>
      </c>
      <c r="MEE118" s="100" t="str">
        <f t="shared" si="416"/>
        <v/>
      </c>
      <c r="MEF118" s="100" t="str">
        <f t="shared" si="416"/>
        <v/>
      </c>
      <c r="MEG118" s="100" t="str">
        <f t="shared" si="416"/>
        <v/>
      </c>
      <c r="MEH118" s="100" t="str">
        <f t="shared" si="416"/>
        <v/>
      </c>
      <c r="MEI118" s="100" t="str">
        <f t="shared" si="416"/>
        <v/>
      </c>
      <c r="MEJ118" s="100" t="str">
        <f t="shared" si="416"/>
        <v/>
      </c>
      <c r="MEK118" s="100" t="str">
        <f t="shared" si="416"/>
        <v/>
      </c>
      <c r="MEL118" s="100" t="str">
        <f t="shared" si="416"/>
        <v/>
      </c>
      <c r="MEM118" s="100" t="str">
        <f t="shared" si="416"/>
        <v/>
      </c>
      <c r="MEN118" s="100" t="str">
        <f t="shared" si="416"/>
        <v/>
      </c>
      <c r="MEO118" s="100" t="str">
        <f t="shared" si="416"/>
        <v/>
      </c>
      <c r="MEP118" s="100" t="str">
        <f t="shared" si="416"/>
        <v/>
      </c>
      <c r="MEQ118" s="100" t="str">
        <f t="shared" si="416"/>
        <v/>
      </c>
      <c r="MER118" s="100" t="str">
        <f t="shared" si="416"/>
        <v/>
      </c>
      <c r="MES118" s="100" t="str">
        <f t="shared" si="416"/>
        <v/>
      </c>
      <c r="MET118" s="100" t="str">
        <f t="shared" si="416"/>
        <v/>
      </c>
      <c r="MEU118" s="100" t="str">
        <f t="shared" si="416"/>
        <v/>
      </c>
      <c r="MEV118" s="100" t="str">
        <f t="shared" si="416"/>
        <v/>
      </c>
      <c r="MEW118" s="100" t="str">
        <f t="shared" si="416"/>
        <v/>
      </c>
      <c r="MEX118" s="100" t="str">
        <f t="shared" si="416"/>
        <v/>
      </c>
      <c r="MEY118" s="100" t="str">
        <f t="shared" si="416"/>
        <v/>
      </c>
      <c r="MEZ118" s="100" t="str">
        <f t="shared" si="416"/>
        <v/>
      </c>
      <c r="MFA118" s="100" t="str">
        <f t="shared" si="416"/>
        <v/>
      </c>
      <c r="MFB118" s="100" t="str">
        <f t="shared" si="416"/>
        <v/>
      </c>
      <c r="MFC118" s="100" t="str">
        <f t="shared" si="416"/>
        <v/>
      </c>
      <c r="MFD118" s="100" t="str">
        <f t="shared" si="416"/>
        <v/>
      </c>
      <c r="MFE118" s="100" t="str">
        <f t="shared" si="416"/>
        <v/>
      </c>
      <c r="MFF118" s="100" t="str">
        <f t="shared" si="416"/>
        <v/>
      </c>
      <c r="MFG118" s="100" t="str">
        <f t="shared" si="416"/>
        <v/>
      </c>
      <c r="MFH118" s="100" t="str">
        <f t="shared" si="416"/>
        <v/>
      </c>
      <c r="MFI118" s="100" t="str">
        <f t="shared" si="416"/>
        <v/>
      </c>
      <c r="MFJ118" s="100" t="str">
        <f t="shared" si="416"/>
        <v/>
      </c>
      <c r="MFK118" s="100" t="str">
        <f t="shared" si="416"/>
        <v/>
      </c>
      <c r="MFL118" s="100" t="str">
        <f t="shared" si="416"/>
        <v/>
      </c>
      <c r="MFM118" s="100" t="str">
        <f t="shared" si="416"/>
        <v/>
      </c>
      <c r="MFN118" s="100" t="str">
        <f t="shared" si="416"/>
        <v/>
      </c>
      <c r="MFO118" s="100" t="str">
        <f t="shared" si="416"/>
        <v/>
      </c>
      <c r="MFP118" s="100" t="str">
        <f t="shared" si="416"/>
        <v/>
      </c>
      <c r="MFQ118" s="100" t="str">
        <f t="shared" si="416"/>
        <v/>
      </c>
      <c r="MFR118" s="100" t="str">
        <f t="shared" si="416"/>
        <v/>
      </c>
      <c r="MFS118" s="100" t="str">
        <f t="shared" si="416"/>
        <v/>
      </c>
      <c r="MFT118" s="100" t="str">
        <f t="shared" si="416"/>
        <v/>
      </c>
      <c r="MFU118" s="100" t="str">
        <f t="shared" ref="MFU118:MIF118" si="417">IFERROR(AVERAGE(MFU6,MFU16,MFU25,MFU34,MFU42,MFU54,MFU62,MFU70,MFU78,MFU86,MFU94,MFU102,MFU110),"")</f>
        <v/>
      </c>
      <c r="MFV118" s="100" t="str">
        <f t="shared" si="417"/>
        <v/>
      </c>
      <c r="MFW118" s="100" t="str">
        <f t="shared" si="417"/>
        <v/>
      </c>
      <c r="MFX118" s="100" t="str">
        <f t="shared" si="417"/>
        <v/>
      </c>
      <c r="MFY118" s="100" t="str">
        <f t="shared" si="417"/>
        <v/>
      </c>
      <c r="MFZ118" s="100" t="str">
        <f t="shared" si="417"/>
        <v/>
      </c>
      <c r="MGA118" s="100" t="str">
        <f t="shared" si="417"/>
        <v/>
      </c>
      <c r="MGB118" s="100" t="str">
        <f t="shared" si="417"/>
        <v/>
      </c>
      <c r="MGC118" s="100" t="str">
        <f t="shared" si="417"/>
        <v/>
      </c>
      <c r="MGD118" s="100" t="str">
        <f t="shared" si="417"/>
        <v/>
      </c>
      <c r="MGE118" s="100" t="str">
        <f t="shared" si="417"/>
        <v/>
      </c>
      <c r="MGF118" s="100" t="str">
        <f t="shared" si="417"/>
        <v/>
      </c>
      <c r="MGG118" s="100" t="str">
        <f t="shared" si="417"/>
        <v/>
      </c>
      <c r="MGH118" s="100" t="str">
        <f t="shared" si="417"/>
        <v/>
      </c>
      <c r="MGI118" s="100" t="str">
        <f t="shared" si="417"/>
        <v/>
      </c>
      <c r="MGJ118" s="100" t="str">
        <f t="shared" si="417"/>
        <v/>
      </c>
      <c r="MGK118" s="100" t="str">
        <f t="shared" si="417"/>
        <v/>
      </c>
      <c r="MGL118" s="100" t="str">
        <f t="shared" si="417"/>
        <v/>
      </c>
      <c r="MGM118" s="100" t="str">
        <f t="shared" si="417"/>
        <v/>
      </c>
      <c r="MGN118" s="100" t="str">
        <f t="shared" si="417"/>
        <v/>
      </c>
      <c r="MGO118" s="100" t="str">
        <f t="shared" si="417"/>
        <v/>
      </c>
      <c r="MGP118" s="100" t="str">
        <f t="shared" si="417"/>
        <v/>
      </c>
      <c r="MGQ118" s="100" t="str">
        <f t="shared" si="417"/>
        <v/>
      </c>
      <c r="MGR118" s="100" t="str">
        <f t="shared" si="417"/>
        <v/>
      </c>
      <c r="MGS118" s="100" t="str">
        <f t="shared" si="417"/>
        <v/>
      </c>
      <c r="MGT118" s="100" t="str">
        <f t="shared" si="417"/>
        <v/>
      </c>
      <c r="MGU118" s="100" t="str">
        <f t="shared" si="417"/>
        <v/>
      </c>
      <c r="MGV118" s="100" t="str">
        <f t="shared" si="417"/>
        <v/>
      </c>
      <c r="MGW118" s="100" t="str">
        <f t="shared" si="417"/>
        <v/>
      </c>
      <c r="MGX118" s="100" t="str">
        <f t="shared" si="417"/>
        <v/>
      </c>
      <c r="MGY118" s="100" t="str">
        <f t="shared" si="417"/>
        <v/>
      </c>
      <c r="MGZ118" s="100" t="str">
        <f t="shared" si="417"/>
        <v/>
      </c>
      <c r="MHA118" s="100" t="str">
        <f t="shared" si="417"/>
        <v/>
      </c>
      <c r="MHB118" s="100" t="str">
        <f t="shared" si="417"/>
        <v/>
      </c>
      <c r="MHC118" s="100" t="str">
        <f t="shared" si="417"/>
        <v/>
      </c>
      <c r="MHD118" s="100" t="str">
        <f t="shared" si="417"/>
        <v/>
      </c>
      <c r="MHE118" s="100" t="str">
        <f t="shared" si="417"/>
        <v/>
      </c>
      <c r="MHF118" s="100" t="str">
        <f t="shared" si="417"/>
        <v/>
      </c>
      <c r="MHG118" s="100" t="str">
        <f t="shared" si="417"/>
        <v/>
      </c>
      <c r="MHH118" s="100" t="str">
        <f t="shared" si="417"/>
        <v/>
      </c>
      <c r="MHI118" s="100" t="str">
        <f t="shared" si="417"/>
        <v/>
      </c>
      <c r="MHJ118" s="100" t="str">
        <f t="shared" si="417"/>
        <v/>
      </c>
      <c r="MHK118" s="100" t="str">
        <f t="shared" si="417"/>
        <v/>
      </c>
      <c r="MHL118" s="100" t="str">
        <f t="shared" si="417"/>
        <v/>
      </c>
      <c r="MHM118" s="100" t="str">
        <f t="shared" si="417"/>
        <v/>
      </c>
      <c r="MHN118" s="100" t="str">
        <f t="shared" si="417"/>
        <v/>
      </c>
      <c r="MHO118" s="100" t="str">
        <f t="shared" si="417"/>
        <v/>
      </c>
      <c r="MHP118" s="100" t="str">
        <f t="shared" si="417"/>
        <v/>
      </c>
      <c r="MHQ118" s="100" t="str">
        <f t="shared" si="417"/>
        <v/>
      </c>
      <c r="MHR118" s="100" t="str">
        <f t="shared" si="417"/>
        <v/>
      </c>
      <c r="MHS118" s="100" t="str">
        <f t="shared" si="417"/>
        <v/>
      </c>
      <c r="MHT118" s="100" t="str">
        <f t="shared" si="417"/>
        <v/>
      </c>
      <c r="MHU118" s="100" t="str">
        <f t="shared" si="417"/>
        <v/>
      </c>
      <c r="MHV118" s="100" t="str">
        <f t="shared" si="417"/>
        <v/>
      </c>
      <c r="MHW118" s="100" t="str">
        <f t="shared" si="417"/>
        <v/>
      </c>
      <c r="MHX118" s="100" t="str">
        <f t="shared" si="417"/>
        <v/>
      </c>
      <c r="MHY118" s="100" t="str">
        <f t="shared" si="417"/>
        <v/>
      </c>
      <c r="MHZ118" s="100" t="str">
        <f t="shared" si="417"/>
        <v/>
      </c>
      <c r="MIA118" s="100" t="str">
        <f t="shared" si="417"/>
        <v/>
      </c>
      <c r="MIB118" s="100" t="str">
        <f t="shared" si="417"/>
        <v/>
      </c>
      <c r="MIC118" s="100" t="str">
        <f t="shared" si="417"/>
        <v/>
      </c>
      <c r="MID118" s="100" t="str">
        <f t="shared" si="417"/>
        <v/>
      </c>
      <c r="MIE118" s="100" t="str">
        <f t="shared" si="417"/>
        <v/>
      </c>
      <c r="MIF118" s="100" t="str">
        <f t="shared" si="417"/>
        <v/>
      </c>
      <c r="MIG118" s="100" t="str">
        <f t="shared" ref="MIG118:MKR118" si="418">IFERROR(AVERAGE(MIG6,MIG16,MIG25,MIG34,MIG42,MIG54,MIG62,MIG70,MIG78,MIG86,MIG94,MIG102,MIG110),"")</f>
        <v/>
      </c>
      <c r="MIH118" s="100" t="str">
        <f t="shared" si="418"/>
        <v/>
      </c>
      <c r="MII118" s="100" t="str">
        <f t="shared" si="418"/>
        <v/>
      </c>
      <c r="MIJ118" s="100" t="str">
        <f t="shared" si="418"/>
        <v/>
      </c>
      <c r="MIK118" s="100" t="str">
        <f t="shared" si="418"/>
        <v/>
      </c>
      <c r="MIL118" s="100" t="str">
        <f t="shared" si="418"/>
        <v/>
      </c>
      <c r="MIM118" s="100" t="str">
        <f t="shared" si="418"/>
        <v/>
      </c>
      <c r="MIN118" s="100" t="str">
        <f t="shared" si="418"/>
        <v/>
      </c>
      <c r="MIO118" s="100" t="str">
        <f t="shared" si="418"/>
        <v/>
      </c>
      <c r="MIP118" s="100" t="str">
        <f t="shared" si="418"/>
        <v/>
      </c>
      <c r="MIQ118" s="100" t="str">
        <f t="shared" si="418"/>
        <v/>
      </c>
      <c r="MIR118" s="100" t="str">
        <f t="shared" si="418"/>
        <v/>
      </c>
      <c r="MIS118" s="100" t="str">
        <f t="shared" si="418"/>
        <v/>
      </c>
      <c r="MIT118" s="100" t="str">
        <f t="shared" si="418"/>
        <v/>
      </c>
      <c r="MIU118" s="100" t="str">
        <f t="shared" si="418"/>
        <v/>
      </c>
      <c r="MIV118" s="100" t="str">
        <f t="shared" si="418"/>
        <v/>
      </c>
      <c r="MIW118" s="100" t="str">
        <f t="shared" si="418"/>
        <v/>
      </c>
      <c r="MIX118" s="100" t="str">
        <f t="shared" si="418"/>
        <v/>
      </c>
      <c r="MIY118" s="100" t="str">
        <f t="shared" si="418"/>
        <v/>
      </c>
      <c r="MIZ118" s="100" t="str">
        <f t="shared" si="418"/>
        <v/>
      </c>
      <c r="MJA118" s="100" t="str">
        <f t="shared" si="418"/>
        <v/>
      </c>
      <c r="MJB118" s="100" t="str">
        <f t="shared" si="418"/>
        <v/>
      </c>
      <c r="MJC118" s="100" t="str">
        <f t="shared" si="418"/>
        <v/>
      </c>
      <c r="MJD118" s="100" t="str">
        <f t="shared" si="418"/>
        <v/>
      </c>
      <c r="MJE118" s="100" t="str">
        <f t="shared" si="418"/>
        <v/>
      </c>
      <c r="MJF118" s="100" t="str">
        <f t="shared" si="418"/>
        <v/>
      </c>
      <c r="MJG118" s="100" t="str">
        <f t="shared" si="418"/>
        <v/>
      </c>
      <c r="MJH118" s="100" t="str">
        <f t="shared" si="418"/>
        <v/>
      </c>
      <c r="MJI118" s="100" t="str">
        <f t="shared" si="418"/>
        <v/>
      </c>
      <c r="MJJ118" s="100" t="str">
        <f t="shared" si="418"/>
        <v/>
      </c>
      <c r="MJK118" s="100" t="str">
        <f t="shared" si="418"/>
        <v/>
      </c>
      <c r="MJL118" s="100" t="str">
        <f t="shared" si="418"/>
        <v/>
      </c>
      <c r="MJM118" s="100" t="str">
        <f t="shared" si="418"/>
        <v/>
      </c>
      <c r="MJN118" s="100" t="str">
        <f t="shared" si="418"/>
        <v/>
      </c>
      <c r="MJO118" s="100" t="str">
        <f t="shared" si="418"/>
        <v/>
      </c>
      <c r="MJP118" s="100" t="str">
        <f t="shared" si="418"/>
        <v/>
      </c>
      <c r="MJQ118" s="100" t="str">
        <f t="shared" si="418"/>
        <v/>
      </c>
      <c r="MJR118" s="100" t="str">
        <f t="shared" si="418"/>
        <v/>
      </c>
      <c r="MJS118" s="100" t="str">
        <f t="shared" si="418"/>
        <v/>
      </c>
      <c r="MJT118" s="100" t="str">
        <f t="shared" si="418"/>
        <v/>
      </c>
      <c r="MJU118" s="100" t="str">
        <f t="shared" si="418"/>
        <v/>
      </c>
      <c r="MJV118" s="100" t="str">
        <f t="shared" si="418"/>
        <v/>
      </c>
      <c r="MJW118" s="100" t="str">
        <f t="shared" si="418"/>
        <v/>
      </c>
      <c r="MJX118" s="100" t="str">
        <f t="shared" si="418"/>
        <v/>
      </c>
      <c r="MJY118" s="100" t="str">
        <f t="shared" si="418"/>
        <v/>
      </c>
      <c r="MJZ118" s="100" t="str">
        <f t="shared" si="418"/>
        <v/>
      </c>
      <c r="MKA118" s="100" t="str">
        <f t="shared" si="418"/>
        <v/>
      </c>
      <c r="MKB118" s="100" t="str">
        <f t="shared" si="418"/>
        <v/>
      </c>
      <c r="MKC118" s="100" t="str">
        <f t="shared" si="418"/>
        <v/>
      </c>
      <c r="MKD118" s="100" t="str">
        <f t="shared" si="418"/>
        <v/>
      </c>
      <c r="MKE118" s="100" t="str">
        <f t="shared" si="418"/>
        <v/>
      </c>
      <c r="MKF118" s="100" t="str">
        <f t="shared" si="418"/>
        <v/>
      </c>
      <c r="MKG118" s="100" t="str">
        <f t="shared" si="418"/>
        <v/>
      </c>
      <c r="MKH118" s="100" t="str">
        <f t="shared" si="418"/>
        <v/>
      </c>
      <c r="MKI118" s="100" t="str">
        <f t="shared" si="418"/>
        <v/>
      </c>
      <c r="MKJ118" s="100" t="str">
        <f t="shared" si="418"/>
        <v/>
      </c>
      <c r="MKK118" s="100" t="str">
        <f t="shared" si="418"/>
        <v/>
      </c>
      <c r="MKL118" s="100" t="str">
        <f t="shared" si="418"/>
        <v/>
      </c>
      <c r="MKM118" s="100" t="str">
        <f t="shared" si="418"/>
        <v/>
      </c>
      <c r="MKN118" s="100" t="str">
        <f t="shared" si="418"/>
        <v/>
      </c>
      <c r="MKO118" s="100" t="str">
        <f t="shared" si="418"/>
        <v/>
      </c>
      <c r="MKP118" s="100" t="str">
        <f t="shared" si="418"/>
        <v/>
      </c>
      <c r="MKQ118" s="100" t="str">
        <f t="shared" si="418"/>
        <v/>
      </c>
      <c r="MKR118" s="100" t="str">
        <f t="shared" si="418"/>
        <v/>
      </c>
      <c r="MKS118" s="100" t="str">
        <f t="shared" ref="MKS118:MND118" si="419">IFERROR(AVERAGE(MKS6,MKS16,MKS25,MKS34,MKS42,MKS54,MKS62,MKS70,MKS78,MKS86,MKS94,MKS102,MKS110),"")</f>
        <v/>
      </c>
      <c r="MKT118" s="100" t="str">
        <f t="shared" si="419"/>
        <v/>
      </c>
      <c r="MKU118" s="100" t="str">
        <f t="shared" si="419"/>
        <v/>
      </c>
      <c r="MKV118" s="100" t="str">
        <f t="shared" si="419"/>
        <v/>
      </c>
      <c r="MKW118" s="100" t="str">
        <f t="shared" si="419"/>
        <v/>
      </c>
      <c r="MKX118" s="100" t="str">
        <f t="shared" si="419"/>
        <v/>
      </c>
      <c r="MKY118" s="100" t="str">
        <f t="shared" si="419"/>
        <v/>
      </c>
      <c r="MKZ118" s="100" t="str">
        <f t="shared" si="419"/>
        <v/>
      </c>
      <c r="MLA118" s="100" t="str">
        <f t="shared" si="419"/>
        <v/>
      </c>
      <c r="MLB118" s="100" t="str">
        <f t="shared" si="419"/>
        <v/>
      </c>
      <c r="MLC118" s="100" t="str">
        <f t="shared" si="419"/>
        <v/>
      </c>
      <c r="MLD118" s="100" t="str">
        <f t="shared" si="419"/>
        <v/>
      </c>
      <c r="MLE118" s="100" t="str">
        <f t="shared" si="419"/>
        <v/>
      </c>
      <c r="MLF118" s="100" t="str">
        <f t="shared" si="419"/>
        <v/>
      </c>
      <c r="MLG118" s="100" t="str">
        <f t="shared" si="419"/>
        <v/>
      </c>
      <c r="MLH118" s="100" t="str">
        <f t="shared" si="419"/>
        <v/>
      </c>
      <c r="MLI118" s="100" t="str">
        <f t="shared" si="419"/>
        <v/>
      </c>
      <c r="MLJ118" s="100" t="str">
        <f t="shared" si="419"/>
        <v/>
      </c>
      <c r="MLK118" s="100" t="str">
        <f t="shared" si="419"/>
        <v/>
      </c>
      <c r="MLL118" s="100" t="str">
        <f t="shared" si="419"/>
        <v/>
      </c>
      <c r="MLM118" s="100" t="str">
        <f t="shared" si="419"/>
        <v/>
      </c>
      <c r="MLN118" s="100" t="str">
        <f t="shared" si="419"/>
        <v/>
      </c>
      <c r="MLO118" s="100" t="str">
        <f t="shared" si="419"/>
        <v/>
      </c>
      <c r="MLP118" s="100" t="str">
        <f t="shared" si="419"/>
        <v/>
      </c>
      <c r="MLQ118" s="100" t="str">
        <f t="shared" si="419"/>
        <v/>
      </c>
      <c r="MLR118" s="100" t="str">
        <f t="shared" si="419"/>
        <v/>
      </c>
      <c r="MLS118" s="100" t="str">
        <f t="shared" si="419"/>
        <v/>
      </c>
      <c r="MLT118" s="100" t="str">
        <f t="shared" si="419"/>
        <v/>
      </c>
      <c r="MLU118" s="100" t="str">
        <f t="shared" si="419"/>
        <v/>
      </c>
      <c r="MLV118" s="100" t="str">
        <f t="shared" si="419"/>
        <v/>
      </c>
      <c r="MLW118" s="100" t="str">
        <f t="shared" si="419"/>
        <v/>
      </c>
      <c r="MLX118" s="100" t="str">
        <f t="shared" si="419"/>
        <v/>
      </c>
      <c r="MLY118" s="100" t="str">
        <f t="shared" si="419"/>
        <v/>
      </c>
      <c r="MLZ118" s="100" t="str">
        <f t="shared" si="419"/>
        <v/>
      </c>
      <c r="MMA118" s="100" t="str">
        <f t="shared" si="419"/>
        <v/>
      </c>
      <c r="MMB118" s="100" t="str">
        <f t="shared" si="419"/>
        <v/>
      </c>
      <c r="MMC118" s="100" t="str">
        <f t="shared" si="419"/>
        <v/>
      </c>
      <c r="MMD118" s="100" t="str">
        <f t="shared" si="419"/>
        <v/>
      </c>
      <c r="MME118" s="100" t="str">
        <f t="shared" si="419"/>
        <v/>
      </c>
      <c r="MMF118" s="100" t="str">
        <f t="shared" si="419"/>
        <v/>
      </c>
      <c r="MMG118" s="100" t="str">
        <f t="shared" si="419"/>
        <v/>
      </c>
      <c r="MMH118" s="100" t="str">
        <f t="shared" si="419"/>
        <v/>
      </c>
      <c r="MMI118" s="100" t="str">
        <f t="shared" si="419"/>
        <v/>
      </c>
      <c r="MMJ118" s="100" t="str">
        <f t="shared" si="419"/>
        <v/>
      </c>
      <c r="MMK118" s="100" t="str">
        <f t="shared" si="419"/>
        <v/>
      </c>
      <c r="MML118" s="100" t="str">
        <f t="shared" si="419"/>
        <v/>
      </c>
      <c r="MMM118" s="100" t="str">
        <f t="shared" si="419"/>
        <v/>
      </c>
      <c r="MMN118" s="100" t="str">
        <f t="shared" si="419"/>
        <v/>
      </c>
      <c r="MMO118" s="100" t="str">
        <f t="shared" si="419"/>
        <v/>
      </c>
      <c r="MMP118" s="100" t="str">
        <f t="shared" si="419"/>
        <v/>
      </c>
      <c r="MMQ118" s="100" t="str">
        <f t="shared" si="419"/>
        <v/>
      </c>
      <c r="MMR118" s="100" t="str">
        <f t="shared" si="419"/>
        <v/>
      </c>
      <c r="MMS118" s="100" t="str">
        <f t="shared" si="419"/>
        <v/>
      </c>
      <c r="MMT118" s="100" t="str">
        <f t="shared" si="419"/>
        <v/>
      </c>
      <c r="MMU118" s="100" t="str">
        <f t="shared" si="419"/>
        <v/>
      </c>
      <c r="MMV118" s="100" t="str">
        <f t="shared" si="419"/>
        <v/>
      </c>
      <c r="MMW118" s="100" t="str">
        <f t="shared" si="419"/>
        <v/>
      </c>
      <c r="MMX118" s="100" t="str">
        <f t="shared" si="419"/>
        <v/>
      </c>
      <c r="MMY118" s="100" t="str">
        <f t="shared" si="419"/>
        <v/>
      </c>
      <c r="MMZ118" s="100" t="str">
        <f t="shared" si="419"/>
        <v/>
      </c>
      <c r="MNA118" s="100" t="str">
        <f t="shared" si="419"/>
        <v/>
      </c>
      <c r="MNB118" s="100" t="str">
        <f t="shared" si="419"/>
        <v/>
      </c>
      <c r="MNC118" s="100" t="str">
        <f t="shared" si="419"/>
        <v/>
      </c>
      <c r="MND118" s="100" t="str">
        <f t="shared" si="419"/>
        <v/>
      </c>
      <c r="MNE118" s="100" t="str">
        <f t="shared" ref="MNE118:MPP118" si="420">IFERROR(AVERAGE(MNE6,MNE16,MNE25,MNE34,MNE42,MNE54,MNE62,MNE70,MNE78,MNE86,MNE94,MNE102,MNE110),"")</f>
        <v/>
      </c>
      <c r="MNF118" s="100" t="str">
        <f t="shared" si="420"/>
        <v/>
      </c>
      <c r="MNG118" s="100" t="str">
        <f t="shared" si="420"/>
        <v/>
      </c>
      <c r="MNH118" s="100" t="str">
        <f t="shared" si="420"/>
        <v/>
      </c>
      <c r="MNI118" s="100" t="str">
        <f t="shared" si="420"/>
        <v/>
      </c>
      <c r="MNJ118" s="100" t="str">
        <f t="shared" si="420"/>
        <v/>
      </c>
      <c r="MNK118" s="100" t="str">
        <f t="shared" si="420"/>
        <v/>
      </c>
      <c r="MNL118" s="100" t="str">
        <f t="shared" si="420"/>
        <v/>
      </c>
      <c r="MNM118" s="100" t="str">
        <f t="shared" si="420"/>
        <v/>
      </c>
      <c r="MNN118" s="100" t="str">
        <f t="shared" si="420"/>
        <v/>
      </c>
      <c r="MNO118" s="100" t="str">
        <f t="shared" si="420"/>
        <v/>
      </c>
      <c r="MNP118" s="100" t="str">
        <f t="shared" si="420"/>
        <v/>
      </c>
      <c r="MNQ118" s="100" t="str">
        <f t="shared" si="420"/>
        <v/>
      </c>
      <c r="MNR118" s="100" t="str">
        <f t="shared" si="420"/>
        <v/>
      </c>
      <c r="MNS118" s="100" t="str">
        <f t="shared" si="420"/>
        <v/>
      </c>
      <c r="MNT118" s="100" t="str">
        <f t="shared" si="420"/>
        <v/>
      </c>
      <c r="MNU118" s="100" t="str">
        <f t="shared" si="420"/>
        <v/>
      </c>
      <c r="MNV118" s="100" t="str">
        <f t="shared" si="420"/>
        <v/>
      </c>
      <c r="MNW118" s="100" t="str">
        <f t="shared" si="420"/>
        <v/>
      </c>
      <c r="MNX118" s="100" t="str">
        <f t="shared" si="420"/>
        <v/>
      </c>
      <c r="MNY118" s="100" t="str">
        <f t="shared" si="420"/>
        <v/>
      </c>
      <c r="MNZ118" s="100" t="str">
        <f t="shared" si="420"/>
        <v/>
      </c>
      <c r="MOA118" s="100" t="str">
        <f t="shared" si="420"/>
        <v/>
      </c>
      <c r="MOB118" s="100" t="str">
        <f t="shared" si="420"/>
        <v/>
      </c>
      <c r="MOC118" s="100" t="str">
        <f t="shared" si="420"/>
        <v/>
      </c>
      <c r="MOD118" s="100" t="str">
        <f t="shared" si="420"/>
        <v/>
      </c>
      <c r="MOE118" s="100" t="str">
        <f t="shared" si="420"/>
        <v/>
      </c>
      <c r="MOF118" s="100" t="str">
        <f t="shared" si="420"/>
        <v/>
      </c>
      <c r="MOG118" s="100" t="str">
        <f t="shared" si="420"/>
        <v/>
      </c>
      <c r="MOH118" s="100" t="str">
        <f t="shared" si="420"/>
        <v/>
      </c>
      <c r="MOI118" s="100" t="str">
        <f t="shared" si="420"/>
        <v/>
      </c>
      <c r="MOJ118" s="100" t="str">
        <f t="shared" si="420"/>
        <v/>
      </c>
      <c r="MOK118" s="100" t="str">
        <f t="shared" si="420"/>
        <v/>
      </c>
      <c r="MOL118" s="100" t="str">
        <f t="shared" si="420"/>
        <v/>
      </c>
      <c r="MOM118" s="100" t="str">
        <f t="shared" si="420"/>
        <v/>
      </c>
      <c r="MON118" s="100" t="str">
        <f t="shared" si="420"/>
        <v/>
      </c>
      <c r="MOO118" s="100" t="str">
        <f t="shared" si="420"/>
        <v/>
      </c>
      <c r="MOP118" s="100" t="str">
        <f t="shared" si="420"/>
        <v/>
      </c>
      <c r="MOQ118" s="100" t="str">
        <f t="shared" si="420"/>
        <v/>
      </c>
      <c r="MOR118" s="100" t="str">
        <f t="shared" si="420"/>
        <v/>
      </c>
      <c r="MOS118" s="100" t="str">
        <f t="shared" si="420"/>
        <v/>
      </c>
      <c r="MOT118" s="100" t="str">
        <f t="shared" si="420"/>
        <v/>
      </c>
      <c r="MOU118" s="100" t="str">
        <f t="shared" si="420"/>
        <v/>
      </c>
      <c r="MOV118" s="100" t="str">
        <f t="shared" si="420"/>
        <v/>
      </c>
      <c r="MOW118" s="100" t="str">
        <f t="shared" si="420"/>
        <v/>
      </c>
      <c r="MOX118" s="100" t="str">
        <f t="shared" si="420"/>
        <v/>
      </c>
      <c r="MOY118" s="100" t="str">
        <f t="shared" si="420"/>
        <v/>
      </c>
      <c r="MOZ118" s="100" t="str">
        <f t="shared" si="420"/>
        <v/>
      </c>
      <c r="MPA118" s="100" t="str">
        <f t="shared" si="420"/>
        <v/>
      </c>
      <c r="MPB118" s="100" t="str">
        <f t="shared" si="420"/>
        <v/>
      </c>
      <c r="MPC118" s="100" t="str">
        <f t="shared" si="420"/>
        <v/>
      </c>
      <c r="MPD118" s="100" t="str">
        <f t="shared" si="420"/>
        <v/>
      </c>
      <c r="MPE118" s="100" t="str">
        <f t="shared" si="420"/>
        <v/>
      </c>
      <c r="MPF118" s="100" t="str">
        <f t="shared" si="420"/>
        <v/>
      </c>
      <c r="MPG118" s="100" t="str">
        <f t="shared" si="420"/>
        <v/>
      </c>
      <c r="MPH118" s="100" t="str">
        <f t="shared" si="420"/>
        <v/>
      </c>
      <c r="MPI118" s="100" t="str">
        <f t="shared" si="420"/>
        <v/>
      </c>
      <c r="MPJ118" s="100" t="str">
        <f t="shared" si="420"/>
        <v/>
      </c>
      <c r="MPK118" s="100" t="str">
        <f t="shared" si="420"/>
        <v/>
      </c>
      <c r="MPL118" s="100" t="str">
        <f t="shared" si="420"/>
        <v/>
      </c>
      <c r="MPM118" s="100" t="str">
        <f t="shared" si="420"/>
        <v/>
      </c>
      <c r="MPN118" s="100" t="str">
        <f t="shared" si="420"/>
        <v/>
      </c>
      <c r="MPO118" s="100" t="str">
        <f t="shared" si="420"/>
        <v/>
      </c>
      <c r="MPP118" s="100" t="str">
        <f t="shared" si="420"/>
        <v/>
      </c>
      <c r="MPQ118" s="100" t="str">
        <f t="shared" ref="MPQ118:MSB118" si="421">IFERROR(AVERAGE(MPQ6,MPQ16,MPQ25,MPQ34,MPQ42,MPQ54,MPQ62,MPQ70,MPQ78,MPQ86,MPQ94,MPQ102,MPQ110),"")</f>
        <v/>
      </c>
      <c r="MPR118" s="100" t="str">
        <f t="shared" si="421"/>
        <v/>
      </c>
      <c r="MPS118" s="100" t="str">
        <f t="shared" si="421"/>
        <v/>
      </c>
      <c r="MPT118" s="100" t="str">
        <f t="shared" si="421"/>
        <v/>
      </c>
      <c r="MPU118" s="100" t="str">
        <f t="shared" si="421"/>
        <v/>
      </c>
      <c r="MPV118" s="100" t="str">
        <f t="shared" si="421"/>
        <v/>
      </c>
      <c r="MPW118" s="100" t="str">
        <f t="shared" si="421"/>
        <v/>
      </c>
      <c r="MPX118" s="100" t="str">
        <f t="shared" si="421"/>
        <v/>
      </c>
      <c r="MPY118" s="100" t="str">
        <f t="shared" si="421"/>
        <v/>
      </c>
      <c r="MPZ118" s="100" t="str">
        <f t="shared" si="421"/>
        <v/>
      </c>
      <c r="MQA118" s="100" t="str">
        <f t="shared" si="421"/>
        <v/>
      </c>
      <c r="MQB118" s="100" t="str">
        <f t="shared" si="421"/>
        <v/>
      </c>
      <c r="MQC118" s="100" t="str">
        <f t="shared" si="421"/>
        <v/>
      </c>
      <c r="MQD118" s="100" t="str">
        <f t="shared" si="421"/>
        <v/>
      </c>
      <c r="MQE118" s="100" t="str">
        <f t="shared" si="421"/>
        <v/>
      </c>
      <c r="MQF118" s="100" t="str">
        <f t="shared" si="421"/>
        <v/>
      </c>
      <c r="MQG118" s="100" t="str">
        <f t="shared" si="421"/>
        <v/>
      </c>
      <c r="MQH118" s="100" t="str">
        <f t="shared" si="421"/>
        <v/>
      </c>
      <c r="MQI118" s="100" t="str">
        <f t="shared" si="421"/>
        <v/>
      </c>
      <c r="MQJ118" s="100" t="str">
        <f t="shared" si="421"/>
        <v/>
      </c>
      <c r="MQK118" s="100" t="str">
        <f t="shared" si="421"/>
        <v/>
      </c>
      <c r="MQL118" s="100" t="str">
        <f t="shared" si="421"/>
        <v/>
      </c>
      <c r="MQM118" s="100" t="str">
        <f t="shared" si="421"/>
        <v/>
      </c>
      <c r="MQN118" s="100" t="str">
        <f t="shared" si="421"/>
        <v/>
      </c>
      <c r="MQO118" s="100" t="str">
        <f t="shared" si="421"/>
        <v/>
      </c>
      <c r="MQP118" s="100" t="str">
        <f t="shared" si="421"/>
        <v/>
      </c>
      <c r="MQQ118" s="100" t="str">
        <f t="shared" si="421"/>
        <v/>
      </c>
      <c r="MQR118" s="100" t="str">
        <f t="shared" si="421"/>
        <v/>
      </c>
      <c r="MQS118" s="100" t="str">
        <f t="shared" si="421"/>
        <v/>
      </c>
      <c r="MQT118" s="100" t="str">
        <f t="shared" si="421"/>
        <v/>
      </c>
      <c r="MQU118" s="100" t="str">
        <f t="shared" si="421"/>
        <v/>
      </c>
      <c r="MQV118" s="100" t="str">
        <f t="shared" si="421"/>
        <v/>
      </c>
      <c r="MQW118" s="100" t="str">
        <f t="shared" si="421"/>
        <v/>
      </c>
      <c r="MQX118" s="100" t="str">
        <f t="shared" si="421"/>
        <v/>
      </c>
      <c r="MQY118" s="100" t="str">
        <f t="shared" si="421"/>
        <v/>
      </c>
      <c r="MQZ118" s="100" t="str">
        <f t="shared" si="421"/>
        <v/>
      </c>
      <c r="MRA118" s="100" t="str">
        <f t="shared" si="421"/>
        <v/>
      </c>
      <c r="MRB118" s="100" t="str">
        <f t="shared" si="421"/>
        <v/>
      </c>
      <c r="MRC118" s="100" t="str">
        <f t="shared" si="421"/>
        <v/>
      </c>
      <c r="MRD118" s="100" t="str">
        <f t="shared" si="421"/>
        <v/>
      </c>
      <c r="MRE118" s="100" t="str">
        <f t="shared" si="421"/>
        <v/>
      </c>
      <c r="MRF118" s="100" t="str">
        <f t="shared" si="421"/>
        <v/>
      </c>
      <c r="MRG118" s="100" t="str">
        <f t="shared" si="421"/>
        <v/>
      </c>
      <c r="MRH118" s="100" t="str">
        <f t="shared" si="421"/>
        <v/>
      </c>
      <c r="MRI118" s="100" t="str">
        <f t="shared" si="421"/>
        <v/>
      </c>
      <c r="MRJ118" s="100" t="str">
        <f t="shared" si="421"/>
        <v/>
      </c>
      <c r="MRK118" s="100" t="str">
        <f t="shared" si="421"/>
        <v/>
      </c>
      <c r="MRL118" s="100" t="str">
        <f t="shared" si="421"/>
        <v/>
      </c>
      <c r="MRM118" s="100" t="str">
        <f t="shared" si="421"/>
        <v/>
      </c>
      <c r="MRN118" s="100" t="str">
        <f t="shared" si="421"/>
        <v/>
      </c>
      <c r="MRO118" s="100" t="str">
        <f t="shared" si="421"/>
        <v/>
      </c>
      <c r="MRP118" s="100" t="str">
        <f t="shared" si="421"/>
        <v/>
      </c>
      <c r="MRQ118" s="100" t="str">
        <f t="shared" si="421"/>
        <v/>
      </c>
      <c r="MRR118" s="100" t="str">
        <f t="shared" si="421"/>
        <v/>
      </c>
      <c r="MRS118" s="100" t="str">
        <f t="shared" si="421"/>
        <v/>
      </c>
      <c r="MRT118" s="100" t="str">
        <f t="shared" si="421"/>
        <v/>
      </c>
      <c r="MRU118" s="100" t="str">
        <f t="shared" si="421"/>
        <v/>
      </c>
      <c r="MRV118" s="100" t="str">
        <f t="shared" si="421"/>
        <v/>
      </c>
      <c r="MRW118" s="100" t="str">
        <f t="shared" si="421"/>
        <v/>
      </c>
      <c r="MRX118" s="100" t="str">
        <f t="shared" si="421"/>
        <v/>
      </c>
      <c r="MRY118" s="100" t="str">
        <f t="shared" si="421"/>
        <v/>
      </c>
      <c r="MRZ118" s="100" t="str">
        <f t="shared" si="421"/>
        <v/>
      </c>
      <c r="MSA118" s="100" t="str">
        <f t="shared" si="421"/>
        <v/>
      </c>
      <c r="MSB118" s="100" t="str">
        <f t="shared" si="421"/>
        <v/>
      </c>
      <c r="MSC118" s="100" t="str">
        <f t="shared" ref="MSC118:MUN118" si="422">IFERROR(AVERAGE(MSC6,MSC16,MSC25,MSC34,MSC42,MSC54,MSC62,MSC70,MSC78,MSC86,MSC94,MSC102,MSC110),"")</f>
        <v/>
      </c>
      <c r="MSD118" s="100" t="str">
        <f t="shared" si="422"/>
        <v/>
      </c>
      <c r="MSE118" s="100" t="str">
        <f t="shared" si="422"/>
        <v/>
      </c>
      <c r="MSF118" s="100" t="str">
        <f t="shared" si="422"/>
        <v/>
      </c>
      <c r="MSG118" s="100" t="str">
        <f t="shared" si="422"/>
        <v/>
      </c>
      <c r="MSH118" s="100" t="str">
        <f t="shared" si="422"/>
        <v/>
      </c>
      <c r="MSI118" s="100" t="str">
        <f t="shared" si="422"/>
        <v/>
      </c>
      <c r="MSJ118" s="100" t="str">
        <f t="shared" si="422"/>
        <v/>
      </c>
      <c r="MSK118" s="100" t="str">
        <f t="shared" si="422"/>
        <v/>
      </c>
      <c r="MSL118" s="100" t="str">
        <f t="shared" si="422"/>
        <v/>
      </c>
      <c r="MSM118" s="100" t="str">
        <f t="shared" si="422"/>
        <v/>
      </c>
      <c r="MSN118" s="100" t="str">
        <f t="shared" si="422"/>
        <v/>
      </c>
      <c r="MSO118" s="100" t="str">
        <f t="shared" si="422"/>
        <v/>
      </c>
      <c r="MSP118" s="100" t="str">
        <f t="shared" si="422"/>
        <v/>
      </c>
      <c r="MSQ118" s="100" t="str">
        <f t="shared" si="422"/>
        <v/>
      </c>
      <c r="MSR118" s="100" t="str">
        <f t="shared" si="422"/>
        <v/>
      </c>
      <c r="MSS118" s="100" t="str">
        <f t="shared" si="422"/>
        <v/>
      </c>
      <c r="MST118" s="100" t="str">
        <f t="shared" si="422"/>
        <v/>
      </c>
      <c r="MSU118" s="100" t="str">
        <f t="shared" si="422"/>
        <v/>
      </c>
      <c r="MSV118" s="100" t="str">
        <f t="shared" si="422"/>
        <v/>
      </c>
      <c r="MSW118" s="100" t="str">
        <f t="shared" si="422"/>
        <v/>
      </c>
      <c r="MSX118" s="100" t="str">
        <f t="shared" si="422"/>
        <v/>
      </c>
      <c r="MSY118" s="100" t="str">
        <f t="shared" si="422"/>
        <v/>
      </c>
      <c r="MSZ118" s="100" t="str">
        <f t="shared" si="422"/>
        <v/>
      </c>
      <c r="MTA118" s="100" t="str">
        <f t="shared" si="422"/>
        <v/>
      </c>
      <c r="MTB118" s="100" t="str">
        <f t="shared" si="422"/>
        <v/>
      </c>
      <c r="MTC118" s="100" t="str">
        <f t="shared" si="422"/>
        <v/>
      </c>
      <c r="MTD118" s="100" t="str">
        <f t="shared" si="422"/>
        <v/>
      </c>
      <c r="MTE118" s="100" t="str">
        <f t="shared" si="422"/>
        <v/>
      </c>
      <c r="MTF118" s="100" t="str">
        <f t="shared" si="422"/>
        <v/>
      </c>
      <c r="MTG118" s="100" t="str">
        <f t="shared" si="422"/>
        <v/>
      </c>
      <c r="MTH118" s="100" t="str">
        <f t="shared" si="422"/>
        <v/>
      </c>
      <c r="MTI118" s="100" t="str">
        <f t="shared" si="422"/>
        <v/>
      </c>
      <c r="MTJ118" s="100" t="str">
        <f t="shared" si="422"/>
        <v/>
      </c>
      <c r="MTK118" s="100" t="str">
        <f t="shared" si="422"/>
        <v/>
      </c>
      <c r="MTL118" s="100" t="str">
        <f t="shared" si="422"/>
        <v/>
      </c>
      <c r="MTM118" s="100" t="str">
        <f t="shared" si="422"/>
        <v/>
      </c>
      <c r="MTN118" s="100" t="str">
        <f t="shared" si="422"/>
        <v/>
      </c>
      <c r="MTO118" s="100" t="str">
        <f t="shared" si="422"/>
        <v/>
      </c>
      <c r="MTP118" s="100" t="str">
        <f t="shared" si="422"/>
        <v/>
      </c>
      <c r="MTQ118" s="100" t="str">
        <f t="shared" si="422"/>
        <v/>
      </c>
      <c r="MTR118" s="100" t="str">
        <f t="shared" si="422"/>
        <v/>
      </c>
      <c r="MTS118" s="100" t="str">
        <f t="shared" si="422"/>
        <v/>
      </c>
      <c r="MTT118" s="100" t="str">
        <f t="shared" si="422"/>
        <v/>
      </c>
      <c r="MTU118" s="100" t="str">
        <f t="shared" si="422"/>
        <v/>
      </c>
      <c r="MTV118" s="100" t="str">
        <f t="shared" si="422"/>
        <v/>
      </c>
      <c r="MTW118" s="100" t="str">
        <f t="shared" si="422"/>
        <v/>
      </c>
      <c r="MTX118" s="100" t="str">
        <f t="shared" si="422"/>
        <v/>
      </c>
      <c r="MTY118" s="100" t="str">
        <f t="shared" si="422"/>
        <v/>
      </c>
      <c r="MTZ118" s="100" t="str">
        <f t="shared" si="422"/>
        <v/>
      </c>
      <c r="MUA118" s="100" t="str">
        <f t="shared" si="422"/>
        <v/>
      </c>
      <c r="MUB118" s="100" t="str">
        <f t="shared" si="422"/>
        <v/>
      </c>
      <c r="MUC118" s="100" t="str">
        <f t="shared" si="422"/>
        <v/>
      </c>
      <c r="MUD118" s="100" t="str">
        <f t="shared" si="422"/>
        <v/>
      </c>
      <c r="MUE118" s="100" t="str">
        <f t="shared" si="422"/>
        <v/>
      </c>
      <c r="MUF118" s="100" t="str">
        <f t="shared" si="422"/>
        <v/>
      </c>
      <c r="MUG118" s="100" t="str">
        <f t="shared" si="422"/>
        <v/>
      </c>
      <c r="MUH118" s="100" t="str">
        <f t="shared" si="422"/>
        <v/>
      </c>
      <c r="MUI118" s="100" t="str">
        <f t="shared" si="422"/>
        <v/>
      </c>
      <c r="MUJ118" s="100" t="str">
        <f t="shared" si="422"/>
        <v/>
      </c>
      <c r="MUK118" s="100" t="str">
        <f t="shared" si="422"/>
        <v/>
      </c>
      <c r="MUL118" s="100" t="str">
        <f t="shared" si="422"/>
        <v/>
      </c>
      <c r="MUM118" s="100" t="str">
        <f t="shared" si="422"/>
        <v/>
      </c>
      <c r="MUN118" s="100" t="str">
        <f t="shared" si="422"/>
        <v/>
      </c>
      <c r="MUO118" s="100" t="str">
        <f t="shared" ref="MUO118:MWZ118" si="423">IFERROR(AVERAGE(MUO6,MUO16,MUO25,MUO34,MUO42,MUO54,MUO62,MUO70,MUO78,MUO86,MUO94,MUO102,MUO110),"")</f>
        <v/>
      </c>
      <c r="MUP118" s="100" t="str">
        <f t="shared" si="423"/>
        <v/>
      </c>
      <c r="MUQ118" s="100" t="str">
        <f t="shared" si="423"/>
        <v/>
      </c>
      <c r="MUR118" s="100" t="str">
        <f t="shared" si="423"/>
        <v/>
      </c>
      <c r="MUS118" s="100" t="str">
        <f t="shared" si="423"/>
        <v/>
      </c>
      <c r="MUT118" s="100" t="str">
        <f t="shared" si="423"/>
        <v/>
      </c>
      <c r="MUU118" s="100" t="str">
        <f t="shared" si="423"/>
        <v/>
      </c>
      <c r="MUV118" s="100" t="str">
        <f t="shared" si="423"/>
        <v/>
      </c>
      <c r="MUW118" s="100" t="str">
        <f t="shared" si="423"/>
        <v/>
      </c>
      <c r="MUX118" s="100" t="str">
        <f t="shared" si="423"/>
        <v/>
      </c>
      <c r="MUY118" s="100" t="str">
        <f t="shared" si="423"/>
        <v/>
      </c>
      <c r="MUZ118" s="100" t="str">
        <f t="shared" si="423"/>
        <v/>
      </c>
      <c r="MVA118" s="100" t="str">
        <f t="shared" si="423"/>
        <v/>
      </c>
      <c r="MVB118" s="100" t="str">
        <f t="shared" si="423"/>
        <v/>
      </c>
      <c r="MVC118" s="100" t="str">
        <f t="shared" si="423"/>
        <v/>
      </c>
      <c r="MVD118" s="100" t="str">
        <f t="shared" si="423"/>
        <v/>
      </c>
      <c r="MVE118" s="100" t="str">
        <f t="shared" si="423"/>
        <v/>
      </c>
      <c r="MVF118" s="100" t="str">
        <f t="shared" si="423"/>
        <v/>
      </c>
      <c r="MVG118" s="100" t="str">
        <f t="shared" si="423"/>
        <v/>
      </c>
      <c r="MVH118" s="100" t="str">
        <f t="shared" si="423"/>
        <v/>
      </c>
      <c r="MVI118" s="100" t="str">
        <f t="shared" si="423"/>
        <v/>
      </c>
      <c r="MVJ118" s="100" t="str">
        <f t="shared" si="423"/>
        <v/>
      </c>
      <c r="MVK118" s="100" t="str">
        <f t="shared" si="423"/>
        <v/>
      </c>
      <c r="MVL118" s="100" t="str">
        <f t="shared" si="423"/>
        <v/>
      </c>
      <c r="MVM118" s="100" t="str">
        <f t="shared" si="423"/>
        <v/>
      </c>
      <c r="MVN118" s="100" t="str">
        <f t="shared" si="423"/>
        <v/>
      </c>
      <c r="MVO118" s="100" t="str">
        <f t="shared" si="423"/>
        <v/>
      </c>
      <c r="MVP118" s="100" t="str">
        <f t="shared" si="423"/>
        <v/>
      </c>
      <c r="MVQ118" s="100" t="str">
        <f t="shared" si="423"/>
        <v/>
      </c>
      <c r="MVR118" s="100" t="str">
        <f t="shared" si="423"/>
        <v/>
      </c>
      <c r="MVS118" s="100" t="str">
        <f t="shared" si="423"/>
        <v/>
      </c>
      <c r="MVT118" s="100" t="str">
        <f t="shared" si="423"/>
        <v/>
      </c>
      <c r="MVU118" s="100" t="str">
        <f t="shared" si="423"/>
        <v/>
      </c>
      <c r="MVV118" s="100" t="str">
        <f t="shared" si="423"/>
        <v/>
      </c>
      <c r="MVW118" s="100" t="str">
        <f t="shared" si="423"/>
        <v/>
      </c>
      <c r="MVX118" s="100" t="str">
        <f t="shared" si="423"/>
        <v/>
      </c>
      <c r="MVY118" s="100" t="str">
        <f t="shared" si="423"/>
        <v/>
      </c>
      <c r="MVZ118" s="100" t="str">
        <f t="shared" si="423"/>
        <v/>
      </c>
      <c r="MWA118" s="100" t="str">
        <f t="shared" si="423"/>
        <v/>
      </c>
      <c r="MWB118" s="100" t="str">
        <f t="shared" si="423"/>
        <v/>
      </c>
      <c r="MWC118" s="100" t="str">
        <f t="shared" si="423"/>
        <v/>
      </c>
      <c r="MWD118" s="100" t="str">
        <f t="shared" si="423"/>
        <v/>
      </c>
      <c r="MWE118" s="100" t="str">
        <f t="shared" si="423"/>
        <v/>
      </c>
      <c r="MWF118" s="100" t="str">
        <f t="shared" si="423"/>
        <v/>
      </c>
      <c r="MWG118" s="100" t="str">
        <f t="shared" si="423"/>
        <v/>
      </c>
      <c r="MWH118" s="100" t="str">
        <f t="shared" si="423"/>
        <v/>
      </c>
      <c r="MWI118" s="100" t="str">
        <f t="shared" si="423"/>
        <v/>
      </c>
      <c r="MWJ118" s="100" t="str">
        <f t="shared" si="423"/>
        <v/>
      </c>
      <c r="MWK118" s="100" t="str">
        <f t="shared" si="423"/>
        <v/>
      </c>
      <c r="MWL118" s="100" t="str">
        <f t="shared" si="423"/>
        <v/>
      </c>
      <c r="MWM118" s="100" t="str">
        <f t="shared" si="423"/>
        <v/>
      </c>
      <c r="MWN118" s="100" t="str">
        <f t="shared" si="423"/>
        <v/>
      </c>
      <c r="MWO118" s="100" t="str">
        <f t="shared" si="423"/>
        <v/>
      </c>
      <c r="MWP118" s="100" t="str">
        <f t="shared" si="423"/>
        <v/>
      </c>
      <c r="MWQ118" s="100" t="str">
        <f t="shared" si="423"/>
        <v/>
      </c>
      <c r="MWR118" s="100" t="str">
        <f t="shared" si="423"/>
        <v/>
      </c>
      <c r="MWS118" s="100" t="str">
        <f t="shared" si="423"/>
        <v/>
      </c>
      <c r="MWT118" s="100" t="str">
        <f t="shared" si="423"/>
        <v/>
      </c>
      <c r="MWU118" s="100" t="str">
        <f t="shared" si="423"/>
        <v/>
      </c>
      <c r="MWV118" s="100" t="str">
        <f t="shared" si="423"/>
        <v/>
      </c>
      <c r="MWW118" s="100" t="str">
        <f t="shared" si="423"/>
        <v/>
      </c>
      <c r="MWX118" s="100" t="str">
        <f t="shared" si="423"/>
        <v/>
      </c>
      <c r="MWY118" s="100" t="str">
        <f t="shared" si="423"/>
        <v/>
      </c>
      <c r="MWZ118" s="100" t="str">
        <f t="shared" si="423"/>
        <v/>
      </c>
      <c r="MXA118" s="100" t="str">
        <f t="shared" ref="MXA118:MZL118" si="424">IFERROR(AVERAGE(MXA6,MXA16,MXA25,MXA34,MXA42,MXA54,MXA62,MXA70,MXA78,MXA86,MXA94,MXA102,MXA110),"")</f>
        <v/>
      </c>
      <c r="MXB118" s="100" t="str">
        <f t="shared" si="424"/>
        <v/>
      </c>
      <c r="MXC118" s="100" t="str">
        <f t="shared" si="424"/>
        <v/>
      </c>
      <c r="MXD118" s="100" t="str">
        <f t="shared" si="424"/>
        <v/>
      </c>
      <c r="MXE118" s="100" t="str">
        <f t="shared" si="424"/>
        <v/>
      </c>
      <c r="MXF118" s="100" t="str">
        <f t="shared" si="424"/>
        <v/>
      </c>
      <c r="MXG118" s="100" t="str">
        <f t="shared" si="424"/>
        <v/>
      </c>
      <c r="MXH118" s="100" t="str">
        <f t="shared" si="424"/>
        <v/>
      </c>
      <c r="MXI118" s="100" t="str">
        <f t="shared" si="424"/>
        <v/>
      </c>
      <c r="MXJ118" s="100" t="str">
        <f t="shared" si="424"/>
        <v/>
      </c>
      <c r="MXK118" s="100" t="str">
        <f t="shared" si="424"/>
        <v/>
      </c>
      <c r="MXL118" s="100" t="str">
        <f t="shared" si="424"/>
        <v/>
      </c>
      <c r="MXM118" s="100" t="str">
        <f t="shared" si="424"/>
        <v/>
      </c>
      <c r="MXN118" s="100" t="str">
        <f t="shared" si="424"/>
        <v/>
      </c>
      <c r="MXO118" s="100" t="str">
        <f t="shared" si="424"/>
        <v/>
      </c>
      <c r="MXP118" s="100" t="str">
        <f t="shared" si="424"/>
        <v/>
      </c>
      <c r="MXQ118" s="100" t="str">
        <f t="shared" si="424"/>
        <v/>
      </c>
      <c r="MXR118" s="100" t="str">
        <f t="shared" si="424"/>
        <v/>
      </c>
      <c r="MXS118" s="100" t="str">
        <f t="shared" si="424"/>
        <v/>
      </c>
      <c r="MXT118" s="100" t="str">
        <f t="shared" si="424"/>
        <v/>
      </c>
      <c r="MXU118" s="100" t="str">
        <f t="shared" si="424"/>
        <v/>
      </c>
      <c r="MXV118" s="100" t="str">
        <f t="shared" si="424"/>
        <v/>
      </c>
      <c r="MXW118" s="100" t="str">
        <f t="shared" si="424"/>
        <v/>
      </c>
      <c r="MXX118" s="100" t="str">
        <f t="shared" si="424"/>
        <v/>
      </c>
      <c r="MXY118" s="100" t="str">
        <f t="shared" si="424"/>
        <v/>
      </c>
      <c r="MXZ118" s="100" t="str">
        <f t="shared" si="424"/>
        <v/>
      </c>
      <c r="MYA118" s="100" t="str">
        <f t="shared" si="424"/>
        <v/>
      </c>
      <c r="MYB118" s="100" t="str">
        <f t="shared" si="424"/>
        <v/>
      </c>
      <c r="MYC118" s="100" t="str">
        <f t="shared" si="424"/>
        <v/>
      </c>
      <c r="MYD118" s="100" t="str">
        <f t="shared" si="424"/>
        <v/>
      </c>
      <c r="MYE118" s="100" t="str">
        <f t="shared" si="424"/>
        <v/>
      </c>
      <c r="MYF118" s="100" t="str">
        <f t="shared" si="424"/>
        <v/>
      </c>
      <c r="MYG118" s="100" t="str">
        <f t="shared" si="424"/>
        <v/>
      </c>
      <c r="MYH118" s="100" t="str">
        <f t="shared" si="424"/>
        <v/>
      </c>
      <c r="MYI118" s="100" t="str">
        <f t="shared" si="424"/>
        <v/>
      </c>
      <c r="MYJ118" s="100" t="str">
        <f t="shared" si="424"/>
        <v/>
      </c>
      <c r="MYK118" s="100" t="str">
        <f t="shared" si="424"/>
        <v/>
      </c>
      <c r="MYL118" s="100" t="str">
        <f t="shared" si="424"/>
        <v/>
      </c>
      <c r="MYM118" s="100" t="str">
        <f t="shared" si="424"/>
        <v/>
      </c>
      <c r="MYN118" s="100" t="str">
        <f t="shared" si="424"/>
        <v/>
      </c>
      <c r="MYO118" s="100" t="str">
        <f t="shared" si="424"/>
        <v/>
      </c>
      <c r="MYP118" s="100" t="str">
        <f t="shared" si="424"/>
        <v/>
      </c>
      <c r="MYQ118" s="100" t="str">
        <f t="shared" si="424"/>
        <v/>
      </c>
      <c r="MYR118" s="100" t="str">
        <f t="shared" si="424"/>
        <v/>
      </c>
      <c r="MYS118" s="100" t="str">
        <f t="shared" si="424"/>
        <v/>
      </c>
      <c r="MYT118" s="100" t="str">
        <f t="shared" si="424"/>
        <v/>
      </c>
      <c r="MYU118" s="100" t="str">
        <f t="shared" si="424"/>
        <v/>
      </c>
      <c r="MYV118" s="100" t="str">
        <f t="shared" si="424"/>
        <v/>
      </c>
      <c r="MYW118" s="100" t="str">
        <f t="shared" si="424"/>
        <v/>
      </c>
      <c r="MYX118" s="100" t="str">
        <f t="shared" si="424"/>
        <v/>
      </c>
      <c r="MYY118" s="100" t="str">
        <f t="shared" si="424"/>
        <v/>
      </c>
      <c r="MYZ118" s="100" t="str">
        <f t="shared" si="424"/>
        <v/>
      </c>
      <c r="MZA118" s="100" t="str">
        <f t="shared" si="424"/>
        <v/>
      </c>
      <c r="MZB118" s="100" t="str">
        <f t="shared" si="424"/>
        <v/>
      </c>
      <c r="MZC118" s="100" t="str">
        <f t="shared" si="424"/>
        <v/>
      </c>
      <c r="MZD118" s="100" t="str">
        <f t="shared" si="424"/>
        <v/>
      </c>
      <c r="MZE118" s="100" t="str">
        <f t="shared" si="424"/>
        <v/>
      </c>
      <c r="MZF118" s="100" t="str">
        <f t="shared" si="424"/>
        <v/>
      </c>
      <c r="MZG118" s="100" t="str">
        <f t="shared" si="424"/>
        <v/>
      </c>
      <c r="MZH118" s="100" t="str">
        <f t="shared" si="424"/>
        <v/>
      </c>
      <c r="MZI118" s="100" t="str">
        <f t="shared" si="424"/>
        <v/>
      </c>
      <c r="MZJ118" s="100" t="str">
        <f t="shared" si="424"/>
        <v/>
      </c>
      <c r="MZK118" s="100" t="str">
        <f t="shared" si="424"/>
        <v/>
      </c>
      <c r="MZL118" s="100" t="str">
        <f t="shared" si="424"/>
        <v/>
      </c>
      <c r="MZM118" s="100" t="str">
        <f t="shared" ref="MZM118:NBX118" si="425">IFERROR(AVERAGE(MZM6,MZM16,MZM25,MZM34,MZM42,MZM54,MZM62,MZM70,MZM78,MZM86,MZM94,MZM102,MZM110),"")</f>
        <v/>
      </c>
      <c r="MZN118" s="100" t="str">
        <f t="shared" si="425"/>
        <v/>
      </c>
      <c r="MZO118" s="100" t="str">
        <f t="shared" si="425"/>
        <v/>
      </c>
      <c r="MZP118" s="100" t="str">
        <f t="shared" si="425"/>
        <v/>
      </c>
      <c r="MZQ118" s="100" t="str">
        <f t="shared" si="425"/>
        <v/>
      </c>
      <c r="MZR118" s="100" t="str">
        <f t="shared" si="425"/>
        <v/>
      </c>
      <c r="MZS118" s="100" t="str">
        <f t="shared" si="425"/>
        <v/>
      </c>
      <c r="MZT118" s="100" t="str">
        <f t="shared" si="425"/>
        <v/>
      </c>
      <c r="MZU118" s="100" t="str">
        <f t="shared" si="425"/>
        <v/>
      </c>
      <c r="MZV118" s="100" t="str">
        <f t="shared" si="425"/>
        <v/>
      </c>
      <c r="MZW118" s="100" t="str">
        <f t="shared" si="425"/>
        <v/>
      </c>
      <c r="MZX118" s="100" t="str">
        <f t="shared" si="425"/>
        <v/>
      </c>
      <c r="MZY118" s="100" t="str">
        <f t="shared" si="425"/>
        <v/>
      </c>
      <c r="MZZ118" s="100" t="str">
        <f t="shared" si="425"/>
        <v/>
      </c>
      <c r="NAA118" s="100" t="str">
        <f t="shared" si="425"/>
        <v/>
      </c>
      <c r="NAB118" s="100" t="str">
        <f t="shared" si="425"/>
        <v/>
      </c>
      <c r="NAC118" s="100" t="str">
        <f t="shared" si="425"/>
        <v/>
      </c>
      <c r="NAD118" s="100" t="str">
        <f t="shared" si="425"/>
        <v/>
      </c>
      <c r="NAE118" s="100" t="str">
        <f t="shared" si="425"/>
        <v/>
      </c>
      <c r="NAF118" s="100" t="str">
        <f t="shared" si="425"/>
        <v/>
      </c>
      <c r="NAG118" s="100" t="str">
        <f t="shared" si="425"/>
        <v/>
      </c>
      <c r="NAH118" s="100" t="str">
        <f t="shared" si="425"/>
        <v/>
      </c>
      <c r="NAI118" s="100" t="str">
        <f t="shared" si="425"/>
        <v/>
      </c>
      <c r="NAJ118" s="100" t="str">
        <f t="shared" si="425"/>
        <v/>
      </c>
      <c r="NAK118" s="100" t="str">
        <f t="shared" si="425"/>
        <v/>
      </c>
      <c r="NAL118" s="100" t="str">
        <f t="shared" si="425"/>
        <v/>
      </c>
      <c r="NAM118" s="100" t="str">
        <f t="shared" si="425"/>
        <v/>
      </c>
      <c r="NAN118" s="100" t="str">
        <f t="shared" si="425"/>
        <v/>
      </c>
      <c r="NAO118" s="100" t="str">
        <f t="shared" si="425"/>
        <v/>
      </c>
      <c r="NAP118" s="100" t="str">
        <f t="shared" si="425"/>
        <v/>
      </c>
      <c r="NAQ118" s="100" t="str">
        <f t="shared" si="425"/>
        <v/>
      </c>
      <c r="NAR118" s="100" t="str">
        <f t="shared" si="425"/>
        <v/>
      </c>
      <c r="NAS118" s="100" t="str">
        <f t="shared" si="425"/>
        <v/>
      </c>
      <c r="NAT118" s="100" t="str">
        <f t="shared" si="425"/>
        <v/>
      </c>
      <c r="NAU118" s="100" t="str">
        <f t="shared" si="425"/>
        <v/>
      </c>
      <c r="NAV118" s="100" t="str">
        <f t="shared" si="425"/>
        <v/>
      </c>
      <c r="NAW118" s="100" t="str">
        <f t="shared" si="425"/>
        <v/>
      </c>
      <c r="NAX118" s="100" t="str">
        <f t="shared" si="425"/>
        <v/>
      </c>
      <c r="NAY118" s="100" t="str">
        <f t="shared" si="425"/>
        <v/>
      </c>
      <c r="NAZ118" s="100" t="str">
        <f t="shared" si="425"/>
        <v/>
      </c>
      <c r="NBA118" s="100" t="str">
        <f t="shared" si="425"/>
        <v/>
      </c>
      <c r="NBB118" s="100" t="str">
        <f t="shared" si="425"/>
        <v/>
      </c>
      <c r="NBC118" s="100" t="str">
        <f t="shared" si="425"/>
        <v/>
      </c>
      <c r="NBD118" s="100" t="str">
        <f t="shared" si="425"/>
        <v/>
      </c>
      <c r="NBE118" s="100" t="str">
        <f t="shared" si="425"/>
        <v/>
      </c>
      <c r="NBF118" s="100" t="str">
        <f t="shared" si="425"/>
        <v/>
      </c>
      <c r="NBG118" s="100" t="str">
        <f t="shared" si="425"/>
        <v/>
      </c>
      <c r="NBH118" s="100" t="str">
        <f t="shared" si="425"/>
        <v/>
      </c>
      <c r="NBI118" s="100" t="str">
        <f t="shared" si="425"/>
        <v/>
      </c>
      <c r="NBJ118" s="100" t="str">
        <f t="shared" si="425"/>
        <v/>
      </c>
      <c r="NBK118" s="100" t="str">
        <f t="shared" si="425"/>
        <v/>
      </c>
      <c r="NBL118" s="100" t="str">
        <f t="shared" si="425"/>
        <v/>
      </c>
      <c r="NBM118" s="100" t="str">
        <f t="shared" si="425"/>
        <v/>
      </c>
      <c r="NBN118" s="100" t="str">
        <f t="shared" si="425"/>
        <v/>
      </c>
      <c r="NBO118" s="100" t="str">
        <f t="shared" si="425"/>
        <v/>
      </c>
      <c r="NBP118" s="100" t="str">
        <f t="shared" si="425"/>
        <v/>
      </c>
      <c r="NBQ118" s="100" t="str">
        <f t="shared" si="425"/>
        <v/>
      </c>
      <c r="NBR118" s="100" t="str">
        <f t="shared" si="425"/>
        <v/>
      </c>
      <c r="NBS118" s="100" t="str">
        <f t="shared" si="425"/>
        <v/>
      </c>
      <c r="NBT118" s="100" t="str">
        <f t="shared" si="425"/>
        <v/>
      </c>
      <c r="NBU118" s="100" t="str">
        <f t="shared" si="425"/>
        <v/>
      </c>
      <c r="NBV118" s="100" t="str">
        <f t="shared" si="425"/>
        <v/>
      </c>
      <c r="NBW118" s="100" t="str">
        <f t="shared" si="425"/>
        <v/>
      </c>
      <c r="NBX118" s="100" t="str">
        <f t="shared" si="425"/>
        <v/>
      </c>
      <c r="NBY118" s="100" t="str">
        <f t="shared" ref="NBY118:NEJ118" si="426">IFERROR(AVERAGE(NBY6,NBY16,NBY25,NBY34,NBY42,NBY54,NBY62,NBY70,NBY78,NBY86,NBY94,NBY102,NBY110),"")</f>
        <v/>
      </c>
      <c r="NBZ118" s="100" t="str">
        <f t="shared" si="426"/>
        <v/>
      </c>
      <c r="NCA118" s="100" t="str">
        <f t="shared" si="426"/>
        <v/>
      </c>
      <c r="NCB118" s="100" t="str">
        <f t="shared" si="426"/>
        <v/>
      </c>
      <c r="NCC118" s="100" t="str">
        <f t="shared" si="426"/>
        <v/>
      </c>
      <c r="NCD118" s="100" t="str">
        <f t="shared" si="426"/>
        <v/>
      </c>
      <c r="NCE118" s="100" t="str">
        <f t="shared" si="426"/>
        <v/>
      </c>
      <c r="NCF118" s="100" t="str">
        <f t="shared" si="426"/>
        <v/>
      </c>
      <c r="NCG118" s="100" t="str">
        <f t="shared" si="426"/>
        <v/>
      </c>
      <c r="NCH118" s="100" t="str">
        <f t="shared" si="426"/>
        <v/>
      </c>
      <c r="NCI118" s="100" t="str">
        <f t="shared" si="426"/>
        <v/>
      </c>
      <c r="NCJ118" s="100" t="str">
        <f t="shared" si="426"/>
        <v/>
      </c>
      <c r="NCK118" s="100" t="str">
        <f t="shared" si="426"/>
        <v/>
      </c>
      <c r="NCL118" s="100" t="str">
        <f t="shared" si="426"/>
        <v/>
      </c>
      <c r="NCM118" s="100" t="str">
        <f t="shared" si="426"/>
        <v/>
      </c>
      <c r="NCN118" s="100" t="str">
        <f t="shared" si="426"/>
        <v/>
      </c>
      <c r="NCO118" s="100" t="str">
        <f t="shared" si="426"/>
        <v/>
      </c>
      <c r="NCP118" s="100" t="str">
        <f t="shared" si="426"/>
        <v/>
      </c>
      <c r="NCQ118" s="100" t="str">
        <f t="shared" si="426"/>
        <v/>
      </c>
      <c r="NCR118" s="100" t="str">
        <f t="shared" si="426"/>
        <v/>
      </c>
      <c r="NCS118" s="100" t="str">
        <f t="shared" si="426"/>
        <v/>
      </c>
      <c r="NCT118" s="100" t="str">
        <f t="shared" si="426"/>
        <v/>
      </c>
      <c r="NCU118" s="100" t="str">
        <f t="shared" si="426"/>
        <v/>
      </c>
      <c r="NCV118" s="100" t="str">
        <f t="shared" si="426"/>
        <v/>
      </c>
      <c r="NCW118" s="100" t="str">
        <f t="shared" si="426"/>
        <v/>
      </c>
      <c r="NCX118" s="100" t="str">
        <f t="shared" si="426"/>
        <v/>
      </c>
      <c r="NCY118" s="100" t="str">
        <f t="shared" si="426"/>
        <v/>
      </c>
      <c r="NCZ118" s="100" t="str">
        <f t="shared" si="426"/>
        <v/>
      </c>
      <c r="NDA118" s="100" t="str">
        <f t="shared" si="426"/>
        <v/>
      </c>
      <c r="NDB118" s="100" t="str">
        <f t="shared" si="426"/>
        <v/>
      </c>
      <c r="NDC118" s="100" t="str">
        <f t="shared" si="426"/>
        <v/>
      </c>
      <c r="NDD118" s="100" t="str">
        <f t="shared" si="426"/>
        <v/>
      </c>
      <c r="NDE118" s="100" t="str">
        <f t="shared" si="426"/>
        <v/>
      </c>
      <c r="NDF118" s="100" t="str">
        <f t="shared" si="426"/>
        <v/>
      </c>
      <c r="NDG118" s="100" t="str">
        <f t="shared" si="426"/>
        <v/>
      </c>
      <c r="NDH118" s="100" t="str">
        <f t="shared" si="426"/>
        <v/>
      </c>
      <c r="NDI118" s="100" t="str">
        <f t="shared" si="426"/>
        <v/>
      </c>
      <c r="NDJ118" s="100" t="str">
        <f t="shared" si="426"/>
        <v/>
      </c>
      <c r="NDK118" s="100" t="str">
        <f t="shared" si="426"/>
        <v/>
      </c>
      <c r="NDL118" s="100" t="str">
        <f t="shared" si="426"/>
        <v/>
      </c>
      <c r="NDM118" s="100" t="str">
        <f t="shared" si="426"/>
        <v/>
      </c>
      <c r="NDN118" s="100" t="str">
        <f t="shared" si="426"/>
        <v/>
      </c>
      <c r="NDO118" s="100" t="str">
        <f t="shared" si="426"/>
        <v/>
      </c>
      <c r="NDP118" s="100" t="str">
        <f t="shared" si="426"/>
        <v/>
      </c>
      <c r="NDQ118" s="100" t="str">
        <f t="shared" si="426"/>
        <v/>
      </c>
      <c r="NDR118" s="100" t="str">
        <f t="shared" si="426"/>
        <v/>
      </c>
      <c r="NDS118" s="100" t="str">
        <f t="shared" si="426"/>
        <v/>
      </c>
      <c r="NDT118" s="100" t="str">
        <f t="shared" si="426"/>
        <v/>
      </c>
      <c r="NDU118" s="100" t="str">
        <f t="shared" si="426"/>
        <v/>
      </c>
      <c r="NDV118" s="100" t="str">
        <f t="shared" si="426"/>
        <v/>
      </c>
      <c r="NDW118" s="100" t="str">
        <f t="shared" si="426"/>
        <v/>
      </c>
      <c r="NDX118" s="100" t="str">
        <f t="shared" si="426"/>
        <v/>
      </c>
      <c r="NDY118" s="100" t="str">
        <f t="shared" si="426"/>
        <v/>
      </c>
      <c r="NDZ118" s="100" t="str">
        <f t="shared" si="426"/>
        <v/>
      </c>
      <c r="NEA118" s="100" t="str">
        <f t="shared" si="426"/>
        <v/>
      </c>
      <c r="NEB118" s="100" t="str">
        <f t="shared" si="426"/>
        <v/>
      </c>
      <c r="NEC118" s="100" t="str">
        <f t="shared" si="426"/>
        <v/>
      </c>
      <c r="NED118" s="100" t="str">
        <f t="shared" si="426"/>
        <v/>
      </c>
      <c r="NEE118" s="100" t="str">
        <f t="shared" si="426"/>
        <v/>
      </c>
      <c r="NEF118" s="100" t="str">
        <f t="shared" si="426"/>
        <v/>
      </c>
      <c r="NEG118" s="100" t="str">
        <f t="shared" si="426"/>
        <v/>
      </c>
      <c r="NEH118" s="100" t="str">
        <f t="shared" si="426"/>
        <v/>
      </c>
      <c r="NEI118" s="100" t="str">
        <f t="shared" si="426"/>
        <v/>
      </c>
      <c r="NEJ118" s="100" t="str">
        <f t="shared" si="426"/>
        <v/>
      </c>
      <c r="NEK118" s="100" t="str">
        <f t="shared" ref="NEK118:NGV118" si="427">IFERROR(AVERAGE(NEK6,NEK16,NEK25,NEK34,NEK42,NEK54,NEK62,NEK70,NEK78,NEK86,NEK94,NEK102,NEK110),"")</f>
        <v/>
      </c>
      <c r="NEL118" s="100" t="str">
        <f t="shared" si="427"/>
        <v/>
      </c>
      <c r="NEM118" s="100" t="str">
        <f t="shared" si="427"/>
        <v/>
      </c>
      <c r="NEN118" s="100" t="str">
        <f t="shared" si="427"/>
        <v/>
      </c>
      <c r="NEO118" s="100" t="str">
        <f t="shared" si="427"/>
        <v/>
      </c>
      <c r="NEP118" s="100" t="str">
        <f t="shared" si="427"/>
        <v/>
      </c>
      <c r="NEQ118" s="100" t="str">
        <f t="shared" si="427"/>
        <v/>
      </c>
      <c r="NER118" s="100" t="str">
        <f t="shared" si="427"/>
        <v/>
      </c>
      <c r="NES118" s="100" t="str">
        <f t="shared" si="427"/>
        <v/>
      </c>
      <c r="NET118" s="100" t="str">
        <f t="shared" si="427"/>
        <v/>
      </c>
      <c r="NEU118" s="100" t="str">
        <f t="shared" si="427"/>
        <v/>
      </c>
      <c r="NEV118" s="100" t="str">
        <f t="shared" si="427"/>
        <v/>
      </c>
      <c r="NEW118" s="100" t="str">
        <f t="shared" si="427"/>
        <v/>
      </c>
      <c r="NEX118" s="100" t="str">
        <f t="shared" si="427"/>
        <v/>
      </c>
      <c r="NEY118" s="100" t="str">
        <f t="shared" si="427"/>
        <v/>
      </c>
      <c r="NEZ118" s="100" t="str">
        <f t="shared" si="427"/>
        <v/>
      </c>
      <c r="NFA118" s="100" t="str">
        <f t="shared" si="427"/>
        <v/>
      </c>
      <c r="NFB118" s="100" t="str">
        <f t="shared" si="427"/>
        <v/>
      </c>
      <c r="NFC118" s="100" t="str">
        <f t="shared" si="427"/>
        <v/>
      </c>
      <c r="NFD118" s="100" t="str">
        <f t="shared" si="427"/>
        <v/>
      </c>
      <c r="NFE118" s="100" t="str">
        <f t="shared" si="427"/>
        <v/>
      </c>
      <c r="NFF118" s="100" t="str">
        <f t="shared" si="427"/>
        <v/>
      </c>
      <c r="NFG118" s="100" t="str">
        <f t="shared" si="427"/>
        <v/>
      </c>
      <c r="NFH118" s="100" t="str">
        <f t="shared" si="427"/>
        <v/>
      </c>
      <c r="NFI118" s="100" t="str">
        <f t="shared" si="427"/>
        <v/>
      </c>
      <c r="NFJ118" s="100" t="str">
        <f t="shared" si="427"/>
        <v/>
      </c>
      <c r="NFK118" s="100" t="str">
        <f t="shared" si="427"/>
        <v/>
      </c>
      <c r="NFL118" s="100" t="str">
        <f t="shared" si="427"/>
        <v/>
      </c>
      <c r="NFM118" s="100" t="str">
        <f t="shared" si="427"/>
        <v/>
      </c>
      <c r="NFN118" s="100" t="str">
        <f t="shared" si="427"/>
        <v/>
      </c>
      <c r="NFO118" s="100" t="str">
        <f t="shared" si="427"/>
        <v/>
      </c>
      <c r="NFP118" s="100" t="str">
        <f t="shared" si="427"/>
        <v/>
      </c>
      <c r="NFQ118" s="100" t="str">
        <f t="shared" si="427"/>
        <v/>
      </c>
      <c r="NFR118" s="100" t="str">
        <f t="shared" si="427"/>
        <v/>
      </c>
      <c r="NFS118" s="100" t="str">
        <f t="shared" si="427"/>
        <v/>
      </c>
      <c r="NFT118" s="100" t="str">
        <f t="shared" si="427"/>
        <v/>
      </c>
      <c r="NFU118" s="100" t="str">
        <f t="shared" si="427"/>
        <v/>
      </c>
      <c r="NFV118" s="100" t="str">
        <f t="shared" si="427"/>
        <v/>
      </c>
      <c r="NFW118" s="100" t="str">
        <f t="shared" si="427"/>
        <v/>
      </c>
      <c r="NFX118" s="100" t="str">
        <f t="shared" si="427"/>
        <v/>
      </c>
      <c r="NFY118" s="100" t="str">
        <f t="shared" si="427"/>
        <v/>
      </c>
      <c r="NFZ118" s="100" t="str">
        <f t="shared" si="427"/>
        <v/>
      </c>
      <c r="NGA118" s="100" t="str">
        <f t="shared" si="427"/>
        <v/>
      </c>
      <c r="NGB118" s="100" t="str">
        <f t="shared" si="427"/>
        <v/>
      </c>
      <c r="NGC118" s="100" t="str">
        <f t="shared" si="427"/>
        <v/>
      </c>
      <c r="NGD118" s="100" t="str">
        <f t="shared" si="427"/>
        <v/>
      </c>
      <c r="NGE118" s="100" t="str">
        <f t="shared" si="427"/>
        <v/>
      </c>
      <c r="NGF118" s="100" t="str">
        <f t="shared" si="427"/>
        <v/>
      </c>
      <c r="NGG118" s="100" t="str">
        <f t="shared" si="427"/>
        <v/>
      </c>
      <c r="NGH118" s="100" t="str">
        <f t="shared" si="427"/>
        <v/>
      </c>
      <c r="NGI118" s="100" t="str">
        <f t="shared" si="427"/>
        <v/>
      </c>
      <c r="NGJ118" s="100" t="str">
        <f t="shared" si="427"/>
        <v/>
      </c>
      <c r="NGK118" s="100" t="str">
        <f t="shared" si="427"/>
        <v/>
      </c>
      <c r="NGL118" s="100" t="str">
        <f t="shared" si="427"/>
        <v/>
      </c>
      <c r="NGM118" s="100" t="str">
        <f t="shared" si="427"/>
        <v/>
      </c>
      <c r="NGN118" s="100" t="str">
        <f t="shared" si="427"/>
        <v/>
      </c>
      <c r="NGO118" s="100" t="str">
        <f t="shared" si="427"/>
        <v/>
      </c>
      <c r="NGP118" s="100" t="str">
        <f t="shared" si="427"/>
        <v/>
      </c>
      <c r="NGQ118" s="100" t="str">
        <f t="shared" si="427"/>
        <v/>
      </c>
      <c r="NGR118" s="100" t="str">
        <f t="shared" si="427"/>
        <v/>
      </c>
      <c r="NGS118" s="100" t="str">
        <f t="shared" si="427"/>
        <v/>
      </c>
      <c r="NGT118" s="100" t="str">
        <f t="shared" si="427"/>
        <v/>
      </c>
      <c r="NGU118" s="100" t="str">
        <f t="shared" si="427"/>
        <v/>
      </c>
      <c r="NGV118" s="100" t="str">
        <f t="shared" si="427"/>
        <v/>
      </c>
      <c r="NGW118" s="100" t="str">
        <f t="shared" ref="NGW118:NJH118" si="428">IFERROR(AVERAGE(NGW6,NGW16,NGW25,NGW34,NGW42,NGW54,NGW62,NGW70,NGW78,NGW86,NGW94,NGW102,NGW110),"")</f>
        <v/>
      </c>
      <c r="NGX118" s="100" t="str">
        <f t="shared" si="428"/>
        <v/>
      </c>
      <c r="NGY118" s="100" t="str">
        <f t="shared" si="428"/>
        <v/>
      </c>
      <c r="NGZ118" s="100" t="str">
        <f t="shared" si="428"/>
        <v/>
      </c>
      <c r="NHA118" s="100" t="str">
        <f t="shared" si="428"/>
        <v/>
      </c>
      <c r="NHB118" s="100" t="str">
        <f t="shared" si="428"/>
        <v/>
      </c>
      <c r="NHC118" s="100" t="str">
        <f t="shared" si="428"/>
        <v/>
      </c>
      <c r="NHD118" s="100" t="str">
        <f t="shared" si="428"/>
        <v/>
      </c>
      <c r="NHE118" s="100" t="str">
        <f t="shared" si="428"/>
        <v/>
      </c>
      <c r="NHF118" s="100" t="str">
        <f t="shared" si="428"/>
        <v/>
      </c>
      <c r="NHG118" s="100" t="str">
        <f t="shared" si="428"/>
        <v/>
      </c>
      <c r="NHH118" s="100" t="str">
        <f t="shared" si="428"/>
        <v/>
      </c>
      <c r="NHI118" s="100" t="str">
        <f t="shared" si="428"/>
        <v/>
      </c>
      <c r="NHJ118" s="100" t="str">
        <f t="shared" si="428"/>
        <v/>
      </c>
      <c r="NHK118" s="100" t="str">
        <f t="shared" si="428"/>
        <v/>
      </c>
      <c r="NHL118" s="100" t="str">
        <f t="shared" si="428"/>
        <v/>
      </c>
      <c r="NHM118" s="100" t="str">
        <f t="shared" si="428"/>
        <v/>
      </c>
      <c r="NHN118" s="100" t="str">
        <f t="shared" si="428"/>
        <v/>
      </c>
      <c r="NHO118" s="100" t="str">
        <f t="shared" si="428"/>
        <v/>
      </c>
      <c r="NHP118" s="100" t="str">
        <f t="shared" si="428"/>
        <v/>
      </c>
      <c r="NHQ118" s="100" t="str">
        <f t="shared" si="428"/>
        <v/>
      </c>
      <c r="NHR118" s="100" t="str">
        <f t="shared" si="428"/>
        <v/>
      </c>
      <c r="NHS118" s="100" t="str">
        <f t="shared" si="428"/>
        <v/>
      </c>
      <c r="NHT118" s="100" t="str">
        <f t="shared" si="428"/>
        <v/>
      </c>
      <c r="NHU118" s="100" t="str">
        <f t="shared" si="428"/>
        <v/>
      </c>
      <c r="NHV118" s="100" t="str">
        <f t="shared" si="428"/>
        <v/>
      </c>
      <c r="NHW118" s="100" t="str">
        <f t="shared" si="428"/>
        <v/>
      </c>
      <c r="NHX118" s="100" t="str">
        <f t="shared" si="428"/>
        <v/>
      </c>
      <c r="NHY118" s="100" t="str">
        <f t="shared" si="428"/>
        <v/>
      </c>
      <c r="NHZ118" s="100" t="str">
        <f t="shared" si="428"/>
        <v/>
      </c>
      <c r="NIA118" s="100" t="str">
        <f t="shared" si="428"/>
        <v/>
      </c>
      <c r="NIB118" s="100" t="str">
        <f t="shared" si="428"/>
        <v/>
      </c>
      <c r="NIC118" s="100" t="str">
        <f t="shared" si="428"/>
        <v/>
      </c>
      <c r="NID118" s="100" t="str">
        <f t="shared" si="428"/>
        <v/>
      </c>
      <c r="NIE118" s="100" t="str">
        <f t="shared" si="428"/>
        <v/>
      </c>
      <c r="NIF118" s="100" t="str">
        <f t="shared" si="428"/>
        <v/>
      </c>
      <c r="NIG118" s="100" t="str">
        <f t="shared" si="428"/>
        <v/>
      </c>
      <c r="NIH118" s="100" t="str">
        <f t="shared" si="428"/>
        <v/>
      </c>
      <c r="NII118" s="100" t="str">
        <f t="shared" si="428"/>
        <v/>
      </c>
      <c r="NIJ118" s="100" t="str">
        <f t="shared" si="428"/>
        <v/>
      </c>
      <c r="NIK118" s="100" t="str">
        <f t="shared" si="428"/>
        <v/>
      </c>
      <c r="NIL118" s="100" t="str">
        <f t="shared" si="428"/>
        <v/>
      </c>
      <c r="NIM118" s="100" t="str">
        <f t="shared" si="428"/>
        <v/>
      </c>
      <c r="NIN118" s="100" t="str">
        <f t="shared" si="428"/>
        <v/>
      </c>
      <c r="NIO118" s="100" t="str">
        <f t="shared" si="428"/>
        <v/>
      </c>
      <c r="NIP118" s="100" t="str">
        <f t="shared" si="428"/>
        <v/>
      </c>
      <c r="NIQ118" s="100" t="str">
        <f t="shared" si="428"/>
        <v/>
      </c>
      <c r="NIR118" s="100" t="str">
        <f t="shared" si="428"/>
        <v/>
      </c>
      <c r="NIS118" s="100" t="str">
        <f t="shared" si="428"/>
        <v/>
      </c>
      <c r="NIT118" s="100" t="str">
        <f t="shared" si="428"/>
        <v/>
      </c>
      <c r="NIU118" s="100" t="str">
        <f t="shared" si="428"/>
        <v/>
      </c>
      <c r="NIV118" s="100" t="str">
        <f t="shared" si="428"/>
        <v/>
      </c>
      <c r="NIW118" s="100" t="str">
        <f t="shared" si="428"/>
        <v/>
      </c>
      <c r="NIX118" s="100" t="str">
        <f t="shared" si="428"/>
        <v/>
      </c>
      <c r="NIY118" s="100" t="str">
        <f t="shared" si="428"/>
        <v/>
      </c>
      <c r="NIZ118" s="100" t="str">
        <f t="shared" si="428"/>
        <v/>
      </c>
      <c r="NJA118" s="100" t="str">
        <f t="shared" si="428"/>
        <v/>
      </c>
      <c r="NJB118" s="100" t="str">
        <f t="shared" si="428"/>
        <v/>
      </c>
      <c r="NJC118" s="100" t="str">
        <f t="shared" si="428"/>
        <v/>
      </c>
      <c r="NJD118" s="100" t="str">
        <f t="shared" si="428"/>
        <v/>
      </c>
      <c r="NJE118" s="100" t="str">
        <f t="shared" si="428"/>
        <v/>
      </c>
      <c r="NJF118" s="100" t="str">
        <f t="shared" si="428"/>
        <v/>
      </c>
      <c r="NJG118" s="100" t="str">
        <f t="shared" si="428"/>
        <v/>
      </c>
      <c r="NJH118" s="100" t="str">
        <f t="shared" si="428"/>
        <v/>
      </c>
      <c r="NJI118" s="100" t="str">
        <f t="shared" ref="NJI118:NLT118" si="429">IFERROR(AVERAGE(NJI6,NJI16,NJI25,NJI34,NJI42,NJI54,NJI62,NJI70,NJI78,NJI86,NJI94,NJI102,NJI110),"")</f>
        <v/>
      </c>
      <c r="NJJ118" s="100" t="str">
        <f t="shared" si="429"/>
        <v/>
      </c>
      <c r="NJK118" s="100" t="str">
        <f t="shared" si="429"/>
        <v/>
      </c>
      <c r="NJL118" s="100" t="str">
        <f t="shared" si="429"/>
        <v/>
      </c>
      <c r="NJM118" s="100" t="str">
        <f t="shared" si="429"/>
        <v/>
      </c>
      <c r="NJN118" s="100" t="str">
        <f t="shared" si="429"/>
        <v/>
      </c>
      <c r="NJO118" s="100" t="str">
        <f t="shared" si="429"/>
        <v/>
      </c>
      <c r="NJP118" s="100" t="str">
        <f t="shared" si="429"/>
        <v/>
      </c>
      <c r="NJQ118" s="100" t="str">
        <f t="shared" si="429"/>
        <v/>
      </c>
      <c r="NJR118" s="100" t="str">
        <f t="shared" si="429"/>
        <v/>
      </c>
      <c r="NJS118" s="100" t="str">
        <f t="shared" si="429"/>
        <v/>
      </c>
      <c r="NJT118" s="100" t="str">
        <f t="shared" si="429"/>
        <v/>
      </c>
      <c r="NJU118" s="100" t="str">
        <f t="shared" si="429"/>
        <v/>
      </c>
      <c r="NJV118" s="100" t="str">
        <f t="shared" si="429"/>
        <v/>
      </c>
      <c r="NJW118" s="100" t="str">
        <f t="shared" si="429"/>
        <v/>
      </c>
      <c r="NJX118" s="100" t="str">
        <f t="shared" si="429"/>
        <v/>
      </c>
      <c r="NJY118" s="100" t="str">
        <f t="shared" si="429"/>
        <v/>
      </c>
      <c r="NJZ118" s="100" t="str">
        <f t="shared" si="429"/>
        <v/>
      </c>
      <c r="NKA118" s="100" t="str">
        <f t="shared" si="429"/>
        <v/>
      </c>
      <c r="NKB118" s="100" t="str">
        <f t="shared" si="429"/>
        <v/>
      </c>
      <c r="NKC118" s="100" t="str">
        <f t="shared" si="429"/>
        <v/>
      </c>
      <c r="NKD118" s="100" t="str">
        <f t="shared" si="429"/>
        <v/>
      </c>
      <c r="NKE118" s="100" t="str">
        <f t="shared" si="429"/>
        <v/>
      </c>
      <c r="NKF118" s="100" t="str">
        <f t="shared" si="429"/>
        <v/>
      </c>
      <c r="NKG118" s="100" t="str">
        <f t="shared" si="429"/>
        <v/>
      </c>
      <c r="NKH118" s="100" t="str">
        <f t="shared" si="429"/>
        <v/>
      </c>
      <c r="NKI118" s="100" t="str">
        <f t="shared" si="429"/>
        <v/>
      </c>
      <c r="NKJ118" s="100" t="str">
        <f t="shared" si="429"/>
        <v/>
      </c>
      <c r="NKK118" s="100" t="str">
        <f t="shared" si="429"/>
        <v/>
      </c>
      <c r="NKL118" s="100" t="str">
        <f t="shared" si="429"/>
        <v/>
      </c>
      <c r="NKM118" s="100" t="str">
        <f t="shared" si="429"/>
        <v/>
      </c>
      <c r="NKN118" s="100" t="str">
        <f t="shared" si="429"/>
        <v/>
      </c>
      <c r="NKO118" s="100" t="str">
        <f t="shared" si="429"/>
        <v/>
      </c>
      <c r="NKP118" s="100" t="str">
        <f t="shared" si="429"/>
        <v/>
      </c>
      <c r="NKQ118" s="100" t="str">
        <f t="shared" si="429"/>
        <v/>
      </c>
      <c r="NKR118" s="100" t="str">
        <f t="shared" si="429"/>
        <v/>
      </c>
      <c r="NKS118" s="100" t="str">
        <f t="shared" si="429"/>
        <v/>
      </c>
      <c r="NKT118" s="100" t="str">
        <f t="shared" si="429"/>
        <v/>
      </c>
      <c r="NKU118" s="100" t="str">
        <f t="shared" si="429"/>
        <v/>
      </c>
      <c r="NKV118" s="100" t="str">
        <f t="shared" si="429"/>
        <v/>
      </c>
      <c r="NKW118" s="100" t="str">
        <f t="shared" si="429"/>
        <v/>
      </c>
      <c r="NKX118" s="100" t="str">
        <f t="shared" si="429"/>
        <v/>
      </c>
      <c r="NKY118" s="100" t="str">
        <f t="shared" si="429"/>
        <v/>
      </c>
      <c r="NKZ118" s="100" t="str">
        <f t="shared" si="429"/>
        <v/>
      </c>
      <c r="NLA118" s="100" t="str">
        <f t="shared" si="429"/>
        <v/>
      </c>
      <c r="NLB118" s="100" t="str">
        <f t="shared" si="429"/>
        <v/>
      </c>
      <c r="NLC118" s="100" t="str">
        <f t="shared" si="429"/>
        <v/>
      </c>
      <c r="NLD118" s="100" t="str">
        <f t="shared" si="429"/>
        <v/>
      </c>
      <c r="NLE118" s="100" t="str">
        <f t="shared" si="429"/>
        <v/>
      </c>
      <c r="NLF118" s="100" t="str">
        <f t="shared" si="429"/>
        <v/>
      </c>
      <c r="NLG118" s="100" t="str">
        <f t="shared" si="429"/>
        <v/>
      </c>
      <c r="NLH118" s="100" t="str">
        <f t="shared" si="429"/>
        <v/>
      </c>
      <c r="NLI118" s="100" t="str">
        <f t="shared" si="429"/>
        <v/>
      </c>
      <c r="NLJ118" s="100" t="str">
        <f t="shared" si="429"/>
        <v/>
      </c>
      <c r="NLK118" s="100" t="str">
        <f t="shared" si="429"/>
        <v/>
      </c>
      <c r="NLL118" s="100" t="str">
        <f t="shared" si="429"/>
        <v/>
      </c>
      <c r="NLM118" s="100" t="str">
        <f t="shared" si="429"/>
        <v/>
      </c>
      <c r="NLN118" s="100" t="str">
        <f t="shared" si="429"/>
        <v/>
      </c>
      <c r="NLO118" s="100" t="str">
        <f t="shared" si="429"/>
        <v/>
      </c>
      <c r="NLP118" s="100" t="str">
        <f t="shared" si="429"/>
        <v/>
      </c>
      <c r="NLQ118" s="100" t="str">
        <f t="shared" si="429"/>
        <v/>
      </c>
      <c r="NLR118" s="100" t="str">
        <f t="shared" si="429"/>
        <v/>
      </c>
      <c r="NLS118" s="100" t="str">
        <f t="shared" si="429"/>
        <v/>
      </c>
      <c r="NLT118" s="100" t="str">
        <f t="shared" si="429"/>
        <v/>
      </c>
      <c r="NLU118" s="100" t="str">
        <f t="shared" ref="NLU118:NOF118" si="430">IFERROR(AVERAGE(NLU6,NLU16,NLU25,NLU34,NLU42,NLU54,NLU62,NLU70,NLU78,NLU86,NLU94,NLU102,NLU110),"")</f>
        <v/>
      </c>
      <c r="NLV118" s="100" t="str">
        <f t="shared" si="430"/>
        <v/>
      </c>
      <c r="NLW118" s="100" t="str">
        <f t="shared" si="430"/>
        <v/>
      </c>
      <c r="NLX118" s="100" t="str">
        <f t="shared" si="430"/>
        <v/>
      </c>
      <c r="NLY118" s="100" t="str">
        <f t="shared" si="430"/>
        <v/>
      </c>
      <c r="NLZ118" s="100" t="str">
        <f t="shared" si="430"/>
        <v/>
      </c>
      <c r="NMA118" s="100" t="str">
        <f t="shared" si="430"/>
        <v/>
      </c>
      <c r="NMB118" s="100" t="str">
        <f t="shared" si="430"/>
        <v/>
      </c>
      <c r="NMC118" s="100" t="str">
        <f t="shared" si="430"/>
        <v/>
      </c>
      <c r="NMD118" s="100" t="str">
        <f t="shared" si="430"/>
        <v/>
      </c>
      <c r="NME118" s="100" t="str">
        <f t="shared" si="430"/>
        <v/>
      </c>
      <c r="NMF118" s="100" t="str">
        <f t="shared" si="430"/>
        <v/>
      </c>
      <c r="NMG118" s="100" t="str">
        <f t="shared" si="430"/>
        <v/>
      </c>
      <c r="NMH118" s="100" t="str">
        <f t="shared" si="430"/>
        <v/>
      </c>
      <c r="NMI118" s="100" t="str">
        <f t="shared" si="430"/>
        <v/>
      </c>
      <c r="NMJ118" s="100" t="str">
        <f t="shared" si="430"/>
        <v/>
      </c>
      <c r="NMK118" s="100" t="str">
        <f t="shared" si="430"/>
        <v/>
      </c>
      <c r="NML118" s="100" t="str">
        <f t="shared" si="430"/>
        <v/>
      </c>
      <c r="NMM118" s="100" t="str">
        <f t="shared" si="430"/>
        <v/>
      </c>
      <c r="NMN118" s="100" t="str">
        <f t="shared" si="430"/>
        <v/>
      </c>
      <c r="NMO118" s="100" t="str">
        <f t="shared" si="430"/>
        <v/>
      </c>
      <c r="NMP118" s="100" t="str">
        <f t="shared" si="430"/>
        <v/>
      </c>
      <c r="NMQ118" s="100" t="str">
        <f t="shared" si="430"/>
        <v/>
      </c>
      <c r="NMR118" s="100" t="str">
        <f t="shared" si="430"/>
        <v/>
      </c>
      <c r="NMS118" s="100" t="str">
        <f t="shared" si="430"/>
        <v/>
      </c>
      <c r="NMT118" s="100" t="str">
        <f t="shared" si="430"/>
        <v/>
      </c>
      <c r="NMU118" s="100" t="str">
        <f t="shared" si="430"/>
        <v/>
      </c>
      <c r="NMV118" s="100" t="str">
        <f t="shared" si="430"/>
        <v/>
      </c>
      <c r="NMW118" s="100" t="str">
        <f t="shared" si="430"/>
        <v/>
      </c>
      <c r="NMX118" s="100" t="str">
        <f t="shared" si="430"/>
        <v/>
      </c>
      <c r="NMY118" s="100" t="str">
        <f t="shared" si="430"/>
        <v/>
      </c>
      <c r="NMZ118" s="100" t="str">
        <f t="shared" si="430"/>
        <v/>
      </c>
      <c r="NNA118" s="100" t="str">
        <f t="shared" si="430"/>
        <v/>
      </c>
      <c r="NNB118" s="100" t="str">
        <f t="shared" si="430"/>
        <v/>
      </c>
      <c r="NNC118" s="100" t="str">
        <f t="shared" si="430"/>
        <v/>
      </c>
      <c r="NND118" s="100" t="str">
        <f t="shared" si="430"/>
        <v/>
      </c>
      <c r="NNE118" s="100" t="str">
        <f t="shared" si="430"/>
        <v/>
      </c>
      <c r="NNF118" s="100" t="str">
        <f t="shared" si="430"/>
        <v/>
      </c>
      <c r="NNG118" s="100" t="str">
        <f t="shared" si="430"/>
        <v/>
      </c>
      <c r="NNH118" s="100" t="str">
        <f t="shared" si="430"/>
        <v/>
      </c>
      <c r="NNI118" s="100" t="str">
        <f t="shared" si="430"/>
        <v/>
      </c>
      <c r="NNJ118" s="100" t="str">
        <f t="shared" si="430"/>
        <v/>
      </c>
      <c r="NNK118" s="100" t="str">
        <f t="shared" si="430"/>
        <v/>
      </c>
      <c r="NNL118" s="100" t="str">
        <f t="shared" si="430"/>
        <v/>
      </c>
      <c r="NNM118" s="100" t="str">
        <f t="shared" si="430"/>
        <v/>
      </c>
      <c r="NNN118" s="100" t="str">
        <f t="shared" si="430"/>
        <v/>
      </c>
      <c r="NNO118" s="100" t="str">
        <f t="shared" si="430"/>
        <v/>
      </c>
      <c r="NNP118" s="100" t="str">
        <f t="shared" si="430"/>
        <v/>
      </c>
      <c r="NNQ118" s="100" t="str">
        <f t="shared" si="430"/>
        <v/>
      </c>
      <c r="NNR118" s="100" t="str">
        <f t="shared" si="430"/>
        <v/>
      </c>
      <c r="NNS118" s="100" t="str">
        <f t="shared" si="430"/>
        <v/>
      </c>
      <c r="NNT118" s="100" t="str">
        <f t="shared" si="430"/>
        <v/>
      </c>
      <c r="NNU118" s="100" t="str">
        <f t="shared" si="430"/>
        <v/>
      </c>
      <c r="NNV118" s="100" t="str">
        <f t="shared" si="430"/>
        <v/>
      </c>
      <c r="NNW118" s="100" t="str">
        <f t="shared" si="430"/>
        <v/>
      </c>
      <c r="NNX118" s="100" t="str">
        <f t="shared" si="430"/>
        <v/>
      </c>
      <c r="NNY118" s="100" t="str">
        <f t="shared" si="430"/>
        <v/>
      </c>
      <c r="NNZ118" s="100" t="str">
        <f t="shared" si="430"/>
        <v/>
      </c>
      <c r="NOA118" s="100" t="str">
        <f t="shared" si="430"/>
        <v/>
      </c>
      <c r="NOB118" s="100" t="str">
        <f t="shared" si="430"/>
        <v/>
      </c>
      <c r="NOC118" s="100" t="str">
        <f t="shared" si="430"/>
        <v/>
      </c>
      <c r="NOD118" s="100" t="str">
        <f t="shared" si="430"/>
        <v/>
      </c>
      <c r="NOE118" s="100" t="str">
        <f t="shared" si="430"/>
        <v/>
      </c>
      <c r="NOF118" s="100" t="str">
        <f t="shared" si="430"/>
        <v/>
      </c>
      <c r="NOG118" s="100" t="str">
        <f t="shared" ref="NOG118:NQR118" si="431">IFERROR(AVERAGE(NOG6,NOG16,NOG25,NOG34,NOG42,NOG54,NOG62,NOG70,NOG78,NOG86,NOG94,NOG102,NOG110),"")</f>
        <v/>
      </c>
      <c r="NOH118" s="100" t="str">
        <f t="shared" si="431"/>
        <v/>
      </c>
      <c r="NOI118" s="100" t="str">
        <f t="shared" si="431"/>
        <v/>
      </c>
      <c r="NOJ118" s="100" t="str">
        <f t="shared" si="431"/>
        <v/>
      </c>
      <c r="NOK118" s="100" t="str">
        <f t="shared" si="431"/>
        <v/>
      </c>
      <c r="NOL118" s="100" t="str">
        <f t="shared" si="431"/>
        <v/>
      </c>
      <c r="NOM118" s="100" t="str">
        <f t="shared" si="431"/>
        <v/>
      </c>
      <c r="NON118" s="100" t="str">
        <f t="shared" si="431"/>
        <v/>
      </c>
      <c r="NOO118" s="100" t="str">
        <f t="shared" si="431"/>
        <v/>
      </c>
      <c r="NOP118" s="100" t="str">
        <f t="shared" si="431"/>
        <v/>
      </c>
      <c r="NOQ118" s="100" t="str">
        <f t="shared" si="431"/>
        <v/>
      </c>
      <c r="NOR118" s="100" t="str">
        <f t="shared" si="431"/>
        <v/>
      </c>
      <c r="NOS118" s="100" t="str">
        <f t="shared" si="431"/>
        <v/>
      </c>
      <c r="NOT118" s="100" t="str">
        <f t="shared" si="431"/>
        <v/>
      </c>
      <c r="NOU118" s="100" t="str">
        <f t="shared" si="431"/>
        <v/>
      </c>
      <c r="NOV118" s="100" t="str">
        <f t="shared" si="431"/>
        <v/>
      </c>
      <c r="NOW118" s="100" t="str">
        <f t="shared" si="431"/>
        <v/>
      </c>
      <c r="NOX118" s="100" t="str">
        <f t="shared" si="431"/>
        <v/>
      </c>
      <c r="NOY118" s="100" t="str">
        <f t="shared" si="431"/>
        <v/>
      </c>
      <c r="NOZ118" s="100" t="str">
        <f t="shared" si="431"/>
        <v/>
      </c>
      <c r="NPA118" s="100" t="str">
        <f t="shared" si="431"/>
        <v/>
      </c>
      <c r="NPB118" s="100" t="str">
        <f t="shared" si="431"/>
        <v/>
      </c>
      <c r="NPC118" s="100" t="str">
        <f t="shared" si="431"/>
        <v/>
      </c>
      <c r="NPD118" s="100" t="str">
        <f t="shared" si="431"/>
        <v/>
      </c>
      <c r="NPE118" s="100" t="str">
        <f t="shared" si="431"/>
        <v/>
      </c>
      <c r="NPF118" s="100" t="str">
        <f t="shared" si="431"/>
        <v/>
      </c>
      <c r="NPG118" s="100" t="str">
        <f t="shared" si="431"/>
        <v/>
      </c>
      <c r="NPH118" s="100" t="str">
        <f t="shared" si="431"/>
        <v/>
      </c>
      <c r="NPI118" s="100" t="str">
        <f t="shared" si="431"/>
        <v/>
      </c>
      <c r="NPJ118" s="100" t="str">
        <f t="shared" si="431"/>
        <v/>
      </c>
      <c r="NPK118" s="100" t="str">
        <f t="shared" si="431"/>
        <v/>
      </c>
      <c r="NPL118" s="100" t="str">
        <f t="shared" si="431"/>
        <v/>
      </c>
      <c r="NPM118" s="100" t="str">
        <f t="shared" si="431"/>
        <v/>
      </c>
      <c r="NPN118" s="100" t="str">
        <f t="shared" si="431"/>
        <v/>
      </c>
      <c r="NPO118" s="100" t="str">
        <f t="shared" si="431"/>
        <v/>
      </c>
      <c r="NPP118" s="100" t="str">
        <f t="shared" si="431"/>
        <v/>
      </c>
      <c r="NPQ118" s="100" t="str">
        <f t="shared" si="431"/>
        <v/>
      </c>
      <c r="NPR118" s="100" t="str">
        <f t="shared" si="431"/>
        <v/>
      </c>
      <c r="NPS118" s="100" t="str">
        <f t="shared" si="431"/>
        <v/>
      </c>
      <c r="NPT118" s="100" t="str">
        <f t="shared" si="431"/>
        <v/>
      </c>
      <c r="NPU118" s="100" t="str">
        <f t="shared" si="431"/>
        <v/>
      </c>
      <c r="NPV118" s="100" t="str">
        <f t="shared" si="431"/>
        <v/>
      </c>
      <c r="NPW118" s="100" t="str">
        <f t="shared" si="431"/>
        <v/>
      </c>
      <c r="NPX118" s="100" t="str">
        <f t="shared" si="431"/>
        <v/>
      </c>
      <c r="NPY118" s="100" t="str">
        <f t="shared" si="431"/>
        <v/>
      </c>
      <c r="NPZ118" s="100" t="str">
        <f t="shared" si="431"/>
        <v/>
      </c>
      <c r="NQA118" s="100" t="str">
        <f t="shared" si="431"/>
        <v/>
      </c>
      <c r="NQB118" s="100" t="str">
        <f t="shared" si="431"/>
        <v/>
      </c>
      <c r="NQC118" s="100" t="str">
        <f t="shared" si="431"/>
        <v/>
      </c>
      <c r="NQD118" s="100" t="str">
        <f t="shared" si="431"/>
        <v/>
      </c>
      <c r="NQE118" s="100" t="str">
        <f t="shared" si="431"/>
        <v/>
      </c>
      <c r="NQF118" s="100" t="str">
        <f t="shared" si="431"/>
        <v/>
      </c>
      <c r="NQG118" s="100" t="str">
        <f t="shared" si="431"/>
        <v/>
      </c>
      <c r="NQH118" s="100" t="str">
        <f t="shared" si="431"/>
        <v/>
      </c>
      <c r="NQI118" s="100" t="str">
        <f t="shared" si="431"/>
        <v/>
      </c>
      <c r="NQJ118" s="100" t="str">
        <f t="shared" si="431"/>
        <v/>
      </c>
      <c r="NQK118" s="100" t="str">
        <f t="shared" si="431"/>
        <v/>
      </c>
      <c r="NQL118" s="100" t="str">
        <f t="shared" si="431"/>
        <v/>
      </c>
      <c r="NQM118" s="100" t="str">
        <f t="shared" si="431"/>
        <v/>
      </c>
      <c r="NQN118" s="100" t="str">
        <f t="shared" si="431"/>
        <v/>
      </c>
      <c r="NQO118" s="100" t="str">
        <f t="shared" si="431"/>
        <v/>
      </c>
      <c r="NQP118" s="100" t="str">
        <f t="shared" si="431"/>
        <v/>
      </c>
      <c r="NQQ118" s="100" t="str">
        <f t="shared" si="431"/>
        <v/>
      </c>
      <c r="NQR118" s="100" t="str">
        <f t="shared" si="431"/>
        <v/>
      </c>
      <c r="NQS118" s="100" t="str">
        <f t="shared" ref="NQS118:NTD118" si="432">IFERROR(AVERAGE(NQS6,NQS16,NQS25,NQS34,NQS42,NQS54,NQS62,NQS70,NQS78,NQS86,NQS94,NQS102,NQS110),"")</f>
        <v/>
      </c>
      <c r="NQT118" s="100" t="str">
        <f t="shared" si="432"/>
        <v/>
      </c>
      <c r="NQU118" s="100" t="str">
        <f t="shared" si="432"/>
        <v/>
      </c>
      <c r="NQV118" s="100" t="str">
        <f t="shared" si="432"/>
        <v/>
      </c>
      <c r="NQW118" s="100" t="str">
        <f t="shared" si="432"/>
        <v/>
      </c>
      <c r="NQX118" s="100" t="str">
        <f t="shared" si="432"/>
        <v/>
      </c>
      <c r="NQY118" s="100" t="str">
        <f t="shared" si="432"/>
        <v/>
      </c>
      <c r="NQZ118" s="100" t="str">
        <f t="shared" si="432"/>
        <v/>
      </c>
      <c r="NRA118" s="100" t="str">
        <f t="shared" si="432"/>
        <v/>
      </c>
      <c r="NRB118" s="100" t="str">
        <f t="shared" si="432"/>
        <v/>
      </c>
      <c r="NRC118" s="100" t="str">
        <f t="shared" si="432"/>
        <v/>
      </c>
      <c r="NRD118" s="100" t="str">
        <f t="shared" si="432"/>
        <v/>
      </c>
      <c r="NRE118" s="100" t="str">
        <f t="shared" si="432"/>
        <v/>
      </c>
      <c r="NRF118" s="100" t="str">
        <f t="shared" si="432"/>
        <v/>
      </c>
      <c r="NRG118" s="100" t="str">
        <f t="shared" si="432"/>
        <v/>
      </c>
      <c r="NRH118" s="100" t="str">
        <f t="shared" si="432"/>
        <v/>
      </c>
      <c r="NRI118" s="100" t="str">
        <f t="shared" si="432"/>
        <v/>
      </c>
      <c r="NRJ118" s="100" t="str">
        <f t="shared" si="432"/>
        <v/>
      </c>
      <c r="NRK118" s="100" t="str">
        <f t="shared" si="432"/>
        <v/>
      </c>
      <c r="NRL118" s="100" t="str">
        <f t="shared" si="432"/>
        <v/>
      </c>
      <c r="NRM118" s="100" t="str">
        <f t="shared" si="432"/>
        <v/>
      </c>
      <c r="NRN118" s="100" t="str">
        <f t="shared" si="432"/>
        <v/>
      </c>
      <c r="NRO118" s="100" t="str">
        <f t="shared" si="432"/>
        <v/>
      </c>
      <c r="NRP118" s="100" t="str">
        <f t="shared" si="432"/>
        <v/>
      </c>
      <c r="NRQ118" s="100" t="str">
        <f t="shared" si="432"/>
        <v/>
      </c>
      <c r="NRR118" s="100" t="str">
        <f t="shared" si="432"/>
        <v/>
      </c>
      <c r="NRS118" s="100" t="str">
        <f t="shared" si="432"/>
        <v/>
      </c>
      <c r="NRT118" s="100" t="str">
        <f t="shared" si="432"/>
        <v/>
      </c>
      <c r="NRU118" s="100" t="str">
        <f t="shared" si="432"/>
        <v/>
      </c>
      <c r="NRV118" s="100" t="str">
        <f t="shared" si="432"/>
        <v/>
      </c>
      <c r="NRW118" s="100" t="str">
        <f t="shared" si="432"/>
        <v/>
      </c>
      <c r="NRX118" s="100" t="str">
        <f t="shared" si="432"/>
        <v/>
      </c>
      <c r="NRY118" s="100" t="str">
        <f t="shared" si="432"/>
        <v/>
      </c>
      <c r="NRZ118" s="100" t="str">
        <f t="shared" si="432"/>
        <v/>
      </c>
      <c r="NSA118" s="100" t="str">
        <f t="shared" si="432"/>
        <v/>
      </c>
      <c r="NSB118" s="100" t="str">
        <f t="shared" si="432"/>
        <v/>
      </c>
      <c r="NSC118" s="100" t="str">
        <f t="shared" si="432"/>
        <v/>
      </c>
      <c r="NSD118" s="100" t="str">
        <f t="shared" si="432"/>
        <v/>
      </c>
      <c r="NSE118" s="100" t="str">
        <f t="shared" si="432"/>
        <v/>
      </c>
      <c r="NSF118" s="100" t="str">
        <f t="shared" si="432"/>
        <v/>
      </c>
      <c r="NSG118" s="100" t="str">
        <f t="shared" si="432"/>
        <v/>
      </c>
      <c r="NSH118" s="100" t="str">
        <f t="shared" si="432"/>
        <v/>
      </c>
      <c r="NSI118" s="100" t="str">
        <f t="shared" si="432"/>
        <v/>
      </c>
      <c r="NSJ118" s="100" t="str">
        <f t="shared" si="432"/>
        <v/>
      </c>
      <c r="NSK118" s="100" t="str">
        <f t="shared" si="432"/>
        <v/>
      </c>
      <c r="NSL118" s="100" t="str">
        <f t="shared" si="432"/>
        <v/>
      </c>
      <c r="NSM118" s="100" t="str">
        <f t="shared" si="432"/>
        <v/>
      </c>
      <c r="NSN118" s="100" t="str">
        <f t="shared" si="432"/>
        <v/>
      </c>
      <c r="NSO118" s="100" t="str">
        <f t="shared" si="432"/>
        <v/>
      </c>
      <c r="NSP118" s="100" t="str">
        <f t="shared" si="432"/>
        <v/>
      </c>
      <c r="NSQ118" s="100" t="str">
        <f t="shared" si="432"/>
        <v/>
      </c>
      <c r="NSR118" s="100" t="str">
        <f t="shared" si="432"/>
        <v/>
      </c>
      <c r="NSS118" s="100" t="str">
        <f t="shared" si="432"/>
        <v/>
      </c>
      <c r="NST118" s="100" t="str">
        <f t="shared" si="432"/>
        <v/>
      </c>
      <c r="NSU118" s="100" t="str">
        <f t="shared" si="432"/>
        <v/>
      </c>
      <c r="NSV118" s="100" t="str">
        <f t="shared" si="432"/>
        <v/>
      </c>
      <c r="NSW118" s="100" t="str">
        <f t="shared" si="432"/>
        <v/>
      </c>
      <c r="NSX118" s="100" t="str">
        <f t="shared" si="432"/>
        <v/>
      </c>
      <c r="NSY118" s="100" t="str">
        <f t="shared" si="432"/>
        <v/>
      </c>
      <c r="NSZ118" s="100" t="str">
        <f t="shared" si="432"/>
        <v/>
      </c>
      <c r="NTA118" s="100" t="str">
        <f t="shared" si="432"/>
        <v/>
      </c>
      <c r="NTB118" s="100" t="str">
        <f t="shared" si="432"/>
        <v/>
      </c>
      <c r="NTC118" s="100" t="str">
        <f t="shared" si="432"/>
        <v/>
      </c>
      <c r="NTD118" s="100" t="str">
        <f t="shared" si="432"/>
        <v/>
      </c>
      <c r="NTE118" s="100" t="str">
        <f t="shared" ref="NTE118:NVP118" si="433">IFERROR(AVERAGE(NTE6,NTE16,NTE25,NTE34,NTE42,NTE54,NTE62,NTE70,NTE78,NTE86,NTE94,NTE102,NTE110),"")</f>
        <v/>
      </c>
      <c r="NTF118" s="100" t="str">
        <f t="shared" si="433"/>
        <v/>
      </c>
      <c r="NTG118" s="100" t="str">
        <f t="shared" si="433"/>
        <v/>
      </c>
      <c r="NTH118" s="100" t="str">
        <f t="shared" si="433"/>
        <v/>
      </c>
      <c r="NTI118" s="100" t="str">
        <f t="shared" si="433"/>
        <v/>
      </c>
      <c r="NTJ118" s="100" t="str">
        <f t="shared" si="433"/>
        <v/>
      </c>
      <c r="NTK118" s="100" t="str">
        <f t="shared" si="433"/>
        <v/>
      </c>
      <c r="NTL118" s="100" t="str">
        <f t="shared" si="433"/>
        <v/>
      </c>
      <c r="NTM118" s="100" t="str">
        <f t="shared" si="433"/>
        <v/>
      </c>
      <c r="NTN118" s="100" t="str">
        <f t="shared" si="433"/>
        <v/>
      </c>
      <c r="NTO118" s="100" t="str">
        <f t="shared" si="433"/>
        <v/>
      </c>
      <c r="NTP118" s="100" t="str">
        <f t="shared" si="433"/>
        <v/>
      </c>
      <c r="NTQ118" s="100" t="str">
        <f t="shared" si="433"/>
        <v/>
      </c>
      <c r="NTR118" s="100" t="str">
        <f t="shared" si="433"/>
        <v/>
      </c>
      <c r="NTS118" s="100" t="str">
        <f t="shared" si="433"/>
        <v/>
      </c>
      <c r="NTT118" s="100" t="str">
        <f t="shared" si="433"/>
        <v/>
      </c>
      <c r="NTU118" s="100" t="str">
        <f t="shared" si="433"/>
        <v/>
      </c>
      <c r="NTV118" s="100" t="str">
        <f t="shared" si="433"/>
        <v/>
      </c>
      <c r="NTW118" s="100" t="str">
        <f t="shared" si="433"/>
        <v/>
      </c>
      <c r="NTX118" s="100" t="str">
        <f t="shared" si="433"/>
        <v/>
      </c>
      <c r="NTY118" s="100" t="str">
        <f t="shared" si="433"/>
        <v/>
      </c>
      <c r="NTZ118" s="100" t="str">
        <f t="shared" si="433"/>
        <v/>
      </c>
      <c r="NUA118" s="100" t="str">
        <f t="shared" si="433"/>
        <v/>
      </c>
      <c r="NUB118" s="100" t="str">
        <f t="shared" si="433"/>
        <v/>
      </c>
      <c r="NUC118" s="100" t="str">
        <f t="shared" si="433"/>
        <v/>
      </c>
      <c r="NUD118" s="100" t="str">
        <f t="shared" si="433"/>
        <v/>
      </c>
      <c r="NUE118" s="100" t="str">
        <f t="shared" si="433"/>
        <v/>
      </c>
      <c r="NUF118" s="100" t="str">
        <f t="shared" si="433"/>
        <v/>
      </c>
      <c r="NUG118" s="100" t="str">
        <f t="shared" si="433"/>
        <v/>
      </c>
      <c r="NUH118" s="100" t="str">
        <f t="shared" si="433"/>
        <v/>
      </c>
      <c r="NUI118" s="100" t="str">
        <f t="shared" si="433"/>
        <v/>
      </c>
      <c r="NUJ118" s="100" t="str">
        <f t="shared" si="433"/>
        <v/>
      </c>
      <c r="NUK118" s="100" t="str">
        <f t="shared" si="433"/>
        <v/>
      </c>
      <c r="NUL118" s="100" t="str">
        <f t="shared" si="433"/>
        <v/>
      </c>
      <c r="NUM118" s="100" t="str">
        <f t="shared" si="433"/>
        <v/>
      </c>
      <c r="NUN118" s="100" t="str">
        <f t="shared" si="433"/>
        <v/>
      </c>
      <c r="NUO118" s="100" t="str">
        <f t="shared" si="433"/>
        <v/>
      </c>
      <c r="NUP118" s="100" t="str">
        <f t="shared" si="433"/>
        <v/>
      </c>
      <c r="NUQ118" s="100" t="str">
        <f t="shared" si="433"/>
        <v/>
      </c>
      <c r="NUR118" s="100" t="str">
        <f t="shared" si="433"/>
        <v/>
      </c>
      <c r="NUS118" s="100" t="str">
        <f t="shared" si="433"/>
        <v/>
      </c>
      <c r="NUT118" s="100" t="str">
        <f t="shared" si="433"/>
        <v/>
      </c>
      <c r="NUU118" s="100" t="str">
        <f t="shared" si="433"/>
        <v/>
      </c>
      <c r="NUV118" s="100" t="str">
        <f t="shared" si="433"/>
        <v/>
      </c>
      <c r="NUW118" s="100" t="str">
        <f t="shared" si="433"/>
        <v/>
      </c>
      <c r="NUX118" s="100" t="str">
        <f t="shared" si="433"/>
        <v/>
      </c>
      <c r="NUY118" s="100" t="str">
        <f t="shared" si="433"/>
        <v/>
      </c>
      <c r="NUZ118" s="100" t="str">
        <f t="shared" si="433"/>
        <v/>
      </c>
      <c r="NVA118" s="100" t="str">
        <f t="shared" si="433"/>
        <v/>
      </c>
      <c r="NVB118" s="100" t="str">
        <f t="shared" si="433"/>
        <v/>
      </c>
      <c r="NVC118" s="100" t="str">
        <f t="shared" si="433"/>
        <v/>
      </c>
      <c r="NVD118" s="100" t="str">
        <f t="shared" si="433"/>
        <v/>
      </c>
      <c r="NVE118" s="100" t="str">
        <f t="shared" si="433"/>
        <v/>
      </c>
      <c r="NVF118" s="100" t="str">
        <f t="shared" si="433"/>
        <v/>
      </c>
      <c r="NVG118" s="100" t="str">
        <f t="shared" si="433"/>
        <v/>
      </c>
      <c r="NVH118" s="100" t="str">
        <f t="shared" si="433"/>
        <v/>
      </c>
      <c r="NVI118" s="100" t="str">
        <f t="shared" si="433"/>
        <v/>
      </c>
      <c r="NVJ118" s="100" t="str">
        <f t="shared" si="433"/>
        <v/>
      </c>
      <c r="NVK118" s="100" t="str">
        <f t="shared" si="433"/>
        <v/>
      </c>
      <c r="NVL118" s="100" t="str">
        <f t="shared" si="433"/>
        <v/>
      </c>
      <c r="NVM118" s="100" t="str">
        <f t="shared" si="433"/>
        <v/>
      </c>
      <c r="NVN118" s="100" t="str">
        <f t="shared" si="433"/>
        <v/>
      </c>
      <c r="NVO118" s="100" t="str">
        <f t="shared" si="433"/>
        <v/>
      </c>
      <c r="NVP118" s="100" t="str">
        <f t="shared" si="433"/>
        <v/>
      </c>
      <c r="NVQ118" s="100" t="str">
        <f t="shared" ref="NVQ118:NYB118" si="434">IFERROR(AVERAGE(NVQ6,NVQ16,NVQ25,NVQ34,NVQ42,NVQ54,NVQ62,NVQ70,NVQ78,NVQ86,NVQ94,NVQ102,NVQ110),"")</f>
        <v/>
      </c>
      <c r="NVR118" s="100" t="str">
        <f t="shared" si="434"/>
        <v/>
      </c>
      <c r="NVS118" s="100" t="str">
        <f t="shared" si="434"/>
        <v/>
      </c>
      <c r="NVT118" s="100" t="str">
        <f t="shared" si="434"/>
        <v/>
      </c>
      <c r="NVU118" s="100" t="str">
        <f t="shared" si="434"/>
        <v/>
      </c>
      <c r="NVV118" s="100" t="str">
        <f t="shared" si="434"/>
        <v/>
      </c>
      <c r="NVW118" s="100" t="str">
        <f t="shared" si="434"/>
        <v/>
      </c>
      <c r="NVX118" s="100" t="str">
        <f t="shared" si="434"/>
        <v/>
      </c>
      <c r="NVY118" s="100" t="str">
        <f t="shared" si="434"/>
        <v/>
      </c>
      <c r="NVZ118" s="100" t="str">
        <f t="shared" si="434"/>
        <v/>
      </c>
      <c r="NWA118" s="100" t="str">
        <f t="shared" si="434"/>
        <v/>
      </c>
      <c r="NWB118" s="100" t="str">
        <f t="shared" si="434"/>
        <v/>
      </c>
      <c r="NWC118" s="100" t="str">
        <f t="shared" si="434"/>
        <v/>
      </c>
      <c r="NWD118" s="100" t="str">
        <f t="shared" si="434"/>
        <v/>
      </c>
      <c r="NWE118" s="100" t="str">
        <f t="shared" si="434"/>
        <v/>
      </c>
      <c r="NWF118" s="100" t="str">
        <f t="shared" si="434"/>
        <v/>
      </c>
      <c r="NWG118" s="100" t="str">
        <f t="shared" si="434"/>
        <v/>
      </c>
      <c r="NWH118" s="100" t="str">
        <f t="shared" si="434"/>
        <v/>
      </c>
      <c r="NWI118" s="100" t="str">
        <f t="shared" si="434"/>
        <v/>
      </c>
      <c r="NWJ118" s="100" t="str">
        <f t="shared" si="434"/>
        <v/>
      </c>
      <c r="NWK118" s="100" t="str">
        <f t="shared" si="434"/>
        <v/>
      </c>
      <c r="NWL118" s="100" t="str">
        <f t="shared" si="434"/>
        <v/>
      </c>
      <c r="NWM118" s="100" t="str">
        <f t="shared" si="434"/>
        <v/>
      </c>
      <c r="NWN118" s="100" t="str">
        <f t="shared" si="434"/>
        <v/>
      </c>
      <c r="NWO118" s="100" t="str">
        <f t="shared" si="434"/>
        <v/>
      </c>
      <c r="NWP118" s="100" t="str">
        <f t="shared" si="434"/>
        <v/>
      </c>
      <c r="NWQ118" s="100" t="str">
        <f t="shared" si="434"/>
        <v/>
      </c>
      <c r="NWR118" s="100" t="str">
        <f t="shared" si="434"/>
        <v/>
      </c>
      <c r="NWS118" s="100" t="str">
        <f t="shared" si="434"/>
        <v/>
      </c>
      <c r="NWT118" s="100" t="str">
        <f t="shared" si="434"/>
        <v/>
      </c>
      <c r="NWU118" s="100" t="str">
        <f t="shared" si="434"/>
        <v/>
      </c>
      <c r="NWV118" s="100" t="str">
        <f t="shared" si="434"/>
        <v/>
      </c>
      <c r="NWW118" s="100" t="str">
        <f t="shared" si="434"/>
        <v/>
      </c>
      <c r="NWX118" s="100" t="str">
        <f t="shared" si="434"/>
        <v/>
      </c>
      <c r="NWY118" s="100" t="str">
        <f t="shared" si="434"/>
        <v/>
      </c>
      <c r="NWZ118" s="100" t="str">
        <f t="shared" si="434"/>
        <v/>
      </c>
      <c r="NXA118" s="100" t="str">
        <f t="shared" si="434"/>
        <v/>
      </c>
      <c r="NXB118" s="100" t="str">
        <f t="shared" si="434"/>
        <v/>
      </c>
      <c r="NXC118" s="100" t="str">
        <f t="shared" si="434"/>
        <v/>
      </c>
      <c r="NXD118" s="100" t="str">
        <f t="shared" si="434"/>
        <v/>
      </c>
      <c r="NXE118" s="100" t="str">
        <f t="shared" si="434"/>
        <v/>
      </c>
      <c r="NXF118" s="100" t="str">
        <f t="shared" si="434"/>
        <v/>
      </c>
      <c r="NXG118" s="100" t="str">
        <f t="shared" si="434"/>
        <v/>
      </c>
      <c r="NXH118" s="100" t="str">
        <f t="shared" si="434"/>
        <v/>
      </c>
      <c r="NXI118" s="100" t="str">
        <f t="shared" si="434"/>
        <v/>
      </c>
      <c r="NXJ118" s="100" t="str">
        <f t="shared" si="434"/>
        <v/>
      </c>
      <c r="NXK118" s="100" t="str">
        <f t="shared" si="434"/>
        <v/>
      </c>
      <c r="NXL118" s="100" t="str">
        <f t="shared" si="434"/>
        <v/>
      </c>
      <c r="NXM118" s="100" t="str">
        <f t="shared" si="434"/>
        <v/>
      </c>
      <c r="NXN118" s="100" t="str">
        <f t="shared" si="434"/>
        <v/>
      </c>
      <c r="NXO118" s="100" t="str">
        <f t="shared" si="434"/>
        <v/>
      </c>
      <c r="NXP118" s="100" t="str">
        <f t="shared" si="434"/>
        <v/>
      </c>
      <c r="NXQ118" s="100" t="str">
        <f t="shared" si="434"/>
        <v/>
      </c>
      <c r="NXR118" s="100" t="str">
        <f t="shared" si="434"/>
        <v/>
      </c>
      <c r="NXS118" s="100" t="str">
        <f t="shared" si="434"/>
        <v/>
      </c>
      <c r="NXT118" s="100" t="str">
        <f t="shared" si="434"/>
        <v/>
      </c>
      <c r="NXU118" s="100" t="str">
        <f t="shared" si="434"/>
        <v/>
      </c>
      <c r="NXV118" s="100" t="str">
        <f t="shared" si="434"/>
        <v/>
      </c>
      <c r="NXW118" s="100" t="str">
        <f t="shared" si="434"/>
        <v/>
      </c>
      <c r="NXX118" s="100" t="str">
        <f t="shared" si="434"/>
        <v/>
      </c>
      <c r="NXY118" s="100" t="str">
        <f t="shared" si="434"/>
        <v/>
      </c>
      <c r="NXZ118" s="100" t="str">
        <f t="shared" si="434"/>
        <v/>
      </c>
      <c r="NYA118" s="100" t="str">
        <f t="shared" si="434"/>
        <v/>
      </c>
      <c r="NYB118" s="100" t="str">
        <f t="shared" si="434"/>
        <v/>
      </c>
      <c r="NYC118" s="100" t="str">
        <f t="shared" ref="NYC118:OAN118" si="435">IFERROR(AVERAGE(NYC6,NYC16,NYC25,NYC34,NYC42,NYC54,NYC62,NYC70,NYC78,NYC86,NYC94,NYC102,NYC110),"")</f>
        <v/>
      </c>
      <c r="NYD118" s="100" t="str">
        <f t="shared" si="435"/>
        <v/>
      </c>
      <c r="NYE118" s="100" t="str">
        <f t="shared" si="435"/>
        <v/>
      </c>
      <c r="NYF118" s="100" t="str">
        <f t="shared" si="435"/>
        <v/>
      </c>
      <c r="NYG118" s="100" t="str">
        <f t="shared" si="435"/>
        <v/>
      </c>
      <c r="NYH118" s="100" t="str">
        <f t="shared" si="435"/>
        <v/>
      </c>
      <c r="NYI118" s="100" t="str">
        <f t="shared" si="435"/>
        <v/>
      </c>
      <c r="NYJ118" s="100" t="str">
        <f t="shared" si="435"/>
        <v/>
      </c>
      <c r="NYK118" s="100" t="str">
        <f t="shared" si="435"/>
        <v/>
      </c>
      <c r="NYL118" s="100" t="str">
        <f t="shared" si="435"/>
        <v/>
      </c>
      <c r="NYM118" s="100" t="str">
        <f t="shared" si="435"/>
        <v/>
      </c>
      <c r="NYN118" s="100" t="str">
        <f t="shared" si="435"/>
        <v/>
      </c>
      <c r="NYO118" s="100" t="str">
        <f t="shared" si="435"/>
        <v/>
      </c>
      <c r="NYP118" s="100" t="str">
        <f t="shared" si="435"/>
        <v/>
      </c>
      <c r="NYQ118" s="100" t="str">
        <f t="shared" si="435"/>
        <v/>
      </c>
      <c r="NYR118" s="100" t="str">
        <f t="shared" si="435"/>
        <v/>
      </c>
      <c r="NYS118" s="100" t="str">
        <f t="shared" si="435"/>
        <v/>
      </c>
      <c r="NYT118" s="100" t="str">
        <f t="shared" si="435"/>
        <v/>
      </c>
      <c r="NYU118" s="100" t="str">
        <f t="shared" si="435"/>
        <v/>
      </c>
      <c r="NYV118" s="100" t="str">
        <f t="shared" si="435"/>
        <v/>
      </c>
      <c r="NYW118" s="100" t="str">
        <f t="shared" si="435"/>
        <v/>
      </c>
      <c r="NYX118" s="100" t="str">
        <f t="shared" si="435"/>
        <v/>
      </c>
      <c r="NYY118" s="100" t="str">
        <f t="shared" si="435"/>
        <v/>
      </c>
      <c r="NYZ118" s="100" t="str">
        <f t="shared" si="435"/>
        <v/>
      </c>
      <c r="NZA118" s="100" t="str">
        <f t="shared" si="435"/>
        <v/>
      </c>
      <c r="NZB118" s="100" t="str">
        <f t="shared" si="435"/>
        <v/>
      </c>
      <c r="NZC118" s="100" t="str">
        <f t="shared" si="435"/>
        <v/>
      </c>
      <c r="NZD118" s="100" t="str">
        <f t="shared" si="435"/>
        <v/>
      </c>
      <c r="NZE118" s="100" t="str">
        <f t="shared" si="435"/>
        <v/>
      </c>
      <c r="NZF118" s="100" t="str">
        <f t="shared" si="435"/>
        <v/>
      </c>
      <c r="NZG118" s="100" t="str">
        <f t="shared" si="435"/>
        <v/>
      </c>
      <c r="NZH118" s="100" t="str">
        <f t="shared" si="435"/>
        <v/>
      </c>
      <c r="NZI118" s="100" t="str">
        <f t="shared" si="435"/>
        <v/>
      </c>
      <c r="NZJ118" s="100" t="str">
        <f t="shared" si="435"/>
        <v/>
      </c>
      <c r="NZK118" s="100" t="str">
        <f t="shared" si="435"/>
        <v/>
      </c>
      <c r="NZL118" s="100" t="str">
        <f t="shared" si="435"/>
        <v/>
      </c>
      <c r="NZM118" s="100" t="str">
        <f t="shared" si="435"/>
        <v/>
      </c>
      <c r="NZN118" s="100" t="str">
        <f t="shared" si="435"/>
        <v/>
      </c>
      <c r="NZO118" s="100" t="str">
        <f t="shared" si="435"/>
        <v/>
      </c>
      <c r="NZP118" s="100" t="str">
        <f t="shared" si="435"/>
        <v/>
      </c>
      <c r="NZQ118" s="100" t="str">
        <f t="shared" si="435"/>
        <v/>
      </c>
      <c r="NZR118" s="100" t="str">
        <f t="shared" si="435"/>
        <v/>
      </c>
      <c r="NZS118" s="100" t="str">
        <f t="shared" si="435"/>
        <v/>
      </c>
      <c r="NZT118" s="100" t="str">
        <f t="shared" si="435"/>
        <v/>
      </c>
      <c r="NZU118" s="100" t="str">
        <f t="shared" si="435"/>
        <v/>
      </c>
      <c r="NZV118" s="100" t="str">
        <f t="shared" si="435"/>
        <v/>
      </c>
      <c r="NZW118" s="100" t="str">
        <f t="shared" si="435"/>
        <v/>
      </c>
      <c r="NZX118" s="100" t="str">
        <f t="shared" si="435"/>
        <v/>
      </c>
      <c r="NZY118" s="100" t="str">
        <f t="shared" si="435"/>
        <v/>
      </c>
      <c r="NZZ118" s="100" t="str">
        <f t="shared" si="435"/>
        <v/>
      </c>
      <c r="OAA118" s="100" t="str">
        <f t="shared" si="435"/>
        <v/>
      </c>
      <c r="OAB118" s="100" t="str">
        <f t="shared" si="435"/>
        <v/>
      </c>
      <c r="OAC118" s="100" t="str">
        <f t="shared" si="435"/>
        <v/>
      </c>
      <c r="OAD118" s="100" t="str">
        <f t="shared" si="435"/>
        <v/>
      </c>
      <c r="OAE118" s="100" t="str">
        <f t="shared" si="435"/>
        <v/>
      </c>
      <c r="OAF118" s="100" t="str">
        <f t="shared" si="435"/>
        <v/>
      </c>
      <c r="OAG118" s="100" t="str">
        <f t="shared" si="435"/>
        <v/>
      </c>
      <c r="OAH118" s="100" t="str">
        <f t="shared" si="435"/>
        <v/>
      </c>
      <c r="OAI118" s="100" t="str">
        <f t="shared" si="435"/>
        <v/>
      </c>
      <c r="OAJ118" s="100" t="str">
        <f t="shared" si="435"/>
        <v/>
      </c>
      <c r="OAK118" s="100" t="str">
        <f t="shared" si="435"/>
        <v/>
      </c>
      <c r="OAL118" s="100" t="str">
        <f t="shared" si="435"/>
        <v/>
      </c>
      <c r="OAM118" s="100" t="str">
        <f t="shared" si="435"/>
        <v/>
      </c>
      <c r="OAN118" s="100" t="str">
        <f t="shared" si="435"/>
        <v/>
      </c>
      <c r="OAO118" s="100" t="str">
        <f t="shared" ref="OAO118:OCZ118" si="436">IFERROR(AVERAGE(OAO6,OAO16,OAO25,OAO34,OAO42,OAO54,OAO62,OAO70,OAO78,OAO86,OAO94,OAO102,OAO110),"")</f>
        <v/>
      </c>
      <c r="OAP118" s="100" t="str">
        <f t="shared" si="436"/>
        <v/>
      </c>
      <c r="OAQ118" s="100" t="str">
        <f t="shared" si="436"/>
        <v/>
      </c>
      <c r="OAR118" s="100" t="str">
        <f t="shared" si="436"/>
        <v/>
      </c>
      <c r="OAS118" s="100" t="str">
        <f t="shared" si="436"/>
        <v/>
      </c>
      <c r="OAT118" s="100" t="str">
        <f t="shared" si="436"/>
        <v/>
      </c>
      <c r="OAU118" s="100" t="str">
        <f t="shared" si="436"/>
        <v/>
      </c>
      <c r="OAV118" s="100" t="str">
        <f t="shared" si="436"/>
        <v/>
      </c>
      <c r="OAW118" s="100" t="str">
        <f t="shared" si="436"/>
        <v/>
      </c>
      <c r="OAX118" s="100" t="str">
        <f t="shared" si="436"/>
        <v/>
      </c>
      <c r="OAY118" s="100" t="str">
        <f t="shared" si="436"/>
        <v/>
      </c>
      <c r="OAZ118" s="100" t="str">
        <f t="shared" si="436"/>
        <v/>
      </c>
      <c r="OBA118" s="100" t="str">
        <f t="shared" si="436"/>
        <v/>
      </c>
      <c r="OBB118" s="100" t="str">
        <f t="shared" si="436"/>
        <v/>
      </c>
      <c r="OBC118" s="100" t="str">
        <f t="shared" si="436"/>
        <v/>
      </c>
      <c r="OBD118" s="100" t="str">
        <f t="shared" si="436"/>
        <v/>
      </c>
      <c r="OBE118" s="100" t="str">
        <f t="shared" si="436"/>
        <v/>
      </c>
      <c r="OBF118" s="100" t="str">
        <f t="shared" si="436"/>
        <v/>
      </c>
      <c r="OBG118" s="100" t="str">
        <f t="shared" si="436"/>
        <v/>
      </c>
      <c r="OBH118" s="100" t="str">
        <f t="shared" si="436"/>
        <v/>
      </c>
      <c r="OBI118" s="100" t="str">
        <f t="shared" si="436"/>
        <v/>
      </c>
      <c r="OBJ118" s="100" t="str">
        <f t="shared" si="436"/>
        <v/>
      </c>
      <c r="OBK118" s="100" t="str">
        <f t="shared" si="436"/>
        <v/>
      </c>
      <c r="OBL118" s="100" t="str">
        <f t="shared" si="436"/>
        <v/>
      </c>
      <c r="OBM118" s="100" t="str">
        <f t="shared" si="436"/>
        <v/>
      </c>
      <c r="OBN118" s="100" t="str">
        <f t="shared" si="436"/>
        <v/>
      </c>
      <c r="OBO118" s="100" t="str">
        <f t="shared" si="436"/>
        <v/>
      </c>
      <c r="OBP118" s="100" t="str">
        <f t="shared" si="436"/>
        <v/>
      </c>
      <c r="OBQ118" s="100" t="str">
        <f t="shared" si="436"/>
        <v/>
      </c>
      <c r="OBR118" s="100" t="str">
        <f t="shared" si="436"/>
        <v/>
      </c>
      <c r="OBS118" s="100" t="str">
        <f t="shared" si="436"/>
        <v/>
      </c>
      <c r="OBT118" s="100" t="str">
        <f t="shared" si="436"/>
        <v/>
      </c>
      <c r="OBU118" s="100" t="str">
        <f t="shared" si="436"/>
        <v/>
      </c>
      <c r="OBV118" s="100" t="str">
        <f t="shared" si="436"/>
        <v/>
      </c>
      <c r="OBW118" s="100" t="str">
        <f t="shared" si="436"/>
        <v/>
      </c>
      <c r="OBX118" s="100" t="str">
        <f t="shared" si="436"/>
        <v/>
      </c>
      <c r="OBY118" s="100" t="str">
        <f t="shared" si="436"/>
        <v/>
      </c>
      <c r="OBZ118" s="100" t="str">
        <f t="shared" si="436"/>
        <v/>
      </c>
      <c r="OCA118" s="100" t="str">
        <f t="shared" si="436"/>
        <v/>
      </c>
      <c r="OCB118" s="100" t="str">
        <f t="shared" si="436"/>
        <v/>
      </c>
      <c r="OCC118" s="100" t="str">
        <f t="shared" si="436"/>
        <v/>
      </c>
      <c r="OCD118" s="100" t="str">
        <f t="shared" si="436"/>
        <v/>
      </c>
      <c r="OCE118" s="100" t="str">
        <f t="shared" si="436"/>
        <v/>
      </c>
      <c r="OCF118" s="100" t="str">
        <f t="shared" si="436"/>
        <v/>
      </c>
      <c r="OCG118" s="100" t="str">
        <f t="shared" si="436"/>
        <v/>
      </c>
      <c r="OCH118" s="100" t="str">
        <f t="shared" si="436"/>
        <v/>
      </c>
      <c r="OCI118" s="100" t="str">
        <f t="shared" si="436"/>
        <v/>
      </c>
      <c r="OCJ118" s="100" t="str">
        <f t="shared" si="436"/>
        <v/>
      </c>
      <c r="OCK118" s="100" t="str">
        <f t="shared" si="436"/>
        <v/>
      </c>
      <c r="OCL118" s="100" t="str">
        <f t="shared" si="436"/>
        <v/>
      </c>
      <c r="OCM118" s="100" t="str">
        <f t="shared" si="436"/>
        <v/>
      </c>
      <c r="OCN118" s="100" t="str">
        <f t="shared" si="436"/>
        <v/>
      </c>
      <c r="OCO118" s="100" t="str">
        <f t="shared" si="436"/>
        <v/>
      </c>
      <c r="OCP118" s="100" t="str">
        <f t="shared" si="436"/>
        <v/>
      </c>
      <c r="OCQ118" s="100" t="str">
        <f t="shared" si="436"/>
        <v/>
      </c>
      <c r="OCR118" s="100" t="str">
        <f t="shared" si="436"/>
        <v/>
      </c>
      <c r="OCS118" s="100" t="str">
        <f t="shared" si="436"/>
        <v/>
      </c>
      <c r="OCT118" s="100" t="str">
        <f t="shared" si="436"/>
        <v/>
      </c>
      <c r="OCU118" s="100" t="str">
        <f t="shared" si="436"/>
        <v/>
      </c>
      <c r="OCV118" s="100" t="str">
        <f t="shared" si="436"/>
        <v/>
      </c>
      <c r="OCW118" s="100" t="str">
        <f t="shared" si="436"/>
        <v/>
      </c>
      <c r="OCX118" s="100" t="str">
        <f t="shared" si="436"/>
        <v/>
      </c>
      <c r="OCY118" s="100" t="str">
        <f t="shared" si="436"/>
        <v/>
      </c>
      <c r="OCZ118" s="100" t="str">
        <f t="shared" si="436"/>
        <v/>
      </c>
      <c r="ODA118" s="100" t="str">
        <f t="shared" ref="ODA118:OFL118" si="437">IFERROR(AVERAGE(ODA6,ODA16,ODA25,ODA34,ODA42,ODA54,ODA62,ODA70,ODA78,ODA86,ODA94,ODA102,ODA110),"")</f>
        <v/>
      </c>
      <c r="ODB118" s="100" t="str">
        <f t="shared" si="437"/>
        <v/>
      </c>
      <c r="ODC118" s="100" t="str">
        <f t="shared" si="437"/>
        <v/>
      </c>
      <c r="ODD118" s="100" t="str">
        <f t="shared" si="437"/>
        <v/>
      </c>
      <c r="ODE118" s="100" t="str">
        <f t="shared" si="437"/>
        <v/>
      </c>
      <c r="ODF118" s="100" t="str">
        <f t="shared" si="437"/>
        <v/>
      </c>
      <c r="ODG118" s="100" t="str">
        <f t="shared" si="437"/>
        <v/>
      </c>
      <c r="ODH118" s="100" t="str">
        <f t="shared" si="437"/>
        <v/>
      </c>
      <c r="ODI118" s="100" t="str">
        <f t="shared" si="437"/>
        <v/>
      </c>
      <c r="ODJ118" s="100" t="str">
        <f t="shared" si="437"/>
        <v/>
      </c>
      <c r="ODK118" s="100" t="str">
        <f t="shared" si="437"/>
        <v/>
      </c>
      <c r="ODL118" s="100" t="str">
        <f t="shared" si="437"/>
        <v/>
      </c>
      <c r="ODM118" s="100" t="str">
        <f t="shared" si="437"/>
        <v/>
      </c>
      <c r="ODN118" s="100" t="str">
        <f t="shared" si="437"/>
        <v/>
      </c>
      <c r="ODO118" s="100" t="str">
        <f t="shared" si="437"/>
        <v/>
      </c>
      <c r="ODP118" s="100" t="str">
        <f t="shared" si="437"/>
        <v/>
      </c>
      <c r="ODQ118" s="100" t="str">
        <f t="shared" si="437"/>
        <v/>
      </c>
      <c r="ODR118" s="100" t="str">
        <f t="shared" si="437"/>
        <v/>
      </c>
      <c r="ODS118" s="100" t="str">
        <f t="shared" si="437"/>
        <v/>
      </c>
      <c r="ODT118" s="100" t="str">
        <f t="shared" si="437"/>
        <v/>
      </c>
      <c r="ODU118" s="100" t="str">
        <f t="shared" si="437"/>
        <v/>
      </c>
      <c r="ODV118" s="100" t="str">
        <f t="shared" si="437"/>
        <v/>
      </c>
      <c r="ODW118" s="100" t="str">
        <f t="shared" si="437"/>
        <v/>
      </c>
      <c r="ODX118" s="100" t="str">
        <f t="shared" si="437"/>
        <v/>
      </c>
      <c r="ODY118" s="100" t="str">
        <f t="shared" si="437"/>
        <v/>
      </c>
      <c r="ODZ118" s="100" t="str">
        <f t="shared" si="437"/>
        <v/>
      </c>
      <c r="OEA118" s="100" t="str">
        <f t="shared" si="437"/>
        <v/>
      </c>
      <c r="OEB118" s="100" t="str">
        <f t="shared" si="437"/>
        <v/>
      </c>
      <c r="OEC118" s="100" t="str">
        <f t="shared" si="437"/>
        <v/>
      </c>
      <c r="OED118" s="100" t="str">
        <f t="shared" si="437"/>
        <v/>
      </c>
      <c r="OEE118" s="100" t="str">
        <f t="shared" si="437"/>
        <v/>
      </c>
      <c r="OEF118" s="100" t="str">
        <f t="shared" si="437"/>
        <v/>
      </c>
      <c r="OEG118" s="100" t="str">
        <f t="shared" si="437"/>
        <v/>
      </c>
      <c r="OEH118" s="100" t="str">
        <f t="shared" si="437"/>
        <v/>
      </c>
      <c r="OEI118" s="100" t="str">
        <f t="shared" si="437"/>
        <v/>
      </c>
      <c r="OEJ118" s="100" t="str">
        <f t="shared" si="437"/>
        <v/>
      </c>
      <c r="OEK118" s="100" t="str">
        <f t="shared" si="437"/>
        <v/>
      </c>
      <c r="OEL118" s="100" t="str">
        <f t="shared" si="437"/>
        <v/>
      </c>
      <c r="OEM118" s="100" t="str">
        <f t="shared" si="437"/>
        <v/>
      </c>
      <c r="OEN118" s="100" t="str">
        <f t="shared" si="437"/>
        <v/>
      </c>
      <c r="OEO118" s="100" t="str">
        <f t="shared" si="437"/>
        <v/>
      </c>
      <c r="OEP118" s="100" t="str">
        <f t="shared" si="437"/>
        <v/>
      </c>
      <c r="OEQ118" s="100" t="str">
        <f t="shared" si="437"/>
        <v/>
      </c>
      <c r="OER118" s="100" t="str">
        <f t="shared" si="437"/>
        <v/>
      </c>
      <c r="OES118" s="100" t="str">
        <f t="shared" si="437"/>
        <v/>
      </c>
      <c r="OET118" s="100" t="str">
        <f t="shared" si="437"/>
        <v/>
      </c>
      <c r="OEU118" s="100" t="str">
        <f t="shared" si="437"/>
        <v/>
      </c>
      <c r="OEV118" s="100" t="str">
        <f t="shared" si="437"/>
        <v/>
      </c>
      <c r="OEW118" s="100" t="str">
        <f t="shared" si="437"/>
        <v/>
      </c>
      <c r="OEX118" s="100" t="str">
        <f t="shared" si="437"/>
        <v/>
      </c>
      <c r="OEY118" s="100" t="str">
        <f t="shared" si="437"/>
        <v/>
      </c>
      <c r="OEZ118" s="100" t="str">
        <f t="shared" si="437"/>
        <v/>
      </c>
      <c r="OFA118" s="100" t="str">
        <f t="shared" si="437"/>
        <v/>
      </c>
      <c r="OFB118" s="100" t="str">
        <f t="shared" si="437"/>
        <v/>
      </c>
      <c r="OFC118" s="100" t="str">
        <f t="shared" si="437"/>
        <v/>
      </c>
      <c r="OFD118" s="100" t="str">
        <f t="shared" si="437"/>
        <v/>
      </c>
      <c r="OFE118" s="100" t="str">
        <f t="shared" si="437"/>
        <v/>
      </c>
      <c r="OFF118" s="100" t="str">
        <f t="shared" si="437"/>
        <v/>
      </c>
      <c r="OFG118" s="100" t="str">
        <f t="shared" si="437"/>
        <v/>
      </c>
      <c r="OFH118" s="100" t="str">
        <f t="shared" si="437"/>
        <v/>
      </c>
      <c r="OFI118" s="100" t="str">
        <f t="shared" si="437"/>
        <v/>
      </c>
      <c r="OFJ118" s="100" t="str">
        <f t="shared" si="437"/>
        <v/>
      </c>
      <c r="OFK118" s="100" t="str">
        <f t="shared" si="437"/>
        <v/>
      </c>
      <c r="OFL118" s="100" t="str">
        <f t="shared" si="437"/>
        <v/>
      </c>
      <c r="OFM118" s="100" t="str">
        <f t="shared" ref="OFM118:OHX118" si="438">IFERROR(AVERAGE(OFM6,OFM16,OFM25,OFM34,OFM42,OFM54,OFM62,OFM70,OFM78,OFM86,OFM94,OFM102,OFM110),"")</f>
        <v/>
      </c>
      <c r="OFN118" s="100" t="str">
        <f t="shared" si="438"/>
        <v/>
      </c>
      <c r="OFO118" s="100" t="str">
        <f t="shared" si="438"/>
        <v/>
      </c>
      <c r="OFP118" s="100" t="str">
        <f t="shared" si="438"/>
        <v/>
      </c>
      <c r="OFQ118" s="100" t="str">
        <f t="shared" si="438"/>
        <v/>
      </c>
      <c r="OFR118" s="100" t="str">
        <f t="shared" si="438"/>
        <v/>
      </c>
      <c r="OFS118" s="100" t="str">
        <f t="shared" si="438"/>
        <v/>
      </c>
      <c r="OFT118" s="100" t="str">
        <f t="shared" si="438"/>
        <v/>
      </c>
      <c r="OFU118" s="100" t="str">
        <f t="shared" si="438"/>
        <v/>
      </c>
      <c r="OFV118" s="100" t="str">
        <f t="shared" si="438"/>
        <v/>
      </c>
      <c r="OFW118" s="100" t="str">
        <f t="shared" si="438"/>
        <v/>
      </c>
      <c r="OFX118" s="100" t="str">
        <f t="shared" si="438"/>
        <v/>
      </c>
      <c r="OFY118" s="100" t="str">
        <f t="shared" si="438"/>
        <v/>
      </c>
      <c r="OFZ118" s="100" t="str">
        <f t="shared" si="438"/>
        <v/>
      </c>
      <c r="OGA118" s="100" t="str">
        <f t="shared" si="438"/>
        <v/>
      </c>
      <c r="OGB118" s="100" t="str">
        <f t="shared" si="438"/>
        <v/>
      </c>
      <c r="OGC118" s="100" t="str">
        <f t="shared" si="438"/>
        <v/>
      </c>
      <c r="OGD118" s="100" t="str">
        <f t="shared" si="438"/>
        <v/>
      </c>
      <c r="OGE118" s="100" t="str">
        <f t="shared" si="438"/>
        <v/>
      </c>
      <c r="OGF118" s="100" t="str">
        <f t="shared" si="438"/>
        <v/>
      </c>
      <c r="OGG118" s="100" t="str">
        <f t="shared" si="438"/>
        <v/>
      </c>
      <c r="OGH118" s="100" t="str">
        <f t="shared" si="438"/>
        <v/>
      </c>
      <c r="OGI118" s="100" t="str">
        <f t="shared" si="438"/>
        <v/>
      </c>
      <c r="OGJ118" s="100" t="str">
        <f t="shared" si="438"/>
        <v/>
      </c>
      <c r="OGK118" s="100" t="str">
        <f t="shared" si="438"/>
        <v/>
      </c>
      <c r="OGL118" s="100" t="str">
        <f t="shared" si="438"/>
        <v/>
      </c>
      <c r="OGM118" s="100" t="str">
        <f t="shared" si="438"/>
        <v/>
      </c>
      <c r="OGN118" s="100" t="str">
        <f t="shared" si="438"/>
        <v/>
      </c>
      <c r="OGO118" s="100" t="str">
        <f t="shared" si="438"/>
        <v/>
      </c>
      <c r="OGP118" s="100" t="str">
        <f t="shared" si="438"/>
        <v/>
      </c>
      <c r="OGQ118" s="100" t="str">
        <f t="shared" si="438"/>
        <v/>
      </c>
      <c r="OGR118" s="100" t="str">
        <f t="shared" si="438"/>
        <v/>
      </c>
      <c r="OGS118" s="100" t="str">
        <f t="shared" si="438"/>
        <v/>
      </c>
      <c r="OGT118" s="100" t="str">
        <f t="shared" si="438"/>
        <v/>
      </c>
      <c r="OGU118" s="100" t="str">
        <f t="shared" si="438"/>
        <v/>
      </c>
      <c r="OGV118" s="100" t="str">
        <f t="shared" si="438"/>
        <v/>
      </c>
      <c r="OGW118" s="100" t="str">
        <f t="shared" si="438"/>
        <v/>
      </c>
      <c r="OGX118" s="100" t="str">
        <f t="shared" si="438"/>
        <v/>
      </c>
      <c r="OGY118" s="100" t="str">
        <f t="shared" si="438"/>
        <v/>
      </c>
      <c r="OGZ118" s="100" t="str">
        <f t="shared" si="438"/>
        <v/>
      </c>
      <c r="OHA118" s="100" t="str">
        <f t="shared" si="438"/>
        <v/>
      </c>
      <c r="OHB118" s="100" t="str">
        <f t="shared" si="438"/>
        <v/>
      </c>
      <c r="OHC118" s="100" t="str">
        <f t="shared" si="438"/>
        <v/>
      </c>
      <c r="OHD118" s="100" t="str">
        <f t="shared" si="438"/>
        <v/>
      </c>
      <c r="OHE118" s="100" t="str">
        <f t="shared" si="438"/>
        <v/>
      </c>
      <c r="OHF118" s="100" t="str">
        <f t="shared" si="438"/>
        <v/>
      </c>
      <c r="OHG118" s="100" t="str">
        <f t="shared" si="438"/>
        <v/>
      </c>
      <c r="OHH118" s="100" t="str">
        <f t="shared" si="438"/>
        <v/>
      </c>
      <c r="OHI118" s="100" t="str">
        <f t="shared" si="438"/>
        <v/>
      </c>
      <c r="OHJ118" s="100" t="str">
        <f t="shared" si="438"/>
        <v/>
      </c>
      <c r="OHK118" s="100" t="str">
        <f t="shared" si="438"/>
        <v/>
      </c>
      <c r="OHL118" s="100" t="str">
        <f t="shared" si="438"/>
        <v/>
      </c>
      <c r="OHM118" s="100" t="str">
        <f t="shared" si="438"/>
        <v/>
      </c>
      <c r="OHN118" s="100" t="str">
        <f t="shared" si="438"/>
        <v/>
      </c>
      <c r="OHO118" s="100" t="str">
        <f t="shared" si="438"/>
        <v/>
      </c>
      <c r="OHP118" s="100" t="str">
        <f t="shared" si="438"/>
        <v/>
      </c>
      <c r="OHQ118" s="100" t="str">
        <f t="shared" si="438"/>
        <v/>
      </c>
      <c r="OHR118" s="100" t="str">
        <f t="shared" si="438"/>
        <v/>
      </c>
      <c r="OHS118" s="100" t="str">
        <f t="shared" si="438"/>
        <v/>
      </c>
      <c r="OHT118" s="100" t="str">
        <f t="shared" si="438"/>
        <v/>
      </c>
      <c r="OHU118" s="100" t="str">
        <f t="shared" si="438"/>
        <v/>
      </c>
      <c r="OHV118" s="100" t="str">
        <f t="shared" si="438"/>
        <v/>
      </c>
      <c r="OHW118" s="100" t="str">
        <f t="shared" si="438"/>
        <v/>
      </c>
      <c r="OHX118" s="100" t="str">
        <f t="shared" si="438"/>
        <v/>
      </c>
      <c r="OHY118" s="100" t="str">
        <f t="shared" ref="OHY118:OKJ118" si="439">IFERROR(AVERAGE(OHY6,OHY16,OHY25,OHY34,OHY42,OHY54,OHY62,OHY70,OHY78,OHY86,OHY94,OHY102,OHY110),"")</f>
        <v/>
      </c>
      <c r="OHZ118" s="100" t="str">
        <f t="shared" si="439"/>
        <v/>
      </c>
      <c r="OIA118" s="100" t="str">
        <f t="shared" si="439"/>
        <v/>
      </c>
      <c r="OIB118" s="100" t="str">
        <f t="shared" si="439"/>
        <v/>
      </c>
      <c r="OIC118" s="100" t="str">
        <f t="shared" si="439"/>
        <v/>
      </c>
      <c r="OID118" s="100" t="str">
        <f t="shared" si="439"/>
        <v/>
      </c>
      <c r="OIE118" s="100" t="str">
        <f t="shared" si="439"/>
        <v/>
      </c>
      <c r="OIF118" s="100" t="str">
        <f t="shared" si="439"/>
        <v/>
      </c>
      <c r="OIG118" s="100" t="str">
        <f t="shared" si="439"/>
        <v/>
      </c>
      <c r="OIH118" s="100" t="str">
        <f t="shared" si="439"/>
        <v/>
      </c>
      <c r="OII118" s="100" t="str">
        <f t="shared" si="439"/>
        <v/>
      </c>
      <c r="OIJ118" s="100" t="str">
        <f t="shared" si="439"/>
        <v/>
      </c>
      <c r="OIK118" s="100" t="str">
        <f t="shared" si="439"/>
        <v/>
      </c>
      <c r="OIL118" s="100" t="str">
        <f t="shared" si="439"/>
        <v/>
      </c>
      <c r="OIM118" s="100" t="str">
        <f t="shared" si="439"/>
        <v/>
      </c>
      <c r="OIN118" s="100" t="str">
        <f t="shared" si="439"/>
        <v/>
      </c>
      <c r="OIO118" s="100" t="str">
        <f t="shared" si="439"/>
        <v/>
      </c>
      <c r="OIP118" s="100" t="str">
        <f t="shared" si="439"/>
        <v/>
      </c>
      <c r="OIQ118" s="100" t="str">
        <f t="shared" si="439"/>
        <v/>
      </c>
      <c r="OIR118" s="100" t="str">
        <f t="shared" si="439"/>
        <v/>
      </c>
      <c r="OIS118" s="100" t="str">
        <f t="shared" si="439"/>
        <v/>
      </c>
      <c r="OIT118" s="100" t="str">
        <f t="shared" si="439"/>
        <v/>
      </c>
      <c r="OIU118" s="100" t="str">
        <f t="shared" si="439"/>
        <v/>
      </c>
      <c r="OIV118" s="100" t="str">
        <f t="shared" si="439"/>
        <v/>
      </c>
      <c r="OIW118" s="100" t="str">
        <f t="shared" si="439"/>
        <v/>
      </c>
      <c r="OIX118" s="100" t="str">
        <f t="shared" si="439"/>
        <v/>
      </c>
      <c r="OIY118" s="100" t="str">
        <f t="shared" si="439"/>
        <v/>
      </c>
      <c r="OIZ118" s="100" t="str">
        <f t="shared" si="439"/>
        <v/>
      </c>
      <c r="OJA118" s="100" t="str">
        <f t="shared" si="439"/>
        <v/>
      </c>
      <c r="OJB118" s="100" t="str">
        <f t="shared" si="439"/>
        <v/>
      </c>
      <c r="OJC118" s="100" t="str">
        <f t="shared" si="439"/>
        <v/>
      </c>
      <c r="OJD118" s="100" t="str">
        <f t="shared" si="439"/>
        <v/>
      </c>
      <c r="OJE118" s="100" t="str">
        <f t="shared" si="439"/>
        <v/>
      </c>
      <c r="OJF118" s="100" t="str">
        <f t="shared" si="439"/>
        <v/>
      </c>
      <c r="OJG118" s="100" t="str">
        <f t="shared" si="439"/>
        <v/>
      </c>
      <c r="OJH118" s="100" t="str">
        <f t="shared" si="439"/>
        <v/>
      </c>
      <c r="OJI118" s="100" t="str">
        <f t="shared" si="439"/>
        <v/>
      </c>
      <c r="OJJ118" s="100" t="str">
        <f t="shared" si="439"/>
        <v/>
      </c>
      <c r="OJK118" s="100" t="str">
        <f t="shared" si="439"/>
        <v/>
      </c>
      <c r="OJL118" s="100" t="str">
        <f t="shared" si="439"/>
        <v/>
      </c>
      <c r="OJM118" s="100" t="str">
        <f t="shared" si="439"/>
        <v/>
      </c>
      <c r="OJN118" s="100" t="str">
        <f t="shared" si="439"/>
        <v/>
      </c>
      <c r="OJO118" s="100" t="str">
        <f t="shared" si="439"/>
        <v/>
      </c>
      <c r="OJP118" s="100" t="str">
        <f t="shared" si="439"/>
        <v/>
      </c>
      <c r="OJQ118" s="100" t="str">
        <f t="shared" si="439"/>
        <v/>
      </c>
      <c r="OJR118" s="100" t="str">
        <f t="shared" si="439"/>
        <v/>
      </c>
      <c r="OJS118" s="100" t="str">
        <f t="shared" si="439"/>
        <v/>
      </c>
      <c r="OJT118" s="100" t="str">
        <f t="shared" si="439"/>
        <v/>
      </c>
      <c r="OJU118" s="100" t="str">
        <f t="shared" si="439"/>
        <v/>
      </c>
      <c r="OJV118" s="100" t="str">
        <f t="shared" si="439"/>
        <v/>
      </c>
      <c r="OJW118" s="100" t="str">
        <f t="shared" si="439"/>
        <v/>
      </c>
      <c r="OJX118" s="100" t="str">
        <f t="shared" si="439"/>
        <v/>
      </c>
      <c r="OJY118" s="100" t="str">
        <f t="shared" si="439"/>
        <v/>
      </c>
      <c r="OJZ118" s="100" t="str">
        <f t="shared" si="439"/>
        <v/>
      </c>
      <c r="OKA118" s="100" t="str">
        <f t="shared" si="439"/>
        <v/>
      </c>
      <c r="OKB118" s="100" t="str">
        <f t="shared" si="439"/>
        <v/>
      </c>
      <c r="OKC118" s="100" t="str">
        <f t="shared" si="439"/>
        <v/>
      </c>
      <c r="OKD118" s="100" t="str">
        <f t="shared" si="439"/>
        <v/>
      </c>
      <c r="OKE118" s="100" t="str">
        <f t="shared" si="439"/>
        <v/>
      </c>
      <c r="OKF118" s="100" t="str">
        <f t="shared" si="439"/>
        <v/>
      </c>
      <c r="OKG118" s="100" t="str">
        <f t="shared" si="439"/>
        <v/>
      </c>
      <c r="OKH118" s="100" t="str">
        <f t="shared" si="439"/>
        <v/>
      </c>
      <c r="OKI118" s="100" t="str">
        <f t="shared" si="439"/>
        <v/>
      </c>
      <c r="OKJ118" s="100" t="str">
        <f t="shared" si="439"/>
        <v/>
      </c>
      <c r="OKK118" s="100" t="str">
        <f t="shared" ref="OKK118:OMV118" si="440">IFERROR(AVERAGE(OKK6,OKK16,OKK25,OKK34,OKK42,OKK54,OKK62,OKK70,OKK78,OKK86,OKK94,OKK102,OKK110),"")</f>
        <v/>
      </c>
      <c r="OKL118" s="100" t="str">
        <f t="shared" si="440"/>
        <v/>
      </c>
      <c r="OKM118" s="100" t="str">
        <f t="shared" si="440"/>
        <v/>
      </c>
      <c r="OKN118" s="100" t="str">
        <f t="shared" si="440"/>
        <v/>
      </c>
      <c r="OKO118" s="100" t="str">
        <f t="shared" si="440"/>
        <v/>
      </c>
      <c r="OKP118" s="100" t="str">
        <f t="shared" si="440"/>
        <v/>
      </c>
      <c r="OKQ118" s="100" t="str">
        <f t="shared" si="440"/>
        <v/>
      </c>
      <c r="OKR118" s="100" t="str">
        <f t="shared" si="440"/>
        <v/>
      </c>
      <c r="OKS118" s="100" t="str">
        <f t="shared" si="440"/>
        <v/>
      </c>
      <c r="OKT118" s="100" t="str">
        <f t="shared" si="440"/>
        <v/>
      </c>
      <c r="OKU118" s="100" t="str">
        <f t="shared" si="440"/>
        <v/>
      </c>
      <c r="OKV118" s="100" t="str">
        <f t="shared" si="440"/>
        <v/>
      </c>
      <c r="OKW118" s="100" t="str">
        <f t="shared" si="440"/>
        <v/>
      </c>
      <c r="OKX118" s="100" t="str">
        <f t="shared" si="440"/>
        <v/>
      </c>
      <c r="OKY118" s="100" t="str">
        <f t="shared" si="440"/>
        <v/>
      </c>
      <c r="OKZ118" s="100" t="str">
        <f t="shared" si="440"/>
        <v/>
      </c>
      <c r="OLA118" s="100" t="str">
        <f t="shared" si="440"/>
        <v/>
      </c>
      <c r="OLB118" s="100" t="str">
        <f t="shared" si="440"/>
        <v/>
      </c>
      <c r="OLC118" s="100" t="str">
        <f t="shared" si="440"/>
        <v/>
      </c>
      <c r="OLD118" s="100" t="str">
        <f t="shared" si="440"/>
        <v/>
      </c>
      <c r="OLE118" s="100" t="str">
        <f t="shared" si="440"/>
        <v/>
      </c>
      <c r="OLF118" s="100" t="str">
        <f t="shared" si="440"/>
        <v/>
      </c>
      <c r="OLG118" s="100" t="str">
        <f t="shared" si="440"/>
        <v/>
      </c>
      <c r="OLH118" s="100" t="str">
        <f t="shared" si="440"/>
        <v/>
      </c>
      <c r="OLI118" s="100" t="str">
        <f t="shared" si="440"/>
        <v/>
      </c>
      <c r="OLJ118" s="100" t="str">
        <f t="shared" si="440"/>
        <v/>
      </c>
      <c r="OLK118" s="100" t="str">
        <f t="shared" si="440"/>
        <v/>
      </c>
      <c r="OLL118" s="100" t="str">
        <f t="shared" si="440"/>
        <v/>
      </c>
      <c r="OLM118" s="100" t="str">
        <f t="shared" si="440"/>
        <v/>
      </c>
      <c r="OLN118" s="100" t="str">
        <f t="shared" si="440"/>
        <v/>
      </c>
      <c r="OLO118" s="100" t="str">
        <f t="shared" si="440"/>
        <v/>
      </c>
      <c r="OLP118" s="100" t="str">
        <f t="shared" si="440"/>
        <v/>
      </c>
      <c r="OLQ118" s="100" t="str">
        <f t="shared" si="440"/>
        <v/>
      </c>
      <c r="OLR118" s="100" t="str">
        <f t="shared" si="440"/>
        <v/>
      </c>
      <c r="OLS118" s="100" t="str">
        <f t="shared" si="440"/>
        <v/>
      </c>
      <c r="OLT118" s="100" t="str">
        <f t="shared" si="440"/>
        <v/>
      </c>
      <c r="OLU118" s="100" t="str">
        <f t="shared" si="440"/>
        <v/>
      </c>
      <c r="OLV118" s="100" t="str">
        <f t="shared" si="440"/>
        <v/>
      </c>
      <c r="OLW118" s="100" t="str">
        <f t="shared" si="440"/>
        <v/>
      </c>
      <c r="OLX118" s="100" t="str">
        <f t="shared" si="440"/>
        <v/>
      </c>
      <c r="OLY118" s="100" t="str">
        <f t="shared" si="440"/>
        <v/>
      </c>
      <c r="OLZ118" s="100" t="str">
        <f t="shared" si="440"/>
        <v/>
      </c>
      <c r="OMA118" s="100" t="str">
        <f t="shared" si="440"/>
        <v/>
      </c>
      <c r="OMB118" s="100" t="str">
        <f t="shared" si="440"/>
        <v/>
      </c>
      <c r="OMC118" s="100" t="str">
        <f t="shared" si="440"/>
        <v/>
      </c>
      <c r="OMD118" s="100" t="str">
        <f t="shared" si="440"/>
        <v/>
      </c>
      <c r="OME118" s="100" t="str">
        <f t="shared" si="440"/>
        <v/>
      </c>
      <c r="OMF118" s="100" t="str">
        <f t="shared" si="440"/>
        <v/>
      </c>
      <c r="OMG118" s="100" t="str">
        <f t="shared" si="440"/>
        <v/>
      </c>
      <c r="OMH118" s="100" t="str">
        <f t="shared" si="440"/>
        <v/>
      </c>
      <c r="OMI118" s="100" t="str">
        <f t="shared" si="440"/>
        <v/>
      </c>
      <c r="OMJ118" s="100" t="str">
        <f t="shared" si="440"/>
        <v/>
      </c>
      <c r="OMK118" s="100" t="str">
        <f t="shared" si="440"/>
        <v/>
      </c>
      <c r="OML118" s="100" t="str">
        <f t="shared" si="440"/>
        <v/>
      </c>
      <c r="OMM118" s="100" t="str">
        <f t="shared" si="440"/>
        <v/>
      </c>
      <c r="OMN118" s="100" t="str">
        <f t="shared" si="440"/>
        <v/>
      </c>
      <c r="OMO118" s="100" t="str">
        <f t="shared" si="440"/>
        <v/>
      </c>
      <c r="OMP118" s="100" t="str">
        <f t="shared" si="440"/>
        <v/>
      </c>
      <c r="OMQ118" s="100" t="str">
        <f t="shared" si="440"/>
        <v/>
      </c>
      <c r="OMR118" s="100" t="str">
        <f t="shared" si="440"/>
        <v/>
      </c>
      <c r="OMS118" s="100" t="str">
        <f t="shared" si="440"/>
        <v/>
      </c>
      <c r="OMT118" s="100" t="str">
        <f t="shared" si="440"/>
        <v/>
      </c>
      <c r="OMU118" s="100" t="str">
        <f t="shared" si="440"/>
        <v/>
      </c>
      <c r="OMV118" s="100" t="str">
        <f t="shared" si="440"/>
        <v/>
      </c>
      <c r="OMW118" s="100" t="str">
        <f t="shared" ref="OMW118:OPH118" si="441">IFERROR(AVERAGE(OMW6,OMW16,OMW25,OMW34,OMW42,OMW54,OMW62,OMW70,OMW78,OMW86,OMW94,OMW102,OMW110),"")</f>
        <v/>
      </c>
      <c r="OMX118" s="100" t="str">
        <f t="shared" si="441"/>
        <v/>
      </c>
      <c r="OMY118" s="100" t="str">
        <f t="shared" si="441"/>
        <v/>
      </c>
      <c r="OMZ118" s="100" t="str">
        <f t="shared" si="441"/>
        <v/>
      </c>
      <c r="ONA118" s="100" t="str">
        <f t="shared" si="441"/>
        <v/>
      </c>
      <c r="ONB118" s="100" t="str">
        <f t="shared" si="441"/>
        <v/>
      </c>
      <c r="ONC118" s="100" t="str">
        <f t="shared" si="441"/>
        <v/>
      </c>
      <c r="OND118" s="100" t="str">
        <f t="shared" si="441"/>
        <v/>
      </c>
      <c r="ONE118" s="100" t="str">
        <f t="shared" si="441"/>
        <v/>
      </c>
      <c r="ONF118" s="100" t="str">
        <f t="shared" si="441"/>
        <v/>
      </c>
      <c r="ONG118" s="100" t="str">
        <f t="shared" si="441"/>
        <v/>
      </c>
      <c r="ONH118" s="100" t="str">
        <f t="shared" si="441"/>
        <v/>
      </c>
      <c r="ONI118" s="100" t="str">
        <f t="shared" si="441"/>
        <v/>
      </c>
      <c r="ONJ118" s="100" t="str">
        <f t="shared" si="441"/>
        <v/>
      </c>
      <c r="ONK118" s="100" t="str">
        <f t="shared" si="441"/>
        <v/>
      </c>
      <c r="ONL118" s="100" t="str">
        <f t="shared" si="441"/>
        <v/>
      </c>
      <c r="ONM118" s="100" t="str">
        <f t="shared" si="441"/>
        <v/>
      </c>
      <c r="ONN118" s="100" t="str">
        <f t="shared" si="441"/>
        <v/>
      </c>
      <c r="ONO118" s="100" t="str">
        <f t="shared" si="441"/>
        <v/>
      </c>
      <c r="ONP118" s="100" t="str">
        <f t="shared" si="441"/>
        <v/>
      </c>
      <c r="ONQ118" s="100" t="str">
        <f t="shared" si="441"/>
        <v/>
      </c>
      <c r="ONR118" s="100" t="str">
        <f t="shared" si="441"/>
        <v/>
      </c>
      <c r="ONS118" s="100" t="str">
        <f t="shared" si="441"/>
        <v/>
      </c>
      <c r="ONT118" s="100" t="str">
        <f t="shared" si="441"/>
        <v/>
      </c>
      <c r="ONU118" s="100" t="str">
        <f t="shared" si="441"/>
        <v/>
      </c>
      <c r="ONV118" s="100" t="str">
        <f t="shared" si="441"/>
        <v/>
      </c>
      <c r="ONW118" s="100" t="str">
        <f t="shared" si="441"/>
        <v/>
      </c>
      <c r="ONX118" s="100" t="str">
        <f t="shared" si="441"/>
        <v/>
      </c>
      <c r="ONY118" s="100" t="str">
        <f t="shared" si="441"/>
        <v/>
      </c>
      <c r="ONZ118" s="100" t="str">
        <f t="shared" si="441"/>
        <v/>
      </c>
      <c r="OOA118" s="100" t="str">
        <f t="shared" si="441"/>
        <v/>
      </c>
      <c r="OOB118" s="100" t="str">
        <f t="shared" si="441"/>
        <v/>
      </c>
      <c r="OOC118" s="100" t="str">
        <f t="shared" si="441"/>
        <v/>
      </c>
      <c r="OOD118" s="100" t="str">
        <f t="shared" si="441"/>
        <v/>
      </c>
      <c r="OOE118" s="100" t="str">
        <f t="shared" si="441"/>
        <v/>
      </c>
      <c r="OOF118" s="100" t="str">
        <f t="shared" si="441"/>
        <v/>
      </c>
      <c r="OOG118" s="100" t="str">
        <f t="shared" si="441"/>
        <v/>
      </c>
      <c r="OOH118" s="100" t="str">
        <f t="shared" si="441"/>
        <v/>
      </c>
      <c r="OOI118" s="100" t="str">
        <f t="shared" si="441"/>
        <v/>
      </c>
      <c r="OOJ118" s="100" t="str">
        <f t="shared" si="441"/>
        <v/>
      </c>
      <c r="OOK118" s="100" t="str">
        <f t="shared" si="441"/>
        <v/>
      </c>
      <c r="OOL118" s="100" t="str">
        <f t="shared" si="441"/>
        <v/>
      </c>
      <c r="OOM118" s="100" t="str">
        <f t="shared" si="441"/>
        <v/>
      </c>
      <c r="OON118" s="100" t="str">
        <f t="shared" si="441"/>
        <v/>
      </c>
      <c r="OOO118" s="100" t="str">
        <f t="shared" si="441"/>
        <v/>
      </c>
      <c r="OOP118" s="100" t="str">
        <f t="shared" si="441"/>
        <v/>
      </c>
      <c r="OOQ118" s="100" t="str">
        <f t="shared" si="441"/>
        <v/>
      </c>
      <c r="OOR118" s="100" t="str">
        <f t="shared" si="441"/>
        <v/>
      </c>
      <c r="OOS118" s="100" t="str">
        <f t="shared" si="441"/>
        <v/>
      </c>
      <c r="OOT118" s="100" t="str">
        <f t="shared" si="441"/>
        <v/>
      </c>
      <c r="OOU118" s="100" t="str">
        <f t="shared" si="441"/>
        <v/>
      </c>
      <c r="OOV118" s="100" t="str">
        <f t="shared" si="441"/>
        <v/>
      </c>
      <c r="OOW118" s="100" t="str">
        <f t="shared" si="441"/>
        <v/>
      </c>
      <c r="OOX118" s="100" t="str">
        <f t="shared" si="441"/>
        <v/>
      </c>
      <c r="OOY118" s="100" t="str">
        <f t="shared" si="441"/>
        <v/>
      </c>
      <c r="OOZ118" s="100" t="str">
        <f t="shared" si="441"/>
        <v/>
      </c>
      <c r="OPA118" s="100" t="str">
        <f t="shared" si="441"/>
        <v/>
      </c>
      <c r="OPB118" s="100" t="str">
        <f t="shared" si="441"/>
        <v/>
      </c>
      <c r="OPC118" s="100" t="str">
        <f t="shared" si="441"/>
        <v/>
      </c>
      <c r="OPD118" s="100" t="str">
        <f t="shared" si="441"/>
        <v/>
      </c>
      <c r="OPE118" s="100" t="str">
        <f t="shared" si="441"/>
        <v/>
      </c>
      <c r="OPF118" s="100" t="str">
        <f t="shared" si="441"/>
        <v/>
      </c>
      <c r="OPG118" s="100" t="str">
        <f t="shared" si="441"/>
        <v/>
      </c>
      <c r="OPH118" s="100" t="str">
        <f t="shared" si="441"/>
        <v/>
      </c>
      <c r="OPI118" s="100" t="str">
        <f t="shared" ref="OPI118:ORT118" si="442">IFERROR(AVERAGE(OPI6,OPI16,OPI25,OPI34,OPI42,OPI54,OPI62,OPI70,OPI78,OPI86,OPI94,OPI102,OPI110),"")</f>
        <v/>
      </c>
      <c r="OPJ118" s="100" t="str">
        <f t="shared" si="442"/>
        <v/>
      </c>
      <c r="OPK118" s="100" t="str">
        <f t="shared" si="442"/>
        <v/>
      </c>
      <c r="OPL118" s="100" t="str">
        <f t="shared" si="442"/>
        <v/>
      </c>
      <c r="OPM118" s="100" t="str">
        <f t="shared" si="442"/>
        <v/>
      </c>
      <c r="OPN118" s="100" t="str">
        <f t="shared" si="442"/>
        <v/>
      </c>
      <c r="OPO118" s="100" t="str">
        <f t="shared" si="442"/>
        <v/>
      </c>
      <c r="OPP118" s="100" t="str">
        <f t="shared" si="442"/>
        <v/>
      </c>
      <c r="OPQ118" s="100" t="str">
        <f t="shared" si="442"/>
        <v/>
      </c>
      <c r="OPR118" s="100" t="str">
        <f t="shared" si="442"/>
        <v/>
      </c>
      <c r="OPS118" s="100" t="str">
        <f t="shared" si="442"/>
        <v/>
      </c>
      <c r="OPT118" s="100" t="str">
        <f t="shared" si="442"/>
        <v/>
      </c>
      <c r="OPU118" s="100" t="str">
        <f t="shared" si="442"/>
        <v/>
      </c>
      <c r="OPV118" s="100" t="str">
        <f t="shared" si="442"/>
        <v/>
      </c>
      <c r="OPW118" s="100" t="str">
        <f t="shared" si="442"/>
        <v/>
      </c>
      <c r="OPX118" s="100" t="str">
        <f t="shared" si="442"/>
        <v/>
      </c>
      <c r="OPY118" s="100" t="str">
        <f t="shared" si="442"/>
        <v/>
      </c>
      <c r="OPZ118" s="100" t="str">
        <f t="shared" si="442"/>
        <v/>
      </c>
      <c r="OQA118" s="100" t="str">
        <f t="shared" si="442"/>
        <v/>
      </c>
      <c r="OQB118" s="100" t="str">
        <f t="shared" si="442"/>
        <v/>
      </c>
      <c r="OQC118" s="100" t="str">
        <f t="shared" si="442"/>
        <v/>
      </c>
      <c r="OQD118" s="100" t="str">
        <f t="shared" si="442"/>
        <v/>
      </c>
      <c r="OQE118" s="100" t="str">
        <f t="shared" si="442"/>
        <v/>
      </c>
      <c r="OQF118" s="100" t="str">
        <f t="shared" si="442"/>
        <v/>
      </c>
      <c r="OQG118" s="100" t="str">
        <f t="shared" si="442"/>
        <v/>
      </c>
      <c r="OQH118" s="100" t="str">
        <f t="shared" si="442"/>
        <v/>
      </c>
      <c r="OQI118" s="100" t="str">
        <f t="shared" si="442"/>
        <v/>
      </c>
      <c r="OQJ118" s="100" t="str">
        <f t="shared" si="442"/>
        <v/>
      </c>
      <c r="OQK118" s="100" t="str">
        <f t="shared" si="442"/>
        <v/>
      </c>
      <c r="OQL118" s="100" t="str">
        <f t="shared" si="442"/>
        <v/>
      </c>
      <c r="OQM118" s="100" t="str">
        <f t="shared" si="442"/>
        <v/>
      </c>
      <c r="OQN118" s="100" t="str">
        <f t="shared" si="442"/>
        <v/>
      </c>
      <c r="OQO118" s="100" t="str">
        <f t="shared" si="442"/>
        <v/>
      </c>
      <c r="OQP118" s="100" t="str">
        <f t="shared" si="442"/>
        <v/>
      </c>
      <c r="OQQ118" s="100" t="str">
        <f t="shared" si="442"/>
        <v/>
      </c>
      <c r="OQR118" s="100" t="str">
        <f t="shared" si="442"/>
        <v/>
      </c>
      <c r="OQS118" s="100" t="str">
        <f t="shared" si="442"/>
        <v/>
      </c>
      <c r="OQT118" s="100" t="str">
        <f t="shared" si="442"/>
        <v/>
      </c>
      <c r="OQU118" s="100" t="str">
        <f t="shared" si="442"/>
        <v/>
      </c>
      <c r="OQV118" s="100" t="str">
        <f t="shared" si="442"/>
        <v/>
      </c>
      <c r="OQW118" s="100" t="str">
        <f t="shared" si="442"/>
        <v/>
      </c>
      <c r="OQX118" s="100" t="str">
        <f t="shared" si="442"/>
        <v/>
      </c>
      <c r="OQY118" s="100" t="str">
        <f t="shared" si="442"/>
        <v/>
      </c>
      <c r="OQZ118" s="100" t="str">
        <f t="shared" si="442"/>
        <v/>
      </c>
      <c r="ORA118" s="100" t="str">
        <f t="shared" si="442"/>
        <v/>
      </c>
      <c r="ORB118" s="100" t="str">
        <f t="shared" si="442"/>
        <v/>
      </c>
      <c r="ORC118" s="100" t="str">
        <f t="shared" si="442"/>
        <v/>
      </c>
      <c r="ORD118" s="100" t="str">
        <f t="shared" si="442"/>
        <v/>
      </c>
      <c r="ORE118" s="100" t="str">
        <f t="shared" si="442"/>
        <v/>
      </c>
      <c r="ORF118" s="100" t="str">
        <f t="shared" si="442"/>
        <v/>
      </c>
      <c r="ORG118" s="100" t="str">
        <f t="shared" si="442"/>
        <v/>
      </c>
      <c r="ORH118" s="100" t="str">
        <f t="shared" si="442"/>
        <v/>
      </c>
      <c r="ORI118" s="100" t="str">
        <f t="shared" si="442"/>
        <v/>
      </c>
      <c r="ORJ118" s="100" t="str">
        <f t="shared" si="442"/>
        <v/>
      </c>
      <c r="ORK118" s="100" t="str">
        <f t="shared" si="442"/>
        <v/>
      </c>
      <c r="ORL118" s="100" t="str">
        <f t="shared" si="442"/>
        <v/>
      </c>
      <c r="ORM118" s="100" t="str">
        <f t="shared" si="442"/>
        <v/>
      </c>
      <c r="ORN118" s="100" t="str">
        <f t="shared" si="442"/>
        <v/>
      </c>
      <c r="ORO118" s="100" t="str">
        <f t="shared" si="442"/>
        <v/>
      </c>
      <c r="ORP118" s="100" t="str">
        <f t="shared" si="442"/>
        <v/>
      </c>
      <c r="ORQ118" s="100" t="str">
        <f t="shared" si="442"/>
        <v/>
      </c>
      <c r="ORR118" s="100" t="str">
        <f t="shared" si="442"/>
        <v/>
      </c>
      <c r="ORS118" s="100" t="str">
        <f t="shared" si="442"/>
        <v/>
      </c>
      <c r="ORT118" s="100" t="str">
        <f t="shared" si="442"/>
        <v/>
      </c>
      <c r="ORU118" s="100" t="str">
        <f t="shared" ref="ORU118:OUF118" si="443">IFERROR(AVERAGE(ORU6,ORU16,ORU25,ORU34,ORU42,ORU54,ORU62,ORU70,ORU78,ORU86,ORU94,ORU102,ORU110),"")</f>
        <v/>
      </c>
      <c r="ORV118" s="100" t="str">
        <f t="shared" si="443"/>
        <v/>
      </c>
      <c r="ORW118" s="100" t="str">
        <f t="shared" si="443"/>
        <v/>
      </c>
      <c r="ORX118" s="100" t="str">
        <f t="shared" si="443"/>
        <v/>
      </c>
      <c r="ORY118" s="100" t="str">
        <f t="shared" si="443"/>
        <v/>
      </c>
      <c r="ORZ118" s="100" t="str">
        <f t="shared" si="443"/>
        <v/>
      </c>
      <c r="OSA118" s="100" t="str">
        <f t="shared" si="443"/>
        <v/>
      </c>
      <c r="OSB118" s="100" t="str">
        <f t="shared" si="443"/>
        <v/>
      </c>
      <c r="OSC118" s="100" t="str">
        <f t="shared" si="443"/>
        <v/>
      </c>
      <c r="OSD118" s="100" t="str">
        <f t="shared" si="443"/>
        <v/>
      </c>
      <c r="OSE118" s="100" t="str">
        <f t="shared" si="443"/>
        <v/>
      </c>
      <c r="OSF118" s="100" t="str">
        <f t="shared" si="443"/>
        <v/>
      </c>
      <c r="OSG118" s="100" t="str">
        <f t="shared" si="443"/>
        <v/>
      </c>
      <c r="OSH118" s="100" t="str">
        <f t="shared" si="443"/>
        <v/>
      </c>
      <c r="OSI118" s="100" t="str">
        <f t="shared" si="443"/>
        <v/>
      </c>
      <c r="OSJ118" s="100" t="str">
        <f t="shared" si="443"/>
        <v/>
      </c>
      <c r="OSK118" s="100" t="str">
        <f t="shared" si="443"/>
        <v/>
      </c>
      <c r="OSL118" s="100" t="str">
        <f t="shared" si="443"/>
        <v/>
      </c>
      <c r="OSM118" s="100" t="str">
        <f t="shared" si="443"/>
        <v/>
      </c>
      <c r="OSN118" s="100" t="str">
        <f t="shared" si="443"/>
        <v/>
      </c>
      <c r="OSO118" s="100" t="str">
        <f t="shared" si="443"/>
        <v/>
      </c>
      <c r="OSP118" s="100" t="str">
        <f t="shared" si="443"/>
        <v/>
      </c>
      <c r="OSQ118" s="100" t="str">
        <f t="shared" si="443"/>
        <v/>
      </c>
      <c r="OSR118" s="100" t="str">
        <f t="shared" si="443"/>
        <v/>
      </c>
      <c r="OSS118" s="100" t="str">
        <f t="shared" si="443"/>
        <v/>
      </c>
      <c r="OST118" s="100" t="str">
        <f t="shared" si="443"/>
        <v/>
      </c>
      <c r="OSU118" s="100" t="str">
        <f t="shared" si="443"/>
        <v/>
      </c>
      <c r="OSV118" s="100" t="str">
        <f t="shared" si="443"/>
        <v/>
      </c>
      <c r="OSW118" s="100" t="str">
        <f t="shared" si="443"/>
        <v/>
      </c>
      <c r="OSX118" s="100" t="str">
        <f t="shared" si="443"/>
        <v/>
      </c>
      <c r="OSY118" s="100" t="str">
        <f t="shared" si="443"/>
        <v/>
      </c>
      <c r="OSZ118" s="100" t="str">
        <f t="shared" si="443"/>
        <v/>
      </c>
      <c r="OTA118" s="100" t="str">
        <f t="shared" si="443"/>
        <v/>
      </c>
      <c r="OTB118" s="100" t="str">
        <f t="shared" si="443"/>
        <v/>
      </c>
      <c r="OTC118" s="100" t="str">
        <f t="shared" si="443"/>
        <v/>
      </c>
      <c r="OTD118" s="100" t="str">
        <f t="shared" si="443"/>
        <v/>
      </c>
      <c r="OTE118" s="100" t="str">
        <f t="shared" si="443"/>
        <v/>
      </c>
      <c r="OTF118" s="100" t="str">
        <f t="shared" si="443"/>
        <v/>
      </c>
      <c r="OTG118" s="100" t="str">
        <f t="shared" si="443"/>
        <v/>
      </c>
      <c r="OTH118" s="100" t="str">
        <f t="shared" si="443"/>
        <v/>
      </c>
      <c r="OTI118" s="100" t="str">
        <f t="shared" si="443"/>
        <v/>
      </c>
      <c r="OTJ118" s="100" t="str">
        <f t="shared" si="443"/>
        <v/>
      </c>
      <c r="OTK118" s="100" t="str">
        <f t="shared" si="443"/>
        <v/>
      </c>
      <c r="OTL118" s="100" t="str">
        <f t="shared" si="443"/>
        <v/>
      </c>
      <c r="OTM118" s="100" t="str">
        <f t="shared" si="443"/>
        <v/>
      </c>
      <c r="OTN118" s="100" t="str">
        <f t="shared" si="443"/>
        <v/>
      </c>
      <c r="OTO118" s="100" t="str">
        <f t="shared" si="443"/>
        <v/>
      </c>
      <c r="OTP118" s="100" t="str">
        <f t="shared" si="443"/>
        <v/>
      </c>
      <c r="OTQ118" s="100" t="str">
        <f t="shared" si="443"/>
        <v/>
      </c>
      <c r="OTR118" s="100" t="str">
        <f t="shared" si="443"/>
        <v/>
      </c>
      <c r="OTS118" s="100" t="str">
        <f t="shared" si="443"/>
        <v/>
      </c>
      <c r="OTT118" s="100" t="str">
        <f t="shared" si="443"/>
        <v/>
      </c>
      <c r="OTU118" s="100" t="str">
        <f t="shared" si="443"/>
        <v/>
      </c>
      <c r="OTV118" s="100" t="str">
        <f t="shared" si="443"/>
        <v/>
      </c>
      <c r="OTW118" s="100" t="str">
        <f t="shared" si="443"/>
        <v/>
      </c>
      <c r="OTX118" s="100" t="str">
        <f t="shared" si="443"/>
        <v/>
      </c>
      <c r="OTY118" s="100" t="str">
        <f t="shared" si="443"/>
        <v/>
      </c>
      <c r="OTZ118" s="100" t="str">
        <f t="shared" si="443"/>
        <v/>
      </c>
      <c r="OUA118" s="100" t="str">
        <f t="shared" si="443"/>
        <v/>
      </c>
      <c r="OUB118" s="100" t="str">
        <f t="shared" si="443"/>
        <v/>
      </c>
      <c r="OUC118" s="100" t="str">
        <f t="shared" si="443"/>
        <v/>
      </c>
      <c r="OUD118" s="100" t="str">
        <f t="shared" si="443"/>
        <v/>
      </c>
      <c r="OUE118" s="100" t="str">
        <f t="shared" si="443"/>
        <v/>
      </c>
      <c r="OUF118" s="100" t="str">
        <f t="shared" si="443"/>
        <v/>
      </c>
      <c r="OUG118" s="100" t="str">
        <f t="shared" ref="OUG118:OWR118" si="444">IFERROR(AVERAGE(OUG6,OUG16,OUG25,OUG34,OUG42,OUG54,OUG62,OUG70,OUG78,OUG86,OUG94,OUG102,OUG110),"")</f>
        <v/>
      </c>
      <c r="OUH118" s="100" t="str">
        <f t="shared" si="444"/>
        <v/>
      </c>
      <c r="OUI118" s="100" t="str">
        <f t="shared" si="444"/>
        <v/>
      </c>
      <c r="OUJ118" s="100" t="str">
        <f t="shared" si="444"/>
        <v/>
      </c>
      <c r="OUK118" s="100" t="str">
        <f t="shared" si="444"/>
        <v/>
      </c>
      <c r="OUL118" s="100" t="str">
        <f t="shared" si="444"/>
        <v/>
      </c>
      <c r="OUM118" s="100" t="str">
        <f t="shared" si="444"/>
        <v/>
      </c>
      <c r="OUN118" s="100" t="str">
        <f t="shared" si="444"/>
        <v/>
      </c>
      <c r="OUO118" s="100" t="str">
        <f t="shared" si="444"/>
        <v/>
      </c>
      <c r="OUP118" s="100" t="str">
        <f t="shared" si="444"/>
        <v/>
      </c>
      <c r="OUQ118" s="100" t="str">
        <f t="shared" si="444"/>
        <v/>
      </c>
      <c r="OUR118" s="100" t="str">
        <f t="shared" si="444"/>
        <v/>
      </c>
      <c r="OUS118" s="100" t="str">
        <f t="shared" si="444"/>
        <v/>
      </c>
      <c r="OUT118" s="100" t="str">
        <f t="shared" si="444"/>
        <v/>
      </c>
      <c r="OUU118" s="100" t="str">
        <f t="shared" si="444"/>
        <v/>
      </c>
      <c r="OUV118" s="100" t="str">
        <f t="shared" si="444"/>
        <v/>
      </c>
      <c r="OUW118" s="100" t="str">
        <f t="shared" si="444"/>
        <v/>
      </c>
      <c r="OUX118" s="100" t="str">
        <f t="shared" si="444"/>
        <v/>
      </c>
      <c r="OUY118" s="100" t="str">
        <f t="shared" si="444"/>
        <v/>
      </c>
      <c r="OUZ118" s="100" t="str">
        <f t="shared" si="444"/>
        <v/>
      </c>
      <c r="OVA118" s="100" t="str">
        <f t="shared" si="444"/>
        <v/>
      </c>
      <c r="OVB118" s="100" t="str">
        <f t="shared" si="444"/>
        <v/>
      </c>
      <c r="OVC118" s="100" t="str">
        <f t="shared" si="444"/>
        <v/>
      </c>
      <c r="OVD118" s="100" t="str">
        <f t="shared" si="444"/>
        <v/>
      </c>
      <c r="OVE118" s="100" t="str">
        <f t="shared" si="444"/>
        <v/>
      </c>
      <c r="OVF118" s="100" t="str">
        <f t="shared" si="444"/>
        <v/>
      </c>
      <c r="OVG118" s="100" t="str">
        <f t="shared" si="444"/>
        <v/>
      </c>
      <c r="OVH118" s="100" t="str">
        <f t="shared" si="444"/>
        <v/>
      </c>
      <c r="OVI118" s="100" t="str">
        <f t="shared" si="444"/>
        <v/>
      </c>
      <c r="OVJ118" s="100" t="str">
        <f t="shared" si="444"/>
        <v/>
      </c>
      <c r="OVK118" s="100" t="str">
        <f t="shared" si="444"/>
        <v/>
      </c>
      <c r="OVL118" s="100" t="str">
        <f t="shared" si="444"/>
        <v/>
      </c>
      <c r="OVM118" s="100" t="str">
        <f t="shared" si="444"/>
        <v/>
      </c>
      <c r="OVN118" s="100" t="str">
        <f t="shared" si="444"/>
        <v/>
      </c>
      <c r="OVO118" s="100" t="str">
        <f t="shared" si="444"/>
        <v/>
      </c>
      <c r="OVP118" s="100" t="str">
        <f t="shared" si="444"/>
        <v/>
      </c>
      <c r="OVQ118" s="100" t="str">
        <f t="shared" si="444"/>
        <v/>
      </c>
      <c r="OVR118" s="100" t="str">
        <f t="shared" si="444"/>
        <v/>
      </c>
      <c r="OVS118" s="100" t="str">
        <f t="shared" si="444"/>
        <v/>
      </c>
      <c r="OVT118" s="100" t="str">
        <f t="shared" si="444"/>
        <v/>
      </c>
      <c r="OVU118" s="100" t="str">
        <f t="shared" si="444"/>
        <v/>
      </c>
      <c r="OVV118" s="100" t="str">
        <f t="shared" si="444"/>
        <v/>
      </c>
      <c r="OVW118" s="100" t="str">
        <f t="shared" si="444"/>
        <v/>
      </c>
      <c r="OVX118" s="100" t="str">
        <f t="shared" si="444"/>
        <v/>
      </c>
      <c r="OVY118" s="100" t="str">
        <f t="shared" si="444"/>
        <v/>
      </c>
      <c r="OVZ118" s="100" t="str">
        <f t="shared" si="444"/>
        <v/>
      </c>
      <c r="OWA118" s="100" t="str">
        <f t="shared" si="444"/>
        <v/>
      </c>
      <c r="OWB118" s="100" t="str">
        <f t="shared" si="444"/>
        <v/>
      </c>
      <c r="OWC118" s="100" t="str">
        <f t="shared" si="444"/>
        <v/>
      </c>
      <c r="OWD118" s="100" t="str">
        <f t="shared" si="444"/>
        <v/>
      </c>
      <c r="OWE118" s="100" t="str">
        <f t="shared" si="444"/>
        <v/>
      </c>
      <c r="OWF118" s="100" t="str">
        <f t="shared" si="444"/>
        <v/>
      </c>
      <c r="OWG118" s="100" t="str">
        <f t="shared" si="444"/>
        <v/>
      </c>
      <c r="OWH118" s="100" t="str">
        <f t="shared" si="444"/>
        <v/>
      </c>
      <c r="OWI118" s="100" t="str">
        <f t="shared" si="444"/>
        <v/>
      </c>
      <c r="OWJ118" s="100" t="str">
        <f t="shared" si="444"/>
        <v/>
      </c>
      <c r="OWK118" s="100" t="str">
        <f t="shared" si="444"/>
        <v/>
      </c>
      <c r="OWL118" s="100" t="str">
        <f t="shared" si="444"/>
        <v/>
      </c>
      <c r="OWM118" s="100" t="str">
        <f t="shared" si="444"/>
        <v/>
      </c>
      <c r="OWN118" s="100" t="str">
        <f t="shared" si="444"/>
        <v/>
      </c>
      <c r="OWO118" s="100" t="str">
        <f t="shared" si="444"/>
        <v/>
      </c>
      <c r="OWP118" s="100" t="str">
        <f t="shared" si="444"/>
        <v/>
      </c>
      <c r="OWQ118" s="100" t="str">
        <f t="shared" si="444"/>
        <v/>
      </c>
      <c r="OWR118" s="100" t="str">
        <f t="shared" si="444"/>
        <v/>
      </c>
      <c r="OWS118" s="100" t="str">
        <f t="shared" ref="OWS118:OZD118" si="445">IFERROR(AVERAGE(OWS6,OWS16,OWS25,OWS34,OWS42,OWS54,OWS62,OWS70,OWS78,OWS86,OWS94,OWS102,OWS110),"")</f>
        <v/>
      </c>
      <c r="OWT118" s="100" t="str">
        <f t="shared" si="445"/>
        <v/>
      </c>
      <c r="OWU118" s="100" t="str">
        <f t="shared" si="445"/>
        <v/>
      </c>
      <c r="OWV118" s="100" t="str">
        <f t="shared" si="445"/>
        <v/>
      </c>
      <c r="OWW118" s="100" t="str">
        <f t="shared" si="445"/>
        <v/>
      </c>
      <c r="OWX118" s="100" t="str">
        <f t="shared" si="445"/>
        <v/>
      </c>
      <c r="OWY118" s="100" t="str">
        <f t="shared" si="445"/>
        <v/>
      </c>
      <c r="OWZ118" s="100" t="str">
        <f t="shared" si="445"/>
        <v/>
      </c>
      <c r="OXA118" s="100" t="str">
        <f t="shared" si="445"/>
        <v/>
      </c>
      <c r="OXB118" s="100" t="str">
        <f t="shared" si="445"/>
        <v/>
      </c>
      <c r="OXC118" s="100" t="str">
        <f t="shared" si="445"/>
        <v/>
      </c>
      <c r="OXD118" s="100" t="str">
        <f t="shared" si="445"/>
        <v/>
      </c>
      <c r="OXE118" s="100" t="str">
        <f t="shared" si="445"/>
        <v/>
      </c>
      <c r="OXF118" s="100" t="str">
        <f t="shared" si="445"/>
        <v/>
      </c>
      <c r="OXG118" s="100" t="str">
        <f t="shared" si="445"/>
        <v/>
      </c>
      <c r="OXH118" s="100" t="str">
        <f t="shared" si="445"/>
        <v/>
      </c>
      <c r="OXI118" s="100" t="str">
        <f t="shared" si="445"/>
        <v/>
      </c>
      <c r="OXJ118" s="100" t="str">
        <f t="shared" si="445"/>
        <v/>
      </c>
      <c r="OXK118" s="100" t="str">
        <f t="shared" si="445"/>
        <v/>
      </c>
      <c r="OXL118" s="100" t="str">
        <f t="shared" si="445"/>
        <v/>
      </c>
      <c r="OXM118" s="100" t="str">
        <f t="shared" si="445"/>
        <v/>
      </c>
      <c r="OXN118" s="100" t="str">
        <f t="shared" si="445"/>
        <v/>
      </c>
      <c r="OXO118" s="100" t="str">
        <f t="shared" si="445"/>
        <v/>
      </c>
      <c r="OXP118" s="100" t="str">
        <f t="shared" si="445"/>
        <v/>
      </c>
      <c r="OXQ118" s="100" t="str">
        <f t="shared" si="445"/>
        <v/>
      </c>
      <c r="OXR118" s="100" t="str">
        <f t="shared" si="445"/>
        <v/>
      </c>
      <c r="OXS118" s="100" t="str">
        <f t="shared" si="445"/>
        <v/>
      </c>
      <c r="OXT118" s="100" t="str">
        <f t="shared" si="445"/>
        <v/>
      </c>
      <c r="OXU118" s="100" t="str">
        <f t="shared" si="445"/>
        <v/>
      </c>
      <c r="OXV118" s="100" t="str">
        <f t="shared" si="445"/>
        <v/>
      </c>
      <c r="OXW118" s="100" t="str">
        <f t="shared" si="445"/>
        <v/>
      </c>
      <c r="OXX118" s="100" t="str">
        <f t="shared" si="445"/>
        <v/>
      </c>
      <c r="OXY118" s="100" t="str">
        <f t="shared" si="445"/>
        <v/>
      </c>
      <c r="OXZ118" s="100" t="str">
        <f t="shared" si="445"/>
        <v/>
      </c>
      <c r="OYA118" s="100" t="str">
        <f t="shared" si="445"/>
        <v/>
      </c>
      <c r="OYB118" s="100" t="str">
        <f t="shared" si="445"/>
        <v/>
      </c>
      <c r="OYC118" s="100" t="str">
        <f t="shared" si="445"/>
        <v/>
      </c>
      <c r="OYD118" s="100" t="str">
        <f t="shared" si="445"/>
        <v/>
      </c>
      <c r="OYE118" s="100" t="str">
        <f t="shared" si="445"/>
        <v/>
      </c>
      <c r="OYF118" s="100" t="str">
        <f t="shared" si="445"/>
        <v/>
      </c>
      <c r="OYG118" s="100" t="str">
        <f t="shared" si="445"/>
        <v/>
      </c>
      <c r="OYH118" s="100" t="str">
        <f t="shared" si="445"/>
        <v/>
      </c>
      <c r="OYI118" s="100" t="str">
        <f t="shared" si="445"/>
        <v/>
      </c>
      <c r="OYJ118" s="100" t="str">
        <f t="shared" si="445"/>
        <v/>
      </c>
      <c r="OYK118" s="100" t="str">
        <f t="shared" si="445"/>
        <v/>
      </c>
      <c r="OYL118" s="100" t="str">
        <f t="shared" si="445"/>
        <v/>
      </c>
      <c r="OYM118" s="100" t="str">
        <f t="shared" si="445"/>
        <v/>
      </c>
      <c r="OYN118" s="100" t="str">
        <f t="shared" si="445"/>
        <v/>
      </c>
      <c r="OYO118" s="100" t="str">
        <f t="shared" si="445"/>
        <v/>
      </c>
      <c r="OYP118" s="100" t="str">
        <f t="shared" si="445"/>
        <v/>
      </c>
      <c r="OYQ118" s="100" t="str">
        <f t="shared" si="445"/>
        <v/>
      </c>
      <c r="OYR118" s="100" t="str">
        <f t="shared" si="445"/>
        <v/>
      </c>
      <c r="OYS118" s="100" t="str">
        <f t="shared" si="445"/>
        <v/>
      </c>
      <c r="OYT118" s="100" t="str">
        <f t="shared" si="445"/>
        <v/>
      </c>
      <c r="OYU118" s="100" t="str">
        <f t="shared" si="445"/>
        <v/>
      </c>
      <c r="OYV118" s="100" t="str">
        <f t="shared" si="445"/>
        <v/>
      </c>
      <c r="OYW118" s="100" t="str">
        <f t="shared" si="445"/>
        <v/>
      </c>
      <c r="OYX118" s="100" t="str">
        <f t="shared" si="445"/>
        <v/>
      </c>
      <c r="OYY118" s="100" t="str">
        <f t="shared" si="445"/>
        <v/>
      </c>
      <c r="OYZ118" s="100" t="str">
        <f t="shared" si="445"/>
        <v/>
      </c>
      <c r="OZA118" s="100" t="str">
        <f t="shared" si="445"/>
        <v/>
      </c>
      <c r="OZB118" s="100" t="str">
        <f t="shared" si="445"/>
        <v/>
      </c>
      <c r="OZC118" s="100" t="str">
        <f t="shared" si="445"/>
        <v/>
      </c>
      <c r="OZD118" s="100" t="str">
        <f t="shared" si="445"/>
        <v/>
      </c>
      <c r="OZE118" s="100" t="str">
        <f t="shared" ref="OZE118:PBP118" si="446">IFERROR(AVERAGE(OZE6,OZE16,OZE25,OZE34,OZE42,OZE54,OZE62,OZE70,OZE78,OZE86,OZE94,OZE102,OZE110),"")</f>
        <v/>
      </c>
      <c r="OZF118" s="100" t="str">
        <f t="shared" si="446"/>
        <v/>
      </c>
      <c r="OZG118" s="100" t="str">
        <f t="shared" si="446"/>
        <v/>
      </c>
      <c r="OZH118" s="100" t="str">
        <f t="shared" si="446"/>
        <v/>
      </c>
      <c r="OZI118" s="100" t="str">
        <f t="shared" si="446"/>
        <v/>
      </c>
      <c r="OZJ118" s="100" t="str">
        <f t="shared" si="446"/>
        <v/>
      </c>
      <c r="OZK118" s="100" t="str">
        <f t="shared" si="446"/>
        <v/>
      </c>
      <c r="OZL118" s="100" t="str">
        <f t="shared" si="446"/>
        <v/>
      </c>
      <c r="OZM118" s="100" t="str">
        <f t="shared" si="446"/>
        <v/>
      </c>
      <c r="OZN118" s="100" t="str">
        <f t="shared" si="446"/>
        <v/>
      </c>
      <c r="OZO118" s="100" t="str">
        <f t="shared" si="446"/>
        <v/>
      </c>
      <c r="OZP118" s="100" t="str">
        <f t="shared" si="446"/>
        <v/>
      </c>
      <c r="OZQ118" s="100" t="str">
        <f t="shared" si="446"/>
        <v/>
      </c>
      <c r="OZR118" s="100" t="str">
        <f t="shared" si="446"/>
        <v/>
      </c>
      <c r="OZS118" s="100" t="str">
        <f t="shared" si="446"/>
        <v/>
      </c>
      <c r="OZT118" s="100" t="str">
        <f t="shared" si="446"/>
        <v/>
      </c>
      <c r="OZU118" s="100" t="str">
        <f t="shared" si="446"/>
        <v/>
      </c>
      <c r="OZV118" s="100" t="str">
        <f t="shared" si="446"/>
        <v/>
      </c>
      <c r="OZW118" s="100" t="str">
        <f t="shared" si="446"/>
        <v/>
      </c>
      <c r="OZX118" s="100" t="str">
        <f t="shared" si="446"/>
        <v/>
      </c>
      <c r="OZY118" s="100" t="str">
        <f t="shared" si="446"/>
        <v/>
      </c>
      <c r="OZZ118" s="100" t="str">
        <f t="shared" si="446"/>
        <v/>
      </c>
      <c r="PAA118" s="100" t="str">
        <f t="shared" si="446"/>
        <v/>
      </c>
      <c r="PAB118" s="100" t="str">
        <f t="shared" si="446"/>
        <v/>
      </c>
      <c r="PAC118" s="100" t="str">
        <f t="shared" si="446"/>
        <v/>
      </c>
      <c r="PAD118" s="100" t="str">
        <f t="shared" si="446"/>
        <v/>
      </c>
      <c r="PAE118" s="100" t="str">
        <f t="shared" si="446"/>
        <v/>
      </c>
      <c r="PAF118" s="100" t="str">
        <f t="shared" si="446"/>
        <v/>
      </c>
      <c r="PAG118" s="100" t="str">
        <f t="shared" si="446"/>
        <v/>
      </c>
      <c r="PAH118" s="100" t="str">
        <f t="shared" si="446"/>
        <v/>
      </c>
      <c r="PAI118" s="100" t="str">
        <f t="shared" si="446"/>
        <v/>
      </c>
      <c r="PAJ118" s="100" t="str">
        <f t="shared" si="446"/>
        <v/>
      </c>
      <c r="PAK118" s="100" t="str">
        <f t="shared" si="446"/>
        <v/>
      </c>
      <c r="PAL118" s="100" t="str">
        <f t="shared" si="446"/>
        <v/>
      </c>
      <c r="PAM118" s="100" t="str">
        <f t="shared" si="446"/>
        <v/>
      </c>
      <c r="PAN118" s="100" t="str">
        <f t="shared" si="446"/>
        <v/>
      </c>
      <c r="PAO118" s="100" t="str">
        <f t="shared" si="446"/>
        <v/>
      </c>
      <c r="PAP118" s="100" t="str">
        <f t="shared" si="446"/>
        <v/>
      </c>
      <c r="PAQ118" s="100" t="str">
        <f t="shared" si="446"/>
        <v/>
      </c>
      <c r="PAR118" s="100" t="str">
        <f t="shared" si="446"/>
        <v/>
      </c>
      <c r="PAS118" s="100" t="str">
        <f t="shared" si="446"/>
        <v/>
      </c>
      <c r="PAT118" s="100" t="str">
        <f t="shared" si="446"/>
        <v/>
      </c>
      <c r="PAU118" s="100" t="str">
        <f t="shared" si="446"/>
        <v/>
      </c>
      <c r="PAV118" s="100" t="str">
        <f t="shared" si="446"/>
        <v/>
      </c>
      <c r="PAW118" s="100" t="str">
        <f t="shared" si="446"/>
        <v/>
      </c>
      <c r="PAX118" s="100" t="str">
        <f t="shared" si="446"/>
        <v/>
      </c>
      <c r="PAY118" s="100" t="str">
        <f t="shared" si="446"/>
        <v/>
      </c>
      <c r="PAZ118" s="100" t="str">
        <f t="shared" si="446"/>
        <v/>
      </c>
      <c r="PBA118" s="100" t="str">
        <f t="shared" si="446"/>
        <v/>
      </c>
      <c r="PBB118" s="100" t="str">
        <f t="shared" si="446"/>
        <v/>
      </c>
      <c r="PBC118" s="100" t="str">
        <f t="shared" si="446"/>
        <v/>
      </c>
      <c r="PBD118" s="100" t="str">
        <f t="shared" si="446"/>
        <v/>
      </c>
      <c r="PBE118" s="100" t="str">
        <f t="shared" si="446"/>
        <v/>
      </c>
      <c r="PBF118" s="100" t="str">
        <f t="shared" si="446"/>
        <v/>
      </c>
      <c r="PBG118" s="100" t="str">
        <f t="shared" si="446"/>
        <v/>
      </c>
      <c r="PBH118" s="100" t="str">
        <f t="shared" si="446"/>
        <v/>
      </c>
      <c r="PBI118" s="100" t="str">
        <f t="shared" si="446"/>
        <v/>
      </c>
      <c r="PBJ118" s="100" t="str">
        <f t="shared" si="446"/>
        <v/>
      </c>
      <c r="PBK118" s="100" t="str">
        <f t="shared" si="446"/>
        <v/>
      </c>
      <c r="PBL118" s="100" t="str">
        <f t="shared" si="446"/>
        <v/>
      </c>
      <c r="PBM118" s="100" t="str">
        <f t="shared" si="446"/>
        <v/>
      </c>
      <c r="PBN118" s="100" t="str">
        <f t="shared" si="446"/>
        <v/>
      </c>
      <c r="PBO118" s="100" t="str">
        <f t="shared" si="446"/>
        <v/>
      </c>
      <c r="PBP118" s="100" t="str">
        <f t="shared" si="446"/>
        <v/>
      </c>
      <c r="PBQ118" s="100" t="str">
        <f t="shared" ref="PBQ118:PEB118" si="447">IFERROR(AVERAGE(PBQ6,PBQ16,PBQ25,PBQ34,PBQ42,PBQ54,PBQ62,PBQ70,PBQ78,PBQ86,PBQ94,PBQ102,PBQ110),"")</f>
        <v/>
      </c>
      <c r="PBR118" s="100" t="str">
        <f t="shared" si="447"/>
        <v/>
      </c>
      <c r="PBS118" s="100" t="str">
        <f t="shared" si="447"/>
        <v/>
      </c>
      <c r="PBT118" s="100" t="str">
        <f t="shared" si="447"/>
        <v/>
      </c>
      <c r="PBU118" s="100" t="str">
        <f t="shared" si="447"/>
        <v/>
      </c>
      <c r="PBV118" s="100" t="str">
        <f t="shared" si="447"/>
        <v/>
      </c>
      <c r="PBW118" s="100" t="str">
        <f t="shared" si="447"/>
        <v/>
      </c>
      <c r="PBX118" s="100" t="str">
        <f t="shared" si="447"/>
        <v/>
      </c>
      <c r="PBY118" s="100" t="str">
        <f t="shared" si="447"/>
        <v/>
      </c>
      <c r="PBZ118" s="100" t="str">
        <f t="shared" si="447"/>
        <v/>
      </c>
      <c r="PCA118" s="100" t="str">
        <f t="shared" si="447"/>
        <v/>
      </c>
      <c r="PCB118" s="100" t="str">
        <f t="shared" si="447"/>
        <v/>
      </c>
      <c r="PCC118" s="100" t="str">
        <f t="shared" si="447"/>
        <v/>
      </c>
      <c r="PCD118" s="100" t="str">
        <f t="shared" si="447"/>
        <v/>
      </c>
      <c r="PCE118" s="100" t="str">
        <f t="shared" si="447"/>
        <v/>
      </c>
      <c r="PCF118" s="100" t="str">
        <f t="shared" si="447"/>
        <v/>
      </c>
      <c r="PCG118" s="100" t="str">
        <f t="shared" si="447"/>
        <v/>
      </c>
      <c r="PCH118" s="100" t="str">
        <f t="shared" si="447"/>
        <v/>
      </c>
      <c r="PCI118" s="100" t="str">
        <f t="shared" si="447"/>
        <v/>
      </c>
      <c r="PCJ118" s="100" t="str">
        <f t="shared" si="447"/>
        <v/>
      </c>
      <c r="PCK118" s="100" t="str">
        <f t="shared" si="447"/>
        <v/>
      </c>
      <c r="PCL118" s="100" t="str">
        <f t="shared" si="447"/>
        <v/>
      </c>
      <c r="PCM118" s="100" t="str">
        <f t="shared" si="447"/>
        <v/>
      </c>
      <c r="PCN118" s="100" t="str">
        <f t="shared" si="447"/>
        <v/>
      </c>
      <c r="PCO118" s="100" t="str">
        <f t="shared" si="447"/>
        <v/>
      </c>
      <c r="PCP118" s="100" t="str">
        <f t="shared" si="447"/>
        <v/>
      </c>
      <c r="PCQ118" s="100" t="str">
        <f t="shared" si="447"/>
        <v/>
      </c>
      <c r="PCR118" s="100" t="str">
        <f t="shared" si="447"/>
        <v/>
      </c>
      <c r="PCS118" s="100" t="str">
        <f t="shared" si="447"/>
        <v/>
      </c>
      <c r="PCT118" s="100" t="str">
        <f t="shared" si="447"/>
        <v/>
      </c>
      <c r="PCU118" s="100" t="str">
        <f t="shared" si="447"/>
        <v/>
      </c>
      <c r="PCV118" s="100" t="str">
        <f t="shared" si="447"/>
        <v/>
      </c>
      <c r="PCW118" s="100" t="str">
        <f t="shared" si="447"/>
        <v/>
      </c>
      <c r="PCX118" s="100" t="str">
        <f t="shared" si="447"/>
        <v/>
      </c>
      <c r="PCY118" s="100" t="str">
        <f t="shared" si="447"/>
        <v/>
      </c>
      <c r="PCZ118" s="100" t="str">
        <f t="shared" si="447"/>
        <v/>
      </c>
      <c r="PDA118" s="100" t="str">
        <f t="shared" si="447"/>
        <v/>
      </c>
      <c r="PDB118" s="100" t="str">
        <f t="shared" si="447"/>
        <v/>
      </c>
      <c r="PDC118" s="100" t="str">
        <f t="shared" si="447"/>
        <v/>
      </c>
      <c r="PDD118" s="100" t="str">
        <f t="shared" si="447"/>
        <v/>
      </c>
      <c r="PDE118" s="100" t="str">
        <f t="shared" si="447"/>
        <v/>
      </c>
      <c r="PDF118" s="100" t="str">
        <f t="shared" si="447"/>
        <v/>
      </c>
      <c r="PDG118" s="100" t="str">
        <f t="shared" si="447"/>
        <v/>
      </c>
      <c r="PDH118" s="100" t="str">
        <f t="shared" si="447"/>
        <v/>
      </c>
      <c r="PDI118" s="100" t="str">
        <f t="shared" si="447"/>
        <v/>
      </c>
      <c r="PDJ118" s="100" t="str">
        <f t="shared" si="447"/>
        <v/>
      </c>
      <c r="PDK118" s="100" t="str">
        <f t="shared" si="447"/>
        <v/>
      </c>
      <c r="PDL118" s="100" t="str">
        <f t="shared" si="447"/>
        <v/>
      </c>
      <c r="PDM118" s="100" t="str">
        <f t="shared" si="447"/>
        <v/>
      </c>
      <c r="PDN118" s="100" t="str">
        <f t="shared" si="447"/>
        <v/>
      </c>
      <c r="PDO118" s="100" t="str">
        <f t="shared" si="447"/>
        <v/>
      </c>
      <c r="PDP118" s="100" t="str">
        <f t="shared" si="447"/>
        <v/>
      </c>
      <c r="PDQ118" s="100" t="str">
        <f t="shared" si="447"/>
        <v/>
      </c>
      <c r="PDR118" s="100" t="str">
        <f t="shared" si="447"/>
        <v/>
      </c>
      <c r="PDS118" s="100" t="str">
        <f t="shared" si="447"/>
        <v/>
      </c>
      <c r="PDT118" s="100" t="str">
        <f t="shared" si="447"/>
        <v/>
      </c>
      <c r="PDU118" s="100" t="str">
        <f t="shared" si="447"/>
        <v/>
      </c>
      <c r="PDV118" s="100" t="str">
        <f t="shared" si="447"/>
        <v/>
      </c>
      <c r="PDW118" s="100" t="str">
        <f t="shared" si="447"/>
        <v/>
      </c>
      <c r="PDX118" s="100" t="str">
        <f t="shared" si="447"/>
        <v/>
      </c>
      <c r="PDY118" s="100" t="str">
        <f t="shared" si="447"/>
        <v/>
      </c>
      <c r="PDZ118" s="100" t="str">
        <f t="shared" si="447"/>
        <v/>
      </c>
      <c r="PEA118" s="100" t="str">
        <f t="shared" si="447"/>
        <v/>
      </c>
      <c r="PEB118" s="100" t="str">
        <f t="shared" si="447"/>
        <v/>
      </c>
      <c r="PEC118" s="100" t="str">
        <f t="shared" ref="PEC118:PGN118" si="448">IFERROR(AVERAGE(PEC6,PEC16,PEC25,PEC34,PEC42,PEC54,PEC62,PEC70,PEC78,PEC86,PEC94,PEC102,PEC110),"")</f>
        <v/>
      </c>
      <c r="PED118" s="100" t="str">
        <f t="shared" si="448"/>
        <v/>
      </c>
      <c r="PEE118" s="100" t="str">
        <f t="shared" si="448"/>
        <v/>
      </c>
      <c r="PEF118" s="100" t="str">
        <f t="shared" si="448"/>
        <v/>
      </c>
      <c r="PEG118" s="100" t="str">
        <f t="shared" si="448"/>
        <v/>
      </c>
      <c r="PEH118" s="100" t="str">
        <f t="shared" si="448"/>
        <v/>
      </c>
      <c r="PEI118" s="100" t="str">
        <f t="shared" si="448"/>
        <v/>
      </c>
      <c r="PEJ118" s="100" t="str">
        <f t="shared" si="448"/>
        <v/>
      </c>
      <c r="PEK118" s="100" t="str">
        <f t="shared" si="448"/>
        <v/>
      </c>
      <c r="PEL118" s="100" t="str">
        <f t="shared" si="448"/>
        <v/>
      </c>
      <c r="PEM118" s="100" t="str">
        <f t="shared" si="448"/>
        <v/>
      </c>
      <c r="PEN118" s="100" t="str">
        <f t="shared" si="448"/>
        <v/>
      </c>
      <c r="PEO118" s="100" t="str">
        <f t="shared" si="448"/>
        <v/>
      </c>
      <c r="PEP118" s="100" t="str">
        <f t="shared" si="448"/>
        <v/>
      </c>
      <c r="PEQ118" s="100" t="str">
        <f t="shared" si="448"/>
        <v/>
      </c>
      <c r="PER118" s="100" t="str">
        <f t="shared" si="448"/>
        <v/>
      </c>
      <c r="PES118" s="100" t="str">
        <f t="shared" si="448"/>
        <v/>
      </c>
      <c r="PET118" s="100" t="str">
        <f t="shared" si="448"/>
        <v/>
      </c>
      <c r="PEU118" s="100" t="str">
        <f t="shared" si="448"/>
        <v/>
      </c>
      <c r="PEV118" s="100" t="str">
        <f t="shared" si="448"/>
        <v/>
      </c>
      <c r="PEW118" s="100" t="str">
        <f t="shared" si="448"/>
        <v/>
      </c>
      <c r="PEX118" s="100" t="str">
        <f t="shared" si="448"/>
        <v/>
      </c>
      <c r="PEY118" s="100" t="str">
        <f t="shared" si="448"/>
        <v/>
      </c>
      <c r="PEZ118" s="100" t="str">
        <f t="shared" si="448"/>
        <v/>
      </c>
      <c r="PFA118" s="100" t="str">
        <f t="shared" si="448"/>
        <v/>
      </c>
      <c r="PFB118" s="100" t="str">
        <f t="shared" si="448"/>
        <v/>
      </c>
      <c r="PFC118" s="100" t="str">
        <f t="shared" si="448"/>
        <v/>
      </c>
      <c r="PFD118" s="100" t="str">
        <f t="shared" si="448"/>
        <v/>
      </c>
      <c r="PFE118" s="100" t="str">
        <f t="shared" si="448"/>
        <v/>
      </c>
      <c r="PFF118" s="100" t="str">
        <f t="shared" si="448"/>
        <v/>
      </c>
      <c r="PFG118" s="100" t="str">
        <f t="shared" si="448"/>
        <v/>
      </c>
      <c r="PFH118" s="100" t="str">
        <f t="shared" si="448"/>
        <v/>
      </c>
      <c r="PFI118" s="100" t="str">
        <f t="shared" si="448"/>
        <v/>
      </c>
      <c r="PFJ118" s="100" t="str">
        <f t="shared" si="448"/>
        <v/>
      </c>
      <c r="PFK118" s="100" t="str">
        <f t="shared" si="448"/>
        <v/>
      </c>
      <c r="PFL118" s="100" t="str">
        <f t="shared" si="448"/>
        <v/>
      </c>
      <c r="PFM118" s="100" t="str">
        <f t="shared" si="448"/>
        <v/>
      </c>
      <c r="PFN118" s="100" t="str">
        <f t="shared" si="448"/>
        <v/>
      </c>
      <c r="PFO118" s="100" t="str">
        <f t="shared" si="448"/>
        <v/>
      </c>
      <c r="PFP118" s="100" t="str">
        <f t="shared" si="448"/>
        <v/>
      </c>
      <c r="PFQ118" s="100" t="str">
        <f t="shared" si="448"/>
        <v/>
      </c>
      <c r="PFR118" s="100" t="str">
        <f t="shared" si="448"/>
        <v/>
      </c>
      <c r="PFS118" s="100" t="str">
        <f t="shared" si="448"/>
        <v/>
      </c>
      <c r="PFT118" s="100" t="str">
        <f t="shared" si="448"/>
        <v/>
      </c>
      <c r="PFU118" s="100" t="str">
        <f t="shared" si="448"/>
        <v/>
      </c>
      <c r="PFV118" s="100" t="str">
        <f t="shared" si="448"/>
        <v/>
      </c>
      <c r="PFW118" s="100" t="str">
        <f t="shared" si="448"/>
        <v/>
      </c>
      <c r="PFX118" s="100" t="str">
        <f t="shared" si="448"/>
        <v/>
      </c>
      <c r="PFY118" s="100" t="str">
        <f t="shared" si="448"/>
        <v/>
      </c>
      <c r="PFZ118" s="100" t="str">
        <f t="shared" si="448"/>
        <v/>
      </c>
      <c r="PGA118" s="100" t="str">
        <f t="shared" si="448"/>
        <v/>
      </c>
      <c r="PGB118" s="100" t="str">
        <f t="shared" si="448"/>
        <v/>
      </c>
      <c r="PGC118" s="100" t="str">
        <f t="shared" si="448"/>
        <v/>
      </c>
      <c r="PGD118" s="100" t="str">
        <f t="shared" si="448"/>
        <v/>
      </c>
      <c r="PGE118" s="100" t="str">
        <f t="shared" si="448"/>
        <v/>
      </c>
      <c r="PGF118" s="100" t="str">
        <f t="shared" si="448"/>
        <v/>
      </c>
      <c r="PGG118" s="100" t="str">
        <f t="shared" si="448"/>
        <v/>
      </c>
      <c r="PGH118" s="100" t="str">
        <f t="shared" si="448"/>
        <v/>
      </c>
      <c r="PGI118" s="100" t="str">
        <f t="shared" si="448"/>
        <v/>
      </c>
      <c r="PGJ118" s="100" t="str">
        <f t="shared" si="448"/>
        <v/>
      </c>
      <c r="PGK118" s="100" t="str">
        <f t="shared" si="448"/>
        <v/>
      </c>
      <c r="PGL118" s="100" t="str">
        <f t="shared" si="448"/>
        <v/>
      </c>
      <c r="PGM118" s="100" t="str">
        <f t="shared" si="448"/>
        <v/>
      </c>
      <c r="PGN118" s="100" t="str">
        <f t="shared" si="448"/>
        <v/>
      </c>
      <c r="PGO118" s="100" t="str">
        <f t="shared" ref="PGO118:PIZ118" si="449">IFERROR(AVERAGE(PGO6,PGO16,PGO25,PGO34,PGO42,PGO54,PGO62,PGO70,PGO78,PGO86,PGO94,PGO102,PGO110),"")</f>
        <v/>
      </c>
      <c r="PGP118" s="100" t="str">
        <f t="shared" si="449"/>
        <v/>
      </c>
      <c r="PGQ118" s="100" t="str">
        <f t="shared" si="449"/>
        <v/>
      </c>
      <c r="PGR118" s="100" t="str">
        <f t="shared" si="449"/>
        <v/>
      </c>
      <c r="PGS118" s="100" t="str">
        <f t="shared" si="449"/>
        <v/>
      </c>
      <c r="PGT118" s="100" t="str">
        <f t="shared" si="449"/>
        <v/>
      </c>
      <c r="PGU118" s="100" t="str">
        <f t="shared" si="449"/>
        <v/>
      </c>
      <c r="PGV118" s="100" t="str">
        <f t="shared" si="449"/>
        <v/>
      </c>
      <c r="PGW118" s="100" t="str">
        <f t="shared" si="449"/>
        <v/>
      </c>
      <c r="PGX118" s="100" t="str">
        <f t="shared" si="449"/>
        <v/>
      </c>
      <c r="PGY118" s="100" t="str">
        <f t="shared" si="449"/>
        <v/>
      </c>
      <c r="PGZ118" s="100" t="str">
        <f t="shared" si="449"/>
        <v/>
      </c>
      <c r="PHA118" s="100" t="str">
        <f t="shared" si="449"/>
        <v/>
      </c>
      <c r="PHB118" s="100" t="str">
        <f t="shared" si="449"/>
        <v/>
      </c>
      <c r="PHC118" s="100" t="str">
        <f t="shared" si="449"/>
        <v/>
      </c>
      <c r="PHD118" s="100" t="str">
        <f t="shared" si="449"/>
        <v/>
      </c>
      <c r="PHE118" s="100" t="str">
        <f t="shared" si="449"/>
        <v/>
      </c>
      <c r="PHF118" s="100" t="str">
        <f t="shared" si="449"/>
        <v/>
      </c>
      <c r="PHG118" s="100" t="str">
        <f t="shared" si="449"/>
        <v/>
      </c>
      <c r="PHH118" s="100" t="str">
        <f t="shared" si="449"/>
        <v/>
      </c>
      <c r="PHI118" s="100" t="str">
        <f t="shared" si="449"/>
        <v/>
      </c>
      <c r="PHJ118" s="100" t="str">
        <f t="shared" si="449"/>
        <v/>
      </c>
      <c r="PHK118" s="100" t="str">
        <f t="shared" si="449"/>
        <v/>
      </c>
      <c r="PHL118" s="100" t="str">
        <f t="shared" si="449"/>
        <v/>
      </c>
      <c r="PHM118" s="100" t="str">
        <f t="shared" si="449"/>
        <v/>
      </c>
      <c r="PHN118" s="100" t="str">
        <f t="shared" si="449"/>
        <v/>
      </c>
      <c r="PHO118" s="100" t="str">
        <f t="shared" si="449"/>
        <v/>
      </c>
      <c r="PHP118" s="100" t="str">
        <f t="shared" si="449"/>
        <v/>
      </c>
      <c r="PHQ118" s="100" t="str">
        <f t="shared" si="449"/>
        <v/>
      </c>
      <c r="PHR118" s="100" t="str">
        <f t="shared" si="449"/>
        <v/>
      </c>
      <c r="PHS118" s="100" t="str">
        <f t="shared" si="449"/>
        <v/>
      </c>
      <c r="PHT118" s="100" t="str">
        <f t="shared" si="449"/>
        <v/>
      </c>
      <c r="PHU118" s="100" t="str">
        <f t="shared" si="449"/>
        <v/>
      </c>
      <c r="PHV118" s="100" t="str">
        <f t="shared" si="449"/>
        <v/>
      </c>
      <c r="PHW118" s="100" t="str">
        <f t="shared" si="449"/>
        <v/>
      </c>
      <c r="PHX118" s="100" t="str">
        <f t="shared" si="449"/>
        <v/>
      </c>
      <c r="PHY118" s="100" t="str">
        <f t="shared" si="449"/>
        <v/>
      </c>
      <c r="PHZ118" s="100" t="str">
        <f t="shared" si="449"/>
        <v/>
      </c>
      <c r="PIA118" s="100" t="str">
        <f t="shared" si="449"/>
        <v/>
      </c>
      <c r="PIB118" s="100" t="str">
        <f t="shared" si="449"/>
        <v/>
      </c>
      <c r="PIC118" s="100" t="str">
        <f t="shared" si="449"/>
        <v/>
      </c>
      <c r="PID118" s="100" t="str">
        <f t="shared" si="449"/>
        <v/>
      </c>
      <c r="PIE118" s="100" t="str">
        <f t="shared" si="449"/>
        <v/>
      </c>
      <c r="PIF118" s="100" t="str">
        <f t="shared" si="449"/>
        <v/>
      </c>
      <c r="PIG118" s="100" t="str">
        <f t="shared" si="449"/>
        <v/>
      </c>
      <c r="PIH118" s="100" t="str">
        <f t="shared" si="449"/>
        <v/>
      </c>
      <c r="PII118" s="100" t="str">
        <f t="shared" si="449"/>
        <v/>
      </c>
      <c r="PIJ118" s="100" t="str">
        <f t="shared" si="449"/>
        <v/>
      </c>
      <c r="PIK118" s="100" t="str">
        <f t="shared" si="449"/>
        <v/>
      </c>
      <c r="PIL118" s="100" t="str">
        <f t="shared" si="449"/>
        <v/>
      </c>
      <c r="PIM118" s="100" t="str">
        <f t="shared" si="449"/>
        <v/>
      </c>
      <c r="PIN118" s="100" t="str">
        <f t="shared" si="449"/>
        <v/>
      </c>
      <c r="PIO118" s="100" t="str">
        <f t="shared" si="449"/>
        <v/>
      </c>
      <c r="PIP118" s="100" t="str">
        <f t="shared" si="449"/>
        <v/>
      </c>
      <c r="PIQ118" s="100" t="str">
        <f t="shared" si="449"/>
        <v/>
      </c>
      <c r="PIR118" s="100" t="str">
        <f t="shared" si="449"/>
        <v/>
      </c>
      <c r="PIS118" s="100" t="str">
        <f t="shared" si="449"/>
        <v/>
      </c>
      <c r="PIT118" s="100" t="str">
        <f t="shared" si="449"/>
        <v/>
      </c>
      <c r="PIU118" s="100" t="str">
        <f t="shared" si="449"/>
        <v/>
      </c>
      <c r="PIV118" s="100" t="str">
        <f t="shared" si="449"/>
        <v/>
      </c>
      <c r="PIW118" s="100" t="str">
        <f t="shared" si="449"/>
        <v/>
      </c>
      <c r="PIX118" s="100" t="str">
        <f t="shared" si="449"/>
        <v/>
      </c>
      <c r="PIY118" s="100" t="str">
        <f t="shared" si="449"/>
        <v/>
      </c>
      <c r="PIZ118" s="100" t="str">
        <f t="shared" si="449"/>
        <v/>
      </c>
      <c r="PJA118" s="100" t="str">
        <f t="shared" ref="PJA118:PLL118" si="450">IFERROR(AVERAGE(PJA6,PJA16,PJA25,PJA34,PJA42,PJA54,PJA62,PJA70,PJA78,PJA86,PJA94,PJA102,PJA110),"")</f>
        <v/>
      </c>
      <c r="PJB118" s="100" t="str">
        <f t="shared" si="450"/>
        <v/>
      </c>
      <c r="PJC118" s="100" t="str">
        <f t="shared" si="450"/>
        <v/>
      </c>
      <c r="PJD118" s="100" t="str">
        <f t="shared" si="450"/>
        <v/>
      </c>
      <c r="PJE118" s="100" t="str">
        <f t="shared" si="450"/>
        <v/>
      </c>
      <c r="PJF118" s="100" t="str">
        <f t="shared" si="450"/>
        <v/>
      </c>
      <c r="PJG118" s="100" t="str">
        <f t="shared" si="450"/>
        <v/>
      </c>
      <c r="PJH118" s="100" t="str">
        <f t="shared" si="450"/>
        <v/>
      </c>
      <c r="PJI118" s="100" t="str">
        <f t="shared" si="450"/>
        <v/>
      </c>
      <c r="PJJ118" s="100" t="str">
        <f t="shared" si="450"/>
        <v/>
      </c>
      <c r="PJK118" s="100" t="str">
        <f t="shared" si="450"/>
        <v/>
      </c>
      <c r="PJL118" s="100" t="str">
        <f t="shared" si="450"/>
        <v/>
      </c>
      <c r="PJM118" s="100" t="str">
        <f t="shared" si="450"/>
        <v/>
      </c>
      <c r="PJN118" s="100" t="str">
        <f t="shared" si="450"/>
        <v/>
      </c>
      <c r="PJO118" s="100" t="str">
        <f t="shared" si="450"/>
        <v/>
      </c>
      <c r="PJP118" s="100" t="str">
        <f t="shared" si="450"/>
        <v/>
      </c>
      <c r="PJQ118" s="100" t="str">
        <f t="shared" si="450"/>
        <v/>
      </c>
      <c r="PJR118" s="100" t="str">
        <f t="shared" si="450"/>
        <v/>
      </c>
      <c r="PJS118" s="100" t="str">
        <f t="shared" si="450"/>
        <v/>
      </c>
      <c r="PJT118" s="100" t="str">
        <f t="shared" si="450"/>
        <v/>
      </c>
      <c r="PJU118" s="100" t="str">
        <f t="shared" si="450"/>
        <v/>
      </c>
      <c r="PJV118" s="100" t="str">
        <f t="shared" si="450"/>
        <v/>
      </c>
      <c r="PJW118" s="100" t="str">
        <f t="shared" si="450"/>
        <v/>
      </c>
      <c r="PJX118" s="100" t="str">
        <f t="shared" si="450"/>
        <v/>
      </c>
      <c r="PJY118" s="100" t="str">
        <f t="shared" si="450"/>
        <v/>
      </c>
      <c r="PJZ118" s="100" t="str">
        <f t="shared" si="450"/>
        <v/>
      </c>
      <c r="PKA118" s="100" t="str">
        <f t="shared" si="450"/>
        <v/>
      </c>
      <c r="PKB118" s="100" t="str">
        <f t="shared" si="450"/>
        <v/>
      </c>
      <c r="PKC118" s="100" t="str">
        <f t="shared" si="450"/>
        <v/>
      </c>
      <c r="PKD118" s="100" t="str">
        <f t="shared" si="450"/>
        <v/>
      </c>
      <c r="PKE118" s="100" t="str">
        <f t="shared" si="450"/>
        <v/>
      </c>
      <c r="PKF118" s="100" t="str">
        <f t="shared" si="450"/>
        <v/>
      </c>
      <c r="PKG118" s="100" t="str">
        <f t="shared" si="450"/>
        <v/>
      </c>
      <c r="PKH118" s="100" t="str">
        <f t="shared" si="450"/>
        <v/>
      </c>
      <c r="PKI118" s="100" t="str">
        <f t="shared" si="450"/>
        <v/>
      </c>
      <c r="PKJ118" s="100" t="str">
        <f t="shared" si="450"/>
        <v/>
      </c>
      <c r="PKK118" s="100" t="str">
        <f t="shared" si="450"/>
        <v/>
      </c>
      <c r="PKL118" s="100" t="str">
        <f t="shared" si="450"/>
        <v/>
      </c>
      <c r="PKM118" s="100" t="str">
        <f t="shared" si="450"/>
        <v/>
      </c>
      <c r="PKN118" s="100" t="str">
        <f t="shared" si="450"/>
        <v/>
      </c>
      <c r="PKO118" s="100" t="str">
        <f t="shared" si="450"/>
        <v/>
      </c>
      <c r="PKP118" s="100" t="str">
        <f t="shared" si="450"/>
        <v/>
      </c>
      <c r="PKQ118" s="100" t="str">
        <f t="shared" si="450"/>
        <v/>
      </c>
      <c r="PKR118" s="100" t="str">
        <f t="shared" si="450"/>
        <v/>
      </c>
      <c r="PKS118" s="100" t="str">
        <f t="shared" si="450"/>
        <v/>
      </c>
      <c r="PKT118" s="100" t="str">
        <f t="shared" si="450"/>
        <v/>
      </c>
      <c r="PKU118" s="100" t="str">
        <f t="shared" si="450"/>
        <v/>
      </c>
      <c r="PKV118" s="100" t="str">
        <f t="shared" si="450"/>
        <v/>
      </c>
      <c r="PKW118" s="100" t="str">
        <f t="shared" si="450"/>
        <v/>
      </c>
      <c r="PKX118" s="100" t="str">
        <f t="shared" si="450"/>
        <v/>
      </c>
      <c r="PKY118" s="100" t="str">
        <f t="shared" si="450"/>
        <v/>
      </c>
      <c r="PKZ118" s="100" t="str">
        <f t="shared" si="450"/>
        <v/>
      </c>
      <c r="PLA118" s="100" t="str">
        <f t="shared" si="450"/>
        <v/>
      </c>
      <c r="PLB118" s="100" t="str">
        <f t="shared" si="450"/>
        <v/>
      </c>
      <c r="PLC118" s="100" t="str">
        <f t="shared" si="450"/>
        <v/>
      </c>
      <c r="PLD118" s="100" t="str">
        <f t="shared" si="450"/>
        <v/>
      </c>
      <c r="PLE118" s="100" t="str">
        <f t="shared" si="450"/>
        <v/>
      </c>
      <c r="PLF118" s="100" t="str">
        <f t="shared" si="450"/>
        <v/>
      </c>
      <c r="PLG118" s="100" t="str">
        <f t="shared" si="450"/>
        <v/>
      </c>
      <c r="PLH118" s="100" t="str">
        <f t="shared" si="450"/>
        <v/>
      </c>
      <c r="PLI118" s="100" t="str">
        <f t="shared" si="450"/>
        <v/>
      </c>
      <c r="PLJ118" s="100" t="str">
        <f t="shared" si="450"/>
        <v/>
      </c>
      <c r="PLK118" s="100" t="str">
        <f t="shared" si="450"/>
        <v/>
      </c>
      <c r="PLL118" s="100" t="str">
        <f t="shared" si="450"/>
        <v/>
      </c>
      <c r="PLM118" s="100" t="str">
        <f t="shared" ref="PLM118:PNX118" si="451">IFERROR(AVERAGE(PLM6,PLM16,PLM25,PLM34,PLM42,PLM54,PLM62,PLM70,PLM78,PLM86,PLM94,PLM102,PLM110),"")</f>
        <v/>
      </c>
      <c r="PLN118" s="100" t="str">
        <f t="shared" si="451"/>
        <v/>
      </c>
      <c r="PLO118" s="100" t="str">
        <f t="shared" si="451"/>
        <v/>
      </c>
      <c r="PLP118" s="100" t="str">
        <f t="shared" si="451"/>
        <v/>
      </c>
      <c r="PLQ118" s="100" t="str">
        <f t="shared" si="451"/>
        <v/>
      </c>
      <c r="PLR118" s="100" t="str">
        <f t="shared" si="451"/>
        <v/>
      </c>
      <c r="PLS118" s="100" t="str">
        <f t="shared" si="451"/>
        <v/>
      </c>
      <c r="PLT118" s="100" t="str">
        <f t="shared" si="451"/>
        <v/>
      </c>
      <c r="PLU118" s="100" t="str">
        <f t="shared" si="451"/>
        <v/>
      </c>
      <c r="PLV118" s="100" t="str">
        <f t="shared" si="451"/>
        <v/>
      </c>
      <c r="PLW118" s="100" t="str">
        <f t="shared" si="451"/>
        <v/>
      </c>
      <c r="PLX118" s="100" t="str">
        <f t="shared" si="451"/>
        <v/>
      </c>
      <c r="PLY118" s="100" t="str">
        <f t="shared" si="451"/>
        <v/>
      </c>
      <c r="PLZ118" s="100" t="str">
        <f t="shared" si="451"/>
        <v/>
      </c>
      <c r="PMA118" s="100" t="str">
        <f t="shared" si="451"/>
        <v/>
      </c>
      <c r="PMB118" s="100" t="str">
        <f t="shared" si="451"/>
        <v/>
      </c>
      <c r="PMC118" s="100" t="str">
        <f t="shared" si="451"/>
        <v/>
      </c>
      <c r="PMD118" s="100" t="str">
        <f t="shared" si="451"/>
        <v/>
      </c>
      <c r="PME118" s="100" t="str">
        <f t="shared" si="451"/>
        <v/>
      </c>
      <c r="PMF118" s="100" t="str">
        <f t="shared" si="451"/>
        <v/>
      </c>
      <c r="PMG118" s="100" t="str">
        <f t="shared" si="451"/>
        <v/>
      </c>
      <c r="PMH118" s="100" t="str">
        <f t="shared" si="451"/>
        <v/>
      </c>
      <c r="PMI118" s="100" t="str">
        <f t="shared" si="451"/>
        <v/>
      </c>
      <c r="PMJ118" s="100" t="str">
        <f t="shared" si="451"/>
        <v/>
      </c>
      <c r="PMK118" s="100" t="str">
        <f t="shared" si="451"/>
        <v/>
      </c>
      <c r="PML118" s="100" t="str">
        <f t="shared" si="451"/>
        <v/>
      </c>
      <c r="PMM118" s="100" t="str">
        <f t="shared" si="451"/>
        <v/>
      </c>
      <c r="PMN118" s="100" t="str">
        <f t="shared" si="451"/>
        <v/>
      </c>
      <c r="PMO118" s="100" t="str">
        <f t="shared" si="451"/>
        <v/>
      </c>
      <c r="PMP118" s="100" t="str">
        <f t="shared" si="451"/>
        <v/>
      </c>
      <c r="PMQ118" s="100" t="str">
        <f t="shared" si="451"/>
        <v/>
      </c>
      <c r="PMR118" s="100" t="str">
        <f t="shared" si="451"/>
        <v/>
      </c>
      <c r="PMS118" s="100" t="str">
        <f t="shared" si="451"/>
        <v/>
      </c>
      <c r="PMT118" s="100" t="str">
        <f t="shared" si="451"/>
        <v/>
      </c>
      <c r="PMU118" s="100" t="str">
        <f t="shared" si="451"/>
        <v/>
      </c>
      <c r="PMV118" s="100" t="str">
        <f t="shared" si="451"/>
        <v/>
      </c>
      <c r="PMW118" s="100" t="str">
        <f t="shared" si="451"/>
        <v/>
      </c>
      <c r="PMX118" s="100" t="str">
        <f t="shared" si="451"/>
        <v/>
      </c>
      <c r="PMY118" s="100" t="str">
        <f t="shared" si="451"/>
        <v/>
      </c>
      <c r="PMZ118" s="100" t="str">
        <f t="shared" si="451"/>
        <v/>
      </c>
      <c r="PNA118" s="100" t="str">
        <f t="shared" si="451"/>
        <v/>
      </c>
      <c r="PNB118" s="100" t="str">
        <f t="shared" si="451"/>
        <v/>
      </c>
      <c r="PNC118" s="100" t="str">
        <f t="shared" si="451"/>
        <v/>
      </c>
      <c r="PND118" s="100" t="str">
        <f t="shared" si="451"/>
        <v/>
      </c>
      <c r="PNE118" s="100" t="str">
        <f t="shared" si="451"/>
        <v/>
      </c>
      <c r="PNF118" s="100" t="str">
        <f t="shared" si="451"/>
        <v/>
      </c>
      <c r="PNG118" s="100" t="str">
        <f t="shared" si="451"/>
        <v/>
      </c>
      <c r="PNH118" s="100" t="str">
        <f t="shared" si="451"/>
        <v/>
      </c>
      <c r="PNI118" s="100" t="str">
        <f t="shared" si="451"/>
        <v/>
      </c>
      <c r="PNJ118" s="100" t="str">
        <f t="shared" si="451"/>
        <v/>
      </c>
      <c r="PNK118" s="100" t="str">
        <f t="shared" si="451"/>
        <v/>
      </c>
      <c r="PNL118" s="100" t="str">
        <f t="shared" si="451"/>
        <v/>
      </c>
      <c r="PNM118" s="100" t="str">
        <f t="shared" si="451"/>
        <v/>
      </c>
      <c r="PNN118" s="100" t="str">
        <f t="shared" si="451"/>
        <v/>
      </c>
      <c r="PNO118" s="100" t="str">
        <f t="shared" si="451"/>
        <v/>
      </c>
      <c r="PNP118" s="100" t="str">
        <f t="shared" si="451"/>
        <v/>
      </c>
      <c r="PNQ118" s="100" t="str">
        <f t="shared" si="451"/>
        <v/>
      </c>
      <c r="PNR118" s="100" t="str">
        <f t="shared" si="451"/>
        <v/>
      </c>
      <c r="PNS118" s="100" t="str">
        <f t="shared" si="451"/>
        <v/>
      </c>
      <c r="PNT118" s="100" t="str">
        <f t="shared" si="451"/>
        <v/>
      </c>
      <c r="PNU118" s="100" t="str">
        <f t="shared" si="451"/>
        <v/>
      </c>
      <c r="PNV118" s="100" t="str">
        <f t="shared" si="451"/>
        <v/>
      </c>
      <c r="PNW118" s="100" t="str">
        <f t="shared" si="451"/>
        <v/>
      </c>
      <c r="PNX118" s="100" t="str">
        <f t="shared" si="451"/>
        <v/>
      </c>
      <c r="PNY118" s="100" t="str">
        <f t="shared" ref="PNY118:PQJ118" si="452">IFERROR(AVERAGE(PNY6,PNY16,PNY25,PNY34,PNY42,PNY54,PNY62,PNY70,PNY78,PNY86,PNY94,PNY102,PNY110),"")</f>
        <v/>
      </c>
      <c r="PNZ118" s="100" t="str">
        <f t="shared" si="452"/>
        <v/>
      </c>
      <c r="POA118" s="100" t="str">
        <f t="shared" si="452"/>
        <v/>
      </c>
      <c r="POB118" s="100" t="str">
        <f t="shared" si="452"/>
        <v/>
      </c>
      <c r="POC118" s="100" t="str">
        <f t="shared" si="452"/>
        <v/>
      </c>
      <c r="POD118" s="100" t="str">
        <f t="shared" si="452"/>
        <v/>
      </c>
      <c r="POE118" s="100" t="str">
        <f t="shared" si="452"/>
        <v/>
      </c>
      <c r="POF118" s="100" t="str">
        <f t="shared" si="452"/>
        <v/>
      </c>
      <c r="POG118" s="100" t="str">
        <f t="shared" si="452"/>
        <v/>
      </c>
      <c r="POH118" s="100" t="str">
        <f t="shared" si="452"/>
        <v/>
      </c>
      <c r="POI118" s="100" t="str">
        <f t="shared" si="452"/>
        <v/>
      </c>
      <c r="POJ118" s="100" t="str">
        <f t="shared" si="452"/>
        <v/>
      </c>
      <c r="POK118" s="100" t="str">
        <f t="shared" si="452"/>
        <v/>
      </c>
      <c r="POL118" s="100" t="str">
        <f t="shared" si="452"/>
        <v/>
      </c>
      <c r="POM118" s="100" t="str">
        <f t="shared" si="452"/>
        <v/>
      </c>
      <c r="PON118" s="100" t="str">
        <f t="shared" si="452"/>
        <v/>
      </c>
      <c r="POO118" s="100" t="str">
        <f t="shared" si="452"/>
        <v/>
      </c>
      <c r="POP118" s="100" t="str">
        <f t="shared" si="452"/>
        <v/>
      </c>
      <c r="POQ118" s="100" t="str">
        <f t="shared" si="452"/>
        <v/>
      </c>
      <c r="POR118" s="100" t="str">
        <f t="shared" si="452"/>
        <v/>
      </c>
      <c r="POS118" s="100" t="str">
        <f t="shared" si="452"/>
        <v/>
      </c>
      <c r="POT118" s="100" t="str">
        <f t="shared" si="452"/>
        <v/>
      </c>
      <c r="POU118" s="100" t="str">
        <f t="shared" si="452"/>
        <v/>
      </c>
      <c r="POV118" s="100" t="str">
        <f t="shared" si="452"/>
        <v/>
      </c>
      <c r="POW118" s="100" t="str">
        <f t="shared" si="452"/>
        <v/>
      </c>
      <c r="POX118" s="100" t="str">
        <f t="shared" si="452"/>
        <v/>
      </c>
      <c r="POY118" s="100" t="str">
        <f t="shared" si="452"/>
        <v/>
      </c>
      <c r="POZ118" s="100" t="str">
        <f t="shared" si="452"/>
        <v/>
      </c>
      <c r="PPA118" s="100" t="str">
        <f t="shared" si="452"/>
        <v/>
      </c>
      <c r="PPB118" s="100" t="str">
        <f t="shared" si="452"/>
        <v/>
      </c>
      <c r="PPC118" s="100" t="str">
        <f t="shared" si="452"/>
        <v/>
      </c>
      <c r="PPD118" s="100" t="str">
        <f t="shared" si="452"/>
        <v/>
      </c>
      <c r="PPE118" s="100" t="str">
        <f t="shared" si="452"/>
        <v/>
      </c>
      <c r="PPF118" s="100" t="str">
        <f t="shared" si="452"/>
        <v/>
      </c>
      <c r="PPG118" s="100" t="str">
        <f t="shared" si="452"/>
        <v/>
      </c>
      <c r="PPH118" s="100" t="str">
        <f t="shared" si="452"/>
        <v/>
      </c>
      <c r="PPI118" s="100" t="str">
        <f t="shared" si="452"/>
        <v/>
      </c>
      <c r="PPJ118" s="100" t="str">
        <f t="shared" si="452"/>
        <v/>
      </c>
      <c r="PPK118" s="100" t="str">
        <f t="shared" si="452"/>
        <v/>
      </c>
      <c r="PPL118" s="100" t="str">
        <f t="shared" si="452"/>
        <v/>
      </c>
      <c r="PPM118" s="100" t="str">
        <f t="shared" si="452"/>
        <v/>
      </c>
      <c r="PPN118" s="100" t="str">
        <f t="shared" si="452"/>
        <v/>
      </c>
      <c r="PPO118" s="100" t="str">
        <f t="shared" si="452"/>
        <v/>
      </c>
      <c r="PPP118" s="100" t="str">
        <f t="shared" si="452"/>
        <v/>
      </c>
      <c r="PPQ118" s="100" t="str">
        <f t="shared" si="452"/>
        <v/>
      </c>
      <c r="PPR118" s="100" t="str">
        <f t="shared" si="452"/>
        <v/>
      </c>
      <c r="PPS118" s="100" t="str">
        <f t="shared" si="452"/>
        <v/>
      </c>
      <c r="PPT118" s="100" t="str">
        <f t="shared" si="452"/>
        <v/>
      </c>
      <c r="PPU118" s="100" t="str">
        <f t="shared" si="452"/>
        <v/>
      </c>
      <c r="PPV118" s="100" t="str">
        <f t="shared" si="452"/>
        <v/>
      </c>
      <c r="PPW118" s="100" t="str">
        <f t="shared" si="452"/>
        <v/>
      </c>
      <c r="PPX118" s="100" t="str">
        <f t="shared" si="452"/>
        <v/>
      </c>
      <c r="PPY118" s="100" t="str">
        <f t="shared" si="452"/>
        <v/>
      </c>
      <c r="PPZ118" s="100" t="str">
        <f t="shared" si="452"/>
        <v/>
      </c>
      <c r="PQA118" s="100" t="str">
        <f t="shared" si="452"/>
        <v/>
      </c>
      <c r="PQB118" s="100" t="str">
        <f t="shared" si="452"/>
        <v/>
      </c>
      <c r="PQC118" s="100" t="str">
        <f t="shared" si="452"/>
        <v/>
      </c>
      <c r="PQD118" s="100" t="str">
        <f t="shared" si="452"/>
        <v/>
      </c>
      <c r="PQE118" s="100" t="str">
        <f t="shared" si="452"/>
        <v/>
      </c>
      <c r="PQF118" s="100" t="str">
        <f t="shared" si="452"/>
        <v/>
      </c>
      <c r="PQG118" s="100" t="str">
        <f t="shared" si="452"/>
        <v/>
      </c>
      <c r="PQH118" s="100" t="str">
        <f t="shared" si="452"/>
        <v/>
      </c>
      <c r="PQI118" s="100" t="str">
        <f t="shared" si="452"/>
        <v/>
      </c>
      <c r="PQJ118" s="100" t="str">
        <f t="shared" si="452"/>
        <v/>
      </c>
      <c r="PQK118" s="100" t="str">
        <f t="shared" ref="PQK118:PSV118" si="453">IFERROR(AVERAGE(PQK6,PQK16,PQK25,PQK34,PQK42,PQK54,PQK62,PQK70,PQK78,PQK86,PQK94,PQK102,PQK110),"")</f>
        <v/>
      </c>
      <c r="PQL118" s="100" t="str">
        <f t="shared" si="453"/>
        <v/>
      </c>
      <c r="PQM118" s="100" t="str">
        <f t="shared" si="453"/>
        <v/>
      </c>
      <c r="PQN118" s="100" t="str">
        <f t="shared" si="453"/>
        <v/>
      </c>
      <c r="PQO118" s="100" t="str">
        <f t="shared" si="453"/>
        <v/>
      </c>
      <c r="PQP118" s="100" t="str">
        <f t="shared" si="453"/>
        <v/>
      </c>
      <c r="PQQ118" s="100" t="str">
        <f t="shared" si="453"/>
        <v/>
      </c>
      <c r="PQR118" s="100" t="str">
        <f t="shared" si="453"/>
        <v/>
      </c>
      <c r="PQS118" s="100" t="str">
        <f t="shared" si="453"/>
        <v/>
      </c>
      <c r="PQT118" s="100" t="str">
        <f t="shared" si="453"/>
        <v/>
      </c>
      <c r="PQU118" s="100" t="str">
        <f t="shared" si="453"/>
        <v/>
      </c>
      <c r="PQV118" s="100" t="str">
        <f t="shared" si="453"/>
        <v/>
      </c>
      <c r="PQW118" s="100" t="str">
        <f t="shared" si="453"/>
        <v/>
      </c>
      <c r="PQX118" s="100" t="str">
        <f t="shared" si="453"/>
        <v/>
      </c>
      <c r="PQY118" s="100" t="str">
        <f t="shared" si="453"/>
        <v/>
      </c>
      <c r="PQZ118" s="100" t="str">
        <f t="shared" si="453"/>
        <v/>
      </c>
      <c r="PRA118" s="100" t="str">
        <f t="shared" si="453"/>
        <v/>
      </c>
      <c r="PRB118" s="100" t="str">
        <f t="shared" si="453"/>
        <v/>
      </c>
      <c r="PRC118" s="100" t="str">
        <f t="shared" si="453"/>
        <v/>
      </c>
      <c r="PRD118" s="100" t="str">
        <f t="shared" si="453"/>
        <v/>
      </c>
      <c r="PRE118" s="100" t="str">
        <f t="shared" si="453"/>
        <v/>
      </c>
      <c r="PRF118" s="100" t="str">
        <f t="shared" si="453"/>
        <v/>
      </c>
      <c r="PRG118" s="100" t="str">
        <f t="shared" si="453"/>
        <v/>
      </c>
      <c r="PRH118" s="100" t="str">
        <f t="shared" si="453"/>
        <v/>
      </c>
      <c r="PRI118" s="100" t="str">
        <f t="shared" si="453"/>
        <v/>
      </c>
      <c r="PRJ118" s="100" t="str">
        <f t="shared" si="453"/>
        <v/>
      </c>
      <c r="PRK118" s="100" t="str">
        <f t="shared" si="453"/>
        <v/>
      </c>
      <c r="PRL118" s="100" t="str">
        <f t="shared" si="453"/>
        <v/>
      </c>
      <c r="PRM118" s="100" t="str">
        <f t="shared" si="453"/>
        <v/>
      </c>
      <c r="PRN118" s="100" t="str">
        <f t="shared" si="453"/>
        <v/>
      </c>
      <c r="PRO118" s="100" t="str">
        <f t="shared" si="453"/>
        <v/>
      </c>
      <c r="PRP118" s="100" t="str">
        <f t="shared" si="453"/>
        <v/>
      </c>
      <c r="PRQ118" s="100" t="str">
        <f t="shared" si="453"/>
        <v/>
      </c>
      <c r="PRR118" s="100" t="str">
        <f t="shared" si="453"/>
        <v/>
      </c>
      <c r="PRS118" s="100" t="str">
        <f t="shared" si="453"/>
        <v/>
      </c>
      <c r="PRT118" s="100" t="str">
        <f t="shared" si="453"/>
        <v/>
      </c>
      <c r="PRU118" s="100" t="str">
        <f t="shared" si="453"/>
        <v/>
      </c>
      <c r="PRV118" s="100" t="str">
        <f t="shared" si="453"/>
        <v/>
      </c>
      <c r="PRW118" s="100" t="str">
        <f t="shared" si="453"/>
        <v/>
      </c>
      <c r="PRX118" s="100" t="str">
        <f t="shared" si="453"/>
        <v/>
      </c>
      <c r="PRY118" s="100" t="str">
        <f t="shared" si="453"/>
        <v/>
      </c>
      <c r="PRZ118" s="100" t="str">
        <f t="shared" si="453"/>
        <v/>
      </c>
      <c r="PSA118" s="100" t="str">
        <f t="shared" si="453"/>
        <v/>
      </c>
      <c r="PSB118" s="100" t="str">
        <f t="shared" si="453"/>
        <v/>
      </c>
      <c r="PSC118" s="100" t="str">
        <f t="shared" si="453"/>
        <v/>
      </c>
      <c r="PSD118" s="100" t="str">
        <f t="shared" si="453"/>
        <v/>
      </c>
      <c r="PSE118" s="100" t="str">
        <f t="shared" si="453"/>
        <v/>
      </c>
      <c r="PSF118" s="100" t="str">
        <f t="shared" si="453"/>
        <v/>
      </c>
      <c r="PSG118" s="100" t="str">
        <f t="shared" si="453"/>
        <v/>
      </c>
      <c r="PSH118" s="100" t="str">
        <f t="shared" si="453"/>
        <v/>
      </c>
      <c r="PSI118" s="100" t="str">
        <f t="shared" si="453"/>
        <v/>
      </c>
      <c r="PSJ118" s="100" t="str">
        <f t="shared" si="453"/>
        <v/>
      </c>
      <c r="PSK118" s="100" t="str">
        <f t="shared" si="453"/>
        <v/>
      </c>
      <c r="PSL118" s="100" t="str">
        <f t="shared" si="453"/>
        <v/>
      </c>
      <c r="PSM118" s="100" t="str">
        <f t="shared" si="453"/>
        <v/>
      </c>
      <c r="PSN118" s="100" t="str">
        <f t="shared" si="453"/>
        <v/>
      </c>
      <c r="PSO118" s="100" t="str">
        <f t="shared" si="453"/>
        <v/>
      </c>
      <c r="PSP118" s="100" t="str">
        <f t="shared" si="453"/>
        <v/>
      </c>
      <c r="PSQ118" s="100" t="str">
        <f t="shared" si="453"/>
        <v/>
      </c>
      <c r="PSR118" s="100" t="str">
        <f t="shared" si="453"/>
        <v/>
      </c>
      <c r="PSS118" s="100" t="str">
        <f t="shared" si="453"/>
        <v/>
      </c>
      <c r="PST118" s="100" t="str">
        <f t="shared" si="453"/>
        <v/>
      </c>
      <c r="PSU118" s="100" t="str">
        <f t="shared" si="453"/>
        <v/>
      </c>
      <c r="PSV118" s="100" t="str">
        <f t="shared" si="453"/>
        <v/>
      </c>
      <c r="PSW118" s="100" t="str">
        <f t="shared" ref="PSW118:PVH118" si="454">IFERROR(AVERAGE(PSW6,PSW16,PSW25,PSW34,PSW42,PSW54,PSW62,PSW70,PSW78,PSW86,PSW94,PSW102,PSW110),"")</f>
        <v/>
      </c>
      <c r="PSX118" s="100" t="str">
        <f t="shared" si="454"/>
        <v/>
      </c>
      <c r="PSY118" s="100" t="str">
        <f t="shared" si="454"/>
        <v/>
      </c>
      <c r="PSZ118" s="100" t="str">
        <f t="shared" si="454"/>
        <v/>
      </c>
      <c r="PTA118" s="100" t="str">
        <f t="shared" si="454"/>
        <v/>
      </c>
      <c r="PTB118" s="100" t="str">
        <f t="shared" si="454"/>
        <v/>
      </c>
      <c r="PTC118" s="100" t="str">
        <f t="shared" si="454"/>
        <v/>
      </c>
      <c r="PTD118" s="100" t="str">
        <f t="shared" si="454"/>
        <v/>
      </c>
      <c r="PTE118" s="100" t="str">
        <f t="shared" si="454"/>
        <v/>
      </c>
      <c r="PTF118" s="100" t="str">
        <f t="shared" si="454"/>
        <v/>
      </c>
      <c r="PTG118" s="100" t="str">
        <f t="shared" si="454"/>
        <v/>
      </c>
      <c r="PTH118" s="100" t="str">
        <f t="shared" si="454"/>
        <v/>
      </c>
      <c r="PTI118" s="100" t="str">
        <f t="shared" si="454"/>
        <v/>
      </c>
      <c r="PTJ118" s="100" t="str">
        <f t="shared" si="454"/>
        <v/>
      </c>
      <c r="PTK118" s="100" t="str">
        <f t="shared" si="454"/>
        <v/>
      </c>
      <c r="PTL118" s="100" t="str">
        <f t="shared" si="454"/>
        <v/>
      </c>
      <c r="PTM118" s="100" t="str">
        <f t="shared" si="454"/>
        <v/>
      </c>
      <c r="PTN118" s="100" t="str">
        <f t="shared" si="454"/>
        <v/>
      </c>
      <c r="PTO118" s="100" t="str">
        <f t="shared" si="454"/>
        <v/>
      </c>
      <c r="PTP118" s="100" t="str">
        <f t="shared" si="454"/>
        <v/>
      </c>
      <c r="PTQ118" s="100" t="str">
        <f t="shared" si="454"/>
        <v/>
      </c>
      <c r="PTR118" s="100" t="str">
        <f t="shared" si="454"/>
        <v/>
      </c>
      <c r="PTS118" s="100" t="str">
        <f t="shared" si="454"/>
        <v/>
      </c>
      <c r="PTT118" s="100" t="str">
        <f t="shared" si="454"/>
        <v/>
      </c>
      <c r="PTU118" s="100" t="str">
        <f t="shared" si="454"/>
        <v/>
      </c>
      <c r="PTV118" s="100" t="str">
        <f t="shared" si="454"/>
        <v/>
      </c>
      <c r="PTW118" s="100" t="str">
        <f t="shared" si="454"/>
        <v/>
      </c>
      <c r="PTX118" s="100" t="str">
        <f t="shared" si="454"/>
        <v/>
      </c>
      <c r="PTY118" s="100" t="str">
        <f t="shared" si="454"/>
        <v/>
      </c>
      <c r="PTZ118" s="100" t="str">
        <f t="shared" si="454"/>
        <v/>
      </c>
      <c r="PUA118" s="100" t="str">
        <f t="shared" si="454"/>
        <v/>
      </c>
      <c r="PUB118" s="100" t="str">
        <f t="shared" si="454"/>
        <v/>
      </c>
      <c r="PUC118" s="100" t="str">
        <f t="shared" si="454"/>
        <v/>
      </c>
      <c r="PUD118" s="100" t="str">
        <f t="shared" si="454"/>
        <v/>
      </c>
      <c r="PUE118" s="100" t="str">
        <f t="shared" si="454"/>
        <v/>
      </c>
      <c r="PUF118" s="100" t="str">
        <f t="shared" si="454"/>
        <v/>
      </c>
      <c r="PUG118" s="100" t="str">
        <f t="shared" si="454"/>
        <v/>
      </c>
      <c r="PUH118" s="100" t="str">
        <f t="shared" si="454"/>
        <v/>
      </c>
      <c r="PUI118" s="100" t="str">
        <f t="shared" si="454"/>
        <v/>
      </c>
      <c r="PUJ118" s="100" t="str">
        <f t="shared" si="454"/>
        <v/>
      </c>
      <c r="PUK118" s="100" t="str">
        <f t="shared" si="454"/>
        <v/>
      </c>
      <c r="PUL118" s="100" t="str">
        <f t="shared" si="454"/>
        <v/>
      </c>
      <c r="PUM118" s="100" t="str">
        <f t="shared" si="454"/>
        <v/>
      </c>
      <c r="PUN118" s="100" t="str">
        <f t="shared" si="454"/>
        <v/>
      </c>
      <c r="PUO118" s="100" t="str">
        <f t="shared" si="454"/>
        <v/>
      </c>
      <c r="PUP118" s="100" t="str">
        <f t="shared" si="454"/>
        <v/>
      </c>
      <c r="PUQ118" s="100" t="str">
        <f t="shared" si="454"/>
        <v/>
      </c>
      <c r="PUR118" s="100" t="str">
        <f t="shared" si="454"/>
        <v/>
      </c>
      <c r="PUS118" s="100" t="str">
        <f t="shared" si="454"/>
        <v/>
      </c>
      <c r="PUT118" s="100" t="str">
        <f t="shared" si="454"/>
        <v/>
      </c>
      <c r="PUU118" s="100" t="str">
        <f t="shared" si="454"/>
        <v/>
      </c>
      <c r="PUV118" s="100" t="str">
        <f t="shared" si="454"/>
        <v/>
      </c>
      <c r="PUW118" s="100" t="str">
        <f t="shared" si="454"/>
        <v/>
      </c>
      <c r="PUX118" s="100" t="str">
        <f t="shared" si="454"/>
        <v/>
      </c>
      <c r="PUY118" s="100" t="str">
        <f t="shared" si="454"/>
        <v/>
      </c>
      <c r="PUZ118" s="100" t="str">
        <f t="shared" si="454"/>
        <v/>
      </c>
      <c r="PVA118" s="100" t="str">
        <f t="shared" si="454"/>
        <v/>
      </c>
      <c r="PVB118" s="100" t="str">
        <f t="shared" si="454"/>
        <v/>
      </c>
      <c r="PVC118" s="100" t="str">
        <f t="shared" si="454"/>
        <v/>
      </c>
      <c r="PVD118" s="100" t="str">
        <f t="shared" si="454"/>
        <v/>
      </c>
      <c r="PVE118" s="100" t="str">
        <f t="shared" si="454"/>
        <v/>
      </c>
      <c r="PVF118" s="100" t="str">
        <f t="shared" si="454"/>
        <v/>
      </c>
      <c r="PVG118" s="100" t="str">
        <f t="shared" si="454"/>
        <v/>
      </c>
      <c r="PVH118" s="100" t="str">
        <f t="shared" si="454"/>
        <v/>
      </c>
      <c r="PVI118" s="100" t="str">
        <f t="shared" ref="PVI118:PXT118" si="455">IFERROR(AVERAGE(PVI6,PVI16,PVI25,PVI34,PVI42,PVI54,PVI62,PVI70,PVI78,PVI86,PVI94,PVI102,PVI110),"")</f>
        <v/>
      </c>
      <c r="PVJ118" s="100" t="str">
        <f t="shared" si="455"/>
        <v/>
      </c>
      <c r="PVK118" s="100" t="str">
        <f t="shared" si="455"/>
        <v/>
      </c>
      <c r="PVL118" s="100" t="str">
        <f t="shared" si="455"/>
        <v/>
      </c>
      <c r="PVM118" s="100" t="str">
        <f t="shared" si="455"/>
        <v/>
      </c>
      <c r="PVN118" s="100" t="str">
        <f t="shared" si="455"/>
        <v/>
      </c>
      <c r="PVO118" s="100" t="str">
        <f t="shared" si="455"/>
        <v/>
      </c>
      <c r="PVP118" s="100" t="str">
        <f t="shared" si="455"/>
        <v/>
      </c>
      <c r="PVQ118" s="100" t="str">
        <f t="shared" si="455"/>
        <v/>
      </c>
      <c r="PVR118" s="100" t="str">
        <f t="shared" si="455"/>
        <v/>
      </c>
      <c r="PVS118" s="100" t="str">
        <f t="shared" si="455"/>
        <v/>
      </c>
      <c r="PVT118" s="100" t="str">
        <f t="shared" si="455"/>
        <v/>
      </c>
      <c r="PVU118" s="100" t="str">
        <f t="shared" si="455"/>
        <v/>
      </c>
      <c r="PVV118" s="100" t="str">
        <f t="shared" si="455"/>
        <v/>
      </c>
      <c r="PVW118" s="100" t="str">
        <f t="shared" si="455"/>
        <v/>
      </c>
      <c r="PVX118" s="100" t="str">
        <f t="shared" si="455"/>
        <v/>
      </c>
      <c r="PVY118" s="100" t="str">
        <f t="shared" si="455"/>
        <v/>
      </c>
      <c r="PVZ118" s="100" t="str">
        <f t="shared" si="455"/>
        <v/>
      </c>
      <c r="PWA118" s="100" t="str">
        <f t="shared" si="455"/>
        <v/>
      </c>
      <c r="PWB118" s="100" t="str">
        <f t="shared" si="455"/>
        <v/>
      </c>
      <c r="PWC118" s="100" t="str">
        <f t="shared" si="455"/>
        <v/>
      </c>
      <c r="PWD118" s="100" t="str">
        <f t="shared" si="455"/>
        <v/>
      </c>
      <c r="PWE118" s="100" t="str">
        <f t="shared" si="455"/>
        <v/>
      </c>
      <c r="PWF118" s="100" t="str">
        <f t="shared" si="455"/>
        <v/>
      </c>
      <c r="PWG118" s="100" t="str">
        <f t="shared" si="455"/>
        <v/>
      </c>
      <c r="PWH118" s="100" t="str">
        <f t="shared" si="455"/>
        <v/>
      </c>
      <c r="PWI118" s="100" t="str">
        <f t="shared" si="455"/>
        <v/>
      </c>
      <c r="PWJ118" s="100" t="str">
        <f t="shared" si="455"/>
        <v/>
      </c>
      <c r="PWK118" s="100" t="str">
        <f t="shared" si="455"/>
        <v/>
      </c>
      <c r="PWL118" s="100" t="str">
        <f t="shared" si="455"/>
        <v/>
      </c>
      <c r="PWM118" s="100" t="str">
        <f t="shared" si="455"/>
        <v/>
      </c>
      <c r="PWN118" s="100" t="str">
        <f t="shared" si="455"/>
        <v/>
      </c>
      <c r="PWO118" s="100" t="str">
        <f t="shared" si="455"/>
        <v/>
      </c>
      <c r="PWP118" s="100" t="str">
        <f t="shared" si="455"/>
        <v/>
      </c>
      <c r="PWQ118" s="100" t="str">
        <f t="shared" si="455"/>
        <v/>
      </c>
      <c r="PWR118" s="100" t="str">
        <f t="shared" si="455"/>
        <v/>
      </c>
      <c r="PWS118" s="100" t="str">
        <f t="shared" si="455"/>
        <v/>
      </c>
      <c r="PWT118" s="100" t="str">
        <f t="shared" si="455"/>
        <v/>
      </c>
      <c r="PWU118" s="100" t="str">
        <f t="shared" si="455"/>
        <v/>
      </c>
      <c r="PWV118" s="100" t="str">
        <f t="shared" si="455"/>
        <v/>
      </c>
      <c r="PWW118" s="100" t="str">
        <f t="shared" si="455"/>
        <v/>
      </c>
      <c r="PWX118" s="100" t="str">
        <f t="shared" si="455"/>
        <v/>
      </c>
      <c r="PWY118" s="100" t="str">
        <f t="shared" si="455"/>
        <v/>
      </c>
      <c r="PWZ118" s="100" t="str">
        <f t="shared" si="455"/>
        <v/>
      </c>
      <c r="PXA118" s="100" t="str">
        <f t="shared" si="455"/>
        <v/>
      </c>
      <c r="PXB118" s="100" t="str">
        <f t="shared" si="455"/>
        <v/>
      </c>
      <c r="PXC118" s="100" t="str">
        <f t="shared" si="455"/>
        <v/>
      </c>
      <c r="PXD118" s="100" t="str">
        <f t="shared" si="455"/>
        <v/>
      </c>
      <c r="PXE118" s="100" t="str">
        <f t="shared" si="455"/>
        <v/>
      </c>
      <c r="PXF118" s="100" t="str">
        <f t="shared" si="455"/>
        <v/>
      </c>
      <c r="PXG118" s="100" t="str">
        <f t="shared" si="455"/>
        <v/>
      </c>
      <c r="PXH118" s="100" t="str">
        <f t="shared" si="455"/>
        <v/>
      </c>
      <c r="PXI118" s="100" t="str">
        <f t="shared" si="455"/>
        <v/>
      </c>
      <c r="PXJ118" s="100" t="str">
        <f t="shared" si="455"/>
        <v/>
      </c>
      <c r="PXK118" s="100" t="str">
        <f t="shared" si="455"/>
        <v/>
      </c>
      <c r="PXL118" s="100" t="str">
        <f t="shared" si="455"/>
        <v/>
      </c>
      <c r="PXM118" s="100" t="str">
        <f t="shared" si="455"/>
        <v/>
      </c>
      <c r="PXN118" s="100" t="str">
        <f t="shared" si="455"/>
        <v/>
      </c>
      <c r="PXO118" s="100" t="str">
        <f t="shared" si="455"/>
        <v/>
      </c>
      <c r="PXP118" s="100" t="str">
        <f t="shared" si="455"/>
        <v/>
      </c>
      <c r="PXQ118" s="100" t="str">
        <f t="shared" si="455"/>
        <v/>
      </c>
      <c r="PXR118" s="100" t="str">
        <f t="shared" si="455"/>
        <v/>
      </c>
      <c r="PXS118" s="100" t="str">
        <f t="shared" si="455"/>
        <v/>
      </c>
      <c r="PXT118" s="100" t="str">
        <f t="shared" si="455"/>
        <v/>
      </c>
      <c r="PXU118" s="100" t="str">
        <f t="shared" ref="PXU118:QAF118" si="456">IFERROR(AVERAGE(PXU6,PXU16,PXU25,PXU34,PXU42,PXU54,PXU62,PXU70,PXU78,PXU86,PXU94,PXU102,PXU110),"")</f>
        <v/>
      </c>
      <c r="PXV118" s="100" t="str">
        <f t="shared" si="456"/>
        <v/>
      </c>
      <c r="PXW118" s="100" t="str">
        <f t="shared" si="456"/>
        <v/>
      </c>
      <c r="PXX118" s="100" t="str">
        <f t="shared" si="456"/>
        <v/>
      </c>
      <c r="PXY118" s="100" t="str">
        <f t="shared" si="456"/>
        <v/>
      </c>
      <c r="PXZ118" s="100" t="str">
        <f t="shared" si="456"/>
        <v/>
      </c>
      <c r="PYA118" s="100" t="str">
        <f t="shared" si="456"/>
        <v/>
      </c>
      <c r="PYB118" s="100" t="str">
        <f t="shared" si="456"/>
        <v/>
      </c>
      <c r="PYC118" s="100" t="str">
        <f t="shared" si="456"/>
        <v/>
      </c>
      <c r="PYD118" s="100" t="str">
        <f t="shared" si="456"/>
        <v/>
      </c>
      <c r="PYE118" s="100" t="str">
        <f t="shared" si="456"/>
        <v/>
      </c>
      <c r="PYF118" s="100" t="str">
        <f t="shared" si="456"/>
        <v/>
      </c>
      <c r="PYG118" s="100" t="str">
        <f t="shared" si="456"/>
        <v/>
      </c>
      <c r="PYH118" s="100" t="str">
        <f t="shared" si="456"/>
        <v/>
      </c>
      <c r="PYI118" s="100" t="str">
        <f t="shared" si="456"/>
        <v/>
      </c>
      <c r="PYJ118" s="100" t="str">
        <f t="shared" si="456"/>
        <v/>
      </c>
      <c r="PYK118" s="100" t="str">
        <f t="shared" si="456"/>
        <v/>
      </c>
      <c r="PYL118" s="100" t="str">
        <f t="shared" si="456"/>
        <v/>
      </c>
      <c r="PYM118" s="100" t="str">
        <f t="shared" si="456"/>
        <v/>
      </c>
      <c r="PYN118" s="100" t="str">
        <f t="shared" si="456"/>
        <v/>
      </c>
      <c r="PYO118" s="100" t="str">
        <f t="shared" si="456"/>
        <v/>
      </c>
      <c r="PYP118" s="100" t="str">
        <f t="shared" si="456"/>
        <v/>
      </c>
      <c r="PYQ118" s="100" t="str">
        <f t="shared" si="456"/>
        <v/>
      </c>
      <c r="PYR118" s="100" t="str">
        <f t="shared" si="456"/>
        <v/>
      </c>
      <c r="PYS118" s="100" t="str">
        <f t="shared" si="456"/>
        <v/>
      </c>
      <c r="PYT118" s="100" t="str">
        <f t="shared" si="456"/>
        <v/>
      </c>
      <c r="PYU118" s="100" t="str">
        <f t="shared" si="456"/>
        <v/>
      </c>
      <c r="PYV118" s="100" t="str">
        <f t="shared" si="456"/>
        <v/>
      </c>
      <c r="PYW118" s="100" t="str">
        <f t="shared" si="456"/>
        <v/>
      </c>
      <c r="PYX118" s="100" t="str">
        <f t="shared" si="456"/>
        <v/>
      </c>
      <c r="PYY118" s="100" t="str">
        <f t="shared" si="456"/>
        <v/>
      </c>
      <c r="PYZ118" s="100" t="str">
        <f t="shared" si="456"/>
        <v/>
      </c>
      <c r="PZA118" s="100" t="str">
        <f t="shared" si="456"/>
        <v/>
      </c>
      <c r="PZB118" s="100" t="str">
        <f t="shared" si="456"/>
        <v/>
      </c>
      <c r="PZC118" s="100" t="str">
        <f t="shared" si="456"/>
        <v/>
      </c>
      <c r="PZD118" s="100" t="str">
        <f t="shared" si="456"/>
        <v/>
      </c>
      <c r="PZE118" s="100" t="str">
        <f t="shared" si="456"/>
        <v/>
      </c>
      <c r="PZF118" s="100" t="str">
        <f t="shared" si="456"/>
        <v/>
      </c>
      <c r="PZG118" s="100" t="str">
        <f t="shared" si="456"/>
        <v/>
      </c>
      <c r="PZH118" s="100" t="str">
        <f t="shared" si="456"/>
        <v/>
      </c>
      <c r="PZI118" s="100" t="str">
        <f t="shared" si="456"/>
        <v/>
      </c>
      <c r="PZJ118" s="100" t="str">
        <f t="shared" si="456"/>
        <v/>
      </c>
      <c r="PZK118" s="100" t="str">
        <f t="shared" si="456"/>
        <v/>
      </c>
      <c r="PZL118" s="100" t="str">
        <f t="shared" si="456"/>
        <v/>
      </c>
      <c r="PZM118" s="100" t="str">
        <f t="shared" si="456"/>
        <v/>
      </c>
      <c r="PZN118" s="100" t="str">
        <f t="shared" si="456"/>
        <v/>
      </c>
      <c r="PZO118" s="100" t="str">
        <f t="shared" si="456"/>
        <v/>
      </c>
      <c r="PZP118" s="100" t="str">
        <f t="shared" si="456"/>
        <v/>
      </c>
      <c r="PZQ118" s="100" t="str">
        <f t="shared" si="456"/>
        <v/>
      </c>
      <c r="PZR118" s="100" t="str">
        <f t="shared" si="456"/>
        <v/>
      </c>
      <c r="PZS118" s="100" t="str">
        <f t="shared" si="456"/>
        <v/>
      </c>
      <c r="PZT118" s="100" t="str">
        <f t="shared" si="456"/>
        <v/>
      </c>
      <c r="PZU118" s="100" t="str">
        <f t="shared" si="456"/>
        <v/>
      </c>
      <c r="PZV118" s="100" t="str">
        <f t="shared" si="456"/>
        <v/>
      </c>
      <c r="PZW118" s="100" t="str">
        <f t="shared" si="456"/>
        <v/>
      </c>
      <c r="PZX118" s="100" t="str">
        <f t="shared" si="456"/>
        <v/>
      </c>
      <c r="PZY118" s="100" t="str">
        <f t="shared" si="456"/>
        <v/>
      </c>
      <c r="PZZ118" s="100" t="str">
        <f t="shared" si="456"/>
        <v/>
      </c>
      <c r="QAA118" s="100" t="str">
        <f t="shared" si="456"/>
        <v/>
      </c>
      <c r="QAB118" s="100" t="str">
        <f t="shared" si="456"/>
        <v/>
      </c>
      <c r="QAC118" s="100" t="str">
        <f t="shared" si="456"/>
        <v/>
      </c>
      <c r="QAD118" s="100" t="str">
        <f t="shared" si="456"/>
        <v/>
      </c>
      <c r="QAE118" s="100" t="str">
        <f t="shared" si="456"/>
        <v/>
      </c>
      <c r="QAF118" s="100" t="str">
        <f t="shared" si="456"/>
        <v/>
      </c>
      <c r="QAG118" s="100" t="str">
        <f t="shared" ref="QAG118:QCR118" si="457">IFERROR(AVERAGE(QAG6,QAG16,QAG25,QAG34,QAG42,QAG54,QAG62,QAG70,QAG78,QAG86,QAG94,QAG102,QAG110),"")</f>
        <v/>
      </c>
      <c r="QAH118" s="100" t="str">
        <f t="shared" si="457"/>
        <v/>
      </c>
      <c r="QAI118" s="100" t="str">
        <f t="shared" si="457"/>
        <v/>
      </c>
      <c r="QAJ118" s="100" t="str">
        <f t="shared" si="457"/>
        <v/>
      </c>
      <c r="QAK118" s="100" t="str">
        <f t="shared" si="457"/>
        <v/>
      </c>
      <c r="QAL118" s="100" t="str">
        <f t="shared" si="457"/>
        <v/>
      </c>
      <c r="QAM118" s="100" t="str">
        <f t="shared" si="457"/>
        <v/>
      </c>
      <c r="QAN118" s="100" t="str">
        <f t="shared" si="457"/>
        <v/>
      </c>
      <c r="QAO118" s="100" t="str">
        <f t="shared" si="457"/>
        <v/>
      </c>
      <c r="QAP118" s="100" t="str">
        <f t="shared" si="457"/>
        <v/>
      </c>
      <c r="QAQ118" s="100" t="str">
        <f t="shared" si="457"/>
        <v/>
      </c>
      <c r="QAR118" s="100" t="str">
        <f t="shared" si="457"/>
        <v/>
      </c>
      <c r="QAS118" s="100" t="str">
        <f t="shared" si="457"/>
        <v/>
      </c>
      <c r="QAT118" s="100" t="str">
        <f t="shared" si="457"/>
        <v/>
      </c>
      <c r="QAU118" s="100" t="str">
        <f t="shared" si="457"/>
        <v/>
      </c>
      <c r="QAV118" s="100" t="str">
        <f t="shared" si="457"/>
        <v/>
      </c>
      <c r="QAW118" s="100" t="str">
        <f t="shared" si="457"/>
        <v/>
      </c>
      <c r="QAX118" s="100" t="str">
        <f t="shared" si="457"/>
        <v/>
      </c>
      <c r="QAY118" s="100" t="str">
        <f t="shared" si="457"/>
        <v/>
      </c>
      <c r="QAZ118" s="100" t="str">
        <f t="shared" si="457"/>
        <v/>
      </c>
      <c r="QBA118" s="100" t="str">
        <f t="shared" si="457"/>
        <v/>
      </c>
      <c r="QBB118" s="100" t="str">
        <f t="shared" si="457"/>
        <v/>
      </c>
      <c r="QBC118" s="100" t="str">
        <f t="shared" si="457"/>
        <v/>
      </c>
      <c r="QBD118" s="100" t="str">
        <f t="shared" si="457"/>
        <v/>
      </c>
      <c r="QBE118" s="100" t="str">
        <f t="shared" si="457"/>
        <v/>
      </c>
      <c r="QBF118" s="100" t="str">
        <f t="shared" si="457"/>
        <v/>
      </c>
      <c r="QBG118" s="100" t="str">
        <f t="shared" si="457"/>
        <v/>
      </c>
      <c r="QBH118" s="100" t="str">
        <f t="shared" si="457"/>
        <v/>
      </c>
      <c r="QBI118" s="100" t="str">
        <f t="shared" si="457"/>
        <v/>
      </c>
      <c r="QBJ118" s="100" t="str">
        <f t="shared" si="457"/>
        <v/>
      </c>
      <c r="QBK118" s="100" t="str">
        <f t="shared" si="457"/>
        <v/>
      </c>
      <c r="QBL118" s="100" t="str">
        <f t="shared" si="457"/>
        <v/>
      </c>
      <c r="QBM118" s="100" t="str">
        <f t="shared" si="457"/>
        <v/>
      </c>
      <c r="QBN118" s="100" t="str">
        <f t="shared" si="457"/>
        <v/>
      </c>
      <c r="QBO118" s="100" t="str">
        <f t="shared" si="457"/>
        <v/>
      </c>
      <c r="QBP118" s="100" t="str">
        <f t="shared" si="457"/>
        <v/>
      </c>
      <c r="QBQ118" s="100" t="str">
        <f t="shared" si="457"/>
        <v/>
      </c>
      <c r="QBR118" s="100" t="str">
        <f t="shared" si="457"/>
        <v/>
      </c>
      <c r="QBS118" s="100" t="str">
        <f t="shared" si="457"/>
        <v/>
      </c>
      <c r="QBT118" s="100" t="str">
        <f t="shared" si="457"/>
        <v/>
      </c>
      <c r="QBU118" s="100" t="str">
        <f t="shared" si="457"/>
        <v/>
      </c>
      <c r="QBV118" s="100" t="str">
        <f t="shared" si="457"/>
        <v/>
      </c>
      <c r="QBW118" s="100" t="str">
        <f t="shared" si="457"/>
        <v/>
      </c>
      <c r="QBX118" s="100" t="str">
        <f t="shared" si="457"/>
        <v/>
      </c>
      <c r="QBY118" s="100" t="str">
        <f t="shared" si="457"/>
        <v/>
      </c>
      <c r="QBZ118" s="100" t="str">
        <f t="shared" si="457"/>
        <v/>
      </c>
      <c r="QCA118" s="100" t="str">
        <f t="shared" si="457"/>
        <v/>
      </c>
      <c r="QCB118" s="100" t="str">
        <f t="shared" si="457"/>
        <v/>
      </c>
      <c r="QCC118" s="100" t="str">
        <f t="shared" si="457"/>
        <v/>
      </c>
      <c r="QCD118" s="100" t="str">
        <f t="shared" si="457"/>
        <v/>
      </c>
      <c r="QCE118" s="100" t="str">
        <f t="shared" si="457"/>
        <v/>
      </c>
      <c r="QCF118" s="100" t="str">
        <f t="shared" si="457"/>
        <v/>
      </c>
      <c r="QCG118" s="100" t="str">
        <f t="shared" si="457"/>
        <v/>
      </c>
      <c r="QCH118" s="100" t="str">
        <f t="shared" si="457"/>
        <v/>
      </c>
      <c r="QCI118" s="100" t="str">
        <f t="shared" si="457"/>
        <v/>
      </c>
      <c r="QCJ118" s="100" t="str">
        <f t="shared" si="457"/>
        <v/>
      </c>
      <c r="QCK118" s="100" t="str">
        <f t="shared" si="457"/>
        <v/>
      </c>
      <c r="QCL118" s="100" t="str">
        <f t="shared" si="457"/>
        <v/>
      </c>
      <c r="QCM118" s="100" t="str">
        <f t="shared" si="457"/>
        <v/>
      </c>
      <c r="QCN118" s="100" t="str">
        <f t="shared" si="457"/>
        <v/>
      </c>
      <c r="QCO118" s="100" t="str">
        <f t="shared" si="457"/>
        <v/>
      </c>
      <c r="QCP118" s="100" t="str">
        <f t="shared" si="457"/>
        <v/>
      </c>
      <c r="QCQ118" s="100" t="str">
        <f t="shared" si="457"/>
        <v/>
      </c>
      <c r="QCR118" s="100" t="str">
        <f t="shared" si="457"/>
        <v/>
      </c>
      <c r="QCS118" s="100" t="str">
        <f t="shared" ref="QCS118:QFD118" si="458">IFERROR(AVERAGE(QCS6,QCS16,QCS25,QCS34,QCS42,QCS54,QCS62,QCS70,QCS78,QCS86,QCS94,QCS102,QCS110),"")</f>
        <v/>
      </c>
      <c r="QCT118" s="100" t="str">
        <f t="shared" si="458"/>
        <v/>
      </c>
      <c r="QCU118" s="100" t="str">
        <f t="shared" si="458"/>
        <v/>
      </c>
      <c r="QCV118" s="100" t="str">
        <f t="shared" si="458"/>
        <v/>
      </c>
      <c r="QCW118" s="100" t="str">
        <f t="shared" si="458"/>
        <v/>
      </c>
      <c r="QCX118" s="100" t="str">
        <f t="shared" si="458"/>
        <v/>
      </c>
      <c r="QCY118" s="100" t="str">
        <f t="shared" si="458"/>
        <v/>
      </c>
      <c r="QCZ118" s="100" t="str">
        <f t="shared" si="458"/>
        <v/>
      </c>
      <c r="QDA118" s="100" t="str">
        <f t="shared" si="458"/>
        <v/>
      </c>
      <c r="QDB118" s="100" t="str">
        <f t="shared" si="458"/>
        <v/>
      </c>
      <c r="QDC118" s="100" t="str">
        <f t="shared" si="458"/>
        <v/>
      </c>
      <c r="QDD118" s="100" t="str">
        <f t="shared" si="458"/>
        <v/>
      </c>
      <c r="QDE118" s="100" t="str">
        <f t="shared" si="458"/>
        <v/>
      </c>
      <c r="QDF118" s="100" t="str">
        <f t="shared" si="458"/>
        <v/>
      </c>
      <c r="QDG118" s="100" t="str">
        <f t="shared" si="458"/>
        <v/>
      </c>
      <c r="QDH118" s="100" t="str">
        <f t="shared" si="458"/>
        <v/>
      </c>
      <c r="QDI118" s="100" t="str">
        <f t="shared" si="458"/>
        <v/>
      </c>
      <c r="QDJ118" s="100" t="str">
        <f t="shared" si="458"/>
        <v/>
      </c>
      <c r="QDK118" s="100" t="str">
        <f t="shared" si="458"/>
        <v/>
      </c>
      <c r="QDL118" s="100" t="str">
        <f t="shared" si="458"/>
        <v/>
      </c>
      <c r="QDM118" s="100" t="str">
        <f t="shared" si="458"/>
        <v/>
      </c>
      <c r="QDN118" s="100" t="str">
        <f t="shared" si="458"/>
        <v/>
      </c>
      <c r="QDO118" s="100" t="str">
        <f t="shared" si="458"/>
        <v/>
      </c>
      <c r="QDP118" s="100" t="str">
        <f t="shared" si="458"/>
        <v/>
      </c>
      <c r="QDQ118" s="100" t="str">
        <f t="shared" si="458"/>
        <v/>
      </c>
      <c r="QDR118" s="100" t="str">
        <f t="shared" si="458"/>
        <v/>
      </c>
      <c r="QDS118" s="100" t="str">
        <f t="shared" si="458"/>
        <v/>
      </c>
      <c r="QDT118" s="100" t="str">
        <f t="shared" si="458"/>
        <v/>
      </c>
      <c r="QDU118" s="100" t="str">
        <f t="shared" si="458"/>
        <v/>
      </c>
      <c r="QDV118" s="100" t="str">
        <f t="shared" si="458"/>
        <v/>
      </c>
      <c r="QDW118" s="100" t="str">
        <f t="shared" si="458"/>
        <v/>
      </c>
      <c r="QDX118" s="100" t="str">
        <f t="shared" si="458"/>
        <v/>
      </c>
      <c r="QDY118" s="100" t="str">
        <f t="shared" si="458"/>
        <v/>
      </c>
      <c r="QDZ118" s="100" t="str">
        <f t="shared" si="458"/>
        <v/>
      </c>
      <c r="QEA118" s="100" t="str">
        <f t="shared" si="458"/>
        <v/>
      </c>
      <c r="QEB118" s="100" t="str">
        <f t="shared" si="458"/>
        <v/>
      </c>
      <c r="QEC118" s="100" t="str">
        <f t="shared" si="458"/>
        <v/>
      </c>
      <c r="QED118" s="100" t="str">
        <f t="shared" si="458"/>
        <v/>
      </c>
      <c r="QEE118" s="100" t="str">
        <f t="shared" si="458"/>
        <v/>
      </c>
      <c r="QEF118" s="100" t="str">
        <f t="shared" si="458"/>
        <v/>
      </c>
      <c r="QEG118" s="100" t="str">
        <f t="shared" si="458"/>
        <v/>
      </c>
      <c r="QEH118" s="100" t="str">
        <f t="shared" si="458"/>
        <v/>
      </c>
      <c r="QEI118" s="100" t="str">
        <f t="shared" si="458"/>
        <v/>
      </c>
      <c r="QEJ118" s="100" t="str">
        <f t="shared" si="458"/>
        <v/>
      </c>
      <c r="QEK118" s="100" t="str">
        <f t="shared" si="458"/>
        <v/>
      </c>
      <c r="QEL118" s="100" t="str">
        <f t="shared" si="458"/>
        <v/>
      </c>
      <c r="QEM118" s="100" t="str">
        <f t="shared" si="458"/>
        <v/>
      </c>
      <c r="QEN118" s="100" t="str">
        <f t="shared" si="458"/>
        <v/>
      </c>
      <c r="QEO118" s="100" t="str">
        <f t="shared" si="458"/>
        <v/>
      </c>
      <c r="QEP118" s="100" t="str">
        <f t="shared" si="458"/>
        <v/>
      </c>
      <c r="QEQ118" s="100" t="str">
        <f t="shared" si="458"/>
        <v/>
      </c>
      <c r="QER118" s="100" t="str">
        <f t="shared" si="458"/>
        <v/>
      </c>
      <c r="QES118" s="100" t="str">
        <f t="shared" si="458"/>
        <v/>
      </c>
      <c r="QET118" s="100" t="str">
        <f t="shared" si="458"/>
        <v/>
      </c>
      <c r="QEU118" s="100" t="str">
        <f t="shared" si="458"/>
        <v/>
      </c>
      <c r="QEV118" s="100" t="str">
        <f t="shared" si="458"/>
        <v/>
      </c>
      <c r="QEW118" s="100" t="str">
        <f t="shared" si="458"/>
        <v/>
      </c>
      <c r="QEX118" s="100" t="str">
        <f t="shared" si="458"/>
        <v/>
      </c>
      <c r="QEY118" s="100" t="str">
        <f t="shared" si="458"/>
        <v/>
      </c>
      <c r="QEZ118" s="100" t="str">
        <f t="shared" si="458"/>
        <v/>
      </c>
      <c r="QFA118" s="100" t="str">
        <f t="shared" si="458"/>
        <v/>
      </c>
      <c r="QFB118" s="100" t="str">
        <f t="shared" si="458"/>
        <v/>
      </c>
      <c r="QFC118" s="100" t="str">
        <f t="shared" si="458"/>
        <v/>
      </c>
      <c r="QFD118" s="100" t="str">
        <f t="shared" si="458"/>
        <v/>
      </c>
      <c r="QFE118" s="100" t="str">
        <f t="shared" ref="QFE118:QHP118" si="459">IFERROR(AVERAGE(QFE6,QFE16,QFE25,QFE34,QFE42,QFE54,QFE62,QFE70,QFE78,QFE86,QFE94,QFE102,QFE110),"")</f>
        <v/>
      </c>
      <c r="QFF118" s="100" t="str">
        <f t="shared" si="459"/>
        <v/>
      </c>
      <c r="QFG118" s="100" t="str">
        <f t="shared" si="459"/>
        <v/>
      </c>
      <c r="QFH118" s="100" t="str">
        <f t="shared" si="459"/>
        <v/>
      </c>
      <c r="QFI118" s="100" t="str">
        <f t="shared" si="459"/>
        <v/>
      </c>
      <c r="QFJ118" s="100" t="str">
        <f t="shared" si="459"/>
        <v/>
      </c>
      <c r="QFK118" s="100" t="str">
        <f t="shared" si="459"/>
        <v/>
      </c>
      <c r="QFL118" s="100" t="str">
        <f t="shared" si="459"/>
        <v/>
      </c>
      <c r="QFM118" s="100" t="str">
        <f t="shared" si="459"/>
        <v/>
      </c>
      <c r="QFN118" s="100" t="str">
        <f t="shared" si="459"/>
        <v/>
      </c>
      <c r="QFO118" s="100" t="str">
        <f t="shared" si="459"/>
        <v/>
      </c>
      <c r="QFP118" s="100" t="str">
        <f t="shared" si="459"/>
        <v/>
      </c>
      <c r="QFQ118" s="100" t="str">
        <f t="shared" si="459"/>
        <v/>
      </c>
      <c r="QFR118" s="100" t="str">
        <f t="shared" si="459"/>
        <v/>
      </c>
      <c r="QFS118" s="100" t="str">
        <f t="shared" si="459"/>
        <v/>
      </c>
      <c r="QFT118" s="100" t="str">
        <f t="shared" si="459"/>
        <v/>
      </c>
      <c r="QFU118" s="100" t="str">
        <f t="shared" si="459"/>
        <v/>
      </c>
      <c r="QFV118" s="100" t="str">
        <f t="shared" si="459"/>
        <v/>
      </c>
      <c r="QFW118" s="100" t="str">
        <f t="shared" si="459"/>
        <v/>
      </c>
      <c r="QFX118" s="100" t="str">
        <f t="shared" si="459"/>
        <v/>
      </c>
      <c r="QFY118" s="100" t="str">
        <f t="shared" si="459"/>
        <v/>
      </c>
      <c r="QFZ118" s="100" t="str">
        <f t="shared" si="459"/>
        <v/>
      </c>
      <c r="QGA118" s="100" t="str">
        <f t="shared" si="459"/>
        <v/>
      </c>
      <c r="QGB118" s="100" t="str">
        <f t="shared" si="459"/>
        <v/>
      </c>
      <c r="QGC118" s="100" t="str">
        <f t="shared" si="459"/>
        <v/>
      </c>
      <c r="QGD118" s="100" t="str">
        <f t="shared" si="459"/>
        <v/>
      </c>
      <c r="QGE118" s="100" t="str">
        <f t="shared" si="459"/>
        <v/>
      </c>
      <c r="QGF118" s="100" t="str">
        <f t="shared" si="459"/>
        <v/>
      </c>
      <c r="QGG118" s="100" t="str">
        <f t="shared" si="459"/>
        <v/>
      </c>
      <c r="QGH118" s="100" t="str">
        <f t="shared" si="459"/>
        <v/>
      </c>
      <c r="QGI118" s="100" t="str">
        <f t="shared" si="459"/>
        <v/>
      </c>
      <c r="QGJ118" s="100" t="str">
        <f t="shared" si="459"/>
        <v/>
      </c>
      <c r="QGK118" s="100" t="str">
        <f t="shared" si="459"/>
        <v/>
      </c>
      <c r="QGL118" s="100" t="str">
        <f t="shared" si="459"/>
        <v/>
      </c>
      <c r="QGM118" s="100" t="str">
        <f t="shared" si="459"/>
        <v/>
      </c>
      <c r="QGN118" s="100" t="str">
        <f t="shared" si="459"/>
        <v/>
      </c>
      <c r="QGO118" s="100" t="str">
        <f t="shared" si="459"/>
        <v/>
      </c>
      <c r="QGP118" s="100" t="str">
        <f t="shared" si="459"/>
        <v/>
      </c>
      <c r="QGQ118" s="100" t="str">
        <f t="shared" si="459"/>
        <v/>
      </c>
      <c r="QGR118" s="100" t="str">
        <f t="shared" si="459"/>
        <v/>
      </c>
      <c r="QGS118" s="100" t="str">
        <f t="shared" si="459"/>
        <v/>
      </c>
      <c r="QGT118" s="100" t="str">
        <f t="shared" si="459"/>
        <v/>
      </c>
      <c r="QGU118" s="100" t="str">
        <f t="shared" si="459"/>
        <v/>
      </c>
      <c r="QGV118" s="100" t="str">
        <f t="shared" si="459"/>
        <v/>
      </c>
      <c r="QGW118" s="100" t="str">
        <f t="shared" si="459"/>
        <v/>
      </c>
      <c r="QGX118" s="100" t="str">
        <f t="shared" si="459"/>
        <v/>
      </c>
      <c r="QGY118" s="100" t="str">
        <f t="shared" si="459"/>
        <v/>
      </c>
      <c r="QGZ118" s="100" t="str">
        <f t="shared" si="459"/>
        <v/>
      </c>
      <c r="QHA118" s="100" t="str">
        <f t="shared" si="459"/>
        <v/>
      </c>
      <c r="QHB118" s="100" t="str">
        <f t="shared" si="459"/>
        <v/>
      </c>
      <c r="QHC118" s="100" t="str">
        <f t="shared" si="459"/>
        <v/>
      </c>
      <c r="QHD118" s="100" t="str">
        <f t="shared" si="459"/>
        <v/>
      </c>
      <c r="QHE118" s="100" t="str">
        <f t="shared" si="459"/>
        <v/>
      </c>
      <c r="QHF118" s="100" t="str">
        <f t="shared" si="459"/>
        <v/>
      </c>
      <c r="QHG118" s="100" t="str">
        <f t="shared" si="459"/>
        <v/>
      </c>
      <c r="QHH118" s="100" t="str">
        <f t="shared" si="459"/>
        <v/>
      </c>
      <c r="QHI118" s="100" t="str">
        <f t="shared" si="459"/>
        <v/>
      </c>
      <c r="QHJ118" s="100" t="str">
        <f t="shared" si="459"/>
        <v/>
      </c>
      <c r="QHK118" s="100" t="str">
        <f t="shared" si="459"/>
        <v/>
      </c>
      <c r="QHL118" s="100" t="str">
        <f t="shared" si="459"/>
        <v/>
      </c>
      <c r="QHM118" s="100" t="str">
        <f t="shared" si="459"/>
        <v/>
      </c>
      <c r="QHN118" s="100" t="str">
        <f t="shared" si="459"/>
        <v/>
      </c>
      <c r="QHO118" s="100" t="str">
        <f t="shared" si="459"/>
        <v/>
      </c>
      <c r="QHP118" s="100" t="str">
        <f t="shared" si="459"/>
        <v/>
      </c>
      <c r="QHQ118" s="100" t="str">
        <f t="shared" ref="QHQ118:QKB118" si="460">IFERROR(AVERAGE(QHQ6,QHQ16,QHQ25,QHQ34,QHQ42,QHQ54,QHQ62,QHQ70,QHQ78,QHQ86,QHQ94,QHQ102,QHQ110),"")</f>
        <v/>
      </c>
      <c r="QHR118" s="100" t="str">
        <f t="shared" si="460"/>
        <v/>
      </c>
      <c r="QHS118" s="100" t="str">
        <f t="shared" si="460"/>
        <v/>
      </c>
      <c r="QHT118" s="100" t="str">
        <f t="shared" si="460"/>
        <v/>
      </c>
      <c r="QHU118" s="100" t="str">
        <f t="shared" si="460"/>
        <v/>
      </c>
      <c r="QHV118" s="100" t="str">
        <f t="shared" si="460"/>
        <v/>
      </c>
      <c r="QHW118" s="100" t="str">
        <f t="shared" si="460"/>
        <v/>
      </c>
      <c r="QHX118" s="100" t="str">
        <f t="shared" si="460"/>
        <v/>
      </c>
      <c r="QHY118" s="100" t="str">
        <f t="shared" si="460"/>
        <v/>
      </c>
      <c r="QHZ118" s="100" t="str">
        <f t="shared" si="460"/>
        <v/>
      </c>
      <c r="QIA118" s="100" t="str">
        <f t="shared" si="460"/>
        <v/>
      </c>
      <c r="QIB118" s="100" t="str">
        <f t="shared" si="460"/>
        <v/>
      </c>
      <c r="QIC118" s="100" t="str">
        <f t="shared" si="460"/>
        <v/>
      </c>
      <c r="QID118" s="100" t="str">
        <f t="shared" si="460"/>
        <v/>
      </c>
      <c r="QIE118" s="100" t="str">
        <f t="shared" si="460"/>
        <v/>
      </c>
      <c r="QIF118" s="100" t="str">
        <f t="shared" si="460"/>
        <v/>
      </c>
      <c r="QIG118" s="100" t="str">
        <f t="shared" si="460"/>
        <v/>
      </c>
      <c r="QIH118" s="100" t="str">
        <f t="shared" si="460"/>
        <v/>
      </c>
      <c r="QII118" s="100" t="str">
        <f t="shared" si="460"/>
        <v/>
      </c>
      <c r="QIJ118" s="100" t="str">
        <f t="shared" si="460"/>
        <v/>
      </c>
      <c r="QIK118" s="100" t="str">
        <f t="shared" si="460"/>
        <v/>
      </c>
      <c r="QIL118" s="100" t="str">
        <f t="shared" si="460"/>
        <v/>
      </c>
      <c r="QIM118" s="100" t="str">
        <f t="shared" si="460"/>
        <v/>
      </c>
      <c r="QIN118" s="100" t="str">
        <f t="shared" si="460"/>
        <v/>
      </c>
      <c r="QIO118" s="100" t="str">
        <f t="shared" si="460"/>
        <v/>
      </c>
      <c r="QIP118" s="100" t="str">
        <f t="shared" si="460"/>
        <v/>
      </c>
      <c r="QIQ118" s="100" t="str">
        <f t="shared" si="460"/>
        <v/>
      </c>
      <c r="QIR118" s="100" t="str">
        <f t="shared" si="460"/>
        <v/>
      </c>
      <c r="QIS118" s="100" t="str">
        <f t="shared" si="460"/>
        <v/>
      </c>
      <c r="QIT118" s="100" t="str">
        <f t="shared" si="460"/>
        <v/>
      </c>
      <c r="QIU118" s="100" t="str">
        <f t="shared" si="460"/>
        <v/>
      </c>
      <c r="QIV118" s="100" t="str">
        <f t="shared" si="460"/>
        <v/>
      </c>
      <c r="QIW118" s="100" t="str">
        <f t="shared" si="460"/>
        <v/>
      </c>
      <c r="QIX118" s="100" t="str">
        <f t="shared" si="460"/>
        <v/>
      </c>
      <c r="QIY118" s="100" t="str">
        <f t="shared" si="460"/>
        <v/>
      </c>
      <c r="QIZ118" s="100" t="str">
        <f t="shared" si="460"/>
        <v/>
      </c>
      <c r="QJA118" s="100" t="str">
        <f t="shared" si="460"/>
        <v/>
      </c>
      <c r="QJB118" s="100" t="str">
        <f t="shared" si="460"/>
        <v/>
      </c>
      <c r="QJC118" s="100" t="str">
        <f t="shared" si="460"/>
        <v/>
      </c>
      <c r="QJD118" s="100" t="str">
        <f t="shared" si="460"/>
        <v/>
      </c>
      <c r="QJE118" s="100" t="str">
        <f t="shared" si="460"/>
        <v/>
      </c>
      <c r="QJF118" s="100" t="str">
        <f t="shared" si="460"/>
        <v/>
      </c>
      <c r="QJG118" s="100" t="str">
        <f t="shared" si="460"/>
        <v/>
      </c>
      <c r="QJH118" s="100" t="str">
        <f t="shared" si="460"/>
        <v/>
      </c>
      <c r="QJI118" s="100" t="str">
        <f t="shared" si="460"/>
        <v/>
      </c>
      <c r="QJJ118" s="100" t="str">
        <f t="shared" si="460"/>
        <v/>
      </c>
      <c r="QJK118" s="100" t="str">
        <f t="shared" si="460"/>
        <v/>
      </c>
      <c r="QJL118" s="100" t="str">
        <f t="shared" si="460"/>
        <v/>
      </c>
      <c r="QJM118" s="100" t="str">
        <f t="shared" si="460"/>
        <v/>
      </c>
      <c r="QJN118" s="100" t="str">
        <f t="shared" si="460"/>
        <v/>
      </c>
      <c r="QJO118" s="100" t="str">
        <f t="shared" si="460"/>
        <v/>
      </c>
      <c r="QJP118" s="100" t="str">
        <f t="shared" si="460"/>
        <v/>
      </c>
      <c r="QJQ118" s="100" t="str">
        <f t="shared" si="460"/>
        <v/>
      </c>
      <c r="QJR118" s="100" t="str">
        <f t="shared" si="460"/>
        <v/>
      </c>
      <c r="QJS118" s="100" t="str">
        <f t="shared" si="460"/>
        <v/>
      </c>
      <c r="QJT118" s="100" t="str">
        <f t="shared" si="460"/>
        <v/>
      </c>
      <c r="QJU118" s="100" t="str">
        <f t="shared" si="460"/>
        <v/>
      </c>
      <c r="QJV118" s="100" t="str">
        <f t="shared" si="460"/>
        <v/>
      </c>
      <c r="QJW118" s="100" t="str">
        <f t="shared" si="460"/>
        <v/>
      </c>
      <c r="QJX118" s="100" t="str">
        <f t="shared" si="460"/>
        <v/>
      </c>
      <c r="QJY118" s="100" t="str">
        <f t="shared" si="460"/>
        <v/>
      </c>
      <c r="QJZ118" s="100" t="str">
        <f t="shared" si="460"/>
        <v/>
      </c>
      <c r="QKA118" s="100" t="str">
        <f t="shared" si="460"/>
        <v/>
      </c>
      <c r="QKB118" s="100" t="str">
        <f t="shared" si="460"/>
        <v/>
      </c>
      <c r="QKC118" s="100" t="str">
        <f t="shared" ref="QKC118:QMN118" si="461">IFERROR(AVERAGE(QKC6,QKC16,QKC25,QKC34,QKC42,QKC54,QKC62,QKC70,QKC78,QKC86,QKC94,QKC102,QKC110),"")</f>
        <v/>
      </c>
      <c r="QKD118" s="100" t="str">
        <f t="shared" si="461"/>
        <v/>
      </c>
      <c r="QKE118" s="100" t="str">
        <f t="shared" si="461"/>
        <v/>
      </c>
      <c r="QKF118" s="100" t="str">
        <f t="shared" si="461"/>
        <v/>
      </c>
      <c r="QKG118" s="100" t="str">
        <f t="shared" si="461"/>
        <v/>
      </c>
      <c r="QKH118" s="100" t="str">
        <f t="shared" si="461"/>
        <v/>
      </c>
      <c r="QKI118" s="100" t="str">
        <f t="shared" si="461"/>
        <v/>
      </c>
      <c r="QKJ118" s="100" t="str">
        <f t="shared" si="461"/>
        <v/>
      </c>
      <c r="QKK118" s="100" t="str">
        <f t="shared" si="461"/>
        <v/>
      </c>
      <c r="QKL118" s="100" t="str">
        <f t="shared" si="461"/>
        <v/>
      </c>
      <c r="QKM118" s="100" t="str">
        <f t="shared" si="461"/>
        <v/>
      </c>
      <c r="QKN118" s="100" t="str">
        <f t="shared" si="461"/>
        <v/>
      </c>
      <c r="QKO118" s="100" t="str">
        <f t="shared" si="461"/>
        <v/>
      </c>
      <c r="QKP118" s="100" t="str">
        <f t="shared" si="461"/>
        <v/>
      </c>
      <c r="QKQ118" s="100" t="str">
        <f t="shared" si="461"/>
        <v/>
      </c>
      <c r="QKR118" s="100" t="str">
        <f t="shared" si="461"/>
        <v/>
      </c>
      <c r="QKS118" s="100" t="str">
        <f t="shared" si="461"/>
        <v/>
      </c>
      <c r="QKT118" s="100" t="str">
        <f t="shared" si="461"/>
        <v/>
      </c>
      <c r="QKU118" s="100" t="str">
        <f t="shared" si="461"/>
        <v/>
      </c>
      <c r="QKV118" s="100" t="str">
        <f t="shared" si="461"/>
        <v/>
      </c>
      <c r="QKW118" s="100" t="str">
        <f t="shared" si="461"/>
        <v/>
      </c>
      <c r="QKX118" s="100" t="str">
        <f t="shared" si="461"/>
        <v/>
      </c>
      <c r="QKY118" s="100" t="str">
        <f t="shared" si="461"/>
        <v/>
      </c>
      <c r="QKZ118" s="100" t="str">
        <f t="shared" si="461"/>
        <v/>
      </c>
      <c r="QLA118" s="100" t="str">
        <f t="shared" si="461"/>
        <v/>
      </c>
      <c r="QLB118" s="100" t="str">
        <f t="shared" si="461"/>
        <v/>
      </c>
      <c r="QLC118" s="100" t="str">
        <f t="shared" si="461"/>
        <v/>
      </c>
      <c r="QLD118" s="100" t="str">
        <f t="shared" si="461"/>
        <v/>
      </c>
      <c r="QLE118" s="100" t="str">
        <f t="shared" si="461"/>
        <v/>
      </c>
      <c r="QLF118" s="100" t="str">
        <f t="shared" si="461"/>
        <v/>
      </c>
      <c r="QLG118" s="100" t="str">
        <f t="shared" si="461"/>
        <v/>
      </c>
      <c r="QLH118" s="100" t="str">
        <f t="shared" si="461"/>
        <v/>
      </c>
      <c r="QLI118" s="100" t="str">
        <f t="shared" si="461"/>
        <v/>
      </c>
      <c r="QLJ118" s="100" t="str">
        <f t="shared" si="461"/>
        <v/>
      </c>
      <c r="QLK118" s="100" t="str">
        <f t="shared" si="461"/>
        <v/>
      </c>
      <c r="QLL118" s="100" t="str">
        <f t="shared" si="461"/>
        <v/>
      </c>
      <c r="QLM118" s="100" t="str">
        <f t="shared" si="461"/>
        <v/>
      </c>
      <c r="QLN118" s="100" t="str">
        <f t="shared" si="461"/>
        <v/>
      </c>
      <c r="QLO118" s="100" t="str">
        <f t="shared" si="461"/>
        <v/>
      </c>
      <c r="QLP118" s="100" t="str">
        <f t="shared" si="461"/>
        <v/>
      </c>
      <c r="QLQ118" s="100" t="str">
        <f t="shared" si="461"/>
        <v/>
      </c>
      <c r="QLR118" s="100" t="str">
        <f t="shared" si="461"/>
        <v/>
      </c>
      <c r="QLS118" s="100" t="str">
        <f t="shared" si="461"/>
        <v/>
      </c>
      <c r="QLT118" s="100" t="str">
        <f t="shared" si="461"/>
        <v/>
      </c>
      <c r="QLU118" s="100" t="str">
        <f t="shared" si="461"/>
        <v/>
      </c>
      <c r="QLV118" s="100" t="str">
        <f t="shared" si="461"/>
        <v/>
      </c>
      <c r="QLW118" s="100" t="str">
        <f t="shared" si="461"/>
        <v/>
      </c>
      <c r="QLX118" s="100" t="str">
        <f t="shared" si="461"/>
        <v/>
      </c>
      <c r="QLY118" s="100" t="str">
        <f t="shared" si="461"/>
        <v/>
      </c>
      <c r="QLZ118" s="100" t="str">
        <f t="shared" si="461"/>
        <v/>
      </c>
      <c r="QMA118" s="100" t="str">
        <f t="shared" si="461"/>
        <v/>
      </c>
      <c r="QMB118" s="100" t="str">
        <f t="shared" si="461"/>
        <v/>
      </c>
      <c r="QMC118" s="100" t="str">
        <f t="shared" si="461"/>
        <v/>
      </c>
      <c r="QMD118" s="100" t="str">
        <f t="shared" si="461"/>
        <v/>
      </c>
      <c r="QME118" s="100" t="str">
        <f t="shared" si="461"/>
        <v/>
      </c>
      <c r="QMF118" s="100" t="str">
        <f t="shared" si="461"/>
        <v/>
      </c>
      <c r="QMG118" s="100" t="str">
        <f t="shared" si="461"/>
        <v/>
      </c>
      <c r="QMH118" s="100" t="str">
        <f t="shared" si="461"/>
        <v/>
      </c>
      <c r="QMI118" s="100" t="str">
        <f t="shared" si="461"/>
        <v/>
      </c>
      <c r="QMJ118" s="100" t="str">
        <f t="shared" si="461"/>
        <v/>
      </c>
      <c r="QMK118" s="100" t="str">
        <f t="shared" si="461"/>
        <v/>
      </c>
      <c r="QML118" s="100" t="str">
        <f t="shared" si="461"/>
        <v/>
      </c>
      <c r="QMM118" s="100" t="str">
        <f t="shared" si="461"/>
        <v/>
      </c>
      <c r="QMN118" s="100" t="str">
        <f t="shared" si="461"/>
        <v/>
      </c>
      <c r="QMO118" s="100" t="str">
        <f t="shared" ref="QMO118:QOZ118" si="462">IFERROR(AVERAGE(QMO6,QMO16,QMO25,QMO34,QMO42,QMO54,QMO62,QMO70,QMO78,QMO86,QMO94,QMO102,QMO110),"")</f>
        <v/>
      </c>
      <c r="QMP118" s="100" t="str">
        <f t="shared" si="462"/>
        <v/>
      </c>
      <c r="QMQ118" s="100" t="str">
        <f t="shared" si="462"/>
        <v/>
      </c>
      <c r="QMR118" s="100" t="str">
        <f t="shared" si="462"/>
        <v/>
      </c>
      <c r="QMS118" s="100" t="str">
        <f t="shared" si="462"/>
        <v/>
      </c>
      <c r="QMT118" s="100" t="str">
        <f t="shared" si="462"/>
        <v/>
      </c>
      <c r="QMU118" s="100" t="str">
        <f t="shared" si="462"/>
        <v/>
      </c>
      <c r="QMV118" s="100" t="str">
        <f t="shared" si="462"/>
        <v/>
      </c>
      <c r="QMW118" s="100" t="str">
        <f t="shared" si="462"/>
        <v/>
      </c>
      <c r="QMX118" s="100" t="str">
        <f t="shared" si="462"/>
        <v/>
      </c>
      <c r="QMY118" s="100" t="str">
        <f t="shared" si="462"/>
        <v/>
      </c>
      <c r="QMZ118" s="100" t="str">
        <f t="shared" si="462"/>
        <v/>
      </c>
      <c r="QNA118" s="100" t="str">
        <f t="shared" si="462"/>
        <v/>
      </c>
      <c r="QNB118" s="100" t="str">
        <f t="shared" si="462"/>
        <v/>
      </c>
      <c r="QNC118" s="100" t="str">
        <f t="shared" si="462"/>
        <v/>
      </c>
      <c r="QND118" s="100" t="str">
        <f t="shared" si="462"/>
        <v/>
      </c>
      <c r="QNE118" s="100" t="str">
        <f t="shared" si="462"/>
        <v/>
      </c>
      <c r="QNF118" s="100" t="str">
        <f t="shared" si="462"/>
        <v/>
      </c>
      <c r="QNG118" s="100" t="str">
        <f t="shared" si="462"/>
        <v/>
      </c>
      <c r="QNH118" s="100" t="str">
        <f t="shared" si="462"/>
        <v/>
      </c>
      <c r="QNI118" s="100" t="str">
        <f t="shared" si="462"/>
        <v/>
      </c>
      <c r="QNJ118" s="100" t="str">
        <f t="shared" si="462"/>
        <v/>
      </c>
      <c r="QNK118" s="100" t="str">
        <f t="shared" si="462"/>
        <v/>
      </c>
      <c r="QNL118" s="100" t="str">
        <f t="shared" si="462"/>
        <v/>
      </c>
      <c r="QNM118" s="100" t="str">
        <f t="shared" si="462"/>
        <v/>
      </c>
      <c r="QNN118" s="100" t="str">
        <f t="shared" si="462"/>
        <v/>
      </c>
      <c r="QNO118" s="100" t="str">
        <f t="shared" si="462"/>
        <v/>
      </c>
      <c r="QNP118" s="100" t="str">
        <f t="shared" si="462"/>
        <v/>
      </c>
      <c r="QNQ118" s="100" t="str">
        <f t="shared" si="462"/>
        <v/>
      </c>
      <c r="QNR118" s="100" t="str">
        <f t="shared" si="462"/>
        <v/>
      </c>
      <c r="QNS118" s="100" t="str">
        <f t="shared" si="462"/>
        <v/>
      </c>
      <c r="QNT118" s="100" t="str">
        <f t="shared" si="462"/>
        <v/>
      </c>
      <c r="QNU118" s="100" t="str">
        <f t="shared" si="462"/>
        <v/>
      </c>
      <c r="QNV118" s="100" t="str">
        <f t="shared" si="462"/>
        <v/>
      </c>
      <c r="QNW118" s="100" t="str">
        <f t="shared" si="462"/>
        <v/>
      </c>
      <c r="QNX118" s="100" t="str">
        <f t="shared" si="462"/>
        <v/>
      </c>
      <c r="QNY118" s="100" t="str">
        <f t="shared" si="462"/>
        <v/>
      </c>
      <c r="QNZ118" s="100" t="str">
        <f t="shared" si="462"/>
        <v/>
      </c>
      <c r="QOA118" s="100" t="str">
        <f t="shared" si="462"/>
        <v/>
      </c>
      <c r="QOB118" s="100" t="str">
        <f t="shared" si="462"/>
        <v/>
      </c>
      <c r="QOC118" s="100" t="str">
        <f t="shared" si="462"/>
        <v/>
      </c>
      <c r="QOD118" s="100" t="str">
        <f t="shared" si="462"/>
        <v/>
      </c>
      <c r="QOE118" s="100" t="str">
        <f t="shared" si="462"/>
        <v/>
      </c>
      <c r="QOF118" s="100" t="str">
        <f t="shared" si="462"/>
        <v/>
      </c>
      <c r="QOG118" s="100" t="str">
        <f t="shared" si="462"/>
        <v/>
      </c>
      <c r="QOH118" s="100" t="str">
        <f t="shared" si="462"/>
        <v/>
      </c>
      <c r="QOI118" s="100" t="str">
        <f t="shared" si="462"/>
        <v/>
      </c>
      <c r="QOJ118" s="100" t="str">
        <f t="shared" si="462"/>
        <v/>
      </c>
      <c r="QOK118" s="100" t="str">
        <f t="shared" si="462"/>
        <v/>
      </c>
      <c r="QOL118" s="100" t="str">
        <f t="shared" si="462"/>
        <v/>
      </c>
      <c r="QOM118" s="100" t="str">
        <f t="shared" si="462"/>
        <v/>
      </c>
      <c r="QON118" s="100" t="str">
        <f t="shared" si="462"/>
        <v/>
      </c>
      <c r="QOO118" s="100" t="str">
        <f t="shared" si="462"/>
        <v/>
      </c>
      <c r="QOP118" s="100" t="str">
        <f t="shared" si="462"/>
        <v/>
      </c>
      <c r="QOQ118" s="100" t="str">
        <f t="shared" si="462"/>
        <v/>
      </c>
      <c r="QOR118" s="100" t="str">
        <f t="shared" si="462"/>
        <v/>
      </c>
      <c r="QOS118" s="100" t="str">
        <f t="shared" si="462"/>
        <v/>
      </c>
      <c r="QOT118" s="100" t="str">
        <f t="shared" si="462"/>
        <v/>
      </c>
      <c r="QOU118" s="100" t="str">
        <f t="shared" si="462"/>
        <v/>
      </c>
      <c r="QOV118" s="100" t="str">
        <f t="shared" si="462"/>
        <v/>
      </c>
      <c r="QOW118" s="100" t="str">
        <f t="shared" si="462"/>
        <v/>
      </c>
      <c r="QOX118" s="100" t="str">
        <f t="shared" si="462"/>
        <v/>
      </c>
      <c r="QOY118" s="100" t="str">
        <f t="shared" si="462"/>
        <v/>
      </c>
      <c r="QOZ118" s="100" t="str">
        <f t="shared" si="462"/>
        <v/>
      </c>
      <c r="QPA118" s="100" t="str">
        <f t="shared" ref="QPA118:QRL118" si="463">IFERROR(AVERAGE(QPA6,QPA16,QPA25,QPA34,QPA42,QPA54,QPA62,QPA70,QPA78,QPA86,QPA94,QPA102,QPA110),"")</f>
        <v/>
      </c>
      <c r="QPB118" s="100" t="str">
        <f t="shared" si="463"/>
        <v/>
      </c>
      <c r="QPC118" s="100" t="str">
        <f t="shared" si="463"/>
        <v/>
      </c>
      <c r="QPD118" s="100" t="str">
        <f t="shared" si="463"/>
        <v/>
      </c>
      <c r="QPE118" s="100" t="str">
        <f t="shared" si="463"/>
        <v/>
      </c>
      <c r="QPF118" s="100" t="str">
        <f t="shared" si="463"/>
        <v/>
      </c>
      <c r="QPG118" s="100" t="str">
        <f t="shared" si="463"/>
        <v/>
      </c>
      <c r="QPH118" s="100" t="str">
        <f t="shared" si="463"/>
        <v/>
      </c>
      <c r="QPI118" s="100" t="str">
        <f t="shared" si="463"/>
        <v/>
      </c>
      <c r="QPJ118" s="100" t="str">
        <f t="shared" si="463"/>
        <v/>
      </c>
      <c r="QPK118" s="100" t="str">
        <f t="shared" si="463"/>
        <v/>
      </c>
      <c r="QPL118" s="100" t="str">
        <f t="shared" si="463"/>
        <v/>
      </c>
      <c r="QPM118" s="100" t="str">
        <f t="shared" si="463"/>
        <v/>
      </c>
      <c r="QPN118" s="100" t="str">
        <f t="shared" si="463"/>
        <v/>
      </c>
      <c r="QPO118" s="100" t="str">
        <f t="shared" si="463"/>
        <v/>
      </c>
      <c r="QPP118" s="100" t="str">
        <f t="shared" si="463"/>
        <v/>
      </c>
      <c r="QPQ118" s="100" t="str">
        <f t="shared" si="463"/>
        <v/>
      </c>
      <c r="QPR118" s="100" t="str">
        <f t="shared" si="463"/>
        <v/>
      </c>
      <c r="QPS118" s="100" t="str">
        <f t="shared" si="463"/>
        <v/>
      </c>
      <c r="QPT118" s="100" t="str">
        <f t="shared" si="463"/>
        <v/>
      </c>
      <c r="QPU118" s="100" t="str">
        <f t="shared" si="463"/>
        <v/>
      </c>
      <c r="QPV118" s="100" t="str">
        <f t="shared" si="463"/>
        <v/>
      </c>
      <c r="QPW118" s="100" t="str">
        <f t="shared" si="463"/>
        <v/>
      </c>
      <c r="QPX118" s="100" t="str">
        <f t="shared" si="463"/>
        <v/>
      </c>
      <c r="QPY118" s="100" t="str">
        <f t="shared" si="463"/>
        <v/>
      </c>
      <c r="QPZ118" s="100" t="str">
        <f t="shared" si="463"/>
        <v/>
      </c>
      <c r="QQA118" s="100" t="str">
        <f t="shared" si="463"/>
        <v/>
      </c>
      <c r="QQB118" s="100" t="str">
        <f t="shared" si="463"/>
        <v/>
      </c>
      <c r="QQC118" s="100" t="str">
        <f t="shared" si="463"/>
        <v/>
      </c>
      <c r="QQD118" s="100" t="str">
        <f t="shared" si="463"/>
        <v/>
      </c>
      <c r="QQE118" s="100" t="str">
        <f t="shared" si="463"/>
        <v/>
      </c>
      <c r="QQF118" s="100" t="str">
        <f t="shared" si="463"/>
        <v/>
      </c>
      <c r="QQG118" s="100" t="str">
        <f t="shared" si="463"/>
        <v/>
      </c>
      <c r="QQH118" s="100" t="str">
        <f t="shared" si="463"/>
        <v/>
      </c>
      <c r="QQI118" s="100" t="str">
        <f t="shared" si="463"/>
        <v/>
      </c>
      <c r="QQJ118" s="100" t="str">
        <f t="shared" si="463"/>
        <v/>
      </c>
      <c r="QQK118" s="100" t="str">
        <f t="shared" si="463"/>
        <v/>
      </c>
      <c r="QQL118" s="100" t="str">
        <f t="shared" si="463"/>
        <v/>
      </c>
      <c r="QQM118" s="100" t="str">
        <f t="shared" si="463"/>
        <v/>
      </c>
      <c r="QQN118" s="100" t="str">
        <f t="shared" si="463"/>
        <v/>
      </c>
      <c r="QQO118" s="100" t="str">
        <f t="shared" si="463"/>
        <v/>
      </c>
      <c r="QQP118" s="100" t="str">
        <f t="shared" si="463"/>
        <v/>
      </c>
      <c r="QQQ118" s="100" t="str">
        <f t="shared" si="463"/>
        <v/>
      </c>
      <c r="QQR118" s="100" t="str">
        <f t="shared" si="463"/>
        <v/>
      </c>
      <c r="QQS118" s="100" t="str">
        <f t="shared" si="463"/>
        <v/>
      </c>
      <c r="QQT118" s="100" t="str">
        <f t="shared" si="463"/>
        <v/>
      </c>
      <c r="QQU118" s="100" t="str">
        <f t="shared" si="463"/>
        <v/>
      </c>
      <c r="QQV118" s="100" t="str">
        <f t="shared" si="463"/>
        <v/>
      </c>
      <c r="QQW118" s="100" t="str">
        <f t="shared" si="463"/>
        <v/>
      </c>
      <c r="QQX118" s="100" t="str">
        <f t="shared" si="463"/>
        <v/>
      </c>
      <c r="QQY118" s="100" t="str">
        <f t="shared" si="463"/>
        <v/>
      </c>
      <c r="QQZ118" s="100" t="str">
        <f t="shared" si="463"/>
        <v/>
      </c>
      <c r="QRA118" s="100" t="str">
        <f t="shared" si="463"/>
        <v/>
      </c>
      <c r="QRB118" s="100" t="str">
        <f t="shared" si="463"/>
        <v/>
      </c>
      <c r="QRC118" s="100" t="str">
        <f t="shared" si="463"/>
        <v/>
      </c>
      <c r="QRD118" s="100" t="str">
        <f t="shared" si="463"/>
        <v/>
      </c>
      <c r="QRE118" s="100" t="str">
        <f t="shared" si="463"/>
        <v/>
      </c>
      <c r="QRF118" s="100" t="str">
        <f t="shared" si="463"/>
        <v/>
      </c>
      <c r="QRG118" s="100" t="str">
        <f t="shared" si="463"/>
        <v/>
      </c>
      <c r="QRH118" s="100" t="str">
        <f t="shared" si="463"/>
        <v/>
      </c>
      <c r="QRI118" s="100" t="str">
        <f t="shared" si="463"/>
        <v/>
      </c>
      <c r="QRJ118" s="100" t="str">
        <f t="shared" si="463"/>
        <v/>
      </c>
      <c r="QRK118" s="100" t="str">
        <f t="shared" si="463"/>
        <v/>
      </c>
      <c r="QRL118" s="100" t="str">
        <f t="shared" si="463"/>
        <v/>
      </c>
      <c r="QRM118" s="100" t="str">
        <f t="shared" ref="QRM118:QTX118" si="464">IFERROR(AVERAGE(QRM6,QRM16,QRM25,QRM34,QRM42,QRM54,QRM62,QRM70,QRM78,QRM86,QRM94,QRM102,QRM110),"")</f>
        <v/>
      </c>
      <c r="QRN118" s="100" t="str">
        <f t="shared" si="464"/>
        <v/>
      </c>
      <c r="QRO118" s="100" t="str">
        <f t="shared" si="464"/>
        <v/>
      </c>
      <c r="QRP118" s="100" t="str">
        <f t="shared" si="464"/>
        <v/>
      </c>
      <c r="QRQ118" s="100" t="str">
        <f t="shared" si="464"/>
        <v/>
      </c>
      <c r="QRR118" s="100" t="str">
        <f t="shared" si="464"/>
        <v/>
      </c>
      <c r="QRS118" s="100" t="str">
        <f t="shared" si="464"/>
        <v/>
      </c>
      <c r="QRT118" s="100" t="str">
        <f t="shared" si="464"/>
        <v/>
      </c>
      <c r="QRU118" s="100" t="str">
        <f t="shared" si="464"/>
        <v/>
      </c>
      <c r="QRV118" s="100" t="str">
        <f t="shared" si="464"/>
        <v/>
      </c>
      <c r="QRW118" s="100" t="str">
        <f t="shared" si="464"/>
        <v/>
      </c>
      <c r="QRX118" s="100" t="str">
        <f t="shared" si="464"/>
        <v/>
      </c>
      <c r="QRY118" s="100" t="str">
        <f t="shared" si="464"/>
        <v/>
      </c>
      <c r="QRZ118" s="100" t="str">
        <f t="shared" si="464"/>
        <v/>
      </c>
      <c r="QSA118" s="100" t="str">
        <f t="shared" si="464"/>
        <v/>
      </c>
      <c r="QSB118" s="100" t="str">
        <f t="shared" si="464"/>
        <v/>
      </c>
      <c r="QSC118" s="100" t="str">
        <f t="shared" si="464"/>
        <v/>
      </c>
      <c r="QSD118" s="100" t="str">
        <f t="shared" si="464"/>
        <v/>
      </c>
      <c r="QSE118" s="100" t="str">
        <f t="shared" si="464"/>
        <v/>
      </c>
      <c r="QSF118" s="100" t="str">
        <f t="shared" si="464"/>
        <v/>
      </c>
      <c r="QSG118" s="100" t="str">
        <f t="shared" si="464"/>
        <v/>
      </c>
      <c r="QSH118" s="100" t="str">
        <f t="shared" si="464"/>
        <v/>
      </c>
      <c r="QSI118" s="100" t="str">
        <f t="shared" si="464"/>
        <v/>
      </c>
      <c r="QSJ118" s="100" t="str">
        <f t="shared" si="464"/>
        <v/>
      </c>
      <c r="QSK118" s="100" t="str">
        <f t="shared" si="464"/>
        <v/>
      </c>
      <c r="QSL118" s="100" t="str">
        <f t="shared" si="464"/>
        <v/>
      </c>
      <c r="QSM118" s="100" t="str">
        <f t="shared" si="464"/>
        <v/>
      </c>
      <c r="QSN118" s="100" t="str">
        <f t="shared" si="464"/>
        <v/>
      </c>
      <c r="QSO118" s="100" t="str">
        <f t="shared" si="464"/>
        <v/>
      </c>
      <c r="QSP118" s="100" t="str">
        <f t="shared" si="464"/>
        <v/>
      </c>
      <c r="QSQ118" s="100" t="str">
        <f t="shared" si="464"/>
        <v/>
      </c>
      <c r="QSR118" s="100" t="str">
        <f t="shared" si="464"/>
        <v/>
      </c>
      <c r="QSS118" s="100" t="str">
        <f t="shared" si="464"/>
        <v/>
      </c>
      <c r="QST118" s="100" t="str">
        <f t="shared" si="464"/>
        <v/>
      </c>
      <c r="QSU118" s="100" t="str">
        <f t="shared" si="464"/>
        <v/>
      </c>
      <c r="QSV118" s="100" t="str">
        <f t="shared" si="464"/>
        <v/>
      </c>
      <c r="QSW118" s="100" t="str">
        <f t="shared" si="464"/>
        <v/>
      </c>
      <c r="QSX118" s="100" t="str">
        <f t="shared" si="464"/>
        <v/>
      </c>
      <c r="QSY118" s="100" t="str">
        <f t="shared" si="464"/>
        <v/>
      </c>
      <c r="QSZ118" s="100" t="str">
        <f t="shared" si="464"/>
        <v/>
      </c>
      <c r="QTA118" s="100" t="str">
        <f t="shared" si="464"/>
        <v/>
      </c>
      <c r="QTB118" s="100" t="str">
        <f t="shared" si="464"/>
        <v/>
      </c>
      <c r="QTC118" s="100" t="str">
        <f t="shared" si="464"/>
        <v/>
      </c>
      <c r="QTD118" s="100" t="str">
        <f t="shared" si="464"/>
        <v/>
      </c>
      <c r="QTE118" s="100" t="str">
        <f t="shared" si="464"/>
        <v/>
      </c>
      <c r="QTF118" s="100" t="str">
        <f t="shared" si="464"/>
        <v/>
      </c>
      <c r="QTG118" s="100" t="str">
        <f t="shared" si="464"/>
        <v/>
      </c>
      <c r="QTH118" s="100" t="str">
        <f t="shared" si="464"/>
        <v/>
      </c>
      <c r="QTI118" s="100" t="str">
        <f t="shared" si="464"/>
        <v/>
      </c>
      <c r="QTJ118" s="100" t="str">
        <f t="shared" si="464"/>
        <v/>
      </c>
      <c r="QTK118" s="100" t="str">
        <f t="shared" si="464"/>
        <v/>
      </c>
      <c r="QTL118" s="100" t="str">
        <f t="shared" si="464"/>
        <v/>
      </c>
      <c r="QTM118" s="100" t="str">
        <f t="shared" si="464"/>
        <v/>
      </c>
      <c r="QTN118" s="100" t="str">
        <f t="shared" si="464"/>
        <v/>
      </c>
      <c r="QTO118" s="100" t="str">
        <f t="shared" si="464"/>
        <v/>
      </c>
      <c r="QTP118" s="100" t="str">
        <f t="shared" si="464"/>
        <v/>
      </c>
      <c r="QTQ118" s="100" t="str">
        <f t="shared" si="464"/>
        <v/>
      </c>
      <c r="QTR118" s="100" t="str">
        <f t="shared" si="464"/>
        <v/>
      </c>
      <c r="QTS118" s="100" t="str">
        <f t="shared" si="464"/>
        <v/>
      </c>
      <c r="QTT118" s="100" t="str">
        <f t="shared" si="464"/>
        <v/>
      </c>
      <c r="QTU118" s="100" t="str">
        <f t="shared" si="464"/>
        <v/>
      </c>
      <c r="QTV118" s="100" t="str">
        <f t="shared" si="464"/>
        <v/>
      </c>
      <c r="QTW118" s="100" t="str">
        <f t="shared" si="464"/>
        <v/>
      </c>
      <c r="QTX118" s="100" t="str">
        <f t="shared" si="464"/>
        <v/>
      </c>
      <c r="QTY118" s="100" t="str">
        <f t="shared" ref="QTY118:QWJ118" si="465">IFERROR(AVERAGE(QTY6,QTY16,QTY25,QTY34,QTY42,QTY54,QTY62,QTY70,QTY78,QTY86,QTY94,QTY102,QTY110),"")</f>
        <v/>
      </c>
      <c r="QTZ118" s="100" t="str">
        <f t="shared" si="465"/>
        <v/>
      </c>
      <c r="QUA118" s="100" t="str">
        <f t="shared" si="465"/>
        <v/>
      </c>
      <c r="QUB118" s="100" t="str">
        <f t="shared" si="465"/>
        <v/>
      </c>
      <c r="QUC118" s="100" t="str">
        <f t="shared" si="465"/>
        <v/>
      </c>
      <c r="QUD118" s="100" t="str">
        <f t="shared" si="465"/>
        <v/>
      </c>
      <c r="QUE118" s="100" t="str">
        <f t="shared" si="465"/>
        <v/>
      </c>
      <c r="QUF118" s="100" t="str">
        <f t="shared" si="465"/>
        <v/>
      </c>
      <c r="QUG118" s="100" t="str">
        <f t="shared" si="465"/>
        <v/>
      </c>
      <c r="QUH118" s="100" t="str">
        <f t="shared" si="465"/>
        <v/>
      </c>
      <c r="QUI118" s="100" t="str">
        <f t="shared" si="465"/>
        <v/>
      </c>
      <c r="QUJ118" s="100" t="str">
        <f t="shared" si="465"/>
        <v/>
      </c>
      <c r="QUK118" s="100" t="str">
        <f t="shared" si="465"/>
        <v/>
      </c>
      <c r="QUL118" s="100" t="str">
        <f t="shared" si="465"/>
        <v/>
      </c>
      <c r="QUM118" s="100" t="str">
        <f t="shared" si="465"/>
        <v/>
      </c>
      <c r="QUN118" s="100" t="str">
        <f t="shared" si="465"/>
        <v/>
      </c>
      <c r="QUO118" s="100" t="str">
        <f t="shared" si="465"/>
        <v/>
      </c>
      <c r="QUP118" s="100" t="str">
        <f t="shared" si="465"/>
        <v/>
      </c>
      <c r="QUQ118" s="100" t="str">
        <f t="shared" si="465"/>
        <v/>
      </c>
      <c r="QUR118" s="100" t="str">
        <f t="shared" si="465"/>
        <v/>
      </c>
      <c r="QUS118" s="100" t="str">
        <f t="shared" si="465"/>
        <v/>
      </c>
      <c r="QUT118" s="100" t="str">
        <f t="shared" si="465"/>
        <v/>
      </c>
      <c r="QUU118" s="100" t="str">
        <f t="shared" si="465"/>
        <v/>
      </c>
      <c r="QUV118" s="100" t="str">
        <f t="shared" si="465"/>
        <v/>
      </c>
      <c r="QUW118" s="100" t="str">
        <f t="shared" si="465"/>
        <v/>
      </c>
      <c r="QUX118" s="100" t="str">
        <f t="shared" si="465"/>
        <v/>
      </c>
      <c r="QUY118" s="100" t="str">
        <f t="shared" si="465"/>
        <v/>
      </c>
      <c r="QUZ118" s="100" t="str">
        <f t="shared" si="465"/>
        <v/>
      </c>
      <c r="QVA118" s="100" t="str">
        <f t="shared" si="465"/>
        <v/>
      </c>
      <c r="QVB118" s="100" t="str">
        <f t="shared" si="465"/>
        <v/>
      </c>
      <c r="QVC118" s="100" t="str">
        <f t="shared" si="465"/>
        <v/>
      </c>
      <c r="QVD118" s="100" t="str">
        <f t="shared" si="465"/>
        <v/>
      </c>
      <c r="QVE118" s="100" t="str">
        <f t="shared" si="465"/>
        <v/>
      </c>
      <c r="QVF118" s="100" t="str">
        <f t="shared" si="465"/>
        <v/>
      </c>
      <c r="QVG118" s="100" t="str">
        <f t="shared" si="465"/>
        <v/>
      </c>
      <c r="QVH118" s="100" t="str">
        <f t="shared" si="465"/>
        <v/>
      </c>
      <c r="QVI118" s="100" t="str">
        <f t="shared" si="465"/>
        <v/>
      </c>
      <c r="QVJ118" s="100" t="str">
        <f t="shared" si="465"/>
        <v/>
      </c>
      <c r="QVK118" s="100" t="str">
        <f t="shared" si="465"/>
        <v/>
      </c>
      <c r="QVL118" s="100" t="str">
        <f t="shared" si="465"/>
        <v/>
      </c>
      <c r="QVM118" s="100" t="str">
        <f t="shared" si="465"/>
        <v/>
      </c>
      <c r="QVN118" s="100" t="str">
        <f t="shared" si="465"/>
        <v/>
      </c>
      <c r="QVO118" s="100" t="str">
        <f t="shared" si="465"/>
        <v/>
      </c>
      <c r="QVP118" s="100" t="str">
        <f t="shared" si="465"/>
        <v/>
      </c>
      <c r="QVQ118" s="100" t="str">
        <f t="shared" si="465"/>
        <v/>
      </c>
      <c r="QVR118" s="100" t="str">
        <f t="shared" si="465"/>
        <v/>
      </c>
      <c r="QVS118" s="100" t="str">
        <f t="shared" si="465"/>
        <v/>
      </c>
      <c r="QVT118" s="100" t="str">
        <f t="shared" si="465"/>
        <v/>
      </c>
      <c r="QVU118" s="100" t="str">
        <f t="shared" si="465"/>
        <v/>
      </c>
      <c r="QVV118" s="100" t="str">
        <f t="shared" si="465"/>
        <v/>
      </c>
      <c r="QVW118" s="100" t="str">
        <f t="shared" si="465"/>
        <v/>
      </c>
      <c r="QVX118" s="100" t="str">
        <f t="shared" si="465"/>
        <v/>
      </c>
      <c r="QVY118" s="100" t="str">
        <f t="shared" si="465"/>
        <v/>
      </c>
      <c r="QVZ118" s="100" t="str">
        <f t="shared" si="465"/>
        <v/>
      </c>
      <c r="QWA118" s="100" t="str">
        <f t="shared" si="465"/>
        <v/>
      </c>
      <c r="QWB118" s="100" t="str">
        <f t="shared" si="465"/>
        <v/>
      </c>
      <c r="QWC118" s="100" t="str">
        <f t="shared" si="465"/>
        <v/>
      </c>
      <c r="QWD118" s="100" t="str">
        <f t="shared" si="465"/>
        <v/>
      </c>
      <c r="QWE118" s="100" t="str">
        <f t="shared" si="465"/>
        <v/>
      </c>
      <c r="QWF118" s="100" t="str">
        <f t="shared" si="465"/>
        <v/>
      </c>
      <c r="QWG118" s="100" t="str">
        <f t="shared" si="465"/>
        <v/>
      </c>
      <c r="QWH118" s="100" t="str">
        <f t="shared" si="465"/>
        <v/>
      </c>
      <c r="QWI118" s="100" t="str">
        <f t="shared" si="465"/>
        <v/>
      </c>
      <c r="QWJ118" s="100" t="str">
        <f t="shared" si="465"/>
        <v/>
      </c>
      <c r="QWK118" s="100" t="str">
        <f t="shared" ref="QWK118:QYV118" si="466">IFERROR(AVERAGE(QWK6,QWK16,QWK25,QWK34,QWK42,QWK54,QWK62,QWK70,QWK78,QWK86,QWK94,QWK102,QWK110),"")</f>
        <v/>
      </c>
      <c r="QWL118" s="100" t="str">
        <f t="shared" si="466"/>
        <v/>
      </c>
      <c r="QWM118" s="100" t="str">
        <f t="shared" si="466"/>
        <v/>
      </c>
      <c r="QWN118" s="100" t="str">
        <f t="shared" si="466"/>
        <v/>
      </c>
      <c r="QWO118" s="100" t="str">
        <f t="shared" si="466"/>
        <v/>
      </c>
      <c r="QWP118" s="100" t="str">
        <f t="shared" si="466"/>
        <v/>
      </c>
      <c r="QWQ118" s="100" t="str">
        <f t="shared" si="466"/>
        <v/>
      </c>
      <c r="QWR118" s="100" t="str">
        <f t="shared" si="466"/>
        <v/>
      </c>
      <c r="QWS118" s="100" t="str">
        <f t="shared" si="466"/>
        <v/>
      </c>
      <c r="QWT118" s="100" t="str">
        <f t="shared" si="466"/>
        <v/>
      </c>
      <c r="QWU118" s="100" t="str">
        <f t="shared" si="466"/>
        <v/>
      </c>
      <c r="QWV118" s="100" t="str">
        <f t="shared" si="466"/>
        <v/>
      </c>
      <c r="QWW118" s="100" t="str">
        <f t="shared" si="466"/>
        <v/>
      </c>
      <c r="QWX118" s="100" t="str">
        <f t="shared" si="466"/>
        <v/>
      </c>
      <c r="QWY118" s="100" t="str">
        <f t="shared" si="466"/>
        <v/>
      </c>
      <c r="QWZ118" s="100" t="str">
        <f t="shared" si="466"/>
        <v/>
      </c>
      <c r="QXA118" s="100" t="str">
        <f t="shared" si="466"/>
        <v/>
      </c>
      <c r="QXB118" s="100" t="str">
        <f t="shared" si="466"/>
        <v/>
      </c>
      <c r="QXC118" s="100" t="str">
        <f t="shared" si="466"/>
        <v/>
      </c>
      <c r="QXD118" s="100" t="str">
        <f t="shared" si="466"/>
        <v/>
      </c>
      <c r="QXE118" s="100" t="str">
        <f t="shared" si="466"/>
        <v/>
      </c>
      <c r="QXF118" s="100" t="str">
        <f t="shared" si="466"/>
        <v/>
      </c>
      <c r="QXG118" s="100" t="str">
        <f t="shared" si="466"/>
        <v/>
      </c>
      <c r="QXH118" s="100" t="str">
        <f t="shared" si="466"/>
        <v/>
      </c>
      <c r="QXI118" s="100" t="str">
        <f t="shared" si="466"/>
        <v/>
      </c>
      <c r="QXJ118" s="100" t="str">
        <f t="shared" si="466"/>
        <v/>
      </c>
      <c r="QXK118" s="100" t="str">
        <f t="shared" si="466"/>
        <v/>
      </c>
      <c r="QXL118" s="100" t="str">
        <f t="shared" si="466"/>
        <v/>
      </c>
      <c r="QXM118" s="100" t="str">
        <f t="shared" si="466"/>
        <v/>
      </c>
      <c r="QXN118" s="100" t="str">
        <f t="shared" si="466"/>
        <v/>
      </c>
      <c r="QXO118" s="100" t="str">
        <f t="shared" si="466"/>
        <v/>
      </c>
      <c r="QXP118" s="100" t="str">
        <f t="shared" si="466"/>
        <v/>
      </c>
      <c r="QXQ118" s="100" t="str">
        <f t="shared" si="466"/>
        <v/>
      </c>
      <c r="QXR118" s="100" t="str">
        <f t="shared" si="466"/>
        <v/>
      </c>
      <c r="QXS118" s="100" t="str">
        <f t="shared" si="466"/>
        <v/>
      </c>
      <c r="QXT118" s="100" t="str">
        <f t="shared" si="466"/>
        <v/>
      </c>
      <c r="QXU118" s="100" t="str">
        <f t="shared" si="466"/>
        <v/>
      </c>
      <c r="QXV118" s="100" t="str">
        <f t="shared" si="466"/>
        <v/>
      </c>
      <c r="QXW118" s="100" t="str">
        <f t="shared" si="466"/>
        <v/>
      </c>
      <c r="QXX118" s="100" t="str">
        <f t="shared" si="466"/>
        <v/>
      </c>
      <c r="QXY118" s="100" t="str">
        <f t="shared" si="466"/>
        <v/>
      </c>
      <c r="QXZ118" s="100" t="str">
        <f t="shared" si="466"/>
        <v/>
      </c>
      <c r="QYA118" s="100" t="str">
        <f t="shared" si="466"/>
        <v/>
      </c>
      <c r="QYB118" s="100" t="str">
        <f t="shared" si="466"/>
        <v/>
      </c>
      <c r="QYC118" s="100" t="str">
        <f t="shared" si="466"/>
        <v/>
      </c>
      <c r="QYD118" s="100" t="str">
        <f t="shared" si="466"/>
        <v/>
      </c>
      <c r="QYE118" s="100" t="str">
        <f t="shared" si="466"/>
        <v/>
      </c>
      <c r="QYF118" s="100" t="str">
        <f t="shared" si="466"/>
        <v/>
      </c>
      <c r="QYG118" s="100" t="str">
        <f t="shared" si="466"/>
        <v/>
      </c>
      <c r="QYH118" s="100" t="str">
        <f t="shared" si="466"/>
        <v/>
      </c>
      <c r="QYI118" s="100" t="str">
        <f t="shared" si="466"/>
        <v/>
      </c>
      <c r="QYJ118" s="100" t="str">
        <f t="shared" si="466"/>
        <v/>
      </c>
      <c r="QYK118" s="100" t="str">
        <f t="shared" si="466"/>
        <v/>
      </c>
      <c r="QYL118" s="100" t="str">
        <f t="shared" si="466"/>
        <v/>
      </c>
      <c r="QYM118" s="100" t="str">
        <f t="shared" si="466"/>
        <v/>
      </c>
      <c r="QYN118" s="100" t="str">
        <f t="shared" si="466"/>
        <v/>
      </c>
      <c r="QYO118" s="100" t="str">
        <f t="shared" si="466"/>
        <v/>
      </c>
      <c r="QYP118" s="100" t="str">
        <f t="shared" si="466"/>
        <v/>
      </c>
      <c r="QYQ118" s="100" t="str">
        <f t="shared" si="466"/>
        <v/>
      </c>
      <c r="QYR118" s="100" t="str">
        <f t="shared" si="466"/>
        <v/>
      </c>
      <c r="QYS118" s="100" t="str">
        <f t="shared" si="466"/>
        <v/>
      </c>
      <c r="QYT118" s="100" t="str">
        <f t="shared" si="466"/>
        <v/>
      </c>
      <c r="QYU118" s="100" t="str">
        <f t="shared" si="466"/>
        <v/>
      </c>
      <c r="QYV118" s="100" t="str">
        <f t="shared" si="466"/>
        <v/>
      </c>
      <c r="QYW118" s="100" t="str">
        <f t="shared" ref="QYW118:RBH118" si="467">IFERROR(AVERAGE(QYW6,QYW16,QYW25,QYW34,QYW42,QYW54,QYW62,QYW70,QYW78,QYW86,QYW94,QYW102,QYW110),"")</f>
        <v/>
      </c>
      <c r="QYX118" s="100" t="str">
        <f t="shared" si="467"/>
        <v/>
      </c>
      <c r="QYY118" s="100" t="str">
        <f t="shared" si="467"/>
        <v/>
      </c>
      <c r="QYZ118" s="100" t="str">
        <f t="shared" si="467"/>
        <v/>
      </c>
      <c r="QZA118" s="100" t="str">
        <f t="shared" si="467"/>
        <v/>
      </c>
      <c r="QZB118" s="100" t="str">
        <f t="shared" si="467"/>
        <v/>
      </c>
      <c r="QZC118" s="100" t="str">
        <f t="shared" si="467"/>
        <v/>
      </c>
      <c r="QZD118" s="100" t="str">
        <f t="shared" si="467"/>
        <v/>
      </c>
      <c r="QZE118" s="100" t="str">
        <f t="shared" si="467"/>
        <v/>
      </c>
      <c r="QZF118" s="100" t="str">
        <f t="shared" si="467"/>
        <v/>
      </c>
      <c r="QZG118" s="100" t="str">
        <f t="shared" si="467"/>
        <v/>
      </c>
      <c r="QZH118" s="100" t="str">
        <f t="shared" si="467"/>
        <v/>
      </c>
      <c r="QZI118" s="100" t="str">
        <f t="shared" si="467"/>
        <v/>
      </c>
      <c r="QZJ118" s="100" t="str">
        <f t="shared" si="467"/>
        <v/>
      </c>
      <c r="QZK118" s="100" t="str">
        <f t="shared" si="467"/>
        <v/>
      </c>
      <c r="QZL118" s="100" t="str">
        <f t="shared" si="467"/>
        <v/>
      </c>
      <c r="QZM118" s="100" t="str">
        <f t="shared" si="467"/>
        <v/>
      </c>
      <c r="QZN118" s="100" t="str">
        <f t="shared" si="467"/>
        <v/>
      </c>
      <c r="QZO118" s="100" t="str">
        <f t="shared" si="467"/>
        <v/>
      </c>
      <c r="QZP118" s="100" t="str">
        <f t="shared" si="467"/>
        <v/>
      </c>
      <c r="QZQ118" s="100" t="str">
        <f t="shared" si="467"/>
        <v/>
      </c>
      <c r="QZR118" s="100" t="str">
        <f t="shared" si="467"/>
        <v/>
      </c>
      <c r="QZS118" s="100" t="str">
        <f t="shared" si="467"/>
        <v/>
      </c>
      <c r="QZT118" s="100" t="str">
        <f t="shared" si="467"/>
        <v/>
      </c>
      <c r="QZU118" s="100" t="str">
        <f t="shared" si="467"/>
        <v/>
      </c>
      <c r="QZV118" s="100" t="str">
        <f t="shared" si="467"/>
        <v/>
      </c>
      <c r="QZW118" s="100" t="str">
        <f t="shared" si="467"/>
        <v/>
      </c>
      <c r="QZX118" s="100" t="str">
        <f t="shared" si="467"/>
        <v/>
      </c>
      <c r="QZY118" s="100" t="str">
        <f t="shared" si="467"/>
        <v/>
      </c>
      <c r="QZZ118" s="100" t="str">
        <f t="shared" si="467"/>
        <v/>
      </c>
      <c r="RAA118" s="100" t="str">
        <f t="shared" si="467"/>
        <v/>
      </c>
      <c r="RAB118" s="100" t="str">
        <f t="shared" si="467"/>
        <v/>
      </c>
      <c r="RAC118" s="100" t="str">
        <f t="shared" si="467"/>
        <v/>
      </c>
      <c r="RAD118" s="100" t="str">
        <f t="shared" si="467"/>
        <v/>
      </c>
      <c r="RAE118" s="100" t="str">
        <f t="shared" si="467"/>
        <v/>
      </c>
      <c r="RAF118" s="100" t="str">
        <f t="shared" si="467"/>
        <v/>
      </c>
      <c r="RAG118" s="100" t="str">
        <f t="shared" si="467"/>
        <v/>
      </c>
      <c r="RAH118" s="100" t="str">
        <f t="shared" si="467"/>
        <v/>
      </c>
      <c r="RAI118" s="100" t="str">
        <f t="shared" si="467"/>
        <v/>
      </c>
      <c r="RAJ118" s="100" t="str">
        <f t="shared" si="467"/>
        <v/>
      </c>
      <c r="RAK118" s="100" t="str">
        <f t="shared" si="467"/>
        <v/>
      </c>
      <c r="RAL118" s="100" t="str">
        <f t="shared" si="467"/>
        <v/>
      </c>
      <c r="RAM118" s="100" t="str">
        <f t="shared" si="467"/>
        <v/>
      </c>
      <c r="RAN118" s="100" t="str">
        <f t="shared" si="467"/>
        <v/>
      </c>
      <c r="RAO118" s="100" t="str">
        <f t="shared" si="467"/>
        <v/>
      </c>
      <c r="RAP118" s="100" t="str">
        <f t="shared" si="467"/>
        <v/>
      </c>
      <c r="RAQ118" s="100" t="str">
        <f t="shared" si="467"/>
        <v/>
      </c>
      <c r="RAR118" s="100" t="str">
        <f t="shared" si="467"/>
        <v/>
      </c>
      <c r="RAS118" s="100" t="str">
        <f t="shared" si="467"/>
        <v/>
      </c>
      <c r="RAT118" s="100" t="str">
        <f t="shared" si="467"/>
        <v/>
      </c>
      <c r="RAU118" s="100" t="str">
        <f t="shared" si="467"/>
        <v/>
      </c>
      <c r="RAV118" s="100" t="str">
        <f t="shared" si="467"/>
        <v/>
      </c>
      <c r="RAW118" s="100" t="str">
        <f t="shared" si="467"/>
        <v/>
      </c>
      <c r="RAX118" s="100" t="str">
        <f t="shared" si="467"/>
        <v/>
      </c>
      <c r="RAY118" s="100" t="str">
        <f t="shared" si="467"/>
        <v/>
      </c>
      <c r="RAZ118" s="100" t="str">
        <f t="shared" si="467"/>
        <v/>
      </c>
      <c r="RBA118" s="100" t="str">
        <f t="shared" si="467"/>
        <v/>
      </c>
      <c r="RBB118" s="100" t="str">
        <f t="shared" si="467"/>
        <v/>
      </c>
      <c r="RBC118" s="100" t="str">
        <f t="shared" si="467"/>
        <v/>
      </c>
      <c r="RBD118" s="100" t="str">
        <f t="shared" si="467"/>
        <v/>
      </c>
      <c r="RBE118" s="100" t="str">
        <f t="shared" si="467"/>
        <v/>
      </c>
      <c r="RBF118" s="100" t="str">
        <f t="shared" si="467"/>
        <v/>
      </c>
      <c r="RBG118" s="100" t="str">
        <f t="shared" si="467"/>
        <v/>
      </c>
      <c r="RBH118" s="100" t="str">
        <f t="shared" si="467"/>
        <v/>
      </c>
      <c r="RBI118" s="100" t="str">
        <f t="shared" ref="RBI118:RDT118" si="468">IFERROR(AVERAGE(RBI6,RBI16,RBI25,RBI34,RBI42,RBI54,RBI62,RBI70,RBI78,RBI86,RBI94,RBI102,RBI110),"")</f>
        <v/>
      </c>
      <c r="RBJ118" s="100" t="str">
        <f t="shared" si="468"/>
        <v/>
      </c>
      <c r="RBK118" s="100" t="str">
        <f t="shared" si="468"/>
        <v/>
      </c>
      <c r="RBL118" s="100" t="str">
        <f t="shared" si="468"/>
        <v/>
      </c>
      <c r="RBM118" s="100" t="str">
        <f t="shared" si="468"/>
        <v/>
      </c>
      <c r="RBN118" s="100" t="str">
        <f t="shared" si="468"/>
        <v/>
      </c>
      <c r="RBO118" s="100" t="str">
        <f t="shared" si="468"/>
        <v/>
      </c>
      <c r="RBP118" s="100" t="str">
        <f t="shared" si="468"/>
        <v/>
      </c>
      <c r="RBQ118" s="100" t="str">
        <f t="shared" si="468"/>
        <v/>
      </c>
      <c r="RBR118" s="100" t="str">
        <f t="shared" si="468"/>
        <v/>
      </c>
      <c r="RBS118" s="100" t="str">
        <f t="shared" si="468"/>
        <v/>
      </c>
      <c r="RBT118" s="100" t="str">
        <f t="shared" si="468"/>
        <v/>
      </c>
      <c r="RBU118" s="100" t="str">
        <f t="shared" si="468"/>
        <v/>
      </c>
      <c r="RBV118" s="100" t="str">
        <f t="shared" si="468"/>
        <v/>
      </c>
      <c r="RBW118" s="100" t="str">
        <f t="shared" si="468"/>
        <v/>
      </c>
      <c r="RBX118" s="100" t="str">
        <f t="shared" si="468"/>
        <v/>
      </c>
      <c r="RBY118" s="100" t="str">
        <f t="shared" si="468"/>
        <v/>
      </c>
      <c r="RBZ118" s="100" t="str">
        <f t="shared" si="468"/>
        <v/>
      </c>
      <c r="RCA118" s="100" t="str">
        <f t="shared" si="468"/>
        <v/>
      </c>
      <c r="RCB118" s="100" t="str">
        <f t="shared" si="468"/>
        <v/>
      </c>
      <c r="RCC118" s="100" t="str">
        <f t="shared" si="468"/>
        <v/>
      </c>
      <c r="RCD118" s="100" t="str">
        <f t="shared" si="468"/>
        <v/>
      </c>
      <c r="RCE118" s="100" t="str">
        <f t="shared" si="468"/>
        <v/>
      </c>
      <c r="RCF118" s="100" t="str">
        <f t="shared" si="468"/>
        <v/>
      </c>
      <c r="RCG118" s="100" t="str">
        <f t="shared" si="468"/>
        <v/>
      </c>
      <c r="RCH118" s="100" t="str">
        <f t="shared" si="468"/>
        <v/>
      </c>
      <c r="RCI118" s="100" t="str">
        <f t="shared" si="468"/>
        <v/>
      </c>
      <c r="RCJ118" s="100" t="str">
        <f t="shared" si="468"/>
        <v/>
      </c>
      <c r="RCK118" s="100" t="str">
        <f t="shared" si="468"/>
        <v/>
      </c>
      <c r="RCL118" s="100" t="str">
        <f t="shared" si="468"/>
        <v/>
      </c>
      <c r="RCM118" s="100" t="str">
        <f t="shared" si="468"/>
        <v/>
      </c>
      <c r="RCN118" s="100" t="str">
        <f t="shared" si="468"/>
        <v/>
      </c>
      <c r="RCO118" s="100" t="str">
        <f t="shared" si="468"/>
        <v/>
      </c>
      <c r="RCP118" s="100" t="str">
        <f t="shared" si="468"/>
        <v/>
      </c>
      <c r="RCQ118" s="100" t="str">
        <f t="shared" si="468"/>
        <v/>
      </c>
      <c r="RCR118" s="100" t="str">
        <f t="shared" si="468"/>
        <v/>
      </c>
      <c r="RCS118" s="100" t="str">
        <f t="shared" si="468"/>
        <v/>
      </c>
      <c r="RCT118" s="100" t="str">
        <f t="shared" si="468"/>
        <v/>
      </c>
      <c r="RCU118" s="100" t="str">
        <f t="shared" si="468"/>
        <v/>
      </c>
      <c r="RCV118" s="100" t="str">
        <f t="shared" si="468"/>
        <v/>
      </c>
      <c r="RCW118" s="100" t="str">
        <f t="shared" si="468"/>
        <v/>
      </c>
      <c r="RCX118" s="100" t="str">
        <f t="shared" si="468"/>
        <v/>
      </c>
      <c r="RCY118" s="100" t="str">
        <f t="shared" si="468"/>
        <v/>
      </c>
      <c r="RCZ118" s="100" t="str">
        <f t="shared" si="468"/>
        <v/>
      </c>
      <c r="RDA118" s="100" t="str">
        <f t="shared" si="468"/>
        <v/>
      </c>
      <c r="RDB118" s="100" t="str">
        <f t="shared" si="468"/>
        <v/>
      </c>
      <c r="RDC118" s="100" t="str">
        <f t="shared" si="468"/>
        <v/>
      </c>
      <c r="RDD118" s="100" t="str">
        <f t="shared" si="468"/>
        <v/>
      </c>
      <c r="RDE118" s="100" t="str">
        <f t="shared" si="468"/>
        <v/>
      </c>
      <c r="RDF118" s="100" t="str">
        <f t="shared" si="468"/>
        <v/>
      </c>
      <c r="RDG118" s="100" t="str">
        <f t="shared" si="468"/>
        <v/>
      </c>
      <c r="RDH118" s="100" t="str">
        <f t="shared" si="468"/>
        <v/>
      </c>
      <c r="RDI118" s="100" t="str">
        <f t="shared" si="468"/>
        <v/>
      </c>
      <c r="RDJ118" s="100" t="str">
        <f t="shared" si="468"/>
        <v/>
      </c>
      <c r="RDK118" s="100" t="str">
        <f t="shared" si="468"/>
        <v/>
      </c>
      <c r="RDL118" s="100" t="str">
        <f t="shared" si="468"/>
        <v/>
      </c>
      <c r="RDM118" s="100" t="str">
        <f t="shared" si="468"/>
        <v/>
      </c>
      <c r="RDN118" s="100" t="str">
        <f t="shared" si="468"/>
        <v/>
      </c>
      <c r="RDO118" s="100" t="str">
        <f t="shared" si="468"/>
        <v/>
      </c>
      <c r="RDP118" s="100" t="str">
        <f t="shared" si="468"/>
        <v/>
      </c>
      <c r="RDQ118" s="100" t="str">
        <f t="shared" si="468"/>
        <v/>
      </c>
      <c r="RDR118" s="100" t="str">
        <f t="shared" si="468"/>
        <v/>
      </c>
      <c r="RDS118" s="100" t="str">
        <f t="shared" si="468"/>
        <v/>
      </c>
      <c r="RDT118" s="100" t="str">
        <f t="shared" si="468"/>
        <v/>
      </c>
      <c r="RDU118" s="100" t="str">
        <f t="shared" ref="RDU118:RGF118" si="469">IFERROR(AVERAGE(RDU6,RDU16,RDU25,RDU34,RDU42,RDU54,RDU62,RDU70,RDU78,RDU86,RDU94,RDU102,RDU110),"")</f>
        <v/>
      </c>
      <c r="RDV118" s="100" t="str">
        <f t="shared" si="469"/>
        <v/>
      </c>
      <c r="RDW118" s="100" t="str">
        <f t="shared" si="469"/>
        <v/>
      </c>
      <c r="RDX118" s="100" t="str">
        <f t="shared" si="469"/>
        <v/>
      </c>
      <c r="RDY118" s="100" t="str">
        <f t="shared" si="469"/>
        <v/>
      </c>
      <c r="RDZ118" s="100" t="str">
        <f t="shared" si="469"/>
        <v/>
      </c>
      <c r="REA118" s="100" t="str">
        <f t="shared" si="469"/>
        <v/>
      </c>
      <c r="REB118" s="100" t="str">
        <f t="shared" si="469"/>
        <v/>
      </c>
      <c r="REC118" s="100" t="str">
        <f t="shared" si="469"/>
        <v/>
      </c>
      <c r="RED118" s="100" t="str">
        <f t="shared" si="469"/>
        <v/>
      </c>
      <c r="REE118" s="100" t="str">
        <f t="shared" si="469"/>
        <v/>
      </c>
      <c r="REF118" s="100" t="str">
        <f t="shared" si="469"/>
        <v/>
      </c>
      <c r="REG118" s="100" t="str">
        <f t="shared" si="469"/>
        <v/>
      </c>
      <c r="REH118" s="100" t="str">
        <f t="shared" si="469"/>
        <v/>
      </c>
      <c r="REI118" s="100" t="str">
        <f t="shared" si="469"/>
        <v/>
      </c>
      <c r="REJ118" s="100" t="str">
        <f t="shared" si="469"/>
        <v/>
      </c>
      <c r="REK118" s="100" t="str">
        <f t="shared" si="469"/>
        <v/>
      </c>
      <c r="REL118" s="100" t="str">
        <f t="shared" si="469"/>
        <v/>
      </c>
      <c r="REM118" s="100" t="str">
        <f t="shared" si="469"/>
        <v/>
      </c>
      <c r="REN118" s="100" t="str">
        <f t="shared" si="469"/>
        <v/>
      </c>
      <c r="REO118" s="100" t="str">
        <f t="shared" si="469"/>
        <v/>
      </c>
      <c r="REP118" s="100" t="str">
        <f t="shared" si="469"/>
        <v/>
      </c>
      <c r="REQ118" s="100" t="str">
        <f t="shared" si="469"/>
        <v/>
      </c>
      <c r="RER118" s="100" t="str">
        <f t="shared" si="469"/>
        <v/>
      </c>
      <c r="RES118" s="100" t="str">
        <f t="shared" si="469"/>
        <v/>
      </c>
      <c r="RET118" s="100" t="str">
        <f t="shared" si="469"/>
        <v/>
      </c>
      <c r="REU118" s="100" t="str">
        <f t="shared" si="469"/>
        <v/>
      </c>
      <c r="REV118" s="100" t="str">
        <f t="shared" si="469"/>
        <v/>
      </c>
      <c r="REW118" s="100" t="str">
        <f t="shared" si="469"/>
        <v/>
      </c>
      <c r="REX118" s="100" t="str">
        <f t="shared" si="469"/>
        <v/>
      </c>
      <c r="REY118" s="100" t="str">
        <f t="shared" si="469"/>
        <v/>
      </c>
      <c r="REZ118" s="100" t="str">
        <f t="shared" si="469"/>
        <v/>
      </c>
      <c r="RFA118" s="100" t="str">
        <f t="shared" si="469"/>
        <v/>
      </c>
      <c r="RFB118" s="100" t="str">
        <f t="shared" si="469"/>
        <v/>
      </c>
      <c r="RFC118" s="100" t="str">
        <f t="shared" si="469"/>
        <v/>
      </c>
      <c r="RFD118" s="100" t="str">
        <f t="shared" si="469"/>
        <v/>
      </c>
      <c r="RFE118" s="100" t="str">
        <f t="shared" si="469"/>
        <v/>
      </c>
      <c r="RFF118" s="100" t="str">
        <f t="shared" si="469"/>
        <v/>
      </c>
      <c r="RFG118" s="100" t="str">
        <f t="shared" si="469"/>
        <v/>
      </c>
      <c r="RFH118" s="100" t="str">
        <f t="shared" si="469"/>
        <v/>
      </c>
      <c r="RFI118" s="100" t="str">
        <f t="shared" si="469"/>
        <v/>
      </c>
      <c r="RFJ118" s="100" t="str">
        <f t="shared" si="469"/>
        <v/>
      </c>
      <c r="RFK118" s="100" t="str">
        <f t="shared" si="469"/>
        <v/>
      </c>
      <c r="RFL118" s="100" t="str">
        <f t="shared" si="469"/>
        <v/>
      </c>
      <c r="RFM118" s="100" t="str">
        <f t="shared" si="469"/>
        <v/>
      </c>
      <c r="RFN118" s="100" t="str">
        <f t="shared" si="469"/>
        <v/>
      </c>
      <c r="RFO118" s="100" t="str">
        <f t="shared" si="469"/>
        <v/>
      </c>
      <c r="RFP118" s="100" t="str">
        <f t="shared" si="469"/>
        <v/>
      </c>
      <c r="RFQ118" s="100" t="str">
        <f t="shared" si="469"/>
        <v/>
      </c>
      <c r="RFR118" s="100" t="str">
        <f t="shared" si="469"/>
        <v/>
      </c>
      <c r="RFS118" s="100" t="str">
        <f t="shared" si="469"/>
        <v/>
      </c>
      <c r="RFT118" s="100" t="str">
        <f t="shared" si="469"/>
        <v/>
      </c>
      <c r="RFU118" s="100" t="str">
        <f t="shared" si="469"/>
        <v/>
      </c>
      <c r="RFV118" s="100" t="str">
        <f t="shared" si="469"/>
        <v/>
      </c>
      <c r="RFW118" s="100" t="str">
        <f t="shared" si="469"/>
        <v/>
      </c>
      <c r="RFX118" s="100" t="str">
        <f t="shared" si="469"/>
        <v/>
      </c>
      <c r="RFY118" s="100" t="str">
        <f t="shared" si="469"/>
        <v/>
      </c>
      <c r="RFZ118" s="100" t="str">
        <f t="shared" si="469"/>
        <v/>
      </c>
      <c r="RGA118" s="100" t="str">
        <f t="shared" si="469"/>
        <v/>
      </c>
      <c r="RGB118" s="100" t="str">
        <f t="shared" si="469"/>
        <v/>
      </c>
      <c r="RGC118" s="100" t="str">
        <f t="shared" si="469"/>
        <v/>
      </c>
      <c r="RGD118" s="100" t="str">
        <f t="shared" si="469"/>
        <v/>
      </c>
      <c r="RGE118" s="100" t="str">
        <f t="shared" si="469"/>
        <v/>
      </c>
      <c r="RGF118" s="100" t="str">
        <f t="shared" si="469"/>
        <v/>
      </c>
      <c r="RGG118" s="100" t="str">
        <f t="shared" ref="RGG118:RIR118" si="470">IFERROR(AVERAGE(RGG6,RGG16,RGG25,RGG34,RGG42,RGG54,RGG62,RGG70,RGG78,RGG86,RGG94,RGG102,RGG110),"")</f>
        <v/>
      </c>
      <c r="RGH118" s="100" t="str">
        <f t="shared" si="470"/>
        <v/>
      </c>
      <c r="RGI118" s="100" t="str">
        <f t="shared" si="470"/>
        <v/>
      </c>
      <c r="RGJ118" s="100" t="str">
        <f t="shared" si="470"/>
        <v/>
      </c>
      <c r="RGK118" s="100" t="str">
        <f t="shared" si="470"/>
        <v/>
      </c>
      <c r="RGL118" s="100" t="str">
        <f t="shared" si="470"/>
        <v/>
      </c>
      <c r="RGM118" s="100" t="str">
        <f t="shared" si="470"/>
        <v/>
      </c>
      <c r="RGN118" s="100" t="str">
        <f t="shared" si="470"/>
        <v/>
      </c>
      <c r="RGO118" s="100" t="str">
        <f t="shared" si="470"/>
        <v/>
      </c>
      <c r="RGP118" s="100" t="str">
        <f t="shared" si="470"/>
        <v/>
      </c>
      <c r="RGQ118" s="100" t="str">
        <f t="shared" si="470"/>
        <v/>
      </c>
      <c r="RGR118" s="100" t="str">
        <f t="shared" si="470"/>
        <v/>
      </c>
      <c r="RGS118" s="100" t="str">
        <f t="shared" si="470"/>
        <v/>
      </c>
      <c r="RGT118" s="100" t="str">
        <f t="shared" si="470"/>
        <v/>
      </c>
      <c r="RGU118" s="100" t="str">
        <f t="shared" si="470"/>
        <v/>
      </c>
      <c r="RGV118" s="100" t="str">
        <f t="shared" si="470"/>
        <v/>
      </c>
      <c r="RGW118" s="100" t="str">
        <f t="shared" si="470"/>
        <v/>
      </c>
      <c r="RGX118" s="100" t="str">
        <f t="shared" si="470"/>
        <v/>
      </c>
      <c r="RGY118" s="100" t="str">
        <f t="shared" si="470"/>
        <v/>
      </c>
      <c r="RGZ118" s="100" t="str">
        <f t="shared" si="470"/>
        <v/>
      </c>
      <c r="RHA118" s="100" t="str">
        <f t="shared" si="470"/>
        <v/>
      </c>
      <c r="RHB118" s="100" t="str">
        <f t="shared" si="470"/>
        <v/>
      </c>
      <c r="RHC118" s="100" t="str">
        <f t="shared" si="470"/>
        <v/>
      </c>
      <c r="RHD118" s="100" t="str">
        <f t="shared" si="470"/>
        <v/>
      </c>
      <c r="RHE118" s="100" t="str">
        <f t="shared" si="470"/>
        <v/>
      </c>
      <c r="RHF118" s="100" t="str">
        <f t="shared" si="470"/>
        <v/>
      </c>
      <c r="RHG118" s="100" t="str">
        <f t="shared" si="470"/>
        <v/>
      </c>
      <c r="RHH118" s="100" t="str">
        <f t="shared" si="470"/>
        <v/>
      </c>
      <c r="RHI118" s="100" t="str">
        <f t="shared" si="470"/>
        <v/>
      </c>
      <c r="RHJ118" s="100" t="str">
        <f t="shared" si="470"/>
        <v/>
      </c>
      <c r="RHK118" s="100" t="str">
        <f t="shared" si="470"/>
        <v/>
      </c>
      <c r="RHL118" s="100" t="str">
        <f t="shared" si="470"/>
        <v/>
      </c>
      <c r="RHM118" s="100" t="str">
        <f t="shared" si="470"/>
        <v/>
      </c>
      <c r="RHN118" s="100" t="str">
        <f t="shared" si="470"/>
        <v/>
      </c>
      <c r="RHO118" s="100" t="str">
        <f t="shared" si="470"/>
        <v/>
      </c>
      <c r="RHP118" s="100" t="str">
        <f t="shared" si="470"/>
        <v/>
      </c>
      <c r="RHQ118" s="100" t="str">
        <f t="shared" si="470"/>
        <v/>
      </c>
      <c r="RHR118" s="100" t="str">
        <f t="shared" si="470"/>
        <v/>
      </c>
      <c r="RHS118" s="100" t="str">
        <f t="shared" si="470"/>
        <v/>
      </c>
      <c r="RHT118" s="100" t="str">
        <f t="shared" si="470"/>
        <v/>
      </c>
      <c r="RHU118" s="100" t="str">
        <f t="shared" si="470"/>
        <v/>
      </c>
      <c r="RHV118" s="100" t="str">
        <f t="shared" si="470"/>
        <v/>
      </c>
      <c r="RHW118" s="100" t="str">
        <f t="shared" si="470"/>
        <v/>
      </c>
      <c r="RHX118" s="100" t="str">
        <f t="shared" si="470"/>
        <v/>
      </c>
      <c r="RHY118" s="100" t="str">
        <f t="shared" si="470"/>
        <v/>
      </c>
      <c r="RHZ118" s="100" t="str">
        <f t="shared" si="470"/>
        <v/>
      </c>
      <c r="RIA118" s="100" t="str">
        <f t="shared" si="470"/>
        <v/>
      </c>
      <c r="RIB118" s="100" t="str">
        <f t="shared" si="470"/>
        <v/>
      </c>
      <c r="RIC118" s="100" t="str">
        <f t="shared" si="470"/>
        <v/>
      </c>
      <c r="RID118" s="100" t="str">
        <f t="shared" si="470"/>
        <v/>
      </c>
      <c r="RIE118" s="100" t="str">
        <f t="shared" si="470"/>
        <v/>
      </c>
      <c r="RIF118" s="100" t="str">
        <f t="shared" si="470"/>
        <v/>
      </c>
      <c r="RIG118" s="100" t="str">
        <f t="shared" si="470"/>
        <v/>
      </c>
      <c r="RIH118" s="100" t="str">
        <f t="shared" si="470"/>
        <v/>
      </c>
      <c r="RII118" s="100" t="str">
        <f t="shared" si="470"/>
        <v/>
      </c>
      <c r="RIJ118" s="100" t="str">
        <f t="shared" si="470"/>
        <v/>
      </c>
      <c r="RIK118" s="100" t="str">
        <f t="shared" si="470"/>
        <v/>
      </c>
      <c r="RIL118" s="100" t="str">
        <f t="shared" si="470"/>
        <v/>
      </c>
      <c r="RIM118" s="100" t="str">
        <f t="shared" si="470"/>
        <v/>
      </c>
      <c r="RIN118" s="100" t="str">
        <f t="shared" si="470"/>
        <v/>
      </c>
      <c r="RIO118" s="100" t="str">
        <f t="shared" si="470"/>
        <v/>
      </c>
      <c r="RIP118" s="100" t="str">
        <f t="shared" si="470"/>
        <v/>
      </c>
      <c r="RIQ118" s="100" t="str">
        <f t="shared" si="470"/>
        <v/>
      </c>
      <c r="RIR118" s="100" t="str">
        <f t="shared" si="470"/>
        <v/>
      </c>
      <c r="RIS118" s="100" t="str">
        <f t="shared" ref="RIS118:RLD118" si="471">IFERROR(AVERAGE(RIS6,RIS16,RIS25,RIS34,RIS42,RIS54,RIS62,RIS70,RIS78,RIS86,RIS94,RIS102,RIS110),"")</f>
        <v/>
      </c>
      <c r="RIT118" s="100" t="str">
        <f t="shared" si="471"/>
        <v/>
      </c>
      <c r="RIU118" s="100" t="str">
        <f t="shared" si="471"/>
        <v/>
      </c>
      <c r="RIV118" s="100" t="str">
        <f t="shared" si="471"/>
        <v/>
      </c>
      <c r="RIW118" s="100" t="str">
        <f t="shared" si="471"/>
        <v/>
      </c>
      <c r="RIX118" s="100" t="str">
        <f t="shared" si="471"/>
        <v/>
      </c>
      <c r="RIY118" s="100" t="str">
        <f t="shared" si="471"/>
        <v/>
      </c>
      <c r="RIZ118" s="100" t="str">
        <f t="shared" si="471"/>
        <v/>
      </c>
      <c r="RJA118" s="100" t="str">
        <f t="shared" si="471"/>
        <v/>
      </c>
      <c r="RJB118" s="100" t="str">
        <f t="shared" si="471"/>
        <v/>
      </c>
      <c r="RJC118" s="100" t="str">
        <f t="shared" si="471"/>
        <v/>
      </c>
      <c r="RJD118" s="100" t="str">
        <f t="shared" si="471"/>
        <v/>
      </c>
      <c r="RJE118" s="100" t="str">
        <f t="shared" si="471"/>
        <v/>
      </c>
      <c r="RJF118" s="100" t="str">
        <f t="shared" si="471"/>
        <v/>
      </c>
      <c r="RJG118" s="100" t="str">
        <f t="shared" si="471"/>
        <v/>
      </c>
      <c r="RJH118" s="100" t="str">
        <f t="shared" si="471"/>
        <v/>
      </c>
      <c r="RJI118" s="100" t="str">
        <f t="shared" si="471"/>
        <v/>
      </c>
      <c r="RJJ118" s="100" t="str">
        <f t="shared" si="471"/>
        <v/>
      </c>
      <c r="RJK118" s="100" t="str">
        <f t="shared" si="471"/>
        <v/>
      </c>
      <c r="RJL118" s="100" t="str">
        <f t="shared" si="471"/>
        <v/>
      </c>
      <c r="RJM118" s="100" t="str">
        <f t="shared" si="471"/>
        <v/>
      </c>
      <c r="RJN118" s="100" t="str">
        <f t="shared" si="471"/>
        <v/>
      </c>
      <c r="RJO118" s="100" t="str">
        <f t="shared" si="471"/>
        <v/>
      </c>
      <c r="RJP118" s="100" t="str">
        <f t="shared" si="471"/>
        <v/>
      </c>
      <c r="RJQ118" s="100" t="str">
        <f t="shared" si="471"/>
        <v/>
      </c>
      <c r="RJR118" s="100" t="str">
        <f t="shared" si="471"/>
        <v/>
      </c>
      <c r="RJS118" s="100" t="str">
        <f t="shared" si="471"/>
        <v/>
      </c>
      <c r="RJT118" s="100" t="str">
        <f t="shared" si="471"/>
        <v/>
      </c>
      <c r="RJU118" s="100" t="str">
        <f t="shared" si="471"/>
        <v/>
      </c>
      <c r="RJV118" s="100" t="str">
        <f t="shared" si="471"/>
        <v/>
      </c>
      <c r="RJW118" s="100" t="str">
        <f t="shared" si="471"/>
        <v/>
      </c>
      <c r="RJX118" s="100" t="str">
        <f t="shared" si="471"/>
        <v/>
      </c>
      <c r="RJY118" s="100" t="str">
        <f t="shared" si="471"/>
        <v/>
      </c>
      <c r="RJZ118" s="100" t="str">
        <f t="shared" si="471"/>
        <v/>
      </c>
      <c r="RKA118" s="100" t="str">
        <f t="shared" si="471"/>
        <v/>
      </c>
      <c r="RKB118" s="100" t="str">
        <f t="shared" si="471"/>
        <v/>
      </c>
      <c r="RKC118" s="100" t="str">
        <f t="shared" si="471"/>
        <v/>
      </c>
      <c r="RKD118" s="100" t="str">
        <f t="shared" si="471"/>
        <v/>
      </c>
      <c r="RKE118" s="100" t="str">
        <f t="shared" si="471"/>
        <v/>
      </c>
      <c r="RKF118" s="100" t="str">
        <f t="shared" si="471"/>
        <v/>
      </c>
      <c r="RKG118" s="100" t="str">
        <f t="shared" si="471"/>
        <v/>
      </c>
      <c r="RKH118" s="100" t="str">
        <f t="shared" si="471"/>
        <v/>
      </c>
      <c r="RKI118" s="100" t="str">
        <f t="shared" si="471"/>
        <v/>
      </c>
      <c r="RKJ118" s="100" t="str">
        <f t="shared" si="471"/>
        <v/>
      </c>
      <c r="RKK118" s="100" t="str">
        <f t="shared" si="471"/>
        <v/>
      </c>
      <c r="RKL118" s="100" t="str">
        <f t="shared" si="471"/>
        <v/>
      </c>
      <c r="RKM118" s="100" t="str">
        <f t="shared" si="471"/>
        <v/>
      </c>
      <c r="RKN118" s="100" t="str">
        <f t="shared" si="471"/>
        <v/>
      </c>
      <c r="RKO118" s="100" t="str">
        <f t="shared" si="471"/>
        <v/>
      </c>
      <c r="RKP118" s="100" t="str">
        <f t="shared" si="471"/>
        <v/>
      </c>
      <c r="RKQ118" s="100" t="str">
        <f t="shared" si="471"/>
        <v/>
      </c>
      <c r="RKR118" s="100" t="str">
        <f t="shared" si="471"/>
        <v/>
      </c>
      <c r="RKS118" s="100" t="str">
        <f t="shared" si="471"/>
        <v/>
      </c>
      <c r="RKT118" s="100" t="str">
        <f t="shared" si="471"/>
        <v/>
      </c>
      <c r="RKU118" s="100" t="str">
        <f t="shared" si="471"/>
        <v/>
      </c>
      <c r="RKV118" s="100" t="str">
        <f t="shared" si="471"/>
        <v/>
      </c>
      <c r="RKW118" s="100" t="str">
        <f t="shared" si="471"/>
        <v/>
      </c>
      <c r="RKX118" s="100" t="str">
        <f t="shared" si="471"/>
        <v/>
      </c>
      <c r="RKY118" s="100" t="str">
        <f t="shared" si="471"/>
        <v/>
      </c>
      <c r="RKZ118" s="100" t="str">
        <f t="shared" si="471"/>
        <v/>
      </c>
      <c r="RLA118" s="100" t="str">
        <f t="shared" si="471"/>
        <v/>
      </c>
      <c r="RLB118" s="100" t="str">
        <f t="shared" si="471"/>
        <v/>
      </c>
      <c r="RLC118" s="100" t="str">
        <f t="shared" si="471"/>
        <v/>
      </c>
      <c r="RLD118" s="100" t="str">
        <f t="shared" si="471"/>
        <v/>
      </c>
      <c r="RLE118" s="100" t="str">
        <f t="shared" ref="RLE118:RNP118" si="472">IFERROR(AVERAGE(RLE6,RLE16,RLE25,RLE34,RLE42,RLE54,RLE62,RLE70,RLE78,RLE86,RLE94,RLE102,RLE110),"")</f>
        <v/>
      </c>
      <c r="RLF118" s="100" t="str">
        <f t="shared" si="472"/>
        <v/>
      </c>
      <c r="RLG118" s="100" t="str">
        <f t="shared" si="472"/>
        <v/>
      </c>
      <c r="RLH118" s="100" t="str">
        <f t="shared" si="472"/>
        <v/>
      </c>
      <c r="RLI118" s="100" t="str">
        <f t="shared" si="472"/>
        <v/>
      </c>
      <c r="RLJ118" s="100" t="str">
        <f t="shared" si="472"/>
        <v/>
      </c>
      <c r="RLK118" s="100" t="str">
        <f t="shared" si="472"/>
        <v/>
      </c>
      <c r="RLL118" s="100" t="str">
        <f t="shared" si="472"/>
        <v/>
      </c>
      <c r="RLM118" s="100" t="str">
        <f t="shared" si="472"/>
        <v/>
      </c>
      <c r="RLN118" s="100" t="str">
        <f t="shared" si="472"/>
        <v/>
      </c>
      <c r="RLO118" s="100" t="str">
        <f t="shared" si="472"/>
        <v/>
      </c>
      <c r="RLP118" s="100" t="str">
        <f t="shared" si="472"/>
        <v/>
      </c>
      <c r="RLQ118" s="100" t="str">
        <f t="shared" si="472"/>
        <v/>
      </c>
      <c r="RLR118" s="100" t="str">
        <f t="shared" si="472"/>
        <v/>
      </c>
      <c r="RLS118" s="100" t="str">
        <f t="shared" si="472"/>
        <v/>
      </c>
      <c r="RLT118" s="100" t="str">
        <f t="shared" si="472"/>
        <v/>
      </c>
      <c r="RLU118" s="100" t="str">
        <f t="shared" si="472"/>
        <v/>
      </c>
      <c r="RLV118" s="100" t="str">
        <f t="shared" si="472"/>
        <v/>
      </c>
      <c r="RLW118" s="100" t="str">
        <f t="shared" si="472"/>
        <v/>
      </c>
      <c r="RLX118" s="100" t="str">
        <f t="shared" si="472"/>
        <v/>
      </c>
      <c r="RLY118" s="100" t="str">
        <f t="shared" si="472"/>
        <v/>
      </c>
      <c r="RLZ118" s="100" t="str">
        <f t="shared" si="472"/>
        <v/>
      </c>
      <c r="RMA118" s="100" t="str">
        <f t="shared" si="472"/>
        <v/>
      </c>
      <c r="RMB118" s="100" t="str">
        <f t="shared" si="472"/>
        <v/>
      </c>
      <c r="RMC118" s="100" t="str">
        <f t="shared" si="472"/>
        <v/>
      </c>
      <c r="RMD118" s="100" t="str">
        <f t="shared" si="472"/>
        <v/>
      </c>
      <c r="RME118" s="100" t="str">
        <f t="shared" si="472"/>
        <v/>
      </c>
      <c r="RMF118" s="100" t="str">
        <f t="shared" si="472"/>
        <v/>
      </c>
      <c r="RMG118" s="100" t="str">
        <f t="shared" si="472"/>
        <v/>
      </c>
      <c r="RMH118" s="100" t="str">
        <f t="shared" si="472"/>
        <v/>
      </c>
      <c r="RMI118" s="100" t="str">
        <f t="shared" si="472"/>
        <v/>
      </c>
      <c r="RMJ118" s="100" t="str">
        <f t="shared" si="472"/>
        <v/>
      </c>
      <c r="RMK118" s="100" t="str">
        <f t="shared" si="472"/>
        <v/>
      </c>
      <c r="RML118" s="100" t="str">
        <f t="shared" si="472"/>
        <v/>
      </c>
      <c r="RMM118" s="100" t="str">
        <f t="shared" si="472"/>
        <v/>
      </c>
      <c r="RMN118" s="100" t="str">
        <f t="shared" si="472"/>
        <v/>
      </c>
      <c r="RMO118" s="100" t="str">
        <f t="shared" si="472"/>
        <v/>
      </c>
      <c r="RMP118" s="100" t="str">
        <f t="shared" si="472"/>
        <v/>
      </c>
      <c r="RMQ118" s="100" t="str">
        <f t="shared" si="472"/>
        <v/>
      </c>
      <c r="RMR118" s="100" t="str">
        <f t="shared" si="472"/>
        <v/>
      </c>
      <c r="RMS118" s="100" t="str">
        <f t="shared" si="472"/>
        <v/>
      </c>
      <c r="RMT118" s="100" t="str">
        <f t="shared" si="472"/>
        <v/>
      </c>
      <c r="RMU118" s="100" t="str">
        <f t="shared" si="472"/>
        <v/>
      </c>
      <c r="RMV118" s="100" t="str">
        <f t="shared" si="472"/>
        <v/>
      </c>
      <c r="RMW118" s="100" t="str">
        <f t="shared" si="472"/>
        <v/>
      </c>
      <c r="RMX118" s="100" t="str">
        <f t="shared" si="472"/>
        <v/>
      </c>
      <c r="RMY118" s="100" t="str">
        <f t="shared" si="472"/>
        <v/>
      </c>
      <c r="RMZ118" s="100" t="str">
        <f t="shared" si="472"/>
        <v/>
      </c>
      <c r="RNA118" s="100" t="str">
        <f t="shared" si="472"/>
        <v/>
      </c>
      <c r="RNB118" s="100" t="str">
        <f t="shared" si="472"/>
        <v/>
      </c>
      <c r="RNC118" s="100" t="str">
        <f t="shared" si="472"/>
        <v/>
      </c>
      <c r="RND118" s="100" t="str">
        <f t="shared" si="472"/>
        <v/>
      </c>
      <c r="RNE118" s="100" t="str">
        <f t="shared" si="472"/>
        <v/>
      </c>
      <c r="RNF118" s="100" t="str">
        <f t="shared" si="472"/>
        <v/>
      </c>
      <c r="RNG118" s="100" t="str">
        <f t="shared" si="472"/>
        <v/>
      </c>
      <c r="RNH118" s="100" t="str">
        <f t="shared" si="472"/>
        <v/>
      </c>
      <c r="RNI118" s="100" t="str">
        <f t="shared" si="472"/>
        <v/>
      </c>
      <c r="RNJ118" s="100" t="str">
        <f t="shared" si="472"/>
        <v/>
      </c>
      <c r="RNK118" s="100" t="str">
        <f t="shared" si="472"/>
        <v/>
      </c>
      <c r="RNL118" s="100" t="str">
        <f t="shared" si="472"/>
        <v/>
      </c>
      <c r="RNM118" s="100" t="str">
        <f t="shared" si="472"/>
        <v/>
      </c>
      <c r="RNN118" s="100" t="str">
        <f t="shared" si="472"/>
        <v/>
      </c>
      <c r="RNO118" s="100" t="str">
        <f t="shared" si="472"/>
        <v/>
      </c>
      <c r="RNP118" s="100" t="str">
        <f t="shared" si="472"/>
        <v/>
      </c>
      <c r="RNQ118" s="100" t="str">
        <f t="shared" ref="RNQ118:RQB118" si="473">IFERROR(AVERAGE(RNQ6,RNQ16,RNQ25,RNQ34,RNQ42,RNQ54,RNQ62,RNQ70,RNQ78,RNQ86,RNQ94,RNQ102,RNQ110),"")</f>
        <v/>
      </c>
      <c r="RNR118" s="100" t="str">
        <f t="shared" si="473"/>
        <v/>
      </c>
      <c r="RNS118" s="100" t="str">
        <f t="shared" si="473"/>
        <v/>
      </c>
      <c r="RNT118" s="100" t="str">
        <f t="shared" si="473"/>
        <v/>
      </c>
      <c r="RNU118" s="100" t="str">
        <f t="shared" si="473"/>
        <v/>
      </c>
      <c r="RNV118" s="100" t="str">
        <f t="shared" si="473"/>
        <v/>
      </c>
      <c r="RNW118" s="100" t="str">
        <f t="shared" si="473"/>
        <v/>
      </c>
      <c r="RNX118" s="100" t="str">
        <f t="shared" si="473"/>
        <v/>
      </c>
      <c r="RNY118" s="100" t="str">
        <f t="shared" si="473"/>
        <v/>
      </c>
      <c r="RNZ118" s="100" t="str">
        <f t="shared" si="473"/>
        <v/>
      </c>
      <c r="ROA118" s="100" t="str">
        <f t="shared" si="473"/>
        <v/>
      </c>
      <c r="ROB118" s="100" t="str">
        <f t="shared" si="473"/>
        <v/>
      </c>
      <c r="ROC118" s="100" t="str">
        <f t="shared" si="473"/>
        <v/>
      </c>
      <c r="ROD118" s="100" t="str">
        <f t="shared" si="473"/>
        <v/>
      </c>
      <c r="ROE118" s="100" t="str">
        <f t="shared" si="473"/>
        <v/>
      </c>
      <c r="ROF118" s="100" t="str">
        <f t="shared" si="473"/>
        <v/>
      </c>
      <c r="ROG118" s="100" t="str">
        <f t="shared" si="473"/>
        <v/>
      </c>
      <c r="ROH118" s="100" t="str">
        <f t="shared" si="473"/>
        <v/>
      </c>
      <c r="ROI118" s="100" t="str">
        <f t="shared" si="473"/>
        <v/>
      </c>
      <c r="ROJ118" s="100" t="str">
        <f t="shared" si="473"/>
        <v/>
      </c>
      <c r="ROK118" s="100" t="str">
        <f t="shared" si="473"/>
        <v/>
      </c>
      <c r="ROL118" s="100" t="str">
        <f t="shared" si="473"/>
        <v/>
      </c>
      <c r="ROM118" s="100" t="str">
        <f t="shared" si="473"/>
        <v/>
      </c>
      <c r="RON118" s="100" t="str">
        <f t="shared" si="473"/>
        <v/>
      </c>
      <c r="ROO118" s="100" t="str">
        <f t="shared" si="473"/>
        <v/>
      </c>
      <c r="ROP118" s="100" t="str">
        <f t="shared" si="473"/>
        <v/>
      </c>
      <c r="ROQ118" s="100" t="str">
        <f t="shared" si="473"/>
        <v/>
      </c>
      <c r="ROR118" s="100" t="str">
        <f t="shared" si="473"/>
        <v/>
      </c>
      <c r="ROS118" s="100" t="str">
        <f t="shared" si="473"/>
        <v/>
      </c>
      <c r="ROT118" s="100" t="str">
        <f t="shared" si="473"/>
        <v/>
      </c>
      <c r="ROU118" s="100" t="str">
        <f t="shared" si="473"/>
        <v/>
      </c>
      <c r="ROV118" s="100" t="str">
        <f t="shared" si="473"/>
        <v/>
      </c>
      <c r="ROW118" s="100" t="str">
        <f t="shared" si="473"/>
        <v/>
      </c>
      <c r="ROX118" s="100" t="str">
        <f t="shared" si="473"/>
        <v/>
      </c>
      <c r="ROY118" s="100" t="str">
        <f t="shared" si="473"/>
        <v/>
      </c>
      <c r="ROZ118" s="100" t="str">
        <f t="shared" si="473"/>
        <v/>
      </c>
      <c r="RPA118" s="100" t="str">
        <f t="shared" si="473"/>
        <v/>
      </c>
      <c r="RPB118" s="100" t="str">
        <f t="shared" si="473"/>
        <v/>
      </c>
      <c r="RPC118" s="100" t="str">
        <f t="shared" si="473"/>
        <v/>
      </c>
      <c r="RPD118" s="100" t="str">
        <f t="shared" si="473"/>
        <v/>
      </c>
      <c r="RPE118" s="100" t="str">
        <f t="shared" si="473"/>
        <v/>
      </c>
      <c r="RPF118" s="100" t="str">
        <f t="shared" si="473"/>
        <v/>
      </c>
      <c r="RPG118" s="100" t="str">
        <f t="shared" si="473"/>
        <v/>
      </c>
      <c r="RPH118" s="100" t="str">
        <f t="shared" si="473"/>
        <v/>
      </c>
      <c r="RPI118" s="100" t="str">
        <f t="shared" si="473"/>
        <v/>
      </c>
      <c r="RPJ118" s="100" t="str">
        <f t="shared" si="473"/>
        <v/>
      </c>
      <c r="RPK118" s="100" t="str">
        <f t="shared" si="473"/>
        <v/>
      </c>
      <c r="RPL118" s="100" t="str">
        <f t="shared" si="473"/>
        <v/>
      </c>
      <c r="RPM118" s="100" t="str">
        <f t="shared" si="473"/>
        <v/>
      </c>
      <c r="RPN118" s="100" t="str">
        <f t="shared" si="473"/>
        <v/>
      </c>
      <c r="RPO118" s="100" t="str">
        <f t="shared" si="473"/>
        <v/>
      </c>
      <c r="RPP118" s="100" t="str">
        <f t="shared" si="473"/>
        <v/>
      </c>
      <c r="RPQ118" s="100" t="str">
        <f t="shared" si="473"/>
        <v/>
      </c>
      <c r="RPR118" s="100" t="str">
        <f t="shared" si="473"/>
        <v/>
      </c>
      <c r="RPS118" s="100" t="str">
        <f t="shared" si="473"/>
        <v/>
      </c>
      <c r="RPT118" s="100" t="str">
        <f t="shared" si="473"/>
        <v/>
      </c>
      <c r="RPU118" s="100" t="str">
        <f t="shared" si="473"/>
        <v/>
      </c>
      <c r="RPV118" s="100" t="str">
        <f t="shared" si="473"/>
        <v/>
      </c>
      <c r="RPW118" s="100" t="str">
        <f t="shared" si="473"/>
        <v/>
      </c>
      <c r="RPX118" s="100" t="str">
        <f t="shared" si="473"/>
        <v/>
      </c>
      <c r="RPY118" s="100" t="str">
        <f t="shared" si="473"/>
        <v/>
      </c>
      <c r="RPZ118" s="100" t="str">
        <f t="shared" si="473"/>
        <v/>
      </c>
      <c r="RQA118" s="100" t="str">
        <f t="shared" si="473"/>
        <v/>
      </c>
      <c r="RQB118" s="100" t="str">
        <f t="shared" si="473"/>
        <v/>
      </c>
      <c r="RQC118" s="100" t="str">
        <f t="shared" ref="RQC118:RSN118" si="474">IFERROR(AVERAGE(RQC6,RQC16,RQC25,RQC34,RQC42,RQC54,RQC62,RQC70,RQC78,RQC86,RQC94,RQC102,RQC110),"")</f>
        <v/>
      </c>
      <c r="RQD118" s="100" t="str">
        <f t="shared" si="474"/>
        <v/>
      </c>
      <c r="RQE118" s="100" t="str">
        <f t="shared" si="474"/>
        <v/>
      </c>
      <c r="RQF118" s="100" t="str">
        <f t="shared" si="474"/>
        <v/>
      </c>
      <c r="RQG118" s="100" t="str">
        <f t="shared" si="474"/>
        <v/>
      </c>
      <c r="RQH118" s="100" t="str">
        <f t="shared" si="474"/>
        <v/>
      </c>
      <c r="RQI118" s="100" t="str">
        <f t="shared" si="474"/>
        <v/>
      </c>
      <c r="RQJ118" s="100" t="str">
        <f t="shared" si="474"/>
        <v/>
      </c>
      <c r="RQK118" s="100" t="str">
        <f t="shared" si="474"/>
        <v/>
      </c>
      <c r="RQL118" s="100" t="str">
        <f t="shared" si="474"/>
        <v/>
      </c>
      <c r="RQM118" s="100" t="str">
        <f t="shared" si="474"/>
        <v/>
      </c>
      <c r="RQN118" s="100" t="str">
        <f t="shared" si="474"/>
        <v/>
      </c>
      <c r="RQO118" s="100" t="str">
        <f t="shared" si="474"/>
        <v/>
      </c>
      <c r="RQP118" s="100" t="str">
        <f t="shared" si="474"/>
        <v/>
      </c>
      <c r="RQQ118" s="100" t="str">
        <f t="shared" si="474"/>
        <v/>
      </c>
      <c r="RQR118" s="100" t="str">
        <f t="shared" si="474"/>
        <v/>
      </c>
      <c r="RQS118" s="100" t="str">
        <f t="shared" si="474"/>
        <v/>
      </c>
      <c r="RQT118" s="100" t="str">
        <f t="shared" si="474"/>
        <v/>
      </c>
      <c r="RQU118" s="100" t="str">
        <f t="shared" si="474"/>
        <v/>
      </c>
      <c r="RQV118" s="100" t="str">
        <f t="shared" si="474"/>
        <v/>
      </c>
      <c r="RQW118" s="100" t="str">
        <f t="shared" si="474"/>
        <v/>
      </c>
      <c r="RQX118" s="100" t="str">
        <f t="shared" si="474"/>
        <v/>
      </c>
      <c r="RQY118" s="100" t="str">
        <f t="shared" si="474"/>
        <v/>
      </c>
      <c r="RQZ118" s="100" t="str">
        <f t="shared" si="474"/>
        <v/>
      </c>
      <c r="RRA118" s="100" t="str">
        <f t="shared" si="474"/>
        <v/>
      </c>
      <c r="RRB118" s="100" t="str">
        <f t="shared" si="474"/>
        <v/>
      </c>
      <c r="RRC118" s="100" t="str">
        <f t="shared" si="474"/>
        <v/>
      </c>
      <c r="RRD118" s="100" t="str">
        <f t="shared" si="474"/>
        <v/>
      </c>
      <c r="RRE118" s="100" t="str">
        <f t="shared" si="474"/>
        <v/>
      </c>
      <c r="RRF118" s="100" t="str">
        <f t="shared" si="474"/>
        <v/>
      </c>
      <c r="RRG118" s="100" t="str">
        <f t="shared" si="474"/>
        <v/>
      </c>
      <c r="RRH118" s="100" t="str">
        <f t="shared" si="474"/>
        <v/>
      </c>
      <c r="RRI118" s="100" t="str">
        <f t="shared" si="474"/>
        <v/>
      </c>
      <c r="RRJ118" s="100" t="str">
        <f t="shared" si="474"/>
        <v/>
      </c>
      <c r="RRK118" s="100" t="str">
        <f t="shared" si="474"/>
        <v/>
      </c>
      <c r="RRL118" s="100" t="str">
        <f t="shared" si="474"/>
        <v/>
      </c>
      <c r="RRM118" s="100" t="str">
        <f t="shared" si="474"/>
        <v/>
      </c>
      <c r="RRN118" s="100" t="str">
        <f t="shared" si="474"/>
        <v/>
      </c>
      <c r="RRO118" s="100" t="str">
        <f t="shared" si="474"/>
        <v/>
      </c>
      <c r="RRP118" s="100" t="str">
        <f t="shared" si="474"/>
        <v/>
      </c>
      <c r="RRQ118" s="100" t="str">
        <f t="shared" si="474"/>
        <v/>
      </c>
      <c r="RRR118" s="100" t="str">
        <f t="shared" si="474"/>
        <v/>
      </c>
      <c r="RRS118" s="100" t="str">
        <f t="shared" si="474"/>
        <v/>
      </c>
      <c r="RRT118" s="100" t="str">
        <f t="shared" si="474"/>
        <v/>
      </c>
      <c r="RRU118" s="100" t="str">
        <f t="shared" si="474"/>
        <v/>
      </c>
      <c r="RRV118" s="100" t="str">
        <f t="shared" si="474"/>
        <v/>
      </c>
      <c r="RRW118" s="100" t="str">
        <f t="shared" si="474"/>
        <v/>
      </c>
      <c r="RRX118" s="100" t="str">
        <f t="shared" si="474"/>
        <v/>
      </c>
      <c r="RRY118" s="100" t="str">
        <f t="shared" si="474"/>
        <v/>
      </c>
      <c r="RRZ118" s="100" t="str">
        <f t="shared" si="474"/>
        <v/>
      </c>
      <c r="RSA118" s="100" t="str">
        <f t="shared" si="474"/>
        <v/>
      </c>
      <c r="RSB118" s="100" t="str">
        <f t="shared" si="474"/>
        <v/>
      </c>
      <c r="RSC118" s="100" t="str">
        <f t="shared" si="474"/>
        <v/>
      </c>
      <c r="RSD118" s="100" t="str">
        <f t="shared" si="474"/>
        <v/>
      </c>
      <c r="RSE118" s="100" t="str">
        <f t="shared" si="474"/>
        <v/>
      </c>
      <c r="RSF118" s="100" t="str">
        <f t="shared" si="474"/>
        <v/>
      </c>
      <c r="RSG118" s="100" t="str">
        <f t="shared" si="474"/>
        <v/>
      </c>
      <c r="RSH118" s="100" t="str">
        <f t="shared" si="474"/>
        <v/>
      </c>
      <c r="RSI118" s="100" t="str">
        <f t="shared" si="474"/>
        <v/>
      </c>
      <c r="RSJ118" s="100" t="str">
        <f t="shared" si="474"/>
        <v/>
      </c>
      <c r="RSK118" s="100" t="str">
        <f t="shared" si="474"/>
        <v/>
      </c>
      <c r="RSL118" s="100" t="str">
        <f t="shared" si="474"/>
        <v/>
      </c>
      <c r="RSM118" s="100" t="str">
        <f t="shared" si="474"/>
        <v/>
      </c>
      <c r="RSN118" s="100" t="str">
        <f t="shared" si="474"/>
        <v/>
      </c>
      <c r="RSO118" s="100" t="str">
        <f t="shared" ref="RSO118:RUZ118" si="475">IFERROR(AVERAGE(RSO6,RSO16,RSO25,RSO34,RSO42,RSO54,RSO62,RSO70,RSO78,RSO86,RSO94,RSO102,RSO110),"")</f>
        <v/>
      </c>
      <c r="RSP118" s="100" t="str">
        <f t="shared" si="475"/>
        <v/>
      </c>
      <c r="RSQ118" s="100" t="str">
        <f t="shared" si="475"/>
        <v/>
      </c>
      <c r="RSR118" s="100" t="str">
        <f t="shared" si="475"/>
        <v/>
      </c>
      <c r="RSS118" s="100" t="str">
        <f t="shared" si="475"/>
        <v/>
      </c>
      <c r="RST118" s="100" t="str">
        <f t="shared" si="475"/>
        <v/>
      </c>
      <c r="RSU118" s="100" t="str">
        <f t="shared" si="475"/>
        <v/>
      </c>
      <c r="RSV118" s="100" t="str">
        <f t="shared" si="475"/>
        <v/>
      </c>
      <c r="RSW118" s="100" t="str">
        <f t="shared" si="475"/>
        <v/>
      </c>
      <c r="RSX118" s="100" t="str">
        <f t="shared" si="475"/>
        <v/>
      </c>
      <c r="RSY118" s="100" t="str">
        <f t="shared" si="475"/>
        <v/>
      </c>
      <c r="RSZ118" s="100" t="str">
        <f t="shared" si="475"/>
        <v/>
      </c>
      <c r="RTA118" s="100" t="str">
        <f t="shared" si="475"/>
        <v/>
      </c>
      <c r="RTB118" s="100" t="str">
        <f t="shared" si="475"/>
        <v/>
      </c>
      <c r="RTC118" s="100" t="str">
        <f t="shared" si="475"/>
        <v/>
      </c>
      <c r="RTD118" s="100" t="str">
        <f t="shared" si="475"/>
        <v/>
      </c>
      <c r="RTE118" s="100" t="str">
        <f t="shared" si="475"/>
        <v/>
      </c>
      <c r="RTF118" s="100" t="str">
        <f t="shared" si="475"/>
        <v/>
      </c>
      <c r="RTG118" s="100" t="str">
        <f t="shared" si="475"/>
        <v/>
      </c>
      <c r="RTH118" s="100" t="str">
        <f t="shared" si="475"/>
        <v/>
      </c>
      <c r="RTI118" s="100" t="str">
        <f t="shared" si="475"/>
        <v/>
      </c>
      <c r="RTJ118" s="100" t="str">
        <f t="shared" si="475"/>
        <v/>
      </c>
      <c r="RTK118" s="100" t="str">
        <f t="shared" si="475"/>
        <v/>
      </c>
      <c r="RTL118" s="100" t="str">
        <f t="shared" si="475"/>
        <v/>
      </c>
      <c r="RTM118" s="100" t="str">
        <f t="shared" si="475"/>
        <v/>
      </c>
      <c r="RTN118" s="100" t="str">
        <f t="shared" si="475"/>
        <v/>
      </c>
      <c r="RTO118" s="100" t="str">
        <f t="shared" si="475"/>
        <v/>
      </c>
      <c r="RTP118" s="100" t="str">
        <f t="shared" si="475"/>
        <v/>
      </c>
      <c r="RTQ118" s="100" t="str">
        <f t="shared" si="475"/>
        <v/>
      </c>
      <c r="RTR118" s="100" t="str">
        <f t="shared" si="475"/>
        <v/>
      </c>
      <c r="RTS118" s="100" t="str">
        <f t="shared" si="475"/>
        <v/>
      </c>
      <c r="RTT118" s="100" t="str">
        <f t="shared" si="475"/>
        <v/>
      </c>
      <c r="RTU118" s="100" t="str">
        <f t="shared" si="475"/>
        <v/>
      </c>
      <c r="RTV118" s="100" t="str">
        <f t="shared" si="475"/>
        <v/>
      </c>
      <c r="RTW118" s="100" t="str">
        <f t="shared" si="475"/>
        <v/>
      </c>
      <c r="RTX118" s="100" t="str">
        <f t="shared" si="475"/>
        <v/>
      </c>
      <c r="RTY118" s="100" t="str">
        <f t="shared" si="475"/>
        <v/>
      </c>
      <c r="RTZ118" s="100" t="str">
        <f t="shared" si="475"/>
        <v/>
      </c>
      <c r="RUA118" s="100" t="str">
        <f t="shared" si="475"/>
        <v/>
      </c>
      <c r="RUB118" s="100" t="str">
        <f t="shared" si="475"/>
        <v/>
      </c>
      <c r="RUC118" s="100" t="str">
        <f t="shared" si="475"/>
        <v/>
      </c>
      <c r="RUD118" s="100" t="str">
        <f t="shared" si="475"/>
        <v/>
      </c>
      <c r="RUE118" s="100" t="str">
        <f t="shared" si="475"/>
        <v/>
      </c>
      <c r="RUF118" s="100" t="str">
        <f t="shared" si="475"/>
        <v/>
      </c>
      <c r="RUG118" s="100" t="str">
        <f t="shared" si="475"/>
        <v/>
      </c>
      <c r="RUH118" s="100" t="str">
        <f t="shared" si="475"/>
        <v/>
      </c>
      <c r="RUI118" s="100" t="str">
        <f t="shared" si="475"/>
        <v/>
      </c>
      <c r="RUJ118" s="100" t="str">
        <f t="shared" si="475"/>
        <v/>
      </c>
      <c r="RUK118" s="100" t="str">
        <f t="shared" si="475"/>
        <v/>
      </c>
      <c r="RUL118" s="100" t="str">
        <f t="shared" si="475"/>
        <v/>
      </c>
      <c r="RUM118" s="100" t="str">
        <f t="shared" si="475"/>
        <v/>
      </c>
      <c r="RUN118" s="100" t="str">
        <f t="shared" si="475"/>
        <v/>
      </c>
      <c r="RUO118" s="100" t="str">
        <f t="shared" si="475"/>
        <v/>
      </c>
      <c r="RUP118" s="100" t="str">
        <f t="shared" si="475"/>
        <v/>
      </c>
      <c r="RUQ118" s="100" t="str">
        <f t="shared" si="475"/>
        <v/>
      </c>
      <c r="RUR118" s="100" t="str">
        <f t="shared" si="475"/>
        <v/>
      </c>
      <c r="RUS118" s="100" t="str">
        <f t="shared" si="475"/>
        <v/>
      </c>
      <c r="RUT118" s="100" t="str">
        <f t="shared" si="475"/>
        <v/>
      </c>
      <c r="RUU118" s="100" t="str">
        <f t="shared" si="475"/>
        <v/>
      </c>
      <c r="RUV118" s="100" t="str">
        <f t="shared" si="475"/>
        <v/>
      </c>
      <c r="RUW118" s="100" t="str">
        <f t="shared" si="475"/>
        <v/>
      </c>
      <c r="RUX118" s="100" t="str">
        <f t="shared" si="475"/>
        <v/>
      </c>
      <c r="RUY118" s="100" t="str">
        <f t="shared" si="475"/>
        <v/>
      </c>
      <c r="RUZ118" s="100" t="str">
        <f t="shared" si="475"/>
        <v/>
      </c>
      <c r="RVA118" s="100" t="str">
        <f t="shared" ref="RVA118:RXL118" si="476">IFERROR(AVERAGE(RVA6,RVA16,RVA25,RVA34,RVA42,RVA54,RVA62,RVA70,RVA78,RVA86,RVA94,RVA102,RVA110),"")</f>
        <v/>
      </c>
      <c r="RVB118" s="100" t="str">
        <f t="shared" si="476"/>
        <v/>
      </c>
      <c r="RVC118" s="100" t="str">
        <f t="shared" si="476"/>
        <v/>
      </c>
      <c r="RVD118" s="100" t="str">
        <f t="shared" si="476"/>
        <v/>
      </c>
      <c r="RVE118" s="100" t="str">
        <f t="shared" si="476"/>
        <v/>
      </c>
      <c r="RVF118" s="100" t="str">
        <f t="shared" si="476"/>
        <v/>
      </c>
      <c r="RVG118" s="100" t="str">
        <f t="shared" si="476"/>
        <v/>
      </c>
      <c r="RVH118" s="100" t="str">
        <f t="shared" si="476"/>
        <v/>
      </c>
      <c r="RVI118" s="100" t="str">
        <f t="shared" si="476"/>
        <v/>
      </c>
      <c r="RVJ118" s="100" t="str">
        <f t="shared" si="476"/>
        <v/>
      </c>
      <c r="RVK118" s="100" t="str">
        <f t="shared" si="476"/>
        <v/>
      </c>
      <c r="RVL118" s="100" t="str">
        <f t="shared" si="476"/>
        <v/>
      </c>
      <c r="RVM118" s="100" t="str">
        <f t="shared" si="476"/>
        <v/>
      </c>
      <c r="RVN118" s="100" t="str">
        <f t="shared" si="476"/>
        <v/>
      </c>
      <c r="RVO118" s="100" t="str">
        <f t="shared" si="476"/>
        <v/>
      </c>
      <c r="RVP118" s="100" t="str">
        <f t="shared" si="476"/>
        <v/>
      </c>
      <c r="RVQ118" s="100" t="str">
        <f t="shared" si="476"/>
        <v/>
      </c>
      <c r="RVR118" s="100" t="str">
        <f t="shared" si="476"/>
        <v/>
      </c>
      <c r="RVS118" s="100" t="str">
        <f t="shared" si="476"/>
        <v/>
      </c>
      <c r="RVT118" s="100" t="str">
        <f t="shared" si="476"/>
        <v/>
      </c>
      <c r="RVU118" s="100" t="str">
        <f t="shared" si="476"/>
        <v/>
      </c>
      <c r="RVV118" s="100" t="str">
        <f t="shared" si="476"/>
        <v/>
      </c>
      <c r="RVW118" s="100" t="str">
        <f t="shared" si="476"/>
        <v/>
      </c>
      <c r="RVX118" s="100" t="str">
        <f t="shared" si="476"/>
        <v/>
      </c>
      <c r="RVY118" s="100" t="str">
        <f t="shared" si="476"/>
        <v/>
      </c>
      <c r="RVZ118" s="100" t="str">
        <f t="shared" si="476"/>
        <v/>
      </c>
      <c r="RWA118" s="100" t="str">
        <f t="shared" si="476"/>
        <v/>
      </c>
      <c r="RWB118" s="100" t="str">
        <f t="shared" si="476"/>
        <v/>
      </c>
      <c r="RWC118" s="100" t="str">
        <f t="shared" si="476"/>
        <v/>
      </c>
      <c r="RWD118" s="100" t="str">
        <f t="shared" si="476"/>
        <v/>
      </c>
      <c r="RWE118" s="100" t="str">
        <f t="shared" si="476"/>
        <v/>
      </c>
      <c r="RWF118" s="100" t="str">
        <f t="shared" si="476"/>
        <v/>
      </c>
      <c r="RWG118" s="100" t="str">
        <f t="shared" si="476"/>
        <v/>
      </c>
      <c r="RWH118" s="100" t="str">
        <f t="shared" si="476"/>
        <v/>
      </c>
      <c r="RWI118" s="100" t="str">
        <f t="shared" si="476"/>
        <v/>
      </c>
      <c r="RWJ118" s="100" t="str">
        <f t="shared" si="476"/>
        <v/>
      </c>
      <c r="RWK118" s="100" t="str">
        <f t="shared" si="476"/>
        <v/>
      </c>
      <c r="RWL118" s="100" t="str">
        <f t="shared" si="476"/>
        <v/>
      </c>
      <c r="RWM118" s="100" t="str">
        <f t="shared" si="476"/>
        <v/>
      </c>
      <c r="RWN118" s="100" t="str">
        <f t="shared" si="476"/>
        <v/>
      </c>
      <c r="RWO118" s="100" t="str">
        <f t="shared" si="476"/>
        <v/>
      </c>
      <c r="RWP118" s="100" t="str">
        <f t="shared" si="476"/>
        <v/>
      </c>
      <c r="RWQ118" s="100" t="str">
        <f t="shared" si="476"/>
        <v/>
      </c>
      <c r="RWR118" s="100" t="str">
        <f t="shared" si="476"/>
        <v/>
      </c>
      <c r="RWS118" s="100" t="str">
        <f t="shared" si="476"/>
        <v/>
      </c>
      <c r="RWT118" s="100" t="str">
        <f t="shared" si="476"/>
        <v/>
      </c>
      <c r="RWU118" s="100" t="str">
        <f t="shared" si="476"/>
        <v/>
      </c>
      <c r="RWV118" s="100" t="str">
        <f t="shared" si="476"/>
        <v/>
      </c>
      <c r="RWW118" s="100" t="str">
        <f t="shared" si="476"/>
        <v/>
      </c>
      <c r="RWX118" s="100" t="str">
        <f t="shared" si="476"/>
        <v/>
      </c>
      <c r="RWY118" s="100" t="str">
        <f t="shared" si="476"/>
        <v/>
      </c>
      <c r="RWZ118" s="100" t="str">
        <f t="shared" si="476"/>
        <v/>
      </c>
      <c r="RXA118" s="100" t="str">
        <f t="shared" si="476"/>
        <v/>
      </c>
      <c r="RXB118" s="100" t="str">
        <f t="shared" si="476"/>
        <v/>
      </c>
      <c r="RXC118" s="100" t="str">
        <f t="shared" si="476"/>
        <v/>
      </c>
      <c r="RXD118" s="100" t="str">
        <f t="shared" si="476"/>
        <v/>
      </c>
      <c r="RXE118" s="100" t="str">
        <f t="shared" si="476"/>
        <v/>
      </c>
      <c r="RXF118" s="100" t="str">
        <f t="shared" si="476"/>
        <v/>
      </c>
      <c r="RXG118" s="100" t="str">
        <f t="shared" si="476"/>
        <v/>
      </c>
      <c r="RXH118" s="100" t="str">
        <f t="shared" si="476"/>
        <v/>
      </c>
      <c r="RXI118" s="100" t="str">
        <f t="shared" si="476"/>
        <v/>
      </c>
      <c r="RXJ118" s="100" t="str">
        <f t="shared" si="476"/>
        <v/>
      </c>
      <c r="RXK118" s="100" t="str">
        <f t="shared" si="476"/>
        <v/>
      </c>
      <c r="RXL118" s="100" t="str">
        <f t="shared" si="476"/>
        <v/>
      </c>
      <c r="RXM118" s="100" t="str">
        <f t="shared" ref="RXM118:RZX118" si="477">IFERROR(AVERAGE(RXM6,RXM16,RXM25,RXM34,RXM42,RXM54,RXM62,RXM70,RXM78,RXM86,RXM94,RXM102,RXM110),"")</f>
        <v/>
      </c>
      <c r="RXN118" s="100" t="str">
        <f t="shared" si="477"/>
        <v/>
      </c>
      <c r="RXO118" s="100" t="str">
        <f t="shared" si="477"/>
        <v/>
      </c>
      <c r="RXP118" s="100" t="str">
        <f t="shared" si="477"/>
        <v/>
      </c>
      <c r="RXQ118" s="100" t="str">
        <f t="shared" si="477"/>
        <v/>
      </c>
      <c r="RXR118" s="100" t="str">
        <f t="shared" si="477"/>
        <v/>
      </c>
      <c r="RXS118" s="100" t="str">
        <f t="shared" si="477"/>
        <v/>
      </c>
      <c r="RXT118" s="100" t="str">
        <f t="shared" si="477"/>
        <v/>
      </c>
      <c r="RXU118" s="100" t="str">
        <f t="shared" si="477"/>
        <v/>
      </c>
      <c r="RXV118" s="100" t="str">
        <f t="shared" si="477"/>
        <v/>
      </c>
      <c r="RXW118" s="100" t="str">
        <f t="shared" si="477"/>
        <v/>
      </c>
      <c r="RXX118" s="100" t="str">
        <f t="shared" si="477"/>
        <v/>
      </c>
      <c r="RXY118" s="100" t="str">
        <f t="shared" si="477"/>
        <v/>
      </c>
      <c r="RXZ118" s="100" t="str">
        <f t="shared" si="477"/>
        <v/>
      </c>
      <c r="RYA118" s="100" t="str">
        <f t="shared" si="477"/>
        <v/>
      </c>
      <c r="RYB118" s="100" t="str">
        <f t="shared" si="477"/>
        <v/>
      </c>
      <c r="RYC118" s="100" t="str">
        <f t="shared" si="477"/>
        <v/>
      </c>
      <c r="RYD118" s="100" t="str">
        <f t="shared" si="477"/>
        <v/>
      </c>
      <c r="RYE118" s="100" t="str">
        <f t="shared" si="477"/>
        <v/>
      </c>
      <c r="RYF118" s="100" t="str">
        <f t="shared" si="477"/>
        <v/>
      </c>
      <c r="RYG118" s="100" t="str">
        <f t="shared" si="477"/>
        <v/>
      </c>
      <c r="RYH118" s="100" t="str">
        <f t="shared" si="477"/>
        <v/>
      </c>
      <c r="RYI118" s="100" t="str">
        <f t="shared" si="477"/>
        <v/>
      </c>
      <c r="RYJ118" s="100" t="str">
        <f t="shared" si="477"/>
        <v/>
      </c>
      <c r="RYK118" s="100" t="str">
        <f t="shared" si="477"/>
        <v/>
      </c>
      <c r="RYL118" s="100" t="str">
        <f t="shared" si="477"/>
        <v/>
      </c>
      <c r="RYM118" s="100" t="str">
        <f t="shared" si="477"/>
        <v/>
      </c>
      <c r="RYN118" s="100" t="str">
        <f t="shared" si="477"/>
        <v/>
      </c>
      <c r="RYO118" s="100" t="str">
        <f t="shared" si="477"/>
        <v/>
      </c>
      <c r="RYP118" s="100" t="str">
        <f t="shared" si="477"/>
        <v/>
      </c>
      <c r="RYQ118" s="100" t="str">
        <f t="shared" si="477"/>
        <v/>
      </c>
      <c r="RYR118" s="100" t="str">
        <f t="shared" si="477"/>
        <v/>
      </c>
      <c r="RYS118" s="100" t="str">
        <f t="shared" si="477"/>
        <v/>
      </c>
      <c r="RYT118" s="100" t="str">
        <f t="shared" si="477"/>
        <v/>
      </c>
      <c r="RYU118" s="100" t="str">
        <f t="shared" si="477"/>
        <v/>
      </c>
      <c r="RYV118" s="100" t="str">
        <f t="shared" si="477"/>
        <v/>
      </c>
      <c r="RYW118" s="100" t="str">
        <f t="shared" si="477"/>
        <v/>
      </c>
      <c r="RYX118" s="100" t="str">
        <f t="shared" si="477"/>
        <v/>
      </c>
      <c r="RYY118" s="100" t="str">
        <f t="shared" si="477"/>
        <v/>
      </c>
      <c r="RYZ118" s="100" t="str">
        <f t="shared" si="477"/>
        <v/>
      </c>
      <c r="RZA118" s="100" t="str">
        <f t="shared" si="477"/>
        <v/>
      </c>
      <c r="RZB118" s="100" t="str">
        <f t="shared" si="477"/>
        <v/>
      </c>
      <c r="RZC118" s="100" t="str">
        <f t="shared" si="477"/>
        <v/>
      </c>
      <c r="RZD118" s="100" t="str">
        <f t="shared" si="477"/>
        <v/>
      </c>
      <c r="RZE118" s="100" t="str">
        <f t="shared" si="477"/>
        <v/>
      </c>
      <c r="RZF118" s="100" t="str">
        <f t="shared" si="477"/>
        <v/>
      </c>
      <c r="RZG118" s="100" t="str">
        <f t="shared" si="477"/>
        <v/>
      </c>
      <c r="RZH118" s="100" t="str">
        <f t="shared" si="477"/>
        <v/>
      </c>
      <c r="RZI118" s="100" t="str">
        <f t="shared" si="477"/>
        <v/>
      </c>
      <c r="RZJ118" s="100" t="str">
        <f t="shared" si="477"/>
        <v/>
      </c>
      <c r="RZK118" s="100" t="str">
        <f t="shared" si="477"/>
        <v/>
      </c>
      <c r="RZL118" s="100" t="str">
        <f t="shared" si="477"/>
        <v/>
      </c>
      <c r="RZM118" s="100" t="str">
        <f t="shared" si="477"/>
        <v/>
      </c>
      <c r="RZN118" s="100" t="str">
        <f t="shared" si="477"/>
        <v/>
      </c>
      <c r="RZO118" s="100" t="str">
        <f t="shared" si="477"/>
        <v/>
      </c>
      <c r="RZP118" s="100" t="str">
        <f t="shared" si="477"/>
        <v/>
      </c>
      <c r="RZQ118" s="100" t="str">
        <f t="shared" si="477"/>
        <v/>
      </c>
      <c r="RZR118" s="100" t="str">
        <f t="shared" si="477"/>
        <v/>
      </c>
      <c r="RZS118" s="100" t="str">
        <f t="shared" si="477"/>
        <v/>
      </c>
      <c r="RZT118" s="100" t="str">
        <f t="shared" si="477"/>
        <v/>
      </c>
      <c r="RZU118" s="100" t="str">
        <f t="shared" si="477"/>
        <v/>
      </c>
      <c r="RZV118" s="100" t="str">
        <f t="shared" si="477"/>
        <v/>
      </c>
      <c r="RZW118" s="100" t="str">
        <f t="shared" si="477"/>
        <v/>
      </c>
      <c r="RZX118" s="100" t="str">
        <f t="shared" si="477"/>
        <v/>
      </c>
      <c r="RZY118" s="100" t="str">
        <f t="shared" ref="RZY118:SCJ118" si="478">IFERROR(AVERAGE(RZY6,RZY16,RZY25,RZY34,RZY42,RZY54,RZY62,RZY70,RZY78,RZY86,RZY94,RZY102,RZY110),"")</f>
        <v/>
      </c>
      <c r="RZZ118" s="100" t="str">
        <f t="shared" si="478"/>
        <v/>
      </c>
      <c r="SAA118" s="100" t="str">
        <f t="shared" si="478"/>
        <v/>
      </c>
      <c r="SAB118" s="100" t="str">
        <f t="shared" si="478"/>
        <v/>
      </c>
      <c r="SAC118" s="100" t="str">
        <f t="shared" si="478"/>
        <v/>
      </c>
      <c r="SAD118" s="100" t="str">
        <f t="shared" si="478"/>
        <v/>
      </c>
      <c r="SAE118" s="100" t="str">
        <f t="shared" si="478"/>
        <v/>
      </c>
      <c r="SAF118" s="100" t="str">
        <f t="shared" si="478"/>
        <v/>
      </c>
      <c r="SAG118" s="100" t="str">
        <f t="shared" si="478"/>
        <v/>
      </c>
      <c r="SAH118" s="100" t="str">
        <f t="shared" si="478"/>
        <v/>
      </c>
      <c r="SAI118" s="100" t="str">
        <f t="shared" si="478"/>
        <v/>
      </c>
      <c r="SAJ118" s="100" t="str">
        <f t="shared" si="478"/>
        <v/>
      </c>
      <c r="SAK118" s="100" t="str">
        <f t="shared" si="478"/>
        <v/>
      </c>
      <c r="SAL118" s="100" t="str">
        <f t="shared" si="478"/>
        <v/>
      </c>
      <c r="SAM118" s="100" t="str">
        <f t="shared" si="478"/>
        <v/>
      </c>
      <c r="SAN118" s="100" t="str">
        <f t="shared" si="478"/>
        <v/>
      </c>
      <c r="SAO118" s="100" t="str">
        <f t="shared" si="478"/>
        <v/>
      </c>
      <c r="SAP118" s="100" t="str">
        <f t="shared" si="478"/>
        <v/>
      </c>
      <c r="SAQ118" s="100" t="str">
        <f t="shared" si="478"/>
        <v/>
      </c>
      <c r="SAR118" s="100" t="str">
        <f t="shared" si="478"/>
        <v/>
      </c>
      <c r="SAS118" s="100" t="str">
        <f t="shared" si="478"/>
        <v/>
      </c>
      <c r="SAT118" s="100" t="str">
        <f t="shared" si="478"/>
        <v/>
      </c>
      <c r="SAU118" s="100" t="str">
        <f t="shared" si="478"/>
        <v/>
      </c>
      <c r="SAV118" s="100" t="str">
        <f t="shared" si="478"/>
        <v/>
      </c>
      <c r="SAW118" s="100" t="str">
        <f t="shared" si="478"/>
        <v/>
      </c>
      <c r="SAX118" s="100" t="str">
        <f t="shared" si="478"/>
        <v/>
      </c>
      <c r="SAY118" s="100" t="str">
        <f t="shared" si="478"/>
        <v/>
      </c>
      <c r="SAZ118" s="100" t="str">
        <f t="shared" si="478"/>
        <v/>
      </c>
      <c r="SBA118" s="100" t="str">
        <f t="shared" si="478"/>
        <v/>
      </c>
      <c r="SBB118" s="100" t="str">
        <f t="shared" si="478"/>
        <v/>
      </c>
      <c r="SBC118" s="100" t="str">
        <f t="shared" si="478"/>
        <v/>
      </c>
      <c r="SBD118" s="100" t="str">
        <f t="shared" si="478"/>
        <v/>
      </c>
      <c r="SBE118" s="100" t="str">
        <f t="shared" si="478"/>
        <v/>
      </c>
      <c r="SBF118" s="100" t="str">
        <f t="shared" si="478"/>
        <v/>
      </c>
      <c r="SBG118" s="100" t="str">
        <f t="shared" si="478"/>
        <v/>
      </c>
      <c r="SBH118" s="100" t="str">
        <f t="shared" si="478"/>
        <v/>
      </c>
      <c r="SBI118" s="100" t="str">
        <f t="shared" si="478"/>
        <v/>
      </c>
      <c r="SBJ118" s="100" t="str">
        <f t="shared" si="478"/>
        <v/>
      </c>
      <c r="SBK118" s="100" t="str">
        <f t="shared" si="478"/>
        <v/>
      </c>
      <c r="SBL118" s="100" t="str">
        <f t="shared" si="478"/>
        <v/>
      </c>
      <c r="SBM118" s="100" t="str">
        <f t="shared" si="478"/>
        <v/>
      </c>
      <c r="SBN118" s="100" t="str">
        <f t="shared" si="478"/>
        <v/>
      </c>
      <c r="SBO118" s="100" t="str">
        <f t="shared" si="478"/>
        <v/>
      </c>
      <c r="SBP118" s="100" t="str">
        <f t="shared" si="478"/>
        <v/>
      </c>
      <c r="SBQ118" s="100" t="str">
        <f t="shared" si="478"/>
        <v/>
      </c>
      <c r="SBR118" s="100" t="str">
        <f t="shared" si="478"/>
        <v/>
      </c>
      <c r="SBS118" s="100" t="str">
        <f t="shared" si="478"/>
        <v/>
      </c>
      <c r="SBT118" s="100" t="str">
        <f t="shared" si="478"/>
        <v/>
      </c>
      <c r="SBU118" s="100" t="str">
        <f t="shared" si="478"/>
        <v/>
      </c>
      <c r="SBV118" s="100" t="str">
        <f t="shared" si="478"/>
        <v/>
      </c>
      <c r="SBW118" s="100" t="str">
        <f t="shared" si="478"/>
        <v/>
      </c>
      <c r="SBX118" s="100" t="str">
        <f t="shared" si="478"/>
        <v/>
      </c>
      <c r="SBY118" s="100" t="str">
        <f t="shared" si="478"/>
        <v/>
      </c>
      <c r="SBZ118" s="100" t="str">
        <f t="shared" si="478"/>
        <v/>
      </c>
      <c r="SCA118" s="100" t="str">
        <f t="shared" si="478"/>
        <v/>
      </c>
      <c r="SCB118" s="100" t="str">
        <f t="shared" si="478"/>
        <v/>
      </c>
      <c r="SCC118" s="100" t="str">
        <f t="shared" si="478"/>
        <v/>
      </c>
      <c r="SCD118" s="100" t="str">
        <f t="shared" si="478"/>
        <v/>
      </c>
      <c r="SCE118" s="100" t="str">
        <f t="shared" si="478"/>
        <v/>
      </c>
      <c r="SCF118" s="100" t="str">
        <f t="shared" si="478"/>
        <v/>
      </c>
      <c r="SCG118" s="100" t="str">
        <f t="shared" si="478"/>
        <v/>
      </c>
      <c r="SCH118" s="100" t="str">
        <f t="shared" si="478"/>
        <v/>
      </c>
      <c r="SCI118" s="100" t="str">
        <f t="shared" si="478"/>
        <v/>
      </c>
      <c r="SCJ118" s="100" t="str">
        <f t="shared" si="478"/>
        <v/>
      </c>
      <c r="SCK118" s="100" t="str">
        <f t="shared" ref="SCK118:SEV118" si="479">IFERROR(AVERAGE(SCK6,SCK16,SCK25,SCK34,SCK42,SCK54,SCK62,SCK70,SCK78,SCK86,SCK94,SCK102,SCK110),"")</f>
        <v/>
      </c>
      <c r="SCL118" s="100" t="str">
        <f t="shared" si="479"/>
        <v/>
      </c>
      <c r="SCM118" s="100" t="str">
        <f t="shared" si="479"/>
        <v/>
      </c>
      <c r="SCN118" s="100" t="str">
        <f t="shared" si="479"/>
        <v/>
      </c>
      <c r="SCO118" s="100" t="str">
        <f t="shared" si="479"/>
        <v/>
      </c>
      <c r="SCP118" s="100" t="str">
        <f t="shared" si="479"/>
        <v/>
      </c>
      <c r="SCQ118" s="100" t="str">
        <f t="shared" si="479"/>
        <v/>
      </c>
      <c r="SCR118" s="100" t="str">
        <f t="shared" si="479"/>
        <v/>
      </c>
      <c r="SCS118" s="100" t="str">
        <f t="shared" si="479"/>
        <v/>
      </c>
      <c r="SCT118" s="100" t="str">
        <f t="shared" si="479"/>
        <v/>
      </c>
      <c r="SCU118" s="100" t="str">
        <f t="shared" si="479"/>
        <v/>
      </c>
      <c r="SCV118" s="100" t="str">
        <f t="shared" si="479"/>
        <v/>
      </c>
      <c r="SCW118" s="100" t="str">
        <f t="shared" si="479"/>
        <v/>
      </c>
      <c r="SCX118" s="100" t="str">
        <f t="shared" si="479"/>
        <v/>
      </c>
      <c r="SCY118" s="100" t="str">
        <f t="shared" si="479"/>
        <v/>
      </c>
      <c r="SCZ118" s="100" t="str">
        <f t="shared" si="479"/>
        <v/>
      </c>
      <c r="SDA118" s="100" t="str">
        <f t="shared" si="479"/>
        <v/>
      </c>
      <c r="SDB118" s="100" t="str">
        <f t="shared" si="479"/>
        <v/>
      </c>
      <c r="SDC118" s="100" t="str">
        <f t="shared" si="479"/>
        <v/>
      </c>
      <c r="SDD118" s="100" t="str">
        <f t="shared" si="479"/>
        <v/>
      </c>
      <c r="SDE118" s="100" t="str">
        <f t="shared" si="479"/>
        <v/>
      </c>
      <c r="SDF118" s="100" t="str">
        <f t="shared" si="479"/>
        <v/>
      </c>
      <c r="SDG118" s="100" t="str">
        <f t="shared" si="479"/>
        <v/>
      </c>
      <c r="SDH118" s="100" t="str">
        <f t="shared" si="479"/>
        <v/>
      </c>
      <c r="SDI118" s="100" t="str">
        <f t="shared" si="479"/>
        <v/>
      </c>
      <c r="SDJ118" s="100" t="str">
        <f t="shared" si="479"/>
        <v/>
      </c>
      <c r="SDK118" s="100" t="str">
        <f t="shared" si="479"/>
        <v/>
      </c>
      <c r="SDL118" s="100" t="str">
        <f t="shared" si="479"/>
        <v/>
      </c>
      <c r="SDM118" s="100" t="str">
        <f t="shared" si="479"/>
        <v/>
      </c>
      <c r="SDN118" s="100" t="str">
        <f t="shared" si="479"/>
        <v/>
      </c>
      <c r="SDO118" s="100" t="str">
        <f t="shared" si="479"/>
        <v/>
      </c>
      <c r="SDP118" s="100" t="str">
        <f t="shared" si="479"/>
        <v/>
      </c>
      <c r="SDQ118" s="100" t="str">
        <f t="shared" si="479"/>
        <v/>
      </c>
      <c r="SDR118" s="100" t="str">
        <f t="shared" si="479"/>
        <v/>
      </c>
      <c r="SDS118" s="100" t="str">
        <f t="shared" si="479"/>
        <v/>
      </c>
      <c r="SDT118" s="100" t="str">
        <f t="shared" si="479"/>
        <v/>
      </c>
      <c r="SDU118" s="100" t="str">
        <f t="shared" si="479"/>
        <v/>
      </c>
      <c r="SDV118" s="100" t="str">
        <f t="shared" si="479"/>
        <v/>
      </c>
      <c r="SDW118" s="100" t="str">
        <f t="shared" si="479"/>
        <v/>
      </c>
      <c r="SDX118" s="100" t="str">
        <f t="shared" si="479"/>
        <v/>
      </c>
      <c r="SDY118" s="100" t="str">
        <f t="shared" si="479"/>
        <v/>
      </c>
      <c r="SDZ118" s="100" t="str">
        <f t="shared" si="479"/>
        <v/>
      </c>
      <c r="SEA118" s="100" t="str">
        <f t="shared" si="479"/>
        <v/>
      </c>
      <c r="SEB118" s="100" t="str">
        <f t="shared" si="479"/>
        <v/>
      </c>
      <c r="SEC118" s="100" t="str">
        <f t="shared" si="479"/>
        <v/>
      </c>
      <c r="SED118" s="100" t="str">
        <f t="shared" si="479"/>
        <v/>
      </c>
      <c r="SEE118" s="100" t="str">
        <f t="shared" si="479"/>
        <v/>
      </c>
      <c r="SEF118" s="100" t="str">
        <f t="shared" si="479"/>
        <v/>
      </c>
      <c r="SEG118" s="100" t="str">
        <f t="shared" si="479"/>
        <v/>
      </c>
      <c r="SEH118" s="100" t="str">
        <f t="shared" si="479"/>
        <v/>
      </c>
      <c r="SEI118" s="100" t="str">
        <f t="shared" si="479"/>
        <v/>
      </c>
      <c r="SEJ118" s="100" t="str">
        <f t="shared" si="479"/>
        <v/>
      </c>
      <c r="SEK118" s="100" t="str">
        <f t="shared" si="479"/>
        <v/>
      </c>
      <c r="SEL118" s="100" t="str">
        <f t="shared" si="479"/>
        <v/>
      </c>
      <c r="SEM118" s="100" t="str">
        <f t="shared" si="479"/>
        <v/>
      </c>
      <c r="SEN118" s="100" t="str">
        <f t="shared" si="479"/>
        <v/>
      </c>
      <c r="SEO118" s="100" t="str">
        <f t="shared" si="479"/>
        <v/>
      </c>
      <c r="SEP118" s="100" t="str">
        <f t="shared" si="479"/>
        <v/>
      </c>
      <c r="SEQ118" s="100" t="str">
        <f t="shared" si="479"/>
        <v/>
      </c>
      <c r="SER118" s="100" t="str">
        <f t="shared" si="479"/>
        <v/>
      </c>
      <c r="SES118" s="100" t="str">
        <f t="shared" si="479"/>
        <v/>
      </c>
      <c r="SET118" s="100" t="str">
        <f t="shared" si="479"/>
        <v/>
      </c>
      <c r="SEU118" s="100" t="str">
        <f t="shared" si="479"/>
        <v/>
      </c>
      <c r="SEV118" s="100" t="str">
        <f t="shared" si="479"/>
        <v/>
      </c>
      <c r="SEW118" s="100" t="str">
        <f t="shared" ref="SEW118:SHH118" si="480">IFERROR(AVERAGE(SEW6,SEW16,SEW25,SEW34,SEW42,SEW54,SEW62,SEW70,SEW78,SEW86,SEW94,SEW102,SEW110),"")</f>
        <v/>
      </c>
      <c r="SEX118" s="100" t="str">
        <f t="shared" si="480"/>
        <v/>
      </c>
      <c r="SEY118" s="100" t="str">
        <f t="shared" si="480"/>
        <v/>
      </c>
      <c r="SEZ118" s="100" t="str">
        <f t="shared" si="480"/>
        <v/>
      </c>
      <c r="SFA118" s="100" t="str">
        <f t="shared" si="480"/>
        <v/>
      </c>
      <c r="SFB118" s="100" t="str">
        <f t="shared" si="480"/>
        <v/>
      </c>
      <c r="SFC118" s="100" t="str">
        <f t="shared" si="480"/>
        <v/>
      </c>
      <c r="SFD118" s="100" t="str">
        <f t="shared" si="480"/>
        <v/>
      </c>
      <c r="SFE118" s="100" t="str">
        <f t="shared" si="480"/>
        <v/>
      </c>
      <c r="SFF118" s="100" t="str">
        <f t="shared" si="480"/>
        <v/>
      </c>
      <c r="SFG118" s="100" t="str">
        <f t="shared" si="480"/>
        <v/>
      </c>
      <c r="SFH118" s="100" t="str">
        <f t="shared" si="480"/>
        <v/>
      </c>
      <c r="SFI118" s="100" t="str">
        <f t="shared" si="480"/>
        <v/>
      </c>
      <c r="SFJ118" s="100" t="str">
        <f t="shared" si="480"/>
        <v/>
      </c>
      <c r="SFK118" s="100" t="str">
        <f t="shared" si="480"/>
        <v/>
      </c>
      <c r="SFL118" s="100" t="str">
        <f t="shared" si="480"/>
        <v/>
      </c>
      <c r="SFM118" s="100" t="str">
        <f t="shared" si="480"/>
        <v/>
      </c>
      <c r="SFN118" s="100" t="str">
        <f t="shared" si="480"/>
        <v/>
      </c>
      <c r="SFO118" s="100" t="str">
        <f t="shared" si="480"/>
        <v/>
      </c>
      <c r="SFP118" s="100" t="str">
        <f t="shared" si="480"/>
        <v/>
      </c>
      <c r="SFQ118" s="100" t="str">
        <f t="shared" si="480"/>
        <v/>
      </c>
      <c r="SFR118" s="100" t="str">
        <f t="shared" si="480"/>
        <v/>
      </c>
      <c r="SFS118" s="100" t="str">
        <f t="shared" si="480"/>
        <v/>
      </c>
      <c r="SFT118" s="100" t="str">
        <f t="shared" si="480"/>
        <v/>
      </c>
      <c r="SFU118" s="100" t="str">
        <f t="shared" si="480"/>
        <v/>
      </c>
      <c r="SFV118" s="100" t="str">
        <f t="shared" si="480"/>
        <v/>
      </c>
      <c r="SFW118" s="100" t="str">
        <f t="shared" si="480"/>
        <v/>
      </c>
      <c r="SFX118" s="100" t="str">
        <f t="shared" si="480"/>
        <v/>
      </c>
      <c r="SFY118" s="100" t="str">
        <f t="shared" si="480"/>
        <v/>
      </c>
      <c r="SFZ118" s="100" t="str">
        <f t="shared" si="480"/>
        <v/>
      </c>
      <c r="SGA118" s="100" t="str">
        <f t="shared" si="480"/>
        <v/>
      </c>
      <c r="SGB118" s="100" t="str">
        <f t="shared" si="480"/>
        <v/>
      </c>
      <c r="SGC118" s="100" t="str">
        <f t="shared" si="480"/>
        <v/>
      </c>
      <c r="SGD118" s="100" t="str">
        <f t="shared" si="480"/>
        <v/>
      </c>
      <c r="SGE118" s="100" t="str">
        <f t="shared" si="480"/>
        <v/>
      </c>
      <c r="SGF118" s="100" t="str">
        <f t="shared" si="480"/>
        <v/>
      </c>
      <c r="SGG118" s="100" t="str">
        <f t="shared" si="480"/>
        <v/>
      </c>
      <c r="SGH118" s="100" t="str">
        <f t="shared" si="480"/>
        <v/>
      </c>
      <c r="SGI118" s="100" t="str">
        <f t="shared" si="480"/>
        <v/>
      </c>
      <c r="SGJ118" s="100" t="str">
        <f t="shared" si="480"/>
        <v/>
      </c>
      <c r="SGK118" s="100" t="str">
        <f t="shared" si="480"/>
        <v/>
      </c>
      <c r="SGL118" s="100" t="str">
        <f t="shared" si="480"/>
        <v/>
      </c>
      <c r="SGM118" s="100" t="str">
        <f t="shared" si="480"/>
        <v/>
      </c>
      <c r="SGN118" s="100" t="str">
        <f t="shared" si="480"/>
        <v/>
      </c>
      <c r="SGO118" s="100" t="str">
        <f t="shared" si="480"/>
        <v/>
      </c>
      <c r="SGP118" s="100" t="str">
        <f t="shared" si="480"/>
        <v/>
      </c>
      <c r="SGQ118" s="100" t="str">
        <f t="shared" si="480"/>
        <v/>
      </c>
      <c r="SGR118" s="100" t="str">
        <f t="shared" si="480"/>
        <v/>
      </c>
      <c r="SGS118" s="100" t="str">
        <f t="shared" si="480"/>
        <v/>
      </c>
      <c r="SGT118" s="100" t="str">
        <f t="shared" si="480"/>
        <v/>
      </c>
      <c r="SGU118" s="100" t="str">
        <f t="shared" si="480"/>
        <v/>
      </c>
      <c r="SGV118" s="100" t="str">
        <f t="shared" si="480"/>
        <v/>
      </c>
      <c r="SGW118" s="100" t="str">
        <f t="shared" si="480"/>
        <v/>
      </c>
      <c r="SGX118" s="100" t="str">
        <f t="shared" si="480"/>
        <v/>
      </c>
      <c r="SGY118" s="100" t="str">
        <f t="shared" si="480"/>
        <v/>
      </c>
      <c r="SGZ118" s="100" t="str">
        <f t="shared" si="480"/>
        <v/>
      </c>
      <c r="SHA118" s="100" t="str">
        <f t="shared" si="480"/>
        <v/>
      </c>
      <c r="SHB118" s="100" t="str">
        <f t="shared" si="480"/>
        <v/>
      </c>
      <c r="SHC118" s="100" t="str">
        <f t="shared" si="480"/>
        <v/>
      </c>
      <c r="SHD118" s="100" t="str">
        <f t="shared" si="480"/>
        <v/>
      </c>
      <c r="SHE118" s="100" t="str">
        <f t="shared" si="480"/>
        <v/>
      </c>
      <c r="SHF118" s="100" t="str">
        <f t="shared" si="480"/>
        <v/>
      </c>
      <c r="SHG118" s="100" t="str">
        <f t="shared" si="480"/>
        <v/>
      </c>
      <c r="SHH118" s="100" t="str">
        <f t="shared" si="480"/>
        <v/>
      </c>
      <c r="SHI118" s="100" t="str">
        <f t="shared" ref="SHI118:SJT118" si="481">IFERROR(AVERAGE(SHI6,SHI16,SHI25,SHI34,SHI42,SHI54,SHI62,SHI70,SHI78,SHI86,SHI94,SHI102,SHI110),"")</f>
        <v/>
      </c>
      <c r="SHJ118" s="100" t="str">
        <f t="shared" si="481"/>
        <v/>
      </c>
      <c r="SHK118" s="100" t="str">
        <f t="shared" si="481"/>
        <v/>
      </c>
      <c r="SHL118" s="100" t="str">
        <f t="shared" si="481"/>
        <v/>
      </c>
      <c r="SHM118" s="100" t="str">
        <f t="shared" si="481"/>
        <v/>
      </c>
      <c r="SHN118" s="100" t="str">
        <f t="shared" si="481"/>
        <v/>
      </c>
      <c r="SHO118" s="100" t="str">
        <f t="shared" si="481"/>
        <v/>
      </c>
      <c r="SHP118" s="100" t="str">
        <f t="shared" si="481"/>
        <v/>
      </c>
      <c r="SHQ118" s="100" t="str">
        <f t="shared" si="481"/>
        <v/>
      </c>
      <c r="SHR118" s="100" t="str">
        <f t="shared" si="481"/>
        <v/>
      </c>
      <c r="SHS118" s="100" t="str">
        <f t="shared" si="481"/>
        <v/>
      </c>
      <c r="SHT118" s="100" t="str">
        <f t="shared" si="481"/>
        <v/>
      </c>
      <c r="SHU118" s="100" t="str">
        <f t="shared" si="481"/>
        <v/>
      </c>
      <c r="SHV118" s="100" t="str">
        <f t="shared" si="481"/>
        <v/>
      </c>
      <c r="SHW118" s="100" t="str">
        <f t="shared" si="481"/>
        <v/>
      </c>
      <c r="SHX118" s="100" t="str">
        <f t="shared" si="481"/>
        <v/>
      </c>
      <c r="SHY118" s="100" t="str">
        <f t="shared" si="481"/>
        <v/>
      </c>
      <c r="SHZ118" s="100" t="str">
        <f t="shared" si="481"/>
        <v/>
      </c>
      <c r="SIA118" s="100" t="str">
        <f t="shared" si="481"/>
        <v/>
      </c>
      <c r="SIB118" s="100" t="str">
        <f t="shared" si="481"/>
        <v/>
      </c>
      <c r="SIC118" s="100" t="str">
        <f t="shared" si="481"/>
        <v/>
      </c>
      <c r="SID118" s="100" t="str">
        <f t="shared" si="481"/>
        <v/>
      </c>
      <c r="SIE118" s="100" t="str">
        <f t="shared" si="481"/>
        <v/>
      </c>
      <c r="SIF118" s="100" t="str">
        <f t="shared" si="481"/>
        <v/>
      </c>
      <c r="SIG118" s="100" t="str">
        <f t="shared" si="481"/>
        <v/>
      </c>
      <c r="SIH118" s="100" t="str">
        <f t="shared" si="481"/>
        <v/>
      </c>
      <c r="SII118" s="100" t="str">
        <f t="shared" si="481"/>
        <v/>
      </c>
      <c r="SIJ118" s="100" t="str">
        <f t="shared" si="481"/>
        <v/>
      </c>
      <c r="SIK118" s="100" t="str">
        <f t="shared" si="481"/>
        <v/>
      </c>
      <c r="SIL118" s="100" t="str">
        <f t="shared" si="481"/>
        <v/>
      </c>
      <c r="SIM118" s="100" t="str">
        <f t="shared" si="481"/>
        <v/>
      </c>
      <c r="SIN118" s="100" t="str">
        <f t="shared" si="481"/>
        <v/>
      </c>
      <c r="SIO118" s="100" t="str">
        <f t="shared" si="481"/>
        <v/>
      </c>
      <c r="SIP118" s="100" t="str">
        <f t="shared" si="481"/>
        <v/>
      </c>
      <c r="SIQ118" s="100" t="str">
        <f t="shared" si="481"/>
        <v/>
      </c>
      <c r="SIR118" s="100" t="str">
        <f t="shared" si="481"/>
        <v/>
      </c>
      <c r="SIS118" s="100" t="str">
        <f t="shared" si="481"/>
        <v/>
      </c>
      <c r="SIT118" s="100" t="str">
        <f t="shared" si="481"/>
        <v/>
      </c>
      <c r="SIU118" s="100" t="str">
        <f t="shared" si="481"/>
        <v/>
      </c>
      <c r="SIV118" s="100" t="str">
        <f t="shared" si="481"/>
        <v/>
      </c>
      <c r="SIW118" s="100" t="str">
        <f t="shared" si="481"/>
        <v/>
      </c>
      <c r="SIX118" s="100" t="str">
        <f t="shared" si="481"/>
        <v/>
      </c>
      <c r="SIY118" s="100" t="str">
        <f t="shared" si="481"/>
        <v/>
      </c>
      <c r="SIZ118" s="100" t="str">
        <f t="shared" si="481"/>
        <v/>
      </c>
      <c r="SJA118" s="100" t="str">
        <f t="shared" si="481"/>
        <v/>
      </c>
      <c r="SJB118" s="100" t="str">
        <f t="shared" si="481"/>
        <v/>
      </c>
      <c r="SJC118" s="100" t="str">
        <f t="shared" si="481"/>
        <v/>
      </c>
      <c r="SJD118" s="100" t="str">
        <f t="shared" si="481"/>
        <v/>
      </c>
      <c r="SJE118" s="100" t="str">
        <f t="shared" si="481"/>
        <v/>
      </c>
      <c r="SJF118" s="100" t="str">
        <f t="shared" si="481"/>
        <v/>
      </c>
      <c r="SJG118" s="100" t="str">
        <f t="shared" si="481"/>
        <v/>
      </c>
      <c r="SJH118" s="100" t="str">
        <f t="shared" si="481"/>
        <v/>
      </c>
      <c r="SJI118" s="100" t="str">
        <f t="shared" si="481"/>
        <v/>
      </c>
      <c r="SJJ118" s="100" t="str">
        <f t="shared" si="481"/>
        <v/>
      </c>
      <c r="SJK118" s="100" t="str">
        <f t="shared" si="481"/>
        <v/>
      </c>
      <c r="SJL118" s="100" t="str">
        <f t="shared" si="481"/>
        <v/>
      </c>
      <c r="SJM118" s="100" t="str">
        <f t="shared" si="481"/>
        <v/>
      </c>
      <c r="SJN118" s="100" t="str">
        <f t="shared" si="481"/>
        <v/>
      </c>
      <c r="SJO118" s="100" t="str">
        <f t="shared" si="481"/>
        <v/>
      </c>
      <c r="SJP118" s="100" t="str">
        <f t="shared" si="481"/>
        <v/>
      </c>
      <c r="SJQ118" s="100" t="str">
        <f t="shared" si="481"/>
        <v/>
      </c>
      <c r="SJR118" s="100" t="str">
        <f t="shared" si="481"/>
        <v/>
      </c>
      <c r="SJS118" s="100" t="str">
        <f t="shared" si="481"/>
        <v/>
      </c>
      <c r="SJT118" s="100" t="str">
        <f t="shared" si="481"/>
        <v/>
      </c>
      <c r="SJU118" s="100" t="str">
        <f t="shared" ref="SJU118:SMF118" si="482">IFERROR(AVERAGE(SJU6,SJU16,SJU25,SJU34,SJU42,SJU54,SJU62,SJU70,SJU78,SJU86,SJU94,SJU102,SJU110),"")</f>
        <v/>
      </c>
      <c r="SJV118" s="100" t="str">
        <f t="shared" si="482"/>
        <v/>
      </c>
      <c r="SJW118" s="100" t="str">
        <f t="shared" si="482"/>
        <v/>
      </c>
      <c r="SJX118" s="100" t="str">
        <f t="shared" si="482"/>
        <v/>
      </c>
      <c r="SJY118" s="100" t="str">
        <f t="shared" si="482"/>
        <v/>
      </c>
      <c r="SJZ118" s="100" t="str">
        <f t="shared" si="482"/>
        <v/>
      </c>
      <c r="SKA118" s="100" t="str">
        <f t="shared" si="482"/>
        <v/>
      </c>
      <c r="SKB118" s="100" t="str">
        <f t="shared" si="482"/>
        <v/>
      </c>
      <c r="SKC118" s="100" t="str">
        <f t="shared" si="482"/>
        <v/>
      </c>
      <c r="SKD118" s="100" t="str">
        <f t="shared" si="482"/>
        <v/>
      </c>
      <c r="SKE118" s="100" t="str">
        <f t="shared" si="482"/>
        <v/>
      </c>
      <c r="SKF118" s="100" t="str">
        <f t="shared" si="482"/>
        <v/>
      </c>
      <c r="SKG118" s="100" t="str">
        <f t="shared" si="482"/>
        <v/>
      </c>
      <c r="SKH118" s="100" t="str">
        <f t="shared" si="482"/>
        <v/>
      </c>
      <c r="SKI118" s="100" t="str">
        <f t="shared" si="482"/>
        <v/>
      </c>
      <c r="SKJ118" s="100" t="str">
        <f t="shared" si="482"/>
        <v/>
      </c>
      <c r="SKK118" s="100" t="str">
        <f t="shared" si="482"/>
        <v/>
      </c>
      <c r="SKL118" s="100" t="str">
        <f t="shared" si="482"/>
        <v/>
      </c>
      <c r="SKM118" s="100" t="str">
        <f t="shared" si="482"/>
        <v/>
      </c>
      <c r="SKN118" s="100" t="str">
        <f t="shared" si="482"/>
        <v/>
      </c>
      <c r="SKO118" s="100" t="str">
        <f t="shared" si="482"/>
        <v/>
      </c>
      <c r="SKP118" s="100" t="str">
        <f t="shared" si="482"/>
        <v/>
      </c>
      <c r="SKQ118" s="100" t="str">
        <f t="shared" si="482"/>
        <v/>
      </c>
      <c r="SKR118" s="100" t="str">
        <f t="shared" si="482"/>
        <v/>
      </c>
      <c r="SKS118" s="100" t="str">
        <f t="shared" si="482"/>
        <v/>
      </c>
      <c r="SKT118" s="100" t="str">
        <f t="shared" si="482"/>
        <v/>
      </c>
      <c r="SKU118" s="100" t="str">
        <f t="shared" si="482"/>
        <v/>
      </c>
      <c r="SKV118" s="100" t="str">
        <f t="shared" si="482"/>
        <v/>
      </c>
      <c r="SKW118" s="100" t="str">
        <f t="shared" si="482"/>
        <v/>
      </c>
      <c r="SKX118" s="100" t="str">
        <f t="shared" si="482"/>
        <v/>
      </c>
      <c r="SKY118" s="100" t="str">
        <f t="shared" si="482"/>
        <v/>
      </c>
      <c r="SKZ118" s="100" t="str">
        <f t="shared" si="482"/>
        <v/>
      </c>
      <c r="SLA118" s="100" t="str">
        <f t="shared" si="482"/>
        <v/>
      </c>
      <c r="SLB118" s="100" t="str">
        <f t="shared" si="482"/>
        <v/>
      </c>
      <c r="SLC118" s="100" t="str">
        <f t="shared" si="482"/>
        <v/>
      </c>
      <c r="SLD118" s="100" t="str">
        <f t="shared" si="482"/>
        <v/>
      </c>
      <c r="SLE118" s="100" t="str">
        <f t="shared" si="482"/>
        <v/>
      </c>
      <c r="SLF118" s="100" t="str">
        <f t="shared" si="482"/>
        <v/>
      </c>
      <c r="SLG118" s="100" t="str">
        <f t="shared" si="482"/>
        <v/>
      </c>
      <c r="SLH118" s="100" t="str">
        <f t="shared" si="482"/>
        <v/>
      </c>
      <c r="SLI118" s="100" t="str">
        <f t="shared" si="482"/>
        <v/>
      </c>
      <c r="SLJ118" s="100" t="str">
        <f t="shared" si="482"/>
        <v/>
      </c>
      <c r="SLK118" s="100" t="str">
        <f t="shared" si="482"/>
        <v/>
      </c>
      <c r="SLL118" s="100" t="str">
        <f t="shared" si="482"/>
        <v/>
      </c>
      <c r="SLM118" s="100" t="str">
        <f t="shared" si="482"/>
        <v/>
      </c>
      <c r="SLN118" s="100" t="str">
        <f t="shared" si="482"/>
        <v/>
      </c>
      <c r="SLO118" s="100" t="str">
        <f t="shared" si="482"/>
        <v/>
      </c>
      <c r="SLP118" s="100" t="str">
        <f t="shared" si="482"/>
        <v/>
      </c>
      <c r="SLQ118" s="100" t="str">
        <f t="shared" si="482"/>
        <v/>
      </c>
      <c r="SLR118" s="100" t="str">
        <f t="shared" si="482"/>
        <v/>
      </c>
      <c r="SLS118" s="100" t="str">
        <f t="shared" si="482"/>
        <v/>
      </c>
      <c r="SLT118" s="100" t="str">
        <f t="shared" si="482"/>
        <v/>
      </c>
      <c r="SLU118" s="100" t="str">
        <f t="shared" si="482"/>
        <v/>
      </c>
      <c r="SLV118" s="100" t="str">
        <f t="shared" si="482"/>
        <v/>
      </c>
      <c r="SLW118" s="100" t="str">
        <f t="shared" si="482"/>
        <v/>
      </c>
      <c r="SLX118" s="100" t="str">
        <f t="shared" si="482"/>
        <v/>
      </c>
      <c r="SLY118" s="100" t="str">
        <f t="shared" si="482"/>
        <v/>
      </c>
      <c r="SLZ118" s="100" t="str">
        <f t="shared" si="482"/>
        <v/>
      </c>
      <c r="SMA118" s="100" t="str">
        <f t="shared" si="482"/>
        <v/>
      </c>
      <c r="SMB118" s="100" t="str">
        <f t="shared" si="482"/>
        <v/>
      </c>
      <c r="SMC118" s="100" t="str">
        <f t="shared" si="482"/>
        <v/>
      </c>
      <c r="SMD118" s="100" t="str">
        <f t="shared" si="482"/>
        <v/>
      </c>
      <c r="SME118" s="100" t="str">
        <f t="shared" si="482"/>
        <v/>
      </c>
      <c r="SMF118" s="100" t="str">
        <f t="shared" si="482"/>
        <v/>
      </c>
      <c r="SMG118" s="100" t="str">
        <f t="shared" ref="SMG118:SOR118" si="483">IFERROR(AVERAGE(SMG6,SMG16,SMG25,SMG34,SMG42,SMG54,SMG62,SMG70,SMG78,SMG86,SMG94,SMG102,SMG110),"")</f>
        <v/>
      </c>
      <c r="SMH118" s="100" t="str">
        <f t="shared" si="483"/>
        <v/>
      </c>
      <c r="SMI118" s="100" t="str">
        <f t="shared" si="483"/>
        <v/>
      </c>
      <c r="SMJ118" s="100" t="str">
        <f t="shared" si="483"/>
        <v/>
      </c>
      <c r="SMK118" s="100" t="str">
        <f t="shared" si="483"/>
        <v/>
      </c>
      <c r="SML118" s="100" t="str">
        <f t="shared" si="483"/>
        <v/>
      </c>
      <c r="SMM118" s="100" t="str">
        <f t="shared" si="483"/>
        <v/>
      </c>
      <c r="SMN118" s="100" t="str">
        <f t="shared" si="483"/>
        <v/>
      </c>
      <c r="SMO118" s="100" t="str">
        <f t="shared" si="483"/>
        <v/>
      </c>
      <c r="SMP118" s="100" t="str">
        <f t="shared" si="483"/>
        <v/>
      </c>
      <c r="SMQ118" s="100" t="str">
        <f t="shared" si="483"/>
        <v/>
      </c>
      <c r="SMR118" s="100" t="str">
        <f t="shared" si="483"/>
        <v/>
      </c>
      <c r="SMS118" s="100" t="str">
        <f t="shared" si="483"/>
        <v/>
      </c>
      <c r="SMT118" s="100" t="str">
        <f t="shared" si="483"/>
        <v/>
      </c>
      <c r="SMU118" s="100" t="str">
        <f t="shared" si="483"/>
        <v/>
      </c>
      <c r="SMV118" s="100" t="str">
        <f t="shared" si="483"/>
        <v/>
      </c>
      <c r="SMW118" s="100" t="str">
        <f t="shared" si="483"/>
        <v/>
      </c>
      <c r="SMX118" s="100" t="str">
        <f t="shared" si="483"/>
        <v/>
      </c>
      <c r="SMY118" s="100" t="str">
        <f t="shared" si="483"/>
        <v/>
      </c>
      <c r="SMZ118" s="100" t="str">
        <f t="shared" si="483"/>
        <v/>
      </c>
      <c r="SNA118" s="100" t="str">
        <f t="shared" si="483"/>
        <v/>
      </c>
      <c r="SNB118" s="100" t="str">
        <f t="shared" si="483"/>
        <v/>
      </c>
      <c r="SNC118" s="100" t="str">
        <f t="shared" si="483"/>
        <v/>
      </c>
      <c r="SND118" s="100" t="str">
        <f t="shared" si="483"/>
        <v/>
      </c>
      <c r="SNE118" s="100" t="str">
        <f t="shared" si="483"/>
        <v/>
      </c>
      <c r="SNF118" s="100" t="str">
        <f t="shared" si="483"/>
        <v/>
      </c>
      <c r="SNG118" s="100" t="str">
        <f t="shared" si="483"/>
        <v/>
      </c>
      <c r="SNH118" s="100" t="str">
        <f t="shared" si="483"/>
        <v/>
      </c>
      <c r="SNI118" s="100" t="str">
        <f t="shared" si="483"/>
        <v/>
      </c>
      <c r="SNJ118" s="100" t="str">
        <f t="shared" si="483"/>
        <v/>
      </c>
      <c r="SNK118" s="100" t="str">
        <f t="shared" si="483"/>
        <v/>
      </c>
      <c r="SNL118" s="100" t="str">
        <f t="shared" si="483"/>
        <v/>
      </c>
      <c r="SNM118" s="100" t="str">
        <f t="shared" si="483"/>
        <v/>
      </c>
      <c r="SNN118" s="100" t="str">
        <f t="shared" si="483"/>
        <v/>
      </c>
      <c r="SNO118" s="100" t="str">
        <f t="shared" si="483"/>
        <v/>
      </c>
      <c r="SNP118" s="100" t="str">
        <f t="shared" si="483"/>
        <v/>
      </c>
      <c r="SNQ118" s="100" t="str">
        <f t="shared" si="483"/>
        <v/>
      </c>
      <c r="SNR118" s="100" t="str">
        <f t="shared" si="483"/>
        <v/>
      </c>
      <c r="SNS118" s="100" t="str">
        <f t="shared" si="483"/>
        <v/>
      </c>
      <c r="SNT118" s="100" t="str">
        <f t="shared" si="483"/>
        <v/>
      </c>
      <c r="SNU118" s="100" t="str">
        <f t="shared" si="483"/>
        <v/>
      </c>
      <c r="SNV118" s="100" t="str">
        <f t="shared" si="483"/>
        <v/>
      </c>
      <c r="SNW118" s="100" t="str">
        <f t="shared" si="483"/>
        <v/>
      </c>
      <c r="SNX118" s="100" t="str">
        <f t="shared" si="483"/>
        <v/>
      </c>
      <c r="SNY118" s="100" t="str">
        <f t="shared" si="483"/>
        <v/>
      </c>
      <c r="SNZ118" s="100" t="str">
        <f t="shared" si="483"/>
        <v/>
      </c>
      <c r="SOA118" s="100" t="str">
        <f t="shared" si="483"/>
        <v/>
      </c>
      <c r="SOB118" s="100" t="str">
        <f t="shared" si="483"/>
        <v/>
      </c>
      <c r="SOC118" s="100" t="str">
        <f t="shared" si="483"/>
        <v/>
      </c>
      <c r="SOD118" s="100" t="str">
        <f t="shared" si="483"/>
        <v/>
      </c>
      <c r="SOE118" s="100" t="str">
        <f t="shared" si="483"/>
        <v/>
      </c>
      <c r="SOF118" s="100" t="str">
        <f t="shared" si="483"/>
        <v/>
      </c>
      <c r="SOG118" s="100" t="str">
        <f t="shared" si="483"/>
        <v/>
      </c>
      <c r="SOH118" s="100" t="str">
        <f t="shared" si="483"/>
        <v/>
      </c>
      <c r="SOI118" s="100" t="str">
        <f t="shared" si="483"/>
        <v/>
      </c>
      <c r="SOJ118" s="100" t="str">
        <f t="shared" si="483"/>
        <v/>
      </c>
      <c r="SOK118" s="100" t="str">
        <f t="shared" si="483"/>
        <v/>
      </c>
      <c r="SOL118" s="100" t="str">
        <f t="shared" si="483"/>
        <v/>
      </c>
      <c r="SOM118" s="100" t="str">
        <f t="shared" si="483"/>
        <v/>
      </c>
      <c r="SON118" s="100" t="str">
        <f t="shared" si="483"/>
        <v/>
      </c>
      <c r="SOO118" s="100" t="str">
        <f t="shared" si="483"/>
        <v/>
      </c>
      <c r="SOP118" s="100" t="str">
        <f t="shared" si="483"/>
        <v/>
      </c>
      <c r="SOQ118" s="100" t="str">
        <f t="shared" si="483"/>
        <v/>
      </c>
      <c r="SOR118" s="100" t="str">
        <f t="shared" si="483"/>
        <v/>
      </c>
      <c r="SOS118" s="100" t="str">
        <f t="shared" ref="SOS118:SRD118" si="484">IFERROR(AVERAGE(SOS6,SOS16,SOS25,SOS34,SOS42,SOS54,SOS62,SOS70,SOS78,SOS86,SOS94,SOS102,SOS110),"")</f>
        <v/>
      </c>
      <c r="SOT118" s="100" t="str">
        <f t="shared" si="484"/>
        <v/>
      </c>
      <c r="SOU118" s="100" t="str">
        <f t="shared" si="484"/>
        <v/>
      </c>
      <c r="SOV118" s="100" t="str">
        <f t="shared" si="484"/>
        <v/>
      </c>
      <c r="SOW118" s="100" t="str">
        <f t="shared" si="484"/>
        <v/>
      </c>
      <c r="SOX118" s="100" t="str">
        <f t="shared" si="484"/>
        <v/>
      </c>
      <c r="SOY118" s="100" t="str">
        <f t="shared" si="484"/>
        <v/>
      </c>
      <c r="SOZ118" s="100" t="str">
        <f t="shared" si="484"/>
        <v/>
      </c>
      <c r="SPA118" s="100" t="str">
        <f t="shared" si="484"/>
        <v/>
      </c>
      <c r="SPB118" s="100" t="str">
        <f t="shared" si="484"/>
        <v/>
      </c>
      <c r="SPC118" s="100" t="str">
        <f t="shared" si="484"/>
        <v/>
      </c>
      <c r="SPD118" s="100" t="str">
        <f t="shared" si="484"/>
        <v/>
      </c>
      <c r="SPE118" s="100" t="str">
        <f t="shared" si="484"/>
        <v/>
      </c>
      <c r="SPF118" s="100" t="str">
        <f t="shared" si="484"/>
        <v/>
      </c>
      <c r="SPG118" s="100" t="str">
        <f t="shared" si="484"/>
        <v/>
      </c>
      <c r="SPH118" s="100" t="str">
        <f t="shared" si="484"/>
        <v/>
      </c>
      <c r="SPI118" s="100" t="str">
        <f t="shared" si="484"/>
        <v/>
      </c>
      <c r="SPJ118" s="100" t="str">
        <f t="shared" si="484"/>
        <v/>
      </c>
      <c r="SPK118" s="100" t="str">
        <f t="shared" si="484"/>
        <v/>
      </c>
      <c r="SPL118" s="100" t="str">
        <f t="shared" si="484"/>
        <v/>
      </c>
      <c r="SPM118" s="100" t="str">
        <f t="shared" si="484"/>
        <v/>
      </c>
      <c r="SPN118" s="100" t="str">
        <f t="shared" si="484"/>
        <v/>
      </c>
      <c r="SPO118" s="100" t="str">
        <f t="shared" si="484"/>
        <v/>
      </c>
      <c r="SPP118" s="100" t="str">
        <f t="shared" si="484"/>
        <v/>
      </c>
      <c r="SPQ118" s="100" t="str">
        <f t="shared" si="484"/>
        <v/>
      </c>
      <c r="SPR118" s="100" t="str">
        <f t="shared" si="484"/>
        <v/>
      </c>
      <c r="SPS118" s="100" t="str">
        <f t="shared" si="484"/>
        <v/>
      </c>
      <c r="SPT118" s="100" t="str">
        <f t="shared" si="484"/>
        <v/>
      </c>
      <c r="SPU118" s="100" t="str">
        <f t="shared" si="484"/>
        <v/>
      </c>
      <c r="SPV118" s="100" t="str">
        <f t="shared" si="484"/>
        <v/>
      </c>
      <c r="SPW118" s="100" t="str">
        <f t="shared" si="484"/>
        <v/>
      </c>
      <c r="SPX118" s="100" t="str">
        <f t="shared" si="484"/>
        <v/>
      </c>
      <c r="SPY118" s="100" t="str">
        <f t="shared" si="484"/>
        <v/>
      </c>
      <c r="SPZ118" s="100" t="str">
        <f t="shared" si="484"/>
        <v/>
      </c>
      <c r="SQA118" s="100" t="str">
        <f t="shared" si="484"/>
        <v/>
      </c>
      <c r="SQB118" s="100" t="str">
        <f t="shared" si="484"/>
        <v/>
      </c>
      <c r="SQC118" s="100" t="str">
        <f t="shared" si="484"/>
        <v/>
      </c>
      <c r="SQD118" s="100" t="str">
        <f t="shared" si="484"/>
        <v/>
      </c>
      <c r="SQE118" s="100" t="str">
        <f t="shared" si="484"/>
        <v/>
      </c>
      <c r="SQF118" s="100" t="str">
        <f t="shared" si="484"/>
        <v/>
      </c>
      <c r="SQG118" s="100" t="str">
        <f t="shared" si="484"/>
        <v/>
      </c>
      <c r="SQH118" s="100" t="str">
        <f t="shared" si="484"/>
        <v/>
      </c>
      <c r="SQI118" s="100" t="str">
        <f t="shared" si="484"/>
        <v/>
      </c>
      <c r="SQJ118" s="100" t="str">
        <f t="shared" si="484"/>
        <v/>
      </c>
      <c r="SQK118" s="100" t="str">
        <f t="shared" si="484"/>
        <v/>
      </c>
      <c r="SQL118" s="100" t="str">
        <f t="shared" si="484"/>
        <v/>
      </c>
      <c r="SQM118" s="100" t="str">
        <f t="shared" si="484"/>
        <v/>
      </c>
      <c r="SQN118" s="100" t="str">
        <f t="shared" si="484"/>
        <v/>
      </c>
      <c r="SQO118" s="100" t="str">
        <f t="shared" si="484"/>
        <v/>
      </c>
      <c r="SQP118" s="100" t="str">
        <f t="shared" si="484"/>
        <v/>
      </c>
      <c r="SQQ118" s="100" t="str">
        <f t="shared" si="484"/>
        <v/>
      </c>
      <c r="SQR118" s="100" t="str">
        <f t="shared" si="484"/>
        <v/>
      </c>
      <c r="SQS118" s="100" t="str">
        <f t="shared" si="484"/>
        <v/>
      </c>
      <c r="SQT118" s="100" t="str">
        <f t="shared" si="484"/>
        <v/>
      </c>
      <c r="SQU118" s="100" t="str">
        <f t="shared" si="484"/>
        <v/>
      </c>
      <c r="SQV118" s="100" t="str">
        <f t="shared" si="484"/>
        <v/>
      </c>
      <c r="SQW118" s="100" t="str">
        <f t="shared" si="484"/>
        <v/>
      </c>
      <c r="SQX118" s="100" t="str">
        <f t="shared" si="484"/>
        <v/>
      </c>
      <c r="SQY118" s="100" t="str">
        <f t="shared" si="484"/>
        <v/>
      </c>
      <c r="SQZ118" s="100" t="str">
        <f t="shared" si="484"/>
        <v/>
      </c>
      <c r="SRA118" s="100" t="str">
        <f t="shared" si="484"/>
        <v/>
      </c>
      <c r="SRB118" s="100" t="str">
        <f t="shared" si="484"/>
        <v/>
      </c>
      <c r="SRC118" s="100" t="str">
        <f t="shared" si="484"/>
        <v/>
      </c>
      <c r="SRD118" s="100" t="str">
        <f t="shared" si="484"/>
        <v/>
      </c>
      <c r="SRE118" s="100" t="str">
        <f t="shared" ref="SRE118:STP118" si="485">IFERROR(AVERAGE(SRE6,SRE16,SRE25,SRE34,SRE42,SRE54,SRE62,SRE70,SRE78,SRE86,SRE94,SRE102,SRE110),"")</f>
        <v/>
      </c>
      <c r="SRF118" s="100" t="str">
        <f t="shared" si="485"/>
        <v/>
      </c>
      <c r="SRG118" s="100" t="str">
        <f t="shared" si="485"/>
        <v/>
      </c>
      <c r="SRH118" s="100" t="str">
        <f t="shared" si="485"/>
        <v/>
      </c>
      <c r="SRI118" s="100" t="str">
        <f t="shared" si="485"/>
        <v/>
      </c>
      <c r="SRJ118" s="100" t="str">
        <f t="shared" si="485"/>
        <v/>
      </c>
      <c r="SRK118" s="100" t="str">
        <f t="shared" si="485"/>
        <v/>
      </c>
      <c r="SRL118" s="100" t="str">
        <f t="shared" si="485"/>
        <v/>
      </c>
      <c r="SRM118" s="100" t="str">
        <f t="shared" si="485"/>
        <v/>
      </c>
      <c r="SRN118" s="100" t="str">
        <f t="shared" si="485"/>
        <v/>
      </c>
      <c r="SRO118" s="100" t="str">
        <f t="shared" si="485"/>
        <v/>
      </c>
      <c r="SRP118" s="100" t="str">
        <f t="shared" si="485"/>
        <v/>
      </c>
      <c r="SRQ118" s="100" t="str">
        <f t="shared" si="485"/>
        <v/>
      </c>
      <c r="SRR118" s="100" t="str">
        <f t="shared" si="485"/>
        <v/>
      </c>
      <c r="SRS118" s="100" t="str">
        <f t="shared" si="485"/>
        <v/>
      </c>
      <c r="SRT118" s="100" t="str">
        <f t="shared" si="485"/>
        <v/>
      </c>
      <c r="SRU118" s="100" t="str">
        <f t="shared" si="485"/>
        <v/>
      </c>
      <c r="SRV118" s="100" t="str">
        <f t="shared" si="485"/>
        <v/>
      </c>
      <c r="SRW118" s="100" t="str">
        <f t="shared" si="485"/>
        <v/>
      </c>
      <c r="SRX118" s="100" t="str">
        <f t="shared" si="485"/>
        <v/>
      </c>
      <c r="SRY118" s="100" t="str">
        <f t="shared" si="485"/>
        <v/>
      </c>
      <c r="SRZ118" s="100" t="str">
        <f t="shared" si="485"/>
        <v/>
      </c>
      <c r="SSA118" s="100" t="str">
        <f t="shared" si="485"/>
        <v/>
      </c>
      <c r="SSB118" s="100" t="str">
        <f t="shared" si="485"/>
        <v/>
      </c>
      <c r="SSC118" s="100" t="str">
        <f t="shared" si="485"/>
        <v/>
      </c>
      <c r="SSD118" s="100" t="str">
        <f t="shared" si="485"/>
        <v/>
      </c>
      <c r="SSE118" s="100" t="str">
        <f t="shared" si="485"/>
        <v/>
      </c>
      <c r="SSF118" s="100" t="str">
        <f t="shared" si="485"/>
        <v/>
      </c>
      <c r="SSG118" s="100" t="str">
        <f t="shared" si="485"/>
        <v/>
      </c>
      <c r="SSH118" s="100" t="str">
        <f t="shared" si="485"/>
        <v/>
      </c>
      <c r="SSI118" s="100" t="str">
        <f t="shared" si="485"/>
        <v/>
      </c>
      <c r="SSJ118" s="100" t="str">
        <f t="shared" si="485"/>
        <v/>
      </c>
      <c r="SSK118" s="100" t="str">
        <f t="shared" si="485"/>
        <v/>
      </c>
      <c r="SSL118" s="100" t="str">
        <f t="shared" si="485"/>
        <v/>
      </c>
      <c r="SSM118" s="100" t="str">
        <f t="shared" si="485"/>
        <v/>
      </c>
      <c r="SSN118" s="100" t="str">
        <f t="shared" si="485"/>
        <v/>
      </c>
      <c r="SSO118" s="100" t="str">
        <f t="shared" si="485"/>
        <v/>
      </c>
      <c r="SSP118" s="100" t="str">
        <f t="shared" si="485"/>
        <v/>
      </c>
      <c r="SSQ118" s="100" t="str">
        <f t="shared" si="485"/>
        <v/>
      </c>
      <c r="SSR118" s="100" t="str">
        <f t="shared" si="485"/>
        <v/>
      </c>
      <c r="SSS118" s="100" t="str">
        <f t="shared" si="485"/>
        <v/>
      </c>
      <c r="SST118" s="100" t="str">
        <f t="shared" si="485"/>
        <v/>
      </c>
      <c r="SSU118" s="100" t="str">
        <f t="shared" si="485"/>
        <v/>
      </c>
      <c r="SSV118" s="100" t="str">
        <f t="shared" si="485"/>
        <v/>
      </c>
      <c r="SSW118" s="100" t="str">
        <f t="shared" si="485"/>
        <v/>
      </c>
      <c r="SSX118" s="100" t="str">
        <f t="shared" si="485"/>
        <v/>
      </c>
      <c r="SSY118" s="100" t="str">
        <f t="shared" si="485"/>
        <v/>
      </c>
      <c r="SSZ118" s="100" t="str">
        <f t="shared" si="485"/>
        <v/>
      </c>
      <c r="STA118" s="100" t="str">
        <f t="shared" si="485"/>
        <v/>
      </c>
      <c r="STB118" s="100" t="str">
        <f t="shared" si="485"/>
        <v/>
      </c>
      <c r="STC118" s="100" t="str">
        <f t="shared" si="485"/>
        <v/>
      </c>
      <c r="STD118" s="100" t="str">
        <f t="shared" si="485"/>
        <v/>
      </c>
      <c r="STE118" s="100" t="str">
        <f t="shared" si="485"/>
        <v/>
      </c>
      <c r="STF118" s="100" t="str">
        <f t="shared" si="485"/>
        <v/>
      </c>
      <c r="STG118" s="100" t="str">
        <f t="shared" si="485"/>
        <v/>
      </c>
      <c r="STH118" s="100" t="str">
        <f t="shared" si="485"/>
        <v/>
      </c>
      <c r="STI118" s="100" t="str">
        <f t="shared" si="485"/>
        <v/>
      </c>
      <c r="STJ118" s="100" t="str">
        <f t="shared" si="485"/>
        <v/>
      </c>
      <c r="STK118" s="100" t="str">
        <f t="shared" si="485"/>
        <v/>
      </c>
      <c r="STL118" s="100" t="str">
        <f t="shared" si="485"/>
        <v/>
      </c>
      <c r="STM118" s="100" t="str">
        <f t="shared" si="485"/>
        <v/>
      </c>
      <c r="STN118" s="100" t="str">
        <f t="shared" si="485"/>
        <v/>
      </c>
      <c r="STO118" s="100" t="str">
        <f t="shared" si="485"/>
        <v/>
      </c>
      <c r="STP118" s="100" t="str">
        <f t="shared" si="485"/>
        <v/>
      </c>
      <c r="STQ118" s="100" t="str">
        <f t="shared" ref="STQ118:SWB118" si="486">IFERROR(AVERAGE(STQ6,STQ16,STQ25,STQ34,STQ42,STQ54,STQ62,STQ70,STQ78,STQ86,STQ94,STQ102,STQ110),"")</f>
        <v/>
      </c>
      <c r="STR118" s="100" t="str">
        <f t="shared" si="486"/>
        <v/>
      </c>
      <c r="STS118" s="100" t="str">
        <f t="shared" si="486"/>
        <v/>
      </c>
      <c r="STT118" s="100" t="str">
        <f t="shared" si="486"/>
        <v/>
      </c>
      <c r="STU118" s="100" t="str">
        <f t="shared" si="486"/>
        <v/>
      </c>
      <c r="STV118" s="100" t="str">
        <f t="shared" si="486"/>
        <v/>
      </c>
      <c r="STW118" s="100" t="str">
        <f t="shared" si="486"/>
        <v/>
      </c>
      <c r="STX118" s="100" t="str">
        <f t="shared" si="486"/>
        <v/>
      </c>
      <c r="STY118" s="100" t="str">
        <f t="shared" si="486"/>
        <v/>
      </c>
      <c r="STZ118" s="100" t="str">
        <f t="shared" si="486"/>
        <v/>
      </c>
      <c r="SUA118" s="100" t="str">
        <f t="shared" si="486"/>
        <v/>
      </c>
      <c r="SUB118" s="100" t="str">
        <f t="shared" si="486"/>
        <v/>
      </c>
      <c r="SUC118" s="100" t="str">
        <f t="shared" si="486"/>
        <v/>
      </c>
      <c r="SUD118" s="100" t="str">
        <f t="shared" si="486"/>
        <v/>
      </c>
      <c r="SUE118" s="100" t="str">
        <f t="shared" si="486"/>
        <v/>
      </c>
      <c r="SUF118" s="100" t="str">
        <f t="shared" si="486"/>
        <v/>
      </c>
      <c r="SUG118" s="100" t="str">
        <f t="shared" si="486"/>
        <v/>
      </c>
      <c r="SUH118" s="100" t="str">
        <f t="shared" si="486"/>
        <v/>
      </c>
      <c r="SUI118" s="100" t="str">
        <f t="shared" si="486"/>
        <v/>
      </c>
      <c r="SUJ118" s="100" t="str">
        <f t="shared" si="486"/>
        <v/>
      </c>
      <c r="SUK118" s="100" t="str">
        <f t="shared" si="486"/>
        <v/>
      </c>
      <c r="SUL118" s="100" t="str">
        <f t="shared" si="486"/>
        <v/>
      </c>
      <c r="SUM118" s="100" t="str">
        <f t="shared" si="486"/>
        <v/>
      </c>
      <c r="SUN118" s="100" t="str">
        <f t="shared" si="486"/>
        <v/>
      </c>
      <c r="SUO118" s="100" t="str">
        <f t="shared" si="486"/>
        <v/>
      </c>
      <c r="SUP118" s="100" t="str">
        <f t="shared" si="486"/>
        <v/>
      </c>
      <c r="SUQ118" s="100" t="str">
        <f t="shared" si="486"/>
        <v/>
      </c>
      <c r="SUR118" s="100" t="str">
        <f t="shared" si="486"/>
        <v/>
      </c>
      <c r="SUS118" s="100" t="str">
        <f t="shared" si="486"/>
        <v/>
      </c>
      <c r="SUT118" s="100" t="str">
        <f t="shared" si="486"/>
        <v/>
      </c>
      <c r="SUU118" s="100" t="str">
        <f t="shared" si="486"/>
        <v/>
      </c>
      <c r="SUV118" s="100" t="str">
        <f t="shared" si="486"/>
        <v/>
      </c>
      <c r="SUW118" s="100" t="str">
        <f t="shared" si="486"/>
        <v/>
      </c>
      <c r="SUX118" s="100" t="str">
        <f t="shared" si="486"/>
        <v/>
      </c>
      <c r="SUY118" s="100" t="str">
        <f t="shared" si="486"/>
        <v/>
      </c>
      <c r="SUZ118" s="100" t="str">
        <f t="shared" si="486"/>
        <v/>
      </c>
      <c r="SVA118" s="100" t="str">
        <f t="shared" si="486"/>
        <v/>
      </c>
      <c r="SVB118" s="100" t="str">
        <f t="shared" si="486"/>
        <v/>
      </c>
      <c r="SVC118" s="100" t="str">
        <f t="shared" si="486"/>
        <v/>
      </c>
      <c r="SVD118" s="100" t="str">
        <f t="shared" si="486"/>
        <v/>
      </c>
      <c r="SVE118" s="100" t="str">
        <f t="shared" si="486"/>
        <v/>
      </c>
      <c r="SVF118" s="100" t="str">
        <f t="shared" si="486"/>
        <v/>
      </c>
      <c r="SVG118" s="100" t="str">
        <f t="shared" si="486"/>
        <v/>
      </c>
      <c r="SVH118" s="100" t="str">
        <f t="shared" si="486"/>
        <v/>
      </c>
      <c r="SVI118" s="100" t="str">
        <f t="shared" si="486"/>
        <v/>
      </c>
      <c r="SVJ118" s="100" t="str">
        <f t="shared" si="486"/>
        <v/>
      </c>
      <c r="SVK118" s="100" t="str">
        <f t="shared" si="486"/>
        <v/>
      </c>
      <c r="SVL118" s="100" t="str">
        <f t="shared" si="486"/>
        <v/>
      </c>
      <c r="SVM118" s="100" t="str">
        <f t="shared" si="486"/>
        <v/>
      </c>
      <c r="SVN118" s="100" t="str">
        <f t="shared" si="486"/>
        <v/>
      </c>
      <c r="SVO118" s="100" t="str">
        <f t="shared" si="486"/>
        <v/>
      </c>
      <c r="SVP118" s="100" t="str">
        <f t="shared" si="486"/>
        <v/>
      </c>
      <c r="SVQ118" s="100" t="str">
        <f t="shared" si="486"/>
        <v/>
      </c>
      <c r="SVR118" s="100" t="str">
        <f t="shared" si="486"/>
        <v/>
      </c>
      <c r="SVS118" s="100" t="str">
        <f t="shared" si="486"/>
        <v/>
      </c>
      <c r="SVT118" s="100" t="str">
        <f t="shared" si="486"/>
        <v/>
      </c>
      <c r="SVU118" s="100" t="str">
        <f t="shared" si="486"/>
        <v/>
      </c>
      <c r="SVV118" s="100" t="str">
        <f t="shared" si="486"/>
        <v/>
      </c>
      <c r="SVW118" s="100" t="str">
        <f t="shared" si="486"/>
        <v/>
      </c>
      <c r="SVX118" s="100" t="str">
        <f t="shared" si="486"/>
        <v/>
      </c>
      <c r="SVY118" s="100" t="str">
        <f t="shared" si="486"/>
        <v/>
      </c>
      <c r="SVZ118" s="100" t="str">
        <f t="shared" si="486"/>
        <v/>
      </c>
      <c r="SWA118" s="100" t="str">
        <f t="shared" si="486"/>
        <v/>
      </c>
      <c r="SWB118" s="100" t="str">
        <f t="shared" si="486"/>
        <v/>
      </c>
      <c r="SWC118" s="100" t="str">
        <f t="shared" ref="SWC118:SYN118" si="487">IFERROR(AVERAGE(SWC6,SWC16,SWC25,SWC34,SWC42,SWC54,SWC62,SWC70,SWC78,SWC86,SWC94,SWC102,SWC110),"")</f>
        <v/>
      </c>
      <c r="SWD118" s="100" t="str">
        <f t="shared" si="487"/>
        <v/>
      </c>
      <c r="SWE118" s="100" t="str">
        <f t="shared" si="487"/>
        <v/>
      </c>
      <c r="SWF118" s="100" t="str">
        <f t="shared" si="487"/>
        <v/>
      </c>
      <c r="SWG118" s="100" t="str">
        <f t="shared" si="487"/>
        <v/>
      </c>
      <c r="SWH118" s="100" t="str">
        <f t="shared" si="487"/>
        <v/>
      </c>
      <c r="SWI118" s="100" t="str">
        <f t="shared" si="487"/>
        <v/>
      </c>
      <c r="SWJ118" s="100" t="str">
        <f t="shared" si="487"/>
        <v/>
      </c>
      <c r="SWK118" s="100" t="str">
        <f t="shared" si="487"/>
        <v/>
      </c>
      <c r="SWL118" s="100" t="str">
        <f t="shared" si="487"/>
        <v/>
      </c>
      <c r="SWM118" s="100" t="str">
        <f t="shared" si="487"/>
        <v/>
      </c>
      <c r="SWN118" s="100" t="str">
        <f t="shared" si="487"/>
        <v/>
      </c>
      <c r="SWO118" s="100" t="str">
        <f t="shared" si="487"/>
        <v/>
      </c>
      <c r="SWP118" s="100" t="str">
        <f t="shared" si="487"/>
        <v/>
      </c>
      <c r="SWQ118" s="100" t="str">
        <f t="shared" si="487"/>
        <v/>
      </c>
      <c r="SWR118" s="100" t="str">
        <f t="shared" si="487"/>
        <v/>
      </c>
      <c r="SWS118" s="100" t="str">
        <f t="shared" si="487"/>
        <v/>
      </c>
      <c r="SWT118" s="100" t="str">
        <f t="shared" si="487"/>
        <v/>
      </c>
      <c r="SWU118" s="100" t="str">
        <f t="shared" si="487"/>
        <v/>
      </c>
      <c r="SWV118" s="100" t="str">
        <f t="shared" si="487"/>
        <v/>
      </c>
      <c r="SWW118" s="100" t="str">
        <f t="shared" si="487"/>
        <v/>
      </c>
      <c r="SWX118" s="100" t="str">
        <f t="shared" si="487"/>
        <v/>
      </c>
      <c r="SWY118" s="100" t="str">
        <f t="shared" si="487"/>
        <v/>
      </c>
      <c r="SWZ118" s="100" t="str">
        <f t="shared" si="487"/>
        <v/>
      </c>
      <c r="SXA118" s="100" t="str">
        <f t="shared" si="487"/>
        <v/>
      </c>
      <c r="SXB118" s="100" t="str">
        <f t="shared" si="487"/>
        <v/>
      </c>
      <c r="SXC118" s="100" t="str">
        <f t="shared" si="487"/>
        <v/>
      </c>
      <c r="SXD118" s="100" t="str">
        <f t="shared" si="487"/>
        <v/>
      </c>
      <c r="SXE118" s="100" t="str">
        <f t="shared" si="487"/>
        <v/>
      </c>
      <c r="SXF118" s="100" t="str">
        <f t="shared" si="487"/>
        <v/>
      </c>
      <c r="SXG118" s="100" t="str">
        <f t="shared" si="487"/>
        <v/>
      </c>
      <c r="SXH118" s="100" t="str">
        <f t="shared" si="487"/>
        <v/>
      </c>
      <c r="SXI118" s="100" t="str">
        <f t="shared" si="487"/>
        <v/>
      </c>
      <c r="SXJ118" s="100" t="str">
        <f t="shared" si="487"/>
        <v/>
      </c>
      <c r="SXK118" s="100" t="str">
        <f t="shared" si="487"/>
        <v/>
      </c>
      <c r="SXL118" s="100" t="str">
        <f t="shared" si="487"/>
        <v/>
      </c>
      <c r="SXM118" s="100" t="str">
        <f t="shared" si="487"/>
        <v/>
      </c>
      <c r="SXN118" s="100" t="str">
        <f t="shared" si="487"/>
        <v/>
      </c>
      <c r="SXO118" s="100" t="str">
        <f t="shared" si="487"/>
        <v/>
      </c>
      <c r="SXP118" s="100" t="str">
        <f t="shared" si="487"/>
        <v/>
      </c>
      <c r="SXQ118" s="100" t="str">
        <f t="shared" si="487"/>
        <v/>
      </c>
      <c r="SXR118" s="100" t="str">
        <f t="shared" si="487"/>
        <v/>
      </c>
      <c r="SXS118" s="100" t="str">
        <f t="shared" si="487"/>
        <v/>
      </c>
      <c r="SXT118" s="100" t="str">
        <f t="shared" si="487"/>
        <v/>
      </c>
      <c r="SXU118" s="100" t="str">
        <f t="shared" si="487"/>
        <v/>
      </c>
      <c r="SXV118" s="100" t="str">
        <f t="shared" si="487"/>
        <v/>
      </c>
      <c r="SXW118" s="100" t="str">
        <f t="shared" si="487"/>
        <v/>
      </c>
      <c r="SXX118" s="100" t="str">
        <f t="shared" si="487"/>
        <v/>
      </c>
      <c r="SXY118" s="100" t="str">
        <f t="shared" si="487"/>
        <v/>
      </c>
      <c r="SXZ118" s="100" t="str">
        <f t="shared" si="487"/>
        <v/>
      </c>
      <c r="SYA118" s="100" t="str">
        <f t="shared" si="487"/>
        <v/>
      </c>
      <c r="SYB118" s="100" t="str">
        <f t="shared" si="487"/>
        <v/>
      </c>
      <c r="SYC118" s="100" t="str">
        <f t="shared" si="487"/>
        <v/>
      </c>
      <c r="SYD118" s="100" t="str">
        <f t="shared" si="487"/>
        <v/>
      </c>
      <c r="SYE118" s="100" t="str">
        <f t="shared" si="487"/>
        <v/>
      </c>
      <c r="SYF118" s="100" t="str">
        <f t="shared" si="487"/>
        <v/>
      </c>
      <c r="SYG118" s="100" t="str">
        <f t="shared" si="487"/>
        <v/>
      </c>
      <c r="SYH118" s="100" t="str">
        <f t="shared" si="487"/>
        <v/>
      </c>
      <c r="SYI118" s="100" t="str">
        <f t="shared" si="487"/>
        <v/>
      </c>
      <c r="SYJ118" s="100" t="str">
        <f t="shared" si="487"/>
        <v/>
      </c>
      <c r="SYK118" s="100" t="str">
        <f t="shared" si="487"/>
        <v/>
      </c>
      <c r="SYL118" s="100" t="str">
        <f t="shared" si="487"/>
        <v/>
      </c>
      <c r="SYM118" s="100" t="str">
        <f t="shared" si="487"/>
        <v/>
      </c>
      <c r="SYN118" s="100" t="str">
        <f t="shared" si="487"/>
        <v/>
      </c>
      <c r="SYO118" s="100" t="str">
        <f t="shared" ref="SYO118:TAZ118" si="488">IFERROR(AVERAGE(SYO6,SYO16,SYO25,SYO34,SYO42,SYO54,SYO62,SYO70,SYO78,SYO86,SYO94,SYO102,SYO110),"")</f>
        <v/>
      </c>
      <c r="SYP118" s="100" t="str">
        <f t="shared" si="488"/>
        <v/>
      </c>
      <c r="SYQ118" s="100" t="str">
        <f t="shared" si="488"/>
        <v/>
      </c>
      <c r="SYR118" s="100" t="str">
        <f t="shared" si="488"/>
        <v/>
      </c>
      <c r="SYS118" s="100" t="str">
        <f t="shared" si="488"/>
        <v/>
      </c>
      <c r="SYT118" s="100" t="str">
        <f t="shared" si="488"/>
        <v/>
      </c>
      <c r="SYU118" s="100" t="str">
        <f t="shared" si="488"/>
        <v/>
      </c>
      <c r="SYV118" s="100" t="str">
        <f t="shared" si="488"/>
        <v/>
      </c>
      <c r="SYW118" s="100" t="str">
        <f t="shared" si="488"/>
        <v/>
      </c>
      <c r="SYX118" s="100" t="str">
        <f t="shared" si="488"/>
        <v/>
      </c>
      <c r="SYY118" s="100" t="str">
        <f t="shared" si="488"/>
        <v/>
      </c>
      <c r="SYZ118" s="100" t="str">
        <f t="shared" si="488"/>
        <v/>
      </c>
      <c r="SZA118" s="100" t="str">
        <f t="shared" si="488"/>
        <v/>
      </c>
      <c r="SZB118" s="100" t="str">
        <f t="shared" si="488"/>
        <v/>
      </c>
      <c r="SZC118" s="100" t="str">
        <f t="shared" si="488"/>
        <v/>
      </c>
      <c r="SZD118" s="100" t="str">
        <f t="shared" si="488"/>
        <v/>
      </c>
      <c r="SZE118" s="100" t="str">
        <f t="shared" si="488"/>
        <v/>
      </c>
      <c r="SZF118" s="100" t="str">
        <f t="shared" si="488"/>
        <v/>
      </c>
      <c r="SZG118" s="100" t="str">
        <f t="shared" si="488"/>
        <v/>
      </c>
      <c r="SZH118" s="100" t="str">
        <f t="shared" si="488"/>
        <v/>
      </c>
      <c r="SZI118" s="100" t="str">
        <f t="shared" si="488"/>
        <v/>
      </c>
      <c r="SZJ118" s="100" t="str">
        <f t="shared" si="488"/>
        <v/>
      </c>
      <c r="SZK118" s="100" t="str">
        <f t="shared" si="488"/>
        <v/>
      </c>
      <c r="SZL118" s="100" t="str">
        <f t="shared" si="488"/>
        <v/>
      </c>
      <c r="SZM118" s="100" t="str">
        <f t="shared" si="488"/>
        <v/>
      </c>
      <c r="SZN118" s="100" t="str">
        <f t="shared" si="488"/>
        <v/>
      </c>
      <c r="SZO118" s="100" t="str">
        <f t="shared" si="488"/>
        <v/>
      </c>
      <c r="SZP118" s="100" t="str">
        <f t="shared" si="488"/>
        <v/>
      </c>
      <c r="SZQ118" s="100" t="str">
        <f t="shared" si="488"/>
        <v/>
      </c>
      <c r="SZR118" s="100" t="str">
        <f t="shared" si="488"/>
        <v/>
      </c>
      <c r="SZS118" s="100" t="str">
        <f t="shared" si="488"/>
        <v/>
      </c>
      <c r="SZT118" s="100" t="str">
        <f t="shared" si="488"/>
        <v/>
      </c>
      <c r="SZU118" s="100" t="str">
        <f t="shared" si="488"/>
        <v/>
      </c>
      <c r="SZV118" s="100" t="str">
        <f t="shared" si="488"/>
        <v/>
      </c>
      <c r="SZW118" s="100" t="str">
        <f t="shared" si="488"/>
        <v/>
      </c>
      <c r="SZX118" s="100" t="str">
        <f t="shared" si="488"/>
        <v/>
      </c>
      <c r="SZY118" s="100" t="str">
        <f t="shared" si="488"/>
        <v/>
      </c>
      <c r="SZZ118" s="100" t="str">
        <f t="shared" si="488"/>
        <v/>
      </c>
      <c r="TAA118" s="100" t="str">
        <f t="shared" si="488"/>
        <v/>
      </c>
      <c r="TAB118" s="100" t="str">
        <f t="shared" si="488"/>
        <v/>
      </c>
      <c r="TAC118" s="100" t="str">
        <f t="shared" si="488"/>
        <v/>
      </c>
      <c r="TAD118" s="100" t="str">
        <f t="shared" si="488"/>
        <v/>
      </c>
      <c r="TAE118" s="100" t="str">
        <f t="shared" si="488"/>
        <v/>
      </c>
      <c r="TAF118" s="100" t="str">
        <f t="shared" si="488"/>
        <v/>
      </c>
      <c r="TAG118" s="100" t="str">
        <f t="shared" si="488"/>
        <v/>
      </c>
      <c r="TAH118" s="100" t="str">
        <f t="shared" si="488"/>
        <v/>
      </c>
      <c r="TAI118" s="100" t="str">
        <f t="shared" si="488"/>
        <v/>
      </c>
      <c r="TAJ118" s="100" t="str">
        <f t="shared" si="488"/>
        <v/>
      </c>
      <c r="TAK118" s="100" t="str">
        <f t="shared" si="488"/>
        <v/>
      </c>
      <c r="TAL118" s="100" t="str">
        <f t="shared" si="488"/>
        <v/>
      </c>
      <c r="TAM118" s="100" t="str">
        <f t="shared" si="488"/>
        <v/>
      </c>
      <c r="TAN118" s="100" t="str">
        <f t="shared" si="488"/>
        <v/>
      </c>
      <c r="TAO118" s="100" t="str">
        <f t="shared" si="488"/>
        <v/>
      </c>
      <c r="TAP118" s="100" t="str">
        <f t="shared" si="488"/>
        <v/>
      </c>
      <c r="TAQ118" s="100" t="str">
        <f t="shared" si="488"/>
        <v/>
      </c>
      <c r="TAR118" s="100" t="str">
        <f t="shared" si="488"/>
        <v/>
      </c>
      <c r="TAS118" s="100" t="str">
        <f t="shared" si="488"/>
        <v/>
      </c>
      <c r="TAT118" s="100" t="str">
        <f t="shared" si="488"/>
        <v/>
      </c>
      <c r="TAU118" s="100" t="str">
        <f t="shared" si="488"/>
        <v/>
      </c>
      <c r="TAV118" s="100" t="str">
        <f t="shared" si="488"/>
        <v/>
      </c>
      <c r="TAW118" s="100" t="str">
        <f t="shared" si="488"/>
        <v/>
      </c>
      <c r="TAX118" s="100" t="str">
        <f t="shared" si="488"/>
        <v/>
      </c>
      <c r="TAY118" s="100" t="str">
        <f t="shared" si="488"/>
        <v/>
      </c>
      <c r="TAZ118" s="100" t="str">
        <f t="shared" si="488"/>
        <v/>
      </c>
      <c r="TBA118" s="100" t="str">
        <f t="shared" ref="TBA118:TDL118" si="489">IFERROR(AVERAGE(TBA6,TBA16,TBA25,TBA34,TBA42,TBA54,TBA62,TBA70,TBA78,TBA86,TBA94,TBA102,TBA110),"")</f>
        <v/>
      </c>
      <c r="TBB118" s="100" t="str">
        <f t="shared" si="489"/>
        <v/>
      </c>
      <c r="TBC118" s="100" t="str">
        <f t="shared" si="489"/>
        <v/>
      </c>
      <c r="TBD118" s="100" t="str">
        <f t="shared" si="489"/>
        <v/>
      </c>
      <c r="TBE118" s="100" t="str">
        <f t="shared" si="489"/>
        <v/>
      </c>
      <c r="TBF118" s="100" t="str">
        <f t="shared" si="489"/>
        <v/>
      </c>
      <c r="TBG118" s="100" t="str">
        <f t="shared" si="489"/>
        <v/>
      </c>
      <c r="TBH118" s="100" t="str">
        <f t="shared" si="489"/>
        <v/>
      </c>
      <c r="TBI118" s="100" t="str">
        <f t="shared" si="489"/>
        <v/>
      </c>
      <c r="TBJ118" s="100" t="str">
        <f t="shared" si="489"/>
        <v/>
      </c>
      <c r="TBK118" s="100" t="str">
        <f t="shared" si="489"/>
        <v/>
      </c>
      <c r="TBL118" s="100" t="str">
        <f t="shared" si="489"/>
        <v/>
      </c>
      <c r="TBM118" s="100" t="str">
        <f t="shared" si="489"/>
        <v/>
      </c>
      <c r="TBN118" s="100" t="str">
        <f t="shared" si="489"/>
        <v/>
      </c>
      <c r="TBO118" s="100" t="str">
        <f t="shared" si="489"/>
        <v/>
      </c>
      <c r="TBP118" s="100" t="str">
        <f t="shared" si="489"/>
        <v/>
      </c>
      <c r="TBQ118" s="100" t="str">
        <f t="shared" si="489"/>
        <v/>
      </c>
      <c r="TBR118" s="100" t="str">
        <f t="shared" si="489"/>
        <v/>
      </c>
      <c r="TBS118" s="100" t="str">
        <f t="shared" si="489"/>
        <v/>
      </c>
      <c r="TBT118" s="100" t="str">
        <f t="shared" si="489"/>
        <v/>
      </c>
      <c r="TBU118" s="100" t="str">
        <f t="shared" si="489"/>
        <v/>
      </c>
      <c r="TBV118" s="100" t="str">
        <f t="shared" si="489"/>
        <v/>
      </c>
      <c r="TBW118" s="100" t="str">
        <f t="shared" si="489"/>
        <v/>
      </c>
      <c r="TBX118" s="100" t="str">
        <f t="shared" si="489"/>
        <v/>
      </c>
      <c r="TBY118" s="100" t="str">
        <f t="shared" si="489"/>
        <v/>
      </c>
      <c r="TBZ118" s="100" t="str">
        <f t="shared" si="489"/>
        <v/>
      </c>
      <c r="TCA118" s="100" t="str">
        <f t="shared" si="489"/>
        <v/>
      </c>
      <c r="TCB118" s="100" t="str">
        <f t="shared" si="489"/>
        <v/>
      </c>
      <c r="TCC118" s="100" t="str">
        <f t="shared" si="489"/>
        <v/>
      </c>
      <c r="TCD118" s="100" t="str">
        <f t="shared" si="489"/>
        <v/>
      </c>
      <c r="TCE118" s="100" t="str">
        <f t="shared" si="489"/>
        <v/>
      </c>
      <c r="TCF118" s="100" t="str">
        <f t="shared" si="489"/>
        <v/>
      </c>
      <c r="TCG118" s="100" t="str">
        <f t="shared" si="489"/>
        <v/>
      </c>
      <c r="TCH118" s="100" t="str">
        <f t="shared" si="489"/>
        <v/>
      </c>
      <c r="TCI118" s="100" t="str">
        <f t="shared" si="489"/>
        <v/>
      </c>
      <c r="TCJ118" s="100" t="str">
        <f t="shared" si="489"/>
        <v/>
      </c>
      <c r="TCK118" s="100" t="str">
        <f t="shared" si="489"/>
        <v/>
      </c>
      <c r="TCL118" s="100" t="str">
        <f t="shared" si="489"/>
        <v/>
      </c>
      <c r="TCM118" s="100" t="str">
        <f t="shared" si="489"/>
        <v/>
      </c>
      <c r="TCN118" s="100" t="str">
        <f t="shared" si="489"/>
        <v/>
      </c>
      <c r="TCO118" s="100" t="str">
        <f t="shared" si="489"/>
        <v/>
      </c>
      <c r="TCP118" s="100" t="str">
        <f t="shared" si="489"/>
        <v/>
      </c>
      <c r="TCQ118" s="100" t="str">
        <f t="shared" si="489"/>
        <v/>
      </c>
      <c r="TCR118" s="100" t="str">
        <f t="shared" si="489"/>
        <v/>
      </c>
      <c r="TCS118" s="100" t="str">
        <f t="shared" si="489"/>
        <v/>
      </c>
      <c r="TCT118" s="100" t="str">
        <f t="shared" si="489"/>
        <v/>
      </c>
      <c r="TCU118" s="100" t="str">
        <f t="shared" si="489"/>
        <v/>
      </c>
      <c r="TCV118" s="100" t="str">
        <f t="shared" si="489"/>
        <v/>
      </c>
      <c r="TCW118" s="100" t="str">
        <f t="shared" si="489"/>
        <v/>
      </c>
      <c r="TCX118" s="100" t="str">
        <f t="shared" si="489"/>
        <v/>
      </c>
      <c r="TCY118" s="100" t="str">
        <f t="shared" si="489"/>
        <v/>
      </c>
      <c r="TCZ118" s="100" t="str">
        <f t="shared" si="489"/>
        <v/>
      </c>
      <c r="TDA118" s="100" t="str">
        <f t="shared" si="489"/>
        <v/>
      </c>
      <c r="TDB118" s="100" t="str">
        <f t="shared" si="489"/>
        <v/>
      </c>
      <c r="TDC118" s="100" t="str">
        <f t="shared" si="489"/>
        <v/>
      </c>
      <c r="TDD118" s="100" t="str">
        <f t="shared" si="489"/>
        <v/>
      </c>
      <c r="TDE118" s="100" t="str">
        <f t="shared" si="489"/>
        <v/>
      </c>
      <c r="TDF118" s="100" t="str">
        <f t="shared" si="489"/>
        <v/>
      </c>
      <c r="TDG118" s="100" t="str">
        <f t="shared" si="489"/>
        <v/>
      </c>
      <c r="TDH118" s="100" t="str">
        <f t="shared" si="489"/>
        <v/>
      </c>
      <c r="TDI118" s="100" t="str">
        <f t="shared" si="489"/>
        <v/>
      </c>
      <c r="TDJ118" s="100" t="str">
        <f t="shared" si="489"/>
        <v/>
      </c>
      <c r="TDK118" s="100" t="str">
        <f t="shared" si="489"/>
        <v/>
      </c>
      <c r="TDL118" s="100" t="str">
        <f t="shared" si="489"/>
        <v/>
      </c>
      <c r="TDM118" s="100" t="str">
        <f t="shared" ref="TDM118:TFX118" si="490">IFERROR(AVERAGE(TDM6,TDM16,TDM25,TDM34,TDM42,TDM54,TDM62,TDM70,TDM78,TDM86,TDM94,TDM102,TDM110),"")</f>
        <v/>
      </c>
      <c r="TDN118" s="100" t="str">
        <f t="shared" si="490"/>
        <v/>
      </c>
      <c r="TDO118" s="100" t="str">
        <f t="shared" si="490"/>
        <v/>
      </c>
      <c r="TDP118" s="100" t="str">
        <f t="shared" si="490"/>
        <v/>
      </c>
      <c r="TDQ118" s="100" t="str">
        <f t="shared" si="490"/>
        <v/>
      </c>
      <c r="TDR118" s="100" t="str">
        <f t="shared" si="490"/>
        <v/>
      </c>
      <c r="TDS118" s="100" t="str">
        <f t="shared" si="490"/>
        <v/>
      </c>
      <c r="TDT118" s="100" t="str">
        <f t="shared" si="490"/>
        <v/>
      </c>
      <c r="TDU118" s="100" t="str">
        <f t="shared" si="490"/>
        <v/>
      </c>
      <c r="TDV118" s="100" t="str">
        <f t="shared" si="490"/>
        <v/>
      </c>
      <c r="TDW118" s="100" t="str">
        <f t="shared" si="490"/>
        <v/>
      </c>
      <c r="TDX118" s="100" t="str">
        <f t="shared" si="490"/>
        <v/>
      </c>
      <c r="TDY118" s="100" t="str">
        <f t="shared" si="490"/>
        <v/>
      </c>
      <c r="TDZ118" s="100" t="str">
        <f t="shared" si="490"/>
        <v/>
      </c>
      <c r="TEA118" s="100" t="str">
        <f t="shared" si="490"/>
        <v/>
      </c>
      <c r="TEB118" s="100" t="str">
        <f t="shared" si="490"/>
        <v/>
      </c>
      <c r="TEC118" s="100" t="str">
        <f t="shared" si="490"/>
        <v/>
      </c>
      <c r="TED118" s="100" t="str">
        <f t="shared" si="490"/>
        <v/>
      </c>
      <c r="TEE118" s="100" t="str">
        <f t="shared" si="490"/>
        <v/>
      </c>
      <c r="TEF118" s="100" t="str">
        <f t="shared" si="490"/>
        <v/>
      </c>
      <c r="TEG118" s="100" t="str">
        <f t="shared" si="490"/>
        <v/>
      </c>
      <c r="TEH118" s="100" t="str">
        <f t="shared" si="490"/>
        <v/>
      </c>
      <c r="TEI118" s="100" t="str">
        <f t="shared" si="490"/>
        <v/>
      </c>
      <c r="TEJ118" s="100" t="str">
        <f t="shared" si="490"/>
        <v/>
      </c>
      <c r="TEK118" s="100" t="str">
        <f t="shared" si="490"/>
        <v/>
      </c>
      <c r="TEL118" s="100" t="str">
        <f t="shared" si="490"/>
        <v/>
      </c>
      <c r="TEM118" s="100" t="str">
        <f t="shared" si="490"/>
        <v/>
      </c>
      <c r="TEN118" s="100" t="str">
        <f t="shared" si="490"/>
        <v/>
      </c>
      <c r="TEO118" s="100" t="str">
        <f t="shared" si="490"/>
        <v/>
      </c>
      <c r="TEP118" s="100" t="str">
        <f t="shared" si="490"/>
        <v/>
      </c>
      <c r="TEQ118" s="100" t="str">
        <f t="shared" si="490"/>
        <v/>
      </c>
      <c r="TER118" s="100" t="str">
        <f t="shared" si="490"/>
        <v/>
      </c>
      <c r="TES118" s="100" t="str">
        <f t="shared" si="490"/>
        <v/>
      </c>
      <c r="TET118" s="100" t="str">
        <f t="shared" si="490"/>
        <v/>
      </c>
      <c r="TEU118" s="100" t="str">
        <f t="shared" si="490"/>
        <v/>
      </c>
      <c r="TEV118" s="100" t="str">
        <f t="shared" si="490"/>
        <v/>
      </c>
      <c r="TEW118" s="100" t="str">
        <f t="shared" si="490"/>
        <v/>
      </c>
      <c r="TEX118" s="100" t="str">
        <f t="shared" si="490"/>
        <v/>
      </c>
      <c r="TEY118" s="100" t="str">
        <f t="shared" si="490"/>
        <v/>
      </c>
      <c r="TEZ118" s="100" t="str">
        <f t="shared" si="490"/>
        <v/>
      </c>
      <c r="TFA118" s="100" t="str">
        <f t="shared" si="490"/>
        <v/>
      </c>
      <c r="TFB118" s="100" t="str">
        <f t="shared" si="490"/>
        <v/>
      </c>
      <c r="TFC118" s="100" t="str">
        <f t="shared" si="490"/>
        <v/>
      </c>
      <c r="TFD118" s="100" t="str">
        <f t="shared" si="490"/>
        <v/>
      </c>
      <c r="TFE118" s="100" t="str">
        <f t="shared" si="490"/>
        <v/>
      </c>
      <c r="TFF118" s="100" t="str">
        <f t="shared" si="490"/>
        <v/>
      </c>
      <c r="TFG118" s="100" t="str">
        <f t="shared" si="490"/>
        <v/>
      </c>
      <c r="TFH118" s="100" t="str">
        <f t="shared" si="490"/>
        <v/>
      </c>
      <c r="TFI118" s="100" t="str">
        <f t="shared" si="490"/>
        <v/>
      </c>
      <c r="TFJ118" s="100" t="str">
        <f t="shared" si="490"/>
        <v/>
      </c>
      <c r="TFK118" s="100" t="str">
        <f t="shared" si="490"/>
        <v/>
      </c>
      <c r="TFL118" s="100" t="str">
        <f t="shared" si="490"/>
        <v/>
      </c>
      <c r="TFM118" s="100" t="str">
        <f t="shared" si="490"/>
        <v/>
      </c>
      <c r="TFN118" s="100" t="str">
        <f t="shared" si="490"/>
        <v/>
      </c>
      <c r="TFO118" s="100" t="str">
        <f t="shared" si="490"/>
        <v/>
      </c>
      <c r="TFP118" s="100" t="str">
        <f t="shared" si="490"/>
        <v/>
      </c>
      <c r="TFQ118" s="100" t="str">
        <f t="shared" si="490"/>
        <v/>
      </c>
      <c r="TFR118" s="100" t="str">
        <f t="shared" si="490"/>
        <v/>
      </c>
      <c r="TFS118" s="100" t="str">
        <f t="shared" si="490"/>
        <v/>
      </c>
      <c r="TFT118" s="100" t="str">
        <f t="shared" si="490"/>
        <v/>
      </c>
      <c r="TFU118" s="100" t="str">
        <f t="shared" si="490"/>
        <v/>
      </c>
      <c r="TFV118" s="100" t="str">
        <f t="shared" si="490"/>
        <v/>
      </c>
      <c r="TFW118" s="100" t="str">
        <f t="shared" si="490"/>
        <v/>
      </c>
      <c r="TFX118" s="100" t="str">
        <f t="shared" si="490"/>
        <v/>
      </c>
      <c r="TFY118" s="100" t="str">
        <f t="shared" ref="TFY118:TIJ118" si="491">IFERROR(AVERAGE(TFY6,TFY16,TFY25,TFY34,TFY42,TFY54,TFY62,TFY70,TFY78,TFY86,TFY94,TFY102,TFY110),"")</f>
        <v/>
      </c>
      <c r="TFZ118" s="100" t="str">
        <f t="shared" si="491"/>
        <v/>
      </c>
      <c r="TGA118" s="100" t="str">
        <f t="shared" si="491"/>
        <v/>
      </c>
      <c r="TGB118" s="100" t="str">
        <f t="shared" si="491"/>
        <v/>
      </c>
      <c r="TGC118" s="100" t="str">
        <f t="shared" si="491"/>
        <v/>
      </c>
      <c r="TGD118" s="100" t="str">
        <f t="shared" si="491"/>
        <v/>
      </c>
      <c r="TGE118" s="100" t="str">
        <f t="shared" si="491"/>
        <v/>
      </c>
      <c r="TGF118" s="100" t="str">
        <f t="shared" si="491"/>
        <v/>
      </c>
      <c r="TGG118" s="100" t="str">
        <f t="shared" si="491"/>
        <v/>
      </c>
      <c r="TGH118" s="100" t="str">
        <f t="shared" si="491"/>
        <v/>
      </c>
      <c r="TGI118" s="100" t="str">
        <f t="shared" si="491"/>
        <v/>
      </c>
      <c r="TGJ118" s="100" t="str">
        <f t="shared" si="491"/>
        <v/>
      </c>
      <c r="TGK118" s="100" t="str">
        <f t="shared" si="491"/>
        <v/>
      </c>
      <c r="TGL118" s="100" t="str">
        <f t="shared" si="491"/>
        <v/>
      </c>
      <c r="TGM118" s="100" t="str">
        <f t="shared" si="491"/>
        <v/>
      </c>
      <c r="TGN118" s="100" t="str">
        <f t="shared" si="491"/>
        <v/>
      </c>
      <c r="TGO118" s="100" t="str">
        <f t="shared" si="491"/>
        <v/>
      </c>
      <c r="TGP118" s="100" t="str">
        <f t="shared" si="491"/>
        <v/>
      </c>
      <c r="TGQ118" s="100" t="str">
        <f t="shared" si="491"/>
        <v/>
      </c>
      <c r="TGR118" s="100" t="str">
        <f t="shared" si="491"/>
        <v/>
      </c>
      <c r="TGS118" s="100" t="str">
        <f t="shared" si="491"/>
        <v/>
      </c>
      <c r="TGT118" s="100" t="str">
        <f t="shared" si="491"/>
        <v/>
      </c>
      <c r="TGU118" s="100" t="str">
        <f t="shared" si="491"/>
        <v/>
      </c>
      <c r="TGV118" s="100" t="str">
        <f t="shared" si="491"/>
        <v/>
      </c>
      <c r="TGW118" s="100" t="str">
        <f t="shared" si="491"/>
        <v/>
      </c>
      <c r="TGX118" s="100" t="str">
        <f t="shared" si="491"/>
        <v/>
      </c>
      <c r="TGY118" s="100" t="str">
        <f t="shared" si="491"/>
        <v/>
      </c>
      <c r="TGZ118" s="100" t="str">
        <f t="shared" si="491"/>
        <v/>
      </c>
      <c r="THA118" s="100" t="str">
        <f t="shared" si="491"/>
        <v/>
      </c>
      <c r="THB118" s="100" t="str">
        <f t="shared" si="491"/>
        <v/>
      </c>
      <c r="THC118" s="100" t="str">
        <f t="shared" si="491"/>
        <v/>
      </c>
      <c r="THD118" s="100" t="str">
        <f t="shared" si="491"/>
        <v/>
      </c>
      <c r="THE118" s="100" t="str">
        <f t="shared" si="491"/>
        <v/>
      </c>
      <c r="THF118" s="100" t="str">
        <f t="shared" si="491"/>
        <v/>
      </c>
      <c r="THG118" s="100" t="str">
        <f t="shared" si="491"/>
        <v/>
      </c>
      <c r="THH118" s="100" t="str">
        <f t="shared" si="491"/>
        <v/>
      </c>
      <c r="THI118" s="100" t="str">
        <f t="shared" si="491"/>
        <v/>
      </c>
      <c r="THJ118" s="100" t="str">
        <f t="shared" si="491"/>
        <v/>
      </c>
      <c r="THK118" s="100" t="str">
        <f t="shared" si="491"/>
        <v/>
      </c>
      <c r="THL118" s="100" t="str">
        <f t="shared" si="491"/>
        <v/>
      </c>
      <c r="THM118" s="100" t="str">
        <f t="shared" si="491"/>
        <v/>
      </c>
      <c r="THN118" s="100" t="str">
        <f t="shared" si="491"/>
        <v/>
      </c>
      <c r="THO118" s="100" t="str">
        <f t="shared" si="491"/>
        <v/>
      </c>
      <c r="THP118" s="100" t="str">
        <f t="shared" si="491"/>
        <v/>
      </c>
      <c r="THQ118" s="100" t="str">
        <f t="shared" si="491"/>
        <v/>
      </c>
      <c r="THR118" s="100" t="str">
        <f t="shared" si="491"/>
        <v/>
      </c>
      <c r="THS118" s="100" t="str">
        <f t="shared" si="491"/>
        <v/>
      </c>
      <c r="THT118" s="100" t="str">
        <f t="shared" si="491"/>
        <v/>
      </c>
      <c r="THU118" s="100" t="str">
        <f t="shared" si="491"/>
        <v/>
      </c>
      <c r="THV118" s="100" t="str">
        <f t="shared" si="491"/>
        <v/>
      </c>
      <c r="THW118" s="100" t="str">
        <f t="shared" si="491"/>
        <v/>
      </c>
      <c r="THX118" s="100" t="str">
        <f t="shared" si="491"/>
        <v/>
      </c>
      <c r="THY118" s="100" t="str">
        <f t="shared" si="491"/>
        <v/>
      </c>
      <c r="THZ118" s="100" t="str">
        <f t="shared" si="491"/>
        <v/>
      </c>
      <c r="TIA118" s="100" t="str">
        <f t="shared" si="491"/>
        <v/>
      </c>
      <c r="TIB118" s="100" t="str">
        <f t="shared" si="491"/>
        <v/>
      </c>
      <c r="TIC118" s="100" t="str">
        <f t="shared" si="491"/>
        <v/>
      </c>
      <c r="TID118" s="100" t="str">
        <f t="shared" si="491"/>
        <v/>
      </c>
      <c r="TIE118" s="100" t="str">
        <f t="shared" si="491"/>
        <v/>
      </c>
      <c r="TIF118" s="100" t="str">
        <f t="shared" si="491"/>
        <v/>
      </c>
      <c r="TIG118" s="100" t="str">
        <f t="shared" si="491"/>
        <v/>
      </c>
      <c r="TIH118" s="100" t="str">
        <f t="shared" si="491"/>
        <v/>
      </c>
      <c r="TII118" s="100" t="str">
        <f t="shared" si="491"/>
        <v/>
      </c>
      <c r="TIJ118" s="100" t="str">
        <f t="shared" si="491"/>
        <v/>
      </c>
      <c r="TIK118" s="100" t="str">
        <f t="shared" ref="TIK118:TKV118" si="492">IFERROR(AVERAGE(TIK6,TIK16,TIK25,TIK34,TIK42,TIK54,TIK62,TIK70,TIK78,TIK86,TIK94,TIK102,TIK110),"")</f>
        <v/>
      </c>
      <c r="TIL118" s="100" t="str">
        <f t="shared" si="492"/>
        <v/>
      </c>
      <c r="TIM118" s="100" t="str">
        <f t="shared" si="492"/>
        <v/>
      </c>
      <c r="TIN118" s="100" t="str">
        <f t="shared" si="492"/>
        <v/>
      </c>
      <c r="TIO118" s="100" t="str">
        <f t="shared" si="492"/>
        <v/>
      </c>
      <c r="TIP118" s="100" t="str">
        <f t="shared" si="492"/>
        <v/>
      </c>
      <c r="TIQ118" s="100" t="str">
        <f t="shared" si="492"/>
        <v/>
      </c>
      <c r="TIR118" s="100" t="str">
        <f t="shared" si="492"/>
        <v/>
      </c>
      <c r="TIS118" s="100" t="str">
        <f t="shared" si="492"/>
        <v/>
      </c>
      <c r="TIT118" s="100" t="str">
        <f t="shared" si="492"/>
        <v/>
      </c>
      <c r="TIU118" s="100" t="str">
        <f t="shared" si="492"/>
        <v/>
      </c>
      <c r="TIV118" s="100" t="str">
        <f t="shared" si="492"/>
        <v/>
      </c>
      <c r="TIW118" s="100" t="str">
        <f t="shared" si="492"/>
        <v/>
      </c>
      <c r="TIX118" s="100" t="str">
        <f t="shared" si="492"/>
        <v/>
      </c>
      <c r="TIY118" s="100" t="str">
        <f t="shared" si="492"/>
        <v/>
      </c>
      <c r="TIZ118" s="100" t="str">
        <f t="shared" si="492"/>
        <v/>
      </c>
      <c r="TJA118" s="100" t="str">
        <f t="shared" si="492"/>
        <v/>
      </c>
      <c r="TJB118" s="100" t="str">
        <f t="shared" si="492"/>
        <v/>
      </c>
      <c r="TJC118" s="100" t="str">
        <f t="shared" si="492"/>
        <v/>
      </c>
      <c r="TJD118" s="100" t="str">
        <f t="shared" si="492"/>
        <v/>
      </c>
      <c r="TJE118" s="100" t="str">
        <f t="shared" si="492"/>
        <v/>
      </c>
      <c r="TJF118" s="100" t="str">
        <f t="shared" si="492"/>
        <v/>
      </c>
      <c r="TJG118" s="100" t="str">
        <f t="shared" si="492"/>
        <v/>
      </c>
      <c r="TJH118" s="100" t="str">
        <f t="shared" si="492"/>
        <v/>
      </c>
      <c r="TJI118" s="100" t="str">
        <f t="shared" si="492"/>
        <v/>
      </c>
      <c r="TJJ118" s="100" t="str">
        <f t="shared" si="492"/>
        <v/>
      </c>
      <c r="TJK118" s="100" t="str">
        <f t="shared" si="492"/>
        <v/>
      </c>
      <c r="TJL118" s="100" t="str">
        <f t="shared" si="492"/>
        <v/>
      </c>
      <c r="TJM118" s="100" t="str">
        <f t="shared" si="492"/>
        <v/>
      </c>
      <c r="TJN118" s="100" t="str">
        <f t="shared" si="492"/>
        <v/>
      </c>
      <c r="TJO118" s="100" t="str">
        <f t="shared" si="492"/>
        <v/>
      </c>
      <c r="TJP118" s="100" t="str">
        <f t="shared" si="492"/>
        <v/>
      </c>
      <c r="TJQ118" s="100" t="str">
        <f t="shared" si="492"/>
        <v/>
      </c>
      <c r="TJR118" s="100" t="str">
        <f t="shared" si="492"/>
        <v/>
      </c>
      <c r="TJS118" s="100" t="str">
        <f t="shared" si="492"/>
        <v/>
      </c>
      <c r="TJT118" s="100" t="str">
        <f t="shared" si="492"/>
        <v/>
      </c>
      <c r="TJU118" s="100" t="str">
        <f t="shared" si="492"/>
        <v/>
      </c>
      <c r="TJV118" s="100" t="str">
        <f t="shared" si="492"/>
        <v/>
      </c>
      <c r="TJW118" s="100" t="str">
        <f t="shared" si="492"/>
        <v/>
      </c>
      <c r="TJX118" s="100" t="str">
        <f t="shared" si="492"/>
        <v/>
      </c>
      <c r="TJY118" s="100" t="str">
        <f t="shared" si="492"/>
        <v/>
      </c>
      <c r="TJZ118" s="100" t="str">
        <f t="shared" si="492"/>
        <v/>
      </c>
      <c r="TKA118" s="100" t="str">
        <f t="shared" si="492"/>
        <v/>
      </c>
      <c r="TKB118" s="100" t="str">
        <f t="shared" si="492"/>
        <v/>
      </c>
      <c r="TKC118" s="100" t="str">
        <f t="shared" si="492"/>
        <v/>
      </c>
      <c r="TKD118" s="100" t="str">
        <f t="shared" si="492"/>
        <v/>
      </c>
      <c r="TKE118" s="100" t="str">
        <f t="shared" si="492"/>
        <v/>
      </c>
      <c r="TKF118" s="100" t="str">
        <f t="shared" si="492"/>
        <v/>
      </c>
      <c r="TKG118" s="100" t="str">
        <f t="shared" si="492"/>
        <v/>
      </c>
      <c r="TKH118" s="100" t="str">
        <f t="shared" si="492"/>
        <v/>
      </c>
      <c r="TKI118" s="100" t="str">
        <f t="shared" si="492"/>
        <v/>
      </c>
      <c r="TKJ118" s="100" t="str">
        <f t="shared" si="492"/>
        <v/>
      </c>
      <c r="TKK118" s="100" t="str">
        <f t="shared" si="492"/>
        <v/>
      </c>
      <c r="TKL118" s="100" t="str">
        <f t="shared" si="492"/>
        <v/>
      </c>
      <c r="TKM118" s="100" t="str">
        <f t="shared" si="492"/>
        <v/>
      </c>
      <c r="TKN118" s="100" t="str">
        <f t="shared" si="492"/>
        <v/>
      </c>
      <c r="TKO118" s="100" t="str">
        <f t="shared" si="492"/>
        <v/>
      </c>
      <c r="TKP118" s="100" t="str">
        <f t="shared" si="492"/>
        <v/>
      </c>
      <c r="TKQ118" s="100" t="str">
        <f t="shared" si="492"/>
        <v/>
      </c>
      <c r="TKR118" s="100" t="str">
        <f t="shared" si="492"/>
        <v/>
      </c>
      <c r="TKS118" s="100" t="str">
        <f t="shared" si="492"/>
        <v/>
      </c>
      <c r="TKT118" s="100" t="str">
        <f t="shared" si="492"/>
        <v/>
      </c>
      <c r="TKU118" s="100" t="str">
        <f t="shared" si="492"/>
        <v/>
      </c>
      <c r="TKV118" s="100" t="str">
        <f t="shared" si="492"/>
        <v/>
      </c>
      <c r="TKW118" s="100" t="str">
        <f t="shared" ref="TKW118:TNH118" si="493">IFERROR(AVERAGE(TKW6,TKW16,TKW25,TKW34,TKW42,TKW54,TKW62,TKW70,TKW78,TKW86,TKW94,TKW102,TKW110),"")</f>
        <v/>
      </c>
      <c r="TKX118" s="100" t="str">
        <f t="shared" si="493"/>
        <v/>
      </c>
      <c r="TKY118" s="100" t="str">
        <f t="shared" si="493"/>
        <v/>
      </c>
      <c r="TKZ118" s="100" t="str">
        <f t="shared" si="493"/>
        <v/>
      </c>
      <c r="TLA118" s="100" t="str">
        <f t="shared" si="493"/>
        <v/>
      </c>
      <c r="TLB118" s="100" t="str">
        <f t="shared" si="493"/>
        <v/>
      </c>
      <c r="TLC118" s="100" t="str">
        <f t="shared" si="493"/>
        <v/>
      </c>
      <c r="TLD118" s="100" t="str">
        <f t="shared" si="493"/>
        <v/>
      </c>
      <c r="TLE118" s="100" t="str">
        <f t="shared" si="493"/>
        <v/>
      </c>
      <c r="TLF118" s="100" t="str">
        <f t="shared" si="493"/>
        <v/>
      </c>
      <c r="TLG118" s="100" t="str">
        <f t="shared" si="493"/>
        <v/>
      </c>
      <c r="TLH118" s="100" t="str">
        <f t="shared" si="493"/>
        <v/>
      </c>
      <c r="TLI118" s="100" t="str">
        <f t="shared" si="493"/>
        <v/>
      </c>
      <c r="TLJ118" s="100" t="str">
        <f t="shared" si="493"/>
        <v/>
      </c>
      <c r="TLK118" s="100" t="str">
        <f t="shared" si="493"/>
        <v/>
      </c>
      <c r="TLL118" s="100" t="str">
        <f t="shared" si="493"/>
        <v/>
      </c>
      <c r="TLM118" s="100" t="str">
        <f t="shared" si="493"/>
        <v/>
      </c>
      <c r="TLN118" s="100" t="str">
        <f t="shared" si="493"/>
        <v/>
      </c>
      <c r="TLO118" s="100" t="str">
        <f t="shared" si="493"/>
        <v/>
      </c>
      <c r="TLP118" s="100" t="str">
        <f t="shared" si="493"/>
        <v/>
      </c>
      <c r="TLQ118" s="100" t="str">
        <f t="shared" si="493"/>
        <v/>
      </c>
      <c r="TLR118" s="100" t="str">
        <f t="shared" si="493"/>
        <v/>
      </c>
      <c r="TLS118" s="100" t="str">
        <f t="shared" si="493"/>
        <v/>
      </c>
      <c r="TLT118" s="100" t="str">
        <f t="shared" si="493"/>
        <v/>
      </c>
      <c r="TLU118" s="100" t="str">
        <f t="shared" si="493"/>
        <v/>
      </c>
      <c r="TLV118" s="100" t="str">
        <f t="shared" si="493"/>
        <v/>
      </c>
      <c r="TLW118" s="100" t="str">
        <f t="shared" si="493"/>
        <v/>
      </c>
      <c r="TLX118" s="100" t="str">
        <f t="shared" si="493"/>
        <v/>
      </c>
      <c r="TLY118" s="100" t="str">
        <f t="shared" si="493"/>
        <v/>
      </c>
      <c r="TLZ118" s="100" t="str">
        <f t="shared" si="493"/>
        <v/>
      </c>
      <c r="TMA118" s="100" t="str">
        <f t="shared" si="493"/>
        <v/>
      </c>
      <c r="TMB118" s="100" t="str">
        <f t="shared" si="493"/>
        <v/>
      </c>
      <c r="TMC118" s="100" t="str">
        <f t="shared" si="493"/>
        <v/>
      </c>
      <c r="TMD118" s="100" t="str">
        <f t="shared" si="493"/>
        <v/>
      </c>
      <c r="TME118" s="100" t="str">
        <f t="shared" si="493"/>
        <v/>
      </c>
      <c r="TMF118" s="100" t="str">
        <f t="shared" si="493"/>
        <v/>
      </c>
      <c r="TMG118" s="100" t="str">
        <f t="shared" si="493"/>
        <v/>
      </c>
      <c r="TMH118" s="100" t="str">
        <f t="shared" si="493"/>
        <v/>
      </c>
      <c r="TMI118" s="100" t="str">
        <f t="shared" si="493"/>
        <v/>
      </c>
      <c r="TMJ118" s="100" t="str">
        <f t="shared" si="493"/>
        <v/>
      </c>
      <c r="TMK118" s="100" t="str">
        <f t="shared" si="493"/>
        <v/>
      </c>
      <c r="TML118" s="100" t="str">
        <f t="shared" si="493"/>
        <v/>
      </c>
      <c r="TMM118" s="100" t="str">
        <f t="shared" si="493"/>
        <v/>
      </c>
      <c r="TMN118" s="100" t="str">
        <f t="shared" si="493"/>
        <v/>
      </c>
      <c r="TMO118" s="100" t="str">
        <f t="shared" si="493"/>
        <v/>
      </c>
      <c r="TMP118" s="100" t="str">
        <f t="shared" si="493"/>
        <v/>
      </c>
      <c r="TMQ118" s="100" t="str">
        <f t="shared" si="493"/>
        <v/>
      </c>
      <c r="TMR118" s="100" t="str">
        <f t="shared" si="493"/>
        <v/>
      </c>
      <c r="TMS118" s="100" t="str">
        <f t="shared" si="493"/>
        <v/>
      </c>
      <c r="TMT118" s="100" t="str">
        <f t="shared" si="493"/>
        <v/>
      </c>
      <c r="TMU118" s="100" t="str">
        <f t="shared" si="493"/>
        <v/>
      </c>
      <c r="TMV118" s="100" t="str">
        <f t="shared" si="493"/>
        <v/>
      </c>
      <c r="TMW118" s="100" t="str">
        <f t="shared" si="493"/>
        <v/>
      </c>
      <c r="TMX118" s="100" t="str">
        <f t="shared" si="493"/>
        <v/>
      </c>
      <c r="TMY118" s="100" t="str">
        <f t="shared" si="493"/>
        <v/>
      </c>
      <c r="TMZ118" s="100" t="str">
        <f t="shared" si="493"/>
        <v/>
      </c>
      <c r="TNA118" s="100" t="str">
        <f t="shared" si="493"/>
        <v/>
      </c>
      <c r="TNB118" s="100" t="str">
        <f t="shared" si="493"/>
        <v/>
      </c>
      <c r="TNC118" s="100" t="str">
        <f t="shared" si="493"/>
        <v/>
      </c>
      <c r="TND118" s="100" t="str">
        <f t="shared" si="493"/>
        <v/>
      </c>
      <c r="TNE118" s="100" t="str">
        <f t="shared" si="493"/>
        <v/>
      </c>
      <c r="TNF118" s="100" t="str">
        <f t="shared" si="493"/>
        <v/>
      </c>
      <c r="TNG118" s="100" t="str">
        <f t="shared" si="493"/>
        <v/>
      </c>
      <c r="TNH118" s="100" t="str">
        <f t="shared" si="493"/>
        <v/>
      </c>
      <c r="TNI118" s="100" t="str">
        <f t="shared" ref="TNI118:TPT118" si="494">IFERROR(AVERAGE(TNI6,TNI16,TNI25,TNI34,TNI42,TNI54,TNI62,TNI70,TNI78,TNI86,TNI94,TNI102,TNI110),"")</f>
        <v/>
      </c>
      <c r="TNJ118" s="100" t="str">
        <f t="shared" si="494"/>
        <v/>
      </c>
      <c r="TNK118" s="100" t="str">
        <f t="shared" si="494"/>
        <v/>
      </c>
      <c r="TNL118" s="100" t="str">
        <f t="shared" si="494"/>
        <v/>
      </c>
      <c r="TNM118" s="100" t="str">
        <f t="shared" si="494"/>
        <v/>
      </c>
      <c r="TNN118" s="100" t="str">
        <f t="shared" si="494"/>
        <v/>
      </c>
      <c r="TNO118" s="100" t="str">
        <f t="shared" si="494"/>
        <v/>
      </c>
      <c r="TNP118" s="100" t="str">
        <f t="shared" si="494"/>
        <v/>
      </c>
      <c r="TNQ118" s="100" t="str">
        <f t="shared" si="494"/>
        <v/>
      </c>
      <c r="TNR118" s="100" t="str">
        <f t="shared" si="494"/>
        <v/>
      </c>
      <c r="TNS118" s="100" t="str">
        <f t="shared" si="494"/>
        <v/>
      </c>
      <c r="TNT118" s="100" t="str">
        <f t="shared" si="494"/>
        <v/>
      </c>
      <c r="TNU118" s="100" t="str">
        <f t="shared" si="494"/>
        <v/>
      </c>
      <c r="TNV118" s="100" t="str">
        <f t="shared" si="494"/>
        <v/>
      </c>
      <c r="TNW118" s="100" t="str">
        <f t="shared" si="494"/>
        <v/>
      </c>
      <c r="TNX118" s="100" t="str">
        <f t="shared" si="494"/>
        <v/>
      </c>
      <c r="TNY118" s="100" t="str">
        <f t="shared" si="494"/>
        <v/>
      </c>
      <c r="TNZ118" s="100" t="str">
        <f t="shared" si="494"/>
        <v/>
      </c>
      <c r="TOA118" s="100" t="str">
        <f t="shared" si="494"/>
        <v/>
      </c>
      <c r="TOB118" s="100" t="str">
        <f t="shared" si="494"/>
        <v/>
      </c>
      <c r="TOC118" s="100" t="str">
        <f t="shared" si="494"/>
        <v/>
      </c>
      <c r="TOD118" s="100" t="str">
        <f t="shared" si="494"/>
        <v/>
      </c>
      <c r="TOE118" s="100" t="str">
        <f t="shared" si="494"/>
        <v/>
      </c>
      <c r="TOF118" s="100" t="str">
        <f t="shared" si="494"/>
        <v/>
      </c>
      <c r="TOG118" s="100" t="str">
        <f t="shared" si="494"/>
        <v/>
      </c>
      <c r="TOH118" s="100" t="str">
        <f t="shared" si="494"/>
        <v/>
      </c>
      <c r="TOI118" s="100" t="str">
        <f t="shared" si="494"/>
        <v/>
      </c>
      <c r="TOJ118" s="100" t="str">
        <f t="shared" si="494"/>
        <v/>
      </c>
      <c r="TOK118" s="100" t="str">
        <f t="shared" si="494"/>
        <v/>
      </c>
      <c r="TOL118" s="100" t="str">
        <f t="shared" si="494"/>
        <v/>
      </c>
      <c r="TOM118" s="100" t="str">
        <f t="shared" si="494"/>
        <v/>
      </c>
      <c r="TON118" s="100" t="str">
        <f t="shared" si="494"/>
        <v/>
      </c>
      <c r="TOO118" s="100" t="str">
        <f t="shared" si="494"/>
        <v/>
      </c>
      <c r="TOP118" s="100" t="str">
        <f t="shared" si="494"/>
        <v/>
      </c>
      <c r="TOQ118" s="100" t="str">
        <f t="shared" si="494"/>
        <v/>
      </c>
      <c r="TOR118" s="100" t="str">
        <f t="shared" si="494"/>
        <v/>
      </c>
      <c r="TOS118" s="100" t="str">
        <f t="shared" si="494"/>
        <v/>
      </c>
      <c r="TOT118" s="100" t="str">
        <f t="shared" si="494"/>
        <v/>
      </c>
      <c r="TOU118" s="100" t="str">
        <f t="shared" si="494"/>
        <v/>
      </c>
      <c r="TOV118" s="100" t="str">
        <f t="shared" si="494"/>
        <v/>
      </c>
      <c r="TOW118" s="100" t="str">
        <f t="shared" si="494"/>
        <v/>
      </c>
      <c r="TOX118" s="100" t="str">
        <f t="shared" si="494"/>
        <v/>
      </c>
      <c r="TOY118" s="100" t="str">
        <f t="shared" si="494"/>
        <v/>
      </c>
      <c r="TOZ118" s="100" t="str">
        <f t="shared" si="494"/>
        <v/>
      </c>
      <c r="TPA118" s="100" t="str">
        <f t="shared" si="494"/>
        <v/>
      </c>
      <c r="TPB118" s="100" t="str">
        <f t="shared" si="494"/>
        <v/>
      </c>
      <c r="TPC118" s="100" t="str">
        <f t="shared" si="494"/>
        <v/>
      </c>
      <c r="TPD118" s="100" t="str">
        <f t="shared" si="494"/>
        <v/>
      </c>
      <c r="TPE118" s="100" t="str">
        <f t="shared" si="494"/>
        <v/>
      </c>
      <c r="TPF118" s="100" t="str">
        <f t="shared" si="494"/>
        <v/>
      </c>
      <c r="TPG118" s="100" t="str">
        <f t="shared" si="494"/>
        <v/>
      </c>
      <c r="TPH118" s="100" t="str">
        <f t="shared" si="494"/>
        <v/>
      </c>
      <c r="TPI118" s="100" t="str">
        <f t="shared" si="494"/>
        <v/>
      </c>
      <c r="TPJ118" s="100" t="str">
        <f t="shared" si="494"/>
        <v/>
      </c>
      <c r="TPK118" s="100" t="str">
        <f t="shared" si="494"/>
        <v/>
      </c>
      <c r="TPL118" s="100" t="str">
        <f t="shared" si="494"/>
        <v/>
      </c>
      <c r="TPM118" s="100" t="str">
        <f t="shared" si="494"/>
        <v/>
      </c>
      <c r="TPN118" s="100" t="str">
        <f t="shared" si="494"/>
        <v/>
      </c>
      <c r="TPO118" s="100" t="str">
        <f t="shared" si="494"/>
        <v/>
      </c>
      <c r="TPP118" s="100" t="str">
        <f t="shared" si="494"/>
        <v/>
      </c>
      <c r="TPQ118" s="100" t="str">
        <f t="shared" si="494"/>
        <v/>
      </c>
      <c r="TPR118" s="100" t="str">
        <f t="shared" si="494"/>
        <v/>
      </c>
      <c r="TPS118" s="100" t="str">
        <f t="shared" si="494"/>
        <v/>
      </c>
      <c r="TPT118" s="100" t="str">
        <f t="shared" si="494"/>
        <v/>
      </c>
      <c r="TPU118" s="100" t="str">
        <f t="shared" ref="TPU118:TSF118" si="495">IFERROR(AVERAGE(TPU6,TPU16,TPU25,TPU34,TPU42,TPU54,TPU62,TPU70,TPU78,TPU86,TPU94,TPU102,TPU110),"")</f>
        <v/>
      </c>
      <c r="TPV118" s="100" t="str">
        <f t="shared" si="495"/>
        <v/>
      </c>
      <c r="TPW118" s="100" t="str">
        <f t="shared" si="495"/>
        <v/>
      </c>
      <c r="TPX118" s="100" t="str">
        <f t="shared" si="495"/>
        <v/>
      </c>
      <c r="TPY118" s="100" t="str">
        <f t="shared" si="495"/>
        <v/>
      </c>
      <c r="TPZ118" s="100" t="str">
        <f t="shared" si="495"/>
        <v/>
      </c>
      <c r="TQA118" s="100" t="str">
        <f t="shared" si="495"/>
        <v/>
      </c>
      <c r="TQB118" s="100" t="str">
        <f t="shared" si="495"/>
        <v/>
      </c>
      <c r="TQC118" s="100" t="str">
        <f t="shared" si="495"/>
        <v/>
      </c>
      <c r="TQD118" s="100" t="str">
        <f t="shared" si="495"/>
        <v/>
      </c>
      <c r="TQE118" s="100" t="str">
        <f t="shared" si="495"/>
        <v/>
      </c>
      <c r="TQF118" s="100" t="str">
        <f t="shared" si="495"/>
        <v/>
      </c>
      <c r="TQG118" s="100" t="str">
        <f t="shared" si="495"/>
        <v/>
      </c>
      <c r="TQH118" s="100" t="str">
        <f t="shared" si="495"/>
        <v/>
      </c>
      <c r="TQI118" s="100" t="str">
        <f t="shared" si="495"/>
        <v/>
      </c>
      <c r="TQJ118" s="100" t="str">
        <f t="shared" si="495"/>
        <v/>
      </c>
      <c r="TQK118" s="100" t="str">
        <f t="shared" si="495"/>
        <v/>
      </c>
      <c r="TQL118" s="100" t="str">
        <f t="shared" si="495"/>
        <v/>
      </c>
      <c r="TQM118" s="100" t="str">
        <f t="shared" si="495"/>
        <v/>
      </c>
      <c r="TQN118" s="100" t="str">
        <f t="shared" si="495"/>
        <v/>
      </c>
      <c r="TQO118" s="100" t="str">
        <f t="shared" si="495"/>
        <v/>
      </c>
      <c r="TQP118" s="100" t="str">
        <f t="shared" si="495"/>
        <v/>
      </c>
      <c r="TQQ118" s="100" t="str">
        <f t="shared" si="495"/>
        <v/>
      </c>
      <c r="TQR118" s="100" t="str">
        <f t="shared" si="495"/>
        <v/>
      </c>
      <c r="TQS118" s="100" t="str">
        <f t="shared" si="495"/>
        <v/>
      </c>
      <c r="TQT118" s="100" t="str">
        <f t="shared" si="495"/>
        <v/>
      </c>
      <c r="TQU118" s="100" t="str">
        <f t="shared" si="495"/>
        <v/>
      </c>
      <c r="TQV118" s="100" t="str">
        <f t="shared" si="495"/>
        <v/>
      </c>
      <c r="TQW118" s="100" t="str">
        <f t="shared" si="495"/>
        <v/>
      </c>
      <c r="TQX118" s="100" t="str">
        <f t="shared" si="495"/>
        <v/>
      </c>
      <c r="TQY118" s="100" t="str">
        <f t="shared" si="495"/>
        <v/>
      </c>
      <c r="TQZ118" s="100" t="str">
        <f t="shared" si="495"/>
        <v/>
      </c>
      <c r="TRA118" s="100" t="str">
        <f t="shared" si="495"/>
        <v/>
      </c>
      <c r="TRB118" s="100" t="str">
        <f t="shared" si="495"/>
        <v/>
      </c>
      <c r="TRC118" s="100" t="str">
        <f t="shared" si="495"/>
        <v/>
      </c>
      <c r="TRD118" s="100" t="str">
        <f t="shared" si="495"/>
        <v/>
      </c>
      <c r="TRE118" s="100" t="str">
        <f t="shared" si="495"/>
        <v/>
      </c>
      <c r="TRF118" s="100" t="str">
        <f t="shared" si="495"/>
        <v/>
      </c>
      <c r="TRG118" s="100" t="str">
        <f t="shared" si="495"/>
        <v/>
      </c>
      <c r="TRH118" s="100" t="str">
        <f t="shared" si="495"/>
        <v/>
      </c>
      <c r="TRI118" s="100" t="str">
        <f t="shared" si="495"/>
        <v/>
      </c>
      <c r="TRJ118" s="100" t="str">
        <f t="shared" si="495"/>
        <v/>
      </c>
      <c r="TRK118" s="100" t="str">
        <f t="shared" si="495"/>
        <v/>
      </c>
      <c r="TRL118" s="100" t="str">
        <f t="shared" si="495"/>
        <v/>
      </c>
      <c r="TRM118" s="100" t="str">
        <f t="shared" si="495"/>
        <v/>
      </c>
      <c r="TRN118" s="100" t="str">
        <f t="shared" si="495"/>
        <v/>
      </c>
      <c r="TRO118" s="100" t="str">
        <f t="shared" si="495"/>
        <v/>
      </c>
      <c r="TRP118" s="100" t="str">
        <f t="shared" si="495"/>
        <v/>
      </c>
      <c r="TRQ118" s="100" t="str">
        <f t="shared" si="495"/>
        <v/>
      </c>
      <c r="TRR118" s="100" t="str">
        <f t="shared" si="495"/>
        <v/>
      </c>
      <c r="TRS118" s="100" t="str">
        <f t="shared" si="495"/>
        <v/>
      </c>
      <c r="TRT118" s="100" t="str">
        <f t="shared" si="495"/>
        <v/>
      </c>
      <c r="TRU118" s="100" t="str">
        <f t="shared" si="495"/>
        <v/>
      </c>
      <c r="TRV118" s="100" t="str">
        <f t="shared" si="495"/>
        <v/>
      </c>
      <c r="TRW118" s="100" t="str">
        <f t="shared" si="495"/>
        <v/>
      </c>
      <c r="TRX118" s="100" t="str">
        <f t="shared" si="495"/>
        <v/>
      </c>
      <c r="TRY118" s="100" t="str">
        <f t="shared" si="495"/>
        <v/>
      </c>
      <c r="TRZ118" s="100" t="str">
        <f t="shared" si="495"/>
        <v/>
      </c>
      <c r="TSA118" s="100" t="str">
        <f t="shared" si="495"/>
        <v/>
      </c>
      <c r="TSB118" s="100" t="str">
        <f t="shared" si="495"/>
        <v/>
      </c>
      <c r="TSC118" s="100" t="str">
        <f t="shared" si="495"/>
        <v/>
      </c>
      <c r="TSD118" s="100" t="str">
        <f t="shared" si="495"/>
        <v/>
      </c>
      <c r="TSE118" s="100" t="str">
        <f t="shared" si="495"/>
        <v/>
      </c>
      <c r="TSF118" s="100" t="str">
        <f t="shared" si="495"/>
        <v/>
      </c>
      <c r="TSG118" s="100" t="str">
        <f t="shared" ref="TSG118:TUR118" si="496">IFERROR(AVERAGE(TSG6,TSG16,TSG25,TSG34,TSG42,TSG54,TSG62,TSG70,TSG78,TSG86,TSG94,TSG102,TSG110),"")</f>
        <v/>
      </c>
      <c r="TSH118" s="100" t="str">
        <f t="shared" si="496"/>
        <v/>
      </c>
      <c r="TSI118" s="100" t="str">
        <f t="shared" si="496"/>
        <v/>
      </c>
      <c r="TSJ118" s="100" t="str">
        <f t="shared" si="496"/>
        <v/>
      </c>
      <c r="TSK118" s="100" t="str">
        <f t="shared" si="496"/>
        <v/>
      </c>
      <c r="TSL118" s="100" t="str">
        <f t="shared" si="496"/>
        <v/>
      </c>
      <c r="TSM118" s="100" t="str">
        <f t="shared" si="496"/>
        <v/>
      </c>
      <c r="TSN118" s="100" t="str">
        <f t="shared" si="496"/>
        <v/>
      </c>
      <c r="TSO118" s="100" t="str">
        <f t="shared" si="496"/>
        <v/>
      </c>
      <c r="TSP118" s="100" t="str">
        <f t="shared" si="496"/>
        <v/>
      </c>
      <c r="TSQ118" s="100" t="str">
        <f t="shared" si="496"/>
        <v/>
      </c>
      <c r="TSR118" s="100" t="str">
        <f t="shared" si="496"/>
        <v/>
      </c>
      <c r="TSS118" s="100" t="str">
        <f t="shared" si="496"/>
        <v/>
      </c>
      <c r="TST118" s="100" t="str">
        <f t="shared" si="496"/>
        <v/>
      </c>
      <c r="TSU118" s="100" t="str">
        <f t="shared" si="496"/>
        <v/>
      </c>
      <c r="TSV118" s="100" t="str">
        <f t="shared" si="496"/>
        <v/>
      </c>
      <c r="TSW118" s="100" t="str">
        <f t="shared" si="496"/>
        <v/>
      </c>
      <c r="TSX118" s="100" t="str">
        <f t="shared" si="496"/>
        <v/>
      </c>
      <c r="TSY118" s="100" t="str">
        <f t="shared" si="496"/>
        <v/>
      </c>
      <c r="TSZ118" s="100" t="str">
        <f t="shared" si="496"/>
        <v/>
      </c>
      <c r="TTA118" s="100" t="str">
        <f t="shared" si="496"/>
        <v/>
      </c>
      <c r="TTB118" s="100" t="str">
        <f t="shared" si="496"/>
        <v/>
      </c>
      <c r="TTC118" s="100" t="str">
        <f t="shared" si="496"/>
        <v/>
      </c>
      <c r="TTD118" s="100" t="str">
        <f t="shared" si="496"/>
        <v/>
      </c>
      <c r="TTE118" s="100" t="str">
        <f t="shared" si="496"/>
        <v/>
      </c>
      <c r="TTF118" s="100" t="str">
        <f t="shared" si="496"/>
        <v/>
      </c>
      <c r="TTG118" s="100" t="str">
        <f t="shared" si="496"/>
        <v/>
      </c>
      <c r="TTH118" s="100" t="str">
        <f t="shared" si="496"/>
        <v/>
      </c>
      <c r="TTI118" s="100" t="str">
        <f t="shared" si="496"/>
        <v/>
      </c>
      <c r="TTJ118" s="100" t="str">
        <f t="shared" si="496"/>
        <v/>
      </c>
      <c r="TTK118" s="100" t="str">
        <f t="shared" si="496"/>
        <v/>
      </c>
      <c r="TTL118" s="100" t="str">
        <f t="shared" si="496"/>
        <v/>
      </c>
      <c r="TTM118" s="100" t="str">
        <f t="shared" si="496"/>
        <v/>
      </c>
      <c r="TTN118" s="100" t="str">
        <f t="shared" si="496"/>
        <v/>
      </c>
      <c r="TTO118" s="100" t="str">
        <f t="shared" si="496"/>
        <v/>
      </c>
      <c r="TTP118" s="100" t="str">
        <f t="shared" si="496"/>
        <v/>
      </c>
      <c r="TTQ118" s="100" t="str">
        <f t="shared" si="496"/>
        <v/>
      </c>
      <c r="TTR118" s="100" t="str">
        <f t="shared" si="496"/>
        <v/>
      </c>
      <c r="TTS118" s="100" t="str">
        <f t="shared" si="496"/>
        <v/>
      </c>
      <c r="TTT118" s="100" t="str">
        <f t="shared" si="496"/>
        <v/>
      </c>
      <c r="TTU118" s="100" t="str">
        <f t="shared" si="496"/>
        <v/>
      </c>
      <c r="TTV118" s="100" t="str">
        <f t="shared" si="496"/>
        <v/>
      </c>
      <c r="TTW118" s="100" t="str">
        <f t="shared" si="496"/>
        <v/>
      </c>
      <c r="TTX118" s="100" t="str">
        <f t="shared" si="496"/>
        <v/>
      </c>
      <c r="TTY118" s="100" t="str">
        <f t="shared" si="496"/>
        <v/>
      </c>
      <c r="TTZ118" s="100" t="str">
        <f t="shared" si="496"/>
        <v/>
      </c>
      <c r="TUA118" s="100" t="str">
        <f t="shared" si="496"/>
        <v/>
      </c>
      <c r="TUB118" s="100" t="str">
        <f t="shared" si="496"/>
        <v/>
      </c>
      <c r="TUC118" s="100" t="str">
        <f t="shared" si="496"/>
        <v/>
      </c>
      <c r="TUD118" s="100" t="str">
        <f t="shared" si="496"/>
        <v/>
      </c>
      <c r="TUE118" s="100" t="str">
        <f t="shared" si="496"/>
        <v/>
      </c>
      <c r="TUF118" s="100" t="str">
        <f t="shared" si="496"/>
        <v/>
      </c>
      <c r="TUG118" s="100" t="str">
        <f t="shared" si="496"/>
        <v/>
      </c>
      <c r="TUH118" s="100" t="str">
        <f t="shared" si="496"/>
        <v/>
      </c>
      <c r="TUI118" s="100" t="str">
        <f t="shared" si="496"/>
        <v/>
      </c>
      <c r="TUJ118" s="100" t="str">
        <f t="shared" si="496"/>
        <v/>
      </c>
      <c r="TUK118" s="100" t="str">
        <f t="shared" si="496"/>
        <v/>
      </c>
      <c r="TUL118" s="100" t="str">
        <f t="shared" si="496"/>
        <v/>
      </c>
      <c r="TUM118" s="100" t="str">
        <f t="shared" si="496"/>
        <v/>
      </c>
      <c r="TUN118" s="100" t="str">
        <f t="shared" si="496"/>
        <v/>
      </c>
      <c r="TUO118" s="100" t="str">
        <f t="shared" si="496"/>
        <v/>
      </c>
      <c r="TUP118" s="100" t="str">
        <f t="shared" si="496"/>
        <v/>
      </c>
      <c r="TUQ118" s="100" t="str">
        <f t="shared" si="496"/>
        <v/>
      </c>
      <c r="TUR118" s="100" t="str">
        <f t="shared" si="496"/>
        <v/>
      </c>
      <c r="TUS118" s="100" t="str">
        <f t="shared" ref="TUS118:TXD118" si="497">IFERROR(AVERAGE(TUS6,TUS16,TUS25,TUS34,TUS42,TUS54,TUS62,TUS70,TUS78,TUS86,TUS94,TUS102,TUS110),"")</f>
        <v/>
      </c>
      <c r="TUT118" s="100" t="str">
        <f t="shared" si="497"/>
        <v/>
      </c>
      <c r="TUU118" s="100" t="str">
        <f t="shared" si="497"/>
        <v/>
      </c>
      <c r="TUV118" s="100" t="str">
        <f t="shared" si="497"/>
        <v/>
      </c>
      <c r="TUW118" s="100" t="str">
        <f t="shared" si="497"/>
        <v/>
      </c>
      <c r="TUX118" s="100" t="str">
        <f t="shared" si="497"/>
        <v/>
      </c>
      <c r="TUY118" s="100" t="str">
        <f t="shared" si="497"/>
        <v/>
      </c>
      <c r="TUZ118" s="100" t="str">
        <f t="shared" si="497"/>
        <v/>
      </c>
      <c r="TVA118" s="100" t="str">
        <f t="shared" si="497"/>
        <v/>
      </c>
      <c r="TVB118" s="100" t="str">
        <f t="shared" si="497"/>
        <v/>
      </c>
      <c r="TVC118" s="100" t="str">
        <f t="shared" si="497"/>
        <v/>
      </c>
      <c r="TVD118" s="100" t="str">
        <f t="shared" si="497"/>
        <v/>
      </c>
      <c r="TVE118" s="100" t="str">
        <f t="shared" si="497"/>
        <v/>
      </c>
      <c r="TVF118" s="100" t="str">
        <f t="shared" si="497"/>
        <v/>
      </c>
      <c r="TVG118" s="100" t="str">
        <f t="shared" si="497"/>
        <v/>
      </c>
      <c r="TVH118" s="100" t="str">
        <f t="shared" si="497"/>
        <v/>
      </c>
      <c r="TVI118" s="100" t="str">
        <f t="shared" si="497"/>
        <v/>
      </c>
      <c r="TVJ118" s="100" t="str">
        <f t="shared" si="497"/>
        <v/>
      </c>
      <c r="TVK118" s="100" t="str">
        <f t="shared" si="497"/>
        <v/>
      </c>
      <c r="TVL118" s="100" t="str">
        <f t="shared" si="497"/>
        <v/>
      </c>
      <c r="TVM118" s="100" t="str">
        <f t="shared" si="497"/>
        <v/>
      </c>
      <c r="TVN118" s="100" t="str">
        <f t="shared" si="497"/>
        <v/>
      </c>
      <c r="TVO118" s="100" t="str">
        <f t="shared" si="497"/>
        <v/>
      </c>
      <c r="TVP118" s="100" t="str">
        <f t="shared" si="497"/>
        <v/>
      </c>
      <c r="TVQ118" s="100" t="str">
        <f t="shared" si="497"/>
        <v/>
      </c>
      <c r="TVR118" s="100" t="str">
        <f t="shared" si="497"/>
        <v/>
      </c>
      <c r="TVS118" s="100" t="str">
        <f t="shared" si="497"/>
        <v/>
      </c>
      <c r="TVT118" s="100" t="str">
        <f t="shared" si="497"/>
        <v/>
      </c>
      <c r="TVU118" s="100" t="str">
        <f t="shared" si="497"/>
        <v/>
      </c>
      <c r="TVV118" s="100" t="str">
        <f t="shared" si="497"/>
        <v/>
      </c>
      <c r="TVW118" s="100" t="str">
        <f t="shared" si="497"/>
        <v/>
      </c>
      <c r="TVX118" s="100" t="str">
        <f t="shared" si="497"/>
        <v/>
      </c>
      <c r="TVY118" s="100" t="str">
        <f t="shared" si="497"/>
        <v/>
      </c>
      <c r="TVZ118" s="100" t="str">
        <f t="shared" si="497"/>
        <v/>
      </c>
      <c r="TWA118" s="100" t="str">
        <f t="shared" si="497"/>
        <v/>
      </c>
      <c r="TWB118" s="100" t="str">
        <f t="shared" si="497"/>
        <v/>
      </c>
      <c r="TWC118" s="100" t="str">
        <f t="shared" si="497"/>
        <v/>
      </c>
      <c r="TWD118" s="100" t="str">
        <f t="shared" si="497"/>
        <v/>
      </c>
      <c r="TWE118" s="100" t="str">
        <f t="shared" si="497"/>
        <v/>
      </c>
      <c r="TWF118" s="100" t="str">
        <f t="shared" si="497"/>
        <v/>
      </c>
      <c r="TWG118" s="100" t="str">
        <f t="shared" si="497"/>
        <v/>
      </c>
      <c r="TWH118" s="100" t="str">
        <f t="shared" si="497"/>
        <v/>
      </c>
      <c r="TWI118" s="100" t="str">
        <f t="shared" si="497"/>
        <v/>
      </c>
      <c r="TWJ118" s="100" t="str">
        <f t="shared" si="497"/>
        <v/>
      </c>
      <c r="TWK118" s="100" t="str">
        <f t="shared" si="497"/>
        <v/>
      </c>
      <c r="TWL118" s="100" t="str">
        <f t="shared" si="497"/>
        <v/>
      </c>
      <c r="TWM118" s="100" t="str">
        <f t="shared" si="497"/>
        <v/>
      </c>
      <c r="TWN118" s="100" t="str">
        <f t="shared" si="497"/>
        <v/>
      </c>
      <c r="TWO118" s="100" t="str">
        <f t="shared" si="497"/>
        <v/>
      </c>
      <c r="TWP118" s="100" t="str">
        <f t="shared" si="497"/>
        <v/>
      </c>
      <c r="TWQ118" s="100" t="str">
        <f t="shared" si="497"/>
        <v/>
      </c>
      <c r="TWR118" s="100" t="str">
        <f t="shared" si="497"/>
        <v/>
      </c>
      <c r="TWS118" s="100" t="str">
        <f t="shared" si="497"/>
        <v/>
      </c>
      <c r="TWT118" s="100" t="str">
        <f t="shared" si="497"/>
        <v/>
      </c>
      <c r="TWU118" s="100" t="str">
        <f t="shared" si="497"/>
        <v/>
      </c>
      <c r="TWV118" s="100" t="str">
        <f t="shared" si="497"/>
        <v/>
      </c>
      <c r="TWW118" s="100" t="str">
        <f t="shared" si="497"/>
        <v/>
      </c>
      <c r="TWX118" s="100" t="str">
        <f t="shared" si="497"/>
        <v/>
      </c>
      <c r="TWY118" s="100" t="str">
        <f t="shared" si="497"/>
        <v/>
      </c>
      <c r="TWZ118" s="100" t="str">
        <f t="shared" si="497"/>
        <v/>
      </c>
      <c r="TXA118" s="100" t="str">
        <f t="shared" si="497"/>
        <v/>
      </c>
      <c r="TXB118" s="100" t="str">
        <f t="shared" si="497"/>
        <v/>
      </c>
      <c r="TXC118" s="100" t="str">
        <f t="shared" si="497"/>
        <v/>
      </c>
      <c r="TXD118" s="100" t="str">
        <f t="shared" si="497"/>
        <v/>
      </c>
      <c r="TXE118" s="100" t="str">
        <f t="shared" ref="TXE118:TZP118" si="498">IFERROR(AVERAGE(TXE6,TXE16,TXE25,TXE34,TXE42,TXE54,TXE62,TXE70,TXE78,TXE86,TXE94,TXE102,TXE110),"")</f>
        <v/>
      </c>
      <c r="TXF118" s="100" t="str">
        <f t="shared" si="498"/>
        <v/>
      </c>
      <c r="TXG118" s="100" t="str">
        <f t="shared" si="498"/>
        <v/>
      </c>
      <c r="TXH118" s="100" t="str">
        <f t="shared" si="498"/>
        <v/>
      </c>
      <c r="TXI118" s="100" t="str">
        <f t="shared" si="498"/>
        <v/>
      </c>
      <c r="TXJ118" s="100" t="str">
        <f t="shared" si="498"/>
        <v/>
      </c>
      <c r="TXK118" s="100" t="str">
        <f t="shared" si="498"/>
        <v/>
      </c>
      <c r="TXL118" s="100" t="str">
        <f t="shared" si="498"/>
        <v/>
      </c>
      <c r="TXM118" s="100" t="str">
        <f t="shared" si="498"/>
        <v/>
      </c>
      <c r="TXN118" s="100" t="str">
        <f t="shared" si="498"/>
        <v/>
      </c>
      <c r="TXO118" s="100" t="str">
        <f t="shared" si="498"/>
        <v/>
      </c>
      <c r="TXP118" s="100" t="str">
        <f t="shared" si="498"/>
        <v/>
      </c>
      <c r="TXQ118" s="100" t="str">
        <f t="shared" si="498"/>
        <v/>
      </c>
      <c r="TXR118" s="100" t="str">
        <f t="shared" si="498"/>
        <v/>
      </c>
      <c r="TXS118" s="100" t="str">
        <f t="shared" si="498"/>
        <v/>
      </c>
      <c r="TXT118" s="100" t="str">
        <f t="shared" si="498"/>
        <v/>
      </c>
      <c r="TXU118" s="100" t="str">
        <f t="shared" si="498"/>
        <v/>
      </c>
      <c r="TXV118" s="100" t="str">
        <f t="shared" si="498"/>
        <v/>
      </c>
      <c r="TXW118" s="100" t="str">
        <f t="shared" si="498"/>
        <v/>
      </c>
      <c r="TXX118" s="100" t="str">
        <f t="shared" si="498"/>
        <v/>
      </c>
      <c r="TXY118" s="100" t="str">
        <f t="shared" si="498"/>
        <v/>
      </c>
      <c r="TXZ118" s="100" t="str">
        <f t="shared" si="498"/>
        <v/>
      </c>
      <c r="TYA118" s="100" t="str">
        <f t="shared" si="498"/>
        <v/>
      </c>
      <c r="TYB118" s="100" t="str">
        <f t="shared" si="498"/>
        <v/>
      </c>
      <c r="TYC118" s="100" t="str">
        <f t="shared" si="498"/>
        <v/>
      </c>
      <c r="TYD118" s="100" t="str">
        <f t="shared" si="498"/>
        <v/>
      </c>
      <c r="TYE118" s="100" t="str">
        <f t="shared" si="498"/>
        <v/>
      </c>
      <c r="TYF118" s="100" t="str">
        <f t="shared" si="498"/>
        <v/>
      </c>
      <c r="TYG118" s="100" t="str">
        <f t="shared" si="498"/>
        <v/>
      </c>
      <c r="TYH118" s="100" t="str">
        <f t="shared" si="498"/>
        <v/>
      </c>
      <c r="TYI118" s="100" t="str">
        <f t="shared" si="498"/>
        <v/>
      </c>
      <c r="TYJ118" s="100" t="str">
        <f t="shared" si="498"/>
        <v/>
      </c>
      <c r="TYK118" s="100" t="str">
        <f t="shared" si="498"/>
        <v/>
      </c>
      <c r="TYL118" s="100" t="str">
        <f t="shared" si="498"/>
        <v/>
      </c>
      <c r="TYM118" s="100" t="str">
        <f t="shared" si="498"/>
        <v/>
      </c>
      <c r="TYN118" s="100" t="str">
        <f t="shared" si="498"/>
        <v/>
      </c>
      <c r="TYO118" s="100" t="str">
        <f t="shared" si="498"/>
        <v/>
      </c>
      <c r="TYP118" s="100" t="str">
        <f t="shared" si="498"/>
        <v/>
      </c>
      <c r="TYQ118" s="100" t="str">
        <f t="shared" si="498"/>
        <v/>
      </c>
      <c r="TYR118" s="100" t="str">
        <f t="shared" si="498"/>
        <v/>
      </c>
      <c r="TYS118" s="100" t="str">
        <f t="shared" si="498"/>
        <v/>
      </c>
      <c r="TYT118" s="100" t="str">
        <f t="shared" si="498"/>
        <v/>
      </c>
      <c r="TYU118" s="100" t="str">
        <f t="shared" si="498"/>
        <v/>
      </c>
      <c r="TYV118" s="100" t="str">
        <f t="shared" si="498"/>
        <v/>
      </c>
      <c r="TYW118" s="100" t="str">
        <f t="shared" si="498"/>
        <v/>
      </c>
      <c r="TYX118" s="100" t="str">
        <f t="shared" si="498"/>
        <v/>
      </c>
      <c r="TYY118" s="100" t="str">
        <f t="shared" si="498"/>
        <v/>
      </c>
      <c r="TYZ118" s="100" t="str">
        <f t="shared" si="498"/>
        <v/>
      </c>
      <c r="TZA118" s="100" t="str">
        <f t="shared" si="498"/>
        <v/>
      </c>
      <c r="TZB118" s="100" t="str">
        <f t="shared" si="498"/>
        <v/>
      </c>
      <c r="TZC118" s="100" t="str">
        <f t="shared" si="498"/>
        <v/>
      </c>
      <c r="TZD118" s="100" t="str">
        <f t="shared" si="498"/>
        <v/>
      </c>
      <c r="TZE118" s="100" t="str">
        <f t="shared" si="498"/>
        <v/>
      </c>
      <c r="TZF118" s="100" t="str">
        <f t="shared" si="498"/>
        <v/>
      </c>
      <c r="TZG118" s="100" t="str">
        <f t="shared" si="498"/>
        <v/>
      </c>
      <c r="TZH118" s="100" t="str">
        <f t="shared" si="498"/>
        <v/>
      </c>
      <c r="TZI118" s="100" t="str">
        <f t="shared" si="498"/>
        <v/>
      </c>
      <c r="TZJ118" s="100" t="str">
        <f t="shared" si="498"/>
        <v/>
      </c>
      <c r="TZK118" s="100" t="str">
        <f t="shared" si="498"/>
        <v/>
      </c>
      <c r="TZL118" s="100" t="str">
        <f t="shared" si="498"/>
        <v/>
      </c>
      <c r="TZM118" s="100" t="str">
        <f t="shared" si="498"/>
        <v/>
      </c>
      <c r="TZN118" s="100" t="str">
        <f t="shared" si="498"/>
        <v/>
      </c>
      <c r="TZO118" s="100" t="str">
        <f t="shared" si="498"/>
        <v/>
      </c>
      <c r="TZP118" s="100" t="str">
        <f t="shared" si="498"/>
        <v/>
      </c>
      <c r="TZQ118" s="100" t="str">
        <f t="shared" ref="TZQ118:UCB118" si="499">IFERROR(AVERAGE(TZQ6,TZQ16,TZQ25,TZQ34,TZQ42,TZQ54,TZQ62,TZQ70,TZQ78,TZQ86,TZQ94,TZQ102,TZQ110),"")</f>
        <v/>
      </c>
      <c r="TZR118" s="100" t="str">
        <f t="shared" si="499"/>
        <v/>
      </c>
      <c r="TZS118" s="100" t="str">
        <f t="shared" si="499"/>
        <v/>
      </c>
      <c r="TZT118" s="100" t="str">
        <f t="shared" si="499"/>
        <v/>
      </c>
      <c r="TZU118" s="100" t="str">
        <f t="shared" si="499"/>
        <v/>
      </c>
      <c r="TZV118" s="100" t="str">
        <f t="shared" si="499"/>
        <v/>
      </c>
      <c r="TZW118" s="100" t="str">
        <f t="shared" si="499"/>
        <v/>
      </c>
      <c r="TZX118" s="100" t="str">
        <f t="shared" si="499"/>
        <v/>
      </c>
      <c r="TZY118" s="100" t="str">
        <f t="shared" si="499"/>
        <v/>
      </c>
      <c r="TZZ118" s="100" t="str">
        <f t="shared" si="499"/>
        <v/>
      </c>
      <c r="UAA118" s="100" t="str">
        <f t="shared" si="499"/>
        <v/>
      </c>
      <c r="UAB118" s="100" t="str">
        <f t="shared" si="499"/>
        <v/>
      </c>
      <c r="UAC118" s="100" t="str">
        <f t="shared" si="499"/>
        <v/>
      </c>
      <c r="UAD118" s="100" t="str">
        <f t="shared" si="499"/>
        <v/>
      </c>
      <c r="UAE118" s="100" t="str">
        <f t="shared" si="499"/>
        <v/>
      </c>
      <c r="UAF118" s="100" t="str">
        <f t="shared" si="499"/>
        <v/>
      </c>
      <c r="UAG118" s="100" t="str">
        <f t="shared" si="499"/>
        <v/>
      </c>
      <c r="UAH118" s="100" t="str">
        <f t="shared" si="499"/>
        <v/>
      </c>
      <c r="UAI118" s="100" t="str">
        <f t="shared" si="499"/>
        <v/>
      </c>
      <c r="UAJ118" s="100" t="str">
        <f t="shared" si="499"/>
        <v/>
      </c>
      <c r="UAK118" s="100" t="str">
        <f t="shared" si="499"/>
        <v/>
      </c>
      <c r="UAL118" s="100" t="str">
        <f t="shared" si="499"/>
        <v/>
      </c>
      <c r="UAM118" s="100" t="str">
        <f t="shared" si="499"/>
        <v/>
      </c>
      <c r="UAN118" s="100" t="str">
        <f t="shared" si="499"/>
        <v/>
      </c>
      <c r="UAO118" s="100" t="str">
        <f t="shared" si="499"/>
        <v/>
      </c>
      <c r="UAP118" s="100" t="str">
        <f t="shared" si="499"/>
        <v/>
      </c>
      <c r="UAQ118" s="100" t="str">
        <f t="shared" si="499"/>
        <v/>
      </c>
      <c r="UAR118" s="100" t="str">
        <f t="shared" si="499"/>
        <v/>
      </c>
      <c r="UAS118" s="100" t="str">
        <f t="shared" si="499"/>
        <v/>
      </c>
      <c r="UAT118" s="100" t="str">
        <f t="shared" si="499"/>
        <v/>
      </c>
      <c r="UAU118" s="100" t="str">
        <f t="shared" si="499"/>
        <v/>
      </c>
      <c r="UAV118" s="100" t="str">
        <f t="shared" si="499"/>
        <v/>
      </c>
      <c r="UAW118" s="100" t="str">
        <f t="shared" si="499"/>
        <v/>
      </c>
      <c r="UAX118" s="100" t="str">
        <f t="shared" si="499"/>
        <v/>
      </c>
      <c r="UAY118" s="100" t="str">
        <f t="shared" si="499"/>
        <v/>
      </c>
      <c r="UAZ118" s="100" t="str">
        <f t="shared" si="499"/>
        <v/>
      </c>
      <c r="UBA118" s="100" t="str">
        <f t="shared" si="499"/>
        <v/>
      </c>
      <c r="UBB118" s="100" t="str">
        <f t="shared" si="499"/>
        <v/>
      </c>
      <c r="UBC118" s="100" t="str">
        <f t="shared" si="499"/>
        <v/>
      </c>
      <c r="UBD118" s="100" t="str">
        <f t="shared" si="499"/>
        <v/>
      </c>
      <c r="UBE118" s="100" t="str">
        <f t="shared" si="499"/>
        <v/>
      </c>
      <c r="UBF118" s="100" t="str">
        <f t="shared" si="499"/>
        <v/>
      </c>
      <c r="UBG118" s="100" t="str">
        <f t="shared" si="499"/>
        <v/>
      </c>
      <c r="UBH118" s="100" t="str">
        <f t="shared" si="499"/>
        <v/>
      </c>
      <c r="UBI118" s="100" t="str">
        <f t="shared" si="499"/>
        <v/>
      </c>
      <c r="UBJ118" s="100" t="str">
        <f t="shared" si="499"/>
        <v/>
      </c>
      <c r="UBK118" s="100" t="str">
        <f t="shared" si="499"/>
        <v/>
      </c>
      <c r="UBL118" s="100" t="str">
        <f t="shared" si="499"/>
        <v/>
      </c>
      <c r="UBM118" s="100" t="str">
        <f t="shared" si="499"/>
        <v/>
      </c>
      <c r="UBN118" s="100" t="str">
        <f t="shared" si="499"/>
        <v/>
      </c>
      <c r="UBO118" s="100" t="str">
        <f t="shared" si="499"/>
        <v/>
      </c>
      <c r="UBP118" s="100" t="str">
        <f t="shared" si="499"/>
        <v/>
      </c>
      <c r="UBQ118" s="100" t="str">
        <f t="shared" si="499"/>
        <v/>
      </c>
      <c r="UBR118" s="100" t="str">
        <f t="shared" si="499"/>
        <v/>
      </c>
      <c r="UBS118" s="100" t="str">
        <f t="shared" si="499"/>
        <v/>
      </c>
      <c r="UBT118" s="100" t="str">
        <f t="shared" si="499"/>
        <v/>
      </c>
      <c r="UBU118" s="100" t="str">
        <f t="shared" si="499"/>
        <v/>
      </c>
      <c r="UBV118" s="100" t="str">
        <f t="shared" si="499"/>
        <v/>
      </c>
      <c r="UBW118" s="100" t="str">
        <f t="shared" si="499"/>
        <v/>
      </c>
      <c r="UBX118" s="100" t="str">
        <f t="shared" si="499"/>
        <v/>
      </c>
      <c r="UBY118" s="100" t="str">
        <f t="shared" si="499"/>
        <v/>
      </c>
      <c r="UBZ118" s="100" t="str">
        <f t="shared" si="499"/>
        <v/>
      </c>
      <c r="UCA118" s="100" t="str">
        <f t="shared" si="499"/>
        <v/>
      </c>
      <c r="UCB118" s="100" t="str">
        <f t="shared" si="499"/>
        <v/>
      </c>
      <c r="UCC118" s="100" t="str">
        <f t="shared" ref="UCC118:UEN118" si="500">IFERROR(AVERAGE(UCC6,UCC16,UCC25,UCC34,UCC42,UCC54,UCC62,UCC70,UCC78,UCC86,UCC94,UCC102,UCC110),"")</f>
        <v/>
      </c>
      <c r="UCD118" s="100" t="str">
        <f t="shared" si="500"/>
        <v/>
      </c>
      <c r="UCE118" s="100" t="str">
        <f t="shared" si="500"/>
        <v/>
      </c>
      <c r="UCF118" s="100" t="str">
        <f t="shared" si="500"/>
        <v/>
      </c>
      <c r="UCG118" s="100" t="str">
        <f t="shared" si="500"/>
        <v/>
      </c>
      <c r="UCH118" s="100" t="str">
        <f t="shared" si="500"/>
        <v/>
      </c>
      <c r="UCI118" s="100" t="str">
        <f t="shared" si="500"/>
        <v/>
      </c>
      <c r="UCJ118" s="100" t="str">
        <f t="shared" si="500"/>
        <v/>
      </c>
      <c r="UCK118" s="100" t="str">
        <f t="shared" si="500"/>
        <v/>
      </c>
      <c r="UCL118" s="100" t="str">
        <f t="shared" si="500"/>
        <v/>
      </c>
      <c r="UCM118" s="100" t="str">
        <f t="shared" si="500"/>
        <v/>
      </c>
      <c r="UCN118" s="100" t="str">
        <f t="shared" si="500"/>
        <v/>
      </c>
      <c r="UCO118" s="100" t="str">
        <f t="shared" si="500"/>
        <v/>
      </c>
      <c r="UCP118" s="100" t="str">
        <f t="shared" si="500"/>
        <v/>
      </c>
      <c r="UCQ118" s="100" t="str">
        <f t="shared" si="500"/>
        <v/>
      </c>
      <c r="UCR118" s="100" t="str">
        <f t="shared" si="500"/>
        <v/>
      </c>
      <c r="UCS118" s="100" t="str">
        <f t="shared" si="500"/>
        <v/>
      </c>
      <c r="UCT118" s="100" t="str">
        <f t="shared" si="500"/>
        <v/>
      </c>
      <c r="UCU118" s="100" t="str">
        <f t="shared" si="500"/>
        <v/>
      </c>
      <c r="UCV118" s="100" t="str">
        <f t="shared" si="500"/>
        <v/>
      </c>
      <c r="UCW118" s="100" t="str">
        <f t="shared" si="500"/>
        <v/>
      </c>
      <c r="UCX118" s="100" t="str">
        <f t="shared" si="500"/>
        <v/>
      </c>
      <c r="UCY118" s="100" t="str">
        <f t="shared" si="500"/>
        <v/>
      </c>
      <c r="UCZ118" s="100" t="str">
        <f t="shared" si="500"/>
        <v/>
      </c>
      <c r="UDA118" s="100" t="str">
        <f t="shared" si="500"/>
        <v/>
      </c>
      <c r="UDB118" s="100" t="str">
        <f t="shared" si="500"/>
        <v/>
      </c>
      <c r="UDC118" s="100" t="str">
        <f t="shared" si="500"/>
        <v/>
      </c>
      <c r="UDD118" s="100" t="str">
        <f t="shared" si="500"/>
        <v/>
      </c>
      <c r="UDE118" s="100" t="str">
        <f t="shared" si="500"/>
        <v/>
      </c>
      <c r="UDF118" s="100" t="str">
        <f t="shared" si="500"/>
        <v/>
      </c>
      <c r="UDG118" s="100" t="str">
        <f t="shared" si="500"/>
        <v/>
      </c>
      <c r="UDH118" s="100" t="str">
        <f t="shared" si="500"/>
        <v/>
      </c>
      <c r="UDI118" s="100" t="str">
        <f t="shared" si="500"/>
        <v/>
      </c>
      <c r="UDJ118" s="100" t="str">
        <f t="shared" si="500"/>
        <v/>
      </c>
      <c r="UDK118" s="100" t="str">
        <f t="shared" si="500"/>
        <v/>
      </c>
      <c r="UDL118" s="100" t="str">
        <f t="shared" si="500"/>
        <v/>
      </c>
      <c r="UDM118" s="100" t="str">
        <f t="shared" si="500"/>
        <v/>
      </c>
      <c r="UDN118" s="100" t="str">
        <f t="shared" si="500"/>
        <v/>
      </c>
      <c r="UDO118" s="100" t="str">
        <f t="shared" si="500"/>
        <v/>
      </c>
      <c r="UDP118" s="100" t="str">
        <f t="shared" si="500"/>
        <v/>
      </c>
      <c r="UDQ118" s="100" t="str">
        <f t="shared" si="500"/>
        <v/>
      </c>
      <c r="UDR118" s="100" t="str">
        <f t="shared" si="500"/>
        <v/>
      </c>
      <c r="UDS118" s="100" t="str">
        <f t="shared" si="500"/>
        <v/>
      </c>
      <c r="UDT118" s="100" t="str">
        <f t="shared" si="500"/>
        <v/>
      </c>
      <c r="UDU118" s="100" t="str">
        <f t="shared" si="500"/>
        <v/>
      </c>
      <c r="UDV118" s="100" t="str">
        <f t="shared" si="500"/>
        <v/>
      </c>
      <c r="UDW118" s="100" t="str">
        <f t="shared" si="500"/>
        <v/>
      </c>
      <c r="UDX118" s="100" t="str">
        <f t="shared" si="500"/>
        <v/>
      </c>
      <c r="UDY118" s="100" t="str">
        <f t="shared" si="500"/>
        <v/>
      </c>
      <c r="UDZ118" s="100" t="str">
        <f t="shared" si="500"/>
        <v/>
      </c>
      <c r="UEA118" s="100" t="str">
        <f t="shared" si="500"/>
        <v/>
      </c>
      <c r="UEB118" s="100" t="str">
        <f t="shared" si="500"/>
        <v/>
      </c>
      <c r="UEC118" s="100" t="str">
        <f t="shared" si="500"/>
        <v/>
      </c>
      <c r="UED118" s="100" t="str">
        <f t="shared" si="500"/>
        <v/>
      </c>
      <c r="UEE118" s="100" t="str">
        <f t="shared" si="500"/>
        <v/>
      </c>
      <c r="UEF118" s="100" t="str">
        <f t="shared" si="500"/>
        <v/>
      </c>
      <c r="UEG118" s="100" t="str">
        <f t="shared" si="500"/>
        <v/>
      </c>
      <c r="UEH118" s="100" t="str">
        <f t="shared" si="500"/>
        <v/>
      </c>
      <c r="UEI118" s="100" t="str">
        <f t="shared" si="500"/>
        <v/>
      </c>
      <c r="UEJ118" s="100" t="str">
        <f t="shared" si="500"/>
        <v/>
      </c>
      <c r="UEK118" s="100" t="str">
        <f t="shared" si="500"/>
        <v/>
      </c>
      <c r="UEL118" s="100" t="str">
        <f t="shared" si="500"/>
        <v/>
      </c>
      <c r="UEM118" s="100" t="str">
        <f t="shared" si="500"/>
        <v/>
      </c>
      <c r="UEN118" s="100" t="str">
        <f t="shared" si="500"/>
        <v/>
      </c>
      <c r="UEO118" s="100" t="str">
        <f t="shared" ref="UEO118:UGZ118" si="501">IFERROR(AVERAGE(UEO6,UEO16,UEO25,UEO34,UEO42,UEO54,UEO62,UEO70,UEO78,UEO86,UEO94,UEO102,UEO110),"")</f>
        <v/>
      </c>
      <c r="UEP118" s="100" t="str">
        <f t="shared" si="501"/>
        <v/>
      </c>
      <c r="UEQ118" s="100" t="str">
        <f t="shared" si="501"/>
        <v/>
      </c>
      <c r="UER118" s="100" t="str">
        <f t="shared" si="501"/>
        <v/>
      </c>
      <c r="UES118" s="100" t="str">
        <f t="shared" si="501"/>
        <v/>
      </c>
      <c r="UET118" s="100" t="str">
        <f t="shared" si="501"/>
        <v/>
      </c>
      <c r="UEU118" s="100" t="str">
        <f t="shared" si="501"/>
        <v/>
      </c>
      <c r="UEV118" s="100" t="str">
        <f t="shared" si="501"/>
        <v/>
      </c>
      <c r="UEW118" s="100" t="str">
        <f t="shared" si="501"/>
        <v/>
      </c>
      <c r="UEX118" s="100" t="str">
        <f t="shared" si="501"/>
        <v/>
      </c>
      <c r="UEY118" s="100" t="str">
        <f t="shared" si="501"/>
        <v/>
      </c>
      <c r="UEZ118" s="100" t="str">
        <f t="shared" si="501"/>
        <v/>
      </c>
      <c r="UFA118" s="100" t="str">
        <f t="shared" si="501"/>
        <v/>
      </c>
      <c r="UFB118" s="100" t="str">
        <f t="shared" si="501"/>
        <v/>
      </c>
      <c r="UFC118" s="100" t="str">
        <f t="shared" si="501"/>
        <v/>
      </c>
      <c r="UFD118" s="100" t="str">
        <f t="shared" si="501"/>
        <v/>
      </c>
      <c r="UFE118" s="100" t="str">
        <f t="shared" si="501"/>
        <v/>
      </c>
      <c r="UFF118" s="100" t="str">
        <f t="shared" si="501"/>
        <v/>
      </c>
      <c r="UFG118" s="100" t="str">
        <f t="shared" si="501"/>
        <v/>
      </c>
      <c r="UFH118" s="100" t="str">
        <f t="shared" si="501"/>
        <v/>
      </c>
      <c r="UFI118" s="100" t="str">
        <f t="shared" si="501"/>
        <v/>
      </c>
      <c r="UFJ118" s="100" t="str">
        <f t="shared" si="501"/>
        <v/>
      </c>
      <c r="UFK118" s="100" t="str">
        <f t="shared" si="501"/>
        <v/>
      </c>
      <c r="UFL118" s="100" t="str">
        <f t="shared" si="501"/>
        <v/>
      </c>
      <c r="UFM118" s="100" t="str">
        <f t="shared" si="501"/>
        <v/>
      </c>
      <c r="UFN118" s="100" t="str">
        <f t="shared" si="501"/>
        <v/>
      </c>
      <c r="UFO118" s="100" t="str">
        <f t="shared" si="501"/>
        <v/>
      </c>
      <c r="UFP118" s="100" t="str">
        <f t="shared" si="501"/>
        <v/>
      </c>
      <c r="UFQ118" s="100" t="str">
        <f t="shared" si="501"/>
        <v/>
      </c>
      <c r="UFR118" s="100" t="str">
        <f t="shared" si="501"/>
        <v/>
      </c>
      <c r="UFS118" s="100" t="str">
        <f t="shared" si="501"/>
        <v/>
      </c>
      <c r="UFT118" s="100" t="str">
        <f t="shared" si="501"/>
        <v/>
      </c>
      <c r="UFU118" s="100" t="str">
        <f t="shared" si="501"/>
        <v/>
      </c>
      <c r="UFV118" s="100" t="str">
        <f t="shared" si="501"/>
        <v/>
      </c>
      <c r="UFW118" s="100" t="str">
        <f t="shared" si="501"/>
        <v/>
      </c>
      <c r="UFX118" s="100" t="str">
        <f t="shared" si="501"/>
        <v/>
      </c>
      <c r="UFY118" s="100" t="str">
        <f t="shared" si="501"/>
        <v/>
      </c>
      <c r="UFZ118" s="100" t="str">
        <f t="shared" si="501"/>
        <v/>
      </c>
      <c r="UGA118" s="100" t="str">
        <f t="shared" si="501"/>
        <v/>
      </c>
      <c r="UGB118" s="100" t="str">
        <f t="shared" si="501"/>
        <v/>
      </c>
      <c r="UGC118" s="100" t="str">
        <f t="shared" si="501"/>
        <v/>
      </c>
      <c r="UGD118" s="100" t="str">
        <f t="shared" si="501"/>
        <v/>
      </c>
      <c r="UGE118" s="100" t="str">
        <f t="shared" si="501"/>
        <v/>
      </c>
      <c r="UGF118" s="100" t="str">
        <f t="shared" si="501"/>
        <v/>
      </c>
      <c r="UGG118" s="100" t="str">
        <f t="shared" si="501"/>
        <v/>
      </c>
      <c r="UGH118" s="100" t="str">
        <f t="shared" si="501"/>
        <v/>
      </c>
      <c r="UGI118" s="100" t="str">
        <f t="shared" si="501"/>
        <v/>
      </c>
      <c r="UGJ118" s="100" t="str">
        <f t="shared" si="501"/>
        <v/>
      </c>
      <c r="UGK118" s="100" t="str">
        <f t="shared" si="501"/>
        <v/>
      </c>
      <c r="UGL118" s="100" t="str">
        <f t="shared" si="501"/>
        <v/>
      </c>
      <c r="UGM118" s="100" t="str">
        <f t="shared" si="501"/>
        <v/>
      </c>
      <c r="UGN118" s="100" t="str">
        <f t="shared" si="501"/>
        <v/>
      </c>
      <c r="UGO118" s="100" t="str">
        <f t="shared" si="501"/>
        <v/>
      </c>
      <c r="UGP118" s="100" t="str">
        <f t="shared" si="501"/>
        <v/>
      </c>
      <c r="UGQ118" s="100" t="str">
        <f t="shared" si="501"/>
        <v/>
      </c>
      <c r="UGR118" s="100" t="str">
        <f t="shared" si="501"/>
        <v/>
      </c>
      <c r="UGS118" s="100" t="str">
        <f t="shared" si="501"/>
        <v/>
      </c>
      <c r="UGT118" s="100" t="str">
        <f t="shared" si="501"/>
        <v/>
      </c>
      <c r="UGU118" s="100" t="str">
        <f t="shared" si="501"/>
        <v/>
      </c>
      <c r="UGV118" s="100" t="str">
        <f t="shared" si="501"/>
        <v/>
      </c>
      <c r="UGW118" s="100" t="str">
        <f t="shared" si="501"/>
        <v/>
      </c>
      <c r="UGX118" s="100" t="str">
        <f t="shared" si="501"/>
        <v/>
      </c>
      <c r="UGY118" s="100" t="str">
        <f t="shared" si="501"/>
        <v/>
      </c>
      <c r="UGZ118" s="100" t="str">
        <f t="shared" si="501"/>
        <v/>
      </c>
      <c r="UHA118" s="100" t="str">
        <f t="shared" ref="UHA118:UJL118" si="502">IFERROR(AVERAGE(UHA6,UHA16,UHA25,UHA34,UHA42,UHA54,UHA62,UHA70,UHA78,UHA86,UHA94,UHA102,UHA110),"")</f>
        <v/>
      </c>
      <c r="UHB118" s="100" t="str">
        <f t="shared" si="502"/>
        <v/>
      </c>
      <c r="UHC118" s="100" t="str">
        <f t="shared" si="502"/>
        <v/>
      </c>
      <c r="UHD118" s="100" t="str">
        <f t="shared" si="502"/>
        <v/>
      </c>
      <c r="UHE118" s="100" t="str">
        <f t="shared" si="502"/>
        <v/>
      </c>
      <c r="UHF118" s="100" t="str">
        <f t="shared" si="502"/>
        <v/>
      </c>
      <c r="UHG118" s="100" t="str">
        <f t="shared" si="502"/>
        <v/>
      </c>
      <c r="UHH118" s="100" t="str">
        <f t="shared" si="502"/>
        <v/>
      </c>
      <c r="UHI118" s="100" t="str">
        <f t="shared" si="502"/>
        <v/>
      </c>
      <c r="UHJ118" s="100" t="str">
        <f t="shared" si="502"/>
        <v/>
      </c>
      <c r="UHK118" s="100" t="str">
        <f t="shared" si="502"/>
        <v/>
      </c>
      <c r="UHL118" s="100" t="str">
        <f t="shared" si="502"/>
        <v/>
      </c>
      <c r="UHM118" s="100" t="str">
        <f t="shared" si="502"/>
        <v/>
      </c>
      <c r="UHN118" s="100" t="str">
        <f t="shared" si="502"/>
        <v/>
      </c>
      <c r="UHO118" s="100" t="str">
        <f t="shared" si="502"/>
        <v/>
      </c>
      <c r="UHP118" s="100" t="str">
        <f t="shared" si="502"/>
        <v/>
      </c>
      <c r="UHQ118" s="100" t="str">
        <f t="shared" si="502"/>
        <v/>
      </c>
      <c r="UHR118" s="100" t="str">
        <f t="shared" si="502"/>
        <v/>
      </c>
      <c r="UHS118" s="100" t="str">
        <f t="shared" si="502"/>
        <v/>
      </c>
      <c r="UHT118" s="100" t="str">
        <f t="shared" si="502"/>
        <v/>
      </c>
      <c r="UHU118" s="100" t="str">
        <f t="shared" si="502"/>
        <v/>
      </c>
      <c r="UHV118" s="100" t="str">
        <f t="shared" si="502"/>
        <v/>
      </c>
      <c r="UHW118" s="100" t="str">
        <f t="shared" si="502"/>
        <v/>
      </c>
      <c r="UHX118" s="100" t="str">
        <f t="shared" si="502"/>
        <v/>
      </c>
      <c r="UHY118" s="100" t="str">
        <f t="shared" si="502"/>
        <v/>
      </c>
      <c r="UHZ118" s="100" t="str">
        <f t="shared" si="502"/>
        <v/>
      </c>
      <c r="UIA118" s="100" t="str">
        <f t="shared" si="502"/>
        <v/>
      </c>
      <c r="UIB118" s="100" t="str">
        <f t="shared" si="502"/>
        <v/>
      </c>
      <c r="UIC118" s="100" t="str">
        <f t="shared" si="502"/>
        <v/>
      </c>
      <c r="UID118" s="100" t="str">
        <f t="shared" si="502"/>
        <v/>
      </c>
      <c r="UIE118" s="100" t="str">
        <f t="shared" si="502"/>
        <v/>
      </c>
      <c r="UIF118" s="100" t="str">
        <f t="shared" si="502"/>
        <v/>
      </c>
      <c r="UIG118" s="100" t="str">
        <f t="shared" si="502"/>
        <v/>
      </c>
      <c r="UIH118" s="100" t="str">
        <f t="shared" si="502"/>
        <v/>
      </c>
      <c r="UII118" s="100" t="str">
        <f t="shared" si="502"/>
        <v/>
      </c>
      <c r="UIJ118" s="100" t="str">
        <f t="shared" si="502"/>
        <v/>
      </c>
      <c r="UIK118" s="100" t="str">
        <f t="shared" si="502"/>
        <v/>
      </c>
      <c r="UIL118" s="100" t="str">
        <f t="shared" si="502"/>
        <v/>
      </c>
      <c r="UIM118" s="100" t="str">
        <f t="shared" si="502"/>
        <v/>
      </c>
      <c r="UIN118" s="100" t="str">
        <f t="shared" si="502"/>
        <v/>
      </c>
      <c r="UIO118" s="100" t="str">
        <f t="shared" si="502"/>
        <v/>
      </c>
      <c r="UIP118" s="100" t="str">
        <f t="shared" si="502"/>
        <v/>
      </c>
      <c r="UIQ118" s="100" t="str">
        <f t="shared" si="502"/>
        <v/>
      </c>
      <c r="UIR118" s="100" t="str">
        <f t="shared" si="502"/>
        <v/>
      </c>
      <c r="UIS118" s="100" t="str">
        <f t="shared" si="502"/>
        <v/>
      </c>
      <c r="UIT118" s="100" t="str">
        <f t="shared" si="502"/>
        <v/>
      </c>
      <c r="UIU118" s="100" t="str">
        <f t="shared" si="502"/>
        <v/>
      </c>
      <c r="UIV118" s="100" t="str">
        <f t="shared" si="502"/>
        <v/>
      </c>
      <c r="UIW118" s="100" t="str">
        <f t="shared" si="502"/>
        <v/>
      </c>
      <c r="UIX118" s="100" t="str">
        <f t="shared" si="502"/>
        <v/>
      </c>
      <c r="UIY118" s="100" t="str">
        <f t="shared" si="502"/>
        <v/>
      </c>
      <c r="UIZ118" s="100" t="str">
        <f t="shared" si="502"/>
        <v/>
      </c>
      <c r="UJA118" s="100" t="str">
        <f t="shared" si="502"/>
        <v/>
      </c>
      <c r="UJB118" s="100" t="str">
        <f t="shared" si="502"/>
        <v/>
      </c>
      <c r="UJC118" s="100" t="str">
        <f t="shared" si="502"/>
        <v/>
      </c>
      <c r="UJD118" s="100" t="str">
        <f t="shared" si="502"/>
        <v/>
      </c>
      <c r="UJE118" s="100" t="str">
        <f t="shared" si="502"/>
        <v/>
      </c>
      <c r="UJF118" s="100" t="str">
        <f t="shared" si="502"/>
        <v/>
      </c>
      <c r="UJG118" s="100" t="str">
        <f t="shared" si="502"/>
        <v/>
      </c>
      <c r="UJH118" s="100" t="str">
        <f t="shared" si="502"/>
        <v/>
      </c>
      <c r="UJI118" s="100" t="str">
        <f t="shared" si="502"/>
        <v/>
      </c>
      <c r="UJJ118" s="100" t="str">
        <f t="shared" si="502"/>
        <v/>
      </c>
      <c r="UJK118" s="100" t="str">
        <f t="shared" si="502"/>
        <v/>
      </c>
      <c r="UJL118" s="100" t="str">
        <f t="shared" si="502"/>
        <v/>
      </c>
      <c r="UJM118" s="100" t="str">
        <f t="shared" ref="UJM118:ULX118" si="503">IFERROR(AVERAGE(UJM6,UJM16,UJM25,UJM34,UJM42,UJM54,UJM62,UJM70,UJM78,UJM86,UJM94,UJM102,UJM110),"")</f>
        <v/>
      </c>
      <c r="UJN118" s="100" t="str">
        <f t="shared" si="503"/>
        <v/>
      </c>
      <c r="UJO118" s="100" t="str">
        <f t="shared" si="503"/>
        <v/>
      </c>
      <c r="UJP118" s="100" t="str">
        <f t="shared" si="503"/>
        <v/>
      </c>
      <c r="UJQ118" s="100" t="str">
        <f t="shared" si="503"/>
        <v/>
      </c>
      <c r="UJR118" s="100" t="str">
        <f t="shared" si="503"/>
        <v/>
      </c>
      <c r="UJS118" s="100" t="str">
        <f t="shared" si="503"/>
        <v/>
      </c>
      <c r="UJT118" s="100" t="str">
        <f t="shared" si="503"/>
        <v/>
      </c>
      <c r="UJU118" s="100" t="str">
        <f t="shared" si="503"/>
        <v/>
      </c>
      <c r="UJV118" s="100" t="str">
        <f t="shared" si="503"/>
        <v/>
      </c>
      <c r="UJW118" s="100" t="str">
        <f t="shared" si="503"/>
        <v/>
      </c>
      <c r="UJX118" s="100" t="str">
        <f t="shared" si="503"/>
        <v/>
      </c>
      <c r="UJY118" s="100" t="str">
        <f t="shared" si="503"/>
        <v/>
      </c>
      <c r="UJZ118" s="100" t="str">
        <f t="shared" si="503"/>
        <v/>
      </c>
      <c r="UKA118" s="100" t="str">
        <f t="shared" si="503"/>
        <v/>
      </c>
      <c r="UKB118" s="100" t="str">
        <f t="shared" si="503"/>
        <v/>
      </c>
      <c r="UKC118" s="100" t="str">
        <f t="shared" si="503"/>
        <v/>
      </c>
      <c r="UKD118" s="100" t="str">
        <f t="shared" si="503"/>
        <v/>
      </c>
      <c r="UKE118" s="100" t="str">
        <f t="shared" si="503"/>
        <v/>
      </c>
      <c r="UKF118" s="100" t="str">
        <f t="shared" si="503"/>
        <v/>
      </c>
      <c r="UKG118" s="100" t="str">
        <f t="shared" si="503"/>
        <v/>
      </c>
      <c r="UKH118" s="100" t="str">
        <f t="shared" si="503"/>
        <v/>
      </c>
      <c r="UKI118" s="100" t="str">
        <f t="shared" si="503"/>
        <v/>
      </c>
      <c r="UKJ118" s="100" t="str">
        <f t="shared" si="503"/>
        <v/>
      </c>
      <c r="UKK118" s="100" t="str">
        <f t="shared" si="503"/>
        <v/>
      </c>
      <c r="UKL118" s="100" t="str">
        <f t="shared" si="503"/>
        <v/>
      </c>
      <c r="UKM118" s="100" t="str">
        <f t="shared" si="503"/>
        <v/>
      </c>
      <c r="UKN118" s="100" t="str">
        <f t="shared" si="503"/>
        <v/>
      </c>
      <c r="UKO118" s="100" t="str">
        <f t="shared" si="503"/>
        <v/>
      </c>
      <c r="UKP118" s="100" t="str">
        <f t="shared" si="503"/>
        <v/>
      </c>
      <c r="UKQ118" s="100" t="str">
        <f t="shared" si="503"/>
        <v/>
      </c>
      <c r="UKR118" s="100" t="str">
        <f t="shared" si="503"/>
        <v/>
      </c>
      <c r="UKS118" s="100" t="str">
        <f t="shared" si="503"/>
        <v/>
      </c>
      <c r="UKT118" s="100" t="str">
        <f t="shared" si="503"/>
        <v/>
      </c>
      <c r="UKU118" s="100" t="str">
        <f t="shared" si="503"/>
        <v/>
      </c>
      <c r="UKV118" s="100" t="str">
        <f t="shared" si="503"/>
        <v/>
      </c>
      <c r="UKW118" s="100" t="str">
        <f t="shared" si="503"/>
        <v/>
      </c>
      <c r="UKX118" s="100" t="str">
        <f t="shared" si="503"/>
        <v/>
      </c>
      <c r="UKY118" s="100" t="str">
        <f t="shared" si="503"/>
        <v/>
      </c>
      <c r="UKZ118" s="100" t="str">
        <f t="shared" si="503"/>
        <v/>
      </c>
      <c r="ULA118" s="100" t="str">
        <f t="shared" si="503"/>
        <v/>
      </c>
      <c r="ULB118" s="100" t="str">
        <f t="shared" si="503"/>
        <v/>
      </c>
      <c r="ULC118" s="100" t="str">
        <f t="shared" si="503"/>
        <v/>
      </c>
      <c r="ULD118" s="100" t="str">
        <f t="shared" si="503"/>
        <v/>
      </c>
      <c r="ULE118" s="100" t="str">
        <f t="shared" si="503"/>
        <v/>
      </c>
      <c r="ULF118" s="100" t="str">
        <f t="shared" si="503"/>
        <v/>
      </c>
      <c r="ULG118" s="100" t="str">
        <f t="shared" si="503"/>
        <v/>
      </c>
      <c r="ULH118" s="100" t="str">
        <f t="shared" si="503"/>
        <v/>
      </c>
      <c r="ULI118" s="100" t="str">
        <f t="shared" si="503"/>
        <v/>
      </c>
      <c r="ULJ118" s="100" t="str">
        <f t="shared" si="503"/>
        <v/>
      </c>
      <c r="ULK118" s="100" t="str">
        <f t="shared" si="503"/>
        <v/>
      </c>
      <c r="ULL118" s="100" t="str">
        <f t="shared" si="503"/>
        <v/>
      </c>
      <c r="ULM118" s="100" t="str">
        <f t="shared" si="503"/>
        <v/>
      </c>
      <c r="ULN118" s="100" t="str">
        <f t="shared" si="503"/>
        <v/>
      </c>
      <c r="ULO118" s="100" t="str">
        <f t="shared" si="503"/>
        <v/>
      </c>
      <c r="ULP118" s="100" t="str">
        <f t="shared" si="503"/>
        <v/>
      </c>
      <c r="ULQ118" s="100" t="str">
        <f t="shared" si="503"/>
        <v/>
      </c>
      <c r="ULR118" s="100" t="str">
        <f t="shared" si="503"/>
        <v/>
      </c>
      <c r="ULS118" s="100" t="str">
        <f t="shared" si="503"/>
        <v/>
      </c>
      <c r="ULT118" s="100" t="str">
        <f t="shared" si="503"/>
        <v/>
      </c>
      <c r="ULU118" s="100" t="str">
        <f t="shared" si="503"/>
        <v/>
      </c>
      <c r="ULV118" s="100" t="str">
        <f t="shared" si="503"/>
        <v/>
      </c>
      <c r="ULW118" s="100" t="str">
        <f t="shared" si="503"/>
        <v/>
      </c>
      <c r="ULX118" s="100" t="str">
        <f t="shared" si="503"/>
        <v/>
      </c>
      <c r="ULY118" s="100" t="str">
        <f t="shared" ref="ULY118:UOJ118" si="504">IFERROR(AVERAGE(ULY6,ULY16,ULY25,ULY34,ULY42,ULY54,ULY62,ULY70,ULY78,ULY86,ULY94,ULY102,ULY110),"")</f>
        <v/>
      </c>
      <c r="ULZ118" s="100" t="str">
        <f t="shared" si="504"/>
        <v/>
      </c>
      <c r="UMA118" s="100" t="str">
        <f t="shared" si="504"/>
        <v/>
      </c>
      <c r="UMB118" s="100" t="str">
        <f t="shared" si="504"/>
        <v/>
      </c>
      <c r="UMC118" s="100" t="str">
        <f t="shared" si="504"/>
        <v/>
      </c>
      <c r="UMD118" s="100" t="str">
        <f t="shared" si="504"/>
        <v/>
      </c>
      <c r="UME118" s="100" t="str">
        <f t="shared" si="504"/>
        <v/>
      </c>
      <c r="UMF118" s="100" t="str">
        <f t="shared" si="504"/>
        <v/>
      </c>
      <c r="UMG118" s="100" t="str">
        <f t="shared" si="504"/>
        <v/>
      </c>
      <c r="UMH118" s="100" t="str">
        <f t="shared" si="504"/>
        <v/>
      </c>
      <c r="UMI118" s="100" t="str">
        <f t="shared" si="504"/>
        <v/>
      </c>
      <c r="UMJ118" s="100" t="str">
        <f t="shared" si="504"/>
        <v/>
      </c>
      <c r="UMK118" s="100" t="str">
        <f t="shared" si="504"/>
        <v/>
      </c>
      <c r="UML118" s="100" t="str">
        <f t="shared" si="504"/>
        <v/>
      </c>
      <c r="UMM118" s="100" t="str">
        <f t="shared" si="504"/>
        <v/>
      </c>
      <c r="UMN118" s="100" t="str">
        <f t="shared" si="504"/>
        <v/>
      </c>
      <c r="UMO118" s="100" t="str">
        <f t="shared" si="504"/>
        <v/>
      </c>
      <c r="UMP118" s="100" t="str">
        <f t="shared" si="504"/>
        <v/>
      </c>
      <c r="UMQ118" s="100" t="str">
        <f t="shared" si="504"/>
        <v/>
      </c>
      <c r="UMR118" s="100" t="str">
        <f t="shared" si="504"/>
        <v/>
      </c>
      <c r="UMS118" s="100" t="str">
        <f t="shared" si="504"/>
        <v/>
      </c>
      <c r="UMT118" s="100" t="str">
        <f t="shared" si="504"/>
        <v/>
      </c>
      <c r="UMU118" s="100" t="str">
        <f t="shared" si="504"/>
        <v/>
      </c>
      <c r="UMV118" s="100" t="str">
        <f t="shared" si="504"/>
        <v/>
      </c>
      <c r="UMW118" s="100" t="str">
        <f t="shared" si="504"/>
        <v/>
      </c>
      <c r="UMX118" s="100" t="str">
        <f t="shared" si="504"/>
        <v/>
      </c>
      <c r="UMY118" s="100" t="str">
        <f t="shared" si="504"/>
        <v/>
      </c>
      <c r="UMZ118" s="100" t="str">
        <f t="shared" si="504"/>
        <v/>
      </c>
      <c r="UNA118" s="100" t="str">
        <f t="shared" si="504"/>
        <v/>
      </c>
      <c r="UNB118" s="100" t="str">
        <f t="shared" si="504"/>
        <v/>
      </c>
      <c r="UNC118" s="100" t="str">
        <f t="shared" si="504"/>
        <v/>
      </c>
      <c r="UND118" s="100" t="str">
        <f t="shared" si="504"/>
        <v/>
      </c>
      <c r="UNE118" s="100" t="str">
        <f t="shared" si="504"/>
        <v/>
      </c>
      <c r="UNF118" s="100" t="str">
        <f t="shared" si="504"/>
        <v/>
      </c>
      <c r="UNG118" s="100" t="str">
        <f t="shared" si="504"/>
        <v/>
      </c>
      <c r="UNH118" s="100" t="str">
        <f t="shared" si="504"/>
        <v/>
      </c>
      <c r="UNI118" s="100" t="str">
        <f t="shared" si="504"/>
        <v/>
      </c>
      <c r="UNJ118" s="100" t="str">
        <f t="shared" si="504"/>
        <v/>
      </c>
      <c r="UNK118" s="100" t="str">
        <f t="shared" si="504"/>
        <v/>
      </c>
      <c r="UNL118" s="100" t="str">
        <f t="shared" si="504"/>
        <v/>
      </c>
      <c r="UNM118" s="100" t="str">
        <f t="shared" si="504"/>
        <v/>
      </c>
      <c r="UNN118" s="100" t="str">
        <f t="shared" si="504"/>
        <v/>
      </c>
      <c r="UNO118" s="100" t="str">
        <f t="shared" si="504"/>
        <v/>
      </c>
      <c r="UNP118" s="100" t="str">
        <f t="shared" si="504"/>
        <v/>
      </c>
      <c r="UNQ118" s="100" t="str">
        <f t="shared" si="504"/>
        <v/>
      </c>
      <c r="UNR118" s="100" t="str">
        <f t="shared" si="504"/>
        <v/>
      </c>
      <c r="UNS118" s="100" t="str">
        <f t="shared" si="504"/>
        <v/>
      </c>
      <c r="UNT118" s="100" t="str">
        <f t="shared" si="504"/>
        <v/>
      </c>
      <c r="UNU118" s="100" t="str">
        <f t="shared" si="504"/>
        <v/>
      </c>
      <c r="UNV118" s="100" t="str">
        <f t="shared" si="504"/>
        <v/>
      </c>
      <c r="UNW118" s="100" t="str">
        <f t="shared" si="504"/>
        <v/>
      </c>
      <c r="UNX118" s="100" t="str">
        <f t="shared" si="504"/>
        <v/>
      </c>
      <c r="UNY118" s="100" t="str">
        <f t="shared" si="504"/>
        <v/>
      </c>
      <c r="UNZ118" s="100" t="str">
        <f t="shared" si="504"/>
        <v/>
      </c>
      <c r="UOA118" s="100" t="str">
        <f t="shared" si="504"/>
        <v/>
      </c>
      <c r="UOB118" s="100" t="str">
        <f t="shared" si="504"/>
        <v/>
      </c>
      <c r="UOC118" s="100" t="str">
        <f t="shared" si="504"/>
        <v/>
      </c>
      <c r="UOD118" s="100" t="str">
        <f t="shared" si="504"/>
        <v/>
      </c>
      <c r="UOE118" s="100" t="str">
        <f t="shared" si="504"/>
        <v/>
      </c>
      <c r="UOF118" s="100" t="str">
        <f t="shared" si="504"/>
        <v/>
      </c>
      <c r="UOG118" s="100" t="str">
        <f t="shared" si="504"/>
        <v/>
      </c>
      <c r="UOH118" s="100" t="str">
        <f t="shared" si="504"/>
        <v/>
      </c>
      <c r="UOI118" s="100" t="str">
        <f t="shared" si="504"/>
        <v/>
      </c>
      <c r="UOJ118" s="100" t="str">
        <f t="shared" si="504"/>
        <v/>
      </c>
      <c r="UOK118" s="100" t="str">
        <f t="shared" ref="UOK118:UQV118" si="505">IFERROR(AVERAGE(UOK6,UOK16,UOK25,UOK34,UOK42,UOK54,UOK62,UOK70,UOK78,UOK86,UOK94,UOK102,UOK110),"")</f>
        <v/>
      </c>
      <c r="UOL118" s="100" t="str">
        <f t="shared" si="505"/>
        <v/>
      </c>
      <c r="UOM118" s="100" t="str">
        <f t="shared" si="505"/>
        <v/>
      </c>
      <c r="UON118" s="100" t="str">
        <f t="shared" si="505"/>
        <v/>
      </c>
      <c r="UOO118" s="100" t="str">
        <f t="shared" si="505"/>
        <v/>
      </c>
      <c r="UOP118" s="100" t="str">
        <f t="shared" si="505"/>
        <v/>
      </c>
      <c r="UOQ118" s="100" t="str">
        <f t="shared" si="505"/>
        <v/>
      </c>
      <c r="UOR118" s="100" t="str">
        <f t="shared" si="505"/>
        <v/>
      </c>
      <c r="UOS118" s="100" t="str">
        <f t="shared" si="505"/>
        <v/>
      </c>
      <c r="UOT118" s="100" t="str">
        <f t="shared" si="505"/>
        <v/>
      </c>
      <c r="UOU118" s="100" t="str">
        <f t="shared" si="505"/>
        <v/>
      </c>
      <c r="UOV118" s="100" t="str">
        <f t="shared" si="505"/>
        <v/>
      </c>
      <c r="UOW118" s="100" t="str">
        <f t="shared" si="505"/>
        <v/>
      </c>
      <c r="UOX118" s="100" t="str">
        <f t="shared" si="505"/>
        <v/>
      </c>
      <c r="UOY118" s="100" t="str">
        <f t="shared" si="505"/>
        <v/>
      </c>
      <c r="UOZ118" s="100" t="str">
        <f t="shared" si="505"/>
        <v/>
      </c>
      <c r="UPA118" s="100" t="str">
        <f t="shared" si="505"/>
        <v/>
      </c>
      <c r="UPB118" s="100" t="str">
        <f t="shared" si="505"/>
        <v/>
      </c>
      <c r="UPC118" s="100" t="str">
        <f t="shared" si="505"/>
        <v/>
      </c>
      <c r="UPD118" s="100" t="str">
        <f t="shared" si="505"/>
        <v/>
      </c>
      <c r="UPE118" s="100" t="str">
        <f t="shared" si="505"/>
        <v/>
      </c>
      <c r="UPF118" s="100" t="str">
        <f t="shared" si="505"/>
        <v/>
      </c>
      <c r="UPG118" s="100" t="str">
        <f t="shared" si="505"/>
        <v/>
      </c>
      <c r="UPH118" s="100" t="str">
        <f t="shared" si="505"/>
        <v/>
      </c>
      <c r="UPI118" s="100" t="str">
        <f t="shared" si="505"/>
        <v/>
      </c>
      <c r="UPJ118" s="100" t="str">
        <f t="shared" si="505"/>
        <v/>
      </c>
      <c r="UPK118" s="100" t="str">
        <f t="shared" si="505"/>
        <v/>
      </c>
      <c r="UPL118" s="100" t="str">
        <f t="shared" si="505"/>
        <v/>
      </c>
      <c r="UPM118" s="100" t="str">
        <f t="shared" si="505"/>
        <v/>
      </c>
      <c r="UPN118" s="100" t="str">
        <f t="shared" si="505"/>
        <v/>
      </c>
      <c r="UPO118" s="100" t="str">
        <f t="shared" si="505"/>
        <v/>
      </c>
      <c r="UPP118" s="100" t="str">
        <f t="shared" si="505"/>
        <v/>
      </c>
      <c r="UPQ118" s="100" t="str">
        <f t="shared" si="505"/>
        <v/>
      </c>
      <c r="UPR118" s="100" t="str">
        <f t="shared" si="505"/>
        <v/>
      </c>
      <c r="UPS118" s="100" t="str">
        <f t="shared" si="505"/>
        <v/>
      </c>
      <c r="UPT118" s="100" t="str">
        <f t="shared" si="505"/>
        <v/>
      </c>
      <c r="UPU118" s="100" t="str">
        <f t="shared" si="505"/>
        <v/>
      </c>
      <c r="UPV118" s="100" t="str">
        <f t="shared" si="505"/>
        <v/>
      </c>
      <c r="UPW118" s="100" t="str">
        <f t="shared" si="505"/>
        <v/>
      </c>
      <c r="UPX118" s="100" t="str">
        <f t="shared" si="505"/>
        <v/>
      </c>
      <c r="UPY118" s="100" t="str">
        <f t="shared" si="505"/>
        <v/>
      </c>
      <c r="UPZ118" s="100" t="str">
        <f t="shared" si="505"/>
        <v/>
      </c>
      <c r="UQA118" s="100" t="str">
        <f t="shared" si="505"/>
        <v/>
      </c>
      <c r="UQB118" s="100" t="str">
        <f t="shared" si="505"/>
        <v/>
      </c>
      <c r="UQC118" s="100" t="str">
        <f t="shared" si="505"/>
        <v/>
      </c>
      <c r="UQD118" s="100" t="str">
        <f t="shared" si="505"/>
        <v/>
      </c>
      <c r="UQE118" s="100" t="str">
        <f t="shared" si="505"/>
        <v/>
      </c>
      <c r="UQF118" s="100" t="str">
        <f t="shared" si="505"/>
        <v/>
      </c>
      <c r="UQG118" s="100" t="str">
        <f t="shared" si="505"/>
        <v/>
      </c>
      <c r="UQH118" s="100" t="str">
        <f t="shared" si="505"/>
        <v/>
      </c>
      <c r="UQI118" s="100" t="str">
        <f t="shared" si="505"/>
        <v/>
      </c>
      <c r="UQJ118" s="100" t="str">
        <f t="shared" si="505"/>
        <v/>
      </c>
      <c r="UQK118" s="100" t="str">
        <f t="shared" si="505"/>
        <v/>
      </c>
      <c r="UQL118" s="100" t="str">
        <f t="shared" si="505"/>
        <v/>
      </c>
      <c r="UQM118" s="100" t="str">
        <f t="shared" si="505"/>
        <v/>
      </c>
      <c r="UQN118" s="100" t="str">
        <f t="shared" si="505"/>
        <v/>
      </c>
      <c r="UQO118" s="100" t="str">
        <f t="shared" si="505"/>
        <v/>
      </c>
      <c r="UQP118" s="100" t="str">
        <f t="shared" si="505"/>
        <v/>
      </c>
      <c r="UQQ118" s="100" t="str">
        <f t="shared" si="505"/>
        <v/>
      </c>
      <c r="UQR118" s="100" t="str">
        <f t="shared" si="505"/>
        <v/>
      </c>
      <c r="UQS118" s="100" t="str">
        <f t="shared" si="505"/>
        <v/>
      </c>
      <c r="UQT118" s="100" t="str">
        <f t="shared" si="505"/>
        <v/>
      </c>
      <c r="UQU118" s="100" t="str">
        <f t="shared" si="505"/>
        <v/>
      </c>
      <c r="UQV118" s="100" t="str">
        <f t="shared" si="505"/>
        <v/>
      </c>
      <c r="UQW118" s="100" t="str">
        <f t="shared" ref="UQW118:UTH118" si="506">IFERROR(AVERAGE(UQW6,UQW16,UQW25,UQW34,UQW42,UQW54,UQW62,UQW70,UQW78,UQW86,UQW94,UQW102,UQW110),"")</f>
        <v/>
      </c>
      <c r="UQX118" s="100" t="str">
        <f t="shared" si="506"/>
        <v/>
      </c>
      <c r="UQY118" s="100" t="str">
        <f t="shared" si="506"/>
        <v/>
      </c>
      <c r="UQZ118" s="100" t="str">
        <f t="shared" si="506"/>
        <v/>
      </c>
      <c r="URA118" s="100" t="str">
        <f t="shared" si="506"/>
        <v/>
      </c>
      <c r="URB118" s="100" t="str">
        <f t="shared" si="506"/>
        <v/>
      </c>
      <c r="URC118" s="100" t="str">
        <f t="shared" si="506"/>
        <v/>
      </c>
      <c r="URD118" s="100" t="str">
        <f t="shared" si="506"/>
        <v/>
      </c>
      <c r="URE118" s="100" t="str">
        <f t="shared" si="506"/>
        <v/>
      </c>
      <c r="URF118" s="100" t="str">
        <f t="shared" si="506"/>
        <v/>
      </c>
      <c r="URG118" s="100" t="str">
        <f t="shared" si="506"/>
        <v/>
      </c>
      <c r="URH118" s="100" t="str">
        <f t="shared" si="506"/>
        <v/>
      </c>
      <c r="URI118" s="100" t="str">
        <f t="shared" si="506"/>
        <v/>
      </c>
      <c r="URJ118" s="100" t="str">
        <f t="shared" si="506"/>
        <v/>
      </c>
      <c r="URK118" s="100" t="str">
        <f t="shared" si="506"/>
        <v/>
      </c>
      <c r="URL118" s="100" t="str">
        <f t="shared" si="506"/>
        <v/>
      </c>
      <c r="URM118" s="100" t="str">
        <f t="shared" si="506"/>
        <v/>
      </c>
      <c r="URN118" s="100" t="str">
        <f t="shared" si="506"/>
        <v/>
      </c>
      <c r="URO118" s="100" t="str">
        <f t="shared" si="506"/>
        <v/>
      </c>
      <c r="URP118" s="100" t="str">
        <f t="shared" si="506"/>
        <v/>
      </c>
      <c r="URQ118" s="100" t="str">
        <f t="shared" si="506"/>
        <v/>
      </c>
      <c r="URR118" s="100" t="str">
        <f t="shared" si="506"/>
        <v/>
      </c>
      <c r="URS118" s="100" t="str">
        <f t="shared" si="506"/>
        <v/>
      </c>
      <c r="URT118" s="100" t="str">
        <f t="shared" si="506"/>
        <v/>
      </c>
      <c r="URU118" s="100" t="str">
        <f t="shared" si="506"/>
        <v/>
      </c>
      <c r="URV118" s="100" t="str">
        <f t="shared" si="506"/>
        <v/>
      </c>
      <c r="URW118" s="100" t="str">
        <f t="shared" si="506"/>
        <v/>
      </c>
      <c r="URX118" s="100" t="str">
        <f t="shared" si="506"/>
        <v/>
      </c>
      <c r="URY118" s="100" t="str">
        <f t="shared" si="506"/>
        <v/>
      </c>
      <c r="URZ118" s="100" t="str">
        <f t="shared" si="506"/>
        <v/>
      </c>
      <c r="USA118" s="100" t="str">
        <f t="shared" si="506"/>
        <v/>
      </c>
      <c r="USB118" s="100" t="str">
        <f t="shared" si="506"/>
        <v/>
      </c>
      <c r="USC118" s="100" t="str">
        <f t="shared" si="506"/>
        <v/>
      </c>
      <c r="USD118" s="100" t="str">
        <f t="shared" si="506"/>
        <v/>
      </c>
      <c r="USE118" s="100" t="str">
        <f t="shared" si="506"/>
        <v/>
      </c>
      <c r="USF118" s="100" t="str">
        <f t="shared" si="506"/>
        <v/>
      </c>
      <c r="USG118" s="100" t="str">
        <f t="shared" si="506"/>
        <v/>
      </c>
      <c r="USH118" s="100" t="str">
        <f t="shared" si="506"/>
        <v/>
      </c>
      <c r="USI118" s="100" t="str">
        <f t="shared" si="506"/>
        <v/>
      </c>
      <c r="USJ118" s="100" t="str">
        <f t="shared" si="506"/>
        <v/>
      </c>
      <c r="USK118" s="100" t="str">
        <f t="shared" si="506"/>
        <v/>
      </c>
      <c r="USL118" s="100" t="str">
        <f t="shared" si="506"/>
        <v/>
      </c>
      <c r="USM118" s="100" t="str">
        <f t="shared" si="506"/>
        <v/>
      </c>
      <c r="USN118" s="100" t="str">
        <f t="shared" si="506"/>
        <v/>
      </c>
      <c r="USO118" s="100" t="str">
        <f t="shared" si="506"/>
        <v/>
      </c>
      <c r="USP118" s="100" t="str">
        <f t="shared" si="506"/>
        <v/>
      </c>
      <c r="USQ118" s="100" t="str">
        <f t="shared" si="506"/>
        <v/>
      </c>
      <c r="USR118" s="100" t="str">
        <f t="shared" si="506"/>
        <v/>
      </c>
      <c r="USS118" s="100" t="str">
        <f t="shared" si="506"/>
        <v/>
      </c>
      <c r="UST118" s="100" t="str">
        <f t="shared" si="506"/>
        <v/>
      </c>
      <c r="USU118" s="100" t="str">
        <f t="shared" si="506"/>
        <v/>
      </c>
      <c r="USV118" s="100" t="str">
        <f t="shared" si="506"/>
        <v/>
      </c>
      <c r="USW118" s="100" t="str">
        <f t="shared" si="506"/>
        <v/>
      </c>
      <c r="USX118" s="100" t="str">
        <f t="shared" si="506"/>
        <v/>
      </c>
      <c r="USY118" s="100" t="str">
        <f t="shared" si="506"/>
        <v/>
      </c>
      <c r="USZ118" s="100" t="str">
        <f t="shared" si="506"/>
        <v/>
      </c>
      <c r="UTA118" s="100" t="str">
        <f t="shared" si="506"/>
        <v/>
      </c>
      <c r="UTB118" s="100" t="str">
        <f t="shared" si="506"/>
        <v/>
      </c>
      <c r="UTC118" s="100" t="str">
        <f t="shared" si="506"/>
        <v/>
      </c>
      <c r="UTD118" s="100" t="str">
        <f t="shared" si="506"/>
        <v/>
      </c>
      <c r="UTE118" s="100" t="str">
        <f t="shared" si="506"/>
        <v/>
      </c>
      <c r="UTF118" s="100" t="str">
        <f t="shared" si="506"/>
        <v/>
      </c>
      <c r="UTG118" s="100" t="str">
        <f t="shared" si="506"/>
        <v/>
      </c>
      <c r="UTH118" s="100" t="str">
        <f t="shared" si="506"/>
        <v/>
      </c>
      <c r="UTI118" s="100" t="str">
        <f t="shared" ref="UTI118:UVT118" si="507">IFERROR(AVERAGE(UTI6,UTI16,UTI25,UTI34,UTI42,UTI54,UTI62,UTI70,UTI78,UTI86,UTI94,UTI102,UTI110),"")</f>
        <v/>
      </c>
      <c r="UTJ118" s="100" t="str">
        <f t="shared" si="507"/>
        <v/>
      </c>
      <c r="UTK118" s="100" t="str">
        <f t="shared" si="507"/>
        <v/>
      </c>
      <c r="UTL118" s="100" t="str">
        <f t="shared" si="507"/>
        <v/>
      </c>
      <c r="UTM118" s="100" t="str">
        <f t="shared" si="507"/>
        <v/>
      </c>
      <c r="UTN118" s="100" t="str">
        <f t="shared" si="507"/>
        <v/>
      </c>
      <c r="UTO118" s="100" t="str">
        <f t="shared" si="507"/>
        <v/>
      </c>
      <c r="UTP118" s="100" t="str">
        <f t="shared" si="507"/>
        <v/>
      </c>
      <c r="UTQ118" s="100" t="str">
        <f t="shared" si="507"/>
        <v/>
      </c>
      <c r="UTR118" s="100" t="str">
        <f t="shared" si="507"/>
        <v/>
      </c>
      <c r="UTS118" s="100" t="str">
        <f t="shared" si="507"/>
        <v/>
      </c>
      <c r="UTT118" s="100" t="str">
        <f t="shared" si="507"/>
        <v/>
      </c>
      <c r="UTU118" s="100" t="str">
        <f t="shared" si="507"/>
        <v/>
      </c>
      <c r="UTV118" s="100" t="str">
        <f t="shared" si="507"/>
        <v/>
      </c>
      <c r="UTW118" s="100" t="str">
        <f t="shared" si="507"/>
        <v/>
      </c>
      <c r="UTX118" s="100" t="str">
        <f t="shared" si="507"/>
        <v/>
      </c>
      <c r="UTY118" s="100" t="str">
        <f t="shared" si="507"/>
        <v/>
      </c>
      <c r="UTZ118" s="100" t="str">
        <f t="shared" si="507"/>
        <v/>
      </c>
      <c r="UUA118" s="100" t="str">
        <f t="shared" si="507"/>
        <v/>
      </c>
      <c r="UUB118" s="100" t="str">
        <f t="shared" si="507"/>
        <v/>
      </c>
      <c r="UUC118" s="100" t="str">
        <f t="shared" si="507"/>
        <v/>
      </c>
      <c r="UUD118" s="100" t="str">
        <f t="shared" si="507"/>
        <v/>
      </c>
      <c r="UUE118" s="100" t="str">
        <f t="shared" si="507"/>
        <v/>
      </c>
      <c r="UUF118" s="100" t="str">
        <f t="shared" si="507"/>
        <v/>
      </c>
      <c r="UUG118" s="100" t="str">
        <f t="shared" si="507"/>
        <v/>
      </c>
      <c r="UUH118" s="100" t="str">
        <f t="shared" si="507"/>
        <v/>
      </c>
      <c r="UUI118" s="100" t="str">
        <f t="shared" si="507"/>
        <v/>
      </c>
      <c r="UUJ118" s="100" t="str">
        <f t="shared" si="507"/>
        <v/>
      </c>
      <c r="UUK118" s="100" t="str">
        <f t="shared" si="507"/>
        <v/>
      </c>
      <c r="UUL118" s="100" t="str">
        <f t="shared" si="507"/>
        <v/>
      </c>
      <c r="UUM118" s="100" t="str">
        <f t="shared" si="507"/>
        <v/>
      </c>
      <c r="UUN118" s="100" t="str">
        <f t="shared" si="507"/>
        <v/>
      </c>
      <c r="UUO118" s="100" t="str">
        <f t="shared" si="507"/>
        <v/>
      </c>
      <c r="UUP118" s="100" t="str">
        <f t="shared" si="507"/>
        <v/>
      </c>
      <c r="UUQ118" s="100" t="str">
        <f t="shared" si="507"/>
        <v/>
      </c>
      <c r="UUR118" s="100" t="str">
        <f t="shared" si="507"/>
        <v/>
      </c>
      <c r="UUS118" s="100" t="str">
        <f t="shared" si="507"/>
        <v/>
      </c>
      <c r="UUT118" s="100" t="str">
        <f t="shared" si="507"/>
        <v/>
      </c>
      <c r="UUU118" s="100" t="str">
        <f t="shared" si="507"/>
        <v/>
      </c>
      <c r="UUV118" s="100" t="str">
        <f t="shared" si="507"/>
        <v/>
      </c>
      <c r="UUW118" s="100" t="str">
        <f t="shared" si="507"/>
        <v/>
      </c>
      <c r="UUX118" s="100" t="str">
        <f t="shared" si="507"/>
        <v/>
      </c>
      <c r="UUY118" s="100" t="str">
        <f t="shared" si="507"/>
        <v/>
      </c>
      <c r="UUZ118" s="100" t="str">
        <f t="shared" si="507"/>
        <v/>
      </c>
      <c r="UVA118" s="100" t="str">
        <f t="shared" si="507"/>
        <v/>
      </c>
      <c r="UVB118" s="100" t="str">
        <f t="shared" si="507"/>
        <v/>
      </c>
      <c r="UVC118" s="100" t="str">
        <f t="shared" si="507"/>
        <v/>
      </c>
      <c r="UVD118" s="100" t="str">
        <f t="shared" si="507"/>
        <v/>
      </c>
      <c r="UVE118" s="100" t="str">
        <f t="shared" si="507"/>
        <v/>
      </c>
      <c r="UVF118" s="100" t="str">
        <f t="shared" si="507"/>
        <v/>
      </c>
      <c r="UVG118" s="100" t="str">
        <f t="shared" si="507"/>
        <v/>
      </c>
      <c r="UVH118" s="100" t="str">
        <f t="shared" si="507"/>
        <v/>
      </c>
      <c r="UVI118" s="100" t="str">
        <f t="shared" si="507"/>
        <v/>
      </c>
      <c r="UVJ118" s="100" t="str">
        <f t="shared" si="507"/>
        <v/>
      </c>
      <c r="UVK118" s="100" t="str">
        <f t="shared" si="507"/>
        <v/>
      </c>
      <c r="UVL118" s="100" t="str">
        <f t="shared" si="507"/>
        <v/>
      </c>
      <c r="UVM118" s="100" t="str">
        <f t="shared" si="507"/>
        <v/>
      </c>
      <c r="UVN118" s="100" t="str">
        <f t="shared" si="507"/>
        <v/>
      </c>
      <c r="UVO118" s="100" t="str">
        <f t="shared" si="507"/>
        <v/>
      </c>
      <c r="UVP118" s="100" t="str">
        <f t="shared" si="507"/>
        <v/>
      </c>
      <c r="UVQ118" s="100" t="str">
        <f t="shared" si="507"/>
        <v/>
      </c>
      <c r="UVR118" s="100" t="str">
        <f t="shared" si="507"/>
        <v/>
      </c>
      <c r="UVS118" s="100" t="str">
        <f t="shared" si="507"/>
        <v/>
      </c>
      <c r="UVT118" s="100" t="str">
        <f t="shared" si="507"/>
        <v/>
      </c>
      <c r="UVU118" s="100" t="str">
        <f t="shared" ref="UVU118:UYF118" si="508">IFERROR(AVERAGE(UVU6,UVU16,UVU25,UVU34,UVU42,UVU54,UVU62,UVU70,UVU78,UVU86,UVU94,UVU102,UVU110),"")</f>
        <v/>
      </c>
      <c r="UVV118" s="100" t="str">
        <f t="shared" si="508"/>
        <v/>
      </c>
      <c r="UVW118" s="100" t="str">
        <f t="shared" si="508"/>
        <v/>
      </c>
      <c r="UVX118" s="100" t="str">
        <f t="shared" si="508"/>
        <v/>
      </c>
      <c r="UVY118" s="100" t="str">
        <f t="shared" si="508"/>
        <v/>
      </c>
      <c r="UVZ118" s="100" t="str">
        <f t="shared" si="508"/>
        <v/>
      </c>
      <c r="UWA118" s="100" t="str">
        <f t="shared" si="508"/>
        <v/>
      </c>
      <c r="UWB118" s="100" t="str">
        <f t="shared" si="508"/>
        <v/>
      </c>
      <c r="UWC118" s="100" t="str">
        <f t="shared" si="508"/>
        <v/>
      </c>
      <c r="UWD118" s="100" t="str">
        <f t="shared" si="508"/>
        <v/>
      </c>
      <c r="UWE118" s="100" t="str">
        <f t="shared" si="508"/>
        <v/>
      </c>
      <c r="UWF118" s="100" t="str">
        <f t="shared" si="508"/>
        <v/>
      </c>
      <c r="UWG118" s="100" t="str">
        <f t="shared" si="508"/>
        <v/>
      </c>
      <c r="UWH118" s="100" t="str">
        <f t="shared" si="508"/>
        <v/>
      </c>
      <c r="UWI118" s="100" t="str">
        <f t="shared" si="508"/>
        <v/>
      </c>
      <c r="UWJ118" s="100" t="str">
        <f t="shared" si="508"/>
        <v/>
      </c>
      <c r="UWK118" s="100" t="str">
        <f t="shared" si="508"/>
        <v/>
      </c>
      <c r="UWL118" s="100" t="str">
        <f t="shared" si="508"/>
        <v/>
      </c>
      <c r="UWM118" s="100" t="str">
        <f t="shared" si="508"/>
        <v/>
      </c>
      <c r="UWN118" s="100" t="str">
        <f t="shared" si="508"/>
        <v/>
      </c>
      <c r="UWO118" s="100" t="str">
        <f t="shared" si="508"/>
        <v/>
      </c>
      <c r="UWP118" s="100" t="str">
        <f t="shared" si="508"/>
        <v/>
      </c>
      <c r="UWQ118" s="100" t="str">
        <f t="shared" si="508"/>
        <v/>
      </c>
      <c r="UWR118" s="100" t="str">
        <f t="shared" si="508"/>
        <v/>
      </c>
      <c r="UWS118" s="100" t="str">
        <f t="shared" si="508"/>
        <v/>
      </c>
      <c r="UWT118" s="100" t="str">
        <f t="shared" si="508"/>
        <v/>
      </c>
      <c r="UWU118" s="100" t="str">
        <f t="shared" si="508"/>
        <v/>
      </c>
      <c r="UWV118" s="100" t="str">
        <f t="shared" si="508"/>
        <v/>
      </c>
      <c r="UWW118" s="100" t="str">
        <f t="shared" si="508"/>
        <v/>
      </c>
      <c r="UWX118" s="100" t="str">
        <f t="shared" si="508"/>
        <v/>
      </c>
      <c r="UWY118" s="100" t="str">
        <f t="shared" si="508"/>
        <v/>
      </c>
      <c r="UWZ118" s="100" t="str">
        <f t="shared" si="508"/>
        <v/>
      </c>
      <c r="UXA118" s="100" t="str">
        <f t="shared" si="508"/>
        <v/>
      </c>
      <c r="UXB118" s="100" t="str">
        <f t="shared" si="508"/>
        <v/>
      </c>
      <c r="UXC118" s="100" t="str">
        <f t="shared" si="508"/>
        <v/>
      </c>
      <c r="UXD118" s="100" t="str">
        <f t="shared" si="508"/>
        <v/>
      </c>
      <c r="UXE118" s="100" t="str">
        <f t="shared" si="508"/>
        <v/>
      </c>
      <c r="UXF118" s="100" t="str">
        <f t="shared" si="508"/>
        <v/>
      </c>
      <c r="UXG118" s="100" t="str">
        <f t="shared" si="508"/>
        <v/>
      </c>
      <c r="UXH118" s="100" t="str">
        <f t="shared" si="508"/>
        <v/>
      </c>
      <c r="UXI118" s="100" t="str">
        <f t="shared" si="508"/>
        <v/>
      </c>
      <c r="UXJ118" s="100" t="str">
        <f t="shared" si="508"/>
        <v/>
      </c>
      <c r="UXK118" s="100" t="str">
        <f t="shared" si="508"/>
        <v/>
      </c>
      <c r="UXL118" s="100" t="str">
        <f t="shared" si="508"/>
        <v/>
      </c>
      <c r="UXM118" s="100" t="str">
        <f t="shared" si="508"/>
        <v/>
      </c>
      <c r="UXN118" s="100" t="str">
        <f t="shared" si="508"/>
        <v/>
      </c>
      <c r="UXO118" s="100" t="str">
        <f t="shared" si="508"/>
        <v/>
      </c>
      <c r="UXP118" s="100" t="str">
        <f t="shared" si="508"/>
        <v/>
      </c>
      <c r="UXQ118" s="100" t="str">
        <f t="shared" si="508"/>
        <v/>
      </c>
      <c r="UXR118" s="100" t="str">
        <f t="shared" si="508"/>
        <v/>
      </c>
      <c r="UXS118" s="100" t="str">
        <f t="shared" si="508"/>
        <v/>
      </c>
      <c r="UXT118" s="100" t="str">
        <f t="shared" si="508"/>
        <v/>
      </c>
      <c r="UXU118" s="100" t="str">
        <f t="shared" si="508"/>
        <v/>
      </c>
      <c r="UXV118" s="100" t="str">
        <f t="shared" si="508"/>
        <v/>
      </c>
      <c r="UXW118" s="100" t="str">
        <f t="shared" si="508"/>
        <v/>
      </c>
      <c r="UXX118" s="100" t="str">
        <f t="shared" si="508"/>
        <v/>
      </c>
      <c r="UXY118" s="100" t="str">
        <f t="shared" si="508"/>
        <v/>
      </c>
      <c r="UXZ118" s="100" t="str">
        <f t="shared" si="508"/>
        <v/>
      </c>
      <c r="UYA118" s="100" t="str">
        <f t="shared" si="508"/>
        <v/>
      </c>
      <c r="UYB118" s="100" t="str">
        <f t="shared" si="508"/>
        <v/>
      </c>
      <c r="UYC118" s="100" t="str">
        <f t="shared" si="508"/>
        <v/>
      </c>
      <c r="UYD118" s="100" t="str">
        <f t="shared" si="508"/>
        <v/>
      </c>
      <c r="UYE118" s="100" t="str">
        <f t="shared" si="508"/>
        <v/>
      </c>
      <c r="UYF118" s="100" t="str">
        <f t="shared" si="508"/>
        <v/>
      </c>
      <c r="UYG118" s="100" t="str">
        <f t="shared" ref="UYG118:VAR118" si="509">IFERROR(AVERAGE(UYG6,UYG16,UYG25,UYG34,UYG42,UYG54,UYG62,UYG70,UYG78,UYG86,UYG94,UYG102,UYG110),"")</f>
        <v/>
      </c>
      <c r="UYH118" s="100" t="str">
        <f t="shared" si="509"/>
        <v/>
      </c>
      <c r="UYI118" s="100" t="str">
        <f t="shared" si="509"/>
        <v/>
      </c>
      <c r="UYJ118" s="100" t="str">
        <f t="shared" si="509"/>
        <v/>
      </c>
      <c r="UYK118" s="100" t="str">
        <f t="shared" si="509"/>
        <v/>
      </c>
      <c r="UYL118" s="100" t="str">
        <f t="shared" si="509"/>
        <v/>
      </c>
      <c r="UYM118" s="100" t="str">
        <f t="shared" si="509"/>
        <v/>
      </c>
      <c r="UYN118" s="100" t="str">
        <f t="shared" si="509"/>
        <v/>
      </c>
      <c r="UYO118" s="100" t="str">
        <f t="shared" si="509"/>
        <v/>
      </c>
      <c r="UYP118" s="100" t="str">
        <f t="shared" si="509"/>
        <v/>
      </c>
      <c r="UYQ118" s="100" t="str">
        <f t="shared" si="509"/>
        <v/>
      </c>
      <c r="UYR118" s="100" t="str">
        <f t="shared" si="509"/>
        <v/>
      </c>
      <c r="UYS118" s="100" t="str">
        <f t="shared" si="509"/>
        <v/>
      </c>
      <c r="UYT118" s="100" t="str">
        <f t="shared" si="509"/>
        <v/>
      </c>
      <c r="UYU118" s="100" t="str">
        <f t="shared" si="509"/>
        <v/>
      </c>
      <c r="UYV118" s="100" t="str">
        <f t="shared" si="509"/>
        <v/>
      </c>
      <c r="UYW118" s="100" t="str">
        <f t="shared" si="509"/>
        <v/>
      </c>
      <c r="UYX118" s="100" t="str">
        <f t="shared" si="509"/>
        <v/>
      </c>
      <c r="UYY118" s="100" t="str">
        <f t="shared" si="509"/>
        <v/>
      </c>
      <c r="UYZ118" s="100" t="str">
        <f t="shared" si="509"/>
        <v/>
      </c>
      <c r="UZA118" s="100" t="str">
        <f t="shared" si="509"/>
        <v/>
      </c>
      <c r="UZB118" s="100" t="str">
        <f t="shared" si="509"/>
        <v/>
      </c>
      <c r="UZC118" s="100" t="str">
        <f t="shared" si="509"/>
        <v/>
      </c>
      <c r="UZD118" s="100" t="str">
        <f t="shared" si="509"/>
        <v/>
      </c>
      <c r="UZE118" s="100" t="str">
        <f t="shared" si="509"/>
        <v/>
      </c>
      <c r="UZF118" s="100" t="str">
        <f t="shared" si="509"/>
        <v/>
      </c>
      <c r="UZG118" s="100" t="str">
        <f t="shared" si="509"/>
        <v/>
      </c>
      <c r="UZH118" s="100" t="str">
        <f t="shared" si="509"/>
        <v/>
      </c>
      <c r="UZI118" s="100" t="str">
        <f t="shared" si="509"/>
        <v/>
      </c>
      <c r="UZJ118" s="100" t="str">
        <f t="shared" si="509"/>
        <v/>
      </c>
      <c r="UZK118" s="100" t="str">
        <f t="shared" si="509"/>
        <v/>
      </c>
      <c r="UZL118" s="100" t="str">
        <f t="shared" si="509"/>
        <v/>
      </c>
      <c r="UZM118" s="100" t="str">
        <f t="shared" si="509"/>
        <v/>
      </c>
      <c r="UZN118" s="100" t="str">
        <f t="shared" si="509"/>
        <v/>
      </c>
      <c r="UZO118" s="100" t="str">
        <f t="shared" si="509"/>
        <v/>
      </c>
      <c r="UZP118" s="100" t="str">
        <f t="shared" si="509"/>
        <v/>
      </c>
      <c r="UZQ118" s="100" t="str">
        <f t="shared" si="509"/>
        <v/>
      </c>
      <c r="UZR118" s="100" t="str">
        <f t="shared" si="509"/>
        <v/>
      </c>
      <c r="UZS118" s="100" t="str">
        <f t="shared" si="509"/>
        <v/>
      </c>
      <c r="UZT118" s="100" t="str">
        <f t="shared" si="509"/>
        <v/>
      </c>
      <c r="UZU118" s="100" t="str">
        <f t="shared" si="509"/>
        <v/>
      </c>
      <c r="UZV118" s="100" t="str">
        <f t="shared" si="509"/>
        <v/>
      </c>
      <c r="UZW118" s="100" t="str">
        <f t="shared" si="509"/>
        <v/>
      </c>
      <c r="UZX118" s="100" t="str">
        <f t="shared" si="509"/>
        <v/>
      </c>
      <c r="UZY118" s="100" t="str">
        <f t="shared" si="509"/>
        <v/>
      </c>
      <c r="UZZ118" s="100" t="str">
        <f t="shared" si="509"/>
        <v/>
      </c>
      <c r="VAA118" s="100" t="str">
        <f t="shared" si="509"/>
        <v/>
      </c>
      <c r="VAB118" s="100" t="str">
        <f t="shared" si="509"/>
        <v/>
      </c>
      <c r="VAC118" s="100" t="str">
        <f t="shared" si="509"/>
        <v/>
      </c>
      <c r="VAD118" s="100" t="str">
        <f t="shared" si="509"/>
        <v/>
      </c>
      <c r="VAE118" s="100" t="str">
        <f t="shared" si="509"/>
        <v/>
      </c>
      <c r="VAF118" s="100" t="str">
        <f t="shared" si="509"/>
        <v/>
      </c>
      <c r="VAG118" s="100" t="str">
        <f t="shared" si="509"/>
        <v/>
      </c>
      <c r="VAH118" s="100" t="str">
        <f t="shared" si="509"/>
        <v/>
      </c>
      <c r="VAI118" s="100" t="str">
        <f t="shared" si="509"/>
        <v/>
      </c>
      <c r="VAJ118" s="100" t="str">
        <f t="shared" si="509"/>
        <v/>
      </c>
      <c r="VAK118" s="100" t="str">
        <f t="shared" si="509"/>
        <v/>
      </c>
      <c r="VAL118" s="100" t="str">
        <f t="shared" si="509"/>
        <v/>
      </c>
      <c r="VAM118" s="100" t="str">
        <f t="shared" si="509"/>
        <v/>
      </c>
      <c r="VAN118" s="100" t="str">
        <f t="shared" si="509"/>
        <v/>
      </c>
      <c r="VAO118" s="100" t="str">
        <f t="shared" si="509"/>
        <v/>
      </c>
      <c r="VAP118" s="100" t="str">
        <f t="shared" si="509"/>
        <v/>
      </c>
      <c r="VAQ118" s="100" t="str">
        <f t="shared" si="509"/>
        <v/>
      </c>
      <c r="VAR118" s="100" t="str">
        <f t="shared" si="509"/>
        <v/>
      </c>
      <c r="VAS118" s="100" t="str">
        <f t="shared" ref="VAS118:VDD118" si="510">IFERROR(AVERAGE(VAS6,VAS16,VAS25,VAS34,VAS42,VAS54,VAS62,VAS70,VAS78,VAS86,VAS94,VAS102,VAS110),"")</f>
        <v/>
      </c>
      <c r="VAT118" s="100" t="str">
        <f t="shared" si="510"/>
        <v/>
      </c>
      <c r="VAU118" s="100" t="str">
        <f t="shared" si="510"/>
        <v/>
      </c>
      <c r="VAV118" s="100" t="str">
        <f t="shared" si="510"/>
        <v/>
      </c>
      <c r="VAW118" s="100" t="str">
        <f t="shared" si="510"/>
        <v/>
      </c>
      <c r="VAX118" s="100" t="str">
        <f t="shared" si="510"/>
        <v/>
      </c>
      <c r="VAY118" s="100" t="str">
        <f t="shared" si="510"/>
        <v/>
      </c>
      <c r="VAZ118" s="100" t="str">
        <f t="shared" si="510"/>
        <v/>
      </c>
      <c r="VBA118" s="100" t="str">
        <f t="shared" si="510"/>
        <v/>
      </c>
      <c r="VBB118" s="100" t="str">
        <f t="shared" si="510"/>
        <v/>
      </c>
      <c r="VBC118" s="100" t="str">
        <f t="shared" si="510"/>
        <v/>
      </c>
      <c r="VBD118" s="100" t="str">
        <f t="shared" si="510"/>
        <v/>
      </c>
      <c r="VBE118" s="100" t="str">
        <f t="shared" si="510"/>
        <v/>
      </c>
      <c r="VBF118" s="100" t="str">
        <f t="shared" si="510"/>
        <v/>
      </c>
      <c r="VBG118" s="100" t="str">
        <f t="shared" si="510"/>
        <v/>
      </c>
      <c r="VBH118" s="100" t="str">
        <f t="shared" si="510"/>
        <v/>
      </c>
      <c r="VBI118" s="100" t="str">
        <f t="shared" si="510"/>
        <v/>
      </c>
      <c r="VBJ118" s="100" t="str">
        <f t="shared" si="510"/>
        <v/>
      </c>
      <c r="VBK118" s="100" t="str">
        <f t="shared" si="510"/>
        <v/>
      </c>
      <c r="VBL118" s="100" t="str">
        <f t="shared" si="510"/>
        <v/>
      </c>
      <c r="VBM118" s="100" t="str">
        <f t="shared" si="510"/>
        <v/>
      </c>
      <c r="VBN118" s="100" t="str">
        <f t="shared" si="510"/>
        <v/>
      </c>
      <c r="VBO118" s="100" t="str">
        <f t="shared" si="510"/>
        <v/>
      </c>
      <c r="VBP118" s="100" t="str">
        <f t="shared" si="510"/>
        <v/>
      </c>
      <c r="VBQ118" s="100" t="str">
        <f t="shared" si="510"/>
        <v/>
      </c>
      <c r="VBR118" s="100" t="str">
        <f t="shared" si="510"/>
        <v/>
      </c>
      <c r="VBS118" s="100" t="str">
        <f t="shared" si="510"/>
        <v/>
      </c>
      <c r="VBT118" s="100" t="str">
        <f t="shared" si="510"/>
        <v/>
      </c>
      <c r="VBU118" s="100" t="str">
        <f t="shared" si="510"/>
        <v/>
      </c>
      <c r="VBV118" s="100" t="str">
        <f t="shared" si="510"/>
        <v/>
      </c>
      <c r="VBW118" s="100" t="str">
        <f t="shared" si="510"/>
        <v/>
      </c>
      <c r="VBX118" s="100" t="str">
        <f t="shared" si="510"/>
        <v/>
      </c>
      <c r="VBY118" s="100" t="str">
        <f t="shared" si="510"/>
        <v/>
      </c>
      <c r="VBZ118" s="100" t="str">
        <f t="shared" si="510"/>
        <v/>
      </c>
      <c r="VCA118" s="100" t="str">
        <f t="shared" si="510"/>
        <v/>
      </c>
      <c r="VCB118" s="100" t="str">
        <f t="shared" si="510"/>
        <v/>
      </c>
      <c r="VCC118" s="100" t="str">
        <f t="shared" si="510"/>
        <v/>
      </c>
      <c r="VCD118" s="100" t="str">
        <f t="shared" si="510"/>
        <v/>
      </c>
      <c r="VCE118" s="100" t="str">
        <f t="shared" si="510"/>
        <v/>
      </c>
      <c r="VCF118" s="100" t="str">
        <f t="shared" si="510"/>
        <v/>
      </c>
      <c r="VCG118" s="100" t="str">
        <f t="shared" si="510"/>
        <v/>
      </c>
      <c r="VCH118" s="100" t="str">
        <f t="shared" si="510"/>
        <v/>
      </c>
      <c r="VCI118" s="100" t="str">
        <f t="shared" si="510"/>
        <v/>
      </c>
      <c r="VCJ118" s="100" t="str">
        <f t="shared" si="510"/>
        <v/>
      </c>
      <c r="VCK118" s="100" t="str">
        <f t="shared" si="510"/>
        <v/>
      </c>
      <c r="VCL118" s="100" t="str">
        <f t="shared" si="510"/>
        <v/>
      </c>
      <c r="VCM118" s="100" t="str">
        <f t="shared" si="510"/>
        <v/>
      </c>
      <c r="VCN118" s="100" t="str">
        <f t="shared" si="510"/>
        <v/>
      </c>
      <c r="VCO118" s="100" t="str">
        <f t="shared" si="510"/>
        <v/>
      </c>
      <c r="VCP118" s="100" t="str">
        <f t="shared" si="510"/>
        <v/>
      </c>
      <c r="VCQ118" s="100" t="str">
        <f t="shared" si="510"/>
        <v/>
      </c>
      <c r="VCR118" s="100" t="str">
        <f t="shared" si="510"/>
        <v/>
      </c>
      <c r="VCS118" s="100" t="str">
        <f t="shared" si="510"/>
        <v/>
      </c>
      <c r="VCT118" s="100" t="str">
        <f t="shared" si="510"/>
        <v/>
      </c>
      <c r="VCU118" s="100" t="str">
        <f t="shared" si="510"/>
        <v/>
      </c>
      <c r="VCV118" s="100" t="str">
        <f t="shared" si="510"/>
        <v/>
      </c>
      <c r="VCW118" s="100" t="str">
        <f t="shared" si="510"/>
        <v/>
      </c>
      <c r="VCX118" s="100" t="str">
        <f t="shared" si="510"/>
        <v/>
      </c>
      <c r="VCY118" s="100" t="str">
        <f t="shared" si="510"/>
        <v/>
      </c>
      <c r="VCZ118" s="100" t="str">
        <f t="shared" si="510"/>
        <v/>
      </c>
      <c r="VDA118" s="100" t="str">
        <f t="shared" si="510"/>
        <v/>
      </c>
      <c r="VDB118" s="100" t="str">
        <f t="shared" si="510"/>
        <v/>
      </c>
      <c r="VDC118" s="100" t="str">
        <f t="shared" si="510"/>
        <v/>
      </c>
      <c r="VDD118" s="100" t="str">
        <f t="shared" si="510"/>
        <v/>
      </c>
      <c r="VDE118" s="100" t="str">
        <f t="shared" ref="VDE118:VFP118" si="511">IFERROR(AVERAGE(VDE6,VDE16,VDE25,VDE34,VDE42,VDE54,VDE62,VDE70,VDE78,VDE86,VDE94,VDE102,VDE110),"")</f>
        <v/>
      </c>
      <c r="VDF118" s="100" t="str">
        <f t="shared" si="511"/>
        <v/>
      </c>
      <c r="VDG118" s="100" t="str">
        <f t="shared" si="511"/>
        <v/>
      </c>
      <c r="VDH118" s="100" t="str">
        <f t="shared" si="511"/>
        <v/>
      </c>
      <c r="VDI118" s="100" t="str">
        <f t="shared" si="511"/>
        <v/>
      </c>
      <c r="VDJ118" s="100" t="str">
        <f t="shared" si="511"/>
        <v/>
      </c>
      <c r="VDK118" s="100" t="str">
        <f t="shared" si="511"/>
        <v/>
      </c>
      <c r="VDL118" s="100" t="str">
        <f t="shared" si="511"/>
        <v/>
      </c>
      <c r="VDM118" s="100" t="str">
        <f t="shared" si="511"/>
        <v/>
      </c>
      <c r="VDN118" s="100" t="str">
        <f t="shared" si="511"/>
        <v/>
      </c>
      <c r="VDO118" s="100" t="str">
        <f t="shared" si="511"/>
        <v/>
      </c>
      <c r="VDP118" s="100" t="str">
        <f t="shared" si="511"/>
        <v/>
      </c>
      <c r="VDQ118" s="100" t="str">
        <f t="shared" si="511"/>
        <v/>
      </c>
      <c r="VDR118" s="100" t="str">
        <f t="shared" si="511"/>
        <v/>
      </c>
      <c r="VDS118" s="100" t="str">
        <f t="shared" si="511"/>
        <v/>
      </c>
      <c r="VDT118" s="100" t="str">
        <f t="shared" si="511"/>
        <v/>
      </c>
      <c r="VDU118" s="100" t="str">
        <f t="shared" si="511"/>
        <v/>
      </c>
      <c r="VDV118" s="100" t="str">
        <f t="shared" si="511"/>
        <v/>
      </c>
      <c r="VDW118" s="100" t="str">
        <f t="shared" si="511"/>
        <v/>
      </c>
      <c r="VDX118" s="100" t="str">
        <f t="shared" si="511"/>
        <v/>
      </c>
      <c r="VDY118" s="100" t="str">
        <f t="shared" si="511"/>
        <v/>
      </c>
      <c r="VDZ118" s="100" t="str">
        <f t="shared" si="511"/>
        <v/>
      </c>
      <c r="VEA118" s="100" t="str">
        <f t="shared" si="511"/>
        <v/>
      </c>
      <c r="VEB118" s="100" t="str">
        <f t="shared" si="511"/>
        <v/>
      </c>
      <c r="VEC118" s="100" t="str">
        <f t="shared" si="511"/>
        <v/>
      </c>
      <c r="VED118" s="100" t="str">
        <f t="shared" si="511"/>
        <v/>
      </c>
      <c r="VEE118" s="100" t="str">
        <f t="shared" si="511"/>
        <v/>
      </c>
      <c r="VEF118" s="100" t="str">
        <f t="shared" si="511"/>
        <v/>
      </c>
      <c r="VEG118" s="100" t="str">
        <f t="shared" si="511"/>
        <v/>
      </c>
      <c r="VEH118" s="100" t="str">
        <f t="shared" si="511"/>
        <v/>
      </c>
      <c r="VEI118" s="100" t="str">
        <f t="shared" si="511"/>
        <v/>
      </c>
      <c r="VEJ118" s="100" t="str">
        <f t="shared" si="511"/>
        <v/>
      </c>
      <c r="VEK118" s="100" t="str">
        <f t="shared" si="511"/>
        <v/>
      </c>
      <c r="VEL118" s="100" t="str">
        <f t="shared" si="511"/>
        <v/>
      </c>
      <c r="VEM118" s="100" t="str">
        <f t="shared" si="511"/>
        <v/>
      </c>
      <c r="VEN118" s="100" t="str">
        <f t="shared" si="511"/>
        <v/>
      </c>
      <c r="VEO118" s="100" t="str">
        <f t="shared" si="511"/>
        <v/>
      </c>
      <c r="VEP118" s="100" t="str">
        <f t="shared" si="511"/>
        <v/>
      </c>
      <c r="VEQ118" s="100" t="str">
        <f t="shared" si="511"/>
        <v/>
      </c>
      <c r="VER118" s="100" t="str">
        <f t="shared" si="511"/>
        <v/>
      </c>
      <c r="VES118" s="100" t="str">
        <f t="shared" si="511"/>
        <v/>
      </c>
      <c r="VET118" s="100" t="str">
        <f t="shared" si="511"/>
        <v/>
      </c>
      <c r="VEU118" s="100" t="str">
        <f t="shared" si="511"/>
        <v/>
      </c>
      <c r="VEV118" s="100" t="str">
        <f t="shared" si="511"/>
        <v/>
      </c>
      <c r="VEW118" s="100" t="str">
        <f t="shared" si="511"/>
        <v/>
      </c>
      <c r="VEX118" s="100" t="str">
        <f t="shared" si="511"/>
        <v/>
      </c>
      <c r="VEY118" s="100" t="str">
        <f t="shared" si="511"/>
        <v/>
      </c>
      <c r="VEZ118" s="100" t="str">
        <f t="shared" si="511"/>
        <v/>
      </c>
      <c r="VFA118" s="100" t="str">
        <f t="shared" si="511"/>
        <v/>
      </c>
      <c r="VFB118" s="100" t="str">
        <f t="shared" si="511"/>
        <v/>
      </c>
      <c r="VFC118" s="100" t="str">
        <f t="shared" si="511"/>
        <v/>
      </c>
      <c r="VFD118" s="100" t="str">
        <f t="shared" si="511"/>
        <v/>
      </c>
      <c r="VFE118" s="100" t="str">
        <f t="shared" si="511"/>
        <v/>
      </c>
      <c r="VFF118" s="100" t="str">
        <f t="shared" si="511"/>
        <v/>
      </c>
      <c r="VFG118" s="100" t="str">
        <f t="shared" si="511"/>
        <v/>
      </c>
      <c r="VFH118" s="100" t="str">
        <f t="shared" si="511"/>
        <v/>
      </c>
      <c r="VFI118" s="100" t="str">
        <f t="shared" si="511"/>
        <v/>
      </c>
      <c r="VFJ118" s="100" t="str">
        <f t="shared" si="511"/>
        <v/>
      </c>
      <c r="VFK118" s="100" t="str">
        <f t="shared" si="511"/>
        <v/>
      </c>
      <c r="VFL118" s="100" t="str">
        <f t="shared" si="511"/>
        <v/>
      </c>
      <c r="VFM118" s="100" t="str">
        <f t="shared" si="511"/>
        <v/>
      </c>
      <c r="VFN118" s="100" t="str">
        <f t="shared" si="511"/>
        <v/>
      </c>
      <c r="VFO118" s="100" t="str">
        <f t="shared" si="511"/>
        <v/>
      </c>
      <c r="VFP118" s="100" t="str">
        <f t="shared" si="511"/>
        <v/>
      </c>
      <c r="VFQ118" s="100" t="str">
        <f t="shared" ref="VFQ118:VIB118" si="512">IFERROR(AVERAGE(VFQ6,VFQ16,VFQ25,VFQ34,VFQ42,VFQ54,VFQ62,VFQ70,VFQ78,VFQ86,VFQ94,VFQ102,VFQ110),"")</f>
        <v/>
      </c>
      <c r="VFR118" s="100" t="str">
        <f t="shared" si="512"/>
        <v/>
      </c>
      <c r="VFS118" s="100" t="str">
        <f t="shared" si="512"/>
        <v/>
      </c>
      <c r="VFT118" s="100" t="str">
        <f t="shared" si="512"/>
        <v/>
      </c>
      <c r="VFU118" s="100" t="str">
        <f t="shared" si="512"/>
        <v/>
      </c>
      <c r="VFV118" s="100" t="str">
        <f t="shared" si="512"/>
        <v/>
      </c>
      <c r="VFW118" s="100" t="str">
        <f t="shared" si="512"/>
        <v/>
      </c>
      <c r="VFX118" s="100" t="str">
        <f t="shared" si="512"/>
        <v/>
      </c>
      <c r="VFY118" s="100" t="str">
        <f t="shared" si="512"/>
        <v/>
      </c>
      <c r="VFZ118" s="100" t="str">
        <f t="shared" si="512"/>
        <v/>
      </c>
      <c r="VGA118" s="100" t="str">
        <f t="shared" si="512"/>
        <v/>
      </c>
      <c r="VGB118" s="100" t="str">
        <f t="shared" si="512"/>
        <v/>
      </c>
      <c r="VGC118" s="100" t="str">
        <f t="shared" si="512"/>
        <v/>
      </c>
      <c r="VGD118" s="100" t="str">
        <f t="shared" si="512"/>
        <v/>
      </c>
      <c r="VGE118" s="100" t="str">
        <f t="shared" si="512"/>
        <v/>
      </c>
      <c r="VGF118" s="100" t="str">
        <f t="shared" si="512"/>
        <v/>
      </c>
      <c r="VGG118" s="100" t="str">
        <f t="shared" si="512"/>
        <v/>
      </c>
      <c r="VGH118" s="100" t="str">
        <f t="shared" si="512"/>
        <v/>
      </c>
      <c r="VGI118" s="100" t="str">
        <f t="shared" si="512"/>
        <v/>
      </c>
      <c r="VGJ118" s="100" t="str">
        <f t="shared" si="512"/>
        <v/>
      </c>
      <c r="VGK118" s="100" t="str">
        <f t="shared" si="512"/>
        <v/>
      </c>
      <c r="VGL118" s="100" t="str">
        <f t="shared" si="512"/>
        <v/>
      </c>
      <c r="VGM118" s="100" t="str">
        <f t="shared" si="512"/>
        <v/>
      </c>
      <c r="VGN118" s="100" t="str">
        <f t="shared" si="512"/>
        <v/>
      </c>
      <c r="VGO118" s="100" t="str">
        <f t="shared" si="512"/>
        <v/>
      </c>
      <c r="VGP118" s="100" t="str">
        <f t="shared" si="512"/>
        <v/>
      </c>
      <c r="VGQ118" s="100" t="str">
        <f t="shared" si="512"/>
        <v/>
      </c>
      <c r="VGR118" s="100" t="str">
        <f t="shared" si="512"/>
        <v/>
      </c>
      <c r="VGS118" s="100" t="str">
        <f t="shared" si="512"/>
        <v/>
      </c>
      <c r="VGT118" s="100" t="str">
        <f t="shared" si="512"/>
        <v/>
      </c>
      <c r="VGU118" s="100" t="str">
        <f t="shared" si="512"/>
        <v/>
      </c>
      <c r="VGV118" s="100" t="str">
        <f t="shared" si="512"/>
        <v/>
      </c>
      <c r="VGW118" s="100" t="str">
        <f t="shared" si="512"/>
        <v/>
      </c>
      <c r="VGX118" s="100" t="str">
        <f t="shared" si="512"/>
        <v/>
      </c>
      <c r="VGY118" s="100" t="str">
        <f t="shared" si="512"/>
        <v/>
      </c>
      <c r="VGZ118" s="100" t="str">
        <f t="shared" si="512"/>
        <v/>
      </c>
      <c r="VHA118" s="100" t="str">
        <f t="shared" si="512"/>
        <v/>
      </c>
      <c r="VHB118" s="100" t="str">
        <f t="shared" si="512"/>
        <v/>
      </c>
      <c r="VHC118" s="100" t="str">
        <f t="shared" si="512"/>
        <v/>
      </c>
      <c r="VHD118" s="100" t="str">
        <f t="shared" si="512"/>
        <v/>
      </c>
      <c r="VHE118" s="100" t="str">
        <f t="shared" si="512"/>
        <v/>
      </c>
      <c r="VHF118" s="100" t="str">
        <f t="shared" si="512"/>
        <v/>
      </c>
      <c r="VHG118" s="100" t="str">
        <f t="shared" si="512"/>
        <v/>
      </c>
      <c r="VHH118" s="100" t="str">
        <f t="shared" si="512"/>
        <v/>
      </c>
      <c r="VHI118" s="100" t="str">
        <f t="shared" si="512"/>
        <v/>
      </c>
      <c r="VHJ118" s="100" t="str">
        <f t="shared" si="512"/>
        <v/>
      </c>
      <c r="VHK118" s="100" t="str">
        <f t="shared" si="512"/>
        <v/>
      </c>
      <c r="VHL118" s="100" t="str">
        <f t="shared" si="512"/>
        <v/>
      </c>
      <c r="VHM118" s="100" t="str">
        <f t="shared" si="512"/>
        <v/>
      </c>
      <c r="VHN118" s="100" t="str">
        <f t="shared" si="512"/>
        <v/>
      </c>
      <c r="VHO118" s="100" t="str">
        <f t="shared" si="512"/>
        <v/>
      </c>
      <c r="VHP118" s="100" t="str">
        <f t="shared" si="512"/>
        <v/>
      </c>
      <c r="VHQ118" s="100" t="str">
        <f t="shared" si="512"/>
        <v/>
      </c>
      <c r="VHR118" s="100" t="str">
        <f t="shared" si="512"/>
        <v/>
      </c>
      <c r="VHS118" s="100" t="str">
        <f t="shared" si="512"/>
        <v/>
      </c>
      <c r="VHT118" s="100" t="str">
        <f t="shared" si="512"/>
        <v/>
      </c>
      <c r="VHU118" s="100" t="str">
        <f t="shared" si="512"/>
        <v/>
      </c>
      <c r="VHV118" s="100" t="str">
        <f t="shared" si="512"/>
        <v/>
      </c>
      <c r="VHW118" s="100" t="str">
        <f t="shared" si="512"/>
        <v/>
      </c>
      <c r="VHX118" s="100" t="str">
        <f t="shared" si="512"/>
        <v/>
      </c>
      <c r="VHY118" s="100" t="str">
        <f t="shared" si="512"/>
        <v/>
      </c>
      <c r="VHZ118" s="100" t="str">
        <f t="shared" si="512"/>
        <v/>
      </c>
      <c r="VIA118" s="100" t="str">
        <f t="shared" si="512"/>
        <v/>
      </c>
      <c r="VIB118" s="100" t="str">
        <f t="shared" si="512"/>
        <v/>
      </c>
      <c r="VIC118" s="100" t="str">
        <f t="shared" ref="VIC118:VKN118" si="513">IFERROR(AVERAGE(VIC6,VIC16,VIC25,VIC34,VIC42,VIC54,VIC62,VIC70,VIC78,VIC86,VIC94,VIC102,VIC110),"")</f>
        <v/>
      </c>
      <c r="VID118" s="100" t="str">
        <f t="shared" si="513"/>
        <v/>
      </c>
      <c r="VIE118" s="100" t="str">
        <f t="shared" si="513"/>
        <v/>
      </c>
      <c r="VIF118" s="100" t="str">
        <f t="shared" si="513"/>
        <v/>
      </c>
      <c r="VIG118" s="100" t="str">
        <f t="shared" si="513"/>
        <v/>
      </c>
      <c r="VIH118" s="100" t="str">
        <f t="shared" si="513"/>
        <v/>
      </c>
      <c r="VII118" s="100" t="str">
        <f t="shared" si="513"/>
        <v/>
      </c>
      <c r="VIJ118" s="100" t="str">
        <f t="shared" si="513"/>
        <v/>
      </c>
      <c r="VIK118" s="100" t="str">
        <f t="shared" si="513"/>
        <v/>
      </c>
      <c r="VIL118" s="100" t="str">
        <f t="shared" si="513"/>
        <v/>
      </c>
      <c r="VIM118" s="100" t="str">
        <f t="shared" si="513"/>
        <v/>
      </c>
      <c r="VIN118" s="100" t="str">
        <f t="shared" si="513"/>
        <v/>
      </c>
      <c r="VIO118" s="100" t="str">
        <f t="shared" si="513"/>
        <v/>
      </c>
      <c r="VIP118" s="100" t="str">
        <f t="shared" si="513"/>
        <v/>
      </c>
      <c r="VIQ118" s="100" t="str">
        <f t="shared" si="513"/>
        <v/>
      </c>
      <c r="VIR118" s="100" t="str">
        <f t="shared" si="513"/>
        <v/>
      </c>
      <c r="VIS118" s="100" t="str">
        <f t="shared" si="513"/>
        <v/>
      </c>
      <c r="VIT118" s="100" t="str">
        <f t="shared" si="513"/>
        <v/>
      </c>
      <c r="VIU118" s="100" t="str">
        <f t="shared" si="513"/>
        <v/>
      </c>
      <c r="VIV118" s="100" t="str">
        <f t="shared" si="513"/>
        <v/>
      </c>
      <c r="VIW118" s="100" t="str">
        <f t="shared" si="513"/>
        <v/>
      </c>
      <c r="VIX118" s="100" t="str">
        <f t="shared" si="513"/>
        <v/>
      </c>
      <c r="VIY118" s="100" t="str">
        <f t="shared" si="513"/>
        <v/>
      </c>
      <c r="VIZ118" s="100" t="str">
        <f t="shared" si="513"/>
        <v/>
      </c>
      <c r="VJA118" s="100" t="str">
        <f t="shared" si="513"/>
        <v/>
      </c>
      <c r="VJB118" s="100" t="str">
        <f t="shared" si="513"/>
        <v/>
      </c>
      <c r="VJC118" s="100" t="str">
        <f t="shared" si="513"/>
        <v/>
      </c>
      <c r="VJD118" s="100" t="str">
        <f t="shared" si="513"/>
        <v/>
      </c>
      <c r="VJE118" s="100" t="str">
        <f t="shared" si="513"/>
        <v/>
      </c>
      <c r="VJF118" s="100" t="str">
        <f t="shared" si="513"/>
        <v/>
      </c>
      <c r="VJG118" s="100" t="str">
        <f t="shared" si="513"/>
        <v/>
      </c>
      <c r="VJH118" s="100" t="str">
        <f t="shared" si="513"/>
        <v/>
      </c>
      <c r="VJI118" s="100" t="str">
        <f t="shared" si="513"/>
        <v/>
      </c>
      <c r="VJJ118" s="100" t="str">
        <f t="shared" si="513"/>
        <v/>
      </c>
      <c r="VJK118" s="100" t="str">
        <f t="shared" si="513"/>
        <v/>
      </c>
      <c r="VJL118" s="100" t="str">
        <f t="shared" si="513"/>
        <v/>
      </c>
      <c r="VJM118" s="100" t="str">
        <f t="shared" si="513"/>
        <v/>
      </c>
      <c r="VJN118" s="100" t="str">
        <f t="shared" si="513"/>
        <v/>
      </c>
      <c r="VJO118" s="100" t="str">
        <f t="shared" si="513"/>
        <v/>
      </c>
      <c r="VJP118" s="100" t="str">
        <f t="shared" si="513"/>
        <v/>
      </c>
      <c r="VJQ118" s="100" t="str">
        <f t="shared" si="513"/>
        <v/>
      </c>
      <c r="VJR118" s="100" t="str">
        <f t="shared" si="513"/>
        <v/>
      </c>
      <c r="VJS118" s="100" t="str">
        <f t="shared" si="513"/>
        <v/>
      </c>
      <c r="VJT118" s="100" t="str">
        <f t="shared" si="513"/>
        <v/>
      </c>
      <c r="VJU118" s="100" t="str">
        <f t="shared" si="513"/>
        <v/>
      </c>
      <c r="VJV118" s="100" t="str">
        <f t="shared" si="513"/>
        <v/>
      </c>
      <c r="VJW118" s="100" t="str">
        <f t="shared" si="513"/>
        <v/>
      </c>
      <c r="VJX118" s="100" t="str">
        <f t="shared" si="513"/>
        <v/>
      </c>
      <c r="VJY118" s="100" t="str">
        <f t="shared" si="513"/>
        <v/>
      </c>
      <c r="VJZ118" s="100" t="str">
        <f t="shared" si="513"/>
        <v/>
      </c>
      <c r="VKA118" s="100" t="str">
        <f t="shared" si="513"/>
        <v/>
      </c>
      <c r="VKB118" s="100" t="str">
        <f t="shared" si="513"/>
        <v/>
      </c>
      <c r="VKC118" s="100" t="str">
        <f t="shared" si="513"/>
        <v/>
      </c>
      <c r="VKD118" s="100" t="str">
        <f t="shared" si="513"/>
        <v/>
      </c>
      <c r="VKE118" s="100" t="str">
        <f t="shared" si="513"/>
        <v/>
      </c>
      <c r="VKF118" s="100" t="str">
        <f t="shared" si="513"/>
        <v/>
      </c>
      <c r="VKG118" s="100" t="str">
        <f t="shared" si="513"/>
        <v/>
      </c>
      <c r="VKH118" s="100" t="str">
        <f t="shared" si="513"/>
        <v/>
      </c>
      <c r="VKI118" s="100" t="str">
        <f t="shared" si="513"/>
        <v/>
      </c>
      <c r="VKJ118" s="100" t="str">
        <f t="shared" si="513"/>
        <v/>
      </c>
      <c r="VKK118" s="100" t="str">
        <f t="shared" si="513"/>
        <v/>
      </c>
      <c r="VKL118" s="100" t="str">
        <f t="shared" si="513"/>
        <v/>
      </c>
      <c r="VKM118" s="100" t="str">
        <f t="shared" si="513"/>
        <v/>
      </c>
      <c r="VKN118" s="100" t="str">
        <f t="shared" si="513"/>
        <v/>
      </c>
      <c r="VKO118" s="100" t="str">
        <f t="shared" ref="VKO118:VMZ118" si="514">IFERROR(AVERAGE(VKO6,VKO16,VKO25,VKO34,VKO42,VKO54,VKO62,VKO70,VKO78,VKO86,VKO94,VKO102,VKO110),"")</f>
        <v/>
      </c>
      <c r="VKP118" s="100" t="str">
        <f t="shared" si="514"/>
        <v/>
      </c>
      <c r="VKQ118" s="100" t="str">
        <f t="shared" si="514"/>
        <v/>
      </c>
      <c r="VKR118" s="100" t="str">
        <f t="shared" si="514"/>
        <v/>
      </c>
      <c r="VKS118" s="100" t="str">
        <f t="shared" si="514"/>
        <v/>
      </c>
      <c r="VKT118" s="100" t="str">
        <f t="shared" si="514"/>
        <v/>
      </c>
      <c r="VKU118" s="100" t="str">
        <f t="shared" si="514"/>
        <v/>
      </c>
      <c r="VKV118" s="100" t="str">
        <f t="shared" si="514"/>
        <v/>
      </c>
      <c r="VKW118" s="100" t="str">
        <f t="shared" si="514"/>
        <v/>
      </c>
      <c r="VKX118" s="100" t="str">
        <f t="shared" si="514"/>
        <v/>
      </c>
      <c r="VKY118" s="100" t="str">
        <f t="shared" si="514"/>
        <v/>
      </c>
      <c r="VKZ118" s="100" t="str">
        <f t="shared" si="514"/>
        <v/>
      </c>
      <c r="VLA118" s="100" t="str">
        <f t="shared" si="514"/>
        <v/>
      </c>
      <c r="VLB118" s="100" t="str">
        <f t="shared" si="514"/>
        <v/>
      </c>
      <c r="VLC118" s="100" t="str">
        <f t="shared" si="514"/>
        <v/>
      </c>
      <c r="VLD118" s="100" t="str">
        <f t="shared" si="514"/>
        <v/>
      </c>
      <c r="VLE118" s="100" t="str">
        <f t="shared" si="514"/>
        <v/>
      </c>
      <c r="VLF118" s="100" t="str">
        <f t="shared" si="514"/>
        <v/>
      </c>
      <c r="VLG118" s="100" t="str">
        <f t="shared" si="514"/>
        <v/>
      </c>
      <c r="VLH118" s="100" t="str">
        <f t="shared" si="514"/>
        <v/>
      </c>
      <c r="VLI118" s="100" t="str">
        <f t="shared" si="514"/>
        <v/>
      </c>
      <c r="VLJ118" s="100" t="str">
        <f t="shared" si="514"/>
        <v/>
      </c>
      <c r="VLK118" s="100" t="str">
        <f t="shared" si="514"/>
        <v/>
      </c>
      <c r="VLL118" s="100" t="str">
        <f t="shared" si="514"/>
        <v/>
      </c>
      <c r="VLM118" s="100" t="str">
        <f t="shared" si="514"/>
        <v/>
      </c>
      <c r="VLN118" s="100" t="str">
        <f t="shared" si="514"/>
        <v/>
      </c>
      <c r="VLO118" s="100" t="str">
        <f t="shared" si="514"/>
        <v/>
      </c>
      <c r="VLP118" s="100" t="str">
        <f t="shared" si="514"/>
        <v/>
      </c>
      <c r="VLQ118" s="100" t="str">
        <f t="shared" si="514"/>
        <v/>
      </c>
      <c r="VLR118" s="100" t="str">
        <f t="shared" si="514"/>
        <v/>
      </c>
      <c r="VLS118" s="100" t="str">
        <f t="shared" si="514"/>
        <v/>
      </c>
      <c r="VLT118" s="100" t="str">
        <f t="shared" si="514"/>
        <v/>
      </c>
      <c r="VLU118" s="100" t="str">
        <f t="shared" si="514"/>
        <v/>
      </c>
      <c r="VLV118" s="100" t="str">
        <f t="shared" si="514"/>
        <v/>
      </c>
      <c r="VLW118" s="100" t="str">
        <f t="shared" si="514"/>
        <v/>
      </c>
      <c r="VLX118" s="100" t="str">
        <f t="shared" si="514"/>
        <v/>
      </c>
      <c r="VLY118" s="100" t="str">
        <f t="shared" si="514"/>
        <v/>
      </c>
      <c r="VLZ118" s="100" t="str">
        <f t="shared" si="514"/>
        <v/>
      </c>
      <c r="VMA118" s="100" t="str">
        <f t="shared" si="514"/>
        <v/>
      </c>
      <c r="VMB118" s="100" t="str">
        <f t="shared" si="514"/>
        <v/>
      </c>
      <c r="VMC118" s="100" t="str">
        <f t="shared" si="514"/>
        <v/>
      </c>
      <c r="VMD118" s="100" t="str">
        <f t="shared" si="514"/>
        <v/>
      </c>
      <c r="VME118" s="100" t="str">
        <f t="shared" si="514"/>
        <v/>
      </c>
      <c r="VMF118" s="100" t="str">
        <f t="shared" si="514"/>
        <v/>
      </c>
      <c r="VMG118" s="100" t="str">
        <f t="shared" si="514"/>
        <v/>
      </c>
      <c r="VMH118" s="100" t="str">
        <f t="shared" si="514"/>
        <v/>
      </c>
      <c r="VMI118" s="100" t="str">
        <f t="shared" si="514"/>
        <v/>
      </c>
      <c r="VMJ118" s="100" t="str">
        <f t="shared" si="514"/>
        <v/>
      </c>
      <c r="VMK118" s="100" t="str">
        <f t="shared" si="514"/>
        <v/>
      </c>
      <c r="VML118" s="100" t="str">
        <f t="shared" si="514"/>
        <v/>
      </c>
      <c r="VMM118" s="100" t="str">
        <f t="shared" si="514"/>
        <v/>
      </c>
      <c r="VMN118" s="100" t="str">
        <f t="shared" si="514"/>
        <v/>
      </c>
      <c r="VMO118" s="100" t="str">
        <f t="shared" si="514"/>
        <v/>
      </c>
      <c r="VMP118" s="100" t="str">
        <f t="shared" si="514"/>
        <v/>
      </c>
      <c r="VMQ118" s="100" t="str">
        <f t="shared" si="514"/>
        <v/>
      </c>
      <c r="VMR118" s="100" t="str">
        <f t="shared" si="514"/>
        <v/>
      </c>
      <c r="VMS118" s="100" t="str">
        <f t="shared" si="514"/>
        <v/>
      </c>
      <c r="VMT118" s="100" t="str">
        <f t="shared" si="514"/>
        <v/>
      </c>
      <c r="VMU118" s="100" t="str">
        <f t="shared" si="514"/>
        <v/>
      </c>
      <c r="VMV118" s="100" t="str">
        <f t="shared" si="514"/>
        <v/>
      </c>
      <c r="VMW118" s="100" t="str">
        <f t="shared" si="514"/>
        <v/>
      </c>
      <c r="VMX118" s="100" t="str">
        <f t="shared" si="514"/>
        <v/>
      </c>
      <c r="VMY118" s="100" t="str">
        <f t="shared" si="514"/>
        <v/>
      </c>
      <c r="VMZ118" s="100" t="str">
        <f t="shared" si="514"/>
        <v/>
      </c>
      <c r="VNA118" s="100" t="str">
        <f t="shared" ref="VNA118:VPL118" si="515">IFERROR(AVERAGE(VNA6,VNA16,VNA25,VNA34,VNA42,VNA54,VNA62,VNA70,VNA78,VNA86,VNA94,VNA102,VNA110),"")</f>
        <v/>
      </c>
      <c r="VNB118" s="100" t="str">
        <f t="shared" si="515"/>
        <v/>
      </c>
      <c r="VNC118" s="100" t="str">
        <f t="shared" si="515"/>
        <v/>
      </c>
      <c r="VND118" s="100" t="str">
        <f t="shared" si="515"/>
        <v/>
      </c>
      <c r="VNE118" s="100" t="str">
        <f t="shared" si="515"/>
        <v/>
      </c>
      <c r="VNF118" s="100" t="str">
        <f t="shared" si="515"/>
        <v/>
      </c>
      <c r="VNG118" s="100" t="str">
        <f t="shared" si="515"/>
        <v/>
      </c>
      <c r="VNH118" s="100" t="str">
        <f t="shared" si="515"/>
        <v/>
      </c>
      <c r="VNI118" s="100" t="str">
        <f t="shared" si="515"/>
        <v/>
      </c>
      <c r="VNJ118" s="100" t="str">
        <f t="shared" si="515"/>
        <v/>
      </c>
      <c r="VNK118" s="100" t="str">
        <f t="shared" si="515"/>
        <v/>
      </c>
      <c r="VNL118" s="100" t="str">
        <f t="shared" si="515"/>
        <v/>
      </c>
      <c r="VNM118" s="100" t="str">
        <f t="shared" si="515"/>
        <v/>
      </c>
      <c r="VNN118" s="100" t="str">
        <f t="shared" si="515"/>
        <v/>
      </c>
      <c r="VNO118" s="100" t="str">
        <f t="shared" si="515"/>
        <v/>
      </c>
      <c r="VNP118" s="100" t="str">
        <f t="shared" si="515"/>
        <v/>
      </c>
      <c r="VNQ118" s="100" t="str">
        <f t="shared" si="515"/>
        <v/>
      </c>
      <c r="VNR118" s="100" t="str">
        <f t="shared" si="515"/>
        <v/>
      </c>
      <c r="VNS118" s="100" t="str">
        <f t="shared" si="515"/>
        <v/>
      </c>
      <c r="VNT118" s="100" t="str">
        <f t="shared" si="515"/>
        <v/>
      </c>
      <c r="VNU118" s="100" t="str">
        <f t="shared" si="515"/>
        <v/>
      </c>
      <c r="VNV118" s="100" t="str">
        <f t="shared" si="515"/>
        <v/>
      </c>
      <c r="VNW118" s="100" t="str">
        <f t="shared" si="515"/>
        <v/>
      </c>
      <c r="VNX118" s="100" t="str">
        <f t="shared" si="515"/>
        <v/>
      </c>
      <c r="VNY118" s="100" t="str">
        <f t="shared" si="515"/>
        <v/>
      </c>
      <c r="VNZ118" s="100" t="str">
        <f t="shared" si="515"/>
        <v/>
      </c>
      <c r="VOA118" s="100" t="str">
        <f t="shared" si="515"/>
        <v/>
      </c>
      <c r="VOB118" s="100" t="str">
        <f t="shared" si="515"/>
        <v/>
      </c>
      <c r="VOC118" s="100" t="str">
        <f t="shared" si="515"/>
        <v/>
      </c>
      <c r="VOD118" s="100" t="str">
        <f t="shared" si="515"/>
        <v/>
      </c>
      <c r="VOE118" s="100" t="str">
        <f t="shared" si="515"/>
        <v/>
      </c>
      <c r="VOF118" s="100" t="str">
        <f t="shared" si="515"/>
        <v/>
      </c>
      <c r="VOG118" s="100" t="str">
        <f t="shared" si="515"/>
        <v/>
      </c>
      <c r="VOH118" s="100" t="str">
        <f t="shared" si="515"/>
        <v/>
      </c>
      <c r="VOI118" s="100" t="str">
        <f t="shared" si="515"/>
        <v/>
      </c>
      <c r="VOJ118" s="100" t="str">
        <f t="shared" si="515"/>
        <v/>
      </c>
      <c r="VOK118" s="100" t="str">
        <f t="shared" si="515"/>
        <v/>
      </c>
      <c r="VOL118" s="100" t="str">
        <f t="shared" si="515"/>
        <v/>
      </c>
      <c r="VOM118" s="100" t="str">
        <f t="shared" si="515"/>
        <v/>
      </c>
      <c r="VON118" s="100" t="str">
        <f t="shared" si="515"/>
        <v/>
      </c>
      <c r="VOO118" s="100" t="str">
        <f t="shared" si="515"/>
        <v/>
      </c>
      <c r="VOP118" s="100" t="str">
        <f t="shared" si="515"/>
        <v/>
      </c>
      <c r="VOQ118" s="100" t="str">
        <f t="shared" si="515"/>
        <v/>
      </c>
      <c r="VOR118" s="100" t="str">
        <f t="shared" si="515"/>
        <v/>
      </c>
      <c r="VOS118" s="100" t="str">
        <f t="shared" si="515"/>
        <v/>
      </c>
      <c r="VOT118" s="100" t="str">
        <f t="shared" si="515"/>
        <v/>
      </c>
      <c r="VOU118" s="100" t="str">
        <f t="shared" si="515"/>
        <v/>
      </c>
      <c r="VOV118" s="100" t="str">
        <f t="shared" si="515"/>
        <v/>
      </c>
      <c r="VOW118" s="100" t="str">
        <f t="shared" si="515"/>
        <v/>
      </c>
      <c r="VOX118" s="100" t="str">
        <f t="shared" si="515"/>
        <v/>
      </c>
      <c r="VOY118" s="100" t="str">
        <f t="shared" si="515"/>
        <v/>
      </c>
      <c r="VOZ118" s="100" t="str">
        <f t="shared" si="515"/>
        <v/>
      </c>
      <c r="VPA118" s="100" t="str">
        <f t="shared" si="515"/>
        <v/>
      </c>
      <c r="VPB118" s="100" t="str">
        <f t="shared" si="515"/>
        <v/>
      </c>
      <c r="VPC118" s="100" t="str">
        <f t="shared" si="515"/>
        <v/>
      </c>
      <c r="VPD118" s="100" t="str">
        <f t="shared" si="515"/>
        <v/>
      </c>
      <c r="VPE118" s="100" t="str">
        <f t="shared" si="515"/>
        <v/>
      </c>
      <c r="VPF118" s="100" t="str">
        <f t="shared" si="515"/>
        <v/>
      </c>
      <c r="VPG118" s="100" t="str">
        <f t="shared" si="515"/>
        <v/>
      </c>
      <c r="VPH118" s="100" t="str">
        <f t="shared" si="515"/>
        <v/>
      </c>
      <c r="VPI118" s="100" t="str">
        <f t="shared" si="515"/>
        <v/>
      </c>
      <c r="VPJ118" s="100" t="str">
        <f t="shared" si="515"/>
        <v/>
      </c>
      <c r="VPK118" s="100" t="str">
        <f t="shared" si="515"/>
        <v/>
      </c>
      <c r="VPL118" s="100" t="str">
        <f t="shared" si="515"/>
        <v/>
      </c>
      <c r="VPM118" s="100" t="str">
        <f t="shared" ref="VPM118:VRX118" si="516">IFERROR(AVERAGE(VPM6,VPM16,VPM25,VPM34,VPM42,VPM54,VPM62,VPM70,VPM78,VPM86,VPM94,VPM102,VPM110),"")</f>
        <v/>
      </c>
      <c r="VPN118" s="100" t="str">
        <f t="shared" si="516"/>
        <v/>
      </c>
      <c r="VPO118" s="100" t="str">
        <f t="shared" si="516"/>
        <v/>
      </c>
      <c r="VPP118" s="100" t="str">
        <f t="shared" si="516"/>
        <v/>
      </c>
      <c r="VPQ118" s="100" t="str">
        <f t="shared" si="516"/>
        <v/>
      </c>
      <c r="VPR118" s="100" t="str">
        <f t="shared" si="516"/>
        <v/>
      </c>
      <c r="VPS118" s="100" t="str">
        <f t="shared" si="516"/>
        <v/>
      </c>
      <c r="VPT118" s="100" t="str">
        <f t="shared" si="516"/>
        <v/>
      </c>
      <c r="VPU118" s="100" t="str">
        <f t="shared" si="516"/>
        <v/>
      </c>
      <c r="VPV118" s="100" t="str">
        <f t="shared" si="516"/>
        <v/>
      </c>
      <c r="VPW118" s="100" t="str">
        <f t="shared" si="516"/>
        <v/>
      </c>
      <c r="VPX118" s="100" t="str">
        <f t="shared" si="516"/>
        <v/>
      </c>
      <c r="VPY118" s="100" t="str">
        <f t="shared" si="516"/>
        <v/>
      </c>
      <c r="VPZ118" s="100" t="str">
        <f t="shared" si="516"/>
        <v/>
      </c>
      <c r="VQA118" s="100" t="str">
        <f t="shared" si="516"/>
        <v/>
      </c>
      <c r="VQB118" s="100" t="str">
        <f t="shared" si="516"/>
        <v/>
      </c>
      <c r="VQC118" s="100" t="str">
        <f t="shared" si="516"/>
        <v/>
      </c>
      <c r="VQD118" s="100" t="str">
        <f t="shared" si="516"/>
        <v/>
      </c>
      <c r="VQE118" s="100" t="str">
        <f t="shared" si="516"/>
        <v/>
      </c>
      <c r="VQF118" s="100" t="str">
        <f t="shared" si="516"/>
        <v/>
      </c>
      <c r="VQG118" s="100" t="str">
        <f t="shared" si="516"/>
        <v/>
      </c>
      <c r="VQH118" s="100" t="str">
        <f t="shared" si="516"/>
        <v/>
      </c>
      <c r="VQI118" s="100" t="str">
        <f t="shared" si="516"/>
        <v/>
      </c>
      <c r="VQJ118" s="100" t="str">
        <f t="shared" si="516"/>
        <v/>
      </c>
      <c r="VQK118" s="100" t="str">
        <f t="shared" si="516"/>
        <v/>
      </c>
      <c r="VQL118" s="100" t="str">
        <f t="shared" si="516"/>
        <v/>
      </c>
      <c r="VQM118" s="100" t="str">
        <f t="shared" si="516"/>
        <v/>
      </c>
      <c r="VQN118" s="100" t="str">
        <f t="shared" si="516"/>
        <v/>
      </c>
      <c r="VQO118" s="100" t="str">
        <f t="shared" si="516"/>
        <v/>
      </c>
      <c r="VQP118" s="100" t="str">
        <f t="shared" si="516"/>
        <v/>
      </c>
      <c r="VQQ118" s="100" t="str">
        <f t="shared" si="516"/>
        <v/>
      </c>
      <c r="VQR118" s="100" t="str">
        <f t="shared" si="516"/>
        <v/>
      </c>
      <c r="VQS118" s="100" t="str">
        <f t="shared" si="516"/>
        <v/>
      </c>
      <c r="VQT118" s="100" t="str">
        <f t="shared" si="516"/>
        <v/>
      </c>
      <c r="VQU118" s="100" t="str">
        <f t="shared" si="516"/>
        <v/>
      </c>
      <c r="VQV118" s="100" t="str">
        <f t="shared" si="516"/>
        <v/>
      </c>
      <c r="VQW118" s="100" t="str">
        <f t="shared" si="516"/>
        <v/>
      </c>
      <c r="VQX118" s="100" t="str">
        <f t="shared" si="516"/>
        <v/>
      </c>
      <c r="VQY118" s="100" t="str">
        <f t="shared" si="516"/>
        <v/>
      </c>
      <c r="VQZ118" s="100" t="str">
        <f t="shared" si="516"/>
        <v/>
      </c>
      <c r="VRA118" s="100" t="str">
        <f t="shared" si="516"/>
        <v/>
      </c>
      <c r="VRB118" s="100" t="str">
        <f t="shared" si="516"/>
        <v/>
      </c>
      <c r="VRC118" s="100" t="str">
        <f t="shared" si="516"/>
        <v/>
      </c>
      <c r="VRD118" s="100" t="str">
        <f t="shared" si="516"/>
        <v/>
      </c>
      <c r="VRE118" s="100" t="str">
        <f t="shared" si="516"/>
        <v/>
      </c>
      <c r="VRF118" s="100" t="str">
        <f t="shared" si="516"/>
        <v/>
      </c>
      <c r="VRG118" s="100" t="str">
        <f t="shared" si="516"/>
        <v/>
      </c>
      <c r="VRH118" s="100" t="str">
        <f t="shared" si="516"/>
        <v/>
      </c>
      <c r="VRI118" s="100" t="str">
        <f t="shared" si="516"/>
        <v/>
      </c>
      <c r="VRJ118" s="100" t="str">
        <f t="shared" si="516"/>
        <v/>
      </c>
      <c r="VRK118" s="100" t="str">
        <f t="shared" si="516"/>
        <v/>
      </c>
      <c r="VRL118" s="100" t="str">
        <f t="shared" si="516"/>
        <v/>
      </c>
      <c r="VRM118" s="100" t="str">
        <f t="shared" si="516"/>
        <v/>
      </c>
      <c r="VRN118" s="100" t="str">
        <f t="shared" si="516"/>
        <v/>
      </c>
      <c r="VRO118" s="100" t="str">
        <f t="shared" si="516"/>
        <v/>
      </c>
      <c r="VRP118" s="100" t="str">
        <f t="shared" si="516"/>
        <v/>
      </c>
      <c r="VRQ118" s="100" t="str">
        <f t="shared" si="516"/>
        <v/>
      </c>
      <c r="VRR118" s="100" t="str">
        <f t="shared" si="516"/>
        <v/>
      </c>
      <c r="VRS118" s="100" t="str">
        <f t="shared" si="516"/>
        <v/>
      </c>
      <c r="VRT118" s="100" t="str">
        <f t="shared" si="516"/>
        <v/>
      </c>
      <c r="VRU118" s="100" t="str">
        <f t="shared" si="516"/>
        <v/>
      </c>
      <c r="VRV118" s="100" t="str">
        <f t="shared" si="516"/>
        <v/>
      </c>
      <c r="VRW118" s="100" t="str">
        <f t="shared" si="516"/>
        <v/>
      </c>
      <c r="VRX118" s="100" t="str">
        <f t="shared" si="516"/>
        <v/>
      </c>
      <c r="VRY118" s="100" t="str">
        <f t="shared" ref="VRY118:VUJ118" si="517">IFERROR(AVERAGE(VRY6,VRY16,VRY25,VRY34,VRY42,VRY54,VRY62,VRY70,VRY78,VRY86,VRY94,VRY102,VRY110),"")</f>
        <v/>
      </c>
      <c r="VRZ118" s="100" t="str">
        <f t="shared" si="517"/>
        <v/>
      </c>
      <c r="VSA118" s="100" t="str">
        <f t="shared" si="517"/>
        <v/>
      </c>
      <c r="VSB118" s="100" t="str">
        <f t="shared" si="517"/>
        <v/>
      </c>
      <c r="VSC118" s="100" t="str">
        <f t="shared" si="517"/>
        <v/>
      </c>
      <c r="VSD118" s="100" t="str">
        <f t="shared" si="517"/>
        <v/>
      </c>
      <c r="VSE118" s="100" t="str">
        <f t="shared" si="517"/>
        <v/>
      </c>
      <c r="VSF118" s="100" t="str">
        <f t="shared" si="517"/>
        <v/>
      </c>
      <c r="VSG118" s="100" t="str">
        <f t="shared" si="517"/>
        <v/>
      </c>
      <c r="VSH118" s="100" t="str">
        <f t="shared" si="517"/>
        <v/>
      </c>
      <c r="VSI118" s="100" t="str">
        <f t="shared" si="517"/>
        <v/>
      </c>
      <c r="VSJ118" s="100" t="str">
        <f t="shared" si="517"/>
        <v/>
      </c>
      <c r="VSK118" s="100" t="str">
        <f t="shared" si="517"/>
        <v/>
      </c>
      <c r="VSL118" s="100" t="str">
        <f t="shared" si="517"/>
        <v/>
      </c>
      <c r="VSM118" s="100" t="str">
        <f t="shared" si="517"/>
        <v/>
      </c>
      <c r="VSN118" s="100" t="str">
        <f t="shared" si="517"/>
        <v/>
      </c>
      <c r="VSO118" s="100" t="str">
        <f t="shared" si="517"/>
        <v/>
      </c>
      <c r="VSP118" s="100" t="str">
        <f t="shared" si="517"/>
        <v/>
      </c>
      <c r="VSQ118" s="100" t="str">
        <f t="shared" si="517"/>
        <v/>
      </c>
      <c r="VSR118" s="100" t="str">
        <f t="shared" si="517"/>
        <v/>
      </c>
      <c r="VSS118" s="100" t="str">
        <f t="shared" si="517"/>
        <v/>
      </c>
      <c r="VST118" s="100" t="str">
        <f t="shared" si="517"/>
        <v/>
      </c>
      <c r="VSU118" s="100" t="str">
        <f t="shared" si="517"/>
        <v/>
      </c>
      <c r="VSV118" s="100" t="str">
        <f t="shared" si="517"/>
        <v/>
      </c>
      <c r="VSW118" s="100" t="str">
        <f t="shared" si="517"/>
        <v/>
      </c>
      <c r="VSX118" s="100" t="str">
        <f t="shared" si="517"/>
        <v/>
      </c>
      <c r="VSY118" s="100" t="str">
        <f t="shared" si="517"/>
        <v/>
      </c>
      <c r="VSZ118" s="100" t="str">
        <f t="shared" si="517"/>
        <v/>
      </c>
      <c r="VTA118" s="100" t="str">
        <f t="shared" si="517"/>
        <v/>
      </c>
      <c r="VTB118" s="100" t="str">
        <f t="shared" si="517"/>
        <v/>
      </c>
      <c r="VTC118" s="100" t="str">
        <f t="shared" si="517"/>
        <v/>
      </c>
      <c r="VTD118" s="100" t="str">
        <f t="shared" si="517"/>
        <v/>
      </c>
      <c r="VTE118" s="100" t="str">
        <f t="shared" si="517"/>
        <v/>
      </c>
      <c r="VTF118" s="100" t="str">
        <f t="shared" si="517"/>
        <v/>
      </c>
      <c r="VTG118" s="100" t="str">
        <f t="shared" si="517"/>
        <v/>
      </c>
      <c r="VTH118" s="100" t="str">
        <f t="shared" si="517"/>
        <v/>
      </c>
      <c r="VTI118" s="100" t="str">
        <f t="shared" si="517"/>
        <v/>
      </c>
      <c r="VTJ118" s="100" t="str">
        <f t="shared" si="517"/>
        <v/>
      </c>
      <c r="VTK118" s="100" t="str">
        <f t="shared" si="517"/>
        <v/>
      </c>
      <c r="VTL118" s="100" t="str">
        <f t="shared" si="517"/>
        <v/>
      </c>
      <c r="VTM118" s="100" t="str">
        <f t="shared" si="517"/>
        <v/>
      </c>
      <c r="VTN118" s="100" t="str">
        <f t="shared" si="517"/>
        <v/>
      </c>
      <c r="VTO118" s="100" t="str">
        <f t="shared" si="517"/>
        <v/>
      </c>
      <c r="VTP118" s="100" t="str">
        <f t="shared" si="517"/>
        <v/>
      </c>
      <c r="VTQ118" s="100" t="str">
        <f t="shared" si="517"/>
        <v/>
      </c>
      <c r="VTR118" s="100" t="str">
        <f t="shared" si="517"/>
        <v/>
      </c>
      <c r="VTS118" s="100" t="str">
        <f t="shared" si="517"/>
        <v/>
      </c>
      <c r="VTT118" s="100" t="str">
        <f t="shared" si="517"/>
        <v/>
      </c>
      <c r="VTU118" s="100" t="str">
        <f t="shared" si="517"/>
        <v/>
      </c>
      <c r="VTV118" s="100" t="str">
        <f t="shared" si="517"/>
        <v/>
      </c>
      <c r="VTW118" s="100" t="str">
        <f t="shared" si="517"/>
        <v/>
      </c>
      <c r="VTX118" s="100" t="str">
        <f t="shared" si="517"/>
        <v/>
      </c>
      <c r="VTY118" s="100" t="str">
        <f t="shared" si="517"/>
        <v/>
      </c>
      <c r="VTZ118" s="100" t="str">
        <f t="shared" si="517"/>
        <v/>
      </c>
      <c r="VUA118" s="100" t="str">
        <f t="shared" si="517"/>
        <v/>
      </c>
      <c r="VUB118" s="100" t="str">
        <f t="shared" si="517"/>
        <v/>
      </c>
      <c r="VUC118" s="100" t="str">
        <f t="shared" si="517"/>
        <v/>
      </c>
      <c r="VUD118" s="100" t="str">
        <f t="shared" si="517"/>
        <v/>
      </c>
      <c r="VUE118" s="100" t="str">
        <f t="shared" si="517"/>
        <v/>
      </c>
      <c r="VUF118" s="100" t="str">
        <f t="shared" si="517"/>
        <v/>
      </c>
      <c r="VUG118" s="100" t="str">
        <f t="shared" si="517"/>
        <v/>
      </c>
      <c r="VUH118" s="100" t="str">
        <f t="shared" si="517"/>
        <v/>
      </c>
      <c r="VUI118" s="100" t="str">
        <f t="shared" si="517"/>
        <v/>
      </c>
      <c r="VUJ118" s="100" t="str">
        <f t="shared" si="517"/>
        <v/>
      </c>
      <c r="VUK118" s="100" t="str">
        <f t="shared" ref="VUK118:VWV118" si="518">IFERROR(AVERAGE(VUK6,VUK16,VUK25,VUK34,VUK42,VUK54,VUK62,VUK70,VUK78,VUK86,VUK94,VUK102,VUK110),"")</f>
        <v/>
      </c>
      <c r="VUL118" s="100" t="str">
        <f t="shared" si="518"/>
        <v/>
      </c>
      <c r="VUM118" s="100" t="str">
        <f t="shared" si="518"/>
        <v/>
      </c>
      <c r="VUN118" s="100" t="str">
        <f t="shared" si="518"/>
        <v/>
      </c>
      <c r="VUO118" s="100" t="str">
        <f t="shared" si="518"/>
        <v/>
      </c>
      <c r="VUP118" s="100" t="str">
        <f t="shared" si="518"/>
        <v/>
      </c>
      <c r="VUQ118" s="100" t="str">
        <f t="shared" si="518"/>
        <v/>
      </c>
      <c r="VUR118" s="100" t="str">
        <f t="shared" si="518"/>
        <v/>
      </c>
      <c r="VUS118" s="100" t="str">
        <f t="shared" si="518"/>
        <v/>
      </c>
      <c r="VUT118" s="100" t="str">
        <f t="shared" si="518"/>
        <v/>
      </c>
      <c r="VUU118" s="100" t="str">
        <f t="shared" si="518"/>
        <v/>
      </c>
      <c r="VUV118" s="100" t="str">
        <f t="shared" si="518"/>
        <v/>
      </c>
      <c r="VUW118" s="100" t="str">
        <f t="shared" si="518"/>
        <v/>
      </c>
      <c r="VUX118" s="100" t="str">
        <f t="shared" si="518"/>
        <v/>
      </c>
      <c r="VUY118" s="100" t="str">
        <f t="shared" si="518"/>
        <v/>
      </c>
      <c r="VUZ118" s="100" t="str">
        <f t="shared" si="518"/>
        <v/>
      </c>
      <c r="VVA118" s="100" t="str">
        <f t="shared" si="518"/>
        <v/>
      </c>
      <c r="VVB118" s="100" t="str">
        <f t="shared" si="518"/>
        <v/>
      </c>
      <c r="VVC118" s="100" t="str">
        <f t="shared" si="518"/>
        <v/>
      </c>
      <c r="VVD118" s="100" t="str">
        <f t="shared" si="518"/>
        <v/>
      </c>
      <c r="VVE118" s="100" t="str">
        <f t="shared" si="518"/>
        <v/>
      </c>
      <c r="VVF118" s="100" t="str">
        <f t="shared" si="518"/>
        <v/>
      </c>
      <c r="VVG118" s="100" t="str">
        <f t="shared" si="518"/>
        <v/>
      </c>
      <c r="VVH118" s="100" t="str">
        <f t="shared" si="518"/>
        <v/>
      </c>
      <c r="VVI118" s="100" t="str">
        <f t="shared" si="518"/>
        <v/>
      </c>
      <c r="VVJ118" s="100" t="str">
        <f t="shared" si="518"/>
        <v/>
      </c>
      <c r="VVK118" s="100" t="str">
        <f t="shared" si="518"/>
        <v/>
      </c>
      <c r="VVL118" s="100" t="str">
        <f t="shared" si="518"/>
        <v/>
      </c>
      <c r="VVM118" s="100" t="str">
        <f t="shared" si="518"/>
        <v/>
      </c>
      <c r="VVN118" s="100" t="str">
        <f t="shared" si="518"/>
        <v/>
      </c>
      <c r="VVO118" s="100" t="str">
        <f t="shared" si="518"/>
        <v/>
      </c>
      <c r="VVP118" s="100" t="str">
        <f t="shared" si="518"/>
        <v/>
      </c>
      <c r="VVQ118" s="100" t="str">
        <f t="shared" si="518"/>
        <v/>
      </c>
      <c r="VVR118" s="100" t="str">
        <f t="shared" si="518"/>
        <v/>
      </c>
      <c r="VVS118" s="100" t="str">
        <f t="shared" si="518"/>
        <v/>
      </c>
      <c r="VVT118" s="100" t="str">
        <f t="shared" si="518"/>
        <v/>
      </c>
      <c r="VVU118" s="100" t="str">
        <f t="shared" si="518"/>
        <v/>
      </c>
      <c r="VVV118" s="100" t="str">
        <f t="shared" si="518"/>
        <v/>
      </c>
      <c r="VVW118" s="100" t="str">
        <f t="shared" si="518"/>
        <v/>
      </c>
      <c r="VVX118" s="100" t="str">
        <f t="shared" si="518"/>
        <v/>
      </c>
      <c r="VVY118" s="100" t="str">
        <f t="shared" si="518"/>
        <v/>
      </c>
      <c r="VVZ118" s="100" t="str">
        <f t="shared" si="518"/>
        <v/>
      </c>
      <c r="VWA118" s="100" t="str">
        <f t="shared" si="518"/>
        <v/>
      </c>
      <c r="VWB118" s="100" t="str">
        <f t="shared" si="518"/>
        <v/>
      </c>
      <c r="VWC118" s="100" t="str">
        <f t="shared" si="518"/>
        <v/>
      </c>
      <c r="VWD118" s="100" t="str">
        <f t="shared" si="518"/>
        <v/>
      </c>
      <c r="VWE118" s="100" t="str">
        <f t="shared" si="518"/>
        <v/>
      </c>
      <c r="VWF118" s="100" t="str">
        <f t="shared" si="518"/>
        <v/>
      </c>
      <c r="VWG118" s="100" t="str">
        <f t="shared" si="518"/>
        <v/>
      </c>
      <c r="VWH118" s="100" t="str">
        <f t="shared" si="518"/>
        <v/>
      </c>
      <c r="VWI118" s="100" t="str">
        <f t="shared" si="518"/>
        <v/>
      </c>
      <c r="VWJ118" s="100" t="str">
        <f t="shared" si="518"/>
        <v/>
      </c>
      <c r="VWK118" s="100" t="str">
        <f t="shared" si="518"/>
        <v/>
      </c>
      <c r="VWL118" s="100" t="str">
        <f t="shared" si="518"/>
        <v/>
      </c>
      <c r="VWM118" s="100" t="str">
        <f t="shared" si="518"/>
        <v/>
      </c>
      <c r="VWN118" s="100" t="str">
        <f t="shared" si="518"/>
        <v/>
      </c>
      <c r="VWO118" s="100" t="str">
        <f t="shared" si="518"/>
        <v/>
      </c>
      <c r="VWP118" s="100" t="str">
        <f t="shared" si="518"/>
        <v/>
      </c>
      <c r="VWQ118" s="100" t="str">
        <f t="shared" si="518"/>
        <v/>
      </c>
      <c r="VWR118" s="100" t="str">
        <f t="shared" si="518"/>
        <v/>
      </c>
      <c r="VWS118" s="100" t="str">
        <f t="shared" si="518"/>
        <v/>
      </c>
      <c r="VWT118" s="100" t="str">
        <f t="shared" si="518"/>
        <v/>
      </c>
      <c r="VWU118" s="100" t="str">
        <f t="shared" si="518"/>
        <v/>
      </c>
      <c r="VWV118" s="100" t="str">
        <f t="shared" si="518"/>
        <v/>
      </c>
      <c r="VWW118" s="100" t="str">
        <f t="shared" ref="VWW118:VZH118" si="519">IFERROR(AVERAGE(VWW6,VWW16,VWW25,VWW34,VWW42,VWW54,VWW62,VWW70,VWW78,VWW86,VWW94,VWW102,VWW110),"")</f>
        <v/>
      </c>
      <c r="VWX118" s="100" t="str">
        <f t="shared" si="519"/>
        <v/>
      </c>
      <c r="VWY118" s="100" t="str">
        <f t="shared" si="519"/>
        <v/>
      </c>
      <c r="VWZ118" s="100" t="str">
        <f t="shared" si="519"/>
        <v/>
      </c>
      <c r="VXA118" s="100" t="str">
        <f t="shared" si="519"/>
        <v/>
      </c>
      <c r="VXB118" s="100" t="str">
        <f t="shared" si="519"/>
        <v/>
      </c>
      <c r="VXC118" s="100" t="str">
        <f t="shared" si="519"/>
        <v/>
      </c>
      <c r="VXD118" s="100" t="str">
        <f t="shared" si="519"/>
        <v/>
      </c>
      <c r="VXE118" s="100" t="str">
        <f t="shared" si="519"/>
        <v/>
      </c>
      <c r="VXF118" s="100" t="str">
        <f t="shared" si="519"/>
        <v/>
      </c>
      <c r="VXG118" s="100" t="str">
        <f t="shared" si="519"/>
        <v/>
      </c>
      <c r="VXH118" s="100" t="str">
        <f t="shared" si="519"/>
        <v/>
      </c>
      <c r="VXI118" s="100" t="str">
        <f t="shared" si="519"/>
        <v/>
      </c>
      <c r="VXJ118" s="100" t="str">
        <f t="shared" si="519"/>
        <v/>
      </c>
      <c r="VXK118" s="100" t="str">
        <f t="shared" si="519"/>
        <v/>
      </c>
      <c r="VXL118" s="100" t="str">
        <f t="shared" si="519"/>
        <v/>
      </c>
      <c r="VXM118" s="100" t="str">
        <f t="shared" si="519"/>
        <v/>
      </c>
      <c r="VXN118" s="100" t="str">
        <f t="shared" si="519"/>
        <v/>
      </c>
      <c r="VXO118" s="100" t="str">
        <f t="shared" si="519"/>
        <v/>
      </c>
      <c r="VXP118" s="100" t="str">
        <f t="shared" si="519"/>
        <v/>
      </c>
      <c r="VXQ118" s="100" t="str">
        <f t="shared" si="519"/>
        <v/>
      </c>
      <c r="VXR118" s="100" t="str">
        <f t="shared" si="519"/>
        <v/>
      </c>
      <c r="VXS118" s="100" t="str">
        <f t="shared" si="519"/>
        <v/>
      </c>
      <c r="VXT118" s="100" t="str">
        <f t="shared" si="519"/>
        <v/>
      </c>
      <c r="VXU118" s="100" t="str">
        <f t="shared" si="519"/>
        <v/>
      </c>
      <c r="VXV118" s="100" t="str">
        <f t="shared" si="519"/>
        <v/>
      </c>
      <c r="VXW118" s="100" t="str">
        <f t="shared" si="519"/>
        <v/>
      </c>
      <c r="VXX118" s="100" t="str">
        <f t="shared" si="519"/>
        <v/>
      </c>
      <c r="VXY118" s="100" t="str">
        <f t="shared" si="519"/>
        <v/>
      </c>
      <c r="VXZ118" s="100" t="str">
        <f t="shared" si="519"/>
        <v/>
      </c>
      <c r="VYA118" s="100" t="str">
        <f t="shared" si="519"/>
        <v/>
      </c>
      <c r="VYB118" s="100" t="str">
        <f t="shared" si="519"/>
        <v/>
      </c>
      <c r="VYC118" s="100" t="str">
        <f t="shared" si="519"/>
        <v/>
      </c>
      <c r="VYD118" s="100" t="str">
        <f t="shared" si="519"/>
        <v/>
      </c>
      <c r="VYE118" s="100" t="str">
        <f t="shared" si="519"/>
        <v/>
      </c>
      <c r="VYF118" s="100" t="str">
        <f t="shared" si="519"/>
        <v/>
      </c>
      <c r="VYG118" s="100" t="str">
        <f t="shared" si="519"/>
        <v/>
      </c>
      <c r="VYH118" s="100" t="str">
        <f t="shared" si="519"/>
        <v/>
      </c>
      <c r="VYI118" s="100" t="str">
        <f t="shared" si="519"/>
        <v/>
      </c>
      <c r="VYJ118" s="100" t="str">
        <f t="shared" si="519"/>
        <v/>
      </c>
      <c r="VYK118" s="100" t="str">
        <f t="shared" si="519"/>
        <v/>
      </c>
      <c r="VYL118" s="100" t="str">
        <f t="shared" si="519"/>
        <v/>
      </c>
      <c r="VYM118" s="100" t="str">
        <f t="shared" si="519"/>
        <v/>
      </c>
      <c r="VYN118" s="100" t="str">
        <f t="shared" si="519"/>
        <v/>
      </c>
      <c r="VYO118" s="100" t="str">
        <f t="shared" si="519"/>
        <v/>
      </c>
      <c r="VYP118" s="100" t="str">
        <f t="shared" si="519"/>
        <v/>
      </c>
      <c r="VYQ118" s="100" t="str">
        <f t="shared" si="519"/>
        <v/>
      </c>
      <c r="VYR118" s="100" t="str">
        <f t="shared" si="519"/>
        <v/>
      </c>
      <c r="VYS118" s="100" t="str">
        <f t="shared" si="519"/>
        <v/>
      </c>
      <c r="VYT118" s="100" t="str">
        <f t="shared" si="519"/>
        <v/>
      </c>
      <c r="VYU118" s="100" t="str">
        <f t="shared" si="519"/>
        <v/>
      </c>
      <c r="VYV118" s="100" t="str">
        <f t="shared" si="519"/>
        <v/>
      </c>
      <c r="VYW118" s="100" t="str">
        <f t="shared" si="519"/>
        <v/>
      </c>
      <c r="VYX118" s="100" t="str">
        <f t="shared" si="519"/>
        <v/>
      </c>
      <c r="VYY118" s="100" t="str">
        <f t="shared" si="519"/>
        <v/>
      </c>
      <c r="VYZ118" s="100" t="str">
        <f t="shared" si="519"/>
        <v/>
      </c>
      <c r="VZA118" s="100" t="str">
        <f t="shared" si="519"/>
        <v/>
      </c>
      <c r="VZB118" s="100" t="str">
        <f t="shared" si="519"/>
        <v/>
      </c>
      <c r="VZC118" s="100" t="str">
        <f t="shared" si="519"/>
        <v/>
      </c>
      <c r="VZD118" s="100" t="str">
        <f t="shared" si="519"/>
        <v/>
      </c>
      <c r="VZE118" s="100" t="str">
        <f t="shared" si="519"/>
        <v/>
      </c>
      <c r="VZF118" s="100" t="str">
        <f t="shared" si="519"/>
        <v/>
      </c>
      <c r="VZG118" s="100" t="str">
        <f t="shared" si="519"/>
        <v/>
      </c>
      <c r="VZH118" s="100" t="str">
        <f t="shared" si="519"/>
        <v/>
      </c>
      <c r="VZI118" s="100" t="str">
        <f t="shared" ref="VZI118:WBT118" si="520">IFERROR(AVERAGE(VZI6,VZI16,VZI25,VZI34,VZI42,VZI54,VZI62,VZI70,VZI78,VZI86,VZI94,VZI102,VZI110),"")</f>
        <v/>
      </c>
      <c r="VZJ118" s="100" t="str">
        <f t="shared" si="520"/>
        <v/>
      </c>
      <c r="VZK118" s="100" t="str">
        <f t="shared" si="520"/>
        <v/>
      </c>
      <c r="VZL118" s="100" t="str">
        <f t="shared" si="520"/>
        <v/>
      </c>
      <c r="VZM118" s="100" t="str">
        <f t="shared" si="520"/>
        <v/>
      </c>
      <c r="VZN118" s="100" t="str">
        <f t="shared" si="520"/>
        <v/>
      </c>
      <c r="VZO118" s="100" t="str">
        <f t="shared" si="520"/>
        <v/>
      </c>
      <c r="VZP118" s="100" t="str">
        <f t="shared" si="520"/>
        <v/>
      </c>
      <c r="VZQ118" s="100" t="str">
        <f t="shared" si="520"/>
        <v/>
      </c>
      <c r="VZR118" s="100" t="str">
        <f t="shared" si="520"/>
        <v/>
      </c>
      <c r="VZS118" s="100" t="str">
        <f t="shared" si="520"/>
        <v/>
      </c>
      <c r="VZT118" s="100" t="str">
        <f t="shared" si="520"/>
        <v/>
      </c>
      <c r="VZU118" s="100" t="str">
        <f t="shared" si="520"/>
        <v/>
      </c>
      <c r="VZV118" s="100" t="str">
        <f t="shared" si="520"/>
        <v/>
      </c>
      <c r="VZW118" s="100" t="str">
        <f t="shared" si="520"/>
        <v/>
      </c>
      <c r="VZX118" s="100" t="str">
        <f t="shared" si="520"/>
        <v/>
      </c>
      <c r="VZY118" s="100" t="str">
        <f t="shared" si="520"/>
        <v/>
      </c>
      <c r="VZZ118" s="100" t="str">
        <f t="shared" si="520"/>
        <v/>
      </c>
      <c r="WAA118" s="100" t="str">
        <f t="shared" si="520"/>
        <v/>
      </c>
      <c r="WAB118" s="100" t="str">
        <f t="shared" si="520"/>
        <v/>
      </c>
      <c r="WAC118" s="100" t="str">
        <f t="shared" si="520"/>
        <v/>
      </c>
      <c r="WAD118" s="100" t="str">
        <f t="shared" si="520"/>
        <v/>
      </c>
      <c r="WAE118" s="100" t="str">
        <f t="shared" si="520"/>
        <v/>
      </c>
      <c r="WAF118" s="100" t="str">
        <f t="shared" si="520"/>
        <v/>
      </c>
      <c r="WAG118" s="100" t="str">
        <f t="shared" si="520"/>
        <v/>
      </c>
      <c r="WAH118" s="100" t="str">
        <f t="shared" si="520"/>
        <v/>
      </c>
      <c r="WAI118" s="100" t="str">
        <f t="shared" si="520"/>
        <v/>
      </c>
      <c r="WAJ118" s="100" t="str">
        <f t="shared" si="520"/>
        <v/>
      </c>
      <c r="WAK118" s="100" t="str">
        <f t="shared" si="520"/>
        <v/>
      </c>
      <c r="WAL118" s="100" t="str">
        <f t="shared" si="520"/>
        <v/>
      </c>
      <c r="WAM118" s="100" t="str">
        <f t="shared" si="520"/>
        <v/>
      </c>
      <c r="WAN118" s="100" t="str">
        <f t="shared" si="520"/>
        <v/>
      </c>
      <c r="WAO118" s="100" t="str">
        <f t="shared" si="520"/>
        <v/>
      </c>
      <c r="WAP118" s="100" t="str">
        <f t="shared" si="520"/>
        <v/>
      </c>
      <c r="WAQ118" s="100" t="str">
        <f t="shared" si="520"/>
        <v/>
      </c>
      <c r="WAR118" s="100" t="str">
        <f t="shared" si="520"/>
        <v/>
      </c>
      <c r="WAS118" s="100" t="str">
        <f t="shared" si="520"/>
        <v/>
      </c>
      <c r="WAT118" s="100" t="str">
        <f t="shared" si="520"/>
        <v/>
      </c>
      <c r="WAU118" s="100" t="str">
        <f t="shared" si="520"/>
        <v/>
      </c>
      <c r="WAV118" s="100" t="str">
        <f t="shared" si="520"/>
        <v/>
      </c>
      <c r="WAW118" s="100" t="str">
        <f t="shared" si="520"/>
        <v/>
      </c>
      <c r="WAX118" s="100" t="str">
        <f t="shared" si="520"/>
        <v/>
      </c>
      <c r="WAY118" s="100" t="str">
        <f t="shared" si="520"/>
        <v/>
      </c>
      <c r="WAZ118" s="100" t="str">
        <f t="shared" si="520"/>
        <v/>
      </c>
      <c r="WBA118" s="100" t="str">
        <f t="shared" si="520"/>
        <v/>
      </c>
      <c r="WBB118" s="100" t="str">
        <f t="shared" si="520"/>
        <v/>
      </c>
      <c r="WBC118" s="100" t="str">
        <f t="shared" si="520"/>
        <v/>
      </c>
      <c r="WBD118" s="100" t="str">
        <f t="shared" si="520"/>
        <v/>
      </c>
      <c r="WBE118" s="100" t="str">
        <f t="shared" si="520"/>
        <v/>
      </c>
      <c r="WBF118" s="100" t="str">
        <f t="shared" si="520"/>
        <v/>
      </c>
      <c r="WBG118" s="100" t="str">
        <f t="shared" si="520"/>
        <v/>
      </c>
      <c r="WBH118" s="100" t="str">
        <f t="shared" si="520"/>
        <v/>
      </c>
      <c r="WBI118" s="100" t="str">
        <f t="shared" si="520"/>
        <v/>
      </c>
      <c r="WBJ118" s="100" t="str">
        <f t="shared" si="520"/>
        <v/>
      </c>
      <c r="WBK118" s="100" t="str">
        <f t="shared" si="520"/>
        <v/>
      </c>
      <c r="WBL118" s="100" t="str">
        <f t="shared" si="520"/>
        <v/>
      </c>
      <c r="WBM118" s="100" t="str">
        <f t="shared" si="520"/>
        <v/>
      </c>
      <c r="WBN118" s="100" t="str">
        <f t="shared" si="520"/>
        <v/>
      </c>
      <c r="WBO118" s="100" t="str">
        <f t="shared" si="520"/>
        <v/>
      </c>
      <c r="WBP118" s="100" t="str">
        <f t="shared" si="520"/>
        <v/>
      </c>
      <c r="WBQ118" s="100" t="str">
        <f t="shared" si="520"/>
        <v/>
      </c>
      <c r="WBR118" s="100" t="str">
        <f t="shared" si="520"/>
        <v/>
      </c>
      <c r="WBS118" s="100" t="str">
        <f t="shared" si="520"/>
        <v/>
      </c>
      <c r="WBT118" s="100" t="str">
        <f t="shared" si="520"/>
        <v/>
      </c>
      <c r="WBU118" s="100" t="str">
        <f t="shared" ref="WBU118:WEF118" si="521">IFERROR(AVERAGE(WBU6,WBU16,WBU25,WBU34,WBU42,WBU54,WBU62,WBU70,WBU78,WBU86,WBU94,WBU102,WBU110),"")</f>
        <v/>
      </c>
      <c r="WBV118" s="100" t="str">
        <f t="shared" si="521"/>
        <v/>
      </c>
      <c r="WBW118" s="100" t="str">
        <f t="shared" si="521"/>
        <v/>
      </c>
      <c r="WBX118" s="100" t="str">
        <f t="shared" si="521"/>
        <v/>
      </c>
      <c r="WBY118" s="100" t="str">
        <f t="shared" si="521"/>
        <v/>
      </c>
      <c r="WBZ118" s="100" t="str">
        <f t="shared" si="521"/>
        <v/>
      </c>
      <c r="WCA118" s="100" t="str">
        <f t="shared" si="521"/>
        <v/>
      </c>
      <c r="WCB118" s="100" t="str">
        <f t="shared" si="521"/>
        <v/>
      </c>
      <c r="WCC118" s="100" t="str">
        <f t="shared" si="521"/>
        <v/>
      </c>
      <c r="WCD118" s="100" t="str">
        <f t="shared" si="521"/>
        <v/>
      </c>
      <c r="WCE118" s="100" t="str">
        <f t="shared" si="521"/>
        <v/>
      </c>
      <c r="WCF118" s="100" t="str">
        <f t="shared" si="521"/>
        <v/>
      </c>
      <c r="WCG118" s="100" t="str">
        <f t="shared" si="521"/>
        <v/>
      </c>
      <c r="WCH118" s="100" t="str">
        <f t="shared" si="521"/>
        <v/>
      </c>
      <c r="WCI118" s="100" t="str">
        <f t="shared" si="521"/>
        <v/>
      </c>
      <c r="WCJ118" s="100" t="str">
        <f t="shared" si="521"/>
        <v/>
      </c>
      <c r="WCK118" s="100" t="str">
        <f t="shared" si="521"/>
        <v/>
      </c>
      <c r="WCL118" s="100" t="str">
        <f t="shared" si="521"/>
        <v/>
      </c>
      <c r="WCM118" s="100" t="str">
        <f t="shared" si="521"/>
        <v/>
      </c>
      <c r="WCN118" s="100" t="str">
        <f t="shared" si="521"/>
        <v/>
      </c>
      <c r="WCO118" s="100" t="str">
        <f t="shared" si="521"/>
        <v/>
      </c>
      <c r="WCP118" s="100" t="str">
        <f t="shared" si="521"/>
        <v/>
      </c>
      <c r="WCQ118" s="100" t="str">
        <f t="shared" si="521"/>
        <v/>
      </c>
      <c r="WCR118" s="100" t="str">
        <f t="shared" si="521"/>
        <v/>
      </c>
      <c r="WCS118" s="100" t="str">
        <f t="shared" si="521"/>
        <v/>
      </c>
      <c r="WCT118" s="100" t="str">
        <f t="shared" si="521"/>
        <v/>
      </c>
      <c r="WCU118" s="100" t="str">
        <f t="shared" si="521"/>
        <v/>
      </c>
      <c r="WCV118" s="100" t="str">
        <f t="shared" si="521"/>
        <v/>
      </c>
      <c r="WCW118" s="100" t="str">
        <f t="shared" si="521"/>
        <v/>
      </c>
      <c r="WCX118" s="100" t="str">
        <f t="shared" si="521"/>
        <v/>
      </c>
      <c r="WCY118" s="100" t="str">
        <f t="shared" si="521"/>
        <v/>
      </c>
      <c r="WCZ118" s="100" t="str">
        <f t="shared" si="521"/>
        <v/>
      </c>
      <c r="WDA118" s="100" t="str">
        <f t="shared" si="521"/>
        <v/>
      </c>
      <c r="WDB118" s="100" t="str">
        <f t="shared" si="521"/>
        <v/>
      </c>
      <c r="WDC118" s="100" t="str">
        <f t="shared" si="521"/>
        <v/>
      </c>
      <c r="WDD118" s="100" t="str">
        <f t="shared" si="521"/>
        <v/>
      </c>
      <c r="WDE118" s="100" t="str">
        <f t="shared" si="521"/>
        <v/>
      </c>
      <c r="WDF118" s="100" t="str">
        <f t="shared" si="521"/>
        <v/>
      </c>
      <c r="WDG118" s="100" t="str">
        <f t="shared" si="521"/>
        <v/>
      </c>
      <c r="WDH118" s="100" t="str">
        <f t="shared" si="521"/>
        <v/>
      </c>
      <c r="WDI118" s="100" t="str">
        <f t="shared" si="521"/>
        <v/>
      </c>
      <c r="WDJ118" s="100" t="str">
        <f t="shared" si="521"/>
        <v/>
      </c>
      <c r="WDK118" s="100" t="str">
        <f t="shared" si="521"/>
        <v/>
      </c>
      <c r="WDL118" s="100" t="str">
        <f t="shared" si="521"/>
        <v/>
      </c>
      <c r="WDM118" s="100" t="str">
        <f t="shared" si="521"/>
        <v/>
      </c>
      <c r="WDN118" s="100" t="str">
        <f t="shared" si="521"/>
        <v/>
      </c>
      <c r="WDO118" s="100" t="str">
        <f t="shared" si="521"/>
        <v/>
      </c>
      <c r="WDP118" s="100" t="str">
        <f t="shared" si="521"/>
        <v/>
      </c>
      <c r="WDQ118" s="100" t="str">
        <f t="shared" si="521"/>
        <v/>
      </c>
      <c r="WDR118" s="100" t="str">
        <f t="shared" si="521"/>
        <v/>
      </c>
      <c r="WDS118" s="100" t="str">
        <f t="shared" si="521"/>
        <v/>
      </c>
      <c r="WDT118" s="100" t="str">
        <f t="shared" si="521"/>
        <v/>
      </c>
      <c r="WDU118" s="100" t="str">
        <f t="shared" si="521"/>
        <v/>
      </c>
      <c r="WDV118" s="100" t="str">
        <f t="shared" si="521"/>
        <v/>
      </c>
      <c r="WDW118" s="100" t="str">
        <f t="shared" si="521"/>
        <v/>
      </c>
      <c r="WDX118" s="100" t="str">
        <f t="shared" si="521"/>
        <v/>
      </c>
      <c r="WDY118" s="100" t="str">
        <f t="shared" si="521"/>
        <v/>
      </c>
      <c r="WDZ118" s="100" t="str">
        <f t="shared" si="521"/>
        <v/>
      </c>
      <c r="WEA118" s="100" t="str">
        <f t="shared" si="521"/>
        <v/>
      </c>
      <c r="WEB118" s="100" t="str">
        <f t="shared" si="521"/>
        <v/>
      </c>
      <c r="WEC118" s="100" t="str">
        <f t="shared" si="521"/>
        <v/>
      </c>
      <c r="WED118" s="100" t="str">
        <f t="shared" si="521"/>
        <v/>
      </c>
      <c r="WEE118" s="100" t="str">
        <f t="shared" si="521"/>
        <v/>
      </c>
      <c r="WEF118" s="100" t="str">
        <f t="shared" si="521"/>
        <v/>
      </c>
      <c r="WEG118" s="100" t="str">
        <f t="shared" ref="WEG118:WGR118" si="522">IFERROR(AVERAGE(WEG6,WEG16,WEG25,WEG34,WEG42,WEG54,WEG62,WEG70,WEG78,WEG86,WEG94,WEG102,WEG110),"")</f>
        <v/>
      </c>
      <c r="WEH118" s="100" t="str">
        <f t="shared" si="522"/>
        <v/>
      </c>
      <c r="WEI118" s="100" t="str">
        <f t="shared" si="522"/>
        <v/>
      </c>
      <c r="WEJ118" s="100" t="str">
        <f t="shared" si="522"/>
        <v/>
      </c>
      <c r="WEK118" s="100" t="str">
        <f t="shared" si="522"/>
        <v/>
      </c>
      <c r="WEL118" s="100" t="str">
        <f t="shared" si="522"/>
        <v/>
      </c>
      <c r="WEM118" s="100" t="str">
        <f t="shared" si="522"/>
        <v/>
      </c>
      <c r="WEN118" s="100" t="str">
        <f t="shared" si="522"/>
        <v/>
      </c>
      <c r="WEO118" s="100" t="str">
        <f t="shared" si="522"/>
        <v/>
      </c>
      <c r="WEP118" s="100" t="str">
        <f t="shared" si="522"/>
        <v/>
      </c>
      <c r="WEQ118" s="100" t="str">
        <f t="shared" si="522"/>
        <v/>
      </c>
      <c r="WER118" s="100" t="str">
        <f t="shared" si="522"/>
        <v/>
      </c>
      <c r="WES118" s="100" t="str">
        <f t="shared" si="522"/>
        <v/>
      </c>
      <c r="WET118" s="100" t="str">
        <f t="shared" si="522"/>
        <v/>
      </c>
      <c r="WEU118" s="100" t="str">
        <f t="shared" si="522"/>
        <v/>
      </c>
      <c r="WEV118" s="100" t="str">
        <f t="shared" si="522"/>
        <v/>
      </c>
      <c r="WEW118" s="100" t="str">
        <f t="shared" si="522"/>
        <v/>
      </c>
      <c r="WEX118" s="100" t="str">
        <f t="shared" si="522"/>
        <v/>
      </c>
      <c r="WEY118" s="100" t="str">
        <f t="shared" si="522"/>
        <v/>
      </c>
      <c r="WEZ118" s="100" t="str">
        <f t="shared" si="522"/>
        <v/>
      </c>
      <c r="WFA118" s="100" t="str">
        <f t="shared" si="522"/>
        <v/>
      </c>
      <c r="WFB118" s="100" t="str">
        <f t="shared" si="522"/>
        <v/>
      </c>
      <c r="WFC118" s="100" t="str">
        <f t="shared" si="522"/>
        <v/>
      </c>
      <c r="WFD118" s="100" t="str">
        <f t="shared" si="522"/>
        <v/>
      </c>
      <c r="WFE118" s="100" t="str">
        <f t="shared" si="522"/>
        <v/>
      </c>
      <c r="WFF118" s="100" t="str">
        <f t="shared" si="522"/>
        <v/>
      </c>
      <c r="WFG118" s="100" t="str">
        <f t="shared" si="522"/>
        <v/>
      </c>
      <c r="WFH118" s="100" t="str">
        <f t="shared" si="522"/>
        <v/>
      </c>
      <c r="WFI118" s="100" t="str">
        <f t="shared" si="522"/>
        <v/>
      </c>
      <c r="WFJ118" s="100" t="str">
        <f t="shared" si="522"/>
        <v/>
      </c>
      <c r="WFK118" s="100" t="str">
        <f t="shared" si="522"/>
        <v/>
      </c>
      <c r="WFL118" s="100" t="str">
        <f t="shared" si="522"/>
        <v/>
      </c>
      <c r="WFM118" s="100" t="str">
        <f t="shared" si="522"/>
        <v/>
      </c>
      <c r="WFN118" s="100" t="str">
        <f t="shared" si="522"/>
        <v/>
      </c>
      <c r="WFO118" s="100" t="str">
        <f t="shared" si="522"/>
        <v/>
      </c>
      <c r="WFP118" s="100" t="str">
        <f t="shared" si="522"/>
        <v/>
      </c>
      <c r="WFQ118" s="100" t="str">
        <f t="shared" si="522"/>
        <v/>
      </c>
      <c r="WFR118" s="100" t="str">
        <f t="shared" si="522"/>
        <v/>
      </c>
      <c r="WFS118" s="100" t="str">
        <f t="shared" si="522"/>
        <v/>
      </c>
      <c r="WFT118" s="100" t="str">
        <f t="shared" si="522"/>
        <v/>
      </c>
      <c r="WFU118" s="100" t="str">
        <f t="shared" si="522"/>
        <v/>
      </c>
      <c r="WFV118" s="100" t="str">
        <f t="shared" si="522"/>
        <v/>
      </c>
      <c r="WFW118" s="100" t="str">
        <f t="shared" si="522"/>
        <v/>
      </c>
      <c r="WFX118" s="100" t="str">
        <f t="shared" si="522"/>
        <v/>
      </c>
      <c r="WFY118" s="100" t="str">
        <f t="shared" si="522"/>
        <v/>
      </c>
      <c r="WFZ118" s="100" t="str">
        <f t="shared" si="522"/>
        <v/>
      </c>
      <c r="WGA118" s="100" t="str">
        <f t="shared" si="522"/>
        <v/>
      </c>
      <c r="WGB118" s="100" t="str">
        <f t="shared" si="522"/>
        <v/>
      </c>
      <c r="WGC118" s="100" t="str">
        <f t="shared" si="522"/>
        <v/>
      </c>
      <c r="WGD118" s="100" t="str">
        <f t="shared" si="522"/>
        <v/>
      </c>
      <c r="WGE118" s="100" t="str">
        <f t="shared" si="522"/>
        <v/>
      </c>
      <c r="WGF118" s="100" t="str">
        <f t="shared" si="522"/>
        <v/>
      </c>
      <c r="WGG118" s="100" t="str">
        <f t="shared" si="522"/>
        <v/>
      </c>
      <c r="WGH118" s="100" t="str">
        <f t="shared" si="522"/>
        <v/>
      </c>
      <c r="WGI118" s="100" t="str">
        <f t="shared" si="522"/>
        <v/>
      </c>
      <c r="WGJ118" s="100" t="str">
        <f t="shared" si="522"/>
        <v/>
      </c>
      <c r="WGK118" s="100" t="str">
        <f t="shared" si="522"/>
        <v/>
      </c>
      <c r="WGL118" s="100" t="str">
        <f t="shared" si="522"/>
        <v/>
      </c>
      <c r="WGM118" s="100" t="str">
        <f t="shared" si="522"/>
        <v/>
      </c>
      <c r="WGN118" s="100" t="str">
        <f t="shared" si="522"/>
        <v/>
      </c>
      <c r="WGO118" s="100" t="str">
        <f t="shared" si="522"/>
        <v/>
      </c>
      <c r="WGP118" s="100" t="str">
        <f t="shared" si="522"/>
        <v/>
      </c>
      <c r="WGQ118" s="100" t="str">
        <f t="shared" si="522"/>
        <v/>
      </c>
      <c r="WGR118" s="100" t="str">
        <f t="shared" si="522"/>
        <v/>
      </c>
      <c r="WGS118" s="100" t="str">
        <f t="shared" ref="WGS118:WJD118" si="523">IFERROR(AVERAGE(WGS6,WGS16,WGS25,WGS34,WGS42,WGS54,WGS62,WGS70,WGS78,WGS86,WGS94,WGS102,WGS110),"")</f>
        <v/>
      </c>
      <c r="WGT118" s="100" t="str">
        <f t="shared" si="523"/>
        <v/>
      </c>
      <c r="WGU118" s="100" t="str">
        <f t="shared" si="523"/>
        <v/>
      </c>
      <c r="WGV118" s="100" t="str">
        <f t="shared" si="523"/>
        <v/>
      </c>
      <c r="WGW118" s="100" t="str">
        <f t="shared" si="523"/>
        <v/>
      </c>
      <c r="WGX118" s="100" t="str">
        <f t="shared" si="523"/>
        <v/>
      </c>
      <c r="WGY118" s="100" t="str">
        <f t="shared" si="523"/>
        <v/>
      </c>
      <c r="WGZ118" s="100" t="str">
        <f t="shared" si="523"/>
        <v/>
      </c>
      <c r="WHA118" s="100" t="str">
        <f t="shared" si="523"/>
        <v/>
      </c>
      <c r="WHB118" s="100" t="str">
        <f t="shared" si="523"/>
        <v/>
      </c>
      <c r="WHC118" s="100" t="str">
        <f t="shared" si="523"/>
        <v/>
      </c>
      <c r="WHD118" s="100" t="str">
        <f t="shared" si="523"/>
        <v/>
      </c>
      <c r="WHE118" s="100" t="str">
        <f t="shared" si="523"/>
        <v/>
      </c>
      <c r="WHF118" s="100" t="str">
        <f t="shared" si="523"/>
        <v/>
      </c>
      <c r="WHG118" s="100" t="str">
        <f t="shared" si="523"/>
        <v/>
      </c>
      <c r="WHH118" s="100" t="str">
        <f t="shared" si="523"/>
        <v/>
      </c>
      <c r="WHI118" s="100" t="str">
        <f t="shared" si="523"/>
        <v/>
      </c>
      <c r="WHJ118" s="100" t="str">
        <f t="shared" si="523"/>
        <v/>
      </c>
      <c r="WHK118" s="100" t="str">
        <f t="shared" si="523"/>
        <v/>
      </c>
      <c r="WHL118" s="100" t="str">
        <f t="shared" si="523"/>
        <v/>
      </c>
      <c r="WHM118" s="100" t="str">
        <f t="shared" si="523"/>
        <v/>
      </c>
      <c r="WHN118" s="100" t="str">
        <f t="shared" si="523"/>
        <v/>
      </c>
      <c r="WHO118" s="100" t="str">
        <f t="shared" si="523"/>
        <v/>
      </c>
      <c r="WHP118" s="100" t="str">
        <f t="shared" si="523"/>
        <v/>
      </c>
      <c r="WHQ118" s="100" t="str">
        <f t="shared" si="523"/>
        <v/>
      </c>
      <c r="WHR118" s="100" t="str">
        <f t="shared" si="523"/>
        <v/>
      </c>
      <c r="WHS118" s="100" t="str">
        <f t="shared" si="523"/>
        <v/>
      </c>
      <c r="WHT118" s="100" t="str">
        <f t="shared" si="523"/>
        <v/>
      </c>
      <c r="WHU118" s="100" t="str">
        <f t="shared" si="523"/>
        <v/>
      </c>
      <c r="WHV118" s="100" t="str">
        <f t="shared" si="523"/>
        <v/>
      </c>
      <c r="WHW118" s="100" t="str">
        <f t="shared" si="523"/>
        <v/>
      </c>
      <c r="WHX118" s="100" t="str">
        <f t="shared" si="523"/>
        <v/>
      </c>
      <c r="WHY118" s="100" t="str">
        <f t="shared" si="523"/>
        <v/>
      </c>
      <c r="WHZ118" s="100" t="str">
        <f t="shared" si="523"/>
        <v/>
      </c>
      <c r="WIA118" s="100" t="str">
        <f t="shared" si="523"/>
        <v/>
      </c>
      <c r="WIB118" s="100" t="str">
        <f t="shared" si="523"/>
        <v/>
      </c>
      <c r="WIC118" s="100" t="str">
        <f t="shared" si="523"/>
        <v/>
      </c>
      <c r="WID118" s="100" t="str">
        <f t="shared" si="523"/>
        <v/>
      </c>
      <c r="WIE118" s="100" t="str">
        <f t="shared" si="523"/>
        <v/>
      </c>
      <c r="WIF118" s="100" t="str">
        <f t="shared" si="523"/>
        <v/>
      </c>
      <c r="WIG118" s="100" t="str">
        <f t="shared" si="523"/>
        <v/>
      </c>
      <c r="WIH118" s="100" t="str">
        <f t="shared" si="523"/>
        <v/>
      </c>
      <c r="WII118" s="100" t="str">
        <f t="shared" si="523"/>
        <v/>
      </c>
      <c r="WIJ118" s="100" t="str">
        <f t="shared" si="523"/>
        <v/>
      </c>
      <c r="WIK118" s="100" t="str">
        <f t="shared" si="523"/>
        <v/>
      </c>
      <c r="WIL118" s="100" t="str">
        <f t="shared" si="523"/>
        <v/>
      </c>
      <c r="WIM118" s="100" t="str">
        <f t="shared" si="523"/>
        <v/>
      </c>
      <c r="WIN118" s="100" t="str">
        <f t="shared" si="523"/>
        <v/>
      </c>
      <c r="WIO118" s="100" t="str">
        <f t="shared" si="523"/>
        <v/>
      </c>
      <c r="WIP118" s="100" t="str">
        <f t="shared" si="523"/>
        <v/>
      </c>
      <c r="WIQ118" s="100" t="str">
        <f t="shared" si="523"/>
        <v/>
      </c>
      <c r="WIR118" s="100" t="str">
        <f t="shared" si="523"/>
        <v/>
      </c>
      <c r="WIS118" s="100" t="str">
        <f t="shared" si="523"/>
        <v/>
      </c>
      <c r="WIT118" s="100" t="str">
        <f t="shared" si="523"/>
        <v/>
      </c>
      <c r="WIU118" s="100" t="str">
        <f t="shared" si="523"/>
        <v/>
      </c>
      <c r="WIV118" s="100" t="str">
        <f t="shared" si="523"/>
        <v/>
      </c>
      <c r="WIW118" s="100" t="str">
        <f t="shared" si="523"/>
        <v/>
      </c>
      <c r="WIX118" s="100" t="str">
        <f t="shared" si="523"/>
        <v/>
      </c>
      <c r="WIY118" s="100" t="str">
        <f t="shared" si="523"/>
        <v/>
      </c>
      <c r="WIZ118" s="100" t="str">
        <f t="shared" si="523"/>
        <v/>
      </c>
      <c r="WJA118" s="100" t="str">
        <f t="shared" si="523"/>
        <v/>
      </c>
      <c r="WJB118" s="100" t="str">
        <f t="shared" si="523"/>
        <v/>
      </c>
      <c r="WJC118" s="100" t="str">
        <f t="shared" si="523"/>
        <v/>
      </c>
      <c r="WJD118" s="100" t="str">
        <f t="shared" si="523"/>
        <v/>
      </c>
      <c r="WJE118" s="100" t="str">
        <f t="shared" ref="WJE118:WLP118" si="524">IFERROR(AVERAGE(WJE6,WJE16,WJE25,WJE34,WJE42,WJE54,WJE62,WJE70,WJE78,WJE86,WJE94,WJE102,WJE110),"")</f>
        <v/>
      </c>
      <c r="WJF118" s="100" t="str">
        <f t="shared" si="524"/>
        <v/>
      </c>
      <c r="WJG118" s="100" t="str">
        <f t="shared" si="524"/>
        <v/>
      </c>
      <c r="WJH118" s="100" t="str">
        <f t="shared" si="524"/>
        <v/>
      </c>
      <c r="WJI118" s="100" t="str">
        <f t="shared" si="524"/>
        <v/>
      </c>
      <c r="WJJ118" s="100" t="str">
        <f t="shared" si="524"/>
        <v/>
      </c>
      <c r="WJK118" s="100" t="str">
        <f t="shared" si="524"/>
        <v/>
      </c>
      <c r="WJL118" s="100" t="str">
        <f t="shared" si="524"/>
        <v/>
      </c>
      <c r="WJM118" s="100" t="str">
        <f t="shared" si="524"/>
        <v/>
      </c>
      <c r="WJN118" s="100" t="str">
        <f t="shared" si="524"/>
        <v/>
      </c>
      <c r="WJO118" s="100" t="str">
        <f t="shared" si="524"/>
        <v/>
      </c>
      <c r="WJP118" s="100" t="str">
        <f t="shared" si="524"/>
        <v/>
      </c>
      <c r="WJQ118" s="100" t="str">
        <f t="shared" si="524"/>
        <v/>
      </c>
      <c r="WJR118" s="100" t="str">
        <f t="shared" si="524"/>
        <v/>
      </c>
      <c r="WJS118" s="100" t="str">
        <f t="shared" si="524"/>
        <v/>
      </c>
      <c r="WJT118" s="100" t="str">
        <f t="shared" si="524"/>
        <v/>
      </c>
      <c r="WJU118" s="100" t="str">
        <f t="shared" si="524"/>
        <v/>
      </c>
      <c r="WJV118" s="100" t="str">
        <f t="shared" si="524"/>
        <v/>
      </c>
      <c r="WJW118" s="100" t="str">
        <f t="shared" si="524"/>
        <v/>
      </c>
      <c r="WJX118" s="100" t="str">
        <f t="shared" si="524"/>
        <v/>
      </c>
      <c r="WJY118" s="100" t="str">
        <f t="shared" si="524"/>
        <v/>
      </c>
      <c r="WJZ118" s="100" t="str">
        <f t="shared" si="524"/>
        <v/>
      </c>
      <c r="WKA118" s="100" t="str">
        <f t="shared" si="524"/>
        <v/>
      </c>
      <c r="WKB118" s="100" t="str">
        <f t="shared" si="524"/>
        <v/>
      </c>
      <c r="WKC118" s="100" t="str">
        <f t="shared" si="524"/>
        <v/>
      </c>
      <c r="WKD118" s="100" t="str">
        <f t="shared" si="524"/>
        <v/>
      </c>
      <c r="WKE118" s="100" t="str">
        <f t="shared" si="524"/>
        <v/>
      </c>
      <c r="WKF118" s="100" t="str">
        <f t="shared" si="524"/>
        <v/>
      </c>
      <c r="WKG118" s="100" t="str">
        <f t="shared" si="524"/>
        <v/>
      </c>
      <c r="WKH118" s="100" t="str">
        <f t="shared" si="524"/>
        <v/>
      </c>
      <c r="WKI118" s="100" t="str">
        <f t="shared" si="524"/>
        <v/>
      </c>
      <c r="WKJ118" s="100" t="str">
        <f t="shared" si="524"/>
        <v/>
      </c>
      <c r="WKK118" s="100" t="str">
        <f t="shared" si="524"/>
        <v/>
      </c>
      <c r="WKL118" s="100" t="str">
        <f t="shared" si="524"/>
        <v/>
      </c>
      <c r="WKM118" s="100" t="str">
        <f t="shared" si="524"/>
        <v/>
      </c>
      <c r="WKN118" s="100" t="str">
        <f t="shared" si="524"/>
        <v/>
      </c>
      <c r="WKO118" s="100" t="str">
        <f t="shared" si="524"/>
        <v/>
      </c>
      <c r="WKP118" s="100" t="str">
        <f t="shared" si="524"/>
        <v/>
      </c>
      <c r="WKQ118" s="100" t="str">
        <f t="shared" si="524"/>
        <v/>
      </c>
      <c r="WKR118" s="100" t="str">
        <f t="shared" si="524"/>
        <v/>
      </c>
      <c r="WKS118" s="100" t="str">
        <f t="shared" si="524"/>
        <v/>
      </c>
      <c r="WKT118" s="100" t="str">
        <f t="shared" si="524"/>
        <v/>
      </c>
      <c r="WKU118" s="100" t="str">
        <f t="shared" si="524"/>
        <v/>
      </c>
      <c r="WKV118" s="100" t="str">
        <f t="shared" si="524"/>
        <v/>
      </c>
      <c r="WKW118" s="100" t="str">
        <f t="shared" si="524"/>
        <v/>
      </c>
      <c r="WKX118" s="100" t="str">
        <f t="shared" si="524"/>
        <v/>
      </c>
      <c r="WKY118" s="100" t="str">
        <f t="shared" si="524"/>
        <v/>
      </c>
      <c r="WKZ118" s="100" t="str">
        <f t="shared" si="524"/>
        <v/>
      </c>
      <c r="WLA118" s="100" t="str">
        <f t="shared" si="524"/>
        <v/>
      </c>
      <c r="WLB118" s="100" t="str">
        <f t="shared" si="524"/>
        <v/>
      </c>
      <c r="WLC118" s="100" t="str">
        <f t="shared" si="524"/>
        <v/>
      </c>
      <c r="WLD118" s="100" t="str">
        <f t="shared" si="524"/>
        <v/>
      </c>
      <c r="WLE118" s="100" t="str">
        <f t="shared" si="524"/>
        <v/>
      </c>
      <c r="WLF118" s="100" t="str">
        <f t="shared" si="524"/>
        <v/>
      </c>
      <c r="WLG118" s="100" t="str">
        <f t="shared" si="524"/>
        <v/>
      </c>
      <c r="WLH118" s="100" t="str">
        <f t="shared" si="524"/>
        <v/>
      </c>
      <c r="WLI118" s="100" t="str">
        <f t="shared" si="524"/>
        <v/>
      </c>
      <c r="WLJ118" s="100" t="str">
        <f t="shared" si="524"/>
        <v/>
      </c>
      <c r="WLK118" s="100" t="str">
        <f t="shared" si="524"/>
        <v/>
      </c>
      <c r="WLL118" s="100" t="str">
        <f t="shared" si="524"/>
        <v/>
      </c>
      <c r="WLM118" s="100" t="str">
        <f t="shared" si="524"/>
        <v/>
      </c>
      <c r="WLN118" s="100" t="str">
        <f t="shared" si="524"/>
        <v/>
      </c>
      <c r="WLO118" s="100" t="str">
        <f t="shared" si="524"/>
        <v/>
      </c>
      <c r="WLP118" s="100" t="str">
        <f t="shared" si="524"/>
        <v/>
      </c>
      <c r="WLQ118" s="100" t="str">
        <f t="shared" ref="WLQ118:WOB118" si="525">IFERROR(AVERAGE(WLQ6,WLQ16,WLQ25,WLQ34,WLQ42,WLQ54,WLQ62,WLQ70,WLQ78,WLQ86,WLQ94,WLQ102,WLQ110),"")</f>
        <v/>
      </c>
      <c r="WLR118" s="100" t="str">
        <f t="shared" si="525"/>
        <v/>
      </c>
      <c r="WLS118" s="100" t="str">
        <f t="shared" si="525"/>
        <v/>
      </c>
      <c r="WLT118" s="100" t="str">
        <f t="shared" si="525"/>
        <v/>
      </c>
      <c r="WLU118" s="100" t="str">
        <f t="shared" si="525"/>
        <v/>
      </c>
      <c r="WLV118" s="100" t="str">
        <f t="shared" si="525"/>
        <v/>
      </c>
      <c r="WLW118" s="100" t="str">
        <f t="shared" si="525"/>
        <v/>
      </c>
      <c r="WLX118" s="100" t="str">
        <f t="shared" si="525"/>
        <v/>
      </c>
      <c r="WLY118" s="100" t="str">
        <f t="shared" si="525"/>
        <v/>
      </c>
      <c r="WLZ118" s="100" t="str">
        <f t="shared" si="525"/>
        <v/>
      </c>
      <c r="WMA118" s="100" t="str">
        <f t="shared" si="525"/>
        <v/>
      </c>
      <c r="WMB118" s="100" t="str">
        <f t="shared" si="525"/>
        <v/>
      </c>
      <c r="WMC118" s="100" t="str">
        <f t="shared" si="525"/>
        <v/>
      </c>
      <c r="WMD118" s="100" t="str">
        <f t="shared" si="525"/>
        <v/>
      </c>
      <c r="WME118" s="100" t="str">
        <f t="shared" si="525"/>
        <v/>
      </c>
      <c r="WMF118" s="100" t="str">
        <f t="shared" si="525"/>
        <v/>
      </c>
      <c r="WMG118" s="100" t="str">
        <f t="shared" si="525"/>
        <v/>
      </c>
      <c r="WMH118" s="100" t="str">
        <f t="shared" si="525"/>
        <v/>
      </c>
      <c r="WMI118" s="100" t="str">
        <f t="shared" si="525"/>
        <v/>
      </c>
      <c r="WMJ118" s="100" t="str">
        <f t="shared" si="525"/>
        <v/>
      </c>
      <c r="WMK118" s="100" t="str">
        <f t="shared" si="525"/>
        <v/>
      </c>
      <c r="WML118" s="100" t="str">
        <f t="shared" si="525"/>
        <v/>
      </c>
      <c r="WMM118" s="100" t="str">
        <f t="shared" si="525"/>
        <v/>
      </c>
      <c r="WMN118" s="100" t="str">
        <f t="shared" si="525"/>
        <v/>
      </c>
      <c r="WMO118" s="100" t="str">
        <f t="shared" si="525"/>
        <v/>
      </c>
      <c r="WMP118" s="100" t="str">
        <f t="shared" si="525"/>
        <v/>
      </c>
      <c r="WMQ118" s="100" t="str">
        <f t="shared" si="525"/>
        <v/>
      </c>
      <c r="WMR118" s="100" t="str">
        <f t="shared" si="525"/>
        <v/>
      </c>
      <c r="WMS118" s="100" t="str">
        <f t="shared" si="525"/>
        <v/>
      </c>
      <c r="WMT118" s="100" t="str">
        <f t="shared" si="525"/>
        <v/>
      </c>
      <c r="WMU118" s="100" t="str">
        <f t="shared" si="525"/>
        <v/>
      </c>
      <c r="WMV118" s="100" t="str">
        <f t="shared" si="525"/>
        <v/>
      </c>
      <c r="WMW118" s="100" t="str">
        <f t="shared" si="525"/>
        <v/>
      </c>
      <c r="WMX118" s="100" t="str">
        <f t="shared" si="525"/>
        <v/>
      </c>
      <c r="WMY118" s="100" t="str">
        <f t="shared" si="525"/>
        <v/>
      </c>
      <c r="WMZ118" s="100" t="str">
        <f t="shared" si="525"/>
        <v/>
      </c>
      <c r="WNA118" s="100" t="str">
        <f t="shared" si="525"/>
        <v/>
      </c>
      <c r="WNB118" s="100" t="str">
        <f t="shared" si="525"/>
        <v/>
      </c>
      <c r="WNC118" s="100" t="str">
        <f t="shared" si="525"/>
        <v/>
      </c>
      <c r="WND118" s="100" t="str">
        <f t="shared" si="525"/>
        <v/>
      </c>
      <c r="WNE118" s="100" t="str">
        <f t="shared" si="525"/>
        <v/>
      </c>
      <c r="WNF118" s="100" t="str">
        <f t="shared" si="525"/>
        <v/>
      </c>
      <c r="WNG118" s="100" t="str">
        <f t="shared" si="525"/>
        <v/>
      </c>
      <c r="WNH118" s="100" t="str">
        <f t="shared" si="525"/>
        <v/>
      </c>
      <c r="WNI118" s="100" t="str">
        <f t="shared" si="525"/>
        <v/>
      </c>
      <c r="WNJ118" s="100" t="str">
        <f t="shared" si="525"/>
        <v/>
      </c>
      <c r="WNK118" s="100" t="str">
        <f t="shared" si="525"/>
        <v/>
      </c>
      <c r="WNL118" s="100" t="str">
        <f t="shared" si="525"/>
        <v/>
      </c>
      <c r="WNM118" s="100" t="str">
        <f t="shared" si="525"/>
        <v/>
      </c>
      <c r="WNN118" s="100" t="str">
        <f t="shared" si="525"/>
        <v/>
      </c>
      <c r="WNO118" s="100" t="str">
        <f t="shared" si="525"/>
        <v/>
      </c>
      <c r="WNP118" s="100" t="str">
        <f t="shared" si="525"/>
        <v/>
      </c>
      <c r="WNQ118" s="100" t="str">
        <f t="shared" si="525"/>
        <v/>
      </c>
      <c r="WNR118" s="100" t="str">
        <f t="shared" si="525"/>
        <v/>
      </c>
      <c r="WNS118" s="100" t="str">
        <f t="shared" si="525"/>
        <v/>
      </c>
      <c r="WNT118" s="100" t="str">
        <f t="shared" si="525"/>
        <v/>
      </c>
      <c r="WNU118" s="100" t="str">
        <f t="shared" si="525"/>
        <v/>
      </c>
      <c r="WNV118" s="100" t="str">
        <f t="shared" si="525"/>
        <v/>
      </c>
      <c r="WNW118" s="100" t="str">
        <f t="shared" si="525"/>
        <v/>
      </c>
      <c r="WNX118" s="100" t="str">
        <f t="shared" si="525"/>
        <v/>
      </c>
      <c r="WNY118" s="100" t="str">
        <f t="shared" si="525"/>
        <v/>
      </c>
      <c r="WNZ118" s="100" t="str">
        <f t="shared" si="525"/>
        <v/>
      </c>
      <c r="WOA118" s="100" t="str">
        <f t="shared" si="525"/>
        <v/>
      </c>
      <c r="WOB118" s="100" t="str">
        <f t="shared" si="525"/>
        <v/>
      </c>
      <c r="WOC118" s="100" t="str">
        <f t="shared" ref="WOC118:WQN118" si="526">IFERROR(AVERAGE(WOC6,WOC16,WOC25,WOC34,WOC42,WOC54,WOC62,WOC70,WOC78,WOC86,WOC94,WOC102,WOC110),"")</f>
        <v/>
      </c>
      <c r="WOD118" s="100" t="str">
        <f t="shared" si="526"/>
        <v/>
      </c>
      <c r="WOE118" s="100" t="str">
        <f t="shared" si="526"/>
        <v/>
      </c>
      <c r="WOF118" s="100" t="str">
        <f t="shared" si="526"/>
        <v/>
      </c>
      <c r="WOG118" s="100" t="str">
        <f t="shared" si="526"/>
        <v/>
      </c>
      <c r="WOH118" s="100" t="str">
        <f t="shared" si="526"/>
        <v/>
      </c>
      <c r="WOI118" s="100" t="str">
        <f t="shared" si="526"/>
        <v/>
      </c>
      <c r="WOJ118" s="100" t="str">
        <f t="shared" si="526"/>
        <v/>
      </c>
      <c r="WOK118" s="100" t="str">
        <f t="shared" si="526"/>
        <v/>
      </c>
      <c r="WOL118" s="100" t="str">
        <f t="shared" si="526"/>
        <v/>
      </c>
      <c r="WOM118" s="100" t="str">
        <f t="shared" si="526"/>
        <v/>
      </c>
      <c r="WON118" s="100" t="str">
        <f t="shared" si="526"/>
        <v/>
      </c>
      <c r="WOO118" s="100" t="str">
        <f t="shared" si="526"/>
        <v/>
      </c>
      <c r="WOP118" s="100" t="str">
        <f t="shared" si="526"/>
        <v/>
      </c>
      <c r="WOQ118" s="100" t="str">
        <f t="shared" si="526"/>
        <v/>
      </c>
      <c r="WOR118" s="100" t="str">
        <f t="shared" si="526"/>
        <v/>
      </c>
      <c r="WOS118" s="100" t="str">
        <f t="shared" si="526"/>
        <v/>
      </c>
      <c r="WOT118" s="100" t="str">
        <f t="shared" si="526"/>
        <v/>
      </c>
      <c r="WOU118" s="100" t="str">
        <f t="shared" si="526"/>
        <v/>
      </c>
      <c r="WOV118" s="100" t="str">
        <f t="shared" si="526"/>
        <v/>
      </c>
      <c r="WOW118" s="100" t="str">
        <f t="shared" si="526"/>
        <v/>
      </c>
      <c r="WOX118" s="100" t="str">
        <f t="shared" si="526"/>
        <v/>
      </c>
      <c r="WOY118" s="100" t="str">
        <f t="shared" si="526"/>
        <v/>
      </c>
      <c r="WOZ118" s="100" t="str">
        <f t="shared" si="526"/>
        <v/>
      </c>
      <c r="WPA118" s="100" t="str">
        <f t="shared" si="526"/>
        <v/>
      </c>
      <c r="WPB118" s="100" t="str">
        <f t="shared" si="526"/>
        <v/>
      </c>
      <c r="WPC118" s="100" t="str">
        <f t="shared" si="526"/>
        <v/>
      </c>
      <c r="WPD118" s="100" t="str">
        <f t="shared" si="526"/>
        <v/>
      </c>
      <c r="WPE118" s="100" t="str">
        <f t="shared" si="526"/>
        <v/>
      </c>
      <c r="WPF118" s="100" t="str">
        <f t="shared" si="526"/>
        <v/>
      </c>
      <c r="WPG118" s="100" t="str">
        <f t="shared" si="526"/>
        <v/>
      </c>
      <c r="WPH118" s="100" t="str">
        <f t="shared" si="526"/>
        <v/>
      </c>
      <c r="WPI118" s="100" t="str">
        <f t="shared" si="526"/>
        <v/>
      </c>
      <c r="WPJ118" s="100" t="str">
        <f t="shared" si="526"/>
        <v/>
      </c>
      <c r="WPK118" s="100" t="str">
        <f t="shared" si="526"/>
        <v/>
      </c>
      <c r="WPL118" s="100" t="str">
        <f t="shared" si="526"/>
        <v/>
      </c>
      <c r="WPM118" s="100" t="str">
        <f t="shared" si="526"/>
        <v/>
      </c>
      <c r="WPN118" s="100" t="str">
        <f t="shared" si="526"/>
        <v/>
      </c>
      <c r="WPO118" s="100" t="str">
        <f t="shared" si="526"/>
        <v/>
      </c>
      <c r="WPP118" s="100" t="str">
        <f t="shared" si="526"/>
        <v/>
      </c>
      <c r="WPQ118" s="100" t="str">
        <f t="shared" si="526"/>
        <v/>
      </c>
      <c r="WPR118" s="100" t="str">
        <f t="shared" si="526"/>
        <v/>
      </c>
      <c r="WPS118" s="100" t="str">
        <f t="shared" si="526"/>
        <v/>
      </c>
      <c r="WPT118" s="100" t="str">
        <f t="shared" si="526"/>
        <v/>
      </c>
      <c r="WPU118" s="100" t="str">
        <f t="shared" si="526"/>
        <v/>
      </c>
      <c r="WPV118" s="100" t="str">
        <f t="shared" si="526"/>
        <v/>
      </c>
      <c r="WPW118" s="100" t="str">
        <f t="shared" si="526"/>
        <v/>
      </c>
      <c r="WPX118" s="100" t="str">
        <f t="shared" si="526"/>
        <v/>
      </c>
      <c r="WPY118" s="100" t="str">
        <f t="shared" si="526"/>
        <v/>
      </c>
      <c r="WPZ118" s="100" t="str">
        <f t="shared" si="526"/>
        <v/>
      </c>
      <c r="WQA118" s="100" t="str">
        <f t="shared" si="526"/>
        <v/>
      </c>
      <c r="WQB118" s="100" t="str">
        <f t="shared" si="526"/>
        <v/>
      </c>
      <c r="WQC118" s="100" t="str">
        <f t="shared" si="526"/>
        <v/>
      </c>
      <c r="WQD118" s="100" t="str">
        <f t="shared" si="526"/>
        <v/>
      </c>
      <c r="WQE118" s="100" t="str">
        <f t="shared" si="526"/>
        <v/>
      </c>
      <c r="WQF118" s="100" t="str">
        <f t="shared" si="526"/>
        <v/>
      </c>
      <c r="WQG118" s="100" t="str">
        <f t="shared" si="526"/>
        <v/>
      </c>
      <c r="WQH118" s="100" t="str">
        <f t="shared" si="526"/>
        <v/>
      </c>
      <c r="WQI118" s="100" t="str">
        <f t="shared" si="526"/>
        <v/>
      </c>
      <c r="WQJ118" s="100" t="str">
        <f t="shared" si="526"/>
        <v/>
      </c>
      <c r="WQK118" s="100" t="str">
        <f t="shared" si="526"/>
        <v/>
      </c>
      <c r="WQL118" s="100" t="str">
        <f t="shared" si="526"/>
        <v/>
      </c>
      <c r="WQM118" s="100" t="str">
        <f t="shared" si="526"/>
        <v/>
      </c>
      <c r="WQN118" s="100" t="str">
        <f t="shared" si="526"/>
        <v/>
      </c>
      <c r="WQO118" s="100" t="str">
        <f t="shared" ref="WQO118:WSZ118" si="527">IFERROR(AVERAGE(WQO6,WQO16,WQO25,WQO34,WQO42,WQO54,WQO62,WQO70,WQO78,WQO86,WQO94,WQO102,WQO110),"")</f>
        <v/>
      </c>
      <c r="WQP118" s="100" t="str">
        <f t="shared" si="527"/>
        <v/>
      </c>
      <c r="WQQ118" s="100" t="str">
        <f t="shared" si="527"/>
        <v/>
      </c>
      <c r="WQR118" s="100" t="str">
        <f t="shared" si="527"/>
        <v/>
      </c>
      <c r="WQS118" s="100" t="str">
        <f t="shared" si="527"/>
        <v/>
      </c>
      <c r="WQT118" s="100" t="str">
        <f t="shared" si="527"/>
        <v/>
      </c>
      <c r="WQU118" s="100" t="str">
        <f t="shared" si="527"/>
        <v/>
      </c>
      <c r="WQV118" s="100" t="str">
        <f t="shared" si="527"/>
        <v/>
      </c>
      <c r="WQW118" s="100" t="str">
        <f t="shared" si="527"/>
        <v/>
      </c>
      <c r="WQX118" s="100" t="str">
        <f t="shared" si="527"/>
        <v/>
      </c>
      <c r="WQY118" s="100" t="str">
        <f t="shared" si="527"/>
        <v/>
      </c>
      <c r="WQZ118" s="100" t="str">
        <f t="shared" si="527"/>
        <v/>
      </c>
      <c r="WRA118" s="100" t="str">
        <f t="shared" si="527"/>
        <v/>
      </c>
      <c r="WRB118" s="100" t="str">
        <f t="shared" si="527"/>
        <v/>
      </c>
      <c r="WRC118" s="100" t="str">
        <f t="shared" si="527"/>
        <v/>
      </c>
      <c r="WRD118" s="100" t="str">
        <f t="shared" si="527"/>
        <v/>
      </c>
      <c r="WRE118" s="100" t="str">
        <f t="shared" si="527"/>
        <v/>
      </c>
      <c r="WRF118" s="100" t="str">
        <f t="shared" si="527"/>
        <v/>
      </c>
      <c r="WRG118" s="100" t="str">
        <f t="shared" si="527"/>
        <v/>
      </c>
      <c r="WRH118" s="100" t="str">
        <f t="shared" si="527"/>
        <v/>
      </c>
      <c r="WRI118" s="100" t="str">
        <f t="shared" si="527"/>
        <v/>
      </c>
      <c r="WRJ118" s="100" t="str">
        <f t="shared" si="527"/>
        <v/>
      </c>
      <c r="WRK118" s="100" t="str">
        <f t="shared" si="527"/>
        <v/>
      </c>
      <c r="WRL118" s="100" t="str">
        <f t="shared" si="527"/>
        <v/>
      </c>
      <c r="WRM118" s="100" t="str">
        <f t="shared" si="527"/>
        <v/>
      </c>
      <c r="WRN118" s="100" t="str">
        <f t="shared" si="527"/>
        <v/>
      </c>
      <c r="WRO118" s="100" t="str">
        <f t="shared" si="527"/>
        <v/>
      </c>
      <c r="WRP118" s="100" t="str">
        <f t="shared" si="527"/>
        <v/>
      </c>
      <c r="WRQ118" s="100" t="str">
        <f t="shared" si="527"/>
        <v/>
      </c>
      <c r="WRR118" s="100" t="str">
        <f t="shared" si="527"/>
        <v/>
      </c>
      <c r="WRS118" s="100" t="str">
        <f t="shared" si="527"/>
        <v/>
      </c>
      <c r="WRT118" s="100" t="str">
        <f t="shared" si="527"/>
        <v/>
      </c>
      <c r="WRU118" s="100" t="str">
        <f t="shared" si="527"/>
        <v/>
      </c>
      <c r="WRV118" s="100" t="str">
        <f t="shared" si="527"/>
        <v/>
      </c>
      <c r="WRW118" s="100" t="str">
        <f t="shared" si="527"/>
        <v/>
      </c>
      <c r="WRX118" s="100" t="str">
        <f t="shared" si="527"/>
        <v/>
      </c>
      <c r="WRY118" s="100" t="str">
        <f t="shared" si="527"/>
        <v/>
      </c>
      <c r="WRZ118" s="100" t="str">
        <f t="shared" si="527"/>
        <v/>
      </c>
      <c r="WSA118" s="100" t="str">
        <f t="shared" si="527"/>
        <v/>
      </c>
      <c r="WSB118" s="100" t="str">
        <f t="shared" si="527"/>
        <v/>
      </c>
      <c r="WSC118" s="100" t="str">
        <f t="shared" si="527"/>
        <v/>
      </c>
      <c r="WSD118" s="100" t="str">
        <f t="shared" si="527"/>
        <v/>
      </c>
      <c r="WSE118" s="100" t="str">
        <f t="shared" si="527"/>
        <v/>
      </c>
      <c r="WSF118" s="100" t="str">
        <f t="shared" si="527"/>
        <v/>
      </c>
      <c r="WSG118" s="100" t="str">
        <f t="shared" si="527"/>
        <v/>
      </c>
      <c r="WSH118" s="100" t="str">
        <f t="shared" si="527"/>
        <v/>
      </c>
      <c r="WSI118" s="100" t="str">
        <f t="shared" si="527"/>
        <v/>
      </c>
      <c r="WSJ118" s="100" t="str">
        <f t="shared" si="527"/>
        <v/>
      </c>
      <c r="WSK118" s="100" t="str">
        <f t="shared" si="527"/>
        <v/>
      </c>
      <c r="WSL118" s="100" t="str">
        <f t="shared" si="527"/>
        <v/>
      </c>
      <c r="WSM118" s="100" t="str">
        <f t="shared" si="527"/>
        <v/>
      </c>
      <c r="WSN118" s="100" t="str">
        <f t="shared" si="527"/>
        <v/>
      </c>
      <c r="WSO118" s="100" t="str">
        <f t="shared" si="527"/>
        <v/>
      </c>
      <c r="WSP118" s="100" t="str">
        <f t="shared" si="527"/>
        <v/>
      </c>
      <c r="WSQ118" s="100" t="str">
        <f t="shared" si="527"/>
        <v/>
      </c>
      <c r="WSR118" s="100" t="str">
        <f t="shared" si="527"/>
        <v/>
      </c>
      <c r="WSS118" s="100" t="str">
        <f t="shared" si="527"/>
        <v/>
      </c>
      <c r="WST118" s="100" t="str">
        <f t="shared" si="527"/>
        <v/>
      </c>
      <c r="WSU118" s="100" t="str">
        <f t="shared" si="527"/>
        <v/>
      </c>
      <c r="WSV118" s="100" t="str">
        <f t="shared" si="527"/>
        <v/>
      </c>
      <c r="WSW118" s="100" t="str">
        <f t="shared" si="527"/>
        <v/>
      </c>
      <c r="WSX118" s="100" t="str">
        <f t="shared" si="527"/>
        <v/>
      </c>
      <c r="WSY118" s="100" t="str">
        <f t="shared" si="527"/>
        <v/>
      </c>
      <c r="WSZ118" s="100" t="str">
        <f t="shared" si="527"/>
        <v/>
      </c>
      <c r="WTA118" s="100" t="str">
        <f t="shared" ref="WTA118:WVL118" si="528">IFERROR(AVERAGE(WTA6,WTA16,WTA25,WTA34,WTA42,WTA54,WTA62,WTA70,WTA78,WTA86,WTA94,WTA102,WTA110),"")</f>
        <v/>
      </c>
      <c r="WTB118" s="100" t="str">
        <f t="shared" si="528"/>
        <v/>
      </c>
      <c r="WTC118" s="100" t="str">
        <f t="shared" si="528"/>
        <v/>
      </c>
      <c r="WTD118" s="100" t="str">
        <f t="shared" si="528"/>
        <v/>
      </c>
      <c r="WTE118" s="100" t="str">
        <f t="shared" si="528"/>
        <v/>
      </c>
      <c r="WTF118" s="100" t="str">
        <f t="shared" si="528"/>
        <v/>
      </c>
      <c r="WTG118" s="100" t="str">
        <f t="shared" si="528"/>
        <v/>
      </c>
      <c r="WTH118" s="100" t="str">
        <f t="shared" si="528"/>
        <v/>
      </c>
      <c r="WTI118" s="100" t="str">
        <f t="shared" si="528"/>
        <v/>
      </c>
      <c r="WTJ118" s="100" t="str">
        <f t="shared" si="528"/>
        <v/>
      </c>
      <c r="WTK118" s="100" t="str">
        <f t="shared" si="528"/>
        <v/>
      </c>
      <c r="WTL118" s="100" t="str">
        <f t="shared" si="528"/>
        <v/>
      </c>
      <c r="WTM118" s="100" t="str">
        <f t="shared" si="528"/>
        <v/>
      </c>
      <c r="WTN118" s="100" t="str">
        <f t="shared" si="528"/>
        <v/>
      </c>
      <c r="WTO118" s="100" t="str">
        <f t="shared" si="528"/>
        <v/>
      </c>
      <c r="WTP118" s="100" t="str">
        <f t="shared" si="528"/>
        <v/>
      </c>
      <c r="WTQ118" s="100" t="str">
        <f t="shared" si="528"/>
        <v/>
      </c>
      <c r="WTR118" s="100" t="str">
        <f t="shared" si="528"/>
        <v/>
      </c>
      <c r="WTS118" s="100" t="str">
        <f t="shared" si="528"/>
        <v/>
      </c>
      <c r="WTT118" s="100" t="str">
        <f t="shared" si="528"/>
        <v/>
      </c>
      <c r="WTU118" s="100" t="str">
        <f t="shared" si="528"/>
        <v/>
      </c>
      <c r="WTV118" s="100" t="str">
        <f t="shared" si="528"/>
        <v/>
      </c>
      <c r="WTW118" s="100" t="str">
        <f t="shared" si="528"/>
        <v/>
      </c>
      <c r="WTX118" s="100" t="str">
        <f t="shared" si="528"/>
        <v/>
      </c>
      <c r="WTY118" s="100" t="str">
        <f t="shared" si="528"/>
        <v/>
      </c>
      <c r="WTZ118" s="100" t="str">
        <f t="shared" si="528"/>
        <v/>
      </c>
      <c r="WUA118" s="100" t="str">
        <f t="shared" si="528"/>
        <v/>
      </c>
      <c r="WUB118" s="100" t="str">
        <f t="shared" si="528"/>
        <v/>
      </c>
      <c r="WUC118" s="100" t="str">
        <f t="shared" si="528"/>
        <v/>
      </c>
      <c r="WUD118" s="100" t="str">
        <f t="shared" si="528"/>
        <v/>
      </c>
      <c r="WUE118" s="100" t="str">
        <f t="shared" si="528"/>
        <v/>
      </c>
      <c r="WUF118" s="100" t="str">
        <f t="shared" si="528"/>
        <v/>
      </c>
      <c r="WUG118" s="100" t="str">
        <f t="shared" si="528"/>
        <v/>
      </c>
      <c r="WUH118" s="100" t="str">
        <f t="shared" si="528"/>
        <v/>
      </c>
      <c r="WUI118" s="100" t="str">
        <f t="shared" si="528"/>
        <v/>
      </c>
      <c r="WUJ118" s="100" t="str">
        <f t="shared" si="528"/>
        <v/>
      </c>
      <c r="WUK118" s="100" t="str">
        <f t="shared" si="528"/>
        <v/>
      </c>
      <c r="WUL118" s="100" t="str">
        <f t="shared" si="528"/>
        <v/>
      </c>
      <c r="WUM118" s="100" t="str">
        <f t="shared" si="528"/>
        <v/>
      </c>
      <c r="WUN118" s="100" t="str">
        <f t="shared" si="528"/>
        <v/>
      </c>
      <c r="WUO118" s="100" t="str">
        <f t="shared" si="528"/>
        <v/>
      </c>
      <c r="WUP118" s="100" t="str">
        <f t="shared" si="528"/>
        <v/>
      </c>
      <c r="WUQ118" s="100" t="str">
        <f t="shared" si="528"/>
        <v/>
      </c>
      <c r="WUR118" s="100" t="str">
        <f t="shared" si="528"/>
        <v/>
      </c>
      <c r="WUS118" s="100" t="str">
        <f t="shared" si="528"/>
        <v/>
      </c>
      <c r="WUT118" s="100" t="str">
        <f t="shared" si="528"/>
        <v/>
      </c>
      <c r="WUU118" s="100" t="str">
        <f t="shared" si="528"/>
        <v/>
      </c>
      <c r="WUV118" s="100" t="str">
        <f t="shared" si="528"/>
        <v/>
      </c>
      <c r="WUW118" s="100" t="str">
        <f t="shared" si="528"/>
        <v/>
      </c>
      <c r="WUX118" s="100" t="str">
        <f t="shared" si="528"/>
        <v/>
      </c>
      <c r="WUY118" s="100" t="str">
        <f t="shared" si="528"/>
        <v/>
      </c>
      <c r="WUZ118" s="100" t="str">
        <f t="shared" si="528"/>
        <v/>
      </c>
      <c r="WVA118" s="100" t="str">
        <f t="shared" si="528"/>
        <v/>
      </c>
      <c r="WVB118" s="100" t="str">
        <f t="shared" si="528"/>
        <v/>
      </c>
      <c r="WVC118" s="100" t="str">
        <f t="shared" si="528"/>
        <v/>
      </c>
      <c r="WVD118" s="100" t="str">
        <f t="shared" si="528"/>
        <v/>
      </c>
      <c r="WVE118" s="100" t="str">
        <f t="shared" si="528"/>
        <v/>
      </c>
      <c r="WVF118" s="100" t="str">
        <f t="shared" si="528"/>
        <v/>
      </c>
      <c r="WVG118" s="100" t="str">
        <f t="shared" si="528"/>
        <v/>
      </c>
      <c r="WVH118" s="100" t="str">
        <f t="shared" si="528"/>
        <v/>
      </c>
      <c r="WVI118" s="100" t="str">
        <f t="shared" si="528"/>
        <v/>
      </c>
      <c r="WVJ118" s="100" t="str">
        <f t="shared" si="528"/>
        <v/>
      </c>
      <c r="WVK118" s="100" t="str">
        <f t="shared" si="528"/>
        <v/>
      </c>
      <c r="WVL118" s="100" t="str">
        <f t="shared" si="528"/>
        <v/>
      </c>
      <c r="WVM118" s="100" t="str">
        <f t="shared" ref="WVM118:WXX118" si="529">IFERROR(AVERAGE(WVM6,WVM16,WVM25,WVM34,WVM42,WVM54,WVM62,WVM70,WVM78,WVM86,WVM94,WVM102,WVM110),"")</f>
        <v/>
      </c>
      <c r="WVN118" s="100" t="str">
        <f t="shared" si="529"/>
        <v/>
      </c>
      <c r="WVO118" s="100" t="str">
        <f t="shared" si="529"/>
        <v/>
      </c>
      <c r="WVP118" s="100" t="str">
        <f t="shared" si="529"/>
        <v/>
      </c>
      <c r="WVQ118" s="100" t="str">
        <f t="shared" si="529"/>
        <v/>
      </c>
      <c r="WVR118" s="100" t="str">
        <f t="shared" si="529"/>
        <v/>
      </c>
      <c r="WVS118" s="100" t="str">
        <f t="shared" si="529"/>
        <v/>
      </c>
      <c r="WVT118" s="100" t="str">
        <f t="shared" si="529"/>
        <v/>
      </c>
      <c r="WVU118" s="100" t="str">
        <f t="shared" si="529"/>
        <v/>
      </c>
      <c r="WVV118" s="100" t="str">
        <f t="shared" si="529"/>
        <v/>
      </c>
      <c r="WVW118" s="100" t="str">
        <f t="shared" si="529"/>
        <v/>
      </c>
      <c r="WVX118" s="100" t="str">
        <f t="shared" si="529"/>
        <v/>
      </c>
      <c r="WVY118" s="100" t="str">
        <f t="shared" si="529"/>
        <v/>
      </c>
      <c r="WVZ118" s="100" t="str">
        <f t="shared" si="529"/>
        <v/>
      </c>
      <c r="WWA118" s="100" t="str">
        <f t="shared" si="529"/>
        <v/>
      </c>
      <c r="WWB118" s="100" t="str">
        <f t="shared" si="529"/>
        <v/>
      </c>
      <c r="WWC118" s="100" t="str">
        <f t="shared" si="529"/>
        <v/>
      </c>
      <c r="WWD118" s="100" t="str">
        <f t="shared" si="529"/>
        <v/>
      </c>
      <c r="WWE118" s="100" t="str">
        <f t="shared" si="529"/>
        <v/>
      </c>
      <c r="WWF118" s="100" t="str">
        <f t="shared" si="529"/>
        <v/>
      </c>
      <c r="WWG118" s="100" t="str">
        <f t="shared" si="529"/>
        <v/>
      </c>
      <c r="WWH118" s="100" t="str">
        <f t="shared" si="529"/>
        <v/>
      </c>
      <c r="WWI118" s="100" t="str">
        <f t="shared" si="529"/>
        <v/>
      </c>
      <c r="WWJ118" s="100" t="str">
        <f t="shared" si="529"/>
        <v/>
      </c>
      <c r="WWK118" s="100" t="str">
        <f t="shared" si="529"/>
        <v/>
      </c>
      <c r="WWL118" s="100" t="str">
        <f t="shared" si="529"/>
        <v/>
      </c>
      <c r="WWM118" s="100" t="str">
        <f t="shared" si="529"/>
        <v/>
      </c>
      <c r="WWN118" s="100" t="str">
        <f t="shared" si="529"/>
        <v/>
      </c>
      <c r="WWO118" s="100" t="str">
        <f t="shared" si="529"/>
        <v/>
      </c>
      <c r="WWP118" s="100" t="str">
        <f t="shared" si="529"/>
        <v/>
      </c>
      <c r="WWQ118" s="100" t="str">
        <f t="shared" si="529"/>
        <v/>
      </c>
      <c r="WWR118" s="100" t="str">
        <f t="shared" si="529"/>
        <v/>
      </c>
      <c r="WWS118" s="100" t="str">
        <f t="shared" si="529"/>
        <v/>
      </c>
      <c r="WWT118" s="100" t="str">
        <f t="shared" si="529"/>
        <v/>
      </c>
      <c r="WWU118" s="100" t="str">
        <f t="shared" si="529"/>
        <v/>
      </c>
      <c r="WWV118" s="100" t="str">
        <f t="shared" si="529"/>
        <v/>
      </c>
      <c r="WWW118" s="100" t="str">
        <f t="shared" si="529"/>
        <v/>
      </c>
      <c r="WWX118" s="100" t="str">
        <f t="shared" si="529"/>
        <v/>
      </c>
      <c r="WWY118" s="100" t="str">
        <f t="shared" si="529"/>
        <v/>
      </c>
      <c r="WWZ118" s="100" t="str">
        <f t="shared" si="529"/>
        <v/>
      </c>
      <c r="WXA118" s="100" t="str">
        <f t="shared" si="529"/>
        <v/>
      </c>
      <c r="WXB118" s="100" t="str">
        <f t="shared" si="529"/>
        <v/>
      </c>
      <c r="WXC118" s="100" t="str">
        <f t="shared" si="529"/>
        <v/>
      </c>
      <c r="WXD118" s="100" t="str">
        <f t="shared" si="529"/>
        <v/>
      </c>
      <c r="WXE118" s="100" t="str">
        <f t="shared" si="529"/>
        <v/>
      </c>
      <c r="WXF118" s="100" t="str">
        <f t="shared" si="529"/>
        <v/>
      </c>
      <c r="WXG118" s="100" t="str">
        <f t="shared" si="529"/>
        <v/>
      </c>
      <c r="WXH118" s="100" t="str">
        <f t="shared" si="529"/>
        <v/>
      </c>
      <c r="WXI118" s="100" t="str">
        <f t="shared" si="529"/>
        <v/>
      </c>
      <c r="WXJ118" s="100" t="str">
        <f t="shared" si="529"/>
        <v/>
      </c>
      <c r="WXK118" s="100" t="str">
        <f t="shared" si="529"/>
        <v/>
      </c>
      <c r="WXL118" s="100" t="str">
        <f t="shared" si="529"/>
        <v/>
      </c>
      <c r="WXM118" s="100" t="str">
        <f t="shared" si="529"/>
        <v/>
      </c>
      <c r="WXN118" s="100" t="str">
        <f t="shared" si="529"/>
        <v/>
      </c>
      <c r="WXO118" s="100" t="str">
        <f t="shared" si="529"/>
        <v/>
      </c>
      <c r="WXP118" s="100" t="str">
        <f t="shared" si="529"/>
        <v/>
      </c>
      <c r="WXQ118" s="100" t="str">
        <f t="shared" si="529"/>
        <v/>
      </c>
      <c r="WXR118" s="100" t="str">
        <f t="shared" si="529"/>
        <v/>
      </c>
      <c r="WXS118" s="100" t="str">
        <f t="shared" si="529"/>
        <v/>
      </c>
      <c r="WXT118" s="100" t="str">
        <f t="shared" si="529"/>
        <v/>
      </c>
      <c r="WXU118" s="100" t="str">
        <f t="shared" si="529"/>
        <v/>
      </c>
      <c r="WXV118" s="100" t="str">
        <f t="shared" si="529"/>
        <v/>
      </c>
      <c r="WXW118" s="100" t="str">
        <f t="shared" si="529"/>
        <v/>
      </c>
      <c r="WXX118" s="100" t="str">
        <f t="shared" si="529"/>
        <v/>
      </c>
      <c r="WXY118" s="100" t="str">
        <f t="shared" ref="WXY118:XAJ118" si="530">IFERROR(AVERAGE(WXY6,WXY16,WXY25,WXY34,WXY42,WXY54,WXY62,WXY70,WXY78,WXY86,WXY94,WXY102,WXY110),"")</f>
        <v/>
      </c>
      <c r="WXZ118" s="100" t="str">
        <f t="shared" si="530"/>
        <v/>
      </c>
      <c r="WYA118" s="100" t="str">
        <f t="shared" si="530"/>
        <v/>
      </c>
      <c r="WYB118" s="100" t="str">
        <f t="shared" si="530"/>
        <v/>
      </c>
      <c r="WYC118" s="100" t="str">
        <f t="shared" si="530"/>
        <v/>
      </c>
      <c r="WYD118" s="100" t="str">
        <f t="shared" si="530"/>
        <v/>
      </c>
      <c r="WYE118" s="100" t="str">
        <f t="shared" si="530"/>
        <v/>
      </c>
      <c r="WYF118" s="100" t="str">
        <f t="shared" si="530"/>
        <v/>
      </c>
      <c r="WYG118" s="100" t="str">
        <f t="shared" si="530"/>
        <v/>
      </c>
      <c r="WYH118" s="100" t="str">
        <f t="shared" si="530"/>
        <v/>
      </c>
      <c r="WYI118" s="100" t="str">
        <f t="shared" si="530"/>
        <v/>
      </c>
      <c r="WYJ118" s="100" t="str">
        <f t="shared" si="530"/>
        <v/>
      </c>
      <c r="WYK118" s="100" t="str">
        <f t="shared" si="530"/>
        <v/>
      </c>
      <c r="WYL118" s="100" t="str">
        <f t="shared" si="530"/>
        <v/>
      </c>
      <c r="WYM118" s="100" t="str">
        <f t="shared" si="530"/>
        <v/>
      </c>
      <c r="WYN118" s="100" t="str">
        <f t="shared" si="530"/>
        <v/>
      </c>
      <c r="WYO118" s="100" t="str">
        <f t="shared" si="530"/>
        <v/>
      </c>
      <c r="WYP118" s="100" t="str">
        <f t="shared" si="530"/>
        <v/>
      </c>
      <c r="WYQ118" s="100" t="str">
        <f t="shared" si="530"/>
        <v/>
      </c>
      <c r="WYR118" s="100" t="str">
        <f t="shared" si="530"/>
        <v/>
      </c>
      <c r="WYS118" s="100" t="str">
        <f t="shared" si="530"/>
        <v/>
      </c>
      <c r="WYT118" s="100" t="str">
        <f t="shared" si="530"/>
        <v/>
      </c>
      <c r="WYU118" s="100" t="str">
        <f t="shared" si="530"/>
        <v/>
      </c>
      <c r="WYV118" s="100" t="str">
        <f t="shared" si="530"/>
        <v/>
      </c>
      <c r="WYW118" s="100" t="str">
        <f t="shared" si="530"/>
        <v/>
      </c>
      <c r="WYX118" s="100" t="str">
        <f t="shared" si="530"/>
        <v/>
      </c>
      <c r="WYY118" s="100" t="str">
        <f t="shared" si="530"/>
        <v/>
      </c>
      <c r="WYZ118" s="100" t="str">
        <f t="shared" si="530"/>
        <v/>
      </c>
      <c r="WZA118" s="100" t="str">
        <f t="shared" si="530"/>
        <v/>
      </c>
      <c r="WZB118" s="100" t="str">
        <f t="shared" si="530"/>
        <v/>
      </c>
      <c r="WZC118" s="100" t="str">
        <f t="shared" si="530"/>
        <v/>
      </c>
      <c r="WZD118" s="100" t="str">
        <f t="shared" si="530"/>
        <v/>
      </c>
      <c r="WZE118" s="100" t="str">
        <f t="shared" si="530"/>
        <v/>
      </c>
      <c r="WZF118" s="100" t="str">
        <f t="shared" si="530"/>
        <v/>
      </c>
      <c r="WZG118" s="100" t="str">
        <f t="shared" si="530"/>
        <v/>
      </c>
      <c r="WZH118" s="100" t="str">
        <f t="shared" si="530"/>
        <v/>
      </c>
      <c r="WZI118" s="100" t="str">
        <f t="shared" si="530"/>
        <v/>
      </c>
      <c r="WZJ118" s="100" t="str">
        <f t="shared" si="530"/>
        <v/>
      </c>
      <c r="WZK118" s="100" t="str">
        <f t="shared" si="530"/>
        <v/>
      </c>
      <c r="WZL118" s="100" t="str">
        <f t="shared" si="530"/>
        <v/>
      </c>
      <c r="WZM118" s="100" t="str">
        <f t="shared" si="530"/>
        <v/>
      </c>
      <c r="WZN118" s="100" t="str">
        <f t="shared" si="530"/>
        <v/>
      </c>
      <c r="WZO118" s="100" t="str">
        <f t="shared" si="530"/>
        <v/>
      </c>
      <c r="WZP118" s="100" t="str">
        <f t="shared" si="530"/>
        <v/>
      </c>
      <c r="WZQ118" s="100" t="str">
        <f t="shared" si="530"/>
        <v/>
      </c>
      <c r="WZR118" s="100" t="str">
        <f t="shared" si="530"/>
        <v/>
      </c>
      <c r="WZS118" s="100" t="str">
        <f t="shared" si="530"/>
        <v/>
      </c>
      <c r="WZT118" s="100" t="str">
        <f t="shared" si="530"/>
        <v/>
      </c>
      <c r="WZU118" s="100" t="str">
        <f t="shared" si="530"/>
        <v/>
      </c>
      <c r="WZV118" s="100" t="str">
        <f t="shared" si="530"/>
        <v/>
      </c>
      <c r="WZW118" s="100" t="str">
        <f t="shared" si="530"/>
        <v/>
      </c>
      <c r="WZX118" s="100" t="str">
        <f t="shared" si="530"/>
        <v/>
      </c>
      <c r="WZY118" s="100" t="str">
        <f t="shared" si="530"/>
        <v/>
      </c>
      <c r="WZZ118" s="100" t="str">
        <f t="shared" si="530"/>
        <v/>
      </c>
      <c r="XAA118" s="100" t="str">
        <f t="shared" si="530"/>
        <v/>
      </c>
      <c r="XAB118" s="100" t="str">
        <f t="shared" si="530"/>
        <v/>
      </c>
      <c r="XAC118" s="100" t="str">
        <f t="shared" si="530"/>
        <v/>
      </c>
      <c r="XAD118" s="100" t="str">
        <f t="shared" si="530"/>
        <v/>
      </c>
      <c r="XAE118" s="100" t="str">
        <f t="shared" si="530"/>
        <v/>
      </c>
      <c r="XAF118" s="100" t="str">
        <f t="shared" si="530"/>
        <v/>
      </c>
      <c r="XAG118" s="100" t="str">
        <f t="shared" si="530"/>
        <v/>
      </c>
      <c r="XAH118" s="100" t="str">
        <f t="shared" si="530"/>
        <v/>
      </c>
      <c r="XAI118" s="100" t="str">
        <f t="shared" si="530"/>
        <v/>
      </c>
      <c r="XAJ118" s="100" t="str">
        <f t="shared" si="530"/>
        <v/>
      </c>
      <c r="XAK118" s="100" t="str">
        <f t="shared" ref="XAK118:XCV118" si="531">IFERROR(AVERAGE(XAK6,XAK16,XAK25,XAK34,XAK42,XAK54,XAK62,XAK70,XAK78,XAK86,XAK94,XAK102,XAK110),"")</f>
        <v/>
      </c>
      <c r="XAL118" s="100" t="str">
        <f t="shared" si="531"/>
        <v/>
      </c>
      <c r="XAM118" s="100" t="str">
        <f t="shared" si="531"/>
        <v/>
      </c>
      <c r="XAN118" s="100" t="str">
        <f t="shared" si="531"/>
        <v/>
      </c>
      <c r="XAO118" s="100" t="str">
        <f t="shared" si="531"/>
        <v/>
      </c>
      <c r="XAP118" s="100" t="str">
        <f t="shared" si="531"/>
        <v/>
      </c>
      <c r="XAQ118" s="100" t="str">
        <f t="shared" si="531"/>
        <v/>
      </c>
      <c r="XAR118" s="100" t="str">
        <f t="shared" si="531"/>
        <v/>
      </c>
      <c r="XAS118" s="100" t="str">
        <f t="shared" si="531"/>
        <v/>
      </c>
      <c r="XAT118" s="100" t="str">
        <f t="shared" si="531"/>
        <v/>
      </c>
      <c r="XAU118" s="100" t="str">
        <f t="shared" si="531"/>
        <v/>
      </c>
      <c r="XAV118" s="100" t="str">
        <f t="shared" si="531"/>
        <v/>
      </c>
      <c r="XAW118" s="100" t="str">
        <f t="shared" si="531"/>
        <v/>
      </c>
      <c r="XAX118" s="100" t="str">
        <f t="shared" si="531"/>
        <v/>
      </c>
      <c r="XAY118" s="100" t="str">
        <f t="shared" si="531"/>
        <v/>
      </c>
      <c r="XAZ118" s="100" t="str">
        <f t="shared" si="531"/>
        <v/>
      </c>
      <c r="XBA118" s="100" t="str">
        <f t="shared" si="531"/>
        <v/>
      </c>
      <c r="XBB118" s="100" t="str">
        <f t="shared" si="531"/>
        <v/>
      </c>
      <c r="XBC118" s="100" t="str">
        <f t="shared" si="531"/>
        <v/>
      </c>
      <c r="XBD118" s="100" t="str">
        <f t="shared" si="531"/>
        <v/>
      </c>
      <c r="XBE118" s="100" t="str">
        <f t="shared" si="531"/>
        <v/>
      </c>
      <c r="XBF118" s="100" t="str">
        <f t="shared" si="531"/>
        <v/>
      </c>
      <c r="XBG118" s="100" t="str">
        <f t="shared" si="531"/>
        <v/>
      </c>
      <c r="XBH118" s="100" t="str">
        <f t="shared" si="531"/>
        <v/>
      </c>
      <c r="XBI118" s="100" t="str">
        <f t="shared" si="531"/>
        <v/>
      </c>
      <c r="XBJ118" s="100" t="str">
        <f t="shared" si="531"/>
        <v/>
      </c>
      <c r="XBK118" s="100" t="str">
        <f t="shared" si="531"/>
        <v/>
      </c>
      <c r="XBL118" s="100" t="str">
        <f t="shared" si="531"/>
        <v/>
      </c>
      <c r="XBM118" s="100" t="str">
        <f t="shared" si="531"/>
        <v/>
      </c>
      <c r="XBN118" s="100" t="str">
        <f t="shared" si="531"/>
        <v/>
      </c>
      <c r="XBO118" s="100" t="str">
        <f t="shared" si="531"/>
        <v/>
      </c>
      <c r="XBP118" s="100" t="str">
        <f t="shared" si="531"/>
        <v/>
      </c>
      <c r="XBQ118" s="100" t="str">
        <f t="shared" si="531"/>
        <v/>
      </c>
      <c r="XBR118" s="100" t="str">
        <f t="shared" si="531"/>
        <v/>
      </c>
      <c r="XBS118" s="100" t="str">
        <f t="shared" si="531"/>
        <v/>
      </c>
      <c r="XBT118" s="100" t="str">
        <f t="shared" si="531"/>
        <v/>
      </c>
      <c r="XBU118" s="100" t="str">
        <f t="shared" si="531"/>
        <v/>
      </c>
      <c r="XBV118" s="100" t="str">
        <f t="shared" si="531"/>
        <v/>
      </c>
      <c r="XBW118" s="100" t="str">
        <f t="shared" si="531"/>
        <v/>
      </c>
      <c r="XBX118" s="100" t="str">
        <f t="shared" si="531"/>
        <v/>
      </c>
      <c r="XBY118" s="100" t="str">
        <f t="shared" si="531"/>
        <v/>
      </c>
      <c r="XBZ118" s="100" t="str">
        <f t="shared" si="531"/>
        <v/>
      </c>
      <c r="XCA118" s="100" t="str">
        <f t="shared" si="531"/>
        <v/>
      </c>
      <c r="XCB118" s="100" t="str">
        <f t="shared" si="531"/>
        <v/>
      </c>
      <c r="XCC118" s="100" t="str">
        <f t="shared" si="531"/>
        <v/>
      </c>
      <c r="XCD118" s="100" t="str">
        <f t="shared" si="531"/>
        <v/>
      </c>
      <c r="XCE118" s="100" t="str">
        <f t="shared" si="531"/>
        <v/>
      </c>
      <c r="XCF118" s="100" t="str">
        <f t="shared" si="531"/>
        <v/>
      </c>
      <c r="XCG118" s="100" t="str">
        <f t="shared" si="531"/>
        <v/>
      </c>
      <c r="XCH118" s="100" t="str">
        <f t="shared" si="531"/>
        <v/>
      </c>
      <c r="XCI118" s="100" t="str">
        <f t="shared" si="531"/>
        <v/>
      </c>
      <c r="XCJ118" s="100" t="str">
        <f t="shared" si="531"/>
        <v/>
      </c>
      <c r="XCK118" s="100" t="str">
        <f t="shared" si="531"/>
        <v/>
      </c>
      <c r="XCL118" s="100" t="str">
        <f t="shared" si="531"/>
        <v/>
      </c>
      <c r="XCM118" s="100" t="str">
        <f t="shared" si="531"/>
        <v/>
      </c>
      <c r="XCN118" s="100" t="str">
        <f t="shared" si="531"/>
        <v/>
      </c>
      <c r="XCO118" s="100" t="str">
        <f t="shared" si="531"/>
        <v/>
      </c>
      <c r="XCP118" s="100" t="str">
        <f t="shared" si="531"/>
        <v/>
      </c>
      <c r="XCQ118" s="100" t="str">
        <f t="shared" si="531"/>
        <v/>
      </c>
      <c r="XCR118" s="100" t="str">
        <f t="shared" si="531"/>
        <v/>
      </c>
      <c r="XCS118" s="100" t="str">
        <f t="shared" si="531"/>
        <v/>
      </c>
      <c r="XCT118" s="100" t="str">
        <f t="shared" si="531"/>
        <v/>
      </c>
      <c r="XCU118" s="100" t="str">
        <f t="shared" si="531"/>
        <v/>
      </c>
      <c r="XCV118" s="100" t="str">
        <f t="shared" si="531"/>
        <v/>
      </c>
      <c r="XCW118" s="100" t="str">
        <f t="shared" ref="XCW118:XFD118" si="532">IFERROR(AVERAGE(XCW6,XCW16,XCW25,XCW34,XCW42,XCW54,XCW62,XCW70,XCW78,XCW86,XCW94,XCW102,XCW110),"")</f>
        <v/>
      </c>
      <c r="XCX118" s="100" t="str">
        <f t="shared" si="532"/>
        <v/>
      </c>
      <c r="XCY118" s="100" t="str">
        <f t="shared" si="532"/>
        <v/>
      </c>
      <c r="XCZ118" s="100" t="str">
        <f t="shared" si="532"/>
        <v/>
      </c>
      <c r="XDA118" s="100" t="str">
        <f t="shared" si="532"/>
        <v/>
      </c>
      <c r="XDB118" s="100" t="str">
        <f t="shared" si="532"/>
        <v/>
      </c>
      <c r="XDC118" s="100" t="str">
        <f t="shared" si="532"/>
        <v/>
      </c>
      <c r="XDD118" s="100" t="str">
        <f t="shared" si="532"/>
        <v/>
      </c>
      <c r="XDE118" s="100" t="str">
        <f t="shared" si="532"/>
        <v/>
      </c>
      <c r="XDF118" s="100" t="str">
        <f t="shared" si="532"/>
        <v/>
      </c>
      <c r="XDG118" s="100" t="str">
        <f t="shared" si="532"/>
        <v/>
      </c>
      <c r="XDH118" s="100" t="str">
        <f t="shared" si="532"/>
        <v/>
      </c>
      <c r="XDI118" s="100" t="str">
        <f t="shared" si="532"/>
        <v/>
      </c>
      <c r="XDJ118" s="100" t="str">
        <f t="shared" si="532"/>
        <v/>
      </c>
      <c r="XDK118" s="100" t="str">
        <f t="shared" si="532"/>
        <v/>
      </c>
      <c r="XDL118" s="100" t="str">
        <f t="shared" si="532"/>
        <v/>
      </c>
      <c r="XDM118" s="100" t="str">
        <f t="shared" si="532"/>
        <v/>
      </c>
      <c r="XDN118" s="100" t="str">
        <f t="shared" si="532"/>
        <v/>
      </c>
      <c r="XDO118" s="100" t="str">
        <f t="shared" si="532"/>
        <v/>
      </c>
      <c r="XDP118" s="100" t="str">
        <f t="shared" si="532"/>
        <v/>
      </c>
      <c r="XDQ118" s="100" t="str">
        <f t="shared" si="532"/>
        <v/>
      </c>
      <c r="XDR118" s="100" t="str">
        <f t="shared" si="532"/>
        <v/>
      </c>
      <c r="XDS118" s="100" t="str">
        <f t="shared" si="532"/>
        <v/>
      </c>
      <c r="XDT118" s="100" t="str">
        <f t="shared" si="532"/>
        <v/>
      </c>
      <c r="XDU118" s="100" t="str">
        <f t="shared" si="532"/>
        <v/>
      </c>
      <c r="XDV118" s="100" t="str">
        <f t="shared" si="532"/>
        <v/>
      </c>
      <c r="XDW118" s="100" t="str">
        <f t="shared" si="532"/>
        <v/>
      </c>
      <c r="XDX118" s="100" t="str">
        <f t="shared" si="532"/>
        <v/>
      </c>
      <c r="XDY118" s="100" t="str">
        <f t="shared" si="532"/>
        <v/>
      </c>
      <c r="XDZ118" s="100" t="str">
        <f t="shared" si="532"/>
        <v/>
      </c>
      <c r="XEA118" s="100" t="str">
        <f t="shared" si="532"/>
        <v/>
      </c>
      <c r="XEB118" s="100" t="str">
        <f t="shared" si="532"/>
        <v/>
      </c>
      <c r="XEC118" s="100" t="str">
        <f t="shared" si="532"/>
        <v/>
      </c>
      <c r="XED118" s="100" t="str">
        <f t="shared" si="532"/>
        <v/>
      </c>
      <c r="XEE118" s="100" t="str">
        <f t="shared" si="532"/>
        <v/>
      </c>
      <c r="XEF118" s="100" t="str">
        <f t="shared" si="532"/>
        <v/>
      </c>
      <c r="XEG118" s="100" t="str">
        <f t="shared" si="532"/>
        <v/>
      </c>
      <c r="XEH118" s="100" t="str">
        <f t="shared" si="532"/>
        <v/>
      </c>
      <c r="XEI118" s="100" t="str">
        <f t="shared" si="532"/>
        <v/>
      </c>
      <c r="XEJ118" s="100" t="str">
        <f t="shared" si="532"/>
        <v/>
      </c>
      <c r="XEK118" s="100" t="str">
        <f t="shared" si="532"/>
        <v/>
      </c>
      <c r="XEL118" s="100" t="str">
        <f t="shared" si="532"/>
        <v/>
      </c>
      <c r="XEM118" s="100" t="str">
        <f t="shared" si="532"/>
        <v/>
      </c>
      <c r="XEN118" s="100" t="str">
        <f t="shared" si="532"/>
        <v/>
      </c>
      <c r="XEO118" s="100" t="str">
        <f t="shared" si="532"/>
        <v/>
      </c>
      <c r="XEP118" s="100" t="str">
        <f t="shared" si="532"/>
        <v/>
      </c>
      <c r="XEQ118" s="100" t="str">
        <f t="shared" si="532"/>
        <v/>
      </c>
      <c r="XER118" s="100" t="str">
        <f t="shared" si="532"/>
        <v/>
      </c>
      <c r="XES118" s="100" t="str">
        <f t="shared" si="532"/>
        <v/>
      </c>
      <c r="XET118" s="100" t="str">
        <f t="shared" si="532"/>
        <v/>
      </c>
      <c r="XEU118" s="100" t="str">
        <f t="shared" si="532"/>
        <v/>
      </c>
      <c r="XEV118" s="100" t="str">
        <f t="shared" si="532"/>
        <v/>
      </c>
      <c r="XEW118" s="100" t="str">
        <f t="shared" si="532"/>
        <v/>
      </c>
      <c r="XEX118" s="100" t="str">
        <f t="shared" si="532"/>
        <v/>
      </c>
      <c r="XEY118" s="100" t="str">
        <f t="shared" si="532"/>
        <v/>
      </c>
      <c r="XEZ118" s="100" t="str">
        <f t="shared" si="532"/>
        <v/>
      </c>
      <c r="XFA118" s="100" t="str">
        <f t="shared" si="532"/>
        <v/>
      </c>
      <c r="XFB118" s="100" t="str">
        <f t="shared" si="532"/>
        <v/>
      </c>
      <c r="XFC118" s="100" t="str">
        <f t="shared" si="532"/>
        <v/>
      </c>
      <c r="XFD118" s="100" t="str">
        <f t="shared" si="532"/>
        <v/>
      </c>
    </row>
    <row r="119" spans="1:16384" hidden="1">
      <c r="B119" s="31"/>
      <c r="C119" s="31"/>
      <c r="D119" s="32"/>
    </row>
    <row r="120" spans="1:16384" hidden="1">
      <c r="B120" s="31"/>
      <c r="C120" s="31"/>
      <c r="D120" s="32"/>
    </row>
    <row r="121" spans="1:16384" hidden="1">
      <c r="B121" s="31"/>
      <c r="C121" s="31"/>
      <c r="D121" s="32"/>
    </row>
    <row r="122" spans="1:16384" hidden="1">
      <c r="B122" s="31"/>
      <c r="C122" s="31"/>
      <c r="D122" s="32"/>
    </row>
    <row r="123" spans="1:16384" hidden="1">
      <c r="B123" s="31"/>
      <c r="C123" s="31"/>
      <c r="D123" s="32"/>
    </row>
    <row r="124" spans="1:16384" hidden="1">
      <c r="B124" s="31"/>
      <c r="C124" s="31"/>
      <c r="D124" s="32"/>
    </row>
    <row r="125" spans="1:16384" hidden="1">
      <c r="B125" s="31"/>
      <c r="C125" s="31"/>
      <c r="D125" s="32"/>
    </row>
    <row r="126" spans="1:16384" hidden="1">
      <c r="B126" s="31"/>
      <c r="C126" s="31"/>
      <c r="D126" s="32"/>
    </row>
    <row r="127" spans="1:16384" hidden="1">
      <c r="B127" s="31"/>
      <c r="C127" s="31"/>
      <c r="D127" s="32"/>
    </row>
    <row r="128" spans="1:16384" hidden="1">
      <c r="B128" s="31"/>
      <c r="C128" s="31"/>
      <c r="D128" s="32"/>
    </row>
    <row r="129" spans="2:4" hidden="1">
      <c r="B129" s="31"/>
      <c r="C129" s="31"/>
      <c r="D129" s="32"/>
    </row>
    <row r="130" spans="2:4" hidden="1">
      <c r="B130" s="31"/>
      <c r="C130" s="31"/>
      <c r="D130" s="32"/>
    </row>
    <row r="131" spans="2:4" hidden="1">
      <c r="B131" s="31"/>
      <c r="C131" s="31"/>
      <c r="D131" s="32"/>
    </row>
    <row r="132" spans="2:4" hidden="1">
      <c r="B132" s="31"/>
      <c r="C132" s="31"/>
      <c r="D132" s="32"/>
    </row>
    <row r="133" spans="2:4" hidden="1">
      <c r="B133" s="31"/>
      <c r="C133" s="31"/>
      <c r="D133" s="32"/>
    </row>
    <row r="134" spans="2:4" hidden="1">
      <c r="B134" s="31"/>
      <c r="C134" s="31"/>
      <c r="D134" s="32"/>
    </row>
    <row r="135" spans="2:4" hidden="1">
      <c r="B135" s="31"/>
      <c r="C135" s="31"/>
      <c r="D135" s="32"/>
    </row>
    <row r="136" spans="2:4" hidden="1">
      <c r="B136" s="31"/>
      <c r="C136" s="31"/>
      <c r="D136" s="32"/>
    </row>
    <row r="137" spans="2:4" hidden="1">
      <c r="B137" s="31"/>
      <c r="C137" s="31"/>
      <c r="D137" s="32"/>
    </row>
    <row r="138" spans="2:4" hidden="1">
      <c r="B138" s="31"/>
      <c r="C138" s="31"/>
      <c r="D138" s="32"/>
    </row>
    <row r="139" spans="2:4" hidden="1">
      <c r="B139" s="31"/>
      <c r="C139" s="31"/>
      <c r="D139" s="32"/>
    </row>
    <row r="140" spans="2:4" hidden="1">
      <c r="B140" s="31"/>
      <c r="C140" s="31"/>
      <c r="D140" s="32"/>
    </row>
    <row r="141" spans="2:4" hidden="1">
      <c r="B141" s="31"/>
      <c r="C141" s="31"/>
      <c r="D141" s="32"/>
    </row>
    <row r="142" spans="2:4" hidden="1">
      <c r="B142" s="31"/>
      <c r="C142" s="31"/>
      <c r="D142" s="32"/>
    </row>
    <row r="143" spans="2:4" hidden="1">
      <c r="B143" s="31"/>
      <c r="C143" s="31"/>
      <c r="D143" s="32"/>
    </row>
    <row r="144" spans="2:4" hidden="1">
      <c r="B144" s="31"/>
      <c r="C144" s="31"/>
      <c r="D144" s="32"/>
    </row>
    <row r="145" spans="2:4" hidden="1">
      <c r="B145" s="31"/>
      <c r="C145" s="31"/>
      <c r="D145" s="32"/>
    </row>
    <row r="146" spans="2:4" hidden="1">
      <c r="B146" s="31"/>
      <c r="C146" s="31"/>
      <c r="D146" s="32"/>
    </row>
    <row r="147" spans="2:4" hidden="1">
      <c r="B147" s="31"/>
      <c r="C147" s="31"/>
      <c r="D147" s="32"/>
    </row>
    <row r="148" spans="2:4" hidden="1">
      <c r="B148" s="31"/>
      <c r="C148" s="31"/>
      <c r="D148" s="32"/>
    </row>
    <row r="149" spans="2:4" hidden="1">
      <c r="B149" s="31"/>
      <c r="C149" s="31"/>
      <c r="D149" s="32"/>
    </row>
    <row r="150" spans="2:4" hidden="1">
      <c r="B150" s="31"/>
      <c r="C150" s="31"/>
      <c r="D150" s="32"/>
    </row>
    <row r="151" spans="2:4" hidden="1">
      <c r="B151" s="31"/>
      <c r="C151" s="31"/>
      <c r="D151" s="32"/>
    </row>
    <row r="152" spans="2:4" hidden="1">
      <c r="B152" s="31"/>
      <c r="C152" s="31"/>
      <c r="D152" s="32"/>
    </row>
    <row r="153" spans="2:4" hidden="1">
      <c r="B153" s="31"/>
      <c r="C153" s="31"/>
      <c r="D153" s="32"/>
    </row>
    <row r="154" spans="2:4" hidden="1">
      <c r="B154" s="31"/>
      <c r="C154" s="31"/>
      <c r="D154" s="32"/>
    </row>
    <row r="155" spans="2:4" hidden="1">
      <c r="B155" s="31"/>
      <c r="C155" s="31"/>
      <c r="D155" s="32"/>
    </row>
    <row r="156" spans="2:4" hidden="1">
      <c r="B156" s="31"/>
      <c r="C156" s="31"/>
      <c r="D156" s="32"/>
    </row>
    <row r="157" spans="2:4" hidden="1">
      <c r="B157" s="31"/>
      <c r="C157" s="31"/>
      <c r="D157" s="32"/>
    </row>
    <row r="158" spans="2:4" hidden="1">
      <c r="B158" s="31"/>
      <c r="C158" s="31"/>
      <c r="D158" s="32"/>
    </row>
    <row r="159" spans="2:4" hidden="1">
      <c r="B159" s="31"/>
      <c r="C159" s="31"/>
      <c r="D159" s="32"/>
    </row>
    <row r="160" spans="2:4" hidden="1">
      <c r="B160" s="31"/>
      <c r="C160" s="31"/>
      <c r="D160" s="32"/>
    </row>
    <row r="161" spans="2:4" hidden="1">
      <c r="B161" s="31"/>
      <c r="C161" s="31"/>
      <c r="D161" s="32"/>
    </row>
    <row r="162" spans="2:4" hidden="1">
      <c r="B162" s="31"/>
      <c r="C162" s="31"/>
      <c r="D162" s="32"/>
    </row>
    <row r="163" spans="2:4" hidden="1">
      <c r="B163" s="31"/>
      <c r="C163" s="31"/>
      <c r="D163" s="32"/>
    </row>
    <row r="164" spans="2:4" hidden="1">
      <c r="B164" s="31"/>
      <c r="C164" s="31"/>
      <c r="D164" s="32"/>
    </row>
    <row r="165" spans="2:4" hidden="1">
      <c r="B165" s="31"/>
      <c r="C165" s="31"/>
      <c r="D165" s="32"/>
    </row>
    <row r="166" spans="2:4" hidden="1">
      <c r="B166" s="31"/>
      <c r="C166" s="31"/>
      <c r="D166" s="32"/>
    </row>
    <row r="167" spans="2:4" hidden="1">
      <c r="B167" s="31"/>
      <c r="C167" s="31"/>
      <c r="D167" s="32"/>
    </row>
    <row r="168" spans="2:4" hidden="1">
      <c r="B168" s="31"/>
      <c r="C168" s="31"/>
      <c r="D168" s="32"/>
    </row>
    <row r="169" spans="2:4" hidden="1">
      <c r="B169" s="31"/>
      <c r="C169" s="31"/>
      <c r="D169" s="32"/>
    </row>
    <row r="170" spans="2:4" hidden="1">
      <c r="B170" s="31"/>
      <c r="C170" s="31"/>
      <c r="D170" s="32"/>
    </row>
    <row r="171" spans="2:4" hidden="1">
      <c r="B171" s="31"/>
      <c r="C171" s="31"/>
      <c r="D171" s="32"/>
    </row>
    <row r="172" spans="2:4" hidden="1">
      <c r="B172" s="31"/>
      <c r="C172" s="31"/>
      <c r="D172" s="32"/>
    </row>
    <row r="173" spans="2:4" hidden="1">
      <c r="B173" s="31"/>
      <c r="C173" s="31"/>
      <c r="D173" s="32"/>
    </row>
    <row r="174" spans="2:4" hidden="1">
      <c r="B174" s="31"/>
      <c r="C174" s="31"/>
      <c r="D174" s="32"/>
    </row>
    <row r="175" spans="2:4" hidden="1">
      <c r="B175" s="31"/>
      <c r="C175" s="31"/>
      <c r="D175" s="32"/>
    </row>
    <row r="176" spans="2:4" hidden="1">
      <c r="B176" s="31"/>
      <c r="C176" s="31"/>
      <c r="D176" s="32"/>
    </row>
    <row r="177" spans="2:4" hidden="1">
      <c r="B177" s="31"/>
      <c r="C177" s="31"/>
      <c r="D177" s="32"/>
    </row>
    <row r="178" spans="2:4" hidden="1">
      <c r="B178" s="31"/>
      <c r="C178" s="31"/>
      <c r="D178" s="32"/>
    </row>
  </sheetData>
  <mergeCells count="35">
    <mergeCell ref="A1:AH2"/>
    <mergeCell ref="B3:D3"/>
    <mergeCell ref="B4:B5"/>
    <mergeCell ref="C4:C5"/>
    <mergeCell ref="D4:D5"/>
    <mergeCell ref="E4:AH4"/>
    <mergeCell ref="B6:B13"/>
    <mergeCell ref="C6:D6"/>
    <mergeCell ref="B14:B21"/>
    <mergeCell ref="C14:D14"/>
    <mergeCell ref="B22:B29"/>
    <mergeCell ref="C22:D22"/>
    <mergeCell ref="B30:B37"/>
    <mergeCell ref="C30:D30"/>
    <mergeCell ref="B54:B61"/>
    <mergeCell ref="C54:D54"/>
    <mergeCell ref="B38:B45"/>
    <mergeCell ref="C38:D38"/>
    <mergeCell ref="B46:B53"/>
    <mergeCell ref="C46:D46"/>
    <mergeCell ref="B62:B69"/>
    <mergeCell ref="C62:D62"/>
    <mergeCell ref="B70:B77"/>
    <mergeCell ref="C70:D70"/>
    <mergeCell ref="B78:B85"/>
    <mergeCell ref="C78:D78"/>
    <mergeCell ref="B110:B117"/>
    <mergeCell ref="C110:D110"/>
    <mergeCell ref="B118:D118"/>
    <mergeCell ref="B86:B93"/>
    <mergeCell ref="C86:D86"/>
    <mergeCell ref="B94:B101"/>
    <mergeCell ref="C94:D94"/>
    <mergeCell ref="B102:B109"/>
    <mergeCell ref="C102:D102"/>
  </mergeCells>
  <pageMargins left="0.41" right="0.33" top="0.36" bottom="0.3" header="0.17" footer="0.31496062992125984"/>
  <pageSetup paperSize="14" scale="75" orientation="landscape" horizontalDpi="4294967293"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4"/>
  <dimension ref="A1:XFD170"/>
  <sheetViews>
    <sheetView showGridLines="0" zoomScaleNormal="100" workbookViewId="0">
      <pane ySplit="5" topLeftCell="A6" activePane="bottomLeft" state="frozen"/>
      <selection activeCell="K33" sqref="K33"/>
      <selection pane="bottomLeft" activeCell="M79" sqref="M79"/>
    </sheetView>
  </sheetViews>
  <sheetFormatPr defaultColWidth="0" defaultRowHeight="15" customHeight="1" zeroHeight="1"/>
  <cols>
    <col min="1" max="1" width="1" style="29" customWidth="1"/>
    <col min="2" max="2" width="3.7109375" style="33" customWidth="1"/>
    <col min="3" max="3" width="46.140625" style="33" customWidth="1"/>
    <col min="4" max="4" width="10.28515625" style="29" customWidth="1"/>
    <col min="5" max="34" width="5.7109375" style="29" customWidth="1"/>
    <col min="35" max="49" width="5.7109375" hidden="1" customWidth="1"/>
    <col min="50" max="16384" width="9.140625" hidden="1"/>
  </cols>
  <sheetData>
    <row r="1" spans="1:16384" ht="15" customHeight="1">
      <c r="A1" s="803" t="s">
        <v>144</v>
      </c>
      <c r="B1" s="803"/>
      <c r="C1" s="803"/>
      <c r="D1" s="803"/>
      <c r="E1" s="803"/>
      <c r="F1" s="803"/>
      <c r="G1" s="803"/>
      <c r="H1" s="803"/>
      <c r="I1" s="803"/>
      <c r="J1" s="803"/>
      <c r="K1" s="803"/>
      <c r="L1" s="803"/>
      <c r="M1" s="803"/>
      <c r="N1" s="803"/>
      <c r="O1" s="803"/>
      <c r="P1" s="803"/>
      <c r="Q1" s="803"/>
      <c r="R1" s="803"/>
      <c r="S1" s="803"/>
      <c r="T1" s="803"/>
      <c r="U1" s="803"/>
      <c r="V1" s="803"/>
      <c r="W1" s="803"/>
      <c r="X1" s="803"/>
      <c r="Y1" s="803"/>
      <c r="Z1" s="803"/>
      <c r="AA1" s="803"/>
      <c r="AB1" s="803"/>
      <c r="AC1" s="803"/>
      <c r="AD1" s="803"/>
      <c r="AE1" s="803"/>
      <c r="AF1" s="803"/>
      <c r="AG1" s="803"/>
      <c r="AH1" s="803"/>
    </row>
    <row r="2" spans="1:16384" ht="15" customHeight="1">
      <c r="A2" s="803"/>
      <c r="B2" s="803"/>
      <c r="C2" s="803"/>
      <c r="D2" s="803"/>
      <c r="E2" s="803"/>
      <c r="F2" s="803"/>
      <c r="G2" s="803"/>
      <c r="H2" s="803"/>
      <c r="I2" s="803"/>
      <c r="J2" s="803"/>
      <c r="K2" s="803"/>
      <c r="L2" s="803"/>
      <c r="M2" s="803"/>
      <c r="N2" s="803"/>
      <c r="O2" s="803"/>
      <c r="P2" s="803"/>
      <c r="Q2" s="803"/>
      <c r="R2" s="803"/>
      <c r="S2" s="803"/>
      <c r="T2" s="803"/>
      <c r="U2" s="803"/>
      <c r="V2" s="803"/>
      <c r="W2" s="803"/>
      <c r="X2" s="803"/>
      <c r="Y2" s="803"/>
      <c r="Z2" s="803"/>
      <c r="AA2" s="803"/>
      <c r="AB2" s="803"/>
      <c r="AC2" s="803"/>
      <c r="AD2" s="803"/>
      <c r="AE2" s="803"/>
      <c r="AF2" s="803"/>
      <c r="AG2" s="803"/>
      <c r="AH2" s="803"/>
    </row>
    <row r="3" spans="1:16384" ht="15" customHeight="1">
      <c r="B3" s="804"/>
      <c r="C3" s="804"/>
      <c r="D3" s="80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row>
    <row r="4" spans="1:16384" ht="15" customHeight="1">
      <c r="B4" s="805" t="s">
        <v>5</v>
      </c>
      <c r="C4" s="805" t="s">
        <v>125</v>
      </c>
      <c r="D4" s="806" t="s">
        <v>126</v>
      </c>
      <c r="E4" s="807" t="s">
        <v>57</v>
      </c>
      <c r="F4" s="807"/>
      <c r="G4" s="807"/>
      <c r="H4" s="807"/>
      <c r="I4" s="807"/>
      <c r="J4" s="807"/>
      <c r="K4" s="807"/>
      <c r="L4" s="807"/>
      <c r="M4" s="807"/>
      <c r="N4" s="807"/>
      <c r="O4" s="807"/>
      <c r="P4" s="807"/>
      <c r="Q4" s="807"/>
      <c r="R4" s="807"/>
      <c r="S4" s="807"/>
      <c r="T4" s="807"/>
      <c r="U4" s="807"/>
      <c r="V4" s="807"/>
      <c r="W4" s="807"/>
      <c r="X4" s="807"/>
      <c r="Y4" s="807"/>
      <c r="Z4" s="807"/>
      <c r="AA4" s="807"/>
      <c r="AB4" s="807"/>
      <c r="AC4" s="807"/>
      <c r="AD4" s="807"/>
      <c r="AE4" s="807"/>
      <c r="AF4" s="807"/>
      <c r="AG4" s="807"/>
      <c r="AH4" s="807"/>
    </row>
    <row r="5" spans="1:16384" ht="12.75" customHeight="1">
      <c r="B5" s="805"/>
      <c r="C5" s="805"/>
      <c r="D5" s="806"/>
      <c r="E5" s="35" t="str">
        <f>DATASISWA!$F$8</f>
        <v>Dita</v>
      </c>
      <c r="F5" s="35" t="str">
        <f>DATASISWA!$F$9</f>
        <v>Annisa</v>
      </c>
      <c r="G5" s="35" t="str">
        <f>DATASISWA!$F$10</f>
        <v>Kiki</v>
      </c>
      <c r="H5" s="35" t="str">
        <f>DATASISWA!$F$11</f>
        <v>Lily</v>
      </c>
      <c r="I5" s="35" t="str">
        <f>DATASISWA!$F$12</f>
        <v>Rere</v>
      </c>
      <c r="J5" s="35" t="str">
        <f>DATASISWA!$F$13</f>
        <v>Fadhil</v>
      </c>
      <c r="K5" s="35" t="str">
        <f>DATASISWA!$F$14</f>
        <v>Yuefa</v>
      </c>
      <c r="L5" s="35" t="str">
        <f>DATASISWA!$F$15</f>
        <v>Ria</v>
      </c>
      <c r="M5" s="35" t="str">
        <f>DATASISWA!$F$16</f>
        <v>Tiara</v>
      </c>
      <c r="N5" s="35" t="str">
        <f>DATASISWA!$F$17</f>
        <v>Alvind</v>
      </c>
      <c r="O5" s="35" t="str">
        <f>DATASISWA!$F$18</f>
        <v>Icha</v>
      </c>
      <c r="P5" s="35" t="str">
        <f>DATASISWA!$F$19</f>
        <v>Qonita</v>
      </c>
      <c r="Q5" s="35" t="str">
        <f>DATASISWA!$F$20</f>
        <v>Anya</v>
      </c>
      <c r="R5" s="35" t="str">
        <f>DATASISWA!$F$21</f>
        <v>Radit</v>
      </c>
      <c r="S5" s="35" t="str">
        <f>DATASISWA!$F$22</f>
        <v>angel</v>
      </c>
      <c r="T5" s="35">
        <f>DATASISWA!$F$23</f>
        <v>0</v>
      </c>
      <c r="U5" s="35">
        <f>DATASISWA!$F$24</f>
        <v>0</v>
      </c>
      <c r="V5" s="35">
        <f>DATASISWA!$F$25</f>
        <v>0</v>
      </c>
      <c r="W5" s="35">
        <f>DATASISWA!$F$26</f>
        <v>0</v>
      </c>
      <c r="X5" s="35">
        <f>DATASISWA!$F$27</f>
        <v>0</v>
      </c>
      <c r="Y5" s="35">
        <f>DATASISWA!$F$28</f>
        <v>0</v>
      </c>
      <c r="Z5" s="35">
        <f>DATASISWA!$F$29</f>
        <v>0</v>
      </c>
      <c r="AA5" s="35">
        <f>DATASISWA!$F$30</f>
        <v>0</v>
      </c>
      <c r="AB5" s="35">
        <f>DATASISWA!$F$31</f>
        <v>0</v>
      </c>
      <c r="AC5" s="35">
        <f>DATASISWA!$F$32</f>
        <v>0</v>
      </c>
      <c r="AD5" s="35">
        <f>DATASISWA!$F$33</f>
        <v>0</v>
      </c>
      <c r="AE5" s="35">
        <f>DATASISWA!$F$34</f>
        <v>0</v>
      </c>
      <c r="AF5" s="35">
        <f>DATASISWA!$F$35</f>
        <v>0</v>
      </c>
      <c r="AG5" s="35">
        <f>DATASISWA!$F$36</f>
        <v>0</v>
      </c>
      <c r="AH5" s="35">
        <f>DATASISWA!$F$37</f>
        <v>0</v>
      </c>
    </row>
    <row r="6" spans="1:16384" ht="27" customHeight="1">
      <c r="A6" s="30"/>
      <c r="B6" s="800">
        <v>1</v>
      </c>
      <c r="C6" s="795" t="s">
        <v>1589</v>
      </c>
      <c r="D6" s="796"/>
      <c r="E6" s="97">
        <f>IFERROR(AVERAGE(E7:E13),"")</f>
        <v>90</v>
      </c>
      <c r="F6" s="97">
        <f t="shared" ref="F6:AA6" si="0">IFERROR(AVERAGE(F7:F13),"")</f>
        <v>75</v>
      </c>
      <c r="G6" s="97">
        <f t="shared" si="0"/>
        <v>75</v>
      </c>
      <c r="H6" s="97">
        <f t="shared" si="0"/>
        <v>90</v>
      </c>
      <c r="I6" s="97">
        <f t="shared" si="0"/>
        <v>79</v>
      </c>
      <c r="J6" s="97">
        <f t="shared" si="0"/>
        <v>90</v>
      </c>
      <c r="K6" s="97">
        <f t="shared" si="0"/>
        <v>100</v>
      </c>
      <c r="L6" s="97">
        <f t="shared" si="0"/>
        <v>87.5</v>
      </c>
      <c r="M6" s="97">
        <f t="shared" si="0"/>
        <v>87.5</v>
      </c>
      <c r="N6" s="97">
        <f t="shared" si="0"/>
        <v>95</v>
      </c>
      <c r="O6" s="97">
        <f t="shared" si="0"/>
        <v>90</v>
      </c>
      <c r="P6" s="97">
        <f t="shared" si="0"/>
        <v>90</v>
      </c>
      <c r="Q6" s="97">
        <f t="shared" si="0"/>
        <v>89</v>
      </c>
      <c r="R6" s="97">
        <f t="shared" si="0"/>
        <v>100</v>
      </c>
      <c r="S6" s="97">
        <f t="shared" si="0"/>
        <v>75</v>
      </c>
      <c r="T6" s="97">
        <f t="shared" si="0"/>
        <v>75</v>
      </c>
      <c r="U6" s="97">
        <f t="shared" si="0"/>
        <v>97.5</v>
      </c>
      <c r="V6" s="97">
        <f t="shared" si="0"/>
        <v>90</v>
      </c>
      <c r="W6" s="97">
        <f t="shared" si="0"/>
        <v>82.5</v>
      </c>
      <c r="X6" s="97">
        <f t="shared" si="0"/>
        <v>90</v>
      </c>
      <c r="Y6" s="97">
        <f t="shared" si="0"/>
        <v>90</v>
      </c>
      <c r="Z6" s="97">
        <f t="shared" si="0"/>
        <v>75</v>
      </c>
      <c r="AA6" s="97">
        <f t="shared" si="0"/>
        <v>92.5</v>
      </c>
      <c r="AB6" s="97">
        <f t="shared" ref="AB6:AH6" si="1">IFERROR(AVERAGE(AB7:AB13),"")</f>
        <v>92.5</v>
      </c>
      <c r="AC6" s="97" t="str">
        <f t="shared" si="1"/>
        <v/>
      </c>
      <c r="AD6" s="97" t="str">
        <f t="shared" si="1"/>
        <v/>
      </c>
      <c r="AE6" s="97" t="str">
        <f t="shared" si="1"/>
        <v/>
      </c>
      <c r="AF6" s="97" t="str">
        <f t="shared" si="1"/>
        <v/>
      </c>
      <c r="AG6" s="97" t="str">
        <f t="shared" si="1"/>
        <v/>
      </c>
      <c r="AH6" s="97" t="str">
        <f t="shared" si="1"/>
        <v/>
      </c>
      <c r="AI6" s="97" t="str">
        <f t="shared" ref="AI6:BQ6" si="2">IFERROR(AVERAGE(AI7:AI13),"")</f>
        <v/>
      </c>
      <c r="AJ6" s="97" t="str">
        <f t="shared" si="2"/>
        <v/>
      </c>
      <c r="AK6" s="97" t="str">
        <f t="shared" si="2"/>
        <v/>
      </c>
      <c r="AL6" s="97" t="str">
        <f t="shared" si="2"/>
        <v/>
      </c>
      <c r="AM6" s="97" t="str">
        <f t="shared" si="2"/>
        <v/>
      </c>
      <c r="AN6" s="97" t="str">
        <f t="shared" si="2"/>
        <v/>
      </c>
      <c r="AO6" s="97" t="str">
        <f t="shared" si="2"/>
        <v/>
      </c>
      <c r="AP6" s="97" t="str">
        <f t="shared" si="2"/>
        <v/>
      </c>
      <c r="AQ6" s="97" t="str">
        <f t="shared" si="2"/>
        <v/>
      </c>
      <c r="AR6" s="97" t="str">
        <f t="shared" si="2"/>
        <v/>
      </c>
      <c r="AS6" s="97" t="str">
        <f t="shared" si="2"/>
        <v/>
      </c>
      <c r="AT6" s="97" t="str">
        <f t="shared" si="2"/>
        <v/>
      </c>
      <c r="AU6" s="97" t="str">
        <f t="shared" si="2"/>
        <v/>
      </c>
      <c r="AV6" s="97" t="str">
        <f t="shared" si="2"/>
        <v/>
      </c>
      <c r="AW6" s="97" t="str">
        <f t="shared" si="2"/>
        <v/>
      </c>
      <c r="AX6" s="97" t="str">
        <f t="shared" si="2"/>
        <v/>
      </c>
      <c r="AY6" s="97" t="str">
        <f t="shared" si="2"/>
        <v/>
      </c>
      <c r="AZ6" s="97" t="str">
        <f t="shared" si="2"/>
        <v/>
      </c>
      <c r="BA6" s="97" t="str">
        <f t="shared" si="2"/>
        <v/>
      </c>
      <c r="BB6" s="97" t="str">
        <f t="shared" si="2"/>
        <v/>
      </c>
      <c r="BC6" s="97" t="str">
        <f t="shared" si="2"/>
        <v/>
      </c>
      <c r="BD6" s="97" t="str">
        <f t="shared" si="2"/>
        <v/>
      </c>
      <c r="BE6" s="97" t="str">
        <f t="shared" si="2"/>
        <v/>
      </c>
      <c r="BF6" s="97" t="str">
        <f t="shared" si="2"/>
        <v/>
      </c>
      <c r="BG6" s="97" t="str">
        <f t="shared" si="2"/>
        <v/>
      </c>
      <c r="BH6" s="97" t="str">
        <f t="shared" si="2"/>
        <v/>
      </c>
      <c r="BI6" s="97" t="str">
        <f t="shared" si="2"/>
        <v/>
      </c>
      <c r="BJ6" s="97" t="str">
        <f t="shared" si="2"/>
        <v/>
      </c>
      <c r="BK6" s="97" t="str">
        <f t="shared" si="2"/>
        <v/>
      </c>
      <c r="BL6" s="97" t="str">
        <f t="shared" si="2"/>
        <v/>
      </c>
      <c r="BM6" s="97" t="str">
        <f t="shared" si="2"/>
        <v/>
      </c>
      <c r="BN6" s="97" t="str">
        <f t="shared" si="2"/>
        <v/>
      </c>
      <c r="BO6" s="97" t="str">
        <f t="shared" si="2"/>
        <v/>
      </c>
      <c r="BP6" s="97" t="str">
        <f t="shared" si="2"/>
        <v/>
      </c>
      <c r="BQ6" s="97" t="str">
        <f t="shared" si="2"/>
        <v/>
      </c>
      <c r="BR6" s="97" t="str">
        <f t="shared" ref="BR6:EC6" si="3">IFERROR(AVERAGE(BR7:BR13),"")</f>
        <v/>
      </c>
      <c r="BS6" s="97" t="str">
        <f t="shared" si="3"/>
        <v/>
      </c>
      <c r="BT6" s="97" t="str">
        <f t="shared" si="3"/>
        <v/>
      </c>
      <c r="BU6" s="97" t="str">
        <f t="shared" si="3"/>
        <v/>
      </c>
      <c r="BV6" s="97" t="str">
        <f t="shared" si="3"/>
        <v/>
      </c>
      <c r="BW6" s="97" t="str">
        <f t="shared" si="3"/>
        <v/>
      </c>
      <c r="BX6" s="97" t="str">
        <f t="shared" si="3"/>
        <v/>
      </c>
      <c r="BY6" s="97" t="str">
        <f t="shared" si="3"/>
        <v/>
      </c>
      <c r="BZ6" s="97" t="str">
        <f t="shared" si="3"/>
        <v/>
      </c>
      <c r="CA6" s="97" t="str">
        <f t="shared" si="3"/>
        <v/>
      </c>
      <c r="CB6" s="97" t="str">
        <f t="shared" si="3"/>
        <v/>
      </c>
      <c r="CC6" s="97" t="str">
        <f t="shared" si="3"/>
        <v/>
      </c>
      <c r="CD6" s="97" t="str">
        <f t="shared" si="3"/>
        <v/>
      </c>
      <c r="CE6" s="97" t="str">
        <f t="shared" si="3"/>
        <v/>
      </c>
      <c r="CF6" s="97" t="str">
        <f t="shared" si="3"/>
        <v/>
      </c>
      <c r="CG6" s="97" t="str">
        <f t="shared" si="3"/>
        <v/>
      </c>
      <c r="CH6" s="97" t="str">
        <f t="shared" si="3"/>
        <v/>
      </c>
      <c r="CI6" s="97" t="str">
        <f t="shared" si="3"/>
        <v/>
      </c>
      <c r="CJ6" s="97" t="str">
        <f t="shared" si="3"/>
        <v/>
      </c>
      <c r="CK6" s="97" t="str">
        <f t="shared" si="3"/>
        <v/>
      </c>
      <c r="CL6" s="97" t="str">
        <f t="shared" si="3"/>
        <v/>
      </c>
      <c r="CM6" s="97" t="str">
        <f t="shared" si="3"/>
        <v/>
      </c>
      <c r="CN6" s="97" t="str">
        <f t="shared" si="3"/>
        <v/>
      </c>
      <c r="CO6" s="97" t="str">
        <f t="shared" si="3"/>
        <v/>
      </c>
      <c r="CP6" s="97" t="str">
        <f t="shared" si="3"/>
        <v/>
      </c>
      <c r="CQ6" s="97" t="str">
        <f t="shared" si="3"/>
        <v/>
      </c>
      <c r="CR6" s="97" t="str">
        <f t="shared" si="3"/>
        <v/>
      </c>
      <c r="CS6" s="97" t="str">
        <f t="shared" si="3"/>
        <v/>
      </c>
      <c r="CT6" s="97" t="str">
        <f t="shared" si="3"/>
        <v/>
      </c>
      <c r="CU6" s="97" t="str">
        <f t="shared" si="3"/>
        <v/>
      </c>
      <c r="CV6" s="97" t="str">
        <f t="shared" si="3"/>
        <v/>
      </c>
      <c r="CW6" s="97" t="str">
        <f t="shared" si="3"/>
        <v/>
      </c>
      <c r="CX6" s="97" t="str">
        <f t="shared" si="3"/>
        <v/>
      </c>
      <c r="CY6" s="97" t="str">
        <f t="shared" si="3"/>
        <v/>
      </c>
      <c r="CZ6" s="97" t="str">
        <f t="shared" si="3"/>
        <v/>
      </c>
      <c r="DA6" s="97" t="str">
        <f t="shared" si="3"/>
        <v/>
      </c>
      <c r="DB6" s="97" t="str">
        <f t="shared" si="3"/>
        <v/>
      </c>
      <c r="DC6" s="97" t="str">
        <f t="shared" si="3"/>
        <v/>
      </c>
      <c r="DD6" s="97" t="str">
        <f t="shared" si="3"/>
        <v/>
      </c>
      <c r="DE6" s="97" t="str">
        <f t="shared" si="3"/>
        <v/>
      </c>
      <c r="DF6" s="97" t="str">
        <f t="shared" si="3"/>
        <v/>
      </c>
      <c r="DG6" s="97" t="str">
        <f t="shared" si="3"/>
        <v/>
      </c>
      <c r="DH6" s="97" t="str">
        <f t="shared" si="3"/>
        <v/>
      </c>
      <c r="DI6" s="97" t="str">
        <f t="shared" si="3"/>
        <v/>
      </c>
      <c r="DJ6" s="97" t="str">
        <f t="shared" si="3"/>
        <v/>
      </c>
      <c r="DK6" s="97" t="str">
        <f t="shared" si="3"/>
        <v/>
      </c>
      <c r="DL6" s="97" t="str">
        <f t="shared" si="3"/>
        <v/>
      </c>
      <c r="DM6" s="97" t="str">
        <f t="shared" si="3"/>
        <v/>
      </c>
      <c r="DN6" s="97" t="str">
        <f t="shared" si="3"/>
        <v/>
      </c>
      <c r="DO6" s="97" t="str">
        <f t="shared" si="3"/>
        <v/>
      </c>
      <c r="DP6" s="97" t="str">
        <f t="shared" si="3"/>
        <v/>
      </c>
      <c r="DQ6" s="97" t="str">
        <f t="shared" si="3"/>
        <v/>
      </c>
      <c r="DR6" s="97" t="str">
        <f t="shared" si="3"/>
        <v/>
      </c>
      <c r="DS6" s="97" t="str">
        <f t="shared" si="3"/>
        <v/>
      </c>
      <c r="DT6" s="97" t="str">
        <f t="shared" si="3"/>
        <v/>
      </c>
      <c r="DU6" s="97" t="str">
        <f t="shared" si="3"/>
        <v/>
      </c>
      <c r="DV6" s="97" t="str">
        <f t="shared" si="3"/>
        <v/>
      </c>
      <c r="DW6" s="97" t="str">
        <f t="shared" si="3"/>
        <v/>
      </c>
      <c r="DX6" s="97" t="str">
        <f t="shared" si="3"/>
        <v/>
      </c>
      <c r="DY6" s="97" t="str">
        <f t="shared" si="3"/>
        <v/>
      </c>
      <c r="DZ6" s="97" t="str">
        <f t="shared" si="3"/>
        <v/>
      </c>
      <c r="EA6" s="97" t="str">
        <f t="shared" si="3"/>
        <v/>
      </c>
      <c r="EB6" s="97" t="str">
        <f t="shared" si="3"/>
        <v/>
      </c>
      <c r="EC6" s="97" t="str">
        <f t="shared" si="3"/>
        <v/>
      </c>
      <c r="ED6" s="97" t="str">
        <f t="shared" ref="ED6:GO6" si="4">IFERROR(AVERAGE(ED7:ED13),"")</f>
        <v/>
      </c>
      <c r="EE6" s="97" t="str">
        <f t="shared" si="4"/>
        <v/>
      </c>
      <c r="EF6" s="97" t="str">
        <f t="shared" si="4"/>
        <v/>
      </c>
      <c r="EG6" s="97" t="str">
        <f t="shared" si="4"/>
        <v/>
      </c>
      <c r="EH6" s="97" t="str">
        <f t="shared" si="4"/>
        <v/>
      </c>
      <c r="EI6" s="97" t="str">
        <f t="shared" si="4"/>
        <v/>
      </c>
      <c r="EJ6" s="97" t="str">
        <f t="shared" si="4"/>
        <v/>
      </c>
      <c r="EK6" s="97" t="str">
        <f t="shared" si="4"/>
        <v/>
      </c>
      <c r="EL6" s="97" t="str">
        <f t="shared" si="4"/>
        <v/>
      </c>
      <c r="EM6" s="97" t="str">
        <f t="shared" si="4"/>
        <v/>
      </c>
      <c r="EN6" s="97" t="str">
        <f t="shared" si="4"/>
        <v/>
      </c>
      <c r="EO6" s="97" t="str">
        <f t="shared" si="4"/>
        <v/>
      </c>
      <c r="EP6" s="97" t="str">
        <f t="shared" si="4"/>
        <v/>
      </c>
      <c r="EQ6" s="97" t="str">
        <f t="shared" si="4"/>
        <v/>
      </c>
      <c r="ER6" s="97" t="str">
        <f t="shared" si="4"/>
        <v/>
      </c>
      <c r="ES6" s="97" t="str">
        <f t="shared" si="4"/>
        <v/>
      </c>
      <c r="ET6" s="97" t="str">
        <f t="shared" si="4"/>
        <v/>
      </c>
      <c r="EU6" s="97" t="str">
        <f t="shared" si="4"/>
        <v/>
      </c>
      <c r="EV6" s="97" t="str">
        <f t="shared" si="4"/>
        <v/>
      </c>
      <c r="EW6" s="97" t="str">
        <f t="shared" si="4"/>
        <v/>
      </c>
      <c r="EX6" s="97" t="str">
        <f t="shared" si="4"/>
        <v/>
      </c>
      <c r="EY6" s="97" t="str">
        <f t="shared" si="4"/>
        <v/>
      </c>
      <c r="EZ6" s="97" t="str">
        <f t="shared" si="4"/>
        <v/>
      </c>
      <c r="FA6" s="97" t="str">
        <f t="shared" si="4"/>
        <v/>
      </c>
      <c r="FB6" s="97" t="str">
        <f t="shared" si="4"/>
        <v/>
      </c>
      <c r="FC6" s="97" t="str">
        <f t="shared" si="4"/>
        <v/>
      </c>
      <c r="FD6" s="97" t="str">
        <f t="shared" si="4"/>
        <v/>
      </c>
      <c r="FE6" s="97" t="str">
        <f t="shared" si="4"/>
        <v/>
      </c>
      <c r="FF6" s="97" t="str">
        <f t="shared" si="4"/>
        <v/>
      </c>
      <c r="FG6" s="97" t="str">
        <f t="shared" si="4"/>
        <v/>
      </c>
      <c r="FH6" s="97" t="str">
        <f t="shared" si="4"/>
        <v/>
      </c>
      <c r="FI6" s="97" t="str">
        <f t="shared" si="4"/>
        <v/>
      </c>
      <c r="FJ6" s="97" t="str">
        <f t="shared" si="4"/>
        <v/>
      </c>
      <c r="FK6" s="97" t="str">
        <f t="shared" si="4"/>
        <v/>
      </c>
      <c r="FL6" s="97" t="str">
        <f t="shared" si="4"/>
        <v/>
      </c>
      <c r="FM6" s="97" t="str">
        <f t="shared" si="4"/>
        <v/>
      </c>
      <c r="FN6" s="97" t="str">
        <f t="shared" si="4"/>
        <v/>
      </c>
      <c r="FO6" s="97" t="str">
        <f t="shared" si="4"/>
        <v/>
      </c>
      <c r="FP6" s="97" t="str">
        <f t="shared" si="4"/>
        <v/>
      </c>
      <c r="FQ6" s="97" t="str">
        <f t="shared" si="4"/>
        <v/>
      </c>
      <c r="FR6" s="97" t="str">
        <f t="shared" si="4"/>
        <v/>
      </c>
      <c r="FS6" s="97" t="str">
        <f t="shared" si="4"/>
        <v/>
      </c>
      <c r="FT6" s="97" t="str">
        <f t="shared" si="4"/>
        <v/>
      </c>
      <c r="FU6" s="97" t="str">
        <f t="shared" si="4"/>
        <v/>
      </c>
      <c r="FV6" s="97" t="str">
        <f t="shared" si="4"/>
        <v/>
      </c>
      <c r="FW6" s="97" t="str">
        <f t="shared" si="4"/>
        <v/>
      </c>
      <c r="FX6" s="97" t="str">
        <f t="shared" si="4"/>
        <v/>
      </c>
      <c r="FY6" s="97" t="str">
        <f t="shared" si="4"/>
        <v/>
      </c>
      <c r="FZ6" s="97" t="str">
        <f t="shared" si="4"/>
        <v/>
      </c>
      <c r="GA6" s="97" t="str">
        <f t="shared" si="4"/>
        <v/>
      </c>
      <c r="GB6" s="97" t="str">
        <f t="shared" si="4"/>
        <v/>
      </c>
      <c r="GC6" s="97" t="str">
        <f t="shared" si="4"/>
        <v/>
      </c>
      <c r="GD6" s="97" t="str">
        <f t="shared" si="4"/>
        <v/>
      </c>
      <c r="GE6" s="97" t="str">
        <f t="shared" si="4"/>
        <v/>
      </c>
      <c r="GF6" s="97" t="str">
        <f t="shared" si="4"/>
        <v/>
      </c>
      <c r="GG6" s="97" t="str">
        <f t="shared" si="4"/>
        <v/>
      </c>
      <c r="GH6" s="97" t="str">
        <f t="shared" si="4"/>
        <v/>
      </c>
      <c r="GI6" s="97" t="str">
        <f t="shared" si="4"/>
        <v/>
      </c>
      <c r="GJ6" s="97" t="str">
        <f t="shared" si="4"/>
        <v/>
      </c>
      <c r="GK6" s="97" t="str">
        <f t="shared" si="4"/>
        <v/>
      </c>
      <c r="GL6" s="97" t="str">
        <f t="shared" si="4"/>
        <v/>
      </c>
      <c r="GM6" s="97" t="str">
        <f t="shared" si="4"/>
        <v/>
      </c>
      <c r="GN6" s="97" t="str">
        <f t="shared" si="4"/>
        <v/>
      </c>
      <c r="GO6" s="97" t="str">
        <f t="shared" si="4"/>
        <v/>
      </c>
      <c r="GP6" s="97" t="str">
        <f t="shared" ref="GP6:JA6" si="5">IFERROR(AVERAGE(GP7:GP13),"")</f>
        <v/>
      </c>
      <c r="GQ6" s="97" t="str">
        <f t="shared" si="5"/>
        <v/>
      </c>
      <c r="GR6" s="97" t="str">
        <f t="shared" si="5"/>
        <v/>
      </c>
      <c r="GS6" s="97" t="str">
        <f t="shared" si="5"/>
        <v/>
      </c>
      <c r="GT6" s="97" t="str">
        <f t="shared" si="5"/>
        <v/>
      </c>
      <c r="GU6" s="97" t="str">
        <f t="shared" si="5"/>
        <v/>
      </c>
      <c r="GV6" s="97" t="str">
        <f t="shared" si="5"/>
        <v/>
      </c>
      <c r="GW6" s="97" t="str">
        <f t="shared" si="5"/>
        <v/>
      </c>
      <c r="GX6" s="97" t="str">
        <f t="shared" si="5"/>
        <v/>
      </c>
      <c r="GY6" s="97" t="str">
        <f t="shared" si="5"/>
        <v/>
      </c>
      <c r="GZ6" s="97" t="str">
        <f t="shared" si="5"/>
        <v/>
      </c>
      <c r="HA6" s="97" t="str">
        <f t="shared" si="5"/>
        <v/>
      </c>
      <c r="HB6" s="97" t="str">
        <f t="shared" si="5"/>
        <v/>
      </c>
      <c r="HC6" s="97" t="str">
        <f t="shared" si="5"/>
        <v/>
      </c>
      <c r="HD6" s="97" t="str">
        <f t="shared" si="5"/>
        <v/>
      </c>
      <c r="HE6" s="97" t="str">
        <f t="shared" si="5"/>
        <v/>
      </c>
      <c r="HF6" s="97" t="str">
        <f t="shared" si="5"/>
        <v/>
      </c>
      <c r="HG6" s="97" t="str">
        <f t="shared" si="5"/>
        <v/>
      </c>
      <c r="HH6" s="97" t="str">
        <f t="shared" si="5"/>
        <v/>
      </c>
      <c r="HI6" s="97" t="str">
        <f t="shared" si="5"/>
        <v/>
      </c>
      <c r="HJ6" s="97" t="str">
        <f t="shared" si="5"/>
        <v/>
      </c>
      <c r="HK6" s="97" t="str">
        <f t="shared" si="5"/>
        <v/>
      </c>
      <c r="HL6" s="97" t="str">
        <f t="shared" si="5"/>
        <v/>
      </c>
      <c r="HM6" s="97" t="str">
        <f t="shared" si="5"/>
        <v/>
      </c>
      <c r="HN6" s="97" t="str">
        <f t="shared" si="5"/>
        <v/>
      </c>
      <c r="HO6" s="97" t="str">
        <f t="shared" si="5"/>
        <v/>
      </c>
      <c r="HP6" s="97" t="str">
        <f t="shared" si="5"/>
        <v/>
      </c>
      <c r="HQ6" s="97" t="str">
        <f t="shared" si="5"/>
        <v/>
      </c>
      <c r="HR6" s="97" t="str">
        <f t="shared" si="5"/>
        <v/>
      </c>
      <c r="HS6" s="97" t="str">
        <f t="shared" si="5"/>
        <v/>
      </c>
      <c r="HT6" s="97" t="str">
        <f t="shared" si="5"/>
        <v/>
      </c>
      <c r="HU6" s="97" t="str">
        <f t="shared" si="5"/>
        <v/>
      </c>
      <c r="HV6" s="97" t="str">
        <f t="shared" si="5"/>
        <v/>
      </c>
      <c r="HW6" s="97" t="str">
        <f t="shared" si="5"/>
        <v/>
      </c>
      <c r="HX6" s="97" t="str">
        <f t="shared" si="5"/>
        <v/>
      </c>
      <c r="HY6" s="97" t="str">
        <f t="shared" si="5"/>
        <v/>
      </c>
      <c r="HZ6" s="97" t="str">
        <f t="shared" si="5"/>
        <v/>
      </c>
      <c r="IA6" s="97" t="str">
        <f t="shared" si="5"/>
        <v/>
      </c>
      <c r="IB6" s="97" t="str">
        <f t="shared" si="5"/>
        <v/>
      </c>
      <c r="IC6" s="97" t="str">
        <f t="shared" si="5"/>
        <v/>
      </c>
      <c r="ID6" s="97" t="str">
        <f t="shared" si="5"/>
        <v/>
      </c>
      <c r="IE6" s="97" t="str">
        <f t="shared" si="5"/>
        <v/>
      </c>
      <c r="IF6" s="97" t="str">
        <f t="shared" si="5"/>
        <v/>
      </c>
      <c r="IG6" s="97" t="str">
        <f t="shared" si="5"/>
        <v/>
      </c>
      <c r="IH6" s="97" t="str">
        <f t="shared" si="5"/>
        <v/>
      </c>
      <c r="II6" s="97" t="str">
        <f t="shared" si="5"/>
        <v/>
      </c>
      <c r="IJ6" s="97" t="str">
        <f t="shared" si="5"/>
        <v/>
      </c>
      <c r="IK6" s="97" t="str">
        <f t="shared" si="5"/>
        <v/>
      </c>
      <c r="IL6" s="97" t="str">
        <f t="shared" si="5"/>
        <v/>
      </c>
      <c r="IM6" s="97" t="str">
        <f t="shared" si="5"/>
        <v/>
      </c>
      <c r="IN6" s="97" t="str">
        <f t="shared" si="5"/>
        <v/>
      </c>
      <c r="IO6" s="97" t="str">
        <f t="shared" si="5"/>
        <v/>
      </c>
      <c r="IP6" s="97" t="str">
        <f t="shared" si="5"/>
        <v/>
      </c>
      <c r="IQ6" s="97" t="str">
        <f t="shared" si="5"/>
        <v/>
      </c>
      <c r="IR6" s="97" t="str">
        <f t="shared" si="5"/>
        <v/>
      </c>
      <c r="IS6" s="97" t="str">
        <f t="shared" si="5"/>
        <v/>
      </c>
      <c r="IT6" s="97" t="str">
        <f t="shared" si="5"/>
        <v/>
      </c>
      <c r="IU6" s="97" t="str">
        <f t="shared" si="5"/>
        <v/>
      </c>
      <c r="IV6" s="97" t="str">
        <f t="shared" si="5"/>
        <v/>
      </c>
      <c r="IW6" s="97" t="str">
        <f t="shared" si="5"/>
        <v/>
      </c>
      <c r="IX6" s="97" t="str">
        <f t="shared" si="5"/>
        <v/>
      </c>
      <c r="IY6" s="97" t="str">
        <f t="shared" si="5"/>
        <v/>
      </c>
      <c r="IZ6" s="97" t="str">
        <f t="shared" si="5"/>
        <v/>
      </c>
      <c r="JA6" s="97" t="str">
        <f t="shared" si="5"/>
        <v/>
      </c>
      <c r="JB6" s="97" t="str">
        <f t="shared" ref="JB6:LM6" si="6">IFERROR(AVERAGE(JB7:JB13),"")</f>
        <v/>
      </c>
      <c r="JC6" s="97" t="str">
        <f t="shared" si="6"/>
        <v/>
      </c>
      <c r="JD6" s="97" t="str">
        <f t="shared" si="6"/>
        <v/>
      </c>
      <c r="JE6" s="97" t="str">
        <f t="shared" si="6"/>
        <v/>
      </c>
      <c r="JF6" s="97" t="str">
        <f t="shared" si="6"/>
        <v/>
      </c>
      <c r="JG6" s="97" t="str">
        <f t="shared" si="6"/>
        <v/>
      </c>
      <c r="JH6" s="97" t="str">
        <f t="shared" si="6"/>
        <v/>
      </c>
      <c r="JI6" s="97" t="str">
        <f t="shared" si="6"/>
        <v/>
      </c>
      <c r="JJ6" s="97" t="str">
        <f t="shared" si="6"/>
        <v/>
      </c>
      <c r="JK6" s="97" t="str">
        <f t="shared" si="6"/>
        <v/>
      </c>
      <c r="JL6" s="97" t="str">
        <f t="shared" si="6"/>
        <v/>
      </c>
      <c r="JM6" s="97" t="str">
        <f t="shared" si="6"/>
        <v/>
      </c>
      <c r="JN6" s="97" t="str">
        <f t="shared" si="6"/>
        <v/>
      </c>
      <c r="JO6" s="97" t="str">
        <f t="shared" si="6"/>
        <v/>
      </c>
      <c r="JP6" s="97" t="str">
        <f t="shared" si="6"/>
        <v/>
      </c>
      <c r="JQ6" s="97" t="str">
        <f t="shared" si="6"/>
        <v/>
      </c>
      <c r="JR6" s="97" t="str">
        <f t="shared" si="6"/>
        <v/>
      </c>
      <c r="JS6" s="97" t="str">
        <f t="shared" si="6"/>
        <v/>
      </c>
      <c r="JT6" s="97" t="str">
        <f t="shared" si="6"/>
        <v/>
      </c>
      <c r="JU6" s="97" t="str">
        <f t="shared" si="6"/>
        <v/>
      </c>
      <c r="JV6" s="97" t="str">
        <f t="shared" si="6"/>
        <v/>
      </c>
      <c r="JW6" s="97" t="str">
        <f t="shared" si="6"/>
        <v/>
      </c>
      <c r="JX6" s="97" t="str">
        <f t="shared" si="6"/>
        <v/>
      </c>
      <c r="JY6" s="97" t="str">
        <f t="shared" si="6"/>
        <v/>
      </c>
      <c r="JZ6" s="97" t="str">
        <f t="shared" si="6"/>
        <v/>
      </c>
      <c r="KA6" s="97" t="str">
        <f t="shared" si="6"/>
        <v/>
      </c>
      <c r="KB6" s="97" t="str">
        <f t="shared" si="6"/>
        <v/>
      </c>
      <c r="KC6" s="97" t="str">
        <f t="shared" si="6"/>
        <v/>
      </c>
      <c r="KD6" s="97" t="str">
        <f t="shared" si="6"/>
        <v/>
      </c>
      <c r="KE6" s="97" t="str">
        <f t="shared" si="6"/>
        <v/>
      </c>
      <c r="KF6" s="97" t="str">
        <f t="shared" si="6"/>
        <v/>
      </c>
      <c r="KG6" s="97" t="str">
        <f t="shared" si="6"/>
        <v/>
      </c>
      <c r="KH6" s="97" t="str">
        <f t="shared" si="6"/>
        <v/>
      </c>
      <c r="KI6" s="97" t="str">
        <f t="shared" si="6"/>
        <v/>
      </c>
      <c r="KJ6" s="97" t="str">
        <f t="shared" si="6"/>
        <v/>
      </c>
      <c r="KK6" s="97" t="str">
        <f t="shared" si="6"/>
        <v/>
      </c>
      <c r="KL6" s="97" t="str">
        <f t="shared" si="6"/>
        <v/>
      </c>
      <c r="KM6" s="97" t="str">
        <f t="shared" si="6"/>
        <v/>
      </c>
      <c r="KN6" s="97" t="str">
        <f t="shared" si="6"/>
        <v/>
      </c>
      <c r="KO6" s="97" t="str">
        <f t="shared" si="6"/>
        <v/>
      </c>
      <c r="KP6" s="97" t="str">
        <f t="shared" si="6"/>
        <v/>
      </c>
      <c r="KQ6" s="97" t="str">
        <f t="shared" si="6"/>
        <v/>
      </c>
      <c r="KR6" s="97" t="str">
        <f t="shared" si="6"/>
        <v/>
      </c>
      <c r="KS6" s="97" t="str">
        <f t="shared" si="6"/>
        <v/>
      </c>
      <c r="KT6" s="97" t="str">
        <f t="shared" si="6"/>
        <v/>
      </c>
      <c r="KU6" s="97" t="str">
        <f t="shared" si="6"/>
        <v/>
      </c>
      <c r="KV6" s="97" t="str">
        <f t="shared" si="6"/>
        <v/>
      </c>
      <c r="KW6" s="97" t="str">
        <f t="shared" si="6"/>
        <v/>
      </c>
      <c r="KX6" s="97" t="str">
        <f t="shared" si="6"/>
        <v/>
      </c>
      <c r="KY6" s="97" t="str">
        <f t="shared" si="6"/>
        <v/>
      </c>
      <c r="KZ6" s="97" t="str">
        <f t="shared" si="6"/>
        <v/>
      </c>
      <c r="LA6" s="97" t="str">
        <f t="shared" si="6"/>
        <v/>
      </c>
      <c r="LB6" s="97" t="str">
        <f t="shared" si="6"/>
        <v/>
      </c>
      <c r="LC6" s="97" t="str">
        <f t="shared" si="6"/>
        <v/>
      </c>
      <c r="LD6" s="97" t="str">
        <f t="shared" si="6"/>
        <v/>
      </c>
      <c r="LE6" s="97" t="str">
        <f t="shared" si="6"/>
        <v/>
      </c>
      <c r="LF6" s="97" t="str">
        <f t="shared" si="6"/>
        <v/>
      </c>
      <c r="LG6" s="97" t="str">
        <f t="shared" si="6"/>
        <v/>
      </c>
      <c r="LH6" s="97" t="str">
        <f t="shared" si="6"/>
        <v/>
      </c>
      <c r="LI6" s="97" t="str">
        <f t="shared" si="6"/>
        <v/>
      </c>
      <c r="LJ6" s="97" t="str">
        <f t="shared" si="6"/>
        <v/>
      </c>
      <c r="LK6" s="97" t="str">
        <f t="shared" si="6"/>
        <v/>
      </c>
      <c r="LL6" s="97" t="str">
        <f t="shared" si="6"/>
        <v/>
      </c>
      <c r="LM6" s="97" t="str">
        <f t="shared" si="6"/>
        <v/>
      </c>
      <c r="LN6" s="97" t="str">
        <f t="shared" ref="LN6:NY6" si="7">IFERROR(AVERAGE(LN7:LN13),"")</f>
        <v/>
      </c>
      <c r="LO6" s="97" t="str">
        <f t="shared" si="7"/>
        <v/>
      </c>
      <c r="LP6" s="97" t="str">
        <f t="shared" si="7"/>
        <v/>
      </c>
      <c r="LQ6" s="97" t="str">
        <f t="shared" si="7"/>
        <v/>
      </c>
      <c r="LR6" s="97" t="str">
        <f t="shared" si="7"/>
        <v/>
      </c>
      <c r="LS6" s="97" t="str">
        <f t="shared" si="7"/>
        <v/>
      </c>
      <c r="LT6" s="97" t="str">
        <f t="shared" si="7"/>
        <v/>
      </c>
      <c r="LU6" s="97" t="str">
        <f t="shared" si="7"/>
        <v/>
      </c>
      <c r="LV6" s="97" t="str">
        <f t="shared" si="7"/>
        <v/>
      </c>
      <c r="LW6" s="97" t="str">
        <f t="shared" si="7"/>
        <v/>
      </c>
      <c r="LX6" s="97" t="str">
        <f t="shared" si="7"/>
        <v/>
      </c>
      <c r="LY6" s="97" t="str">
        <f t="shared" si="7"/>
        <v/>
      </c>
      <c r="LZ6" s="97" t="str">
        <f t="shared" si="7"/>
        <v/>
      </c>
      <c r="MA6" s="97" t="str">
        <f t="shared" si="7"/>
        <v/>
      </c>
      <c r="MB6" s="97" t="str">
        <f t="shared" si="7"/>
        <v/>
      </c>
      <c r="MC6" s="97" t="str">
        <f t="shared" si="7"/>
        <v/>
      </c>
      <c r="MD6" s="97" t="str">
        <f t="shared" si="7"/>
        <v/>
      </c>
      <c r="ME6" s="97" t="str">
        <f t="shared" si="7"/>
        <v/>
      </c>
      <c r="MF6" s="97" t="str">
        <f t="shared" si="7"/>
        <v/>
      </c>
      <c r="MG6" s="97" t="str">
        <f t="shared" si="7"/>
        <v/>
      </c>
      <c r="MH6" s="97" t="str">
        <f t="shared" si="7"/>
        <v/>
      </c>
      <c r="MI6" s="97" t="str">
        <f t="shared" si="7"/>
        <v/>
      </c>
      <c r="MJ6" s="97" t="str">
        <f t="shared" si="7"/>
        <v/>
      </c>
      <c r="MK6" s="97" t="str">
        <f t="shared" si="7"/>
        <v/>
      </c>
      <c r="ML6" s="97" t="str">
        <f t="shared" si="7"/>
        <v/>
      </c>
      <c r="MM6" s="97" t="str">
        <f t="shared" si="7"/>
        <v/>
      </c>
      <c r="MN6" s="97" t="str">
        <f t="shared" si="7"/>
        <v/>
      </c>
      <c r="MO6" s="97" t="str">
        <f t="shared" si="7"/>
        <v/>
      </c>
      <c r="MP6" s="97" t="str">
        <f t="shared" si="7"/>
        <v/>
      </c>
      <c r="MQ6" s="97" t="str">
        <f t="shared" si="7"/>
        <v/>
      </c>
      <c r="MR6" s="97" t="str">
        <f t="shared" si="7"/>
        <v/>
      </c>
      <c r="MS6" s="97" t="str">
        <f t="shared" si="7"/>
        <v/>
      </c>
      <c r="MT6" s="97" t="str">
        <f t="shared" si="7"/>
        <v/>
      </c>
      <c r="MU6" s="97" t="str">
        <f t="shared" si="7"/>
        <v/>
      </c>
      <c r="MV6" s="97" t="str">
        <f t="shared" si="7"/>
        <v/>
      </c>
      <c r="MW6" s="97" t="str">
        <f t="shared" si="7"/>
        <v/>
      </c>
      <c r="MX6" s="97" t="str">
        <f t="shared" si="7"/>
        <v/>
      </c>
      <c r="MY6" s="97" t="str">
        <f t="shared" si="7"/>
        <v/>
      </c>
      <c r="MZ6" s="97" t="str">
        <f t="shared" si="7"/>
        <v/>
      </c>
      <c r="NA6" s="97" t="str">
        <f t="shared" si="7"/>
        <v/>
      </c>
      <c r="NB6" s="97" t="str">
        <f t="shared" si="7"/>
        <v/>
      </c>
      <c r="NC6" s="97" t="str">
        <f t="shared" si="7"/>
        <v/>
      </c>
      <c r="ND6" s="97" t="str">
        <f t="shared" si="7"/>
        <v/>
      </c>
      <c r="NE6" s="97" t="str">
        <f t="shared" si="7"/>
        <v/>
      </c>
      <c r="NF6" s="97" t="str">
        <f t="shared" si="7"/>
        <v/>
      </c>
      <c r="NG6" s="97" t="str">
        <f t="shared" si="7"/>
        <v/>
      </c>
      <c r="NH6" s="97" t="str">
        <f t="shared" si="7"/>
        <v/>
      </c>
      <c r="NI6" s="97" t="str">
        <f t="shared" si="7"/>
        <v/>
      </c>
      <c r="NJ6" s="97" t="str">
        <f t="shared" si="7"/>
        <v/>
      </c>
      <c r="NK6" s="97" t="str">
        <f t="shared" si="7"/>
        <v/>
      </c>
      <c r="NL6" s="97" t="str">
        <f t="shared" si="7"/>
        <v/>
      </c>
      <c r="NM6" s="97" t="str">
        <f t="shared" si="7"/>
        <v/>
      </c>
      <c r="NN6" s="97" t="str">
        <f t="shared" si="7"/>
        <v/>
      </c>
      <c r="NO6" s="97" t="str">
        <f t="shared" si="7"/>
        <v/>
      </c>
      <c r="NP6" s="97" t="str">
        <f t="shared" si="7"/>
        <v/>
      </c>
      <c r="NQ6" s="97" t="str">
        <f t="shared" si="7"/>
        <v/>
      </c>
      <c r="NR6" s="97" t="str">
        <f t="shared" si="7"/>
        <v/>
      </c>
      <c r="NS6" s="97" t="str">
        <f t="shared" si="7"/>
        <v/>
      </c>
      <c r="NT6" s="97" t="str">
        <f t="shared" si="7"/>
        <v/>
      </c>
      <c r="NU6" s="97" t="str">
        <f t="shared" si="7"/>
        <v/>
      </c>
      <c r="NV6" s="97" t="str">
        <f t="shared" si="7"/>
        <v/>
      </c>
      <c r="NW6" s="97" t="str">
        <f t="shared" si="7"/>
        <v/>
      </c>
      <c r="NX6" s="97" t="str">
        <f t="shared" si="7"/>
        <v/>
      </c>
      <c r="NY6" s="97" t="str">
        <f t="shared" si="7"/>
        <v/>
      </c>
      <c r="NZ6" s="97" t="str">
        <f t="shared" ref="NZ6:QK6" si="8">IFERROR(AVERAGE(NZ7:NZ13),"")</f>
        <v/>
      </c>
      <c r="OA6" s="97" t="str">
        <f t="shared" si="8"/>
        <v/>
      </c>
      <c r="OB6" s="97" t="str">
        <f t="shared" si="8"/>
        <v/>
      </c>
      <c r="OC6" s="97" t="str">
        <f t="shared" si="8"/>
        <v/>
      </c>
      <c r="OD6" s="97" t="str">
        <f t="shared" si="8"/>
        <v/>
      </c>
      <c r="OE6" s="97" t="str">
        <f t="shared" si="8"/>
        <v/>
      </c>
      <c r="OF6" s="97" t="str">
        <f t="shared" si="8"/>
        <v/>
      </c>
      <c r="OG6" s="97" t="str">
        <f t="shared" si="8"/>
        <v/>
      </c>
      <c r="OH6" s="97" t="str">
        <f t="shared" si="8"/>
        <v/>
      </c>
      <c r="OI6" s="97" t="str">
        <f t="shared" si="8"/>
        <v/>
      </c>
      <c r="OJ6" s="97" t="str">
        <f t="shared" si="8"/>
        <v/>
      </c>
      <c r="OK6" s="97" t="str">
        <f t="shared" si="8"/>
        <v/>
      </c>
      <c r="OL6" s="97" t="str">
        <f t="shared" si="8"/>
        <v/>
      </c>
      <c r="OM6" s="97" t="str">
        <f t="shared" si="8"/>
        <v/>
      </c>
      <c r="ON6" s="97" t="str">
        <f t="shared" si="8"/>
        <v/>
      </c>
      <c r="OO6" s="97" t="str">
        <f t="shared" si="8"/>
        <v/>
      </c>
      <c r="OP6" s="97" t="str">
        <f t="shared" si="8"/>
        <v/>
      </c>
      <c r="OQ6" s="97" t="str">
        <f t="shared" si="8"/>
        <v/>
      </c>
      <c r="OR6" s="97" t="str">
        <f t="shared" si="8"/>
        <v/>
      </c>
      <c r="OS6" s="97" t="str">
        <f t="shared" si="8"/>
        <v/>
      </c>
      <c r="OT6" s="97" t="str">
        <f t="shared" si="8"/>
        <v/>
      </c>
      <c r="OU6" s="97" t="str">
        <f t="shared" si="8"/>
        <v/>
      </c>
      <c r="OV6" s="97" t="str">
        <f t="shared" si="8"/>
        <v/>
      </c>
      <c r="OW6" s="97" t="str">
        <f t="shared" si="8"/>
        <v/>
      </c>
      <c r="OX6" s="97" t="str">
        <f t="shared" si="8"/>
        <v/>
      </c>
      <c r="OY6" s="97" t="str">
        <f t="shared" si="8"/>
        <v/>
      </c>
      <c r="OZ6" s="97" t="str">
        <f t="shared" si="8"/>
        <v/>
      </c>
      <c r="PA6" s="97" t="str">
        <f t="shared" si="8"/>
        <v/>
      </c>
      <c r="PB6" s="97" t="str">
        <f t="shared" si="8"/>
        <v/>
      </c>
      <c r="PC6" s="97" t="str">
        <f t="shared" si="8"/>
        <v/>
      </c>
      <c r="PD6" s="97" t="str">
        <f t="shared" si="8"/>
        <v/>
      </c>
      <c r="PE6" s="97" t="str">
        <f t="shared" si="8"/>
        <v/>
      </c>
      <c r="PF6" s="97" t="str">
        <f t="shared" si="8"/>
        <v/>
      </c>
      <c r="PG6" s="97" t="str">
        <f t="shared" si="8"/>
        <v/>
      </c>
      <c r="PH6" s="97" t="str">
        <f t="shared" si="8"/>
        <v/>
      </c>
      <c r="PI6" s="97" t="str">
        <f t="shared" si="8"/>
        <v/>
      </c>
      <c r="PJ6" s="97" t="str">
        <f t="shared" si="8"/>
        <v/>
      </c>
      <c r="PK6" s="97" t="str">
        <f t="shared" si="8"/>
        <v/>
      </c>
      <c r="PL6" s="97" t="str">
        <f t="shared" si="8"/>
        <v/>
      </c>
      <c r="PM6" s="97" t="str">
        <f t="shared" si="8"/>
        <v/>
      </c>
      <c r="PN6" s="97" t="str">
        <f t="shared" si="8"/>
        <v/>
      </c>
      <c r="PO6" s="97" t="str">
        <f t="shared" si="8"/>
        <v/>
      </c>
      <c r="PP6" s="97" t="str">
        <f t="shared" si="8"/>
        <v/>
      </c>
      <c r="PQ6" s="97" t="str">
        <f t="shared" si="8"/>
        <v/>
      </c>
      <c r="PR6" s="97" t="str">
        <f t="shared" si="8"/>
        <v/>
      </c>
      <c r="PS6" s="97" t="str">
        <f t="shared" si="8"/>
        <v/>
      </c>
      <c r="PT6" s="97" t="str">
        <f t="shared" si="8"/>
        <v/>
      </c>
      <c r="PU6" s="97" t="str">
        <f t="shared" si="8"/>
        <v/>
      </c>
      <c r="PV6" s="97" t="str">
        <f t="shared" si="8"/>
        <v/>
      </c>
      <c r="PW6" s="97" t="str">
        <f t="shared" si="8"/>
        <v/>
      </c>
      <c r="PX6" s="97" t="str">
        <f t="shared" si="8"/>
        <v/>
      </c>
      <c r="PY6" s="97" t="str">
        <f t="shared" si="8"/>
        <v/>
      </c>
      <c r="PZ6" s="97" t="str">
        <f t="shared" si="8"/>
        <v/>
      </c>
      <c r="QA6" s="97" t="str">
        <f t="shared" si="8"/>
        <v/>
      </c>
      <c r="QB6" s="97" t="str">
        <f t="shared" si="8"/>
        <v/>
      </c>
      <c r="QC6" s="97" t="str">
        <f t="shared" si="8"/>
        <v/>
      </c>
      <c r="QD6" s="97" t="str">
        <f t="shared" si="8"/>
        <v/>
      </c>
      <c r="QE6" s="97" t="str">
        <f t="shared" si="8"/>
        <v/>
      </c>
      <c r="QF6" s="97" t="str">
        <f t="shared" si="8"/>
        <v/>
      </c>
      <c r="QG6" s="97" t="str">
        <f t="shared" si="8"/>
        <v/>
      </c>
      <c r="QH6" s="97" t="str">
        <f t="shared" si="8"/>
        <v/>
      </c>
      <c r="QI6" s="97" t="str">
        <f t="shared" si="8"/>
        <v/>
      </c>
      <c r="QJ6" s="97" t="str">
        <f t="shared" si="8"/>
        <v/>
      </c>
      <c r="QK6" s="97" t="str">
        <f t="shared" si="8"/>
        <v/>
      </c>
      <c r="QL6" s="97" t="str">
        <f t="shared" ref="QL6:SW6" si="9">IFERROR(AVERAGE(QL7:QL13),"")</f>
        <v/>
      </c>
      <c r="QM6" s="97" t="str">
        <f t="shared" si="9"/>
        <v/>
      </c>
      <c r="QN6" s="97" t="str">
        <f t="shared" si="9"/>
        <v/>
      </c>
      <c r="QO6" s="97" t="str">
        <f t="shared" si="9"/>
        <v/>
      </c>
      <c r="QP6" s="97" t="str">
        <f t="shared" si="9"/>
        <v/>
      </c>
      <c r="QQ6" s="97" t="str">
        <f t="shared" si="9"/>
        <v/>
      </c>
      <c r="QR6" s="97" t="str">
        <f t="shared" si="9"/>
        <v/>
      </c>
      <c r="QS6" s="97" t="str">
        <f t="shared" si="9"/>
        <v/>
      </c>
      <c r="QT6" s="97" t="str">
        <f t="shared" si="9"/>
        <v/>
      </c>
      <c r="QU6" s="97" t="str">
        <f t="shared" si="9"/>
        <v/>
      </c>
      <c r="QV6" s="97" t="str">
        <f t="shared" si="9"/>
        <v/>
      </c>
      <c r="QW6" s="97" t="str">
        <f t="shared" si="9"/>
        <v/>
      </c>
      <c r="QX6" s="97" t="str">
        <f t="shared" si="9"/>
        <v/>
      </c>
      <c r="QY6" s="97" t="str">
        <f t="shared" si="9"/>
        <v/>
      </c>
      <c r="QZ6" s="97" t="str">
        <f t="shared" si="9"/>
        <v/>
      </c>
      <c r="RA6" s="97" t="str">
        <f t="shared" si="9"/>
        <v/>
      </c>
      <c r="RB6" s="97" t="str">
        <f t="shared" si="9"/>
        <v/>
      </c>
      <c r="RC6" s="97" t="str">
        <f t="shared" si="9"/>
        <v/>
      </c>
      <c r="RD6" s="97" t="str">
        <f t="shared" si="9"/>
        <v/>
      </c>
      <c r="RE6" s="97" t="str">
        <f t="shared" si="9"/>
        <v/>
      </c>
      <c r="RF6" s="97" t="str">
        <f t="shared" si="9"/>
        <v/>
      </c>
      <c r="RG6" s="97" t="str">
        <f t="shared" si="9"/>
        <v/>
      </c>
      <c r="RH6" s="97" t="str">
        <f t="shared" si="9"/>
        <v/>
      </c>
      <c r="RI6" s="97" t="str">
        <f t="shared" si="9"/>
        <v/>
      </c>
      <c r="RJ6" s="97" t="str">
        <f t="shared" si="9"/>
        <v/>
      </c>
      <c r="RK6" s="97" t="str">
        <f t="shared" si="9"/>
        <v/>
      </c>
      <c r="RL6" s="97" t="str">
        <f t="shared" si="9"/>
        <v/>
      </c>
      <c r="RM6" s="97" t="str">
        <f t="shared" si="9"/>
        <v/>
      </c>
      <c r="RN6" s="97" t="str">
        <f t="shared" si="9"/>
        <v/>
      </c>
      <c r="RO6" s="97" t="str">
        <f t="shared" si="9"/>
        <v/>
      </c>
      <c r="RP6" s="97" t="str">
        <f t="shared" si="9"/>
        <v/>
      </c>
      <c r="RQ6" s="97" t="str">
        <f t="shared" si="9"/>
        <v/>
      </c>
      <c r="RR6" s="97" t="str">
        <f t="shared" si="9"/>
        <v/>
      </c>
      <c r="RS6" s="97" t="str">
        <f t="shared" si="9"/>
        <v/>
      </c>
      <c r="RT6" s="97" t="str">
        <f t="shared" si="9"/>
        <v/>
      </c>
      <c r="RU6" s="97" t="str">
        <f t="shared" si="9"/>
        <v/>
      </c>
      <c r="RV6" s="97" t="str">
        <f t="shared" si="9"/>
        <v/>
      </c>
      <c r="RW6" s="97" t="str">
        <f t="shared" si="9"/>
        <v/>
      </c>
      <c r="RX6" s="97" t="str">
        <f t="shared" si="9"/>
        <v/>
      </c>
      <c r="RY6" s="97" t="str">
        <f t="shared" si="9"/>
        <v/>
      </c>
      <c r="RZ6" s="97" t="str">
        <f t="shared" si="9"/>
        <v/>
      </c>
      <c r="SA6" s="97" t="str">
        <f t="shared" si="9"/>
        <v/>
      </c>
      <c r="SB6" s="97" t="str">
        <f t="shared" si="9"/>
        <v/>
      </c>
      <c r="SC6" s="97" t="str">
        <f t="shared" si="9"/>
        <v/>
      </c>
      <c r="SD6" s="97" t="str">
        <f t="shared" si="9"/>
        <v/>
      </c>
      <c r="SE6" s="97" t="str">
        <f t="shared" si="9"/>
        <v/>
      </c>
      <c r="SF6" s="97" t="str">
        <f t="shared" si="9"/>
        <v/>
      </c>
      <c r="SG6" s="97" t="str">
        <f t="shared" si="9"/>
        <v/>
      </c>
      <c r="SH6" s="97" t="str">
        <f t="shared" si="9"/>
        <v/>
      </c>
      <c r="SI6" s="97" t="str">
        <f t="shared" si="9"/>
        <v/>
      </c>
      <c r="SJ6" s="97" t="str">
        <f t="shared" si="9"/>
        <v/>
      </c>
      <c r="SK6" s="97" t="str">
        <f t="shared" si="9"/>
        <v/>
      </c>
      <c r="SL6" s="97" t="str">
        <f t="shared" si="9"/>
        <v/>
      </c>
      <c r="SM6" s="97" t="str">
        <f t="shared" si="9"/>
        <v/>
      </c>
      <c r="SN6" s="97" t="str">
        <f t="shared" si="9"/>
        <v/>
      </c>
      <c r="SO6" s="97" t="str">
        <f t="shared" si="9"/>
        <v/>
      </c>
      <c r="SP6" s="97" t="str">
        <f t="shared" si="9"/>
        <v/>
      </c>
      <c r="SQ6" s="97" t="str">
        <f t="shared" si="9"/>
        <v/>
      </c>
      <c r="SR6" s="97" t="str">
        <f t="shared" si="9"/>
        <v/>
      </c>
      <c r="SS6" s="97" t="str">
        <f t="shared" si="9"/>
        <v/>
      </c>
      <c r="ST6" s="97" t="str">
        <f t="shared" si="9"/>
        <v/>
      </c>
      <c r="SU6" s="97" t="str">
        <f t="shared" si="9"/>
        <v/>
      </c>
      <c r="SV6" s="97" t="str">
        <f t="shared" si="9"/>
        <v/>
      </c>
      <c r="SW6" s="97" t="str">
        <f t="shared" si="9"/>
        <v/>
      </c>
      <c r="SX6" s="97" t="str">
        <f t="shared" ref="SX6:VI6" si="10">IFERROR(AVERAGE(SX7:SX13),"")</f>
        <v/>
      </c>
      <c r="SY6" s="97" t="str">
        <f t="shared" si="10"/>
        <v/>
      </c>
      <c r="SZ6" s="97" t="str">
        <f t="shared" si="10"/>
        <v/>
      </c>
      <c r="TA6" s="97" t="str">
        <f t="shared" si="10"/>
        <v/>
      </c>
      <c r="TB6" s="97" t="str">
        <f t="shared" si="10"/>
        <v/>
      </c>
      <c r="TC6" s="97" t="str">
        <f t="shared" si="10"/>
        <v/>
      </c>
      <c r="TD6" s="97" t="str">
        <f t="shared" si="10"/>
        <v/>
      </c>
      <c r="TE6" s="97" t="str">
        <f t="shared" si="10"/>
        <v/>
      </c>
      <c r="TF6" s="97" t="str">
        <f t="shared" si="10"/>
        <v/>
      </c>
      <c r="TG6" s="97" t="str">
        <f t="shared" si="10"/>
        <v/>
      </c>
      <c r="TH6" s="97" t="str">
        <f t="shared" si="10"/>
        <v/>
      </c>
      <c r="TI6" s="97" t="str">
        <f t="shared" si="10"/>
        <v/>
      </c>
      <c r="TJ6" s="97" t="str">
        <f t="shared" si="10"/>
        <v/>
      </c>
      <c r="TK6" s="97" t="str">
        <f t="shared" si="10"/>
        <v/>
      </c>
      <c r="TL6" s="97" t="str">
        <f t="shared" si="10"/>
        <v/>
      </c>
      <c r="TM6" s="97" t="str">
        <f t="shared" si="10"/>
        <v/>
      </c>
      <c r="TN6" s="97" t="str">
        <f t="shared" si="10"/>
        <v/>
      </c>
      <c r="TO6" s="97" t="str">
        <f t="shared" si="10"/>
        <v/>
      </c>
      <c r="TP6" s="97" t="str">
        <f t="shared" si="10"/>
        <v/>
      </c>
      <c r="TQ6" s="97" t="str">
        <f t="shared" si="10"/>
        <v/>
      </c>
      <c r="TR6" s="97" t="str">
        <f t="shared" si="10"/>
        <v/>
      </c>
      <c r="TS6" s="97" t="str">
        <f t="shared" si="10"/>
        <v/>
      </c>
      <c r="TT6" s="97" t="str">
        <f t="shared" si="10"/>
        <v/>
      </c>
      <c r="TU6" s="97" t="str">
        <f t="shared" si="10"/>
        <v/>
      </c>
      <c r="TV6" s="97" t="str">
        <f t="shared" si="10"/>
        <v/>
      </c>
      <c r="TW6" s="97" t="str">
        <f t="shared" si="10"/>
        <v/>
      </c>
      <c r="TX6" s="97" t="str">
        <f t="shared" si="10"/>
        <v/>
      </c>
      <c r="TY6" s="97" t="str">
        <f t="shared" si="10"/>
        <v/>
      </c>
      <c r="TZ6" s="97" t="str">
        <f t="shared" si="10"/>
        <v/>
      </c>
      <c r="UA6" s="97" t="str">
        <f t="shared" si="10"/>
        <v/>
      </c>
      <c r="UB6" s="97" t="str">
        <f t="shared" si="10"/>
        <v/>
      </c>
      <c r="UC6" s="97" t="str">
        <f t="shared" si="10"/>
        <v/>
      </c>
      <c r="UD6" s="97" t="str">
        <f t="shared" si="10"/>
        <v/>
      </c>
      <c r="UE6" s="97" t="str">
        <f t="shared" si="10"/>
        <v/>
      </c>
      <c r="UF6" s="97" t="str">
        <f t="shared" si="10"/>
        <v/>
      </c>
      <c r="UG6" s="97" t="str">
        <f t="shared" si="10"/>
        <v/>
      </c>
      <c r="UH6" s="97" t="str">
        <f t="shared" si="10"/>
        <v/>
      </c>
      <c r="UI6" s="97" t="str">
        <f t="shared" si="10"/>
        <v/>
      </c>
      <c r="UJ6" s="97" t="str">
        <f t="shared" si="10"/>
        <v/>
      </c>
      <c r="UK6" s="97" t="str">
        <f t="shared" si="10"/>
        <v/>
      </c>
      <c r="UL6" s="97" t="str">
        <f t="shared" si="10"/>
        <v/>
      </c>
      <c r="UM6" s="97" t="str">
        <f t="shared" si="10"/>
        <v/>
      </c>
      <c r="UN6" s="97" t="str">
        <f t="shared" si="10"/>
        <v/>
      </c>
      <c r="UO6" s="97" t="str">
        <f t="shared" si="10"/>
        <v/>
      </c>
      <c r="UP6" s="97" t="str">
        <f t="shared" si="10"/>
        <v/>
      </c>
      <c r="UQ6" s="97" t="str">
        <f t="shared" si="10"/>
        <v/>
      </c>
      <c r="UR6" s="97" t="str">
        <f t="shared" si="10"/>
        <v/>
      </c>
      <c r="US6" s="97" t="str">
        <f t="shared" si="10"/>
        <v/>
      </c>
      <c r="UT6" s="97" t="str">
        <f t="shared" si="10"/>
        <v/>
      </c>
      <c r="UU6" s="97" t="str">
        <f t="shared" si="10"/>
        <v/>
      </c>
      <c r="UV6" s="97" t="str">
        <f t="shared" si="10"/>
        <v/>
      </c>
      <c r="UW6" s="97" t="str">
        <f t="shared" si="10"/>
        <v/>
      </c>
      <c r="UX6" s="97" t="str">
        <f t="shared" si="10"/>
        <v/>
      </c>
      <c r="UY6" s="97" t="str">
        <f t="shared" si="10"/>
        <v/>
      </c>
      <c r="UZ6" s="97" t="str">
        <f t="shared" si="10"/>
        <v/>
      </c>
      <c r="VA6" s="97" t="str">
        <f t="shared" si="10"/>
        <v/>
      </c>
      <c r="VB6" s="97" t="str">
        <f t="shared" si="10"/>
        <v/>
      </c>
      <c r="VC6" s="97" t="str">
        <f t="shared" si="10"/>
        <v/>
      </c>
      <c r="VD6" s="97" t="str">
        <f t="shared" si="10"/>
        <v/>
      </c>
      <c r="VE6" s="97" t="str">
        <f t="shared" si="10"/>
        <v/>
      </c>
      <c r="VF6" s="97" t="str">
        <f t="shared" si="10"/>
        <v/>
      </c>
      <c r="VG6" s="97" t="str">
        <f t="shared" si="10"/>
        <v/>
      </c>
      <c r="VH6" s="97" t="str">
        <f t="shared" si="10"/>
        <v/>
      </c>
      <c r="VI6" s="97" t="str">
        <f t="shared" si="10"/>
        <v/>
      </c>
      <c r="VJ6" s="97" t="str">
        <f t="shared" ref="VJ6:XU6" si="11">IFERROR(AVERAGE(VJ7:VJ13),"")</f>
        <v/>
      </c>
      <c r="VK6" s="97" t="str">
        <f t="shared" si="11"/>
        <v/>
      </c>
      <c r="VL6" s="97" t="str">
        <f t="shared" si="11"/>
        <v/>
      </c>
      <c r="VM6" s="97" t="str">
        <f t="shared" si="11"/>
        <v/>
      </c>
      <c r="VN6" s="97" t="str">
        <f t="shared" si="11"/>
        <v/>
      </c>
      <c r="VO6" s="97" t="str">
        <f t="shared" si="11"/>
        <v/>
      </c>
      <c r="VP6" s="97" t="str">
        <f t="shared" si="11"/>
        <v/>
      </c>
      <c r="VQ6" s="97" t="str">
        <f t="shared" si="11"/>
        <v/>
      </c>
      <c r="VR6" s="97" t="str">
        <f t="shared" si="11"/>
        <v/>
      </c>
      <c r="VS6" s="97" t="str">
        <f t="shared" si="11"/>
        <v/>
      </c>
      <c r="VT6" s="97" t="str">
        <f t="shared" si="11"/>
        <v/>
      </c>
      <c r="VU6" s="97" t="str">
        <f t="shared" si="11"/>
        <v/>
      </c>
      <c r="VV6" s="97" t="str">
        <f t="shared" si="11"/>
        <v/>
      </c>
      <c r="VW6" s="97" t="str">
        <f t="shared" si="11"/>
        <v/>
      </c>
      <c r="VX6" s="97" t="str">
        <f t="shared" si="11"/>
        <v/>
      </c>
      <c r="VY6" s="97" t="str">
        <f t="shared" si="11"/>
        <v/>
      </c>
      <c r="VZ6" s="97" t="str">
        <f t="shared" si="11"/>
        <v/>
      </c>
      <c r="WA6" s="97" t="str">
        <f t="shared" si="11"/>
        <v/>
      </c>
      <c r="WB6" s="97" t="str">
        <f t="shared" si="11"/>
        <v/>
      </c>
      <c r="WC6" s="97" t="str">
        <f t="shared" si="11"/>
        <v/>
      </c>
      <c r="WD6" s="97" t="str">
        <f t="shared" si="11"/>
        <v/>
      </c>
      <c r="WE6" s="97" t="str">
        <f t="shared" si="11"/>
        <v/>
      </c>
      <c r="WF6" s="97" t="str">
        <f t="shared" si="11"/>
        <v/>
      </c>
      <c r="WG6" s="97" t="str">
        <f t="shared" si="11"/>
        <v/>
      </c>
      <c r="WH6" s="97" t="str">
        <f t="shared" si="11"/>
        <v/>
      </c>
      <c r="WI6" s="97" t="str">
        <f t="shared" si="11"/>
        <v/>
      </c>
      <c r="WJ6" s="97" t="str">
        <f t="shared" si="11"/>
        <v/>
      </c>
      <c r="WK6" s="97" t="str">
        <f t="shared" si="11"/>
        <v/>
      </c>
      <c r="WL6" s="97" t="str">
        <f t="shared" si="11"/>
        <v/>
      </c>
      <c r="WM6" s="97" t="str">
        <f t="shared" si="11"/>
        <v/>
      </c>
      <c r="WN6" s="97" t="str">
        <f t="shared" si="11"/>
        <v/>
      </c>
      <c r="WO6" s="97" t="str">
        <f t="shared" si="11"/>
        <v/>
      </c>
      <c r="WP6" s="97" t="str">
        <f t="shared" si="11"/>
        <v/>
      </c>
      <c r="WQ6" s="97" t="str">
        <f t="shared" si="11"/>
        <v/>
      </c>
      <c r="WR6" s="97" t="str">
        <f t="shared" si="11"/>
        <v/>
      </c>
      <c r="WS6" s="97" t="str">
        <f t="shared" si="11"/>
        <v/>
      </c>
      <c r="WT6" s="97" t="str">
        <f t="shared" si="11"/>
        <v/>
      </c>
      <c r="WU6" s="97" t="str">
        <f t="shared" si="11"/>
        <v/>
      </c>
      <c r="WV6" s="97" t="str">
        <f t="shared" si="11"/>
        <v/>
      </c>
      <c r="WW6" s="97" t="str">
        <f t="shared" si="11"/>
        <v/>
      </c>
      <c r="WX6" s="97" t="str">
        <f t="shared" si="11"/>
        <v/>
      </c>
      <c r="WY6" s="97" t="str">
        <f t="shared" si="11"/>
        <v/>
      </c>
      <c r="WZ6" s="97" t="str">
        <f t="shared" si="11"/>
        <v/>
      </c>
      <c r="XA6" s="97" t="str">
        <f t="shared" si="11"/>
        <v/>
      </c>
      <c r="XB6" s="97" t="str">
        <f t="shared" si="11"/>
        <v/>
      </c>
      <c r="XC6" s="97" t="str">
        <f t="shared" si="11"/>
        <v/>
      </c>
      <c r="XD6" s="97" t="str">
        <f t="shared" si="11"/>
        <v/>
      </c>
      <c r="XE6" s="97" t="str">
        <f t="shared" si="11"/>
        <v/>
      </c>
      <c r="XF6" s="97" t="str">
        <f t="shared" si="11"/>
        <v/>
      </c>
      <c r="XG6" s="97" t="str">
        <f t="shared" si="11"/>
        <v/>
      </c>
      <c r="XH6" s="97" t="str">
        <f t="shared" si="11"/>
        <v/>
      </c>
      <c r="XI6" s="97" t="str">
        <f t="shared" si="11"/>
        <v/>
      </c>
      <c r="XJ6" s="97" t="str">
        <f t="shared" si="11"/>
        <v/>
      </c>
      <c r="XK6" s="97" t="str">
        <f t="shared" si="11"/>
        <v/>
      </c>
      <c r="XL6" s="97" t="str">
        <f t="shared" si="11"/>
        <v/>
      </c>
      <c r="XM6" s="97" t="str">
        <f t="shared" si="11"/>
        <v/>
      </c>
      <c r="XN6" s="97" t="str">
        <f t="shared" si="11"/>
        <v/>
      </c>
      <c r="XO6" s="97" t="str">
        <f t="shared" si="11"/>
        <v/>
      </c>
      <c r="XP6" s="97" t="str">
        <f t="shared" si="11"/>
        <v/>
      </c>
      <c r="XQ6" s="97" t="str">
        <f t="shared" si="11"/>
        <v/>
      </c>
      <c r="XR6" s="97" t="str">
        <f t="shared" si="11"/>
        <v/>
      </c>
      <c r="XS6" s="97" t="str">
        <f t="shared" si="11"/>
        <v/>
      </c>
      <c r="XT6" s="97" t="str">
        <f t="shared" si="11"/>
        <v/>
      </c>
      <c r="XU6" s="97" t="str">
        <f t="shared" si="11"/>
        <v/>
      </c>
      <c r="XV6" s="97" t="str">
        <f t="shared" ref="XV6:AAG6" si="12">IFERROR(AVERAGE(XV7:XV13),"")</f>
        <v/>
      </c>
      <c r="XW6" s="97" t="str">
        <f t="shared" si="12"/>
        <v/>
      </c>
      <c r="XX6" s="97" t="str">
        <f t="shared" si="12"/>
        <v/>
      </c>
      <c r="XY6" s="97" t="str">
        <f t="shared" si="12"/>
        <v/>
      </c>
      <c r="XZ6" s="97" t="str">
        <f t="shared" si="12"/>
        <v/>
      </c>
      <c r="YA6" s="97" t="str">
        <f t="shared" si="12"/>
        <v/>
      </c>
      <c r="YB6" s="97" t="str">
        <f t="shared" si="12"/>
        <v/>
      </c>
      <c r="YC6" s="97" t="str">
        <f t="shared" si="12"/>
        <v/>
      </c>
      <c r="YD6" s="97" t="str">
        <f t="shared" si="12"/>
        <v/>
      </c>
      <c r="YE6" s="97" t="str">
        <f t="shared" si="12"/>
        <v/>
      </c>
      <c r="YF6" s="97" t="str">
        <f t="shared" si="12"/>
        <v/>
      </c>
      <c r="YG6" s="97" t="str">
        <f t="shared" si="12"/>
        <v/>
      </c>
      <c r="YH6" s="97" t="str">
        <f t="shared" si="12"/>
        <v/>
      </c>
      <c r="YI6" s="97" t="str">
        <f t="shared" si="12"/>
        <v/>
      </c>
      <c r="YJ6" s="97" t="str">
        <f t="shared" si="12"/>
        <v/>
      </c>
      <c r="YK6" s="97" t="str">
        <f t="shared" si="12"/>
        <v/>
      </c>
      <c r="YL6" s="97" t="str">
        <f t="shared" si="12"/>
        <v/>
      </c>
      <c r="YM6" s="97" t="str">
        <f t="shared" si="12"/>
        <v/>
      </c>
      <c r="YN6" s="97" t="str">
        <f t="shared" si="12"/>
        <v/>
      </c>
      <c r="YO6" s="97" t="str">
        <f t="shared" si="12"/>
        <v/>
      </c>
      <c r="YP6" s="97" t="str">
        <f t="shared" si="12"/>
        <v/>
      </c>
      <c r="YQ6" s="97" t="str">
        <f t="shared" si="12"/>
        <v/>
      </c>
      <c r="YR6" s="97" t="str">
        <f t="shared" si="12"/>
        <v/>
      </c>
      <c r="YS6" s="97" t="str">
        <f t="shared" si="12"/>
        <v/>
      </c>
      <c r="YT6" s="97" t="str">
        <f t="shared" si="12"/>
        <v/>
      </c>
      <c r="YU6" s="97" t="str">
        <f t="shared" si="12"/>
        <v/>
      </c>
      <c r="YV6" s="97" t="str">
        <f t="shared" si="12"/>
        <v/>
      </c>
      <c r="YW6" s="97" t="str">
        <f t="shared" si="12"/>
        <v/>
      </c>
      <c r="YX6" s="97" t="str">
        <f t="shared" si="12"/>
        <v/>
      </c>
      <c r="YY6" s="97" t="str">
        <f t="shared" si="12"/>
        <v/>
      </c>
      <c r="YZ6" s="97" t="str">
        <f t="shared" si="12"/>
        <v/>
      </c>
      <c r="ZA6" s="97" t="str">
        <f t="shared" si="12"/>
        <v/>
      </c>
      <c r="ZB6" s="97" t="str">
        <f t="shared" si="12"/>
        <v/>
      </c>
      <c r="ZC6" s="97" t="str">
        <f t="shared" si="12"/>
        <v/>
      </c>
      <c r="ZD6" s="97" t="str">
        <f t="shared" si="12"/>
        <v/>
      </c>
      <c r="ZE6" s="97" t="str">
        <f t="shared" si="12"/>
        <v/>
      </c>
      <c r="ZF6" s="97" t="str">
        <f t="shared" si="12"/>
        <v/>
      </c>
      <c r="ZG6" s="97" t="str">
        <f t="shared" si="12"/>
        <v/>
      </c>
      <c r="ZH6" s="97" t="str">
        <f t="shared" si="12"/>
        <v/>
      </c>
      <c r="ZI6" s="97" t="str">
        <f t="shared" si="12"/>
        <v/>
      </c>
      <c r="ZJ6" s="97" t="str">
        <f t="shared" si="12"/>
        <v/>
      </c>
      <c r="ZK6" s="97" t="str">
        <f t="shared" si="12"/>
        <v/>
      </c>
      <c r="ZL6" s="97" t="str">
        <f t="shared" si="12"/>
        <v/>
      </c>
      <c r="ZM6" s="97" t="str">
        <f t="shared" si="12"/>
        <v/>
      </c>
      <c r="ZN6" s="97" t="str">
        <f t="shared" si="12"/>
        <v/>
      </c>
      <c r="ZO6" s="97" t="str">
        <f t="shared" si="12"/>
        <v/>
      </c>
      <c r="ZP6" s="97" t="str">
        <f t="shared" si="12"/>
        <v/>
      </c>
      <c r="ZQ6" s="97" t="str">
        <f t="shared" si="12"/>
        <v/>
      </c>
      <c r="ZR6" s="97" t="str">
        <f t="shared" si="12"/>
        <v/>
      </c>
      <c r="ZS6" s="97" t="str">
        <f t="shared" si="12"/>
        <v/>
      </c>
      <c r="ZT6" s="97" t="str">
        <f t="shared" si="12"/>
        <v/>
      </c>
      <c r="ZU6" s="97" t="str">
        <f t="shared" si="12"/>
        <v/>
      </c>
      <c r="ZV6" s="97" t="str">
        <f t="shared" si="12"/>
        <v/>
      </c>
      <c r="ZW6" s="97" t="str">
        <f t="shared" si="12"/>
        <v/>
      </c>
      <c r="ZX6" s="97" t="str">
        <f t="shared" si="12"/>
        <v/>
      </c>
      <c r="ZY6" s="97" t="str">
        <f t="shared" si="12"/>
        <v/>
      </c>
      <c r="ZZ6" s="97" t="str">
        <f t="shared" si="12"/>
        <v/>
      </c>
      <c r="AAA6" s="97" t="str">
        <f t="shared" si="12"/>
        <v/>
      </c>
      <c r="AAB6" s="97" t="str">
        <f t="shared" si="12"/>
        <v/>
      </c>
      <c r="AAC6" s="97" t="str">
        <f t="shared" si="12"/>
        <v/>
      </c>
      <c r="AAD6" s="97" t="str">
        <f t="shared" si="12"/>
        <v/>
      </c>
      <c r="AAE6" s="97" t="str">
        <f t="shared" si="12"/>
        <v/>
      </c>
      <c r="AAF6" s="97" t="str">
        <f t="shared" si="12"/>
        <v/>
      </c>
      <c r="AAG6" s="97" t="str">
        <f t="shared" si="12"/>
        <v/>
      </c>
      <c r="AAH6" s="97" t="str">
        <f t="shared" ref="AAH6:ACS6" si="13">IFERROR(AVERAGE(AAH7:AAH13),"")</f>
        <v/>
      </c>
      <c r="AAI6" s="97" t="str">
        <f t="shared" si="13"/>
        <v/>
      </c>
      <c r="AAJ6" s="97" t="str">
        <f t="shared" si="13"/>
        <v/>
      </c>
      <c r="AAK6" s="97" t="str">
        <f t="shared" si="13"/>
        <v/>
      </c>
      <c r="AAL6" s="97" t="str">
        <f t="shared" si="13"/>
        <v/>
      </c>
      <c r="AAM6" s="97" t="str">
        <f t="shared" si="13"/>
        <v/>
      </c>
      <c r="AAN6" s="97" t="str">
        <f t="shared" si="13"/>
        <v/>
      </c>
      <c r="AAO6" s="97" t="str">
        <f t="shared" si="13"/>
        <v/>
      </c>
      <c r="AAP6" s="97" t="str">
        <f t="shared" si="13"/>
        <v/>
      </c>
      <c r="AAQ6" s="97" t="str">
        <f t="shared" si="13"/>
        <v/>
      </c>
      <c r="AAR6" s="97" t="str">
        <f t="shared" si="13"/>
        <v/>
      </c>
      <c r="AAS6" s="97" t="str">
        <f t="shared" si="13"/>
        <v/>
      </c>
      <c r="AAT6" s="97" t="str">
        <f t="shared" si="13"/>
        <v/>
      </c>
      <c r="AAU6" s="97" t="str">
        <f t="shared" si="13"/>
        <v/>
      </c>
      <c r="AAV6" s="97" t="str">
        <f t="shared" si="13"/>
        <v/>
      </c>
      <c r="AAW6" s="97" t="str">
        <f t="shared" si="13"/>
        <v/>
      </c>
      <c r="AAX6" s="97" t="str">
        <f t="shared" si="13"/>
        <v/>
      </c>
      <c r="AAY6" s="97" t="str">
        <f t="shared" si="13"/>
        <v/>
      </c>
      <c r="AAZ6" s="97" t="str">
        <f t="shared" si="13"/>
        <v/>
      </c>
      <c r="ABA6" s="97" t="str">
        <f t="shared" si="13"/>
        <v/>
      </c>
      <c r="ABB6" s="97" t="str">
        <f t="shared" si="13"/>
        <v/>
      </c>
      <c r="ABC6" s="97" t="str">
        <f t="shared" si="13"/>
        <v/>
      </c>
      <c r="ABD6" s="97" t="str">
        <f t="shared" si="13"/>
        <v/>
      </c>
      <c r="ABE6" s="97" t="str">
        <f t="shared" si="13"/>
        <v/>
      </c>
      <c r="ABF6" s="97" t="str">
        <f t="shared" si="13"/>
        <v/>
      </c>
      <c r="ABG6" s="97" t="str">
        <f t="shared" si="13"/>
        <v/>
      </c>
      <c r="ABH6" s="97" t="str">
        <f t="shared" si="13"/>
        <v/>
      </c>
      <c r="ABI6" s="97" t="str">
        <f t="shared" si="13"/>
        <v/>
      </c>
      <c r="ABJ6" s="97" t="str">
        <f t="shared" si="13"/>
        <v/>
      </c>
      <c r="ABK6" s="97" t="str">
        <f t="shared" si="13"/>
        <v/>
      </c>
      <c r="ABL6" s="97" t="str">
        <f t="shared" si="13"/>
        <v/>
      </c>
      <c r="ABM6" s="97" t="str">
        <f t="shared" si="13"/>
        <v/>
      </c>
      <c r="ABN6" s="97" t="str">
        <f t="shared" si="13"/>
        <v/>
      </c>
      <c r="ABO6" s="97" t="str">
        <f t="shared" si="13"/>
        <v/>
      </c>
      <c r="ABP6" s="97" t="str">
        <f t="shared" si="13"/>
        <v/>
      </c>
      <c r="ABQ6" s="97" t="str">
        <f t="shared" si="13"/>
        <v/>
      </c>
      <c r="ABR6" s="97" t="str">
        <f t="shared" si="13"/>
        <v/>
      </c>
      <c r="ABS6" s="97" t="str">
        <f t="shared" si="13"/>
        <v/>
      </c>
      <c r="ABT6" s="97" t="str">
        <f t="shared" si="13"/>
        <v/>
      </c>
      <c r="ABU6" s="97" t="str">
        <f t="shared" si="13"/>
        <v/>
      </c>
      <c r="ABV6" s="97" t="str">
        <f t="shared" si="13"/>
        <v/>
      </c>
      <c r="ABW6" s="97" t="str">
        <f t="shared" si="13"/>
        <v/>
      </c>
      <c r="ABX6" s="97" t="str">
        <f t="shared" si="13"/>
        <v/>
      </c>
      <c r="ABY6" s="97" t="str">
        <f t="shared" si="13"/>
        <v/>
      </c>
      <c r="ABZ6" s="97" t="str">
        <f t="shared" si="13"/>
        <v/>
      </c>
      <c r="ACA6" s="97" t="str">
        <f t="shared" si="13"/>
        <v/>
      </c>
      <c r="ACB6" s="97" t="str">
        <f t="shared" si="13"/>
        <v/>
      </c>
      <c r="ACC6" s="97" t="str">
        <f t="shared" si="13"/>
        <v/>
      </c>
      <c r="ACD6" s="97" t="str">
        <f t="shared" si="13"/>
        <v/>
      </c>
      <c r="ACE6" s="97" t="str">
        <f t="shared" si="13"/>
        <v/>
      </c>
      <c r="ACF6" s="97" t="str">
        <f t="shared" si="13"/>
        <v/>
      </c>
      <c r="ACG6" s="97" t="str">
        <f t="shared" si="13"/>
        <v/>
      </c>
      <c r="ACH6" s="97" t="str">
        <f t="shared" si="13"/>
        <v/>
      </c>
      <c r="ACI6" s="97" t="str">
        <f t="shared" si="13"/>
        <v/>
      </c>
      <c r="ACJ6" s="97" t="str">
        <f t="shared" si="13"/>
        <v/>
      </c>
      <c r="ACK6" s="97" t="str">
        <f t="shared" si="13"/>
        <v/>
      </c>
      <c r="ACL6" s="97" t="str">
        <f t="shared" si="13"/>
        <v/>
      </c>
      <c r="ACM6" s="97" t="str">
        <f t="shared" si="13"/>
        <v/>
      </c>
      <c r="ACN6" s="97" t="str">
        <f t="shared" si="13"/>
        <v/>
      </c>
      <c r="ACO6" s="97" t="str">
        <f t="shared" si="13"/>
        <v/>
      </c>
      <c r="ACP6" s="97" t="str">
        <f t="shared" si="13"/>
        <v/>
      </c>
      <c r="ACQ6" s="97" t="str">
        <f t="shared" si="13"/>
        <v/>
      </c>
      <c r="ACR6" s="97" t="str">
        <f t="shared" si="13"/>
        <v/>
      </c>
      <c r="ACS6" s="97" t="str">
        <f t="shared" si="13"/>
        <v/>
      </c>
      <c r="ACT6" s="97" t="str">
        <f t="shared" ref="ACT6:AFE6" si="14">IFERROR(AVERAGE(ACT7:ACT13),"")</f>
        <v/>
      </c>
      <c r="ACU6" s="97" t="str">
        <f t="shared" si="14"/>
        <v/>
      </c>
      <c r="ACV6" s="97" t="str">
        <f t="shared" si="14"/>
        <v/>
      </c>
      <c r="ACW6" s="97" t="str">
        <f t="shared" si="14"/>
        <v/>
      </c>
      <c r="ACX6" s="97" t="str">
        <f t="shared" si="14"/>
        <v/>
      </c>
      <c r="ACY6" s="97" t="str">
        <f t="shared" si="14"/>
        <v/>
      </c>
      <c r="ACZ6" s="97" t="str">
        <f t="shared" si="14"/>
        <v/>
      </c>
      <c r="ADA6" s="97" t="str">
        <f t="shared" si="14"/>
        <v/>
      </c>
      <c r="ADB6" s="97" t="str">
        <f t="shared" si="14"/>
        <v/>
      </c>
      <c r="ADC6" s="97" t="str">
        <f t="shared" si="14"/>
        <v/>
      </c>
      <c r="ADD6" s="97" t="str">
        <f t="shared" si="14"/>
        <v/>
      </c>
      <c r="ADE6" s="97" t="str">
        <f t="shared" si="14"/>
        <v/>
      </c>
      <c r="ADF6" s="97" t="str">
        <f t="shared" si="14"/>
        <v/>
      </c>
      <c r="ADG6" s="97" t="str">
        <f t="shared" si="14"/>
        <v/>
      </c>
      <c r="ADH6" s="97" t="str">
        <f t="shared" si="14"/>
        <v/>
      </c>
      <c r="ADI6" s="97" t="str">
        <f t="shared" si="14"/>
        <v/>
      </c>
      <c r="ADJ6" s="97" t="str">
        <f t="shared" si="14"/>
        <v/>
      </c>
      <c r="ADK6" s="97" t="str">
        <f t="shared" si="14"/>
        <v/>
      </c>
      <c r="ADL6" s="97" t="str">
        <f t="shared" si="14"/>
        <v/>
      </c>
      <c r="ADM6" s="97" t="str">
        <f t="shared" si="14"/>
        <v/>
      </c>
      <c r="ADN6" s="97" t="str">
        <f t="shared" si="14"/>
        <v/>
      </c>
      <c r="ADO6" s="97" t="str">
        <f t="shared" si="14"/>
        <v/>
      </c>
      <c r="ADP6" s="97" t="str">
        <f t="shared" si="14"/>
        <v/>
      </c>
      <c r="ADQ6" s="97" t="str">
        <f t="shared" si="14"/>
        <v/>
      </c>
      <c r="ADR6" s="97" t="str">
        <f t="shared" si="14"/>
        <v/>
      </c>
      <c r="ADS6" s="97" t="str">
        <f t="shared" si="14"/>
        <v/>
      </c>
      <c r="ADT6" s="97" t="str">
        <f t="shared" si="14"/>
        <v/>
      </c>
      <c r="ADU6" s="97" t="str">
        <f t="shared" si="14"/>
        <v/>
      </c>
      <c r="ADV6" s="97" t="str">
        <f t="shared" si="14"/>
        <v/>
      </c>
      <c r="ADW6" s="97" t="str">
        <f t="shared" si="14"/>
        <v/>
      </c>
      <c r="ADX6" s="97" t="str">
        <f t="shared" si="14"/>
        <v/>
      </c>
      <c r="ADY6" s="97" t="str">
        <f t="shared" si="14"/>
        <v/>
      </c>
      <c r="ADZ6" s="97" t="str">
        <f t="shared" si="14"/>
        <v/>
      </c>
      <c r="AEA6" s="97" t="str">
        <f t="shared" si="14"/>
        <v/>
      </c>
      <c r="AEB6" s="97" t="str">
        <f t="shared" si="14"/>
        <v/>
      </c>
      <c r="AEC6" s="97" t="str">
        <f t="shared" si="14"/>
        <v/>
      </c>
      <c r="AED6" s="97" t="str">
        <f t="shared" si="14"/>
        <v/>
      </c>
      <c r="AEE6" s="97" t="str">
        <f t="shared" si="14"/>
        <v/>
      </c>
      <c r="AEF6" s="97" t="str">
        <f t="shared" si="14"/>
        <v/>
      </c>
      <c r="AEG6" s="97" t="str">
        <f t="shared" si="14"/>
        <v/>
      </c>
      <c r="AEH6" s="97" t="str">
        <f t="shared" si="14"/>
        <v/>
      </c>
      <c r="AEI6" s="97" t="str">
        <f t="shared" si="14"/>
        <v/>
      </c>
      <c r="AEJ6" s="97" t="str">
        <f t="shared" si="14"/>
        <v/>
      </c>
      <c r="AEK6" s="97" t="str">
        <f t="shared" si="14"/>
        <v/>
      </c>
      <c r="AEL6" s="97" t="str">
        <f t="shared" si="14"/>
        <v/>
      </c>
      <c r="AEM6" s="97" t="str">
        <f t="shared" si="14"/>
        <v/>
      </c>
      <c r="AEN6" s="97" t="str">
        <f t="shared" si="14"/>
        <v/>
      </c>
      <c r="AEO6" s="97" t="str">
        <f t="shared" si="14"/>
        <v/>
      </c>
      <c r="AEP6" s="97" t="str">
        <f t="shared" si="14"/>
        <v/>
      </c>
      <c r="AEQ6" s="97" t="str">
        <f t="shared" si="14"/>
        <v/>
      </c>
      <c r="AER6" s="97" t="str">
        <f t="shared" si="14"/>
        <v/>
      </c>
      <c r="AES6" s="97" t="str">
        <f t="shared" si="14"/>
        <v/>
      </c>
      <c r="AET6" s="97" t="str">
        <f t="shared" si="14"/>
        <v/>
      </c>
      <c r="AEU6" s="97" t="str">
        <f t="shared" si="14"/>
        <v/>
      </c>
      <c r="AEV6" s="97" t="str">
        <f t="shared" si="14"/>
        <v/>
      </c>
      <c r="AEW6" s="97" t="str">
        <f t="shared" si="14"/>
        <v/>
      </c>
      <c r="AEX6" s="97" t="str">
        <f t="shared" si="14"/>
        <v/>
      </c>
      <c r="AEY6" s="97" t="str">
        <f t="shared" si="14"/>
        <v/>
      </c>
      <c r="AEZ6" s="97" t="str">
        <f t="shared" si="14"/>
        <v/>
      </c>
      <c r="AFA6" s="97" t="str">
        <f t="shared" si="14"/>
        <v/>
      </c>
      <c r="AFB6" s="97" t="str">
        <f t="shared" si="14"/>
        <v/>
      </c>
      <c r="AFC6" s="97" t="str">
        <f t="shared" si="14"/>
        <v/>
      </c>
      <c r="AFD6" s="97" t="str">
        <f t="shared" si="14"/>
        <v/>
      </c>
      <c r="AFE6" s="97" t="str">
        <f t="shared" si="14"/>
        <v/>
      </c>
      <c r="AFF6" s="97" t="str">
        <f t="shared" ref="AFF6:AHQ6" si="15">IFERROR(AVERAGE(AFF7:AFF13),"")</f>
        <v/>
      </c>
      <c r="AFG6" s="97" t="str">
        <f t="shared" si="15"/>
        <v/>
      </c>
      <c r="AFH6" s="97" t="str">
        <f t="shared" si="15"/>
        <v/>
      </c>
      <c r="AFI6" s="97" t="str">
        <f t="shared" si="15"/>
        <v/>
      </c>
      <c r="AFJ6" s="97" t="str">
        <f t="shared" si="15"/>
        <v/>
      </c>
      <c r="AFK6" s="97" t="str">
        <f t="shared" si="15"/>
        <v/>
      </c>
      <c r="AFL6" s="97" t="str">
        <f t="shared" si="15"/>
        <v/>
      </c>
      <c r="AFM6" s="97" t="str">
        <f t="shared" si="15"/>
        <v/>
      </c>
      <c r="AFN6" s="97" t="str">
        <f t="shared" si="15"/>
        <v/>
      </c>
      <c r="AFO6" s="97" t="str">
        <f t="shared" si="15"/>
        <v/>
      </c>
      <c r="AFP6" s="97" t="str">
        <f t="shared" si="15"/>
        <v/>
      </c>
      <c r="AFQ6" s="97" t="str">
        <f t="shared" si="15"/>
        <v/>
      </c>
      <c r="AFR6" s="97" t="str">
        <f t="shared" si="15"/>
        <v/>
      </c>
      <c r="AFS6" s="97" t="str">
        <f t="shared" si="15"/>
        <v/>
      </c>
      <c r="AFT6" s="97" t="str">
        <f t="shared" si="15"/>
        <v/>
      </c>
      <c r="AFU6" s="97" t="str">
        <f t="shared" si="15"/>
        <v/>
      </c>
      <c r="AFV6" s="97" t="str">
        <f t="shared" si="15"/>
        <v/>
      </c>
      <c r="AFW6" s="97" t="str">
        <f t="shared" si="15"/>
        <v/>
      </c>
      <c r="AFX6" s="97" t="str">
        <f t="shared" si="15"/>
        <v/>
      </c>
      <c r="AFY6" s="97" t="str">
        <f t="shared" si="15"/>
        <v/>
      </c>
      <c r="AFZ6" s="97" t="str">
        <f t="shared" si="15"/>
        <v/>
      </c>
      <c r="AGA6" s="97" t="str">
        <f t="shared" si="15"/>
        <v/>
      </c>
      <c r="AGB6" s="97" t="str">
        <f t="shared" si="15"/>
        <v/>
      </c>
      <c r="AGC6" s="97" t="str">
        <f t="shared" si="15"/>
        <v/>
      </c>
      <c r="AGD6" s="97" t="str">
        <f t="shared" si="15"/>
        <v/>
      </c>
      <c r="AGE6" s="97" t="str">
        <f t="shared" si="15"/>
        <v/>
      </c>
      <c r="AGF6" s="97" t="str">
        <f t="shared" si="15"/>
        <v/>
      </c>
      <c r="AGG6" s="97" t="str">
        <f t="shared" si="15"/>
        <v/>
      </c>
      <c r="AGH6" s="97" t="str">
        <f t="shared" si="15"/>
        <v/>
      </c>
      <c r="AGI6" s="97" t="str">
        <f t="shared" si="15"/>
        <v/>
      </c>
      <c r="AGJ6" s="97" t="str">
        <f t="shared" si="15"/>
        <v/>
      </c>
      <c r="AGK6" s="97" t="str">
        <f t="shared" si="15"/>
        <v/>
      </c>
      <c r="AGL6" s="97" t="str">
        <f t="shared" si="15"/>
        <v/>
      </c>
      <c r="AGM6" s="97" t="str">
        <f t="shared" si="15"/>
        <v/>
      </c>
      <c r="AGN6" s="97" t="str">
        <f t="shared" si="15"/>
        <v/>
      </c>
      <c r="AGO6" s="97" t="str">
        <f t="shared" si="15"/>
        <v/>
      </c>
      <c r="AGP6" s="97" t="str">
        <f t="shared" si="15"/>
        <v/>
      </c>
      <c r="AGQ6" s="97" t="str">
        <f t="shared" si="15"/>
        <v/>
      </c>
      <c r="AGR6" s="97" t="str">
        <f t="shared" si="15"/>
        <v/>
      </c>
      <c r="AGS6" s="97" t="str">
        <f t="shared" si="15"/>
        <v/>
      </c>
      <c r="AGT6" s="97" t="str">
        <f t="shared" si="15"/>
        <v/>
      </c>
      <c r="AGU6" s="97" t="str">
        <f t="shared" si="15"/>
        <v/>
      </c>
      <c r="AGV6" s="97" t="str">
        <f t="shared" si="15"/>
        <v/>
      </c>
      <c r="AGW6" s="97" t="str">
        <f t="shared" si="15"/>
        <v/>
      </c>
      <c r="AGX6" s="97" t="str">
        <f t="shared" si="15"/>
        <v/>
      </c>
      <c r="AGY6" s="97" t="str">
        <f t="shared" si="15"/>
        <v/>
      </c>
      <c r="AGZ6" s="97" t="str">
        <f t="shared" si="15"/>
        <v/>
      </c>
      <c r="AHA6" s="97" t="str">
        <f t="shared" si="15"/>
        <v/>
      </c>
      <c r="AHB6" s="97" t="str">
        <f t="shared" si="15"/>
        <v/>
      </c>
      <c r="AHC6" s="97" t="str">
        <f t="shared" si="15"/>
        <v/>
      </c>
      <c r="AHD6" s="97" t="str">
        <f t="shared" si="15"/>
        <v/>
      </c>
      <c r="AHE6" s="97" t="str">
        <f t="shared" si="15"/>
        <v/>
      </c>
      <c r="AHF6" s="97" t="str">
        <f t="shared" si="15"/>
        <v/>
      </c>
      <c r="AHG6" s="97" t="str">
        <f t="shared" si="15"/>
        <v/>
      </c>
      <c r="AHH6" s="97" t="str">
        <f t="shared" si="15"/>
        <v/>
      </c>
      <c r="AHI6" s="97" t="str">
        <f t="shared" si="15"/>
        <v/>
      </c>
      <c r="AHJ6" s="97" t="str">
        <f t="shared" si="15"/>
        <v/>
      </c>
      <c r="AHK6" s="97" t="str">
        <f t="shared" si="15"/>
        <v/>
      </c>
      <c r="AHL6" s="97" t="str">
        <f t="shared" si="15"/>
        <v/>
      </c>
      <c r="AHM6" s="97" t="str">
        <f t="shared" si="15"/>
        <v/>
      </c>
      <c r="AHN6" s="97" t="str">
        <f t="shared" si="15"/>
        <v/>
      </c>
      <c r="AHO6" s="97" t="str">
        <f t="shared" si="15"/>
        <v/>
      </c>
      <c r="AHP6" s="97" t="str">
        <f t="shared" si="15"/>
        <v/>
      </c>
      <c r="AHQ6" s="97" t="str">
        <f t="shared" si="15"/>
        <v/>
      </c>
      <c r="AHR6" s="97" t="str">
        <f t="shared" ref="AHR6:AKC6" si="16">IFERROR(AVERAGE(AHR7:AHR13),"")</f>
        <v/>
      </c>
      <c r="AHS6" s="97" t="str">
        <f t="shared" si="16"/>
        <v/>
      </c>
      <c r="AHT6" s="97" t="str">
        <f t="shared" si="16"/>
        <v/>
      </c>
      <c r="AHU6" s="97" t="str">
        <f t="shared" si="16"/>
        <v/>
      </c>
      <c r="AHV6" s="97" t="str">
        <f t="shared" si="16"/>
        <v/>
      </c>
      <c r="AHW6" s="97" t="str">
        <f t="shared" si="16"/>
        <v/>
      </c>
      <c r="AHX6" s="97" t="str">
        <f t="shared" si="16"/>
        <v/>
      </c>
      <c r="AHY6" s="97" t="str">
        <f t="shared" si="16"/>
        <v/>
      </c>
      <c r="AHZ6" s="97" t="str">
        <f t="shared" si="16"/>
        <v/>
      </c>
      <c r="AIA6" s="97" t="str">
        <f t="shared" si="16"/>
        <v/>
      </c>
      <c r="AIB6" s="97" t="str">
        <f t="shared" si="16"/>
        <v/>
      </c>
      <c r="AIC6" s="97" t="str">
        <f t="shared" si="16"/>
        <v/>
      </c>
      <c r="AID6" s="97" t="str">
        <f t="shared" si="16"/>
        <v/>
      </c>
      <c r="AIE6" s="97" t="str">
        <f t="shared" si="16"/>
        <v/>
      </c>
      <c r="AIF6" s="97" t="str">
        <f t="shared" si="16"/>
        <v/>
      </c>
      <c r="AIG6" s="97" t="str">
        <f t="shared" si="16"/>
        <v/>
      </c>
      <c r="AIH6" s="97" t="str">
        <f t="shared" si="16"/>
        <v/>
      </c>
      <c r="AII6" s="97" t="str">
        <f t="shared" si="16"/>
        <v/>
      </c>
      <c r="AIJ6" s="97" t="str">
        <f t="shared" si="16"/>
        <v/>
      </c>
      <c r="AIK6" s="97" t="str">
        <f t="shared" si="16"/>
        <v/>
      </c>
      <c r="AIL6" s="97" t="str">
        <f t="shared" si="16"/>
        <v/>
      </c>
      <c r="AIM6" s="97" t="str">
        <f t="shared" si="16"/>
        <v/>
      </c>
      <c r="AIN6" s="97" t="str">
        <f t="shared" si="16"/>
        <v/>
      </c>
      <c r="AIO6" s="97" t="str">
        <f t="shared" si="16"/>
        <v/>
      </c>
      <c r="AIP6" s="97" t="str">
        <f t="shared" si="16"/>
        <v/>
      </c>
      <c r="AIQ6" s="97" t="str">
        <f t="shared" si="16"/>
        <v/>
      </c>
      <c r="AIR6" s="97" t="str">
        <f t="shared" si="16"/>
        <v/>
      </c>
      <c r="AIS6" s="97" t="str">
        <f t="shared" si="16"/>
        <v/>
      </c>
      <c r="AIT6" s="97" t="str">
        <f t="shared" si="16"/>
        <v/>
      </c>
      <c r="AIU6" s="97" t="str">
        <f t="shared" si="16"/>
        <v/>
      </c>
      <c r="AIV6" s="97" t="str">
        <f t="shared" si="16"/>
        <v/>
      </c>
      <c r="AIW6" s="97" t="str">
        <f t="shared" si="16"/>
        <v/>
      </c>
      <c r="AIX6" s="97" t="str">
        <f t="shared" si="16"/>
        <v/>
      </c>
      <c r="AIY6" s="97" t="str">
        <f t="shared" si="16"/>
        <v/>
      </c>
      <c r="AIZ6" s="97" t="str">
        <f t="shared" si="16"/>
        <v/>
      </c>
      <c r="AJA6" s="97" t="str">
        <f t="shared" si="16"/>
        <v/>
      </c>
      <c r="AJB6" s="97" t="str">
        <f t="shared" si="16"/>
        <v/>
      </c>
      <c r="AJC6" s="97" t="str">
        <f t="shared" si="16"/>
        <v/>
      </c>
      <c r="AJD6" s="97" t="str">
        <f t="shared" si="16"/>
        <v/>
      </c>
      <c r="AJE6" s="97" t="str">
        <f t="shared" si="16"/>
        <v/>
      </c>
      <c r="AJF6" s="97" t="str">
        <f t="shared" si="16"/>
        <v/>
      </c>
      <c r="AJG6" s="97" t="str">
        <f t="shared" si="16"/>
        <v/>
      </c>
      <c r="AJH6" s="97" t="str">
        <f t="shared" si="16"/>
        <v/>
      </c>
      <c r="AJI6" s="97" t="str">
        <f t="shared" si="16"/>
        <v/>
      </c>
      <c r="AJJ6" s="97" t="str">
        <f t="shared" si="16"/>
        <v/>
      </c>
      <c r="AJK6" s="97" t="str">
        <f t="shared" si="16"/>
        <v/>
      </c>
      <c r="AJL6" s="97" t="str">
        <f t="shared" si="16"/>
        <v/>
      </c>
      <c r="AJM6" s="97" t="str">
        <f t="shared" si="16"/>
        <v/>
      </c>
      <c r="AJN6" s="97" t="str">
        <f t="shared" si="16"/>
        <v/>
      </c>
      <c r="AJO6" s="97" t="str">
        <f t="shared" si="16"/>
        <v/>
      </c>
      <c r="AJP6" s="97" t="str">
        <f t="shared" si="16"/>
        <v/>
      </c>
      <c r="AJQ6" s="97" t="str">
        <f t="shared" si="16"/>
        <v/>
      </c>
      <c r="AJR6" s="97" t="str">
        <f t="shared" si="16"/>
        <v/>
      </c>
      <c r="AJS6" s="97" t="str">
        <f t="shared" si="16"/>
        <v/>
      </c>
      <c r="AJT6" s="97" t="str">
        <f t="shared" si="16"/>
        <v/>
      </c>
      <c r="AJU6" s="97" t="str">
        <f t="shared" si="16"/>
        <v/>
      </c>
      <c r="AJV6" s="97" t="str">
        <f t="shared" si="16"/>
        <v/>
      </c>
      <c r="AJW6" s="97" t="str">
        <f t="shared" si="16"/>
        <v/>
      </c>
      <c r="AJX6" s="97" t="str">
        <f t="shared" si="16"/>
        <v/>
      </c>
      <c r="AJY6" s="97" t="str">
        <f t="shared" si="16"/>
        <v/>
      </c>
      <c r="AJZ6" s="97" t="str">
        <f t="shared" si="16"/>
        <v/>
      </c>
      <c r="AKA6" s="97" t="str">
        <f t="shared" si="16"/>
        <v/>
      </c>
      <c r="AKB6" s="97" t="str">
        <f t="shared" si="16"/>
        <v/>
      </c>
      <c r="AKC6" s="97" t="str">
        <f t="shared" si="16"/>
        <v/>
      </c>
      <c r="AKD6" s="97" t="str">
        <f t="shared" ref="AKD6:AMO6" si="17">IFERROR(AVERAGE(AKD7:AKD13),"")</f>
        <v/>
      </c>
      <c r="AKE6" s="97" t="str">
        <f t="shared" si="17"/>
        <v/>
      </c>
      <c r="AKF6" s="97" t="str">
        <f t="shared" si="17"/>
        <v/>
      </c>
      <c r="AKG6" s="97" t="str">
        <f t="shared" si="17"/>
        <v/>
      </c>
      <c r="AKH6" s="97" t="str">
        <f t="shared" si="17"/>
        <v/>
      </c>
      <c r="AKI6" s="97" t="str">
        <f t="shared" si="17"/>
        <v/>
      </c>
      <c r="AKJ6" s="97" t="str">
        <f t="shared" si="17"/>
        <v/>
      </c>
      <c r="AKK6" s="97" t="str">
        <f t="shared" si="17"/>
        <v/>
      </c>
      <c r="AKL6" s="97" t="str">
        <f t="shared" si="17"/>
        <v/>
      </c>
      <c r="AKM6" s="97" t="str">
        <f t="shared" si="17"/>
        <v/>
      </c>
      <c r="AKN6" s="97" t="str">
        <f t="shared" si="17"/>
        <v/>
      </c>
      <c r="AKO6" s="97" t="str">
        <f t="shared" si="17"/>
        <v/>
      </c>
      <c r="AKP6" s="97" t="str">
        <f t="shared" si="17"/>
        <v/>
      </c>
      <c r="AKQ6" s="97" t="str">
        <f t="shared" si="17"/>
        <v/>
      </c>
      <c r="AKR6" s="97" t="str">
        <f t="shared" si="17"/>
        <v/>
      </c>
      <c r="AKS6" s="97" t="str">
        <f t="shared" si="17"/>
        <v/>
      </c>
      <c r="AKT6" s="97" t="str">
        <f t="shared" si="17"/>
        <v/>
      </c>
      <c r="AKU6" s="97" t="str">
        <f t="shared" si="17"/>
        <v/>
      </c>
      <c r="AKV6" s="97" t="str">
        <f t="shared" si="17"/>
        <v/>
      </c>
      <c r="AKW6" s="97" t="str">
        <f t="shared" si="17"/>
        <v/>
      </c>
      <c r="AKX6" s="97" t="str">
        <f t="shared" si="17"/>
        <v/>
      </c>
      <c r="AKY6" s="97" t="str">
        <f t="shared" si="17"/>
        <v/>
      </c>
      <c r="AKZ6" s="97" t="str">
        <f t="shared" si="17"/>
        <v/>
      </c>
      <c r="ALA6" s="97" t="str">
        <f t="shared" si="17"/>
        <v/>
      </c>
      <c r="ALB6" s="97" t="str">
        <f t="shared" si="17"/>
        <v/>
      </c>
      <c r="ALC6" s="97" t="str">
        <f t="shared" si="17"/>
        <v/>
      </c>
      <c r="ALD6" s="97" t="str">
        <f t="shared" si="17"/>
        <v/>
      </c>
      <c r="ALE6" s="97" t="str">
        <f t="shared" si="17"/>
        <v/>
      </c>
      <c r="ALF6" s="97" t="str">
        <f t="shared" si="17"/>
        <v/>
      </c>
      <c r="ALG6" s="97" t="str">
        <f t="shared" si="17"/>
        <v/>
      </c>
      <c r="ALH6" s="97" t="str">
        <f t="shared" si="17"/>
        <v/>
      </c>
      <c r="ALI6" s="97" t="str">
        <f t="shared" si="17"/>
        <v/>
      </c>
      <c r="ALJ6" s="97" t="str">
        <f t="shared" si="17"/>
        <v/>
      </c>
      <c r="ALK6" s="97" t="str">
        <f t="shared" si="17"/>
        <v/>
      </c>
      <c r="ALL6" s="97" t="str">
        <f t="shared" si="17"/>
        <v/>
      </c>
      <c r="ALM6" s="97" t="str">
        <f t="shared" si="17"/>
        <v/>
      </c>
      <c r="ALN6" s="97" t="str">
        <f t="shared" si="17"/>
        <v/>
      </c>
      <c r="ALO6" s="97" t="str">
        <f t="shared" si="17"/>
        <v/>
      </c>
      <c r="ALP6" s="97" t="str">
        <f t="shared" si="17"/>
        <v/>
      </c>
      <c r="ALQ6" s="97" t="str">
        <f t="shared" si="17"/>
        <v/>
      </c>
      <c r="ALR6" s="97" t="str">
        <f t="shared" si="17"/>
        <v/>
      </c>
      <c r="ALS6" s="97" t="str">
        <f t="shared" si="17"/>
        <v/>
      </c>
      <c r="ALT6" s="97" t="str">
        <f t="shared" si="17"/>
        <v/>
      </c>
      <c r="ALU6" s="97" t="str">
        <f t="shared" si="17"/>
        <v/>
      </c>
      <c r="ALV6" s="97" t="str">
        <f t="shared" si="17"/>
        <v/>
      </c>
      <c r="ALW6" s="97" t="str">
        <f t="shared" si="17"/>
        <v/>
      </c>
      <c r="ALX6" s="97" t="str">
        <f t="shared" si="17"/>
        <v/>
      </c>
      <c r="ALY6" s="97" t="str">
        <f t="shared" si="17"/>
        <v/>
      </c>
      <c r="ALZ6" s="97" t="str">
        <f t="shared" si="17"/>
        <v/>
      </c>
      <c r="AMA6" s="97" t="str">
        <f t="shared" si="17"/>
        <v/>
      </c>
      <c r="AMB6" s="97" t="str">
        <f t="shared" si="17"/>
        <v/>
      </c>
      <c r="AMC6" s="97" t="str">
        <f t="shared" si="17"/>
        <v/>
      </c>
      <c r="AMD6" s="97" t="str">
        <f t="shared" si="17"/>
        <v/>
      </c>
      <c r="AME6" s="97" t="str">
        <f t="shared" si="17"/>
        <v/>
      </c>
      <c r="AMF6" s="97" t="str">
        <f t="shared" si="17"/>
        <v/>
      </c>
      <c r="AMG6" s="97" t="str">
        <f t="shared" si="17"/>
        <v/>
      </c>
      <c r="AMH6" s="97" t="str">
        <f t="shared" si="17"/>
        <v/>
      </c>
      <c r="AMI6" s="97" t="str">
        <f t="shared" si="17"/>
        <v/>
      </c>
      <c r="AMJ6" s="97" t="str">
        <f t="shared" si="17"/>
        <v/>
      </c>
      <c r="AMK6" s="97" t="str">
        <f t="shared" si="17"/>
        <v/>
      </c>
      <c r="AML6" s="97" t="str">
        <f t="shared" si="17"/>
        <v/>
      </c>
      <c r="AMM6" s="97" t="str">
        <f t="shared" si="17"/>
        <v/>
      </c>
      <c r="AMN6" s="97" t="str">
        <f t="shared" si="17"/>
        <v/>
      </c>
      <c r="AMO6" s="97" t="str">
        <f t="shared" si="17"/>
        <v/>
      </c>
      <c r="AMP6" s="97" t="str">
        <f t="shared" ref="AMP6:APA6" si="18">IFERROR(AVERAGE(AMP7:AMP13),"")</f>
        <v/>
      </c>
      <c r="AMQ6" s="97" t="str">
        <f t="shared" si="18"/>
        <v/>
      </c>
      <c r="AMR6" s="97" t="str">
        <f t="shared" si="18"/>
        <v/>
      </c>
      <c r="AMS6" s="97" t="str">
        <f t="shared" si="18"/>
        <v/>
      </c>
      <c r="AMT6" s="97" t="str">
        <f t="shared" si="18"/>
        <v/>
      </c>
      <c r="AMU6" s="97" t="str">
        <f t="shared" si="18"/>
        <v/>
      </c>
      <c r="AMV6" s="97" t="str">
        <f t="shared" si="18"/>
        <v/>
      </c>
      <c r="AMW6" s="97" t="str">
        <f t="shared" si="18"/>
        <v/>
      </c>
      <c r="AMX6" s="97" t="str">
        <f t="shared" si="18"/>
        <v/>
      </c>
      <c r="AMY6" s="97" t="str">
        <f t="shared" si="18"/>
        <v/>
      </c>
      <c r="AMZ6" s="97" t="str">
        <f t="shared" si="18"/>
        <v/>
      </c>
      <c r="ANA6" s="97" t="str">
        <f t="shared" si="18"/>
        <v/>
      </c>
      <c r="ANB6" s="97" t="str">
        <f t="shared" si="18"/>
        <v/>
      </c>
      <c r="ANC6" s="97" t="str">
        <f t="shared" si="18"/>
        <v/>
      </c>
      <c r="AND6" s="97" t="str">
        <f t="shared" si="18"/>
        <v/>
      </c>
      <c r="ANE6" s="97" t="str">
        <f t="shared" si="18"/>
        <v/>
      </c>
      <c r="ANF6" s="97" t="str">
        <f t="shared" si="18"/>
        <v/>
      </c>
      <c r="ANG6" s="97" t="str">
        <f t="shared" si="18"/>
        <v/>
      </c>
      <c r="ANH6" s="97" t="str">
        <f t="shared" si="18"/>
        <v/>
      </c>
      <c r="ANI6" s="97" t="str">
        <f t="shared" si="18"/>
        <v/>
      </c>
      <c r="ANJ6" s="97" t="str">
        <f t="shared" si="18"/>
        <v/>
      </c>
      <c r="ANK6" s="97" t="str">
        <f t="shared" si="18"/>
        <v/>
      </c>
      <c r="ANL6" s="97" t="str">
        <f t="shared" si="18"/>
        <v/>
      </c>
      <c r="ANM6" s="97" t="str">
        <f t="shared" si="18"/>
        <v/>
      </c>
      <c r="ANN6" s="97" t="str">
        <f t="shared" si="18"/>
        <v/>
      </c>
      <c r="ANO6" s="97" t="str">
        <f t="shared" si="18"/>
        <v/>
      </c>
      <c r="ANP6" s="97" t="str">
        <f t="shared" si="18"/>
        <v/>
      </c>
      <c r="ANQ6" s="97" t="str">
        <f t="shared" si="18"/>
        <v/>
      </c>
      <c r="ANR6" s="97" t="str">
        <f t="shared" si="18"/>
        <v/>
      </c>
      <c r="ANS6" s="97" t="str">
        <f t="shared" si="18"/>
        <v/>
      </c>
      <c r="ANT6" s="97" t="str">
        <f t="shared" si="18"/>
        <v/>
      </c>
      <c r="ANU6" s="97" t="str">
        <f t="shared" si="18"/>
        <v/>
      </c>
      <c r="ANV6" s="97" t="str">
        <f t="shared" si="18"/>
        <v/>
      </c>
      <c r="ANW6" s="97" t="str">
        <f t="shared" si="18"/>
        <v/>
      </c>
      <c r="ANX6" s="97" t="str">
        <f t="shared" si="18"/>
        <v/>
      </c>
      <c r="ANY6" s="97" t="str">
        <f t="shared" si="18"/>
        <v/>
      </c>
      <c r="ANZ6" s="97" t="str">
        <f t="shared" si="18"/>
        <v/>
      </c>
      <c r="AOA6" s="97" t="str">
        <f t="shared" si="18"/>
        <v/>
      </c>
      <c r="AOB6" s="97" t="str">
        <f t="shared" si="18"/>
        <v/>
      </c>
      <c r="AOC6" s="97" t="str">
        <f t="shared" si="18"/>
        <v/>
      </c>
      <c r="AOD6" s="97" t="str">
        <f t="shared" si="18"/>
        <v/>
      </c>
      <c r="AOE6" s="97" t="str">
        <f t="shared" si="18"/>
        <v/>
      </c>
      <c r="AOF6" s="97" t="str">
        <f t="shared" si="18"/>
        <v/>
      </c>
      <c r="AOG6" s="97" t="str">
        <f t="shared" si="18"/>
        <v/>
      </c>
      <c r="AOH6" s="97" t="str">
        <f t="shared" si="18"/>
        <v/>
      </c>
      <c r="AOI6" s="97" t="str">
        <f t="shared" si="18"/>
        <v/>
      </c>
      <c r="AOJ6" s="97" t="str">
        <f t="shared" si="18"/>
        <v/>
      </c>
      <c r="AOK6" s="97" t="str">
        <f t="shared" si="18"/>
        <v/>
      </c>
      <c r="AOL6" s="97" t="str">
        <f t="shared" si="18"/>
        <v/>
      </c>
      <c r="AOM6" s="97" t="str">
        <f t="shared" si="18"/>
        <v/>
      </c>
      <c r="AON6" s="97" t="str">
        <f t="shared" si="18"/>
        <v/>
      </c>
      <c r="AOO6" s="97" t="str">
        <f t="shared" si="18"/>
        <v/>
      </c>
      <c r="AOP6" s="97" t="str">
        <f t="shared" si="18"/>
        <v/>
      </c>
      <c r="AOQ6" s="97" t="str">
        <f t="shared" si="18"/>
        <v/>
      </c>
      <c r="AOR6" s="97" t="str">
        <f t="shared" si="18"/>
        <v/>
      </c>
      <c r="AOS6" s="97" t="str">
        <f t="shared" si="18"/>
        <v/>
      </c>
      <c r="AOT6" s="97" t="str">
        <f t="shared" si="18"/>
        <v/>
      </c>
      <c r="AOU6" s="97" t="str">
        <f t="shared" si="18"/>
        <v/>
      </c>
      <c r="AOV6" s="97" t="str">
        <f t="shared" si="18"/>
        <v/>
      </c>
      <c r="AOW6" s="97" t="str">
        <f t="shared" si="18"/>
        <v/>
      </c>
      <c r="AOX6" s="97" t="str">
        <f t="shared" si="18"/>
        <v/>
      </c>
      <c r="AOY6" s="97" t="str">
        <f t="shared" si="18"/>
        <v/>
      </c>
      <c r="AOZ6" s="97" t="str">
        <f t="shared" si="18"/>
        <v/>
      </c>
      <c r="APA6" s="97" t="str">
        <f t="shared" si="18"/>
        <v/>
      </c>
      <c r="APB6" s="97" t="str">
        <f t="shared" ref="APB6:ARM6" si="19">IFERROR(AVERAGE(APB7:APB13),"")</f>
        <v/>
      </c>
      <c r="APC6" s="97" t="str">
        <f t="shared" si="19"/>
        <v/>
      </c>
      <c r="APD6" s="97" t="str">
        <f t="shared" si="19"/>
        <v/>
      </c>
      <c r="APE6" s="97" t="str">
        <f t="shared" si="19"/>
        <v/>
      </c>
      <c r="APF6" s="97" t="str">
        <f t="shared" si="19"/>
        <v/>
      </c>
      <c r="APG6" s="97" t="str">
        <f t="shared" si="19"/>
        <v/>
      </c>
      <c r="APH6" s="97" t="str">
        <f t="shared" si="19"/>
        <v/>
      </c>
      <c r="API6" s="97" t="str">
        <f t="shared" si="19"/>
        <v/>
      </c>
      <c r="APJ6" s="97" t="str">
        <f t="shared" si="19"/>
        <v/>
      </c>
      <c r="APK6" s="97" t="str">
        <f t="shared" si="19"/>
        <v/>
      </c>
      <c r="APL6" s="97" t="str">
        <f t="shared" si="19"/>
        <v/>
      </c>
      <c r="APM6" s="97" t="str">
        <f t="shared" si="19"/>
        <v/>
      </c>
      <c r="APN6" s="97" t="str">
        <f t="shared" si="19"/>
        <v/>
      </c>
      <c r="APO6" s="97" t="str">
        <f t="shared" si="19"/>
        <v/>
      </c>
      <c r="APP6" s="97" t="str">
        <f t="shared" si="19"/>
        <v/>
      </c>
      <c r="APQ6" s="97" t="str">
        <f t="shared" si="19"/>
        <v/>
      </c>
      <c r="APR6" s="97" t="str">
        <f t="shared" si="19"/>
        <v/>
      </c>
      <c r="APS6" s="97" t="str">
        <f t="shared" si="19"/>
        <v/>
      </c>
      <c r="APT6" s="97" t="str">
        <f t="shared" si="19"/>
        <v/>
      </c>
      <c r="APU6" s="97" t="str">
        <f t="shared" si="19"/>
        <v/>
      </c>
      <c r="APV6" s="97" t="str">
        <f t="shared" si="19"/>
        <v/>
      </c>
      <c r="APW6" s="97" t="str">
        <f t="shared" si="19"/>
        <v/>
      </c>
      <c r="APX6" s="97" t="str">
        <f t="shared" si="19"/>
        <v/>
      </c>
      <c r="APY6" s="97" t="str">
        <f t="shared" si="19"/>
        <v/>
      </c>
      <c r="APZ6" s="97" t="str">
        <f t="shared" si="19"/>
        <v/>
      </c>
      <c r="AQA6" s="97" t="str">
        <f t="shared" si="19"/>
        <v/>
      </c>
      <c r="AQB6" s="97" t="str">
        <f t="shared" si="19"/>
        <v/>
      </c>
      <c r="AQC6" s="97" t="str">
        <f t="shared" si="19"/>
        <v/>
      </c>
      <c r="AQD6" s="97" t="str">
        <f t="shared" si="19"/>
        <v/>
      </c>
      <c r="AQE6" s="97" t="str">
        <f t="shared" si="19"/>
        <v/>
      </c>
      <c r="AQF6" s="97" t="str">
        <f t="shared" si="19"/>
        <v/>
      </c>
      <c r="AQG6" s="97" t="str">
        <f t="shared" si="19"/>
        <v/>
      </c>
      <c r="AQH6" s="97" t="str">
        <f t="shared" si="19"/>
        <v/>
      </c>
      <c r="AQI6" s="97" t="str">
        <f t="shared" si="19"/>
        <v/>
      </c>
      <c r="AQJ6" s="97" t="str">
        <f t="shared" si="19"/>
        <v/>
      </c>
      <c r="AQK6" s="97" t="str">
        <f t="shared" si="19"/>
        <v/>
      </c>
      <c r="AQL6" s="97" t="str">
        <f t="shared" si="19"/>
        <v/>
      </c>
      <c r="AQM6" s="97" t="str">
        <f t="shared" si="19"/>
        <v/>
      </c>
      <c r="AQN6" s="97" t="str">
        <f t="shared" si="19"/>
        <v/>
      </c>
      <c r="AQO6" s="97" t="str">
        <f t="shared" si="19"/>
        <v/>
      </c>
      <c r="AQP6" s="97" t="str">
        <f t="shared" si="19"/>
        <v/>
      </c>
      <c r="AQQ6" s="97" t="str">
        <f t="shared" si="19"/>
        <v/>
      </c>
      <c r="AQR6" s="97" t="str">
        <f t="shared" si="19"/>
        <v/>
      </c>
      <c r="AQS6" s="97" t="str">
        <f t="shared" si="19"/>
        <v/>
      </c>
      <c r="AQT6" s="97" t="str">
        <f t="shared" si="19"/>
        <v/>
      </c>
      <c r="AQU6" s="97" t="str">
        <f t="shared" si="19"/>
        <v/>
      </c>
      <c r="AQV6" s="97" t="str">
        <f t="shared" si="19"/>
        <v/>
      </c>
      <c r="AQW6" s="97" t="str">
        <f t="shared" si="19"/>
        <v/>
      </c>
      <c r="AQX6" s="97" t="str">
        <f t="shared" si="19"/>
        <v/>
      </c>
      <c r="AQY6" s="97" t="str">
        <f t="shared" si="19"/>
        <v/>
      </c>
      <c r="AQZ6" s="97" t="str">
        <f t="shared" si="19"/>
        <v/>
      </c>
      <c r="ARA6" s="97" t="str">
        <f t="shared" si="19"/>
        <v/>
      </c>
      <c r="ARB6" s="97" t="str">
        <f t="shared" si="19"/>
        <v/>
      </c>
      <c r="ARC6" s="97" t="str">
        <f t="shared" si="19"/>
        <v/>
      </c>
      <c r="ARD6" s="97" t="str">
        <f t="shared" si="19"/>
        <v/>
      </c>
      <c r="ARE6" s="97" t="str">
        <f t="shared" si="19"/>
        <v/>
      </c>
      <c r="ARF6" s="97" t="str">
        <f t="shared" si="19"/>
        <v/>
      </c>
      <c r="ARG6" s="97" t="str">
        <f t="shared" si="19"/>
        <v/>
      </c>
      <c r="ARH6" s="97" t="str">
        <f t="shared" si="19"/>
        <v/>
      </c>
      <c r="ARI6" s="97" t="str">
        <f t="shared" si="19"/>
        <v/>
      </c>
      <c r="ARJ6" s="97" t="str">
        <f t="shared" si="19"/>
        <v/>
      </c>
      <c r="ARK6" s="97" t="str">
        <f t="shared" si="19"/>
        <v/>
      </c>
      <c r="ARL6" s="97" t="str">
        <f t="shared" si="19"/>
        <v/>
      </c>
      <c r="ARM6" s="97" t="str">
        <f t="shared" si="19"/>
        <v/>
      </c>
      <c r="ARN6" s="97" t="str">
        <f t="shared" ref="ARN6:ATY6" si="20">IFERROR(AVERAGE(ARN7:ARN13),"")</f>
        <v/>
      </c>
      <c r="ARO6" s="97" t="str">
        <f t="shared" si="20"/>
        <v/>
      </c>
      <c r="ARP6" s="97" t="str">
        <f t="shared" si="20"/>
        <v/>
      </c>
      <c r="ARQ6" s="97" t="str">
        <f t="shared" si="20"/>
        <v/>
      </c>
      <c r="ARR6" s="97" t="str">
        <f t="shared" si="20"/>
        <v/>
      </c>
      <c r="ARS6" s="97" t="str">
        <f t="shared" si="20"/>
        <v/>
      </c>
      <c r="ART6" s="97" t="str">
        <f t="shared" si="20"/>
        <v/>
      </c>
      <c r="ARU6" s="97" t="str">
        <f t="shared" si="20"/>
        <v/>
      </c>
      <c r="ARV6" s="97" t="str">
        <f t="shared" si="20"/>
        <v/>
      </c>
      <c r="ARW6" s="97" t="str">
        <f t="shared" si="20"/>
        <v/>
      </c>
      <c r="ARX6" s="97" t="str">
        <f t="shared" si="20"/>
        <v/>
      </c>
      <c r="ARY6" s="97" t="str">
        <f t="shared" si="20"/>
        <v/>
      </c>
      <c r="ARZ6" s="97" t="str">
        <f t="shared" si="20"/>
        <v/>
      </c>
      <c r="ASA6" s="97" t="str">
        <f t="shared" si="20"/>
        <v/>
      </c>
      <c r="ASB6" s="97" t="str">
        <f t="shared" si="20"/>
        <v/>
      </c>
      <c r="ASC6" s="97" t="str">
        <f t="shared" si="20"/>
        <v/>
      </c>
      <c r="ASD6" s="97" t="str">
        <f t="shared" si="20"/>
        <v/>
      </c>
      <c r="ASE6" s="97" t="str">
        <f t="shared" si="20"/>
        <v/>
      </c>
      <c r="ASF6" s="97" t="str">
        <f t="shared" si="20"/>
        <v/>
      </c>
      <c r="ASG6" s="97" t="str">
        <f t="shared" si="20"/>
        <v/>
      </c>
      <c r="ASH6" s="97" t="str">
        <f t="shared" si="20"/>
        <v/>
      </c>
      <c r="ASI6" s="97" t="str">
        <f t="shared" si="20"/>
        <v/>
      </c>
      <c r="ASJ6" s="97" t="str">
        <f t="shared" si="20"/>
        <v/>
      </c>
      <c r="ASK6" s="97" t="str">
        <f t="shared" si="20"/>
        <v/>
      </c>
      <c r="ASL6" s="97" t="str">
        <f t="shared" si="20"/>
        <v/>
      </c>
      <c r="ASM6" s="97" t="str">
        <f t="shared" si="20"/>
        <v/>
      </c>
      <c r="ASN6" s="97" t="str">
        <f t="shared" si="20"/>
        <v/>
      </c>
      <c r="ASO6" s="97" t="str">
        <f t="shared" si="20"/>
        <v/>
      </c>
      <c r="ASP6" s="97" t="str">
        <f t="shared" si="20"/>
        <v/>
      </c>
      <c r="ASQ6" s="97" t="str">
        <f t="shared" si="20"/>
        <v/>
      </c>
      <c r="ASR6" s="97" t="str">
        <f t="shared" si="20"/>
        <v/>
      </c>
      <c r="ASS6" s="97" t="str">
        <f t="shared" si="20"/>
        <v/>
      </c>
      <c r="AST6" s="97" t="str">
        <f t="shared" si="20"/>
        <v/>
      </c>
      <c r="ASU6" s="97" t="str">
        <f t="shared" si="20"/>
        <v/>
      </c>
      <c r="ASV6" s="97" t="str">
        <f t="shared" si="20"/>
        <v/>
      </c>
      <c r="ASW6" s="97" t="str">
        <f t="shared" si="20"/>
        <v/>
      </c>
      <c r="ASX6" s="97" t="str">
        <f t="shared" si="20"/>
        <v/>
      </c>
      <c r="ASY6" s="97" t="str">
        <f t="shared" si="20"/>
        <v/>
      </c>
      <c r="ASZ6" s="97" t="str">
        <f t="shared" si="20"/>
        <v/>
      </c>
      <c r="ATA6" s="97" t="str">
        <f t="shared" si="20"/>
        <v/>
      </c>
      <c r="ATB6" s="97" t="str">
        <f t="shared" si="20"/>
        <v/>
      </c>
      <c r="ATC6" s="97" t="str">
        <f t="shared" si="20"/>
        <v/>
      </c>
      <c r="ATD6" s="97" t="str">
        <f t="shared" si="20"/>
        <v/>
      </c>
      <c r="ATE6" s="97" t="str">
        <f t="shared" si="20"/>
        <v/>
      </c>
      <c r="ATF6" s="97" t="str">
        <f t="shared" si="20"/>
        <v/>
      </c>
      <c r="ATG6" s="97" t="str">
        <f t="shared" si="20"/>
        <v/>
      </c>
      <c r="ATH6" s="97" t="str">
        <f t="shared" si="20"/>
        <v/>
      </c>
      <c r="ATI6" s="97" t="str">
        <f t="shared" si="20"/>
        <v/>
      </c>
      <c r="ATJ6" s="97" t="str">
        <f t="shared" si="20"/>
        <v/>
      </c>
      <c r="ATK6" s="97" t="str">
        <f t="shared" si="20"/>
        <v/>
      </c>
      <c r="ATL6" s="97" t="str">
        <f t="shared" si="20"/>
        <v/>
      </c>
      <c r="ATM6" s="97" t="str">
        <f t="shared" si="20"/>
        <v/>
      </c>
      <c r="ATN6" s="97" t="str">
        <f t="shared" si="20"/>
        <v/>
      </c>
      <c r="ATO6" s="97" t="str">
        <f t="shared" si="20"/>
        <v/>
      </c>
      <c r="ATP6" s="97" t="str">
        <f t="shared" si="20"/>
        <v/>
      </c>
      <c r="ATQ6" s="97" t="str">
        <f t="shared" si="20"/>
        <v/>
      </c>
      <c r="ATR6" s="97" t="str">
        <f t="shared" si="20"/>
        <v/>
      </c>
      <c r="ATS6" s="97" t="str">
        <f t="shared" si="20"/>
        <v/>
      </c>
      <c r="ATT6" s="97" t="str">
        <f t="shared" si="20"/>
        <v/>
      </c>
      <c r="ATU6" s="97" t="str">
        <f t="shared" si="20"/>
        <v/>
      </c>
      <c r="ATV6" s="97" t="str">
        <f t="shared" si="20"/>
        <v/>
      </c>
      <c r="ATW6" s="97" t="str">
        <f t="shared" si="20"/>
        <v/>
      </c>
      <c r="ATX6" s="97" t="str">
        <f t="shared" si="20"/>
        <v/>
      </c>
      <c r="ATY6" s="97" t="str">
        <f t="shared" si="20"/>
        <v/>
      </c>
      <c r="ATZ6" s="97" t="str">
        <f t="shared" ref="ATZ6:AWK6" si="21">IFERROR(AVERAGE(ATZ7:ATZ13),"")</f>
        <v/>
      </c>
      <c r="AUA6" s="97" t="str">
        <f t="shared" si="21"/>
        <v/>
      </c>
      <c r="AUB6" s="97" t="str">
        <f t="shared" si="21"/>
        <v/>
      </c>
      <c r="AUC6" s="97" t="str">
        <f t="shared" si="21"/>
        <v/>
      </c>
      <c r="AUD6" s="97" t="str">
        <f t="shared" si="21"/>
        <v/>
      </c>
      <c r="AUE6" s="97" t="str">
        <f t="shared" si="21"/>
        <v/>
      </c>
      <c r="AUF6" s="97" t="str">
        <f t="shared" si="21"/>
        <v/>
      </c>
      <c r="AUG6" s="97" t="str">
        <f t="shared" si="21"/>
        <v/>
      </c>
      <c r="AUH6" s="97" t="str">
        <f t="shared" si="21"/>
        <v/>
      </c>
      <c r="AUI6" s="97" t="str">
        <f t="shared" si="21"/>
        <v/>
      </c>
      <c r="AUJ6" s="97" t="str">
        <f t="shared" si="21"/>
        <v/>
      </c>
      <c r="AUK6" s="97" t="str">
        <f t="shared" si="21"/>
        <v/>
      </c>
      <c r="AUL6" s="97" t="str">
        <f t="shared" si="21"/>
        <v/>
      </c>
      <c r="AUM6" s="97" t="str">
        <f t="shared" si="21"/>
        <v/>
      </c>
      <c r="AUN6" s="97" t="str">
        <f t="shared" si="21"/>
        <v/>
      </c>
      <c r="AUO6" s="97" t="str">
        <f t="shared" si="21"/>
        <v/>
      </c>
      <c r="AUP6" s="97" t="str">
        <f t="shared" si="21"/>
        <v/>
      </c>
      <c r="AUQ6" s="97" t="str">
        <f t="shared" si="21"/>
        <v/>
      </c>
      <c r="AUR6" s="97" t="str">
        <f t="shared" si="21"/>
        <v/>
      </c>
      <c r="AUS6" s="97" t="str">
        <f t="shared" si="21"/>
        <v/>
      </c>
      <c r="AUT6" s="97" t="str">
        <f t="shared" si="21"/>
        <v/>
      </c>
      <c r="AUU6" s="97" t="str">
        <f t="shared" si="21"/>
        <v/>
      </c>
      <c r="AUV6" s="97" t="str">
        <f t="shared" si="21"/>
        <v/>
      </c>
      <c r="AUW6" s="97" t="str">
        <f t="shared" si="21"/>
        <v/>
      </c>
      <c r="AUX6" s="97" t="str">
        <f t="shared" si="21"/>
        <v/>
      </c>
      <c r="AUY6" s="97" t="str">
        <f t="shared" si="21"/>
        <v/>
      </c>
      <c r="AUZ6" s="97" t="str">
        <f t="shared" si="21"/>
        <v/>
      </c>
      <c r="AVA6" s="97" t="str">
        <f t="shared" si="21"/>
        <v/>
      </c>
      <c r="AVB6" s="97" t="str">
        <f t="shared" si="21"/>
        <v/>
      </c>
      <c r="AVC6" s="97" t="str">
        <f t="shared" si="21"/>
        <v/>
      </c>
      <c r="AVD6" s="97" t="str">
        <f t="shared" si="21"/>
        <v/>
      </c>
      <c r="AVE6" s="97" t="str">
        <f t="shared" si="21"/>
        <v/>
      </c>
      <c r="AVF6" s="97" t="str">
        <f t="shared" si="21"/>
        <v/>
      </c>
      <c r="AVG6" s="97" t="str">
        <f t="shared" si="21"/>
        <v/>
      </c>
      <c r="AVH6" s="97" t="str">
        <f t="shared" si="21"/>
        <v/>
      </c>
      <c r="AVI6" s="97" t="str">
        <f t="shared" si="21"/>
        <v/>
      </c>
      <c r="AVJ6" s="97" t="str">
        <f t="shared" si="21"/>
        <v/>
      </c>
      <c r="AVK6" s="97" t="str">
        <f t="shared" si="21"/>
        <v/>
      </c>
      <c r="AVL6" s="97" t="str">
        <f t="shared" si="21"/>
        <v/>
      </c>
      <c r="AVM6" s="97" t="str">
        <f t="shared" si="21"/>
        <v/>
      </c>
      <c r="AVN6" s="97" t="str">
        <f t="shared" si="21"/>
        <v/>
      </c>
      <c r="AVO6" s="97" t="str">
        <f t="shared" si="21"/>
        <v/>
      </c>
      <c r="AVP6" s="97" t="str">
        <f t="shared" si="21"/>
        <v/>
      </c>
      <c r="AVQ6" s="97" t="str">
        <f t="shared" si="21"/>
        <v/>
      </c>
      <c r="AVR6" s="97" t="str">
        <f t="shared" si="21"/>
        <v/>
      </c>
      <c r="AVS6" s="97" t="str">
        <f t="shared" si="21"/>
        <v/>
      </c>
      <c r="AVT6" s="97" t="str">
        <f t="shared" si="21"/>
        <v/>
      </c>
      <c r="AVU6" s="97" t="str">
        <f t="shared" si="21"/>
        <v/>
      </c>
      <c r="AVV6" s="97" t="str">
        <f t="shared" si="21"/>
        <v/>
      </c>
      <c r="AVW6" s="97" t="str">
        <f t="shared" si="21"/>
        <v/>
      </c>
      <c r="AVX6" s="97" t="str">
        <f t="shared" si="21"/>
        <v/>
      </c>
      <c r="AVY6" s="97" t="str">
        <f t="shared" si="21"/>
        <v/>
      </c>
      <c r="AVZ6" s="97" t="str">
        <f t="shared" si="21"/>
        <v/>
      </c>
      <c r="AWA6" s="97" t="str">
        <f t="shared" si="21"/>
        <v/>
      </c>
      <c r="AWB6" s="97" t="str">
        <f t="shared" si="21"/>
        <v/>
      </c>
      <c r="AWC6" s="97" t="str">
        <f t="shared" si="21"/>
        <v/>
      </c>
      <c r="AWD6" s="97" t="str">
        <f t="shared" si="21"/>
        <v/>
      </c>
      <c r="AWE6" s="97" t="str">
        <f t="shared" si="21"/>
        <v/>
      </c>
      <c r="AWF6" s="97" t="str">
        <f t="shared" si="21"/>
        <v/>
      </c>
      <c r="AWG6" s="97" t="str">
        <f t="shared" si="21"/>
        <v/>
      </c>
      <c r="AWH6" s="97" t="str">
        <f t="shared" si="21"/>
        <v/>
      </c>
      <c r="AWI6" s="97" t="str">
        <f t="shared" si="21"/>
        <v/>
      </c>
      <c r="AWJ6" s="97" t="str">
        <f t="shared" si="21"/>
        <v/>
      </c>
      <c r="AWK6" s="97" t="str">
        <f t="shared" si="21"/>
        <v/>
      </c>
      <c r="AWL6" s="97" t="str">
        <f t="shared" ref="AWL6:AYW6" si="22">IFERROR(AVERAGE(AWL7:AWL13),"")</f>
        <v/>
      </c>
      <c r="AWM6" s="97" t="str">
        <f t="shared" si="22"/>
        <v/>
      </c>
      <c r="AWN6" s="97" t="str">
        <f t="shared" si="22"/>
        <v/>
      </c>
      <c r="AWO6" s="97" t="str">
        <f t="shared" si="22"/>
        <v/>
      </c>
      <c r="AWP6" s="97" t="str">
        <f t="shared" si="22"/>
        <v/>
      </c>
      <c r="AWQ6" s="97" t="str">
        <f t="shared" si="22"/>
        <v/>
      </c>
      <c r="AWR6" s="97" t="str">
        <f t="shared" si="22"/>
        <v/>
      </c>
      <c r="AWS6" s="97" t="str">
        <f t="shared" si="22"/>
        <v/>
      </c>
      <c r="AWT6" s="97" t="str">
        <f t="shared" si="22"/>
        <v/>
      </c>
      <c r="AWU6" s="97" t="str">
        <f t="shared" si="22"/>
        <v/>
      </c>
      <c r="AWV6" s="97" t="str">
        <f t="shared" si="22"/>
        <v/>
      </c>
      <c r="AWW6" s="97" t="str">
        <f t="shared" si="22"/>
        <v/>
      </c>
      <c r="AWX6" s="97" t="str">
        <f t="shared" si="22"/>
        <v/>
      </c>
      <c r="AWY6" s="97" t="str">
        <f t="shared" si="22"/>
        <v/>
      </c>
      <c r="AWZ6" s="97" t="str">
        <f t="shared" si="22"/>
        <v/>
      </c>
      <c r="AXA6" s="97" t="str">
        <f t="shared" si="22"/>
        <v/>
      </c>
      <c r="AXB6" s="97" t="str">
        <f t="shared" si="22"/>
        <v/>
      </c>
      <c r="AXC6" s="97" t="str">
        <f t="shared" si="22"/>
        <v/>
      </c>
      <c r="AXD6" s="97" t="str">
        <f t="shared" si="22"/>
        <v/>
      </c>
      <c r="AXE6" s="97" t="str">
        <f t="shared" si="22"/>
        <v/>
      </c>
      <c r="AXF6" s="97" t="str">
        <f t="shared" si="22"/>
        <v/>
      </c>
      <c r="AXG6" s="97" t="str">
        <f t="shared" si="22"/>
        <v/>
      </c>
      <c r="AXH6" s="97" t="str">
        <f t="shared" si="22"/>
        <v/>
      </c>
      <c r="AXI6" s="97" t="str">
        <f t="shared" si="22"/>
        <v/>
      </c>
      <c r="AXJ6" s="97" t="str">
        <f t="shared" si="22"/>
        <v/>
      </c>
      <c r="AXK6" s="97" t="str">
        <f t="shared" si="22"/>
        <v/>
      </c>
      <c r="AXL6" s="97" t="str">
        <f t="shared" si="22"/>
        <v/>
      </c>
      <c r="AXM6" s="97" t="str">
        <f t="shared" si="22"/>
        <v/>
      </c>
      <c r="AXN6" s="97" t="str">
        <f t="shared" si="22"/>
        <v/>
      </c>
      <c r="AXO6" s="97" t="str">
        <f t="shared" si="22"/>
        <v/>
      </c>
      <c r="AXP6" s="97" t="str">
        <f t="shared" si="22"/>
        <v/>
      </c>
      <c r="AXQ6" s="97" t="str">
        <f t="shared" si="22"/>
        <v/>
      </c>
      <c r="AXR6" s="97" t="str">
        <f t="shared" si="22"/>
        <v/>
      </c>
      <c r="AXS6" s="97" t="str">
        <f t="shared" si="22"/>
        <v/>
      </c>
      <c r="AXT6" s="97" t="str">
        <f t="shared" si="22"/>
        <v/>
      </c>
      <c r="AXU6" s="97" t="str">
        <f t="shared" si="22"/>
        <v/>
      </c>
      <c r="AXV6" s="97" t="str">
        <f t="shared" si="22"/>
        <v/>
      </c>
      <c r="AXW6" s="97" t="str">
        <f t="shared" si="22"/>
        <v/>
      </c>
      <c r="AXX6" s="97" t="str">
        <f t="shared" si="22"/>
        <v/>
      </c>
      <c r="AXY6" s="97" t="str">
        <f t="shared" si="22"/>
        <v/>
      </c>
      <c r="AXZ6" s="97" t="str">
        <f t="shared" si="22"/>
        <v/>
      </c>
      <c r="AYA6" s="97" t="str">
        <f t="shared" si="22"/>
        <v/>
      </c>
      <c r="AYB6" s="97" t="str">
        <f t="shared" si="22"/>
        <v/>
      </c>
      <c r="AYC6" s="97" t="str">
        <f t="shared" si="22"/>
        <v/>
      </c>
      <c r="AYD6" s="97" t="str">
        <f t="shared" si="22"/>
        <v/>
      </c>
      <c r="AYE6" s="97" t="str">
        <f t="shared" si="22"/>
        <v/>
      </c>
      <c r="AYF6" s="97" t="str">
        <f t="shared" si="22"/>
        <v/>
      </c>
      <c r="AYG6" s="97" t="str">
        <f t="shared" si="22"/>
        <v/>
      </c>
      <c r="AYH6" s="97" t="str">
        <f t="shared" si="22"/>
        <v/>
      </c>
      <c r="AYI6" s="97" t="str">
        <f t="shared" si="22"/>
        <v/>
      </c>
      <c r="AYJ6" s="97" t="str">
        <f t="shared" si="22"/>
        <v/>
      </c>
      <c r="AYK6" s="97" t="str">
        <f t="shared" si="22"/>
        <v/>
      </c>
      <c r="AYL6" s="97" t="str">
        <f t="shared" si="22"/>
        <v/>
      </c>
      <c r="AYM6" s="97" t="str">
        <f t="shared" si="22"/>
        <v/>
      </c>
      <c r="AYN6" s="97" t="str">
        <f t="shared" si="22"/>
        <v/>
      </c>
      <c r="AYO6" s="97" t="str">
        <f t="shared" si="22"/>
        <v/>
      </c>
      <c r="AYP6" s="97" t="str">
        <f t="shared" si="22"/>
        <v/>
      </c>
      <c r="AYQ6" s="97" t="str">
        <f t="shared" si="22"/>
        <v/>
      </c>
      <c r="AYR6" s="97" t="str">
        <f t="shared" si="22"/>
        <v/>
      </c>
      <c r="AYS6" s="97" t="str">
        <f t="shared" si="22"/>
        <v/>
      </c>
      <c r="AYT6" s="97" t="str">
        <f t="shared" si="22"/>
        <v/>
      </c>
      <c r="AYU6" s="97" t="str">
        <f t="shared" si="22"/>
        <v/>
      </c>
      <c r="AYV6" s="97" t="str">
        <f t="shared" si="22"/>
        <v/>
      </c>
      <c r="AYW6" s="97" t="str">
        <f t="shared" si="22"/>
        <v/>
      </c>
      <c r="AYX6" s="97" t="str">
        <f t="shared" ref="AYX6:BBI6" si="23">IFERROR(AVERAGE(AYX7:AYX13),"")</f>
        <v/>
      </c>
      <c r="AYY6" s="97" t="str">
        <f t="shared" si="23"/>
        <v/>
      </c>
      <c r="AYZ6" s="97" t="str">
        <f t="shared" si="23"/>
        <v/>
      </c>
      <c r="AZA6" s="97" t="str">
        <f t="shared" si="23"/>
        <v/>
      </c>
      <c r="AZB6" s="97" t="str">
        <f t="shared" si="23"/>
        <v/>
      </c>
      <c r="AZC6" s="97" t="str">
        <f t="shared" si="23"/>
        <v/>
      </c>
      <c r="AZD6" s="97" t="str">
        <f t="shared" si="23"/>
        <v/>
      </c>
      <c r="AZE6" s="97" t="str">
        <f t="shared" si="23"/>
        <v/>
      </c>
      <c r="AZF6" s="97" t="str">
        <f t="shared" si="23"/>
        <v/>
      </c>
      <c r="AZG6" s="97" t="str">
        <f t="shared" si="23"/>
        <v/>
      </c>
      <c r="AZH6" s="97" t="str">
        <f t="shared" si="23"/>
        <v/>
      </c>
      <c r="AZI6" s="97" t="str">
        <f t="shared" si="23"/>
        <v/>
      </c>
      <c r="AZJ6" s="97" t="str">
        <f t="shared" si="23"/>
        <v/>
      </c>
      <c r="AZK6" s="97" t="str">
        <f t="shared" si="23"/>
        <v/>
      </c>
      <c r="AZL6" s="97" t="str">
        <f t="shared" si="23"/>
        <v/>
      </c>
      <c r="AZM6" s="97" t="str">
        <f t="shared" si="23"/>
        <v/>
      </c>
      <c r="AZN6" s="97" t="str">
        <f t="shared" si="23"/>
        <v/>
      </c>
      <c r="AZO6" s="97" t="str">
        <f t="shared" si="23"/>
        <v/>
      </c>
      <c r="AZP6" s="97" t="str">
        <f t="shared" si="23"/>
        <v/>
      </c>
      <c r="AZQ6" s="97" t="str">
        <f t="shared" si="23"/>
        <v/>
      </c>
      <c r="AZR6" s="97" t="str">
        <f t="shared" si="23"/>
        <v/>
      </c>
      <c r="AZS6" s="97" t="str">
        <f t="shared" si="23"/>
        <v/>
      </c>
      <c r="AZT6" s="97" t="str">
        <f t="shared" si="23"/>
        <v/>
      </c>
      <c r="AZU6" s="97" t="str">
        <f t="shared" si="23"/>
        <v/>
      </c>
      <c r="AZV6" s="97" t="str">
        <f t="shared" si="23"/>
        <v/>
      </c>
      <c r="AZW6" s="97" t="str">
        <f t="shared" si="23"/>
        <v/>
      </c>
      <c r="AZX6" s="97" t="str">
        <f t="shared" si="23"/>
        <v/>
      </c>
      <c r="AZY6" s="97" t="str">
        <f t="shared" si="23"/>
        <v/>
      </c>
      <c r="AZZ6" s="97" t="str">
        <f t="shared" si="23"/>
        <v/>
      </c>
      <c r="BAA6" s="97" t="str">
        <f t="shared" si="23"/>
        <v/>
      </c>
      <c r="BAB6" s="97" t="str">
        <f t="shared" si="23"/>
        <v/>
      </c>
      <c r="BAC6" s="97" t="str">
        <f t="shared" si="23"/>
        <v/>
      </c>
      <c r="BAD6" s="97" t="str">
        <f t="shared" si="23"/>
        <v/>
      </c>
      <c r="BAE6" s="97" t="str">
        <f t="shared" si="23"/>
        <v/>
      </c>
      <c r="BAF6" s="97" t="str">
        <f t="shared" si="23"/>
        <v/>
      </c>
      <c r="BAG6" s="97" t="str">
        <f t="shared" si="23"/>
        <v/>
      </c>
      <c r="BAH6" s="97" t="str">
        <f t="shared" si="23"/>
        <v/>
      </c>
      <c r="BAI6" s="97" t="str">
        <f t="shared" si="23"/>
        <v/>
      </c>
      <c r="BAJ6" s="97" t="str">
        <f t="shared" si="23"/>
        <v/>
      </c>
      <c r="BAK6" s="97" t="str">
        <f t="shared" si="23"/>
        <v/>
      </c>
      <c r="BAL6" s="97" t="str">
        <f t="shared" si="23"/>
        <v/>
      </c>
      <c r="BAM6" s="97" t="str">
        <f t="shared" si="23"/>
        <v/>
      </c>
      <c r="BAN6" s="97" t="str">
        <f t="shared" si="23"/>
        <v/>
      </c>
      <c r="BAO6" s="97" t="str">
        <f t="shared" si="23"/>
        <v/>
      </c>
      <c r="BAP6" s="97" t="str">
        <f t="shared" si="23"/>
        <v/>
      </c>
      <c r="BAQ6" s="97" t="str">
        <f t="shared" si="23"/>
        <v/>
      </c>
      <c r="BAR6" s="97" t="str">
        <f t="shared" si="23"/>
        <v/>
      </c>
      <c r="BAS6" s="97" t="str">
        <f t="shared" si="23"/>
        <v/>
      </c>
      <c r="BAT6" s="97" t="str">
        <f t="shared" si="23"/>
        <v/>
      </c>
      <c r="BAU6" s="97" t="str">
        <f t="shared" si="23"/>
        <v/>
      </c>
      <c r="BAV6" s="97" t="str">
        <f t="shared" si="23"/>
        <v/>
      </c>
      <c r="BAW6" s="97" t="str">
        <f t="shared" si="23"/>
        <v/>
      </c>
      <c r="BAX6" s="97" t="str">
        <f t="shared" si="23"/>
        <v/>
      </c>
      <c r="BAY6" s="97" t="str">
        <f t="shared" si="23"/>
        <v/>
      </c>
      <c r="BAZ6" s="97" t="str">
        <f t="shared" si="23"/>
        <v/>
      </c>
      <c r="BBA6" s="97" t="str">
        <f t="shared" si="23"/>
        <v/>
      </c>
      <c r="BBB6" s="97" t="str">
        <f t="shared" si="23"/>
        <v/>
      </c>
      <c r="BBC6" s="97" t="str">
        <f t="shared" si="23"/>
        <v/>
      </c>
      <c r="BBD6" s="97" t="str">
        <f t="shared" si="23"/>
        <v/>
      </c>
      <c r="BBE6" s="97" t="str">
        <f t="shared" si="23"/>
        <v/>
      </c>
      <c r="BBF6" s="97" t="str">
        <f t="shared" si="23"/>
        <v/>
      </c>
      <c r="BBG6" s="97" t="str">
        <f t="shared" si="23"/>
        <v/>
      </c>
      <c r="BBH6" s="97" t="str">
        <f t="shared" si="23"/>
        <v/>
      </c>
      <c r="BBI6" s="97" t="str">
        <f t="shared" si="23"/>
        <v/>
      </c>
      <c r="BBJ6" s="97" t="str">
        <f t="shared" ref="BBJ6:BDU6" si="24">IFERROR(AVERAGE(BBJ7:BBJ13),"")</f>
        <v/>
      </c>
      <c r="BBK6" s="97" t="str">
        <f t="shared" si="24"/>
        <v/>
      </c>
      <c r="BBL6" s="97" t="str">
        <f t="shared" si="24"/>
        <v/>
      </c>
      <c r="BBM6" s="97" t="str">
        <f t="shared" si="24"/>
        <v/>
      </c>
      <c r="BBN6" s="97" t="str">
        <f t="shared" si="24"/>
        <v/>
      </c>
      <c r="BBO6" s="97" t="str">
        <f t="shared" si="24"/>
        <v/>
      </c>
      <c r="BBP6" s="97" t="str">
        <f t="shared" si="24"/>
        <v/>
      </c>
      <c r="BBQ6" s="97" t="str">
        <f t="shared" si="24"/>
        <v/>
      </c>
      <c r="BBR6" s="97" t="str">
        <f t="shared" si="24"/>
        <v/>
      </c>
      <c r="BBS6" s="97" t="str">
        <f t="shared" si="24"/>
        <v/>
      </c>
      <c r="BBT6" s="97" t="str">
        <f t="shared" si="24"/>
        <v/>
      </c>
      <c r="BBU6" s="97" t="str">
        <f t="shared" si="24"/>
        <v/>
      </c>
      <c r="BBV6" s="97" t="str">
        <f t="shared" si="24"/>
        <v/>
      </c>
      <c r="BBW6" s="97" t="str">
        <f t="shared" si="24"/>
        <v/>
      </c>
      <c r="BBX6" s="97" t="str">
        <f t="shared" si="24"/>
        <v/>
      </c>
      <c r="BBY6" s="97" t="str">
        <f t="shared" si="24"/>
        <v/>
      </c>
      <c r="BBZ6" s="97" t="str">
        <f t="shared" si="24"/>
        <v/>
      </c>
      <c r="BCA6" s="97" t="str">
        <f t="shared" si="24"/>
        <v/>
      </c>
      <c r="BCB6" s="97" t="str">
        <f t="shared" si="24"/>
        <v/>
      </c>
      <c r="BCC6" s="97" t="str">
        <f t="shared" si="24"/>
        <v/>
      </c>
      <c r="BCD6" s="97" t="str">
        <f t="shared" si="24"/>
        <v/>
      </c>
      <c r="BCE6" s="97" t="str">
        <f t="shared" si="24"/>
        <v/>
      </c>
      <c r="BCF6" s="97" t="str">
        <f t="shared" si="24"/>
        <v/>
      </c>
      <c r="BCG6" s="97" t="str">
        <f t="shared" si="24"/>
        <v/>
      </c>
      <c r="BCH6" s="97" t="str">
        <f t="shared" si="24"/>
        <v/>
      </c>
      <c r="BCI6" s="97" t="str">
        <f t="shared" si="24"/>
        <v/>
      </c>
      <c r="BCJ6" s="97" t="str">
        <f t="shared" si="24"/>
        <v/>
      </c>
      <c r="BCK6" s="97" t="str">
        <f t="shared" si="24"/>
        <v/>
      </c>
      <c r="BCL6" s="97" t="str">
        <f t="shared" si="24"/>
        <v/>
      </c>
      <c r="BCM6" s="97" t="str">
        <f t="shared" si="24"/>
        <v/>
      </c>
      <c r="BCN6" s="97" t="str">
        <f t="shared" si="24"/>
        <v/>
      </c>
      <c r="BCO6" s="97" t="str">
        <f t="shared" si="24"/>
        <v/>
      </c>
      <c r="BCP6" s="97" t="str">
        <f t="shared" si="24"/>
        <v/>
      </c>
      <c r="BCQ6" s="97" t="str">
        <f t="shared" si="24"/>
        <v/>
      </c>
      <c r="BCR6" s="97" t="str">
        <f t="shared" si="24"/>
        <v/>
      </c>
      <c r="BCS6" s="97" t="str">
        <f t="shared" si="24"/>
        <v/>
      </c>
      <c r="BCT6" s="97" t="str">
        <f t="shared" si="24"/>
        <v/>
      </c>
      <c r="BCU6" s="97" t="str">
        <f t="shared" si="24"/>
        <v/>
      </c>
      <c r="BCV6" s="97" t="str">
        <f t="shared" si="24"/>
        <v/>
      </c>
      <c r="BCW6" s="97" t="str">
        <f t="shared" si="24"/>
        <v/>
      </c>
      <c r="BCX6" s="97" t="str">
        <f t="shared" si="24"/>
        <v/>
      </c>
      <c r="BCY6" s="97" t="str">
        <f t="shared" si="24"/>
        <v/>
      </c>
      <c r="BCZ6" s="97" t="str">
        <f t="shared" si="24"/>
        <v/>
      </c>
      <c r="BDA6" s="97" t="str">
        <f t="shared" si="24"/>
        <v/>
      </c>
      <c r="BDB6" s="97" t="str">
        <f t="shared" si="24"/>
        <v/>
      </c>
      <c r="BDC6" s="97" t="str">
        <f t="shared" si="24"/>
        <v/>
      </c>
      <c r="BDD6" s="97" t="str">
        <f t="shared" si="24"/>
        <v/>
      </c>
      <c r="BDE6" s="97" t="str">
        <f t="shared" si="24"/>
        <v/>
      </c>
      <c r="BDF6" s="97" t="str">
        <f t="shared" si="24"/>
        <v/>
      </c>
      <c r="BDG6" s="97" t="str">
        <f t="shared" si="24"/>
        <v/>
      </c>
      <c r="BDH6" s="97" t="str">
        <f t="shared" si="24"/>
        <v/>
      </c>
      <c r="BDI6" s="97" t="str">
        <f t="shared" si="24"/>
        <v/>
      </c>
      <c r="BDJ6" s="97" t="str">
        <f t="shared" si="24"/>
        <v/>
      </c>
      <c r="BDK6" s="97" t="str">
        <f t="shared" si="24"/>
        <v/>
      </c>
      <c r="BDL6" s="97" t="str">
        <f t="shared" si="24"/>
        <v/>
      </c>
      <c r="BDM6" s="97" t="str">
        <f t="shared" si="24"/>
        <v/>
      </c>
      <c r="BDN6" s="97" t="str">
        <f t="shared" si="24"/>
        <v/>
      </c>
      <c r="BDO6" s="97" t="str">
        <f t="shared" si="24"/>
        <v/>
      </c>
      <c r="BDP6" s="97" t="str">
        <f t="shared" si="24"/>
        <v/>
      </c>
      <c r="BDQ6" s="97" t="str">
        <f t="shared" si="24"/>
        <v/>
      </c>
      <c r="BDR6" s="97" t="str">
        <f t="shared" si="24"/>
        <v/>
      </c>
      <c r="BDS6" s="97" t="str">
        <f t="shared" si="24"/>
        <v/>
      </c>
      <c r="BDT6" s="97" t="str">
        <f t="shared" si="24"/>
        <v/>
      </c>
      <c r="BDU6" s="97" t="str">
        <f t="shared" si="24"/>
        <v/>
      </c>
      <c r="BDV6" s="97" t="str">
        <f t="shared" ref="BDV6:BGG6" si="25">IFERROR(AVERAGE(BDV7:BDV13),"")</f>
        <v/>
      </c>
      <c r="BDW6" s="97" t="str">
        <f t="shared" si="25"/>
        <v/>
      </c>
      <c r="BDX6" s="97" t="str">
        <f t="shared" si="25"/>
        <v/>
      </c>
      <c r="BDY6" s="97" t="str">
        <f t="shared" si="25"/>
        <v/>
      </c>
      <c r="BDZ6" s="97" t="str">
        <f t="shared" si="25"/>
        <v/>
      </c>
      <c r="BEA6" s="97" t="str">
        <f t="shared" si="25"/>
        <v/>
      </c>
      <c r="BEB6" s="97" t="str">
        <f t="shared" si="25"/>
        <v/>
      </c>
      <c r="BEC6" s="97" t="str">
        <f t="shared" si="25"/>
        <v/>
      </c>
      <c r="BED6" s="97" t="str">
        <f t="shared" si="25"/>
        <v/>
      </c>
      <c r="BEE6" s="97" t="str">
        <f t="shared" si="25"/>
        <v/>
      </c>
      <c r="BEF6" s="97" t="str">
        <f t="shared" si="25"/>
        <v/>
      </c>
      <c r="BEG6" s="97" t="str">
        <f t="shared" si="25"/>
        <v/>
      </c>
      <c r="BEH6" s="97" t="str">
        <f t="shared" si="25"/>
        <v/>
      </c>
      <c r="BEI6" s="97" t="str">
        <f t="shared" si="25"/>
        <v/>
      </c>
      <c r="BEJ6" s="97" t="str">
        <f t="shared" si="25"/>
        <v/>
      </c>
      <c r="BEK6" s="97" t="str">
        <f t="shared" si="25"/>
        <v/>
      </c>
      <c r="BEL6" s="97" t="str">
        <f t="shared" si="25"/>
        <v/>
      </c>
      <c r="BEM6" s="97" t="str">
        <f t="shared" si="25"/>
        <v/>
      </c>
      <c r="BEN6" s="97" t="str">
        <f t="shared" si="25"/>
        <v/>
      </c>
      <c r="BEO6" s="97" t="str">
        <f t="shared" si="25"/>
        <v/>
      </c>
      <c r="BEP6" s="97" t="str">
        <f t="shared" si="25"/>
        <v/>
      </c>
      <c r="BEQ6" s="97" t="str">
        <f t="shared" si="25"/>
        <v/>
      </c>
      <c r="BER6" s="97" t="str">
        <f t="shared" si="25"/>
        <v/>
      </c>
      <c r="BES6" s="97" t="str">
        <f t="shared" si="25"/>
        <v/>
      </c>
      <c r="BET6" s="97" t="str">
        <f t="shared" si="25"/>
        <v/>
      </c>
      <c r="BEU6" s="97" t="str">
        <f t="shared" si="25"/>
        <v/>
      </c>
      <c r="BEV6" s="97" t="str">
        <f t="shared" si="25"/>
        <v/>
      </c>
      <c r="BEW6" s="97" t="str">
        <f t="shared" si="25"/>
        <v/>
      </c>
      <c r="BEX6" s="97" t="str">
        <f t="shared" si="25"/>
        <v/>
      </c>
      <c r="BEY6" s="97" t="str">
        <f t="shared" si="25"/>
        <v/>
      </c>
      <c r="BEZ6" s="97" t="str">
        <f t="shared" si="25"/>
        <v/>
      </c>
      <c r="BFA6" s="97" t="str">
        <f t="shared" si="25"/>
        <v/>
      </c>
      <c r="BFB6" s="97" t="str">
        <f t="shared" si="25"/>
        <v/>
      </c>
      <c r="BFC6" s="97" t="str">
        <f t="shared" si="25"/>
        <v/>
      </c>
      <c r="BFD6" s="97" t="str">
        <f t="shared" si="25"/>
        <v/>
      </c>
      <c r="BFE6" s="97" t="str">
        <f t="shared" si="25"/>
        <v/>
      </c>
      <c r="BFF6" s="97" t="str">
        <f t="shared" si="25"/>
        <v/>
      </c>
      <c r="BFG6" s="97" t="str">
        <f t="shared" si="25"/>
        <v/>
      </c>
      <c r="BFH6" s="97" t="str">
        <f t="shared" si="25"/>
        <v/>
      </c>
      <c r="BFI6" s="97" t="str">
        <f t="shared" si="25"/>
        <v/>
      </c>
      <c r="BFJ6" s="97" t="str">
        <f t="shared" si="25"/>
        <v/>
      </c>
      <c r="BFK6" s="97" t="str">
        <f t="shared" si="25"/>
        <v/>
      </c>
      <c r="BFL6" s="97" t="str">
        <f t="shared" si="25"/>
        <v/>
      </c>
      <c r="BFM6" s="97" t="str">
        <f t="shared" si="25"/>
        <v/>
      </c>
      <c r="BFN6" s="97" t="str">
        <f t="shared" si="25"/>
        <v/>
      </c>
      <c r="BFO6" s="97" t="str">
        <f t="shared" si="25"/>
        <v/>
      </c>
      <c r="BFP6" s="97" t="str">
        <f t="shared" si="25"/>
        <v/>
      </c>
      <c r="BFQ6" s="97" t="str">
        <f t="shared" si="25"/>
        <v/>
      </c>
      <c r="BFR6" s="97" t="str">
        <f t="shared" si="25"/>
        <v/>
      </c>
      <c r="BFS6" s="97" t="str">
        <f t="shared" si="25"/>
        <v/>
      </c>
      <c r="BFT6" s="97" t="str">
        <f t="shared" si="25"/>
        <v/>
      </c>
      <c r="BFU6" s="97" t="str">
        <f t="shared" si="25"/>
        <v/>
      </c>
      <c r="BFV6" s="97" t="str">
        <f t="shared" si="25"/>
        <v/>
      </c>
      <c r="BFW6" s="97" t="str">
        <f t="shared" si="25"/>
        <v/>
      </c>
      <c r="BFX6" s="97" t="str">
        <f t="shared" si="25"/>
        <v/>
      </c>
      <c r="BFY6" s="97" t="str">
        <f t="shared" si="25"/>
        <v/>
      </c>
      <c r="BFZ6" s="97" t="str">
        <f t="shared" si="25"/>
        <v/>
      </c>
      <c r="BGA6" s="97" t="str">
        <f t="shared" si="25"/>
        <v/>
      </c>
      <c r="BGB6" s="97" t="str">
        <f t="shared" si="25"/>
        <v/>
      </c>
      <c r="BGC6" s="97" t="str">
        <f t="shared" si="25"/>
        <v/>
      </c>
      <c r="BGD6" s="97" t="str">
        <f t="shared" si="25"/>
        <v/>
      </c>
      <c r="BGE6" s="97" t="str">
        <f t="shared" si="25"/>
        <v/>
      </c>
      <c r="BGF6" s="97" t="str">
        <f t="shared" si="25"/>
        <v/>
      </c>
      <c r="BGG6" s="97" t="str">
        <f t="shared" si="25"/>
        <v/>
      </c>
      <c r="BGH6" s="97" t="str">
        <f t="shared" ref="BGH6:BIS6" si="26">IFERROR(AVERAGE(BGH7:BGH13),"")</f>
        <v/>
      </c>
      <c r="BGI6" s="97" t="str">
        <f t="shared" si="26"/>
        <v/>
      </c>
      <c r="BGJ6" s="97" t="str">
        <f t="shared" si="26"/>
        <v/>
      </c>
      <c r="BGK6" s="97" t="str">
        <f t="shared" si="26"/>
        <v/>
      </c>
      <c r="BGL6" s="97" t="str">
        <f t="shared" si="26"/>
        <v/>
      </c>
      <c r="BGM6" s="97" t="str">
        <f t="shared" si="26"/>
        <v/>
      </c>
      <c r="BGN6" s="97" t="str">
        <f t="shared" si="26"/>
        <v/>
      </c>
      <c r="BGO6" s="97" t="str">
        <f t="shared" si="26"/>
        <v/>
      </c>
      <c r="BGP6" s="97" t="str">
        <f t="shared" si="26"/>
        <v/>
      </c>
      <c r="BGQ6" s="97" t="str">
        <f t="shared" si="26"/>
        <v/>
      </c>
      <c r="BGR6" s="97" t="str">
        <f t="shared" si="26"/>
        <v/>
      </c>
      <c r="BGS6" s="97" t="str">
        <f t="shared" si="26"/>
        <v/>
      </c>
      <c r="BGT6" s="97" t="str">
        <f t="shared" si="26"/>
        <v/>
      </c>
      <c r="BGU6" s="97" t="str">
        <f t="shared" si="26"/>
        <v/>
      </c>
      <c r="BGV6" s="97" t="str">
        <f t="shared" si="26"/>
        <v/>
      </c>
      <c r="BGW6" s="97" t="str">
        <f t="shared" si="26"/>
        <v/>
      </c>
      <c r="BGX6" s="97" t="str">
        <f t="shared" si="26"/>
        <v/>
      </c>
      <c r="BGY6" s="97" t="str">
        <f t="shared" si="26"/>
        <v/>
      </c>
      <c r="BGZ6" s="97" t="str">
        <f t="shared" si="26"/>
        <v/>
      </c>
      <c r="BHA6" s="97" t="str">
        <f t="shared" si="26"/>
        <v/>
      </c>
      <c r="BHB6" s="97" t="str">
        <f t="shared" si="26"/>
        <v/>
      </c>
      <c r="BHC6" s="97" t="str">
        <f t="shared" si="26"/>
        <v/>
      </c>
      <c r="BHD6" s="97" t="str">
        <f t="shared" si="26"/>
        <v/>
      </c>
      <c r="BHE6" s="97" t="str">
        <f t="shared" si="26"/>
        <v/>
      </c>
      <c r="BHF6" s="97" t="str">
        <f t="shared" si="26"/>
        <v/>
      </c>
      <c r="BHG6" s="97" t="str">
        <f t="shared" si="26"/>
        <v/>
      </c>
      <c r="BHH6" s="97" t="str">
        <f t="shared" si="26"/>
        <v/>
      </c>
      <c r="BHI6" s="97" t="str">
        <f t="shared" si="26"/>
        <v/>
      </c>
      <c r="BHJ6" s="97" t="str">
        <f t="shared" si="26"/>
        <v/>
      </c>
      <c r="BHK6" s="97" t="str">
        <f t="shared" si="26"/>
        <v/>
      </c>
      <c r="BHL6" s="97" t="str">
        <f t="shared" si="26"/>
        <v/>
      </c>
      <c r="BHM6" s="97" t="str">
        <f t="shared" si="26"/>
        <v/>
      </c>
      <c r="BHN6" s="97" t="str">
        <f t="shared" si="26"/>
        <v/>
      </c>
      <c r="BHO6" s="97" t="str">
        <f t="shared" si="26"/>
        <v/>
      </c>
      <c r="BHP6" s="97" t="str">
        <f t="shared" si="26"/>
        <v/>
      </c>
      <c r="BHQ6" s="97" t="str">
        <f t="shared" si="26"/>
        <v/>
      </c>
      <c r="BHR6" s="97" t="str">
        <f t="shared" si="26"/>
        <v/>
      </c>
      <c r="BHS6" s="97" t="str">
        <f t="shared" si="26"/>
        <v/>
      </c>
      <c r="BHT6" s="97" t="str">
        <f t="shared" si="26"/>
        <v/>
      </c>
      <c r="BHU6" s="97" t="str">
        <f t="shared" si="26"/>
        <v/>
      </c>
      <c r="BHV6" s="97" t="str">
        <f t="shared" si="26"/>
        <v/>
      </c>
      <c r="BHW6" s="97" t="str">
        <f t="shared" si="26"/>
        <v/>
      </c>
      <c r="BHX6" s="97" t="str">
        <f t="shared" si="26"/>
        <v/>
      </c>
      <c r="BHY6" s="97" t="str">
        <f t="shared" si="26"/>
        <v/>
      </c>
      <c r="BHZ6" s="97" t="str">
        <f t="shared" si="26"/>
        <v/>
      </c>
      <c r="BIA6" s="97" t="str">
        <f t="shared" si="26"/>
        <v/>
      </c>
      <c r="BIB6" s="97" t="str">
        <f t="shared" si="26"/>
        <v/>
      </c>
      <c r="BIC6" s="97" t="str">
        <f t="shared" si="26"/>
        <v/>
      </c>
      <c r="BID6" s="97" t="str">
        <f t="shared" si="26"/>
        <v/>
      </c>
      <c r="BIE6" s="97" t="str">
        <f t="shared" si="26"/>
        <v/>
      </c>
      <c r="BIF6" s="97" t="str">
        <f t="shared" si="26"/>
        <v/>
      </c>
      <c r="BIG6" s="97" t="str">
        <f t="shared" si="26"/>
        <v/>
      </c>
      <c r="BIH6" s="97" t="str">
        <f t="shared" si="26"/>
        <v/>
      </c>
      <c r="BII6" s="97" t="str">
        <f t="shared" si="26"/>
        <v/>
      </c>
      <c r="BIJ6" s="97" t="str">
        <f t="shared" si="26"/>
        <v/>
      </c>
      <c r="BIK6" s="97" t="str">
        <f t="shared" si="26"/>
        <v/>
      </c>
      <c r="BIL6" s="97" t="str">
        <f t="shared" si="26"/>
        <v/>
      </c>
      <c r="BIM6" s="97" t="str">
        <f t="shared" si="26"/>
        <v/>
      </c>
      <c r="BIN6" s="97" t="str">
        <f t="shared" si="26"/>
        <v/>
      </c>
      <c r="BIO6" s="97" t="str">
        <f t="shared" si="26"/>
        <v/>
      </c>
      <c r="BIP6" s="97" t="str">
        <f t="shared" si="26"/>
        <v/>
      </c>
      <c r="BIQ6" s="97" t="str">
        <f t="shared" si="26"/>
        <v/>
      </c>
      <c r="BIR6" s="97" t="str">
        <f t="shared" si="26"/>
        <v/>
      </c>
      <c r="BIS6" s="97" t="str">
        <f t="shared" si="26"/>
        <v/>
      </c>
      <c r="BIT6" s="97" t="str">
        <f t="shared" ref="BIT6:BLE6" si="27">IFERROR(AVERAGE(BIT7:BIT13),"")</f>
        <v/>
      </c>
      <c r="BIU6" s="97" t="str">
        <f t="shared" si="27"/>
        <v/>
      </c>
      <c r="BIV6" s="97" t="str">
        <f t="shared" si="27"/>
        <v/>
      </c>
      <c r="BIW6" s="97" t="str">
        <f t="shared" si="27"/>
        <v/>
      </c>
      <c r="BIX6" s="97" t="str">
        <f t="shared" si="27"/>
        <v/>
      </c>
      <c r="BIY6" s="97" t="str">
        <f t="shared" si="27"/>
        <v/>
      </c>
      <c r="BIZ6" s="97" t="str">
        <f t="shared" si="27"/>
        <v/>
      </c>
      <c r="BJA6" s="97" t="str">
        <f t="shared" si="27"/>
        <v/>
      </c>
      <c r="BJB6" s="97" t="str">
        <f t="shared" si="27"/>
        <v/>
      </c>
      <c r="BJC6" s="97" t="str">
        <f t="shared" si="27"/>
        <v/>
      </c>
      <c r="BJD6" s="97" t="str">
        <f t="shared" si="27"/>
        <v/>
      </c>
      <c r="BJE6" s="97" t="str">
        <f t="shared" si="27"/>
        <v/>
      </c>
      <c r="BJF6" s="97" t="str">
        <f t="shared" si="27"/>
        <v/>
      </c>
      <c r="BJG6" s="97" t="str">
        <f t="shared" si="27"/>
        <v/>
      </c>
      <c r="BJH6" s="97" t="str">
        <f t="shared" si="27"/>
        <v/>
      </c>
      <c r="BJI6" s="97" t="str">
        <f t="shared" si="27"/>
        <v/>
      </c>
      <c r="BJJ6" s="97" t="str">
        <f t="shared" si="27"/>
        <v/>
      </c>
      <c r="BJK6" s="97" t="str">
        <f t="shared" si="27"/>
        <v/>
      </c>
      <c r="BJL6" s="97" t="str">
        <f t="shared" si="27"/>
        <v/>
      </c>
      <c r="BJM6" s="97" t="str">
        <f t="shared" si="27"/>
        <v/>
      </c>
      <c r="BJN6" s="97" t="str">
        <f t="shared" si="27"/>
        <v/>
      </c>
      <c r="BJO6" s="97" t="str">
        <f t="shared" si="27"/>
        <v/>
      </c>
      <c r="BJP6" s="97" t="str">
        <f t="shared" si="27"/>
        <v/>
      </c>
      <c r="BJQ6" s="97" t="str">
        <f t="shared" si="27"/>
        <v/>
      </c>
      <c r="BJR6" s="97" t="str">
        <f t="shared" si="27"/>
        <v/>
      </c>
      <c r="BJS6" s="97" t="str">
        <f t="shared" si="27"/>
        <v/>
      </c>
      <c r="BJT6" s="97" t="str">
        <f t="shared" si="27"/>
        <v/>
      </c>
      <c r="BJU6" s="97" t="str">
        <f t="shared" si="27"/>
        <v/>
      </c>
      <c r="BJV6" s="97" t="str">
        <f t="shared" si="27"/>
        <v/>
      </c>
      <c r="BJW6" s="97" t="str">
        <f t="shared" si="27"/>
        <v/>
      </c>
      <c r="BJX6" s="97" t="str">
        <f t="shared" si="27"/>
        <v/>
      </c>
      <c r="BJY6" s="97" t="str">
        <f t="shared" si="27"/>
        <v/>
      </c>
      <c r="BJZ6" s="97" t="str">
        <f t="shared" si="27"/>
        <v/>
      </c>
      <c r="BKA6" s="97" t="str">
        <f t="shared" si="27"/>
        <v/>
      </c>
      <c r="BKB6" s="97" t="str">
        <f t="shared" si="27"/>
        <v/>
      </c>
      <c r="BKC6" s="97" t="str">
        <f t="shared" si="27"/>
        <v/>
      </c>
      <c r="BKD6" s="97" t="str">
        <f t="shared" si="27"/>
        <v/>
      </c>
      <c r="BKE6" s="97" t="str">
        <f t="shared" si="27"/>
        <v/>
      </c>
      <c r="BKF6" s="97" t="str">
        <f t="shared" si="27"/>
        <v/>
      </c>
      <c r="BKG6" s="97" t="str">
        <f t="shared" si="27"/>
        <v/>
      </c>
      <c r="BKH6" s="97" t="str">
        <f t="shared" si="27"/>
        <v/>
      </c>
      <c r="BKI6" s="97" t="str">
        <f t="shared" si="27"/>
        <v/>
      </c>
      <c r="BKJ6" s="97" t="str">
        <f t="shared" si="27"/>
        <v/>
      </c>
      <c r="BKK6" s="97" t="str">
        <f t="shared" si="27"/>
        <v/>
      </c>
      <c r="BKL6" s="97" t="str">
        <f t="shared" si="27"/>
        <v/>
      </c>
      <c r="BKM6" s="97" t="str">
        <f t="shared" si="27"/>
        <v/>
      </c>
      <c r="BKN6" s="97" t="str">
        <f t="shared" si="27"/>
        <v/>
      </c>
      <c r="BKO6" s="97" t="str">
        <f t="shared" si="27"/>
        <v/>
      </c>
      <c r="BKP6" s="97" t="str">
        <f t="shared" si="27"/>
        <v/>
      </c>
      <c r="BKQ6" s="97" t="str">
        <f t="shared" si="27"/>
        <v/>
      </c>
      <c r="BKR6" s="97" t="str">
        <f t="shared" si="27"/>
        <v/>
      </c>
      <c r="BKS6" s="97" t="str">
        <f t="shared" si="27"/>
        <v/>
      </c>
      <c r="BKT6" s="97" t="str">
        <f t="shared" si="27"/>
        <v/>
      </c>
      <c r="BKU6" s="97" t="str">
        <f t="shared" si="27"/>
        <v/>
      </c>
      <c r="BKV6" s="97" t="str">
        <f t="shared" si="27"/>
        <v/>
      </c>
      <c r="BKW6" s="97" t="str">
        <f t="shared" si="27"/>
        <v/>
      </c>
      <c r="BKX6" s="97" t="str">
        <f t="shared" si="27"/>
        <v/>
      </c>
      <c r="BKY6" s="97" t="str">
        <f t="shared" si="27"/>
        <v/>
      </c>
      <c r="BKZ6" s="97" t="str">
        <f t="shared" si="27"/>
        <v/>
      </c>
      <c r="BLA6" s="97" t="str">
        <f t="shared" si="27"/>
        <v/>
      </c>
      <c r="BLB6" s="97" t="str">
        <f t="shared" si="27"/>
        <v/>
      </c>
      <c r="BLC6" s="97" t="str">
        <f t="shared" si="27"/>
        <v/>
      </c>
      <c r="BLD6" s="97" t="str">
        <f t="shared" si="27"/>
        <v/>
      </c>
      <c r="BLE6" s="97" t="str">
        <f t="shared" si="27"/>
        <v/>
      </c>
      <c r="BLF6" s="97" t="str">
        <f t="shared" ref="BLF6:BNQ6" si="28">IFERROR(AVERAGE(BLF7:BLF13),"")</f>
        <v/>
      </c>
      <c r="BLG6" s="97" t="str">
        <f t="shared" si="28"/>
        <v/>
      </c>
      <c r="BLH6" s="97" t="str">
        <f t="shared" si="28"/>
        <v/>
      </c>
      <c r="BLI6" s="97" t="str">
        <f t="shared" si="28"/>
        <v/>
      </c>
      <c r="BLJ6" s="97" t="str">
        <f t="shared" si="28"/>
        <v/>
      </c>
      <c r="BLK6" s="97" t="str">
        <f t="shared" si="28"/>
        <v/>
      </c>
      <c r="BLL6" s="97" t="str">
        <f t="shared" si="28"/>
        <v/>
      </c>
      <c r="BLM6" s="97" t="str">
        <f t="shared" si="28"/>
        <v/>
      </c>
      <c r="BLN6" s="97" t="str">
        <f t="shared" si="28"/>
        <v/>
      </c>
      <c r="BLO6" s="97" t="str">
        <f t="shared" si="28"/>
        <v/>
      </c>
      <c r="BLP6" s="97" t="str">
        <f t="shared" si="28"/>
        <v/>
      </c>
      <c r="BLQ6" s="97" t="str">
        <f t="shared" si="28"/>
        <v/>
      </c>
      <c r="BLR6" s="97" t="str">
        <f t="shared" si="28"/>
        <v/>
      </c>
      <c r="BLS6" s="97" t="str">
        <f t="shared" si="28"/>
        <v/>
      </c>
      <c r="BLT6" s="97" t="str">
        <f t="shared" si="28"/>
        <v/>
      </c>
      <c r="BLU6" s="97" t="str">
        <f t="shared" si="28"/>
        <v/>
      </c>
      <c r="BLV6" s="97" t="str">
        <f t="shared" si="28"/>
        <v/>
      </c>
      <c r="BLW6" s="97" t="str">
        <f t="shared" si="28"/>
        <v/>
      </c>
      <c r="BLX6" s="97" t="str">
        <f t="shared" si="28"/>
        <v/>
      </c>
      <c r="BLY6" s="97" t="str">
        <f t="shared" si="28"/>
        <v/>
      </c>
      <c r="BLZ6" s="97" t="str">
        <f t="shared" si="28"/>
        <v/>
      </c>
      <c r="BMA6" s="97" t="str">
        <f t="shared" si="28"/>
        <v/>
      </c>
      <c r="BMB6" s="97" t="str">
        <f t="shared" si="28"/>
        <v/>
      </c>
      <c r="BMC6" s="97" t="str">
        <f t="shared" si="28"/>
        <v/>
      </c>
      <c r="BMD6" s="97" t="str">
        <f t="shared" si="28"/>
        <v/>
      </c>
      <c r="BME6" s="97" t="str">
        <f t="shared" si="28"/>
        <v/>
      </c>
      <c r="BMF6" s="97" t="str">
        <f t="shared" si="28"/>
        <v/>
      </c>
      <c r="BMG6" s="97" t="str">
        <f t="shared" si="28"/>
        <v/>
      </c>
      <c r="BMH6" s="97" t="str">
        <f t="shared" si="28"/>
        <v/>
      </c>
      <c r="BMI6" s="97" t="str">
        <f t="shared" si="28"/>
        <v/>
      </c>
      <c r="BMJ6" s="97" t="str">
        <f t="shared" si="28"/>
        <v/>
      </c>
      <c r="BMK6" s="97" t="str">
        <f t="shared" si="28"/>
        <v/>
      </c>
      <c r="BML6" s="97" t="str">
        <f t="shared" si="28"/>
        <v/>
      </c>
      <c r="BMM6" s="97" t="str">
        <f t="shared" si="28"/>
        <v/>
      </c>
      <c r="BMN6" s="97" t="str">
        <f t="shared" si="28"/>
        <v/>
      </c>
      <c r="BMO6" s="97" t="str">
        <f t="shared" si="28"/>
        <v/>
      </c>
      <c r="BMP6" s="97" t="str">
        <f t="shared" si="28"/>
        <v/>
      </c>
      <c r="BMQ6" s="97" t="str">
        <f t="shared" si="28"/>
        <v/>
      </c>
      <c r="BMR6" s="97" t="str">
        <f t="shared" si="28"/>
        <v/>
      </c>
      <c r="BMS6" s="97" t="str">
        <f t="shared" si="28"/>
        <v/>
      </c>
      <c r="BMT6" s="97" t="str">
        <f t="shared" si="28"/>
        <v/>
      </c>
      <c r="BMU6" s="97" t="str">
        <f t="shared" si="28"/>
        <v/>
      </c>
      <c r="BMV6" s="97" t="str">
        <f t="shared" si="28"/>
        <v/>
      </c>
      <c r="BMW6" s="97" t="str">
        <f t="shared" si="28"/>
        <v/>
      </c>
      <c r="BMX6" s="97" t="str">
        <f t="shared" si="28"/>
        <v/>
      </c>
      <c r="BMY6" s="97" t="str">
        <f t="shared" si="28"/>
        <v/>
      </c>
      <c r="BMZ6" s="97" t="str">
        <f t="shared" si="28"/>
        <v/>
      </c>
      <c r="BNA6" s="97" t="str">
        <f t="shared" si="28"/>
        <v/>
      </c>
      <c r="BNB6" s="97" t="str">
        <f t="shared" si="28"/>
        <v/>
      </c>
      <c r="BNC6" s="97" t="str">
        <f t="shared" si="28"/>
        <v/>
      </c>
      <c r="BND6" s="97" t="str">
        <f t="shared" si="28"/>
        <v/>
      </c>
      <c r="BNE6" s="97" t="str">
        <f t="shared" si="28"/>
        <v/>
      </c>
      <c r="BNF6" s="97" t="str">
        <f t="shared" si="28"/>
        <v/>
      </c>
      <c r="BNG6" s="97" t="str">
        <f t="shared" si="28"/>
        <v/>
      </c>
      <c r="BNH6" s="97" t="str">
        <f t="shared" si="28"/>
        <v/>
      </c>
      <c r="BNI6" s="97" t="str">
        <f t="shared" si="28"/>
        <v/>
      </c>
      <c r="BNJ6" s="97" t="str">
        <f t="shared" si="28"/>
        <v/>
      </c>
      <c r="BNK6" s="97" t="str">
        <f t="shared" si="28"/>
        <v/>
      </c>
      <c r="BNL6" s="97" t="str">
        <f t="shared" si="28"/>
        <v/>
      </c>
      <c r="BNM6" s="97" t="str">
        <f t="shared" si="28"/>
        <v/>
      </c>
      <c r="BNN6" s="97" t="str">
        <f t="shared" si="28"/>
        <v/>
      </c>
      <c r="BNO6" s="97" t="str">
        <f t="shared" si="28"/>
        <v/>
      </c>
      <c r="BNP6" s="97" t="str">
        <f t="shared" si="28"/>
        <v/>
      </c>
      <c r="BNQ6" s="97" t="str">
        <f t="shared" si="28"/>
        <v/>
      </c>
      <c r="BNR6" s="97" t="str">
        <f t="shared" ref="BNR6:BQC6" si="29">IFERROR(AVERAGE(BNR7:BNR13),"")</f>
        <v/>
      </c>
      <c r="BNS6" s="97" t="str">
        <f t="shared" si="29"/>
        <v/>
      </c>
      <c r="BNT6" s="97" t="str">
        <f t="shared" si="29"/>
        <v/>
      </c>
      <c r="BNU6" s="97" t="str">
        <f t="shared" si="29"/>
        <v/>
      </c>
      <c r="BNV6" s="97" t="str">
        <f t="shared" si="29"/>
        <v/>
      </c>
      <c r="BNW6" s="97" t="str">
        <f t="shared" si="29"/>
        <v/>
      </c>
      <c r="BNX6" s="97" t="str">
        <f t="shared" si="29"/>
        <v/>
      </c>
      <c r="BNY6" s="97" t="str">
        <f t="shared" si="29"/>
        <v/>
      </c>
      <c r="BNZ6" s="97" t="str">
        <f t="shared" si="29"/>
        <v/>
      </c>
      <c r="BOA6" s="97" t="str">
        <f t="shared" si="29"/>
        <v/>
      </c>
      <c r="BOB6" s="97" t="str">
        <f t="shared" si="29"/>
        <v/>
      </c>
      <c r="BOC6" s="97" t="str">
        <f t="shared" si="29"/>
        <v/>
      </c>
      <c r="BOD6" s="97" t="str">
        <f t="shared" si="29"/>
        <v/>
      </c>
      <c r="BOE6" s="97" t="str">
        <f t="shared" si="29"/>
        <v/>
      </c>
      <c r="BOF6" s="97" t="str">
        <f t="shared" si="29"/>
        <v/>
      </c>
      <c r="BOG6" s="97" t="str">
        <f t="shared" si="29"/>
        <v/>
      </c>
      <c r="BOH6" s="97" t="str">
        <f t="shared" si="29"/>
        <v/>
      </c>
      <c r="BOI6" s="97" t="str">
        <f t="shared" si="29"/>
        <v/>
      </c>
      <c r="BOJ6" s="97" t="str">
        <f t="shared" si="29"/>
        <v/>
      </c>
      <c r="BOK6" s="97" t="str">
        <f t="shared" si="29"/>
        <v/>
      </c>
      <c r="BOL6" s="97" t="str">
        <f t="shared" si="29"/>
        <v/>
      </c>
      <c r="BOM6" s="97" t="str">
        <f t="shared" si="29"/>
        <v/>
      </c>
      <c r="BON6" s="97" t="str">
        <f t="shared" si="29"/>
        <v/>
      </c>
      <c r="BOO6" s="97" t="str">
        <f t="shared" si="29"/>
        <v/>
      </c>
      <c r="BOP6" s="97" t="str">
        <f t="shared" si="29"/>
        <v/>
      </c>
      <c r="BOQ6" s="97" t="str">
        <f t="shared" si="29"/>
        <v/>
      </c>
      <c r="BOR6" s="97" t="str">
        <f t="shared" si="29"/>
        <v/>
      </c>
      <c r="BOS6" s="97" t="str">
        <f t="shared" si="29"/>
        <v/>
      </c>
      <c r="BOT6" s="97" t="str">
        <f t="shared" si="29"/>
        <v/>
      </c>
      <c r="BOU6" s="97" t="str">
        <f t="shared" si="29"/>
        <v/>
      </c>
      <c r="BOV6" s="97" t="str">
        <f t="shared" si="29"/>
        <v/>
      </c>
      <c r="BOW6" s="97" t="str">
        <f t="shared" si="29"/>
        <v/>
      </c>
      <c r="BOX6" s="97" t="str">
        <f t="shared" si="29"/>
        <v/>
      </c>
      <c r="BOY6" s="97" t="str">
        <f t="shared" si="29"/>
        <v/>
      </c>
      <c r="BOZ6" s="97" t="str">
        <f t="shared" si="29"/>
        <v/>
      </c>
      <c r="BPA6" s="97" t="str">
        <f t="shared" si="29"/>
        <v/>
      </c>
      <c r="BPB6" s="97" t="str">
        <f t="shared" si="29"/>
        <v/>
      </c>
      <c r="BPC6" s="97" t="str">
        <f t="shared" si="29"/>
        <v/>
      </c>
      <c r="BPD6" s="97" t="str">
        <f t="shared" si="29"/>
        <v/>
      </c>
      <c r="BPE6" s="97" t="str">
        <f t="shared" si="29"/>
        <v/>
      </c>
      <c r="BPF6" s="97" t="str">
        <f t="shared" si="29"/>
        <v/>
      </c>
      <c r="BPG6" s="97" t="str">
        <f t="shared" si="29"/>
        <v/>
      </c>
      <c r="BPH6" s="97" t="str">
        <f t="shared" si="29"/>
        <v/>
      </c>
      <c r="BPI6" s="97" t="str">
        <f t="shared" si="29"/>
        <v/>
      </c>
      <c r="BPJ6" s="97" t="str">
        <f t="shared" si="29"/>
        <v/>
      </c>
      <c r="BPK6" s="97" t="str">
        <f t="shared" si="29"/>
        <v/>
      </c>
      <c r="BPL6" s="97" t="str">
        <f t="shared" si="29"/>
        <v/>
      </c>
      <c r="BPM6" s="97" t="str">
        <f t="shared" si="29"/>
        <v/>
      </c>
      <c r="BPN6" s="97" t="str">
        <f t="shared" si="29"/>
        <v/>
      </c>
      <c r="BPO6" s="97" t="str">
        <f t="shared" si="29"/>
        <v/>
      </c>
      <c r="BPP6" s="97" t="str">
        <f t="shared" si="29"/>
        <v/>
      </c>
      <c r="BPQ6" s="97" t="str">
        <f t="shared" si="29"/>
        <v/>
      </c>
      <c r="BPR6" s="97" t="str">
        <f t="shared" si="29"/>
        <v/>
      </c>
      <c r="BPS6" s="97" t="str">
        <f t="shared" si="29"/>
        <v/>
      </c>
      <c r="BPT6" s="97" t="str">
        <f t="shared" si="29"/>
        <v/>
      </c>
      <c r="BPU6" s="97" t="str">
        <f t="shared" si="29"/>
        <v/>
      </c>
      <c r="BPV6" s="97" t="str">
        <f t="shared" si="29"/>
        <v/>
      </c>
      <c r="BPW6" s="97" t="str">
        <f t="shared" si="29"/>
        <v/>
      </c>
      <c r="BPX6" s="97" t="str">
        <f t="shared" si="29"/>
        <v/>
      </c>
      <c r="BPY6" s="97" t="str">
        <f t="shared" si="29"/>
        <v/>
      </c>
      <c r="BPZ6" s="97" t="str">
        <f t="shared" si="29"/>
        <v/>
      </c>
      <c r="BQA6" s="97" t="str">
        <f t="shared" si="29"/>
        <v/>
      </c>
      <c r="BQB6" s="97" t="str">
        <f t="shared" si="29"/>
        <v/>
      </c>
      <c r="BQC6" s="97" t="str">
        <f t="shared" si="29"/>
        <v/>
      </c>
      <c r="BQD6" s="97" t="str">
        <f t="shared" ref="BQD6:BSO6" si="30">IFERROR(AVERAGE(BQD7:BQD13),"")</f>
        <v/>
      </c>
      <c r="BQE6" s="97" t="str">
        <f t="shared" si="30"/>
        <v/>
      </c>
      <c r="BQF6" s="97" t="str">
        <f t="shared" si="30"/>
        <v/>
      </c>
      <c r="BQG6" s="97" t="str">
        <f t="shared" si="30"/>
        <v/>
      </c>
      <c r="BQH6" s="97" t="str">
        <f t="shared" si="30"/>
        <v/>
      </c>
      <c r="BQI6" s="97" t="str">
        <f t="shared" si="30"/>
        <v/>
      </c>
      <c r="BQJ6" s="97" t="str">
        <f t="shared" si="30"/>
        <v/>
      </c>
      <c r="BQK6" s="97" t="str">
        <f t="shared" si="30"/>
        <v/>
      </c>
      <c r="BQL6" s="97" t="str">
        <f t="shared" si="30"/>
        <v/>
      </c>
      <c r="BQM6" s="97" t="str">
        <f t="shared" si="30"/>
        <v/>
      </c>
      <c r="BQN6" s="97" t="str">
        <f t="shared" si="30"/>
        <v/>
      </c>
      <c r="BQO6" s="97" t="str">
        <f t="shared" si="30"/>
        <v/>
      </c>
      <c r="BQP6" s="97" t="str">
        <f t="shared" si="30"/>
        <v/>
      </c>
      <c r="BQQ6" s="97" t="str">
        <f t="shared" si="30"/>
        <v/>
      </c>
      <c r="BQR6" s="97" t="str">
        <f t="shared" si="30"/>
        <v/>
      </c>
      <c r="BQS6" s="97" t="str">
        <f t="shared" si="30"/>
        <v/>
      </c>
      <c r="BQT6" s="97" t="str">
        <f t="shared" si="30"/>
        <v/>
      </c>
      <c r="BQU6" s="97" t="str">
        <f t="shared" si="30"/>
        <v/>
      </c>
      <c r="BQV6" s="97" t="str">
        <f t="shared" si="30"/>
        <v/>
      </c>
      <c r="BQW6" s="97" t="str">
        <f t="shared" si="30"/>
        <v/>
      </c>
      <c r="BQX6" s="97" t="str">
        <f t="shared" si="30"/>
        <v/>
      </c>
      <c r="BQY6" s="97" t="str">
        <f t="shared" si="30"/>
        <v/>
      </c>
      <c r="BQZ6" s="97" t="str">
        <f t="shared" si="30"/>
        <v/>
      </c>
      <c r="BRA6" s="97" t="str">
        <f t="shared" si="30"/>
        <v/>
      </c>
      <c r="BRB6" s="97" t="str">
        <f t="shared" si="30"/>
        <v/>
      </c>
      <c r="BRC6" s="97" t="str">
        <f t="shared" si="30"/>
        <v/>
      </c>
      <c r="BRD6" s="97" t="str">
        <f t="shared" si="30"/>
        <v/>
      </c>
      <c r="BRE6" s="97" t="str">
        <f t="shared" si="30"/>
        <v/>
      </c>
      <c r="BRF6" s="97" t="str">
        <f t="shared" si="30"/>
        <v/>
      </c>
      <c r="BRG6" s="97" t="str">
        <f t="shared" si="30"/>
        <v/>
      </c>
      <c r="BRH6" s="97" t="str">
        <f t="shared" si="30"/>
        <v/>
      </c>
      <c r="BRI6" s="97" t="str">
        <f t="shared" si="30"/>
        <v/>
      </c>
      <c r="BRJ6" s="97" t="str">
        <f t="shared" si="30"/>
        <v/>
      </c>
      <c r="BRK6" s="97" t="str">
        <f t="shared" si="30"/>
        <v/>
      </c>
      <c r="BRL6" s="97" t="str">
        <f t="shared" si="30"/>
        <v/>
      </c>
      <c r="BRM6" s="97" t="str">
        <f t="shared" si="30"/>
        <v/>
      </c>
      <c r="BRN6" s="97" t="str">
        <f t="shared" si="30"/>
        <v/>
      </c>
      <c r="BRO6" s="97" t="str">
        <f t="shared" si="30"/>
        <v/>
      </c>
      <c r="BRP6" s="97" t="str">
        <f t="shared" si="30"/>
        <v/>
      </c>
      <c r="BRQ6" s="97" t="str">
        <f t="shared" si="30"/>
        <v/>
      </c>
      <c r="BRR6" s="97" t="str">
        <f t="shared" si="30"/>
        <v/>
      </c>
      <c r="BRS6" s="97" t="str">
        <f t="shared" si="30"/>
        <v/>
      </c>
      <c r="BRT6" s="97" t="str">
        <f t="shared" si="30"/>
        <v/>
      </c>
      <c r="BRU6" s="97" t="str">
        <f t="shared" si="30"/>
        <v/>
      </c>
      <c r="BRV6" s="97" t="str">
        <f t="shared" si="30"/>
        <v/>
      </c>
      <c r="BRW6" s="97" t="str">
        <f t="shared" si="30"/>
        <v/>
      </c>
      <c r="BRX6" s="97" t="str">
        <f t="shared" si="30"/>
        <v/>
      </c>
      <c r="BRY6" s="97" t="str">
        <f t="shared" si="30"/>
        <v/>
      </c>
      <c r="BRZ6" s="97" t="str">
        <f t="shared" si="30"/>
        <v/>
      </c>
      <c r="BSA6" s="97" t="str">
        <f t="shared" si="30"/>
        <v/>
      </c>
      <c r="BSB6" s="97" t="str">
        <f t="shared" si="30"/>
        <v/>
      </c>
      <c r="BSC6" s="97" t="str">
        <f t="shared" si="30"/>
        <v/>
      </c>
      <c r="BSD6" s="97" t="str">
        <f t="shared" si="30"/>
        <v/>
      </c>
      <c r="BSE6" s="97" t="str">
        <f t="shared" si="30"/>
        <v/>
      </c>
      <c r="BSF6" s="97" t="str">
        <f t="shared" si="30"/>
        <v/>
      </c>
      <c r="BSG6" s="97" t="str">
        <f t="shared" si="30"/>
        <v/>
      </c>
      <c r="BSH6" s="97" t="str">
        <f t="shared" si="30"/>
        <v/>
      </c>
      <c r="BSI6" s="97" t="str">
        <f t="shared" si="30"/>
        <v/>
      </c>
      <c r="BSJ6" s="97" t="str">
        <f t="shared" si="30"/>
        <v/>
      </c>
      <c r="BSK6" s="97" t="str">
        <f t="shared" si="30"/>
        <v/>
      </c>
      <c r="BSL6" s="97" t="str">
        <f t="shared" si="30"/>
        <v/>
      </c>
      <c r="BSM6" s="97" t="str">
        <f t="shared" si="30"/>
        <v/>
      </c>
      <c r="BSN6" s="97" t="str">
        <f t="shared" si="30"/>
        <v/>
      </c>
      <c r="BSO6" s="97" t="str">
        <f t="shared" si="30"/>
        <v/>
      </c>
      <c r="BSP6" s="97" t="str">
        <f t="shared" ref="BSP6:BVA6" si="31">IFERROR(AVERAGE(BSP7:BSP13),"")</f>
        <v/>
      </c>
      <c r="BSQ6" s="97" t="str">
        <f t="shared" si="31"/>
        <v/>
      </c>
      <c r="BSR6" s="97" t="str">
        <f t="shared" si="31"/>
        <v/>
      </c>
      <c r="BSS6" s="97" t="str">
        <f t="shared" si="31"/>
        <v/>
      </c>
      <c r="BST6" s="97" t="str">
        <f t="shared" si="31"/>
        <v/>
      </c>
      <c r="BSU6" s="97" t="str">
        <f t="shared" si="31"/>
        <v/>
      </c>
      <c r="BSV6" s="97" t="str">
        <f t="shared" si="31"/>
        <v/>
      </c>
      <c r="BSW6" s="97" t="str">
        <f t="shared" si="31"/>
        <v/>
      </c>
      <c r="BSX6" s="97" t="str">
        <f t="shared" si="31"/>
        <v/>
      </c>
      <c r="BSY6" s="97" t="str">
        <f t="shared" si="31"/>
        <v/>
      </c>
      <c r="BSZ6" s="97" t="str">
        <f t="shared" si="31"/>
        <v/>
      </c>
      <c r="BTA6" s="97" t="str">
        <f t="shared" si="31"/>
        <v/>
      </c>
      <c r="BTB6" s="97" t="str">
        <f t="shared" si="31"/>
        <v/>
      </c>
      <c r="BTC6" s="97" t="str">
        <f t="shared" si="31"/>
        <v/>
      </c>
      <c r="BTD6" s="97" t="str">
        <f t="shared" si="31"/>
        <v/>
      </c>
      <c r="BTE6" s="97" t="str">
        <f t="shared" si="31"/>
        <v/>
      </c>
      <c r="BTF6" s="97" t="str">
        <f t="shared" si="31"/>
        <v/>
      </c>
      <c r="BTG6" s="97" t="str">
        <f t="shared" si="31"/>
        <v/>
      </c>
      <c r="BTH6" s="97" t="str">
        <f t="shared" si="31"/>
        <v/>
      </c>
      <c r="BTI6" s="97" t="str">
        <f t="shared" si="31"/>
        <v/>
      </c>
      <c r="BTJ6" s="97" t="str">
        <f t="shared" si="31"/>
        <v/>
      </c>
      <c r="BTK6" s="97" t="str">
        <f t="shared" si="31"/>
        <v/>
      </c>
      <c r="BTL6" s="97" t="str">
        <f t="shared" si="31"/>
        <v/>
      </c>
      <c r="BTM6" s="97" t="str">
        <f t="shared" si="31"/>
        <v/>
      </c>
      <c r="BTN6" s="97" t="str">
        <f t="shared" si="31"/>
        <v/>
      </c>
      <c r="BTO6" s="97" t="str">
        <f t="shared" si="31"/>
        <v/>
      </c>
      <c r="BTP6" s="97" t="str">
        <f t="shared" si="31"/>
        <v/>
      </c>
      <c r="BTQ6" s="97" t="str">
        <f t="shared" si="31"/>
        <v/>
      </c>
      <c r="BTR6" s="97" t="str">
        <f t="shared" si="31"/>
        <v/>
      </c>
      <c r="BTS6" s="97" t="str">
        <f t="shared" si="31"/>
        <v/>
      </c>
      <c r="BTT6" s="97" t="str">
        <f t="shared" si="31"/>
        <v/>
      </c>
      <c r="BTU6" s="97" t="str">
        <f t="shared" si="31"/>
        <v/>
      </c>
      <c r="BTV6" s="97" t="str">
        <f t="shared" si="31"/>
        <v/>
      </c>
      <c r="BTW6" s="97" t="str">
        <f t="shared" si="31"/>
        <v/>
      </c>
      <c r="BTX6" s="97" t="str">
        <f t="shared" si="31"/>
        <v/>
      </c>
      <c r="BTY6" s="97" t="str">
        <f t="shared" si="31"/>
        <v/>
      </c>
      <c r="BTZ6" s="97" t="str">
        <f t="shared" si="31"/>
        <v/>
      </c>
      <c r="BUA6" s="97" t="str">
        <f t="shared" si="31"/>
        <v/>
      </c>
      <c r="BUB6" s="97" t="str">
        <f t="shared" si="31"/>
        <v/>
      </c>
      <c r="BUC6" s="97" t="str">
        <f t="shared" si="31"/>
        <v/>
      </c>
      <c r="BUD6" s="97" t="str">
        <f t="shared" si="31"/>
        <v/>
      </c>
      <c r="BUE6" s="97" t="str">
        <f t="shared" si="31"/>
        <v/>
      </c>
      <c r="BUF6" s="97" t="str">
        <f t="shared" si="31"/>
        <v/>
      </c>
      <c r="BUG6" s="97" t="str">
        <f t="shared" si="31"/>
        <v/>
      </c>
      <c r="BUH6" s="97" t="str">
        <f t="shared" si="31"/>
        <v/>
      </c>
      <c r="BUI6" s="97" t="str">
        <f t="shared" si="31"/>
        <v/>
      </c>
      <c r="BUJ6" s="97" t="str">
        <f t="shared" si="31"/>
        <v/>
      </c>
      <c r="BUK6" s="97" t="str">
        <f t="shared" si="31"/>
        <v/>
      </c>
      <c r="BUL6" s="97" t="str">
        <f t="shared" si="31"/>
        <v/>
      </c>
      <c r="BUM6" s="97" t="str">
        <f t="shared" si="31"/>
        <v/>
      </c>
      <c r="BUN6" s="97" t="str">
        <f t="shared" si="31"/>
        <v/>
      </c>
      <c r="BUO6" s="97" t="str">
        <f t="shared" si="31"/>
        <v/>
      </c>
      <c r="BUP6" s="97" t="str">
        <f t="shared" si="31"/>
        <v/>
      </c>
      <c r="BUQ6" s="97" t="str">
        <f t="shared" si="31"/>
        <v/>
      </c>
      <c r="BUR6" s="97" t="str">
        <f t="shared" si="31"/>
        <v/>
      </c>
      <c r="BUS6" s="97" t="str">
        <f t="shared" si="31"/>
        <v/>
      </c>
      <c r="BUT6" s="97" t="str">
        <f t="shared" si="31"/>
        <v/>
      </c>
      <c r="BUU6" s="97" t="str">
        <f t="shared" si="31"/>
        <v/>
      </c>
      <c r="BUV6" s="97" t="str">
        <f t="shared" si="31"/>
        <v/>
      </c>
      <c r="BUW6" s="97" t="str">
        <f t="shared" si="31"/>
        <v/>
      </c>
      <c r="BUX6" s="97" t="str">
        <f t="shared" si="31"/>
        <v/>
      </c>
      <c r="BUY6" s="97" t="str">
        <f t="shared" si="31"/>
        <v/>
      </c>
      <c r="BUZ6" s="97" t="str">
        <f t="shared" si="31"/>
        <v/>
      </c>
      <c r="BVA6" s="97" t="str">
        <f t="shared" si="31"/>
        <v/>
      </c>
      <c r="BVB6" s="97" t="str">
        <f t="shared" ref="BVB6:BXM6" si="32">IFERROR(AVERAGE(BVB7:BVB13),"")</f>
        <v/>
      </c>
      <c r="BVC6" s="97" t="str">
        <f t="shared" si="32"/>
        <v/>
      </c>
      <c r="BVD6" s="97" t="str">
        <f t="shared" si="32"/>
        <v/>
      </c>
      <c r="BVE6" s="97" t="str">
        <f t="shared" si="32"/>
        <v/>
      </c>
      <c r="BVF6" s="97" t="str">
        <f t="shared" si="32"/>
        <v/>
      </c>
      <c r="BVG6" s="97" t="str">
        <f t="shared" si="32"/>
        <v/>
      </c>
      <c r="BVH6" s="97" t="str">
        <f t="shared" si="32"/>
        <v/>
      </c>
      <c r="BVI6" s="97" t="str">
        <f t="shared" si="32"/>
        <v/>
      </c>
      <c r="BVJ6" s="97" t="str">
        <f t="shared" si="32"/>
        <v/>
      </c>
      <c r="BVK6" s="97" t="str">
        <f t="shared" si="32"/>
        <v/>
      </c>
      <c r="BVL6" s="97" t="str">
        <f t="shared" si="32"/>
        <v/>
      </c>
      <c r="BVM6" s="97" t="str">
        <f t="shared" si="32"/>
        <v/>
      </c>
      <c r="BVN6" s="97" t="str">
        <f t="shared" si="32"/>
        <v/>
      </c>
      <c r="BVO6" s="97" t="str">
        <f t="shared" si="32"/>
        <v/>
      </c>
      <c r="BVP6" s="97" t="str">
        <f t="shared" si="32"/>
        <v/>
      </c>
      <c r="BVQ6" s="97" t="str">
        <f t="shared" si="32"/>
        <v/>
      </c>
      <c r="BVR6" s="97" t="str">
        <f t="shared" si="32"/>
        <v/>
      </c>
      <c r="BVS6" s="97" t="str">
        <f t="shared" si="32"/>
        <v/>
      </c>
      <c r="BVT6" s="97" t="str">
        <f t="shared" si="32"/>
        <v/>
      </c>
      <c r="BVU6" s="97" t="str">
        <f t="shared" si="32"/>
        <v/>
      </c>
      <c r="BVV6" s="97" t="str">
        <f t="shared" si="32"/>
        <v/>
      </c>
      <c r="BVW6" s="97" t="str">
        <f t="shared" si="32"/>
        <v/>
      </c>
      <c r="BVX6" s="97" t="str">
        <f t="shared" si="32"/>
        <v/>
      </c>
      <c r="BVY6" s="97" t="str">
        <f t="shared" si="32"/>
        <v/>
      </c>
      <c r="BVZ6" s="97" t="str">
        <f t="shared" si="32"/>
        <v/>
      </c>
      <c r="BWA6" s="97" t="str">
        <f t="shared" si="32"/>
        <v/>
      </c>
      <c r="BWB6" s="97" t="str">
        <f t="shared" si="32"/>
        <v/>
      </c>
      <c r="BWC6" s="97" t="str">
        <f t="shared" si="32"/>
        <v/>
      </c>
      <c r="BWD6" s="97" t="str">
        <f t="shared" si="32"/>
        <v/>
      </c>
      <c r="BWE6" s="97" t="str">
        <f t="shared" si="32"/>
        <v/>
      </c>
      <c r="BWF6" s="97" t="str">
        <f t="shared" si="32"/>
        <v/>
      </c>
      <c r="BWG6" s="97" t="str">
        <f t="shared" si="32"/>
        <v/>
      </c>
      <c r="BWH6" s="97" t="str">
        <f t="shared" si="32"/>
        <v/>
      </c>
      <c r="BWI6" s="97" t="str">
        <f t="shared" si="32"/>
        <v/>
      </c>
      <c r="BWJ6" s="97" t="str">
        <f t="shared" si="32"/>
        <v/>
      </c>
      <c r="BWK6" s="97" t="str">
        <f t="shared" si="32"/>
        <v/>
      </c>
      <c r="BWL6" s="97" t="str">
        <f t="shared" si="32"/>
        <v/>
      </c>
      <c r="BWM6" s="97" t="str">
        <f t="shared" si="32"/>
        <v/>
      </c>
      <c r="BWN6" s="97" t="str">
        <f t="shared" si="32"/>
        <v/>
      </c>
      <c r="BWO6" s="97" t="str">
        <f t="shared" si="32"/>
        <v/>
      </c>
      <c r="BWP6" s="97" t="str">
        <f t="shared" si="32"/>
        <v/>
      </c>
      <c r="BWQ6" s="97" t="str">
        <f t="shared" si="32"/>
        <v/>
      </c>
      <c r="BWR6" s="97" t="str">
        <f t="shared" si="32"/>
        <v/>
      </c>
      <c r="BWS6" s="97" t="str">
        <f t="shared" si="32"/>
        <v/>
      </c>
      <c r="BWT6" s="97" t="str">
        <f t="shared" si="32"/>
        <v/>
      </c>
      <c r="BWU6" s="97" t="str">
        <f t="shared" si="32"/>
        <v/>
      </c>
      <c r="BWV6" s="97" t="str">
        <f t="shared" si="32"/>
        <v/>
      </c>
      <c r="BWW6" s="97" t="str">
        <f t="shared" si="32"/>
        <v/>
      </c>
      <c r="BWX6" s="97" t="str">
        <f t="shared" si="32"/>
        <v/>
      </c>
      <c r="BWY6" s="97" t="str">
        <f t="shared" si="32"/>
        <v/>
      </c>
      <c r="BWZ6" s="97" t="str">
        <f t="shared" si="32"/>
        <v/>
      </c>
      <c r="BXA6" s="97" t="str">
        <f t="shared" si="32"/>
        <v/>
      </c>
      <c r="BXB6" s="97" t="str">
        <f t="shared" si="32"/>
        <v/>
      </c>
      <c r="BXC6" s="97" t="str">
        <f t="shared" si="32"/>
        <v/>
      </c>
      <c r="BXD6" s="97" t="str">
        <f t="shared" si="32"/>
        <v/>
      </c>
      <c r="BXE6" s="97" t="str">
        <f t="shared" si="32"/>
        <v/>
      </c>
      <c r="BXF6" s="97" t="str">
        <f t="shared" si="32"/>
        <v/>
      </c>
      <c r="BXG6" s="97" t="str">
        <f t="shared" si="32"/>
        <v/>
      </c>
      <c r="BXH6" s="97" t="str">
        <f t="shared" si="32"/>
        <v/>
      </c>
      <c r="BXI6" s="97" t="str">
        <f t="shared" si="32"/>
        <v/>
      </c>
      <c r="BXJ6" s="97" t="str">
        <f t="shared" si="32"/>
        <v/>
      </c>
      <c r="BXK6" s="97" t="str">
        <f t="shared" si="32"/>
        <v/>
      </c>
      <c r="BXL6" s="97" t="str">
        <f t="shared" si="32"/>
        <v/>
      </c>
      <c r="BXM6" s="97" t="str">
        <f t="shared" si="32"/>
        <v/>
      </c>
      <c r="BXN6" s="97" t="str">
        <f t="shared" ref="BXN6:BZY6" si="33">IFERROR(AVERAGE(BXN7:BXN13),"")</f>
        <v/>
      </c>
      <c r="BXO6" s="97" t="str">
        <f t="shared" si="33"/>
        <v/>
      </c>
      <c r="BXP6" s="97" t="str">
        <f t="shared" si="33"/>
        <v/>
      </c>
      <c r="BXQ6" s="97" t="str">
        <f t="shared" si="33"/>
        <v/>
      </c>
      <c r="BXR6" s="97" t="str">
        <f t="shared" si="33"/>
        <v/>
      </c>
      <c r="BXS6" s="97" t="str">
        <f t="shared" si="33"/>
        <v/>
      </c>
      <c r="BXT6" s="97" t="str">
        <f t="shared" si="33"/>
        <v/>
      </c>
      <c r="BXU6" s="97" t="str">
        <f t="shared" si="33"/>
        <v/>
      </c>
      <c r="BXV6" s="97" t="str">
        <f t="shared" si="33"/>
        <v/>
      </c>
      <c r="BXW6" s="97" t="str">
        <f t="shared" si="33"/>
        <v/>
      </c>
      <c r="BXX6" s="97" t="str">
        <f t="shared" si="33"/>
        <v/>
      </c>
      <c r="BXY6" s="97" t="str">
        <f t="shared" si="33"/>
        <v/>
      </c>
      <c r="BXZ6" s="97" t="str">
        <f t="shared" si="33"/>
        <v/>
      </c>
      <c r="BYA6" s="97" t="str">
        <f t="shared" si="33"/>
        <v/>
      </c>
      <c r="BYB6" s="97" t="str">
        <f t="shared" si="33"/>
        <v/>
      </c>
      <c r="BYC6" s="97" t="str">
        <f t="shared" si="33"/>
        <v/>
      </c>
      <c r="BYD6" s="97" t="str">
        <f t="shared" si="33"/>
        <v/>
      </c>
      <c r="BYE6" s="97" t="str">
        <f t="shared" si="33"/>
        <v/>
      </c>
      <c r="BYF6" s="97" t="str">
        <f t="shared" si="33"/>
        <v/>
      </c>
      <c r="BYG6" s="97" t="str">
        <f t="shared" si="33"/>
        <v/>
      </c>
      <c r="BYH6" s="97" t="str">
        <f t="shared" si="33"/>
        <v/>
      </c>
      <c r="BYI6" s="97" t="str">
        <f t="shared" si="33"/>
        <v/>
      </c>
      <c r="BYJ6" s="97" t="str">
        <f t="shared" si="33"/>
        <v/>
      </c>
      <c r="BYK6" s="97" t="str">
        <f t="shared" si="33"/>
        <v/>
      </c>
      <c r="BYL6" s="97" t="str">
        <f t="shared" si="33"/>
        <v/>
      </c>
      <c r="BYM6" s="97" t="str">
        <f t="shared" si="33"/>
        <v/>
      </c>
      <c r="BYN6" s="97" t="str">
        <f t="shared" si="33"/>
        <v/>
      </c>
      <c r="BYO6" s="97" t="str">
        <f t="shared" si="33"/>
        <v/>
      </c>
      <c r="BYP6" s="97" t="str">
        <f t="shared" si="33"/>
        <v/>
      </c>
      <c r="BYQ6" s="97" t="str">
        <f t="shared" si="33"/>
        <v/>
      </c>
      <c r="BYR6" s="97" t="str">
        <f t="shared" si="33"/>
        <v/>
      </c>
      <c r="BYS6" s="97" t="str">
        <f t="shared" si="33"/>
        <v/>
      </c>
      <c r="BYT6" s="97" t="str">
        <f t="shared" si="33"/>
        <v/>
      </c>
      <c r="BYU6" s="97" t="str">
        <f t="shared" si="33"/>
        <v/>
      </c>
      <c r="BYV6" s="97" t="str">
        <f t="shared" si="33"/>
        <v/>
      </c>
      <c r="BYW6" s="97" t="str">
        <f t="shared" si="33"/>
        <v/>
      </c>
      <c r="BYX6" s="97" t="str">
        <f t="shared" si="33"/>
        <v/>
      </c>
      <c r="BYY6" s="97" t="str">
        <f t="shared" si="33"/>
        <v/>
      </c>
      <c r="BYZ6" s="97" t="str">
        <f t="shared" si="33"/>
        <v/>
      </c>
      <c r="BZA6" s="97" t="str">
        <f t="shared" si="33"/>
        <v/>
      </c>
      <c r="BZB6" s="97" t="str">
        <f t="shared" si="33"/>
        <v/>
      </c>
      <c r="BZC6" s="97" t="str">
        <f t="shared" si="33"/>
        <v/>
      </c>
      <c r="BZD6" s="97" t="str">
        <f t="shared" si="33"/>
        <v/>
      </c>
      <c r="BZE6" s="97" t="str">
        <f t="shared" si="33"/>
        <v/>
      </c>
      <c r="BZF6" s="97" t="str">
        <f t="shared" si="33"/>
        <v/>
      </c>
      <c r="BZG6" s="97" t="str">
        <f t="shared" si="33"/>
        <v/>
      </c>
      <c r="BZH6" s="97" t="str">
        <f t="shared" si="33"/>
        <v/>
      </c>
      <c r="BZI6" s="97" t="str">
        <f t="shared" si="33"/>
        <v/>
      </c>
      <c r="BZJ6" s="97" t="str">
        <f t="shared" si="33"/>
        <v/>
      </c>
      <c r="BZK6" s="97" t="str">
        <f t="shared" si="33"/>
        <v/>
      </c>
      <c r="BZL6" s="97" t="str">
        <f t="shared" si="33"/>
        <v/>
      </c>
      <c r="BZM6" s="97" t="str">
        <f t="shared" si="33"/>
        <v/>
      </c>
      <c r="BZN6" s="97" t="str">
        <f t="shared" si="33"/>
        <v/>
      </c>
      <c r="BZO6" s="97" t="str">
        <f t="shared" si="33"/>
        <v/>
      </c>
      <c r="BZP6" s="97" t="str">
        <f t="shared" si="33"/>
        <v/>
      </c>
      <c r="BZQ6" s="97" t="str">
        <f t="shared" si="33"/>
        <v/>
      </c>
      <c r="BZR6" s="97" t="str">
        <f t="shared" si="33"/>
        <v/>
      </c>
      <c r="BZS6" s="97" t="str">
        <f t="shared" si="33"/>
        <v/>
      </c>
      <c r="BZT6" s="97" t="str">
        <f t="shared" si="33"/>
        <v/>
      </c>
      <c r="BZU6" s="97" t="str">
        <f t="shared" si="33"/>
        <v/>
      </c>
      <c r="BZV6" s="97" t="str">
        <f t="shared" si="33"/>
        <v/>
      </c>
      <c r="BZW6" s="97" t="str">
        <f t="shared" si="33"/>
        <v/>
      </c>
      <c r="BZX6" s="97" t="str">
        <f t="shared" si="33"/>
        <v/>
      </c>
      <c r="BZY6" s="97" t="str">
        <f t="shared" si="33"/>
        <v/>
      </c>
      <c r="BZZ6" s="97" t="str">
        <f t="shared" ref="BZZ6:CCK6" si="34">IFERROR(AVERAGE(BZZ7:BZZ13),"")</f>
        <v/>
      </c>
      <c r="CAA6" s="97" t="str">
        <f t="shared" si="34"/>
        <v/>
      </c>
      <c r="CAB6" s="97" t="str">
        <f t="shared" si="34"/>
        <v/>
      </c>
      <c r="CAC6" s="97" t="str">
        <f t="shared" si="34"/>
        <v/>
      </c>
      <c r="CAD6" s="97" t="str">
        <f t="shared" si="34"/>
        <v/>
      </c>
      <c r="CAE6" s="97" t="str">
        <f t="shared" si="34"/>
        <v/>
      </c>
      <c r="CAF6" s="97" t="str">
        <f t="shared" si="34"/>
        <v/>
      </c>
      <c r="CAG6" s="97" t="str">
        <f t="shared" si="34"/>
        <v/>
      </c>
      <c r="CAH6" s="97" t="str">
        <f t="shared" si="34"/>
        <v/>
      </c>
      <c r="CAI6" s="97" t="str">
        <f t="shared" si="34"/>
        <v/>
      </c>
      <c r="CAJ6" s="97" t="str">
        <f t="shared" si="34"/>
        <v/>
      </c>
      <c r="CAK6" s="97" t="str">
        <f t="shared" si="34"/>
        <v/>
      </c>
      <c r="CAL6" s="97" t="str">
        <f t="shared" si="34"/>
        <v/>
      </c>
      <c r="CAM6" s="97" t="str">
        <f t="shared" si="34"/>
        <v/>
      </c>
      <c r="CAN6" s="97" t="str">
        <f t="shared" si="34"/>
        <v/>
      </c>
      <c r="CAO6" s="97" t="str">
        <f t="shared" si="34"/>
        <v/>
      </c>
      <c r="CAP6" s="97" t="str">
        <f t="shared" si="34"/>
        <v/>
      </c>
      <c r="CAQ6" s="97" t="str">
        <f t="shared" si="34"/>
        <v/>
      </c>
      <c r="CAR6" s="97" t="str">
        <f t="shared" si="34"/>
        <v/>
      </c>
      <c r="CAS6" s="97" t="str">
        <f t="shared" si="34"/>
        <v/>
      </c>
      <c r="CAT6" s="97" t="str">
        <f t="shared" si="34"/>
        <v/>
      </c>
      <c r="CAU6" s="97" t="str">
        <f t="shared" si="34"/>
        <v/>
      </c>
      <c r="CAV6" s="97" t="str">
        <f t="shared" si="34"/>
        <v/>
      </c>
      <c r="CAW6" s="97" t="str">
        <f t="shared" si="34"/>
        <v/>
      </c>
      <c r="CAX6" s="97" t="str">
        <f t="shared" si="34"/>
        <v/>
      </c>
      <c r="CAY6" s="97" t="str">
        <f t="shared" si="34"/>
        <v/>
      </c>
      <c r="CAZ6" s="97" t="str">
        <f t="shared" si="34"/>
        <v/>
      </c>
      <c r="CBA6" s="97" t="str">
        <f t="shared" si="34"/>
        <v/>
      </c>
      <c r="CBB6" s="97" t="str">
        <f t="shared" si="34"/>
        <v/>
      </c>
      <c r="CBC6" s="97" t="str">
        <f t="shared" si="34"/>
        <v/>
      </c>
      <c r="CBD6" s="97" t="str">
        <f t="shared" si="34"/>
        <v/>
      </c>
      <c r="CBE6" s="97" t="str">
        <f t="shared" si="34"/>
        <v/>
      </c>
      <c r="CBF6" s="97" t="str">
        <f t="shared" si="34"/>
        <v/>
      </c>
      <c r="CBG6" s="97" t="str">
        <f t="shared" si="34"/>
        <v/>
      </c>
      <c r="CBH6" s="97" t="str">
        <f t="shared" si="34"/>
        <v/>
      </c>
      <c r="CBI6" s="97" t="str">
        <f t="shared" si="34"/>
        <v/>
      </c>
      <c r="CBJ6" s="97" t="str">
        <f t="shared" si="34"/>
        <v/>
      </c>
      <c r="CBK6" s="97" t="str">
        <f t="shared" si="34"/>
        <v/>
      </c>
      <c r="CBL6" s="97" t="str">
        <f t="shared" si="34"/>
        <v/>
      </c>
      <c r="CBM6" s="97" t="str">
        <f t="shared" si="34"/>
        <v/>
      </c>
      <c r="CBN6" s="97" t="str">
        <f t="shared" si="34"/>
        <v/>
      </c>
      <c r="CBO6" s="97" t="str">
        <f t="shared" si="34"/>
        <v/>
      </c>
      <c r="CBP6" s="97" t="str">
        <f t="shared" si="34"/>
        <v/>
      </c>
      <c r="CBQ6" s="97" t="str">
        <f t="shared" si="34"/>
        <v/>
      </c>
      <c r="CBR6" s="97" t="str">
        <f t="shared" si="34"/>
        <v/>
      </c>
      <c r="CBS6" s="97" t="str">
        <f t="shared" si="34"/>
        <v/>
      </c>
      <c r="CBT6" s="97" t="str">
        <f t="shared" si="34"/>
        <v/>
      </c>
      <c r="CBU6" s="97" t="str">
        <f t="shared" si="34"/>
        <v/>
      </c>
      <c r="CBV6" s="97" t="str">
        <f t="shared" si="34"/>
        <v/>
      </c>
      <c r="CBW6" s="97" t="str">
        <f t="shared" si="34"/>
        <v/>
      </c>
      <c r="CBX6" s="97" t="str">
        <f t="shared" si="34"/>
        <v/>
      </c>
      <c r="CBY6" s="97" t="str">
        <f t="shared" si="34"/>
        <v/>
      </c>
      <c r="CBZ6" s="97" t="str">
        <f t="shared" si="34"/>
        <v/>
      </c>
      <c r="CCA6" s="97" t="str">
        <f t="shared" si="34"/>
        <v/>
      </c>
      <c r="CCB6" s="97" t="str">
        <f t="shared" si="34"/>
        <v/>
      </c>
      <c r="CCC6" s="97" t="str">
        <f t="shared" si="34"/>
        <v/>
      </c>
      <c r="CCD6" s="97" t="str">
        <f t="shared" si="34"/>
        <v/>
      </c>
      <c r="CCE6" s="97" t="str">
        <f t="shared" si="34"/>
        <v/>
      </c>
      <c r="CCF6" s="97" t="str">
        <f t="shared" si="34"/>
        <v/>
      </c>
      <c r="CCG6" s="97" t="str">
        <f t="shared" si="34"/>
        <v/>
      </c>
      <c r="CCH6" s="97" t="str">
        <f t="shared" si="34"/>
        <v/>
      </c>
      <c r="CCI6" s="97" t="str">
        <f t="shared" si="34"/>
        <v/>
      </c>
      <c r="CCJ6" s="97" t="str">
        <f t="shared" si="34"/>
        <v/>
      </c>
      <c r="CCK6" s="97" t="str">
        <f t="shared" si="34"/>
        <v/>
      </c>
      <c r="CCL6" s="97" t="str">
        <f t="shared" ref="CCL6:CEW6" si="35">IFERROR(AVERAGE(CCL7:CCL13),"")</f>
        <v/>
      </c>
      <c r="CCM6" s="97" t="str">
        <f t="shared" si="35"/>
        <v/>
      </c>
      <c r="CCN6" s="97" t="str">
        <f t="shared" si="35"/>
        <v/>
      </c>
      <c r="CCO6" s="97" t="str">
        <f t="shared" si="35"/>
        <v/>
      </c>
      <c r="CCP6" s="97" t="str">
        <f t="shared" si="35"/>
        <v/>
      </c>
      <c r="CCQ6" s="97" t="str">
        <f t="shared" si="35"/>
        <v/>
      </c>
      <c r="CCR6" s="97" t="str">
        <f t="shared" si="35"/>
        <v/>
      </c>
      <c r="CCS6" s="97" t="str">
        <f t="shared" si="35"/>
        <v/>
      </c>
      <c r="CCT6" s="97" t="str">
        <f t="shared" si="35"/>
        <v/>
      </c>
      <c r="CCU6" s="97" t="str">
        <f t="shared" si="35"/>
        <v/>
      </c>
      <c r="CCV6" s="97" t="str">
        <f t="shared" si="35"/>
        <v/>
      </c>
      <c r="CCW6" s="97" t="str">
        <f t="shared" si="35"/>
        <v/>
      </c>
      <c r="CCX6" s="97" t="str">
        <f t="shared" si="35"/>
        <v/>
      </c>
      <c r="CCY6" s="97" t="str">
        <f t="shared" si="35"/>
        <v/>
      </c>
      <c r="CCZ6" s="97" t="str">
        <f t="shared" si="35"/>
        <v/>
      </c>
      <c r="CDA6" s="97" t="str">
        <f t="shared" si="35"/>
        <v/>
      </c>
      <c r="CDB6" s="97" t="str">
        <f t="shared" si="35"/>
        <v/>
      </c>
      <c r="CDC6" s="97" t="str">
        <f t="shared" si="35"/>
        <v/>
      </c>
      <c r="CDD6" s="97" t="str">
        <f t="shared" si="35"/>
        <v/>
      </c>
      <c r="CDE6" s="97" t="str">
        <f t="shared" si="35"/>
        <v/>
      </c>
      <c r="CDF6" s="97" t="str">
        <f t="shared" si="35"/>
        <v/>
      </c>
      <c r="CDG6" s="97" t="str">
        <f t="shared" si="35"/>
        <v/>
      </c>
      <c r="CDH6" s="97" t="str">
        <f t="shared" si="35"/>
        <v/>
      </c>
      <c r="CDI6" s="97" t="str">
        <f t="shared" si="35"/>
        <v/>
      </c>
      <c r="CDJ6" s="97" t="str">
        <f t="shared" si="35"/>
        <v/>
      </c>
      <c r="CDK6" s="97" t="str">
        <f t="shared" si="35"/>
        <v/>
      </c>
      <c r="CDL6" s="97" t="str">
        <f t="shared" si="35"/>
        <v/>
      </c>
      <c r="CDM6" s="97" t="str">
        <f t="shared" si="35"/>
        <v/>
      </c>
      <c r="CDN6" s="97" t="str">
        <f t="shared" si="35"/>
        <v/>
      </c>
      <c r="CDO6" s="97" t="str">
        <f t="shared" si="35"/>
        <v/>
      </c>
      <c r="CDP6" s="97" t="str">
        <f t="shared" si="35"/>
        <v/>
      </c>
      <c r="CDQ6" s="97" t="str">
        <f t="shared" si="35"/>
        <v/>
      </c>
      <c r="CDR6" s="97" t="str">
        <f t="shared" si="35"/>
        <v/>
      </c>
      <c r="CDS6" s="97" t="str">
        <f t="shared" si="35"/>
        <v/>
      </c>
      <c r="CDT6" s="97" t="str">
        <f t="shared" si="35"/>
        <v/>
      </c>
      <c r="CDU6" s="97" t="str">
        <f t="shared" si="35"/>
        <v/>
      </c>
      <c r="CDV6" s="97" t="str">
        <f t="shared" si="35"/>
        <v/>
      </c>
      <c r="CDW6" s="97" t="str">
        <f t="shared" si="35"/>
        <v/>
      </c>
      <c r="CDX6" s="97" t="str">
        <f t="shared" si="35"/>
        <v/>
      </c>
      <c r="CDY6" s="97" t="str">
        <f t="shared" si="35"/>
        <v/>
      </c>
      <c r="CDZ6" s="97" t="str">
        <f t="shared" si="35"/>
        <v/>
      </c>
      <c r="CEA6" s="97" t="str">
        <f t="shared" si="35"/>
        <v/>
      </c>
      <c r="CEB6" s="97" t="str">
        <f t="shared" si="35"/>
        <v/>
      </c>
      <c r="CEC6" s="97" t="str">
        <f t="shared" si="35"/>
        <v/>
      </c>
      <c r="CED6" s="97" t="str">
        <f t="shared" si="35"/>
        <v/>
      </c>
      <c r="CEE6" s="97" t="str">
        <f t="shared" si="35"/>
        <v/>
      </c>
      <c r="CEF6" s="97" t="str">
        <f t="shared" si="35"/>
        <v/>
      </c>
      <c r="CEG6" s="97" t="str">
        <f t="shared" si="35"/>
        <v/>
      </c>
      <c r="CEH6" s="97" t="str">
        <f t="shared" si="35"/>
        <v/>
      </c>
      <c r="CEI6" s="97" t="str">
        <f t="shared" si="35"/>
        <v/>
      </c>
      <c r="CEJ6" s="97" t="str">
        <f t="shared" si="35"/>
        <v/>
      </c>
      <c r="CEK6" s="97" t="str">
        <f t="shared" si="35"/>
        <v/>
      </c>
      <c r="CEL6" s="97" t="str">
        <f t="shared" si="35"/>
        <v/>
      </c>
      <c r="CEM6" s="97" t="str">
        <f t="shared" si="35"/>
        <v/>
      </c>
      <c r="CEN6" s="97" t="str">
        <f t="shared" si="35"/>
        <v/>
      </c>
      <c r="CEO6" s="97" t="str">
        <f t="shared" si="35"/>
        <v/>
      </c>
      <c r="CEP6" s="97" t="str">
        <f t="shared" si="35"/>
        <v/>
      </c>
      <c r="CEQ6" s="97" t="str">
        <f t="shared" si="35"/>
        <v/>
      </c>
      <c r="CER6" s="97" t="str">
        <f t="shared" si="35"/>
        <v/>
      </c>
      <c r="CES6" s="97" t="str">
        <f t="shared" si="35"/>
        <v/>
      </c>
      <c r="CET6" s="97" t="str">
        <f t="shared" si="35"/>
        <v/>
      </c>
      <c r="CEU6" s="97" t="str">
        <f t="shared" si="35"/>
        <v/>
      </c>
      <c r="CEV6" s="97" t="str">
        <f t="shared" si="35"/>
        <v/>
      </c>
      <c r="CEW6" s="97" t="str">
        <f t="shared" si="35"/>
        <v/>
      </c>
      <c r="CEX6" s="97" t="str">
        <f t="shared" ref="CEX6:CHI6" si="36">IFERROR(AVERAGE(CEX7:CEX13),"")</f>
        <v/>
      </c>
      <c r="CEY6" s="97" t="str">
        <f t="shared" si="36"/>
        <v/>
      </c>
      <c r="CEZ6" s="97" t="str">
        <f t="shared" si="36"/>
        <v/>
      </c>
      <c r="CFA6" s="97" t="str">
        <f t="shared" si="36"/>
        <v/>
      </c>
      <c r="CFB6" s="97" t="str">
        <f t="shared" si="36"/>
        <v/>
      </c>
      <c r="CFC6" s="97" t="str">
        <f t="shared" si="36"/>
        <v/>
      </c>
      <c r="CFD6" s="97" t="str">
        <f t="shared" si="36"/>
        <v/>
      </c>
      <c r="CFE6" s="97" t="str">
        <f t="shared" si="36"/>
        <v/>
      </c>
      <c r="CFF6" s="97" t="str">
        <f t="shared" si="36"/>
        <v/>
      </c>
      <c r="CFG6" s="97" t="str">
        <f t="shared" si="36"/>
        <v/>
      </c>
      <c r="CFH6" s="97" t="str">
        <f t="shared" si="36"/>
        <v/>
      </c>
      <c r="CFI6" s="97" t="str">
        <f t="shared" si="36"/>
        <v/>
      </c>
      <c r="CFJ6" s="97" t="str">
        <f t="shared" si="36"/>
        <v/>
      </c>
      <c r="CFK6" s="97" t="str">
        <f t="shared" si="36"/>
        <v/>
      </c>
      <c r="CFL6" s="97" t="str">
        <f t="shared" si="36"/>
        <v/>
      </c>
      <c r="CFM6" s="97" t="str">
        <f t="shared" si="36"/>
        <v/>
      </c>
      <c r="CFN6" s="97" t="str">
        <f t="shared" si="36"/>
        <v/>
      </c>
      <c r="CFO6" s="97" t="str">
        <f t="shared" si="36"/>
        <v/>
      </c>
      <c r="CFP6" s="97" t="str">
        <f t="shared" si="36"/>
        <v/>
      </c>
      <c r="CFQ6" s="97" t="str">
        <f t="shared" si="36"/>
        <v/>
      </c>
      <c r="CFR6" s="97" t="str">
        <f t="shared" si="36"/>
        <v/>
      </c>
      <c r="CFS6" s="97" t="str">
        <f t="shared" si="36"/>
        <v/>
      </c>
      <c r="CFT6" s="97" t="str">
        <f t="shared" si="36"/>
        <v/>
      </c>
      <c r="CFU6" s="97" t="str">
        <f t="shared" si="36"/>
        <v/>
      </c>
      <c r="CFV6" s="97" t="str">
        <f t="shared" si="36"/>
        <v/>
      </c>
      <c r="CFW6" s="97" t="str">
        <f t="shared" si="36"/>
        <v/>
      </c>
      <c r="CFX6" s="97" t="str">
        <f t="shared" si="36"/>
        <v/>
      </c>
      <c r="CFY6" s="97" t="str">
        <f t="shared" si="36"/>
        <v/>
      </c>
      <c r="CFZ6" s="97" t="str">
        <f t="shared" si="36"/>
        <v/>
      </c>
      <c r="CGA6" s="97" t="str">
        <f t="shared" si="36"/>
        <v/>
      </c>
      <c r="CGB6" s="97" t="str">
        <f t="shared" si="36"/>
        <v/>
      </c>
      <c r="CGC6" s="97" t="str">
        <f t="shared" si="36"/>
        <v/>
      </c>
      <c r="CGD6" s="97" t="str">
        <f t="shared" si="36"/>
        <v/>
      </c>
      <c r="CGE6" s="97" t="str">
        <f t="shared" si="36"/>
        <v/>
      </c>
      <c r="CGF6" s="97" t="str">
        <f t="shared" si="36"/>
        <v/>
      </c>
      <c r="CGG6" s="97" t="str">
        <f t="shared" si="36"/>
        <v/>
      </c>
      <c r="CGH6" s="97" t="str">
        <f t="shared" si="36"/>
        <v/>
      </c>
      <c r="CGI6" s="97" t="str">
        <f t="shared" si="36"/>
        <v/>
      </c>
      <c r="CGJ6" s="97" t="str">
        <f t="shared" si="36"/>
        <v/>
      </c>
      <c r="CGK6" s="97" t="str">
        <f t="shared" si="36"/>
        <v/>
      </c>
      <c r="CGL6" s="97" t="str">
        <f t="shared" si="36"/>
        <v/>
      </c>
      <c r="CGM6" s="97" t="str">
        <f t="shared" si="36"/>
        <v/>
      </c>
      <c r="CGN6" s="97" t="str">
        <f t="shared" si="36"/>
        <v/>
      </c>
      <c r="CGO6" s="97" t="str">
        <f t="shared" si="36"/>
        <v/>
      </c>
      <c r="CGP6" s="97" t="str">
        <f t="shared" si="36"/>
        <v/>
      </c>
      <c r="CGQ6" s="97" t="str">
        <f t="shared" si="36"/>
        <v/>
      </c>
      <c r="CGR6" s="97" t="str">
        <f t="shared" si="36"/>
        <v/>
      </c>
      <c r="CGS6" s="97" t="str">
        <f t="shared" si="36"/>
        <v/>
      </c>
      <c r="CGT6" s="97" t="str">
        <f t="shared" si="36"/>
        <v/>
      </c>
      <c r="CGU6" s="97" t="str">
        <f t="shared" si="36"/>
        <v/>
      </c>
      <c r="CGV6" s="97" t="str">
        <f t="shared" si="36"/>
        <v/>
      </c>
      <c r="CGW6" s="97" t="str">
        <f t="shared" si="36"/>
        <v/>
      </c>
      <c r="CGX6" s="97" t="str">
        <f t="shared" si="36"/>
        <v/>
      </c>
      <c r="CGY6" s="97" t="str">
        <f t="shared" si="36"/>
        <v/>
      </c>
      <c r="CGZ6" s="97" t="str">
        <f t="shared" si="36"/>
        <v/>
      </c>
      <c r="CHA6" s="97" t="str">
        <f t="shared" si="36"/>
        <v/>
      </c>
      <c r="CHB6" s="97" t="str">
        <f t="shared" si="36"/>
        <v/>
      </c>
      <c r="CHC6" s="97" t="str">
        <f t="shared" si="36"/>
        <v/>
      </c>
      <c r="CHD6" s="97" t="str">
        <f t="shared" si="36"/>
        <v/>
      </c>
      <c r="CHE6" s="97" t="str">
        <f t="shared" si="36"/>
        <v/>
      </c>
      <c r="CHF6" s="97" t="str">
        <f t="shared" si="36"/>
        <v/>
      </c>
      <c r="CHG6" s="97" t="str">
        <f t="shared" si="36"/>
        <v/>
      </c>
      <c r="CHH6" s="97" t="str">
        <f t="shared" si="36"/>
        <v/>
      </c>
      <c r="CHI6" s="97" t="str">
        <f t="shared" si="36"/>
        <v/>
      </c>
      <c r="CHJ6" s="97" t="str">
        <f t="shared" ref="CHJ6:CJU6" si="37">IFERROR(AVERAGE(CHJ7:CHJ13),"")</f>
        <v/>
      </c>
      <c r="CHK6" s="97" t="str">
        <f t="shared" si="37"/>
        <v/>
      </c>
      <c r="CHL6" s="97" t="str">
        <f t="shared" si="37"/>
        <v/>
      </c>
      <c r="CHM6" s="97" t="str">
        <f t="shared" si="37"/>
        <v/>
      </c>
      <c r="CHN6" s="97" t="str">
        <f t="shared" si="37"/>
        <v/>
      </c>
      <c r="CHO6" s="97" t="str">
        <f t="shared" si="37"/>
        <v/>
      </c>
      <c r="CHP6" s="97" t="str">
        <f t="shared" si="37"/>
        <v/>
      </c>
      <c r="CHQ6" s="97" t="str">
        <f t="shared" si="37"/>
        <v/>
      </c>
      <c r="CHR6" s="97" t="str">
        <f t="shared" si="37"/>
        <v/>
      </c>
      <c r="CHS6" s="97" t="str">
        <f t="shared" si="37"/>
        <v/>
      </c>
      <c r="CHT6" s="97" t="str">
        <f t="shared" si="37"/>
        <v/>
      </c>
      <c r="CHU6" s="97" t="str">
        <f t="shared" si="37"/>
        <v/>
      </c>
      <c r="CHV6" s="97" t="str">
        <f t="shared" si="37"/>
        <v/>
      </c>
      <c r="CHW6" s="97" t="str">
        <f t="shared" si="37"/>
        <v/>
      </c>
      <c r="CHX6" s="97" t="str">
        <f t="shared" si="37"/>
        <v/>
      </c>
      <c r="CHY6" s="97" t="str">
        <f t="shared" si="37"/>
        <v/>
      </c>
      <c r="CHZ6" s="97" t="str">
        <f t="shared" si="37"/>
        <v/>
      </c>
      <c r="CIA6" s="97" t="str">
        <f t="shared" si="37"/>
        <v/>
      </c>
      <c r="CIB6" s="97" t="str">
        <f t="shared" si="37"/>
        <v/>
      </c>
      <c r="CIC6" s="97" t="str">
        <f t="shared" si="37"/>
        <v/>
      </c>
      <c r="CID6" s="97" t="str">
        <f t="shared" si="37"/>
        <v/>
      </c>
      <c r="CIE6" s="97" t="str">
        <f t="shared" si="37"/>
        <v/>
      </c>
      <c r="CIF6" s="97" t="str">
        <f t="shared" si="37"/>
        <v/>
      </c>
      <c r="CIG6" s="97" t="str">
        <f t="shared" si="37"/>
        <v/>
      </c>
      <c r="CIH6" s="97" t="str">
        <f t="shared" si="37"/>
        <v/>
      </c>
      <c r="CII6" s="97" t="str">
        <f t="shared" si="37"/>
        <v/>
      </c>
      <c r="CIJ6" s="97" t="str">
        <f t="shared" si="37"/>
        <v/>
      </c>
      <c r="CIK6" s="97" t="str">
        <f t="shared" si="37"/>
        <v/>
      </c>
      <c r="CIL6" s="97" t="str">
        <f t="shared" si="37"/>
        <v/>
      </c>
      <c r="CIM6" s="97" t="str">
        <f t="shared" si="37"/>
        <v/>
      </c>
      <c r="CIN6" s="97" t="str">
        <f t="shared" si="37"/>
        <v/>
      </c>
      <c r="CIO6" s="97" t="str">
        <f t="shared" si="37"/>
        <v/>
      </c>
      <c r="CIP6" s="97" t="str">
        <f t="shared" si="37"/>
        <v/>
      </c>
      <c r="CIQ6" s="97" t="str">
        <f t="shared" si="37"/>
        <v/>
      </c>
      <c r="CIR6" s="97" t="str">
        <f t="shared" si="37"/>
        <v/>
      </c>
      <c r="CIS6" s="97" t="str">
        <f t="shared" si="37"/>
        <v/>
      </c>
      <c r="CIT6" s="97" t="str">
        <f t="shared" si="37"/>
        <v/>
      </c>
      <c r="CIU6" s="97" t="str">
        <f t="shared" si="37"/>
        <v/>
      </c>
      <c r="CIV6" s="97" t="str">
        <f t="shared" si="37"/>
        <v/>
      </c>
      <c r="CIW6" s="97" t="str">
        <f t="shared" si="37"/>
        <v/>
      </c>
      <c r="CIX6" s="97" t="str">
        <f t="shared" si="37"/>
        <v/>
      </c>
      <c r="CIY6" s="97" t="str">
        <f t="shared" si="37"/>
        <v/>
      </c>
      <c r="CIZ6" s="97" t="str">
        <f t="shared" si="37"/>
        <v/>
      </c>
      <c r="CJA6" s="97" t="str">
        <f t="shared" si="37"/>
        <v/>
      </c>
      <c r="CJB6" s="97" t="str">
        <f t="shared" si="37"/>
        <v/>
      </c>
      <c r="CJC6" s="97" t="str">
        <f t="shared" si="37"/>
        <v/>
      </c>
      <c r="CJD6" s="97" t="str">
        <f t="shared" si="37"/>
        <v/>
      </c>
      <c r="CJE6" s="97" t="str">
        <f t="shared" si="37"/>
        <v/>
      </c>
      <c r="CJF6" s="97" t="str">
        <f t="shared" si="37"/>
        <v/>
      </c>
      <c r="CJG6" s="97" t="str">
        <f t="shared" si="37"/>
        <v/>
      </c>
      <c r="CJH6" s="97" t="str">
        <f t="shared" si="37"/>
        <v/>
      </c>
      <c r="CJI6" s="97" t="str">
        <f t="shared" si="37"/>
        <v/>
      </c>
      <c r="CJJ6" s="97" t="str">
        <f t="shared" si="37"/>
        <v/>
      </c>
      <c r="CJK6" s="97" t="str">
        <f t="shared" si="37"/>
        <v/>
      </c>
      <c r="CJL6" s="97" t="str">
        <f t="shared" si="37"/>
        <v/>
      </c>
      <c r="CJM6" s="97" t="str">
        <f t="shared" si="37"/>
        <v/>
      </c>
      <c r="CJN6" s="97" t="str">
        <f t="shared" si="37"/>
        <v/>
      </c>
      <c r="CJO6" s="97" t="str">
        <f t="shared" si="37"/>
        <v/>
      </c>
      <c r="CJP6" s="97" t="str">
        <f t="shared" si="37"/>
        <v/>
      </c>
      <c r="CJQ6" s="97" t="str">
        <f t="shared" si="37"/>
        <v/>
      </c>
      <c r="CJR6" s="97" t="str">
        <f t="shared" si="37"/>
        <v/>
      </c>
      <c r="CJS6" s="97" t="str">
        <f t="shared" si="37"/>
        <v/>
      </c>
      <c r="CJT6" s="97" t="str">
        <f t="shared" si="37"/>
        <v/>
      </c>
      <c r="CJU6" s="97" t="str">
        <f t="shared" si="37"/>
        <v/>
      </c>
      <c r="CJV6" s="97" t="str">
        <f t="shared" ref="CJV6:CMG6" si="38">IFERROR(AVERAGE(CJV7:CJV13),"")</f>
        <v/>
      </c>
      <c r="CJW6" s="97" t="str">
        <f t="shared" si="38"/>
        <v/>
      </c>
      <c r="CJX6" s="97" t="str">
        <f t="shared" si="38"/>
        <v/>
      </c>
      <c r="CJY6" s="97" t="str">
        <f t="shared" si="38"/>
        <v/>
      </c>
      <c r="CJZ6" s="97" t="str">
        <f t="shared" si="38"/>
        <v/>
      </c>
      <c r="CKA6" s="97" t="str">
        <f t="shared" si="38"/>
        <v/>
      </c>
      <c r="CKB6" s="97" t="str">
        <f t="shared" si="38"/>
        <v/>
      </c>
      <c r="CKC6" s="97" t="str">
        <f t="shared" si="38"/>
        <v/>
      </c>
      <c r="CKD6" s="97" t="str">
        <f t="shared" si="38"/>
        <v/>
      </c>
      <c r="CKE6" s="97" t="str">
        <f t="shared" si="38"/>
        <v/>
      </c>
      <c r="CKF6" s="97" t="str">
        <f t="shared" si="38"/>
        <v/>
      </c>
      <c r="CKG6" s="97" t="str">
        <f t="shared" si="38"/>
        <v/>
      </c>
      <c r="CKH6" s="97" t="str">
        <f t="shared" si="38"/>
        <v/>
      </c>
      <c r="CKI6" s="97" t="str">
        <f t="shared" si="38"/>
        <v/>
      </c>
      <c r="CKJ6" s="97" t="str">
        <f t="shared" si="38"/>
        <v/>
      </c>
      <c r="CKK6" s="97" t="str">
        <f t="shared" si="38"/>
        <v/>
      </c>
      <c r="CKL6" s="97" t="str">
        <f t="shared" si="38"/>
        <v/>
      </c>
      <c r="CKM6" s="97" t="str">
        <f t="shared" si="38"/>
        <v/>
      </c>
      <c r="CKN6" s="97" t="str">
        <f t="shared" si="38"/>
        <v/>
      </c>
      <c r="CKO6" s="97" t="str">
        <f t="shared" si="38"/>
        <v/>
      </c>
      <c r="CKP6" s="97" t="str">
        <f t="shared" si="38"/>
        <v/>
      </c>
      <c r="CKQ6" s="97" t="str">
        <f t="shared" si="38"/>
        <v/>
      </c>
      <c r="CKR6" s="97" t="str">
        <f t="shared" si="38"/>
        <v/>
      </c>
      <c r="CKS6" s="97" t="str">
        <f t="shared" si="38"/>
        <v/>
      </c>
      <c r="CKT6" s="97" t="str">
        <f t="shared" si="38"/>
        <v/>
      </c>
      <c r="CKU6" s="97" t="str">
        <f t="shared" si="38"/>
        <v/>
      </c>
      <c r="CKV6" s="97" t="str">
        <f t="shared" si="38"/>
        <v/>
      </c>
      <c r="CKW6" s="97" t="str">
        <f t="shared" si="38"/>
        <v/>
      </c>
      <c r="CKX6" s="97" t="str">
        <f t="shared" si="38"/>
        <v/>
      </c>
      <c r="CKY6" s="97" t="str">
        <f t="shared" si="38"/>
        <v/>
      </c>
      <c r="CKZ6" s="97" t="str">
        <f t="shared" si="38"/>
        <v/>
      </c>
      <c r="CLA6" s="97" t="str">
        <f t="shared" si="38"/>
        <v/>
      </c>
      <c r="CLB6" s="97" t="str">
        <f t="shared" si="38"/>
        <v/>
      </c>
      <c r="CLC6" s="97" t="str">
        <f t="shared" si="38"/>
        <v/>
      </c>
      <c r="CLD6" s="97" t="str">
        <f t="shared" si="38"/>
        <v/>
      </c>
      <c r="CLE6" s="97" t="str">
        <f t="shared" si="38"/>
        <v/>
      </c>
      <c r="CLF6" s="97" t="str">
        <f t="shared" si="38"/>
        <v/>
      </c>
      <c r="CLG6" s="97" t="str">
        <f t="shared" si="38"/>
        <v/>
      </c>
      <c r="CLH6" s="97" t="str">
        <f t="shared" si="38"/>
        <v/>
      </c>
      <c r="CLI6" s="97" t="str">
        <f t="shared" si="38"/>
        <v/>
      </c>
      <c r="CLJ6" s="97" t="str">
        <f t="shared" si="38"/>
        <v/>
      </c>
      <c r="CLK6" s="97" t="str">
        <f t="shared" si="38"/>
        <v/>
      </c>
      <c r="CLL6" s="97" t="str">
        <f t="shared" si="38"/>
        <v/>
      </c>
      <c r="CLM6" s="97" t="str">
        <f t="shared" si="38"/>
        <v/>
      </c>
      <c r="CLN6" s="97" t="str">
        <f t="shared" si="38"/>
        <v/>
      </c>
      <c r="CLO6" s="97" t="str">
        <f t="shared" si="38"/>
        <v/>
      </c>
      <c r="CLP6" s="97" t="str">
        <f t="shared" si="38"/>
        <v/>
      </c>
      <c r="CLQ6" s="97" t="str">
        <f t="shared" si="38"/>
        <v/>
      </c>
      <c r="CLR6" s="97" t="str">
        <f t="shared" si="38"/>
        <v/>
      </c>
      <c r="CLS6" s="97" t="str">
        <f t="shared" si="38"/>
        <v/>
      </c>
      <c r="CLT6" s="97" t="str">
        <f t="shared" si="38"/>
        <v/>
      </c>
      <c r="CLU6" s="97" t="str">
        <f t="shared" si="38"/>
        <v/>
      </c>
      <c r="CLV6" s="97" t="str">
        <f t="shared" si="38"/>
        <v/>
      </c>
      <c r="CLW6" s="97" t="str">
        <f t="shared" si="38"/>
        <v/>
      </c>
      <c r="CLX6" s="97" t="str">
        <f t="shared" si="38"/>
        <v/>
      </c>
      <c r="CLY6" s="97" t="str">
        <f t="shared" si="38"/>
        <v/>
      </c>
      <c r="CLZ6" s="97" t="str">
        <f t="shared" si="38"/>
        <v/>
      </c>
      <c r="CMA6" s="97" t="str">
        <f t="shared" si="38"/>
        <v/>
      </c>
      <c r="CMB6" s="97" t="str">
        <f t="shared" si="38"/>
        <v/>
      </c>
      <c r="CMC6" s="97" t="str">
        <f t="shared" si="38"/>
        <v/>
      </c>
      <c r="CMD6" s="97" t="str">
        <f t="shared" si="38"/>
        <v/>
      </c>
      <c r="CME6" s="97" t="str">
        <f t="shared" si="38"/>
        <v/>
      </c>
      <c r="CMF6" s="97" t="str">
        <f t="shared" si="38"/>
        <v/>
      </c>
      <c r="CMG6" s="97" t="str">
        <f t="shared" si="38"/>
        <v/>
      </c>
      <c r="CMH6" s="97" t="str">
        <f t="shared" ref="CMH6:COS6" si="39">IFERROR(AVERAGE(CMH7:CMH13),"")</f>
        <v/>
      </c>
      <c r="CMI6" s="97" t="str">
        <f t="shared" si="39"/>
        <v/>
      </c>
      <c r="CMJ6" s="97" t="str">
        <f t="shared" si="39"/>
        <v/>
      </c>
      <c r="CMK6" s="97" t="str">
        <f t="shared" si="39"/>
        <v/>
      </c>
      <c r="CML6" s="97" t="str">
        <f t="shared" si="39"/>
        <v/>
      </c>
      <c r="CMM6" s="97" t="str">
        <f t="shared" si="39"/>
        <v/>
      </c>
      <c r="CMN6" s="97" t="str">
        <f t="shared" si="39"/>
        <v/>
      </c>
      <c r="CMO6" s="97" t="str">
        <f t="shared" si="39"/>
        <v/>
      </c>
      <c r="CMP6" s="97" t="str">
        <f t="shared" si="39"/>
        <v/>
      </c>
      <c r="CMQ6" s="97" t="str">
        <f t="shared" si="39"/>
        <v/>
      </c>
      <c r="CMR6" s="97" t="str">
        <f t="shared" si="39"/>
        <v/>
      </c>
      <c r="CMS6" s="97" t="str">
        <f t="shared" si="39"/>
        <v/>
      </c>
      <c r="CMT6" s="97" t="str">
        <f t="shared" si="39"/>
        <v/>
      </c>
      <c r="CMU6" s="97" t="str">
        <f t="shared" si="39"/>
        <v/>
      </c>
      <c r="CMV6" s="97" t="str">
        <f t="shared" si="39"/>
        <v/>
      </c>
      <c r="CMW6" s="97" t="str">
        <f t="shared" si="39"/>
        <v/>
      </c>
      <c r="CMX6" s="97" t="str">
        <f t="shared" si="39"/>
        <v/>
      </c>
      <c r="CMY6" s="97" t="str">
        <f t="shared" si="39"/>
        <v/>
      </c>
      <c r="CMZ6" s="97" t="str">
        <f t="shared" si="39"/>
        <v/>
      </c>
      <c r="CNA6" s="97" t="str">
        <f t="shared" si="39"/>
        <v/>
      </c>
      <c r="CNB6" s="97" t="str">
        <f t="shared" si="39"/>
        <v/>
      </c>
      <c r="CNC6" s="97" t="str">
        <f t="shared" si="39"/>
        <v/>
      </c>
      <c r="CND6" s="97" t="str">
        <f t="shared" si="39"/>
        <v/>
      </c>
      <c r="CNE6" s="97" t="str">
        <f t="shared" si="39"/>
        <v/>
      </c>
      <c r="CNF6" s="97" t="str">
        <f t="shared" si="39"/>
        <v/>
      </c>
      <c r="CNG6" s="97" t="str">
        <f t="shared" si="39"/>
        <v/>
      </c>
      <c r="CNH6" s="97" t="str">
        <f t="shared" si="39"/>
        <v/>
      </c>
      <c r="CNI6" s="97" t="str">
        <f t="shared" si="39"/>
        <v/>
      </c>
      <c r="CNJ6" s="97" t="str">
        <f t="shared" si="39"/>
        <v/>
      </c>
      <c r="CNK6" s="97" t="str">
        <f t="shared" si="39"/>
        <v/>
      </c>
      <c r="CNL6" s="97" t="str">
        <f t="shared" si="39"/>
        <v/>
      </c>
      <c r="CNM6" s="97" t="str">
        <f t="shared" si="39"/>
        <v/>
      </c>
      <c r="CNN6" s="97" t="str">
        <f t="shared" si="39"/>
        <v/>
      </c>
      <c r="CNO6" s="97" t="str">
        <f t="shared" si="39"/>
        <v/>
      </c>
      <c r="CNP6" s="97" t="str">
        <f t="shared" si="39"/>
        <v/>
      </c>
      <c r="CNQ6" s="97" t="str">
        <f t="shared" si="39"/>
        <v/>
      </c>
      <c r="CNR6" s="97" t="str">
        <f t="shared" si="39"/>
        <v/>
      </c>
      <c r="CNS6" s="97" t="str">
        <f t="shared" si="39"/>
        <v/>
      </c>
      <c r="CNT6" s="97" t="str">
        <f t="shared" si="39"/>
        <v/>
      </c>
      <c r="CNU6" s="97" t="str">
        <f t="shared" si="39"/>
        <v/>
      </c>
      <c r="CNV6" s="97" t="str">
        <f t="shared" si="39"/>
        <v/>
      </c>
      <c r="CNW6" s="97" t="str">
        <f t="shared" si="39"/>
        <v/>
      </c>
      <c r="CNX6" s="97" t="str">
        <f t="shared" si="39"/>
        <v/>
      </c>
      <c r="CNY6" s="97" t="str">
        <f t="shared" si="39"/>
        <v/>
      </c>
      <c r="CNZ6" s="97" t="str">
        <f t="shared" si="39"/>
        <v/>
      </c>
      <c r="COA6" s="97" t="str">
        <f t="shared" si="39"/>
        <v/>
      </c>
      <c r="COB6" s="97" t="str">
        <f t="shared" si="39"/>
        <v/>
      </c>
      <c r="COC6" s="97" t="str">
        <f t="shared" si="39"/>
        <v/>
      </c>
      <c r="COD6" s="97" t="str">
        <f t="shared" si="39"/>
        <v/>
      </c>
      <c r="COE6" s="97" t="str">
        <f t="shared" si="39"/>
        <v/>
      </c>
      <c r="COF6" s="97" t="str">
        <f t="shared" si="39"/>
        <v/>
      </c>
      <c r="COG6" s="97" t="str">
        <f t="shared" si="39"/>
        <v/>
      </c>
      <c r="COH6" s="97" t="str">
        <f t="shared" si="39"/>
        <v/>
      </c>
      <c r="COI6" s="97" t="str">
        <f t="shared" si="39"/>
        <v/>
      </c>
      <c r="COJ6" s="97" t="str">
        <f t="shared" si="39"/>
        <v/>
      </c>
      <c r="COK6" s="97" t="str">
        <f t="shared" si="39"/>
        <v/>
      </c>
      <c r="COL6" s="97" t="str">
        <f t="shared" si="39"/>
        <v/>
      </c>
      <c r="COM6" s="97" t="str">
        <f t="shared" si="39"/>
        <v/>
      </c>
      <c r="CON6" s="97" t="str">
        <f t="shared" si="39"/>
        <v/>
      </c>
      <c r="COO6" s="97" t="str">
        <f t="shared" si="39"/>
        <v/>
      </c>
      <c r="COP6" s="97" t="str">
        <f t="shared" si="39"/>
        <v/>
      </c>
      <c r="COQ6" s="97" t="str">
        <f t="shared" si="39"/>
        <v/>
      </c>
      <c r="COR6" s="97" t="str">
        <f t="shared" si="39"/>
        <v/>
      </c>
      <c r="COS6" s="97" t="str">
        <f t="shared" si="39"/>
        <v/>
      </c>
      <c r="COT6" s="97" t="str">
        <f t="shared" ref="COT6:CRE6" si="40">IFERROR(AVERAGE(COT7:COT13),"")</f>
        <v/>
      </c>
      <c r="COU6" s="97" t="str">
        <f t="shared" si="40"/>
        <v/>
      </c>
      <c r="COV6" s="97" t="str">
        <f t="shared" si="40"/>
        <v/>
      </c>
      <c r="COW6" s="97" t="str">
        <f t="shared" si="40"/>
        <v/>
      </c>
      <c r="COX6" s="97" t="str">
        <f t="shared" si="40"/>
        <v/>
      </c>
      <c r="COY6" s="97" t="str">
        <f t="shared" si="40"/>
        <v/>
      </c>
      <c r="COZ6" s="97" t="str">
        <f t="shared" si="40"/>
        <v/>
      </c>
      <c r="CPA6" s="97" t="str">
        <f t="shared" si="40"/>
        <v/>
      </c>
      <c r="CPB6" s="97" t="str">
        <f t="shared" si="40"/>
        <v/>
      </c>
      <c r="CPC6" s="97" t="str">
        <f t="shared" si="40"/>
        <v/>
      </c>
      <c r="CPD6" s="97" t="str">
        <f t="shared" si="40"/>
        <v/>
      </c>
      <c r="CPE6" s="97" t="str">
        <f t="shared" si="40"/>
        <v/>
      </c>
      <c r="CPF6" s="97" t="str">
        <f t="shared" si="40"/>
        <v/>
      </c>
      <c r="CPG6" s="97" t="str">
        <f t="shared" si="40"/>
        <v/>
      </c>
      <c r="CPH6" s="97" t="str">
        <f t="shared" si="40"/>
        <v/>
      </c>
      <c r="CPI6" s="97" t="str">
        <f t="shared" si="40"/>
        <v/>
      </c>
      <c r="CPJ6" s="97" t="str">
        <f t="shared" si="40"/>
        <v/>
      </c>
      <c r="CPK6" s="97" t="str">
        <f t="shared" si="40"/>
        <v/>
      </c>
      <c r="CPL6" s="97" t="str">
        <f t="shared" si="40"/>
        <v/>
      </c>
      <c r="CPM6" s="97" t="str">
        <f t="shared" si="40"/>
        <v/>
      </c>
      <c r="CPN6" s="97" t="str">
        <f t="shared" si="40"/>
        <v/>
      </c>
      <c r="CPO6" s="97" t="str">
        <f t="shared" si="40"/>
        <v/>
      </c>
      <c r="CPP6" s="97" t="str">
        <f t="shared" si="40"/>
        <v/>
      </c>
      <c r="CPQ6" s="97" t="str">
        <f t="shared" si="40"/>
        <v/>
      </c>
      <c r="CPR6" s="97" t="str">
        <f t="shared" si="40"/>
        <v/>
      </c>
      <c r="CPS6" s="97" t="str">
        <f t="shared" si="40"/>
        <v/>
      </c>
      <c r="CPT6" s="97" t="str">
        <f t="shared" si="40"/>
        <v/>
      </c>
      <c r="CPU6" s="97" t="str">
        <f t="shared" si="40"/>
        <v/>
      </c>
      <c r="CPV6" s="97" t="str">
        <f t="shared" si="40"/>
        <v/>
      </c>
      <c r="CPW6" s="97" t="str">
        <f t="shared" si="40"/>
        <v/>
      </c>
      <c r="CPX6" s="97" t="str">
        <f t="shared" si="40"/>
        <v/>
      </c>
      <c r="CPY6" s="97" t="str">
        <f t="shared" si="40"/>
        <v/>
      </c>
      <c r="CPZ6" s="97" t="str">
        <f t="shared" si="40"/>
        <v/>
      </c>
      <c r="CQA6" s="97" t="str">
        <f t="shared" si="40"/>
        <v/>
      </c>
      <c r="CQB6" s="97" t="str">
        <f t="shared" si="40"/>
        <v/>
      </c>
      <c r="CQC6" s="97" t="str">
        <f t="shared" si="40"/>
        <v/>
      </c>
      <c r="CQD6" s="97" t="str">
        <f t="shared" si="40"/>
        <v/>
      </c>
      <c r="CQE6" s="97" t="str">
        <f t="shared" si="40"/>
        <v/>
      </c>
      <c r="CQF6" s="97" t="str">
        <f t="shared" si="40"/>
        <v/>
      </c>
      <c r="CQG6" s="97" t="str">
        <f t="shared" si="40"/>
        <v/>
      </c>
      <c r="CQH6" s="97" t="str">
        <f t="shared" si="40"/>
        <v/>
      </c>
      <c r="CQI6" s="97" t="str">
        <f t="shared" si="40"/>
        <v/>
      </c>
      <c r="CQJ6" s="97" t="str">
        <f t="shared" si="40"/>
        <v/>
      </c>
      <c r="CQK6" s="97" t="str">
        <f t="shared" si="40"/>
        <v/>
      </c>
      <c r="CQL6" s="97" t="str">
        <f t="shared" si="40"/>
        <v/>
      </c>
      <c r="CQM6" s="97" t="str">
        <f t="shared" si="40"/>
        <v/>
      </c>
      <c r="CQN6" s="97" t="str">
        <f t="shared" si="40"/>
        <v/>
      </c>
      <c r="CQO6" s="97" t="str">
        <f t="shared" si="40"/>
        <v/>
      </c>
      <c r="CQP6" s="97" t="str">
        <f t="shared" si="40"/>
        <v/>
      </c>
      <c r="CQQ6" s="97" t="str">
        <f t="shared" si="40"/>
        <v/>
      </c>
      <c r="CQR6" s="97" t="str">
        <f t="shared" si="40"/>
        <v/>
      </c>
      <c r="CQS6" s="97" t="str">
        <f t="shared" si="40"/>
        <v/>
      </c>
      <c r="CQT6" s="97" t="str">
        <f t="shared" si="40"/>
        <v/>
      </c>
      <c r="CQU6" s="97" t="str">
        <f t="shared" si="40"/>
        <v/>
      </c>
      <c r="CQV6" s="97" t="str">
        <f t="shared" si="40"/>
        <v/>
      </c>
      <c r="CQW6" s="97" t="str">
        <f t="shared" si="40"/>
        <v/>
      </c>
      <c r="CQX6" s="97" t="str">
        <f t="shared" si="40"/>
        <v/>
      </c>
      <c r="CQY6" s="97" t="str">
        <f t="shared" si="40"/>
        <v/>
      </c>
      <c r="CQZ6" s="97" t="str">
        <f t="shared" si="40"/>
        <v/>
      </c>
      <c r="CRA6" s="97" t="str">
        <f t="shared" si="40"/>
        <v/>
      </c>
      <c r="CRB6" s="97" t="str">
        <f t="shared" si="40"/>
        <v/>
      </c>
      <c r="CRC6" s="97" t="str">
        <f t="shared" si="40"/>
        <v/>
      </c>
      <c r="CRD6" s="97" t="str">
        <f t="shared" si="40"/>
        <v/>
      </c>
      <c r="CRE6" s="97" t="str">
        <f t="shared" si="40"/>
        <v/>
      </c>
      <c r="CRF6" s="97" t="str">
        <f t="shared" ref="CRF6:CTQ6" si="41">IFERROR(AVERAGE(CRF7:CRF13),"")</f>
        <v/>
      </c>
      <c r="CRG6" s="97" t="str">
        <f t="shared" si="41"/>
        <v/>
      </c>
      <c r="CRH6" s="97" t="str">
        <f t="shared" si="41"/>
        <v/>
      </c>
      <c r="CRI6" s="97" t="str">
        <f t="shared" si="41"/>
        <v/>
      </c>
      <c r="CRJ6" s="97" t="str">
        <f t="shared" si="41"/>
        <v/>
      </c>
      <c r="CRK6" s="97" t="str">
        <f t="shared" si="41"/>
        <v/>
      </c>
      <c r="CRL6" s="97" t="str">
        <f t="shared" si="41"/>
        <v/>
      </c>
      <c r="CRM6" s="97" t="str">
        <f t="shared" si="41"/>
        <v/>
      </c>
      <c r="CRN6" s="97" t="str">
        <f t="shared" si="41"/>
        <v/>
      </c>
      <c r="CRO6" s="97" t="str">
        <f t="shared" si="41"/>
        <v/>
      </c>
      <c r="CRP6" s="97" t="str">
        <f t="shared" si="41"/>
        <v/>
      </c>
      <c r="CRQ6" s="97" t="str">
        <f t="shared" si="41"/>
        <v/>
      </c>
      <c r="CRR6" s="97" t="str">
        <f t="shared" si="41"/>
        <v/>
      </c>
      <c r="CRS6" s="97" t="str">
        <f t="shared" si="41"/>
        <v/>
      </c>
      <c r="CRT6" s="97" t="str">
        <f t="shared" si="41"/>
        <v/>
      </c>
      <c r="CRU6" s="97" t="str">
        <f t="shared" si="41"/>
        <v/>
      </c>
      <c r="CRV6" s="97" t="str">
        <f t="shared" si="41"/>
        <v/>
      </c>
      <c r="CRW6" s="97" t="str">
        <f t="shared" si="41"/>
        <v/>
      </c>
      <c r="CRX6" s="97" t="str">
        <f t="shared" si="41"/>
        <v/>
      </c>
      <c r="CRY6" s="97" t="str">
        <f t="shared" si="41"/>
        <v/>
      </c>
      <c r="CRZ6" s="97" t="str">
        <f t="shared" si="41"/>
        <v/>
      </c>
      <c r="CSA6" s="97" t="str">
        <f t="shared" si="41"/>
        <v/>
      </c>
      <c r="CSB6" s="97" t="str">
        <f t="shared" si="41"/>
        <v/>
      </c>
      <c r="CSC6" s="97" t="str">
        <f t="shared" si="41"/>
        <v/>
      </c>
      <c r="CSD6" s="97" t="str">
        <f t="shared" si="41"/>
        <v/>
      </c>
      <c r="CSE6" s="97" t="str">
        <f t="shared" si="41"/>
        <v/>
      </c>
      <c r="CSF6" s="97" t="str">
        <f t="shared" si="41"/>
        <v/>
      </c>
      <c r="CSG6" s="97" t="str">
        <f t="shared" si="41"/>
        <v/>
      </c>
      <c r="CSH6" s="97" t="str">
        <f t="shared" si="41"/>
        <v/>
      </c>
      <c r="CSI6" s="97" t="str">
        <f t="shared" si="41"/>
        <v/>
      </c>
      <c r="CSJ6" s="97" t="str">
        <f t="shared" si="41"/>
        <v/>
      </c>
      <c r="CSK6" s="97" t="str">
        <f t="shared" si="41"/>
        <v/>
      </c>
      <c r="CSL6" s="97" t="str">
        <f t="shared" si="41"/>
        <v/>
      </c>
      <c r="CSM6" s="97" t="str">
        <f t="shared" si="41"/>
        <v/>
      </c>
      <c r="CSN6" s="97" t="str">
        <f t="shared" si="41"/>
        <v/>
      </c>
      <c r="CSO6" s="97" t="str">
        <f t="shared" si="41"/>
        <v/>
      </c>
      <c r="CSP6" s="97" t="str">
        <f t="shared" si="41"/>
        <v/>
      </c>
      <c r="CSQ6" s="97" t="str">
        <f t="shared" si="41"/>
        <v/>
      </c>
      <c r="CSR6" s="97" t="str">
        <f t="shared" si="41"/>
        <v/>
      </c>
      <c r="CSS6" s="97" t="str">
        <f t="shared" si="41"/>
        <v/>
      </c>
      <c r="CST6" s="97" t="str">
        <f t="shared" si="41"/>
        <v/>
      </c>
      <c r="CSU6" s="97" t="str">
        <f t="shared" si="41"/>
        <v/>
      </c>
      <c r="CSV6" s="97" t="str">
        <f t="shared" si="41"/>
        <v/>
      </c>
      <c r="CSW6" s="97" t="str">
        <f t="shared" si="41"/>
        <v/>
      </c>
      <c r="CSX6" s="97" t="str">
        <f t="shared" si="41"/>
        <v/>
      </c>
      <c r="CSY6" s="97" t="str">
        <f t="shared" si="41"/>
        <v/>
      </c>
      <c r="CSZ6" s="97" t="str">
        <f t="shared" si="41"/>
        <v/>
      </c>
      <c r="CTA6" s="97" t="str">
        <f t="shared" si="41"/>
        <v/>
      </c>
      <c r="CTB6" s="97" t="str">
        <f t="shared" si="41"/>
        <v/>
      </c>
      <c r="CTC6" s="97" t="str">
        <f t="shared" si="41"/>
        <v/>
      </c>
      <c r="CTD6" s="97" t="str">
        <f t="shared" si="41"/>
        <v/>
      </c>
      <c r="CTE6" s="97" t="str">
        <f t="shared" si="41"/>
        <v/>
      </c>
      <c r="CTF6" s="97" t="str">
        <f t="shared" si="41"/>
        <v/>
      </c>
      <c r="CTG6" s="97" t="str">
        <f t="shared" si="41"/>
        <v/>
      </c>
      <c r="CTH6" s="97" t="str">
        <f t="shared" si="41"/>
        <v/>
      </c>
      <c r="CTI6" s="97" t="str">
        <f t="shared" si="41"/>
        <v/>
      </c>
      <c r="CTJ6" s="97" t="str">
        <f t="shared" si="41"/>
        <v/>
      </c>
      <c r="CTK6" s="97" t="str">
        <f t="shared" si="41"/>
        <v/>
      </c>
      <c r="CTL6" s="97" t="str">
        <f t="shared" si="41"/>
        <v/>
      </c>
      <c r="CTM6" s="97" t="str">
        <f t="shared" si="41"/>
        <v/>
      </c>
      <c r="CTN6" s="97" t="str">
        <f t="shared" si="41"/>
        <v/>
      </c>
      <c r="CTO6" s="97" t="str">
        <f t="shared" si="41"/>
        <v/>
      </c>
      <c r="CTP6" s="97" t="str">
        <f t="shared" si="41"/>
        <v/>
      </c>
      <c r="CTQ6" s="97" t="str">
        <f t="shared" si="41"/>
        <v/>
      </c>
      <c r="CTR6" s="97" t="str">
        <f t="shared" ref="CTR6:CWC6" si="42">IFERROR(AVERAGE(CTR7:CTR13),"")</f>
        <v/>
      </c>
      <c r="CTS6" s="97" t="str">
        <f t="shared" si="42"/>
        <v/>
      </c>
      <c r="CTT6" s="97" t="str">
        <f t="shared" si="42"/>
        <v/>
      </c>
      <c r="CTU6" s="97" t="str">
        <f t="shared" si="42"/>
        <v/>
      </c>
      <c r="CTV6" s="97" t="str">
        <f t="shared" si="42"/>
        <v/>
      </c>
      <c r="CTW6" s="97" t="str">
        <f t="shared" si="42"/>
        <v/>
      </c>
      <c r="CTX6" s="97" t="str">
        <f t="shared" si="42"/>
        <v/>
      </c>
      <c r="CTY6" s="97" t="str">
        <f t="shared" si="42"/>
        <v/>
      </c>
      <c r="CTZ6" s="97" t="str">
        <f t="shared" si="42"/>
        <v/>
      </c>
      <c r="CUA6" s="97" t="str">
        <f t="shared" si="42"/>
        <v/>
      </c>
      <c r="CUB6" s="97" t="str">
        <f t="shared" si="42"/>
        <v/>
      </c>
      <c r="CUC6" s="97" t="str">
        <f t="shared" si="42"/>
        <v/>
      </c>
      <c r="CUD6" s="97" t="str">
        <f t="shared" si="42"/>
        <v/>
      </c>
      <c r="CUE6" s="97" t="str">
        <f t="shared" si="42"/>
        <v/>
      </c>
      <c r="CUF6" s="97" t="str">
        <f t="shared" si="42"/>
        <v/>
      </c>
      <c r="CUG6" s="97" t="str">
        <f t="shared" si="42"/>
        <v/>
      </c>
      <c r="CUH6" s="97" t="str">
        <f t="shared" si="42"/>
        <v/>
      </c>
      <c r="CUI6" s="97" t="str">
        <f t="shared" si="42"/>
        <v/>
      </c>
      <c r="CUJ6" s="97" t="str">
        <f t="shared" si="42"/>
        <v/>
      </c>
      <c r="CUK6" s="97" t="str">
        <f t="shared" si="42"/>
        <v/>
      </c>
      <c r="CUL6" s="97" t="str">
        <f t="shared" si="42"/>
        <v/>
      </c>
      <c r="CUM6" s="97" t="str">
        <f t="shared" si="42"/>
        <v/>
      </c>
      <c r="CUN6" s="97" t="str">
        <f t="shared" si="42"/>
        <v/>
      </c>
      <c r="CUO6" s="97" t="str">
        <f t="shared" si="42"/>
        <v/>
      </c>
      <c r="CUP6" s="97" t="str">
        <f t="shared" si="42"/>
        <v/>
      </c>
      <c r="CUQ6" s="97" t="str">
        <f t="shared" si="42"/>
        <v/>
      </c>
      <c r="CUR6" s="97" t="str">
        <f t="shared" si="42"/>
        <v/>
      </c>
      <c r="CUS6" s="97" t="str">
        <f t="shared" si="42"/>
        <v/>
      </c>
      <c r="CUT6" s="97" t="str">
        <f t="shared" si="42"/>
        <v/>
      </c>
      <c r="CUU6" s="97" t="str">
        <f t="shared" si="42"/>
        <v/>
      </c>
      <c r="CUV6" s="97" t="str">
        <f t="shared" si="42"/>
        <v/>
      </c>
      <c r="CUW6" s="97" t="str">
        <f t="shared" si="42"/>
        <v/>
      </c>
      <c r="CUX6" s="97" t="str">
        <f t="shared" si="42"/>
        <v/>
      </c>
      <c r="CUY6" s="97" t="str">
        <f t="shared" si="42"/>
        <v/>
      </c>
      <c r="CUZ6" s="97" t="str">
        <f t="shared" si="42"/>
        <v/>
      </c>
      <c r="CVA6" s="97" t="str">
        <f t="shared" si="42"/>
        <v/>
      </c>
      <c r="CVB6" s="97" t="str">
        <f t="shared" si="42"/>
        <v/>
      </c>
      <c r="CVC6" s="97" t="str">
        <f t="shared" si="42"/>
        <v/>
      </c>
      <c r="CVD6" s="97" t="str">
        <f t="shared" si="42"/>
        <v/>
      </c>
      <c r="CVE6" s="97" t="str">
        <f t="shared" si="42"/>
        <v/>
      </c>
      <c r="CVF6" s="97" t="str">
        <f t="shared" si="42"/>
        <v/>
      </c>
      <c r="CVG6" s="97" t="str">
        <f t="shared" si="42"/>
        <v/>
      </c>
      <c r="CVH6" s="97" t="str">
        <f t="shared" si="42"/>
        <v/>
      </c>
      <c r="CVI6" s="97" t="str">
        <f t="shared" si="42"/>
        <v/>
      </c>
      <c r="CVJ6" s="97" t="str">
        <f t="shared" si="42"/>
        <v/>
      </c>
      <c r="CVK6" s="97" t="str">
        <f t="shared" si="42"/>
        <v/>
      </c>
      <c r="CVL6" s="97" t="str">
        <f t="shared" si="42"/>
        <v/>
      </c>
      <c r="CVM6" s="97" t="str">
        <f t="shared" si="42"/>
        <v/>
      </c>
      <c r="CVN6" s="97" t="str">
        <f t="shared" si="42"/>
        <v/>
      </c>
      <c r="CVO6" s="97" t="str">
        <f t="shared" si="42"/>
        <v/>
      </c>
      <c r="CVP6" s="97" t="str">
        <f t="shared" si="42"/>
        <v/>
      </c>
      <c r="CVQ6" s="97" t="str">
        <f t="shared" si="42"/>
        <v/>
      </c>
      <c r="CVR6" s="97" t="str">
        <f t="shared" si="42"/>
        <v/>
      </c>
      <c r="CVS6" s="97" t="str">
        <f t="shared" si="42"/>
        <v/>
      </c>
      <c r="CVT6" s="97" t="str">
        <f t="shared" si="42"/>
        <v/>
      </c>
      <c r="CVU6" s="97" t="str">
        <f t="shared" si="42"/>
        <v/>
      </c>
      <c r="CVV6" s="97" t="str">
        <f t="shared" si="42"/>
        <v/>
      </c>
      <c r="CVW6" s="97" t="str">
        <f t="shared" si="42"/>
        <v/>
      </c>
      <c r="CVX6" s="97" t="str">
        <f t="shared" si="42"/>
        <v/>
      </c>
      <c r="CVY6" s="97" t="str">
        <f t="shared" si="42"/>
        <v/>
      </c>
      <c r="CVZ6" s="97" t="str">
        <f t="shared" si="42"/>
        <v/>
      </c>
      <c r="CWA6" s="97" t="str">
        <f t="shared" si="42"/>
        <v/>
      </c>
      <c r="CWB6" s="97" t="str">
        <f t="shared" si="42"/>
        <v/>
      </c>
      <c r="CWC6" s="97" t="str">
        <f t="shared" si="42"/>
        <v/>
      </c>
      <c r="CWD6" s="97" t="str">
        <f t="shared" ref="CWD6:CYO6" si="43">IFERROR(AVERAGE(CWD7:CWD13),"")</f>
        <v/>
      </c>
      <c r="CWE6" s="97" t="str">
        <f t="shared" si="43"/>
        <v/>
      </c>
      <c r="CWF6" s="97" t="str">
        <f t="shared" si="43"/>
        <v/>
      </c>
      <c r="CWG6" s="97" t="str">
        <f t="shared" si="43"/>
        <v/>
      </c>
      <c r="CWH6" s="97" t="str">
        <f t="shared" si="43"/>
        <v/>
      </c>
      <c r="CWI6" s="97" t="str">
        <f t="shared" si="43"/>
        <v/>
      </c>
      <c r="CWJ6" s="97" t="str">
        <f t="shared" si="43"/>
        <v/>
      </c>
      <c r="CWK6" s="97" t="str">
        <f t="shared" si="43"/>
        <v/>
      </c>
      <c r="CWL6" s="97" t="str">
        <f t="shared" si="43"/>
        <v/>
      </c>
      <c r="CWM6" s="97" t="str">
        <f t="shared" si="43"/>
        <v/>
      </c>
      <c r="CWN6" s="97" t="str">
        <f t="shared" si="43"/>
        <v/>
      </c>
      <c r="CWO6" s="97" t="str">
        <f t="shared" si="43"/>
        <v/>
      </c>
      <c r="CWP6" s="97" t="str">
        <f t="shared" si="43"/>
        <v/>
      </c>
      <c r="CWQ6" s="97" t="str">
        <f t="shared" si="43"/>
        <v/>
      </c>
      <c r="CWR6" s="97" t="str">
        <f t="shared" si="43"/>
        <v/>
      </c>
      <c r="CWS6" s="97" t="str">
        <f t="shared" si="43"/>
        <v/>
      </c>
      <c r="CWT6" s="97" t="str">
        <f t="shared" si="43"/>
        <v/>
      </c>
      <c r="CWU6" s="97" t="str">
        <f t="shared" si="43"/>
        <v/>
      </c>
      <c r="CWV6" s="97" t="str">
        <f t="shared" si="43"/>
        <v/>
      </c>
      <c r="CWW6" s="97" t="str">
        <f t="shared" si="43"/>
        <v/>
      </c>
      <c r="CWX6" s="97" t="str">
        <f t="shared" si="43"/>
        <v/>
      </c>
      <c r="CWY6" s="97" t="str">
        <f t="shared" si="43"/>
        <v/>
      </c>
      <c r="CWZ6" s="97" t="str">
        <f t="shared" si="43"/>
        <v/>
      </c>
      <c r="CXA6" s="97" t="str">
        <f t="shared" si="43"/>
        <v/>
      </c>
      <c r="CXB6" s="97" t="str">
        <f t="shared" si="43"/>
        <v/>
      </c>
      <c r="CXC6" s="97" t="str">
        <f t="shared" si="43"/>
        <v/>
      </c>
      <c r="CXD6" s="97" t="str">
        <f t="shared" si="43"/>
        <v/>
      </c>
      <c r="CXE6" s="97" t="str">
        <f t="shared" si="43"/>
        <v/>
      </c>
      <c r="CXF6" s="97" t="str">
        <f t="shared" si="43"/>
        <v/>
      </c>
      <c r="CXG6" s="97" t="str">
        <f t="shared" si="43"/>
        <v/>
      </c>
      <c r="CXH6" s="97" t="str">
        <f t="shared" si="43"/>
        <v/>
      </c>
      <c r="CXI6" s="97" t="str">
        <f t="shared" si="43"/>
        <v/>
      </c>
      <c r="CXJ6" s="97" t="str">
        <f t="shared" si="43"/>
        <v/>
      </c>
      <c r="CXK6" s="97" t="str">
        <f t="shared" si="43"/>
        <v/>
      </c>
      <c r="CXL6" s="97" t="str">
        <f t="shared" si="43"/>
        <v/>
      </c>
      <c r="CXM6" s="97" t="str">
        <f t="shared" si="43"/>
        <v/>
      </c>
      <c r="CXN6" s="97" t="str">
        <f t="shared" si="43"/>
        <v/>
      </c>
      <c r="CXO6" s="97" t="str">
        <f t="shared" si="43"/>
        <v/>
      </c>
      <c r="CXP6" s="97" t="str">
        <f t="shared" si="43"/>
        <v/>
      </c>
      <c r="CXQ6" s="97" t="str">
        <f t="shared" si="43"/>
        <v/>
      </c>
      <c r="CXR6" s="97" t="str">
        <f t="shared" si="43"/>
        <v/>
      </c>
      <c r="CXS6" s="97" t="str">
        <f t="shared" si="43"/>
        <v/>
      </c>
      <c r="CXT6" s="97" t="str">
        <f t="shared" si="43"/>
        <v/>
      </c>
      <c r="CXU6" s="97" t="str">
        <f t="shared" si="43"/>
        <v/>
      </c>
      <c r="CXV6" s="97" t="str">
        <f t="shared" si="43"/>
        <v/>
      </c>
      <c r="CXW6" s="97" t="str">
        <f t="shared" si="43"/>
        <v/>
      </c>
      <c r="CXX6" s="97" t="str">
        <f t="shared" si="43"/>
        <v/>
      </c>
      <c r="CXY6" s="97" t="str">
        <f t="shared" si="43"/>
        <v/>
      </c>
      <c r="CXZ6" s="97" t="str">
        <f t="shared" si="43"/>
        <v/>
      </c>
      <c r="CYA6" s="97" t="str">
        <f t="shared" si="43"/>
        <v/>
      </c>
      <c r="CYB6" s="97" t="str">
        <f t="shared" si="43"/>
        <v/>
      </c>
      <c r="CYC6" s="97" t="str">
        <f t="shared" si="43"/>
        <v/>
      </c>
      <c r="CYD6" s="97" t="str">
        <f t="shared" si="43"/>
        <v/>
      </c>
      <c r="CYE6" s="97" t="str">
        <f t="shared" si="43"/>
        <v/>
      </c>
      <c r="CYF6" s="97" t="str">
        <f t="shared" si="43"/>
        <v/>
      </c>
      <c r="CYG6" s="97" t="str">
        <f t="shared" si="43"/>
        <v/>
      </c>
      <c r="CYH6" s="97" t="str">
        <f t="shared" si="43"/>
        <v/>
      </c>
      <c r="CYI6" s="97" t="str">
        <f t="shared" si="43"/>
        <v/>
      </c>
      <c r="CYJ6" s="97" t="str">
        <f t="shared" si="43"/>
        <v/>
      </c>
      <c r="CYK6" s="97" t="str">
        <f t="shared" si="43"/>
        <v/>
      </c>
      <c r="CYL6" s="97" t="str">
        <f t="shared" si="43"/>
        <v/>
      </c>
      <c r="CYM6" s="97" t="str">
        <f t="shared" si="43"/>
        <v/>
      </c>
      <c r="CYN6" s="97" t="str">
        <f t="shared" si="43"/>
        <v/>
      </c>
      <c r="CYO6" s="97" t="str">
        <f t="shared" si="43"/>
        <v/>
      </c>
      <c r="CYP6" s="97" t="str">
        <f t="shared" ref="CYP6:DBA6" si="44">IFERROR(AVERAGE(CYP7:CYP13),"")</f>
        <v/>
      </c>
      <c r="CYQ6" s="97" t="str">
        <f t="shared" si="44"/>
        <v/>
      </c>
      <c r="CYR6" s="97" t="str">
        <f t="shared" si="44"/>
        <v/>
      </c>
      <c r="CYS6" s="97" t="str">
        <f t="shared" si="44"/>
        <v/>
      </c>
      <c r="CYT6" s="97" t="str">
        <f t="shared" si="44"/>
        <v/>
      </c>
      <c r="CYU6" s="97" t="str">
        <f t="shared" si="44"/>
        <v/>
      </c>
      <c r="CYV6" s="97" t="str">
        <f t="shared" si="44"/>
        <v/>
      </c>
      <c r="CYW6" s="97" t="str">
        <f t="shared" si="44"/>
        <v/>
      </c>
      <c r="CYX6" s="97" t="str">
        <f t="shared" si="44"/>
        <v/>
      </c>
      <c r="CYY6" s="97" t="str">
        <f t="shared" si="44"/>
        <v/>
      </c>
      <c r="CYZ6" s="97" t="str">
        <f t="shared" si="44"/>
        <v/>
      </c>
      <c r="CZA6" s="97" t="str">
        <f t="shared" si="44"/>
        <v/>
      </c>
      <c r="CZB6" s="97" t="str">
        <f t="shared" si="44"/>
        <v/>
      </c>
      <c r="CZC6" s="97" t="str">
        <f t="shared" si="44"/>
        <v/>
      </c>
      <c r="CZD6" s="97" t="str">
        <f t="shared" si="44"/>
        <v/>
      </c>
      <c r="CZE6" s="97" t="str">
        <f t="shared" si="44"/>
        <v/>
      </c>
      <c r="CZF6" s="97" t="str">
        <f t="shared" si="44"/>
        <v/>
      </c>
      <c r="CZG6" s="97" t="str">
        <f t="shared" si="44"/>
        <v/>
      </c>
      <c r="CZH6" s="97" t="str">
        <f t="shared" si="44"/>
        <v/>
      </c>
      <c r="CZI6" s="97" t="str">
        <f t="shared" si="44"/>
        <v/>
      </c>
      <c r="CZJ6" s="97" t="str">
        <f t="shared" si="44"/>
        <v/>
      </c>
      <c r="CZK6" s="97" t="str">
        <f t="shared" si="44"/>
        <v/>
      </c>
      <c r="CZL6" s="97" t="str">
        <f t="shared" si="44"/>
        <v/>
      </c>
      <c r="CZM6" s="97" t="str">
        <f t="shared" si="44"/>
        <v/>
      </c>
      <c r="CZN6" s="97" t="str">
        <f t="shared" si="44"/>
        <v/>
      </c>
      <c r="CZO6" s="97" t="str">
        <f t="shared" si="44"/>
        <v/>
      </c>
      <c r="CZP6" s="97" t="str">
        <f t="shared" si="44"/>
        <v/>
      </c>
      <c r="CZQ6" s="97" t="str">
        <f t="shared" si="44"/>
        <v/>
      </c>
      <c r="CZR6" s="97" t="str">
        <f t="shared" si="44"/>
        <v/>
      </c>
      <c r="CZS6" s="97" t="str">
        <f t="shared" si="44"/>
        <v/>
      </c>
      <c r="CZT6" s="97" t="str">
        <f t="shared" si="44"/>
        <v/>
      </c>
      <c r="CZU6" s="97" t="str">
        <f t="shared" si="44"/>
        <v/>
      </c>
      <c r="CZV6" s="97" t="str">
        <f t="shared" si="44"/>
        <v/>
      </c>
      <c r="CZW6" s="97" t="str">
        <f t="shared" si="44"/>
        <v/>
      </c>
      <c r="CZX6" s="97" t="str">
        <f t="shared" si="44"/>
        <v/>
      </c>
      <c r="CZY6" s="97" t="str">
        <f t="shared" si="44"/>
        <v/>
      </c>
      <c r="CZZ6" s="97" t="str">
        <f t="shared" si="44"/>
        <v/>
      </c>
      <c r="DAA6" s="97" t="str">
        <f t="shared" si="44"/>
        <v/>
      </c>
      <c r="DAB6" s="97" t="str">
        <f t="shared" si="44"/>
        <v/>
      </c>
      <c r="DAC6" s="97" t="str">
        <f t="shared" si="44"/>
        <v/>
      </c>
      <c r="DAD6" s="97" t="str">
        <f t="shared" si="44"/>
        <v/>
      </c>
      <c r="DAE6" s="97" t="str">
        <f t="shared" si="44"/>
        <v/>
      </c>
      <c r="DAF6" s="97" t="str">
        <f t="shared" si="44"/>
        <v/>
      </c>
      <c r="DAG6" s="97" t="str">
        <f t="shared" si="44"/>
        <v/>
      </c>
      <c r="DAH6" s="97" t="str">
        <f t="shared" si="44"/>
        <v/>
      </c>
      <c r="DAI6" s="97" t="str">
        <f t="shared" si="44"/>
        <v/>
      </c>
      <c r="DAJ6" s="97" t="str">
        <f t="shared" si="44"/>
        <v/>
      </c>
      <c r="DAK6" s="97" t="str">
        <f t="shared" si="44"/>
        <v/>
      </c>
      <c r="DAL6" s="97" t="str">
        <f t="shared" si="44"/>
        <v/>
      </c>
      <c r="DAM6" s="97" t="str">
        <f t="shared" si="44"/>
        <v/>
      </c>
      <c r="DAN6" s="97" t="str">
        <f t="shared" si="44"/>
        <v/>
      </c>
      <c r="DAO6" s="97" t="str">
        <f t="shared" si="44"/>
        <v/>
      </c>
      <c r="DAP6" s="97" t="str">
        <f t="shared" si="44"/>
        <v/>
      </c>
      <c r="DAQ6" s="97" t="str">
        <f t="shared" si="44"/>
        <v/>
      </c>
      <c r="DAR6" s="97" t="str">
        <f t="shared" si="44"/>
        <v/>
      </c>
      <c r="DAS6" s="97" t="str">
        <f t="shared" si="44"/>
        <v/>
      </c>
      <c r="DAT6" s="97" t="str">
        <f t="shared" si="44"/>
        <v/>
      </c>
      <c r="DAU6" s="97" t="str">
        <f t="shared" si="44"/>
        <v/>
      </c>
      <c r="DAV6" s="97" t="str">
        <f t="shared" si="44"/>
        <v/>
      </c>
      <c r="DAW6" s="97" t="str">
        <f t="shared" si="44"/>
        <v/>
      </c>
      <c r="DAX6" s="97" t="str">
        <f t="shared" si="44"/>
        <v/>
      </c>
      <c r="DAY6" s="97" t="str">
        <f t="shared" si="44"/>
        <v/>
      </c>
      <c r="DAZ6" s="97" t="str">
        <f t="shared" si="44"/>
        <v/>
      </c>
      <c r="DBA6" s="97" t="str">
        <f t="shared" si="44"/>
        <v/>
      </c>
      <c r="DBB6" s="97" t="str">
        <f t="shared" ref="DBB6:DDM6" si="45">IFERROR(AVERAGE(DBB7:DBB13),"")</f>
        <v/>
      </c>
      <c r="DBC6" s="97" t="str">
        <f t="shared" si="45"/>
        <v/>
      </c>
      <c r="DBD6" s="97" t="str">
        <f t="shared" si="45"/>
        <v/>
      </c>
      <c r="DBE6" s="97" t="str">
        <f t="shared" si="45"/>
        <v/>
      </c>
      <c r="DBF6" s="97" t="str">
        <f t="shared" si="45"/>
        <v/>
      </c>
      <c r="DBG6" s="97" t="str">
        <f t="shared" si="45"/>
        <v/>
      </c>
      <c r="DBH6" s="97" t="str">
        <f t="shared" si="45"/>
        <v/>
      </c>
      <c r="DBI6" s="97" t="str">
        <f t="shared" si="45"/>
        <v/>
      </c>
      <c r="DBJ6" s="97" t="str">
        <f t="shared" si="45"/>
        <v/>
      </c>
      <c r="DBK6" s="97" t="str">
        <f t="shared" si="45"/>
        <v/>
      </c>
      <c r="DBL6" s="97" t="str">
        <f t="shared" si="45"/>
        <v/>
      </c>
      <c r="DBM6" s="97" t="str">
        <f t="shared" si="45"/>
        <v/>
      </c>
      <c r="DBN6" s="97" t="str">
        <f t="shared" si="45"/>
        <v/>
      </c>
      <c r="DBO6" s="97" t="str">
        <f t="shared" si="45"/>
        <v/>
      </c>
      <c r="DBP6" s="97" t="str">
        <f t="shared" si="45"/>
        <v/>
      </c>
      <c r="DBQ6" s="97" t="str">
        <f t="shared" si="45"/>
        <v/>
      </c>
      <c r="DBR6" s="97" t="str">
        <f t="shared" si="45"/>
        <v/>
      </c>
      <c r="DBS6" s="97" t="str">
        <f t="shared" si="45"/>
        <v/>
      </c>
      <c r="DBT6" s="97" t="str">
        <f t="shared" si="45"/>
        <v/>
      </c>
      <c r="DBU6" s="97" t="str">
        <f t="shared" si="45"/>
        <v/>
      </c>
      <c r="DBV6" s="97" t="str">
        <f t="shared" si="45"/>
        <v/>
      </c>
      <c r="DBW6" s="97" t="str">
        <f t="shared" si="45"/>
        <v/>
      </c>
      <c r="DBX6" s="97" t="str">
        <f t="shared" si="45"/>
        <v/>
      </c>
      <c r="DBY6" s="97" t="str">
        <f t="shared" si="45"/>
        <v/>
      </c>
      <c r="DBZ6" s="97" t="str">
        <f t="shared" si="45"/>
        <v/>
      </c>
      <c r="DCA6" s="97" t="str">
        <f t="shared" si="45"/>
        <v/>
      </c>
      <c r="DCB6" s="97" t="str">
        <f t="shared" si="45"/>
        <v/>
      </c>
      <c r="DCC6" s="97" t="str">
        <f t="shared" si="45"/>
        <v/>
      </c>
      <c r="DCD6" s="97" t="str">
        <f t="shared" si="45"/>
        <v/>
      </c>
      <c r="DCE6" s="97" t="str">
        <f t="shared" si="45"/>
        <v/>
      </c>
      <c r="DCF6" s="97" t="str">
        <f t="shared" si="45"/>
        <v/>
      </c>
      <c r="DCG6" s="97" t="str">
        <f t="shared" si="45"/>
        <v/>
      </c>
      <c r="DCH6" s="97" t="str">
        <f t="shared" si="45"/>
        <v/>
      </c>
      <c r="DCI6" s="97" t="str">
        <f t="shared" si="45"/>
        <v/>
      </c>
      <c r="DCJ6" s="97" t="str">
        <f t="shared" si="45"/>
        <v/>
      </c>
      <c r="DCK6" s="97" t="str">
        <f t="shared" si="45"/>
        <v/>
      </c>
      <c r="DCL6" s="97" t="str">
        <f t="shared" si="45"/>
        <v/>
      </c>
      <c r="DCM6" s="97" t="str">
        <f t="shared" si="45"/>
        <v/>
      </c>
      <c r="DCN6" s="97" t="str">
        <f t="shared" si="45"/>
        <v/>
      </c>
      <c r="DCO6" s="97" t="str">
        <f t="shared" si="45"/>
        <v/>
      </c>
      <c r="DCP6" s="97" t="str">
        <f t="shared" si="45"/>
        <v/>
      </c>
      <c r="DCQ6" s="97" t="str">
        <f t="shared" si="45"/>
        <v/>
      </c>
      <c r="DCR6" s="97" t="str">
        <f t="shared" si="45"/>
        <v/>
      </c>
      <c r="DCS6" s="97" t="str">
        <f t="shared" si="45"/>
        <v/>
      </c>
      <c r="DCT6" s="97" t="str">
        <f t="shared" si="45"/>
        <v/>
      </c>
      <c r="DCU6" s="97" t="str">
        <f t="shared" si="45"/>
        <v/>
      </c>
      <c r="DCV6" s="97" t="str">
        <f t="shared" si="45"/>
        <v/>
      </c>
      <c r="DCW6" s="97" t="str">
        <f t="shared" si="45"/>
        <v/>
      </c>
      <c r="DCX6" s="97" t="str">
        <f t="shared" si="45"/>
        <v/>
      </c>
      <c r="DCY6" s="97" t="str">
        <f t="shared" si="45"/>
        <v/>
      </c>
      <c r="DCZ6" s="97" t="str">
        <f t="shared" si="45"/>
        <v/>
      </c>
      <c r="DDA6" s="97" t="str">
        <f t="shared" si="45"/>
        <v/>
      </c>
      <c r="DDB6" s="97" t="str">
        <f t="shared" si="45"/>
        <v/>
      </c>
      <c r="DDC6" s="97" t="str">
        <f t="shared" si="45"/>
        <v/>
      </c>
      <c r="DDD6" s="97" t="str">
        <f t="shared" si="45"/>
        <v/>
      </c>
      <c r="DDE6" s="97" t="str">
        <f t="shared" si="45"/>
        <v/>
      </c>
      <c r="DDF6" s="97" t="str">
        <f t="shared" si="45"/>
        <v/>
      </c>
      <c r="DDG6" s="97" t="str">
        <f t="shared" si="45"/>
        <v/>
      </c>
      <c r="DDH6" s="97" t="str">
        <f t="shared" si="45"/>
        <v/>
      </c>
      <c r="DDI6" s="97" t="str">
        <f t="shared" si="45"/>
        <v/>
      </c>
      <c r="DDJ6" s="97" t="str">
        <f t="shared" si="45"/>
        <v/>
      </c>
      <c r="DDK6" s="97" t="str">
        <f t="shared" si="45"/>
        <v/>
      </c>
      <c r="DDL6" s="97" t="str">
        <f t="shared" si="45"/>
        <v/>
      </c>
      <c r="DDM6" s="97" t="str">
        <f t="shared" si="45"/>
        <v/>
      </c>
      <c r="DDN6" s="97" t="str">
        <f t="shared" ref="DDN6:DFY6" si="46">IFERROR(AVERAGE(DDN7:DDN13),"")</f>
        <v/>
      </c>
      <c r="DDO6" s="97" t="str">
        <f t="shared" si="46"/>
        <v/>
      </c>
      <c r="DDP6" s="97" t="str">
        <f t="shared" si="46"/>
        <v/>
      </c>
      <c r="DDQ6" s="97" t="str">
        <f t="shared" si="46"/>
        <v/>
      </c>
      <c r="DDR6" s="97" t="str">
        <f t="shared" si="46"/>
        <v/>
      </c>
      <c r="DDS6" s="97" t="str">
        <f t="shared" si="46"/>
        <v/>
      </c>
      <c r="DDT6" s="97" t="str">
        <f t="shared" si="46"/>
        <v/>
      </c>
      <c r="DDU6" s="97" t="str">
        <f t="shared" si="46"/>
        <v/>
      </c>
      <c r="DDV6" s="97" t="str">
        <f t="shared" si="46"/>
        <v/>
      </c>
      <c r="DDW6" s="97" t="str">
        <f t="shared" si="46"/>
        <v/>
      </c>
      <c r="DDX6" s="97" t="str">
        <f t="shared" si="46"/>
        <v/>
      </c>
      <c r="DDY6" s="97" t="str">
        <f t="shared" si="46"/>
        <v/>
      </c>
      <c r="DDZ6" s="97" t="str">
        <f t="shared" si="46"/>
        <v/>
      </c>
      <c r="DEA6" s="97" t="str">
        <f t="shared" si="46"/>
        <v/>
      </c>
      <c r="DEB6" s="97" t="str">
        <f t="shared" si="46"/>
        <v/>
      </c>
      <c r="DEC6" s="97" t="str">
        <f t="shared" si="46"/>
        <v/>
      </c>
      <c r="DED6" s="97" t="str">
        <f t="shared" si="46"/>
        <v/>
      </c>
      <c r="DEE6" s="97" t="str">
        <f t="shared" si="46"/>
        <v/>
      </c>
      <c r="DEF6" s="97" t="str">
        <f t="shared" si="46"/>
        <v/>
      </c>
      <c r="DEG6" s="97" t="str">
        <f t="shared" si="46"/>
        <v/>
      </c>
      <c r="DEH6" s="97" t="str">
        <f t="shared" si="46"/>
        <v/>
      </c>
      <c r="DEI6" s="97" t="str">
        <f t="shared" si="46"/>
        <v/>
      </c>
      <c r="DEJ6" s="97" t="str">
        <f t="shared" si="46"/>
        <v/>
      </c>
      <c r="DEK6" s="97" t="str">
        <f t="shared" si="46"/>
        <v/>
      </c>
      <c r="DEL6" s="97" t="str">
        <f t="shared" si="46"/>
        <v/>
      </c>
      <c r="DEM6" s="97" t="str">
        <f t="shared" si="46"/>
        <v/>
      </c>
      <c r="DEN6" s="97" t="str">
        <f t="shared" si="46"/>
        <v/>
      </c>
      <c r="DEO6" s="97" t="str">
        <f t="shared" si="46"/>
        <v/>
      </c>
      <c r="DEP6" s="97" t="str">
        <f t="shared" si="46"/>
        <v/>
      </c>
      <c r="DEQ6" s="97" t="str">
        <f t="shared" si="46"/>
        <v/>
      </c>
      <c r="DER6" s="97" t="str">
        <f t="shared" si="46"/>
        <v/>
      </c>
      <c r="DES6" s="97" t="str">
        <f t="shared" si="46"/>
        <v/>
      </c>
      <c r="DET6" s="97" t="str">
        <f t="shared" si="46"/>
        <v/>
      </c>
      <c r="DEU6" s="97" t="str">
        <f t="shared" si="46"/>
        <v/>
      </c>
      <c r="DEV6" s="97" t="str">
        <f t="shared" si="46"/>
        <v/>
      </c>
      <c r="DEW6" s="97" t="str">
        <f t="shared" si="46"/>
        <v/>
      </c>
      <c r="DEX6" s="97" t="str">
        <f t="shared" si="46"/>
        <v/>
      </c>
      <c r="DEY6" s="97" t="str">
        <f t="shared" si="46"/>
        <v/>
      </c>
      <c r="DEZ6" s="97" t="str">
        <f t="shared" si="46"/>
        <v/>
      </c>
      <c r="DFA6" s="97" t="str">
        <f t="shared" si="46"/>
        <v/>
      </c>
      <c r="DFB6" s="97" t="str">
        <f t="shared" si="46"/>
        <v/>
      </c>
      <c r="DFC6" s="97" t="str">
        <f t="shared" si="46"/>
        <v/>
      </c>
      <c r="DFD6" s="97" t="str">
        <f t="shared" si="46"/>
        <v/>
      </c>
      <c r="DFE6" s="97" t="str">
        <f t="shared" si="46"/>
        <v/>
      </c>
      <c r="DFF6" s="97" t="str">
        <f t="shared" si="46"/>
        <v/>
      </c>
      <c r="DFG6" s="97" t="str">
        <f t="shared" si="46"/>
        <v/>
      </c>
      <c r="DFH6" s="97" t="str">
        <f t="shared" si="46"/>
        <v/>
      </c>
      <c r="DFI6" s="97" t="str">
        <f t="shared" si="46"/>
        <v/>
      </c>
      <c r="DFJ6" s="97" t="str">
        <f t="shared" si="46"/>
        <v/>
      </c>
      <c r="DFK6" s="97" t="str">
        <f t="shared" si="46"/>
        <v/>
      </c>
      <c r="DFL6" s="97" t="str">
        <f t="shared" si="46"/>
        <v/>
      </c>
      <c r="DFM6" s="97" t="str">
        <f t="shared" si="46"/>
        <v/>
      </c>
      <c r="DFN6" s="97" t="str">
        <f t="shared" si="46"/>
        <v/>
      </c>
      <c r="DFO6" s="97" t="str">
        <f t="shared" si="46"/>
        <v/>
      </c>
      <c r="DFP6" s="97" t="str">
        <f t="shared" si="46"/>
        <v/>
      </c>
      <c r="DFQ6" s="97" t="str">
        <f t="shared" si="46"/>
        <v/>
      </c>
      <c r="DFR6" s="97" t="str">
        <f t="shared" si="46"/>
        <v/>
      </c>
      <c r="DFS6" s="97" t="str">
        <f t="shared" si="46"/>
        <v/>
      </c>
      <c r="DFT6" s="97" t="str">
        <f t="shared" si="46"/>
        <v/>
      </c>
      <c r="DFU6" s="97" t="str">
        <f t="shared" si="46"/>
        <v/>
      </c>
      <c r="DFV6" s="97" t="str">
        <f t="shared" si="46"/>
        <v/>
      </c>
      <c r="DFW6" s="97" t="str">
        <f t="shared" si="46"/>
        <v/>
      </c>
      <c r="DFX6" s="97" t="str">
        <f t="shared" si="46"/>
        <v/>
      </c>
      <c r="DFY6" s="97" t="str">
        <f t="shared" si="46"/>
        <v/>
      </c>
      <c r="DFZ6" s="97" t="str">
        <f t="shared" ref="DFZ6:DIK6" si="47">IFERROR(AVERAGE(DFZ7:DFZ13),"")</f>
        <v/>
      </c>
      <c r="DGA6" s="97" t="str">
        <f t="shared" si="47"/>
        <v/>
      </c>
      <c r="DGB6" s="97" t="str">
        <f t="shared" si="47"/>
        <v/>
      </c>
      <c r="DGC6" s="97" t="str">
        <f t="shared" si="47"/>
        <v/>
      </c>
      <c r="DGD6" s="97" t="str">
        <f t="shared" si="47"/>
        <v/>
      </c>
      <c r="DGE6" s="97" t="str">
        <f t="shared" si="47"/>
        <v/>
      </c>
      <c r="DGF6" s="97" t="str">
        <f t="shared" si="47"/>
        <v/>
      </c>
      <c r="DGG6" s="97" t="str">
        <f t="shared" si="47"/>
        <v/>
      </c>
      <c r="DGH6" s="97" t="str">
        <f t="shared" si="47"/>
        <v/>
      </c>
      <c r="DGI6" s="97" t="str">
        <f t="shared" si="47"/>
        <v/>
      </c>
      <c r="DGJ6" s="97" t="str">
        <f t="shared" si="47"/>
        <v/>
      </c>
      <c r="DGK6" s="97" t="str">
        <f t="shared" si="47"/>
        <v/>
      </c>
      <c r="DGL6" s="97" t="str">
        <f t="shared" si="47"/>
        <v/>
      </c>
      <c r="DGM6" s="97" t="str">
        <f t="shared" si="47"/>
        <v/>
      </c>
      <c r="DGN6" s="97" t="str">
        <f t="shared" si="47"/>
        <v/>
      </c>
      <c r="DGO6" s="97" t="str">
        <f t="shared" si="47"/>
        <v/>
      </c>
      <c r="DGP6" s="97" t="str">
        <f t="shared" si="47"/>
        <v/>
      </c>
      <c r="DGQ6" s="97" t="str">
        <f t="shared" si="47"/>
        <v/>
      </c>
      <c r="DGR6" s="97" t="str">
        <f t="shared" si="47"/>
        <v/>
      </c>
      <c r="DGS6" s="97" t="str">
        <f t="shared" si="47"/>
        <v/>
      </c>
      <c r="DGT6" s="97" t="str">
        <f t="shared" si="47"/>
        <v/>
      </c>
      <c r="DGU6" s="97" t="str">
        <f t="shared" si="47"/>
        <v/>
      </c>
      <c r="DGV6" s="97" t="str">
        <f t="shared" si="47"/>
        <v/>
      </c>
      <c r="DGW6" s="97" t="str">
        <f t="shared" si="47"/>
        <v/>
      </c>
      <c r="DGX6" s="97" t="str">
        <f t="shared" si="47"/>
        <v/>
      </c>
      <c r="DGY6" s="97" t="str">
        <f t="shared" si="47"/>
        <v/>
      </c>
      <c r="DGZ6" s="97" t="str">
        <f t="shared" si="47"/>
        <v/>
      </c>
      <c r="DHA6" s="97" t="str">
        <f t="shared" si="47"/>
        <v/>
      </c>
      <c r="DHB6" s="97" t="str">
        <f t="shared" si="47"/>
        <v/>
      </c>
      <c r="DHC6" s="97" t="str">
        <f t="shared" si="47"/>
        <v/>
      </c>
      <c r="DHD6" s="97" t="str">
        <f t="shared" si="47"/>
        <v/>
      </c>
      <c r="DHE6" s="97" t="str">
        <f t="shared" si="47"/>
        <v/>
      </c>
      <c r="DHF6" s="97" t="str">
        <f t="shared" si="47"/>
        <v/>
      </c>
      <c r="DHG6" s="97" t="str">
        <f t="shared" si="47"/>
        <v/>
      </c>
      <c r="DHH6" s="97" t="str">
        <f t="shared" si="47"/>
        <v/>
      </c>
      <c r="DHI6" s="97" t="str">
        <f t="shared" si="47"/>
        <v/>
      </c>
      <c r="DHJ6" s="97" t="str">
        <f t="shared" si="47"/>
        <v/>
      </c>
      <c r="DHK6" s="97" t="str">
        <f t="shared" si="47"/>
        <v/>
      </c>
      <c r="DHL6" s="97" t="str">
        <f t="shared" si="47"/>
        <v/>
      </c>
      <c r="DHM6" s="97" t="str">
        <f t="shared" si="47"/>
        <v/>
      </c>
      <c r="DHN6" s="97" t="str">
        <f t="shared" si="47"/>
        <v/>
      </c>
      <c r="DHO6" s="97" t="str">
        <f t="shared" si="47"/>
        <v/>
      </c>
      <c r="DHP6" s="97" t="str">
        <f t="shared" si="47"/>
        <v/>
      </c>
      <c r="DHQ6" s="97" t="str">
        <f t="shared" si="47"/>
        <v/>
      </c>
      <c r="DHR6" s="97" t="str">
        <f t="shared" si="47"/>
        <v/>
      </c>
      <c r="DHS6" s="97" t="str">
        <f t="shared" si="47"/>
        <v/>
      </c>
      <c r="DHT6" s="97" t="str">
        <f t="shared" si="47"/>
        <v/>
      </c>
      <c r="DHU6" s="97" t="str">
        <f t="shared" si="47"/>
        <v/>
      </c>
      <c r="DHV6" s="97" t="str">
        <f t="shared" si="47"/>
        <v/>
      </c>
      <c r="DHW6" s="97" t="str">
        <f t="shared" si="47"/>
        <v/>
      </c>
      <c r="DHX6" s="97" t="str">
        <f t="shared" si="47"/>
        <v/>
      </c>
      <c r="DHY6" s="97" t="str">
        <f t="shared" si="47"/>
        <v/>
      </c>
      <c r="DHZ6" s="97" t="str">
        <f t="shared" si="47"/>
        <v/>
      </c>
      <c r="DIA6" s="97" t="str">
        <f t="shared" si="47"/>
        <v/>
      </c>
      <c r="DIB6" s="97" t="str">
        <f t="shared" si="47"/>
        <v/>
      </c>
      <c r="DIC6" s="97" t="str">
        <f t="shared" si="47"/>
        <v/>
      </c>
      <c r="DID6" s="97" t="str">
        <f t="shared" si="47"/>
        <v/>
      </c>
      <c r="DIE6" s="97" t="str">
        <f t="shared" si="47"/>
        <v/>
      </c>
      <c r="DIF6" s="97" t="str">
        <f t="shared" si="47"/>
        <v/>
      </c>
      <c r="DIG6" s="97" t="str">
        <f t="shared" si="47"/>
        <v/>
      </c>
      <c r="DIH6" s="97" t="str">
        <f t="shared" si="47"/>
        <v/>
      </c>
      <c r="DII6" s="97" t="str">
        <f t="shared" si="47"/>
        <v/>
      </c>
      <c r="DIJ6" s="97" t="str">
        <f t="shared" si="47"/>
        <v/>
      </c>
      <c r="DIK6" s="97" t="str">
        <f t="shared" si="47"/>
        <v/>
      </c>
      <c r="DIL6" s="97" t="str">
        <f t="shared" ref="DIL6:DKW6" si="48">IFERROR(AVERAGE(DIL7:DIL13),"")</f>
        <v/>
      </c>
      <c r="DIM6" s="97" t="str">
        <f t="shared" si="48"/>
        <v/>
      </c>
      <c r="DIN6" s="97" t="str">
        <f t="shared" si="48"/>
        <v/>
      </c>
      <c r="DIO6" s="97" t="str">
        <f t="shared" si="48"/>
        <v/>
      </c>
      <c r="DIP6" s="97" t="str">
        <f t="shared" si="48"/>
        <v/>
      </c>
      <c r="DIQ6" s="97" t="str">
        <f t="shared" si="48"/>
        <v/>
      </c>
      <c r="DIR6" s="97" t="str">
        <f t="shared" si="48"/>
        <v/>
      </c>
      <c r="DIS6" s="97" t="str">
        <f t="shared" si="48"/>
        <v/>
      </c>
      <c r="DIT6" s="97" t="str">
        <f t="shared" si="48"/>
        <v/>
      </c>
      <c r="DIU6" s="97" t="str">
        <f t="shared" si="48"/>
        <v/>
      </c>
      <c r="DIV6" s="97" t="str">
        <f t="shared" si="48"/>
        <v/>
      </c>
      <c r="DIW6" s="97" t="str">
        <f t="shared" si="48"/>
        <v/>
      </c>
      <c r="DIX6" s="97" t="str">
        <f t="shared" si="48"/>
        <v/>
      </c>
      <c r="DIY6" s="97" t="str">
        <f t="shared" si="48"/>
        <v/>
      </c>
      <c r="DIZ6" s="97" t="str">
        <f t="shared" si="48"/>
        <v/>
      </c>
      <c r="DJA6" s="97" t="str">
        <f t="shared" si="48"/>
        <v/>
      </c>
      <c r="DJB6" s="97" t="str">
        <f t="shared" si="48"/>
        <v/>
      </c>
      <c r="DJC6" s="97" t="str">
        <f t="shared" si="48"/>
        <v/>
      </c>
      <c r="DJD6" s="97" t="str">
        <f t="shared" si="48"/>
        <v/>
      </c>
      <c r="DJE6" s="97" t="str">
        <f t="shared" si="48"/>
        <v/>
      </c>
      <c r="DJF6" s="97" t="str">
        <f t="shared" si="48"/>
        <v/>
      </c>
      <c r="DJG6" s="97" t="str">
        <f t="shared" si="48"/>
        <v/>
      </c>
      <c r="DJH6" s="97" t="str">
        <f t="shared" si="48"/>
        <v/>
      </c>
      <c r="DJI6" s="97" t="str">
        <f t="shared" si="48"/>
        <v/>
      </c>
      <c r="DJJ6" s="97" t="str">
        <f t="shared" si="48"/>
        <v/>
      </c>
      <c r="DJK6" s="97" t="str">
        <f t="shared" si="48"/>
        <v/>
      </c>
      <c r="DJL6" s="97" t="str">
        <f t="shared" si="48"/>
        <v/>
      </c>
      <c r="DJM6" s="97" t="str">
        <f t="shared" si="48"/>
        <v/>
      </c>
      <c r="DJN6" s="97" t="str">
        <f t="shared" si="48"/>
        <v/>
      </c>
      <c r="DJO6" s="97" t="str">
        <f t="shared" si="48"/>
        <v/>
      </c>
      <c r="DJP6" s="97" t="str">
        <f t="shared" si="48"/>
        <v/>
      </c>
      <c r="DJQ6" s="97" t="str">
        <f t="shared" si="48"/>
        <v/>
      </c>
      <c r="DJR6" s="97" t="str">
        <f t="shared" si="48"/>
        <v/>
      </c>
      <c r="DJS6" s="97" t="str">
        <f t="shared" si="48"/>
        <v/>
      </c>
      <c r="DJT6" s="97" t="str">
        <f t="shared" si="48"/>
        <v/>
      </c>
      <c r="DJU6" s="97" t="str">
        <f t="shared" si="48"/>
        <v/>
      </c>
      <c r="DJV6" s="97" t="str">
        <f t="shared" si="48"/>
        <v/>
      </c>
      <c r="DJW6" s="97" t="str">
        <f t="shared" si="48"/>
        <v/>
      </c>
      <c r="DJX6" s="97" t="str">
        <f t="shared" si="48"/>
        <v/>
      </c>
      <c r="DJY6" s="97" t="str">
        <f t="shared" si="48"/>
        <v/>
      </c>
      <c r="DJZ6" s="97" t="str">
        <f t="shared" si="48"/>
        <v/>
      </c>
      <c r="DKA6" s="97" t="str">
        <f t="shared" si="48"/>
        <v/>
      </c>
      <c r="DKB6" s="97" t="str">
        <f t="shared" si="48"/>
        <v/>
      </c>
      <c r="DKC6" s="97" t="str">
        <f t="shared" si="48"/>
        <v/>
      </c>
      <c r="DKD6" s="97" t="str">
        <f t="shared" si="48"/>
        <v/>
      </c>
      <c r="DKE6" s="97" t="str">
        <f t="shared" si="48"/>
        <v/>
      </c>
      <c r="DKF6" s="97" t="str">
        <f t="shared" si="48"/>
        <v/>
      </c>
      <c r="DKG6" s="97" t="str">
        <f t="shared" si="48"/>
        <v/>
      </c>
      <c r="DKH6" s="97" t="str">
        <f t="shared" si="48"/>
        <v/>
      </c>
      <c r="DKI6" s="97" t="str">
        <f t="shared" si="48"/>
        <v/>
      </c>
      <c r="DKJ6" s="97" t="str">
        <f t="shared" si="48"/>
        <v/>
      </c>
      <c r="DKK6" s="97" t="str">
        <f t="shared" si="48"/>
        <v/>
      </c>
      <c r="DKL6" s="97" t="str">
        <f t="shared" si="48"/>
        <v/>
      </c>
      <c r="DKM6" s="97" t="str">
        <f t="shared" si="48"/>
        <v/>
      </c>
      <c r="DKN6" s="97" t="str">
        <f t="shared" si="48"/>
        <v/>
      </c>
      <c r="DKO6" s="97" t="str">
        <f t="shared" si="48"/>
        <v/>
      </c>
      <c r="DKP6" s="97" t="str">
        <f t="shared" si="48"/>
        <v/>
      </c>
      <c r="DKQ6" s="97" t="str">
        <f t="shared" si="48"/>
        <v/>
      </c>
      <c r="DKR6" s="97" t="str">
        <f t="shared" si="48"/>
        <v/>
      </c>
      <c r="DKS6" s="97" t="str">
        <f t="shared" si="48"/>
        <v/>
      </c>
      <c r="DKT6" s="97" t="str">
        <f t="shared" si="48"/>
        <v/>
      </c>
      <c r="DKU6" s="97" t="str">
        <f t="shared" si="48"/>
        <v/>
      </c>
      <c r="DKV6" s="97" t="str">
        <f t="shared" si="48"/>
        <v/>
      </c>
      <c r="DKW6" s="97" t="str">
        <f t="shared" si="48"/>
        <v/>
      </c>
      <c r="DKX6" s="97" t="str">
        <f t="shared" ref="DKX6:DNI6" si="49">IFERROR(AVERAGE(DKX7:DKX13),"")</f>
        <v/>
      </c>
      <c r="DKY6" s="97" t="str">
        <f t="shared" si="49"/>
        <v/>
      </c>
      <c r="DKZ6" s="97" t="str">
        <f t="shared" si="49"/>
        <v/>
      </c>
      <c r="DLA6" s="97" t="str">
        <f t="shared" si="49"/>
        <v/>
      </c>
      <c r="DLB6" s="97" t="str">
        <f t="shared" si="49"/>
        <v/>
      </c>
      <c r="DLC6" s="97" t="str">
        <f t="shared" si="49"/>
        <v/>
      </c>
      <c r="DLD6" s="97" t="str">
        <f t="shared" si="49"/>
        <v/>
      </c>
      <c r="DLE6" s="97" t="str">
        <f t="shared" si="49"/>
        <v/>
      </c>
      <c r="DLF6" s="97" t="str">
        <f t="shared" si="49"/>
        <v/>
      </c>
      <c r="DLG6" s="97" t="str">
        <f t="shared" si="49"/>
        <v/>
      </c>
      <c r="DLH6" s="97" t="str">
        <f t="shared" si="49"/>
        <v/>
      </c>
      <c r="DLI6" s="97" t="str">
        <f t="shared" si="49"/>
        <v/>
      </c>
      <c r="DLJ6" s="97" t="str">
        <f t="shared" si="49"/>
        <v/>
      </c>
      <c r="DLK6" s="97" t="str">
        <f t="shared" si="49"/>
        <v/>
      </c>
      <c r="DLL6" s="97" t="str">
        <f t="shared" si="49"/>
        <v/>
      </c>
      <c r="DLM6" s="97" t="str">
        <f t="shared" si="49"/>
        <v/>
      </c>
      <c r="DLN6" s="97" t="str">
        <f t="shared" si="49"/>
        <v/>
      </c>
      <c r="DLO6" s="97" t="str">
        <f t="shared" si="49"/>
        <v/>
      </c>
      <c r="DLP6" s="97" t="str">
        <f t="shared" si="49"/>
        <v/>
      </c>
      <c r="DLQ6" s="97" t="str">
        <f t="shared" si="49"/>
        <v/>
      </c>
      <c r="DLR6" s="97" t="str">
        <f t="shared" si="49"/>
        <v/>
      </c>
      <c r="DLS6" s="97" t="str">
        <f t="shared" si="49"/>
        <v/>
      </c>
      <c r="DLT6" s="97" t="str">
        <f t="shared" si="49"/>
        <v/>
      </c>
      <c r="DLU6" s="97" t="str">
        <f t="shared" si="49"/>
        <v/>
      </c>
      <c r="DLV6" s="97" t="str">
        <f t="shared" si="49"/>
        <v/>
      </c>
      <c r="DLW6" s="97" t="str">
        <f t="shared" si="49"/>
        <v/>
      </c>
      <c r="DLX6" s="97" t="str">
        <f t="shared" si="49"/>
        <v/>
      </c>
      <c r="DLY6" s="97" t="str">
        <f t="shared" si="49"/>
        <v/>
      </c>
      <c r="DLZ6" s="97" t="str">
        <f t="shared" si="49"/>
        <v/>
      </c>
      <c r="DMA6" s="97" t="str">
        <f t="shared" si="49"/>
        <v/>
      </c>
      <c r="DMB6" s="97" t="str">
        <f t="shared" si="49"/>
        <v/>
      </c>
      <c r="DMC6" s="97" t="str">
        <f t="shared" si="49"/>
        <v/>
      </c>
      <c r="DMD6" s="97" t="str">
        <f t="shared" si="49"/>
        <v/>
      </c>
      <c r="DME6" s="97" t="str">
        <f t="shared" si="49"/>
        <v/>
      </c>
      <c r="DMF6" s="97" t="str">
        <f t="shared" si="49"/>
        <v/>
      </c>
      <c r="DMG6" s="97" t="str">
        <f t="shared" si="49"/>
        <v/>
      </c>
      <c r="DMH6" s="97" t="str">
        <f t="shared" si="49"/>
        <v/>
      </c>
      <c r="DMI6" s="97" t="str">
        <f t="shared" si="49"/>
        <v/>
      </c>
      <c r="DMJ6" s="97" t="str">
        <f t="shared" si="49"/>
        <v/>
      </c>
      <c r="DMK6" s="97" t="str">
        <f t="shared" si="49"/>
        <v/>
      </c>
      <c r="DML6" s="97" t="str">
        <f t="shared" si="49"/>
        <v/>
      </c>
      <c r="DMM6" s="97" t="str">
        <f t="shared" si="49"/>
        <v/>
      </c>
      <c r="DMN6" s="97" t="str">
        <f t="shared" si="49"/>
        <v/>
      </c>
      <c r="DMO6" s="97" t="str">
        <f t="shared" si="49"/>
        <v/>
      </c>
      <c r="DMP6" s="97" t="str">
        <f t="shared" si="49"/>
        <v/>
      </c>
      <c r="DMQ6" s="97" t="str">
        <f t="shared" si="49"/>
        <v/>
      </c>
      <c r="DMR6" s="97" t="str">
        <f t="shared" si="49"/>
        <v/>
      </c>
      <c r="DMS6" s="97" t="str">
        <f t="shared" si="49"/>
        <v/>
      </c>
      <c r="DMT6" s="97" t="str">
        <f t="shared" si="49"/>
        <v/>
      </c>
      <c r="DMU6" s="97" t="str">
        <f t="shared" si="49"/>
        <v/>
      </c>
      <c r="DMV6" s="97" t="str">
        <f t="shared" si="49"/>
        <v/>
      </c>
      <c r="DMW6" s="97" t="str">
        <f t="shared" si="49"/>
        <v/>
      </c>
      <c r="DMX6" s="97" t="str">
        <f t="shared" si="49"/>
        <v/>
      </c>
      <c r="DMY6" s="97" t="str">
        <f t="shared" si="49"/>
        <v/>
      </c>
      <c r="DMZ6" s="97" t="str">
        <f t="shared" si="49"/>
        <v/>
      </c>
      <c r="DNA6" s="97" t="str">
        <f t="shared" si="49"/>
        <v/>
      </c>
      <c r="DNB6" s="97" t="str">
        <f t="shared" si="49"/>
        <v/>
      </c>
      <c r="DNC6" s="97" t="str">
        <f t="shared" si="49"/>
        <v/>
      </c>
      <c r="DND6" s="97" t="str">
        <f t="shared" si="49"/>
        <v/>
      </c>
      <c r="DNE6" s="97" t="str">
        <f t="shared" si="49"/>
        <v/>
      </c>
      <c r="DNF6" s="97" t="str">
        <f t="shared" si="49"/>
        <v/>
      </c>
      <c r="DNG6" s="97" t="str">
        <f t="shared" si="49"/>
        <v/>
      </c>
      <c r="DNH6" s="97" t="str">
        <f t="shared" si="49"/>
        <v/>
      </c>
      <c r="DNI6" s="97" t="str">
        <f t="shared" si="49"/>
        <v/>
      </c>
      <c r="DNJ6" s="97" t="str">
        <f t="shared" ref="DNJ6:DPU6" si="50">IFERROR(AVERAGE(DNJ7:DNJ13),"")</f>
        <v/>
      </c>
      <c r="DNK6" s="97" t="str">
        <f t="shared" si="50"/>
        <v/>
      </c>
      <c r="DNL6" s="97" t="str">
        <f t="shared" si="50"/>
        <v/>
      </c>
      <c r="DNM6" s="97" t="str">
        <f t="shared" si="50"/>
        <v/>
      </c>
      <c r="DNN6" s="97" t="str">
        <f t="shared" si="50"/>
        <v/>
      </c>
      <c r="DNO6" s="97" t="str">
        <f t="shared" si="50"/>
        <v/>
      </c>
      <c r="DNP6" s="97" t="str">
        <f t="shared" si="50"/>
        <v/>
      </c>
      <c r="DNQ6" s="97" t="str">
        <f t="shared" si="50"/>
        <v/>
      </c>
      <c r="DNR6" s="97" t="str">
        <f t="shared" si="50"/>
        <v/>
      </c>
      <c r="DNS6" s="97" t="str">
        <f t="shared" si="50"/>
        <v/>
      </c>
      <c r="DNT6" s="97" t="str">
        <f t="shared" si="50"/>
        <v/>
      </c>
      <c r="DNU6" s="97" t="str">
        <f t="shared" si="50"/>
        <v/>
      </c>
      <c r="DNV6" s="97" t="str">
        <f t="shared" si="50"/>
        <v/>
      </c>
      <c r="DNW6" s="97" t="str">
        <f t="shared" si="50"/>
        <v/>
      </c>
      <c r="DNX6" s="97" t="str">
        <f t="shared" si="50"/>
        <v/>
      </c>
      <c r="DNY6" s="97" t="str">
        <f t="shared" si="50"/>
        <v/>
      </c>
      <c r="DNZ6" s="97" t="str">
        <f t="shared" si="50"/>
        <v/>
      </c>
      <c r="DOA6" s="97" t="str">
        <f t="shared" si="50"/>
        <v/>
      </c>
      <c r="DOB6" s="97" t="str">
        <f t="shared" si="50"/>
        <v/>
      </c>
      <c r="DOC6" s="97" t="str">
        <f t="shared" si="50"/>
        <v/>
      </c>
      <c r="DOD6" s="97" t="str">
        <f t="shared" si="50"/>
        <v/>
      </c>
      <c r="DOE6" s="97" t="str">
        <f t="shared" si="50"/>
        <v/>
      </c>
      <c r="DOF6" s="97" t="str">
        <f t="shared" si="50"/>
        <v/>
      </c>
      <c r="DOG6" s="97" t="str">
        <f t="shared" si="50"/>
        <v/>
      </c>
      <c r="DOH6" s="97" t="str">
        <f t="shared" si="50"/>
        <v/>
      </c>
      <c r="DOI6" s="97" t="str">
        <f t="shared" si="50"/>
        <v/>
      </c>
      <c r="DOJ6" s="97" t="str">
        <f t="shared" si="50"/>
        <v/>
      </c>
      <c r="DOK6" s="97" t="str">
        <f t="shared" si="50"/>
        <v/>
      </c>
      <c r="DOL6" s="97" t="str">
        <f t="shared" si="50"/>
        <v/>
      </c>
      <c r="DOM6" s="97" t="str">
        <f t="shared" si="50"/>
        <v/>
      </c>
      <c r="DON6" s="97" t="str">
        <f t="shared" si="50"/>
        <v/>
      </c>
      <c r="DOO6" s="97" t="str">
        <f t="shared" si="50"/>
        <v/>
      </c>
      <c r="DOP6" s="97" t="str">
        <f t="shared" si="50"/>
        <v/>
      </c>
      <c r="DOQ6" s="97" t="str">
        <f t="shared" si="50"/>
        <v/>
      </c>
      <c r="DOR6" s="97" t="str">
        <f t="shared" si="50"/>
        <v/>
      </c>
      <c r="DOS6" s="97" t="str">
        <f t="shared" si="50"/>
        <v/>
      </c>
      <c r="DOT6" s="97" t="str">
        <f t="shared" si="50"/>
        <v/>
      </c>
      <c r="DOU6" s="97" t="str">
        <f t="shared" si="50"/>
        <v/>
      </c>
      <c r="DOV6" s="97" t="str">
        <f t="shared" si="50"/>
        <v/>
      </c>
      <c r="DOW6" s="97" t="str">
        <f t="shared" si="50"/>
        <v/>
      </c>
      <c r="DOX6" s="97" t="str">
        <f t="shared" si="50"/>
        <v/>
      </c>
      <c r="DOY6" s="97" t="str">
        <f t="shared" si="50"/>
        <v/>
      </c>
      <c r="DOZ6" s="97" t="str">
        <f t="shared" si="50"/>
        <v/>
      </c>
      <c r="DPA6" s="97" t="str">
        <f t="shared" si="50"/>
        <v/>
      </c>
      <c r="DPB6" s="97" t="str">
        <f t="shared" si="50"/>
        <v/>
      </c>
      <c r="DPC6" s="97" t="str">
        <f t="shared" si="50"/>
        <v/>
      </c>
      <c r="DPD6" s="97" t="str">
        <f t="shared" si="50"/>
        <v/>
      </c>
      <c r="DPE6" s="97" t="str">
        <f t="shared" si="50"/>
        <v/>
      </c>
      <c r="DPF6" s="97" t="str">
        <f t="shared" si="50"/>
        <v/>
      </c>
      <c r="DPG6" s="97" t="str">
        <f t="shared" si="50"/>
        <v/>
      </c>
      <c r="DPH6" s="97" t="str">
        <f t="shared" si="50"/>
        <v/>
      </c>
      <c r="DPI6" s="97" t="str">
        <f t="shared" si="50"/>
        <v/>
      </c>
      <c r="DPJ6" s="97" t="str">
        <f t="shared" si="50"/>
        <v/>
      </c>
      <c r="DPK6" s="97" t="str">
        <f t="shared" si="50"/>
        <v/>
      </c>
      <c r="DPL6" s="97" t="str">
        <f t="shared" si="50"/>
        <v/>
      </c>
      <c r="DPM6" s="97" t="str">
        <f t="shared" si="50"/>
        <v/>
      </c>
      <c r="DPN6" s="97" t="str">
        <f t="shared" si="50"/>
        <v/>
      </c>
      <c r="DPO6" s="97" t="str">
        <f t="shared" si="50"/>
        <v/>
      </c>
      <c r="DPP6" s="97" t="str">
        <f t="shared" si="50"/>
        <v/>
      </c>
      <c r="DPQ6" s="97" t="str">
        <f t="shared" si="50"/>
        <v/>
      </c>
      <c r="DPR6" s="97" t="str">
        <f t="shared" si="50"/>
        <v/>
      </c>
      <c r="DPS6" s="97" t="str">
        <f t="shared" si="50"/>
        <v/>
      </c>
      <c r="DPT6" s="97" t="str">
        <f t="shared" si="50"/>
        <v/>
      </c>
      <c r="DPU6" s="97" t="str">
        <f t="shared" si="50"/>
        <v/>
      </c>
      <c r="DPV6" s="97" t="str">
        <f t="shared" ref="DPV6:DSG6" si="51">IFERROR(AVERAGE(DPV7:DPV13),"")</f>
        <v/>
      </c>
      <c r="DPW6" s="97" t="str">
        <f t="shared" si="51"/>
        <v/>
      </c>
      <c r="DPX6" s="97" t="str">
        <f t="shared" si="51"/>
        <v/>
      </c>
      <c r="DPY6" s="97" t="str">
        <f t="shared" si="51"/>
        <v/>
      </c>
      <c r="DPZ6" s="97" t="str">
        <f t="shared" si="51"/>
        <v/>
      </c>
      <c r="DQA6" s="97" t="str">
        <f t="shared" si="51"/>
        <v/>
      </c>
      <c r="DQB6" s="97" t="str">
        <f t="shared" si="51"/>
        <v/>
      </c>
      <c r="DQC6" s="97" t="str">
        <f t="shared" si="51"/>
        <v/>
      </c>
      <c r="DQD6" s="97" t="str">
        <f t="shared" si="51"/>
        <v/>
      </c>
      <c r="DQE6" s="97" t="str">
        <f t="shared" si="51"/>
        <v/>
      </c>
      <c r="DQF6" s="97" t="str">
        <f t="shared" si="51"/>
        <v/>
      </c>
      <c r="DQG6" s="97" t="str">
        <f t="shared" si="51"/>
        <v/>
      </c>
      <c r="DQH6" s="97" t="str">
        <f t="shared" si="51"/>
        <v/>
      </c>
      <c r="DQI6" s="97" t="str">
        <f t="shared" si="51"/>
        <v/>
      </c>
      <c r="DQJ6" s="97" t="str">
        <f t="shared" si="51"/>
        <v/>
      </c>
      <c r="DQK6" s="97" t="str">
        <f t="shared" si="51"/>
        <v/>
      </c>
      <c r="DQL6" s="97" t="str">
        <f t="shared" si="51"/>
        <v/>
      </c>
      <c r="DQM6" s="97" t="str">
        <f t="shared" si="51"/>
        <v/>
      </c>
      <c r="DQN6" s="97" t="str">
        <f t="shared" si="51"/>
        <v/>
      </c>
      <c r="DQO6" s="97" t="str">
        <f t="shared" si="51"/>
        <v/>
      </c>
      <c r="DQP6" s="97" t="str">
        <f t="shared" si="51"/>
        <v/>
      </c>
      <c r="DQQ6" s="97" t="str">
        <f t="shared" si="51"/>
        <v/>
      </c>
      <c r="DQR6" s="97" t="str">
        <f t="shared" si="51"/>
        <v/>
      </c>
      <c r="DQS6" s="97" t="str">
        <f t="shared" si="51"/>
        <v/>
      </c>
      <c r="DQT6" s="97" t="str">
        <f t="shared" si="51"/>
        <v/>
      </c>
      <c r="DQU6" s="97" t="str">
        <f t="shared" si="51"/>
        <v/>
      </c>
      <c r="DQV6" s="97" t="str">
        <f t="shared" si="51"/>
        <v/>
      </c>
      <c r="DQW6" s="97" t="str">
        <f t="shared" si="51"/>
        <v/>
      </c>
      <c r="DQX6" s="97" t="str">
        <f t="shared" si="51"/>
        <v/>
      </c>
      <c r="DQY6" s="97" t="str">
        <f t="shared" si="51"/>
        <v/>
      </c>
      <c r="DQZ6" s="97" t="str">
        <f t="shared" si="51"/>
        <v/>
      </c>
      <c r="DRA6" s="97" t="str">
        <f t="shared" si="51"/>
        <v/>
      </c>
      <c r="DRB6" s="97" t="str">
        <f t="shared" si="51"/>
        <v/>
      </c>
      <c r="DRC6" s="97" t="str">
        <f t="shared" si="51"/>
        <v/>
      </c>
      <c r="DRD6" s="97" t="str">
        <f t="shared" si="51"/>
        <v/>
      </c>
      <c r="DRE6" s="97" t="str">
        <f t="shared" si="51"/>
        <v/>
      </c>
      <c r="DRF6" s="97" t="str">
        <f t="shared" si="51"/>
        <v/>
      </c>
      <c r="DRG6" s="97" t="str">
        <f t="shared" si="51"/>
        <v/>
      </c>
      <c r="DRH6" s="97" t="str">
        <f t="shared" si="51"/>
        <v/>
      </c>
      <c r="DRI6" s="97" t="str">
        <f t="shared" si="51"/>
        <v/>
      </c>
      <c r="DRJ6" s="97" t="str">
        <f t="shared" si="51"/>
        <v/>
      </c>
      <c r="DRK6" s="97" t="str">
        <f t="shared" si="51"/>
        <v/>
      </c>
      <c r="DRL6" s="97" t="str">
        <f t="shared" si="51"/>
        <v/>
      </c>
      <c r="DRM6" s="97" t="str">
        <f t="shared" si="51"/>
        <v/>
      </c>
      <c r="DRN6" s="97" t="str">
        <f t="shared" si="51"/>
        <v/>
      </c>
      <c r="DRO6" s="97" t="str">
        <f t="shared" si="51"/>
        <v/>
      </c>
      <c r="DRP6" s="97" t="str">
        <f t="shared" si="51"/>
        <v/>
      </c>
      <c r="DRQ6" s="97" t="str">
        <f t="shared" si="51"/>
        <v/>
      </c>
      <c r="DRR6" s="97" t="str">
        <f t="shared" si="51"/>
        <v/>
      </c>
      <c r="DRS6" s="97" t="str">
        <f t="shared" si="51"/>
        <v/>
      </c>
      <c r="DRT6" s="97" t="str">
        <f t="shared" si="51"/>
        <v/>
      </c>
      <c r="DRU6" s="97" t="str">
        <f t="shared" si="51"/>
        <v/>
      </c>
      <c r="DRV6" s="97" t="str">
        <f t="shared" si="51"/>
        <v/>
      </c>
      <c r="DRW6" s="97" t="str">
        <f t="shared" si="51"/>
        <v/>
      </c>
      <c r="DRX6" s="97" t="str">
        <f t="shared" si="51"/>
        <v/>
      </c>
      <c r="DRY6" s="97" t="str">
        <f t="shared" si="51"/>
        <v/>
      </c>
      <c r="DRZ6" s="97" t="str">
        <f t="shared" si="51"/>
        <v/>
      </c>
      <c r="DSA6" s="97" t="str">
        <f t="shared" si="51"/>
        <v/>
      </c>
      <c r="DSB6" s="97" t="str">
        <f t="shared" si="51"/>
        <v/>
      </c>
      <c r="DSC6" s="97" t="str">
        <f t="shared" si="51"/>
        <v/>
      </c>
      <c r="DSD6" s="97" t="str">
        <f t="shared" si="51"/>
        <v/>
      </c>
      <c r="DSE6" s="97" t="str">
        <f t="shared" si="51"/>
        <v/>
      </c>
      <c r="DSF6" s="97" t="str">
        <f t="shared" si="51"/>
        <v/>
      </c>
      <c r="DSG6" s="97" t="str">
        <f t="shared" si="51"/>
        <v/>
      </c>
      <c r="DSH6" s="97" t="str">
        <f t="shared" ref="DSH6:DUS6" si="52">IFERROR(AVERAGE(DSH7:DSH13),"")</f>
        <v/>
      </c>
      <c r="DSI6" s="97" t="str">
        <f t="shared" si="52"/>
        <v/>
      </c>
      <c r="DSJ6" s="97" t="str">
        <f t="shared" si="52"/>
        <v/>
      </c>
      <c r="DSK6" s="97" t="str">
        <f t="shared" si="52"/>
        <v/>
      </c>
      <c r="DSL6" s="97" t="str">
        <f t="shared" si="52"/>
        <v/>
      </c>
      <c r="DSM6" s="97" t="str">
        <f t="shared" si="52"/>
        <v/>
      </c>
      <c r="DSN6" s="97" t="str">
        <f t="shared" si="52"/>
        <v/>
      </c>
      <c r="DSO6" s="97" t="str">
        <f t="shared" si="52"/>
        <v/>
      </c>
      <c r="DSP6" s="97" t="str">
        <f t="shared" si="52"/>
        <v/>
      </c>
      <c r="DSQ6" s="97" t="str">
        <f t="shared" si="52"/>
        <v/>
      </c>
      <c r="DSR6" s="97" t="str">
        <f t="shared" si="52"/>
        <v/>
      </c>
      <c r="DSS6" s="97" t="str">
        <f t="shared" si="52"/>
        <v/>
      </c>
      <c r="DST6" s="97" t="str">
        <f t="shared" si="52"/>
        <v/>
      </c>
      <c r="DSU6" s="97" t="str">
        <f t="shared" si="52"/>
        <v/>
      </c>
      <c r="DSV6" s="97" t="str">
        <f t="shared" si="52"/>
        <v/>
      </c>
      <c r="DSW6" s="97" t="str">
        <f t="shared" si="52"/>
        <v/>
      </c>
      <c r="DSX6" s="97" t="str">
        <f t="shared" si="52"/>
        <v/>
      </c>
      <c r="DSY6" s="97" t="str">
        <f t="shared" si="52"/>
        <v/>
      </c>
      <c r="DSZ6" s="97" t="str">
        <f t="shared" si="52"/>
        <v/>
      </c>
      <c r="DTA6" s="97" t="str">
        <f t="shared" si="52"/>
        <v/>
      </c>
      <c r="DTB6" s="97" t="str">
        <f t="shared" si="52"/>
        <v/>
      </c>
      <c r="DTC6" s="97" t="str">
        <f t="shared" si="52"/>
        <v/>
      </c>
      <c r="DTD6" s="97" t="str">
        <f t="shared" si="52"/>
        <v/>
      </c>
      <c r="DTE6" s="97" t="str">
        <f t="shared" si="52"/>
        <v/>
      </c>
      <c r="DTF6" s="97" t="str">
        <f t="shared" si="52"/>
        <v/>
      </c>
      <c r="DTG6" s="97" t="str">
        <f t="shared" si="52"/>
        <v/>
      </c>
      <c r="DTH6" s="97" t="str">
        <f t="shared" si="52"/>
        <v/>
      </c>
      <c r="DTI6" s="97" t="str">
        <f t="shared" si="52"/>
        <v/>
      </c>
      <c r="DTJ6" s="97" t="str">
        <f t="shared" si="52"/>
        <v/>
      </c>
      <c r="DTK6" s="97" t="str">
        <f t="shared" si="52"/>
        <v/>
      </c>
      <c r="DTL6" s="97" t="str">
        <f t="shared" si="52"/>
        <v/>
      </c>
      <c r="DTM6" s="97" t="str">
        <f t="shared" si="52"/>
        <v/>
      </c>
      <c r="DTN6" s="97" t="str">
        <f t="shared" si="52"/>
        <v/>
      </c>
      <c r="DTO6" s="97" t="str">
        <f t="shared" si="52"/>
        <v/>
      </c>
      <c r="DTP6" s="97" t="str">
        <f t="shared" si="52"/>
        <v/>
      </c>
      <c r="DTQ6" s="97" t="str">
        <f t="shared" si="52"/>
        <v/>
      </c>
      <c r="DTR6" s="97" t="str">
        <f t="shared" si="52"/>
        <v/>
      </c>
      <c r="DTS6" s="97" t="str">
        <f t="shared" si="52"/>
        <v/>
      </c>
      <c r="DTT6" s="97" t="str">
        <f t="shared" si="52"/>
        <v/>
      </c>
      <c r="DTU6" s="97" t="str">
        <f t="shared" si="52"/>
        <v/>
      </c>
      <c r="DTV6" s="97" t="str">
        <f t="shared" si="52"/>
        <v/>
      </c>
      <c r="DTW6" s="97" t="str">
        <f t="shared" si="52"/>
        <v/>
      </c>
      <c r="DTX6" s="97" t="str">
        <f t="shared" si="52"/>
        <v/>
      </c>
      <c r="DTY6" s="97" t="str">
        <f t="shared" si="52"/>
        <v/>
      </c>
      <c r="DTZ6" s="97" t="str">
        <f t="shared" si="52"/>
        <v/>
      </c>
      <c r="DUA6" s="97" t="str">
        <f t="shared" si="52"/>
        <v/>
      </c>
      <c r="DUB6" s="97" t="str">
        <f t="shared" si="52"/>
        <v/>
      </c>
      <c r="DUC6" s="97" t="str">
        <f t="shared" si="52"/>
        <v/>
      </c>
      <c r="DUD6" s="97" t="str">
        <f t="shared" si="52"/>
        <v/>
      </c>
      <c r="DUE6" s="97" t="str">
        <f t="shared" si="52"/>
        <v/>
      </c>
      <c r="DUF6" s="97" t="str">
        <f t="shared" si="52"/>
        <v/>
      </c>
      <c r="DUG6" s="97" t="str">
        <f t="shared" si="52"/>
        <v/>
      </c>
      <c r="DUH6" s="97" t="str">
        <f t="shared" si="52"/>
        <v/>
      </c>
      <c r="DUI6" s="97" t="str">
        <f t="shared" si="52"/>
        <v/>
      </c>
      <c r="DUJ6" s="97" t="str">
        <f t="shared" si="52"/>
        <v/>
      </c>
      <c r="DUK6" s="97" t="str">
        <f t="shared" si="52"/>
        <v/>
      </c>
      <c r="DUL6" s="97" t="str">
        <f t="shared" si="52"/>
        <v/>
      </c>
      <c r="DUM6" s="97" t="str">
        <f t="shared" si="52"/>
        <v/>
      </c>
      <c r="DUN6" s="97" t="str">
        <f t="shared" si="52"/>
        <v/>
      </c>
      <c r="DUO6" s="97" t="str">
        <f t="shared" si="52"/>
        <v/>
      </c>
      <c r="DUP6" s="97" t="str">
        <f t="shared" si="52"/>
        <v/>
      </c>
      <c r="DUQ6" s="97" t="str">
        <f t="shared" si="52"/>
        <v/>
      </c>
      <c r="DUR6" s="97" t="str">
        <f t="shared" si="52"/>
        <v/>
      </c>
      <c r="DUS6" s="97" t="str">
        <f t="shared" si="52"/>
        <v/>
      </c>
      <c r="DUT6" s="97" t="str">
        <f t="shared" ref="DUT6:DXE6" si="53">IFERROR(AVERAGE(DUT7:DUT13),"")</f>
        <v/>
      </c>
      <c r="DUU6" s="97" t="str">
        <f t="shared" si="53"/>
        <v/>
      </c>
      <c r="DUV6" s="97" t="str">
        <f t="shared" si="53"/>
        <v/>
      </c>
      <c r="DUW6" s="97" t="str">
        <f t="shared" si="53"/>
        <v/>
      </c>
      <c r="DUX6" s="97" t="str">
        <f t="shared" si="53"/>
        <v/>
      </c>
      <c r="DUY6" s="97" t="str">
        <f t="shared" si="53"/>
        <v/>
      </c>
      <c r="DUZ6" s="97" t="str">
        <f t="shared" si="53"/>
        <v/>
      </c>
      <c r="DVA6" s="97" t="str">
        <f t="shared" si="53"/>
        <v/>
      </c>
      <c r="DVB6" s="97" t="str">
        <f t="shared" si="53"/>
        <v/>
      </c>
      <c r="DVC6" s="97" t="str">
        <f t="shared" si="53"/>
        <v/>
      </c>
      <c r="DVD6" s="97" t="str">
        <f t="shared" si="53"/>
        <v/>
      </c>
      <c r="DVE6" s="97" t="str">
        <f t="shared" si="53"/>
        <v/>
      </c>
      <c r="DVF6" s="97" t="str">
        <f t="shared" si="53"/>
        <v/>
      </c>
      <c r="DVG6" s="97" t="str">
        <f t="shared" si="53"/>
        <v/>
      </c>
      <c r="DVH6" s="97" t="str">
        <f t="shared" si="53"/>
        <v/>
      </c>
      <c r="DVI6" s="97" t="str">
        <f t="shared" si="53"/>
        <v/>
      </c>
      <c r="DVJ6" s="97" t="str">
        <f t="shared" si="53"/>
        <v/>
      </c>
      <c r="DVK6" s="97" t="str">
        <f t="shared" si="53"/>
        <v/>
      </c>
      <c r="DVL6" s="97" t="str">
        <f t="shared" si="53"/>
        <v/>
      </c>
      <c r="DVM6" s="97" t="str">
        <f t="shared" si="53"/>
        <v/>
      </c>
      <c r="DVN6" s="97" t="str">
        <f t="shared" si="53"/>
        <v/>
      </c>
      <c r="DVO6" s="97" t="str">
        <f t="shared" si="53"/>
        <v/>
      </c>
      <c r="DVP6" s="97" t="str">
        <f t="shared" si="53"/>
        <v/>
      </c>
      <c r="DVQ6" s="97" t="str">
        <f t="shared" si="53"/>
        <v/>
      </c>
      <c r="DVR6" s="97" t="str">
        <f t="shared" si="53"/>
        <v/>
      </c>
      <c r="DVS6" s="97" t="str">
        <f t="shared" si="53"/>
        <v/>
      </c>
      <c r="DVT6" s="97" t="str">
        <f t="shared" si="53"/>
        <v/>
      </c>
      <c r="DVU6" s="97" t="str">
        <f t="shared" si="53"/>
        <v/>
      </c>
      <c r="DVV6" s="97" t="str">
        <f t="shared" si="53"/>
        <v/>
      </c>
      <c r="DVW6" s="97" t="str">
        <f t="shared" si="53"/>
        <v/>
      </c>
      <c r="DVX6" s="97" t="str">
        <f t="shared" si="53"/>
        <v/>
      </c>
      <c r="DVY6" s="97" t="str">
        <f t="shared" si="53"/>
        <v/>
      </c>
      <c r="DVZ6" s="97" t="str">
        <f t="shared" si="53"/>
        <v/>
      </c>
      <c r="DWA6" s="97" t="str">
        <f t="shared" si="53"/>
        <v/>
      </c>
      <c r="DWB6" s="97" t="str">
        <f t="shared" si="53"/>
        <v/>
      </c>
      <c r="DWC6" s="97" t="str">
        <f t="shared" si="53"/>
        <v/>
      </c>
      <c r="DWD6" s="97" t="str">
        <f t="shared" si="53"/>
        <v/>
      </c>
      <c r="DWE6" s="97" t="str">
        <f t="shared" si="53"/>
        <v/>
      </c>
      <c r="DWF6" s="97" t="str">
        <f t="shared" si="53"/>
        <v/>
      </c>
      <c r="DWG6" s="97" t="str">
        <f t="shared" si="53"/>
        <v/>
      </c>
      <c r="DWH6" s="97" t="str">
        <f t="shared" si="53"/>
        <v/>
      </c>
      <c r="DWI6" s="97" t="str">
        <f t="shared" si="53"/>
        <v/>
      </c>
      <c r="DWJ6" s="97" t="str">
        <f t="shared" si="53"/>
        <v/>
      </c>
      <c r="DWK6" s="97" t="str">
        <f t="shared" si="53"/>
        <v/>
      </c>
      <c r="DWL6" s="97" t="str">
        <f t="shared" si="53"/>
        <v/>
      </c>
      <c r="DWM6" s="97" t="str">
        <f t="shared" si="53"/>
        <v/>
      </c>
      <c r="DWN6" s="97" t="str">
        <f t="shared" si="53"/>
        <v/>
      </c>
      <c r="DWO6" s="97" t="str">
        <f t="shared" si="53"/>
        <v/>
      </c>
      <c r="DWP6" s="97" t="str">
        <f t="shared" si="53"/>
        <v/>
      </c>
      <c r="DWQ6" s="97" t="str">
        <f t="shared" si="53"/>
        <v/>
      </c>
      <c r="DWR6" s="97" t="str">
        <f t="shared" si="53"/>
        <v/>
      </c>
      <c r="DWS6" s="97" t="str">
        <f t="shared" si="53"/>
        <v/>
      </c>
      <c r="DWT6" s="97" t="str">
        <f t="shared" si="53"/>
        <v/>
      </c>
      <c r="DWU6" s="97" t="str">
        <f t="shared" si="53"/>
        <v/>
      </c>
      <c r="DWV6" s="97" t="str">
        <f t="shared" si="53"/>
        <v/>
      </c>
      <c r="DWW6" s="97" t="str">
        <f t="shared" si="53"/>
        <v/>
      </c>
      <c r="DWX6" s="97" t="str">
        <f t="shared" si="53"/>
        <v/>
      </c>
      <c r="DWY6" s="97" t="str">
        <f t="shared" si="53"/>
        <v/>
      </c>
      <c r="DWZ6" s="97" t="str">
        <f t="shared" si="53"/>
        <v/>
      </c>
      <c r="DXA6" s="97" t="str">
        <f t="shared" si="53"/>
        <v/>
      </c>
      <c r="DXB6" s="97" t="str">
        <f t="shared" si="53"/>
        <v/>
      </c>
      <c r="DXC6" s="97" t="str">
        <f t="shared" si="53"/>
        <v/>
      </c>
      <c r="DXD6" s="97" t="str">
        <f t="shared" si="53"/>
        <v/>
      </c>
      <c r="DXE6" s="97" t="str">
        <f t="shared" si="53"/>
        <v/>
      </c>
      <c r="DXF6" s="97" t="str">
        <f t="shared" ref="DXF6:DZQ6" si="54">IFERROR(AVERAGE(DXF7:DXF13),"")</f>
        <v/>
      </c>
      <c r="DXG6" s="97" t="str">
        <f t="shared" si="54"/>
        <v/>
      </c>
      <c r="DXH6" s="97" t="str">
        <f t="shared" si="54"/>
        <v/>
      </c>
      <c r="DXI6" s="97" t="str">
        <f t="shared" si="54"/>
        <v/>
      </c>
      <c r="DXJ6" s="97" t="str">
        <f t="shared" si="54"/>
        <v/>
      </c>
      <c r="DXK6" s="97" t="str">
        <f t="shared" si="54"/>
        <v/>
      </c>
      <c r="DXL6" s="97" t="str">
        <f t="shared" si="54"/>
        <v/>
      </c>
      <c r="DXM6" s="97" t="str">
        <f t="shared" si="54"/>
        <v/>
      </c>
      <c r="DXN6" s="97" t="str">
        <f t="shared" si="54"/>
        <v/>
      </c>
      <c r="DXO6" s="97" t="str">
        <f t="shared" si="54"/>
        <v/>
      </c>
      <c r="DXP6" s="97" t="str">
        <f t="shared" si="54"/>
        <v/>
      </c>
      <c r="DXQ6" s="97" t="str">
        <f t="shared" si="54"/>
        <v/>
      </c>
      <c r="DXR6" s="97" t="str">
        <f t="shared" si="54"/>
        <v/>
      </c>
      <c r="DXS6" s="97" t="str">
        <f t="shared" si="54"/>
        <v/>
      </c>
      <c r="DXT6" s="97" t="str">
        <f t="shared" si="54"/>
        <v/>
      </c>
      <c r="DXU6" s="97" t="str">
        <f t="shared" si="54"/>
        <v/>
      </c>
      <c r="DXV6" s="97" t="str">
        <f t="shared" si="54"/>
        <v/>
      </c>
      <c r="DXW6" s="97" t="str">
        <f t="shared" si="54"/>
        <v/>
      </c>
      <c r="DXX6" s="97" t="str">
        <f t="shared" si="54"/>
        <v/>
      </c>
      <c r="DXY6" s="97" t="str">
        <f t="shared" si="54"/>
        <v/>
      </c>
      <c r="DXZ6" s="97" t="str">
        <f t="shared" si="54"/>
        <v/>
      </c>
      <c r="DYA6" s="97" t="str">
        <f t="shared" si="54"/>
        <v/>
      </c>
      <c r="DYB6" s="97" t="str">
        <f t="shared" si="54"/>
        <v/>
      </c>
      <c r="DYC6" s="97" t="str">
        <f t="shared" si="54"/>
        <v/>
      </c>
      <c r="DYD6" s="97" t="str">
        <f t="shared" si="54"/>
        <v/>
      </c>
      <c r="DYE6" s="97" t="str">
        <f t="shared" si="54"/>
        <v/>
      </c>
      <c r="DYF6" s="97" t="str">
        <f t="shared" si="54"/>
        <v/>
      </c>
      <c r="DYG6" s="97" t="str">
        <f t="shared" si="54"/>
        <v/>
      </c>
      <c r="DYH6" s="97" t="str">
        <f t="shared" si="54"/>
        <v/>
      </c>
      <c r="DYI6" s="97" t="str">
        <f t="shared" si="54"/>
        <v/>
      </c>
      <c r="DYJ6" s="97" t="str">
        <f t="shared" si="54"/>
        <v/>
      </c>
      <c r="DYK6" s="97" t="str">
        <f t="shared" si="54"/>
        <v/>
      </c>
      <c r="DYL6" s="97" t="str">
        <f t="shared" si="54"/>
        <v/>
      </c>
      <c r="DYM6" s="97" t="str">
        <f t="shared" si="54"/>
        <v/>
      </c>
      <c r="DYN6" s="97" t="str">
        <f t="shared" si="54"/>
        <v/>
      </c>
      <c r="DYO6" s="97" t="str">
        <f t="shared" si="54"/>
        <v/>
      </c>
      <c r="DYP6" s="97" t="str">
        <f t="shared" si="54"/>
        <v/>
      </c>
      <c r="DYQ6" s="97" t="str">
        <f t="shared" si="54"/>
        <v/>
      </c>
      <c r="DYR6" s="97" t="str">
        <f t="shared" si="54"/>
        <v/>
      </c>
      <c r="DYS6" s="97" t="str">
        <f t="shared" si="54"/>
        <v/>
      </c>
      <c r="DYT6" s="97" t="str">
        <f t="shared" si="54"/>
        <v/>
      </c>
      <c r="DYU6" s="97" t="str">
        <f t="shared" si="54"/>
        <v/>
      </c>
      <c r="DYV6" s="97" t="str">
        <f t="shared" si="54"/>
        <v/>
      </c>
      <c r="DYW6" s="97" t="str">
        <f t="shared" si="54"/>
        <v/>
      </c>
      <c r="DYX6" s="97" t="str">
        <f t="shared" si="54"/>
        <v/>
      </c>
      <c r="DYY6" s="97" t="str">
        <f t="shared" si="54"/>
        <v/>
      </c>
      <c r="DYZ6" s="97" t="str">
        <f t="shared" si="54"/>
        <v/>
      </c>
      <c r="DZA6" s="97" t="str">
        <f t="shared" si="54"/>
        <v/>
      </c>
      <c r="DZB6" s="97" t="str">
        <f t="shared" si="54"/>
        <v/>
      </c>
      <c r="DZC6" s="97" t="str">
        <f t="shared" si="54"/>
        <v/>
      </c>
      <c r="DZD6" s="97" t="str">
        <f t="shared" si="54"/>
        <v/>
      </c>
      <c r="DZE6" s="97" t="str">
        <f t="shared" si="54"/>
        <v/>
      </c>
      <c r="DZF6" s="97" t="str">
        <f t="shared" si="54"/>
        <v/>
      </c>
      <c r="DZG6" s="97" t="str">
        <f t="shared" si="54"/>
        <v/>
      </c>
      <c r="DZH6" s="97" t="str">
        <f t="shared" si="54"/>
        <v/>
      </c>
      <c r="DZI6" s="97" t="str">
        <f t="shared" si="54"/>
        <v/>
      </c>
      <c r="DZJ6" s="97" t="str">
        <f t="shared" si="54"/>
        <v/>
      </c>
      <c r="DZK6" s="97" t="str">
        <f t="shared" si="54"/>
        <v/>
      </c>
      <c r="DZL6" s="97" t="str">
        <f t="shared" si="54"/>
        <v/>
      </c>
      <c r="DZM6" s="97" t="str">
        <f t="shared" si="54"/>
        <v/>
      </c>
      <c r="DZN6" s="97" t="str">
        <f t="shared" si="54"/>
        <v/>
      </c>
      <c r="DZO6" s="97" t="str">
        <f t="shared" si="54"/>
        <v/>
      </c>
      <c r="DZP6" s="97" t="str">
        <f t="shared" si="54"/>
        <v/>
      </c>
      <c r="DZQ6" s="97" t="str">
        <f t="shared" si="54"/>
        <v/>
      </c>
      <c r="DZR6" s="97" t="str">
        <f t="shared" ref="DZR6:ECC6" si="55">IFERROR(AVERAGE(DZR7:DZR13),"")</f>
        <v/>
      </c>
      <c r="DZS6" s="97" t="str">
        <f t="shared" si="55"/>
        <v/>
      </c>
      <c r="DZT6" s="97" t="str">
        <f t="shared" si="55"/>
        <v/>
      </c>
      <c r="DZU6" s="97" t="str">
        <f t="shared" si="55"/>
        <v/>
      </c>
      <c r="DZV6" s="97" t="str">
        <f t="shared" si="55"/>
        <v/>
      </c>
      <c r="DZW6" s="97" t="str">
        <f t="shared" si="55"/>
        <v/>
      </c>
      <c r="DZX6" s="97" t="str">
        <f t="shared" si="55"/>
        <v/>
      </c>
      <c r="DZY6" s="97" t="str">
        <f t="shared" si="55"/>
        <v/>
      </c>
      <c r="DZZ6" s="97" t="str">
        <f t="shared" si="55"/>
        <v/>
      </c>
      <c r="EAA6" s="97" t="str">
        <f t="shared" si="55"/>
        <v/>
      </c>
      <c r="EAB6" s="97" t="str">
        <f t="shared" si="55"/>
        <v/>
      </c>
      <c r="EAC6" s="97" t="str">
        <f t="shared" si="55"/>
        <v/>
      </c>
      <c r="EAD6" s="97" t="str">
        <f t="shared" si="55"/>
        <v/>
      </c>
      <c r="EAE6" s="97" t="str">
        <f t="shared" si="55"/>
        <v/>
      </c>
      <c r="EAF6" s="97" t="str">
        <f t="shared" si="55"/>
        <v/>
      </c>
      <c r="EAG6" s="97" t="str">
        <f t="shared" si="55"/>
        <v/>
      </c>
      <c r="EAH6" s="97" t="str">
        <f t="shared" si="55"/>
        <v/>
      </c>
      <c r="EAI6" s="97" t="str">
        <f t="shared" si="55"/>
        <v/>
      </c>
      <c r="EAJ6" s="97" t="str">
        <f t="shared" si="55"/>
        <v/>
      </c>
      <c r="EAK6" s="97" t="str">
        <f t="shared" si="55"/>
        <v/>
      </c>
      <c r="EAL6" s="97" t="str">
        <f t="shared" si="55"/>
        <v/>
      </c>
      <c r="EAM6" s="97" t="str">
        <f t="shared" si="55"/>
        <v/>
      </c>
      <c r="EAN6" s="97" t="str">
        <f t="shared" si="55"/>
        <v/>
      </c>
      <c r="EAO6" s="97" t="str">
        <f t="shared" si="55"/>
        <v/>
      </c>
      <c r="EAP6" s="97" t="str">
        <f t="shared" si="55"/>
        <v/>
      </c>
      <c r="EAQ6" s="97" t="str">
        <f t="shared" si="55"/>
        <v/>
      </c>
      <c r="EAR6" s="97" t="str">
        <f t="shared" si="55"/>
        <v/>
      </c>
      <c r="EAS6" s="97" t="str">
        <f t="shared" si="55"/>
        <v/>
      </c>
      <c r="EAT6" s="97" t="str">
        <f t="shared" si="55"/>
        <v/>
      </c>
      <c r="EAU6" s="97" t="str">
        <f t="shared" si="55"/>
        <v/>
      </c>
      <c r="EAV6" s="97" t="str">
        <f t="shared" si="55"/>
        <v/>
      </c>
      <c r="EAW6" s="97" t="str">
        <f t="shared" si="55"/>
        <v/>
      </c>
      <c r="EAX6" s="97" t="str">
        <f t="shared" si="55"/>
        <v/>
      </c>
      <c r="EAY6" s="97" t="str">
        <f t="shared" si="55"/>
        <v/>
      </c>
      <c r="EAZ6" s="97" t="str">
        <f t="shared" si="55"/>
        <v/>
      </c>
      <c r="EBA6" s="97" t="str">
        <f t="shared" si="55"/>
        <v/>
      </c>
      <c r="EBB6" s="97" t="str">
        <f t="shared" si="55"/>
        <v/>
      </c>
      <c r="EBC6" s="97" t="str">
        <f t="shared" si="55"/>
        <v/>
      </c>
      <c r="EBD6" s="97" t="str">
        <f t="shared" si="55"/>
        <v/>
      </c>
      <c r="EBE6" s="97" t="str">
        <f t="shared" si="55"/>
        <v/>
      </c>
      <c r="EBF6" s="97" t="str">
        <f t="shared" si="55"/>
        <v/>
      </c>
      <c r="EBG6" s="97" t="str">
        <f t="shared" si="55"/>
        <v/>
      </c>
      <c r="EBH6" s="97" t="str">
        <f t="shared" si="55"/>
        <v/>
      </c>
      <c r="EBI6" s="97" t="str">
        <f t="shared" si="55"/>
        <v/>
      </c>
      <c r="EBJ6" s="97" t="str">
        <f t="shared" si="55"/>
        <v/>
      </c>
      <c r="EBK6" s="97" t="str">
        <f t="shared" si="55"/>
        <v/>
      </c>
      <c r="EBL6" s="97" t="str">
        <f t="shared" si="55"/>
        <v/>
      </c>
      <c r="EBM6" s="97" t="str">
        <f t="shared" si="55"/>
        <v/>
      </c>
      <c r="EBN6" s="97" t="str">
        <f t="shared" si="55"/>
        <v/>
      </c>
      <c r="EBO6" s="97" t="str">
        <f t="shared" si="55"/>
        <v/>
      </c>
      <c r="EBP6" s="97" t="str">
        <f t="shared" si="55"/>
        <v/>
      </c>
      <c r="EBQ6" s="97" t="str">
        <f t="shared" si="55"/>
        <v/>
      </c>
      <c r="EBR6" s="97" t="str">
        <f t="shared" si="55"/>
        <v/>
      </c>
      <c r="EBS6" s="97" t="str">
        <f t="shared" si="55"/>
        <v/>
      </c>
      <c r="EBT6" s="97" t="str">
        <f t="shared" si="55"/>
        <v/>
      </c>
      <c r="EBU6" s="97" t="str">
        <f t="shared" si="55"/>
        <v/>
      </c>
      <c r="EBV6" s="97" t="str">
        <f t="shared" si="55"/>
        <v/>
      </c>
      <c r="EBW6" s="97" t="str">
        <f t="shared" si="55"/>
        <v/>
      </c>
      <c r="EBX6" s="97" t="str">
        <f t="shared" si="55"/>
        <v/>
      </c>
      <c r="EBY6" s="97" t="str">
        <f t="shared" si="55"/>
        <v/>
      </c>
      <c r="EBZ6" s="97" t="str">
        <f t="shared" si="55"/>
        <v/>
      </c>
      <c r="ECA6" s="97" t="str">
        <f t="shared" si="55"/>
        <v/>
      </c>
      <c r="ECB6" s="97" t="str">
        <f t="shared" si="55"/>
        <v/>
      </c>
      <c r="ECC6" s="97" t="str">
        <f t="shared" si="55"/>
        <v/>
      </c>
      <c r="ECD6" s="97" t="str">
        <f t="shared" ref="ECD6:EEO6" si="56">IFERROR(AVERAGE(ECD7:ECD13),"")</f>
        <v/>
      </c>
      <c r="ECE6" s="97" t="str">
        <f t="shared" si="56"/>
        <v/>
      </c>
      <c r="ECF6" s="97" t="str">
        <f t="shared" si="56"/>
        <v/>
      </c>
      <c r="ECG6" s="97" t="str">
        <f t="shared" si="56"/>
        <v/>
      </c>
      <c r="ECH6" s="97" t="str">
        <f t="shared" si="56"/>
        <v/>
      </c>
      <c r="ECI6" s="97" t="str">
        <f t="shared" si="56"/>
        <v/>
      </c>
      <c r="ECJ6" s="97" t="str">
        <f t="shared" si="56"/>
        <v/>
      </c>
      <c r="ECK6" s="97" t="str">
        <f t="shared" si="56"/>
        <v/>
      </c>
      <c r="ECL6" s="97" t="str">
        <f t="shared" si="56"/>
        <v/>
      </c>
      <c r="ECM6" s="97" t="str">
        <f t="shared" si="56"/>
        <v/>
      </c>
      <c r="ECN6" s="97" t="str">
        <f t="shared" si="56"/>
        <v/>
      </c>
      <c r="ECO6" s="97" t="str">
        <f t="shared" si="56"/>
        <v/>
      </c>
      <c r="ECP6" s="97" t="str">
        <f t="shared" si="56"/>
        <v/>
      </c>
      <c r="ECQ6" s="97" t="str">
        <f t="shared" si="56"/>
        <v/>
      </c>
      <c r="ECR6" s="97" t="str">
        <f t="shared" si="56"/>
        <v/>
      </c>
      <c r="ECS6" s="97" t="str">
        <f t="shared" si="56"/>
        <v/>
      </c>
      <c r="ECT6" s="97" t="str">
        <f t="shared" si="56"/>
        <v/>
      </c>
      <c r="ECU6" s="97" t="str">
        <f t="shared" si="56"/>
        <v/>
      </c>
      <c r="ECV6" s="97" t="str">
        <f t="shared" si="56"/>
        <v/>
      </c>
      <c r="ECW6" s="97" t="str">
        <f t="shared" si="56"/>
        <v/>
      </c>
      <c r="ECX6" s="97" t="str">
        <f t="shared" si="56"/>
        <v/>
      </c>
      <c r="ECY6" s="97" t="str">
        <f t="shared" si="56"/>
        <v/>
      </c>
      <c r="ECZ6" s="97" t="str">
        <f t="shared" si="56"/>
        <v/>
      </c>
      <c r="EDA6" s="97" t="str">
        <f t="shared" si="56"/>
        <v/>
      </c>
      <c r="EDB6" s="97" t="str">
        <f t="shared" si="56"/>
        <v/>
      </c>
      <c r="EDC6" s="97" t="str">
        <f t="shared" si="56"/>
        <v/>
      </c>
      <c r="EDD6" s="97" t="str">
        <f t="shared" si="56"/>
        <v/>
      </c>
      <c r="EDE6" s="97" t="str">
        <f t="shared" si="56"/>
        <v/>
      </c>
      <c r="EDF6" s="97" t="str">
        <f t="shared" si="56"/>
        <v/>
      </c>
      <c r="EDG6" s="97" t="str">
        <f t="shared" si="56"/>
        <v/>
      </c>
      <c r="EDH6" s="97" t="str">
        <f t="shared" si="56"/>
        <v/>
      </c>
      <c r="EDI6" s="97" t="str">
        <f t="shared" si="56"/>
        <v/>
      </c>
      <c r="EDJ6" s="97" t="str">
        <f t="shared" si="56"/>
        <v/>
      </c>
      <c r="EDK6" s="97" t="str">
        <f t="shared" si="56"/>
        <v/>
      </c>
      <c r="EDL6" s="97" t="str">
        <f t="shared" si="56"/>
        <v/>
      </c>
      <c r="EDM6" s="97" t="str">
        <f t="shared" si="56"/>
        <v/>
      </c>
      <c r="EDN6" s="97" t="str">
        <f t="shared" si="56"/>
        <v/>
      </c>
      <c r="EDO6" s="97" t="str">
        <f t="shared" si="56"/>
        <v/>
      </c>
      <c r="EDP6" s="97" t="str">
        <f t="shared" si="56"/>
        <v/>
      </c>
      <c r="EDQ6" s="97" t="str">
        <f t="shared" si="56"/>
        <v/>
      </c>
      <c r="EDR6" s="97" t="str">
        <f t="shared" si="56"/>
        <v/>
      </c>
      <c r="EDS6" s="97" t="str">
        <f t="shared" si="56"/>
        <v/>
      </c>
      <c r="EDT6" s="97" t="str">
        <f t="shared" si="56"/>
        <v/>
      </c>
      <c r="EDU6" s="97" t="str">
        <f t="shared" si="56"/>
        <v/>
      </c>
      <c r="EDV6" s="97" t="str">
        <f t="shared" si="56"/>
        <v/>
      </c>
      <c r="EDW6" s="97" t="str">
        <f t="shared" si="56"/>
        <v/>
      </c>
      <c r="EDX6" s="97" t="str">
        <f t="shared" si="56"/>
        <v/>
      </c>
      <c r="EDY6" s="97" t="str">
        <f t="shared" si="56"/>
        <v/>
      </c>
      <c r="EDZ6" s="97" t="str">
        <f t="shared" si="56"/>
        <v/>
      </c>
      <c r="EEA6" s="97" t="str">
        <f t="shared" si="56"/>
        <v/>
      </c>
      <c r="EEB6" s="97" t="str">
        <f t="shared" si="56"/>
        <v/>
      </c>
      <c r="EEC6" s="97" t="str">
        <f t="shared" si="56"/>
        <v/>
      </c>
      <c r="EED6" s="97" t="str">
        <f t="shared" si="56"/>
        <v/>
      </c>
      <c r="EEE6" s="97" t="str">
        <f t="shared" si="56"/>
        <v/>
      </c>
      <c r="EEF6" s="97" t="str">
        <f t="shared" si="56"/>
        <v/>
      </c>
      <c r="EEG6" s="97" t="str">
        <f t="shared" si="56"/>
        <v/>
      </c>
      <c r="EEH6" s="97" t="str">
        <f t="shared" si="56"/>
        <v/>
      </c>
      <c r="EEI6" s="97" t="str">
        <f t="shared" si="56"/>
        <v/>
      </c>
      <c r="EEJ6" s="97" t="str">
        <f t="shared" si="56"/>
        <v/>
      </c>
      <c r="EEK6" s="97" t="str">
        <f t="shared" si="56"/>
        <v/>
      </c>
      <c r="EEL6" s="97" t="str">
        <f t="shared" si="56"/>
        <v/>
      </c>
      <c r="EEM6" s="97" t="str">
        <f t="shared" si="56"/>
        <v/>
      </c>
      <c r="EEN6" s="97" t="str">
        <f t="shared" si="56"/>
        <v/>
      </c>
      <c r="EEO6" s="97" t="str">
        <f t="shared" si="56"/>
        <v/>
      </c>
      <c r="EEP6" s="97" t="str">
        <f t="shared" ref="EEP6:EHA6" si="57">IFERROR(AVERAGE(EEP7:EEP13),"")</f>
        <v/>
      </c>
      <c r="EEQ6" s="97" t="str">
        <f t="shared" si="57"/>
        <v/>
      </c>
      <c r="EER6" s="97" t="str">
        <f t="shared" si="57"/>
        <v/>
      </c>
      <c r="EES6" s="97" t="str">
        <f t="shared" si="57"/>
        <v/>
      </c>
      <c r="EET6" s="97" t="str">
        <f t="shared" si="57"/>
        <v/>
      </c>
      <c r="EEU6" s="97" t="str">
        <f t="shared" si="57"/>
        <v/>
      </c>
      <c r="EEV6" s="97" t="str">
        <f t="shared" si="57"/>
        <v/>
      </c>
      <c r="EEW6" s="97" t="str">
        <f t="shared" si="57"/>
        <v/>
      </c>
      <c r="EEX6" s="97" t="str">
        <f t="shared" si="57"/>
        <v/>
      </c>
      <c r="EEY6" s="97" t="str">
        <f t="shared" si="57"/>
        <v/>
      </c>
      <c r="EEZ6" s="97" t="str">
        <f t="shared" si="57"/>
        <v/>
      </c>
      <c r="EFA6" s="97" t="str">
        <f t="shared" si="57"/>
        <v/>
      </c>
      <c r="EFB6" s="97" t="str">
        <f t="shared" si="57"/>
        <v/>
      </c>
      <c r="EFC6" s="97" t="str">
        <f t="shared" si="57"/>
        <v/>
      </c>
      <c r="EFD6" s="97" t="str">
        <f t="shared" si="57"/>
        <v/>
      </c>
      <c r="EFE6" s="97" t="str">
        <f t="shared" si="57"/>
        <v/>
      </c>
      <c r="EFF6" s="97" t="str">
        <f t="shared" si="57"/>
        <v/>
      </c>
      <c r="EFG6" s="97" t="str">
        <f t="shared" si="57"/>
        <v/>
      </c>
      <c r="EFH6" s="97" t="str">
        <f t="shared" si="57"/>
        <v/>
      </c>
      <c r="EFI6" s="97" t="str">
        <f t="shared" si="57"/>
        <v/>
      </c>
      <c r="EFJ6" s="97" t="str">
        <f t="shared" si="57"/>
        <v/>
      </c>
      <c r="EFK6" s="97" t="str">
        <f t="shared" si="57"/>
        <v/>
      </c>
      <c r="EFL6" s="97" t="str">
        <f t="shared" si="57"/>
        <v/>
      </c>
      <c r="EFM6" s="97" t="str">
        <f t="shared" si="57"/>
        <v/>
      </c>
      <c r="EFN6" s="97" t="str">
        <f t="shared" si="57"/>
        <v/>
      </c>
      <c r="EFO6" s="97" t="str">
        <f t="shared" si="57"/>
        <v/>
      </c>
      <c r="EFP6" s="97" t="str">
        <f t="shared" si="57"/>
        <v/>
      </c>
      <c r="EFQ6" s="97" t="str">
        <f t="shared" si="57"/>
        <v/>
      </c>
      <c r="EFR6" s="97" t="str">
        <f t="shared" si="57"/>
        <v/>
      </c>
      <c r="EFS6" s="97" t="str">
        <f t="shared" si="57"/>
        <v/>
      </c>
      <c r="EFT6" s="97" t="str">
        <f t="shared" si="57"/>
        <v/>
      </c>
      <c r="EFU6" s="97" t="str">
        <f t="shared" si="57"/>
        <v/>
      </c>
      <c r="EFV6" s="97" t="str">
        <f t="shared" si="57"/>
        <v/>
      </c>
      <c r="EFW6" s="97" t="str">
        <f t="shared" si="57"/>
        <v/>
      </c>
      <c r="EFX6" s="97" t="str">
        <f t="shared" si="57"/>
        <v/>
      </c>
      <c r="EFY6" s="97" t="str">
        <f t="shared" si="57"/>
        <v/>
      </c>
      <c r="EFZ6" s="97" t="str">
        <f t="shared" si="57"/>
        <v/>
      </c>
      <c r="EGA6" s="97" t="str">
        <f t="shared" si="57"/>
        <v/>
      </c>
      <c r="EGB6" s="97" t="str">
        <f t="shared" si="57"/>
        <v/>
      </c>
      <c r="EGC6" s="97" t="str">
        <f t="shared" si="57"/>
        <v/>
      </c>
      <c r="EGD6" s="97" t="str">
        <f t="shared" si="57"/>
        <v/>
      </c>
      <c r="EGE6" s="97" t="str">
        <f t="shared" si="57"/>
        <v/>
      </c>
      <c r="EGF6" s="97" t="str">
        <f t="shared" si="57"/>
        <v/>
      </c>
      <c r="EGG6" s="97" t="str">
        <f t="shared" si="57"/>
        <v/>
      </c>
      <c r="EGH6" s="97" t="str">
        <f t="shared" si="57"/>
        <v/>
      </c>
      <c r="EGI6" s="97" t="str">
        <f t="shared" si="57"/>
        <v/>
      </c>
      <c r="EGJ6" s="97" t="str">
        <f t="shared" si="57"/>
        <v/>
      </c>
      <c r="EGK6" s="97" t="str">
        <f t="shared" si="57"/>
        <v/>
      </c>
      <c r="EGL6" s="97" t="str">
        <f t="shared" si="57"/>
        <v/>
      </c>
      <c r="EGM6" s="97" t="str">
        <f t="shared" si="57"/>
        <v/>
      </c>
      <c r="EGN6" s="97" t="str">
        <f t="shared" si="57"/>
        <v/>
      </c>
      <c r="EGO6" s="97" t="str">
        <f t="shared" si="57"/>
        <v/>
      </c>
      <c r="EGP6" s="97" t="str">
        <f t="shared" si="57"/>
        <v/>
      </c>
      <c r="EGQ6" s="97" t="str">
        <f t="shared" si="57"/>
        <v/>
      </c>
      <c r="EGR6" s="97" t="str">
        <f t="shared" si="57"/>
        <v/>
      </c>
      <c r="EGS6" s="97" t="str">
        <f t="shared" si="57"/>
        <v/>
      </c>
      <c r="EGT6" s="97" t="str">
        <f t="shared" si="57"/>
        <v/>
      </c>
      <c r="EGU6" s="97" t="str">
        <f t="shared" si="57"/>
        <v/>
      </c>
      <c r="EGV6" s="97" t="str">
        <f t="shared" si="57"/>
        <v/>
      </c>
      <c r="EGW6" s="97" t="str">
        <f t="shared" si="57"/>
        <v/>
      </c>
      <c r="EGX6" s="97" t="str">
        <f t="shared" si="57"/>
        <v/>
      </c>
      <c r="EGY6" s="97" t="str">
        <f t="shared" si="57"/>
        <v/>
      </c>
      <c r="EGZ6" s="97" t="str">
        <f t="shared" si="57"/>
        <v/>
      </c>
      <c r="EHA6" s="97" t="str">
        <f t="shared" si="57"/>
        <v/>
      </c>
      <c r="EHB6" s="97" t="str">
        <f t="shared" ref="EHB6:EJM6" si="58">IFERROR(AVERAGE(EHB7:EHB13),"")</f>
        <v/>
      </c>
      <c r="EHC6" s="97" t="str">
        <f t="shared" si="58"/>
        <v/>
      </c>
      <c r="EHD6" s="97" t="str">
        <f t="shared" si="58"/>
        <v/>
      </c>
      <c r="EHE6" s="97" t="str">
        <f t="shared" si="58"/>
        <v/>
      </c>
      <c r="EHF6" s="97" t="str">
        <f t="shared" si="58"/>
        <v/>
      </c>
      <c r="EHG6" s="97" t="str">
        <f t="shared" si="58"/>
        <v/>
      </c>
      <c r="EHH6" s="97" t="str">
        <f t="shared" si="58"/>
        <v/>
      </c>
      <c r="EHI6" s="97" t="str">
        <f t="shared" si="58"/>
        <v/>
      </c>
      <c r="EHJ6" s="97" t="str">
        <f t="shared" si="58"/>
        <v/>
      </c>
      <c r="EHK6" s="97" t="str">
        <f t="shared" si="58"/>
        <v/>
      </c>
      <c r="EHL6" s="97" t="str">
        <f t="shared" si="58"/>
        <v/>
      </c>
      <c r="EHM6" s="97" t="str">
        <f t="shared" si="58"/>
        <v/>
      </c>
      <c r="EHN6" s="97" t="str">
        <f t="shared" si="58"/>
        <v/>
      </c>
      <c r="EHO6" s="97" t="str">
        <f t="shared" si="58"/>
        <v/>
      </c>
      <c r="EHP6" s="97" t="str">
        <f t="shared" si="58"/>
        <v/>
      </c>
      <c r="EHQ6" s="97" t="str">
        <f t="shared" si="58"/>
        <v/>
      </c>
      <c r="EHR6" s="97" t="str">
        <f t="shared" si="58"/>
        <v/>
      </c>
      <c r="EHS6" s="97" t="str">
        <f t="shared" si="58"/>
        <v/>
      </c>
      <c r="EHT6" s="97" t="str">
        <f t="shared" si="58"/>
        <v/>
      </c>
      <c r="EHU6" s="97" t="str">
        <f t="shared" si="58"/>
        <v/>
      </c>
      <c r="EHV6" s="97" t="str">
        <f t="shared" si="58"/>
        <v/>
      </c>
      <c r="EHW6" s="97" t="str">
        <f t="shared" si="58"/>
        <v/>
      </c>
      <c r="EHX6" s="97" t="str">
        <f t="shared" si="58"/>
        <v/>
      </c>
      <c r="EHY6" s="97" t="str">
        <f t="shared" si="58"/>
        <v/>
      </c>
      <c r="EHZ6" s="97" t="str">
        <f t="shared" si="58"/>
        <v/>
      </c>
      <c r="EIA6" s="97" t="str">
        <f t="shared" si="58"/>
        <v/>
      </c>
      <c r="EIB6" s="97" t="str">
        <f t="shared" si="58"/>
        <v/>
      </c>
      <c r="EIC6" s="97" t="str">
        <f t="shared" si="58"/>
        <v/>
      </c>
      <c r="EID6" s="97" t="str">
        <f t="shared" si="58"/>
        <v/>
      </c>
      <c r="EIE6" s="97" t="str">
        <f t="shared" si="58"/>
        <v/>
      </c>
      <c r="EIF6" s="97" t="str">
        <f t="shared" si="58"/>
        <v/>
      </c>
      <c r="EIG6" s="97" t="str">
        <f t="shared" si="58"/>
        <v/>
      </c>
      <c r="EIH6" s="97" t="str">
        <f t="shared" si="58"/>
        <v/>
      </c>
      <c r="EII6" s="97" t="str">
        <f t="shared" si="58"/>
        <v/>
      </c>
      <c r="EIJ6" s="97" t="str">
        <f t="shared" si="58"/>
        <v/>
      </c>
      <c r="EIK6" s="97" t="str">
        <f t="shared" si="58"/>
        <v/>
      </c>
      <c r="EIL6" s="97" t="str">
        <f t="shared" si="58"/>
        <v/>
      </c>
      <c r="EIM6" s="97" t="str">
        <f t="shared" si="58"/>
        <v/>
      </c>
      <c r="EIN6" s="97" t="str">
        <f t="shared" si="58"/>
        <v/>
      </c>
      <c r="EIO6" s="97" t="str">
        <f t="shared" si="58"/>
        <v/>
      </c>
      <c r="EIP6" s="97" t="str">
        <f t="shared" si="58"/>
        <v/>
      </c>
      <c r="EIQ6" s="97" t="str">
        <f t="shared" si="58"/>
        <v/>
      </c>
      <c r="EIR6" s="97" t="str">
        <f t="shared" si="58"/>
        <v/>
      </c>
      <c r="EIS6" s="97" t="str">
        <f t="shared" si="58"/>
        <v/>
      </c>
      <c r="EIT6" s="97" t="str">
        <f t="shared" si="58"/>
        <v/>
      </c>
      <c r="EIU6" s="97" t="str">
        <f t="shared" si="58"/>
        <v/>
      </c>
      <c r="EIV6" s="97" t="str">
        <f t="shared" si="58"/>
        <v/>
      </c>
      <c r="EIW6" s="97" t="str">
        <f t="shared" si="58"/>
        <v/>
      </c>
      <c r="EIX6" s="97" t="str">
        <f t="shared" si="58"/>
        <v/>
      </c>
      <c r="EIY6" s="97" t="str">
        <f t="shared" si="58"/>
        <v/>
      </c>
      <c r="EIZ6" s="97" t="str">
        <f t="shared" si="58"/>
        <v/>
      </c>
      <c r="EJA6" s="97" t="str">
        <f t="shared" si="58"/>
        <v/>
      </c>
      <c r="EJB6" s="97" t="str">
        <f t="shared" si="58"/>
        <v/>
      </c>
      <c r="EJC6" s="97" t="str">
        <f t="shared" si="58"/>
        <v/>
      </c>
      <c r="EJD6" s="97" t="str">
        <f t="shared" si="58"/>
        <v/>
      </c>
      <c r="EJE6" s="97" t="str">
        <f t="shared" si="58"/>
        <v/>
      </c>
      <c r="EJF6" s="97" t="str">
        <f t="shared" si="58"/>
        <v/>
      </c>
      <c r="EJG6" s="97" t="str">
        <f t="shared" si="58"/>
        <v/>
      </c>
      <c r="EJH6" s="97" t="str">
        <f t="shared" si="58"/>
        <v/>
      </c>
      <c r="EJI6" s="97" t="str">
        <f t="shared" si="58"/>
        <v/>
      </c>
      <c r="EJJ6" s="97" t="str">
        <f t="shared" si="58"/>
        <v/>
      </c>
      <c r="EJK6" s="97" t="str">
        <f t="shared" si="58"/>
        <v/>
      </c>
      <c r="EJL6" s="97" t="str">
        <f t="shared" si="58"/>
        <v/>
      </c>
      <c r="EJM6" s="97" t="str">
        <f t="shared" si="58"/>
        <v/>
      </c>
      <c r="EJN6" s="97" t="str">
        <f t="shared" ref="EJN6:ELY6" si="59">IFERROR(AVERAGE(EJN7:EJN13),"")</f>
        <v/>
      </c>
      <c r="EJO6" s="97" t="str">
        <f t="shared" si="59"/>
        <v/>
      </c>
      <c r="EJP6" s="97" t="str">
        <f t="shared" si="59"/>
        <v/>
      </c>
      <c r="EJQ6" s="97" t="str">
        <f t="shared" si="59"/>
        <v/>
      </c>
      <c r="EJR6" s="97" t="str">
        <f t="shared" si="59"/>
        <v/>
      </c>
      <c r="EJS6" s="97" t="str">
        <f t="shared" si="59"/>
        <v/>
      </c>
      <c r="EJT6" s="97" t="str">
        <f t="shared" si="59"/>
        <v/>
      </c>
      <c r="EJU6" s="97" t="str">
        <f t="shared" si="59"/>
        <v/>
      </c>
      <c r="EJV6" s="97" t="str">
        <f t="shared" si="59"/>
        <v/>
      </c>
      <c r="EJW6" s="97" t="str">
        <f t="shared" si="59"/>
        <v/>
      </c>
      <c r="EJX6" s="97" t="str">
        <f t="shared" si="59"/>
        <v/>
      </c>
      <c r="EJY6" s="97" t="str">
        <f t="shared" si="59"/>
        <v/>
      </c>
      <c r="EJZ6" s="97" t="str">
        <f t="shared" si="59"/>
        <v/>
      </c>
      <c r="EKA6" s="97" t="str">
        <f t="shared" si="59"/>
        <v/>
      </c>
      <c r="EKB6" s="97" t="str">
        <f t="shared" si="59"/>
        <v/>
      </c>
      <c r="EKC6" s="97" t="str">
        <f t="shared" si="59"/>
        <v/>
      </c>
      <c r="EKD6" s="97" t="str">
        <f t="shared" si="59"/>
        <v/>
      </c>
      <c r="EKE6" s="97" t="str">
        <f t="shared" si="59"/>
        <v/>
      </c>
      <c r="EKF6" s="97" t="str">
        <f t="shared" si="59"/>
        <v/>
      </c>
      <c r="EKG6" s="97" t="str">
        <f t="shared" si="59"/>
        <v/>
      </c>
      <c r="EKH6" s="97" t="str">
        <f t="shared" si="59"/>
        <v/>
      </c>
      <c r="EKI6" s="97" t="str">
        <f t="shared" si="59"/>
        <v/>
      </c>
      <c r="EKJ6" s="97" t="str">
        <f t="shared" si="59"/>
        <v/>
      </c>
      <c r="EKK6" s="97" t="str">
        <f t="shared" si="59"/>
        <v/>
      </c>
      <c r="EKL6" s="97" t="str">
        <f t="shared" si="59"/>
        <v/>
      </c>
      <c r="EKM6" s="97" t="str">
        <f t="shared" si="59"/>
        <v/>
      </c>
      <c r="EKN6" s="97" t="str">
        <f t="shared" si="59"/>
        <v/>
      </c>
      <c r="EKO6" s="97" t="str">
        <f t="shared" si="59"/>
        <v/>
      </c>
      <c r="EKP6" s="97" t="str">
        <f t="shared" si="59"/>
        <v/>
      </c>
      <c r="EKQ6" s="97" t="str">
        <f t="shared" si="59"/>
        <v/>
      </c>
      <c r="EKR6" s="97" t="str">
        <f t="shared" si="59"/>
        <v/>
      </c>
      <c r="EKS6" s="97" t="str">
        <f t="shared" si="59"/>
        <v/>
      </c>
      <c r="EKT6" s="97" t="str">
        <f t="shared" si="59"/>
        <v/>
      </c>
      <c r="EKU6" s="97" t="str">
        <f t="shared" si="59"/>
        <v/>
      </c>
      <c r="EKV6" s="97" t="str">
        <f t="shared" si="59"/>
        <v/>
      </c>
      <c r="EKW6" s="97" t="str">
        <f t="shared" si="59"/>
        <v/>
      </c>
      <c r="EKX6" s="97" t="str">
        <f t="shared" si="59"/>
        <v/>
      </c>
      <c r="EKY6" s="97" t="str">
        <f t="shared" si="59"/>
        <v/>
      </c>
      <c r="EKZ6" s="97" t="str">
        <f t="shared" si="59"/>
        <v/>
      </c>
      <c r="ELA6" s="97" t="str">
        <f t="shared" si="59"/>
        <v/>
      </c>
      <c r="ELB6" s="97" t="str">
        <f t="shared" si="59"/>
        <v/>
      </c>
      <c r="ELC6" s="97" t="str">
        <f t="shared" si="59"/>
        <v/>
      </c>
      <c r="ELD6" s="97" t="str">
        <f t="shared" si="59"/>
        <v/>
      </c>
      <c r="ELE6" s="97" t="str">
        <f t="shared" si="59"/>
        <v/>
      </c>
      <c r="ELF6" s="97" t="str">
        <f t="shared" si="59"/>
        <v/>
      </c>
      <c r="ELG6" s="97" t="str">
        <f t="shared" si="59"/>
        <v/>
      </c>
      <c r="ELH6" s="97" t="str">
        <f t="shared" si="59"/>
        <v/>
      </c>
      <c r="ELI6" s="97" t="str">
        <f t="shared" si="59"/>
        <v/>
      </c>
      <c r="ELJ6" s="97" t="str">
        <f t="shared" si="59"/>
        <v/>
      </c>
      <c r="ELK6" s="97" t="str">
        <f t="shared" si="59"/>
        <v/>
      </c>
      <c r="ELL6" s="97" t="str">
        <f t="shared" si="59"/>
        <v/>
      </c>
      <c r="ELM6" s="97" t="str">
        <f t="shared" si="59"/>
        <v/>
      </c>
      <c r="ELN6" s="97" t="str">
        <f t="shared" si="59"/>
        <v/>
      </c>
      <c r="ELO6" s="97" t="str">
        <f t="shared" si="59"/>
        <v/>
      </c>
      <c r="ELP6" s="97" t="str">
        <f t="shared" si="59"/>
        <v/>
      </c>
      <c r="ELQ6" s="97" t="str">
        <f t="shared" si="59"/>
        <v/>
      </c>
      <c r="ELR6" s="97" t="str">
        <f t="shared" si="59"/>
        <v/>
      </c>
      <c r="ELS6" s="97" t="str">
        <f t="shared" si="59"/>
        <v/>
      </c>
      <c r="ELT6" s="97" t="str">
        <f t="shared" si="59"/>
        <v/>
      </c>
      <c r="ELU6" s="97" t="str">
        <f t="shared" si="59"/>
        <v/>
      </c>
      <c r="ELV6" s="97" t="str">
        <f t="shared" si="59"/>
        <v/>
      </c>
      <c r="ELW6" s="97" t="str">
        <f t="shared" si="59"/>
        <v/>
      </c>
      <c r="ELX6" s="97" t="str">
        <f t="shared" si="59"/>
        <v/>
      </c>
      <c r="ELY6" s="97" t="str">
        <f t="shared" si="59"/>
        <v/>
      </c>
      <c r="ELZ6" s="97" t="str">
        <f t="shared" ref="ELZ6:EOK6" si="60">IFERROR(AVERAGE(ELZ7:ELZ13),"")</f>
        <v/>
      </c>
      <c r="EMA6" s="97" t="str">
        <f t="shared" si="60"/>
        <v/>
      </c>
      <c r="EMB6" s="97" t="str">
        <f t="shared" si="60"/>
        <v/>
      </c>
      <c r="EMC6" s="97" t="str">
        <f t="shared" si="60"/>
        <v/>
      </c>
      <c r="EMD6" s="97" t="str">
        <f t="shared" si="60"/>
        <v/>
      </c>
      <c r="EME6" s="97" t="str">
        <f t="shared" si="60"/>
        <v/>
      </c>
      <c r="EMF6" s="97" t="str">
        <f t="shared" si="60"/>
        <v/>
      </c>
      <c r="EMG6" s="97" t="str">
        <f t="shared" si="60"/>
        <v/>
      </c>
      <c r="EMH6" s="97" t="str">
        <f t="shared" si="60"/>
        <v/>
      </c>
      <c r="EMI6" s="97" t="str">
        <f t="shared" si="60"/>
        <v/>
      </c>
      <c r="EMJ6" s="97" t="str">
        <f t="shared" si="60"/>
        <v/>
      </c>
      <c r="EMK6" s="97" t="str">
        <f t="shared" si="60"/>
        <v/>
      </c>
      <c r="EML6" s="97" t="str">
        <f t="shared" si="60"/>
        <v/>
      </c>
      <c r="EMM6" s="97" t="str">
        <f t="shared" si="60"/>
        <v/>
      </c>
      <c r="EMN6" s="97" t="str">
        <f t="shared" si="60"/>
        <v/>
      </c>
      <c r="EMO6" s="97" t="str">
        <f t="shared" si="60"/>
        <v/>
      </c>
      <c r="EMP6" s="97" t="str">
        <f t="shared" si="60"/>
        <v/>
      </c>
      <c r="EMQ6" s="97" t="str">
        <f t="shared" si="60"/>
        <v/>
      </c>
      <c r="EMR6" s="97" t="str">
        <f t="shared" si="60"/>
        <v/>
      </c>
      <c r="EMS6" s="97" t="str">
        <f t="shared" si="60"/>
        <v/>
      </c>
      <c r="EMT6" s="97" t="str">
        <f t="shared" si="60"/>
        <v/>
      </c>
      <c r="EMU6" s="97" t="str">
        <f t="shared" si="60"/>
        <v/>
      </c>
      <c r="EMV6" s="97" t="str">
        <f t="shared" si="60"/>
        <v/>
      </c>
      <c r="EMW6" s="97" t="str">
        <f t="shared" si="60"/>
        <v/>
      </c>
      <c r="EMX6" s="97" t="str">
        <f t="shared" si="60"/>
        <v/>
      </c>
      <c r="EMY6" s="97" t="str">
        <f t="shared" si="60"/>
        <v/>
      </c>
      <c r="EMZ6" s="97" t="str">
        <f t="shared" si="60"/>
        <v/>
      </c>
      <c r="ENA6" s="97" t="str">
        <f t="shared" si="60"/>
        <v/>
      </c>
      <c r="ENB6" s="97" t="str">
        <f t="shared" si="60"/>
        <v/>
      </c>
      <c r="ENC6" s="97" t="str">
        <f t="shared" si="60"/>
        <v/>
      </c>
      <c r="END6" s="97" t="str">
        <f t="shared" si="60"/>
        <v/>
      </c>
      <c r="ENE6" s="97" t="str">
        <f t="shared" si="60"/>
        <v/>
      </c>
      <c r="ENF6" s="97" t="str">
        <f t="shared" si="60"/>
        <v/>
      </c>
      <c r="ENG6" s="97" t="str">
        <f t="shared" si="60"/>
        <v/>
      </c>
      <c r="ENH6" s="97" t="str">
        <f t="shared" si="60"/>
        <v/>
      </c>
      <c r="ENI6" s="97" t="str">
        <f t="shared" si="60"/>
        <v/>
      </c>
      <c r="ENJ6" s="97" t="str">
        <f t="shared" si="60"/>
        <v/>
      </c>
      <c r="ENK6" s="97" t="str">
        <f t="shared" si="60"/>
        <v/>
      </c>
      <c r="ENL6" s="97" t="str">
        <f t="shared" si="60"/>
        <v/>
      </c>
      <c r="ENM6" s="97" t="str">
        <f t="shared" si="60"/>
        <v/>
      </c>
      <c r="ENN6" s="97" t="str">
        <f t="shared" si="60"/>
        <v/>
      </c>
      <c r="ENO6" s="97" t="str">
        <f t="shared" si="60"/>
        <v/>
      </c>
      <c r="ENP6" s="97" t="str">
        <f t="shared" si="60"/>
        <v/>
      </c>
      <c r="ENQ6" s="97" t="str">
        <f t="shared" si="60"/>
        <v/>
      </c>
      <c r="ENR6" s="97" t="str">
        <f t="shared" si="60"/>
        <v/>
      </c>
      <c r="ENS6" s="97" t="str">
        <f t="shared" si="60"/>
        <v/>
      </c>
      <c r="ENT6" s="97" t="str">
        <f t="shared" si="60"/>
        <v/>
      </c>
      <c r="ENU6" s="97" t="str">
        <f t="shared" si="60"/>
        <v/>
      </c>
      <c r="ENV6" s="97" t="str">
        <f t="shared" si="60"/>
        <v/>
      </c>
      <c r="ENW6" s="97" t="str">
        <f t="shared" si="60"/>
        <v/>
      </c>
      <c r="ENX6" s="97" t="str">
        <f t="shared" si="60"/>
        <v/>
      </c>
      <c r="ENY6" s="97" t="str">
        <f t="shared" si="60"/>
        <v/>
      </c>
      <c r="ENZ6" s="97" t="str">
        <f t="shared" si="60"/>
        <v/>
      </c>
      <c r="EOA6" s="97" t="str">
        <f t="shared" si="60"/>
        <v/>
      </c>
      <c r="EOB6" s="97" t="str">
        <f t="shared" si="60"/>
        <v/>
      </c>
      <c r="EOC6" s="97" t="str">
        <f t="shared" si="60"/>
        <v/>
      </c>
      <c r="EOD6" s="97" t="str">
        <f t="shared" si="60"/>
        <v/>
      </c>
      <c r="EOE6" s="97" t="str">
        <f t="shared" si="60"/>
        <v/>
      </c>
      <c r="EOF6" s="97" t="str">
        <f t="shared" si="60"/>
        <v/>
      </c>
      <c r="EOG6" s="97" t="str">
        <f t="shared" si="60"/>
        <v/>
      </c>
      <c r="EOH6" s="97" t="str">
        <f t="shared" si="60"/>
        <v/>
      </c>
      <c r="EOI6" s="97" t="str">
        <f t="shared" si="60"/>
        <v/>
      </c>
      <c r="EOJ6" s="97" t="str">
        <f t="shared" si="60"/>
        <v/>
      </c>
      <c r="EOK6" s="97" t="str">
        <f t="shared" si="60"/>
        <v/>
      </c>
      <c r="EOL6" s="97" t="str">
        <f t="shared" ref="EOL6:EQW6" si="61">IFERROR(AVERAGE(EOL7:EOL13),"")</f>
        <v/>
      </c>
      <c r="EOM6" s="97" t="str">
        <f t="shared" si="61"/>
        <v/>
      </c>
      <c r="EON6" s="97" t="str">
        <f t="shared" si="61"/>
        <v/>
      </c>
      <c r="EOO6" s="97" t="str">
        <f t="shared" si="61"/>
        <v/>
      </c>
      <c r="EOP6" s="97" t="str">
        <f t="shared" si="61"/>
        <v/>
      </c>
      <c r="EOQ6" s="97" t="str">
        <f t="shared" si="61"/>
        <v/>
      </c>
      <c r="EOR6" s="97" t="str">
        <f t="shared" si="61"/>
        <v/>
      </c>
      <c r="EOS6" s="97" t="str">
        <f t="shared" si="61"/>
        <v/>
      </c>
      <c r="EOT6" s="97" t="str">
        <f t="shared" si="61"/>
        <v/>
      </c>
      <c r="EOU6" s="97" t="str">
        <f t="shared" si="61"/>
        <v/>
      </c>
      <c r="EOV6" s="97" t="str">
        <f t="shared" si="61"/>
        <v/>
      </c>
      <c r="EOW6" s="97" t="str">
        <f t="shared" si="61"/>
        <v/>
      </c>
      <c r="EOX6" s="97" t="str">
        <f t="shared" si="61"/>
        <v/>
      </c>
      <c r="EOY6" s="97" t="str">
        <f t="shared" si="61"/>
        <v/>
      </c>
      <c r="EOZ6" s="97" t="str">
        <f t="shared" si="61"/>
        <v/>
      </c>
      <c r="EPA6" s="97" t="str">
        <f t="shared" si="61"/>
        <v/>
      </c>
      <c r="EPB6" s="97" t="str">
        <f t="shared" si="61"/>
        <v/>
      </c>
      <c r="EPC6" s="97" t="str">
        <f t="shared" si="61"/>
        <v/>
      </c>
      <c r="EPD6" s="97" t="str">
        <f t="shared" si="61"/>
        <v/>
      </c>
      <c r="EPE6" s="97" t="str">
        <f t="shared" si="61"/>
        <v/>
      </c>
      <c r="EPF6" s="97" t="str">
        <f t="shared" si="61"/>
        <v/>
      </c>
      <c r="EPG6" s="97" t="str">
        <f t="shared" si="61"/>
        <v/>
      </c>
      <c r="EPH6" s="97" t="str">
        <f t="shared" si="61"/>
        <v/>
      </c>
      <c r="EPI6" s="97" t="str">
        <f t="shared" si="61"/>
        <v/>
      </c>
      <c r="EPJ6" s="97" t="str">
        <f t="shared" si="61"/>
        <v/>
      </c>
      <c r="EPK6" s="97" t="str">
        <f t="shared" si="61"/>
        <v/>
      </c>
      <c r="EPL6" s="97" t="str">
        <f t="shared" si="61"/>
        <v/>
      </c>
      <c r="EPM6" s="97" t="str">
        <f t="shared" si="61"/>
        <v/>
      </c>
      <c r="EPN6" s="97" t="str">
        <f t="shared" si="61"/>
        <v/>
      </c>
      <c r="EPO6" s="97" t="str">
        <f t="shared" si="61"/>
        <v/>
      </c>
      <c r="EPP6" s="97" t="str">
        <f t="shared" si="61"/>
        <v/>
      </c>
      <c r="EPQ6" s="97" t="str">
        <f t="shared" si="61"/>
        <v/>
      </c>
      <c r="EPR6" s="97" t="str">
        <f t="shared" si="61"/>
        <v/>
      </c>
      <c r="EPS6" s="97" t="str">
        <f t="shared" si="61"/>
        <v/>
      </c>
      <c r="EPT6" s="97" t="str">
        <f t="shared" si="61"/>
        <v/>
      </c>
      <c r="EPU6" s="97" t="str">
        <f t="shared" si="61"/>
        <v/>
      </c>
      <c r="EPV6" s="97" t="str">
        <f t="shared" si="61"/>
        <v/>
      </c>
      <c r="EPW6" s="97" t="str">
        <f t="shared" si="61"/>
        <v/>
      </c>
      <c r="EPX6" s="97" t="str">
        <f t="shared" si="61"/>
        <v/>
      </c>
      <c r="EPY6" s="97" t="str">
        <f t="shared" si="61"/>
        <v/>
      </c>
      <c r="EPZ6" s="97" t="str">
        <f t="shared" si="61"/>
        <v/>
      </c>
      <c r="EQA6" s="97" t="str">
        <f t="shared" si="61"/>
        <v/>
      </c>
      <c r="EQB6" s="97" t="str">
        <f t="shared" si="61"/>
        <v/>
      </c>
      <c r="EQC6" s="97" t="str">
        <f t="shared" si="61"/>
        <v/>
      </c>
      <c r="EQD6" s="97" t="str">
        <f t="shared" si="61"/>
        <v/>
      </c>
      <c r="EQE6" s="97" t="str">
        <f t="shared" si="61"/>
        <v/>
      </c>
      <c r="EQF6" s="97" t="str">
        <f t="shared" si="61"/>
        <v/>
      </c>
      <c r="EQG6" s="97" t="str">
        <f t="shared" si="61"/>
        <v/>
      </c>
      <c r="EQH6" s="97" t="str">
        <f t="shared" si="61"/>
        <v/>
      </c>
      <c r="EQI6" s="97" t="str">
        <f t="shared" si="61"/>
        <v/>
      </c>
      <c r="EQJ6" s="97" t="str">
        <f t="shared" si="61"/>
        <v/>
      </c>
      <c r="EQK6" s="97" t="str">
        <f t="shared" si="61"/>
        <v/>
      </c>
      <c r="EQL6" s="97" t="str">
        <f t="shared" si="61"/>
        <v/>
      </c>
      <c r="EQM6" s="97" t="str">
        <f t="shared" si="61"/>
        <v/>
      </c>
      <c r="EQN6" s="97" t="str">
        <f t="shared" si="61"/>
        <v/>
      </c>
      <c r="EQO6" s="97" t="str">
        <f t="shared" si="61"/>
        <v/>
      </c>
      <c r="EQP6" s="97" t="str">
        <f t="shared" si="61"/>
        <v/>
      </c>
      <c r="EQQ6" s="97" t="str">
        <f t="shared" si="61"/>
        <v/>
      </c>
      <c r="EQR6" s="97" t="str">
        <f t="shared" si="61"/>
        <v/>
      </c>
      <c r="EQS6" s="97" t="str">
        <f t="shared" si="61"/>
        <v/>
      </c>
      <c r="EQT6" s="97" t="str">
        <f t="shared" si="61"/>
        <v/>
      </c>
      <c r="EQU6" s="97" t="str">
        <f t="shared" si="61"/>
        <v/>
      </c>
      <c r="EQV6" s="97" t="str">
        <f t="shared" si="61"/>
        <v/>
      </c>
      <c r="EQW6" s="97" t="str">
        <f t="shared" si="61"/>
        <v/>
      </c>
      <c r="EQX6" s="97" t="str">
        <f t="shared" ref="EQX6:ETI6" si="62">IFERROR(AVERAGE(EQX7:EQX13),"")</f>
        <v/>
      </c>
      <c r="EQY6" s="97" t="str">
        <f t="shared" si="62"/>
        <v/>
      </c>
      <c r="EQZ6" s="97" t="str">
        <f t="shared" si="62"/>
        <v/>
      </c>
      <c r="ERA6" s="97" t="str">
        <f t="shared" si="62"/>
        <v/>
      </c>
      <c r="ERB6" s="97" t="str">
        <f t="shared" si="62"/>
        <v/>
      </c>
      <c r="ERC6" s="97" t="str">
        <f t="shared" si="62"/>
        <v/>
      </c>
      <c r="ERD6" s="97" t="str">
        <f t="shared" si="62"/>
        <v/>
      </c>
      <c r="ERE6" s="97" t="str">
        <f t="shared" si="62"/>
        <v/>
      </c>
      <c r="ERF6" s="97" t="str">
        <f t="shared" si="62"/>
        <v/>
      </c>
      <c r="ERG6" s="97" t="str">
        <f t="shared" si="62"/>
        <v/>
      </c>
      <c r="ERH6" s="97" t="str">
        <f t="shared" si="62"/>
        <v/>
      </c>
      <c r="ERI6" s="97" t="str">
        <f t="shared" si="62"/>
        <v/>
      </c>
      <c r="ERJ6" s="97" t="str">
        <f t="shared" si="62"/>
        <v/>
      </c>
      <c r="ERK6" s="97" t="str">
        <f t="shared" si="62"/>
        <v/>
      </c>
      <c r="ERL6" s="97" t="str">
        <f t="shared" si="62"/>
        <v/>
      </c>
      <c r="ERM6" s="97" t="str">
        <f t="shared" si="62"/>
        <v/>
      </c>
      <c r="ERN6" s="97" t="str">
        <f t="shared" si="62"/>
        <v/>
      </c>
      <c r="ERO6" s="97" t="str">
        <f t="shared" si="62"/>
        <v/>
      </c>
      <c r="ERP6" s="97" t="str">
        <f t="shared" si="62"/>
        <v/>
      </c>
      <c r="ERQ6" s="97" t="str">
        <f t="shared" si="62"/>
        <v/>
      </c>
      <c r="ERR6" s="97" t="str">
        <f t="shared" si="62"/>
        <v/>
      </c>
      <c r="ERS6" s="97" t="str">
        <f t="shared" si="62"/>
        <v/>
      </c>
      <c r="ERT6" s="97" t="str">
        <f t="shared" si="62"/>
        <v/>
      </c>
      <c r="ERU6" s="97" t="str">
        <f t="shared" si="62"/>
        <v/>
      </c>
      <c r="ERV6" s="97" t="str">
        <f t="shared" si="62"/>
        <v/>
      </c>
      <c r="ERW6" s="97" t="str">
        <f t="shared" si="62"/>
        <v/>
      </c>
      <c r="ERX6" s="97" t="str">
        <f t="shared" si="62"/>
        <v/>
      </c>
      <c r="ERY6" s="97" t="str">
        <f t="shared" si="62"/>
        <v/>
      </c>
      <c r="ERZ6" s="97" t="str">
        <f t="shared" si="62"/>
        <v/>
      </c>
      <c r="ESA6" s="97" t="str">
        <f t="shared" si="62"/>
        <v/>
      </c>
      <c r="ESB6" s="97" t="str">
        <f t="shared" si="62"/>
        <v/>
      </c>
      <c r="ESC6" s="97" t="str">
        <f t="shared" si="62"/>
        <v/>
      </c>
      <c r="ESD6" s="97" t="str">
        <f t="shared" si="62"/>
        <v/>
      </c>
      <c r="ESE6" s="97" t="str">
        <f t="shared" si="62"/>
        <v/>
      </c>
      <c r="ESF6" s="97" t="str">
        <f t="shared" si="62"/>
        <v/>
      </c>
      <c r="ESG6" s="97" t="str">
        <f t="shared" si="62"/>
        <v/>
      </c>
      <c r="ESH6" s="97" t="str">
        <f t="shared" si="62"/>
        <v/>
      </c>
      <c r="ESI6" s="97" t="str">
        <f t="shared" si="62"/>
        <v/>
      </c>
      <c r="ESJ6" s="97" t="str">
        <f t="shared" si="62"/>
        <v/>
      </c>
      <c r="ESK6" s="97" t="str">
        <f t="shared" si="62"/>
        <v/>
      </c>
      <c r="ESL6" s="97" t="str">
        <f t="shared" si="62"/>
        <v/>
      </c>
      <c r="ESM6" s="97" t="str">
        <f t="shared" si="62"/>
        <v/>
      </c>
      <c r="ESN6" s="97" t="str">
        <f t="shared" si="62"/>
        <v/>
      </c>
      <c r="ESO6" s="97" t="str">
        <f t="shared" si="62"/>
        <v/>
      </c>
      <c r="ESP6" s="97" t="str">
        <f t="shared" si="62"/>
        <v/>
      </c>
      <c r="ESQ6" s="97" t="str">
        <f t="shared" si="62"/>
        <v/>
      </c>
      <c r="ESR6" s="97" t="str">
        <f t="shared" si="62"/>
        <v/>
      </c>
      <c r="ESS6" s="97" t="str">
        <f t="shared" si="62"/>
        <v/>
      </c>
      <c r="EST6" s="97" t="str">
        <f t="shared" si="62"/>
        <v/>
      </c>
      <c r="ESU6" s="97" t="str">
        <f t="shared" si="62"/>
        <v/>
      </c>
      <c r="ESV6" s="97" t="str">
        <f t="shared" si="62"/>
        <v/>
      </c>
      <c r="ESW6" s="97" t="str">
        <f t="shared" si="62"/>
        <v/>
      </c>
      <c r="ESX6" s="97" t="str">
        <f t="shared" si="62"/>
        <v/>
      </c>
      <c r="ESY6" s="97" t="str">
        <f t="shared" si="62"/>
        <v/>
      </c>
      <c r="ESZ6" s="97" t="str">
        <f t="shared" si="62"/>
        <v/>
      </c>
      <c r="ETA6" s="97" t="str">
        <f t="shared" si="62"/>
        <v/>
      </c>
      <c r="ETB6" s="97" t="str">
        <f t="shared" si="62"/>
        <v/>
      </c>
      <c r="ETC6" s="97" t="str">
        <f t="shared" si="62"/>
        <v/>
      </c>
      <c r="ETD6" s="97" t="str">
        <f t="shared" si="62"/>
        <v/>
      </c>
      <c r="ETE6" s="97" t="str">
        <f t="shared" si="62"/>
        <v/>
      </c>
      <c r="ETF6" s="97" t="str">
        <f t="shared" si="62"/>
        <v/>
      </c>
      <c r="ETG6" s="97" t="str">
        <f t="shared" si="62"/>
        <v/>
      </c>
      <c r="ETH6" s="97" t="str">
        <f t="shared" si="62"/>
        <v/>
      </c>
      <c r="ETI6" s="97" t="str">
        <f t="shared" si="62"/>
        <v/>
      </c>
      <c r="ETJ6" s="97" t="str">
        <f t="shared" ref="ETJ6:EVU6" si="63">IFERROR(AVERAGE(ETJ7:ETJ13),"")</f>
        <v/>
      </c>
      <c r="ETK6" s="97" t="str">
        <f t="shared" si="63"/>
        <v/>
      </c>
      <c r="ETL6" s="97" t="str">
        <f t="shared" si="63"/>
        <v/>
      </c>
      <c r="ETM6" s="97" t="str">
        <f t="shared" si="63"/>
        <v/>
      </c>
      <c r="ETN6" s="97" t="str">
        <f t="shared" si="63"/>
        <v/>
      </c>
      <c r="ETO6" s="97" t="str">
        <f t="shared" si="63"/>
        <v/>
      </c>
      <c r="ETP6" s="97" t="str">
        <f t="shared" si="63"/>
        <v/>
      </c>
      <c r="ETQ6" s="97" t="str">
        <f t="shared" si="63"/>
        <v/>
      </c>
      <c r="ETR6" s="97" t="str">
        <f t="shared" si="63"/>
        <v/>
      </c>
      <c r="ETS6" s="97" t="str">
        <f t="shared" si="63"/>
        <v/>
      </c>
      <c r="ETT6" s="97" t="str">
        <f t="shared" si="63"/>
        <v/>
      </c>
      <c r="ETU6" s="97" t="str">
        <f t="shared" si="63"/>
        <v/>
      </c>
      <c r="ETV6" s="97" t="str">
        <f t="shared" si="63"/>
        <v/>
      </c>
      <c r="ETW6" s="97" t="str">
        <f t="shared" si="63"/>
        <v/>
      </c>
      <c r="ETX6" s="97" t="str">
        <f t="shared" si="63"/>
        <v/>
      </c>
      <c r="ETY6" s="97" t="str">
        <f t="shared" si="63"/>
        <v/>
      </c>
      <c r="ETZ6" s="97" t="str">
        <f t="shared" si="63"/>
        <v/>
      </c>
      <c r="EUA6" s="97" t="str">
        <f t="shared" si="63"/>
        <v/>
      </c>
      <c r="EUB6" s="97" t="str">
        <f t="shared" si="63"/>
        <v/>
      </c>
      <c r="EUC6" s="97" t="str">
        <f t="shared" si="63"/>
        <v/>
      </c>
      <c r="EUD6" s="97" t="str">
        <f t="shared" si="63"/>
        <v/>
      </c>
      <c r="EUE6" s="97" t="str">
        <f t="shared" si="63"/>
        <v/>
      </c>
      <c r="EUF6" s="97" t="str">
        <f t="shared" si="63"/>
        <v/>
      </c>
      <c r="EUG6" s="97" t="str">
        <f t="shared" si="63"/>
        <v/>
      </c>
      <c r="EUH6" s="97" t="str">
        <f t="shared" si="63"/>
        <v/>
      </c>
      <c r="EUI6" s="97" t="str">
        <f t="shared" si="63"/>
        <v/>
      </c>
      <c r="EUJ6" s="97" t="str">
        <f t="shared" si="63"/>
        <v/>
      </c>
      <c r="EUK6" s="97" t="str">
        <f t="shared" si="63"/>
        <v/>
      </c>
      <c r="EUL6" s="97" t="str">
        <f t="shared" si="63"/>
        <v/>
      </c>
      <c r="EUM6" s="97" t="str">
        <f t="shared" si="63"/>
        <v/>
      </c>
      <c r="EUN6" s="97" t="str">
        <f t="shared" si="63"/>
        <v/>
      </c>
      <c r="EUO6" s="97" t="str">
        <f t="shared" si="63"/>
        <v/>
      </c>
      <c r="EUP6" s="97" t="str">
        <f t="shared" si="63"/>
        <v/>
      </c>
      <c r="EUQ6" s="97" t="str">
        <f t="shared" si="63"/>
        <v/>
      </c>
      <c r="EUR6" s="97" t="str">
        <f t="shared" si="63"/>
        <v/>
      </c>
      <c r="EUS6" s="97" t="str">
        <f t="shared" si="63"/>
        <v/>
      </c>
      <c r="EUT6" s="97" t="str">
        <f t="shared" si="63"/>
        <v/>
      </c>
      <c r="EUU6" s="97" t="str">
        <f t="shared" si="63"/>
        <v/>
      </c>
      <c r="EUV6" s="97" t="str">
        <f t="shared" si="63"/>
        <v/>
      </c>
      <c r="EUW6" s="97" t="str">
        <f t="shared" si="63"/>
        <v/>
      </c>
      <c r="EUX6" s="97" t="str">
        <f t="shared" si="63"/>
        <v/>
      </c>
      <c r="EUY6" s="97" t="str">
        <f t="shared" si="63"/>
        <v/>
      </c>
      <c r="EUZ6" s="97" t="str">
        <f t="shared" si="63"/>
        <v/>
      </c>
      <c r="EVA6" s="97" t="str">
        <f t="shared" si="63"/>
        <v/>
      </c>
      <c r="EVB6" s="97" t="str">
        <f t="shared" si="63"/>
        <v/>
      </c>
      <c r="EVC6" s="97" t="str">
        <f t="shared" si="63"/>
        <v/>
      </c>
      <c r="EVD6" s="97" t="str">
        <f t="shared" si="63"/>
        <v/>
      </c>
      <c r="EVE6" s="97" t="str">
        <f t="shared" si="63"/>
        <v/>
      </c>
      <c r="EVF6" s="97" t="str">
        <f t="shared" si="63"/>
        <v/>
      </c>
      <c r="EVG6" s="97" t="str">
        <f t="shared" si="63"/>
        <v/>
      </c>
      <c r="EVH6" s="97" t="str">
        <f t="shared" si="63"/>
        <v/>
      </c>
      <c r="EVI6" s="97" t="str">
        <f t="shared" si="63"/>
        <v/>
      </c>
      <c r="EVJ6" s="97" t="str">
        <f t="shared" si="63"/>
        <v/>
      </c>
      <c r="EVK6" s="97" t="str">
        <f t="shared" si="63"/>
        <v/>
      </c>
      <c r="EVL6" s="97" t="str">
        <f t="shared" si="63"/>
        <v/>
      </c>
      <c r="EVM6" s="97" t="str">
        <f t="shared" si="63"/>
        <v/>
      </c>
      <c r="EVN6" s="97" t="str">
        <f t="shared" si="63"/>
        <v/>
      </c>
      <c r="EVO6" s="97" t="str">
        <f t="shared" si="63"/>
        <v/>
      </c>
      <c r="EVP6" s="97" t="str">
        <f t="shared" si="63"/>
        <v/>
      </c>
      <c r="EVQ6" s="97" t="str">
        <f t="shared" si="63"/>
        <v/>
      </c>
      <c r="EVR6" s="97" t="str">
        <f t="shared" si="63"/>
        <v/>
      </c>
      <c r="EVS6" s="97" t="str">
        <f t="shared" si="63"/>
        <v/>
      </c>
      <c r="EVT6" s="97" t="str">
        <f t="shared" si="63"/>
        <v/>
      </c>
      <c r="EVU6" s="97" t="str">
        <f t="shared" si="63"/>
        <v/>
      </c>
      <c r="EVV6" s="97" t="str">
        <f t="shared" ref="EVV6:EYG6" si="64">IFERROR(AVERAGE(EVV7:EVV13),"")</f>
        <v/>
      </c>
      <c r="EVW6" s="97" t="str">
        <f t="shared" si="64"/>
        <v/>
      </c>
      <c r="EVX6" s="97" t="str">
        <f t="shared" si="64"/>
        <v/>
      </c>
      <c r="EVY6" s="97" t="str">
        <f t="shared" si="64"/>
        <v/>
      </c>
      <c r="EVZ6" s="97" t="str">
        <f t="shared" si="64"/>
        <v/>
      </c>
      <c r="EWA6" s="97" t="str">
        <f t="shared" si="64"/>
        <v/>
      </c>
      <c r="EWB6" s="97" t="str">
        <f t="shared" si="64"/>
        <v/>
      </c>
      <c r="EWC6" s="97" t="str">
        <f t="shared" si="64"/>
        <v/>
      </c>
      <c r="EWD6" s="97" t="str">
        <f t="shared" si="64"/>
        <v/>
      </c>
      <c r="EWE6" s="97" t="str">
        <f t="shared" si="64"/>
        <v/>
      </c>
      <c r="EWF6" s="97" t="str">
        <f t="shared" si="64"/>
        <v/>
      </c>
      <c r="EWG6" s="97" t="str">
        <f t="shared" si="64"/>
        <v/>
      </c>
      <c r="EWH6" s="97" t="str">
        <f t="shared" si="64"/>
        <v/>
      </c>
      <c r="EWI6" s="97" t="str">
        <f t="shared" si="64"/>
        <v/>
      </c>
      <c r="EWJ6" s="97" t="str">
        <f t="shared" si="64"/>
        <v/>
      </c>
      <c r="EWK6" s="97" t="str">
        <f t="shared" si="64"/>
        <v/>
      </c>
      <c r="EWL6" s="97" t="str">
        <f t="shared" si="64"/>
        <v/>
      </c>
      <c r="EWM6" s="97" t="str">
        <f t="shared" si="64"/>
        <v/>
      </c>
      <c r="EWN6" s="97" t="str">
        <f t="shared" si="64"/>
        <v/>
      </c>
      <c r="EWO6" s="97" t="str">
        <f t="shared" si="64"/>
        <v/>
      </c>
      <c r="EWP6" s="97" t="str">
        <f t="shared" si="64"/>
        <v/>
      </c>
      <c r="EWQ6" s="97" t="str">
        <f t="shared" si="64"/>
        <v/>
      </c>
      <c r="EWR6" s="97" t="str">
        <f t="shared" si="64"/>
        <v/>
      </c>
      <c r="EWS6" s="97" t="str">
        <f t="shared" si="64"/>
        <v/>
      </c>
      <c r="EWT6" s="97" t="str">
        <f t="shared" si="64"/>
        <v/>
      </c>
      <c r="EWU6" s="97" t="str">
        <f t="shared" si="64"/>
        <v/>
      </c>
      <c r="EWV6" s="97" t="str">
        <f t="shared" si="64"/>
        <v/>
      </c>
      <c r="EWW6" s="97" t="str">
        <f t="shared" si="64"/>
        <v/>
      </c>
      <c r="EWX6" s="97" t="str">
        <f t="shared" si="64"/>
        <v/>
      </c>
      <c r="EWY6" s="97" t="str">
        <f t="shared" si="64"/>
        <v/>
      </c>
      <c r="EWZ6" s="97" t="str">
        <f t="shared" si="64"/>
        <v/>
      </c>
      <c r="EXA6" s="97" t="str">
        <f t="shared" si="64"/>
        <v/>
      </c>
      <c r="EXB6" s="97" t="str">
        <f t="shared" si="64"/>
        <v/>
      </c>
      <c r="EXC6" s="97" t="str">
        <f t="shared" si="64"/>
        <v/>
      </c>
      <c r="EXD6" s="97" t="str">
        <f t="shared" si="64"/>
        <v/>
      </c>
      <c r="EXE6" s="97" t="str">
        <f t="shared" si="64"/>
        <v/>
      </c>
      <c r="EXF6" s="97" t="str">
        <f t="shared" si="64"/>
        <v/>
      </c>
      <c r="EXG6" s="97" t="str">
        <f t="shared" si="64"/>
        <v/>
      </c>
      <c r="EXH6" s="97" t="str">
        <f t="shared" si="64"/>
        <v/>
      </c>
      <c r="EXI6" s="97" t="str">
        <f t="shared" si="64"/>
        <v/>
      </c>
      <c r="EXJ6" s="97" t="str">
        <f t="shared" si="64"/>
        <v/>
      </c>
      <c r="EXK6" s="97" t="str">
        <f t="shared" si="64"/>
        <v/>
      </c>
      <c r="EXL6" s="97" t="str">
        <f t="shared" si="64"/>
        <v/>
      </c>
      <c r="EXM6" s="97" t="str">
        <f t="shared" si="64"/>
        <v/>
      </c>
      <c r="EXN6" s="97" t="str">
        <f t="shared" si="64"/>
        <v/>
      </c>
      <c r="EXO6" s="97" t="str">
        <f t="shared" si="64"/>
        <v/>
      </c>
      <c r="EXP6" s="97" t="str">
        <f t="shared" si="64"/>
        <v/>
      </c>
      <c r="EXQ6" s="97" t="str">
        <f t="shared" si="64"/>
        <v/>
      </c>
      <c r="EXR6" s="97" t="str">
        <f t="shared" si="64"/>
        <v/>
      </c>
      <c r="EXS6" s="97" t="str">
        <f t="shared" si="64"/>
        <v/>
      </c>
      <c r="EXT6" s="97" t="str">
        <f t="shared" si="64"/>
        <v/>
      </c>
      <c r="EXU6" s="97" t="str">
        <f t="shared" si="64"/>
        <v/>
      </c>
      <c r="EXV6" s="97" t="str">
        <f t="shared" si="64"/>
        <v/>
      </c>
      <c r="EXW6" s="97" t="str">
        <f t="shared" si="64"/>
        <v/>
      </c>
      <c r="EXX6" s="97" t="str">
        <f t="shared" si="64"/>
        <v/>
      </c>
      <c r="EXY6" s="97" t="str">
        <f t="shared" si="64"/>
        <v/>
      </c>
      <c r="EXZ6" s="97" t="str">
        <f t="shared" si="64"/>
        <v/>
      </c>
      <c r="EYA6" s="97" t="str">
        <f t="shared" si="64"/>
        <v/>
      </c>
      <c r="EYB6" s="97" t="str">
        <f t="shared" si="64"/>
        <v/>
      </c>
      <c r="EYC6" s="97" t="str">
        <f t="shared" si="64"/>
        <v/>
      </c>
      <c r="EYD6" s="97" t="str">
        <f t="shared" si="64"/>
        <v/>
      </c>
      <c r="EYE6" s="97" t="str">
        <f t="shared" si="64"/>
        <v/>
      </c>
      <c r="EYF6" s="97" t="str">
        <f t="shared" si="64"/>
        <v/>
      </c>
      <c r="EYG6" s="97" t="str">
        <f t="shared" si="64"/>
        <v/>
      </c>
      <c r="EYH6" s="97" t="str">
        <f t="shared" ref="EYH6:FAS6" si="65">IFERROR(AVERAGE(EYH7:EYH13),"")</f>
        <v/>
      </c>
      <c r="EYI6" s="97" t="str">
        <f t="shared" si="65"/>
        <v/>
      </c>
      <c r="EYJ6" s="97" t="str">
        <f t="shared" si="65"/>
        <v/>
      </c>
      <c r="EYK6" s="97" t="str">
        <f t="shared" si="65"/>
        <v/>
      </c>
      <c r="EYL6" s="97" t="str">
        <f t="shared" si="65"/>
        <v/>
      </c>
      <c r="EYM6" s="97" t="str">
        <f t="shared" si="65"/>
        <v/>
      </c>
      <c r="EYN6" s="97" t="str">
        <f t="shared" si="65"/>
        <v/>
      </c>
      <c r="EYO6" s="97" t="str">
        <f t="shared" si="65"/>
        <v/>
      </c>
      <c r="EYP6" s="97" t="str">
        <f t="shared" si="65"/>
        <v/>
      </c>
      <c r="EYQ6" s="97" t="str">
        <f t="shared" si="65"/>
        <v/>
      </c>
      <c r="EYR6" s="97" t="str">
        <f t="shared" si="65"/>
        <v/>
      </c>
      <c r="EYS6" s="97" t="str">
        <f t="shared" si="65"/>
        <v/>
      </c>
      <c r="EYT6" s="97" t="str">
        <f t="shared" si="65"/>
        <v/>
      </c>
      <c r="EYU6" s="97" t="str">
        <f t="shared" si="65"/>
        <v/>
      </c>
      <c r="EYV6" s="97" t="str">
        <f t="shared" si="65"/>
        <v/>
      </c>
      <c r="EYW6" s="97" t="str">
        <f t="shared" si="65"/>
        <v/>
      </c>
      <c r="EYX6" s="97" t="str">
        <f t="shared" si="65"/>
        <v/>
      </c>
      <c r="EYY6" s="97" t="str">
        <f t="shared" si="65"/>
        <v/>
      </c>
      <c r="EYZ6" s="97" t="str">
        <f t="shared" si="65"/>
        <v/>
      </c>
      <c r="EZA6" s="97" t="str">
        <f t="shared" si="65"/>
        <v/>
      </c>
      <c r="EZB6" s="97" t="str">
        <f t="shared" si="65"/>
        <v/>
      </c>
      <c r="EZC6" s="97" t="str">
        <f t="shared" si="65"/>
        <v/>
      </c>
      <c r="EZD6" s="97" t="str">
        <f t="shared" si="65"/>
        <v/>
      </c>
      <c r="EZE6" s="97" t="str">
        <f t="shared" si="65"/>
        <v/>
      </c>
      <c r="EZF6" s="97" t="str">
        <f t="shared" si="65"/>
        <v/>
      </c>
      <c r="EZG6" s="97" t="str">
        <f t="shared" si="65"/>
        <v/>
      </c>
      <c r="EZH6" s="97" t="str">
        <f t="shared" si="65"/>
        <v/>
      </c>
      <c r="EZI6" s="97" t="str">
        <f t="shared" si="65"/>
        <v/>
      </c>
      <c r="EZJ6" s="97" t="str">
        <f t="shared" si="65"/>
        <v/>
      </c>
      <c r="EZK6" s="97" t="str">
        <f t="shared" si="65"/>
        <v/>
      </c>
      <c r="EZL6" s="97" t="str">
        <f t="shared" si="65"/>
        <v/>
      </c>
      <c r="EZM6" s="97" t="str">
        <f t="shared" si="65"/>
        <v/>
      </c>
      <c r="EZN6" s="97" t="str">
        <f t="shared" si="65"/>
        <v/>
      </c>
      <c r="EZO6" s="97" t="str">
        <f t="shared" si="65"/>
        <v/>
      </c>
      <c r="EZP6" s="97" t="str">
        <f t="shared" si="65"/>
        <v/>
      </c>
      <c r="EZQ6" s="97" t="str">
        <f t="shared" si="65"/>
        <v/>
      </c>
      <c r="EZR6" s="97" t="str">
        <f t="shared" si="65"/>
        <v/>
      </c>
      <c r="EZS6" s="97" t="str">
        <f t="shared" si="65"/>
        <v/>
      </c>
      <c r="EZT6" s="97" t="str">
        <f t="shared" si="65"/>
        <v/>
      </c>
      <c r="EZU6" s="97" t="str">
        <f t="shared" si="65"/>
        <v/>
      </c>
      <c r="EZV6" s="97" t="str">
        <f t="shared" si="65"/>
        <v/>
      </c>
      <c r="EZW6" s="97" t="str">
        <f t="shared" si="65"/>
        <v/>
      </c>
      <c r="EZX6" s="97" t="str">
        <f t="shared" si="65"/>
        <v/>
      </c>
      <c r="EZY6" s="97" t="str">
        <f t="shared" si="65"/>
        <v/>
      </c>
      <c r="EZZ6" s="97" t="str">
        <f t="shared" si="65"/>
        <v/>
      </c>
      <c r="FAA6" s="97" t="str">
        <f t="shared" si="65"/>
        <v/>
      </c>
      <c r="FAB6" s="97" t="str">
        <f t="shared" si="65"/>
        <v/>
      </c>
      <c r="FAC6" s="97" t="str">
        <f t="shared" si="65"/>
        <v/>
      </c>
      <c r="FAD6" s="97" t="str">
        <f t="shared" si="65"/>
        <v/>
      </c>
      <c r="FAE6" s="97" t="str">
        <f t="shared" si="65"/>
        <v/>
      </c>
      <c r="FAF6" s="97" t="str">
        <f t="shared" si="65"/>
        <v/>
      </c>
      <c r="FAG6" s="97" t="str">
        <f t="shared" si="65"/>
        <v/>
      </c>
      <c r="FAH6" s="97" t="str">
        <f t="shared" si="65"/>
        <v/>
      </c>
      <c r="FAI6" s="97" t="str">
        <f t="shared" si="65"/>
        <v/>
      </c>
      <c r="FAJ6" s="97" t="str">
        <f t="shared" si="65"/>
        <v/>
      </c>
      <c r="FAK6" s="97" t="str">
        <f t="shared" si="65"/>
        <v/>
      </c>
      <c r="FAL6" s="97" t="str">
        <f t="shared" si="65"/>
        <v/>
      </c>
      <c r="FAM6" s="97" t="str">
        <f t="shared" si="65"/>
        <v/>
      </c>
      <c r="FAN6" s="97" t="str">
        <f t="shared" si="65"/>
        <v/>
      </c>
      <c r="FAO6" s="97" t="str">
        <f t="shared" si="65"/>
        <v/>
      </c>
      <c r="FAP6" s="97" t="str">
        <f t="shared" si="65"/>
        <v/>
      </c>
      <c r="FAQ6" s="97" t="str">
        <f t="shared" si="65"/>
        <v/>
      </c>
      <c r="FAR6" s="97" t="str">
        <f t="shared" si="65"/>
        <v/>
      </c>
      <c r="FAS6" s="97" t="str">
        <f t="shared" si="65"/>
        <v/>
      </c>
      <c r="FAT6" s="97" t="str">
        <f t="shared" ref="FAT6:FDE6" si="66">IFERROR(AVERAGE(FAT7:FAT13),"")</f>
        <v/>
      </c>
      <c r="FAU6" s="97" t="str">
        <f t="shared" si="66"/>
        <v/>
      </c>
      <c r="FAV6" s="97" t="str">
        <f t="shared" si="66"/>
        <v/>
      </c>
      <c r="FAW6" s="97" t="str">
        <f t="shared" si="66"/>
        <v/>
      </c>
      <c r="FAX6" s="97" t="str">
        <f t="shared" si="66"/>
        <v/>
      </c>
      <c r="FAY6" s="97" t="str">
        <f t="shared" si="66"/>
        <v/>
      </c>
      <c r="FAZ6" s="97" t="str">
        <f t="shared" si="66"/>
        <v/>
      </c>
      <c r="FBA6" s="97" t="str">
        <f t="shared" si="66"/>
        <v/>
      </c>
      <c r="FBB6" s="97" t="str">
        <f t="shared" si="66"/>
        <v/>
      </c>
      <c r="FBC6" s="97" t="str">
        <f t="shared" si="66"/>
        <v/>
      </c>
      <c r="FBD6" s="97" t="str">
        <f t="shared" si="66"/>
        <v/>
      </c>
      <c r="FBE6" s="97" t="str">
        <f t="shared" si="66"/>
        <v/>
      </c>
      <c r="FBF6" s="97" t="str">
        <f t="shared" si="66"/>
        <v/>
      </c>
      <c r="FBG6" s="97" t="str">
        <f t="shared" si="66"/>
        <v/>
      </c>
      <c r="FBH6" s="97" t="str">
        <f t="shared" si="66"/>
        <v/>
      </c>
      <c r="FBI6" s="97" t="str">
        <f t="shared" si="66"/>
        <v/>
      </c>
      <c r="FBJ6" s="97" t="str">
        <f t="shared" si="66"/>
        <v/>
      </c>
      <c r="FBK6" s="97" t="str">
        <f t="shared" si="66"/>
        <v/>
      </c>
      <c r="FBL6" s="97" t="str">
        <f t="shared" si="66"/>
        <v/>
      </c>
      <c r="FBM6" s="97" t="str">
        <f t="shared" si="66"/>
        <v/>
      </c>
      <c r="FBN6" s="97" t="str">
        <f t="shared" si="66"/>
        <v/>
      </c>
      <c r="FBO6" s="97" t="str">
        <f t="shared" si="66"/>
        <v/>
      </c>
      <c r="FBP6" s="97" t="str">
        <f t="shared" si="66"/>
        <v/>
      </c>
      <c r="FBQ6" s="97" t="str">
        <f t="shared" si="66"/>
        <v/>
      </c>
      <c r="FBR6" s="97" t="str">
        <f t="shared" si="66"/>
        <v/>
      </c>
      <c r="FBS6" s="97" t="str">
        <f t="shared" si="66"/>
        <v/>
      </c>
      <c r="FBT6" s="97" t="str">
        <f t="shared" si="66"/>
        <v/>
      </c>
      <c r="FBU6" s="97" t="str">
        <f t="shared" si="66"/>
        <v/>
      </c>
      <c r="FBV6" s="97" t="str">
        <f t="shared" si="66"/>
        <v/>
      </c>
      <c r="FBW6" s="97" t="str">
        <f t="shared" si="66"/>
        <v/>
      </c>
      <c r="FBX6" s="97" t="str">
        <f t="shared" si="66"/>
        <v/>
      </c>
      <c r="FBY6" s="97" t="str">
        <f t="shared" si="66"/>
        <v/>
      </c>
      <c r="FBZ6" s="97" t="str">
        <f t="shared" si="66"/>
        <v/>
      </c>
      <c r="FCA6" s="97" t="str">
        <f t="shared" si="66"/>
        <v/>
      </c>
      <c r="FCB6" s="97" t="str">
        <f t="shared" si="66"/>
        <v/>
      </c>
      <c r="FCC6" s="97" t="str">
        <f t="shared" si="66"/>
        <v/>
      </c>
      <c r="FCD6" s="97" t="str">
        <f t="shared" si="66"/>
        <v/>
      </c>
      <c r="FCE6" s="97" t="str">
        <f t="shared" si="66"/>
        <v/>
      </c>
      <c r="FCF6" s="97" t="str">
        <f t="shared" si="66"/>
        <v/>
      </c>
      <c r="FCG6" s="97" t="str">
        <f t="shared" si="66"/>
        <v/>
      </c>
      <c r="FCH6" s="97" t="str">
        <f t="shared" si="66"/>
        <v/>
      </c>
      <c r="FCI6" s="97" t="str">
        <f t="shared" si="66"/>
        <v/>
      </c>
      <c r="FCJ6" s="97" t="str">
        <f t="shared" si="66"/>
        <v/>
      </c>
      <c r="FCK6" s="97" t="str">
        <f t="shared" si="66"/>
        <v/>
      </c>
      <c r="FCL6" s="97" t="str">
        <f t="shared" si="66"/>
        <v/>
      </c>
      <c r="FCM6" s="97" t="str">
        <f t="shared" si="66"/>
        <v/>
      </c>
      <c r="FCN6" s="97" t="str">
        <f t="shared" si="66"/>
        <v/>
      </c>
      <c r="FCO6" s="97" t="str">
        <f t="shared" si="66"/>
        <v/>
      </c>
      <c r="FCP6" s="97" t="str">
        <f t="shared" si="66"/>
        <v/>
      </c>
      <c r="FCQ6" s="97" t="str">
        <f t="shared" si="66"/>
        <v/>
      </c>
      <c r="FCR6" s="97" t="str">
        <f t="shared" si="66"/>
        <v/>
      </c>
      <c r="FCS6" s="97" t="str">
        <f t="shared" si="66"/>
        <v/>
      </c>
      <c r="FCT6" s="97" t="str">
        <f t="shared" si="66"/>
        <v/>
      </c>
      <c r="FCU6" s="97" t="str">
        <f t="shared" si="66"/>
        <v/>
      </c>
      <c r="FCV6" s="97" t="str">
        <f t="shared" si="66"/>
        <v/>
      </c>
      <c r="FCW6" s="97" t="str">
        <f t="shared" si="66"/>
        <v/>
      </c>
      <c r="FCX6" s="97" t="str">
        <f t="shared" si="66"/>
        <v/>
      </c>
      <c r="FCY6" s="97" t="str">
        <f t="shared" si="66"/>
        <v/>
      </c>
      <c r="FCZ6" s="97" t="str">
        <f t="shared" si="66"/>
        <v/>
      </c>
      <c r="FDA6" s="97" t="str">
        <f t="shared" si="66"/>
        <v/>
      </c>
      <c r="FDB6" s="97" t="str">
        <f t="shared" si="66"/>
        <v/>
      </c>
      <c r="FDC6" s="97" t="str">
        <f t="shared" si="66"/>
        <v/>
      </c>
      <c r="FDD6" s="97" t="str">
        <f t="shared" si="66"/>
        <v/>
      </c>
      <c r="FDE6" s="97" t="str">
        <f t="shared" si="66"/>
        <v/>
      </c>
      <c r="FDF6" s="97" t="str">
        <f t="shared" ref="FDF6:FFQ6" si="67">IFERROR(AVERAGE(FDF7:FDF13),"")</f>
        <v/>
      </c>
      <c r="FDG6" s="97" t="str">
        <f t="shared" si="67"/>
        <v/>
      </c>
      <c r="FDH6" s="97" t="str">
        <f t="shared" si="67"/>
        <v/>
      </c>
      <c r="FDI6" s="97" t="str">
        <f t="shared" si="67"/>
        <v/>
      </c>
      <c r="FDJ6" s="97" t="str">
        <f t="shared" si="67"/>
        <v/>
      </c>
      <c r="FDK6" s="97" t="str">
        <f t="shared" si="67"/>
        <v/>
      </c>
      <c r="FDL6" s="97" t="str">
        <f t="shared" si="67"/>
        <v/>
      </c>
      <c r="FDM6" s="97" t="str">
        <f t="shared" si="67"/>
        <v/>
      </c>
      <c r="FDN6" s="97" t="str">
        <f t="shared" si="67"/>
        <v/>
      </c>
      <c r="FDO6" s="97" t="str">
        <f t="shared" si="67"/>
        <v/>
      </c>
      <c r="FDP6" s="97" t="str">
        <f t="shared" si="67"/>
        <v/>
      </c>
      <c r="FDQ6" s="97" t="str">
        <f t="shared" si="67"/>
        <v/>
      </c>
      <c r="FDR6" s="97" t="str">
        <f t="shared" si="67"/>
        <v/>
      </c>
      <c r="FDS6" s="97" t="str">
        <f t="shared" si="67"/>
        <v/>
      </c>
      <c r="FDT6" s="97" t="str">
        <f t="shared" si="67"/>
        <v/>
      </c>
      <c r="FDU6" s="97" t="str">
        <f t="shared" si="67"/>
        <v/>
      </c>
      <c r="FDV6" s="97" t="str">
        <f t="shared" si="67"/>
        <v/>
      </c>
      <c r="FDW6" s="97" t="str">
        <f t="shared" si="67"/>
        <v/>
      </c>
      <c r="FDX6" s="97" t="str">
        <f t="shared" si="67"/>
        <v/>
      </c>
      <c r="FDY6" s="97" t="str">
        <f t="shared" si="67"/>
        <v/>
      </c>
      <c r="FDZ6" s="97" t="str">
        <f t="shared" si="67"/>
        <v/>
      </c>
      <c r="FEA6" s="97" t="str">
        <f t="shared" si="67"/>
        <v/>
      </c>
      <c r="FEB6" s="97" t="str">
        <f t="shared" si="67"/>
        <v/>
      </c>
      <c r="FEC6" s="97" t="str">
        <f t="shared" si="67"/>
        <v/>
      </c>
      <c r="FED6" s="97" t="str">
        <f t="shared" si="67"/>
        <v/>
      </c>
      <c r="FEE6" s="97" t="str">
        <f t="shared" si="67"/>
        <v/>
      </c>
      <c r="FEF6" s="97" t="str">
        <f t="shared" si="67"/>
        <v/>
      </c>
      <c r="FEG6" s="97" t="str">
        <f t="shared" si="67"/>
        <v/>
      </c>
      <c r="FEH6" s="97" t="str">
        <f t="shared" si="67"/>
        <v/>
      </c>
      <c r="FEI6" s="97" t="str">
        <f t="shared" si="67"/>
        <v/>
      </c>
      <c r="FEJ6" s="97" t="str">
        <f t="shared" si="67"/>
        <v/>
      </c>
      <c r="FEK6" s="97" t="str">
        <f t="shared" si="67"/>
        <v/>
      </c>
      <c r="FEL6" s="97" t="str">
        <f t="shared" si="67"/>
        <v/>
      </c>
      <c r="FEM6" s="97" t="str">
        <f t="shared" si="67"/>
        <v/>
      </c>
      <c r="FEN6" s="97" t="str">
        <f t="shared" si="67"/>
        <v/>
      </c>
      <c r="FEO6" s="97" t="str">
        <f t="shared" si="67"/>
        <v/>
      </c>
      <c r="FEP6" s="97" t="str">
        <f t="shared" si="67"/>
        <v/>
      </c>
      <c r="FEQ6" s="97" t="str">
        <f t="shared" si="67"/>
        <v/>
      </c>
      <c r="FER6" s="97" t="str">
        <f t="shared" si="67"/>
        <v/>
      </c>
      <c r="FES6" s="97" t="str">
        <f t="shared" si="67"/>
        <v/>
      </c>
      <c r="FET6" s="97" t="str">
        <f t="shared" si="67"/>
        <v/>
      </c>
      <c r="FEU6" s="97" t="str">
        <f t="shared" si="67"/>
        <v/>
      </c>
      <c r="FEV6" s="97" t="str">
        <f t="shared" si="67"/>
        <v/>
      </c>
      <c r="FEW6" s="97" t="str">
        <f t="shared" si="67"/>
        <v/>
      </c>
      <c r="FEX6" s="97" t="str">
        <f t="shared" si="67"/>
        <v/>
      </c>
      <c r="FEY6" s="97" t="str">
        <f t="shared" si="67"/>
        <v/>
      </c>
      <c r="FEZ6" s="97" t="str">
        <f t="shared" si="67"/>
        <v/>
      </c>
      <c r="FFA6" s="97" t="str">
        <f t="shared" si="67"/>
        <v/>
      </c>
      <c r="FFB6" s="97" t="str">
        <f t="shared" si="67"/>
        <v/>
      </c>
      <c r="FFC6" s="97" t="str">
        <f t="shared" si="67"/>
        <v/>
      </c>
      <c r="FFD6" s="97" t="str">
        <f t="shared" si="67"/>
        <v/>
      </c>
      <c r="FFE6" s="97" t="str">
        <f t="shared" si="67"/>
        <v/>
      </c>
      <c r="FFF6" s="97" t="str">
        <f t="shared" si="67"/>
        <v/>
      </c>
      <c r="FFG6" s="97" t="str">
        <f t="shared" si="67"/>
        <v/>
      </c>
      <c r="FFH6" s="97" t="str">
        <f t="shared" si="67"/>
        <v/>
      </c>
      <c r="FFI6" s="97" t="str">
        <f t="shared" si="67"/>
        <v/>
      </c>
      <c r="FFJ6" s="97" t="str">
        <f t="shared" si="67"/>
        <v/>
      </c>
      <c r="FFK6" s="97" t="str">
        <f t="shared" si="67"/>
        <v/>
      </c>
      <c r="FFL6" s="97" t="str">
        <f t="shared" si="67"/>
        <v/>
      </c>
      <c r="FFM6" s="97" t="str">
        <f t="shared" si="67"/>
        <v/>
      </c>
      <c r="FFN6" s="97" t="str">
        <f t="shared" si="67"/>
        <v/>
      </c>
      <c r="FFO6" s="97" t="str">
        <f t="shared" si="67"/>
        <v/>
      </c>
      <c r="FFP6" s="97" t="str">
        <f t="shared" si="67"/>
        <v/>
      </c>
      <c r="FFQ6" s="97" t="str">
        <f t="shared" si="67"/>
        <v/>
      </c>
      <c r="FFR6" s="97" t="str">
        <f t="shared" ref="FFR6:FIC6" si="68">IFERROR(AVERAGE(FFR7:FFR13),"")</f>
        <v/>
      </c>
      <c r="FFS6" s="97" t="str">
        <f t="shared" si="68"/>
        <v/>
      </c>
      <c r="FFT6" s="97" t="str">
        <f t="shared" si="68"/>
        <v/>
      </c>
      <c r="FFU6" s="97" t="str">
        <f t="shared" si="68"/>
        <v/>
      </c>
      <c r="FFV6" s="97" t="str">
        <f t="shared" si="68"/>
        <v/>
      </c>
      <c r="FFW6" s="97" t="str">
        <f t="shared" si="68"/>
        <v/>
      </c>
      <c r="FFX6" s="97" t="str">
        <f t="shared" si="68"/>
        <v/>
      </c>
      <c r="FFY6" s="97" t="str">
        <f t="shared" si="68"/>
        <v/>
      </c>
      <c r="FFZ6" s="97" t="str">
        <f t="shared" si="68"/>
        <v/>
      </c>
      <c r="FGA6" s="97" t="str">
        <f t="shared" si="68"/>
        <v/>
      </c>
      <c r="FGB6" s="97" t="str">
        <f t="shared" si="68"/>
        <v/>
      </c>
      <c r="FGC6" s="97" t="str">
        <f t="shared" si="68"/>
        <v/>
      </c>
      <c r="FGD6" s="97" t="str">
        <f t="shared" si="68"/>
        <v/>
      </c>
      <c r="FGE6" s="97" t="str">
        <f t="shared" si="68"/>
        <v/>
      </c>
      <c r="FGF6" s="97" t="str">
        <f t="shared" si="68"/>
        <v/>
      </c>
      <c r="FGG6" s="97" t="str">
        <f t="shared" si="68"/>
        <v/>
      </c>
      <c r="FGH6" s="97" t="str">
        <f t="shared" si="68"/>
        <v/>
      </c>
      <c r="FGI6" s="97" t="str">
        <f t="shared" si="68"/>
        <v/>
      </c>
      <c r="FGJ6" s="97" t="str">
        <f t="shared" si="68"/>
        <v/>
      </c>
      <c r="FGK6" s="97" t="str">
        <f t="shared" si="68"/>
        <v/>
      </c>
      <c r="FGL6" s="97" t="str">
        <f t="shared" si="68"/>
        <v/>
      </c>
      <c r="FGM6" s="97" t="str">
        <f t="shared" si="68"/>
        <v/>
      </c>
      <c r="FGN6" s="97" t="str">
        <f t="shared" si="68"/>
        <v/>
      </c>
      <c r="FGO6" s="97" t="str">
        <f t="shared" si="68"/>
        <v/>
      </c>
      <c r="FGP6" s="97" t="str">
        <f t="shared" si="68"/>
        <v/>
      </c>
      <c r="FGQ6" s="97" t="str">
        <f t="shared" si="68"/>
        <v/>
      </c>
      <c r="FGR6" s="97" t="str">
        <f t="shared" si="68"/>
        <v/>
      </c>
      <c r="FGS6" s="97" t="str">
        <f t="shared" si="68"/>
        <v/>
      </c>
      <c r="FGT6" s="97" t="str">
        <f t="shared" si="68"/>
        <v/>
      </c>
      <c r="FGU6" s="97" t="str">
        <f t="shared" si="68"/>
        <v/>
      </c>
      <c r="FGV6" s="97" t="str">
        <f t="shared" si="68"/>
        <v/>
      </c>
      <c r="FGW6" s="97" t="str">
        <f t="shared" si="68"/>
        <v/>
      </c>
      <c r="FGX6" s="97" t="str">
        <f t="shared" si="68"/>
        <v/>
      </c>
      <c r="FGY6" s="97" t="str">
        <f t="shared" si="68"/>
        <v/>
      </c>
      <c r="FGZ6" s="97" t="str">
        <f t="shared" si="68"/>
        <v/>
      </c>
      <c r="FHA6" s="97" t="str">
        <f t="shared" si="68"/>
        <v/>
      </c>
      <c r="FHB6" s="97" t="str">
        <f t="shared" si="68"/>
        <v/>
      </c>
      <c r="FHC6" s="97" t="str">
        <f t="shared" si="68"/>
        <v/>
      </c>
      <c r="FHD6" s="97" t="str">
        <f t="shared" si="68"/>
        <v/>
      </c>
      <c r="FHE6" s="97" t="str">
        <f t="shared" si="68"/>
        <v/>
      </c>
      <c r="FHF6" s="97" t="str">
        <f t="shared" si="68"/>
        <v/>
      </c>
      <c r="FHG6" s="97" t="str">
        <f t="shared" si="68"/>
        <v/>
      </c>
      <c r="FHH6" s="97" t="str">
        <f t="shared" si="68"/>
        <v/>
      </c>
      <c r="FHI6" s="97" t="str">
        <f t="shared" si="68"/>
        <v/>
      </c>
      <c r="FHJ6" s="97" t="str">
        <f t="shared" si="68"/>
        <v/>
      </c>
      <c r="FHK6" s="97" t="str">
        <f t="shared" si="68"/>
        <v/>
      </c>
      <c r="FHL6" s="97" t="str">
        <f t="shared" si="68"/>
        <v/>
      </c>
      <c r="FHM6" s="97" t="str">
        <f t="shared" si="68"/>
        <v/>
      </c>
      <c r="FHN6" s="97" t="str">
        <f t="shared" si="68"/>
        <v/>
      </c>
      <c r="FHO6" s="97" t="str">
        <f t="shared" si="68"/>
        <v/>
      </c>
      <c r="FHP6" s="97" t="str">
        <f t="shared" si="68"/>
        <v/>
      </c>
      <c r="FHQ6" s="97" t="str">
        <f t="shared" si="68"/>
        <v/>
      </c>
      <c r="FHR6" s="97" t="str">
        <f t="shared" si="68"/>
        <v/>
      </c>
      <c r="FHS6" s="97" t="str">
        <f t="shared" si="68"/>
        <v/>
      </c>
      <c r="FHT6" s="97" t="str">
        <f t="shared" si="68"/>
        <v/>
      </c>
      <c r="FHU6" s="97" t="str">
        <f t="shared" si="68"/>
        <v/>
      </c>
      <c r="FHV6" s="97" t="str">
        <f t="shared" si="68"/>
        <v/>
      </c>
      <c r="FHW6" s="97" t="str">
        <f t="shared" si="68"/>
        <v/>
      </c>
      <c r="FHX6" s="97" t="str">
        <f t="shared" si="68"/>
        <v/>
      </c>
      <c r="FHY6" s="97" t="str">
        <f t="shared" si="68"/>
        <v/>
      </c>
      <c r="FHZ6" s="97" t="str">
        <f t="shared" si="68"/>
        <v/>
      </c>
      <c r="FIA6" s="97" t="str">
        <f t="shared" si="68"/>
        <v/>
      </c>
      <c r="FIB6" s="97" t="str">
        <f t="shared" si="68"/>
        <v/>
      </c>
      <c r="FIC6" s="97" t="str">
        <f t="shared" si="68"/>
        <v/>
      </c>
      <c r="FID6" s="97" t="str">
        <f t="shared" ref="FID6:FKO6" si="69">IFERROR(AVERAGE(FID7:FID13),"")</f>
        <v/>
      </c>
      <c r="FIE6" s="97" t="str">
        <f t="shared" si="69"/>
        <v/>
      </c>
      <c r="FIF6" s="97" t="str">
        <f t="shared" si="69"/>
        <v/>
      </c>
      <c r="FIG6" s="97" t="str">
        <f t="shared" si="69"/>
        <v/>
      </c>
      <c r="FIH6" s="97" t="str">
        <f t="shared" si="69"/>
        <v/>
      </c>
      <c r="FII6" s="97" t="str">
        <f t="shared" si="69"/>
        <v/>
      </c>
      <c r="FIJ6" s="97" t="str">
        <f t="shared" si="69"/>
        <v/>
      </c>
      <c r="FIK6" s="97" t="str">
        <f t="shared" si="69"/>
        <v/>
      </c>
      <c r="FIL6" s="97" t="str">
        <f t="shared" si="69"/>
        <v/>
      </c>
      <c r="FIM6" s="97" t="str">
        <f t="shared" si="69"/>
        <v/>
      </c>
      <c r="FIN6" s="97" t="str">
        <f t="shared" si="69"/>
        <v/>
      </c>
      <c r="FIO6" s="97" t="str">
        <f t="shared" si="69"/>
        <v/>
      </c>
      <c r="FIP6" s="97" t="str">
        <f t="shared" si="69"/>
        <v/>
      </c>
      <c r="FIQ6" s="97" t="str">
        <f t="shared" si="69"/>
        <v/>
      </c>
      <c r="FIR6" s="97" t="str">
        <f t="shared" si="69"/>
        <v/>
      </c>
      <c r="FIS6" s="97" t="str">
        <f t="shared" si="69"/>
        <v/>
      </c>
      <c r="FIT6" s="97" t="str">
        <f t="shared" si="69"/>
        <v/>
      </c>
      <c r="FIU6" s="97" t="str">
        <f t="shared" si="69"/>
        <v/>
      </c>
      <c r="FIV6" s="97" t="str">
        <f t="shared" si="69"/>
        <v/>
      </c>
      <c r="FIW6" s="97" t="str">
        <f t="shared" si="69"/>
        <v/>
      </c>
      <c r="FIX6" s="97" t="str">
        <f t="shared" si="69"/>
        <v/>
      </c>
      <c r="FIY6" s="97" t="str">
        <f t="shared" si="69"/>
        <v/>
      </c>
      <c r="FIZ6" s="97" t="str">
        <f t="shared" si="69"/>
        <v/>
      </c>
      <c r="FJA6" s="97" t="str">
        <f t="shared" si="69"/>
        <v/>
      </c>
      <c r="FJB6" s="97" t="str">
        <f t="shared" si="69"/>
        <v/>
      </c>
      <c r="FJC6" s="97" t="str">
        <f t="shared" si="69"/>
        <v/>
      </c>
      <c r="FJD6" s="97" t="str">
        <f t="shared" si="69"/>
        <v/>
      </c>
      <c r="FJE6" s="97" t="str">
        <f t="shared" si="69"/>
        <v/>
      </c>
      <c r="FJF6" s="97" t="str">
        <f t="shared" si="69"/>
        <v/>
      </c>
      <c r="FJG6" s="97" t="str">
        <f t="shared" si="69"/>
        <v/>
      </c>
      <c r="FJH6" s="97" t="str">
        <f t="shared" si="69"/>
        <v/>
      </c>
      <c r="FJI6" s="97" t="str">
        <f t="shared" si="69"/>
        <v/>
      </c>
      <c r="FJJ6" s="97" t="str">
        <f t="shared" si="69"/>
        <v/>
      </c>
      <c r="FJK6" s="97" t="str">
        <f t="shared" si="69"/>
        <v/>
      </c>
      <c r="FJL6" s="97" t="str">
        <f t="shared" si="69"/>
        <v/>
      </c>
      <c r="FJM6" s="97" t="str">
        <f t="shared" si="69"/>
        <v/>
      </c>
      <c r="FJN6" s="97" t="str">
        <f t="shared" si="69"/>
        <v/>
      </c>
      <c r="FJO6" s="97" t="str">
        <f t="shared" si="69"/>
        <v/>
      </c>
      <c r="FJP6" s="97" t="str">
        <f t="shared" si="69"/>
        <v/>
      </c>
      <c r="FJQ6" s="97" t="str">
        <f t="shared" si="69"/>
        <v/>
      </c>
      <c r="FJR6" s="97" t="str">
        <f t="shared" si="69"/>
        <v/>
      </c>
      <c r="FJS6" s="97" t="str">
        <f t="shared" si="69"/>
        <v/>
      </c>
      <c r="FJT6" s="97" t="str">
        <f t="shared" si="69"/>
        <v/>
      </c>
      <c r="FJU6" s="97" t="str">
        <f t="shared" si="69"/>
        <v/>
      </c>
      <c r="FJV6" s="97" t="str">
        <f t="shared" si="69"/>
        <v/>
      </c>
      <c r="FJW6" s="97" t="str">
        <f t="shared" si="69"/>
        <v/>
      </c>
      <c r="FJX6" s="97" t="str">
        <f t="shared" si="69"/>
        <v/>
      </c>
      <c r="FJY6" s="97" t="str">
        <f t="shared" si="69"/>
        <v/>
      </c>
      <c r="FJZ6" s="97" t="str">
        <f t="shared" si="69"/>
        <v/>
      </c>
      <c r="FKA6" s="97" t="str">
        <f t="shared" si="69"/>
        <v/>
      </c>
      <c r="FKB6" s="97" t="str">
        <f t="shared" si="69"/>
        <v/>
      </c>
      <c r="FKC6" s="97" t="str">
        <f t="shared" si="69"/>
        <v/>
      </c>
      <c r="FKD6" s="97" t="str">
        <f t="shared" si="69"/>
        <v/>
      </c>
      <c r="FKE6" s="97" t="str">
        <f t="shared" si="69"/>
        <v/>
      </c>
      <c r="FKF6" s="97" t="str">
        <f t="shared" si="69"/>
        <v/>
      </c>
      <c r="FKG6" s="97" t="str">
        <f t="shared" si="69"/>
        <v/>
      </c>
      <c r="FKH6" s="97" t="str">
        <f t="shared" si="69"/>
        <v/>
      </c>
      <c r="FKI6" s="97" t="str">
        <f t="shared" si="69"/>
        <v/>
      </c>
      <c r="FKJ6" s="97" t="str">
        <f t="shared" si="69"/>
        <v/>
      </c>
      <c r="FKK6" s="97" t="str">
        <f t="shared" si="69"/>
        <v/>
      </c>
      <c r="FKL6" s="97" t="str">
        <f t="shared" si="69"/>
        <v/>
      </c>
      <c r="FKM6" s="97" t="str">
        <f t="shared" si="69"/>
        <v/>
      </c>
      <c r="FKN6" s="97" t="str">
        <f t="shared" si="69"/>
        <v/>
      </c>
      <c r="FKO6" s="97" t="str">
        <f t="shared" si="69"/>
        <v/>
      </c>
      <c r="FKP6" s="97" t="str">
        <f t="shared" ref="FKP6:FNA6" si="70">IFERROR(AVERAGE(FKP7:FKP13),"")</f>
        <v/>
      </c>
      <c r="FKQ6" s="97" t="str">
        <f t="shared" si="70"/>
        <v/>
      </c>
      <c r="FKR6" s="97" t="str">
        <f t="shared" si="70"/>
        <v/>
      </c>
      <c r="FKS6" s="97" t="str">
        <f t="shared" si="70"/>
        <v/>
      </c>
      <c r="FKT6" s="97" t="str">
        <f t="shared" si="70"/>
        <v/>
      </c>
      <c r="FKU6" s="97" t="str">
        <f t="shared" si="70"/>
        <v/>
      </c>
      <c r="FKV6" s="97" t="str">
        <f t="shared" si="70"/>
        <v/>
      </c>
      <c r="FKW6" s="97" t="str">
        <f t="shared" si="70"/>
        <v/>
      </c>
      <c r="FKX6" s="97" t="str">
        <f t="shared" si="70"/>
        <v/>
      </c>
      <c r="FKY6" s="97" t="str">
        <f t="shared" si="70"/>
        <v/>
      </c>
      <c r="FKZ6" s="97" t="str">
        <f t="shared" si="70"/>
        <v/>
      </c>
      <c r="FLA6" s="97" t="str">
        <f t="shared" si="70"/>
        <v/>
      </c>
      <c r="FLB6" s="97" t="str">
        <f t="shared" si="70"/>
        <v/>
      </c>
      <c r="FLC6" s="97" t="str">
        <f t="shared" si="70"/>
        <v/>
      </c>
      <c r="FLD6" s="97" t="str">
        <f t="shared" si="70"/>
        <v/>
      </c>
      <c r="FLE6" s="97" t="str">
        <f t="shared" si="70"/>
        <v/>
      </c>
      <c r="FLF6" s="97" t="str">
        <f t="shared" si="70"/>
        <v/>
      </c>
      <c r="FLG6" s="97" t="str">
        <f t="shared" si="70"/>
        <v/>
      </c>
      <c r="FLH6" s="97" t="str">
        <f t="shared" si="70"/>
        <v/>
      </c>
      <c r="FLI6" s="97" t="str">
        <f t="shared" si="70"/>
        <v/>
      </c>
      <c r="FLJ6" s="97" t="str">
        <f t="shared" si="70"/>
        <v/>
      </c>
      <c r="FLK6" s="97" t="str">
        <f t="shared" si="70"/>
        <v/>
      </c>
      <c r="FLL6" s="97" t="str">
        <f t="shared" si="70"/>
        <v/>
      </c>
      <c r="FLM6" s="97" t="str">
        <f t="shared" si="70"/>
        <v/>
      </c>
      <c r="FLN6" s="97" t="str">
        <f t="shared" si="70"/>
        <v/>
      </c>
      <c r="FLO6" s="97" t="str">
        <f t="shared" si="70"/>
        <v/>
      </c>
      <c r="FLP6" s="97" t="str">
        <f t="shared" si="70"/>
        <v/>
      </c>
      <c r="FLQ6" s="97" t="str">
        <f t="shared" si="70"/>
        <v/>
      </c>
      <c r="FLR6" s="97" t="str">
        <f t="shared" si="70"/>
        <v/>
      </c>
      <c r="FLS6" s="97" t="str">
        <f t="shared" si="70"/>
        <v/>
      </c>
      <c r="FLT6" s="97" t="str">
        <f t="shared" si="70"/>
        <v/>
      </c>
      <c r="FLU6" s="97" t="str">
        <f t="shared" si="70"/>
        <v/>
      </c>
      <c r="FLV6" s="97" t="str">
        <f t="shared" si="70"/>
        <v/>
      </c>
      <c r="FLW6" s="97" t="str">
        <f t="shared" si="70"/>
        <v/>
      </c>
      <c r="FLX6" s="97" t="str">
        <f t="shared" si="70"/>
        <v/>
      </c>
      <c r="FLY6" s="97" t="str">
        <f t="shared" si="70"/>
        <v/>
      </c>
      <c r="FLZ6" s="97" t="str">
        <f t="shared" si="70"/>
        <v/>
      </c>
      <c r="FMA6" s="97" t="str">
        <f t="shared" si="70"/>
        <v/>
      </c>
      <c r="FMB6" s="97" t="str">
        <f t="shared" si="70"/>
        <v/>
      </c>
      <c r="FMC6" s="97" t="str">
        <f t="shared" si="70"/>
        <v/>
      </c>
      <c r="FMD6" s="97" t="str">
        <f t="shared" si="70"/>
        <v/>
      </c>
      <c r="FME6" s="97" t="str">
        <f t="shared" si="70"/>
        <v/>
      </c>
      <c r="FMF6" s="97" t="str">
        <f t="shared" si="70"/>
        <v/>
      </c>
      <c r="FMG6" s="97" t="str">
        <f t="shared" si="70"/>
        <v/>
      </c>
      <c r="FMH6" s="97" t="str">
        <f t="shared" si="70"/>
        <v/>
      </c>
      <c r="FMI6" s="97" t="str">
        <f t="shared" si="70"/>
        <v/>
      </c>
      <c r="FMJ6" s="97" t="str">
        <f t="shared" si="70"/>
        <v/>
      </c>
      <c r="FMK6" s="97" t="str">
        <f t="shared" si="70"/>
        <v/>
      </c>
      <c r="FML6" s="97" t="str">
        <f t="shared" si="70"/>
        <v/>
      </c>
      <c r="FMM6" s="97" t="str">
        <f t="shared" si="70"/>
        <v/>
      </c>
      <c r="FMN6" s="97" t="str">
        <f t="shared" si="70"/>
        <v/>
      </c>
      <c r="FMO6" s="97" t="str">
        <f t="shared" si="70"/>
        <v/>
      </c>
      <c r="FMP6" s="97" t="str">
        <f t="shared" si="70"/>
        <v/>
      </c>
      <c r="FMQ6" s="97" t="str">
        <f t="shared" si="70"/>
        <v/>
      </c>
      <c r="FMR6" s="97" t="str">
        <f t="shared" si="70"/>
        <v/>
      </c>
      <c r="FMS6" s="97" t="str">
        <f t="shared" si="70"/>
        <v/>
      </c>
      <c r="FMT6" s="97" t="str">
        <f t="shared" si="70"/>
        <v/>
      </c>
      <c r="FMU6" s="97" t="str">
        <f t="shared" si="70"/>
        <v/>
      </c>
      <c r="FMV6" s="97" t="str">
        <f t="shared" si="70"/>
        <v/>
      </c>
      <c r="FMW6" s="97" t="str">
        <f t="shared" si="70"/>
        <v/>
      </c>
      <c r="FMX6" s="97" t="str">
        <f t="shared" si="70"/>
        <v/>
      </c>
      <c r="FMY6" s="97" t="str">
        <f t="shared" si="70"/>
        <v/>
      </c>
      <c r="FMZ6" s="97" t="str">
        <f t="shared" si="70"/>
        <v/>
      </c>
      <c r="FNA6" s="97" t="str">
        <f t="shared" si="70"/>
        <v/>
      </c>
      <c r="FNB6" s="97" t="str">
        <f t="shared" ref="FNB6:FPM6" si="71">IFERROR(AVERAGE(FNB7:FNB13),"")</f>
        <v/>
      </c>
      <c r="FNC6" s="97" t="str">
        <f t="shared" si="71"/>
        <v/>
      </c>
      <c r="FND6" s="97" t="str">
        <f t="shared" si="71"/>
        <v/>
      </c>
      <c r="FNE6" s="97" t="str">
        <f t="shared" si="71"/>
        <v/>
      </c>
      <c r="FNF6" s="97" t="str">
        <f t="shared" si="71"/>
        <v/>
      </c>
      <c r="FNG6" s="97" t="str">
        <f t="shared" si="71"/>
        <v/>
      </c>
      <c r="FNH6" s="97" t="str">
        <f t="shared" si="71"/>
        <v/>
      </c>
      <c r="FNI6" s="97" t="str">
        <f t="shared" si="71"/>
        <v/>
      </c>
      <c r="FNJ6" s="97" t="str">
        <f t="shared" si="71"/>
        <v/>
      </c>
      <c r="FNK6" s="97" t="str">
        <f t="shared" si="71"/>
        <v/>
      </c>
      <c r="FNL6" s="97" t="str">
        <f t="shared" si="71"/>
        <v/>
      </c>
      <c r="FNM6" s="97" t="str">
        <f t="shared" si="71"/>
        <v/>
      </c>
      <c r="FNN6" s="97" t="str">
        <f t="shared" si="71"/>
        <v/>
      </c>
      <c r="FNO6" s="97" t="str">
        <f t="shared" si="71"/>
        <v/>
      </c>
      <c r="FNP6" s="97" t="str">
        <f t="shared" si="71"/>
        <v/>
      </c>
      <c r="FNQ6" s="97" t="str">
        <f t="shared" si="71"/>
        <v/>
      </c>
      <c r="FNR6" s="97" t="str">
        <f t="shared" si="71"/>
        <v/>
      </c>
      <c r="FNS6" s="97" t="str">
        <f t="shared" si="71"/>
        <v/>
      </c>
      <c r="FNT6" s="97" t="str">
        <f t="shared" si="71"/>
        <v/>
      </c>
      <c r="FNU6" s="97" t="str">
        <f t="shared" si="71"/>
        <v/>
      </c>
      <c r="FNV6" s="97" t="str">
        <f t="shared" si="71"/>
        <v/>
      </c>
      <c r="FNW6" s="97" t="str">
        <f t="shared" si="71"/>
        <v/>
      </c>
      <c r="FNX6" s="97" t="str">
        <f t="shared" si="71"/>
        <v/>
      </c>
      <c r="FNY6" s="97" t="str">
        <f t="shared" si="71"/>
        <v/>
      </c>
      <c r="FNZ6" s="97" t="str">
        <f t="shared" si="71"/>
        <v/>
      </c>
      <c r="FOA6" s="97" t="str">
        <f t="shared" si="71"/>
        <v/>
      </c>
      <c r="FOB6" s="97" t="str">
        <f t="shared" si="71"/>
        <v/>
      </c>
      <c r="FOC6" s="97" t="str">
        <f t="shared" si="71"/>
        <v/>
      </c>
      <c r="FOD6" s="97" t="str">
        <f t="shared" si="71"/>
        <v/>
      </c>
      <c r="FOE6" s="97" t="str">
        <f t="shared" si="71"/>
        <v/>
      </c>
      <c r="FOF6" s="97" t="str">
        <f t="shared" si="71"/>
        <v/>
      </c>
      <c r="FOG6" s="97" t="str">
        <f t="shared" si="71"/>
        <v/>
      </c>
      <c r="FOH6" s="97" t="str">
        <f t="shared" si="71"/>
        <v/>
      </c>
      <c r="FOI6" s="97" t="str">
        <f t="shared" si="71"/>
        <v/>
      </c>
      <c r="FOJ6" s="97" t="str">
        <f t="shared" si="71"/>
        <v/>
      </c>
      <c r="FOK6" s="97" t="str">
        <f t="shared" si="71"/>
        <v/>
      </c>
      <c r="FOL6" s="97" t="str">
        <f t="shared" si="71"/>
        <v/>
      </c>
      <c r="FOM6" s="97" t="str">
        <f t="shared" si="71"/>
        <v/>
      </c>
      <c r="FON6" s="97" t="str">
        <f t="shared" si="71"/>
        <v/>
      </c>
      <c r="FOO6" s="97" t="str">
        <f t="shared" si="71"/>
        <v/>
      </c>
      <c r="FOP6" s="97" t="str">
        <f t="shared" si="71"/>
        <v/>
      </c>
      <c r="FOQ6" s="97" t="str">
        <f t="shared" si="71"/>
        <v/>
      </c>
      <c r="FOR6" s="97" t="str">
        <f t="shared" si="71"/>
        <v/>
      </c>
      <c r="FOS6" s="97" t="str">
        <f t="shared" si="71"/>
        <v/>
      </c>
      <c r="FOT6" s="97" t="str">
        <f t="shared" si="71"/>
        <v/>
      </c>
      <c r="FOU6" s="97" t="str">
        <f t="shared" si="71"/>
        <v/>
      </c>
      <c r="FOV6" s="97" t="str">
        <f t="shared" si="71"/>
        <v/>
      </c>
      <c r="FOW6" s="97" t="str">
        <f t="shared" si="71"/>
        <v/>
      </c>
      <c r="FOX6" s="97" t="str">
        <f t="shared" si="71"/>
        <v/>
      </c>
      <c r="FOY6" s="97" t="str">
        <f t="shared" si="71"/>
        <v/>
      </c>
      <c r="FOZ6" s="97" t="str">
        <f t="shared" si="71"/>
        <v/>
      </c>
      <c r="FPA6" s="97" t="str">
        <f t="shared" si="71"/>
        <v/>
      </c>
      <c r="FPB6" s="97" t="str">
        <f t="shared" si="71"/>
        <v/>
      </c>
      <c r="FPC6" s="97" t="str">
        <f t="shared" si="71"/>
        <v/>
      </c>
      <c r="FPD6" s="97" t="str">
        <f t="shared" si="71"/>
        <v/>
      </c>
      <c r="FPE6" s="97" t="str">
        <f t="shared" si="71"/>
        <v/>
      </c>
      <c r="FPF6" s="97" t="str">
        <f t="shared" si="71"/>
        <v/>
      </c>
      <c r="FPG6" s="97" t="str">
        <f t="shared" si="71"/>
        <v/>
      </c>
      <c r="FPH6" s="97" t="str">
        <f t="shared" si="71"/>
        <v/>
      </c>
      <c r="FPI6" s="97" t="str">
        <f t="shared" si="71"/>
        <v/>
      </c>
      <c r="FPJ6" s="97" t="str">
        <f t="shared" si="71"/>
        <v/>
      </c>
      <c r="FPK6" s="97" t="str">
        <f t="shared" si="71"/>
        <v/>
      </c>
      <c r="FPL6" s="97" t="str">
        <f t="shared" si="71"/>
        <v/>
      </c>
      <c r="FPM6" s="97" t="str">
        <f t="shared" si="71"/>
        <v/>
      </c>
      <c r="FPN6" s="97" t="str">
        <f t="shared" ref="FPN6:FRY6" si="72">IFERROR(AVERAGE(FPN7:FPN13),"")</f>
        <v/>
      </c>
      <c r="FPO6" s="97" t="str">
        <f t="shared" si="72"/>
        <v/>
      </c>
      <c r="FPP6" s="97" t="str">
        <f t="shared" si="72"/>
        <v/>
      </c>
      <c r="FPQ6" s="97" t="str">
        <f t="shared" si="72"/>
        <v/>
      </c>
      <c r="FPR6" s="97" t="str">
        <f t="shared" si="72"/>
        <v/>
      </c>
      <c r="FPS6" s="97" t="str">
        <f t="shared" si="72"/>
        <v/>
      </c>
      <c r="FPT6" s="97" t="str">
        <f t="shared" si="72"/>
        <v/>
      </c>
      <c r="FPU6" s="97" t="str">
        <f t="shared" si="72"/>
        <v/>
      </c>
      <c r="FPV6" s="97" t="str">
        <f t="shared" si="72"/>
        <v/>
      </c>
      <c r="FPW6" s="97" t="str">
        <f t="shared" si="72"/>
        <v/>
      </c>
      <c r="FPX6" s="97" t="str">
        <f t="shared" si="72"/>
        <v/>
      </c>
      <c r="FPY6" s="97" t="str">
        <f t="shared" si="72"/>
        <v/>
      </c>
      <c r="FPZ6" s="97" t="str">
        <f t="shared" si="72"/>
        <v/>
      </c>
      <c r="FQA6" s="97" t="str">
        <f t="shared" si="72"/>
        <v/>
      </c>
      <c r="FQB6" s="97" t="str">
        <f t="shared" si="72"/>
        <v/>
      </c>
      <c r="FQC6" s="97" t="str">
        <f t="shared" si="72"/>
        <v/>
      </c>
      <c r="FQD6" s="97" t="str">
        <f t="shared" si="72"/>
        <v/>
      </c>
      <c r="FQE6" s="97" t="str">
        <f t="shared" si="72"/>
        <v/>
      </c>
      <c r="FQF6" s="97" t="str">
        <f t="shared" si="72"/>
        <v/>
      </c>
      <c r="FQG6" s="97" t="str">
        <f t="shared" si="72"/>
        <v/>
      </c>
      <c r="FQH6" s="97" t="str">
        <f t="shared" si="72"/>
        <v/>
      </c>
      <c r="FQI6" s="97" t="str">
        <f t="shared" si="72"/>
        <v/>
      </c>
      <c r="FQJ6" s="97" t="str">
        <f t="shared" si="72"/>
        <v/>
      </c>
      <c r="FQK6" s="97" t="str">
        <f t="shared" si="72"/>
        <v/>
      </c>
      <c r="FQL6" s="97" t="str">
        <f t="shared" si="72"/>
        <v/>
      </c>
      <c r="FQM6" s="97" t="str">
        <f t="shared" si="72"/>
        <v/>
      </c>
      <c r="FQN6" s="97" t="str">
        <f t="shared" si="72"/>
        <v/>
      </c>
      <c r="FQO6" s="97" t="str">
        <f t="shared" si="72"/>
        <v/>
      </c>
      <c r="FQP6" s="97" t="str">
        <f t="shared" si="72"/>
        <v/>
      </c>
      <c r="FQQ6" s="97" t="str">
        <f t="shared" si="72"/>
        <v/>
      </c>
      <c r="FQR6" s="97" t="str">
        <f t="shared" si="72"/>
        <v/>
      </c>
      <c r="FQS6" s="97" t="str">
        <f t="shared" si="72"/>
        <v/>
      </c>
      <c r="FQT6" s="97" t="str">
        <f t="shared" si="72"/>
        <v/>
      </c>
      <c r="FQU6" s="97" t="str">
        <f t="shared" si="72"/>
        <v/>
      </c>
      <c r="FQV6" s="97" t="str">
        <f t="shared" si="72"/>
        <v/>
      </c>
      <c r="FQW6" s="97" t="str">
        <f t="shared" si="72"/>
        <v/>
      </c>
      <c r="FQX6" s="97" t="str">
        <f t="shared" si="72"/>
        <v/>
      </c>
      <c r="FQY6" s="97" t="str">
        <f t="shared" si="72"/>
        <v/>
      </c>
      <c r="FQZ6" s="97" t="str">
        <f t="shared" si="72"/>
        <v/>
      </c>
      <c r="FRA6" s="97" t="str">
        <f t="shared" si="72"/>
        <v/>
      </c>
      <c r="FRB6" s="97" t="str">
        <f t="shared" si="72"/>
        <v/>
      </c>
      <c r="FRC6" s="97" t="str">
        <f t="shared" si="72"/>
        <v/>
      </c>
      <c r="FRD6" s="97" t="str">
        <f t="shared" si="72"/>
        <v/>
      </c>
      <c r="FRE6" s="97" t="str">
        <f t="shared" si="72"/>
        <v/>
      </c>
      <c r="FRF6" s="97" t="str">
        <f t="shared" si="72"/>
        <v/>
      </c>
      <c r="FRG6" s="97" t="str">
        <f t="shared" si="72"/>
        <v/>
      </c>
      <c r="FRH6" s="97" t="str">
        <f t="shared" si="72"/>
        <v/>
      </c>
      <c r="FRI6" s="97" t="str">
        <f t="shared" si="72"/>
        <v/>
      </c>
      <c r="FRJ6" s="97" t="str">
        <f t="shared" si="72"/>
        <v/>
      </c>
      <c r="FRK6" s="97" t="str">
        <f t="shared" si="72"/>
        <v/>
      </c>
      <c r="FRL6" s="97" t="str">
        <f t="shared" si="72"/>
        <v/>
      </c>
      <c r="FRM6" s="97" t="str">
        <f t="shared" si="72"/>
        <v/>
      </c>
      <c r="FRN6" s="97" t="str">
        <f t="shared" si="72"/>
        <v/>
      </c>
      <c r="FRO6" s="97" t="str">
        <f t="shared" si="72"/>
        <v/>
      </c>
      <c r="FRP6" s="97" t="str">
        <f t="shared" si="72"/>
        <v/>
      </c>
      <c r="FRQ6" s="97" t="str">
        <f t="shared" si="72"/>
        <v/>
      </c>
      <c r="FRR6" s="97" t="str">
        <f t="shared" si="72"/>
        <v/>
      </c>
      <c r="FRS6" s="97" t="str">
        <f t="shared" si="72"/>
        <v/>
      </c>
      <c r="FRT6" s="97" t="str">
        <f t="shared" si="72"/>
        <v/>
      </c>
      <c r="FRU6" s="97" t="str">
        <f t="shared" si="72"/>
        <v/>
      </c>
      <c r="FRV6" s="97" t="str">
        <f t="shared" si="72"/>
        <v/>
      </c>
      <c r="FRW6" s="97" t="str">
        <f t="shared" si="72"/>
        <v/>
      </c>
      <c r="FRX6" s="97" t="str">
        <f t="shared" si="72"/>
        <v/>
      </c>
      <c r="FRY6" s="97" t="str">
        <f t="shared" si="72"/>
        <v/>
      </c>
      <c r="FRZ6" s="97" t="str">
        <f t="shared" ref="FRZ6:FUK6" si="73">IFERROR(AVERAGE(FRZ7:FRZ13),"")</f>
        <v/>
      </c>
      <c r="FSA6" s="97" t="str">
        <f t="shared" si="73"/>
        <v/>
      </c>
      <c r="FSB6" s="97" t="str">
        <f t="shared" si="73"/>
        <v/>
      </c>
      <c r="FSC6" s="97" t="str">
        <f t="shared" si="73"/>
        <v/>
      </c>
      <c r="FSD6" s="97" t="str">
        <f t="shared" si="73"/>
        <v/>
      </c>
      <c r="FSE6" s="97" t="str">
        <f t="shared" si="73"/>
        <v/>
      </c>
      <c r="FSF6" s="97" t="str">
        <f t="shared" si="73"/>
        <v/>
      </c>
      <c r="FSG6" s="97" t="str">
        <f t="shared" si="73"/>
        <v/>
      </c>
      <c r="FSH6" s="97" t="str">
        <f t="shared" si="73"/>
        <v/>
      </c>
      <c r="FSI6" s="97" t="str">
        <f t="shared" si="73"/>
        <v/>
      </c>
      <c r="FSJ6" s="97" t="str">
        <f t="shared" si="73"/>
        <v/>
      </c>
      <c r="FSK6" s="97" t="str">
        <f t="shared" si="73"/>
        <v/>
      </c>
      <c r="FSL6" s="97" t="str">
        <f t="shared" si="73"/>
        <v/>
      </c>
      <c r="FSM6" s="97" t="str">
        <f t="shared" si="73"/>
        <v/>
      </c>
      <c r="FSN6" s="97" t="str">
        <f t="shared" si="73"/>
        <v/>
      </c>
      <c r="FSO6" s="97" t="str">
        <f t="shared" si="73"/>
        <v/>
      </c>
      <c r="FSP6" s="97" t="str">
        <f t="shared" si="73"/>
        <v/>
      </c>
      <c r="FSQ6" s="97" t="str">
        <f t="shared" si="73"/>
        <v/>
      </c>
      <c r="FSR6" s="97" t="str">
        <f t="shared" si="73"/>
        <v/>
      </c>
      <c r="FSS6" s="97" t="str">
        <f t="shared" si="73"/>
        <v/>
      </c>
      <c r="FST6" s="97" t="str">
        <f t="shared" si="73"/>
        <v/>
      </c>
      <c r="FSU6" s="97" t="str">
        <f t="shared" si="73"/>
        <v/>
      </c>
      <c r="FSV6" s="97" t="str">
        <f t="shared" si="73"/>
        <v/>
      </c>
      <c r="FSW6" s="97" t="str">
        <f t="shared" si="73"/>
        <v/>
      </c>
      <c r="FSX6" s="97" t="str">
        <f t="shared" si="73"/>
        <v/>
      </c>
      <c r="FSY6" s="97" t="str">
        <f t="shared" si="73"/>
        <v/>
      </c>
      <c r="FSZ6" s="97" t="str">
        <f t="shared" si="73"/>
        <v/>
      </c>
      <c r="FTA6" s="97" t="str">
        <f t="shared" si="73"/>
        <v/>
      </c>
      <c r="FTB6" s="97" t="str">
        <f t="shared" si="73"/>
        <v/>
      </c>
      <c r="FTC6" s="97" t="str">
        <f t="shared" si="73"/>
        <v/>
      </c>
      <c r="FTD6" s="97" t="str">
        <f t="shared" si="73"/>
        <v/>
      </c>
      <c r="FTE6" s="97" t="str">
        <f t="shared" si="73"/>
        <v/>
      </c>
      <c r="FTF6" s="97" t="str">
        <f t="shared" si="73"/>
        <v/>
      </c>
      <c r="FTG6" s="97" t="str">
        <f t="shared" si="73"/>
        <v/>
      </c>
      <c r="FTH6" s="97" t="str">
        <f t="shared" si="73"/>
        <v/>
      </c>
      <c r="FTI6" s="97" t="str">
        <f t="shared" si="73"/>
        <v/>
      </c>
      <c r="FTJ6" s="97" t="str">
        <f t="shared" si="73"/>
        <v/>
      </c>
      <c r="FTK6" s="97" t="str">
        <f t="shared" si="73"/>
        <v/>
      </c>
      <c r="FTL6" s="97" t="str">
        <f t="shared" si="73"/>
        <v/>
      </c>
      <c r="FTM6" s="97" t="str">
        <f t="shared" si="73"/>
        <v/>
      </c>
      <c r="FTN6" s="97" t="str">
        <f t="shared" si="73"/>
        <v/>
      </c>
      <c r="FTO6" s="97" t="str">
        <f t="shared" si="73"/>
        <v/>
      </c>
      <c r="FTP6" s="97" t="str">
        <f t="shared" si="73"/>
        <v/>
      </c>
      <c r="FTQ6" s="97" t="str">
        <f t="shared" si="73"/>
        <v/>
      </c>
      <c r="FTR6" s="97" t="str">
        <f t="shared" si="73"/>
        <v/>
      </c>
      <c r="FTS6" s="97" t="str">
        <f t="shared" si="73"/>
        <v/>
      </c>
      <c r="FTT6" s="97" t="str">
        <f t="shared" si="73"/>
        <v/>
      </c>
      <c r="FTU6" s="97" t="str">
        <f t="shared" si="73"/>
        <v/>
      </c>
      <c r="FTV6" s="97" t="str">
        <f t="shared" si="73"/>
        <v/>
      </c>
      <c r="FTW6" s="97" t="str">
        <f t="shared" si="73"/>
        <v/>
      </c>
      <c r="FTX6" s="97" t="str">
        <f t="shared" si="73"/>
        <v/>
      </c>
      <c r="FTY6" s="97" t="str">
        <f t="shared" si="73"/>
        <v/>
      </c>
      <c r="FTZ6" s="97" t="str">
        <f t="shared" si="73"/>
        <v/>
      </c>
      <c r="FUA6" s="97" t="str">
        <f t="shared" si="73"/>
        <v/>
      </c>
      <c r="FUB6" s="97" t="str">
        <f t="shared" si="73"/>
        <v/>
      </c>
      <c r="FUC6" s="97" t="str">
        <f t="shared" si="73"/>
        <v/>
      </c>
      <c r="FUD6" s="97" t="str">
        <f t="shared" si="73"/>
        <v/>
      </c>
      <c r="FUE6" s="97" t="str">
        <f t="shared" si="73"/>
        <v/>
      </c>
      <c r="FUF6" s="97" t="str">
        <f t="shared" si="73"/>
        <v/>
      </c>
      <c r="FUG6" s="97" t="str">
        <f t="shared" si="73"/>
        <v/>
      </c>
      <c r="FUH6" s="97" t="str">
        <f t="shared" si="73"/>
        <v/>
      </c>
      <c r="FUI6" s="97" t="str">
        <f t="shared" si="73"/>
        <v/>
      </c>
      <c r="FUJ6" s="97" t="str">
        <f t="shared" si="73"/>
        <v/>
      </c>
      <c r="FUK6" s="97" t="str">
        <f t="shared" si="73"/>
        <v/>
      </c>
      <c r="FUL6" s="97" t="str">
        <f t="shared" ref="FUL6:FWW6" si="74">IFERROR(AVERAGE(FUL7:FUL13),"")</f>
        <v/>
      </c>
      <c r="FUM6" s="97" t="str">
        <f t="shared" si="74"/>
        <v/>
      </c>
      <c r="FUN6" s="97" t="str">
        <f t="shared" si="74"/>
        <v/>
      </c>
      <c r="FUO6" s="97" t="str">
        <f t="shared" si="74"/>
        <v/>
      </c>
      <c r="FUP6" s="97" t="str">
        <f t="shared" si="74"/>
        <v/>
      </c>
      <c r="FUQ6" s="97" t="str">
        <f t="shared" si="74"/>
        <v/>
      </c>
      <c r="FUR6" s="97" t="str">
        <f t="shared" si="74"/>
        <v/>
      </c>
      <c r="FUS6" s="97" t="str">
        <f t="shared" si="74"/>
        <v/>
      </c>
      <c r="FUT6" s="97" t="str">
        <f t="shared" si="74"/>
        <v/>
      </c>
      <c r="FUU6" s="97" t="str">
        <f t="shared" si="74"/>
        <v/>
      </c>
      <c r="FUV6" s="97" t="str">
        <f t="shared" si="74"/>
        <v/>
      </c>
      <c r="FUW6" s="97" t="str">
        <f t="shared" si="74"/>
        <v/>
      </c>
      <c r="FUX6" s="97" t="str">
        <f t="shared" si="74"/>
        <v/>
      </c>
      <c r="FUY6" s="97" t="str">
        <f t="shared" si="74"/>
        <v/>
      </c>
      <c r="FUZ6" s="97" t="str">
        <f t="shared" si="74"/>
        <v/>
      </c>
      <c r="FVA6" s="97" t="str">
        <f t="shared" si="74"/>
        <v/>
      </c>
      <c r="FVB6" s="97" t="str">
        <f t="shared" si="74"/>
        <v/>
      </c>
      <c r="FVC6" s="97" t="str">
        <f t="shared" si="74"/>
        <v/>
      </c>
      <c r="FVD6" s="97" t="str">
        <f t="shared" si="74"/>
        <v/>
      </c>
      <c r="FVE6" s="97" t="str">
        <f t="shared" si="74"/>
        <v/>
      </c>
      <c r="FVF6" s="97" t="str">
        <f t="shared" si="74"/>
        <v/>
      </c>
      <c r="FVG6" s="97" t="str">
        <f t="shared" si="74"/>
        <v/>
      </c>
      <c r="FVH6" s="97" t="str">
        <f t="shared" si="74"/>
        <v/>
      </c>
      <c r="FVI6" s="97" t="str">
        <f t="shared" si="74"/>
        <v/>
      </c>
      <c r="FVJ6" s="97" t="str">
        <f t="shared" si="74"/>
        <v/>
      </c>
      <c r="FVK6" s="97" t="str">
        <f t="shared" si="74"/>
        <v/>
      </c>
      <c r="FVL6" s="97" t="str">
        <f t="shared" si="74"/>
        <v/>
      </c>
      <c r="FVM6" s="97" t="str">
        <f t="shared" si="74"/>
        <v/>
      </c>
      <c r="FVN6" s="97" t="str">
        <f t="shared" si="74"/>
        <v/>
      </c>
      <c r="FVO6" s="97" t="str">
        <f t="shared" si="74"/>
        <v/>
      </c>
      <c r="FVP6" s="97" t="str">
        <f t="shared" si="74"/>
        <v/>
      </c>
      <c r="FVQ6" s="97" t="str">
        <f t="shared" si="74"/>
        <v/>
      </c>
      <c r="FVR6" s="97" t="str">
        <f t="shared" si="74"/>
        <v/>
      </c>
      <c r="FVS6" s="97" t="str">
        <f t="shared" si="74"/>
        <v/>
      </c>
      <c r="FVT6" s="97" t="str">
        <f t="shared" si="74"/>
        <v/>
      </c>
      <c r="FVU6" s="97" t="str">
        <f t="shared" si="74"/>
        <v/>
      </c>
      <c r="FVV6" s="97" t="str">
        <f t="shared" si="74"/>
        <v/>
      </c>
      <c r="FVW6" s="97" t="str">
        <f t="shared" si="74"/>
        <v/>
      </c>
      <c r="FVX6" s="97" t="str">
        <f t="shared" si="74"/>
        <v/>
      </c>
      <c r="FVY6" s="97" t="str">
        <f t="shared" si="74"/>
        <v/>
      </c>
      <c r="FVZ6" s="97" t="str">
        <f t="shared" si="74"/>
        <v/>
      </c>
      <c r="FWA6" s="97" t="str">
        <f t="shared" si="74"/>
        <v/>
      </c>
      <c r="FWB6" s="97" t="str">
        <f t="shared" si="74"/>
        <v/>
      </c>
      <c r="FWC6" s="97" t="str">
        <f t="shared" si="74"/>
        <v/>
      </c>
      <c r="FWD6" s="97" t="str">
        <f t="shared" si="74"/>
        <v/>
      </c>
      <c r="FWE6" s="97" t="str">
        <f t="shared" si="74"/>
        <v/>
      </c>
      <c r="FWF6" s="97" t="str">
        <f t="shared" si="74"/>
        <v/>
      </c>
      <c r="FWG6" s="97" t="str">
        <f t="shared" si="74"/>
        <v/>
      </c>
      <c r="FWH6" s="97" t="str">
        <f t="shared" si="74"/>
        <v/>
      </c>
      <c r="FWI6" s="97" t="str">
        <f t="shared" si="74"/>
        <v/>
      </c>
      <c r="FWJ6" s="97" t="str">
        <f t="shared" si="74"/>
        <v/>
      </c>
      <c r="FWK6" s="97" t="str">
        <f t="shared" si="74"/>
        <v/>
      </c>
      <c r="FWL6" s="97" t="str">
        <f t="shared" si="74"/>
        <v/>
      </c>
      <c r="FWM6" s="97" t="str">
        <f t="shared" si="74"/>
        <v/>
      </c>
      <c r="FWN6" s="97" t="str">
        <f t="shared" si="74"/>
        <v/>
      </c>
      <c r="FWO6" s="97" t="str">
        <f t="shared" si="74"/>
        <v/>
      </c>
      <c r="FWP6" s="97" t="str">
        <f t="shared" si="74"/>
        <v/>
      </c>
      <c r="FWQ6" s="97" t="str">
        <f t="shared" si="74"/>
        <v/>
      </c>
      <c r="FWR6" s="97" t="str">
        <f t="shared" si="74"/>
        <v/>
      </c>
      <c r="FWS6" s="97" t="str">
        <f t="shared" si="74"/>
        <v/>
      </c>
      <c r="FWT6" s="97" t="str">
        <f t="shared" si="74"/>
        <v/>
      </c>
      <c r="FWU6" s="97" t="str">
        <f t="shared" si="74"/>
        <v/>
      </c>
      <c r="FWV6" s="97" t="str">
        <f t="shared" si="74"/>
        <v/>
      </c>
      <c r="FWW6" s="97" t="str">
        <f t="shared" si="74"/>
        <v/>
      </c>
      <c r="FWX6" s="97" t="str">
        <f t="shared" ref="FWX6:FZI6" si="75">IFERROR(AVERAGE(FWX7:FWX13),"")</f>
        <v/>
      </c>
      <c r="FWY6" s="97" t="str">
        <f t="shared" si="75"/>
        <v/>
      </c>
      <c r="FWZ6" s="97" t="str">
        <f t="shared" si="75"/>
        <v/>
      </c>
      <c r="FXA6" s="97" t="str">
        <f t="shared" si="75"/>
        <v/>
      </c>
      <c r="FXB6" s="97" t="str">
        <f t="shared" si="75"/>
        <v/>
      </c>
      <c r="FXC6" s="97" t="str">
        <f t="shared" si="75"/>
        <v/>
      </c>
      <c r="FXD6" s="97" t="str">
        <f t="shared" si="75"/>
        <v/>
      </c>
      <c r="FXE6" s="97" t="str">
        <f t="shared" si="75"/>
        <v/>
      </c>
      <c r="FXF6" s="97" t="str">
        <f t="shared" si="75"/>
        <v/>
      </c>
      <c r="FXG6" s="97" t="str">
        <f t="shared" si="75"/>
        <v/>
      </c>
      <c r="FXH6" s="97" t="str">
        <f t="shared" si="75"/>
        <v/>
      </c>
      <c r="FXI6" s="97" t="str">
        <f t="shared" si="75"/>
        <v/>
      </c>
      <c r="FXJ6" s="97" t="str">
        <f t="shared" si="75"/>
        <v/>
      </c>
      <c r="FXK6" s="97" t="str">
        <f t="shared" si="75"/>
        <v/>
      </c>
      <c r="FXL6" s="97" t="str">
        <f t="shared" si="75"/>
        <v/>
      </c>
      <c r="FXM6" s="97" t="str">
        <f t="shared" si="75"/>
        <v/>
      </c>
      <c r="FXN6" s="97" t="str">
        <f t="shared" si="75"/>
        <v/>
      </c>
      <c r="FXO6" s="97" t="str">
        <f t="shared" si="75"/>
        <v/>
      </c>
      <c r="FXP6" s="97" t="str">
        <f t="shared" si="75"/>
        <v/>
      </c>
      <c r="FXQ6" s="97" t="str">
        <f t="shared" si="75"/>
        <v/>
      </c>
      <c r="FXR6" s="97" t="str">
        <f t="shared" si="75"/>
        <v/>
      </c>
      <c r="FXS6" s="97" t="str">
        <f t="shared" si="75"/>
        <v/>
      </c>
      <c r="FXT6" s="97" t="str">
        <f t="shared" si="75"/>
        <v/>
      </c>
      <c r="FXU6" s="97" t="str">
        <f t="shared" si="75"/>
        <v/>
      </c>
      <c r="FXV6" s="97" t="str">
        <f t="shared" si="75"/>
        <v/>
      </c>
      <c r="FXW6" s="97" t="str">
        <f t="shared" si="75"/>
        <v/>
      </c>
      <c r="FXX6" s="97" t="str">
        <f t="shared" si="75"/>
        <v/>
      </c>
      <c r="FXY6" s="97" t="str">
        <f t="shared" si="75"/>
        <v/>
      </c>
      <c r="FXZ6" s="97" t="str">
        <f t="shared" si="75"/>
        <v/>
      </c>
      <c r="FYA6" s="97" t="str">
        <f t="shared" si="75"/>
        <v/>
      </c>
      <c r="FYB6" s="97" t="str">
        <f t="shared" si="75"/>
        <v/>
      </c>
      <c r="FYC6" s="97" t="str">
        <f t="shared" si="75"/>
        <v/>
      </c>
      <c r="FYD6" s="97" t="str">
        <f t="shared" si="75"/>
        <v/>
      </c>
      <c r="FYE6" s="97" t="str">
        <f t="shared" si="75"/>
        <v/>
      </c>
      <c r="FYF6" s="97" t="str">
        <f t="shared" si="75"/>
        <v/>
      </c>
      <c r="FYG6" s="97" t="str">
        <f t="shared" si="75"/>
        <v/>
      </c>
      <c r="FYH6" s="97" t="str">
        <f t="shared" si="75"/>
        <v/>
      </c>
      <c r="FYI6" s="97" t="str">
        <f t="shared" si="75"/>
        <v/>
      </c>
      <c r="FYJ6" s="97" t="str">
        <f t="shared" si="75"/>
        <v/>
      </c>
      <c r="FYK6" s="97" t="str">
        <f t="shared" si="75"/>
        <v/>
      </c>
      <c r="FYL6" s="97" t="str">
        <f t="shared" si="75"/>
        <v/>
      </c>
      <c r="FYM6" s="97" t="str">
        <f t="shared" si="75"/>
        <v/>
      </c>
      <c r="FYN6" s="97" t="str">
        <f t="shared" si="75"/>
        <v/>
      </c>
      <c r="FYO6" s="97" t="str">
        <f t="shared" si="75"/>
        <v/>
      </c>
      <c r="FYP6" s="97" t="str">
        <f t="shared" si="75"/>
        <v/>
      </c>
      <c r="FYQ6" s="97" t="str">
        <f t="shared" si="75"/>
        <v/>
      </c>
      <c r="FYR6" s="97" t="str">
        <f t="shared" si="75"/>
        <v/>
      </c>
      <c r="FYS6" s="97" t="str">
        <f t="shared" si="75"/>
        <v/>
      </c>
      <c r="FYT6" s="97" t="str">
        <f t="shared" si="75"/>
        <v/>
      </c>
      <c r="FYU6" s="97" t="str">
        <f t="shared" si="75"/>
        <v/>
      </c>
      <c r="FYV6" s="97" t="str">
        <f t="shared" si="75"/>
        <v/>
      </c>
      <c r="FYW6" s="97" t="str">
        <f t="shared" si="75"/>
        <v/>
      </c>
      <c r="FYX6" s="97" t="str">
        <f t="shared" si="75"/>
        <v/>
      </c>
      <c r="FYY6" s="97" t="str">
        <f t="shared" si="75"/>
        <v/>
      </c>
      <c r="FYZ6" s="97" t="str">
        <f t="shared" si="75"/>
        <v/>
      </c>
      <c r="FZA6" s="97" t="str">
        <f t="shared" si="75"/>
        <v/>
      </c>
      <c r="FZB6" s="97" t="str">
        <f t="shared" si="75"/>
        <v/>
      </c>
      <c r="FZC6" s="97" t="str">
        <f t="shared" si="75"/>
        <v/>
      </c>
      <c r="FZD6" s="97" t="str">
        <f t="shared" si="75"/>
        <v/>
      </c>
      <c r="FZE6" s="97" t="str">
        <f t="shared" si="75"/>
        <v/>
      </c>
      <c r="FZF6" s="97" t="str">
        <f t="shared" si="75"/>
        <v/>
      </c>
      <c r="FZG6" s="97" t="str">
        <f t="shared" si="75"/>
        <v/>
      </c>
      <c r="FZH6" s="97" t="str">
        <f t="shared" si="75"/>
        <v/>
      </c>
      <c r="FZI6" s="97" t="str">
        <f t="shared" si="75"/>
        <v/>
      </c>
      <c r="FZJ6" s="97" t="str">
        <f t="shared" ref="FZJ6:GBU6" si="76">IFERROR(AVERAGE(FZJ7:FZJ13),"")</f>
        <v/>
      </c>
      <c r="FZK6" s="97" t="str">
        <f t="shared" si="76"/>
        <v/>
      </c>
      <c r="FZL6" s="97" t="str">
        <f t="shared" si="76"/>
        <v/>
      </c>
      <c r="FZM6" s="97" t="str">
        <f t="shared" si="76"/>
        <v/>
      </c>
      <c r="FZN6" s="97" t="str">
        <f t="shared" si="76"/>
        <v/>
      </c>
      <c r="FZO6" s="97" t="str">
        <f t="shared" si="76"/>
        <v/>
      </c>
      <c r="FZP6" s="97" t="str">
        <f t="shared" si="76"/>
        <v/>
      </c>
      <c r="FZQ6" s="97" t="str">
        <f t="shared" si="76"/>
        <v/>
      </c>
      <c r="FZR6" s="97" t="str">
        <f t="shared" si="76"/>
        <v/>
      </c>
      <c r="FZS6" s="97" t="str">
        <f t="shared" si="76"/>
        <v/>
      </c>
      <c r="FZT6" s="97" t="str">
        <f t="shared" si="76"/>
        <v/>
      </c>
      <c r="FZU6" s="97" t="str">
        <f t="shared" si="76"/>
        <v/>
      </c>
      <c r="FZV6" s="97" t="str">
        <f t="shared" si="76"/>
        <v/>
      </c>
      <c r="FZW6" s="97" t="str">
        <f t="shared" si="76"/>
        <v/>
      </c>
      <c r="FZX6" s="97" t="str">
        <f t="shared" si="76"/>
        <v/>
      </c>
      <c r="FZY6" s="97" t="str">
        <f t="shared" si="76"/>
        <v/>
      </c>
      <c r="FZZ6" s="97" t="str">
        <f t="shared" si="76"/>
        <v/>
      </c>
      <c r="GAA6" s="97" t="str">
        <f t="shared" si="76"/>
        <v/>
      </c>
      <c r="GAB6" s="97" t="str">
        <f t="shared" si="76"/>
        <v/>
      </c>
      <c r="GAC6" s="97" t="str">
        <f t="shared" si="76"/>
        <v/>
      </c>
      <c r="GAD6" s="97" t="str">
        <f t="shared" si="76"/>
        <v/>
      </c>
      <c r="GAE6" s="97" t="str">
        <f t="shared" si="76"/>
        <v/>
      </c>
      <c r="GAF6" s="97" t="str">
        <f t="shared" si="76"/>
        <v/>
      </c>
      <c r="GAG6" s="97" t="str">
        <f t="shared" si="76"/>
        <v/>
      </c>
      <c r="GAH6" s="97" t="str">
        <f t="shared" si="76"/>
        <v/>
      </c>
      <c r="GAI6" s="97" t="str">
        <f t="shared" si="76"/>
        <v/>
      </c>
      <c r="GAJ6" s="97" t="str">
        <f t="shared" si="76"/>
        <v/>
      </c>
      <c r="GAK6" s="97" t="str">
        <f t="shared" si="76"/>
        <v/>
      </c>
      <c r="GAL6" s="97" t="str">
        <f t="shared" si="76"/>
        <v/>
      </c>
      <c r="GAM6" s="97" t="str">
        <f t="shared" si="76"/>
        <v/>
      </c>
      <c r="GAN6" s="97" t="str">
        <f t="shared" si="76"/>
        <v/>
      </c>
      <c r="GAO6" s="97" t="str">
        <f t="shared" si="76"/>
        <v/>
      </c>
      <c r="GAP6" s="97" t="str">
        <f t="shared" si="76"/>
        <v/>
      </c>
      <c r="GAQ6" s="97" t="str">
        <f t="shared" si="76"/>
        <v/>
      </c>
      <c r="GAR6" s="97" t="str">
        <f t="shared" si="76"/>
        <v/>
      </c>
      <c r="GAS6" s="97" t="str">
        <f t="shared" si="76"/>
        <v/>
      </c>
      <c r="GAT6" s="97" t="str">
        <f t="shared" si="76"/>
        <v/>
      </c>
      <c r="GAU6" s="97" t="str">
        <f t="shared" si="76"/>
        <v/>
      </c>
      <c r="GAV6" s="97" t="str">
        <f t="shared" si="76"/>
        <v/>
      </c>
      <c r="GAW6" s="97" t="str">
        <f t="shared" si="76"/>
        <v/>
      </c>
      <c r="GAX6" s="97" t="str">
        <f t="shared" si="76"/>
        <v/>
      </c>
      <c r="GAY6" s="97" t="str">
        <f t="shared" si="76"/>
        <v/>
      </c>
      <c r="GAZ6" s="97" t="str">
        <f t="shared" si="76"/>
        <v/>
      </c>
      <c r="GBA6" s="97" t="str">
        <f t="shared" si="76"/>
        <v/>
      </c>
      <c r="GBB6" s="97" t="str">
        <f t="shared" si="76"/>
        <v/>
      </c>
      <c r="GBC6" s="97" t="str">
        <f t="shared" si="76"/>
        <v/>
      </c>
      <c r="GBD6" s="97" t="str">
        <f t="shared" si="76"/>
        <v/>
      </c>
      <c r="GBE6" s="97" t="str">
        <f t="shared" si="76"/>
        <v/>
      </c>
      <c r="GBF6" s="97" t="str">
        <f t="shared" si="76"/>
        <v/>
      </c>
      <c r="GBG6" s="97" t="str">
        <f t="shared" si="76"/>
        <v/>
      </c>
      <c r="GBH6" s="97" t="str">
        <f t="shared" si="76"/>
        <v/>
      </c>
      <c r="GBI6" s="97" t="str">
        <f t="shared" si="76"/>
        <v/>
      </c>
      <c r="GBJ6" s="97" t="str">
        <f t="shared" si="76"/>
        <v/>
      </c>
      <c r="GBK6" s="97" t="str">
        <f t="shared" si="76"/>
        <v/>
      </c>
      <c r="GBL6" s="97" t="str">
        <f t="shared" si="76"/>
        <v/>
      </c>
      <c r="GBM6" s="97" t="str">
        <f t="shared" si="76"/>
        <v/>
      </c>
      <c r="GBN6" s="97" t="str">
        <f t="shared" si="76"/>
        <v/>
      </c>
      <c r="GBO6" s="97" t="str">
        <f t="shared" si="76"/>
        <v/>
      </c>
      <c r="GBP6" s="97" t="str">
        <f t="shared" si="76"/>
        <v/>
      </c>
      <c r="GBQ6" s="97" t="str">
        <f t="shared" si="76"/>
        <v/>
      </c>
      <c r="GBR6" s="97" t="str">
        <f t="shared" si="76"/>
        <v/>
      </c>
      <c r="GBS6" s="97" t="str">
        <f t="shared" si="76"/>
        <v/>
      </c>
      <c r="GBT6" s="97" t="str">
        <f t="shared" si="76"/>
        <v/>
      </c>
      <c r="GBU6" s="97" t="str">
        <f t="shared" si="76"/>
        <v/>
      </c>
      <c r="GBV6" s="97" t="str">
        <f t="shared" ref="GBV6:GEG6" si="77">IFERROR(AVERAGE(GBV7:GBV13),"")</f>
        <v/>
      </c>
      <c r="GBW6" s="97" t="str">
        <f t="shared" si="77"/>
        <v/>
      </c>
      <c r="GBX6" s="97" t="str">
        <f t="shared" si="77"/>
        <v/>
      </c>
      <c r="GBY6" s="97" t="str">
        <f t="shared" si="77"/>
        <v/>
      </c>
      <c r="GBZ6" s="97" t="str">
        <f t="shared" si="77"/>
        <v/>
      </c>
      <c r="GCA6" s="97" t="str">
        <f t="shared" si="77"/>
        <v/>
      </c>
      <c r="GCB6" s="97" t="str">
        <f t="shared" si="77"/>
        <v/>
      </c>
      <c r="GCC6" s="97" t="str">
        <f t="shared" si="77"/>
        <v/>
      </c>
      <c r="GCD6" s="97" t="str">
        <f t="shared" si="77"/>
        <v/>
      </c>
      <c r="GCE6" s="97" t="str">
        <f t="shared" si="77"/>
        <v/>
      </c>
      <c r="GCF6" s="97" t="str">
        <f t="shared" si="77"/>
        <v/>
      </c>
      <c r="GCG6" s="97" t="str">
        <f t="shared" si="77"/>
        <v/>
      </c>
      <c r="GCH6" s="97" t="str">
        <f t="shared" si="77"/>
        <v/>
      </c>
      <c r="GCI6" s="97" t="str">
        <f t="shared" si="77"/>
        <v/>
      </c>
      <c r="GCJ6" s="97" t="str">
        <f t="shared" si="77"/>
        <v/>
      </c>
      <c r="GCK6" s="97" t="str">
        <f t="shared" si="77"/>
        <v/>
      </c>
      <c r="GCL6" s="97" t="str">
        <f t="shared" si="77"/>
        <v/>
      </c>
      <c r="GCM6" s="97" t="str">
        <f t="shared" si="77"/>
        <v/>
      </c>
      <c r="GCN6" s="97" t="str">
        <f t="shared" si="77"/>
        <v/>
      </c>
      <c r="GCO6" s="97" t="str">
        <f t="shared" si="77"/>
        <v/>
      </c>
      <c r="GCP6" s="97" t="str">
        <f t="shared" si="77"/>
        <v/>
      </c>
      <c r="GCQ6" s="97" t="str">
        <f t="shared" si="77"/>
        <v/>
      </c>
      <c r="GCR6" s="97" t="str">
        <f t="shared" si="77"/>
        <v/>
      </c>
      <c r="GCS6" s="97" t="str">
        <f t="shared" si="77"/>
        <v/>
      </c>
      <c r="GCT6" s="97" t="str">
        <f t="shared" si="77"/>
        <v/>
      </c>
      <c r="GCU6" s="97" t="str">
        <f t="shared" si="77"/>
        <v/>
      </c>
      <c r="GCV6" s="97" t="str">
        <f t="shared" si="77"/>
        <v/>
      </c>
      <c r="GCW6" s="97" t="str">
        <f t="shared" si="77"/>
        <v/>
      </c>
      <c r="GCX6" s="97" t="str">
        <f t="shared" si="77"/>
        <v/>
      </c>
      <c r="GCY6" s="97" t="str">
        <f t="shared" si="77"/>
        <v/>
      </c>
      <c r="GCZ6" s="97" t="str">
        <f t="shared" si="77"/>
        <v/>
      </c>
      <c r="GDA6" s="97" t="str">
        <f t="shared" si="77"/>
        <v/>
      </c>
      <c r="GDB6" s="97" t="str">
        <f t="shared" si="77"/>
        <v/>
      </c>
      <c r="GDC6" s="97" t="str">
        <f t="shared" si="77"/>
        <v/>
      </c>
      <c r="GDD6" s="97" t="str">
        <f t="shared" si="77"/>
        <v/>
      </c>
      <c r="GDE6" s="97" t="str">
        <f t="shared" si="77"/>
        <v/>
      </c>
      <c r="GDF6" s="97" t="str">
        <f t="shared" si="77"/>
        <v/>
      </c>
      <c r="GDG6" s="97" t="str">
        <f t="shared" si="77"/>
        <v/>
      </c>
      <c r="GDH6" s="97" t="str">
        <f t="shared" si="77"/>
        <v/>
      </c>
      <c r="GDI6" s="97" t="str">
        <f t="shared" si="77"/>
        <v/>
      </c>
      <c r="GDJ6" s="97" t="str">
        <f t="shared" si="77"/>
        <v/>
      </c>
      <c r="GDK6" s="97" t="str">
        <f t="shared" si="77"/>
        <v/>
      </c>
      <c r="GDL6" s="97" t="str">
        <f t="shared" si="77"/>
        <v/>
      </c>
      <c r="GDM6" s="97" t="str">
        <f t="shared" si="77"/>
        <v/>
      </c>
      <c r="GDN6" s="97" t="str">
        <f t="shared" si="77"/>
        <v/>
      </c>
      <c r="GDO6" s="97" t="str">
        <f t="shared" si="77"/>
        <v/>
      </c>
      <c r="GDP6" s="97" t="str">
        <f t="shared" si="77"/>
        <v/>
      </c>
      <c r="GDQ6" s="97" t="str">
        <f t="shared" si="77"/>
        <v/>
      </c>
      <c r="GDR6" s="97" t="str">
        <f t="shared" si="77"/>
        <v/>
      </c>
      <c r="GDS6" s="97" t="str">
        <f t="shared" si="77"/>
        <v/>
      </c>
      <c r="GDT6" s="97" t="str">
        <f t="shared" si="77"/>
        <v/>
      </c>
      <c r="GDU6" s="97" t="str">
        <f t="shared" si="77"/>
        <v/>
      </c>
      <c r="GDV6" s="97" t="str">
        <f t="shared" si="77"/>
        <v/>
      </c>
      <c r="GDW6" s="97" t="str">
        <f t="shared" si="77"/>
        <v/>
      </c>
      <c r="GDX6" s="97" t="str">
        <f t="shared" si="77"/>
        <v/>
      </c>
      <c r="GDY6" s="97" t="str">
        <f t="shared" si="77"/>
        <v/>
      </c>
      <c r="GDZ6" s="97" t="str">
        <f t="shared" si="77"/>
        <v/>
      </c>
      <c r="GEA6" s="97" t="str">
        <f t="shared" si="77"/>
        <v/>
      </c>
      <c r="GEB6" s="97" t="str">
        <f t="shared" si="77"/>
        <v/>
      </c>
      <c r="GEC6" s="97" t="str">
        <f t="shared" si="77"/>
        <v/>
      </c>
      <c r="GED6" s="97" t="str">
        <f t="shared" si="77"/>
        <v/>
      </c>
      <c r="GEE6" s="97" t="str">
        <f t="shared" si="77"/>
        <v/>
      </c>
      <c r="GEF6" s="97" t="str">
        <f t="shared" si="77"/>
        <v/>
      </c>
      <c r="GEG6" s="97" t="str">
        <f t="shared" si="77"/>
        <v/>
      </c>
      <c r="GEH6" s="97" t="str">
        <f t="shared" ref="GEH6:GGS6" si="78">IFERROR(AVERAGE(GEH7:GEH13),"")</f>
        <v/>
      </c>
      <c r="GEI6" s="97" t="str">
        <f t="shared" si="78"/>
        <v/>
      </c>
      <c r="GEJ6" s="97" t="str">
        <f t="shared" si="78"/>
        <v/>
      </c>
      <c r="GEK6" s="97" t="str">
        <f t="shared" si="78"/>
        <v/>
      </c>
      <c r="GEL6" s="97" t="str">
        <f t="shared" si="78"/>
        <v/>
      </c>
      <c r="GEM6" s="97" t="str">
        <f t="shared" si="78"/>
        <v/>
      </c>
      <c r="GEN6" s="97" t="str">
        <f t="shared" si="78"/>
        <v/>
      </c>
      <c r="GEO6" s="97" t="str">
        <f t="shared" si="78"/>
        <v/>
      </c>
      <c r="GEP6" s="97" t="str">
        <f t="shared" si="78"/>
        <v/>
      </c>
      <c r="GEQ6" s="97" t="str">
        <f t="shared" si="78"/>
        <v/>
      </c>
      <c r="GER6" s="97" t="str">
        <f t="shared" si="78"/>
        <v/>
      </c>
      <c r="GES6" s="97" t="str">
        <f t="shared" si="78"/>
        <v/>
      </c>
      <c r="GET6" s="97" t="str">
        <f t="shared" si="78"/>
        <v/>
      </c>
      <c r="GEU6" s="97" t="str">
        <f t="shared" si="78"/>
        <v/>
      </c>
      <c r="GEV6" s="97" t="str">
        <f t="shared" si="78"/>
        <v/>
      </c>
      <c r="GEW6" s="97" t="str">
        <f t="shared" si="78"/>
        <v/>
      </c>
      <c r="GEX6" s="97" t="str">
        <f t="shared" si="78"/>
        <v/>
      </c>
      <c r="GEY6" s="97" t="str">
        <f t="shared" si="78"/>
        <v/>
      </c>
      <c r="GEZ6" s="97" t="str">
        <f t="shared" si="78"/>
        <v/>
      </c>
      <c r="GFA6" s="97" t="str">
        <f t="shared" si="78"/>
        <v/>
      </c>
      <c r="GFB6" s="97" t="str">
        <f t="shared" si="78"/>
        <v/>
      </c>
      <c r="GFC6" s="97" t="str">
        <f t="shared" si="78"/>
        <v/>
      </c>
      <c r="GFD6" s="97" t="str">
        <f t="shared" si="78"/>
        <v/>
      </c>
      <c r="GFE6" s="97" t="str">
        <f t="shared" si="78"/>
        <v/>
      </c>
      <c r="GFF6" s="97" t="str">
        <f t="shared" si="78"/>
        <v/>
      </c>
      <c r="GFG6" s="97" t="str">
        <f t="shared" si="78"/>
        <v/>
      </c>
      <c r="GFH6" s="97" t="str">
        <f t="shared" si="78"/>
        <v/>
      </c>
      <c r="GFI6" s="97" t="str">
        <f t="shared" si="78"/>
        <v/>
      </c>
      <c r="GFJ6" s="97" t="str">
        <f t="shared" si="78"/>
        <v/>
      </c>
      <c r="GFK6" s="97" t="str">
        <f t="shared" si="78"/>
        <v/>
      </c>
      <c r="GFL6" s="97" t="str">
        <f t="shared" si="78"/>
        <v/>
      </c>
      <c r="GFM6" s="97" t="str">
        <f t="shared" si="78"/>
        <v/>
      </c>
      <c r="GFN6" s="97" t="str">
        <f t="shared" si="78"/>
        <v/>
      </c>
      <c r="GFO6" s="97" t="str">
        <f t="shared" si="78"/>
        <v/>
      </c>
      <c r="GFP6" s="97" t="str">
        <f t="shared" si="78"/>
        <v/>
      </c>
      <c r="GFQ6" s="97" t="str">
        <f t="shared" si="78"/>
        <v/>
      </c>
      <c r="GFR6" s="97" t="str">
        <f t="shared" si="78"/>
        <v/>
      </c>
      <c r="GFS6" s="97" t="str">
        <f t="shared" si="78"/>
        <v/>
      </c>
      <c r="GFT6" s="97" t="str">
        <f t="shared" si="78"/>
        <v/>
      </c>
      <c r="GFU6" s="97" t="str">
        <f t="shared" si="78"/>
        <v/>
      </c>
      <c r="GFV6" s="97" t="str">
        <f t="shared" si="78"/>
        <v/>
      </c>
      <c r="GFW6" s="97" t="str">
        <f t="shared" si="78"/>
        <v/>
      </c>
      <c r="GFX6" s="97" t="str">
        <f t="shared" si="78"/>
        <v/>
      </c>
      <c r="GFY6" s="97" t="str">
        <f t="shared" si="78"/>
        <v/>
      </c>
      <c r="GFZ6" s="97" t="str">
        <f t="shared" si="78"/>
        <v/>
      </c>
      <c r="GGA6" s="97" t="str">
        <f t="shared" si="78"/>
        <v/>
      </c>
      <c r="GGB6" s="97" t="str">
        <f t="shared" si="78"/>
        <v/>
      </c>
      <c r="GGC6" s="97" t="str">
        <f t="shared" si="78"/>
        <v/>
      </c>
      <c r="GGD6" s="97" t="str">
        <f t="shared" si="78"/>
        <v/>
      </c>
      <c r="GGE6" s="97" t="str">
        <f t="shared" si="78"/>
        <v/>
      </c>
      <c r="GGF6" s="97" t="str">
        <f t="shared" si="78"/>
        <v/>
      </c>
      <c r="GGG6" s="97" t="str">
        <f t="shared" si="78"/>
        <v/>
      </c>
      <c r="GGH6" s="97" t="str">
        <f t="shared" si="78"/>
        <v/>
      </c>
      <c r="GGI6" s="97" t="str">
        <f t="shared" si="78"/>
        <v/>
      </c>
      <c r="GGJ6" s="97" t="str">
        <f t="shared" si="78"/>
        <v/>
      </c>
      <c r="GGK6" s="97" t="str">
        <f t="shared" si="78"/>
        <v/>
      </c>
      <c r="GGL6" s="97" t="str">
        <f t="shared" si="78"/>
        <v/>
      </c>
      <c r="GGM6" s="97" t="str">
        <f t="shared" si="78"/>
        <v/>
      </c>
      <c r="GGN6" s="97" t="str">
        <f t="shared" si="78"/>
        <v/>
      </c>
      <c r="GGO6" s="97" t="str">
        <f t="shared" si="78"/>
        <v/>
      </c>
      <c r="GGP6" s="97" t="str">
        <f t="shared" si="78"/>
        <v/>
      </c>
      <c r="GGQ6" s="97" t="str">
        <f t="shared" si="78"/>
        <v/>
      </c>
      <c r="GGR6" s="97" t="str">
        <f t="shared" si="78"/>
        <v/>
      </c>
      <c r="GGS6" s="97" t="str">
        <f t="shared" si="78"/>
        <v/>
      </c>
      <c r="GGT6" s="97" t="str">
        <f t="shared" ref="GGT6:GJE6" si="79">IFERROR(AVERAGE(GGT7:GGT13),"")</f>
        <v/>
      </c>
      <c r="GGU6" s="97" t="str">
        <f t="shared" si="79"/>
        <v/>
      </c>
      <c r="GGV6" s="97" t="str">
        <f t="shared" si="79"/>
        <v/>
      </c>
      <c r="GGW6" s="97" t="str">
        <f t="shared" si="79"/>
        <v/>
      </c>
      <c r="GGX6" s="97" t="str">
        <f t="shared" si="79"/>
        <v/>
      </c>
      <c r="GGY6" s="97" t="str">
        <f t="shared" si="79"/>
        <v/>
      </c>
      <c r="GGZ6" s="97" t="str">
        <f t="shared" si="79"/>
        <v/>
      </c>
      <c r="GHA6" s="97" t="str">
        <f t="shared" si="79"/>
        <v/>
      </c>
      <c r="GHB6" s="97" t="str">
        <f t="shared" si="79"/>
        <v/>
      </c>
      <c r="GHC6" s="97" t="str">
        <f t="shared" si="79"/>
        <v/>
      </c>
      <c r="GHD6" s="97" t="str">
        <f t="shared" si="79"/>
        <v/>
      </c>
      <c r="GHE6" s="97" t="str">
        <f t="shared" si="79"/>
        <v/>
      </c>
      <c r="GHF6" s="97" t="str">
        <f t="shared" si="79"/>
        <v/>
      </c>
      <c r="GHG6" s="97" t="str">
        <f t="shared" si="79"/>
        <v/>
      </c>
      <c r="GHH6" s="97" t="str">
        <f t="shared" si="79"/>
        <v/>
      </c>
      <c r="GHI6" s="97" t="str">
        <f t="shared" si="79"/>
        <v/>
      </c>
      <c r="GHJ6" s="97" t="str">
        <f t="shared" si="79"/>
        <v/>
      </c>
      <c r="GHK6" s="97" t="str">
        <f t="shared" si="79"/>
        <v/>
      </c>
      <c r="GHL6" s="97" t="str">
        <f t="shared" si="79"/>
        <v/>
      </c>
      <c r="GHM6" s="97" t="str">
        <f t="shared" si="79"/>
        <v/>
      </c>
      <c r="GHN6" s="97" t="str">
        <f t="shared" si="79"/>
        <v/>
      </c>
      <c r="GHO6" s="97" t="str">
        <f t="shared" si="79"/>
        <v/>
      </c>
      <c r="GHP6" s="97" t="str">
        <f t="shared" si="79"/>
        <v/>
      </c>
      <c r="GHQ6" s="97" t="str">
        <f t="shared" si="79"/>
        <v/>
      </c>
      <c r="GHR6" s="97" t="str">
        <f t="shared" si="79"/>
        <v/>
      </c>
      <c r="GHS6" s="97" t="str">
        <f t="shared" si="79"/>
        <v/>
      </c>
      <c r="GHT6" s="97" t="str">
        <f t="shared" si="79"/>
        <v/>
      </c>
      <c r="GHU6" s="97" t="str">
        <f t="shared" si="79"/>
        <v/>
      </c>
      <c r="GHV6" s="97" t="str">
        <f t="shared" si="79"/>
        <v/>
      </c>
      <c r="GHW6" s="97" t="str">
        <f t="shared" si="79"/>
        <v/>
      </c>
      <c r="GHX6" s="97" t="str">
        <f t="shared" si="79"/>
        <v/>
      </c>
      <c r="GHY6" s="97" t="str">
        <f t="shared" si="79"/>
        <v/>
      </c>
      <c r="GHZ6" s="97" t="str">
        <f t="shared" si="79"/>
        <v/>
      </c>
      <c r="GIA6" s="97" t="str">
        <f t="shared" si="79"/>
        <v/>
      </c>
      <c r="GIB6" s="97" t="str">
        <f t="shared" si="79"/>
        <v/>
      </c>
      <c r="GIC6" s="97" t="str">
        <f t="shared" si="79"/>
        <v/>
      </c>
      <c r="GID6" s="97" t="str">
        <f t="shared" si="79"/>
        <v/>
      </c>
      <c r="GIE6" s="97" t="str">
        <f t="shared" si="79"/>
        <v/>
      </c>
      <c r="GIF6" s="97" t="str">
        <f t="shared" si="79"/>
        <v/>
      </c>
      <c r="GIG6" s="97" t="str">
        <f t="shared" si="79"/>
        <v/>
      </c>
      <c r="GIH6" s="97" t="str">
        <f t="shared" si="79"/>
        <v/>
      </c>
      <c r="GII6" s="97" t="str">
        <f t="shared" si="79"/>
        <v/>
      </c>
      <c r="GIJ6" s="97" t="str">
        <f t="shared" si="79"/>
        <v/>
      </c>
      <c r="GIK6" s="97" t="str">
        <f t="shared" si="79"/>
        <v/>
      </c>
      <c r="GIL6" s="97" t="str">
        <f t="shared" si="79"/>
        <v/>
      </c>
      <c r="GIM6" s="97" t="str">
        <f t="shared" si="79"/>
        <v/>
      </c>
      <c r="GIN6" s="97" t="str">
        <f t="shared" si="79"/>
        <v/>
      </c>
      <c r="GIO6" s="97" t="str">
        <f t="shared" si="79"/>
        <v/>
      </c>
      <c r="GIP6" s="97" t="str">
        <f t="shared" si="79"/>
        <v/>
      </c>
      <c r="GIQ6" s="97" t="str">
        <f t="shared" si="79"/>
        <v/>
      </c>
      <c r="GIR6" s="97" t="str">
        <f t="shared" si="79"/>
        <v/>
      </c>
      <c r="GIS6" s="97" t="str">
        <f t="shared" si="79"/>
        <v/>
      </c>
      <c r="GIT6" s="97" t="str">
        <f t="shared" si="79"/>
        <v/>
      </c>
      <c r="GIU6" s="97" t="str">
        <f t="shared" si="79"/>
        <v/>
      </c>
      <c r="GIV6" s="97" t="str">
        <f t="shared" si="79"/>
        <v/>
      </c>
      <c r="GIW6" s="97" t="str">
        <f t="shared" si="79"/>
        <v/>
      </c>
      <c r="GIX6" s="97" t="str">
        <f t="shared" si="79"/>
        <v/>
      </c>
      <c r="GIY6" s="97" t="str">
        <f t="shared" si="79"/>
        <v/>
      </c>
      <c r="GIZ6" s="97" t="str">
        <f t="shared" si="79"/>
        <v/>
      </c>
      <c r="GJA6" s="97" t="str">
        <f t="shared" si="79"/>
        <v/>
      </c>
      <c r="GJB6" s="97" t="str">
        <f t="shared" si="79"/>
        <v/>
      </c>
      <c r="GJC6" s="97" t="str">
        <f t="shared" si="79"/>
        <v/>
      </c>
      <c r="GJD6" s="97" t="str">
        <f t="shared" si="79"/>
        <v/>
      </c>
      <c r="GJE6" s="97" t="str">
        <f t="shared" si="79"/>
        <v/>
      </c>
      <c r="GJF6" s="97" t="str">
        <f t="shared" ref="GJF6:GLQ6" si="80">IFERROR(AVERAGE(GJF7:GJF13),"")</f>
        <v/>
      </c>
      <c r="GJG6" s="97" t="str">
        <f t="shared" si="80"/>
        <v/>
      </c>
      <c r="GJH6" s="97" t="str">
        <f t="shared" si="80"/>
        <v/>
      </c>
      <c r="GJI6" s="97" t="str">
        <f t="shared" si="80"/>
        <v/>
      </c>
      <c r="GJJ6" s="97" t="str">
        <f t="shared" si="80"/>
        <v/>
      </c>
      <c r="GJK6" s="97" t="str">
        <f t="shared" si="80"/>
        <v/>
      </c>
      <c r="GJL6" s="97" t="str">
        <f t="shared" si="80"/>
        <v/>
      </c>
      <c r="GJM6" s="97" t="str">
        <f t="shared" si="80"/>
        <v/>
      </c>
      <c r="GJN6" s="97" t="str">
        <f t="shared" si="80"/>
        <v/>
      </c>
      <c r="GJO6" s="97" t="str">
        <f t="shared" si="80"/>
        <v/>
      </c>
      <c r="GJP6" s="97" t="str">
        <f t="shared" si="80"/>
        <v/>
      </c>
      <c r="GJQ6" s="97" t="str">
        <f t="shared" si="80"/>
        <v/>
      </c>
      <c r="GJR6" s="97" t="str">
        <f t="shared" si="80"/>
        <v/>
      </c>
      <c r="GJS6" s="97" t="str">
        <f t="shared" si="80"/>
        <v/>
      </c>
      <c r="GJT6" s="97" t="str">
        <f t="shared" si="80"/>
        <v/>
      </c>
      <c r="GJU6" s="97" t="str">
        <f t="shared" si="80"/>
        <v/>
      </c>
      <c r="GJV6" s="97" t="str">
        <f t="shared" si="80"/>
        <v/>
      </c>
      <c r="GJW6" s="97" t="str">
        <f t="shared" si="80"/>
        <v/>
      </c>
      <c r="GJX6" s="97" t="str">
        <f t="shared" si="80"/>
        <v/>
      </c>
      <c r="GJY6" s="97" t="str">
        <f t="shared" si="80"/>
        <v/>
      </c>
      <c r="GJZ6" s="97" t="str">
        <f t="shared" si="80"/>
        <v/>
      </c>
      <c r="GKA6" s="97" t="str">
        <f t="shared" si="80"/>
        <v/>
      </c>
      <c r="GKB6" s="97" t="str">
        <f t="shared" si="80"/>
        <v/>
      </c>
      <c r="GKC6" s="97" t="str">
        <f t="shared" si="80"/>
        <v/>
      </c>
      <c r="GKD6" s="97" t="str">
        <f t="shared" si="80"/>
        <v/>
      </c>
      <c r="GKE6" s="97" t="str">
        <f t="shared" si="80"/>
        <v/>
      </c>
      <c r="GKF6" s="97" t="str">
        <f t="shared" si="80"/>
        <v/>
      </c>
      <c r="GKG6" s="97" t="str">
        <f t="shared" si="80"/>
        <v/>
      </c>
      <c r="GKH6" s="97" t="str">
        <f t="shared" si="80"/>
        <v/>
      </c>
      <c r="GKI6" s="97" t="str">
        <f t="shared" si="80"/>
        <v/>
      </c>
      <c r="GKJ6" s="97" t="str">
        <f t="shared" si="80"/>
        <v/>
      </c>
      <c r="GKK6" s="97" t="str">
        <f t="shared" si="80"/>
        <v/>
      </c>
      <c r="GKL6" s="97" t="str">
        <f t="shared" si="80"/>
        <v/>
      </c>
      <c r="GKM6" s="97" t="str">
        <f t="shared" si="80"/>
        <v/>
      </c>
      <c r="GKN6" s="97" t="str">
        <f t="shared" si="80"/>
        <v/>
      </c>
      <c r="GKO6" s="97" t="str">
        <f t="shared" si="80"/>
        <v/>
      </c>
      <c r="GKP6" s="97" t="str">
        <f t="shared" si="80"/>
        <v/>
      </c>
      <c r="GKQ6" s="97" t="str">
        <f t="shared" si="80"/>
        <v/>
      </c>
      <c r="GKR6" s="97" t="str">
        <f t="shared" si="80"/>
        <v/>
      </c>
      <c r="GKS6" s="97" t="str">
        <f t="shared" si="80"/>
        <v/>
      </c>
      <c r="GKT6" s="97" t="str">
        <f t="shared" si="80"/>
        <v/>
      </c>
      <c r="GKU6" s="97" t="str">
        <f t="shared" si="80"/>
        <v/>
      </c>
      <c r="GKV6" s="97" t="str">
        <f t="shared" si="80"/>
        <v/>
      </c>
      <c r="GKW6" s="97" t="str">
        <f t="shared" si="80"/>
        <v/>
      </c>
      <c r="GKX6" s="97" t="str">
        <f t="shared" si="80"/>
        <v/>
      </c>
      <c r="GKY6" s="97" t="str">
        <f t="shared" si="80"/>
        <v/>
      </c>
      <c r="GKZ6" s="97" t="str">
        <f t="shared" si="80"/>
        <v/>
      </c>
      <c r="GLA6" s="97" t="str">
        <f t="shared" si="80"/>
        <v/>
      </c>
      <c r="GLB6" s="97" t="str">
        <f t="shared" si="80"/>
        <v/>
      </c>
      <c r="GLC6" s="97" t="str">
        <f t="shared" si="80"/>
        <v/>
      </c>
      <c r="GLD6" s="97" t="str">
        <f t="shared" si="80"/>
        <v/>
      </c>
      <c r="GLE6" s="97" t="str">
        <f t="shared" si="80"/>
        <v/>
      </c>
      <c r="GLF6" s="97" t="str">
        <f t="shared" si="80"/>
        <v/>
      </c>
      <c r="GLG6" s="97" t="str">
        <f t="shared" si="80"/>
        <v/>
      </c>
      <c r="GLH6" s="97" t="str">
        <f t="shared" si="80"/>
        <v/>
      </c>
      <c r="GLI6" s="97" t="str">
        <f t="shared" si="80"/>
        <v/>
      </c>
      <c r="GLJ6" s="97" t="str">
        <f t="shared" si="80"/>
        <v/>
      </c>
      <c r="GLK6" s="97" t="str">
        <f t="shared" si="80"/>
        <v/>
      </c>
      <c r="GLL6" s="97" t="str">
        <f t="shared" si="80"/>
        <v/>
      </c>
      <c r="GLM6" s="97" t="str">
        <f t="shared" si="80"/>
        <v/>
      </c>
      <c r="GLN6" s="97" t="str">
        <f t="shared" si="80"/>
        <v/>
      </c>
      <c r="GLO6" s="97" t="str">
        <f t="shared" si="80"/>
        <v/>
      </c>
      <c r="GLP6" s="97" t="str">
        <f t="shared" si="80"/>
        <v/>
      </c>
      <c r="GLQ6" s="97" t="str">
        <f t="shared" si="80"/>
        <v/>
      </c>
      <c r="GLR6" s="97" t="str">
        <f t="shared" ref="GLR6:GOC6" si="81">IFERROR(AVERAGE(GLR7:GLR13),"")</f>
        <v/>
      </c>
      <c r="GLS6" s="97" t="str">
        <f t="shared" si="81"/>
        <v/>
      </c>
      <c r="GLT6" s="97" t="str">
        <f t="shared" si="81"/>
        <v/>
      </c>
      <c r="GLU6" s="97" t="str">
        <f t="shared" si="81"/>
        <v/>
      </c>
      <c r="GLV6" s="97" t="str">
        <f t="shared" si="81"/>
        <v/>
      </c>
      <c r="GLW6" s="97" t="str">
        <f t="shared" si="81"/>
        <v/>
      </c>
      <c r="GLX6" s="97" t="str">
        <f t="shared" si="81"/>
        <v/>
      </c>
      <c r="GLY6" s="97" t="str">
        <f t="shared" si="81"/>
        <v/>
      </c>
      <c r="GLZ6" s="97" t="str">
        <f t="shared" si="81"/>
        <v/>
      </c>
      <c r="GMA6" s="97" t="str">
        <f t="shared" si="81"/>
        <v/>
      </c>
      <c r="GMB6" s="97" t="str">
        <f t="shared" si="81"/>
        <v/>
      </c>
      <c r="GMC6" s="97" t="str">
        <f t="shared" si="81"/>
        <v/>
      </c>
      <c r="GMD6" s="97" t="str">
        <f t="shared" si="81"/>
        <v/>
      </c>
      <c r="GME6" s="97" t="str">
        <f t="shared" si="81"/>
        <v/>
      </c>
      <c r="GMF6" s="97" t="str">
        <f t="shared" si="81"/>
        <v/>
      </c>
      <c r="GMG6" s="97" t="str">
        <f t="shared" si="81"/>
        <v/>
      </c>
      <c r="GMH6" s="97" t="str">
        <f t="shared" si="81"/>
        <v/>
      </c>
      <c r="GMI6" s="97" t="str">
        <f t="shared" si="81"/>
        <v/>
      </c>
      <c r="GMJ6" s="97" t="str">
        <f t="shared" si="81"/>
        <v/>
      </c>
      <c r="GMK6" s="97" t="str">
        <f t="shared" si="81"/>
        <v/>
      </c>
      <c r="GML6" s="97" t="str">
        <f t="shared" si="81"/>
        <v/>
      </c>
      <c r="GMM6" s="97" t="str">
        <f t="shared" si="81"/>
        <v/>
      </c>
      <c r="GMN6" s="97" t="str">
        <f t="shared" si="81"/>
        <v/>
      </c>
      <c r="GMO6" s="97" t="str">
        <f t="shared" si="81"/>
        <v/>
      </c>
      <c r="GMP6" s="97" t="str">
        <f t="shared" si="81"/>
        <v/>
      </c>
      <c r="GMQ6" s="97" t="str">
        <f t="shared" si="81"/>
        <v/>
      </c>
      <c r="GMR6" s="97" t="str">
        <f t="shared" si="81"/>
        <v/>
      </c>
      <c r="GMS6" s="97" t="str">
        <f t="shared" si="81"/>
        <v/>
      </c>
      <c r="GMT6" s="97" t="str">
        <f t="shared" si="81"/>
        <v/>
      </c>
      <c r="GMU6" s="97" t="str">
        <f t="shared" si="81"/>
        <v/>
      </c>
      <c r="GMV6" s="97" t="str">
        <f t="shared" si="81"/>
        <v/>
      </c>
      <c r="GMW6" s="97" t="str">
        <f t="shared" si="81"/>
        <v/>
      </c>
      <c r="GMX6" s="97" t="str">
        <f t="shared" si="81"/>
        <v/>
      </c>
      <c r="GMY6" s="97" t="str">
        <f t="shared" si="81"/>
        <v/>
      </c>
      <c r="GMZ6" s="97" t="str">
        <f t="shared" si="81"/>
        <v/>
      </c>
      <c r="GNA6" s="97" t="str">
        <f t="shared" si="81"/>
        <v/>
      </c>
      <c r="GNB6" s="97" t="str">
        <f t="shared" si="81"/>
        <v/>
      </c>
      <c r="GNC6" s="97" t="str">
        <f t="shared" si="81"/>
        <v/>
      </c>
      <c r="GND6" s="97" t="str">
        <f t="shared" si="81"/>
        <v/>
      </c>
      <c r="GNE6" s="97" t="str">
        <f t="shared" si="81"/>
        <v/>
      </c>
      <c r="GNF6" s="97" t="str">
        <f t="shared" si="81"/>
        <v/>
      </c>
      <c r="GNG6" s="97" t="str">
        <f t="shared" si="81"/>
        <v/>
      </c>
      <c r="GNH6" s="97" t="str">
        <f t="shared" si="81"/>
        <v/>
      </c>
      <c r="GNI6" s="97" t="str">
        <f t="shared" si="81"/>
        <v/>
      </c>
      <c r="GNJ6" s="97" t="str">
        <f t="shared" si="81"/>
        <v/>
      </c>
      <c r="GNK6" s="97" t="str">
        <f t="shared" si="81"/>
        <v/>
      </c>
      <c r="GNL6" s="97" t="str">
        <f t="shared" si="81"/>
        <v/>
      </c>
      <c r="GNM6" s="97" t="str">
        <f t="shared" si="81"/>
        <v/>
      </c>
      <c r="GNN6" s="97" t="str">
        <f t="shared" si="81"/>
        <v/>
      </c>
      <c r="GNO6" s="97" t="str">
        <f t="shared" si="81"/>
        <v/>
      </c>
      <c r="GNP6" s="97" t="str">
        <f t="shared" si="81"/>
        <v/>
      </c>
      <c r="GNQ6" s="97" t="str">
        <f t="shared" si="81"/>
        <v/>
      </c>
      <c r="GNR6" s="97" t="str">
        <f t="shared" si="81"/>
        <v/>
      </c>
      <c r="GNS6" s="97" t="str">
        <f t="shared" si="81"/>
        <v/>
      </c>
      <c r="GNT6" s="97" t="str">
        <f t="shared" si="81"/>
        <v/>
      </c>
      <c r="GNU6" s="97" t="str">
        <f t="shared" si="81"/>
        <v/>
      </c>
      <c r="GNV6" s="97" t="str">
        <f t="shared" si="81"/>
        <v/>
      </c>
      <c r="GNW6" s="97" t="str">
        <f t="shared" si="81"/>
        <v/>
      </c>
      <c r="GNX6" s="97" t="str">
        <f t="shared" si="81"/>
        <v/>
      </c>
      <c r="GNY6" s="97" t="str">
        <f t="shared" si="81"/>
        <v/>
      </c>
      <c r="GNZ6" s="97" t="str">
        <f t="shared" si="81"/>
        <v/>
      </c>
      <c r="GOA6" s="97" t="str">
        <f t="shared" si="81"/>
        <v/>
      </c>
      <c r="GOB6" s="97" t="str">
        <f t="shared" si="81"/>
        <v/>
      </c>
      <c r="GOC6" s="97" t="str">
        <f t="shared" si="81"/>
        <v/>
      </c>
      <c r="GOD6" s="97" t="str">
        <f t="shared" ref="GOD6:GQO6" si="82">IFERROR(AVERAGE(GOD7:GOD13),"")</f>
        <v/>
      </c>
      <c r="GOE6" s="97" t="str">
        <f t="shared" si="82"/>
        <v/>
      </c>
      <c r="GOF6" s="97" t="str">
        <f t="shared" si="82"/>
        <v/>
      </c>
      <c r="GOG6" s="97" t="str">
        <f t="shared" si="82"/>
        <v/>
      </c>
      <c r="GOH6" s="97" t="str">
        <f t="shared" si="82"/>
        <v/>
      </c>
      <c r="GOI6" s="97" t="str">
        <f t="shared" si="82"/>
        <v/>
      </c>
      <c r="GOJ6" s="97" t="str">
        <f t="shared" si="82"/>
        <v/>
      </c>
      <c r="GOK6" s="97" t="str">
        <f t="shared" si="82"/>
        <v/>
      </c>
      <c r="GOL6" s="97" t="str">
        <f t="shared" si="82"/>
        <v/>
      </c>
      <c r="GOM6" s="97" t="str">
        <f t="shared" si="82"/>
        <v/>
      </c>
      <c r="GON6" s="97" t="str">
        <f t="shared" si="82"/>
        <v/>
      </c>
      <c r="GOO6" s="97" t="str">
        <f t="shared" si="82"/>
        <v/>
      </c>
      <c r="GOP6" s="97" t="str">
        <f t="shared" si="82"/>
        <v/>
      </c>
      <c r="GOQ6" s="97" t="str">
        <f t="shared" si="82"/>
        <v/>
      </c>
      <c r="GOR6" s="97" t="str">
        <f t="shared" si="82"/>
        <v/>
      </c>
      <c r="GOS6" s="97" t="str">
        <f t="shared" si="82"/>
        <v/>
      </c>
      <c r="GOT6" s="97" t="str">
        <f t="shared" si="82"/>
        <v/>
      </c>
      <c r="GOU6" s="97" t="str">
        <f t="shared" si="82"/>
        <v/>
      </c>
      <c r="GOV6" s="97" t="str">
        <f t="shared" si="82"/>
        <v/>
      </c>
      <c r="GOW6" s="97" t="str">
        <f t="shared" si="82"/>
        <v/>
      </c>
      <c r="GOX6" s="97" t="str">
        <f t="shared" si="82"/>
        <v/>
      </c>
      <c r="GOY6" s="97" t="str">
        <f t="shared" si="82"/>
        <v/>
      </c>
      <c r="GOZ6" s="97" t="str">
        <f t="shared" si="82"/>
        <v/>
      </c>
      <c r="GPA6" s="97" t="str">
        <f t="shared" si="82"/>
        <v/>
      </c>
      <c r="GPB6" s="97" t="str">
        <f t="shared" si="82"/>
        <v/>
      </c>
      <c r="GPC6" s="97" t="str">
        <f t="shared" si="82"/>
        <v/>
      </c>
      <c r="GPD6" s="97" t="str">
        <f t="shared" si="82"/>
        <v/>
      </c>
      <c r="GPE6" s="97" t="str">
        <f t="shared" si="82"/>
        <v/>
      </c>
      <c r="GPF6" s="97" t="str">
        <f t="shared" si="82"/>
        <v/>
      </c>
      <c r="GPG6" s="97" t="str">
        <f t="shared" si="82"/>
        <v/>
      </c>
      <c r="GPH6" s="97" t="str">
        <f t="shared" si="82"/>
        <v/>
      </c>
      <c r="GPI6" s="97" t="str">
        <f t="shared" si="82"/>
        <v/>
      </c>
      <c r="GPJ6" s="97" t="str">
        <f t="shared" si="82"/>
        <v/>
      </c>
      <c r="GPK6" s="97" t="str">
        <f t="shared" si="82"/>
        <v/>
      </c>
      <c r="GPL6" s="97" t="str">
        <f t="shared" si="82"/>
        <v/>
      </c>
      <c r="GPM6" s="97" t="str">
        <f t="shared" si="82"/>
        <v/>
      </c>
      <c r="GPN6" s="97" t="str">
        <f t="shared" si="82"/>
        <v/>
      </c>
      <c r="GPO6" s="97" t="str">
        <f t="shared" si="82"/>
        <v/>
      </c>
      <c r="GPP6" s="97" t="str">
        <f t="shared" si="82"/>
        <v/>
      </c>
      <c r="GPQ6" s="97" t="str">
        <f t="shared" si="82"/>
        <v/>
      </c>
      <c r="GPR6" s="97" t="str">
        <f t="shared" si="82"/>
        <v/>
      </c>
      <c r="GPS6" s="97" t="str">
        <f t="shared" si="82"/>
        <v/>
      </c>
      <c r="GPT6" s="97" t="str">
        <f t="shared" si="82"/>
        <v/>
      </c>
      <c r="GPU6" s="97" t="str">
        <f t="shared" si="82"/>
        <v/>
      </c>
      <c r="GPV6" s="97" t="str">
        <f t="shared" si="82"/>
        <v/>
      </c>
      <c r="GPW6" s="97" t="str">
        <f t="shared" si="82"/>
        <v/>
      </c>
      <c r="GPX6" s="97" t="str">
        <f t="shared" si="82"/>
        <v/>
      </c>
      <c r="GPY6" s="97" t="str">
        <f t="shared" si="82"/>
        <v/>
      </c>
      <c r="GPZ6" s="97" t="str">
        <f t="shared" si="82"/>
        <v/>
      </c>
      <c r="GQA6" s="97" t="str">
        <f t="shared" si="82"/>
        <v/>
      </c>
      <c r="GQB6" s="97" t="str">
        <f t="shared" si="82"/>
        <v/>
      </c>
      <c r="GQC6" s="97" t="str">
        <f t="shared" si="82"/>
        <v/>
      </c>
      <c r="GQD6" s="97" t="str">
        <f t="shared" si="82"/>
        <v/>
      </c>
      <c r="GQE6" s="97" t="str">
        <f t="shared" si="82"/>
        <v/>
      </c>
      <c r="GQF6" s="97" t="str">
        <f t="shared" si="82"/>
        <v/>
      </c>
      <c r="GQG6" s="97" t="str">
        <f t="shared" si="82"/>
        <v/>
      </c>
      <c r="GQH6" s="97" t="str">
        <f t="shared" si="82"/>
        <v/>
      </c>
      <c r="GQI6" s="97" t="str">
        <f t="shared" si="82"/>
        <v/>
      </c>
      <c r="GQJ6" s="97" t="str">
        <f t="shared" si="82"/>
        <v/>
      </c>
      <c r="GQK6" s="97" t="str">
        <f t="shared" si="82"/>
        <v/>
      </c>
      <c r="GQL6" s="97" t="str">
        <f t="shared" si="82"/>
        <v/>
      </c>
      <c r="GQM6" s="97" t="str">
        <f t="shared" si="82"/>
        <v/>
      </c>
      <c r="GQN6" s="97" t="str">
        <f t="shared" si="82"/>
        <v/>
      </c>
      <c r="GQO6" s="97" t="str">
        <f t="shared" si="82"/>
        <v/>
      </c>
      <c r="GQP6" s="97" t="str">
        <f t="shared" ref="GQP6:GTA6" si="83">IFERROR(AVERAGE(GQP7:GQP13),"")</f>
        <v/>
      </c>
      <c r="GQQ6" s="97" t="str">
        <f t="shared" si="83"/>
        <v/>
      </c>
      <c r="GQR6" s="97" t="str">
        <f t="shared" si="83"/>
        <v/>
      </c>
      <c r="GQS6" s="97" t="str">
        <f t="shared" si="83"/>
        <v/>
      </c>
      <c r="GQT6" s="97" t="str">
        <f t="shared" si="83"/>
        <v/>
      </c>
      <c r="GQU6" s="97" t="str">
        <f t="shared" si="83"/>
        <v/>
      </c>
      <c r="GQV6" s="97" t="str">
        <f t="shared" si="83"/>
        <v/>
      </c>
      <c r="GQW6" s="97" t="str">
        <f t="shared" si="83"/>
        <v/>
      </c>
      <c r="GQX6" s="97" t="str">
        <f t="shared" si="83"/>
        <v/>
      </c>
      <c r="GQY6" s="97" t="str">
        <f t="shared" si="83"/>
        <v/>
      </c>
      <c r="GQZ6" s="97" t="str">
        <f t="shared" si="83"/>
        <v/>
      </c>
      <c r="GRA6" s="97" t="str">
        <f t="shared" si="83"/>
        <v/>
      </c>
      <c r="GRB6" s="97" t="str">
        <f t="shared" si="83"/>
        <v/>
      </c>
      <c r="GRC6" s="97" t="str">
        <f t="shared" si="83"/>
        <v/>
      </c>
      <c r="GRD6" s="97" t="str">
        <f t="shared" si="83"/>
        <v/>
      </c>
      <c r="GRE6" s="97" t="str">
        <f t="shared" si="83"/>
        <v/>
      </c>
      <c r="GRF6" s="97" t="str">
        <f t="shared" si="83"/>
        <v/>
      </c>
      <c r="GRG6" s="97" t="str">
        <f t="shared" si="83"/>
        <v/>
      </c>
      <c r="GRH6" s="97" t="str">
        <f t="shared" si="83"/>
        <v/>
      </c>
      <c r="GRI6" s="97" t="str">
        <f t="shared" si="83"/>
        <v/>
      </c>
      <c r="GRJ6" s="97" t="str">
        <f t="shared" si="83"/>
        <v/>
      </c>
      <c r="GRK6" s="97" t="str">
        <f t="shared" si="83"/>
        <v/>
      </c>
      <c r="GRL6" s="97" t="str">
        <f t="shared" si="83"/>
        <v/>
      </c>
      <c r="GRM6" s="97" t="str">
        <f t="shared" si="83"/>
        <v/>
      </c>
      <c r="GRN6" s="97" t="str">
        <f t="shared" si="83"/>
        <v/>
      </c>
      <c r="GRO6" s="97" t="str">
        <f t="shared" si="83"/>
        <v/>
      </c>
      <c r="GRP6" s="97" t="str">
        <f t="shared" si="83"/>
        <v/>
      </c>
      <c r="GRQ6" s="97" t="str">
        <f t="shared" si="83"/>
        <v/>
      </c>
      <c r="GRR6" s="97" t="str">
        <f t="shared" si="83"/>
        <v/>
      </c>
      <c r="GRS6" s="97" t="str">
        <f t="shared" si="83"/>
        <v/>
      </c>
      <c r="GRT6" s="97" t="str">
        <f t="shared" si="83"/>
        <v/>
      </c>
      <c r="GRU6" s="97" t="str">
        <f t="shared" si="83"/>
        <v/>
      </c>
      <c r="GRV6" s="97" t="str">
        <f t="shared" si="83"/>
        <v/>
      </c>
      <c r="GRW6" s="97" t="str">
        <f t="shared" si="83"/>
        <v/>
      </c>
      <c r="GRX6" s="97" t="str">
        <f t="shared" si="83"/>
        <v/>
      </c>
      <c r="GRY6" s="97" t="str">
        <f t="shared" si="83"/>
        <v/>
      </c>
      <c r="GRZ6" s="97" t="str">
        <f t="shared" si="83"/>
        <v/>
      </c>
      <c r="GSA6" s="97" t="str">
        <f t="shared" si="83"/>
        <v/>
      </c>
      <c r="GSB6" s="97" t="str">
        <f t="shared" si="83"/>
        <v/>
      </c>
      <c r="GSC6" s="97" t="str">
        <f t="shared" si="83"/>
        <v/>
      </c>
      <c r="GSD6" s="97" t="str">
        <f t="shared" si="83"/>
        <v/>
      </c>
      <c r="GSE6" s="97" t="str">
        <f t="shared" si="83"/>
        <v/>
      </c>
      <c r="GSF6" s="97" t="str">
        <f t="shared" si="83"/>
        <v/>
      </c>
      <c r="GSG6" s="97" t="str">
        <f t="shared" si="83"/>
        <v/>
      </c>
      <c r="GSH6" s="97" t="str">
        <f t="shared" si="83"/>
        <v/>
      </c>
      <c r="GSI6" s="97" t="str">
        <f t="shared" si="83"/>
        <v/>
      </c>
      <c r="GSJ6" s="97" t="str">
        <f t="shared" si="83"/>
        <v/>
      </c>
      <c r="GSK6" s="97" t="str">
        <f t="shared" si="83"/>
        <v/>
      </c>
      <c r="GSL6" s="97" t="str">
        <f t="shared" si="83"/>
        <v/>
      </c>
      <c r="GSM6" s="97" t="str">
        <f t="shared" si="83"/>
        <v/>
      </c>
      <c r="GSN6" s="97" t="str">
        <f t="shared" si="83"/>
        <v/>
      </c>
      <c r="GSO6" s="97" t="str">
        <f t="shared" si="83"/>
        <v/>
      </c>
      <c r="GSP6" s="97" t="str">
        <f t="shared" si="83"/>
        <v/>
      </c>
      <c r="GSQ6" s="97" t="str">
        <f t="shared" si="83"/>
        <v/>
      </c>
      <c r="GSR6" s="97" t="str">
        <f t="shared" si="83"/>
        <v/>
      </c>
      <c r="GSS6" s="97" t="str">
        <f t="shared" si="83"/>
        <v/>
      </c>
      <c r="GST6" s="97" t="str">
        <f t="shared" si="83"/>
        <v/>
      </c>
      <c r="GSU6" s="97" t="str">
        <f t="shared" si="83"/>
        <v/>
      </c>
      <c r="GSV6" s="97" t="str">
        <f t="shared" si="83"/>
        <v/>
      </c>
      <c r="GSW6" s="97" t="str">
        <f t="shared" si="83"/>
        <v/>
      </c>
      <c r="GSX6" s="97" t="str">
        <f t="shared" si="83"/>
        <v/>
      </c>
      <c r="GSY6" s="97" t="str">
        <f t="shared" si="83"/>
        <v/>
      </c>
      <c r="GSZ6" s="97" t="str">
        <f t="shared" si="83"/>
        <v/>
      </c>
      <c r="GTA6" s="97" t="str">
        <f t="shared" si="83"/>
        <v/>
      </c>
      <c r="GTB6" s="97" t="str">
        <f t="shared" ref="GTB6:GVM6" si="84">IFERROR(AVERAGE(GTB7:GTB13),"")</f>
        <v/>
      </c>
      <c r="GTC6" s="97" t="str">
        <f t="shared" si="84"/>
        <v/>
      </c>
      <c r="GTD6" s="97" t="str">
        <f t="shared" si="84"/>
        <v/>
      </c>
      <c r="GTE6" s="97" t="str">
        <f t="shared" si="84"/>
        <v/>
      </c>
      <c r="GTF6" s="97" t="str">
        <f t="shared" si="84"/>
        <v/>
      </c>
      <c r="GTG6" s="97" t="str">
        <f t="shared" si="84"/>
        <v/>
      </c>
      <c r="GTH6" s="97" t="str">
        <f t="shared" si="84"/>
        <v/>
      </c>
      <c r="GTI6" s="97" t="str">
        <f t="shared" si="84"/>
        <v/>
      </c>
      <c r="GTJ6" s="97" t="str">
        <f t="shared" si="84"/>
        <v/>
      </c>
      <c r="GTK6" s="97" t="str">
        <f t="shared" si="84"/>
        <v/>
      </c>
      <c r="GTL6" s="97" t="str">
        <f t="shared" si="84"/>
        <v/>
      </c>
      <c r="GTM6" s="97" t="str">
        <f t="shared" si="84"/>
        <v/>
      </c>
      <c r="GTN6" s="97" t="str">
        <f t="shared" si="84"/>
        <v/>
      </c>
      <c r="GTO6" s="97" t="str">
        <f t="shared" si="84"/>
        <v/>
      </c>
      <c r="GTP6" s="97" t="str">
        <f t="shared" si="84"/>
        <v/>
      </c>
      <c r="GTQ6" s="97" t="str">
        <f t="shared" si="84"/>
        <v/>
      </c>
      <c r="GTR6" s="97" t="str">
        <f t="shared" si="84"/>
        <v/>
      </c>
      <c r="GTS6" s="97" t="str">
        <f t="shared" si="84"/>
        <v/>
      </c>
      <c r="GTT6" s="97" t="str">
        <f t="shared" si="84"/>
        <v/>
      </c>
      <c r="GTU6" s="97" t="str">
        <f t="shared" si="84"/>
        <v/>
      </c>
      <c r="GTV6" s="97" t="str">
        <f t="shared" si="84"/>
        <v/>
      </c>
      <c r="GTW6" s="97" t="str">
        <f t="shared" si="84"/>
        <v/>
      </c>
      <c r="GTX6" s="97" t="str">
        <f t="shared" si="84"/>
        <v/>
      </c>
      <c r="GTY6" s="97" t="str">
        <f t="shared" si="84"/>
        <v/>
      </c>
      <c r="GTZ6" s="97" t="str">
        <f t="shared" si="84"/>
        <v/>
      </c>
      <c r="GUA6" s="97" t="str">
        <f t="shared" si="84"/>
        <v/>
      </c>
      <c r="GUB6" s="97" t="str">
        <f t="shared" si="84"/>
        <v/>
      </c>
      <c r="GUC6" s="97" t="str">
        <f t="shared" si="84"/>
        <v/>
      </c>
      <c r="GUD6" s="97" t="str">
        <f t="shared" si="84"/>
        <v/>
      </c>
      <c r="GUE6" s="97" t="str">
        <f t="shared" si="84"/>
        <v/>
      </c>
      <c r="GUF6" s="97" t="str">
        <f t="shared" si="84"/>
        <v/>
      </c>
      <c r="GUG6" s="97" t="str">
        <f t="shared" si="84"/>
        <v/>
      </c>
      <c r="GUH6" s="97" t="str">
        <f t="shared" si="84"/>
        <v/>
      </c>
      <c r="GUI6" s="97" t="str">
        <f t="shared" si="84"/>
        <v/>
      </c>
      <c r="GUJ6" s="97" t="str">
        <f t="shared" si="84"/>
        <v/>
      </c>
      <c r="GUK6" s="97" t="str">
        <f t="shared" si="84"/>
        <v/>
      </c>
      <c r="GUL6" s="97" t="str">
        <f t="shared" si="84"/>
        <v/>
      </c>
      <c r="GUM6" s="97" t="str">
        <f t="shared" si="84"/>
        <v/>
      </c>
      <c r="GUN6" s="97" t="str">
        <f t="shared" si="84"/>
        <v/>
      </c>
      <c r="GUO6" s="97" t="str">
        <f t="shared" si="84"/>
        <v/>
      </c>
      <c r="GUP6" s="97" t="str">
        <f t="shared" si="84"/>
        <v/>
      </c>
      <c r="GUQ6" s="97" t="str">
        <f t="shared" si="84"/>
        <v/>
      </c>
      <c r="GUR6" s="97" t="str">
        <f t="shared" si="84"/>
        <v/>
      </c>
      <c r="GUS6" s="97" t="str">
        <f t="shared" si="84"/>
        <v/>
      </c>
      <c r="GUT6" s="97" t="str">
        <f t="shared" si="84"/>
        <v/>
      </c>
      <c r="GUU6" s="97" t="str">
        <f t="shared" si="84"/>
        <v/>
      </c>
      <c r="GUV6" s="97" t="str">
        <f t="shared" si="84"/>
        <v/>
      </c>
      <c r="GUW6" s="97" t="str">
        <f t="shared" si="84"/>
        <v/>
      </c>
      <c r="GUX6" s="97" t="str">
        <f t="shared" si="84"/>
        <v/>
      </c>
      <c r="GUY6" s="97" t="str">
        <f t="shared" si="84"/>
        <v/>
      </c>
      <c r="GUZ6" s="97" t="str">
        <f t="shared" si="84"/>
        <v/>
      </c>
      <c r="GVA6" s="97" t="str">
        <f t="shared" si="84"/>
        <v/>
      </c>
      <c r="GVB6" s="97" t="str">
        <f t="shared" si="84"/>
        <v/>
      </c>
      <c r="GVC6" s="97" t="str">
        <f t="shared" si="84"/>
        <v/>
      </c>
      <c r="GVD6" s="97" t="str">
        <f t="shared" si="84"/>
        <v/>
      </c>
      <c r="GVE6" s="97" t="str">
        <f t="shared" si="84"/>
        <v/>
      </c>
      <c r="GVF6" s="97" t="str">
        <f t="shared" si="84"/>
        <v/>
      </c>
      <c r="GVG6" s="97" t="str">
        <f t="shared" si="84"/>
        <v/>
      </c>
      <c r="GVH6" s="97" t="str">
        <f t="shared" si="84"/>
        <v/>
      </c>
      <c r="GVI6" s="97" t="str">
        <f t="shared" si="84"/>
        <v/>
      </c>
      <c r="GVJ6" s="97" t="str">
        <f t="shared" si="84"/>
        <v/>
      </c>
      <c r="GVK6" s="97" t="str">
        <f t="shared" si="84"/>
        <v/>
      </c>
      <c r="GVL6" s="97" t="str">
        <f t="shared" si="84"/>
        <v/>
      </c>
      <c r="GVM6" s="97" t="str">
        <f t="shared" si="84"/>
        <v/>
      </c>
      <c r="GVN6" s="97" t="str">
        <f t="shared" ref="GVN6:GXY6" si="85">IFERROR(AVERAGE(GVN7:GVN13),"")</f>
        <v/>
      </c>
      <c r="GVO6" s="97" t="str">
        <f t="shared" si="85"/>
        <v/>
      </c>
      <c r="GVP6" s="97" t="str">
        <f t="shared" si="85"/>
        <v/>
      </c>
      <c r="GVQ6" s="97" t="str">
        <f t="shared" si="85"/>
        <v/>
      </c>
      <c r="GVR6" s="97" t="str">
        <f t="shared" si="85"/>
        <v/>
      </c>
      <c r="GVS6" s="97" t="str">
        <f t="shared" si="85"/>
        <v/>
      </c>
      <c r="GVT6" s="97" t="str">
        <f t="shared" si="85"/>
        <v/>
      </c>
      <c r="GVU6" s="97" t="str">
        <f t="shared" si="85"/>
        <v/>
      </c>
      <c r="GVV6" s="97" t="str">
        <f t="shared" si="85"/>
        <v/>
      </c>
      <c r="GVW6" s="97" t="str">
        <f t="shared" si="85"/>
        <v/>
      </c>
      <c r="GVX6" s="97" t="str">
        <f t="shared" si="85"/>
        <v/>
      </c>
      <c r="GVY6" s="97" t="str">
        <f t="shared" si="85"/>
        <v/>
      </c>
      <c r="GVZ6" s="97" t="str">
        <f t="shared" si="85"/>
        <v/>
      </c>
      <c r="GWA6" s="97" t="str">
        <f t="shared" si="85"/>
        <v/>
      </c>
      <c r="GWB6" s="97" t="str">
        <f t="shared" si="85"/>
        <v/>
      </c>
      <c r="GWC6" s="97" t="str">
        <f t="shared" si="85"/>
        <v/>
      </c>
      <c r="GWD6" s="97" t="str">
        <f t="shared" si="85"/>
        <v/>
      </c>
      <c r="GWE6" s="97" t="str">
        <f t="shared" si="85"/>
        <v/>
      </c>
      <c r="GWF6" s="97" t="str">
        <f t="shared" si="85"/>
        <v/>
      </c>
      <c r="GWG6" s="97" t="str">
        <f t="shared" si="85"/>
        <v/>
      </c>
      <c r="GWH6" s="97" t="str">
        <f t="shared" si="85"/>
        <v/>
      </c>
      <c r="GWI6" s="97" t="str">
        <f t="shared" si="85"/>
        <v/>
      </c>
      <c r="GWJ6" s="97" t="str">
        <f t="shared" si="85"/>
        <v/>
      </c>
      <c r="GWK6" s="97" t="str">
        <f t="shared" si="85"/>
        <v/>
      </c>
      <c r="GWL6" s="97" t="str">
        <f t="shared" si="85"/>
        <v/>
      </c>
      <c r="GWM6" s="97" t="str">
        <f t="shared" si="85"/>
        <v/>
      </c>
      <c r="GWN6" s="97" t="str">
        <f t="shared" si="85"/>
        <v/>
      </c>
      <c r="GWO6" s="97" t="str">
        <f t="shared" si="85"/>
        <v/>
      </c>
      <c r="GWP6" s="97" t="str">
        <f t="shared" si="85"/>
        <v/>
      </c>
      <c r="GWQ6" s="97" t="str">
        <f t="shared" si="85"/>
        <v/>
      </c>
      <c r="GWR6" s="97" t="str">
        <f t="shared" si="85"/>
        <v/>
      </c>
      <c r="GWS6" s="97" t="str">
        <f t="shared" si="85"/>
        <v/>
      </c>
      <c r="GWT6" s="97" t="str">
        <f t="shared" si="85"/>
        <v/>
      </c>
      <c r="GWU6" s="97" t="str">
        <f t="shared" si="85"/>
        <v/>
      </c>
      <c r="GWV6" s="97" t="str">
        <f t="shared" si="85"/>
        <v/>
      </c>
      <c r="GWW6" s="97" t="str">
        <f t="shared" si="85"/>
        <v/>
      </c>
      <c r="GWX6" s="97" t="str">
        <f t="shared" si="85"/>
        <v/>
      </c>
      <c r="GWY6" s="97" t="str">
        <f t="shared" si="85"/>
        <v/>
      </c>
      <c r="GWZ6" s="97" t="str">
        <f t="shared" si="85"/>
        <v/>
      </c>
      <c r="GXA6" s="97" t="str">
        <f t="shared" si="85"/>
        <v/>
      </c>
      <c r="GXB6" s="97" t="str">
        <f t="shared" si="85"/>
        <v/>
      </c>
      <c r="GXC6" s="97" t="str">
        <f t="shared" si="85"/>
        <v/>
      </c>
      <c r="GXD6" s="97" t="str">
        <f t="shared" si="85"/>
        <v/>
      </c>
      <c r="GXE6" s="97" t="str">
        <f t="shared" si="85"/>
        <v/>
      </c>
      <c r="GXF6" s="97" t="str">
        <f t="shared" si="85"/>
        <v/>
      </c>
      <c r="GXG6" s="97" t="str">
        <f t="shared" si="85"/>
        <v/>
      </c>
      <c r="GXH6" s="97" t="str">
        <f t="shared" si="85"/>
        <v/>
      </c>
      <c r="GXI6" s="97" t="str">
        <f t="shared" si="85"/>
        <v/>
      </c>
      <c r="GXJ6" s="97" t="str">
        <f t="shared" si="85"/>
        <v/>
      </c>
      <c r="GXK6" s="97" t="str">
        <f t="shared" si="85"/>
        <v/>
      </c>
      <c r="GXL6" s="97" t="str">
        <f t="shared" si="85"/>
        <v/>
      </c>
      <c r="GXM6" s="97" t="str">
        <f t="shared" si="85"/>
        <v/>
      </c>
      <c r="GXN6" s="97" t="str">
        <f t="shared" si="85"/>
        <v/>
      </c>
      <c r="GXO6" s="97" t="str">
        <f t="shared" si="85"/>
        <v/>
      </c>
      <c r="GXP6" s="97" t="str">
        <f t="shared" si="85"/>
        <v/>
      </c>
      <c r="GXQ6" s="97" t="str">
        <f t="shared" si="85"/>
        <v/>
      </c>
      <c r="GXR6" s="97" t="str">
        <f t="shared" si="85"/>
        <v/>
      </c>
      <c r="GXS6" s="97" t="str">
        <f t="shared" si="85"/>
        <v/>
      </c>
      <c r="GXT6" s="97" t="str">
        <f t="shared" si="85"/>
        <v/>
      </c>
      <c r="GXU6" s="97" t="str">
        <f t="shared" si="85"/>
        <v/>
      </c>
      <c r="GXV6" s="97" t="str">
        <f t="shared" si="85"/>
        <v/>
      </c>
      <c r="GXW6" s="97" t="str">
        <f t="shared" si="85"/>
        <v/>
      </c>
      <c r="GXX6" s="97" t="str">
        <f t="shared" si="85"/>
        <v/>
      </c>
      <c r="GXY6" s="97" t="str">
        <f t="shared" si="85"/>
        <v/>
      </c>
      <c r="GXZ6" s="97" t="str">
        <f t="shared" ref="GXZ6:HAK6" si="86">IFERROR(AVERAGE(GXZ7:GXZ13),"")</f>
        <v/>
      </c>
      <c r="GYA6" s="97" t="str">
        <f t="shared" si="86"/>
        <v/>
      </c>
      <c r="GYB6" s="97" t="str">
        <f t="shared" si="86"/>
        <v/>
      </c>
      <c r="GYC6" s="97" t="str">
        <f t="shared" si="86"/>
        <v/>
      </c>
      <c r="GYD6" s="97" t="str">
        <f t="shared" si="86"/>
        <v/>
      </c>
      <c r="GYE6" s="97" t="str">
        <f t="shared" si="86"/>
        <v/>
      </c>
      <c r="GYF6" s="97" t="str">
        <f t="shared" si="86"/>
        <v/>
      </c>
      <c r="GYG6" s="97" t="str">
        <f t="shared" si="86"/>
        <v/>
      </c>
      <c r="GYH6" s="97" t="str">
        <f t="shared" si="86"/>
        <v/>
      </c>
      <c r="GYI6" s="97" t="str">
        <f t="shared" si="86"/>
        <v/>
      </c>
      <c r="GYJ6" s="97" t="str">
        <f t="shared" si="86"/>
        <v/>
      </c>
      <c r="GYK6" s="97" t="str">
        <f t="shared" si="86"/>
        <v/>
      </c>
      <c r="GYL6" s="97" t="str">
        <f t="shared" si="86"/>
        <v/>
      </c>
      <c r="GYM6" s="97" t="str">
        <f t="shared" si="86"/>
        <v/>
      </c>
      <c r="GYN6" s="97" t="str">
        <f t="shared" si="86"/>
        <v/>
      </c>
      <c r="GYO6" s="97" t="str">
        <f t="shared" si="86"/>
        <v/>
      </c>
      <c r="GYP6" s="97" t="str">
        <f t="shared" si="86"/>
        <v/>
      </c>
      <c r="GYQ6" s="97" t="str">
        <f t="shared" si="86"/>
        <v/>
      </c>
      <c r="GYR6" s="97" t="str">
        <f t="shared" si="86"/>
        <v/>
      </c>
      <c r="GYS6" s="97" t="str">
        <f t="shared" si="86"/>
        <v/>
      </c>
      <c r="GYT6" s="97" t="str">
        <f t="shared" si="86"/>
        <v/>
      </c>
      <c r="GYU6" s="97" t="str">
        <f t="shared" si="86"/>
        <v/>
      </c>
      <c r="GYV6" s="97" t="str">
        <f t="shared" si="86"/>
        <v/>
      </c>
      <c r="GYW6" s="97" t="str">
        <f t="shared" si="86"/>
        <v/>
      </c>
      <c r="GYX6" s="97" t="str">
        <f t="shared" si="86"/>
        <v/>
      </c>
      <c r="GYY6" s="97" t="str">
        <f t="shared" si="86"/>
        <v/>
      </c>
      <c r="GYZ6" s="97" t="str">
        <f t="shared" si="86"/>
        <v/>
      </c>
      <c r="GZA6" s="97" t="str">
        <f t="shared" si="86"/>
        <v/>
      </c>
      <c r="GZB6" s="97" t="str">
        <f t="shared" si="86"/>
        <v/>
      </c>
      <c r="GZC6" s="97" t="str">
        <f t="shared" si="86"/>
        <v/>
      </c>
      <c r="GZD6" s="97" t="str">
        <f t="shared" si="86"/>
        <v/>
      </c>
      <c r="GZE6" s="97" t="str">
        <f t="shared" si="86"/>
        <v/>
      </c>
      <c r="GZF6" s="97" t="str">
        <f t="shared" si="86"/>
        <v/>
      </c>
      <c r="GZG6" s="97" t="str">
        <f t="shared" si="86"/>
        <v/>
      </c>
      <c r="GZH6" s="97" t="str">
        <f t="shared" si="86"/>
        <v/>
      </c>
      <c r="GZI6" s="97" t="str">
        <f t="shared" si="86"/>
        <v/>
      </c>
      <c r="GZJ6" s="97" t="str">
        <f t="shared" si="86"/>
        <v/>
      </c>
      <c r="GZK6" s="97" t="str">
        <f t="shared" si="86"/>
        <v/>
      </c>
      <c r="GZL6" s="97" t="str">
        <f t="shared" si="86"/>
        <v/>
      </c>
      <c r="GZM6" s="97" t="str">
        <f t="shared" si="86"/>
        <v/>
      </c>
      <c r="GZN6" s="97" t="str">
        <f t="shared" si="86"/>
        <v/>
      </c>
      <c r="GZO6" s="97" t="str">
        <f t="shared" si="86"/>
        <v/>
      </c>
      <c r="GZP6" s="97" t="str">
        <f t="shared" si="86"/>
        <v/>
      </c>
      <c r="GZQ6" s="97" t="str">
        <f t="shared" si="86"/>
        <v/>
      </c>
      <c r="GZR6" s="97" t="str">
        <f t="shared" si="86"/>
        <v/>
      </c>
      <c r="GZS6" s="97" t="str">
        <f t="shared" si="86"/>
        <v/>
      </c>
      <c r="GZT6" s="97" t="str">
        <f t="shared" si="86"/>
        <v/>
      </c>
      <c r="GZU6" s="97" t="str">
        <f t="shared" si="86"/>
        <v/>
      </c>
      <c r="GZV6" s="97" t="str">
        <f t="shared" si="86"/>
        <v/>
      </c>
      <c r="GZW6" s="97" t="str">
        <f t="shared" si="86"/>
        <v/>
      </c>
      <c r="GZX6" s="97" t="str">
        <f t="shared" si="86"/>
        <v/>
      </c>
      <c r="GZY6" s="97" t="str">
        <f t="shared" si="86"/>
        <v/>
      </c>
      <c r="GZZ6" s="97" t="str">
        <f t="shared" si="86"/>
        <v/>
      </c>
      <c r="HAA6" s="97" t="str">
        <f t="shared" si="86"/>
        <v/>
      </c>
      <c r="HAB6" s="97" t="str">
        <f t="shared" si="86"/>
        <v/>
      </c>
      <c r="HAC6" s="97" t="str">
        <f t="shared" si="86"/>
        <v/>
      </c>
      <c r="HAD6" s="97" t="str">
        <f t="shared" si="86"/>
        <v/>
      </c>
      <c r="HAE6" s="97" t="str">
        <f t="shared" si="86"/>
        <v/>
      </c>
      <c r="HAF6" s="97" t="str">
        <f t="shared" si="86"/>
        <v/>
      </c>
      <c r="HAG6" s="97" t="str">
        <f t="shared" si="86"/>
        <v/>
      </c>
      <c r="HAH6" s="97" t="str">
        <f t="shared" si="86"/>
        <v/>
      </c>
      <c r="HAI6" s="97" t="str">
        <f t="shared" si="86"/>
        <v/>
      </c>
      <c r="HAJ6" s="97" t="str">
        <f t="shared" si="86"/>
        <v/>
      </c>
      <c r="HAK6" s="97" t="str">
        <f t="shared" si="86"/>
        <v/>
      </c>
      <c r="HAL6" s="97" t="str">
        <f t="shared" ref="HAL6:HCW6" si="87">IFERROR(AVERAGE(HAL7:HAL13),"")</f>
        <v/>
      </c>
      <c r="HAM6" s="97" t="str">
        <f t="shared" si="87"/>
        <v/>
      </c>
      <c r="HAN6" s="97" t="str">
        <f t="shared" si="87"/>
        <v/>
      </c>
      <c r="HAO6" s="97" t="str">
        <f t="shared" si="87"/>
        <v/>
      </c>
      <c r="HAP6" s="97" t="str">
        <f t="shared" si="87"/>
        <v/>
      </c>
      <c r="HAQ6" s="97" t="str">
        <f t="shared" si="87"/>
        <v/>
      </c>
      <c r="HAR6" s="97" t="str">
        <f t="shared" si="87"/>
        <v/>
      </c>
      <c r="HAS6" s="97" t="str">
        <f t="shared" si="87"/>
        <v/>
      </c>
      <c r="HAT6" s="97" t="str">
        <f t="shared" si="87"/>
        <v/>
      </c>
      <c r="HAU6" s="97" t="str">
        <f t="shared" si="87"/>
        <v/>
      </c>
      <c r="HAV6" s="97" t="str">
        <f t="shared" si="87"/>
        <v/>
      </c>
      <c r="HAW6" s="97" t="str">
        <f t="shared" si="87"/>
        <v/>
      </c>
      <c r="HAX6" s="97" t="str">
        <f t="shared" si="87"/>
        <v/>
      </c>
      <c r="HAY6" s="97" t="str">
        <f t="shared" si="87"/>
        <v/>
      </c>
      <c r="HAZ6" s="97" t="str">
        <f t="shared" si="87"/>
        <v/>
      </c>
      <c r="HBA6" s="97" t="str">
        <f t="shared" si="87"/>
        <v/>
      </c>
      <c r="HBB6" s="97" t="str">
        <f t="shared" si="87"/>
        <v/>
      </c>
      <c r="HBC6" s="97" t="str">
        <f t="shared" si="87"/>
        <v/>
      </c>
      <c r="HBD6" s="97" t="str">
        <f t="shared" si="87"/>
        <v/>
      </c>
      <c r="HBE6" s="97" t="str">
        <f t="shared" si="87"/>
        <v/>
      </c>
      <c r="HBF6" s="97" t="str">
        <f t="shared" si="87"/>
        <v/>
      </c>
      <c r="HBG6" s="97" t="str">
        <f t="shared" si="87"/>
        <v/>
      </c>
      <c r="HBH6" s="97" t="str">
        <f t="shared" si="87"/>
        <v/>
      </c>
      <c r="HBI6" s="97" t="str">
        <f t="shared" si="87"/>
        <v/>
      </c>
      <c r="HBJ6" s="97" t="str">
        <f t="shared" si="87"/>
        <v/>
      </c>
      <c r="HBK6" s="97" t="str">
        <f t="shared" si="87"/>
        <v/>
      </c>
      <c r="HBL6" s="97" t="str">
        <f t="shared" si="87"/>
        <v/>
      </c>
      <c r="HBM6" s="97" t="str">
        <f t="shared" si="87"/>
        <v/>
      </c>
      <c r="HBN6" s="97" t="str">
        <f t="shared" si="87"/>
        <v/>
      </c>
      <c r="HBO6" s="97" t="str">
        <f t="shared" si="87"/>
        <v/>
      </c>
      <c r="HBP6" s="97" t="str">
        <f t="shared" si="87"/>
        <v/>
      </c>
      <c r="HBQ6" s="97" t="str">
        <f t="shared" si="87"/>
        <v/>
      </c>
      <c r="HBR6" s="97" t="str">
        <f t="shared" si="87"/>
        <v/>
      </c>
      <c r="HBS6" s="97" t="str">
        <f t="shared" si="87"/>
        <v/>
      </c>
      <c r="HBT6" s="97" t="str">
        <f t="shared" si="87"/>
        <v/>
      </c>
      <c r="HBU6" s="97" t="str">
        <f t="shared" si="87"/>
        <v/>
      </c>
      <c r="HBV6" s="97" t="str">
        <f t="shared" si="87"/>
        <v/>
      </c>
      <c r="HBW6" s="97" t="str">
        <f t="shared" si="87"/>
        <v/>
      </c>
      <c r="HBX6" s="97" t="str">
        <f t="shared" si="87"/>
        <v/>
      </c>
      <c r="HBY6" s="97" t="str">
        <f t="shared" si="87"/>
        <v/>
      </c>
      <c r="HBZ6" s="97" t="str">
        <f t="shared" si="87"/>
        <v/>
      </c>
      <c r="HCA6" s="97" t="str">
        <f t="shared" si="87"/>
        <v/>
      </c>
      <c r="HCB6" s="97" t="str">
        <f t="shared" si="87"/>
        <v/>
      </c>
      <c r="HCC6" s="97" t="str">
        <f t="shared" si="87"/>
        <v/>
      </c>
      <c r="HCD6" s="97" t="str">
        <f t="shared" si="87"/>
        <v/>
      </c>
      <c r="HCE6" s="97" t="str">
        <f t="shared" si="87"/>
        <v/>
      </c>
      <c r="HCF6" s="97" t="str">
        <f t="shared" si="87"/>
        <v/>
      </c>
      <c r="HCG6" s="97" t="str">
        <f t="shared" si="87"/>
        <v/>
      </c>
      <c r="HCH6" s="97" t="str">
        <f t="shared" si="87"/>
        <v/>
      </c>
      <c r="HCI6" s="97" t="str">
        <f t="shared" si="87"/>
        <v/>
      </c>
      <c r="HCJ6" s="97" t="str">
        <f t="shared" si="87"/>
        <v/>
      </c>
      <c r="HCK6" s="97" t="str">
        <f t="shared" si="87"/>
        <v/>
      </c>
      <c r="HCL6" s="97" t="str">
        <f t="shared" si="87"/>
        <v/>
      </c>
      <c r="HCM6" s="97" t="str">
        <f t="shared" si="87"/>
        <v/>
      </c>
      <c r="HCN6" s="97" t="str">
        <f t="shared" si="87"/>
        <v/>
      </c>
      <c r="HCO6" s="97" t="str">
        <f t="shared" si="87"/>
        <v/>
      </c>
      <c r="HCP6" s="97" t="str">
        <f t="shared" si="87"/>
        <v/>
      </c>
      <c r="HCQ6" s="97" t="str">
        <f t="shared" si="87"/>
        <v/>
      </c>
      <c r="HCR6" s="97" t="str">
        <f t="shared" si="87"/>
        <v/>
      </c>
      <c r="HCS6" s="97" t="str">
        <f t="shared" si="87"/>
        <v/>
      </c>
      <c r="HCT6" s="97" t="str">
        <f t="shared" si="87"/>
        <v/>
      </c>
      <c r="HCU6" s="97" t="str">
        <f t="shared" si="87"/>
        <v/>
      </c>
      <c r="HCV6" s="97" t="str">
        <f t="shared" si="87"/>
        <v/>
      </c>
      <c r="HCW6" s="97" t="str">
        <f t="shared" si="87"/>
        <v/>
      </c>
      <c r="HCX6" s="97" t="str">
        <f t="shared" ref="HCX6:HFI6" si="88">IFERROR(AVERAGE(HCX7:HCX13),"")</f>
        <v/>
      </c>
      <c r="HCY6" s="97" t="str">
        <f t="shared" si="88"/>
        <v/>
      </c>
      <c r="HCZ6" s="97" t="str">
        <f t="shared" si="88"/>
        <v/>
      </c>
      <c r="HDA6" s="97" t="str">
        <f t="shared" si="88"/>
        <v/>
      </c>
      <c r="HDB6" s="97" t="str">
        <f t="shared" si="88"/>
        <v/>
      </c>
      <c r="HDC6" s="97" t="str">
        <f t="shared" si="88"/>
        <v/>
      </c>
      <c r="HDD6" s="97" t="str">
        <f t="shared" si="88"/>
        <v/>
      </c>
      <c r="HDE6" s="97" t="str">
        <f t="shared" si="88"/>
        <v/>
      </c>
      <c r="HDF6" s="97" t="str">
        <f t="shared" si="88"/>
        <v/>
      </c>
      <c r="HDG6" s="97" t="str">
        <f t="shared" si="88"/>
        <v/>
      </c>
      <c r="HDH6" s="97" t="str">
        <f t="shared" si="88"/>
        <v/>
      </c>
      <c r="HDI6" s="97" t="str">
        <f t="shared" si="88"/>
        <v/>
      </c>
      <c r="HDJ6" s="97" t="str">
        <f t="shared" si="88"/>
        <v/>
      </c>
      <c r="HDK6" s="97" t="str">
        <f t="shared" si="88"/>
        <v/>
      </c>
      <c r="HDL6" s="97" t="str">
        <f t="shared" si="88"/>
        <v/>
      </c>
      <c r="HDM6" s="97" t="str">
        <f t="shared" si="88"/>
        <v/>
      </c>
      <c r="HDN6" s="97" t="str">
        <f t="shared" si="88"/>
        <v/>
      </c>
      <c r="HDO6" s="97" t="str">
        <f t="shared" si="88"/>
        <v/>
      </c>
      <c r="HDP6" s="97" t="str">
        <f t="shared" si="88"/>
        <v/>
      </c>
      <c r="HDQ6" s="97" t="str">
        <f t="shared" si="88"/>
        <v/>
      </c>
      <c r="HDR6" s="97" t="str">
        <f t="shared" si="88"/>
        <v/>
      </c>
      <c r="HDS6" s="97" t="str">
        <f t="shared" si="88"/>
        <v/>
      </c>
      <c r="HDT6" s="97" t="str">
        <f t="shared" si="88"/>
        <v/>
      </c>
      <c r="HDU6" s="97" t="str">
        <f t="shared" si="88"/>
        <v/>
      </c>
      <c r="HDV6" s="97" t="str">
        <f t="shared" si="88"/>
        <v/>
      </c>
      <c r="HDW6" s="97" t="str">
        <f t="shared" si="88"/>
        <v/>
      </c>
      <c r="HDX6" s="97" t="str">
        <f t="shared" si="88"/>
        <v/>
      </c>
      <c r="HDY6" s="97" t="str">
        <f t="shared" si="88"/>
        <v/>
      </c>
      <c r="HDZ6" s="97" t="str">
        <f t="shared" si="88"/>
        <v/>
      </c>
      <c r="HEA6" s="97" t="str">
        <f t="shared" si="88"/>
        <v/>
      </c>
      <c r="HEB6" s="97" t="str">
        <f t="shared" si="88"/>
        <v/>
      </c>
      <c r="HEC6" s="97" t="str">
        <f t="shared" si="88"/>
        <v/>
      </c>
      <c r="HED6" s="97" t="str">
        <f t="shared" si="88"/>
        <v/>
      </c>
      <c r="HEE6" s="97" t="str">
        <f t="shared" si="88"/>
        <v/>
      </c>
      <c r="HEF6" s="97" t="str">
        <f t="shared" si="88"/>
        <v/>
      </c>
      <c r="HEG6" s="97" t="str">
        <f t="shared" si="88"/>
        <v/>
      </c>
      <c r="HEH6" s="97" t="str">
        <f t="shared" si="88"/>
        <v/>
      </c>
      <c r="HEI6" s="97" t="str">
        <f t="shared" si="88"/>
        <v/>
      </c>
      <c r="HEJ6" s="97" t="str">
        <f t="shared" si="88"/>
        <v/>
      </c>
      <c r="HEK6" s="97" t="str">
        <f t="shared" si="88"/>
        <v/>
      </c>
      <c r="HEL6" s="97" t="str">
        <f t="shared" si="88"/>
        <v/>
      </c>
      <c r="HEM6" s="97" t="str">
        <f t="shared" si="88"/>
        <v/>
      </c>
      <c r="HEN6" s="97" t="str">
        <f t="shared" si="88"/>
        <v/>
      </c>
      <c r="HEO6" s="97" t="str">
        <f t="shared" si="88"/>
        <v/>
      </c>
      <c r="HEP6" s="97" t="str">
        <f t="shared" si="88"/>
        <v/>
      </c>
      <c r="HEQ6" s="97" t="str">
        <f t="shared" si="88"/>
        <v/>
      </c>
      <c r="HER6" s="97" t="str">
        <f t="shared" si="88"/>
        <v/>
      </c>
      <c r="HES6" s="97" t="str">
        <f t="shared" si="88"/>
        <v/>
      </c>
      <c r="HET6" s="97" t="str">
        <f t="shared" si="88"/>
        <v/>
      </c>
      <c r="HEU6" s="97" t="str">
        <f t="shared" si="88"/>
        <v/>
      </c>
      <c r="HEV6" s="97" t="str">
        <f t="shared" si="88"/>
        <v/>
      </c>
      <c r="HEW6" s="97" t="str">
        <f t="shared" si="88"/>
        <v/>
      </c>
      <c r="HEX6" s="97" t="str">
        <f t="shared" si="88"/>
        <v/>
      </c>
      <c r="HEY6" s="97" t="str">
        <f t="shared" si="88"/>
        <v/>
      </c>
      <c r="HEZ6" s="97" t="str">
        <f t="shared" si="88"/>
        <v/>
      </c>
      <c r="HFA6" s="97" t="str">
        <f t="shared" si="88"/>
        <v/>
      </c>
      <c r="HFB6" s="97" t="str">
        <f t="shared" si="88"/>
        <v/>
      </c>
      <c r="HFC6" s="97" t="str">
        <f t="shared" si="88"/>
        <v/>
      </c>
      <c r="HFD6" s="97" t="str">
        <f t="shared" si="88"/>
        <v/>
      </c>
      <c r="HFE6" s="97" t="str">
        <f t="shared" si="88"/>
        <v/>
      </c>
      <c r="HFF6" s="97" t="str">
        <f t="shared" si="88"/>
        <v/>
      </c>
      <c r="HFG6" s="97" t="str">
        <f t="shared" si="88"/>
        <v/>
      </c>
      <c r="HFH6" s="97" t="str">
        <f t="shared" si="88"/>
        <v/>
      </c>
      <c r="HFI6" s="97" t="str">
        <f t="shared" si="88"/>
        <v/>
      </c>
      <c r="HFJ6" s="97" t="str">
        <f t="shared" ref="HFJ6:HHU6" si="89">IFERROR(AVERAGE(HFJ7:HFJ13),"")</f>
        <v/>
      </c>
      <c r="HFK6" s="97" t="str">
        <f t="shared" si="89"/>
        <v/>
      </c>
      <c r="HFL6" s="97" t="str">
        <f t="shared" si="89"/>
        <v/>
      </c>
      <c r="HFM6" s="97" t="str">
        <f t="shared" si="89"/>
        <v/>
      </c>
      <c r="HFN6" s="97" t="str">
        <f t="shared" si="89"/>
        <v/>
      </c>
      <c r="HFO6" s="97" t="str">
        <f t="shared" si="89"/>
        <v/>
      </c>
      <c r="HFP6" s="97" t="str">
        <f t="shared" si="89"/>
        <v/>
      </c>
      <c r="HFQ6" s="97" t="str">
        <f t="shared" si="89"/>
        <v/>
      </c>
      <c r="HFR6" s="97" t="str">
        <f t="shared" si="89"/>
        <v/>
      </c>
      <c r="HFS6" s="97" t="str">
        <f t="shared" si="89"/>
        <v/>
      </c>
      <c r="HFT6" s="97" t="str">
        <f t="shared" si="89"/>
        <v/>
      </c>
      <c r="HFU6" s="97" t="str">
        <f t="shared" si="89"/>
        <v/>
      </c>
      <c r="HFV6" s="97" t="str">
        <f t="shared" si="89"/>
        <v/>
      </c>
      <c r="HFW6" s="97" t="str">
        <f t="shared" si="89"/>
        <v/>
      </c>
      <c r="HFX6" s="97" t="str">
        <f t="shared" si="89"/>
        <v/>
      </c>
      <c r="HFY6" s="97" t="str">
        <f t="shared" si="89"/>
        <v/>
      </c>
      <c r="HFZ6" s="97" t="str">
        <f t="shared" si="89"/>
        <v/>
      </c>
      <c r="HGA6" s="97" t="str">
        <f t="shared" si="89"/>
        <v/>
      </c>
      <c r="HGB6" s="97" t="str">
        <f t="shared" si="89"/>
        <v/>
      </c>
      <c r="HGC6" s="97" t="str">
        <f t="shared" si="89"/>
        <v/>
      </c>
      <c r="HGD6" s="97" t="str">
        <f t="shared" si="89"/>
        <v/>
      </c>
      <c r="HGE6" s="97" t="str">
        <f t="shared" si="89"/>
        <v/>
      </c>
      <c r="HGF6" s="97" t="str">
        <f t="shared" si="89"/>
        <v/>
      </c>
      <c r="HGG6" s="97" t="str">
        <f t="shared" si="89"/>
        <v/>
      </c>
      <c r="HGH6" s="97" t="str">
        <f t="shared" si="89"/>
        <v/>
      </c>
      <c r="HGI6" s="97" t="str">
        <f t="shared" si="89"/>
        <v/>
      </c>
      <c r="HGJ6" s="97" t="str">
        <f t="shared" si="89"/>
        <v/>
      </c>
      <c r="HGK6" s="97" t="str">
        <f t="shared" si="89"/>
        <v/>
      </c>
      <c r="HGL6" s="97" t="str">
        <f t="shared" si="89"/>
        <v/>
      </c>
      <c r="HGM6" s="97" t="str">
        <f t="shared" si="89"/>
        <v/>
      </c>
      <c r="HGN6" s="97" t="str">
        <f t="shared" si="89"/>
        <v/>
      </c>
      <c r="HGO6" s="97" t="str">
        <f t="shared" si="89"/>
        <v/>
      </c>
      <c r="HGP6" s="97" t="str">
        <f t="shared" si="89"/>
        <v/>
      </c>
      <c r="HGQ6" s="97" t="str">
        <f t="shared" si="89"/>
        <v/>
      </c>
      <c r="HGR6" s="97" t="str">
        <f t="shared" si="89"/>
        <v/>
      </c>
      <c r="HGS6" s="97" t="str">
        <f t="shared" si="89"/>
        <v/>
      </c>
      <c r="HGT6" s="97" t="str">
        <f t="shared" si="89"/>
        <v/>
      </c>
      <c r="HGU6" s="97" t="str">
        <f t="shared" si="89"/>
        <v/>
      </c>
      <c r="HGV6" s="97" t="str">
        <f t="shared" si="89"/>
        <v/>
      </c>
      <c r="HGW6" s="97" t="str">
        <f t="shared" si="89"/>
        <v/>
      </c>
      <c r="HGX6" s="97" t="str">
        <f t="shared" si="89"/>
        <v/>
      </c>
      <c r="HGY6" s="97" t="str">
        <f t="shared" si="89"/>
        <v/>
      </c>
      <c r="HGZ6" s="97" t="str">
        <f t="shared" si="89"/>
        <v/>
      </c>
      <c r="HHA6" s="97" t="str">
        <f t="shared" si="89"/>
        <v/>
      </c>
      <c r="HHB6" s="97" t="str">
        <f t="shared" si="89"/>
        <v/>
      </c>
      <c r="HHC6" s="97" t="str">
        <f t="shared" si="89"/>
        <v/>
      </c>
      <c r="HHD6" s="97" t="str">
        <f t="shared" si="89"/>
        <v/>
      </c>
      <c r="HHE6" s="97" t="str">
        <f t="shared" si="89"/>
        <v/>
      </c>
      <c r="HHF6" s="97" t="str">
        <f t="shared" si="89"/>
        <v/>
      </c>
      <c r="HHG6" s="97" t="str">
        <f t="shared" si="89"/>
        <v/>
      </c>
      <c r="HHH6" s="97" t="str">
        <f t="shared" si="89"/>
        <v/>
      </c>
      <c r="HHI6" s="97" t="str">
        <f t="shared" si="89"/>
        <v/>
      </c>
      <c r="HHJ6" s="97" t="str">
        <f t="shared" si="89"/>
        <v/>
      </c>
      <c r="HHK6" s="97" t="str">
        <f t="shared" si="89"/>
        <v/>
      </c>
      <c r="HHL6" s="97" t="str">
        <f t="shared" si="89"/>
        <v/>
      </c>
      <c r="HHM6" s="97" t="str">
        <f t="shared" si="89"/>
        <v/>
      </c>
      <c r="HHN6" s="97" t="str">
        <f t="shared" si="89"/>
        <v/>
      </c>
      <c r="HHO6" s="97" t="str">
        <f t="shared" si="89"/>
        <v/>
      </c>
      <c r="HHP6" s="97" t="str">
        <f t="shared" si="89"/>
        <v/>
      </c>
      <c r="HHQ6" s="97" t="str">
        <f t="shared" si="89"/>
        <v/>
      </c>
      <c r="HHR6" s="97" t="str">
        <f t="shared" si="89"/>
        <v/>
      </c>
      <c r="HHS6" s="97" t="str">
        <f t="shared" si="89"/>
        <v/>
      </c>
      <c r="HHT6" s="97" t="str">
        <f t="shared" si="89"/>
        <v/>
      </c>
      <c r="HHU6" s="97" t="str">
        <f t="shared" si="89"/>
        <v/>
      </c>
      <c r="HHV6" s="97" t="str">
        <f t="shared" ref="HHV6:HKG6" si="90">IFERROR(AVERAGE(HHV7:HHV13),"")</f>
        <v/>
      </c>
      <c r="HHW6" s="97" t="str">
        <f t="shared" si="90"/>
        <v/>
      </c>
      <c r="HHX6" s="97" t="str">
        <f t="shared" si="90"/>
        <v/>
      </c>
      <c r="HHY6" s="97" t="str">
        <f t="shared" si="90"/>
        <v/>
      </c>
      <c r="HHZ6" s="97" t="str">
        <f t="shared" si="90"/>
        <v/>
      </c>
      <c r="HIA6" s="97" t="str">
        <f t="shared" si="90"/>
        <v/>
      </c>
      <c r="HIB6" s="97" t="str">
        <f t="shared" si="90"/>
        <v/>
      </c>
      <c r="HIC6" s="97" t="str">
        <f t="shared" si="90"/>
        <v/>
      </c>
      <c r="HID6" s="97" t="str">
        <f t="shared" si="90"/>
        <v/>
      </c>
      <c r="HIE6" s="97" t="str">
        <f t="shared" si="90"/>
        <v/>
      </c>
      <c r="HIF6" s="97" t="str">
        <f t="shared" si="90"/>
        <v/>
      </c>
      <c r="HIG6" s="97" t="str">
        <f t="shared" si="90"/>
        <v/>
      </c>
      <c r="HIH6" s="97" t="str">
        <f t="shared" si="90"/>
        <v/>
      </c>
      <c r="HII6" s="97" t="str">
        <f t="shared" si="90"/>
        <v/>
      </c>
      <c r="HIJ6" s="97" t="str">
        <f t="shared" si="90"/>
        <v/>
      </c>
      <c r="HIK6" s="97" t="str">
        <f t="shared" si="90"/>
        <v/>
      </c>
      <c r="HIL6" s="97" t="str">
        <f t="shared" si="90"/>
        <v/>
      </c>
      <c r="HIM6" s="97" t="str">
        <f t="shared" si="90"/>
        <v/>
      </c>
      <c r="HIN6" s="97" t="str">
        <f t="shared" si="90"/>
        <v/>
      </c>
      <c r="HIO6" s="97" t="str">
        <f t="shared" si="90"/>
        <v/>
      </c>
      <c r="HIP6" s="97" t="str">
        <f t="shared" si="90"/>
        <v/>
      </c>
      <c r="HIQ6" s="97" t="str">
        <f t="shared" si="90"/>
        <v/>
      </c>
      <c r="HIR6" s="97" t="str">
        <f t="shared" si="90"/>
        <v/>
      </c>
      <c r="HIS6" s="97" t="str">
        <f t="shared" si="90"/>
        <v/>
      </c>
      <c r="HIT6" s="97" t="str">
        <f t="shared" si="90"/>
        <v/>
      </c>
      <c r="HIU6" s="97" t="str">
        <f t="shared" si="90"/>
        <v/>
      </c>
      <c r="HIV6" s="97" t="str">
        <f t="shared" si="90"/>
        <v/>
      </c>
      <c r="HIW6" s="97" t="str">
        <f t="shared" si="90"/>
        <v/>
      </c>
      <c r="HIX6" s="97" t="str">
        <f t="shared" si="90"/>
        <v/>
      </c>
      <c r="HIY6" s="97" t="str">
        <f t="shared" si="90"/>
        <v/>
      </c>
      <c r="HIZ6" s="97" t="str">
        <f t="shared" si="90"/>
        <v/>
      </c>
      <c r="HJA6" s="97" t="str">
        <f t="shared" si="90"/>
        <v/>
      </c>
      <c r="HJB6" s="97" t="str">
        <f t="shared" si="90"/>
        <v/>
      </c>
      <c r="HJC6" s="97" t="str">
        <f t="shared" si="90"/>
        <v/>
      </c>
      <c r="HJD6" s="97" t="str">
        <f t="shared" si="90"/>
        <v/>
      </c>
      <c r="HJE6" s="97" t="str">
        <f t="shared" si="90"/>
        <v/>
      </c>
      <c r="HJF6" s="97" t="str">
        <f t="shared" si="90"/>
        <v/>
      </c>
      <c r="HJG6" s="97" t="str">
        <f t="shared" si="90"/>
        <v/>
      </c>
      <c r="HJH6" s="97" t="str">
        <f t="shared" si="90"/>
        <v/>
      </c>
      <c r="HJI6" s="97" t="str">
        <f t="shared" si="90"/>
        <v/>
      </c>
      <c r="HJJ6" s="97" t="str">
        <f t="shared" si="90"/>
        <v/>
      </c>
      <c r="HJK6" s="97" t="str">
        <f t="shared" si="90"/>
        <v/>
      </c>
      <c r="HJL6" s="97" t="str">
        <f t="shared" si="90"/>
        <v/>
      </c>
      <c r="HJM6" s="97" t="str">
        <f t="shared" si="90"/>
        <v/>
      </c>
      <c r="HJN6" s="97" t="str">
        <f t="shared" si="90"/>
        <v/>
      </c>
      <c r="HJO6" s="97" t="str">
        <f t="shared" si="90"/>
        <v/>
      </c>
      <c r="HJP6" s="97" t="str">
        <f t="shared" si="90"/>
        <v/>
      </c>
      <c r="HJQ6" s="97" t="str">
        <f t="shared" si="90"/>
        <v/>
      </c>
      <c r="HJR6" s="97" t="str">
        <f t="shared" si="90"/>
        <v/>
      </c>
      <c r="HJS6" s="97" t="str">
        <f t="shared" si="90"/>
        <v/>
      </c>
      <c r="HJT6" s="97" t="str">
        <f t="shared" si="90"/>
        <v/>
      </c>
      <c r="HJU6" s="97" t="str">
        <f t="shared" si="90"/>
        <v/>
      </c>
      <c r="HJV6" s="97" t="str">
        <f t="shared" si="90"/>
        <v/>
      </c>
      <c r="HJW6" s="97" t="str">
        <f t="shared" si="90"/>
        <v/>
      </c>
      <c r="HJX6" s="97" t="str">
        <f t="shared" si="90"/>
        <v/>
      </c>
      <c r="HJY6" s="97" t="str">
        <f t="shared" si="90"/>
        <v/>
      </c>
      <c r="HJZ6" s="97" t="str">
        <f t="shared" si="90"/>
        <v/>
      </c>
      <c r="HKA6" s="97" t="str">
        <f t="shared" si="90"/>
        <v/>
      </c>
      <c r="HKB6" s="97" t="str">
        <f t="shared" si="90"/>
        <v/>
      </c>
      <c r="HKC6" s="97" t="str">
        <f t="shared" si="90"/>
        <v/>
      </c>
      <c r="HKD6" s="97" t="str">
        <f t="shared" si="90"/>
        <v/>
      </c>
      <c r="HKE6" s="97" t="str">
        <f t="shared" si="90"/>
        <v/>
      </c>
      <c r="HKF6" s="97" t="str">
        <f t="shared" si="90"/>
        <v/>
      </c>
      <c r="HKG6" s="97" t="str">
        <f t="shared" si="90"/>
        <v/>
      </c>
      <c r="HKH6" s="97" t="str">
        <f t="shared" ref="HKH6:HMS6" si="91">IFERROR(AVERAGE(HKH7:HKH13),"")</f>
        <v/>
      </c>
      <c r="HKI6" s="97" t="str">
        <f t="shared" si="91"/>
        <v/>
      </c>
      <c r="HKJ6" s="97" t="str">
        <f t="shared" si="91"/>
        <v/>
      </c>
      <c r="HKK6" s="97" t="str">
        <f t="shared" si="91"/>
        <v/>
      </c>
      <c r="HKL6" s="97" t="str">
        <f t="shared" si="91"/>
        <v/>
      </c>
      <c r="HKM6" s="97" t="str">
        <f t="shared" si="91"/>
        <v/>
      </c>
      <c r="HKN6" s="97" t="str">
        <f t="shared" si="91"/>
        <v/>
      </c>
      <c r="HKO6" s="97" t="str">
        <f t="shared" si="91"/>
        <v/>
      </c>
      <c r="HKP6" s="97" t="str">
        <f t="shared" si="91"/>
        <v/>
      </c>
      <c r="HKQ6" s="97" t="str">
        <f t="shared" si="91"/>
        <v/>
      </c>
      <c r="HKR6" s="97" t="str">
        <f t="shared" si="91"/>
        <v/>
      </c>
      <c r="HKS6" s="97" t="str">
        <f t="shared" si="91"/>
        <v/>
      </c>
      <c r="HKT6" s="97" t="str">
        <f t="shared" si="91"/>
        <v/>
      </c>
      <c r="HKU6" s="97" t="str">
        <f t="shared" si="91"/>
        <v/>
      </c>
      <c r="HKV6" s="97" t="str">
        <f t="shared" si="91"/>
        <v/>
      </c>
      <c r="HKW6" s="97" t="str">
        <f t="shared" si="91"/>
        <v/>
      </c>
      <c r="HKX6" s="97" t="str">
        <f t="shared" si="91"/>
        <v/>
      </c>
      <c r="HKY6" s="97" t="str">
        <f t="shared" si="91"/>
        <v/>
      </c>
      <c r="HKZ6" s="97" t="str">
        <f t="shared" si="91"/>
        <v/>
      </c>
      <c r="HLA6" s="97" t="str">
        <f t="shared" si="91"/>
        <v/>
      </c>
      <c r="HLB6" s="97" t="str">
        <f t="shared" si="91"/>
        <v/>
      </c>
      <c r="HLC6" s="97" t="str">
        <f t="shared" si="91"/>
        <v/>
      </c>
      <c r="HLD6" s="97" t="str">
        <f t="shared" si="91"/>
        <v/>
      </c>
      <c r="HLE6" s="97" t="str">
        <f t="shared" si="91"/>
        <v/>
      </c>
      <c r="HLF6" s="97" t="str">
        <f t="shared" si="91"/>
        <v/>
      </c>
      <c r="HLG6" s="97" t="str">
        <f t="shared" si="91"/>
        <v/>
      </c>
      <c r="HLH6" s="97" t="str">
        <f t="shared" si="91"/>
        <v/>
      </c>
      <c r="HLI6" s="97" t="str">
        <f t="shared" si="91"/>
        <v/>
      </c>
      <c r="HLJ6" s="97" t="str">
        <f t="shared" si="91"/>
        <v/>
      </c>
      <c r="HLK6" s="97" t="str">
        <f t="shared" si="91"/>
        <v/>
      </c>
      <c r="HLL6" s="97" t="str">
        <f t="shared" si="91"/>
        <v/>
      </c>
      <c r="HLM6" s="97" t="str">
        <f t="shared" si="91"/>
        <v/>
      </c>
      <c r="HLN6" s="97" t="str">
        <f t="shared" si="91"/>
        <v/>
      </c>
      <c r="HLO6" s="97" t="str">
        <f t="shared" si="91"/>
        <v/>
      </c>
      <c r="HLP6" s="97" t="str">
        <f t="shared" si="91"/>
        <v/>
      </c>
      <c r="HLQ6" s="97" t="str">
        <f t="shared" si="91"/>
        <v/>
      </c>
      <c r="HLR6" s="97" t="str">
        <f t="shared" si="91"/>
        <v/>
      </c>
      <c r="HLS6" s="97" t="str">
        <f t="shared" si="91"/>
        <v/>
      </c>
      <c r="HLT6" s="97" t="str">
        <f t="shared" si="91"/>
        <v/>
      </c>
      <c r="HLU6" s="97" t="str">
        <f t="shared" si="91"/>
        <v/>
      </c>
      <c r="HLV6" s="97" t="str">
        <f t="shared" si="91"/>
        <v/>
      </c>
      <c r="HLW6" s="97" t="str">
        <f t="shared" si="91"/>
        <v/>
      </c>
      <c r="HLX6" s="97" t="str">
        <f t="shared" si="91"/>
        <v/>
      </c>
      <c r="HLY6" s="97" t="str">
        <f t="shared" si="91"/>
        <v/>
      </c>
      <c r="HLZ6" s="97" t="str">
        <f t="shared" si="91"/>
        <v/>
      </c>
      <c r="HMA6" s="97" t="str">
        <f t="shared" si="91"/>
        <v/>
      </c>
      <c r="HMB6" s="97" t="str">
        <f t="shared" si="91"/>
        <v/>
      </c>
      <c r="HMC6" s="97" t="str">
        <f t="shared" si="91"/>
        <v/>
      </c>
      <c r="HMD6" s="97" t="str">
        <f t="shared" si="91"/>
        <v/>
      </c>
      <c r="HME6" s="97" t="str">
        <f t="shared" si="91"/>
        <v/>
      </c>
      <c r="HMF6" s="97" t="str">
        <f t="shared" si="91"/>
        <v/>
      </c>
      <c r="HMG6" s="97" t="str">
        <f t="shared" si="91"/>
        <v/>
      </c>
      <c r="HMH6" s="97" t="str">
        <f t="shared" si="91"/>
        <v/>
      </c>
      <c r="HMI6" s="97" t="str">
        <f t="shared" si="91"/>
        <v/>
      </c>
      <c r="HMJ6" s="97" t="str">
        <f t="shared" si="91"/>
        <v/>
      </c>
      <c r="HMK6" s="97" t="str">
        <f t="shared" si="91"/>
        <v/>
      </c>
      <c r="HML6" s="97" t="str">
        <f t="shared" si="91"/>
        <v/>
      </c>
      <c r="HMM6" s="97" t="str">
        <f t="shared" si="91"/>
        <v/>
      </c>
      <c r="HMN6" s="97" t="str">
        <f t="shared" si="91"/>
        <v/>
      </c>
      <c r="HMO6" s="97" t="str">
        <f t="shared" si="91"/>
        <v/>
      </c>
      <c r="HMP6" s="97" t="str">
        <f t="shared" si="91"/>
        <v/>
      </c>
      <c r="HMQ6" s="97" t="str">
        <f t="shared" si="91"/>
        <v/>
      </c>
      <c r="HMR6" s="97" t="str">
        <f t="shared" si="91"/>
        <v/>
      </c>
      <c r="HMS6" s="97" t="str">
        <f t="shared" si="91"/>
        <v/>
      </c>
      <c r="HMT6" s="97" t="str">
        <f t="shared" ref="HMT6:HPE6" si="92">IFERROR(AVERAGE(HMT7:HMT13),"")</f>
        <v/>
      </c>
      <c r="HMU6" s="97" t="str">
        <f t="shared" si="92"/>
        <v/>
      </c>
      <c r="HMV6" s="97" t="str">
        <f t="shared" si="92"/>
        <v/>
      </c>
      <c r="HMW6" s="97" t="str">
        <f t="shared" si="92"/>
        <v/>
      </c>
      <c r="HMX6" s="97" t="str">
        <f t="shared" si="92"/>
        <v/>
      </c>
      <c r="HMY6" s="97" t="str">
        <f t="shared" si="92"/>
        <v/>
      </c>
      <c r="HMZ6" s="97" t="str">
        <f t="shared" si="92"/>
        <v/>
      </c>
      <c r="HNA6" s="97" t="str">
        <f t="shared" si="92"/>
        <v/>
      </c>
      <c r="HNB6" s="97" t="str">
        <f t="shared" si="92"/>
        <v/>
      </c>
      <c r="HNC6" s="97" t="str">
        <f t="shared" si="92"/>
        <v/>
      </c>
      <c r="HND6" s="97" t="str">
        <f t="shared" si="92"/>
        <v/>
      </c>
      <c r="HNE6" s="97" t="str">
        <f t="shared" si="92"/>
        <v/>
      </c>
      <c r="HNF6" s="97" t="str">
        <f t="shared" si="92"/>
        <v/>
      </c>
      <c r="HNG6" s="97" t="str">
        <f t="shared" si="92"/>
        <v/>
      </c>
      <c r="HNH6" s="97" t="str">
        <f t="shared" si="92"/>
        <v/>
      </c>
      <c r="HNI6" s="97" t="str">
        <f t="shared" si="92"/>
        <v/>
      </c>
      <c r="HNJ6" s="97" t="str">
        <f t="shared" si="92"/>
        <v/>
      </c>
      <c r="HNK6" s="97" t="str">
        <f t="shared" si="92"/>
        <v/>
      </c>
      <c r="HNL6" s="97" t="str">
        <f t="shared" si="92"/>
        <v/>
      </c>
      <c r="HNM6" s="97" t="str">
        <f t="shared" si="92"/>
        <v/>
      </c>
      <c r="HNN6" s="97" t="str">
        <f t="shared" si="92"/>
        <v/>
      </c>
      <c r="HNO6" s="97" t="str">
        <f t="shared" si="92"/>
        <v/>
      </c>
      <c r="HNP6" s="97" t="str">
        <f t="shared" si="92"/>
        <v/>
      </c>
      <c r="HNQ6" s="97" t="str">
        <f t="shared" si="92"/>
        <v/>
      </c>
      <c r="HNR6" s="97" t="str">
        <f t="shared" si="92"/>
        <v/>
      </c>
      <c r="HNS6" s="97" t="str">
        <f t="shared" si="92"/>
        <v/>
      </c>
      <c r="HNT6" s="97" t="str">
        <f t="shared" si="92"/>
        <v/>
      </c>
      <c r="HNU6" s="97" t="str">
        <f t="shared" si="92"/>
        <v/>
      </c>
      <c r="HNV6" s="97" t="str">
        <f t="shared" si="92"/>
        <v/>
      </c>
      <c r="HNW6" s="97" t="str">
        <f t="shared" si="92"/>
        <v/>
      </c>
      <c r="HNX6" s="97" t="str">
        <f t="shared" si="92"/>
        <v/>
      </c>
      <c r="HNY6" s="97" t="str">
        <f t="shared" si="92"/>
        <v/>
      </c>
      <c r="HNZ6" s="97" t="str">
        <f t="shared" si="92"/>
        <v/>
      </c>
      <c r="HOA6" s="97" t="str">
        <f t="shared" si="92"/>
        <v/>
      </c>
      <c r="HOB6" s="97" t="str">
        <f t="shared" si="92"/>
        <v/>
      </c>
      <c r="HOC6" s="97" t="str">
        <f t="shared" si="92"/>
        <v/>
      </c>
      <c r="HOD6" s="97" t="str">
        <f t="shared" si="92"/>
        <v/>
      </c>
      <c r="HOE6" s="97" t="str">
        <f t="shared" si="92"/>
        <v/>
      </c>
      <c r="HOF6" s="97" t="str">
        <f t="shared" si="92"/>
        <v/>
      </c>
      <c r="HOG6" s="97" t="str">
        <f t="shared" si="92"/>
        <v/>
      </c>
      <c r="HOH6" s="97" t="str">
        <f t="shared" si="92"/>
        <v/>
      </c>
      <c r="HOI6" s="97" t="str">
        <f t="shared" si="92"/>
        <v/>
      </c>
      <c r="HOJ6" s="97" t="str">
        <f t="shared" si="92"/>
        <v/>
      </c>
      <c r="HOK6" s="97" t="str">
        <f t="shared" si="92"/>
        <v/>
      </c>
      <c r="HOL6" s="97" t="str">
        <f t="shared" si="92"/>
        <v/>
      </c>
      <c r="HOM6" s="97" t="str">
        <f t="shared" si="92"/>
        <v/>
      </c>
      <c r="HON6" s="97" t="str">
        <f t="shared" si="92"/>
        <v/>
      </c>
      <c r="HOO6" s="97" t="str">
        <f t="shared" si="92"/>
        <v/>
      </c>
      <c r="HOP6" s="97" t="str">
        <f t="shared" si="92"/>
        <v/>
      </c>
      <c r="HOQ6" s="97" t="str">
        <f t="shared" si="92"/>
        <v/>
      </c>
      <c r="HOR6" s="97" t="str">
        <f t="shared" si="92"/>
        <v/>
      </c>
      <c r="HOS6" s="97" t="str">
        <f t="shared" si="92"/>
        <v/>
      </c>
      <c r="HOT6" s="97" t="str">
        <f t="shared" si="92"/>
        <v/>
      </c>
      <c r="HOU6" s="97" t="str">
        <f t="shared" si="92"/>
        <v/>
      </c>
      <c r="HOV6" s="97" t="str">
        <f t="shared" si="92"/>
        <v/>
      </c>
      <c r="HOW6" s="97" t="str">
        <f t="shared" si="92"/>
        <v/>
      </c>
      <c r="HOX6" s="97" t="str">
        <f t="shared" si="92"/>
        <v/>
      </c>
      <c r="HOY6" s="97" t="str">
        <f t="shared" si="92"/>
        <v/>
      </c>
      <c r="HOZ6" s="97" t="str">
        <f t="shared" si="92"/>
        <v/>
      </c>
      <c r="HPA6" s="97" t="str">
        <f t="shared" si="92"/>
        <v/>
      </c>
      <c r="HPB6" s="97" t="str">
        <f t="shared" si="92"/>
        <v/>
      </c>
      <c r="HPC6" s="97" t="str">
        <f t="shared" si="92"/>
        <v/>
      </c>
      <c r="HPD6" s="97" t="str">
        <f t="shared" si="92"/>
        <v/>
      </c>
      <c r="HPE6" s="97" t="str">
        <f t="shared" si="92"/>
        <v/>
      </c>
      <c r="HPF6" s="97" t="str">
        <f t="shared" ref="HPF6:HRQ6" si="93">IFERROR(AVERAGE(HPF7:HPF13),"")</f>
        <v/>
      </c>
      <c r="HPG6" s="97" t="str">
        <f t="shared" si="93"/>
        <v/>
      </c>
      <c r="HPH6" s="97" t="str">
        <f t="shared" si="93"/>
        <v/>
      </c>
      <c r="HPI6" s="97" t="str">
        <f t="shared" si="93"/>
        <v/>
      </c>
      <c r="HPJ6" s="97" t="str">
        <f t="shared" si="93"/>
        <v/>
      </c>
      <c r="HPK6" s="97" t="str">
        <f t="shared" si="93"/>
        <v/>
      </c>
      <c r="HPL6" s="97" t="str">
        <f t="shared" si="93"/>
        <v/>
      </c>
      <c r="HPM6" s="97" t="str">
        <f t="shared" si="93"/>
        <v/>
      </c>
      <c r="HPN6" s="97" t="str">
        <f t="shared" si="93"/>
        <v/>
      </c>
      <c r="HPO6" s="97" t="str">
        <f t="shared" si="93"/>
        <v/>
      </c>
      <c r="HPP6" s="97" t="str">
        <f t="shared" si="93"/>
        <v/>
      </c>
      <c r="HPQ6" s="97" t="str">
        <f t="shared" si="93"/>
        <v/>
      </c>
      <c r="HPR6" s="97" t="str">
        <f t="shared" si="93"/>
        <v/>
      </c>
      <c r="HPS6" s="97" t="str">
        <f t="shared" si="93"/>
        <v/>
      </c>
      <c r="HPT6" s="97" t="str">
        <f t="shared" si="93"/>
        <v/>
      </c>
      <c r="HPU6" s="97" t="str">
        <f t="shared" si="93"/>
        <v/>
      </c>
      <c r="HPV6" s="97" t="str">
        <f t="shared" si="93"/>
        <v/>
      </c>
      <c r="HPW6" s="97" t="str">
        <f t="shared" si="93"/>
        <v/>
      </c>
      <c r="HPX6" s="97" t="str">
        <f t="shared" si="93"/>
        <v/>
      </c>
      <c r="HPY6" s="97" t="str">
        <f t="shared" si="93"/>
        <v/>
      </c>
      <c r="HPZ6" s="97" t="str">
        <f t="shared" si="93"/>
        <v/>
      </c>
      <c r="HQA6" s="97" t="str">
        <f t="shared" si="93"/>
        <v/>
      </c>
      <c r="HQB6" s="97" t="str">
        <f t="shared" si="93"/>
        <v/>
      </c>
      <c r="HQC6" s="97" t="str">
        <f t="shared" si="93"/>
        <v/>
      </c>
      <c r="HQD6" s="97" t="str">
        <f t="shared" si="93"/>
        <v/>
      </c>
      <c r="HQE6" s="97" t="str">
        <f t="shared" si="93"/>
        <v/>
      </c>
      <c r="HQF6" s="97" t="str">
        <f t="shared" si="93"/>
        <v/>
      </c>
      <c r="HQG6" s="97" t="str">
        <f t="shared" si="93"/>
        <v/>
      </c>
      <c r="HQH6" s="97" t="str">
        <f t="shared" si="93"/>
        <v/>
      </c>
      <c r="HQI6" s="97" t="str">
        <f t="shared" si="93"/>
        <v/>
      </c>
      <c r="HQJ6" s="97" t="str">
        <f t="shared" si="93"/>
        <v/>
      </c>
      <c r="HQK6" s="97" t="str">
        <f t="shared" si="93"/>
        <v/>
      </c>
      <c r="HQL6" s="97" t="str">
        <f t="shared" si="93"/>
        <v/>
      </c>
      <c r="HQM6" s="97" t="str">
        <f t="shared" si="93"/>
        <v/>
      </c>
      <c r="HQN6" s="97" t="str">
        <f t="shared" si="93"/>
        <v/>
      </c>
      <c r="HQO6" s="97" t="str">
        <f t="shared" si="93"/>
        <v/>
      </c>
      <c r="HQP6" s="97" t="str">
        <f t="shared" si="93"/>
        <v/>
      </c>
      <c r="HQQ6" s="97" t="str">
        <f t="shared" si="93"/>
        <v/>
      </c>
      <c r="HQR6" s="97" t="str">
        <f t="shared" si="93"/>
        <v/>
      </c>
      <c r="HQS6" s="97" t="str">
        <f t="shared" si="93"/>
        <v/>
      </c>
      <c r="HQT6" s="97" t="str">
        <f t="shared" si="93"/>
        <v/>
      </c>
      <c r="HQU6" s="97" t="str">
        <f t="shared" si="93"/>
        <v/>
      </c>
      <c r="HQV6" s="97" t="str">
        <f t="shared" si="93"/>
        <v/>
      </c>
      <c r="HQW6" s="97" t="str">
        <f t="shared" si="93"/>
        <v/>
      </c>
      <c r="HQX6" s="97" t="str">
        <f t="shared" si="93"/>
        <v/>
      </c>
      <c r="HQY6" s="97" t="str">
        <f t="shared" si="93"/>
        <v/>
      </c>
      <c r="HQZ6" s="97" t="str">
        <f t="shared" si="93"/>
        <v/>
      </c>
      <c r="HRA6" s="97" t="str">
        <f t="shared" si="93"/>
        <v/>
      </c>
      <c r="HRB6" s="97" t="str">
        <f t="shared" si="93"/>
        <v/>
      </c>
      <c r="HRC6" s="97" t="str">
        <f t="shared" si="93"/>
        <v/>
      </c>
      <c r="HRD6" s="97" t="str">
        <f t="shared" si="93"/>
        <v/>
      </c>
      <c r="HRE6" s="97" t="str">
        <f t="shared" si="93"/>
        <v/>
      </c>
      <c r="HRF6" s="97" t="str">
        <f t="shared" si="93"/>
        <v/>
      </c>
      <c r="HRG6" s="97" t="str">
        <f t="shared" si="93"/>
        <v/>
      </c>
      <c r="HRH6" s="97" t="str">
        <f t="shared" si="93"/>
        <v/>
      </c>
      <c r="HRI6" s="97" t="str">
        <f t="shared" si="93"/>
        <v/>
      </c>
      <c r="HRJ6" s="97" t="str">
        <f t="shared" si="93"/>
        <v/>
      </c>
      <c r="HRK6" s="97" t="str">
        <f t="shared" si="93"/>
        <v/>
      </c>
      <c r="HRL6" s="97" t="str">
        <f t="shared" si="93"/>
        <v/>
      </c>
      <c r="HRM6" s="97" t="str">
        <f t="shared" si="93"/>
        <v/>
      </c>
      <c r="HRN6" s="97" t="str">
        <f t="shared" si="93"/>
        <v/>
      </c>
      <c r="HRO6" s="97" t="str">
        <f t="shared" si="93"/>
        <v/>
      </c>
      <c r="HRP6" s="97" t="str">
        <f t="shared" si="93"/>
        <v/>
      </c>
      <c r="HRQ6" s="97" t="str">
        <f t="shared" si="93"/>
        <v/>
      </c>
      <c r="HRR6" s="97" t="str">
        <f t="shared" ref="HRR6:HUC6" si="94">IFERROR(AVERAGE(HRR7:HRR13),"")</f>
        <v/>
      </c>
      <c r="HRS6" s="97" t="str">
        <f t="shared" si="94"/>
        <v/>
      </c>
      <c r="HRT6" s="97" t="str">
        <f t="shared" si="94"/>
        <v/>
      </c>
      <c r="HRU6" s="97" t="str">
        <f t="shared" si="94"/>
        <v/>
      </c>
      <c r="HRV6" s="97" t="str">
        <f t="shared" si="94"/>
        <v/>
      </c>
      <c r="HRW6" s="97" t="str">
        <f t="shared" si="94"/>
        <v/>
      </c>
      <c r="HRX6" s="97" t="str">
        <f t="shared" si="94"/>
        <v/>
      </c>
      <c r="HRY6" s="97" t="str">
        <f t="shared" si="94"/>
        <v/>
      </c>
      <c r="HRZ6" s="97" t="str">
        <f t="shared" si="94"/>
        <v/>
      </c>
      <c r="HSA6" s="97" t="str">
        <f t="shared" si="94"/>
        <v/>
      </c>
      <c r="HSB6" s="97" t="str">
        <f t="shared" si="94"/>
        <v/>
      </c>
      <c r="HSC6" s="97" t="str">
        <f t="shared" si="94"/>
        <v/>
      </c>
      <c r="HSD6" s="97" t="str">
        <f t="shared" si="94"/>
        <v/>
      </c>
      <c r="HSE6" s="97" t="str">
        <f t="shared" si="94"/>
        <v/>
      </c>
      <c r="HSF6" s="97" t="str">
        <f t="shared" si="94"/>
        <v/>
      </c>
      <c r="HSG6" s="97" t="str">
        <f t="shared" si="94"/>
        <v/>
      </c>
      <c r="HSH6" s="97" t="str">
        <f t="shared" si="94"/>
        <v/>
      </c>
      <c r="HSI6" s="97" t="str">
        <f t="shared" si="94"/>
        <v/>
      </c>
      <c r="HSJ6" s="97" t="str">
        <f t="shared" si="94"/>
        <v/>
      </c>
      <c r="HSK6" s="97" t="str">
        <f t="shared" si="94"/>
        <v/>
      </c>
      <c r="HSL6" s="97" t="str">
        <f t="shared" si="94"/>
        <v/>
      </c>
      <c r="HSM6" s="97" t="str">
        <f t="shared" si="94"/>
        <v/>
      </c>
      <c r="HSN6" s="97" t="str">
        <f t="shared" si="94"/>
        <v/>
      </c>
      <c r="HSO6" s="97" t="str">
        <f t="shared" si="94"/>
        <v/>
      </c>
      <c r="HSP6" s="97" t="str">
        <f t="shared" si="94"/>
        <v/>
      </c>
      <c r="HSQ6" s="97" t="str">
        <f t="shared" si="94"/>
        <v/>
      </c>
      <c r="HSR6" s="97" t="str">
        <f t="shared" si="94"/>
        <v/>
      </c>
      <c r="HSS6" s="97" t="str">
        <f t="shared" si="94"/>
        <v/>
      </c>
      <c r="HST6" s="97" t="str">
        <f t="shared" si="94"/>
        <v/>
      </c>
      <c r="HSU6" s="97" t="str">
        <f t="shared" si="94"/>
        <v/>
      </c>
      <c r="HSV6" s="97" t="str">
        <f t="shared" si="94"/>
        <v/>
      </c>
      <c r="HSW6" s="97" t="str">
        <f t="shared" si="94"/>
        <v/>
      </c>
      <c r="HSX6" s="97" t="str">
        <f t="shared" si="94"/>
        <v/>
      </c>
      <c r="HSY6" s="97" t="str">
        <f t="shared" si="94"/>
        <v/>
      </c>
      <c r="HSZ6" s="97" t="str">
        <f t="shared" si="94"/>
        <v/>
      </c>
      <c r="HTA6" s="97" t="str">
        <f t="shared" si="94"/>
        <v/>
      </c>
      <c r="HTB6" s="97" t="str">
        <f t="shared" si="94"/>
        <v/>
      </c>
      <c r="HTC6" s="97" t="str">
        <f t="shared" si="94"/>
        <v/>
      </c>
      <c r="HTD6" s="97" t="str">
        <f t="shared" si="94"/>
        <v/>
      </c>
      <c r="HTE6" s="97" t="str">
        <f t="shared" si="94"/>
        <v/>
      </c>
      <c r="HTF6" s="97" t="str">
        <f t="shared" si="94"/>
        <v/>
      </c>
      <c r="HTG6" s="97" t="str">
        <f t="shared" si="94"/>
        <v/>
      </c>
      <c r="HTH6" s="97" t="str">
        <f t="shared" si="94"/>
        <v/>
      </c>
      <c r="HTI6" s="97" t="str">
        <f t="shared" si="94"/>
        <v/>
      </c>
      <c r="HTJ6" s="97" t="str">
        <f t="shared" si="94"/>
        <v/>
      </c>
      <c r="HTK6" s="97" t="str">
        <f t="shared" si="94"/>
        <v/>
      </c>
      <c r="HTL6" s="97" t="str">
        <f t="shared" si="94"/>
        <v/>
      </c>
      <c r="HTM6" s="97" t="str">
        <f t="shared" si="94"/>
        <v/>
      </c>
      <c r="HTN6" s="97" t="str">
        <f t="shared" si="94"/>
        <v/>
      </c>
      <c r="HTO6" s="97" t="str">
        <f t="shared" si="94"/>
        <v/>
      </c>
      <c r="HTP6" s="97" t="str">
        <f t="shared" si="94"/>
        <v/>
      </c>
      <c r="HTQ6" s="97" t="str">
        <f t="shared" si="94"/>
        <v/>
      </c>
      <c r="HTR6" s="97" t="str">
        <f t="shared" si="94"/>
        <v/>
      </c>
      <c r="HTS6" s="97" t="str">
        <f t="shared" si="94"/>
        <v/>
      </c>
      <c r="HTT6" s="97" t="str">
        <f t="shared" si="94"/>
        <v/>
      </c>
      <c r="HTU6" s="97" t="str">
        <f t="shared" si="94"/>
        <v/>
      </c>
      <c r="HTV6" s="97" t="str">
        <f t="shared" si="94"/>
        <v/>
      </c>
      <c r="HTW6" s="97" t="str">
        <f t="shared" si="94"/>
        <v/>
      </c>
      <c r="HTX6" s="97" t="str">
        <f t="shared" si="94"/>
        <v/>
      </c>
      <c r="HTY6" s="97" t="str">
        <f t="shared" si="94"/>
        <v/>
      </c>
      <c r="HTZ6" s="97" t="str">
        <f t="shared" si="94"/>
        <v/>
      </c>
      <c r="HUA6" s="97" t="str">
        <f t="shared" si="94"/>
        <v/>
      </c>
      <c r="HUB6" s="97" t="str">
        <f t="shared" si="94"/>
        <v/>
      </c>
      <c r="HUC6" s="97" t="str">
        <f t="shared" si="94"/>
        <v/>
      </c>
      <c r="HUD6" s="97" t="str">
        <f t="shared" ref="HUD6:HWO6" si="95">IFERROR(AVERAGE(HUD7:HUD13),"")</f>
        <v/>
      </c>
      <c r="HUE6" s="97" t="str">
        <f t="shared" si="95"/>
        <v/>
      </c>
      <c r="HUF6" s="97" t="str">
        <f t="shared" si="95"/>
        <v/>
      </c>
      <c r="HUG6" s="97" t="str">
        <f t="shared" si="95"/>
        <v/>
      </c>
      <c r="HUH6" s="97" t="str">
        <f t="shared" si="95"/>
        <v/>
      </c>
      <c r="HUI6" s="97" t="str">
        <f t="shared" si="95"/>
        <v/>
      </c>
      <c r="HUJ6" s="97" t="str">
        <f t="shared" si="95"/>
        <v/>
      </c>
      <c r="HUK6" s="97" t="str">
        <f t="shared" si="95"/>
        <v/>
      </c>
      <c r="HUL6" s="97" t="str">
        <f t="shared" si="95"/>
        <v/>
      </c>
      <c r="HUM6" s="97" t="str">
        <f t="shared" si="95"/>
        <v/>
      </c>
      <c r="HUN6" s="97" t="str">
        <f t="shared" si="95"/>
        <v/>
      </c>
      <c r="HUO6" s="97" t="str">
        <f t="shared" si="95"/>
        <v/>
      </c>
      <c r="HUP6" s="97" t="str">
        <f t="shared" si="95"/>
        <v/>
      </c>
      <c r="HUQ6" s="97" t="str">
        <f t="shared" si="95"/>
        <v/>
      </c>
      <c r="HUR6" s="97" t="str">
        <f t="shared" si="95"/>
        <v/>
      </c>
      <c r="HUS6" s="97" t="str">
        <f t="shared" si="95"/>
        <v/>
      </c>
      <c r="HUT6" s="97" t="str">
        <f t="shared" si="95"/>
        <v/>
      </c>
      <c r="HUU6" s="97" t="str">
        <f t="shared" si="95"/>
        <v/>
      </c>
      <c r="HUV6" s="97" t="str">
        <f t="shared" si="95"/>
        <v/>
      </c>
      <c r="HUW6" s="97" t="str">
        <f t="shared" si="95"/>
        <v/>
      </c>
      <c r="HUX6" s="97" t="str">
        <f t="shared" si="95"/>
        <v/>
      </c>
      <c r="HUY6" s="97" t="str">
        <f t="shared" si="95"/>
        <v/>
      </c>
      <c r="HUZ6" s="97" t="str">
        <f t="shared" si="95"/>
        <v/>
      </c>
      <c r="HVA6" s="97" t="str">
        <f t="shared" si="95"/>
        <v/>
      </c>
      <c r="HVB6" s="97" t="str">
        <f t="shared" si="95"/>
        <v/>
      </c>
      <c r="HVC6" s="97" t="str">
        <f t="shared" si="95"/>
        <v/>
      </c>
      <c r="HVD6" s="97" t="str">
        <f t="shared" si="95"/>
        <v/>
      </c>
      <c r="HVE6" s="97" t="str">
        <f t="shared" si="95"/>
        <v/>
      </c>
      <c r="HVF6" s="97" t="str">
        <f t="shared" si="95"/>
        <v/>
      </c>
      <c r="HVG6" s="97" t="str">
        <f t="shared" si="95"/>
        <v/>
      </c>
      <c r="HVH6" s="97" t="str">
        <f t="shared" si="95"/>
        <v/>
      </c>
      <c r="HVI6" s="97" t="str">
        <f t="shared" si="95"/>
        <v/>
      </c>
      <c r="HVJ6" s="97" t="str">
        <f t="shared" si="95"/>
        <v/>
      </c>
      <c r="HVK6" s="97" t="str">
        <f t="shared" si="95"/>
        <v/>
      </c>
      <c r="HVL6" s="97" t="str">
        <f t="shared" si="95"/>
        <v/>
      </c>
      <c r="HVM6" s="97" t="str">
        <f t="shared" si="95"/>
        <v/>
      </c>
      <c r="HVN6" s="97" t="str">
        <f t="shared" si="95"/>
        <v/>
      </c>
      <c r="HVO6" s="97" t="str">
        <f t="shared" si="95"/>
        <v/>
      </c>
      <c r="HVP6" s="97" t="str">
        <f t="shared" si="95"/>
        <v/>
      </c>
      <c r="HVQ6" s="97" t="str">
        <f t="shared" si="95"/>
        <v/>
      </c>
      <c r="HVR6" s="97" t="str">
        <f t="shared" si="95"/>
        <v/>
      </c>
      <c r="HVS6" s="97" t="str">
        <f t="shared" si="95"/>
        <v/>
      </c>
      <c r="HVT6" s="97" t="str">
        <f t="shared" si="95"/>
        <v/>
      </c>
      <c r="HVU6" s="97" t="str">
        <f t="shared" si="95"/>
        <v/>
      </c>
      <c r="HVV6" s="97" t="str">
        <f t="shared" si="95"/>
        <v/>
      </c>
      <c r="HVW6" s="97" t="str">
        <f t="shared" si="95"/>
        <v/>
      </c>
      <c r="HVX6" s="97" t="str">
        <f t="shared" si="95"/>
        <v/>
      </c>
      <c r="HVY6" s="97" t="str">
        <f t="shared" si="95"/>
        <v/>
      </c>
      <c r="HVZ6" s="97" t="str">
        <f t="shared" si="95"/>
        <v/>
      </c>
      <c r="HWA6" s="97" t="str">
        <f t="shared" si="95"/>
        <v/>
      </c>
      <c r="HWB6" s="97" t="str">
        <f t="shared" si="95"/>
        <v/>
      </c>
      <c r="HWC6" s="97" t="str">
        <f t="shared" si="95"/>
        <v/>
      </c>
      <c r="HWD6" s="97" t="str">
        <f t="shared" si="95"/>
        <v/>
      </c>
      <c r="HWE6" s="97" t="str">
        <f t="shared" si="95"/>
        <v/>
      </c>
      <c r="HWF6" s="97" t="str">
        <f t="shared" si="95"/>
        <v/>
      </c>
      <c r="HWG6" s="97" t="str">
        <f t="shared" si="95"/>
        <v/>
      </c>
      <c r="HWH6" s="97" t="str">
        <f t="shared" si="95"/>
        <v/>
      </c>
      <c r="HWI6" s="97" t="str">
        <f t="shared" si="95"/>
        <v/>
      </c>
      <c r="HWJ6" s="97" t="str">
        <f t="shared" si="95"/>
        <v/>
      </c>
      <c r="HWK6" s="97" t="str">
        <f t="shared" si="95"/>
        <v/>
      </c>
      <c r="HWL6" s="97" t="str">
        <f t="shared" si="95"/>
        <v/>
      </c>
      <c r="HWM6" s="97" t="str">
        <f t="shared" si="95"/>
        <v/>
      </c>
      <c r="HWN6" s="97" t="str">
        <f t="shared" si="95"/>
        <v/>
      </c>
      <c r="HWO6" s="97" t="str">
        <f t="shared" si="95"/>
        <v/>
      </c>
      <c r="HWP6" s="97" t="str">
        <f t="shared" ref="HWP6:HZA6" si="96">IFERROR(AVERAGE(HWP7:HWP13),"")</f>
        <v/>
      </c>
      <c r="HWQ6" s="97" t="str">
        <f t="shared" si="96"/>
        <v/>
      </c>
      <c r="HWR6" s="97" t="str">
        <f t="shared" si="96"/>
        <v/>
      </c>
      <c r="HWS6" s="97" t="str">
        <f t="shared" si="96"/>
        <v/>
      </c>
      <c r="HWT6" s="97" t="str">
        <f t="shared" si="96"/>
        <v/>
      </c>
      <c r="HWU6" s="97" t="str">
        <f t="shared" si="96"/>
        <v/>
      </c>
      <c r="HWV6" s="97" t="str">
        <f t="shared" si="96"/>
        <v/>
      </c>
      <c r="HWW6" s="97" t="str">
        <f t="shared" si="96"/>
        <v/>
      </c>
      <c r="HWX6" s="97" t="str">
        <f t="shared" si="96"/>
        <v/>
      </c>
      <c r="HWY6" s="97" t="str">
        <f t="shared" si="96"/>
        <v/>
      </c>
      <c r="HWZ6" s="97" t="str">
        <f t="shared" si="96"/>
        <v/>
      </c>
      <c r="HXA6" s="97" t="str">
        <f t="shared" si="96"/>
        <v/>
      </c>
      <c r="HXB6" s="97" t="str">
        <f t="shared" si="96"/>
        <v/>
      </c>
      <c r="HXC6" s="97" t="str">
        <f t="shared" si="96"/>
        <v/>
      </c>
      <c r="HXD6" s="97" t="str">
        <f t="shared" si="96"/>
        <v/>
      </c>
      <c r="HXE6" s="97" t="str">
        <f t="shared" si="96"/>
        <v/>
      </c>
      <c r="HXF6" s="97" t="str">
        <f t="shared" si="96"/>
        <v/>
      </c>
      <c r="HXG6" s="97" t="str">
        <f t="shared" si="96"/>
        <v/>
      </c>
      <c r="HXH6" s="97" t="str">
        <f t="shared" si="96"/>
        <v/>
      </c>
      <c r="HXI6" s="97" t="str">
        <f t="shared" si="96"/>
        <v/>
      </c>
      <c r="HXJ6" s="97" t="str">
        <f t="shared" si="96"/>
        <v/>
      </c>
      <c r="HXK6" s="97" t="str">
        <f t="shared" si="96"/>
        <v/>
      </c>
      <c r="HXL6" s="97" t="str">
        <f t="shared" si="96"/>
        <v/>
      </c>
      <c r="HXM6" s="97" t="str">
        <f t="shared" si="96"/>
        <v/>
      </c>
      <c r="HXN6" s="97" t="str">
        <f t="shared" si="96"/>
        <v/>
      </c>
      <c r="HXO6" s="97" t="str">
        <f t="shared" si="96"/>
        <v/>
      </c>
      <c r="HXP6" s="97" t="str">
        <f t="shared" si="96"/>
        <v/>
      </c>
      <c r="HXQ6" s="97" t="str">
        <f t="shared" si="96"/>
        <v/>
      </c>
      <c r="HXR6" s="97" t="str">
        <f t="shared" si="96"/>
        <v/>
      </c>
      <c r="HXS6" s="97" t="str">
        <f t="shared" si="96"/>
        <v/>
      </c>
      <c r="HXT6" s="97" t="str">
        <f t="shared" si="96"/>
        <v/>
      </c>
      <c r="HXU6" s="97" t="str">
        <f t="shared" si="96"/>
        <v/>
      </c>
      <c r="HXV6" s="97" t="str">
        <f t="shared" si="96"/>
        <v/>
      </c>
      <c r="HXW6" s="97" t="str">
        <f t="shared" si="96"/>
        <v/>
      </c>
      <c r="HXX6" s="97" t="str">
        <f t="shared" si="96"/>
        <v/>
      </c>
      <c r="HXY6" s="97" t="str">
        <f t="shared" si="96"/>
        <v/>
      </c>
      <c r="HXZ6" s="97" t="str">
        <f t="shared" si="96"/>
        <v/>
      </c>
      <c r="HYA6" s="97" t="str">
        <f t="shared" si="96"/>
        <v/>
      </c>
      <c r="HYB6" s="97" t="str">
        <f t="shared" si="96"/>
        <v/>
      </c>
      <c r="HYC6" s="97" t="str">
        <f t="shared" si="96"/>
        <v/>
      </c>
      <c r="HYD6" s="97" t="str">
        <f t="shared" si="96"/>
        <v/>
      </c>
      <c r="HYE6" s="97" t="str">
        <f t="shared" si="96"/>
        <v/>
      </c>
      <c r="HYF6" s="97" t="str">
        <f t="shared" si="96"/>
        <v/>
      </c>
      <c r="HYG6" s="97" t="str">
        <f t="shared" si="96"/>
        <v/>
      </c>
      <c r="HYH6" s="97" t="str">
        <f t="shared" si="96"/>
        <v/>
      </c>
      <c r="HYI6" s="97" t="str">
        <f t="shared" si="96"/>
        <v/>
      </c>
      <c r="HYJ6" s="97" t="str">
        <f t="shared" si="96"/>
        <v/>
      </c>
      <c r="HYK6" s="97" t="str">
        <f t="shared" si="96"/>
        <v/>
      </c>
      <c r="HYL6" s="97" t="str">
        <f t="shared" si="96"/>
        <v/>
      </c>
      <c r="HYM6" s="97" t="str">
        <f t="shared" si="96"/>
        <v/>
      </c>
      <c r="HYN6" s="97" t="str">
        <f t="shared" si="96"/>
        <v/>
      </c>
      <c r="HYO6" s="97" t="str">
        <f t="shared" si="96"/>
        <v/>
      </c>
      <c r="HYP6" s="97" t="str">
        <f t="shared" si="96"/>
        <v/>
      </c>
      <c r="HYQ6" s="97" t="str">
        <f t="shared" si="96"/>
        <v/>
      </c>
      <c r="HYR6" s="97" t="str">
        <f t="shared" si="96"/>
        <v/>
      </c>
      <c r="HYS6" s="97" t="str">
        <f t="shared" si="96"/>
        <v/>
      </c>
      <c r="HYT6" s="97" t="str">
        <f t="shared" si="96"/>
        <v/>
      </c>
      <c r="HYU6" s="97" t="str">
        <f t="shared" si="96"/>
        <v/>
      </c>
      <c r="HYV6" s="97" t="str">
        <f t="shared" si="96"/>
        <v/>
      </c>
      <c r="HYW6" s="97" t="str">
        <f t="shared" si="96"/>
        <v/>
      </c>
      <c r="HYX6" s="97" t="str">
        <f t="shared" si="96"/>
        <v/>
      </c>
      <c r="HYY6" s="97" t="str">
        <f t="shared" si="96"/>
        <v/>
      </c>
      <c r="HYZ6" s="97" t="str">
        <f t="shared" si="96"/>
        <v/>
      </c>
      <c r="HZA6" s="97" t="str">
        <f t="shared" si="96"/>
        <v/>
      </c>
      <c r="HZB6" s="97" t="str">
        <f t="shared" ref="HZB6:IBM6" si="97">IFERROR(AVERAGE(HZB7:HZB13),"")</f>
        <v/>
      </c>
      <c r="HZC6" s="97" t="str">
        <f t="shared" si="97"/>
        <v/>
      </c>
      <c r="HZD6" s="97" t="str">
        <f t="shared" si="97"/>
        <v/>
      </c>
      <c r="HZE6" s="97" t="str">
        <f t="shared" si="97"/>
        <v/>
      </c>
      <c r="HZF6" s="97" t="str">
        <f t="shared" si="97"/>
        <v/>
      </c>
      <c r="HZG6" s="97" t="str">
        <f t="shared" si="97"/>
        <v/>
      </c>
      <c r="HZH6" s="97" t="str">
        <f t="shared" si="97"/>
        <v/>
      </c>
      <c r="HZI6" s="97" t="str">
        <f t="shared" si="97"/>
        <v/>
      </c>
      <c r="HZJ6" s="97" t="str">
        <f t="shared" si="97"/>
        <v/>
      </c>
      <c r="HZK6" s="97" t="str">
        <f t="shared" si="97"/>
        <v/>
      </c>
      <c r="HZL6" s="97" t="str">
        <f t="shared" si="97"/>
        <v/>
      </c>
      <c r="HZM6" s="97" t="str">
        <f t="shared" si="97"/>
        <v/>
      </c>
      <c r="HZN6" s="97" t="str">
        <f t="shared" si="97"/>
        <v/>
      </c>
      <c r="HZO6" s="97" t="str">
        <f t="shared" si="97"/>
        <v/>
      </c>
      <c r="HZP6" s="97" t="str">
        <f t="shared" si="97"/>
        <v/>
      </c>
      <c r="HZQ6" s="97" t="str">
        <f t="shared" si="97"/>
        <v/>
      </c>
      <c r="HZR6" s="97" t="str">
        <f t="shared" si="97"/>
        <v/>
      </c>
      <c r="HZS6" s="97" t="str">
        <f t="shared" si="97"/>
        <v/>
      </c>
      <c r="HZT6" s="97" t="str">
        <f t="shared" si="97"/>
        <v/>
      </c>
      <c r="HZU6" s="97" t="str">
        <f t="shared" si="97"/>
        <v/>
      </c>
      <c r="HZV6" s="97" t="str">
        <f t="shared" si="97"/>
        <v/>
      </c>
      <c r="HZW6" s="97" t="str">
        <f t="shared" si="97"/>
        <v/>
      </c>
      <c r="HZX6" s="97" t="str">
        <f t="shared" si="97"/>
        <v/>
      </c>
      <c r="HZY6" s="97" t="str">
        <f t="shared" si="97"/>
        <v/>
      </c>
      <c r="HZZ6" s="97" t="str">
        <f t="shared" si="97"/>
        <v/>
      </c>
      <c r="IAA6" s="97" t="str">
        <f t="shared" si="97"/>
        <v/>
      </c>
      <c r="IAB6" s="97" t="str">
        <f t="shared" si="97"/>
        <v/>
      </c>
      <c r="IAC6" s="97" t="str">
        <f t="shared" si="97"/>
        <v/>
      </c>
      <c r="IAD6" s="97" t="str">
        <f t="shared" si="97"/>
        <v/>
      </c>
      <c r="IAE6" s="97" t="str">
        <f t="shared" si="97"/>
        <v/>
      </c>
      <c r="IAF6" s="97" t="str">
        <f t="shared" si="97"/>
        <v/>
      </c>
      <c r="IAG6" s="97" t="str">
        <f t="shared" si="97"/>
        <v/>
      </c>
      <c r="IAH6" s="97" t="str">
        <f t="shared" si="97"/>
        <v/>
      </c>
      <c r="IAI6" s="97" t="str">
        <f t="shared" si="97"/>
        <v/>
      </c>
      <c r="IAJ6" s="97" t="str">
        <f t="shared" si="97"/>
        <v/>
      </c>
      <c r="IAK6" s="97" t="str">
        <f t="shared" si="97"/>
        <v/>
      </c>
      <c r="IAL6" s="97" t="str">
        <f t="shared" si="97"/>
        <v/>
      </c>
      <c r="IAM6" s="97" t="str">
        <f t="shared" si="97"/>
        <v/>
      </c>
      <c r="IAN6" s="97" t="str">
        <f t="shared" si="97"/>
        <v/>
      </c>
      <c r="IAO6" s="97" t="str">
        <f t="shared" si="97"/>
        <v/>
      </c>
      <c r="IAP6" s="97" t="str">
        <f t="shared" si="97"/>
        <v/>
      </c>
      <c r="IAQ6" s="97" t="str">
        <f t="shared" si="97"/>
        <v/>
      </c>
      <c r="IAR6" s="97" t="str">
        <f t="shared" si="97"/>
        <v/>
      </c>
      <c r="IAS6" s="97" t="str">
        <f t="shared" si="97"/>
        <v/>
      </c>
      <c r="IAT6" s="97" t="str">
        <f t="shared" si="97"/>
        <v/>
      </c>
      <c r="IAU6" s="97" t="str">
        <f t="shared" si="97"/>
        <v/>
      </c>
      <c r="IAV6" s="97" t="str">
        <f t="shared" si="97"/>
        <v/>
      </c>
      <c r="IAW6" s="97" t="str">
        <f t="shared" si="97"/>
        <v/>
      </c>
      <c r="IAX6" s="97" t="str">
        <f t="shared" si="97"/>
        <v/>
      </c>
      <c r="IAY6" s="97" t="str">
        <f t="shared" si="97"/>
        <v/>
      </c>
      <c r="IAZ6" s="97" t="str">
        <f t="shared" si="97"/>
        <v/>
      </c>
      <c r="IBA6" s="97" t="str">
        <f t="shared" si="97"/>
        <v/>
      </c>
      <c r="IBB6" s="97" t="str">
        <f t="shared" si="97"/>
        <v/>
      </c>
      <c r="IBC6" s="97" t="str">
        <f t="shared" si="97"/>
        <v/>
      </c>
      <c r="IBD6" s="97" t="str">
        <f t="shared" si="97"/>
        <v/>
      </c>
      <c r="IBE6" s="97" t="str">
        <f t="shared" si="97"/>
        <v/>
      </c>
      <c r="IBF6" s="97" t="str">
        <f t="shared" si="97"/>
        <v/>
      </c>
      <c r="IBG6" s="97" t="str">
        <f t="shared" si="97"/>
        <v/>
      </c>
      <c r="IBH6" s="97" t="str">
        <f t="shared" si="97"/>
        <v/>
      </c>
      <c r="IBI6" s="97" t="str">
        <f t="shared" si="97"/>
        <v/>
      </c>
      <c r="IBJ6" s="97" t="str">
        <f t="shared" si="97"/>
        <v/>
      </c>
      <c r="IBK6" s="97" t="str">
        <f t="shared" si="97"/>
        <v/>
      </c>
      <c r="IBL6" s="97" t="str">
        <f t="shared" si="97"/>
        <v/>
      </c>
      <c r="IBM6" s="97" t="str">
        <f t="shared" si="97"/>
        <v/>
      </c>
      <c r="IBN6" s="97" t="str">
        <f t="shared" ref="IBN6:IDY6" si="98">IFERROR(AVERAGE(IBN7:IBN13),"")</f>
        <v/>
      </c>
      <c r="IBO6" s="97" t="str">
        <f t="shared" si="98"/>
        <v/>
      </c>
      <c r="IBP6" s="97" t="str">
        <f t="shared" si="98"/>
        <v/>
      </c>
      <c r="IBQ6" s="97" t="str">
        <f t="shared" si="98"/>
        <v/>
      </c>
      <c r="IBR6" s="97" t="str">
        <f t="shared" si="98"/>
        <v/>
      </c>
      <c r="IBS6" s="97" t="str">
        <f t="shared" si="98"/>
        <v/>
      </c>
      <c r="IBT6" s="97" t="str">
        <f t="shared" si="98"/>
        <v/>
      </c>
      <c r="IBU6" s="97" t="str">
        <f t="shared" si="98"/>
        <v/>
      </c>
      <c r="IBV6" s="97" t="str">
        <f t="shared" si="98"/>
        <v/>
      </c>
      <c r="IBW6" s="97" t="str">
        <f t="shared" si="98"/>
        <v/>
      </c>
      <c r="IBX6" s="97" t="str">
        <f t="shared" si="98"/>
        <v/>
      </c>
      <c r="IBY6" s="97" t="str">
        <f t="shared" si="98"/>
        <v/>
      </c>
      <c r="IBZ6" s="97" t="str">
        <f t="shared" si="98"/>
        <v/>
      </c>
      <c r="ICA6" s="97" t="str">
        <f t="shared" si="98"/>
        <v/>
      </c>
      <c r="ICB6" s="97" t="str">
        <f t="shared" si="98"/>
        <v/>
      </c>
      <c r="ICC6" s="97" t="str">
        <f t="shared" si="98"/>
        <v/>
      </c>
      <c r="ICD6" s="97" t="str">
        <f t="shared" si="98"/>
        <v/>
      </c>
      <c r="ICE6" s="97" t="str">
        <f t="shared" si="98"/>
        <v/>
      </c>
      <c r="ICF6" s="97" t="str">
        <f t="shared" si="98"/>
        <v/>
      </c>
      <c r="ICG6" s="97" t="str">
        <f t="shared" si="98"/>
        <v/>
      </c>
      <c r="ICH6" s="97" t="str">
        <f t="shared" si="98"/>
        <v/>
      </c>
      <c r="ICI6" s="97" t="str">
        <f t="shared" si="98"/>
        <v/>
      </c>
      <c r="ICJ6" s="97" t="str">
        <f t="shared" si="98"/>
        <v/>
      </c>
      <c r="ICK6" s="97" t="str">
        <f t="shared" si="98"/>
        <v/>
      </c>
      <c r="ICL6" s="97" t="str">
        <f t="shared" si="98"/>
        <v/>
      </c>
      <c r="ICM6" s="97" t="str">
        <f t="shared" si="98"/>
        <v/>
      </c>
      <c r="ICN6" s="97" t="str">
        <f t="shared" si="98"/>
        <v/>
      </c>
      <c r="ICO6" s="97" t="str">
        <f t="shared" si="98"/>
        <v/>
      </c>
      <c r="ICP6" s="97" t="str">
        <f t="shared" si="98"/>
        <v/>
      </c>
      <c r="ICQ6" s="97" t="str">
        <f t="shared" si="98"/>
        <v/>
      </c>
      <c r="ICR6" s="97" t="str">
        <f t="shared" si="98"/>
        <v/>
      </c>
      <c r="ICS6" s="97" t="str">
        <f t="shared" si="98"/>
        <v/>
      </c>
      <c r="ICT6" s="97" t="str">
        <f t="shared" si="98"/>
        <v/>
      </c>
      <c r="ICU6" s="97" t="str">
        <f t="shared" si="98"/>
        <v/>
      </c>
      <c r="ICV6" s="97" t="str">
        <f t="shared" si="98"/>
        <v/>
      </c>
      <c r="ICW6" s="97" t="str">
        <f t="shared" si="98"/>
        <v/>
      </c>
      <c r="ICX6" s="97" t="str">
        <f t="shared" si="98"/>
        <v/>
      </c>
      <c r="ICY6" s="97" t="str">
        <f t="shared" si="98"/>
        <v/>
      </c>
      <c r="ICZ6" s="97" t="str">
        <f t="shared" si="98"/>
        <v/>
      </c>
      <c r="IDA6" s="97" t="str">
        <f t="shared" si="98"/>
        <v/>
      </c>
      <c r="IDB6" s="97" t="str">
        <f t="shared" si="98"/>
        <v/>
      </c>
      <c r="IDC6" s="97" t="str">
        <f t="shared" si="98"/>
        <v/>
      </c>
      <c r="IDD6" s="97" t="str">
        <f t="shared" si="98"/>
        <v/>
      </c>
      <c r="IDE6" s="97" t="str">
        <f t="shared" si="98"/>
        <v/>
      </c>
      <c r="IDF6" s="97" t="str">
        <f t="shared" si="98"/>
        <v/>
      </c>
      <c r="IDG6" s="97" t="str">
        <f t="shared" si="98"/>
        <v/>
      </c>
      <c r="IDH6" s="97" t="str">
        <f t="shared" si="98"/>
        <v/>
      </c>
      <c r="IDI6" s="97" t="str">
        <f t="shared" si="98"/>
        <v/>
      </c>
      <c r="IDJ6" s="97" t="str">
        <f t="shared" si="98"/>
        <v/>
      </c>
      <c r="IDK6" s="97" t="str">
        <f t="shared" si="98"/>
        <v/>
      </c>
      <c r="IDL6" s="97" t="str">
        <f t="shared" si="98"/>
        <v/>
      </c>
      <c r="IDM6" s="97" t="str">
        <f t="shared" si="98"/>
        <v/>
      </c>
      <c r="IDN6" s="97" t="str">
        <f t="shared" si="98"/>
        <v/>
      </c>
      <c r="IDO6" s="97" t="str">
        <f t="shared" si="98"/>
        <v/>
      </c>
      <c r="IDP6" s="97" t="str">
        <f t="shared" si="98"/>
        <v/>
      </c>
      <c r="IDQ6" s="97" t="str">
        <f t="shared" si="98"/>
        <v/>
      </c>
      <c r="IDR6" s="97" t="str">
        <f t="shared" si="98"/>
        <v/>
      </c>
      <c r="IDS6" s="97" t="str">
        <f t="shared" si="98"/>
        <v/>
      </c>
      <c r="IDT6" s="97" t="str">
        <f t="shared" si="98"/>
        <v/>
      </c>
      <c r="IDU6" s="97" t="str">
        <f t="shared" si="98"/>
        <v/>
      </c>
      <c r="IDV6" s="97" t="str">
        <f t="shared" si="98"/>
        <v/>
      </c>
      <c r="IDW6" s="97" t="str">
        <f t="shared" si="98"/>
        <v/>
      </c>
      <c r="IDX6" s="97" t="str">
        <f t="shared" si="98"/>
        <v/>
      </c>
      <c r="IDY6" s="97" t="str">
        <f t="shared" si="98"/>
        <v/>
      </c>
      <c r="IDZ6" s="97" t="str">
        <f t="shared" ref="IDZ6:IGK6" si="99">IFERROR(AVERAGE(IDZ7:IDZ13),"")</f>
        <v/>
      </c>
      <c r="IEA6" s="97" t="str">
        <f t="shared" si="99"/>
        <v/>
      </c>
      <c r="IEB6" s="97" t="str">
        <f t="shared" si="99"/>
        <v/>
      </c>
      <c r="IEC6" s="97" t="str">
        <f t="shared" si="99"/>
        <v/>
      </c>
      <c r="IED6" s="97" t="str">
        <f t="shared" si="99"/>
        <v/>
      </c>
      <c r="IEE6" s="97" t="str">
        <f t="shared" si="99"/>
        <v/>
      </c>
      <c r="IEF6" s="97" t="str">
        <f t="shared" si="99"/>
        <v/>
      </c>
      <c r="IEG6" s="97" t="str">
        <f t="shared" si="99"/>
        <v/>
      </c>
      <c r="IEH6" s="97" t="str">
        <f t="shared" si="99"/>
        <v/>
      </c>
      <c r="IEI6" s="97" t="str">
        <f t="shared" si="99"/>
        <v/>
      </c>
      <c r="IEJ6" s="97" t="str">
        <f t="shared" si="99"/>
        <v/>
      </c>
      <c r="IEK6" s="97" t="str">
        <f t="shared" si="99"/>
        <v/>
      </c>
      <c r="IEL6" s="97" t="str">
        <f t="shared" si="99"/>
        <v/>
      </c>
      <c r="IEM6" s="97" t="str">
        <f t="shared" si="99"/>
        <v/>
      </c>
      <c r="IEN6" s="97" t="str">
        <f t="shared" si="99"/>
        <v/>
      </c>
      <c r="IEO6" s="97" t="str">
        <f t="shared" si="99"/>
        <v/>
      </c>
      <c r="IEP6" s="97" t="str">
        <f t="shared" si="99"/>
        <v/>
      </c>
      <c r="IEQ6" s="97" t="str">
        <f t="shared" si="99"/>
        <v/>
      </c>
      <c r="IER6" s="97" t="str">
        <f t="shared" si="99"/>
        <v/>
      </c>
      <c r="IES6" s="97" t="str">
        <f t="shared" si="99"/>
        <v/>
      </c>
      <c r="IET6" s="97" t="str">
        <f t="shared" si="99"/>
        <v/>
      </c>
      <c r="IEU6" s="97" t="str">
        <f t="shared" si="99"/>
        <v/>
      </c>
      <c r="IEV6" s="97" t="str">
        <f t="shared" si="99"/>
        <v/>
      </c>
      <c r="IEW6" s="97" t="str">
        <f t="shared" si="99"/>
        <v/>
      </c>
      <c r="IEX6" s="97" t="str">
        <f t="shared" si="99"/>
        <v/>
      </c>
      <c r="IEY6" s="97" t="str">
        <f t="shared" si="99"/>
        <v/>
      </c>
      <c r="IEZ6" s="97" t="str">
        <f t="shared" si="99"/>
        <v/>
      </c>
      <c r="IFA6" s="97" t="str">
        <f t="shared" si="99"/>
        <v/>
      </c>
      <c r="IFB6" s="97" t="str">
        <f t="shared" si="99"/>
        <v/>
      </c>
      <c r="IFC6" s="97" t="str">
        <f t="shared" si="99"/>
        <v/>
      </c>
      <c r="IFD6" s="97" t="str">
        <f t="shared" si="99"/>
        <v/>
      </c>
      <c r="IFE6" s="97" t="str">
        <f t="shared" si="99"/>
        <v/>
      </c>
      <c r="IFF6" s="97" t="str">
        <f t="shared" si="99"/>
        <v/>
      </c>
      <c r="IFG6" s="97" t="str">
        <f t="shared" si="99"/>
        <v/>
      </c>
      <c r="IFH6" s="97" t="str">
        <f t="shared" si="99"/>
        <v/>
      </c>
      <c r="IFI6" s="97" t="str">
        <f t="shared" si="99"/>
        <v/>
      </c>
      <c r="IFJ6" s="97" t="str">
        <f t="shared" si="99"/>
        <v/>
      </c>
      <c r="IFK6" s="97" t="str">
        <f t="shared" si="99"/>
        <v/>
      </c>
      <c r="IFL6" s="97" t="str">
        <f t="shared" si="99"/>
        <v/>
      </c>
      <c r="IFM6" s="97" t="str">
        <f t="shared" si="99"/>
        <v/>
      </c>
      <c r="IFN6" s="97" t="str">
        <f t="shared" si="99"/>
        <v/>
      </c>
      <c r="IFO6" s="97" t="str">
        <f t="shared" si="99"/>
        <v/>
      </c>
      <c r="IFP6" s="97" t="str">
        <f t="shared" si="99"/>
        <v/>
      </c>
      <c r="IFQ6" s="97" t="str">
        <f t="shared" si="99"/>
        <v/>
      </c>
      <c r="IFR6" s="97" t="str">
        <f t="shared" si="99"/>
        <v/>
      </c>
      <c r="IFS6" s="97" t="str">
        <f t="shared" si="99"/>
        <v/>
      </c>
      <c r="IFT6" s="97" t="str">
        <f t="shared" si="99"/>
        <v/>
      </c>
      <c r="IFU6" s="97" t="str">
        <f t="shared" si="99"/>
        <v/>
      </c>
      <c r="IFV6" s="97" t="str">
        <f t="shared" si="99"/>
        <v/>
      </c>
      <c r="IFW6" s="97" t="str">
        <f t="shared" si="99"/>
        <v/>
      </c>
      <c r="IFX6" s="97" t="str">
        <f t="shared" si="99"/>
        <v/>
      </c>
      <c r="IFY6" s="97" t="str">
        <f t="shared" si="99"/>
        <v/>
      </c>
      <c r="IFZ6" s="97" t="str">
        <f t="shared" si="99"/>
        <v/>
      </c>
      <c r="IGA6" s="97" t="str">
        <f t="shared" si="99"/>
        <v/>
      </c>
      <c r="IGB6" s="97" t="str">
        <f t="shared" si="99"/>
        <v/>
      </c>
      <c r="IGC6" s="97" t="str">
        <f t="shared" si="99"/>
        <v/>
      </c>
      <c r="IGD6" s="97" t="str">
        <f t="shared" si="99"/>
        <v/>
      </c>
      <c r="IGE6" s="97" t="str">
        <f t="shared" si="99"/>
        <v/>
      </c>
      <c r="IGF6" s="97" t="str">
        <f t="shared" si="99"/>
        <v/>
      </c>
      <c r="IGG6" s="97" t="str">
        <f t="shared" si="99"/>
        <v/>
      </c>
      <c r="IGH6" s="97" t="str">
        <f t="shared" si="99"/>
        <v/>
      </c>
      <c r="IGI6" s="97" t="str">
        <f t="shared" si="99"/>
        <v/>
      </c>
      <c r="IGJ6" s="97" t="str">
        <f t="shared" si="99"/>
        <v/>
      </c>
      <c r="IGK6" s="97" t="str">
        <f t="shared" si="99"/>
        <v/>
      </c>
      <c r="IGL6" s="97" t="str">
        <f t="shared" ref="IGL6:IIW6" si="100">IFERROR(AVERAGE(IGL7:IGL13),"")</f>
        <v/>
      </c>
      <c r="IGM6" s="97" t="str">
        <f t="shared" si="100"/>
        <v/>
      </c>
      <c r="IGN6" s="97" t="str">
        <f t="shared" si="100"/>
        <v/>
      </c>
      <c r="IGO6" s="97" t="str">
        <f t="shared" si="100"/>
        <v/>
      </c>
      <c r="IGP6" s="97" t="str">
        <f t="shared" si="100"/>
        <v/>
      </c>
      <c r="IGQ6" s="97" t="str">
        <f t="shared" si="100"/>
        <v/>
      </c>
      <c r="IGR6" s="97" t="str">
        <f t="shared" si="100"/>
        <v/>
      </c>
      <c r="IGS6" s="97" t="str">
        <f t="shared" si="100"/>
        <v/>
      </c>
      <c r="IGT6" s="97" t="str">
        <f t="shared" si="100"/>
        <v/>
      </c>
      <c r="IGU6" s="97" t="str">
        <f t="shared" si="100"/>
        <v/>
      </c>
      <c r="IGV6" s="97" t="str">
        <f t="shared" si="100"/>
        <v/>
      </c>
      <c r="IGW6" s="97" t="str">
        <f t="shared" si="100"/>
        <v/>
      </c>
      <c r="IGX6" s="97" t="str">
        <f t="shared" si="100"/>
        <v/>
      </c>
      <c r="IGY6" s="97" t="str">
        <f t="shared" si="100"/>
        <v/>
      </c>
      <c r="IGZ6" s="97" t="str">
        <f t="shared" si="100"/>
        <v/>
      </c>
      <c r="IHA6" s="97" t="str">
        <f t="shared" si="100"/>
        <v/>
      </c>
      <c r="IHB6" s="97" t="str">
        <f t="shared" si="100"/>
        <v/>
      </c>
      <c r="IHC6" s="97" t="str">
        <f t="shared" si="100"/>
        <v/>
      </c>
      <c r="IHD6" s="97" t="str">
        <f t="shared" si="100"/>
        <v/>
      </c>
      <c r="IHE6" s="97" t="str">
        <f t="shared" si="100"/>
        <v/>
      </c>
      <c r="IHF6" s="97" t="str">
        <f t="shared" si="100"/>
        <v/>
      </c>
      <c r="IHG6" s="97" t="str">
        <f t="shared" si="100"/>
        <v/>
      </c>
      <c r="IHH6" s="97" t="str">
        <f t="shared" si="100"/>
        <v/>
      </c>
      <c r="IHI6" s="97" t="str">
        <f t="shared" si="100"/>
        <v/>
      </c>
      <c r="IHJ6" s="97" t="str">
        <f t="shared" si="100"/>
        <v/>
      </c>
      <c r="IHK6" s="97" t="str">
        <f t="shared" si="100"/>
        <v/>
      </c>
      <c r="IHL6" s="97" t="str">
        <f t="shared" si="100"/>
        <v/>
      </c>
      <c r="IHM6" s="97" t="str">
        <f t="shared" si="100"/>
        <v/>
      </c>
      <c r="IHN6" s="97" t="str">
        <f t="shared" si="100"/>
        <v/>
      </c>
      <c r="IHO6" s="97" t="str">
        <f t="shared" si="100"/>
        <v/>
      </c>
      <c r="IHP6" s="97" t="str">
        <f t="shared" si="100"/>
        <v/>
      </c>
      <c r="IHQ6" s="97" t="str">
        <f t="shared" si="100"/>
        <v/>
      </c>
      <c r="IHR6" s="97" t="str">
        <f t="shared" si="100"/>
        <v/>
      </c>
      <c r="IHS6" s="97" t="str">
        <f t="shared" si="100"/>
        <v/>
      </c>
      <c r="IHT6" s="97" t="str">
        <f t="shared" si="100"/>
        <v/>
      </c>
      <c r="IHU6" s="97" t="str">
        <f t="shared" si="100"/>
        <v/>
      </c>
      <c r="IHV6" s="97" t="str">
        <f t="shared" si="100"/>
        <v/>
      </c>
      <c r="IHW6" s="97" t="str">
        <f t="shared" si="100"/>
        <v/>
      </c>
      <c r="IHX6" s="97" t="str">
        <f t="shared" si="100"/>
        <v/>
      </c>
      <c r="IHY6" s="97" t="str">
        <f t="shared" si="100"/>
        <v/>
      </c>
      <c r="IHZ6" s="97" t="str">
        <f t="shared" si="100"/>
        <v/>
      </c>
      <c r="IIA6" s="97" t="str">
        <f t="shared" si="100"/>
        <v/>
      </c>
      <c r="IIB6" s="97" t="str">
        <f t="shared" si="100"/>
        <v/>
      </c>
      <c r="IIC6" s="97" t="str">
        <f t="shared" si="100"/>
        <v/>
      </c>
      <c r="IID6" s="97" t="str">
        <f t="shared" si="100"/>
        <v/>
      </c>
      <c r="IIE6" s="97" t="str">
        <f t="shared" si="100"/>
        <v/>
      </c>
      <c r="IIF6" s="97" t="str">
        <f t="shared" si="100"/>
        <v/>
      </c>
      <c r="IIG6" s="97" t="str">
        <f t="shared" si="100"/>
        <v/>
      </c>
      <c r="IIH6" s="97" t="str">
        <f t="shared" si="100"/>
        <v/>
      </c>
      <c r="III6" s="97" t="str">
        <f t="shared" si="100"/>
        <v/>
      </c>
      <c r="IIJ6" s="97" t="str">
        <f t="shared" si="100"/>
        <v/>
      </c>
      <c r="IIK6" s="97" t="str">
        <f t="shared" si="100"/>
        <v/>
      </c>
      <c r="IIL6" s="97" t="str">
        <f t="shared" si="100"/>
        <v/>
      </c>
      <c r="IIM6" s="97" t="str">
        <f t="shared" si="100"/>
        <v/>
      </c>
      <c r="IIN6" s="97" t="str">
        <f t="shared" si="100"/>
        <v/>
      </c>
      <c r="IIO6" s="97" t="str">
        <f t="shared" si="100"/>
        <v/>
      </c>
      <c r="IIP6" s="97" t="str">
        <f t="shared" si="100"/>
        <v/>
      </c>
      <c r="IIQ6" s="97" t="str">
        <f t="shared" si="100"/>
        <v/>
      </c>
      <c r="IIR6" s="97" t="str">
        <f t="shared" si="100"/>
        <v/>
      </c>
      <c r="IIS6" s="97" t="str">
        <f t="shared" si="100"/>
        <v/>
      </c>
      <c r="IIT6" s="97" t="str">
        <f t="shared" si="100"/>
        <v/>
      </c>
      <c r="IIU6" s="97" t="str">
        <f t="shared" si="100"/>
        <v/>
      </c>
      <c r="IIV6" s="97" t="str">
        <f t="shared" si="100"/>
        <v/>
      </c>
      <c r="IIW6" s="97" t="str">
        <f t="shared" si="100"/>
        <v/>
      </c>
      <c r="IIX6" s="97" t="str">
        <f t="shared" ref="IIX6:ILI6" si="101">IFERROR(AVERAGE(IIX7:IIX13),"")</f>
        <v/>
      </c>
      <c r="IIY6" s="97" t="str">
        <f t="shared" si="101"/>
        <v/>
      </c>
      <c r="IIZ6" s="97" t="str">
        <f t="shared" si="101"/>
        <v/>
      </c>
      <c r="IJA6" s="97" t="str">
        <f t="shared" si="101"/>
        <v/>
      </c>
      <c r="IJB6" s="97" t="str">
        <f t="shared" si="101"/>
        <v/>
      </c>
      <c r="IJC6" s="97" t="str">
        <f t="shared" si="101"/>
        <v/>
      </c>
      <c r="IJD6" s="97" t="str">
        <f t="shared" si="101"/>
        <v/>
      </c>
      <c r="IJE6" s="97" t="str">
        <f t="shared" si="101"/>
        <v/>
      </c>
      <c r="IJF6" s="97" t="str">
        <f t="shared" si="101"/>
        <v/>
      </c>
      <c r="IJG6" s="97" t="str">
        <f t="shared" si="101"/>
        <v/>
      </c>
      <c r="IJH6" s="97" t="str">
        <f t="shared" si="101"/>
        <v/>
      </c>
      <c r="IJI6" s="97" t="str">
        <f t="shared" si="101"/>
        <v/>
      </c>
      <c r="IJJ6" s="97" t="str">
        <f t="shared" si="101"/>
        <v/>
      </c>
      <c r="IJK6" s="97" t="str">
        <f t="shared" si="101"/>
        <v/>
      </c>
      <c r="IJL6" s="97" t="str">
        <f t="shared" si="101"/>
        <v/>
      </c>
      <c r="IJM6" s="97" t="str">
        <f t="shared" si="101"/>
        <v/>
      </c>
      <c r="IJN6" s="97" t="str">
        <f t="shared" si="101"/>
        <v/>
      </c>
      <c r="IJO6" s="97" t="str">
        <f t="shared" si="101"/>
        <v/>
      </c>
      <c r="IJP6" s="97" t="str">
        <f t="shared" si="101"/>
        <v/>
      </c>
      <c r="IJQ6" s="97" t="str">
        <f t="shared" si="101"/>
        <v/>
      </c>
      <c r="IJR6" s="97" t="str">
        <f t="shared" si="101"/>
        <v/>
      </c>
      <c r="IJS6" s="97" t="str">
        <f t="shared" si="101"/>
        <v/>
      </c>
      <c r="IJT6" s="97" t="str">
        <f t="shared" si="101"/>
        <v/>
      </c>
      <c r="IJU6" s="97" t="str">
        <f t="shared" si="101"/>
        <v/>
      </c>
      <c r="IJV6" s="97" t="str">
        <f t="shared" si="101"/>
        <v/>
      </c>
      <c r="IJW6" s="97" t="str">
        <f t="shared" si="101"/>
        <v/>
      </c>
      <c r="IJX6" s="97" t="str">
        <f t="shared" si="101"/>
        <v/>
      </c>
      <c r="IJY6" s="97" t="str">
        <f t="shared" si="101"/>
        <v/>
      </c>
      <c r="IJZ6" s="97" t="str">
        <f t="shared" si="101"/>
        <v/>
      </c>
      <c r="IKA6" s="97" t="str">
        <f t="shared" si="101"/>
        <v/>
      </c>
      <c r="IKB6" s="97" t="str">
        <f t="shared" si="101"/>
        <v/>
      </c>
      <c r="IKC6" s="97" t="str">
        <f t="shared" si="101"/>
        <v/>
      </c>
      <c r="IKD6" s="97" t="str">
        <f t="shared" si="101"/>
        <v/>
      </c>
      <c r="IKE6" s="97" t="str">
        <f t="shared" si="101"/>
        <v/>
      </c>
      <c r="IKF6" s="97" t="str">
        <f t="shared" si="101"/>
        <v/>
      </c>
      <c r="IKG6" s="97" t="str">
        <f t="shared" si="101"/>
        <v/>
      </c>
      <c r="IKH6" s="97" t="str">
        <f t="shared" si="101"/>
        <v/>
      </c>
      <c r="IKI6" s="97" t="str">
        <f t="shared" si="101"/>
        <v/>
      </c>
      <c r="IKJ6" s="97" t="str">
        <f t="shared" si="101"/>
        <v/>
      </c>
      <c r="IKK6" s="97" t="str">
        <f t="shared" si="101"/>
        <v/>
      </c>
      <c r="IKL6" s="97" t="str">
        <f t="shared" si="101"/>
        <v/>
      </c>
      <c r="IKM6" s="97" t="str">
        <f t="shared" si="101"/>
        <v/>
      </c>
      <c r="IKN6" s="97" t="str">
        <f t="shared" si="101"/>
        <v/>
      </c>
      <c r="IKO6" s="97" t="str">
        <f t="shared" si="101"/>
        <v/>
      </c>
      <c r="IKP6" s="97" t="str">
        <f t="shared" si="101"/>
        <v/>
      </c>
      <c r="IKQ6" s="97" t="str">
        <f t="shared" si="101"/>
        <v/>
      </c>
      <c r="IKR6" s="97" t="str">
        <f t="shared" si="101"/>
        <v/>
      </c>
      <c r="IKS6" s="97" t="str">
        <f t="shared" si="101"/>
        <v/>
      </c>
      <c r="IKT6" s="97" t="str">
        <f t="shared" si="101"/>
        <v/>
      </c>
      <c r="IKU6" s="97" t="str">
        <f t="shared" si="101"/>
        <v/>
      </c>
      <c r="IKV6" s="97" t="str">
        <f t="shared" si="101"/>
        <v/>
      </c>
      <c r="IKW6" s="97" t="str">
        <f t="shared" si="101"/>
        <v/>
      </c>
      <c r="IKX6" s="97" t="str">
        <f t="shared" si="101"/>
        <v/>
      </c>
      <c r="IKY6" s="97" t="str">
        <f t="shared" si="101"/>
        <v/>
      </c>
      <c r="IKZ6" s="97" t="str">
        <f t="shared" si="101"/>
        <v/>
      </c>
      <c r="ILA6" s="97" t="str">
        <f t="shared" si="101"/>
        <v/>
      </c>
      <c r="ILB6" s="97" t="str">
        <f t="shared" si="101"/>
        <v/>
      </c>
      <c r="ILC6" s="97" t="str">
        <f t="shared" si="101"/>
        <v/>
      </c>
      <c r="ILD6" s="97" t="str">
        <f t="shared" si="101"/>
        <v/>
      </c>
      <c r="ILE6" s="97" t="str">
        <f t="shared" si="101"/>
        <v/>
      </c>
      <c r="ILF6" s="97" t="str">
        <f t="shared" si="101"/>
        <v/>
      </c>
      <c r="ILG6" s="97" t="str">
        <f t="shared" si="101"/>
        <v/>
      </c>
      <c r="ILH6" s="97" t="str">
        <f t="shared" si="101"/>
        <v/>
      </c>
      <c r="ILI6" s="97" t="str">
        <f t="shared" si="101"/>
        <v/>
      </c>
      <c r="ILJ6" s="97" t="str">
        <f t="shared" ref="ILJ6:INU6" si="102">IFERROR(AVERAGE(ILJ7:ILJ13),"")</f>
        <v/>
      </c>
      <c r="ILK6" s="97" t="str">
        <f t="shared" si="102"/>
        <v/>
      </c>
      <c r="ILL6" s="97" t="str">
        <f t="shared" si="102"/>
        <v/>
      </c>
      <c r="ILM6" s="97" t="str">
        <f t="shared" si="102"/>
        <v/>
      </c>
      <c r="ILN6" s="97" t="str">
        <f t="shared" si="102"/>
        <v/>
      </c>
      <c r="ILO6" s="97" t="str">
        <f t="shared" si="102"/>
        <v/>
      </c>
      <c r="ILP6" s="97" t="str">
        <f t="shared" si="102"/>
        <v/>
      </c>
      <c r="ILQ6" s="97" t="str">
        <f t="shared" si="102"/>
        <v/>
      </c>
      <c r="ILR6" s="97" t="str">
        <f t="shared" si="102"/>
        <v/>
      </c>
      <c r="ILS6" s="97" t="str">
        <f t="shared" si="102"/>
        <v/>
      </c>
      <c r="ILT6" s="97" t="str">
        <f t="shared" si="102"/>
        <v/>
      </c>
      <c r="ILU6" s="97" t="str">
        <f t="shared" si="102"/>
        <v/>
      </c>
      <c r="ILV6" s="97" t="str">
        <f t="shared" si="102"/>
        <v/>
      </c>
      <c r="ILW6" s="97" t="str">
        <f t="shared" si="102"/>
        <v/>
      </c>
      <c r="ILX6" s="97" t="str">
        <f t="shared" si="102"/>
        <v/>
      </c>
      <c r="ILY6" s="97" t="str">
        <f t="shared" si="102"/>
        <v/>
      </c>
      <c r="ILZ6" s="97" t="str">
        <f t="shared" si="102"/>
        <v/>
      </c>
      <c r="IMA6" s="97" t="str">
        <f t="shared" si="102"/>
        <v/>
      </c>
      <c r="IMB6" s="97" t="str">
        <f t="shared" si="102"/>
        <v/>
      </c>
      <c r="IMC6" s="97" t="str">
        <f t="shared" si="102"/>
        <v/>
      </c>
      <c r="IMD6" s="97" t="str">
        <f t="shared" si="102"/>
        <v/>
      </c>
      <c r="IME6" s="97" t="str">
        <f t="shared" si="102"/>
        <v/>
      </c>
      <c r="IMF6" s="97" t="str">
        <f t="shared" si="102"/>
        <v/>
      </c>
      <c r="IMG6" s="97" t="str">
        <f t="shared" si="102"/>
        <v/>
      </c>
      <c r="IMH6" s="97" t="str">
        <f t="shared" si="102"/>
        <v/>
      </c>
      <c r="IMI6" s="97" t="str">
        <f t="shared" si="102"/>
        <v/>
      </c>
      <c r="IMJ6" s="97" t="str">
        <f t="shared" si="102"/>
        <v/>
      </c>
      <c r="IMK6" s="97" t="str">
        <f t="shared" si="102"/>
        <v/>
      </c>
      <c r="IML6" s="97" t="str">
        <f t="shared" si="102"/>
        <v/>
      </c>
      <c r="IMM6" s="97" t="str">
        <f t="shared" si="102"/>
        <v/>
      </c>
      <c r="IMN6" s="97" t="str">
        <f t="shared" si="102"/>
        <v/>
      </c>
      <c r="IMO6" s="97" t="str">
        <f t="shared" si="102"/>
        <v/>
      </c>
      <c r="IMP6" s="97" t="str">
        <f t="shared" si="102"/>
        <v/>
      </c>
      <c r="IMQ6" s="97" t="str">
        <f t="shared" si="102"/>
        <v/>
      </c>
      <c r="IMR6" s="97" t="str">
        <f t="shared" si="102"/>
        <v/>
      </c>
      <c r="IMS6" s="97" t="str">
        <f t="shared" si="102"/>
        <v/>
      </c>
      <c r="IMT6" s="97" t="str">
        <f t="shared" si="102"/>
        <v/>
      </c>
      <c r="IMU6" s="97" t="str">
        <f t="shared" si="102"/>
        <v/>
      </c>
      <c r="IMV6" s="97" t="str">
        <f t="shared" si="102"/>
        <v/>
      </c>
      <c r="IMW6" s="97" t="str">
        <f t="shared" si="102"/>
        <v/>
      </c>
      <c r="IMX6" s="97" t="str">
        <f t="shared" si="102"/>
        <v/>
      </c>
      <c r="IMY6" s="97" t="str">
        <f t="shared" si="102"/>
        <v/>
      </c>
      <c r="IMZ6" s="97" t="str">
        <f t="shared" si="102"/>
        <v/>
      </c>
      <c r="INA6" s="97" t="str">
        <f t="shared" si="102"/>
        <v/>
      </c>
      <c r="INB6" s="97" t="str">
        <f t="shared" si="102"/>
        <v/>
      </c>
      <c r="INC6" s="97" t="str">
        <f t="shared" si="102"/>
        <v/>
      </c>
      <c r="IND6" s="97" t="str">
        <f t="shared" si="102"/>
        <v/>
      </c>
      <c r="INE6" s="97" t="str">
        <f t="shared" si="102"/>
        <v/>
      </c>
      <c r="INF6" s="97" t="str">
        <f t="shared" si="102"/>
        <v/>
      </c>
      <c r="ING6" s="97" t="str">
        <f t="shared" si="102"/>
        <v/>
      </c>
      <c r="INH6" s="97" t="str">
        <f t="shared" si="102"/>
        <v/>
      </c>
      <c r="INI6" s="97" t="str">
        <f t="shared" si="102"/>
        <v/>
      </c>
      <c r="INJ6" s="97" t="str">
        <f t="shared" si="102"/>
        <v/>
      </c>
      <c r="INK6" s="97" t="str">
        <f t="shared" si="102"/>
        <v/>
      </c>
      <c r="INL6" s="97" t="str">
        <f t="shared" si="102"/>
        <v/>
      </c>
      <c r="INM6" s="97" t="str">
        <f t="shared" si="102"/>
        <v/>
      </c>
      <c r="INN6" s="97" t="str">
        <f t="shared" si="102"/>
        <v/>
      </c>
      <c r="INO6" s="97" t="str">
        <f t="shared" si="102"/>
        <v/>
      </c>
      <c r="INP6" s="97" t="str">
        <f t="shared" si="102"/>
        <v/>
      </c>
      <c r="INQ6" s="97" t="str">
        <f t="shared" si="102"/>
        <v/>
      </c>
      <c r="INR6" s="97" t="str">
        <f t="shared" si="102"/>
        <v/>
      </c>
      <c r="INS6" s="97" t="str">
        <f t="shared" si="102"/>
        <v/>
      </c>
      <c r="INT6" s="97" t="str">
        <f t="shared" si="102"/>
        <v/>
      </c>
      <c r="INU6" s="97" t="str">
        <f t="shared" si="102"/>
        <v/>
      </c>
      <c r="INV6" s="97" t="str">
        <f t="shared" ref="INV6:IQG6" si="103">IFERROR(AVERAGE(INV7:INV13),"")</f>
        <v/>
      </c>
      <c r="INW6" s="97" t="str">
        <f t="shared" si="103"/>
        <v/>
      </c>
      <c r="INX6" s="97" t="str">
        <f t="shared" si="103"/>
        <v/>
      </c>
      <c r="INY6" s="97" t="str">
        <f t="shared" si="103"/>
        <v/>
      </c>
      <c r="INZ6" s="97" t="str">
        <f t="shared" si="103"/>
        <v/>
      </c>
      <c r="IOA6" s="97" t="str">
        <f t="shared" si="103"/>
        <v/>
      </c>
      <c r="IOB6" s="97" t="str">
        <f t="shared" si="103"/>
        <v/>
      </c>
      <c r="IOC6" s="97" t="str">
        <f t="shared" si="103"/>
        <v/>
      </c>
      <c r="IOD6" s="97" t="str">
        <f t="shared" si="103"/>
        <v/>
      </c>
      <c r="IOE6" s="97" t="str">
        <f t="shared" si="103"/>
        <v/>
      </c>
      <c r="IOF6" s="97" t="str">
        <f t="shared" si="103"/>
        <v/>
      </c>
      <c r="IOG6" s="97" t="str">
        <f t="shared" si="103"/>
        <v/>
      </c>
      <c r="IOH6" s="97" t="str">
        <f t="shared" si="103"/>
        <v/>
      </c>
      <c r="IOI6" s="97" t="str">
        <f t="shared" si="103"/>
        <v/>
      </c>
      <c r="IOJ6" s="97" t="str">
        <f t="shared" si="103"/>
        <v/>
      </c>
      <c r="IOK6" s="97" t="str">
        <f t="shared" si="103"/>
        <v/>
      </c>
      <c r="IOL6" s="97" t="str">
        <f t="shared" si="103"/>
        <v/>
      </c>
      <c r="IOM6" s="97" t="str">
        <f t="shared" si="103"/>
        <v/>
      </c>
      <c r="ION6" s="97" t="str">
        <f t="shared" si="103"/>
        <v/>
      </c>
      <c r="IOO6" s="97" t="str">
        <f t="shared" si="103"/>
        <v/>
      </c>
      <c r="IOP6" s="97" t="str">
        <f t="shared" si="103"/>
        <v/>
      </c>
      <c r="IOQ6" s="97" t="str">
        <f t="shared" si="103"/>
        <v/>
      </c>
      <c r="IOR6" s="97" t="str">
        <f t="shared" si="103"/>
        <v/>
      </c>
      <c r="IOS6" s="97" t="str">
        <f t="shared" si="103"/>
        <v/>
      </c>
      <c r="IOT6" s="97" t="str">
        <f t="shared" si="103"/>
        <v/>
      </c>
      <c r="IOU6" s="97" t="str">
        <f t="shared" si="103"/>
        <v/>
      </c>
      <c r="IOV6" s="97" t="str">
        <f t="shared" si="103"/>
        <v/>
      </c>
      <c r="IOW6" s="97" t="str">
        <f t="shared" si="103"/>
        <v/>
      </c>
      <c r="IOX6" s="97" t="str">
        <f t="shared" si="103"/>
        <v/>
      </c>
      <c r="IOY6" s="97" t="str">
        <f t="shared" si="103"/>
        <v/>
      </c>
      <c r="IOZ6" s="97" t="str">
        <f t="shared" si="103"/>
        <v/>
      </c>
      <c r="IPA6" s="97" t="str">
        <f t="shared" si="103"/>
        <v/>
      </c>
      <c r="IPB6" s="97" t="str">
        <f t="shared" si="103"/>
        <v/>
      </c>
      <c r="IPC6" s="97" t="str">
        <f t="shared" si="103"/>
        <v/>
      </c>
      <c r="IPD6" s="97" t="str">
        <f t="shared" si="103"/>
        <v/>
      </c>
      <c r="IPE6" s="97" t="str">
        <f t="shared" si="103"/>
        <v/>
      </c>
      <c r="IPF6" s="97" t="str">
        <f t="shared" si="103"/>
        <v/>
      </c>
      <c r="IPG6" s="97" t="str">
        <f t="shared" si="103"/>
        <v/>
      </c>
      <c r="IPH6" s="97" t="str">
        <f t="shared" si="103"/>
        <v/>
      </c>
      <c r="IPI6" s="97" t="str">
        <f t="shared" si="103"/>
        <v/>
      </c>
      <c r="IPJ6" s="97" t="str">
        <f t="shared" si="103"/>
        <v/>
      </c>
      <c r="IPK6" s="97" t="str">
        <f t="shared" si="103"/>
        <v/>
      </c>
      <c r="IPL6" s="97" t="str">
        <f t="shared" si="103"/>
        <v/>
      </c>
      <c r="IPM6" s="97" t="str">
        <f t="shared" si="103"/>
        <v/>
      </c>
      <c r="IPN6" s="97" t="str">
        <f t="shared" si="103"/>
        <v/>
      </c>
      <c r="IPO6" s="97" t="str">
        <f t="shared" si="103"/>
        <v/>
      </c>
      <c r="IPP6" s="97" t="str">
        <f t="shared" si="103"/>
        <v/>
      </c>
      <c r="IPQ6" s="97" t="str">
        <f t="shared" si="103"/>
        <v/>
      </c>
      <c r="IPR6" s="97" t="str">
        <f t="shared" si="103"/>
        <v/>
      </c>
      <c r="IPS6" s="97" t="str">
        <f t="shared" si="103"/>
        <v/>
      </c>
      <c r="IPT6" s="97" t="str">
        <f t="shared" si="103"/>
        <v/>
      </c>
      <c r="IPU6" s="97" t="str">
        <f t="shared" si="103"/>
        <v/>
      </c>
      <c r="IPV6" s="97" t="str">
        <f t="shared" si="103"/>
        <v/>
      </c>
      <c r="IPW6" s="97" t="str">
        <f t="shared" si="103"/>
        <v/>
      </c>
      <c r="IPX6" s="97" t="str">
        <f t="shared" si="103"/>
        <v/>
      </c>
      <c r="IPY6" s="97" t="str">
        <f t="shared" si="103"/>
        <v/>
      </c>
      <c r="IPZ6" s="97" t="str">
        <f t="shared" si="103"/>
        <v/>
      </c>
      <c r="IQA6" s="97" t="str">
        <f t="shared" si="103"/>
        <v/>
      </c>
      <c r="IQB6" s="97" t="str">
        <f t="shared" si="103"/>
        <v/>
      </c>
      <c r="IQC6" s="97" t="str">
        <f t="shared" si="103"/>
        <v/>
      </c>
      <c r="IQD6" s="97" t="str">
        <f t="shared" si="103"/>
        <v/>
      </c>
      <c r="IQE6" s="97" t="str">
        <f t="shared" si="103"/>
        <v/>
      </c>
      <c r="IQF6" s="97" t="str">
        <f t="shared" si="103"/>
        <v/>
      </c>
      <c r="IQG6" s="97" t="str">
        <f t="shared" si="103"/>
        <v/>
      </c>
      <c r="IQH6" s="97" t="str">
        <f t="shared" ref="IQH6:ISS6" si="104">IFERROR(AVERAGE(IQH7:IQH13),"")</f>
        <v/>
      </c>
      <c r="IQI6" s="97" t="str">
        <f t="shared" si="104"/>
        <v/>
      </c>
      <c r="IQJ6" s="97" t="str">
        <f t="shared" si="104"/>
        <v/>
      </c>
      <c r="IQK6" s="97" t="str">
        <f t="shared" si="104"/>
        <v/>
      </c>
      <c r="IQL6" s="97" t="str">
        <f t="shared" si="104"/>
        <v/>
      </c>
      <c r="IQM6" s="97" t="str">
        <f t="shared" si="104"/>
        <v/>
      </c>
      <c r="IQN6" s="97" t="str">
        <f t="shared" si="104"/>
        <v/>
      </c>
      <c r="IQO6" s="97" t="str">
        <f t="shared" si="104"/>
        <v/>
      </c>
      <c r="IQP6" s="97" t="str">
        <f t="shared" si="104"/>
        <v/>
      </c>
      <c r="IQQ6" s="97" t="str">
        <f t="shared" si="104"/>
        <v/>
      </c>
      <c r="IQR6" s="97" t="str">
        <f t="shared" si="104"/>
        <v/>
      </c>
      <c r="IQS6" s="97" t="str">
        <f t="shared" si="104"/>
        <v/>
      </c>
      <c r="IQT6" s="97" t="str">
        <f t="shared" si="104"/>
        <v/>
      </c>
      <c r="IQU6" s="97" t="str">
        <f t="shared" si="104"/>
        <v/>
      </c>
      <c r="IQV6" s="97" t="str">
        <f t="shared" si="104"/>
        <v/>
      </c>
      <c r="IQW6" s="97" t="str">
        <f t="shared" si="104"/>
        <v/>
      </c>
      <c r="IQX6" s="97" t="str">
        <f t="shared" si="104"/>
        <v/>
      </c>
      <c r="IQY6" s="97" t="str">
        <f t="shared" si="104"/>
        <v/>
      </c>
      <c r="IQZ6" s="97" t="str">
        <f t="shared" si="104"/>
        <v/>
      </c>
      <c r="IRA6" s="97" t="str">
        <f t="shared" si="104"/>
        <v/>
      </c>
      <c r="IRB6" s="97" t="str">
        <f t="shared" si="104"/>
        <v/>
      </c>
      <c r="IRC6" s="97" t="str">
        <f t="shared" si="104"/>
        <v/>
      </c>
      <c r="IRD6" s="97" t="str">
        <f t="shared" si="104"/>
        <v/>
      </c>
      <c r="IRE6" s="97" t="str">
        <f t="shared" si="104"/>
        <v/>
      </c>
      <c r="IRF6" s="97" t="str">
        <f t="shared" si="104"/>
        <v/>
      </c>
      <c r="IRG6" s="97" t="str">
        <f t="shared" si="104"/>
        <v/>
      </c>
      <c r="IRH6" s="97" t="str">
        <f t="shared" si="104"/>
        <v/>
      </c>
      <c r="IRI6" s="97" t="str">
        <f t="shared" si="104"/>
        <v/>
      </c>
      <c r="IRJ6" s="97" t="str">
        <f t="shared" si="104"/>
        <v/>
      </c>
      <c r="IRK6" s="97" t="str">
        <f t="shared" si="104"/>
        <v/>
      </c>
      <c r="IRL6" s="97" t="str">
        <f t="shared" si="104"/>
        <v/>
      </c>
      <c r="IRM6" s="97" t="str">
        <f t="shared" si="104"/>
        <v/>
      </c>
      <c r="IRN6" s="97" t="str">
        <f t="shared" si="104"/>
        <v/>
      </c>
      <c r="IRO6" s="97" t="str">
        <f t="shared" si="104"/>
        <v/>
      </c>
      <c r="IRP6" s="97" t="str">
        <f t="shared" si="104"/>
        <v/>
      </c>
      <c r="IRQ6" s="97" t="str">
        <f t="shared" si="104"/>
        <v/>
      </c>
      <c r="IRR6" s="97" t="str">
        <f t="shared" si="104"/>
        <v/>
      </c>
      <c r="IRS6" s="97" t="str">
        <f t="shared" si="104"/>
        <v/>
      </c>
      <c r="IRT6" s="97" t="str">
        <f t="shared" si="104"/>
        <v/>
      </c>
      <c r="IRU6" s="97" t="str">
        <f t="shared" si="104"/>
        <v/>
      </c>
      <c r="IRV6" s="97" t="str">
        <f t="shared" si="104"/>
        <v/>
      </c>
      <c r="IRW6" s="97" t="str">
        <f t="shared" si="104"/>
        <v/>
      </c>
      <c r="IRX6" s="97" t="str">
        <f t="shared" si="104"/>
        <v/>
      </c>
      <c r="IRY6" s="97" t="str">
        <f t="shared" si="104"/>
        <v/>
      </c>
      <c r="IRZ6" s="97" t="str">
        <f t="shared" si="104"/>
        <v/>
      </c>
      <c r="ISA6" s="97" t="str">
        <f t="shared" si="104"/>
        <v/>
      </c>
      <c r="ISB6" s="97" t="str">
        <f t="shared" si="104"/>
        <v/>
      </c>
      <c r="ISC6" s="97" t="str">
        <f t="shared" si="104"/>
        <v/>
      </c>
      <c r="ISD6" s="97" t="str">
        <f t="shared" si="104"/>
        <v/>
      </c>
      <c r="ISE6" s="97" t="str">
        <f t="shared" si="104"/>
        <v/>
      </c>
      <c r="ISF6" s="97" t="str">
        <f t="shared" si="104"/>
        <v/>
      </c>
      <c r="ISG6" s="97" t="str">
        <f t="shared" si="104"/>
        <v/>
      </c>
      <c r="ISH6" s="97" t="str">
        <f t="shared" si="104"/>
        <v/>
      </c>
      <c r="ISI6" s="97" t="str">
        <f t="shared" si="104"/>
        <v/>
      </c>
      <c r="ISJ6" s="97" t="str">
        <f t="shared" si="104"/>
        <v/>
      </c>
      <c r="ISK6" s="97" t="str">
        <f t="shared" si="104"/>
        <v/>
      </c>
      <c r="ISL6" s="97" t="str">
        <f t="shared" si="104"/>
        <v/>
      </c>
      <c r="ISM6" s="97" t="str">
        <f t="shared" si="104"/>
        <v/>
      </c>
      <c r="ISN6" s="97" t="str">
        <f t="shared" si="104"/>
        <v/>
      </c>
      <c r="ISO6" s="97" t="str">
        <f t="shared" si="104"/>
        <v/>
      </c>
      <c r="ISP6" s="97" t="str">
        <f t="shared" si="104"/>
        <v/>
      </c>
      <c r="ISQ6" s="97" t="str">
        <f t="shared" si="104"/>
        <v/>
      </c>
      <c r="ISR6" s="97" t="str">
        <f t="shared" si="104"/>
        <v/>
      </c>
      <c r="ISS6" s="97" t="str">
        <f t="shared" si="104"/>
        <v/>
      </c>
      <c r="IST6" s="97" t="str">
        <f t="shared" ref="IST6:IVE6" si="105">IFERROR(AVERAGE(IST7:IST13),"")</f>
        <v/>
      </c>
      <c r="ISU6" s="97" t="str">
        <f t="shared" si="105"/>
        <v/>
      </c>
      <c r="ISV6" s="97" t="str">
        <f t="shared" si="105"/>
        <v/>
      </c>
      <c r="ISW6" s="97" t="str">
        <f t="shared" si="105"/>
        <v/>
      </c>
      <c r="ISX6" s="97" t="str">
        <f t="shared" si="105"/>
        <v/>
      </c>
      <c r="ISY6" s="97" t="str">
        <f t="shared" si="105"/>
        <v/>
      </c>
      <c r="ISZ6" s="97" t="str">
        <f t="shared" si="105"/>
        <v/>
      </c>
      <c r="ITA6" s="97" t="str">
        <f t="shared" si="105"/>
        <v/>
      </c>
      <c r="ITB6" s="97" t="str">
        <f t="shared" si="105"/>
        <v/>
      </c>
      <c r="ITC6" s="97" t="str">
        <f t="shared" si="105"/>
        <v/>
      </c>
      <c r="ITD6" s="97" t="str">
        <f t="shared" si="105"/>
        <v/>
      </c>
      <c r="ITE6" s="97" t="str">
        <f t="shared" si="105"/>
        <v/>
      </c>
      <c r="ITF6" s="97" t="str">
        <f t="shared" si="105"/>
        <v/>
      </c>
      <c r="ITG6" s="97" t="str">
        <f t="shared" si="105"/>
        <v/>
      </c>
      <c r="ITH6" s="97" t="str">
        <f t="shared" si="105"/>
        <v/>
      </c>
      <c r="ITI6" s="97" t="str">
        <f t="shared" si="105"/>
        <v/>
      </c>
      <c r="ITJ6" s="97" t="str">
        <f t="shared" si="105"/>
        <v/>
      </c>
      <c r="ITK6" s="97" t="str">
        <f t="shared" si="105"/>
        <v/>
      </c>
      <c r="ITL6" s="97" t="str">
        <f t="shared" si="105"/>
        <v/>
      </c>
      <c r="ITM6" s="97" t="str">
        <f t="shared" si="105"/>
        <v/>
      </c>
      <c r="ITN6" s="97" t="str">
        <f t="shared" si="105"/>
        <v/>
      </c>
      <c r="ITO6" s="97" t="str">
        <f t="shared" si="105"/>
        <v/>
      </c>
      <c r="ITP6" s="97" t="str">
        <f t="shared" si="105"/>
        <v/>
      </c>
      <c r="ITQ6" s="97" t="str">
        <f t="shared" si="105"/>
        <v/>
      </c>
      <c r="ITR6" s="97" t="str">
        <f t="shared" si="105"/>
        <v/>
      </c>
      <c r="ITS6" s="97" t="str">
        <f t="shared" si="105"/>
        <v/>
      </c>
      <c r="ITT6" s="97" t="str">
        <f t="shared" si="105"/>
        <v/>
      </c>
      <c r="ITU6" s="97" t="str">
        <f t="shared" si="105"/>
        <v/>
      </c>
      <c r="ITV6" s="97" t="str">
        <f t="shared" si="105"/>
        <v/>
      </c>
      <c r="ITW6" s="97" t="str">
        <f t="shared" si="105"/>
        <v/>
      </c>
      <c r="ITX6" s="97" t="str">
        <f t="shared" si="105"/>
        <v/>
      </c>
      <c r="ITY6" s="97" t="str">
        <f t="shared" si="105"/>
        <v/>
      </c>
      <c r="ITZ6" s="97" t="str">
        <f t="shared" si="105"/>
        <v/>
      </c>
      <c r="IUA6" s="97" t="str">
        <f t="shared" si="105"/>
        <v/>
      </c>
      <c r="IUB6" s="97" t="str">
        <f t="shared" si="105"/>
        <v/>
      </c>
      <c r="IUC6" s="97" t="str">
        <f t="shared" si="105"/>
        <v/>
      </c>
      <c r="IUD6" s="97" t="str">
        <f t="shared" si="105"/>
        <v/>
      </c>
      <c r="IUE6" s="97" t="str">
        <f t="shared" si="105"/>
        <v/>
      </c>
      <c r="IUF6" s="97" t="str">
        <f t="shared" si="105"/>
        <v/>
      </c>
      <c r="IUG6" s="97" t="str">
        <f t="shared" si="105"/>
        <v/>
      </c>
      <c r="IUH6" s="97" t="str">
        <f t="shared" si="105"/>
        <v/>
      </c>
      <c r="IUI6" s="97" t="str">
        <f t="shared" si="105"/>
        <v/>
      </c>
      <c r="IUJ6" s="97" t="str">
        <f t="shared" si="105"/>
        <v/>
      </c>
      <c r="IUK6" s="97" t="str">
        <f t="shared" si="105"/>
        <v/>
      </c>
      <c r="IUL6" s="97" t="str">
        <f t="shared" si="105"/>
        <v/>
      </c>
      <c r="IUM6" s="97" t="str">
        <f t="shared" si="105"/>
        <v/>
      </c>
      <c r="IUN6" s="97" t="str">
        <f t="shared" si="105"/>
        <v/>
      </c>
      <c r="IUO6" s="97" t="str">
        <f t="shared" si="105"/>
        <v/>
      </c>
      <c r="IUP6" s="97" t="str">
        <f t="shared" si="105"/>
        <v/>
      </c>
      <c r="IUQ6" s="97" t="str">
        <f t="shared" si="105"/>
        <v/>
      </c>
      <c r="IUR6" s="97" t="str">
        <f t="shared" si="105"/>
        <v/>
      </c>
      <c r="IUS6" s="97" t="str">
        <f t="shared" si="105"/>
        <v/>
      </c>
      <c r="IUT6" s="97" t="str">
        <f t="shared" si="105"/>
        <v/>
      </c>
      <c r="IUU6" s="97" t="str">
        <f t="shared" si="105"/>
        <v/>
      </c>
      <c r="IUV6" s="97" t="str">
        <f t="shared" si="105"/>
        <v/>
      </c>
      <c r="IUW6" s="97" t="str">
        <f t="shared" si="105"/>
        <v/>
      </c>
      <c r="IUX6" s="97" t="str">
        <f t="shared" si="105"/>
        <v/>
      </c>
      <c r="IUY6" s="97" t="str">
        <f t="shared" si="105"/>
        <v/>
      </c>
      <c r="IUZ6" s="97" t="str">
        <f t="shared" si="105"/>
        <v/>
      </c>
      <c r="IVA6" s="97" t="str">
        <f t="shared" si="105"/>
        <v/>
      </c>
      <c r="IVB6" s="97" t="str">
        <f t="shared" si="105"/>
        <v/>
      </c>
      <c r="IVC6" s="97" t="str">
        <f t="shared" si="105"/>
        <v/>
      </c>
      <c r="IVD6" s="97" t="str">
        <f t="shared" si="105"/>
        <v/>
      </c>
      <c r="IVE6" s="97" t="str">
        <f t="shared" si="105"/>
        <v/>
      </c>
      <c r="IVF6" s="97" t="str">
        <f t="shared" ref="IVF6:IXQ6" si="106">IFERROR(AVERAGE(IVF7:IVF13),"")</f>
        <v/>
      </c>
      <c r="IVG6" s="97" t="str">
        <f t="shared" si="106"/>
        <v/>
      </c>
      <c r="IVH6" s="97" t="str">
        <f t="shared" si="106"/>
        <v/>
      </c>
      <c r="IVI6" s="97" t="str">
        <f t="shared" si="106"/>
        <v/>
      </c>
      <c r="IVJ6" s="97" t="str">
        <f t="shared" si="106"/>
        <v/>
      </c>
      <c r="IVK6" s="97" t="str">
        <f t="shared" si="106"/>
        <v/>
      </c>
      <c r="IVL6" s="97" t="str">
        <f t="shared" si="106"/>
        <v/>
      </c>
      <c r="IVM6" s="97" t="str">
        <f t="shared" si="106"/>
        <v/>
      </c>
      <c r="IVN6" s="97" t="str">
        <f t="shared" si="106"/>
        <v/>
      </c>
      <c r="IVO6" s="97" t="str">
        <f t="shared" si="106"/>
        <v/>
      </c>
      <c r="IVP6" s="97" t="str">
        <f t="shared" si="106"/>
        <v/>
      </c>
      <c r="IVQ6" s="97" t="str">
        <f t="shared" si="106"/>
        <v/>
      </c>
      <c r="IVR6" s="97" t="str">
        <f t="shared" si="106"/>
        <v/>
      </c>
      <c r="IVS6" s="97" t="str">
        <f t="shared" si="106"/>
        <v/>
      </c>
      <c r="IVT6" s="97" t="str">
        <f t="shared" si="106"/>
        <v/>
      </c>
      <c r="IVU6" s="97" t="str">
        <f t="shared" si="106"/>
        <v/>
      </c>
      <c r="IVV6" s="97" t="str">
        <f t="shared" si="106"/>
        <v/>
      </c>
      <c r="IVW6" s="97" t="str">
        <f t="shared" si="106"/>
        <v/>
      </c>
      <c r="IVX6" s="97" t="str">
        <f t="shared" si="106"/>
        <v/>
      </c>
      <c r="IVY6" s="97" t="str">
        <f t="shared" si="106"/>
        <v/>
      </c>
      <c r="IVZ6" s="97" t="str">
        <f t="shared" si="106"/>
        <v/>
      </c>
      <c r="IWA6" s="97" t="str">
        <f t="shared" si="106"/>
        <v/>
      </c>
      <c r="IWB6" s="97" t="str">
        <f t="shared" si="106"/>
        <v/>
      </c>
      <c r="IWC6" s="97" t="str">
        <f t="shared" si="106"/>
        <v/>
      </c>
      <c r="IWD6" s="97" t="str">
        <f t="shared" si="106"/>
        <v/>
      </c>
      <c r="IWE6" s="97" t="str">
        <f t="shared" si="106"/>
        <v/>
      </c>
      <c r="IWF6" s="97" t="str">
        <f t="shared" si="106"/>
        <v/>
      </c>
      <c r="IWG6" s="97" t="str">
        <f t="shared" si="106"/>
        <v/>
      </c>
      <c r="IWH6" s="97" t="str">
        <f t="shared" si="106"/>
        <v/>
      </c>
      <c r="IWI6" s="97" t="str">
        <f t="shared" si="106"/>
        <v/>
      </c>
      <c r="IWJ6" s="97" t="str">
        <f t="shared" si="106"/>
        <v/>
      </c>
      <c r="IWK6" s="97" t="str">
        <f t="shared" si="106"/>
        <v/>
      </c>
      <c r="IWL6" s="97" t="str">
        <f t="shared" si="106"/>
        <v/>
      </c>
      <c r="IWM6" s="97" t="str">
        <f t="shared" si="106"/>
        <v/>
      </c>
      <c r="IWN6" s="97" t="str">
        <f t="shared" si="106"/>
        <v/>
      </c>
      <c r="IWO6" s="97" t="str">
        <f t="shared" si="106"/>
        <v/>
      </c>
      <c r="IWP6" s="97" t="str">
        <f t="shared" si="106"/>
        <v/>
      </c>
      <c r="IWQ6" s="97" t="str">
        <f t="shared" si="106"/>
        <v/>
      </c>
      <c r="IWR6" s="97" t="str">
        <f t="shared" si="106"/>
        <v/>
      </c>
      <c r="IWS6" s="97" t="str">
        <f t="shared" si="106"/>
        <v/>
      </c>
      <c r="IWT6" s="97" t="str">
        <f t="shared" si="106"/>
        <v/>
      </c>
      <c r="IWU6" s="97" t="str">
        <f t="shared" si="106"/>
        <v/>
      </c>
      <c r="IWV6" s="97" t="str">
        <f t="shared" si="106"/>
        <v/>
      </c>
      <c r="IWW6" s="97" t="str">
        <f t="shared" si="106"/>
        <v/>
      </c>
      <c r="IWX6" s="97" t="str">
        <f t="shared" si="106"/>
        <v/>
      </c>
      <c r="IWY6" s="97" t="str">
        <f t="shared" si="106"/>
        <v/>
      </c>
      <c r="IWZ6" s="97" t="str">
        <f t="shared" si="106"/>
        <v/>
      </c>
      <c r="IXA6" s="97" t="str">
        <f t="shared" si="106"/>
        <v/>
      </c>
      <c r="IXB6" s="97" t="str">
        <f t="shared" si="106"/>
        <v/>
      </c>
      <c r="IXC6" s="97" t="str">
        <f t="shared" si="106"/>
        <v/>
      </c>
      <c r="IXD6" s="97" t="str">
        <f t="shared" si="106"/>
        <v/>
      </c>
      <c r="IXE6" s="97" t="str">
        <f t="shared" si="106"/>
        <v/>
      </c>
      <c r="IXF6" s="97" t="str">
        <f t="shared" si="106"/>
        <v/>
      </c>
      <c r="IXG6" s="97" t="str">
        <f t="shared" si="106"/>
        <v/>
      </c>
      <c r="IXH6" s="97" t="str">
        <f t="shared" si="106"/>
        <v/>
      </c>
      <c r="IXI6" s="97" t="str">
        <f t="shared" si="106"/>
        <v/>
      </c>
      <c r="IXJ6" s="97" t="str">
        <f t="shared" si="106"/>
        <v/>
      </c>
      <c r="IXK6" s="97" t="str">
        <f t="shared" si="106"/>
        <v/>
      </c>
      <c r="IXL6" s="97" t="str">
        <f t="shared" si="106"/>
        <v/>
      </c>
      <c r="IXM6" s="97" t="str">
        <f t="shared" si="106"/>
        <v/>
      </c>
      <c r="IXN6" s="97" t="str">
        <f t="shared" si="106"/>
        <v/>
      </c>
      <c r="IXO6" s="97" t="str">
        <f t="shared" si="106"/>
        <v/>
      </c>
      <c r="IXP6" s="97" t="str">
        <f t="shared" si="106"/>
        <v/>
      </c>
      <c r="IXQ6" s="97" t="str">
        <f t="shared" si="106"/>
        <v/>
      </c>
      <c r="IXR6" s="97" t="str">
        <f t="shared" ref="IXR6:JAC6" si="107">IFERROR(AVERAGE(IXR7:IXR13),"")</f>
        <v/>
      </c>
      <c r="IXS6" s="97" t="str">
        <f t="shared" si="107"/>
        <v/>
      </c>
      <c r="IXT6" s="97" t="str">
        <f t="shared" si="107"/>
        <v/>
      </c>
      <c r="IXU6" s="97" t="str">
        <f t="shared" si="107"/>
        <v/>
      </c>
      <c r="IXV6" s="97" t="str">
        <f t="shared" si="107"/>
        <v/>
      </c>
      <c r="IXW6" s="97" t="str">
        <f t="shared" si="107"/>
        <v/>
      </c>
      <c r="IXX6" s="97" t="str">
        <f t="shared" si="107"/>
        <v/>
      </c>
      <c r="IXY6" s="97" t="str">
        <f t="shared" si="107"/>
        <v/>
      </c>
      <c r="IXZ6" s="97" t="str">
        <f t="shared" si="107"/>
        <v/>
      </c>
      <c r="IYA6" s="97" t="str">
        <f t="shared" si="107"/>
        <v/>
      </c>
      <c r="IYB6" s="97" t="str">
        <f t="shared" si="107"/>
        <v/>
      </c>
      <c r="IYC6" s="97" t="str">
        <f t="shared" si="107"/>
        <v/>
      </c>
      <c r="IYD6" s="97" t="str">
        <f t="shared" si="107"/>
        <v/>
      </c>
      <c r="IYE6" s="97" t="str">
        <f t="shared" si="107"/>
        <v/>
      </c>
      <c r="IYF6" s="97" t="str">
        <f t="shared" si="107"/>
        <v/>
      </c>
      <c r="IYG6" s="97" t="str">
        <f t="shared" si="107"/>
        <v/>
      </c>
      <c r="IYH6" s="97" t="str">
        <f t="shared" si="107"/>
        <v/>
      </c>
      <c r="IYI6" s="97" t="str">
        <f t="shared" si="107"/>
        <v/>
      </c>
      <c r="IYJ6" s="97" t="str">
        <f t="shared" si="107"/>
        <v/>
      </c>
      <c r="IYK6" s="97" t="str">
        <f t="shared" si="107"/>
        <v/>
      </c>
      <c r="IYL6" s="97" t="str">
        <f t="shared" si="107"/>
        <v/>
      </c>
      <c r="IYM6" s="97" t="str">
        <f t="shared" si="107"/>
        <v/>
      </c>
      <c r="IYN6" s="97" t="str">
        <f t="shared" si="107"/>
        <v/>
      </c>
      <c r="IYO6" s="97" t="str">
        <f t="shared" si="107"/>
        <v/>
      </c>
      <c r="IYP6" s="97" t="str">
        <f t="shared" si="107"/>
        <v/>
      </c>
      <c r="IYQ6" s="97" t="str">
        <f t="shared" si="107"/>
        <v/>
      </c>
      <c r="IYR6" s="97" t="str">
        <f t="shared" si="107"/>
        <v/>
      </c>
      <c r="IYS6" s="97" t="str">
        <f t="shared" si="107"/>
        <v/>
      </c>
      <c r="IYT6" s="97" t="str">
        <f t="shared" si="107"/>
        <v/>
      </c>
      <c r="IYU6" s="97" t="str">
        <f t="shared" si="107"/>
        <v/>
      </c>
      <c r="IYV6" s="97" t="str">
        <f t="shared" si="107"/>
        <v/>
      </c>
      <c r="IYW6" s="97" t="str">
        <f t="shared" si="107"/>
        <v/>
      </c>
      <c r="IYX6" s="97" t="str">
        <f t="shared" si="107"/>
        <v/>
      </c>
      <c r="IYY6" s="97" t="str">
        <f t="shared" si="107"/>
        <v/>
      </c>
      <c r="IYZ6" s="97" t="str">
        <f t="shared" si="107"/>
        <v/>
      </c>
      <c r="IZA6" s="97" t="str">
        <f t="shared" si="107"/>
        <v/>
      </c>
      <c r="IZB6" s="97" t="str">
        <f t="shared" si="107"/>
        <v/>
      </c>
      <c r="IZC6" s="97" t="str">
        <f t="shared" si="107"/>
        <v/>
      </c>
      <c r="IZD6" s="97" t="str">
        <f t="shared" si="107"/>
        <v/>
      </c>
      <c r="IZE6" s="97" t="str">
        <f t="shared" si="107"/>
        <v/>
      </c>
      <c r="IZF6" s="97" t="str">
        <f t="shared" si="107"/>
        <v/>
      </c>
      <c r="IZG6" s="97" t="str">
        <f t="shared" si="107"/>
        <v/>
      </c>
      <c r="IZH6" s="97" t="str">
        <f t="shared" si="107"/>
        <v/>
      </c>
      <c r="IZI6" s="97" t="str">
        <f t="shared" si="107"/>
        <v/>
      </c>
      <c r="IZJ6" s="97" t="str">
        <f t="shared" si="107"/>
        <v/>
      </c>
      <c r="IZK6" s="97" t="str">
        <f t="shared" si="107"/>
        <v/>
      </c>
      <c r="IZL6" s="97" t="str">
        <f t="shared" si="107"/>
        <v/>
      </c>
      <c r="IZM6" s="97" t="str">
        <f t="shared" si="107"/>
        <v/>
      </c>
      <c r="IZN6" s="97" t="str">
        <f t="shared" si="107"/>
        <v/>
      </c>
      <c r="IZO6" s="97" t="str">
        <f t="shared" si="107"/>
        <v/>
      </c>
      <c r="IZP6" s="97" t="str">
        <f t="shared" si="107"/>
        <v/>
      </c>
      <c r="IZQ6" s="97" t="str">
        <f t="shared" si="107"/>
        <v/>
      </c>
      <c r="IZR6" s="97" t="str">
        <f t="shared" si="107"/>
        <v/>
      </c>
      <c r="IZS6" s="97" t="str">
        <f t="shared" si="107"/>
        <v/>
      </c>
      <c r="IZT6" s="97" t="str">
        <f t="shared" si="107"/>
        <v/>
      </c>
      <c r="IZU6" s="97" t="str">
        <f t="shared" si="107"/>
        <v/>
      </c>
      <c r="IZV6" s="97" t="str">
        <f t="shared" si="107"/>
        <v/>
      </c>
      <c r="IZW6" s="97" t="str">
        <f t="shared" si="107"/>
        <v/>
      </c>
      <c r="IZX6" s="97" t="str">
        <f t="shared" si="107"/>
        <v/>
      </c>
      <c r="IZY6" s="97" t="str">
        <f t="shared" si="107"/>
        <v/>
      </c>
      <c r="IZZ6" s="97" t="str">
        <f t="shared" si="107"/>
        <v/>
      </c>
      <c r="JAA6" s="97" t="str">
        <f t="shared" si="107"/>
        <v/>
      </c>
      <c r="JAB6" s="97" t="str">
        <f t="shared" si="107"/>
        <v/>
      </c>
      <c r="JAC6" s="97" t="str">
        <f t="shared" si="107"/>
        <v/>
      </c>
      <c r="JAD6" s="97" t="str">
        <f t="shared" ref="JAD6:JCO6" si="108">IFERROR(AVERAGE(JAD7:JAD13),"")</f>
        <v/>
      </c>
      <c r="JAE6" s="97" t="str">
        <f t="shared" si="108"/>
        <v/>
      </c>
      <c r="JAF6" s="97" t="str">
        <f t="shared" si="108"/>
        <v/>
      </c>
      <c r="JAG6" s="97" t="str">
        <f t="shared" si="108"/>
        <v/>
      </c>
      <c r="JAH6" s="97" t="str">
        <f t="shared" si="108"/>
        <v/>
      </c>
      <c r="JAI6" s="97" t="str">
        <f t="shared" si="108"/>
        <v/>
      </c>
      <c r="JAJ6" s="97" t="str">
        <f t="shared" si="108"/>
        <v/>
      </c>
      <c r="JAK6" s="97" t="str">
        <f t="shared" si="108"/>
        <v/>
      </c>
      <c r="JAL6" s="97" t="str">
        <f t="shared" si="108"/>
        <v/>
      </c>
      <c r="JAM6" s="97" t="str">
        <f t="shared" si="108"/>
        <v/>
      </c>
      <c r="JAN6" s="97" t="str">
        <f t="shared" si="108"/>
        <v/>
      </c>
      <c r="JAO6" s="97" t="str">
        <f t="shared" si="108"/>
        <v/>
      </c>
      <c r="JAP6" s="97" t="str">
        <f t="shared" si="108"/>
        <v/>
      </c>
      <c r="JAQ6" s="97" t="str">
        <f t="shared" si="108"/>
        <v/>
      </c>
      <c r="JAR6" s="97" t="str">
        <f t="shared" si="108"/>
        <v/>
      </c>
      <c r="JAS6" s="97" t="str">
        <f t="shared" si="108"/>
        <v/>
      </c>
      <c r="JAT6" s="97" t="str">
        <f t="shared" si="108"/>
        <v/>
      </c>
      <c r="JAU6" s="97" t="str">
        <f t="shared" si="108"/>
        <v/>
      </c>
      <c r="JAV6" s="97" t="str">
        <f t="shared" si="108"/>
        <v/>
      </c>
      <c r="JAW6" s="97" t="str">
        <f t="shared" si="108"/>
        <v/>
      </c>
      <c r="JAX6" s="97" t="str">
        <f t="shared" si="108"/>
        <v/>
      </c>
      <c r="JAY6" s="97" t="str">
        <f t="shared" si="108"/>
        <v/>
      </c>
      <c r="JAZ6" s="97" t="str">
        <f t="shared" si="108"/>
        <v/>
      </c>
      <c r="JBA6" s="97" t="str">
        <f t="shared" si="108"/>
        <v/>
      </c>
      <c r="JBB6" s="97" t="str">
        <f t="shared" si="108"/>
        <v/>
      </c>
      <c r="JBC6" s="97" t="str">
        <f t="shared" si="108"/>
        <v/>
      </c>
      <c r="JBD6" s="97" t="str">
        <f t="shared" si="108"/>
        <v/>
      </c>
      <c r="JBE6" s="97" t="str">
        <f t="shared" si="108"/>
        <v/>
      </c>
      <c r="JBF6" s="97" t="str">
        <f t="shared" si="108"/>
        <v/>
      </c>
      <c r="JBG6" s="97" t="str">
        <f t="shared" si="108"/>
        <v/>
      </c>
      <c r="JBH6" s="97" t="str">
        <f t="shared" si="108"/>
        <v/>
      </c>
      <c r="JBI6" s="97" t="str">
        <f t="shared" si="108"/>
        <v/>
      </c>
      <c r="JBJ6" s="97" t="str">
        <f t="shared" si="108"/>
        <v/>
      </c>
      <c r="JBK6" s="97" t="str">
        <f t="shared" si="108"/>
        <v/>
      </c>
      <c r="JBL6" s="97" t="str">
        <f t="shared" si="108"/>
        <v/>
      </c>
      <c r="JBM6" s="97" t="str">
        <f t="shared" si="108"/>
        <v/>
      </c>
      <c r="JBN6" s="97" t="str">
        <f t="shared" si="108"/>
        <v/>
      </c>
      <c r="JBO6" s="97" t="str">
        <f t="shared" si="108"/>
        <v/>
      </c>
      <c r="JBP6" s="97" t="str">
        <f t="shared" si="108"/>
        <v/>
      </c>
      <c r="JBQ6" s="97" t="str">
        <f t="shared" si="108"/>
        <v/>
      </c>
      <c r="JBR6" s="97" t="str">
        <f t="shared" si="108"/>
        <v/>
      </c>
      <c r="JBS6" s="97" t="str">
        <f t="shared" si="108"/>
        <v/>
      </c>
      <c r="JBT6" s="97" t="str">
        <f t="shared" si="108"/>
        <v/>
      </c>
      <c r="JBU6" s="97" t="str">
        <f t="shared" si="108"/>
        <v/>
      </c>
      <c r="JBV6" s="97" t="str">
        <f t="shared" si="108"/>
        <v/>
      </c>
      <c r="JBW6" s="97" t="str">
        <f t="shared" si="108"/>
        <v/>
      </c>
      <c r="JBX6" s="97" t="str">
        <f t="shared" si="108"/>
        <v/>
      </c>
      <c r="JBY6" s="97" t="str">
        <f t="shared" si="108"/>
        <v/>
      </c>
      <c r="JBZ6" s="97" t="str">
        <f t="shared" si="108"/>
        <v/>
      </c>
      <c r="JCA6" s="97" t="str">
        <f t="shared" si="108"/>
        <v/>
      </c>
      <c r="JCB6" s="97" t="str">
        <f t="shared" si="108"/>
        <v/>
      </c>
      <c r="JCC6" s="97" t="str">
        <f t="shared" si="108"/>
        <v/>
      </c>
      <c r="JCD6" s="97" t="str">
        <f t="shared" si="108"/>
        <v/>
      </c>
      <c r="JCE6" s="97" t="str">
        <f t="shared" si="108"/>
        <v/>
      </c>
      <c r="JCF6" s="97" t="str">
        <f t="shared" si="108"/>
        <v/>
      </c>
      <c r="JCG6" s="97" t="str">
        <f t="shared" si="108"/>
        <v/>
      </c>
      <c r="JCH6" s="97" t="str">
        <f t="shared" si="108"/>
        <v/>
      </c>
      <c r="JCI6" s="97" t="str">
        <f t="shared" si="108"/>
        <v/>
      </c>
      <c r="JCJ6" s="97" t="str">
        <f t="shared" si="108"/>
        <v/>
      </c>
      <c r="JCK6" s="97" t="str">
        <f t="shared" si="108"/>
        <v/>
      </c>
      <c r="JCL6" s="97" t="str">
        <f t="shared" si="108"/>
        <v/>
      </c>
      <c r="JCM6" s="97" t="str">
        <f t="shared" si="108"/>
        <v/>
      </c>
      <c r="JCN6" s="97" t="str">
        <f t="shared" si="108"/>
        <v/>
      </c>
      <c r="JCO6" s="97" t="str">
        <f t="shared" si="108"/>
        <v/>
      </c>
      <c r="JCP6" s="97" t="str">
        <f t="shared" ref="JCP6:JFA6" si="109">IFERROR(AVERAGE(JCP7:JCP13),"")</f>
        <v/>
      </c>
      <c r="JCQ6" s="97" t="str">
        <f t="shared" si="109"/>
        <v/>
      </c>
      <c r="JCR6" s="97" t="str">
        <f t="shared" si="109"/>
        <v/>
      </c>
      <c r="JCS6" s="97" t="str">
        <f t="shared" si="109"/>
        <v/>
      </c>
      <c r="JCT6" s="97" t="str">
        <f t="shared" si="109"/>
        <v/>
      </c>
      <c r="JCU6" s="97" t="str">
        <f t="shared" si="109"/>
        <v/>
      </c>
      <c r="JCV6" s="97" t="str">
        <f t="shared" si="109"/>
        <v/>
      </c>
      <c r="JCW6" s="97" t="str">
        <f t="shared" si="109"/>
        <v/>
      </c>
      <c r="JCX6" s="97" t="str">
        <f t="shared" si="109"/>
        <v/>
      </c>
      <c r="JCY6" s="97" t="str">
        <f t="shared" si="109"/>
        <v/>
      </c>
      <c r="JCZ6" s="97" t="str">
        <f t="shared" si="109"/>
        <v/>
      </c>
      <c r="JDA6" s="97" t="str">
        <f t="shared" si="109"/>
        <v/>
      </c>
      <c r="JDB6" s="97" t="str">
        <f t="shared" si="109"/>
        <v/>
      </c>
      <c r="JDC6" s="97" t="str">
        <f t="shared" si="109"/>
        <v/>
      </c>
      <c r="JDD6" s="97" t="str">
        <f t="shared" si="109"/>
        <v/>
      </c>
      <c r="JDE6" s="97" t="str">
        <f t="shared" si="109"/>
        <v/>
      </c>
      <c r="JDF6" s="97" t="str">
        <f t="shared" si="109"/>
        <v/>
      </c>
      <c r="JDG6" s="97" t="str">
        <f t="shared" si="109"/>
        <v/>
      </c>
      <c r="JDH6" s="97" t="str">
        <f t="shared" si="109"/>
        <v/>
      </c>
      <c r="JDI6" s="97" t="str">
        <f t="shared" si="109"/>
        <v/>
      </c>
      <c r="JDJ6" s="97" t="str">
        <f t="shared" si="109"/>
        <v/>
      </c>
      <c r="JDK6" s="97" t="str">
        <f t="shared" si="109"/>
        <v/>
      </c>
      <c r="JDL6" s="97" t="str">
        <f t="shared" si="109"/>
        <v/>
      </c>
      <c r="JDM6" s="97" t="str">
        <f t="shared" si="109"/>
        <v/>
      </c>
      <c r="JDN6" s="97" t="str">
        <f t="shared" si="109"/>
        <v/>
      </c>
      <c r="JDO6" s="97" t="str">
        <f t="shared" si="109"/>
        <v/>
      </c>
      <c r="JDP6" s="97" t="str">
        <f t="shared" si="109"/>
        <v/>
      </c>
      <c r="JDQ6" s="97" t="str">
        <f t="shared" si="109"/>
        <v/>
      </c>
      <c r="JDR6" s="97" t="str">
        <f t="shared" si="109"/>
        <v/>
      </c>
      <c r="JDS6" s="97" t="str">
        <f t="shared" si="109"/>
        <v/>
      </c>
      <c r="JDT6" s="97" t="str">
        <f t="shared" si="109"/>
        <v/>
      </c>
      <c r="JDU6" s="97" t="str">
        <f t="shared" si="109"/>
        <v/>
      </c>
      <c r="JDV6" s="97" t="str">
        <f t="shared" si="109"/>
        <v/>
      </c>
      <c r="JDW6" s="97" t="str">
        <f t="shared" si="109"/>
        <v/>
      </c>
      <c r="JDX6" s="97" t="str">
        <f t="shared" si="109"/>
        <v/>
      </c>
      <c r="JDY6" s="97" t="str">
        <f t="shared" si="109"/>
        <v/>
      </c>
      <c r="JDZ6" s="97" t="str">
        <f t="shared" si="109"/>
        <v/>
      </c>
      <c r="JEA6" s="97" t="str">
        <f t="shared" si="109"/>
        <v/>
      </c>
      <c r="JEB6" s="97" t="str">
        <f t="shared" si="109"/>
        <v/>
      </c>
      <c r="JEC6" s="97" t="str">
        <f t="shared" si="109"/>
        <v/>
      </c>
      <c r="JED6" s="97" t="str">
        <f t="shared" si="109"/>
        <v/>
      </c>
      <c r="JEE6" s="97" t="str">
        <f t="shared" si="109"/>
        <v/>
      </c>
      <c r="JEF6" s="97" t="str">
        <f t="shared" si="109"/>
        <v/>
      </c>
      <c r="JEG6" s="97" t="str">
        <f t="shared" si="109"/>
        <v/>
      </c>
      <c r="JEH6" s="97" t="str">
        <f t="shared" si="109"/>
        <v/>
      </c>
      <c r="JEI6" s="97" t="str">
        <f t="shared" si="109"/>
        <v/>
      </c>
      <c r="JEJ6" s="97" t="str">
        <f t="shared" si="109"/>
        <v/>
      </c>
      <c r="JEK6" s="97" t="str">
        <f t="shared" si="109"/>
        <v/>
      </c>
      <c r="JEL6" s="97" t="str">
        <f t="shared" si="109"/>
        <v/>
      </c>
      <c r="JEM6" s="97" t="str">
        <f t="shared" si="109"/>
        <v/>
      </c>
      <c r="JEN6" s="97" t="str">
        <f t="shared" si="109"/>
        <v/>
      </c>
      <c r="JEO6" s="97" t="str">
        <f t="shared" si="109"/>
        <v/>
      </c>
      <c r="JEP6" s="97" t="str">
        <f t="shared" si="109"/>
        <v/>
      </c>
      <c r="JEQ6" s="97" t="str">
        <f t="shared" si="109"/>
        <v/>
      </c>
      <c r="JER6" s="97" t="str">
        <f t="shared" si="109"/>
        <v/>
      </c>
      <c r="JES6" s="97" t="str">
        <f t="shared" si="109"/>
        <v/>
      </c>
      <c r="JET6" s="97" t="str">
        <f t="shared" si="109"/>
        <v/>
      </c>
      <c r="JEU6" s="97" t="str">
        <f t="shared" si="109"/>
        <v/>
      </c>
      <c r="JEV6" s="97" t="str">
        <f t="shared" si="109"/>
        <v/>
      </c>
      <c r="JEW6" s="97" t="str">
        <f t="shared" si="109"/>
        <v/>
      </c>
      <c r="JEX6" s="97" t="str">
        <f t="shared" si="109"/>
        <v/>
      </c>
      <c r="JEY6" s="97" t="str">
        <f t="shared" si="109"/>
        <v/>
      </c>
      <c r="JEZ6" s="97" t="str">
        <f t="shared" si="109"/>
        <v/>
      </c>
      <c r="JFA6" s="97" t="str">
        <f t="shared" si="109"/>
        <v/>
      </c>
      <c r="JFB6" s="97" t="str">
        <f t="shared" ref="JFB6:JHM6" si="110">IFERROR(AVERAGE(JFB7:JFB13),"")</f>
        <v/>
      </c>
      <c r="JFC6" s="97" t="str">
        <f t="shared" si="110"/>
        <v/>
      </c>
      <c r="JFD6" s="97" t="str">
        <f t="shared" si="110"/>
        <v/>
      </c>
      <c r="JFE6" s="97" t="str">
        <f t="shared" si="110"/>
        <v/>
      </c>
      <c r="JFF6" s="97" t="str">
        <f t="shared" si="110"/>
        <v/>
      </c>
      <c r="JFG6" s="97" t="str">
        <f t="shared" si="110"/>
        <v/>
      </c>
      <c r="JFH6" s="97" t="str">
        <f t="shared" si="110"/>
        <v/>
      </c>
      <c r="JFI6" s="97" t="str">
        <f t="shared" si="110"/>
        <v/>
      </c>
      <c r="JFJ6" s="97" t="str">
        <f t="shared" si="110"/>
        <v/>
      </c>
      <c r="JFK6" s="97" t="str">
        <f t="shared" si="110"/>
        <v/>
      </c>
      <c r="JFL6" s="97" t="str">
        <f t="shared" si="110"/>
        <v/>
      </c>
      <c r="JFM6" s="97" t="str">
        <f t="shared" si="110"/>
        <v/>
      </c>
      <c r="JFN6" s="97" t="str">
        <f t="shared" si="110"/>
        <v/>
      </c>
      <c r="JFO6" s="97" t="str">
        <f t="shared" si="110"/>
        <v/>
      </c>
      <c r="JFP6" s="97" t="str">
        <f t="shared" si="110"/>
        <v/>
      </c>
      <c r="JFQ6" s="97" t="str">
        <f t="shared" si="110"/>
        <v/>
      </c>
      <c r="JFR6" s="97" t="str">
        <f t="shared" si="110"/>
        <v/>
      </c>
      <c r="JFS6" s="97" t="str">
        <f t="shared" si="110"/>
        <v/>
      </c>
      <c r="JFT6" s="97" t="str">
        <f t="shared" si="110"/>
        <v/>
      </c>
      <c r="JFU6" s="97" t="str">
        <f t="shared" si="110"/>
        <v/>
      </c>
      <c r="JFV6" s="97" t="str">
        <f t="shared" si="110"/>
        <v/>
      </c>
      <c r="JFW6" s="97" t="str">
        <f t="shared" si="110"/>
        <v/>
      </c>
      <c r="JFX6" s="97" t="str">
        <f t="shared" si="110"/>
        <v/>
      </c>
      <c r="JFY6" s="97" t="str">
        <f t="shared" si="110"/>
        <v/>
      </c>
      <c r="JFZ6" s="97" t="str">
        <f t="shared" si="110"/>
        <v/>
      </c>
      <c r="JGA6" s="97" t="str">
        <f t="shared" si="110"/>
        <v/>
      </c>
      <c r="JGB6" s="97" t="str">
        <f t="shared" si="110"/>
        <v/>
      </c>
      <c r="JGC6" s="97" t="str">
        <f t="shared" si="110"/>
        <v/>
      </c>
      <c r="JGD6" s="97" t="str">
        <f t="shared" si="110"/>
        <v/>
      </c>
      <c r="JGE6" s="97" t="str">
        <f t="shared" si="110"/>
        <v/>
      </c>
      <c r="JGF6" s="97" t="str">
        <f t="shared" si="110"/>
        <v/>
      </c>
      <c r="JGG6" s="97" t="str">
        <f t="shared" si="110"/>
        <v/>
      </c>
      <c r="JGH6" s="97" t="str">
        <f t="shared" si="110"/>
        <v/>
      </c>
      <c r="JGI6" s="97" t="str">
        <f t="shared" si="110"/>
        <v/>
      </c>
      <c r="JGJ6" s="97" t="str">
        <f t="shared" si="110"/>
        <v/>
      </c>
      <c r="JGK6" s="97" t="str">
        <f t="shared" si="110"/>
        <v/>
      </c>
      <c r="JGL6" s="97" t="str">
        <f t="shared" si="110"/>
        <v/>
      </c>
      <c r="JGM6" s="97" t="str">
        <f t="shared" si="110"/>
        <v/>
      </c>
      <c r="JGN6" s="97" t="str">
        <f t="shared" si="110"/>
        <v/>
      </c>
      <c r="JGO6" s="97" t="str">
        <f t="shared" si="110"/>
        <v/>
      </c>
      <c r="JGP6" s="97" t="str">
        <f t="shared" si="110"/>
        <v/>
      </c>
      <c r="JGQ6" s="97" t="str">
        <f t="shared" si="110"/>
        <v/>
      </c>
      <c r="JGR6" s="97" t="str">
        <f t="shared" si="110"/>
        <v/>
      </c>
      <c r="JGS6" s="97" t="str">
        <f t="shared" si="110"/>
        <v/>
      </c>
      <c r="JGT6" s="97" t="str">
        <f t="shared" si="110"/>
        <v/>
      </c>
      <c r="JGU6" s="97" t="str">
        <f t="shared" si="110"/>
        <v/>
      </c>
      <c r="JGV6" s="97" t="str">
        <f t="shared" si="110"/>
        <v/>
      </c>
      <c r="JGW6" s="97" t="str">
        <f t="shared" si="110"/>
        <v/>
      </c>
      <c r="JGX6" s="97" t="str">
        <f t="shared" si="110"/>
        <v/>
      </c>
      <c r="JGY6" s="97" t="str">
        <f t="shared" si="110"/>
        <v/>
      </c>
      <c r="JGZ6" s="97" t="str">
        <f t="shared" si="110"/>
        <v/>
      </c>
      <c r="JHA6" s="97" t="str">
        <f t="shared" si="110"/>
        <v/>
      </c>
      <c r="JHB6" s="97" t="str">
        <f t="shared" si="110"/>
        <v/>
      </c>
      <c r="JHC6" s="97" t="str">
        <f t="shared" si="110"/>
        <v/>
      </c>
      <c r="JHD6" s="97" t="str">
        <f t="shared" si="110"/>
        <v/>
      </c>
      <c r="JHE6" s="97" t="str">
        <f t="shared" si="110"/>
        <v/>
      </c>
      <c r="JHF6" s="97" t="str">
        <f t="shared" si="110"/>
        <v/>
      </c>
      <c r="JHG6" s="97" t="str">
        <f t="shared" si="110"/>
        <v/>
      </c>
      <c r="JHH6" s="97" t="str">
        <f t="shared" si="110"/>
        <v/>
      </c>
      <c r="JHI6" s="97" t="str">
        <f t="shared" si="110"/>
        <v/>
      </c>
      <c r="JHJ6" s="97" t="str">
        <f t="shared" si="110"/>
        <v/>
      </c>
      <c r="JHK6" s="97" t="str">
        <f t="shared" si="110"/>
        <v/>
      </c>
      <c r="JHL6" s="97" t="str">
        <f t="shared" si="110"/>
        <v/>
      </c>
      <c r="JHM6" s="97" t="str">
        <f t="shared" si="110"/>
        <v/>
      </c>
      <c r="JHN6" s="97" t="str">
        <f t="shared" ref="JHN6:JJY6" si="111">IFERROR(AVERAGE(JHN7:JHN13),"")</f>
        <v/>
      </c>
      <c r="JHO6" s="97" t="str">
        <f t="shared" si="111"/>
        <v/>
      </c>
      <c r="JHP6" s="97" t="str">
        <f t="shared" si="111"/>
        <v/>
      </c>
      <c r="JHQ6" s="97" t="str">
        <f t="shared" si="111"/>
        <v/>
      </c>
      <c r="JHR6" s="97" t="str">
        <f t="shared" si="111"/>
        <v/>
      </c>
      <c r="JHS6" s="97" t="str">
        <f t="shared" si="111"/>
        <v/>
      </c>
      <c r="JHT6" s="97" t="str">
        <f t="shared" si="111"/>
        <v/>
      </c>
      <c r="JHU6" s="97" t="str">
        <f t="shared" si="111"/>
        <v/>
      </c>
      <c r="JHV6" s="97" t="str">
        <f t="shared" si="111"/>
        <v/>
      </c>
      <c r="JHW6" s="97" t="str">
        <f t="shared" si="111"/>
        <v/>
      </c>
      <c r="JHX6" s="97" t="str">
        <f t="shared" si="111"/>
        <v/>
      </c>
      <c r="JHY6" s="97" t="str">
        <f t="shared" si="111"/>
        <v/>
      </c>
      <c r="JHZ6" s="97" t="str">
        <f t="shared" si="111"/>
        <v/>
      </c>
      <c r="JIA6" s="97" t="str">
        <f t="shared" si="111"/>
        <v/>
      </c>
      <c r="JIB6" s="97" t="str">
        <f t="shared" si="111"/>
        <v/>
      </c>
      <c r="JIC6" s="97" t="str">
        <f t="shared" si="111"/>
        <v/>
      </c>
      <c r="JID6" s="97" t="str">
        <f t="shared" si="111"/>
        <v/>
      </c>
      <c r="JIE6" s="97" t="str">
        <f t="shared" si="111"/>
        <v/>
      </c>
      <c r="JIF6" s="97" t="str">
        <f t="shared" si="111"/>
        <v/>
      </c>
      <c r="JIG6" s="97" t="str">
        <f t="shared" si="111"/>
        <v/>
      </c>
      <c r="JIH6" s="97" t="str">
        <f t="shared" si="111"/>
        <v/>
      </c>
      <c r="JII6" s="97" t="str">
        <f t="shared" si="111"/>
        <v/>
      </c>
      <c r="JIJ6" s="97" t="str">
        <f t="shared" si="111"/>
        <v/>
      </c>
      <c r="JIK6" s="97" t="str">
        <f t="shared" si="111"/>
        <v/>
      </c>
      <c r="JIL6" s="97" t="str">
        <f t="shared" si="111"/>
        <v/>
      </c>
      <c r="JIM6" s="97" t="str">
        <f t="shared" si="111"/>
        <v/>
      </c>
      <c r="JIN6" s="97" t="str">
        <f t="shared" si="111"/>
        <v/>
      </c>
      <c r="JIO6" s="97" t="str">
        <f t="shared" si="111"/>
        <v/>
      </c>
      <c r="JIP6" s="97" t="str">
        <f t="shared" si="111"/>
        <v/>
      </c>
      <c r="JIQ6" s="97" t="str">
        <f t="shared" si="111"/>
        <v/>
      </c>
      <c r="JIR6" s="97" t="str">
        <f t="shared" si="111"/>
        <v/>
      </c>
      <c r="JIS6" s="97" t="str">
        <f t="shared" si="111"/>
        <v/>
      </c>
      <c r="JIT6" s="97" t="str">
        <f t="shared" si="111"/>
        <v/>
      </c>
      <c r="JIU6" s="97" t="str">
        <f t="shared" si="111"/>
        <v/>
      </c>
      <c r="JIV6" s="97" t="str">
        <f t="shared" si="111"/>
        <v/>
      </c>
      <c r="JIW6" s="97" t="str">
        <f t="shared" si="111"/>
        <v/>
      </c>
      <c r="JIX6" s="97" t="str">
        <f t="shared" si="111"/>
        <v/>
      </c>
      <c r="JIY6" s="97" t="str">
        <f t="shared" si="111"/>
        <v/>
      </c>
      <c r="JIZ6" s="97" t="str">
        <f t="shared" si="111"/>
        <v/>
      </c>
      <c r="JJA6" s="97" t="str">
        <f t="shared" si="111"/>
        <v/>
      </c>
      <c r="JJB6" s="97" t="str">
        <f t="shared" si="111"/>
        <v/>
      </c>
      <c r="JJC6" s="97" t="str">
        <f t="shared" si="111"/>
        <v/>
      </c>
      <c r="JJD6" s="97" t="str">
        <f t="shared" si="111"/>
        <v/>
      </c>
      <c r="JJE6" s="97" t="str">
        <f t="shared" si="111"/>
        <v/>
      </c>
      <c r="JJF6" s="97" t="str">
        <f t="shared" si="111"/>
        <v/>
      </c>
      <c r="JJG6" s="97" t="str">
        <f t="shared" si="111"/>
        <v/>
      </c>
      <c r="JJH6" s="97" t="str">
        <f t="shared" si="111"/>
        <v/>
      </c>
      <c r="JJI6" s="97" t="str">
        <f t="shared" si="111"/>
        <v/>
      </c>
      <c r="JJJ6" s="97" t="str">
        <f t="shared" si="111"/>
        <v/>
      </c>
      <c r="JJK6" s="97" t="str">
        <f t="shared" si="111"/>
        <v/>
      </c>
      <c r="JJL6" s="97" t="str">
        <f t="shared" si="111"/>
        <v/>
      </c>
      <c r="JJM6" s="97" t="str">
        <f t="shared" si="111"/>
        <v/>
      </c>
      <c r="JJN6" s="97" t="str">
        <f t="shared" si="111"/>
        <v/>
      </c>
      <c r="JJO6" s="97" t="str">
        <f t="shared" si="111"/>
        <v/>
      </c>
      <c r="JJP6" s="97" t="str">
        <f t="shared" si="111"/>
        <v/>
      </c>
      <c r="JJQ6" s="97" t="str">
        <f t="shared" si="111"/>
        <v/>
      </c>
      <c r="JJR6" s="97" t="str">
        <f t="shared" si="111"/>
        <v/>
      </c>
      <c r="JJS6" s="97" t="str">
        <f t="shared" si="111"/>
        <v/>
      </c>
      <c r="JJT6" s="97" t="str">
        <f t="shared" si="111"/>
        <v/>
      </c>
      <c r="JJU6" s="97" t="str">
        <f t="shared" si="111"/>
        <v/>
      </c>
      <c r="JJV6" s="97" t="str">
        <f t="shared" si="111"/>
        <v/>
      </c>
      <c r="JJW6" s="97" t="str">
        <f t="shared" si="111"/>
        <v/>
      </c>
      <c r="JJX6" s="97" t="str">
        <f t="shared" si="111"/>
        <v/>
      </c>
      <c r="JJY6" s="97" t="str">
        <f t="shared" si="111"/>
        <v/>
      </c>
      <c r="JJZ6" s="97" t="str">
        <f t="shared" ref="JJZ6:JMK6" si="112">IFERROR(AVERAGE(JJZ7:JJZ13),"")</f>
        <v/>
      </c>
      <c r="JKA6" s="97" t="str">
        <f t="shared" si="112"/>
        <v/>
      </c>
      <c r="JKB6" s="97" t="str">
        <f t="shared" si="112"/>
        <v/>
      </c>
      <c r="JKC6" s="97" t="str">
        <f t="shared" si="112"/>
        <v/>
      </c>
      <c r="JKD6" s="97" t="str">
        <f t="shared" si="112"/>
        <v/>
      </c>
      <c r="JKE6" s="97" t="str">
        <f t="shared" si="112"/>
        <v/>
      </c>
      <c r="JKF6" s="97" t="str">
        <f t="shared" si="112"/>
        <v/>
      </c>
      <c r="JKG6" s="97" t="str">
        <f t="shared" si="112"/>
        <v/>
      </c>
      <c r="JKH6" s="97" t="str">
        <f t="shared" si="112"/>
        <v/>
      </c>
      <c r="JKI6" s="97" t="str">
        <f t="shared" si="112"/>
        <v/>
      </c>
      <c r="JKJ6" s="97" t="str">
        <f t="shared" si="112"/>
        <v/>
      </c>
      <c r="JKK6" s="97" t="str">
        <f t="shared" si="112"/>
        <v/>
      </c>
      <c r="JKL6" s="97" t="str">
        <f t="shared" si="112"/>
        <v/>
      </c>
      <c r="JKM6" s="97" t="str">
        <f t="shared" si="112"/>
        <v/>
      </c>
      <c r="JKN6" s="97" t="str">
        <f t="shared" si="112"/>
        <v/>
      </c>
      <c r="JKO6" s="97" t="str">
        <f t="shared" si="112"/>
        <v/>
      </c>
      <c r="JKP6" s="97" t="str">
        <f t="shared" si="112"/>
        <v/>
      </c>
      <c r="JKQ6" s="97" t="str">
        <f t="shared" si="112"/>
        <v/>
      </c>
      <c r="JKR6" s="97" t="str">
        <f t="shared" si="112"/>
        <v/>
      </c>
      <c r="JKS6" s="97" t="str">
        <f t="shared" si="112"/>
        <v/>
      </c>
      <c r="JKT6" s="97" t="str">
        <f t="shared" si="112"/>
        <v/>
      </c>
      <c r="JKU6" s="97" t="str">
        <f t="shared" si="112"/>
        <v/>
      </c>
      <c r="JKV6" s="97" t="str">
        <f t="shared" si="112"/>
        <v/>
      </c>
      <c r="JKW6" s="97" t="str">
        <f t="shared" si="112"/>
        <v/>
      </c>
      <c r="JKX6" s="97" t="str">
        <f t="shared" si="112"/>
        <v/>
      </c>
      <c r="JKY6" s="97" t="str">
        <f t="shared" si="112"/>
        <v/>
      </c>
      <c r="JKZ6" s="97" t="str">
        <f t="shared" si="112"/>
        <v/>
      </c>
      <c r="JLA6" s="97" t="str">
        <f t="shared" si="112"/>
        <v/>
      </c>
      <c r="JLB6" s="97" t="str">
        <f t="shared" si="112"/>
        <v/>
      </c>
      <c r="JLC6" s="97" t="str">
        <f t="shared" si="112"/>
        <v/>
      </c>
      <c r="JLD6" s="97" t="str">
        <f t="shared" si="112"/>
        <v/>
      </c>
      <c r="JLE6" s="97" t="str">
        <f t="shared" si="112"/>
        <v/>
      </c>
      <c r="JLF6" s="97" t="str">
        <f t="shared" si="112"/>
        <v/>
      </c>
      <c r="JLG6" s="97" t="str">
        <f t="shared" si="112"/>
        <v/>
      </c>
      <c r="JLH6" s="97" t="str">
        <f t="shared" si="112"/>
        <v/>
      </c>
      <c r="JLI6" s="97" t="str">
        <f t="shared" si="112"/>
        <v/>
      </c>
      <c r="JLJ6" s="97" t="str">
        <f t="shared" si="112"/>
        <v/>
      </c>
      <c r="JLK6" s="97" t="str">
        <f t="shared" si="112"/>
        <v/>
      </c>
      <c r="JLL6" s="97" t="str">
        <f t="shared" si="112"/>
        <v/>
      </c>
      <c r="JLM6" s="97" t="str">
        <f t="shared" si="112"/>
        <v/>
      </c>
      <c r="JLN6" s="97" t="str">
        <f t="shared" si="112"/>
        <v/>
      </c>
      <c r="JLO6" s="97" t="str">
        <f t="shared" si="112"/>
        <v/>
      </c>
      <c r="JLP6" s="97" t="str">
        <f t="shared" si="112"/>
        <v/>
      </c>
      <c r="JLQ6" s="97" t="str">
        <f t="shared" si="112"/>
        <v/>
      </c>
      <c r="JLR6" s="97" t="str">
        <f t="shared" si="112"/>
        <v/>
      </c>
      <c r="JLS6" s="97" t="str">
        <f t="shared" si="112"/>
        <v/>
      </c>
      <c r="JLT6" s="97" t="str">
        <f t="shared" si="112"/>
        <v/>
      </c>
      <c r="JLU6" s="97" t="str">
        <f t="shared" si="112"/>
        <v/>
      </c>
      <c r="JLV6" s="97" t="str">
        <f t="shared" si="112"/>
        <v/>
      </c>
      <c r="JLW6" s="97" t="str">
        <f t="shared" si="112"/>
        <v/>
      </c>
      <c r="JLX6" s="97" t="str">
        <f t="shared" si="112"/>
        <v/>
      </c>
      <c r="JLY6" s="97" t="str">
        <f t="shared" si="112"/>
        <v/>
      </c>
      <c r="JLZ6" s="97" t="str">
        <f t="shared" si="112"/>
        <v/>
      </c>
      <c r="JMA6" s="97" t="str">
        <f t="shared" si="112"/>
        <v/>
      </c>
      <c r="JMB6" s="97" t="str">
        <f t="shared" si="112"/>
        <v/>
      </c>
      <c r="JMC6" s="97" t="str">
        <f t="shared" si="112"/>
        <v/>
      </c>
      <c r="JMD6" s="97" t="str">
        <f t="shared" si="112"/>
        <v/>
      </c>
      <c r="JME6" s="97" t="str">
        <f t="shared" si="112"/>
        <v/>
      </c>
      <c r="JMF6" s="97" t="str">
        <f t="shared" si="112"/>
        <v/>
      </c>
      <c r="JMG6" s="97" t="str">
        <f t="shared" si="112"/>
        <v/>
      </c>
      <c r="JMH6" s="97" t="str">
        <f t="shared" si="112"/>
        <v/>
      </c>
      <c r="JMI6" s="97" t="str">
        <f t="shared" si="112"/>
        <v/>
      </c>
      <c r="JMJ6" s="97" t="str">
        <f t="shared" si="112"/>
        <v/>
      </c>
      <c r="JMK6" s="97" t="str">
        <f t="shared" si="112"/>
        <v/>
      </c>
      <c r="JML6" s="97" t="str">
        <f t="shared" ref="JML6:JOW6" si="113">IFERROR(AVERAGE(JML7:JML13),"")</f>
        <v/>
      </c>
      <c r="JMM6" s="97" t="str">
        <f t="shared" si="113"/>
        <v/>
      </c>
      <c r="JMN6" s="97" t="str">
        <f t="shared" si="113"/>
        <v/>
      </c>
      <c r="JMO6" s="97" t="str">
        <f t="shared" si="113"/>
        <v/>
      </c>
      <c r="JMP6" s="97" t="str">
        <f t="shared" si="113"/>
        <v/>
      </c>
      <c r="JMQ6" s="97" t="str">
        <f t="shared" si="113"/>
        <v/>
      </c>
      <c r="JMR6" s="97" t="str">
        <f t="shared" si="113"/>
        <v/>
      </c>
      <c r="JMS6" s="97" t="str">
        <f t="shared" si="113"/>
        <v/>
      </c>
      <c r="JMT6" s="97" t="str">
        <f t="shared" si="113"/>
        <v/>
      </c>
      <c r="JMU6" s="97" t="str">
        <f t="shared" si="113"/>
        <v/>
      </c>
      <c r="JMV6" s="97" t="str">
        <f t="shared" si="113"/>
        <v/>
      </c>
      <c r="JMW6" s="97" t="str">
        <f t="shared" si="113"/>
        <v/>
      </c>
      <c r="JMX6" s="97" t="str">
        <f t="shared" si="113"/>
        <v/>
      </c>
      <c r="JMY6" s="97" t="str">
        <f t="shared" si="113"/>
        <v/>
      </c>
      <c r="JMZ6" s="97" t="str">
        <f t="shared" si="113"/>
        <v/>
      </c>
      <c r="JNA6" s="97" t="str">
        <f t="shared" si="113"/>
        <v/>
      </c>
      <c r="JNB6" s="97" t="str">
        <f t="shared" si="113"/>
        <v/>
      </c>
      <c r="JNC6" s="97" t="str">
        <f t="shared" si="113"/>
        <v/>
      </c>
      <c r="JND6" s="97" t="str">
        <f t="shared" si="113"/>
        <v/>
      </c>
      <c r="JNE6" s="97" t="str">
        <f t="shared" si="113"/>
        <v/>
      </c>
      <c r="JNF6" s="97" t="str">
        <f t="shared" si="113"/>
        <v/>
      </c>
      <c r="JNG6" s="97" t="str">
        <f t="shared" si="113"/>
        <v/>
      </c>
      <c r="JNH6" s="97" t="str">
        <f t="shared" si="113"/>
        <v/>
      </c>
      <c r="JNI6" s="97" t="str">
        <f t="shared" si="113"/>
        <v/>
      </c>
      <c r="JNJ6" s="97" t="str">
        <f t="shared" si="113"/>
        <v/>
      </c>
      <c r="JNK6" s="97" t="str">
        <f t="shared" si="113"/>
        <v/>
      </c>
      <c r="JNL6" s="97" t="str">
        <f t="shared" si="113"/>
        <v/>
      </c>
      <c r="JNM6" s="97" t="str">
        <f t="shared" si="113"/>
        <v/>
      </c>
      <c r="JNN6" s="97" t="str">
        <f t="shared" si="113"/>
        <v/>
      </c>
      <c r="JNO6" s="97" t="str">
        <f t="shared" si="113"/>
        <v/>
      </c>
      <c r="JNP6" s="97" t="str">
        <f t="shared" si="113"/>
        <v/>
      </c>
      <c r="JNQ6" s="97" t="str">
        <f t="shared" si="113"/>
        <v/>
      </c>
      <c r="JNR6" s="97" t="str">
        <f t="shared" si="113"/>
        <v/>
      </c>
      <c r="JNS6" s="97" t="str">
        <f t="shared" si="113"/>
        <v/>
      </c>
      <c r="JNT6" s="97" t="str">
        <f t="shared" si="113"/>
        <v/>
      </c>
      <c r="JNU6" s="97" t="str">
        <f t="shared" si="113"/>
        <v/>
      </c>
      <c r="JNV6" s="97" t="str">
        <f t="shared" si="113"/>
        <v/>
      </c>
      <c r="JNW6" s="97" t="str">
        <f t="shared" si="113"/>
        <v/>
      </c>
      <c r="JNX6" s="97" t="str">
        <f t="shared" si="113"/>
        <v/>
      </c>
      <c r="JNY6" s="97" t="str">
        <f t="shared" si="113"/>
        <v/>
      </c>
      <c r="JNZ6" s="97" t="str">
        <f t="shared" si="113"/>
        <v/>
      </c>
      <c r="JOA6" s="97" t="str">
        <f t="shared" si="113"/>
        <v/>
      </c>
      <c r="JOB6" s="97" t="str">
        <f t="shared" si="113"/>
        <v/>
      </c>
      <c r="JOC6" s="97" t="str">
        <f t="shared" si="113"/>
        <v/>
      </c>
      <c r="JOD6" s="97" t="str">
        <f t="shared" si="113"/>
        <v/>
      </c>
      <c r="JOE6" s="97" t="str">
        <f t="shared" si="113"/>
        <v/>
      </c>
      <c r="JOF6" s="97" t="str">
        <f t="shared" si="113"/>
        <v/>
      </c>
      <c r="JOG6" s="97" t="str">
        <f t="shared" si="113"/>
        <v/>
      </c>
      <c r="JOH6" s="97" t="str">
        <f t="shared" si="113"/>
        <v/>
      </c>
      <c r="JOI6" s="97" t="str">
        <f t="shared" si="113"/>
        <v/>
      </c>
      <c r="JOJ6" s="97" t="str">
        <f t="shared" si="113"/>
        <v/>
      </c>
      <c r="JOK6" s="97" t="str">
        <f t="shared" si="113"/>
        <v/>
      </c>
      <c r="JOL6" s="97" t="str">
        <f t="shared" si="113"/>
        <v/>
      </c>
      <c r="JOM6" s="97" t="str">
        <f t="shared" si="113"/>
        <v/>
      </c>
      <c r="JON6" s="97" t="str">
        <f t="shared" si="113"/>
        <v/>
      </c>
      <c r="JOO6" s="97" t="str">
        <f t="shared" si="113"/>
        <v/>
      </c>
      <c r="JOP6" s="97" t="str">
        <f t="shared" si="113"/>
        <v/>
      </c>
      <c r="JOQ6" s="97" t="str">
        <f t="shared" si="113"/>
        <v/>
      </c>
      <c r="JOR6" s="97" t="str">
        <f t="shared" si="113"/>
        <v/>
      </c>
      <c r="JOS6" s="97" t="str">
        <f t="shared" si="113"/>
        <v/>
      </c>
      <c r="JOT6" s="97" t="str">
        <f t="shared" si="113"/>
        <v/>
      </c>
      <c r="JOU6" s="97" t="str">
        <f t="shared" si="113"/>
        <v/>
      </c>
      <c r="JOV6" s="97" t="str">
        <f t="shared" si="113"/>
        <v/>
      </c>
      <c r="JOW6" s="97" t="str">
        <f t="shared" si="113"/>
        <v/>
      </c>
      <c r="JOX6" s="97" t="str">
        <f t="shared" ref="JOX6:JRI6" si="114">IFERROR(AVERAGE(JOX7:JOX13),"")</f>
        <v/>
      </c>
      <c r="JOY6" s="97" t="str">
        <f t="shared" si="114"/>
        <v/>
      </c>
      <c r="JOZ6" s="97" t="str">
        <f t="shared" si="114"/>
        <v/>
      </c>
      <c r="JPA6" s="97" t="str">
        <f t="shared" si="114"/>
        <v/>
      </c>
      <c r="JPB6" s="97" t="str">
        <f t="shared" si="114"/>
        <v/>
      </c>
      <c r="JPC6" s="97" t="str">
        <f t="shared" si="114"/>
        <v/>
      </c>
      <c r="JPD6" s="97" t="str">
        <f t="shared" si="114"/>
        <v/>
      </c>
      <c r="JPE6" s="97" t="str">
        <f t="shared" si="114"/>
        <v/>
      </c>
      <c r="JPF6" s="97" t="str">
        <f t="shared" si="114"/>
        <v/>
      </c>
      <c r="JPG6" s="97" t="str">
        <f t="shared" si="114"/>
        <v/>
      </c>
      <c r="JPH6" s="97" t="str">
        <f t="shared" si="114"/>
        <v/>
      </c>
      <c r="JPI6" s="97" t="str">
        <f t="shared" si="114"/>
        <v/>
      </c>
      <c r="JPJ6" s="97" t="str">
        <f t="shared" si="114"/>
        <v/>
      </c>
      <c r="JPK6" s="97" t="str">
        <f t="shared" si="114"/>
        <v/>
      </c>
      <c r="JPL6" s="97" t="str">
        <f t="shared" si="114"/>
        <v/>
      </c>
      <c r="JPM6" s="97" t="str">
        <f t="shared" si="114"/>
        <v/>
      </c>
      <c r="JPN6" s="97" t="str">
        <f t="shared" si="114"/>
        <v/>
      </c>
      <c r="JPO6" s="97" t="str">
        <f t="shared" si="114"/>
        <v/>
      </c>
      <c r="JPP6" s="97" t="str">
        <f t="shared" si="114"/>
        <v/>
      </c>
      <c r="JPQ6" s="97" t="str">
        <f t="shared" si="114"/>
        <v/>
      </c>
      <c r="JPR6" s="97" t="str">
        <f t="shared" si="114"/>
        <v/>
      </c>
      <c r="JPS6" s="97" t="str">
        <f t="shared" si="114"/>
        <v/>
      </c>
      <c r="JPT6" s="97" t="str">
        <f t="shared" si="114"/>
        <v/>
      </c>
      <c r="JPU6" s="97" t="str">
        <f t="shared" si="114"/>
        <v/>
      </c>
      <c r="JPV6" s="97" t="str">
        <f t="shared" si="114"/>
        <v/>
      </c>
      <c r="JPW6" s="97" t="str">
        <f t="shared" si="114"/>
        <v/>
      </c>
      <c r="JPX6" s="97" t="str">
        <f t="shared" si="114"/>
        <v/>
      </c>
      <c r="JPY6" s="97" t="str">
        <f t="shared" si="114"/>
        <v/>
      </c>
      <c r="JPZ6" s="97" t="str">
        <f t="shared" si="114"/>
        <v/>
      </c>
      <c r="JQA6" s="97" t="str">
        <f t="shared" si="114"/>
        <v/>
      </c>
      <c r="JQB6" s="97" t="str">
        <f t="shared" si="114"/>
        <v/>
      </c>
      <c r="JQC6" s="97" t="str">
        <f t="shared" si="114"/>
        <v/>
      </c>
      <c r="JQD6" s="97" t="str">
        <f t="shared" si="114"/>
        <v/>
      </c>
      <c r="JQE6" s="97" t="str">
        <f t="shared" si="114"/>
        <v/>
      </c>
      <c r="JQF6" s="97" t="str">
        <f t="shared" si="114"/>
        <v/>
      </c>
      <c r="JQG6" s="97" t="str">
        <f t="shared" si="114"/>
        <v/>
      </c>
      <c r="JQH6" s="97" t="str">
        <f t="shared" si="114"/>
        <v/>
      </c>
      <c r="JQI6" s="97" t="str">
        <f t="shared" si="114"/>
        <v/>
      </c>
      <c r="JQJ6" s="97" t="str">
        <f t="shared" si="114"/>
        <v/>
      </c>
      <c r="JQK6" s="97" t="str">
        <f t="shared" si="114"/>
        <v/>
      </c>
      <c r="JQL6" s="97" t="str">
        <f t="shared" si="114"/>
        <v/>
      </c>
      <c r="JQM6" s="97" t="str">
        <f t="shared" si="114"/>
        <v/>
      </c>
      <c r="JQN6" s="97" t="str">
        <f t="shared" si="114"/>
        <v/>
      </c>
      <c r="JQO6" s="97" t="str">
        <f t="shared" si="114"/>
        <v/>
      </c>
      <c r="JQP6" s="97" t="str">
        <f t="shared" si="114"/>
        <v/>
      </c>
      <c r="JQQ6" s="97" t="str">
        <f t="shared" si="114"/>
        <v/>
      </c>
      <c r="JQR6" s="97" t="str">
        <f t="shared" si="114"/>
        <v/>
      </c>
      <c r="JQS6" s="97" t="str">
        <f t="shared" si="114"/>
        <v/>
      </c>
      <c r="JQT6" s="97" t="str">
        <f t="shared" si="114"/>
        <v/>
      </c>
      <c r="JQU6" s="97" t="str">
        <f t="shared" si="114"/>
        <v/>
      </c>
      <c r="JQV6" s="97" t="str">
        <f t="shared" si="114"/>
        <v/>
      </c>
      <c r="JQW6" s="97" t="str">
        <f t="shared" si="114"/>
        <v/>
      </c>
      <c r="JQX6" s="97" t="str">
        <f t="shared" si="114"/>
        <v/>
      </c>
      <c r="JQY6" s="97" t="str">
        <f t="shared" si="114"/>
        <v/>
      </c>
      <c r="JQZ6" s="97" t="str">
        <f t="shared" si="114"/>
        <v/>
      </c>
      <c r="JRA6" s="97" t="str">
        <f t="shared" si="114"/>
        <v/>
      </c>
      <c r="JRB6" s="97" t="str">
        <f t="shared" si="114"/>
        <v/>
      </c>
      <c r="JRC6" s="97" t="str">
        <f t="shared" si="114"/>
        <v/>
      </c>
      <c r="JRD6" s="97" t="str">
        <f t="shared" si="114"/>
        <v/>
      </c>
      <c r="JRE6" s="97" t="str">
        <f t="shared" si="114"/>
        <v/>
      </c>
      <c r="JRF6" s="97" t="str">
        <f t="shared" si="114"/>
        <v/>
      </c>
      <c r="JRG6" s="97" t="str">
        <f t="shared" si="114"/>
        <v/>
      </c>
      <c r="JRH6" s="97" t="str">
        <f t="shared" si="114"/>
        <v/>
      </c>
      <c r="JRI6" s="97" t="str">
        <f t="shared" si="114"/>
        <v/>
      </c>
      <c r="JRJ6" s="97" t="str">
        <f t="shared" ref="JRJ6:JTU6" si="115">IFERROR(AVERAGE(JRJ7:JRJ13),"")</f>
        <v/>
      </c>
      <c r="JRK6" s="97" t="str">
        <f t="shared" si="115"/>
        <v/>
      </c>
      <c r="JRL6" s="97" t="str">
        <f t="shared" si="115"/>
        <v/>
      </c>
      <c r="JRM6" s="97" t="str">
        <f t="shared" si="115"/>
        <v/>
      </c>
      <c r="JRN6" s="97" t="str">
        <f t="shared" si="115"/>
        <v/>
      </c>
      <c r="JRO6" s="97" t="str">
        <f t="shared" si="115"/>
        <v/>
      </c>
      <c r="JRP6" s="97" t="str">
        <f t="shared" si="115"/>
        <v/>
      </c>
      <c r="JRQ6" s="97" t="str">
        <f t="shared" si="115"/>
        <v/>
      </c>
      <c r="JRR6" s="97" t="str">
        <f t="shared" si="115"/>
        <v/>
      </c>
      <c r="JRS6" s="97" t="str">
        <f t="shared" si="115"/>
        <v/>
      </c>
      <c r="JRT6" s="97" t="str">
        <f t="shared" si="115"/>
        <v/>
      </c>
      <c r="JRU6" s="97" t="str">
        <f t="shared" si="115"/>
        <v/>
      </c>
      <c r="JRV6" s="97" t="str">
        <f t="shared" si="115"/>
        <v/>
      </c>
      <c r="JRW6" s="97" t="str">
        <f t="shared" si="115"/>
        <v/>
      </c>
      <c r="JRX6" s="97" t="str">
        <f t="shared" si="115"/>
        <v/>
      </c>
      <c r="JRY6" s="97" t="str">
        <f t="shared" si="115"/>
        <v/>
      </c>
      <c r="JRZ6" s="97" t="str">
        <f t="shared" si="115"/>
        <v/>
      </c>
      <c r="JSA6" s="97" t="str">
        <f t="shared" si="115"/>
        <v/>
      </c>
      <c r="JSB6" s="97" t="str">
        <f t="shared" si="115"/>
        <v/>
      </c>
      <c r="JSC6" s="97" t="str">
        <f t="shared" si="115"/>
        <v/>
      </c>
      <c r="JSD6" s="97" t="str">
        <f t="shared" si="115"/>
        <v/>
      </c>
      <c r="JSE6" s="97" t="str">
        <f t="shared" si="115"/>
        <v/>
      </c>
      <c r="JSF6" s="97" t="str">
        <f t="shared" si="115"/>
        <v/>
      </c>
      <c r="JSG6" s="97" t="str">
        <f t="shared" si="115"/>
        <v/>
      </c>
      <c r="JSH6" s="97" t="str">
        <f t="shared" si="115"/>
        <v/>
      </c>
      <c r="JSI6" s="97" t="str">
        <f t="shared" si="115"/>
        <v/>
      </c>
      <c r="JSJ6" s="97" t="str">
        <f t="shared" si="115"/>
        <v/>
      </c>
      <c r="JSK6" s="97" t="str">
        <f t="shared" si="115"/>
        <v/>
      </c>
      <c r="JSL6" s="97" t="str">
        <f t="shared" si="115"/>
        <v/>
      </c>
      <c r="JSM6" s="97" t="str">
        <f t="shared" si="115"/>
        <v/>
      </c>
      <c r="JSN6" s="97" t="str">
        <f t="shared" si="115"/>
        <v/>
      </c>
      <c r="JSO6" s="97" t="str">
        <f t="shared" si="115"/>
        <v/>
      </c>
      <c r="JSP6" s="97" t="str">
        <f t="shared" si="115"/>
        <v/>
      </c>
      <c r="JSQ6" s="97" t="str">
        <f t="shared" si="115"/>
        <v/>
      </c>
      <c r="JSR6" s="97" t="str">
        <f t="shared" si="115"/>
        <v/>
      </c>
      <c r="JSS6" s="97" t="str">
        <f t="shared" si="115"/>
        <v/>
      </c>
      <c r="JST6" s="97" t="str">
        <f t="shared" si="115"/>
        <v/>
      </c>
      <c r="JSU6" s="97" t="str">
        <f t="shared" si="115"/>
        <v/>
      </c>
      <c r="JSV6" s="97" t="str">
        <f t="shared" si="115"/>
        <v/>
      </c>
      <c r="JSW6" s="97" t="str">
        <f t="shared" si="115"/>
        <v/>
      </c>
      <c r="JSX6" s="97" t="str">
        <f t="shared" si="115"/>
        <v/>
      </c>
      <c r="JSY6" s="97" t="str">
        <f t="shared" si="115"/>
        <v/>
      </c>
      <c r="JSZ6" s="97" t="str">
        <f t="shared" si="115"/>
        <v/>
      </c>
      <c r="JTA6" s="97" t="str">
        <f t="shared" si="115"/>
        <v/>
      </c>
      <c r="JTB6" s="97" t="str">
        <f t="shared" si="115"/>
        <v/>
      </c>
      <c r="JTC6" s="97" t="str">
        <f t="shared" si="115"/>
        <v/>
      </c>
      <c r="JTD6" s="97" t="str">
        <f t="shared" si="115"/>
        <v/>
      </c>
      <c r="JTE6" s="97" t="str">
        <f t="shared" si="115"/>
        <v/>
      </c>
      <c r="JTF6" s="97" t="str">
        <f t="shared" si="115"/>
        <v/>
      </c>
      <c r="JTG6" s="97" t="str">
        <f t="shared" si="115"/>
        <v/>
      </c>
      <c r="JTH6" s="97" t="str">
        <f t="shared" si="115"/>
        <v/>
      </c>
      <c r="JTI6" s="97" t="str">
        <f t="shared" si="115"/>
        <v/>
      </c>
      <c r="JTJ6" s="97" t="str">
        <f t="shared" si="115"/>
        <v/>
      </c>
      <c r="JTK6" s="97" t="str">
        <f t="shared" si="115"/>
        <v/>
      </c>
      <c r="JTL6" s="97" t="str">
        <f t="shared" si="115"/>
        <v/>
      </c>
      <c r="JTM6" s="97" t="str">
        <f t="shared" si="115"/>
        <v/>
      </c>
      <c r="JTN6" s="97" t="str">
        <f t="shared" si="115"/>
        <v/>
      </c>
      <c r="JTO6" s="97" t="str">
        <f t="shared" si="115"/>
        <v/>
      </c>
      <c r="JTP6" s="97" t="str">
        <f t="shared" si="115"/>
        <v/>
      </c>
      <c r="JTQ6" s="97" t="str">
        <f t="shared" si="115"/>
        <v/>
      </c>
      <c r="JTR6" s="97" t="str">
        <f t="shared" si="115"/>
        <v/>
      </c>
      <c r="JTS6" s="97" t="str">
        <f t="shared" si="115"/>
        <v/>
      </c>
      <c r="JTT6" s="97" t="str">
        <f t="shared" si="115"/>
        <v/>
      </c>
      <c r="JTU6" s="97" t="str">
        <f t="shared" si="115"/>
        <v/>
      </c>
      <c r="JTV6" s="97" t="str">
        <f t="shared" ref="JTV6:JWG6" si="116">IFERROR(AVERAGE(JTV7:JTV13),"")</f>
        <v/>
      </c>
      <c r="JTW6" s="97" t="str">
        <f t="shared" si="116"/>
        <v/>
      </c>
      <c r="JTX6" s="97" t="str">
        <f t="shared" si="116"/>
        <v/>
      </c>
      <c r="JTY6" s="97" t="str">
        <f t="shared" si="116"/>
        <v/>
      </c>
      <c r="JTZ6" s="97" t="str">
        <f t="shared" si="116"/>
        <v/>
      </c>
      <c r="JUA6" s="97" t="str">
        <f t="shared" si="116"/>
        <v/>
      </c>
      <c r="JUB6" s="97" t="str">
        <f t="shared" si="116"/>
        <v/>
      </c>
      <c r="JUC6" s="97" t="str">
        <f t="shared" si="116"/>
        <v/>
      </c>
      <c r="JUD6" s="97" t="str">
        <f t="shared" si="116"/>
        <v/>
      </c>
      <c r="JUE6" s="97" t="str">
        <f t="shared" si="116"/>
        <v/>
      </c>
      <c r="JUF6" s="97" t="str">
        <f t="shared" si="116"/>
        <v/>
      </c>
      <c r="JUG6" s="97" t="str">
        <f t="shared" si="116"/>
        <v/>
      </c>
      <c r="JUH6" s="97" t="str">
        <f t="shared" si="116"/>
        <v/>
      </c>
      <c r="JUI6" s="97" t="str">
        <f t="shared" si="116"/>
        <v/>
      </c>
      <c r="JUJ6" s="97" t="str">
        <f t="shared" si="116"/>
        <v/>
      </c>
      <c r="JUK6" s="97" t="str">
        <f t="shared" si="116"/>
        <v/>
      </c>
      <c r="JUL6" s="97" t="str">
        <f t="shared" si="116"/>
        <v/>
      </c>
      <c r="JUM6" s="97" t="str">
        <f t="shared" si="116"/>
        <v/>
      </c>
      <c r="JUN6" s="97" t="str">
        <f t="shared" si="116"/>
        <v/>
      </c>
      <c r="JUO6" s="97" t="str">
        <f t="shared" si="116"/>
        <v/>
      </c>
      <c r="JUP6" s="97" t="str">
        <f t="shared" si="116"/>
        <v/>
      </c>
      <c r="JUQ6" s="97" t="str">
        <f t="shared" si="116"/>
        <v/>
      </c>
      <c r="JUR6" s="97" t="str">
        <f t="shared" si="116"/>
        <v/>
      </c>
      <c r="JUS6" s="97" t="str">
        <f t="shared" si="116"/>
        <v/>
      </c>
      <c r="JUT6" s="97" t="str">
        <f t="shared" si="116"/>
        <v/>
      </c>
      <c r="JUU6" s="97" t="str">
        <f t="shared" si="116"/>
        <v/>
      </c>
      <c r="JUV6" s="97" t="str">
        <f t="shared" si="116"/>
        <v/>
      </c>
      <c r="JUW6" s="97" t="str">
        <f t="shared" si="116"/>
        <v/>
      </c>
      <c r="JUX6" s="97" t="str">
        <f t="shared" si="116"/>
        <v/>
      </c>
      <c r="JUY6" s="97" t="str">
        <f t="shared" si="116"/>
        <v/>
      </c>
      <c r="JUZ6" s="97" t="str">
        <f t="shared" si="116"/>
        <v/>
      </c>
      <c r="JVA6" s="97" t="str">
        <f t="shared" si="116"/>
        <v/>
      </c>
      <c r="JVB6" s="97" t="str">
        <f t="shared" si="116"/>
        <v/>
      </c>
      <c r="JVC6" s="97" t="str">
        <f t="shared" si="116"/>
        <v/>
      </c>
      <c r="JVD6" s="97" t="str">
        <f t="shared" si="116"/>
        <v/>
      </c>
      <c r="JVE6" s="97" t="str">
        <f t="shared" si="116"/>
        <v/>
      </c>
      <c r="JVF6" s="97" t="str">
        <f t="shared" si="116"/>
        <v/>
      </c>
      <c r="JVG6" s="97" t="str">
        <f t="shared" si="116"/>
        <v/>
      </c>
      <c r="JVH6" s="97" t="str">
        <f t="shared" si="116"/>
        <v/>
      </c>
      <c r="JVI6" s="97" t="str">
        <f t="shared" si="116"/>
        <v/>
      </c>
      <c r="JVJ6" s="97" t="str">
        <f t="shared" si="116"/>
        <v/>
      </c>
      <c r="JVK6" s="97" t="str">
        <f t="shared" si="116"/>
        <v/>
      </c>
      <c r="JVL6" s="97" t="str">
        <f t="shared" si="116"/>
        <v/>
      </c>
      <c r="JVM6" s="97" t="str">
        <f t="shared" si="116"/>
        <v/>
      </c>
      <c r="JVN6" s="97" t="str">
        <f t="shared" si="116"/>
        <v/>
      </c>
      <c r="JVO6" s="97" t="str">
        <f t="shared" si="116"/>
        <v/>
      </c>
      <c r="JVP6" s="97" t="str">
        <f t="shared" si="116"/>
        <v/>
      </c>
      <c r="JVQ6" s="97" t="str">
        <f t="shared" si="116"/>
        <v/>
      </c>
      <c r="JVR6" s="97" t="str">
        <f t="shared" si="116"/>
        <v/>
      </c>
      <c r="JVS6" s="97" t="str">
        <f t="shared" si="116"/>
        <v/>
      </c>
      <c r="JVT6" s="97" t="str">
        <f t="shared" si="116"/>
        <v/>
      </c>
      <c r="JVU6" s="97" t="str">
        <f t="shared" si="116"/>
        <v/>
      </c>
      <c r="JVV6" s="97" t="str">
        <f t="shared" si="116"/>
        <v/>
      </c>
      <c r="JVW6" s="97" t="str">
        <f t="shared" si="116"/>
        <v/>
      </c>
      <c r="JVX6" s="97" t="str">
        <f t="shared" si="116"/>
        <v/>
      </c>
      <c r="JVY6" s="97" t="str">
        <f t="shared" si="116"/>
        <v/>
      </c>
      <c r="JVZ6" s="97" t="str">
        <f t="shared" si="116"/>
        <v/>
      </c>
      <c r="JWA6" s="97" t="str">
        <f t="shared" si="116"/>
        <v/>
      </c>
      <c r="JWB6" s="97" t="str">
        <f t="shared" si="116"/>
        <v/>
      </c>
      <c r="JWC6" s="97" t="str">
        <f t="shared" si="116"/>
        <v/>
      </c>
      <c r="JWD6" s="97" t="str">
        <f t="shared" si="116"/>
        <v/>
      </c>
      <c r="JWE6" s="97" t="str">
        <f t="shared" si="116"/>
        <v/>
      </c>
      <c r="JWF6" s="97" t="str">
        <f t="shared" si="116"/>
        <v/>
      </c>
      <c r="JWG6" s="97" t="str">
        <f t="shared" si="116"/>
        <v/>
      </c>
      <c r="JWH6" s="97" t="str">
        <f t="shared" ref="JWH6:JYS6" si="117">IFERROR(AVERAGE(JWH7:JWH13),"")</f>
        <v/>
      </c>
      <c r="JWI6" s="97" t="str">
        <f t="shared" si="117"/>
        <v/>
      </c>
      <c r="JWJ6" s="97" t="str">
        <f t="shared" si="117"/>
        <v/>
      </c>
      <c r="JWK6" s="97" t="str">
        <f t="shared" si="117"/>
        <v/>
      </c>
      <c r="JWL6" s="97" t="str">
        <f t="shared" si="117"/>
        <v/>
      </c>
      <c r="JWM6" s="97" t="str">
        <f t="shared" si="117"/>
        <v/>
      </c>
      <c r="JWN6" s="97" t="str">
        <f t="shared" si="117"/>
        <v/>
      </c>
      <c r="JWO6" s="97" t="str">
        <f t="shared" si="117"/>
        <v/>
      </c>
      <c r="JWP6" s="97" t="str">
        <f t="shared" si="117"/>
        <v/>
      </c>
      <c r="JWQ6" s="97" t="str">
        <f t="shared" si="117"/>
        <v/>
      </c>
      <c r="JWR6" s="97" t="str">
        <f t="shared" si="117"/>
        <v/>
      </c>
      <c r="JWS6" s="97" t="str">
        <f t="shared" si="117"/>
        <v/>
      </c>
      <c r="JWT6" s="97" t="str">
        <f t="shared" si="117"/>
        <v/>
      </c>
      <c r="JWU6" s="97" t="str">
        <f t="shared" si="117"/>
        <v/>
      </c>
      <c r="JWV6" s="97" t="str">
        <f t="shared" si="117"/>
        <v/>
      </c>
      <c r="JWW6" s="97" t="str">
        <f t="shared" si="117"/>
        <v/>
      </c>
      <c r="JWX6" s="97" t="str">
        <f t="shared" si="117"/>
        <v/>
      </c>
      <c r="JWY6" s="97" t="str">
        <f t="shared" si="117"/>
        <v/>
      </c>
      <c r="JWZ6" s="97" t="str">
        <f t="shared" si="117"/>
        <v/>
      </c>
      <c r="JXA6" s="97" t="str">
        <f t="shared" si="117"/>
        <v/>
      </c>
      <c r="JXB6" s="97" t="str">
        <f t="shared" si="117"/>
        <v/>
      </c>
      <c r="JXC6" s="97" t="str">
        <f t="shared" si="117"/>
        <v/>
      </c>
      <c r="JXD6" s="97" t="str">
        <f t="shared" si="117"/>
        <v/>
      </c>
      <c r="JXE6" s="97" t="str">
        <f t="shared" si="117"/>
        <v/>
      </c>
      <c r="JXF6" s="97" t="str">
        <f t="shared" si="117"/>
        <v/>
      </c>
      <c r="JXG6" s="97" t="str">
        <f t="shared" si="117"/>
        <v/>
      </c>
      <c r="JXH6" s="97" t="str">
        <f t="shared" si="117"/>
        <v/>
      </c>
      <c r="JXI6" s="97" t="str">
        <f t="shared" si="117"/>
        <v/>
      </c>
      <c r="JXJ6" s="97" t="str">
        <f t="shared" si="117"/>
        <v/>
      </c>
      <c r="JXK6" s="97" t="str">
        <f t="shared" si="117"/>
        <v/>
      </c>
      <c r="JXL6" s="97" t="str">
        <f t="shared" si="117"/>
        <v/>
      </c>
      <c r="JXM6" s="97" t="str">
        <f t="shared" si="117"/>
        <v/>
      </c>
      <c r="JXN6" s="97" t="str">
        <f t="shared" si="117"/>
        <v/>
      </c>
      <c r="JXO6" s="97" t="str">
        <f t="shared" si="117"/>
        <v/>
      </c>
      <c r="JXP6" s="97" t="str">
        <f t="shared" si="117"/>
        <v/>
      </c>
      <c r="JXQ6" s="97" t="str">
        <f t="shared" si="117"/>
        <v/>
      </c>
      <c r="JXR6" s="97" t="str">
        <f t="shared" si="117"/>
        <v/>
      </c>
      <c r="JXS6" s="97" t="str">
        <f t="shared" si="117"/>
        <v/>
      </c>
      <c r="JXT6" s="97" t="str">
        <f t="shared" si="117"/>
        <v/>
      </c>
      <c r="JXU6" s="97" t="str">
        <f t="shared" si="117"/>
        <v/>
      </c>
      <c r="JXV6" s="97" t="str">
        <f t="shared" si="117"/>
        <v/>
      </c>
      <c r="JXW6" s="97" t="str">
        <f t="shared" si="117"/>
        <v/>
      </c>
      <c r="JXX6" s="97" t="str">
        <f t="shared" si="117"/>
        <v/>
      </c>
      <c r="JXY6" s="97" t="str">
        <f t="shared" si="117"/>
        <v/>
      </c>
      <c r="JXZ6" s="97" t="str">
        <f t="shared" si="117"/>
        <v/>
      </c>
      <c r="JYA6" s="97" t="str">
        <f t="shared" si="117"/>
        <v/>
      </c>
      <c r="JYB6" s="97" t="str">
        <f t="shared" si="117"/>
        <v/>
      </c>
      <c r="JYC6" s="97" t="str">
        <f t="shared" si="117"/>
        <v/>
      </c>
      <c r="JYD6" s="97" t="str">
        <f t="shared" si="117"/>
        <v/>
      </c>
      <c r="JYE6" s="97" t="str">
        <f t="shared" si="117"/>
        <v/>
      </c>
      <c r="JYF6" s="97" t="str">
        <f t="shared" si="117"/>
        <v/>
      </c>
      <c r="JYG6" s="97" t="str">
        <f t="shared" si="117"/>
        <v/>
      </c>
      <c r="JYH6" s="97" t="str">
        <f t="shared" si="117"/>
        <v/>
      </c>
      <c r="JYI6" s="97" t="str">
        <f t="shared" si="117"/>
        <v/>
      </c>
      <c r="JYJ6" s="97" t="str">
        <f t="shared" si="117"/>
        <v/>
      </c>
      <c r="JYK6" s="97" t="str">
        <f t="shared" si="117"/>
        <v/>
      </c>
      <c r="JYL6" s="97" t="str">
        <f t="shared" si="117"/>
        <v/>
      </c>
      <c r="JYM6" s="97" t="str">
        <f t="shared" si="117"/>
        <v/>
      </c>
      <c r="JYN6" s="97" t="str">
        <f t="shared" si="117"/>
        <v/>
      </c>
      <c r="JYO6" s="97" t="str">
        <f t="shared" si="117"/>
        <v/>
      </c>
      <c r="JYP6" s="97" t="str">
        <f t="shared" si="117"/>
        <v/>
      </c>
      <c r="JYQ6" s="97" t="str">
        <f t="shared" si="117"/>
        <v/>
      </c>
      <c r="JYR6" s="97" t="str">
        <f t="shared" si="117"/>
        <v/>
      </c>
      <c r="JYS6" s="97" t="str">
        <f t="shared" si="117"/>
        <v/>
      </c>
      <c r="JYT6" s="97" t="str">
        <f t="shared" ref="JYT6:KBE6" si="118">IFERROR(AVERAGE(JYT7:JYT13),"")</f>
        <v/>
      </c>
      <c r="JYU6" s="97" t="str">
        <f t="shared" si="118"/>
        <v/>
      </c>
      <c r="JYV6" s="97" t="str">
        <f t="shared" si="118"/>
        <v/>
      </c>
      <c r="JYW6" s="97" t="str">
        <f t="shared" si="118"/>
        <v/>
      </c>
      <c r="JYX6" s="97" t="str">
        <f t="shared" si="118"/>
        <v/>
      </c>
      <c r="JYY6" s="97" t="str">
        <f t="shared" si="118"/>
        <v/>
      </c>
      <c r="JYZ6" s="97" t="str">
        <f t="shared" si="118"/>
        <v/>
      </c>
      <c r="JZA6" s="97" t="str">
        <f t="shared" si="118"/>
        <v/>
      </c>
      <c r="JZB6" s="97" t="str">
        <f t="shared" si="118"/>
        <v/>
      </c>
      <c r="JZC6" s="97" t="str">
        <f t="shared" si="118"/>
        <v/>
      </c>
      <c r="JZD6" s="97" t="str">
        <f t="shared" si="118"/>
        <v/>
      </c>
      <c r="JZE6" s="97" t="str">
        <f t="shared" si="118"/>
        <v/>
      </c>
      <c r="JZF6" s="97" t="str">
        <f t="shared" si="118"/>
        <v/>
      </c>
      <c r="JZG6" s="97" t="str">
        <f t="shared" si="118"/>
        <v/>
      </c>
      <c r="JZH6" s="97" t="str">
        <f t="shared" si="118"/>
        <v/>
      </c>
      <c r="JZI6" s="97" t="str">
        <f t="shared" si="118"/>
        <v/>
      </c>
      <c r="JZJ6" s="97" t="str">
        <f t="shared" si="118"/>
        <v/>
      </c>
      <c r="JZK6" s="97" t="str">
        <f t="shared" si="118"/>
        <v/>
      </c>
      <c r="JZL6" s="97" t="str">
        <f t="shared" si="118"/>
        <v/>
      </c>
      <c r="JZM6" s="97" t="str">
        <f t="shared" si="118"/>
        <v/>
      </c>
      <c r="JZN6" s="97" t="str">
        <f t="shared" si="118"/>
        <v/>
      </c>
      <c r="JZO6" s="97" t="str">
        <f t="shared" si="118"/>
        <v/>
      </c>
      <c r="JZP6" s="97" t="str">
        <f t="shared" si="118"/>
        <v/>
      </c>
      <c r="JZQ6" s="97" t="str">
        <f t="shared" si="118"/>
        <v/>
      </c>
      <c r="JZR6" s="97" t="str">
        <f t="shared" si="118"/>
        <v/>
      </c>
      <c r="JZS6" s="97" t="str">
        <f t="shared" si="118"/>
        <v/>
      </c>
      <c r="JZT6" s="97" t="str">
        <f t="shared" si="118"/>
        <v/>
      </c>
      <c r="JZU6" s="97" t="str">
        <f t="shared" si="118"/>
        <v/>
      </c>
      <c r="JZV6" s="97" t="str">
        <f t="shared" si="118"/>
        <v/>
      </c>
      <c r="JZW6" s="97" t="str">
        <f t="shared" si="118"/>
        <v/>
      </c>
      <c r="JZX6" s="97" t="str">
        <f t="shared" si="118"/>
        <v/>
      </c>
      <c r="JZY6" s="97" t="str">
        <f t="shared" si="118"/>
        <v/>
      </c>
      <c r="JZZ6" s="97" t="str">
        <f t="shared" si="118"/>
        <v/>
      </c>
      <c r="KAA6" s="97" t="str">
        <f t="shared" si="118"/>
        <v/>
      </c>
      <c r="KAB6" s="97" t="str">
        <f t="shared" si="118"/>
        <v/>
      </c>
      <c r="KAC6" s="97" t="str">
        <f t="shared" si="118"/>
        <v/>
      </c>
      <c r="KAD6" s="97" t="str">
        <f t="shared" si="118"/>
        <v/>
      </c>
      <c r="KAE6" s="97" t="str">
        <f t="shared" si="118"/>
        <v/>
      </c>
      <c r="KAF6" s="97" t="str">
        <f t="shared" si="118"/>
        <v/>
      </c>
      <c r="KAG6" s="97" t="str">
        <f t="shared" si="118"/>
        <v/>
      </c>
      <c r="KAH6" s="97" t="str">
        <f t="shared" si="118"/>
        <v/>
      </c>
      <c r="KAI6" s="97" t="str">
        <f t="shared" si="118"/>
        <v/>
      </c>
      <c r="KAJ6" s="97" t="str">
        <f t="shared" si="118"/>
        <v/>
      </c>
      <c r="KAK6" s="97" t="str">
        <f t="shared" si="118"/>
        <v/>
      </c>
      <c r="KAL6" s="97" t="str">
        <f t="shared" si="118"/>
        <v/>
      </c>
      <c r="KAM6" s="97" t="str">
        <f t="shared" si="118"/>
        <v/>
      </c>
      <c r="KAN6" s="97" t="str">
        <f t="shared" si="118"/>
        <v/>
      </c>
      <c r="KAO6" s="97" t="str">
        <f t="shared" si="118"/>
        <v/>
      </c>
      <c r="KAP6" s="97" t="str">
        <f t="shared" si="118"/>
        <v/>
      </c>
      <c r="KAQ6" s="97" t="str">
        <f t="shared" si="118"/>
        <v/>
      </c>
      <c r="KAR6" s="97" t="str">
        <f t="shared" si="118"/>
        <v/>
      </c>
      <c r="KAS6" s="97" t="str">
        <f t="shared" si="118"/>
        <v/>
      </c>
      <c r="KAT6" s="97" t="str">
        <f t="shared" si="118"/>
        <v/>
      </c>
      <c r="KAU6" s="97" t="str">
        <f t="shared" si="118"/>
        <v/>
      </c>
      <c r="KAV6" s="97" t="str">
        <f t="shared" si="118"/>
        <v/>
      </c>
      <c r="KAW6" s="97" t="str">
        <f t="shared" si="118"/>
        <v/>
      </c>
      <c r="KAX6" s="97" t="str">
        <f t="shared" si="118"/>
        <v/>
      </c>
      <c r="KAY6" s="97" t="str">
        <f t="shared" si="118"/>
        <v/>
      </c>
      <c r="KAZ6" s="97" t="str">
        <f t="shared" si="118"/>
        <v/>
      </c>
      <c r="KBA6" s="97" t="str">
        <f t="shared" si="118"/>
        <v/>
      </c>
      <c r="KBB6" s="97" t="str">
        <f t="shared" si="118"/>
        <v/>
      </c>
      <c r="KBC6" s="97" t="str">
        <f t="shared" si="118"/>
        <v/>
      </c>
      <c r="KBD6" s="97" t="str">
        <f t="shared" si="118"/>
        <v/>
      </c>
      <c r="KBE6" s="97" t="str">
        <f t="shared" si="118"/>
        <v/>
      </c>
      <c r="KBF6" s="97" t="str">
        <f t="shared" ref="KBF6:KDQ6" si="119">IFERROR(AVERAGE(KBF7:KBF13),"")</f>
        <v/>
      </c>
      <c r="KBG6" s="97" t="str">
        <f t="shared" si="119"/>
        <v/>
      </c>
      <c r="KBH6" s="97" t="str">
        <f t="shared" si="119"/>
        <v/>
      </c>
      <c r="KBI6" s="97" t="str">
        <f t="shared" si="119"/>
        <v/>
      </c>
      <c r="KBJ6" s="97" t="str">
        <f t="shared" si="119"/>
        <v/>
      </c>
      <c r="KBK6" s="97" t="str">
        <f t="shared" si="119"/>
        <v/>
      </c>
      <c r="KBL6" s="97" t="str">
        <f t="shared" si="119"/>
        <v/>
      </c>
      <c r="KBM6" s="97" t="str">
        <f t="shared" si="119"/>
        <v/>
      </c>
      <c r="KBN6" s="97" t="str">
        <f t="shared" si="119"/>
        <v/>
      </c>
      <c r="KBO6" s="97" t="str">
        <f t="shared" si="119"/>
        <v/>
      </c>
      <c r="KBP6" s="97" t="str">
        <f t="shared" si="119"/>
        <v/>
      </c>
      <c r="KBQ6" s="97" t="str">
        <f t="shared" si="119"/>
        <v/>
      </c>
      <c r="KBR6" s="97" t="str">
        <f t="shared" si="119"/>
        <v/>
      </c>
      <c r="KBS6" s="97" t="str">
        <f t="shared" si="119"/>
        <v/>
      </c>
      <c r="KBT6" s="97" t="str">
        <f t="shared" si="119"/>
        <v/>
      </c>
      <c r="KBU6" s="97" t="str">
        <f t="shared" si="119"/>
        <v/>
      </c>
      <c r="KBV6" s="97" t="str">
        <f t="shared" si="119"/>
        <v/>
      </c>
      <c r="KBW6" s="97" t="str">
        <f t="shared" si="119"/>
        <v/>
      </c>
      <c r="KBX6" s="97" t="str">
        <f t="shared" si="119"/>
        <v/>
      </c>
      <c r="KBY6" s="97" t="str">
        <f t="shared" si="119"/>
        <v/>
      </c>
      <c r="KBZ6" s="97" t="str">
        <f t="shared" si="119"/>
        <v/>
      </c>
      <c r="KCA6" s="97" t="str">
        <f t="shared" si="119"/>
        <v/>
      </c>
      <c r="KCB6" s="97" t="str">
        <f t="shared" si="119"/>
        <v/>
      </c>
      <c r="KCC6" s="97" t="str">
        <f t="shared" si="119"/>
        <v/>
      </c>
      <c r="KCD6" s="97" t="str">
        <f t="shared" si="119"/>
        <v/>
      </c>
      <c r="KCE6" s="97" t="str">
        <f t="shared" si="119"/>
        <v/>
      </c>
      <c r="KCF6" s="97" t="str">
        <f t="shared" si="119"/>
        <v/>
      </c>
      <c r="KCG6" s="97" t="str">
        <f t="shared" si="119"/>
        <v/>
      </c>
      <c r="KCH6" s="97" t="str">
        <f t="shared" si="119"/>
        <v/>
      </c>
      <c r="KCI6" s="97" t="str">
        <f t="shared" si="119"/>
        <v/>
      </c>
      <c r="KCJ6" s="97" t="str">
        <f t="shared" si="119"/>
        <v/>
      </c>
      <c r="KCK6" s="97" t="str">
        <f t="shared" si="119"/>
        <v/>
      </c>
      <c r="KCL6" s="97" t="str">
        <f t="shared" si="119"/>
        <v/>
      </c>
      <c r="KCM6" s="97" t="str">
        <f t="shared" si="119"/>
        <v/>
      </c>
      <c r="KCN6" s="97" t="str">
        <f t="shared" si="119"/>
        <v/>
      </c>
      <c r="KCO6" s="97" t="str">
        <f t="shared" si="119"/>
        <v/>
      </c>
      <c r="KCP6" s="97" t="str">
        <f t="shared" si="119"/>
        <v/>
      </c>
      <c r="KCQ6" s="97" t="str">
        <f t="shared" si="119"/>
        <v/>
      </c>
      <c r="KCR6" s="97" t="str">
        <f t="shared" si="119"/>
        <v/>
      </c>
      <c r="KCS6" s="97" t="str">
        <f t="shared" si="119"/>
        <v/>
      </c>
      <c r="KCT6" s="97" t="str">
        <f t="shared" si="119"/>
        <v/>
      </c>
      <c r="KCU6" s="97" t="str">
        <f t="shared" si="119"/>
        <v/>
      </c>
      <c r="KCV6" s="97" t="str">
        <f t="shared" si="119"/>
        <v/>
      </c>
      <c r="KCW6" s="97" t="str">
        <f t="shared" si="119"/>
        <v/>
      </c>
      <c r="KCX6" s="97" t="str">
        <f t="shared" si="119"/>
        <v/>
      </c>
      <c r="KCY6" s="97" t="str">
        <f t="shared" si="119"/>
        <v/>
      </c>
      <c r="KCZ6" s="97" t="str">
        <f t="shared" si="119"/>
        <v/>
      </c>
      <c r="KDA6" s="97" t="str">
        <f t="shared" si="119"/>
        <v/>
      </c>
      <c r="KDB6" s="97" t="str">
        <f t="shared" si="119"/>
        <v/>
      </c>
      <c r="KDC6" s="97" t="str">
        <f t="shared" si="119"/>
        <v/>
      </c>
      <c r="KDD6" s="97" t="str">
        <f t="shared" si="119"/>
        <v/>
      </c>
      <c r="KDE6" s="97" t="str">
        <f t="shared" si="119"/>
        <v/>
      </c>
      <c r="KDF6" s="97" t="str">
        <f t="shared" si="119"/>
        <v/>
      </c>
      <c r="KDG6" s="97" t="str">
        <f t="shared" si="119"/>
        <v/>
      </c>
      <c r="KDH6" s="97" t="str">
        <f t="shared" si="119"/>
        <v/>
      </c>
      <c r="KDI6" s="97" t="str">
        <f t="shared" si="119"/>
        <v/>
      </c>
      <c r="KDJ6" s="97" t="str">
        <f t="shared" si="119"/>
        <v/>
      </c>
      <c r="KDK6" s="97" t="str">
        <f t="shared" si="119"/>
        <v/>
      </c>
      <c r="KDL6" s="97" t="str">
        <f t="shared" si="119"/>
        <v/>
      </c>
      <c r="KDM6" s="97" t="str">
        <f t="shared" si="119"/>
        <v/>
      </c>
      <c r="KDN6" s="97" t="str">
        <f t="shared" si="119"/>
        <v/>
      </c>
      <c r="KDO6" s="97" t="str">
        <f t="shared" si="119"/>
        <v/>
      </c>
      <c r="KDP6" s="97" t="str">
        <f t="shared" si="119"/>
        <v/>
      </c>
      <c r="KDQ6" s="97" t="str">
        <f t="shared" si="119"/>
        <v/>
      </c>
      <c r="KDR6" s="97" t="str">
        <f t="shared" ref="KDR6:KGC6" si="120">IFERROR(AVERAGE(KDR7:KDR13),"")</f>
        <v/>
      </c>
      <c r="KDS6" s="97" t="str">
        <f t="shared" si="120"/>
        <v/>
      </c>
      <c r="KDT6" s="97" t="str">
        <f t="shared" si="120"/>
        <v/>
      </c>
      <c r="KDU6" s="97" t="str">
        <f t="shared" si="120"/>
        <v/>
      </c>
      <c r="KDV6" s="97" t="str">
        <f t="shared" si="120"/>
        <v/>
      </c>
      <c r="KDW6" s="97" t="str">
        <f t="shared" si="120"/>
        <v/>
      </c>
      <c r="KDX6" s="97" t="str">
        <f t="shared" si="120"/>
        <v/>
      </c>
      <c r="KDY6" s="97" t="str">
        <f t="shared" si="120"/>
        <v/>
      </c>
      <c r="KDZ6" s="97" t="str">
        <f t="shared" si="120"/>
        <v/>
      </c>
      <c r="KEA6" s="97" t="str">
        <f t="shared" si="120"/>
        <v/>
      </c>
      <c r="KEB6" s="97" t="str">
        <f t="shared" si="120"/>
        <v/>
      </c>
      <c r="KEC6" s="97" t="str">
        <f t="shared" si="120"/>
        <v/>
      </c>
      <c r="KED6" s="97" t="str">
        <f t="shared" si="120"/>
        <v/>
      </c>
      <c r="KEE6" s="97" t="str">
        <f t="shared" si="120"/>
        <v/>
      </c>
      <c r="KEF6" s="97" t="str">
        <f t="shared" si="120"/>
        <v/>
      </c>
      <c r="KEG6" s="97" t="str">
        <f t="shared" si="120"/>
        <v/>
      </c>
      <c r="KEH6" s="97" t="str">
        <f t="shared" si="120"/>
        <v/>
      </c>
      <c r="KEI6" s="97" t="str">
        <f t="shared" si="120"/>
        <v/>
      </c>
      <c r="KEJ6" s="97" t="str">
        <f t="shared" si="120"/>
        <v/>
      </c>
      <c r="KEK6" s="97" t="str">
        <f t="shared" si="120"/>
        <v/>
      </c>
      <c r="KEL6" s="97" t="str">
        <f t="shared" si="120"/>
        <v/>
      </c>
      <c r="KEM6" s="97" t="str">
        <f t="shared" si="120"/>
        <v/>
      </c>
      <c r="KEN6" s="97" t="str">
        <f t="shared" si="120"/>
        <v/>
      </c>
      <c r="KEO6" s="97" t="str">
        <f t="shared" si="120"/>
        <v/>
      </c>
      <c r="KEP6" s="97" t="str">
        <f t="shared" si="120"/>
        <v/>
      </c>
      <c r="KEQ6" s="97" t="str">
        <f t="shared" si="120"/>
        <v/>
      </c>
      <c r="KER6" s="97" t="str">
        <f t="shared" si="120"/>
        <v/>
      </c>
      <c r="KES6" s="97" t="str">
        <f t="shared" si="120"/>
        <v/>
      </c>
      <c r="KET6" s="97" t="str">
        <f t="shared" si="120"/>
        <v/>
      </c>
      <c r="KEU6" s="97" t="str">
        <f t="shared" si="120"/>
        <v/>
      </c>
      <c r="KEV6" s="97" t="str">
        <f t="shared" si="120"/>
        <v/>
      </c>
      <c r="KEW6" s="97" t="str">
        <f t="shared" si="120"/>
        <v/>
      </c>
      <c r="KEX6" s="97" t="str">
        <f t="shared" si="120"/>
        <v/>
      </c>
      <c r="KEY6" s="97" t="str">
        <f t="shared" si="120"/>
        <v/>
      </c>
      <c r="KEZ6" s="97" t="str">
        <f t="shared" si="120"/>
        <v/>
      </c>
      <c r="KFA6" s="97" t="str">
        <f t="shared" si="120"/>
        <v/>
      </c>
      <c r="KFB6" s="97" t="str">
        <f t="shared" si="120"/>
        <v/>
      </c>
      <c r="KFC6" s="97" t="str">
        <f t="shared" si="120"/>
        <v/>
      </c>
      <c r="KFD6" s="97" t="str">
        <f t="shared" si="120"/>
        <v/>
      </c>
      <c r="KFE6" s="97" t="str">
        <f t="shared" si="120"/>
        <v/>
      </c>
      <c r="KFF6" s="97" t="str">
        <f t="shared" si="120"/>
        <v/>
      </c>
      <c r="KFG6" s="97" t="str">
        <f t="shared" si="120"/>
        <v/>
      </c>
      <c r="KFH6" s="97" t="str">
        <f t="shared" si="120"/>
        <v/>
      </c>
      <c r="KFI6" s="97" t="str">
        <f t="shared" si="120"/>
        <v/>
      </c>
      <c r="KFJ6" s="97" t="str">
        <f t="shared" si="120"/>
        <v/>
      </c>
      <c r="KFK6" s="97" t="str">
        <f t="shared" si="120"/>
        <v/>
      </c>
      <c r="KFL6" s="97" t="str">
        <f t="shared" si="120"/>
        <v/>
      </c>
      <c r="KFM6" s="97" t="str">
        <f t="shared" si="120"/>
        <v/>
      </c>
      <c r="KFN6" s="97" t="str">
        <f t="shared" si="120"/>
        <v/>
      </c>
      <c r="KFO6" s="97" t="str">
        <f t="shared" si="120"/>
        <v/>
      </c>
      <c r="KFP6" s="97" t="str">
        <f t="shared" si="120"/>
        <v/>
      </c>
      <c r="KFQ6" s="97" t="str">
        <f t="shared" si="120"/>
        <v/>
      </c>
      <c r="KFR6" s="97" t="str">
        <f t="shared" si="120"/>
        <v/>
      </c>
      <c r="KFS6" s="97" t="str">
        <f t="shared" si="120"/>
        <v/>
      </c>
      <c r="KFT6" s="97" t="str">
        <f t="shared" si="120"/>
        <v/>
      </c>
      <c r="KFU6" s="97" t="str">
        <f t="shared" si="120"/>
        <v/>
      </c>
      <c r="KFV6" s="97" t="str">
        <f t="shared" si="120"/>
        <v/>
      </c>
      <c r="KFW6" s="97" t="str">
        <f t="shared" si="120"/>
        <v/>
      </c>
      <c r="KFX6" s="97" t="str">
        <f t="shared" si="120"/>
        <v/>
      </c>
      <c r="KFY6" s="97" t="str">
        <f t="shared" si="120"/>
        <v/>
      </c>
      <c r="KFZ6" s="97" t="str">
        <f t="shared" si="120"/>
        <v/>
      </c>
      <c r="KGA6" s="97" t="str">
        <f t="shared" si="120"/>
        <v/>
      </c>
      <c r="KGB6" s="97" t="str">
        <f t="shared" si="120"/>
        <v/>
      </c>
      <c r="KGC6" s="97" t="str">
        <f t="shared" si="120"/>
        <v/>
      </c>
      <c r="KGD6" s="97" t="str">
        <f t="shared" ref="KGD6:KIO6" si="121">IFERROR(AVERAGE(KGD7:KGD13),"")</f>
        <v/>
      </c>
      <c r="KGE6" s="97" t="str">
        <f t="shared" si="121"/>
        <v/>
      </c>
      <c r="KGF6" s="97" t="str">
        <f t="shared" si="121"/>
        <v/>
      </c>
      <c r="KGG6" s="97" t="str">
        <f t="shared" si="121"/>
        <v/>
      </c>
      <c r="KGH6" s="97" t="str">
        <f t="shared" si="121"/>
        <v/>
      </c>
      <c r="KGI6" s="97" t="str">
        <f t="shared" si="121"/>
        <v/>
      </c>
      <c r="KGJ6" s="97" t="str">
        <f t="shared" si="121"/>
        <v/>
      </c>
      <c r="KGK6" s="97" t="str">
        <f t="shared" si="121"/>
        <v/>
      </c>
      <c r="KGL6" s="97" t="str">
        <f t="shared" si="121"/>
        <v/>
      </c>
      <c r="KGM6" s="97" t="str">
        <f t="shared" si="121"/>
        <v/>
      </c>
      <c r="KGN6" s="97" t="str">
        <f t="shared" si="121"/>
        <v/>
      </c>
      <c r="KGO6" s="97" t="str">
        <f t="shared" si="121"/>
        <v/>
      </c>
      <c r="KGP6" s="97" t="str">
        <f t="shared" si="121"/>
        <v/>
      </c>
      <c r="KGQ6" s="97" t="str">
        <f t="shared" si="121"/>
        <v/>
      </c>
      <c r="KGR6" s="97" t="str">
        <f t="shared" si="121"/>
        <v/>
      </c>
      <c r="KGS6" s="97" t="str">
        <f t="shared" si="121"/>
        <v/>
      </c>
      <c r="KGT6" s="97" t="str">
        <f t="shared" si="121"/>
        <v/>
      </c>
      <c r="KGU6" s="97" t="str">
        <f t="shared" si="121"/>
        <v/>
      </c>
      <c r="KGV6" s="97" t="str">
        <f t="shared" si="121"/>
        <v/>
      </c>
      <c r="KGW6" s="97" t="str">
        <f t="shared" si="121"/>
        <v/>
      </c>
      <c r="KGX6" s="97" t="str">
        <f t="shared" si="121"/>
        <v/>
      </c>
      <c r="KGY6" s="97" t="str">
        <f t="shared" si="121"/>
        <v/>
      </c>
      <c r="KGZ6" s="97" t="str">
        <f t="shared" si="121"/>
        <v/>
      </c>
      <c r="KHA6" s="97" t="str">
        <f t="shared" si="121"/>
        <v/>
      </c>
      <c r="KHB6" s="97" t="str">
        <f t="shared" si="121"/>
        <v/>
      </c>
      <c r="KHC6" s="97" t="str">
        <f t="shared" si="121"/>
        <v/>
      </c>
      <c r="KHD6" s="97" t="str">
        <f t="shared" si="121"/>
        <v/>
      </c>
      <c r="KHE6" s="97" t="str">
        <f t="shared" si="121"/>
        <v/>
      </c>
      <c r="KHF6" s="97" t="str">
        <f t="shared" si="121"/>
        <v/>
      </c>
      <c r="KHG6" s="97" t="str">
        <f t="shared" si="121"/>
        <v/>
      </c>
      <c r="KHH6" s="97" t="str">
        <f t="shared" si="121"/>
        <v/>
      </c>
      <c r="KHI6" s="97" t="str">
        <f t="shared" si="121"/>
        <v/>
      </c>
      <c r="KHJ6" s="97" t="str">
        <f t="shared" si="121"/>
        <v/>
      </c>
      <c r="KHK6" s="97" t="str">
        <f t="shared" si="121"/>
        <v/>
      </c>
      <c r="KHL6" s="97" t="str">
        <f t="shared" si="121"/>
        <v/>
      </c>
      <c r="KHM6" s="97" t="str">
        <f t="shared" si="121"/>
        <v/>
      </c>
      <c r="KHN6" s="97" t="str">
        <f t="shared" si="121"/>
        <v/>
      </c>
      <c r="KHO6" s="97" t="str">
        <f t="shared" si="121"/>
        <v/>
      </c>
      <c r="KHP6" s="97" t="str">
        <f t="shared" si="121"/>
        <v/>
      </c>
      <c r="KHQ6" s="97" t="str">
        <f t="shared" si="121"/>
        <v/>
      </c>
      <c r="KHR6" s="97" t="str">
        <f t="shared" si="121"/>
        <v/>
      </c>
      <c r="KHS6" s="97" t="str">
        <f t="shared" si="121"/>
        <v/>
      </c>
      <c r="KHT6" s="97" t="str">
        <f t="shared" si="121"/>
        <v/>
      </c>
      <c r="KHU6" s="97" t="str">
        <f t="shared" si="121"/>
        <v/>
      </c>
      <c r="KHV6" s="97" t="str">
        <f t="shared" si="121"/>
        <v/>
      </c>
      <c r="KHW6" s="97" t="str">
        <f t="shared" si="121"/>
        <v/>
      </c>
      <c r="KHX6" s="97" t="str">
        <f t="shared" si="121"/>
        <v/>
      </c>
      <c r="KHY6" s="97" t="str">
        <f t="shared" si="121"/>
        <v/>
      </c>
      <c r="KHZ6" s="97" t="str">
        <f t="shared" si="121"/>
        <v/>
      </c>
      <c r="KIA6" s="97" t="str">
        <f t="shared" si="121"/>
        <v/>
      </c>
      <c r="KIB6" s="97" t="str">
        <f t="shared" si="121"/>
        <v/>
      </c>
      <c r="KIC6" s="97" t="str">
        <f t="shared" si="121"/>
        <v/>
      </c>
      <c r="KID6" s="97" t="str">
        <f t="shared" si="121"/>
        <v/>
      </c>
      <c r="KIE6" s="97" t="str">
        <f t="shared" si="121"/>
        <v/>
      </c>
      <c r="KIF6" s="97" t="str">
        <f t="shared" si="121"/>
        <v/>
      </c>
      <c r="KIG6" s="97" t="str">
        <f t="shared" si="121"/>
        <v/>
      </c>
      <c r="KIH6" s="97" t="str">
        <f t="shared" si="121"/>
        <v/>
      </c>
      <c r="KII6" s="97" t="str">
        <f t="shared" si="121"/>
        <v/>
      </c>
      <c r="KIJ6" s="97" t="str">
        <f t="shared" si="121"/>
        <v/>
      </c>
      <c r="KIK6" s="97" t="str">
        <f t="shared" si="121"/>
        <v/>
      </c>
      <c r="KIL6" s="97" t="str">
        <f t="shared" si="121"/>
        <v/>
      </c>
      <c r="KIM6" s="97" t="str">
        <f t="shared" si="121"/>
        <v/>
      </c>
      <c r="KIN6" s="97" t="str">
        <f t="shared" si="121"/>
        <v/>
      </c>
      <c r="KIO6" s="97" t="str">
        <f t="shared" si="121"/>
        <v/>
      </c>
      <c r="KIP6" s="97" t="str">
        <f t="shared" ref="KIP6:KLA6" si="122">IFERROR(AVERAGE(KIP7:KIP13),"")</f>
        <v/>
      </c>
      <c r="KIQ6" s="97" t="str">
        <f t="shared" si="122"/>
        <v/>
      </c>
      <c r="KIR6" s="97" t="str">
        <f t="shared" si="122"/>
        <v/>
      </c>
      <c r="KIS6" s="97" t="str">
        <f t="shared" si="122"/>
        <v/>
      </c>
      <c r="KIT6" s="97" t="str">
        <f t="shared" si="122"/>
        <v/>
      </c>
      <c r="KIU6" s="97" t="str">
        <f t="shared" si="122"/>
        <v/>
      </c>
      <c r="KIV6" s="97" t="str">
        <f t="shared" si="122"/>
        <v/>
      </c>
      <c r="KIW6" s="97" t="str">
        <f t="shared" si="122"/>
        <v/>
      </c>
      <c r="KIX6" s="97" t="str">
        <f t="shared" si="122"/>
        <v/>
      </c>
      <c r="KIY6" s="97" t="str">
        <f t="shared" si="122"/>
        <v/>
      </c>
      <c r="KIZ6" s="97" t="str">
        <f t="shared" si="122"/>
        <v/>
      </c>
      <c r="KJA6" s="97" t="str">
        <f t="shared" si="122"/>
        <v/>
      </c>
      <c r="KJB6" s="97" t="str">
        <f t="shared" si="122"/>
        <v/>
      </c>
      <c r="KJC6" s="97" t="str">
        <f t="shared" si="122"/>
        <v/>
      </c>
      <c r="KJD6" s="97" t="str">
        <f t="shared" si="122"/>
        <v/>
      </c>
      <c r="KJE6" s="97" t="str">
        <f t="shared" si="122"/>
        <v/>
      </c>
      <c r="KJF6" s="97" t="str">
        <f t="shared" si="122"/>
        <v/>
      </c>
      <c r="KJG6" s="97" t="str">
        <f t="shared" si="122"/>
        <v/>
      </c>
      <c r="KJH6" s="97" t="str">
        <f t="shared" si="122"/>
        <v/>
      </c>
      <c r="KJI6" s="97" t="str">
        <f t="shared" si="122"/>
        <v/>
      </c>
      <c r="KJJ6" s="97" t="str">
        <f t="shared" si="122"/>
        <v/>
      </c>
      <c r="KJK6" s="97" t="str">
        <f t="shared" si="122"/>
        <v/>
      </c>
      <c r="KJL6" s="97" t="str">
        <f t="shared" si="122"/>
        <v/>
      </c>
      <c r="KJM6" s="97" t="str">
        <f t="shared" si="122"/>
        <v/>
      </c>
      <c r="KJN6" s="97" t="str">
        <f t="shared" si="122"/>
        <v/>
      </c>
      <c r="KJO6" s="97" t="str">
        <f t="shared" si="122"/>
        <v/>
      </c>
      <c r="KJP6" s="97" t="str">
        <f t="shared" si="122"/>
        <v/>
      </c>
      <c r="KJQ6" s="97" t="str">
        <f t="shared" si="122"/>
        <v/>
      </c>
      <c r="KJR6" s="97" t="str">
        <f t="shared" si="122"/>
        <v/>
      </c>
      <c r="KJS6" s="97" t="str">
        <f t="shared" si="122"/>
        <v/>
      </c>
      <c r="KJT6" s="97" t="str">
        <f t="shared" si="122"/>
        <v/>
      </c>
      <c r="KJU6" s="97" t="str">
        <f t="shared" si="122"/>
        <v/>
      </c>
      <c r="KJV6" s="97" t="str">
        <f t="shared" si="122"/>
        <v/>
      </c>
      <c r="KJW6" s="97" t="str">
        <f t="shared" si="122"/>
        <v/>
      </c>
      <c r="KJX6" s="97" t="str">
        <f t="shared" si="122"/>
        <v/>
      </c>
      <c r="KJY6" s="97" t="str">
        <f t="shared" si="122"/>
        <v/>
      </c>
      <c r="KJZ6" s="97" t="str">
        <f t="shared" si="122"/>
        <v/>
      </c>
      <c r="KKA6" s="97" t="str">
        <f t="shared" si="122"/>
        <v/>
      </c>
      <c r="KKB6" s="97" t="str">
        <f t="shared" si="122"/>
        <v/>
      </c>
      <c r="KKC6" s="97" t="str">
        <f t="shared" si="122"/>
        <v/>
      </c>
      <c r="KKD6" s="97" t="str">
        <f t="shared" si="122"/>
        <v/>
      </c>
      <c r="KKE6" s="97" t="str">
        <f t="shared" si="122"/>
        <v/>
      </c>
      <c r="KKF6" s="97" t="str">
        <f t="shared" si="122"/>
        <v/>
      </c>
      <c r="KKG6" s="97" t="str">
        <f t="shared" si="122"/>
        <v/>
      </c>
      <c r="KKH6" s="97" t="str">
        <f t="shared" si="122"/>
        <v/>
      </c>
      <c r="KKI6" s="97" t="str">
        <f t="shared" si="122"/>
        <v/>
      </c>
      <c r="KKJ6" s="97" t="str">
        <f t="shared" si="122"/>
        <v/>
      </c>
      <c r="KKK6" s="97" t="str">
        <f t="shared" si="122"/>
        <v/>
      </c>
      <c r="KKL6" s="97" t="str">
        <f t="shared" si="122"/>
        <v/>
      </c>
      <c r="KKM6" s="97" t="str">
        <f t="shared" si="122"/>
        <v/>
      </c>
      <c r="KKN6" s="97" t="str">
        <f t="shared" si="122"/>
        <v/>
      </c>
      <c r="KKO6" s="97" t="str">
        <f t="shared" si="122"/>
        <v/>
      </c>
      <c r="KKP6" s="97" t="str">
        <f t="shared" si="122"/>
        <v/>
      </c>
      <c r="KKQ6" s="97" t="str">
        <f t="shared" si="122"/>
        <v/>
      </c>
      <c r="KKR6" s="97" t="str">
        <f t="shared" si="122"/>
        <v/>
      </c>
      <c r="KKS6" s="97" t="str">
        <f t="shared" si="122"/>
        <v/>
      </c>
      <c r="KKT6" s="97" t="str">
        <f t="shared" si="122"/>
        <v/>
      </c>
      <c r="KKU6" s="97" t="str">
        <f t="shared" si="122"/>
        <v/>
      </c>
      <c r="KKV6" s="97" t="str">
        <f t="shared" si="122"/>
        <v/>
      </c>
      <c r="KKW6" s="97" t="str">
        <f t="shared" si="122"/>
        <v/>
      </c>
      <c r="KKX6" s="97" t="str">
        <f t="shared" si="122"/>
        <v/>
      </c>
      <c r="KKY6" s="97" t="str">
        <f t="shared" si="122"/>
        <v/>
      </c>
      <c r="KKZ6" s="97" t="str">
        <f t="shared" si="122"/>
        <v/>
      </c>
      <c r="KLA6" s="97" t="str">
        <f t="shared" si="122"/>
        <v/>
      </c>
      <c r="KLB6" s="97" t="str">
        <f t="shared" ref="KLB6:KNM6" si="123">IFERROR(AVERAGE(KLB7:KLB13),"")</f>
        <v/>
      </c>
      <c r="KLC6" s="97" t="str">
        <f t="shared" si="123"/>
        <v/>
      </c>
      <c r="KLD6" s="97" t="str">
        <f t="shared" si="123"/>
        <v/>
      </c>
      <c r="KLE6" s="97" t="str">
        <f t="shared" si="123"/>
        <v/>
      </c>
      <c r="KLF6" s="97" t="str">
        <f t="shared" si="123"/>
        <v/>
      </c>
      <c r="KLG6" s="97" t="str">
        <f t="shared" si="123"/>
        <v/>
      </c>
      <c r="KLH6" s="97" t="str">
        <f t="shared" si="123"/>
        <v/>
      </c>
      <c r="KLI6" s="97" t="str">
        <f t="shared" si="123"/>
        <v/>
      </c>
      <c r="KLJ6" s="97" t="str">
        <f t="shared" si="123"/>
        <v/>
      </c>
      <c r="KLK6" s="97" t="str">
        <f t="shared" si="123"/>
        <v/>
      </c>
      <c r="KLL6" s="97" t="str">
        <f t="shared" si="123"/>
        <v/>
      </c>
      <c r="KLM6" s="97" t="str">
        <f t="shared" si="123"/>
        <v/>
      </c>
      <c r="KLN6" s="97" t="str">
        <f t="shared" si="123"/>
        <v/>
      </c>
      <c r="KLO6" s="97" t="str">
        <f t="shared" si="123"/>
        <v/>
      </c>
      <c r="KLP6" s="97" t="str">
        <f t="shared" si="123"/>
        <v/>
      </c>
      <c r="KLQ6" s="97" t="str">
        <f t="shared" si="123"/>
        <v/>
      </c>
      <c r="KLR6" s="97" t="str">
        <f t="shared" si="123"/>
        <v/>
      </c>
      <c r="KLS6" s="97" t="str">
        <f t="shared" si="123"/>
        <v/>
      </c>
      <c r="KLT6" s="97" t="str">
        <f t="shared" si="123"/>
        <v/>
      </c>
      <c r="KLU6" s="97" t="str">
        <f t="shared" si="123"/>
        <v/>
      </c>
      <c r="KLV6" s="97" t="str">
        <f t="shared" si="123"/>
        <v/>
      </c>
      <c r="KLW6" s="97" t="str">
        <f t="shared" si="123"/>
        <v/>
      </c>
      <c r="KLX6" s="97" t="str">
        <f t="shared" si="123"/>
        <v/>
      </c>
      <c r="KLY6" s="97" t="str">
        <f t="shared" si="123"/>
        <v/>
      </c>
      <c r="KLZ6" s="97" t="str">
        <f t="shared" si="123"/>
        <v/>
      </c>
      <c r="KMA6" s="97" t="str">
        <f t="shared" si="123"/>
        <v/>
      </c>
      <c r="KMB6" s="97" t="str">
        <f t="shared" si="123"/>
        <v/>
      </c>
      <c r="KMC6" s="97" t="str">
        <f t="shared" si="123"/>
        <v/>
      </c>
      <c r="KMD6" s="97" t="str">
        <f t="shared" si="123"/>
        <v/>
      </c>
      <c r="KME6" s="97" t="str">
        <f t="shared" si="123"/>
        <v/>
      </c>
      <c r="KMF6" s="97" t="str">
        <f t="shared" si="123"/>
        <v/>
      </c>
      <c r="KMG6" s="97" t="str">
        <f t="shared" si="123"/>
        <v/>
      </c>
      <c r="KMH6" s="97" t="str">
        <f t="shared" si="123"/>
        <v/>
      </c>
      <c r="KMI6" s="97" t="str">
        <f t="shared" si="123"/>
        <v/>
      </c>
      <c r="KMJ6" s="97" t="str">
        <f t="shared" si="123"/>
        <v/>
      </c>
      <c r="KMK6" s="97" t="str">
        <f t="shared" si="123"/>
        <v/>
      </c>
      <c r="KML6" s="97" t="str">
        <f t="shared" si="123"/>
        <v/>
      </c>
      <c r="KMM6" s="97" t="str">
        <f t="shared" si="123"/>
        <v/>
      </c>
      <c r="KMN6" s="97" t="str">
        <f t="shared" si="123"/>
        <v/>
      </c>
      <c r="KMO6" s="97" t="str">
        <f t="shared" si="123"/>
        <v/>
      </c>
      <c r="KMP6" s="97" t="str">
        <f t="shared" si="123"/>
        <v/>
      </c>
      <c r="KMQ6" s="97" t="str">
        <f t="shared" si="123"/>
        <v/>
      </c>
      <c r="KMR6" s="97" t="str">
        <f t="shared" si="123"/>
        <v/>
      </c>
      <c r="KMS6" s="97" t="str">
        <f t="shared" si="123"/>
        <v/>
      </c>
      <c r="KMT6" s="97" t="str">
        <f t="shared" si="123"/>
        <v/>
      </c>
      <c r="KMU6" s="97" t="str">
        <f t="shared" si="123"/>
        <v/>
      </c>
      <c r="KMV6" s="97" t="str">
        <f t="shared" si="123"/>
        <v/>
      </c>
      <c r="KMW6" s="97" t="str">
        <f t="shared" si="123"/>
        <v/>
      </c>
      <c r="KMX6" s="97" t="str">
        <f t="shared" si="123"/>
        <v/>
      </c>
      <c r="KMY6" s="97" t="str">
        <f t="shared" si="123"/>
        <v/>
      </c>
      <c r="KMZ6" s="97" t="str">
        <f t="shared" si="123"/>
        <v/>
      </c>
      <c r="KNA6" s="97" t="str">
        <f t="shared" si="123"/>
        <v/>
      </c>
      <c r="KNB6" s="97" t="str">
        <f t="shared" si="123"/>
        <v/>
      </c>
      <c r="KNC6" s="97" t="str">
        <f t="shared" si="123"/>
        <v/>
      </c>
      <c r="KND6" s="97" t="str">
        <f t="shared" si="123"/>
        <v/>
      </c>
      <c r="KNE6" s="97" t="str">
        <f t="shared" si="123"/>
        <v/>
      </c>
      <c r="KNF6" s="97" t="str">
        <f t="shared" si="123"/>
        <v/>
      </c>
      <c r="KNG6" s="97" t="str">
        <f t="shared" si="123"/>
        <v/>
      </c>
      <c r="KNH6" s="97" t="str">
        <f t="shared" si="123"/>
        <v/>
      </c>
      <c r="KNI6" s="97" t="str">
        <f t="shared" si="123"/>
        <v/>
      </c>
      <c r="KNJ6" s="97" t="str">
        <f t="shared" si="123"/>
        <v/>
      </c>
      <c r="KNK6" s="97" t="str">
        <f t="shared" si="123"/>
        <v/>
      </c>
      <c r="KNL6" s="97" t="str">
        <f t="shared" si="123"/>
        <v/>
      </c>
      <c r="KNM6" s="97" t="str">
        <f t="shared" si="123"/>
        <v/>
      </c>
      <c r="KNN6" s="97" t="str">
        <f t="shared" ref="KNN6:KPY6" si="124">IFERROR(AVERAGE(KNN7:KNN13),"")</f>
        <v/>
      </c>
      <c r="KNO6" s="97" t="str">
        <f t="shared" si="124"/>
        <v/>
      </c>
      <c r="KNP6" s="97" t="str">
        <f t="shared" si="124"/>
        <v/>
      </c>
      <c r="KNQ6" s="97" t="str">
        <f t="shared" si="124"/>
        <v/>
      </c>
      <c r="KNR6" s="97" t="str">
        <f t="shared" si="124"/>
        <v/>
      </c>
      <c r="KNS6" s="97" t="str">
        <f t="shared" si="124"/>
        <v/>
      </c>
      <c r="KNT6" s="97" t="str">
        <f t="shared" si="124"/>
        <v/>
      </c>
      <c r="KNU6" s="97" t="str">
        <f t="shared" si="124"/>
        <v/>
      </c>
      <c r="KNV6" s="97" t="str">
        <f t="shared" si="124"/>
        <v/>
      </c>
      <c r="KNW6" s="97" t="str">
        <f t="shared" si="124"/>
        <v/>
      </c>
      <c r="KNX6" s="97" t="str">
        <f t="shared" si="124"/>
        <v/>
      </c>
      <c r="KNY6" s="97" t="str">
        <f t="shared" si="124"/>
        <v/>
      </c>
      <c r="KNZ6" s="97" t="str">
        <f t="shared" si="124"/>
        <v/>
      </c>
      <c r="KOA6" s="97" t="str">
        <f t="shared" si="124"/>
        <v/>
      </c>
      <c r="KOB6" s="97" t="str">
        <f t="shared" si="124"/>
        <v/>
      </c>
      <c r="KOC6" s="97" t="str">
        <f t="shared" si="124"/>
        <v/>
      </c>
      <c r="KOD6" s="97" t="str">
        <f t="shared" si="124"/>
        <v/>
      </c>
      <c r="KOE6" s="97" t="str">
        <f t="shared" si="124"/>
        <v/>
      </c>
      <c r="KOF6" s="97" t="str">
        <f t="shared" si="124"/>
        <v/>
      </c>
      <c r="KOG6" s="97" t="str">
        <f t="shared" si="124"/>
        <v/>
      </c>
      <c r="KOH6" s="97" t="str">
        <f t="shared" si="124"/>
        <v/>
      </c>
      <c r="KOI6" s="97" t="str">
        <f t="shared" si="124"/>
        <v/>
      </c>
      <c r="KOJ6" s="97" t="str">
        <f t="shared" si="124"/>
        <v/>
      </c>
      <c r="KOK6" s="97" t="str">
        <f t="shared" si="124"/>
        <v/>
      </c>
      <c r="KOL6" s="97" t="str">
        <f t="shared" si="124"/>
        <v/>
      </c>
      <c r="KOM6" s="97" t="str">
        <f t="shared" si="124"/>
        <v/>
      </c>
      <c r="KON6" s="97" t="str">
        <f t="shared" si="124"/>
        <v/>
      </c>
      <c r="KOO6" s="97" t="str">
        <f t="shared" si="124"/>
        <v/>
      </c>
      <c r="KOP6" s="97" t="str">
        <f t="shared" si="124"/>
        <v/>
      </c>
      <c r="KOQ6" s="97" t="str">
        <f t="shared" si="124"/>
        <v/>
      </c>
      <c r="KOR6" s="97" t="str">
        <f t="shared" si="124"/>
        <v/>
      </c>
      <c r="KOS6" s="97" t="str">
        <f t="shared" si="124"/>
        <v/>
      </c>
      <c r="KOT6" s="97" t="str">
        <f t="shared" si="124"/>
        <v/>
      </c>
      <c r="KOU6" s="97" t="str">
        <f t="shared" si="124"/>
        <v/>
      </c>
      <c r="KOV6" s="97" t="str">
        <f t="shared" si="124"/>
        <v/>
      </c>
      <c r="KOW6" s="97" t="str">
        <f t="shared" si="124"/>
        <v/>
      </c>
      <c r="KOX6" s="97" t="str">
        <f t="shared" si="124"/>
        <v/>
      </c>
      <c r="KOY6" s="97" t="str">
        <f t="shared" si="124"/>
        <v/>
      </c>
      <c r="KOZ6" s="97" t="str">
        <f t="shared" si="124"/>
        <v/>
      </c>
      <c r="KPA6" s="97" t="str">
        <f t="shared" si="124"/>
        <v/>
      </c>
      <c r="KPB6" s="97" t="str">
        <f t="shared" si="124"/>
        <v/>
      </c>
      <c r="KPC6" s="97" t="str">
        <f t="shared" si="124"/>
        <v/>
      </c>
      <c r="KPD6" s="97" t="str">
        <f t="shared" si="124"/>
        <v/>
      </c>
      <c r="KPE6" s="97" t="str">
        <f t="shared" si="124"/>
        <v/>
      </c>
      <c r="KPF6" s="97" t="str">
        <f t="shared" si="124"/>
        <v/>
      </c>
      <c r="KPG6" s="97" t="str">
        <f t="shared" si="124"/>
        <v/>
      </c>
      <c r="KPH6" s="97" t="str">
        <f t="shared" si="124"/>
        <v/>
      </c>
      <c r="KPI6" s="97" t="str">
        <f t="shared" si="124"/>
        <v/>
      </c>
      <c r="KPJ6" s="97" t="str">
        <f t="shared" si="124"/>
        <v/>
      </c>
      <c r="KPK6" s="97" t="str">
        <f t="shared" si="124"/>
        <v/>
      </c>
      <c r="KPL6" s="97" t="str">
        <f t="shared" si="124"/>
        <v/>
      </c>
      <c r="KPM6" s="97" t="str">
        <f t="shared" si="124"/>
        <v/>
      </c>
      <c r="KPN6" s="97" t="str">
        <f t="shared" si="124"/>
        <v/>
      </c>
      <c r="KPO6" s="97" t="str">
        <f t="shared" si="124"/>
        <v/>
      </c>
      <c r="KPP6" s="97" t="str">
        <f t="shared" si="124"/>
        <v/>
      </c>
      <c r="KPQ6" s="97" t="str">
        <f t="shared" si="124"/>
        <v/>
      </c>
      <c r="KPR6" s="97" t="str">
        <f t="shared" si="124"/>
        <v/>
      </c>
      <c r="KPS6" s="97" t="str">
        <f t="shared" si="124"/>
        <v/>
      </c>
      <c r="KPT6" s="97" t="str">
        <f t="shared" si="124"/>
        <v/>
      </c>
      <c r="KPU6" s="97" t="str">
        <f t="shared" si="124"/>
        <v/>
      </c>
      <c r="KPV6" s="97" t="str">
        <f t="shared" si="124"/>
        <v/>
      </c>
      <c r="KPW6" s="97" t="str">
        <f t="shared" si="124"/>
        <v/>
      </c>
      <c r="KPX6" s="97" t="str">
        <f t="shared" si="124"/>
        <v/>
      </c>
      <c r="KPY6" s="97" t="str">
        <f t="shared" si="124"/>
        <v/>
      </c>
      <c r="KPZ6" s="97" t="str">
        <f t="shared" ref="KPZ6:KSK6" si="125">IFERROR(AVERAGE(KPZ7:KPZ13),"")</f>
        <v/>
      </c>
      <c r="KQA6" s="97" t="str">
        <f t="shared" si="125"/>
        <v/>
      </c>
      <c r="KQB6" s="97" t="str">
        <f t="shared" si="125"/>
        <v/>
      </c>
      <c r="KQC6" s="97" t="str">
        <f t="shared" si="125"/>
        <v/>
      </c>
      <c r="KQD6" s="97" t="str">
        <f t="shared" si="125"/>
        <v/>
      </c>
      <c r="KQE6" s="97" t="str">
        <f t="shared" si="125"/>
        <v/>
      </c>
      <c r="KQF6" s="97" t="str">
        <f t="shared" si="125"/>
        <v/>
      </c>
      <c r="KQG6" s="97" t="str">
        <f t="shared" si="125"/>
        <v/>
      </c>
      <c r="KQH6" s="97" t="str">
        <f t="shared" si="125"/>
        <v/>
      </c>
      <c r="KQI6" s="97" t="str">
        <f t="shared" si="125"/>
        <v/>
      </c>
      <c r="KQJ6" s="97" t="str">
        <f t="shared" si="125"/>
        <v/>
      </c>
      <c r="KQK6" s="97" t="str">
        <f t="shared" si="125"/>
        <v/>
      </c>
      <c r="KQL6" s="97" t="str">
        <f t="shared" si="125"/>
        <v/>
      </c>
      <c r="KQM6" s="97" t="str">
        <f t="shared" si="125"/>
        <v/>
      </c>
      <c r="KQN6" s="97" t="str">
        <f t="shared" si="125"/>
        <v/>
      </c>
      <c r="KQO6" s="97" t="str">
        <f t="shared" si="125"/>
        <v/>
      </c>
      <c r="KQP6" s="97" t="str">
        <f t="shared" si="125"/>
        <v/>
      </c>
      <c r="KQQ6" s="97" t="str">
        <f t="shared" si="125"/>
        <v/>
      </c>
      <c r="KQR6" s="97" t="str">
        <f t="shared" si="125"/>
        <v/>
      </c>
      <c r="KQS6" s="97" t="str">
        <f t="shared" si="125"/>
        <v/>
      </c>
      <c r="KQT6" s="97" t="str">
        <f t="shared" si="125"/>
        <v/>
      </c>
      <c r="KQU6" s="97" t="str">
        <f t="shared" si="125"/>
        <v/>
      </c>
      <c r="KQV6" s="97" t="str">
        <f t="shared" si="125"/>
        <v/>
      </c>
      <c r="KQW6" s="97" t="str">
        <f t="shared" si="125"/>
        <v/>
      </c>
      <c r="KQX6" s="97" t="str">
        <f t="shared" si="125"/>
        <v/>
      </c>
      <c r="KQY6" s="97" t="str">
        <f t="shared" si="125"/>
        <v/>
      </c>
      <c r="KQZ6" s="97" t="str">
        <f t="shared" si="125"/>
        <v/>
      </c>
      <c r="KRA6" s="97" t="str">
        <f t="shared" si="125"/>
        <v/>
      </c>
      <c r="KRB6" s="97" t="str">
        <f t="shared" si="125"/>
        <v/>
      </c>
      <c r="KRC6" s="97" t="str">
        <f t="shared" si="125"/>
        <v/>
      </c>
      <c r="KRD6" s="97" t="str">
        <f t="shared" si="125"/>
        <v/>
      </c>
      <c r="KRE6" s="97" t="str">
        <f t="shared" si="125"/>
        <v/>
      </c>
      <c r="KRF6" s="97" t="str">
        <f t="shared" si="125"/>
        <v/>
      </c>
      <c r="KRG6" s="97" t="str">
        <f t="shared" si="125"/>
        <v/>
      </c>
      <c r="KRH6" s="97" t="str">
        <f t="shared" si="125"/>
        <v/>
      </c>
      <c r="KRI6" s="97" t="str">
        <f t="shared" si="125"/>
        <v/>
      </c>
      <c r="KRJ6" s="97" t="str">
        <f t="shared" si="125"/>
        <v/>
      </c>
      <c r="KRK6" s="97" t="str">
        <f t="shared" si="125"/>
        <v/>
      </c>
      <c r="KRL6" s="97" t="str">
        <f t="shared" si="125"/>
        <v/>
      </c>
      <c r="KRM6" s="97" t="str">
        <f t="shared" si="125"/>
        <v/>
      </c>
      <c r="KRN6" s="97" t="str">
        <f t="shared" si="125"/>
        <v/>
      </c>
      <c r="KRO6" s="97" t="str">
        <f t="shared" si="125"/>
        <v/>
      </c>
      <c r="KRP6" s="97" t="str">
        <f t="shared" si="125"/>
        <v/>
      </c>
      <c r="KRQ6" s="97" t="str">
        <f t="shared" si="125"/>
        <v/>
      </c>
      <c r="KRR6" s="97" t="str">
        <f t="shared" si="125"/>
        <v/>
      </c>
      <c r="KRS6" s="97" t="str">
        <f t="shared" si="125"/>
        <v/>
      </c>
      <c r="KRT6" s="97" t="str">
        <f t="shared" si="125"/>
        <v/>
      </c>
      <c r="KRU6" s="97" t="str">
        <f t="shared" si="125"/>
        <v/>
      </c>
      <c r="KRV6" s="97" t="str">
        <f t="shared" si="125"/>
        <v/>
      </c>
      <c r="KRW6" s="97" t="str">
        <f t="shared" si="125"/>
        <v/>
      </c>
      <c r="KRX6" s="97" t="str">
        <f t="shared" si="125"/>
        <v/>
      </c>
      <c r="KRY6" s="97" t="str">
        <f t="shared" si="125"/>
        <v/>
      </c>
      <c r="KRZ6" s="97" t="str">
        <f t="shared" si="125"/>
        <v/>
      </c>
      <c r="KSA6" s="97" t="str">
        <f t="shared" si="125"/>
        <v/>
      </c>
      <c r="KSB6" s="97" t="str">
        <f t="shared" si="125"/>
        <v/>
      </c>
      <c r="KSC6" s="97" t="str">
        <f t="shared" si="125"/>
        <v/>
      </c>
      <c r="KSD6" s="97" t="str">
        <f t="shared" si="125"/>
        <v/>
      </c>
      <c r="KSE6" s="97" t="str">
        <f t="shared" si="125"/>
        <v/>
      </c>
      <c r="KSF6" s="97" t="str">
        <f t="shared" si="125"/>
        <v/>
      </c>
      <c r="KSG6" s="97" t="str">
        <f t="shared" si="125"/>
        <v/>
      </c>
      <c r="KSH6" s="97" t="str">
        <f t="shared" si="125"/>
        <v/>
      </c>
      <c r="KSI6" s="97" t="str">
        <f t="shared" si="125"/>
        <v/>
      </c>
      <c r="KSJ6" s="97" t="str">
        <f t="shared" si="125"/>
        <v/>
      </c>
      <c r="KSK6" s="97" t="str">
        <f t="shared" si="125"/>
        <v/>
      </c>
      <c r="KSL6" s="97" t="str">
        <f t="shared" ref="KSL6:KUW6" si="126">IFERROR(AVERAGE(KSL7:KSL13),"")</f>
        <v/>
      </c>
      <c r="KSM6" s="97" t="str">
        <f t="shared" si="126"/>
        <v/>
      </c>
      <c r="KSN6" s="97" t="str">
        <f t="shared" si="126"/>
        <v/>
      </c>
      <c r="KSO6" s="97" t="str">
        <f t="shared" si="126"/>
        <v/>
      </c>
      <c r="KSP6" s="97" t="str">
        <f t="shared" si="126"/>
        <v/>
      </c>
      <c r="KSQ6" s="97" t="str">
        <f t="shared" si="126"/>
        <v/>
      </c>
      <c r="KSR6" s="97" t="str">
        <f t="shared" si="126"/>
        <v/>
      </c>
      <c r="KSS6" s="97" t="str">
        <f t="shared" si="126"/>
        <v/>
      </c>
      <c r="KST6" s="97" t="str">
        <f t="shared" si="126"/>
        <v/>
      </c>
      <c r="KSU6" s="97" t="str">
        <f t="shared" si="126"/>
        <v/>
      </c>
      <c r="KSV6" s="97" t="str">
        <f t="shared" si="126"/>
        <v/>
      </c>
      <c r="KSW6" s="97" t="str">
        <f t="shared" si="126"/>
        <v/>
      </c>
      <c r="KSX6" s="97" t="str">
        <f t="shared" si="126"/>
        <v/>
      </c>
      <c r="KSY6" s="97" t="str">
        <f t="shared" si="126"/>
        <v/>
      </c>
      <c r="KSZ6" s="97" t="str">
        <f t="shared" si="126"/>
        <v/>
      </c>
      <c r="KTA6" s="97" t="str">
        <f t="shared" si="126"/>
        <v/>
      </c>
      <c r="KTB6" s="97" t="str">
        <f t="shared" si="126"/>
        <v/>
      </c>
      <c r="KTC6" s="97" t="str">
        <f t="shared" si="126"/>
        <v/>
      </c>
      <c r="KTD6" s="97" t="str">
        <f t="shared" si="126"/>
        <v/>
      </c>
      <c r="KTE6" s="97" t="str">
        <f t="shared" si="126"/>
        <v/>
      </c>
      <c r="KTF6" s="97" t="str">
        <f t="shared" si="126"/>
        <v/>
      </c>
      <c r="KTG6" s="97" t="str">
        <f t="shared" si="126"/>
        <v/>
      </c>
      <c r="KTH6" s="97" t="str">
        <f t="shared" si="126"/>
        <v/>
      </c>
      <c r="KTI6" s="97" t="str">
        <f t="shared" si="126"/>
        <v/>
      </c>
      <c r="KTJ6" s="97" t="str">
        <f t="shared" si="126"/>
        <v/>
      </c>
      <c r="KTK6" s="97" t="str">
        <f t="shared" si="126"/>
        <v/>
      </c>
      <c r="KTL6" s="97" t="str">
        <f t="shared" si="126"/>
        <v/>
      </c>
      <c r="KTM6" s="97" t="str">
        <f t="shared" si="126"/>
        <v/>
      </c>
      <c r="KTN6" s="97" t="str">
        <f t="shared" si="126"/>
        <v/>
      </c>
      <c r="KTO6" s="97" t="str">
        <f t="shared" si="126"/>
        <v/>
      </c>
      <c r="KTP6" s="97" t="str">
        <f t="shared" si="126"/>
        <v/>
      </c>
      <c r="KTQ6" s="97" t="str">
        <f t="shared" si="126"/>
        <v/>
      </c>
      <c r="KTR6" s="97" t="str">
        <f t="shared" si="126"/>
        <v/>
      </c>
      <c r="KTS6" s="97" t="str">
        <f t="shared" si="126"/>
        <v/>
      </c>
      <c r="KTT6" s="97" t="str">
        <f t="shared" si="126"/>
        <v/>
      </c>
      <c r="KTU6" s="97" t="str">
        <f t="shared" si="126"/>
        <v/>
      </c>
      <c r="KTV6" s="97" t="str">
        <f t="shared" si="126"/>
        <v/>
      </c>
      <c r="KTW6" s="97" t="str">
        <f t="shared" si="126"/>
        <v/>
      </c>
      <c r="KTX6" s="97" t="str">
        <f t="shared" si="126"/>
        <v/>
      </c>
      <c r="KTY6" s="97" t="str">
        <f t="shared" si="126"/>
        <v/>
      </c>
      <c r="KTZ6" s="97" t="str">
        <f t="shared" si="126"/>
        <v/>
      </c>
      <c r="KUA6" s="97" t="str">
        <f t="shared" si="126"/>
        <v/>
      </c>
      <c r="KUB6" s="97" t="str">
        <f t="shared" si="126"/>
        <v/>
      </c>
      <c r="KUC6" s="97" t="str">
        <f t="shared" si="126"/>
        <v/>
      </c>
      <c r="KUD6" s="97" t="str">
        <f t="shared" si="126"/>
        <v/>
      </c>
      <c r="KUE6" s="97" t="str">
        <f t="shared" si="126"/>
        <v/>
      </c>
      <c r="KUF6" s="97" t="str">
        <f t="shared" si="126"/>
        <v/>
      </c>
      <c r="KUG6" s="97" t="str">
        <f t="shared" si="126"/>
        <v/>
      </c>
      <c r="KUH6" s="97" t="str">
        <f t="shared" si="126"/>
        <v/>
      </c>
      <c r="KUI6" s="97" t="str">
        <f t="shared" si="126"/>
        <v/>
      </c>
      <c r="KUJ6" s="97" t="str">
        <f t="shared" si="126"/>
        <v/>
      </c>
      <c r="KUK6" s="97" t="str">
        <f t="shared" si="126"/>
        <v/>
      </c>
      <c r="KUL6" s="97" t="str">
        <f t="shared" si="126"/>
        <v/>
      </c>
      <c r="KUM6" s="97" t="str">
        <f t="shared" si="126"/>
        <v/>
      </c>
      <c r="KUN6" s="97" t="str">
        <f t="shared" si="126"/>
        <v/>
      </c>
      <c r="KUO6" s="97" t="str">
        <f t="shared" si="126"/>
        <v/>
      </c>
      <c r="KUP6" s="97" t="str">
        <f t="shared" si="126"/>
        <v/>
      </c>
      <c r="KUQ6" s="97" t="str">
        <f t="shared" si="126"/>
        <v/>
      </c>
      <c r="KUR6" s="97" t="str">
        <f t="shared" si="126"/>
        <v/>
      </c>
      <c r="KUS6" s="97" t="str">
        <f t="shared" si="126"/>
        <v/>
      </c>
      <c r="KUT6" s="97" t="str">
        <f t="shared" si="126"/>
        <v/>
      </c>
      <c r="KUU6" s="97" t="str">
        <f t="shared" si="126"/>
        <v/>
      </c>
      <c r="KUV6" s="97" t="str">
        <f t="shared" si="126"/>
        <v/>
      </c>
      <c r="KUW6" s="97" t="str">
        <f t="shared" si="126"/>
        <v/>
      </c>
      <c r="KUX6" s="97" t="str">
        <f t="shared" ref="KUX6:KXI6" si="127">IFERROR(AVERAGE(KUX7:KUX13),"")</f>
        <v/>
      </c>
      <c r="KUY6" s="97" t="str">
        <f t="shared" si="127"/>
        <v/>
      </c>
      <c r="KUZ6" s="97" t="str">
        <f t="shared" si="127"/>
        <v/>
      </c>
      <c r="KVA6" s="97" t="str">
        <f t="shared" si="127"/>
        <v/>
      </c>
      <c r="KVB6" s="97" t="str">
        <f t="shared" si="127"/>
        <v/>
      </c>
      <c r="KVC6" s="97" t="str">
        <f t="shared" si="127"/>
        <v/>
      </c>
      <c r="KVD6" s="97" t="str">
        <f t="shared" si="127"/>
        <v/>
      </c>
      <c r="KVE6" s="97" t="str">
        <f t="shared" si="127"/>
        <v/>
      </c>
      <c r="KVF6" s="97" t="str">
        <f t="shared" si="127"/>
        <v/>
      </c>
      <c r="KVG6" s="97" t="str">
        <f t="shared" si="127"/>
        <v/>
      </c>
      <c r="KVH6" s="97" t="str">
        <f t="shared" si="127"/>
        <v/>
      </c>
      <c r="KVI6" s="97" t="str">
        <f t="shared" si="127"/>
        <v/>
      </c>
      <c r="KVJ6" s="97" t="str">
        <f t="shared" si="127"/>
        <v/>
      </c>
      <c r="KVK6" s="97" t="str">
        <f t="shared" si="127"/>
        <v/>
      </c>
      <c r="KVL6" s="97" t="str">
        <f t="shared" si="127"/>
        <v/>
      </c>
      <c r="KVM6" s="97" t="str">
        <f t="shared" si="127"/>
        <v/>
      </c>
      <c r="KVN6" s="97" t="str">
        <f t="shared" si="127"/>
        <v/>
      </c>
      <c r="KVO6" s="97" t="str">
        <f t="shared" si="127"/>
        <v/>
      </c>
      <c r="KVP6" s="97" t="str">
        <f t="shared" si="127"/>
        <v/>
      </c>
      <c r="KVQ6" s="97" t="str">
        <f t="shared" si="127"/>
        <v/>
      </c>
      <c r="KVR6" s="97" t="str">
        <f t="shared" si="127"/>
        <v/>
      </c>
      <c r="KVS6" s="97" t="str">
        <f t="shared" si="127"/>
        <v/>
      </c>
      <c r="KVT6" s="97" t="str">
        <f t="shared" si="127"/>
        <v/>
      </c>
      <c r="KVU6" s="97" t="str">
        <f t="shared" si="127"/>
        <v/>
      </c>
      <c r="KVV6" s="97" t="str">
        <f t="shared" si="127"/>
        <v/>
      </c>
      <c r="KVW6" s="97" t="str">
        <f t="shared" si="127"/>
        <v/>
      </c>
      <c r="KVX6" s="97" t="str">
        <f t="shared" si="127"/>
        <v/>
      </c>
      <c r="KVY6" s="97" t="str">
        <f t="shared" si="127"/>
        <v/>
      </c>
      <c r="KVZ6" s="97" t="str">
        <f t="shared" si="127"/>
        <v/>
      </c>
      <c r="KWA6" s="97" t="str">
        <f t="shared" si="127"/>
        <v/>
      </c>
      <c r="KWB6" s="97" t="str">
        <f t="shared" si="127"/>
        <v/>
      </c>
      <c r="KWC6" s="97" t="str">
        <f t="shared" si="127"/>
        <v/>
      </c>
      <c r="KWD6" s="97" t="str">
        <f t="shared" si="127"/>
        <v/>
      </c>
      <c r="KWE6" s="97" t="str">
        <f t="shared" si="127"/>
        <v/>
      </c>
      <c r="KWF6" s="97" t="str">
        <f t="shared" si="127"/>
        <v/>
      </c>
      <c r="KWG6" s="97" t="str">
        <f t="shared" si="127"/>
        <v/>
      </c>
      <c r="KWH6" s="97" t="str">
        <f t="shared" si="127"/>
        <v/>
      </c>
      <c r="KWI6" s="97" t="str">
        <f t="shared" si="127"/>
        <v/>
      </c>
      <c r="KWJ6" s="97" t="str">
        <f t="shared" si="127"/>
        <v/>
      </c>
      <c r="KWK6" s="97" t="str">
        <f t="shared" si="127"/>
        <v/>
      </c>
      <c r="KWL6" s="97" t="str">
        <f t="shared" si="127"/>
        <v/>
      </c>
      <c r="KWM6" s="97" t="str">
        <f t="shared" si="127"/>
        <v/>
      </c>
      <c r="KWN6" s="97" t="str">
        <f t="shared" si="127"/>
        <v/>
      </c>
      <c r="KWO6" s="97" t="str">
        <f t="shared" si="127"/>
        <v/>
      </c>
      <c r="KWP6" s="97" t="str">
        <f t="shared" si="127"/>
        <v/>
      </c>
      <c r="KWQ6" s="97" t="str">
        <f t="shared" si="127"/>
        <v/>
      </c>
      <c r="KWR6" s="97" t="str">
        <f t="shared" si="127"/>
        <v/>
      </c>
      <c r="KWS6" s="97" t="str">
        <f t="shared" si="127"/>
        <v/>
      </c>
      <c r="KWT6" s="97" t="str">
        <f t="shared" si="127"/>
        <v/>
      </c>
      <c r="KWU6" s="97" t="str">
        <f t="shared" si="127"/>
        <v/>
      </c>
      <c r="KWV6" s="97" t="str">
        <f t="shared" si="127"/>
        <v/>
      </c>
      <c r="KWW6" s="97" t="str">
        <f t="shared" si="127"/>
        <v/>
      </c>
      <c r="KWX6" s="97" t="str">
        <f t="shared" si="127"/>
        <v/>
      </c>
      <c r="KWY6" s="97" t="str">
        <f t="shared" si="127"/>
        <v/>
      </c>
      <c r="KWZ6" s="97" t="str">
        <f t="shared" si="127"/>
        <v/>
      </c>
      <c r="KXA6" s="97" t="str">
        <f t="shared" si="127"/>
        <v/>
      </c>
      <c r="KXB6" s="97" t="str">
        <f t="shared" si="127"/>
        <v/>
      </c>
      <c r="KXC6" s="97" t="str">
        <f t="shared" si="127"/>
        <v/>
      </c>
      <c r="KXD6" s="97" t="str">
        <f t="shared" si="127"/>
        <v/>
      </c>
      <c r="KXE6" s="97" t="str">
        <f t="shared" si="127"/>
        <v/>
      </c>
      <c r="KXF6" s="97" t="str">
        <f t="shared" si="127"/>
        <v/>
      </c>
      <c r="KXG6" s="97" t="str">
        <f t="shared" si="127"/>
        <v/>
      </c>
      <c r="KXH6" s="97" t="str">
        <f t="shared" si="127"/>
        <v/>
      </c>
      <c r="KXI6" s="97" t="str">
        <f t="shared" si="127"/>
        <v/>
      </c>
      <c r="KXJ6" s="97" t="str">
        <f t="shared" ref="KXJ6:KZU6" si="128">IFERROR(AVERAGE(KXJ7:KXJ13),"")</f>
        <v/>
      </c>
      <c r="KXK6" s="97" t="str">
        <f t="shared" si="128"/>
        <v/>
      </c>
      <c r="KXL6" s="97" t="str">
        <f t="shared" si="128"/>
        <v/>
      </c>
      <c r="KXM6" s="97" t="str">
        <f t="shared" si="128"/>
        <v/>
      </c>
      <c r="KXN6" s="97" t="str">
        <f t="shared" si="128"/>
        <v/>
      </c>
      <c r="KXO6" s="97" t="str">
        <f t="shared" si="128"/>
        <v/>
      </c>
      <c r="KXP6" s="97" t="str">
        <f t="shared" si="128"/>
        <v/>
      </c>
      <c r="KXQ6" s="97" t="str">
        <f t="shared" si="128"/>
        <v/>
      </c>
      <c r="KXR6" s="97" t="str">
        <f t="shared" si="128"/>
        <v/>
      </c>
      <c r="KXS6" s="97" t="str">
        <f t="shared" si="128"/>
        <v/>
      </c>
      <c r="KXT6" s="97" t="str">
        <f t="shared" si="128"/>
        <v/>
      </c>
      <c r="KXU6" s="97" t="str">
        <f t="shared" si="128"/>
        <v/>
      </c>
      <c r="KXV6" s="97" t="str">
        <f t="shared" si="128"/>
        <v/>
      </c>
      <c r="KXW6" s="97" t="str">
        <f t="shared" si="128"/>
        <v/>
      </c>
      <c r="KXX6" s="97" t="str">
        <f t="shared" si="128"/>
        <v/>
      </c>
      <c r="KXY6" s="97" t="str">
        <f t="shared" si="128"/>
        <v/>
      </c>
      <c r="KXZ6" s="97" t="str">
        <f t="shared" si="128"/>
        <v/>
      </c>
      <c r="KYA6" s="97" t="str">
        <f t="shared" si="128"/>
        <v/>
      </c>
      <c r="KYB6" s="97" t="str">
        <f t="shared" si="128"/>
        <v/>
      </c>
      <c r="KYC6" s="97" t="str">
        <f t="shared" si="128"/>
        <v/>
      </c>
      <c r="KYD6" s="97" t="str">
        <f t="shared" si="128"/>
        <v/>
      </c>
      <c r="KYE6" s="97" t="str">
        <f t="shared" si="128"/>
        <v/>
      </c>
      <c r="KYF6" s="97" t="str">
        <f t="shared" si="128"/>
        <v/>
      </c>
      <c r="KYG6" s="97" t="str">
        <f t="shared" si="128"/>
        <v/>
      </c>
      <c r="KYH6" s="97" t="str">
        <f t="shared" si="128"/>
        <v/>
      </c>
      <c r="KYI6" s="97" t="str">
        <f t="shared" si="128"/>
        <v/>
      </c>
      <c r="KYJ6" s="97" t="str">
        <f t="shared" si="128"/>
        <v/>
      </c>
      <c r="KYK6" s="97" t="str">
        <f t="shared" si="128"/>
        <v/>
      </c>
      <c r="KYL6" s="97" t="str">
        <f t="shared" si="128"/>
        <v/>
      </c>
      <c r="KYM6" s="97" t="str">
        <f t="shared" si="128"/>
        <v/>
      </c>
      <c r="KYN6" s="97" t="str">
        <f t="shared" si="128"/>
        <v/>
      </c>
      <c r="KYO6" s="97" t="str">
        <f t="shared" si="128"/>
        <v/>
      </c>
      <c r="KYP6" s="97" t="str">
        <f t="shared" si="128"/>
        <v/>
      </c>
      <c r="KYQ6" s="97" t="str">
        <f t="shared" si="128"/>
        <v/>
      </c>
      <c r="KYR6" s="97" t="str">
        <f t="shared" si="128"/>
        <v/>
      </c>
      <c r="KYS6" s="97" t="str">
        <f t="shared" si="128"/>
        <v/>
      </c>
      <c r="KYT6" s="97" t="str">
        <f t="shared" si="128"/>
        <v/>
      </c>
      <c r="KYU6" s="97" t="str">
        <f t="shared" si="128"/>
        <v/>
      </c>
      <c r="KYV6" s="97" t="str">
        <f t="shared" si="128"/>
        <v/>
      </c>
      <c r="KYW6" s="97" t="str">
        <f t="shared" si="128"/>
        <v/>
      </c>
      <c r="KYX6" s="97" t="str">
        <f t="shared" si="128"/>
        <v/>
      </c>
      <c r="KYY6" s="97" t="str">
        <f t="shared" si="128"/>
        <v/>
      </c>
      <c r="KYZ6" s="97" t="str">
        <f t="shared" si="128"/>
        <v/>
      </c>
      <c r="KZA6" s="97" t="str">
        <f t="shared" si="128"/>
        <v/>
      </c>
      <c r="KZB6" s="97" t="str">
        <f t="shared" si="128"/>
        <v/>
      </c>
      <c r="KZC6" s="97" t="str">
        <f t="shared" si="128"/>
        <v/>
      </c>
      <c r="KZD6" s="97" t="str">
        <f t="shared" si="128"/>
        <v/>
      </c>
      <c r="KZE6" s="97" t="str">
        <f t="shared" si="128"/>
        <v/>
      </c>
      <c r="KZF6" s="97" t="str">
        <f t="shared" si="128"/>
        <v/>
      </c>
      <c r="KZG6" s="97" t="str">
        <f t="shared" si="128"/>
        <v/>
      </c>
      <c r="KZH6" s="97" t="str">
        <f t="shared" si="128"/>
        <v/>
      </c>
      <c r="KZI6" s="97" t="str">
        <f t="shared" si="128"/>
        <v/>
      </c>
      <c r="KZJ6" s="97" t="str">
        <f t="shared" si="128"/>
        <v/>
      </c>
      <c r="KZK6" s="97" t="str">
        <f t="shared" si="128"/>
        <v/>
      </c>
      <c r="KZL6" s="97" t="str">
        <f t="shared" si="128"/>
        <v/>
      </c>
      <c r="KZM6" s="97" t="str">
        <f t="shared" si="128"/>
        <v/>
      </c>
      <c r="KZN6" s="97" t="str">
        <f t="shared" si="128"/>
        <v/>
      </c>
      <c r="KZO6" s="97" t="str">
        <f t="shared" si="128"/>
        <v/>
      </c>
      <c r="KZP6" s="97" t="str">
        <f t="shared" si="128"/>
        <v/>
      </c>
      <c r="KZQ6" s="97" t="str">
        <f t="shared" si="128"/>
        <v/>
      </c>
      <c r="KZR6" s="97" t="str">
        <f t="shared" si="128"/>
        <v/>
      </c>
      <c r="KZS6" s="97" t="str">
        <f t="shared" si="128"/>
        <v/>
      </c>
      <c r="KZT6" s="97" t="str">
        <f t="shared" si="128"/>
        <v/>
      </c>
      <c r="KZU6" s="97" t="str">
        <f t="shared" si="128"/>
        <v/>
      </c>
      <c r="KZV6" s="97" t="str">
        <f t="shared" ref="KZV6:LCG6" si="129">IFERROR(AVERAGE(KZV7:KZV13),"")</f>
        <v/>
      </c>
      <c r="KZW6" s="97" t="str">
        <f t="shared" si="129"/>
        <v/>
      </c>
      <c r="KZX6" s="97" t="str">
        <f t="shared" si="129"/>
        <v/>
      </c>
      <c r="KZY6" s="97" t="str">
        <f t="shared" si="129"/>
        <v/>
      </c>
      <c r="KZZ6" s="97" t="str">
        <f t="shared" si="129"/>
        <v/>
      </c>
      <c r="LAA6" s="97" t="str">
        <f t="shared" si="129"/>
        <v/>
      </c>
      <c r="LAB6" s="97" t="str">
        <f t="shared" si="129"/>
        <v/>
      </c>
      <c r="LAC6" s="97" t="str">
        <f t="shared" si="129"/>
        <v/>
      </c>
      <c r="LAD6" s="97" t="str">
        <f t="shared" si="129"/>
        <v/>
      </c>
      <c r="LAE6" s="97" t="str">
        <f t="shared" si="129"/>
        <v/>
      </c>
      <c r="LAF6" s="97" t="str">
        <f t="shared" si="129"/>
        <v/>
      </c>
      <c r="LAG6" s="97" t="str">
        <f t="shared" si="129"/>
        <v/>
      </c>
      <c r="LAH6" s="97" t="str">
        <f t="shared" si="129"/>
        <v/>
      </c>
      <c r="LAI6" s="97" t="str">
        <f t="shared" si="129"/>
        <v/>
      </c>
      <c r="LAJ6" s="97" t="str">
        <f t="shared" si="129"/>
        <v/>
      </c>
      <c r="LAK6" s="97" t="str">
        <f t="shared" si="129"/>
        <v/>
      </c>
      <c r="LAL6" s="97" t="str">
        <f t="shared" si="129"/>
        <v/>
      </c>
      <c r="LAM6" s="97" t="str">
        <f t="shared" si="129"/>
        <v/>
      </c>
      <c r="LAN6" s="97" t="str">
        <f t="shared" si="129"/>
        <v/>
      </c>
      <c r="LAO6" s="97" t="str">
        <f t="shared" si="129"/>
        <v/>
      </c>
      <c r="LAP6" s="97" t="str">
        <f t="shared" si="129"/>
        <v/>
      </c>
      <c r="LAQ6" s="97" t="str">
        <f t="shared" si="129"/>
        <v/>
      </c>
      <c r="LAR6" s="97" t="str">
        <f t="shared" si="129"/>
        <v/>
      </c>
      <c r="LAS6" s="97" t="str">
        <f t="shared" si="129"/>
        <v/>
      </c>
      <c r="LAT6" s="97" t="str">
        <f t="shared" si="129"/>
        <v/>
      </c>
      <c r="LAU6" s="97" t="str">
        <f t="shared" si="129"/>
        <v/>
      </c>
      <c r="LAV6" s="97" t="str">
        <f t="shared" si="129"/>
        <v/>
      </c>
      <c r="LAW6" s="97" t="str">
        <f t="shared" si="129"/>
        <v/>
      </c>
      <c r="LAX6" s="97" t="str">
        <f t="shared" si="129"/>
        <v/>
      </c>
      <c r="LAY6" s="97" t="str">
        <f t="shared" si="129"/>
        <v/>
      </c>
      <c r="LAZ6" s="97" t="str">
        <f t="shared" si="129"/>
        <v/>
      </c>
      <c r="LBA6" s="97" t="str">
        <f t="shared" si="129"/>
        <v/>
      </c>
      <c r="LBB6" s="97" t="str">
        <f t="shared" si="129"/>
        <v/>
      </c>
      <c r="LBC6" s="97" t="str">
        <f t="shared" si="129"/>
        <v/>
      </c>
      <c r="LBD6" s="97" t="str">
        <f t="shared" si="129"/>
        <v/>
      </c>
      <c r="LBE6" s="97" t="str">
        <f t="shared" si="129"/>
        <v/>
      </c>
      <c r="LBF6" s="97" t="str">
        <f t="shared" si="129"/>
        <v/>
      </c>
      <c r="LBG6" s="97" t="str">
        <f t="shared" si="129"/>
        <v/>
      </c>
      <c r="LBH6" s="97" t="str">
        <f t="shared" si="129"/>
        <v/>
      </c>
      <c r="LBI6" s="97" t="str">
        <f t="shared" si="129"/>
        <v/>
      </c>
      <c r="LBJ6" s="97" t="str">
        <f t="shared" si="129"/>
        <v/>
      </c>
      <c r="LBK6" s="97" t="str">
        <f t="shared" si="129"/>
        <v/>
      </c>
      <c r="LBL6" s="97" t="str">
        <f t="shared" si="129"/>
        <v/>
      </c>
      <c r="LBM6" s="97" t="str">
        <f t="shared" si="129"/>
        <v/>
      </c>
      <c r="LBN6" s="97" t="str">
        <f t="shared" si="129"/>
        <v/>
      </c>
      <c r="LBO6" s="97" t="str">
        <f t="shared" si="129"/>
        <v/>
      </c>
      <c r="LBP6" s="97" t="str">
        <f t="shared" si="129"/>
        <v/>
      </c>
      <c r="LBQ6" s="97" t="str">
        <f t="shared" si="129"/>
        <v/>
      </c>
      <c r="LBR6" s="97" t="str">
        <f t="shared" si="129"/>
        <v/>
      </c>
      <c r="LBS6" s="97" t="str">
        <f t="shared" si="129"/>
        <v/>
      </c>
      <c r="LBT6" s="97" t="str">
        <f t="shared" si="129"/>
        <v/>
      </c>
      <c r="LBU6" s="97" t="str">
        <f t="shared" si="129"/>
        <v/>
      </c>
      <c r="LBV6" s="97" t="str">
        <f t="shared" si="129"/>
        <v/>
      </c>
      <c r="LBW6" s="97" t="str">
        <f t="shared" si="129"/>
        <v/>
      </c>
      <c r="LBX6" s="97" t="str">
        <f t="shared" si="129"/>
        <v/>
      </c>
      <c r="LBY6" s="97" t="str">
        <f t="shared" si="129"/>
        <v/>
      </c>
      <c r="LBZ6" s="97" t="str">
        <f t="shared" si="129"/>
        <v/>
      </c>
      <c r="LCA6" s="97" t="str">
        <f t="shared" si="129"/>
        <v/>
      </c>
      <c r="LCB6" s="97" t="str">
        <f t="shared" si="129"/>
        <v/>
      </c>
      <c r="LCC6" s="97" t="str">
        <f t="shared" si="129"/>
        <v/>
      </c>
      <c r="LCD6" s="97" t="str">
        <f t="shared" si="129"/>
        <v/>
      </c>
      <c r="LCE6" s="97" t="str">
        <f t="shared" si="129"/>
        <v/>
      </c>
      <c r="LCF6" s="97" t="str">
        <f t="shared" si="129"/>
        <v/>
      </c>
      <c r="LCG6" s="97" t="str">
        <f t="shared" si="129"/>
        <v/>
      </c>
      <c r="LCH6" s="97" t="str">
        <f t="shared" ref="LCH6:LES6" si="130">IFERROR(AVERAGE(LCH7:LCH13),"")</f>
        <v/>
      </c>
      <c r="LCI6" s="97" t="str">
        <f t="shared" si="130"/>
        <v/>
      </c>
      <c r="LCJ6" s="97" t="str">
        <f t="shared" si="130"/>
        <v/>
      </c>
      <c r="LCK6" s="97" t="str">
        <f t="shared" si="130"/>
        <v/>
      </c>
      <c r="LCL6" s="97" t="str">
        <f t="shared" si="130"/>
        <v/>
      </c>
      <c r="LCM6" s="97" t="str">
        <f t="shared" si="130"/>
        <v/>
      </c>
      <c r="LCN6" s="97" t="str">
        <f t="shared" si="130"/>
        <v/>
      </c>
      <c r="LCO6" s="97" t="str">
        <f t="shared" si="130"/>
        <v/>
      </c>
      <c r="LCP6" s="97" t="str">
        <f t="shared" si="130"/>
        <v/>
      </c>
      <c r="LCQ6" s="97" t="str">
        <f t="shared" si="130"/>
        <v/>
      </c>
      <c r="LCR6" s="97" t="str">
        <f t="shared" si="130"/>
        <v/>
      </c>
      <c r="LCS6" s="97" t="str">
        <f t="shared" si="130"/>
        <v/>
      </c>
      <c r="LCT6" s="97" t="str">
        <f t="shared" si="130"/>
        <v/>
      </c>
      <c r="LCU6" s="97" t="str">
        <f t="shared" si="130"/>
        <v/>
      </c>
      <c r="LCV6" s="97" t="str">
        <f t="shared" si="130"/>
        <v/>
      </c>
      <c r="LCW6" s="97" t="str">
        <f t="shared" si="130"/>
        <v/>
      </c>
      <c r="LCX6" s="97" t="str">
        <f t="shared" si="130"/>
        <v/>
      </c>
      <c r="LCY6" s="97" t="str">
        <f t="shared" si="130"/>
        <v/>
      </c>
      <c r="LCZ6" s="97" t="str">
        <f t="shared" si="130"/>
        <v/>
      </c>
      <c r="LDA6" s="97" t="str">
        <f t="shared" si="130"/>
        <v/>
      </c>
      <c r="LDB6" s="97" t="str">
        <f t="shared" si="130"/>
        <v/>
      </c>
      <c r="LDC6" s="97" t="str">
        <f t="shared" si="130"/>
        <v/>
      </c>
      <c r="LDD6" s="97" t="str">
        <f t="shared" si="130"/>
        <v/>
      </c>
      <c r="LDE6" s="97" t="str">
        <f t="shared" si="130"/>
        <v/>
      </c>
      <c r="LDF6" s="97" t="str">
        <f t="shared" si="130"/>
        <v/>
      </c>
      <c r="LDG6" s="97" t="str">
        <f t="shared" si="130"/>
        <v/>
      </c>
      <c r="LDH6" s="97" t="str">
        <f t="shared" si="130"/>
        <v/>
      </c>
      <c r="LDI6" s="97" t="str">
        <f t="shared" si="130"/>
        <v/>
      </c>
      <c r="LDJ6" s="97" t="str">
        <f t="shared" si="130"/>
        <v/>
      </c>
      <c r="LDK6" s="97" t="str">
        <f t="shared" si="130"/>
        <v/>
      </c>
      <c r="LDL6" s="97" t="str">
        <f t="shared" si="130"/>
        <v/>
      </c>
      <c r="LDM6" s="97" t="str">
        <f t="shared" si="130"/>
        <v/>
      </c>
      <c r="LDN6" s="97" t="str">
        <f t="shared" si="130"/>
        <v/>
      </c>
      <c r="LDO6" s="97" t="str">
        <f t="shared" si="130"/>
        <v/>
      </c>
      <c r="LDP6" s="97" t="str">
        <f t="shared" si="130"/>
        <v/>
      </c>
      <c r="LDQ6" s="97" t="str">
        <f t="shared" si="130"/>
        <v/>
      </c>
      <c r="LDR6" s="97" t="str">
        <f t="shared" si="130"/>
        <v/>
      </c>
      <c r="LDS6" s="97" t="str">
        <f t="shared" si="130"/>
        <v/>
      </c>
      <c r="LDT6" s="97" t="str">
        <f t="shared" si="130"/>
        <v/>
      </c>
      <c r="LDU6" s="97" t="str">
        <f t="shared" si="130"/>
        <v/>
      </c>
      <c r="LDV6" s="97" t="str">
        <f t="shared" si="130"/>
        <v/>
      </c>
      <c r="LDW6" s="97" t="str">
        <f t="shared" si="130"/>
        <v/>
      </c>
      <c r="LDX6" s="97" t="str">
        <f t="shared" si="130"/>
        <v/>
      </c>
      <c r="LDY6" s="97" t="str">
        <f t="shared" si="130"/>
        <v/>
      </c>
      <c r="LDZ6" s="97" t="str">
        <f t="shared" si="130"/>
        <v/>
      </c>
      <c r="LEA6" s="97" t="str">
        <f t="shared" si="130"/>
        <v/>
      </c>
      <c r="LEB6" s="97" t="str">
        <f t="shared" si="130"/>
        <v/>
      </c>
      <c r="LEC6" s="97" t="str">
        <f t="shared" si="130"/>
        <v/>
      </c>
      <c r="LED6" s="97" t="str">
        <f t="shared" si="130"/>
        <v/>
      </c>
      <c r="LEE6" s="97" t="str">
        <f t="shared" si="130"/>
        <v/>
      </c>
      <c r="LEF6" s="97" t="str">
        <f t="shared" si="130"/>
        <v/>
      </c>
      <c r="LEG6" s="97" t="str">
        <f t="shared" si="130"/>
        <v/>
      </c>
      <c r="LEH6" s="97" t="str">
        <f t="shared" si="130"/>
        <v/>
      </c>
      <c r="LEI6" s="97" t="str">
        <f t="shared" si="130"/>
        <v/>
      </c>
      <c r="LEJ6" s="97" t="str">
        <f t="shared" si="130"/>
        <v/>
      </c>
      <c r="LEK6" s="97" t="str">
        <f t="shared" si="130"/>
        <v/>
      </c>
      <c r="LEL6" s="97" t="str">
        <f t="shared" si="130"/>
        <v/>
      </c>
      <c r="LEM6" s="97" t="str">
        <f t="shared" si="130"/>
        <v/>
      </c>
      <c r="LEN6" s="97" t="str">
        <f t="shared" si="130"/>
        <v/>
      </c>
      <c r="LEO6" s="97" t="str">
        <f t="shared" si="130"/>
        <v/>
      </c>
      <c r="LEP6" s="97" t="str">
        <f t="shared" si="130"/>
        <v/>
      </c>
      <c r="LEQ6" s="97" t="str">
        <f t="shared" si="130"/>
        <v/>
      </c>
      <c r="LER6" s="97" t="str">
        <f t="shared" si="130"/>
        <v/>
      </c>
      <c r="LES6" s="97" t="str">
        <f t="shared" si="130"/>
        <v/>
      </c>
      <c r="LET6" s="97" t="str">
        <f t="shared" ref="LET6:LHE6" si="131">IFERROR(AVERAGE(LET7:LET13),"")</f>
        <v/>
      </c>
      <c r="LEU6" s="97" t="str">
        <f t="shared" si="131"/>
        <v/>
      </c>
      <c r="LEV6" s="97" t="str">
        <f t="shared" si="131"/>
        <v/>
      </c>
      <c r="LEW6" s="97" t="str">
        <f t="shared" si="131"/>
        <v/>
      </c>
      <c r="LEX6" s="97" t="str">
        <f t="shared" si="131"/>
        <v/>
      </c>
      <c r="LEY6" s="97" t="str">
        <f t="shared" si="131"/>
        <v/>
      </c>
      <c r="LEZ6" s="97" t="str">
        <f t="shared" si="131"/>
        <v/>
      </c>
      <c r="LFA6" s="97" t="str">
        <f t="shared" si="131"/>
        <v/>
      </c>
      <c r="LFB6" s="97" t="str">
        <f t="shared" si="131"/>
        <v/>
      </c>
      <c r="LFC6" s="97" t="str">
        <f t="shared" si="131"/>
        <v/>
      </c>
      <c r="LFD6" s="97" t="str">
        <f t="shared" si="131"/>
        <v/>
      </c>
      <c r="LFE6" s="97" t="str">
        <f t="shared" si="131"/>
        <v/>
      </c>
      <c r="LFF6" s="97" t="str">
        <f t="shared" si="131"/>
        <v/>
      </c>
      <c r="LFG6" s="97" t="str">
        <f t="shared" si="131"/>
        <v/>
      </c>
      <c r="LFH6" s="97" t="str">
        <f t="shared" si="131"/>
        <v/>
      </c>
      <c r="LFI6" s="97" t="str">
        <f t="shared" si="131"/>
        <v/>
      </c>
      <c r="LFJ6" s="97" t="str">
        <f t="shared" si="131"/>
        <v/>
      </c>
      <c r="LFK6" s="97" t="str">
        <f t="shared" si="131"/>
        <v/>
      </c>
      <c r="LFL6" s="97" t="str">
        <f t="shared" si="131"/>
        <v/>
      </c>
      <c r="LFM6" s="97" t="str">
        <f t="shared" si="131"/>
        <v/>
      </c>
      <c r="LFN6" s="97" t="str">
        <f t="shared" si="131"/>
        <v/>
      </c>
      <c r="LFO6" s="97" t="str">
        <f t="shared" si="131"/>
        <v/>
      </c>
      <c r="LFP6" s="97" t="str">
        <f t="shared" si="131"/>
        <v/>
      </c>
      <c r="LFQ6" s="97" t="str">
        <f t="shared" si="131"/>
        <v/>
      </c>
      <c r="LFR6" s="97" t="str">
        <f t="shared" si="131"/>
        <v/>
      </c>
      <c r="LFS6" s="97" t="str">
        <f t="shared" si="131"/>
        <v/>
      </c>
      <c r="LFT6" s="97" t="str">
        <f t="shared" si="131"/>
        <v/>
      </c>
      <c r="LFU6" s="97" t="str">
        <f t="shared" si="131"/>
        <v/>
      </c>
      <c r="LFV6" s="97" t="str">
        <f t="shared" si="131"/>
        <v/>
      </c>
      <c r="LFW6" s="97" t="str">
        <f t="shared" si="131"/>
        <v/>
      </c>
      <c r="LFX6" s="97" t="str">
        <f t="shared" si="131"/>
        <v/>
      </c>
      <c r="LFY6" s="97" t="str">
        <f t="shared" si="131"/>
        <v/>
      </c>
      <c r="LFZ6" s="97" t="str">
        <f t="shared" si="131"/>
        <v/>
      </c>
      <c r="LGA6" s="97" t="str">
        <f t="shared" si="131"/>
        <v/>
      </c>
      <c r="LGB6" s="97" t="str">
        <f t="shared" si="131"/>
        <v/>
      </c>
      <c r="LGC6" s="97" t="str">
        <f t="shared" si="131"/>
        <v/>
      </c>
      <c r="LGD6" s="97" t="str">
        <f t="shared" si="131"/>
        <v/>
      </c>
      <c r="LGE6" s="97" t="str">
        <f t="shared" si="131"/>
        <v/>
      </c>
      <c r="LGF6" s="97" t="str">
        <f t="shared" si="131"/>
        <v/>
      </c>
      <c r="LGG6" s="97" t="str">
        <f t="shared" si="131"/>
        <v/>
      </c>
      <c r="LGH6" s="97" t="str">
        <f t="shared" si="131"/>
        <v/>
      </c>
      <c r="LGI6" s="97" t="str">
        <f t="shared" si="131"/>
        <v/>
      </c>
      <c r="LGJ6" s="97" t="str">
        <f t="shared" si="131"/>
        <v/>
      </c>
      <c r="LGK6" s="97" t="str">
        <f t="shared" si="131"/>
        <v/>
      </c>
      <c r="LGL6" s="97" t="str">
        <f t="shared" si="131"/>
        <v/>
      </c>
      <c r="LGM6" s="97" t="str">
        <f t="shared" si="131"/>
        <v/>
      </c>
      <c r="LGN6" s="97" t="str">
        <f t="shared" si="131"/>
        <v/>
      </c>
      <c r="LGO6" s="97" t="str">
        <f t="shared" si="131"/>
        <v/>
      </c>
      <c r="LGP6" s="97" t="str">
        <f t="shared" si="131"/>
        <v/>
      </c>
      <c r="LGQ6" s="97" t="str">
        <f t="shared" si="131"/>
        <v/>
      </c>
      <c r="LGR6" s="97" t="str">
        <f t="shared" si="131"/>
        <v/>
      </c>
      <c r="LGS6" s="97" t="str">
        <f t="shared" si="131"/>
        <v/>
      </c>
      <c r="LGT6" s="97" t="str">
        <f t="shared" si="131"/>
        <v/>
      </c>
      <c r="LGU6" s="97" t="str">
        <f t="shared" si="131"/>
        <v/>
      </c>
      <c r="LGV6" s="97" t="str">
        <f t="shared" si="131"/>
        <v/>
      </c>
      <c r="LGW6" s="97" t="str">
        <f t="shared" si="131"/>
        <v/>
      </c>
      <c r="LGX6" s="97" t="str">
        <f t="shared" si="131"/>
        <v/>
      </c>
      <c r="LGY6" s="97" t="str">
        <f t="shared" si="131"/>
        <v/>
      </c>
      <c r="LGZ6" s="97" t="str">
        <f t="shared" si="131"/>
        <v/>
      </c>
      <c r="LHA6" s="97" t="str">
        <f t="shared" si="131"/>
        <v/>
      </c>
      <c r="LHB6" s="97" t="str">
        <f t="shared" si="131"/>
        <v/>
      </c>
      <c r="LHC6" s="97" t="str">
        <f t="shared" si="131"/>
        <v/>
      </c>
      <c r="LHD6" s="97" t="str">
        <f t="shared" si="131"/>
        <v/>
      </c>
      <c r="LHE6" s="97" t="str">
        <f t="shared" si="131"/>
        <v/>
      </c>
      <c r="LHF6" s="97" t="str">
        <f t="shared" ref="LHF6:LJQ6" si="132">IFERROR(AVERAGE(LHF7:LHF13),"")</f>
        <v/>
      </c>
      <c r="LHG6" s="97" t="str">
        <f t="shared" si="132"/>
        <v/>
      </c>
      <c r="LHH6" s="97" t="str">
        <f t="shared" si="132"/>
        <v/>
      </c>
      <c r="LHI6" s="97" t="str">
        <f t="shared" si="132"/>
        <v/>
      </c>
      <c r="LHJ6" s="97" t="str">
        <f t="shared" si="132"/>
        <v/>
      </c>
      <c r="LHK6" s="97" t="str">
        <f t="shared" si="132"/>
        <v/>
      </c>
      <c r="LHL6" s="97" t="str">
        <f t="shared" si="132"/>
        <v/>
      </c>
      <c r="LHM6" s="97" t="str">
        <f t="shared" si="132"/>
        <v/>
      </c>
      <c r="LHN6" s="97" t="str">
        <f t="shared" si="132"/>
        <v/>
      </c>
      <c r="LHO6" s="97" t="str">
        <f t="shared" si="132"/>
        <v/>
      </c>
      <c r="LHP6" s="97" t="str">
        <f t="shared" si="132"/>
        <v/>
      </c>
      <c r="LHQ6" s="97" t="str">
        <f t="shared" si="132"/>
        <v/>
      </c>
      <c r="LHR6" s="97" t="str">
        <f t="shared" si="132"/>
        <v/>
      </c>
      <c r="LHS6" s="97" t="str">
        <f t="shared" si="132"/>
        <v/>
      </c>
      <c r="LHT6" s="97" t="str">
        <f t="shared" si="132"/>
        <v/>
      </c>
      <c r="LHU6" s="97" t="str">
        <f t="shared" si="132"/>
        <v/>
      </c>
      <c r="LHV6" s="97" t="str">
        <f t="shared" si="132"/>
        <v/>
      </c>
      <c r="LHW6" s="97" t="str">
        <f t="shared" si="132"/>
        <v/>
      </c>
      <c r="LHX6" s="97" t="str">
        <f t="shared" si="132"/>
        <v/>
      </c>
      <c r="LHY6" s="97" t="str">
        <f t="shared" si="132"/>
        <v/>
      </c>
      <c r="LHZ6" s="97" t="str">
        <f t="shared" si="132"/>
        <v/>
      </c>
      <c r="LIA6" s="97" t="str">
        <f t="shared" si="132"/>
        <v/>
      </c>
      <c r="LIB6" s="97" t="str">
        <f t="shared" si="132"/>
        <v/>
      </c>
      <c r="LIC6" s="97" t="str">
        <f t="shared" si="132"/>
        <v/>
      </c>
      <c r="LID6" s="97" t="str">
        <f t="shared" si="132"/>
        <v/>
      </c>
      <c r="LIE6" s="97" t="str">
        <f t="shared" si="132"/>
        <v/>
      </c>
      <c r="LIF6" s="97" t="str">
        <f t="shared" si="132"/>
        <v/>
      </c>
      <c r="LIG6" s="97" t="str">
        <f t="shared" si="132"/>
        <v/>
      </c>
      <c r="LIH6" s="97" t="str">
        <f t="shared" si="132"/>
        <v/>
      </c>
      <c r="LII6" s="97" t="str">
        <f t="shared" si="132"/>
        <v/>
      </c>
      <c r="LIJ6" s="97" t="str">
        <f t="shared" si="132"/>
        <v/>
      </c>
      <c r="LIK6" s="97" t="str">
        <f t="shared" si="132"/>
        <v/>
      </c>
      <c r="LIL6" s="97" t="str">
        <f t="shared" si="132"/>
        <v/>
      </c>
      <c r="LIM6" s="97" t="str">
        <f t="shared" si="132"/>
        <v/>
      </c>
      <c r="LIN6" s="97" t="str">
        <f t="shared" si="132"/>
        <v/>
      </c>
      <c r="LIO6" s="97" t="str">
        <f t="shared" si="132"/>
        <v/>
      </c>
      <c r="LIP6" s="97" t="str">
        <f t="shared" si="132"/>
        <v/>
      </c>
      <c r="LIQ6" s="97" t="str">
        <f t="shared" si="132"/>
        <v/>
      </c>
      <c r="LIR6" s="97" t="str">
        <f t="shared" si="132"/>
        <v/>
      </c>
      <c r="LIS6" s="97" t="str">
        <f t="shared" si="132"/>
        <v/>
      </c>
      <c r="LIT6" s="97" t="str">
        <f t="shared" si="132"/>
        <v/>
      </c>
      <c r="LIU6" s="97" t="str">
        <f t="shared" si="132"/>
        <v/>
      </c>
      <c r="LIV6" s="97" t="str">
        <f t="shared" si="132"/>
        <v/>
      </c>
      <c r="LIW6" s="97" t="str">
        <f t="shared" si="132"/>
        <v/>
      </c>
      <c r="LIX6" s="97" t="str">
        <f t="shared" si="132"/>
        <v/>
      </c>
      <c r="LIY6" s="97" t="str">
        <f t="shared" si="132"/>
        <v/>
      </c>
      <c r="LIZ6" s="97" t="str">
        <f t="shared" si="132"/>
        <v/>
      </c>
      <c r="LJA6" s="97" t="str">
        <f t="shared" si="132"/>
        <v/>
      </c>
      <c r="LJB6" s="97" t="str">
        <f t="shared" si="132"/>
        <v/>
      </c>
      <c r="LJC6" s="97" t="str">
        <f t="shared" si="132"/>
        <v/>
      </c>
      <c r="LJD6" s="97" t="str">
        <f t="shared" si="132"/>
        <v/>
      </c>
      <c r="LJE6" s="97" t="str">
        <f t="shared" si="132"/>
        <v/>
      </c>
      <c r="LJF6" s="97" t="str">
        <f t="shared" si="132"/>
        <v/>
      </c>
      <c r="LJG6" s="97" t="str">
        <f t="shared" si="132"/>
        <v/>
      </c>
      <c r="LJH6" s="97" t="str">
        <f t="shared" si="132"/>
        <v/>
      </c>
      <c r="LJI6" s="97" t="str">
        <f t="shared" si="132"/>
        <v/>
      </c>
      <c r="LJJ6" s="97" t="str">
        <f t="shared" si="132"/>
        <v/>
      </c>
      <c r="LJK6" s="97" t="str">
        <f t="shared" si="132"/>
        <v/>
      </c>
      <c r="LJL6" s="97" t="str">
        <f t="shared" si="132"/>
        <v/>
      </c>
      <c r="LJM6" s="97" t="str">
        <f t="shared" si="132"/>
        <v/>
      </c>
      <c r="LJN6" s="97" t="str">
        <f t="shared" si="132"/>
        <v/>
      </c>
      <c r="LJO6" s="97" t="str">
        <f t="shared" si="132"/>
        <v/>
      </c>
      <c r="LJP6" s="97" t="str">
        <f t="shared" si="132"/>
        <v/>
      </c>
      <c r="LJQ6" s="97" t="str">
        <f t="shared" si="132"/>
        <v/>
      </c>
      <c r="LJR6" s="97" t="str">
        <f t="shared" ref="LJR6:LMC6" si="133">IFERROR(AVERAGE(LJR7:LJR13),"")</f>
        <v/>
      </c>
      <c r="LJS6" s="97" t="str">
        <f t="shared" si="133"/>
        <v/>
      </c>
      <c r="LJT6" s="97" t="str">
        <f t="shared" si="133"/>
        <v/>
      </c>
      <c r="LJU6" s="97" t="str">
        <f t="shared" si="133"/>
        <v/>
      </c>
      <c r="LJV6" s="97" t="str">
        <f t="shared" si="133"/>
        <v/>
      </c>
      <c r="LJW6" s="97" t="str">
        <f t="shared" si="133"/>
        <v/>
      </c>
      <c r="LJX6" s="97" t="str">
        <f t="shared" si="133"/>
        <v/>
      </c>
      <c r="LJY6" s="97" t="str">
        <f t="shared" si="133"/>
        <v/>
      </c>
      <c r="LJZ6" s="97" t="str">
        <f t="shared" si="133"/>
        <v/>
      </c>
      <c r="LKA6" s="97" t="str">
        <f t="shared" si="133"/>
        <v/>
      </c>
      <c r="LKB6" s="97" t="str">
        <f t="shared" si="133"/>
        <v/>
      </c>
      <c r="LKC6" s="97" t="str">
        <f t="shared" si="133"/>
        <v/>
      </c>
      <c r="LKD6" s="97" t="str">
        <f t="shared" si="133"/>
        <v/>
      </c>
      <c r="LKE6" s="97" t="str">
        <f t="shared" si="133"/>
        <v/>
      </c>
      <c r="LKF6" s="97" t="str">
        <f t="shared" si="133"/>
        <v/>
      </c>
      <c r="LKG6" s="97" t="str">
        <f t="shared" si="133"/>
        <v/>
      </c>
      <c r="LKH6" s="97" t="str">
        <f t="shared" si="133"/>
        <v/>
      </c>
      <c r="LKI6" s="97" t="str">
        <f t="shared" si="133"/>
        <v/>
      </c>
      <c r="LKJ6" s="97" t="str">
        <f t="shared" si="133"/>
        <v/>
      </c>
      <c r="LKK6" s="97" t="str">
        <f t="shared" si="133"/>
        <v/>
      </c>
      <c r="LKL6" s="97" t="str">
        <f t="shared" si="133"/>
        <v/>
      </c>
      <c r="LKM6" s="97" t="str">
        <f t="shared" si="133"/>
        <v/>
      </c>
      <c r="LKN6" s="97" t="str">
        <f t="shared" si="133"/>
        <v/>
      </c>
      <c r="LKO6" s="97" t="str">
        <f t="shared" si="133"/>
        <v/>
      </c>
      <c r="LKP6" s="97" t="str">
        <f t="shared" si="133"/>
        <v/>
      </c>
      <c r="LKQ6" s="97" t="str">
        <f t="shared" si="133"/>
        <v/>
      </c>
      <c r="LKR6" s="97" t="str">
        <f t="shared" si="133"/>
        <v/>
      </c>
      <c r="LKS6" s="97" t="str">
        <f t="shared" si="133"/>
        <v/>
      </c>
      <c r="LKT6" s="97" t="str">
        <f t="shared" si="133"/>
        <v/>
      </c>
      <c r="LKU6" s="97" t="str">
        <f t="shared" si="133"/>
        <v/>
      </c>
      <c r="LKV6" s="97" t="str">
        <f t="shared" si="133"/>
        <v/>
      </c>
      <c r="LKW6" s="97" t="str">
        <f t="shared" si="133"/>
        <v/>
      </c>
      <c r="LKX6" s="97" t="str">
        <f t="shared" si="133"/>
        <v/>
      </c>
      <c r="LKY6" s="97" t="str">
        <f t="shared" si="133"/>
        <v/>
      </c>
      <c r="LKZ6" s="97" t="str">
        <f t="shared" si="133"/>
        <v/>
      </c>
      <c r="LLA6" s="97" t="str">
        <f t="shared" si="133"/>
        <v/>
      </c>
      <c r="LLB6" s="97" t="str">
        <f t="shared" si="133"/>
        <v/>
      </c>
      <c r="LLC6" s="97" t="str">
        <f t="shared" si="133"/>
        <v/>
      </c>
      <c r="LLD6" s="97" t="str">
        <f t="shared" si="133"/>
        <v/>
      </c>
      <c r="LLE6" s="97" t="str">
        <f t="shared" si="133"/>
        <v/>
      </c>
      <c r="LLF6" s="97" t="str">
        <f t="shared" si="133"/>
        <v/>
      </c>
      <c r="LLG6" s="97" t="str">
        <f t="shared" si="133"/>
        <v/>
      </c>
      <c r="LLH6" s="97" t="str">
        <f t="shared" si="133"/>
        <v/>
      </c>
      <c r="LLI6" s="97" t="str">
        <f t="shared" si="133"/>
        <v/>
      </c>
      <c r="LLJ6" s="97" t="str">
        <f t="shared" si="133"/>
        <v/>
      </c>
      <c r="LLK6" s="97" t="str">
        <f t="shared" si="133"/>
        <v/>
      </c>
      <c r="LLL6" s="97" t="str">
        <f t="shared" si="133"/>
        <v/>
      </c>
      <c r="LLM6" s="97" t="str">
        <f t="shared" si="133"/>
        <v/>
      </c>
      <c r="LLN6" s="97" t="str">
        <f t="shared" si="133"/>
        <v/>
      </c>
      <c r="LLO6" s="97" t="str">
        <f t="shared" si="133"/>
        <v/>
      </c>
      <c r="LLP6" s="97" t="str">
        <f t="shared" si="133"/>
        <v/>
      </c>
      <c r="LLQ6" s="97" t="str">
        <f t="shared" si="133"/>
        <v/>
      </c>
      <c r="LLR6" s="97" t="str">
        <f t="shared" si="133"/>
        <v/>
      </c>
      <c r="LLS6" s="97" t="str">
        <f t="shared" si="133"/>
        <v/>
      </c>
      <c r="LLT6" s="97" t="str">
        <f t="shared" si="133"/>
        <v/>
      </c>
      <c r="LLU6" s="97" t="str">
        <f t="shared" si="133"/>
        <v/>
      </c>
      <c r="LLV6" s="97" t="str">
        <f t="shared" si="133"/>
        <v/>
      </c>
      <c r="LLW6" s="97" t="str">
        <f t="shared" si="133"/>
        <v/>
      </c>
      <c r="LLX6" s="97" t="str">
        <f t="shared" si="133"/>
        <v/>
      </c>
      <c r="LLY6" s="97" t="str">
        <f t="shared" si="133"/>
        <v/>
      </c>
      <c r="LLZ6" s="97" t="str">
        <f t="shared" si="133"/>
        <v/>
      </c>
      <c r="LMA6" s="97" t="str">
        <f t="shared" si="133"/>
        <v/>
      </c>
      <c r="LMB6" s="97" t="str">
        <f t="shared" si="133"/>
        <v/>
      </c>
      <c r="LMC6" s="97" t="str">
        <f t="shared" si="133"/>
        <v/>
      </c>
      <c r="LMD6" s="97" t="str">
        <f t="shared" ref="LMD6:LOO6" si="134">IFERROR(AVERAGE(LMD7:LMD13),"")</f>
        <v/>
      </c>
      <c r="LME6" s="97" t="str">
        <f t="shared" si="134"/>
        <v/>
      </c>
      <c r="LMF6" s="97" t="str">
        <f t="shared" si="134"/>
        <v/>
      </c>
      <c r="LMG6" s="97" t="str">
        <f t="shared" si="134"/>
        <v/>
      </c>
      <c r="LMH6" s="97" t="str">
        <f t="shared" si="134"/>
        <v/>
      </c>
      <c r="LMI6" s="97" t="str">
        <f t="shared" si="134"/>
        <v/>
      </c>
      <c r="LMJ6" s="97" t="str">
        <f t="shared" si="134"/>
        <v/>
      </c>
      <c r="LMK6" s="97" t="str">
        <f t="shared" si="134"/>
        <v/>
      </c>
      <c r="LML6" s="97" t="str">
        <f t="shared" si="134"/>
        <v/>
      </c>
      <c r="LMM6" s="97" t="str">
        <f t="shared" si="134"/>
        <v/>
      </c>
      <c r="LMN6" s="97" t="str">
        <f t="shared" si="134"/>
        <v/>
      </c>
      <c r="LMO6" s="97" t="str">
        <f t="shared" si="134"/>
        <v/>
      </c>
      <c r="LMP6" s="97" t="str">
        <f t="shared" si="134"/>
        <v/>
      </c>
      <c r="LMQ6" s="97" t="str">
        <f t="shared" si="134"/>
        <v/>
      </c>
      <c r="LMR6" s="97" t="str">
        <f t="shared" si="134"/>
        <v/>
      </c>
      <c r="LMS6" s="97" t="str">
        <f t="shared" si="134"/>
        <v/>
      </c>
      <c r="LMT6" s="97" t="str">
        <f t="shared" si="134"/>
        <v/>
      </c>
      <c r="LMU6" s="97" t="str">
        <f t="shared" si="134"/>
        <v/>
      </c>
      <c r="LMV6" s="97" t="str">
        <f t="shared" si="134"/>
        <v/>
      </c>
      <c r="LMW6" s="97" t="str">
        <f t="shared" si="134"/>
        <v/>
      </c>
      <c r="LMX6" s="97" t="str">
        <f t="shared" si="134"/>
        <v/>
      </c>
      <c r="LMY6" s="97" t="str">
        <f t="shared" si="134"/>
        <v/>
      </c>
      <c r="LMZ6" s="97" t="str">
        <f t="shared" si="134"/>
        <v/>
      </c>
      <c r="LNA6" s="97" t="str">
        <f t="shared" si="134"/>
        <v/>
      </c>
      <c r="LNB6" s="97" t="str">
        <f t="shared" si="134"/>
        <v/>
      </c>
      <c r="LNC6" s="97" t="str">
        <f t="shared" si="134"/>
        <v/>
      </c>
      <c r="LND6" s="97" t="str">
        <f t="shared" si="134"/>
        <v/>
      </c>
      <c r="LNE6" s="97" t="str">
        <f t="shared" si="134"/>
        <v/>
      </c>
      <c r="LNF6" s="97" t="str">
        <f t="shared" si="134"/>
        <v/>
      </c>
      <c r="LNG6" s="97" t="str">
        <f t="shared" si="134"/>
        <v/>
      </c>
      <c r="LNH6" s="97" t="str">
        <f t="shared" si="134"/>
        <v/>
      </c>
      <c r="LNI6" s="97" t="str">
        <f t="shared" si="134"/>
        <v/>
      </c>
      <c r="LNJ6" s="97" t="str">
        <f t="shared" si="134"/>
        <v/>
      </c>
      <c r="LNK6" s="97" t="str">
        <f t="shared" si="134"/>
        <v/>
      </c>
      <c r="LNL6" s="97" t="str">
        <f t="shared" si="134"/>
        <v/>
      </c>
      <c r="LNM6" s="97" t="str">
        <f t="shared" si="134"/>
        <v/>
      </c>
      <c r="LNN6" s="97" t="str">
        <f t="shared" si="134"/>
        <v/>
      </c>
      <c r="LNO6" s="97" t="str">
        <f t="shared" si="134"/>
        <v/>
      </c>
      <c r="LNP6" s="97" t="str">
        <f t="shared" si="134"/>
        <v/>
      </c>
      <c r="LNQ6" s="97" t="str">
        <f t="shared" si="134"/>
        <v/>
      </c>
      <c r="LNR6" s="97" t="str">
        <f t="shared" si="134"/>
        <v/>
      </c>
      <c r="LNS6" s="97" t="str">
        <f t="shared" si="134"/>
        <v/>
      </c>
      <c r="LNT6" s="97" t="str">
        <f t="shared" si="134"/>
        <v/>
      </c>
      <c r="LNU6" s="97" t="str">
        <f t="shared" si="134"/>
        <v/>
      </c>
      <c r="LNV6" s="97" t="str">
        <f t="shared" si="134"/>
        <v/>
      </c>
      <c r="LNW6" s="97" t="str">
        <f t="shared" si="134"/>
        <v/>
      </c>
      <c r="LNX6" s="97" t="str">
        <f t="shared" si="134"/>
        <v/>
      </c>
      <c r="LNY6" s="97" t="str">
        <f t="shared" si="134"/>
        <v/>
      </c>
      <c r="LNZ6" s="97" t="str">
        <f t="shared" si="134"/>
        <v/>
      </c>
      <c r="LOA6" s="97" t="str">
        <f t="shared" si="134"/>
        <v/>
      </c>
      <c r="LOB6" s="97" t="str">
        <f t="shared" si="134"/>
        <v/>
      </c>
      <c r="LOC6" s="97" t="str">
        <f t="shared" si="134"/>
        <v/>
      </c>
      <c r="LOD6" s="97" t="str">
        <f t="shared" si="134"/>
        <v/>
      </c>
      <c r="LOE6" s="97" t="str">
        <f t="shared" si="134"/>
        <v/>
      </c>
      <c r="LOF6" s="97" t="str">
        <f t="shared" si="134"/>
        <v/>
      </c>
      <c r="LOG6" s="97" t="str">
        <f t="shared" si="134"/>
        <v/>
      </c>
      <c r="LOH6" s="97" t="str">
        <f t="shared" si="134"/>
        <v/>
      </c>
      <c r="LOI6" s="97" t="str">
        <f t="shared" si="134"/>
        <v/>
      </c>
      <c r="LOJ6" s="97" t="str">
        <f t="shared" si="134"/>
        <v/>
      </c>
      <c r="LOK6" s="97" t="str">
        <f t="shared" si="134"/>
        <v/>
      </c>
      <c r="LOL6" s="97" t="str">
        <f t="shared" si="134"/>
        <v/>
      </c>
      <c r="LOM6" s="97" t="str">
        <f t="shared" si="134"/>
        <v/>
      </c>
      <c r="LON6" s="97" t="str">
        <f t="shared" si="134"/>
        <v/>
      </c>
      <c r="LOO6" s="97" t="str">
        <f t="shared" si="134"/>
        <v/>
      </c>
      <c r="LOP6" s="97" t="str">
        <f t="shared" ref="LOP6:LRA6" si="135">IFERROR(AVERAGE(LOP7:LOP13),"")</f>
        <v/>
      </c>
      <c r="LOQ6" s="97" t="str">
        <f t="shared" si="135"/>
        <v/>
      </c>
      <c r="LOR6" s="97" t="str">
        <f t="shared" si="135"/>
        <v/>
      </c>
      <c r="LOS6" s="97" t="str">
        <f t="shared" si="135"/>
        <v/>
      </c>
      <c r="LOT6" s="97" t="str">
        <f t="shared" si="135"/>
        <v/>
      </c>
      <c r="LOU6" s="97" t="str">
        <f t="shared" si="135"/>
        <v/>
      </c>
      <c r="LOV6" s="97" t="str">
        <f t="shared" si="135"/>
        <v/>
      </c>
      <c r="LOW6" s="97" t="str">
        <f t="shared" si="135"/>
        <v/>
      </c>
      <c r="LOX6" s="97" t="str">
        <f t="shared" si="135"/>
        <v/>
      </c>
      <c r="LOY6" s="97" t="str">
        <f t="shared" si="135"/>
        <v/>
      </c>
      <c r="LOZ6" s="97" t="str">
        <f t="shared" si="135"/>
        <v/>
      </c>
      <c r="LPA6" s="97" t="str">
        <f t="shared" si="135"/>
        <v/>
      </c>
      <c r="LPB6" s="97" t="str">
        <f t="shared" si="135"/>
        <v/>
      </c>
      <c r="LPC6" s="97" t="str">
        <f t="shared" si="135"/>
        <v/>
      </c>
      <c r="LPD6" s="97" t="str">
        <f t="shared" si="135"/>
        <v/>
      </c>
      <c r="LPE6" s="97" t="str">
        <f t="shared" si="135"/>
        <v/>
      </c>
      <c r="LPF6" s="97" t="str">
        <f t="shared" si="135"/>
        <v/>
      </c>
      <c r="LPG6" s="97" t="str">
        <f t="shared" si="135"/>
        <v/>
      </c>
      <c r="LPH6" s="97" t="str">
        <f t="shared" si="135"/>
        <v/>
      </c>
      <c r="LPI6" s="97" t="str">
        <f t="shared" si="135"/>
        <v/>
      </c>
      <c r="LPJ6" s="97" t="str">
        <f t="shared" si="135"/>
        <v/>
      </c>
      <c r="LPK6" s="97" t="str">
        <f t="shared" si="135"/>
        <v/>
      </c>
      <c r="LPL6" s="97" t="str">
        <f t="shared" si="135"/>
        <v/>
      </c>
      <c r="LPM6" s="97" t="str">
        <f t="shared" si="135"/>
        <v/>
      </c>
      <c r="LPN6" s="97" t="str">
        <f t="shared" si="135"/>
        <v/>
      </c>
      <c r="LPO6" s="97" t="str">
        <f t="shared" si="135"/>
        <v/>
      </c>
      <c r="LPP6" s="97" t="str">
        <f t="shared" si="135"/>
        <v/>
      </c>
      <c r="LPQ6" s="97" t="str">
        <f t="shared" si="135"/>
        <v/>
      </c>
      <c r="LPR6" s="97" t="str">
        <f t="shared" si="135"/>
        <v/>
      </c>
      <c r="LPS6" s="97" t="str">
        <f t="shared" si="135"/>
        <v/>
      </c>
      <c r="LPT6" s="97" t="str">
        <f t="shared" si="135"/>
        <v/>
      </c>
      <c r="LPU6" s="97" t="str">
        <f t="shared" si="135"/>
        <v/>
      </c>
      <c r="LPV6" s="97" t="str">
        <f t="shared" si="135"/>
        <v/>
      </c>
      <c r="LPW6" s="97" t="str">
        <f t="shared" si="135"/>
        <v/>
      </c>
      <c r="LPX6" s="97" t="str">
        <f t="shared" si="135"/>
        <v/>
      </c>
      <c r="LPY6" s="97" t="str">
        <f t="shared" si="135"/>
        <v/>
      </c>
      <c r="LPZ6" s="97" t="str">
        <f t="shared" si="135"/>
        <v/>
      </c>
      <c r="LQA6" s="97" t="str">
        <f t="shared" si="135"/>
        <v/>
      </c>
      <c r="LQB6" s="97" t="str">
        <f t="shared" si="135"/>
        <v/>
      </c>
      <c r="LQC6" s="97" t="str">
        <f t="shared" si="135"/>
        <v/>
      </c>
      <c r="LQD6" s="97" t="str">
        <f t="shared" si="135"/>
        <v/>
      </c>
      <c r="LQE6" s="97" t="str">
        <f t="shared" si="135"/>
        <v/>
      </c>
      <c r="LQF6" s="97" t="str">
        <f t="shared" si="135"/>
        <v/>
      </c>
      <c r="LQG6" s="97" t="str">
        <f t="shared" si="135"/>
        <v/>
      </c>
      <c r="LQH6" s="97" t="str">
        <f t="shared" si="135"/>
        <v/>
      </c>
      <c r="LQI6" s="97" t="str">
        <f t="shared" si="135"/>
        <v/>
      </c>
      <c r="LQJ6" s="97" t="str">
        <f t="shared" si="135"/>
        <v/>
      </c>
      <c r="LQK6" s="97" t="str">
        <f t="shared" si="135"/>
        <v/>
      </c>
      <c r="LQL6" s="97" t="str">
        <f t="shared" si="135"/>
        <v/>
      </c>
      <c r="LQM6" s="97" t="str">
        <f t="shared" si="135"/>
        <v/>
      </c>
      <c r="LQN6" s="97" t="str">
        <f t="shared" si="135"/>
        <v/>
      </c>
      <c r="LQO6" s="97" t="str">
        <f t="shared" si="135"/>
        <v/>
      </c>
      <c r="LQP6" s="97" t="str">
        <f t="shared" si="135"/>
        <v/>
      </c>
      <c r="LQQ6" s="97" t="str">
        <f t="shared" si="135"/>
        <v/>
      </c>
      <c r="LQR6" s="97" t="str">
        <f t="shared" si="135"/>
        <v/>
      </c>
      <c r="LQS6" s="97" t="str">
        <f t="shared" si="135"/>
        <v/>
      </c>
      <c r="LQT6" s="97" t="str">
        <f t="shared" si="135"/>
        <v/>
      </c>
      <c r="LQU6" s="97" t="str">
        <f t="shared" si="135"/>
        <v/>
      </c>
      <c r="LQV6" s="97" t="str">
        <f t="shared" si="135"/>
        <v/>
      </c>
      <c r="LQW6" s="97" t="str">
        <f t="shared" si="135"/>
        <v/>
      </c>
      <c r="LQX6" s="97" t="str">
        <f t="shared" si="135"/>
        <v/>
      </c>
      <c r="LQY6" s="97" t="str">
        <f t="shared" si="135"/>
        <v/>
      </c>
      <c r="LQZ6" s="97" t="str">
        <f t="shared" si="135"/>
        <v/>
      </c>
      <c r="LRA6" s="97" t="str">
        <f t="shared" si="135"/>
        <v/>
      </c>
      <c r="LRB6" s="97" t="str">
        <f t="shared" ref="LRB6:LTM6" si="136">IFERROR(AVERAGE(LRB7:LRB13),"")</f>
        <v/>
      </c>
      <c r="LRC6" s="97" t="str">
        <f t="shared" si="136"/>
        <v/>
      </c>
      <c r="LRD6" s="97" t="str">
        <f t="shared" si="136"/>
        <v/>
      </c>
      <c r="LRE6" s="97" t="str">
        <f t="shared" si="136"/>
        <v/>
      </c>
      <c r="LRF6" s="97" t="str">
        <f t="shared" si="136"/>
        <v/>
      </c>
      <c r="LRG6" s="97" t="str">
        <f t="shared" si="136"/>
        <v/>
      </c>
      <c r="LRH6" s="97" t="str">
        <f t="shared" si="136"/>
        <v/>
      </c>
      <c r="LRI6" s="97" t="str">
        <f t="shared" si="136"/>
        <v/>
      </c>
      <c r="LRJ6" s="97" t="str">
        <f t="shared" si="136"/>
        <v/>
      </c>
      <c r="LRK6" s="97" t="str">
        <f t="shared" si="136"/>
        <v/>
      </c>
      <c r="LRL6" s="97" t="str">
        <f t="shared" si="136"/>
        <v/>
      </c>
      <c r="LRM6" s="97" t="str">
        <f t="shared" si="136"/>
        <v/>
      </c>
      <c r="LRN6" s="97" t="str">
        <f t="shared" si="136"/>
        <v/>
      </c>
      <c r="LRO6" s="97" t="str">
        <f t="shared" si="136"/>
        <v/>
      </c>
      <c r="LRP6" s="97" t="str">
        <f t="shared" si="136"/>
        <v/>
      </c>
      <c r="LRQ6" s="97" t="str">
        <f t="shared" si="136"/>
        <v/>
      </c>
      <c r="LRR6" s="97" t="str">
        <f t="shared" si="136"/>
        <v/>
      </c>
      <c r="LRS6" s="97" t="str">
        <f t="shared" si="136"/>
        <v/>
      </c>
      <c r="LRT6" s="97" t="str">
        <f t="shared" si="136"/>
        <v/>
      </c>
      <c r="LRU6" s="97" t="str">
        <f t="shared" si="136"/>
        <v/>
      </c>
      <c r="LRV6" s="97" t="str">
        <f t="shared" si="136"/>
        <v/>
      </c>
      <c r="LRW6" s="97" t="str">
        <f t="shared" si="136"/>
        <v/>
      </c>
      <c r="LRX6" s="97" t="str">
        <f t="shared" si="136"/>
        <v/>
      </c>
      <c r="LRY6" s="97" t="str">
        <f t="shared" si="136"/>
        <v/>
      </c>
      <c r="LRZ6" s="97" t="str">
        <f t="shared" si="136"/>
        <v/>
      </c>
      <c r="LSA6" s="97" t="str">
        <f t="shared" si="136"/>
        <v/>
      </c>
      <c r="LSB6" s="97" t="str">
        <f t="shared" si="136"/>
        <v/>
      </c>
      <c r="LSC6" s="97" t="str">
        <f t="shared" si="136"/>
        <v/>
      </c>
      <c r="LSD6" s="97" t="str">
        <f t="shared" si="136"/>
        <v/>
      </c>
      <c r="LSE6" s="97" t="str">
        <f t="shared" si="136"/>
        <v/>
      </c>
      <c r="LSF6" s="97" t="str">
        <f t="shared" si="136"/>
        <v/>
      </c>
      <c r="LSG6" s="97" t="str">
        <f t="shared" si="136"/>
        <v/>
      </c>
      <c r="LSH6" s="97" t="str">
        <f t="shared" si="136"/>
        <v/>
      </c>
      <c r="LSI6" s="97" t="str">
        <f t="shared" si="136"/>
        <v/>
      </c>
      <c r="LSJ6" s="97" t="str">
        <f t="shared" si="136"/>
        <v/>
      </c>
      <c r="LSK6" s="97" t="str">
        <f t="shared" si="136"/>
        <v/>
      </c>
      <c r="LSL6" s="97" t="str">
        <f t="shared" si="136"/>
        <v/>
      </c>
      <c r="LSM6" s="97" t="str">
        <f t="shared" si="136"/>
        <v/>
      </c>
      <c r="LSN6" s="97" t="str">
        <f t="shared" si="136"/>
        <v/>
      </c>
      <c r="LSO6" s="97" t="str">
        <f t="shared" si="136"/>
        <v/>
      </c>
      <c r="LSP6" s="97" t="str">
        <f t="shared" si="136"/>
        <v/>
      </c>
      <c r="LSQ6" s="97" t="str">
        <f t="shared" si="136"/>
        <v/>
      </c>
      <c r="LSR6" s="97" t="str">
        <f t="shared" si="136"/>
        <v/>
      </c>
      <c r="LSS6" s="97" t="str">
        <f t="shared" si="136"/>
        <v/>
      </c>
      <c r="LST6" s="97" t="str">
        <f t="shared" si="136"/>
        <v/>
      </c>
      <c r="LSU6" s="97" t="str">
        <f t="shared" si="136"/>
        <v/>
      </c>
      <c r="LSV6" s="97" t="str">
        <f t="shared" si="136"/>
        <v/>
      </c>
      <c r="LSW6" s="97" t="str">
        <f t="shared" si="136"/>
        <v/>
      </c>
      <c r="LSX6" s="97" t="str">
        <f t="shared" si="136"/>
        <v/>
      </c>
      <c r="LSY6" s="97" t="str">
        <f t="shared" si="136"/>
        <v/>
      </c>
      <c r="LSZ6" s="97" t="str">
        <f t="shared" si="136"/>
        <v/>
      </c>
      <c r="LTA6" s="97" t="str">
        <f t="shared" si="136"/>
        <v/>
      </c>
      <c r="LTB6" s="97" t="str">
        <f t="shared" si="136"/>
        <v/>
      </c>
      <c r="LTC6" s="97" t="str">
        <f t="shared" si="136"/>
        <v/>
      </c>
      <c r="LTD6" s="97" t="str">
        <f t="shared" si="136"/>
        <v/>
      </c>
      <c r="LTE6" s="97" t="str">
        <f t="shared" si="136"/>
        <v/>
      </c>
      <c r="LTF6" s="97" t="str">
        <f t="shared" si="136"/>
        <v/>
      </c>
      <c r="LTG6" s="97" t="str">
        <f t="shared" si="136"/>
        <v/>
      </c>
      <c r="LTH6" s="97" t="str">
        <f t="shared" si="136"/>
        <v/>
      </c>
      <c r="LTI6" s="97" t="str">
        <f t="shared" si="136"/>
        <v/>
      </c>
      <c r="LTJ6" s="97" t="str">
        <f t="shared" si="136"/>
        <v/>
      </c>
      <c r="LTK6" s="97" t="str">
        <f t="shared" si="136"/>
        <v/>
      </c>
      <c r="LTL6" s="97" t="str">
        <f t="shared" si="136"/>
        <v/>
      </c>
      <c r="LTM6" s="97" t="str">
        <f t="shared" si="136"/>
        <v/>
      </c>
      <c r="LTN6" s="97" t="str">
        <f t="shared" ref="LTN6:LVY6" si="137">IFERROR(AVERAGE(LTN7:LTN13),"")</f>
        <v/>
      </c>
      <c r="LTO6" s="97" t="str">
        <f t="shared" si="137"/>
        <v/>
      </c>
      <c r="LTP6" s="97" t="str">
        <f t="shared" si="137"/>
        <v/>
      </c>
      <c r="LTQ6" s="97" t="str">
        <f t="shared" si="137"/>
        <v/>
      </c>
      <c r="LTR6" s="97" t="str">
        <f t="shared" si="137"/>
        <v/>
      </c>
      <c r="LTS6" s="97" t="str">
        <f t="shared" si="137"/>
        <v/>
      </c>
      <c r="LTT6" s="97" t="str">
        <f t="shared" si="137"/>
        <v/>
      </c>
      <c r="LTU6" s="97" t="str">
        <f t="shared" si="137"/>
        <v/>
      </c>
      <c r="LTV6" s="97" t="str">
        <f t="shared" si="137"/>
        <v/>
      </c>
      <c r="LTW6" s="97" t="str">
        <f t="shared" si="137"/>
        <v/>
      </c>
      <c r="LTX6" s="97" t="str">
        <f t="shared" si="137"/>
        <v/>
      </c>
      <c r="LTY6" s="97" t="str">
        <f t="shared" si="137"/>
        <v/>
      </c>
      <c r="LTZ6" s="97" t="str">
        <f t="shared" si="137"/>
        <v/>
      </c>
      <c r="LUA6" s="97" t="str">
        <f t="shared" si="137"/>
        <v/>
      </c>
      <c r="LUB6" s="97" t="str">
        <f t="shared" si="137"/>
        <v/>
      </c>
      <c r="LUC6" s="97" t="str">
        <f t="shared" si="137"/>
        <v/>
      </c>
      <c r="LUD6" s="97" t="str">
        <f t="shared" si="137"/>
        <v/>
      </c>
      <c r="LUE6" s="97" t="str">
        <f t="shared" si="137"/>
        <v/>
      </c>
      <c r="LUF6" s="97" t="str">
        <f t="shared" si="137"/>
        <v/>
      </c>
      <c r="LUG6" s="97" t="str">
        <f t="shared" si="137"/>
        <v/>
      </c>
      <c r="LUH6" s="97" t="str">
        <f t="shared" si="137"/>
        <v/>
      </c>
      <c r="LUI6" s="97" t="str">
        <f t="shared" si="137"/>
        <v/>
      </c>
      <c r="LUJ6" s="97" t="str">
        <f t="shared" si="137"/>
        <v/>
      </c>
      <c r="LUK6" s="97" t="str">
        <f t="shared" si="137"/>
        <v/>
      </c>
      <c r="LUL6" s="97" t="str">
        <f t="shared" si="137"/>
        <v/>
      </c>
      <c r="LUM6" s="97" t="str">
        <f t="shared" si="137"/>
        <v/>
      </c>
      <c r="LUN6" s="97" t="str">
        <f t="shared" si="137"/>
        <v/>
      </c>
      <c r="LUO6" s="97" t="str">
        <f t="shared" si="137"/>
        <v/>
      </c>
      <c r="LUP6" s="97" t="str">
        <f t="shared" si="137"/>
        <v/>
      </c>
      <c r="LUQ6" s="97" t="str">
        <f t="shared" si="137"/>
        <v/>
      </c>
      <c r="LUR6" s="97" t="str">
        <f t="shared" si="137"/>
        <v/>
      </c>
      <c r="LUS6" s="97" t="str">
        <f t="shared" si="137"/>
        <v/>
      </c>
      <c r="LUT6" s="97" t="str">
        <f t="shared" si="137"/>
        <v/>
      </c>
      <c r="LUU6" s="97" t="str">
        <f t="shared" si="137"/>
        <v/>
      </c>
      <c r="LUV6" s="97" t="str">
        <f t="shared" si="137"/>
        <v/>
      </c>
      <c r="LUW6" s="97" t="str">
        <f t="shared" si="137"/>
        <v/>
      </c>
      <c r="LUX6" s="97" t="str">
        <f t="shared" si="137"/>
        <v/>
      </c>
      <c r="LUY6" s="97" t="str">
        <f t="shared" si="137"/>
        <v/>
      </c>
      <c r="LUZ6" s="97" t="str">
        <f t="shared" si="137"/>
        <v/>
      </c>
      <c r="LVA6" s="97" t="str">
        <f t="shared" si="137"/>
        <v/>
      </c>
      <c r="LVB6" s="97" t="str">
        <f t="shared" si="137"/>
        <v/>
      </c>
      <c r="LVC6" s="97" t="str">
        <f t="shared" si="137"/>
        <v/>
      </c>
      <c r="LVD6" s="97" t="str">
        <f t="shared" si="137"/>
        <v/>
      </c>
      <c r="LVE6" s="97" t="str">
        <f t="shared" si="137"/>
        <v/>
      </c>
      <c r="LVF6" s="97" t="str">
        <f t="shared" si="137"/>
        <v/>
      </c>
      <c r="LVG6" s="97" t="str">
        <f t="shared" si="137"/>
        <v/>
      </c>
      <c r="LVH6" s="97" t="str">
        <f t="shared" si="137"/>
        <v/>
      </c>
      <c r="LVI6" s="97" t="str">
        <f t="shared" si="137"/>
        <v/>
      </c>
      <c r="LVJ6" s="97" t="str">
        <f t="shared" si="137"/>
        <v/>
      </c>
      <c r="LVK6" s="97" t="str">
        <f t="shared" si="137"/>
        <v/>
      </c>
      <c r="LVL6" s="97" t="str">
        <f t="shared" si="137"/>
        <v/>
      </c>
      <c r="LVM6" s="97" t="str">
        <f t="shared" si="137"/>
        <v/>
      </c>
      <c r="LVN6" s="97" t="str">
        <f t="shared" si="137"/>
        <v/>
      </c>
      <c r="LVO6" s="97" t="str">
        <f t="shared" si="137"/>
        <v/>
      </c>
      <c r="LVP6" s="97" t="str">
        <f t="shared" si="137"/>
        <v/>
      </c>
      <c r="LVQ6" s="97" t="str">
        <f t="shared" si="137"/>
        <v/>
      </c>
      <c r="LVR6" s="97" t="str">
        <f t="shared" si="137"/>
        <v/>
      </c>
      <c r="LVS6" s="97" t="str">
        <f t="shared" si="137"/>
        <v/>
      </c>
      <c r="LVT6" s="97" t="str">
        <f t="shared" si="137"/>
        <v/>
      </c>
      <c r="LVU6" s="97" t="str">
        <f t="shared" si="137"/>
        <v/>
      </c>
      <c r="LVV6" s="97" t="str">
        <f t="shared" si="137"/>
        <v/>
      </c>
      <c r="LVW6" s="97" t="str">
        <f t="shared" si="137"/>
        <v/>
      </c>
      <c r="LVX6" s="97" t="str">
        <f t="shared" si="137"/>
        <v/>
      </c>
      <c r="LVY6" s="97" t="str">
        <f t="shared" si="137"/>
        <v/>
      </c>
      <c r="LVZ6" s="97" t="str">
        <f t="shared" ref="LVZ6:LYK6" si="138">IFERROR(AVERAGE(LVZ7:LVZ13),"")</f>
        <v/>
      </c>
      <c r="LWA6" s="97" t="str">
        <f t="shared" si="138"/>
        <v/>
      </c>
      <c r="LWB6" s="97" t="str">
        <f t="shared" si="138"/>
        <v/>
      </c>
      <c r="LWC6" s="97" t="str">
        <f t="shared" si="138"/>
        <v/>
      </c>
      <c r="LWD6" s="97" t="str">
        <f t="shared" si="138"/>
        <v/>
      </c>
      <c r="LWE6" s="97" t="str">
        <f t="shared" si="138"/>
        <v/>
      </c>
      <c r="LWF6" s="97" t="str">
        <f t="shared" si="138"/>
        <v/>
      </c>
      <c r="LWG6" s="97" t="str">
        <f t="shared" si="138"/>
        <v/>
      </c>
      <c r="LWH6" s="97" t="str">
        <f t="shared" si="138"/>
        <v/>
      </c>
      <c r="LWI6" s="97" t="str">
        <f t="shared" si="138"/>
        <v/>
      </c>
      <c r="LWJ6" s="97" t="str">
        <f t="shared" si="138"/>
        <v/>
      </c>
      <c r="LWK6" s="97" t="str">
        <f t="shared" si="138"/>
        <v/>
      </c>
      <c r="LWL6" s="97" t="str">
        <f t="shared" si="138"/>
        <v/>
      </c>
      <c r="LWM6" s="97" t="str">
        <f t="shared" si="138"/>
        <v/>
      </c>
      <c r="LWN6" s="97" t="str">
        <f t="shared" si="138"/>
        <v/>
      </c>
      <c r="LWO6" s="97" t="str">
        <f t="shared" si="138"/>
        <v/>
      </c>
      <c r="LWP6" s="97" t="str">
        <f t="shared" si="138"/>
        <v/>
      </c>
      <c r="LWQ6" s="97" t="str">
        <f t="shared" si="138"/>
        <v/>
      </c>
      <c r="LWR6" s="97" t="str">
        <f t="shared" si="138"/>
        <v/>
      </c>
      <c r="LWS6" s="97" t="str">
        <f t="shared" si="138"/>
        <v/>
      </c>
      <c r="LWT6" s="97" t="str">
        <f t="shared" si="138"/>
        <v/>
      </c>
      <c r="LWU6" s="97" t="str">
        <f t="shared" si="138"/>
        <v/>
      </c>
      <c r="LWV6" s="97" t="str">
        <f t="shared" si="138"/>
        <v/>
      </c>
      <c r="LWW6" s="97" t="str">
        <f t="shared" si="138"/>
        <v/>
      </c>
      <c r="LWX6" s="97" t="str">
        <f t="shared" si="138"/>
        <v/>
      </c>
      <c r="LWY6" s="97" t="str">
        <f t="shared" si="138"/>
        <v/>
      </c>
      <c r="LWZ6" s="97" t="str">
        <f t="shared" si="138"/>
        <v/>
      </c>
      <c r="LXA6" s="97" t="str">
        <f t="shared" si="138"/>
        <v/>
      </c>
      <c r="LXB6" s="97" t="str">
        <f t="shared" si="138"/>
        <v/>
      </c>
      <c r="LXC6" s="97" t="str">
        <f t="shared" si="138"/>
        <v/>
      </c>
      <c r="LXD6" s="97" t="str">
        <f t="shared" si="138"/>
        <v/>
      </c>
      <c r="LXE6" s="97" t="str">
        <f t="shared" si="138"/>
        <v/>
      </c>
      <c r="LXF6" s="97" t="str">
        <f t="shared" si="138"/>
        <v/>
      </c>
      <c r="LXG6" s="97" t="str">
        <f t="shared" si="138"/>
        <v/>
      </c>
      <c r="LXH6" s="97" t="str">
        <f t="shared" si="138"/>
        <v/>
      </c>
      <c r="LXI6" s="97" t="str">
        <f t="shared" si="138"/>
        <v/>
      </c>
      <c r="LXJ6" s="97" t="str">
        <f t="shared" si="138"/>
        <v/>
      </c>
      <c r="LXK6" s="97" t="str">
        <f t="shared" si="138"/>
        <v/>
      </c>
      <c r="LXL6" s="97" t="str">
        <f t="shared" si="138"/>
        <v/>
      </c>
      <c r="LXM6" s="97" t="str">
        <f t="shared" si="138"/>
        <v/>
      </c>
      <c r="LXN6" s="97" t="str">
        <f t="shared" si="138"/>
        <v/>
      </c>
      <c r="LXO6" s="97" t="str">
        <f t="shared" si="138"/>
        <v/>
      </c>
      <c r="LXP6" s="97" t="str">
        <f t="shared" si="138"/>
        <v/>
      </c>
      <c r="LXQ6" s="97" t="str">
        <f t="shared" si="138"/>
        <v/>
      </c>
      <c r="LXR6" s="97" t="str">
        <f t="shared" si="138"/>
        <v/>
      </c>
      <c r="LXS6" s="97" t="str">
        <f t="shared" si="138"/>
        <v/>
      </c>
      <c r="LXT6" s="97" t="str">
        <f t="shared" si="138"/>
        <v/>
      </c>
      <c r="LXU6" s="97" t="str">
        <f t="shared" si="138"/>
        <v/>
      </c>
      <c r="LXV6" s="97" t="str">
        <f t="shared" si="138"/>
        <v/>
      </c>
      <c r="LXW6" s="97" t="str">
        <f t="shared" si="138"/>
        <v/>
      </c>
      <c r="LXX6" s="97" t="str">
        <f t="shared" si="138"/>
        <v/>
      </c>
      <c r="LXY6" s="97" t="str">
        <f t="shared" si="138"/>
        <v/>
      </c>
      <c r="LXZ6" s="97" t="str">
        <f t="shared" si="138"/>
        <v/>
      </c>
      <c r="LYA6" s="97" t="str">
        <f t="shared" si="138"/>
        <v/>
      </c>
      <c r="LYB6" s="97" t="str">
        <f t="shared" si="138"/>
        <v/>
      </c>
      <c r="LYC6" s="97" t="str">
        <f t="shared" si="138"/>
        <v/>
      </c>
      <c r="LYD6" s="97" t="str">
        <f t="shared" si="138"/>
        <v/>
      </c>
      <c r="LYE6" s="97" t="str">
        <f t="shared" si="138"/>
        <v/>
      </c>
      <c r="LYF6" s="97" t="str">
        <f t="shared" si="138"/>
        <v/>
      </c>
      <c r="LYG6" s="97" t="str">
        <f t="shared" si="138"/>
        <v/>
      </c>
      <c r="LYH6" s="97" t="str">
        <f t="shared" si="138"/>
        <v/>
      </c>
      <c r="LYI6" s="97" t="str">
        <f t="shared" si="138"/>
        <v/>
      </c>
      <c r="LYJ6" s="97" t="str">
        <f t="shared" si="138"/>
        <v/>
      </c>
      <c r="LYK6" s="97" t="str">
        <f t="shared" si="138"/>
        <v/>
      </c>
      <c r="LYL6" s="97" t="str">
        <f t="shared" ref="LYL6:MAW6" si="139">IFERROR(AVERAGE(LYL7:LYL13),"")</f>
        <v/>
      </c>
      <c r="LYM6" s="97" t="str">
        <f t="shared" si="139"/>
        <v/>
      </c>
      <c r="LYN6" s="97" t="str">
        <f t="shared" si="139"/>
        <v/>
      </c>
      <c r="LYO6" s="97" t="str">
        <f t="shared" si="139"/>
        <v/>
      </c>
      <c r="LYP6" s="97" t="str">
        <f t="shared" si="139"/>
        <v/>
      </c>
      <c r="LYQ6" s="97" t="str">
        <f t="shared" si="139"/>
        <v/>
      </c>
      <c r="LYR6" s="97" t="str">
        <f t="shared" si="139"/>
        <v/>
      </c>
      <c r="LYS6" s="97" t="str">
        <f t="shared" si="139"/>
        <v/>
      </c>
      <c r="LYT6" s="97" t="str">
        <f t="shared" si="139"/>
        <v/>
      </c>
      <c r="LYU6" s="97" t="str">
        <f t="shared" si="139"/>
        <v/>
      </c>
      <c r="LYV6" s="97" t="str">
        <f t="shared" si="139"/>
        <v/>
      </c>
      <c r="LYW6" s="97" t="str">
        <f t="shared" si="139"/>
        <v/>
      </c>
      <c r="LYX6" s="97" t="str">
        <f t="shared" si="139"/>
        <v/>
      </c>
      <c r="LYY6" s="97" t="str">
        <f t="shared" si="139"/>
        <v/>
      </c>
      <c r="LYZ6" s="97" t="str">
        <f t="shared" si="139"/>
        <v/>
      </c>
      <c r="LZA6" s="97" t="str">
        <f t="shared" si="139"/>
        <v/>
      </c>
      <c r="LZB6" s="97" t="str">
        <f t="shared" si="139"/>
        <v/>
      </c>
      <c r="LZC6" s="97" t="str">
        <f t="shared" si="139"/>
        <v/>
      </c>
      <c r="LZD6" s="97" t="str">
        <f t="shared" si="139"/>
        <v/>
      </c>
      <c r="LZE6" s="97" t="str">
        <f t="shared" si="139"/>
        <v/>
      </c>
      <c r="LZF6" s="97" t="str">
        <f t="shared" si="139"/>
        <v/>
      </c>
      <c r="LZG6" s="97" t="str">
        <f t="shared" si="139"/>
        <v/>
      </c>
      <c r="LZH6" s="97" t="str">
        <f t="shared" si="139"/>
        <v/>
      </c>
      <c r="LZI6" s="97" t="str">
        <f t="shared" si="139"/>
        <v/>
      </c>
      <c r="LZJ6" s="97" t="str">
        <f t="shared" si="139"/>
        <v/>
      </c>
      <c r="LZK6" s="97" t="str">
        <f t="shared" si="139"/>
        <v/>
      </c>
      <c r="LZL6" s="97" t="str">
        <f t="shared" si="139"/>
        <v/>
      </c>
      <c r="LZM6" s="97" t="str">
        <f t="shared" si="139"/>
        <v/>
      </c>
      <c r="LZN6" s="97" t="str">
        <f t="shared" si="139"/>
        <v/>
      </c>
      <c r="LZO6" s="97" t="str">
        <f t="shared" si="139"/>
        <v/>
      </c>
      <c r="LZP6" s="97" t="str">
        <f t="shared" si="139"/>
        <v/>
      </c>
      <c r="LZQ6" s="97" t="str">
        <f t="shared" si="139"/>
        <v/>
      </c>
      <c r="LZR6" s="97" t="str">
        <f t="shared" si="139"/>
        <v/>
      </c>
      <c r="LZS6" s="97" t="str">
        <f t="shared" si="139"/>
        <v/>
      </c>
      <c r="LZT6" s="97" t="str">
        <f t="shared" si="139"/>
        <v/>
      </c>
      <c r="LZU6" s="97" t="str">
        <f t="shared" si="139"/>
        <v/>
      </c>
      <c r="LZV6" s="97" t="str">
        <f t="shared" si="139"/>
        <v/>
      </c>
      <c r="LZW6" s="97" t="str">
        <f t="shared" si="139"/>
        <v/>
      </c>
      <c r="LZX6" s="97" t="str">
        <f t="shared" si="139"/>
        <v/>
      </c>
      <c r="LZY6" s="97" t="str">
        <f t="shared" si="139"/>
        <v/>
      </c>
      <c r="LZZ6" s="97" t="str">
        <f t="shared" si="139"/>
        <v/>
      </c>
      <c r="MAA6" s="97" t="str">
        <f t="shared" si="139"/>
        <v/>
      </c>
      <c r="MAB6" s="97" t="str">
        <f t="shared" si="139"/>
        <v/>
      </c>
      <c r="MAC6" s="97" t="str">
        <f t="shared" si="139"/>
        <v/>
      </c>
      <c r="MAD6" s="97" t="str">
        <f t="shared" si="139"/>
        <v/>
      </c>
      <c r="MAE6" s="97" t="str">
        <f t="shared" si="139"/>
        <v/>
      </c>
      <c r="MAF6" s="97" t="str">
        <f t="shared" si="139"/>
        <v/>
      </c>
      <c r="MAG6" s="97" t="str">
        <f t="shared" si="139"/>
        <v/>
      </c>
      <c r="MAH6" s="97" t="str">
        <f t="shared" si="139"/>
        <v/>
      </c>
      <c r="MAI6" s="97" t="str">
        <f t="shared" si="139"/>
        <v/>
      </c>
      <c r="MAJ6" s="97" t="str">
        <f t="shared" si="139"/>
        <v/>
      </c>
      <c r="MAK6" s="97" t="str">
        <f t="shared" si="139"/>
        <v/>
      </c>
      <c r="MAL6" s="97" t="str">
        <f t="shared" si="139"/>
        <v/>
      </c>
      <c r="MAM6" s="97" t="str">
        <f t="shared" si="139"/>
        <v/>
      </c>
      <c r="MAN6" s="97" t="str">
        <f t="shared" si="139"/>
        <v/>
      </c>
      <c r="MAO6" s="97" t="str">
        <f t="shared" si="139"/>
        <v/>
      </c>
      <c r="MAP6" s="97" t="str">
        <f t="shared" si="139"/>
        <v/>
      </c>
      <c r="MAQ6" s="97" t="str">
        <f t="shared" si="139"/>
        <v/>
      </c>
      <c r="MAR6" s="97" t="str">
        <f t="shared" si="139"/>
        <v/>
      </c>
      <c r="MAS6" s="97" t="str">
        <f t="shared" si="139"/>
        <v/>
      </c>
      <c r="MAT6" s="97" t="str">
        <f t="shared" si="139"/>
        <v/>
      </c>
      <c r="MAU6" s="97" t="str">
        <f t="shared" si="139"/>
        <v/>
      </c>
      <c r="MAV6" s="97" t="str">
        <f t="shared" si="139"/>
        <v/>
      </c>
      <c r="MAW6" s="97" t="str">
        <f t="shared" si="139"/>
        <v/>
      </c>
      <c r="MAX6" s="97" t="str">
        <f t="shared" ref="MAX6:MDI6" si="140">IFERROR(AVERAGE(MAX7:MAX13),"")</f>
        <v/>
      </c>
      <c r="MAY6" s="97" t="str">
        <f t="shared" si="140"/>
        <v/>
      </c>
      <c r="MAZ6" s="97" t="str">
        <f t="shared" si="140"/>
        <v/>
      </c>
      <c r="MBA6" s="97" t="str">
        <f t="shared" si="140"/>
        <v/>
      </c>
      <c r="MBB6" s="97" t="str">
        <f t="shared" si="140"/>
        <v/>
      </c>
      <c r="MBC6" s="97" t="str">
        <f t="shared" si="140"/>
        <v/>
      </c>
      <c r="MBD6" s="97" t="str">
        <f t="shared" si="140"/>
        <v/>
      </c>
      <c r="MBE6" s="97" t="str">
        <f t="shared" si="140"/>
        <v/>
      </c>
      <c r="MBF6" s="97" t="str">
        <f t="shared" si="140"/>
        <v/>
      </c>
      <c r="MBG6" s="97" t="str">
        <f t="shared" si="140"/>
        <v/>
      </c>
      <c r="MBH6" s="97" t="str">
        <f t="shared" si="140"/>
        <v/>
      </c>
      <c r="MBI6" s="97" t="str">
        <f t="shared" si="140"/>
        <v/>
      </c>
      <c r="MBJ6" s="97" t="str">
        <f t="shared" si="140"/>
        <v/>
      </c>
      <c r="MBK6" s="97" t="str">
        <f t="shared" si="140"/>
        <v/>
      </c>
      <c r="MBL6" s="97" t="str">
        <f t="shared" si="140"/>
        <v/>
      </c>
      <c r="MBM6" s="97" t="str">
        <f t="shared" si="140"/>
        <v/>
      </c>
      <c r="MBN6" s="97" t="str">
        <f t="shared" si="140"/>
        <v/>
      </c>
      <c r="MBO6" s="97" t="str">
        <f t="shared" si="140"/>
        <v/>
      </c>
      <c r="MBP6" s="97" t="str">
        <f t="shared" si="140"/>
        <v/>
      </c>
      <c r="MBQ6" s="97" t="str">
        <f t="shared" si="140"/>
        <v/>
      </c>
      <c r="MBR6" s="97" t="str">
        <f t="shared" si="140"/>
        <v/>
      </c>
      <c r="MBS6" s="97" t="str">
        <f t="shared" si="140"/>
        <v/>
      </c>
      <c r="MBT6" s="97" t="str">
        <f t="shared" si="140"/>
        <v/>
      </c>
      <c r="MBU6" s="97" t="str">
        <f t="shared" si="140"/>
        <v/>
      </c>
      <c r="MBV6" s="97" t="str">
        <f t="shared" si="140"/>
        <v/>
      </c>
      <c r="MBW6" s="97" t="str">
        <f t="shared" si="140"/>
        <v/>
      </c>
      <c r="MBX6" s="97" t="str">
        <f t="shared" si="140"/>
        <v/>
      </c>
      <c r="MBY6" s="97" t="str">
        <f t="shared" si="140"/>
        <v/>
      </c>
      <c r="MBZ6" s="97" t="str">
        <f t="shared" si="140"/>
        <v/>
      </c>
      <c r="MCA6" s="97" t="str">
        <f t="shared" si="140"/>
        <v/>
      </c>
      <c r="MCB6" s="97" t="str">
        <f t="shared" si="140"/>
        <v/>
      </c>
      <c r="MCC6" s="97" t="str">
        <f t="shared" si="140"/>
        <v/>
      </c>
      <c r="MCD6" s="97" t="str">
        <f t="shared" si="140"/>
        <v/>
      </c>
      <c r="MCE6" s="97" t="str">
        <f t="shared" si="140"/>
        <v/>
      </c>
      <c r="MCF6" s="97" t="str">
        <f t="shared" si="140"/>
        <v/>
      </c>
      <c r="MCG6" s="97" t="str">
        <f t="shared" si="140"/>
        <v/>
      </c>
      <c r="MCH6" s="97" t="str">
        <f t="shared" si="140"/>
        <v/>
      </c>
      <c r="MCI6" s="97" t="str">
        <f t="shared" si="140"/>
        <v/>
      </c>
      <c r="MCJ6" s="97" t="str">
        <f t="shared" si="140"/>
        <v/>
      </c>
      <c r="MCK6" s="97" t="str">
        <f t="shared" si="140"/>
        <v/>
      </c>
      <c r="MCL6" s="97" t="str">
        <f t="shared" si="140"/>
        <v/>
      </c>
      <c r="MCM6" s="97" t="str">
        <f t="shared" si="140"/>
        <v/>
      </c>
      <c r="MCN6" s="97" t="str">
        <f t="shared" si="140"/>
        <v/>
      </c>
      <c r="MCO6" s="97" t="str">
        <f t="shared" si="140"/>
        <v/>
      </c>
      <c r="MCP6" s="97" t="str">
        <f t="shared" si="140"/>
        <v/>
      </c>
      <c r="MCQ6" s="97" t="str">
        <f t="shared" si="140"/>
        <v/>
      </c>
      <c r="MCR6" s="97" t="str">
        <f t="shared" si="140"/>
        <v/>
      </c>
      <c r="MCS6" s="97" t="str">
        <f t="shared" si="140"/>
        <v/>
      </c>
      <c r="MCT6" s="97" t="str">
        <f t="shared" si="140"/>
        <v/>
      </c>
      <c r="MCU6" s="97" t="str">
        <f t="shared" si="140"/>
        <v/>
      </c>
      <c r="MCV6" s="97" t="str">
        <f t="shared" si="140"/>
        <v/>
      </c>
      <c r="MCW6" s="97" t="str">
        <f t="shared" si="140"/>
        <v/>
      </c>
      <c r="MCX6" s="97" t="str">
        <f t="shared" si="140"/>
        <v/>
      </c>
      <c r="MCY6" s="97" t="str">
        <f t="shared" si="140"/>
        <v/>
      </c>
      <c r="MCZ6" s="97" t="str">
        <f t="shared" si="140"/>
        <v/>
      </c>
      <c r="MDA6" s="97" t="str">
        <f t="shared" si="140"/>
        <v/>
      </c>
      <c r="MDB6" s="97" t="str">
        <f t="shared" si="140"/>
        <v/>
      </c>
      <c r="MDC6" s="97" t="str">
        <f t="shared" si="140"/>
        <v/>
      </c>
      <c r="MDD6" s="97" t="str">
        <f t="shared" si="140"/>
        <v/>
      </c>
      <c r="MDE6" s="97" t="str">
        <f t="shared" si="140"/>
        <v/>
      </c>
      <c r="MDF6" s="97" t="str">
        <f t="shared" si="140"/>
        <v/>
      </c>
      <c r="MDG6" s="97" t="str">
        <f t="shared" si="140"/>
        <v/>
      </c>
      <c r="MDH6" s="97" t="str">
        <f t="shared" si="140"/>
        <v/>
      </c>
      <c r="MDI6" s="97" t="str">
        <f t="shared" si="140"/>
        <v/>
      </c>
      <c r="MDJ6" s="97" t="str">
        <f t="shared" ref="MDJ6:MFU6" si="141">IFERROR(AVERAGE(MDJ7:MDJ13),"")</f>
        <v/>
      </c>
      <c r="MDK6" s="97" t="str">
        <f t="shared" si="141"/>
        <v/>
      </c>
      <c r="MDL6" s="97" t="str">
        <f t="shared" si="141"/>
        <v/>
      </c>
      <c r="MDM6" s="97" t="str">
        <f t="shared" si="141"/>
        <v/>
      </c>
      <c r="MDN6" s="97" t="str">
        <f t="shared" si="141"/>
        <v/>
      </c>
      <c r="MDO6" s="97" t="str">
        <f t="shared" si="141"/>
        <v/>
      </c>
      <c r="MDP6" s="97" t="str">
        <f t="shared" si="141"/>
        <v/>
      </c>
      <c r="MDQ6" s="97" t="str">
        <f t="shared" si="141"/>
        <v/>
      </c>
      <c r="MDR6" s="97" t="str">
        <f t="shared" si="141"/>
        <v/>
      </c>
      <c r="MDS6" s="97" t="str">
        <f t="shared" si="141"/>
        <v/>
      </c>
      <c r="MDT6" s="97" t="str">
        <f t="shared" si="141"/>
        <v/>
      </c>
      <c r="MDU6" s="97" t="str">
        <f t="shared" si="141"/>
        <v/>
      </c>
      <c r="MDV6" s="97" t="str">
        <f t="shared" si="141"/>
        <v/>
      </c>
      <c r="MDW6" s="97" t="str">
        <f t="shared" si="141"/>
        <v/>
      </c>
      <c r="MDX6" s="97" t="str">
        <f t="shared" si="141"/>
        <v/>
      </c>
      <c r="MDY6" s="97" t="str">
        <f t="shared" si="141"/>
        <v/>
      </c>
      <c r="MDZ6" s="97" t="str">
        <f t="shared" si="141"/>
        <v/>
      </c>
      <c r="MEA6" s="97" t="str">
        <f t="shared" si="141"/>
        <v/>
      </c>
      <c r="MEB6" s="97" t="str">
        <f t="shared" si="141"/>
        <v/>
      </c>
      <c r="MEC6" s="97" t="str">
        <f t="shared" si="141"/>
        <v/>
      </c>
      <c r="MED6" s="97" t="str">
        <f t="shared" si="141"/>
        <v/>
      </c>
      <c r="MEE6" s="97" t="str">
        <f t="shared" si="141"/>
        <v/>
      </c>
      <c r="MEF6" s="97" t="str">
        <f t="shared" si="141"/>
        <v/>
      </c>
      <c r="MEG6" s="97" t="str">
        <f t="shared" si="141"/>
        <v/>
      </c>
      <c r="MEH6" s="97" t="str">
        <f t="shared" si="141"/>
        <v/>
      </c>
      <c r="MEI6" s="97" t="str">
        <f t="shared" si="141"/>
        <v/>
      </c>
      <c r="MEJ6" s="97" t="str">
        <f t="shared" si="141"/>
        <v/>
      </c>
      <c r="MEK6" s="97" t="str">
        <f t="shared" si="141"/>
        <v/>
      </c>
      <c r="MEL6" s="97" t="str">
        <f t="shared" si="141"/>
        <v/>
      </c>
      <c r="MEM6" s="97" t="str">
        <f t="shared" si="141"/>
        <v/>
      </c>
      <c r="MEN6" s="97" t="str">
        <f t="shared" si="141"/>
        <v/>
      </c>
      <c r="MEO6" s="97" t="str">
        <f t="shared" si="141"/>
        <v/>
      </c>
      <c r="MEP6" s="97" t="str">
        <f t="shared" si="141"/>
        <v/>
      </c>
      <c r="MEQ6" s="97" t="str">
        <f t="shared" si="141"/>
        <v/>
      </c>
      <c r="MER6" s="97" t="str">
        <f t="shared" si="141"/>
        <v/>
      </c>
      <c r="MES6" s="97" t="str">
        <f t="shared" si="141"/>
        <v/>
      </c>
      <c r="MET6" s="97" t="str">
        <f t="shared" si="141"/>
        <v/>
      </c>
      <c r="MEU6" s="97" t="str">
        <f t="shared" si="141"/>
        <v/>
      </c>
      <c r="MEV6" s="97" t="str">
        <f t="shared" si="141"/>
        <v/>
      </c>
      <c r="MEW6" s="97" t="str">
        <f t="shared" si="141"/>
        <v/>
      </c>
      <c r="MEX6" s="97" t="str">
        <f t="shared" si="141"/>
        <v/>
      </c>
      <c r="MEY6" s="97" t="str">
        <f t="shared" si="141"/>
        <v/>
      </c>
      <c r="MEZ6" s="97" t="str">
        <f t="shared" si="141"/>
        <v/>
      </c>
      <c r="MFA6" s="97" t="str">
        <f t="shared" si="141"/>
        <v/>
      </c>
      <c r="MFB6" s="97" t="str">
        <f t="shared" si="141"/>
        <v/>
      </c>
      <c r="MFC6" s="97" t="str">
        <f t="shared" si="141"/>
        <v/>
      </c>
      <c r="MFD6" s="97" t="str">
        <f t="shared" si="141"/>
        <v/>
      </c>
      <c r="MFE6" s="97" t="str">
        <f t="shared" si="141"/>
        <v/>
      </c>
      <c r="MFF6" s="97" t="str">
        <f t="shared" si="141"/>
        <v/>
      </c>
      <c r="MFG6" s="97" t="str">
        <f t="shared" si="141"/>
        <v/>
      </c>
      <c r="MFH6" s="97" t="str">
        <f t="shared" si="141"/>
        <v/>
      </c>
      <c r="MFI6" s="97" t="str">
        <f t="shared" si="141"/>
        <v/>
      </c>
      <c r="MFJ6" s="97" t="str">
        <f t="shared" si="141"/>
        <v/>
      </c>
      <c r="MFK6" s="97" t="str">
        <f t="shared" si="141"/>
        <v/>
      </c>
      <c r="MFL6" s="97" t="str">
        <f t="shared" si="141"/>
        <v/>
      </c>
      <c r="MFM6" s="97" t="str">
        <f t="shared" si="141"/>
        <v/>
      </c>
      <c r="MFN6" s="97" t="str">
        <f t="shared" si="141"/>
        <v/>
      </c>
      <c r="MFO6" s="97" t="str">
        <f t="shared" si="141"/>
        <v/>
      </c>
      <c r="MFP6" s="97" t="str">
        <f t="shared" si="141"/>
        <v/>
      </c>
      <c r="MFQ6" s="97" t="str">
        <f t="shared" si="141"/>
        <v/>
      </c>
      <c r="MFR6" s="97" t="str">
        <f t="shared" si="141"/>
        <v/>
      </c>
      <c r="MFS6" s="97" t="str">
        <f t="shared" si="141"/>
        <v/>
      </c>
      <c r="MFT6" s="97" t="str">
        <f t="shared" si="141"/>
        <v/>
      </c>
      <c r="MFU6" s="97" t="str">
        <f t="shared" si="141"/>
        <v/>
      </c>
      <c r="MFV6" s="97" t="str">
        <f t="shared" ref="MFV6:MIG6" si="142">IFERROR(AVERAGE(MFV7:MFV13),"")</f>
        <v/>
      </c>
      <c r="MFW6" s="97" t="str">
        <f t="shared" si="142"/>
        <v/>
      </c>
      <c r="MFX6" s="97" t="str">
        <f t="shared" si="142"/>
        <v/>
      </c>
      <c r="MFY6" s="97" t="str">
        <f t="shared" si="142"/>
        <v/>
      </c>
      <c r="MFZ6" s="97" t="str">
        <f t="shared" si="142"/>
        <v/>
      </c>
      <c r="MGA6" s="97" t="str">
        <f t="shared" si="142"/>
        <v/>
      </c>
      <c r="MGB6" s="97" t="str">
        <f t="shared" si="142"/>
        <v/>
      </c>
      <c r="MGC6" s="97" t="str">
        <f t="shared" si="142"/>
        <v/>
      </c>
      <c r="MGD6" s="97" t="str">
        <f t="shared" si="142"/>
        <v/>
      </c>
      <c r="MGE6" s="97" t="str">
        <f t="shared" si="142"/>
        <v/>
      </c>
      <c r="MGF6" s="97" t="str">
        <f t="shared" si="142"/>
        <v/>
      </c>
      <c r="MGG6" s="97" t="str">
        <f t="shared" si="142"/>
        <v/>
      </c>
      <c r="MGH6" s="97" t="str">
        <f t="shared" si="142"/>
        <v/>
      </c>
      <c r="MGI6" s="97" t="str">
        <f t="shared" si="142"/>
        <v/>
      </c>
      <c r="MGJ6" s="97" t="str">
        <f t="shared" si="142"/>
        <v/>
      </c>
      <c r="MGK6" s="97" t="str">
        <f t="shared" si="142"/>
        <v/>
      </c>
      <c r="MGL6" s="97" t="str">
        <f t="shared" si="142"/>
        <v/>
      </c>
      <c r="MGM6" s="97" t="str">
        <f t="shared" si="142"/>
        <v/>
      </c>
      <c r="MGN6" s="97" t="str">
        <f t="shared" si="142"/>
        <v/>
      </c>
      <c r="MGO6" s="97" t="str">
        <f t="shared" si="142"/>
        <v/>
      </c>
      <c r="MGP6" s="97" t="str">
        <f t="shared" si="142"/>
        <v/>
      </c>
      <c r="MGQ6" s="97" t="str">
        <f t="shared" si="142"/>
        <v/>
      </c>
      <c r="MGR6" s="97" t="str">
        <f t="shared" si="142"/>
        <v/>
      </c>
      <c r="MGS6" s="97" t="str">
        <f t="shared" si="142"/>
        <v/>
      </c>
      <c r="MGT6" s="97" t="str">
        <f t="shared" si="142"/>
        <v/>
      </c>
      <c r="MGU6" s="97" t="str">
        <f t="shared" si="142"/>
        <v/>
      </c>
      <c r="MGV6" s="97" t="str">
        <f t="shared" si="142"/>
        <v/>
      </c>
      <c r="MGW6" s="97" t="str">
        <f t="shared" si="142"/>
        <v/>
      </c>
      <c r="MGX6" s="97" t="str">
        <f t="shared" si="142"/>
        <v/>
      </c>
      <c r="MGY6" s="97" t="str">
        <f t="shared" si="142"/>
        <v/>
      </c>
      <c r="MGZ6" s="97" t="str">
        <f t="shared" si="142"/>
        <v/>
      </c>
      <c r="MHA6" s="97" t="str">
        <f t="shared" si="142"/>
        <v/>
      </c>
      <c r="MHB6" s="97" t="str">
        <f t="shared" si="142"/>
        <v/>
      </c>
      <c r="MHC6" s="97" t="str">
        <f t="shared" si="142"/>
        <v/>
      </c>
      <c r="MHD6" s="97" t="str">
        <f t="shared" si="142"/>
        <v/>
      </c>
      <c r="MHE6" s="97" t="str">
        <f t="shared" si="142"/>
        <v/>
      </c>
      <c r="MHF6" s="97" t="str">
        <f t="shared" si="142"/>
        <v/>
      </c>
      <c r="MHG6" s="97" t="str">
        <f t="shared" si="142"/>
        <v/>
      </c>
      <c r="MHH6" s="97" t="str">
        <f t="shared" si="142"/>
        <v/>
      </c>
      <c r="MHI6" s="97" t="str">
        <f t="shared" si="142"/>
        <v/>
      </c>
      <c r="MHJ6" s="97" t="str">
        <f t="shared" si="142"/>
        <v/>
      </c>
      <c r="MHK6" s="97" t="str">
        <f t="shared" si="142"/>
        <v/>
      </c>
      <c r="MHL6" s="97" t="str">
        <f t="shared" si="142"/>
        <v/>
      </c>
      <c r="MHM6" s="97" t="str">
        <f t="shared" si="142"/>
        <v/>
      </c>
      <c r="MHN6" s="97" t="str">
        <f t="shared" si="142"/>
        <v/>
      </c>
      <c r="MHO6" s="97" t="str">
        <f t="shared" si="142"/>
        <v/>
      </c>
      <c r="MHP6" s="97" t="str">
        <f t="shared" si="142"/>
        <v/>
      </c>
      <c r="MHQ6" s="97" t="str">
        <f t="shared" si="142"/>
        <v/>
      </c>
      <c r="MHR6" s="97" t="str">
        <f t="shared" si="142"/>
        <v/>
      </c>
      <c r="MHS6" s="97" t="str">
        <f t="shared" si="142"/>
        <v/>
      </c>
      <c r="MHT6" s="97" t="str">
        <f t="shared" si="142"/>
        <v/>
      </c>
      <c r="MHU6" s="97" t="str">
        <f t="shared" si="142"/>
        <v/>
      </c>
      <c r="MHV6" s="97" t="str">
        <f t="shared" si="142"/>
        <v/>
      </c>
      <c r="MHW6" s="97" t="str">
        <f t="shared" si="142"/>
        <v/>
      </c>
      <c r="MHX6" s="97" t="str">
        <f t="shared" si="142"/>
        <v/>
      </c>
      <c r="MHY6" s="97" t="str">
        <f t="shared" si="142"/>
        <v/>
      </c>
      <c r="MHZ6" s="97" t="str">
        <f t="shared" si="142"/>
        <v/>
      </c>
      <c r="MIA6" s="97" t="str">
        <f t="shared" si="142"/>
        <v/>
      </c>
      <c r="MIB6" s="97" t="str">
        <f t="shared" si="142"/>
        <v/>
      </c>
      <c r="MIC6" s="97" t="str">
        <f t="shared" si="142"/>
        <v/>
      </c>
      <c r="MID6" s="97" t="str">
        <f t="shared" si="142"/>
        <v/>
      </c>
      <c r="MIE6" s="97" t="str">
        <f t="shared" si="142"/>
        <v/>
      </c>
      <c r="MIF6" s="97" t="str">
        <f t="shared" si="142"/>
        <v/>
      </c>
      <c r="MIG6" s="97" t="str">
        <f t="shared" si="142"/>
        <v/>
      </c>
      <c r="MIH6" s="97" t="str">
        <f t="shared" ref="MIH6:MKS6" si="143">IFERROR(AVERAGE(MIH7:MIH13),"")</f>
        <v/>
      </c>
      <c r="MII6" s="97" t="str">
        <f t="shared" si="143"/>
        <v/>
      </c>
      <c r="MIJ6" s="97" t="str">
        <f t="shared" si="143"/>
        <v/>
      </c>
      <c r="MIK6" s="97" t="str">
        <f t="shared" si="143"/>
        <v/>
      </c>
      <c r="MIL6" s="97" t="str">
        <f t="shared" si="143"/>
        <v/>
      </c>
      <c r="MIM6" s="97" t="str">
        <f t="shared" si="143"/>
        <v/>
      </c>
      <c r="MIN6" s="97" t="str">
        <f t="shared" si="143"/>
        <v/>
      </c>
      <c r="MIO6" s="97" t="str">
        <f t="shared" si="143"/>
        <v/>
      </c>
      <c r="MIP6" s="97" t="str">
        <f t="shared" si="143"/>
        <v/>
      </c>
      <c r="MIQ6" s="97" t="str">
        <f t="shared" si="143"/>
        <v/>
      </c>
      <c r="MIR6" s="97" t="str">
        <f t="shared" si="143"/>
        <v/>
      </c>
      <c r="MIS6" s="97" t="str">
        <f t="shared" si="143"/>
        <v/>
      </c>
      <c r="MIT6" s="97" t="str">
        <f t="shared" si="143"/>
        <v/>
      </c>
      <c r="MIU6" s="97" t="str">
        <f t="shared" si="143"/>
        <v/>
      </c>
      <c r="MIV6" s="97" t="str">
        <f t="shared" si="143"/>
        <v/>
      </c>
      <c r="MIW6" s="97" t="str">
        <f t="shared" si="143"/>
        <v/>
      </c>
      <c r="MIX6" s="97" t="str">
        <f t="shared" si="143"/>
        <v/>
      </c>
      <c r="MIY6" s="97" t="str">
        <f t="shared" si="143"/>
        <v/>
      </c>
      <c r="MIZ6" s="97" t="str">
        <f t="shared" si="143"/>
        <v/>
      </c>
      <c r="MJA6" s="97" t="str">
        <f t="shared" si="143"/>
        <v/>
      </c>
      <c r="MJB6" s="97" t="str">
        <f t="shared" si="143"/>
        <v/>
      </c>
      <c r="MJC6" s="97" t="str">
        <f t="shared" si="143"/>
        <v/>
      </c>
      <c r="MJD6" s="97" t="str">
        <f t="shared" si="143"/>
        <v/>
      </c>
      <c r="MJE6" s="97" t="str">
        <f t="shared" si="143"/>
        <v/>
      </c>
      <c r="MJF6" s="97" t="str">
        <f t="shared" si="143"/>
        <v/>
      </c>
      <c r="MJG6" s="97" t="str">
        <f t="shared" si="143"/>
        <v/>
      </c>
      <c r="MJH6" s="97" t="str">
        <f t="shared" si="143"/>
        <v/>
      </c>
      <c r="MJI6" s="97" t="str">
        <f t="shared" si="143"/>
        <v/>
      </c>
      <c r="MJJ6" s="97" t="str">
        <f t="shared" si="143"/>
        <v/>
      </c>
      <c r="MJK6" s="97" t="str">
        <f t="shared" si="143"/>
        <v/>
      </c>
      <c r="MJL6" s="97" t="str">
        <f t="shared" si="143"/>
        <v/>
      </c>
      <c r="MJM6" s="97" t="str">
        <f t="shared" si="143"/>
        <v/>
      </c>
      <c r="MJN6" s="97" t="str">
        <f t="shared" si="143"/>
        <v/>
      </c>
      <c r="MJO6" s="97" t="str">
        <f t="shared" si="143"/>
        <v/>
      </c>
      <c r="MJP6" s="97" t="str">
        <f t="shared" si="143"/>
        <v/>
      </c>
      <c r="MJQ6" s="97" t="str">
        <f t="shared" si="143"/>
        <v/>
      </c>
      <c r="MJR6" s="97" t="str">
        <f t="shared" si="143"/>
        <v/>
      </c>
      <c r="MJS6" s="97" t="str">
        <f t="shared" si="143"/>
        <v/>
      </c>
      <c r="MJT6" s="97" t="str">
        <f t="shared" si="143"/>
        <v/>
      </c>
      <c r="MJU6" s="97" t="str">
        <f t="shared" si="143"/>
        <v/>
      </c>
      <c r="MJV6" s="97" t="str">
        <f t="shared" si="143"/>
        <v/>
      </c>
      <c r="MJW6" s="97" t="str">
        <f t="shared" si="143"/>
        <v/>
      </c>
      <c r="MJX6" s="97" t="str">
        <f t="shared" si="143"/>
        <v/>
      </c>
      <c r="MJY6" s="97" t="str">
        <f t="shared" si="143"/>
        <v/>
      </c>
      <c r="MJZ6" s="97" t="str">
        <f t="shared" si="143"/>
        <v/>
      </c>
      <c r="MKA6" s="97" t="str">
        <f t="shared" si="143"/>
        <v/>
      </c>
      <c r="MKB6" s="97" t="str">
        <f t="shared" si="143"/>
        <v/>
      </c>
      <c r="MKC6" s="97" t="str">
        <f t="shared" si="143"/>
        <v/>
      </c>
      <c r="MKD6" s="97" t="str">
        <f t="shared" si="143"/>
        <v/>
      </c>
      <c r="MKE6" s="97" t="str">
        <f t="shared" si="143"/>
        <v/>
      </c>
      <c r="MKF6" s="97" t="str">
        <f t="shared" si="143"/>
        <v/>
      </c>
      <c r="MKG6" s="97" t="str">
        <f t="shared" si="143"/>
        <v/>
      </c>
      <c r="MKH6" s="97" t="str">
        <f t="shared" si="143"/>
        <v/>
      </c>
      <c r="MKI6" s="97" t="str">
        <f t="shared" si="143"/>
        <v/>
      </c>
      <c r="MKJ6" s="97" t="str">
        <f t="shared" si="143"/>
        <v/>
      </c>
      <c r="MKK6" s="97" t="str">
        <f t="shared" si="143"/>
        <v/>
      </c>
      <c r="MKL6" s="97" t="str">
        <f t="shared" si="143"/>
        <v/>
      </c>
      <c r="MKM6" s="97" t="str">
        <f t="shared" si="143"/>
        <v/>
      </c>
      <c r="MKN6" s="97" t="str">
        <f t="shared" si="143"/>
        <v/>
      </c>
      <c r="MKO6" s="97" t="str">
        <f t="shared" si="143"/>
        <v/>
      </c>
      <c r="MKP6" s="97" t="str">
        <f t="shared" si="143"/>
        <v/>
      </c>
      <c r="MKQ6" s="97" t="str">
        <f t="shared" si="143"/>
        <v/>
      </c>
      <c r="MKR6" s="97" t="str">
        <f t="shared" si="143"/>
        <v/>
      </c>
      <c r="MKS6" s="97" t="str">
        <f t="shared" si="143"/>
        <v/>
      </c>
      <c r="MKT6" s="97" t="str">
        <f t="shared" ref="MKT6:MNE6" si="144">IFERROR(AVERAGE(MKT7:MKT13),"")</f>
        <v/>
      </c>
      <c r="MKU6" s="97" t="str">
        <f t="shared" si="144"/>
        <v/>
      </c>
      <c r="MKV6" s="97" t="str">
        <f t="shared" si="144"/>
        <v/>
      </c>
      <c r="MKW6" s="97" t="str">
        <f t="shared" si="144"/>
        <v/>
      </c>
      <c r="MKX6" s="97" t="str">
        <f t="shared" si="144"/>
        <v/>
      </c>
      <c r="MKY6" s="97" t="str">
        <f t="shared" si="144"/>
        <v/>
      </c>
      <c r="MKZ6" s="97" t="str">
        <f t="shared" si="144"/>
        <v/>
      </c>
      <c r="MLA6" s="97" t="str">
        <f t="shared" si="144"/>
        <v/>
      </c>
      <c r="MLB6" s="97" t="str">
        <f t="shared" si="144"/>
        <v/>
      </c>
      <c r="MLC6" s="97" t="str">
        <f t="shared" si="144"/>
        <v/>
      </c>
      <c r="MLD6" s="97" t="str">
        <f t="shared" si="144"/>
        <v/>
      </c>
      <c r="MLE6" s="97" t="str">
        <f t="shared" si="144"/>
        <v/>
      </c>
      <c r="MLF6" s="97" t="str">
        <f t="shared" si="144"/>
        <v/>
      </c>
      <c r="MLG6" s="97" t="str">
        <f t="shared" si="144"/>
        <v/>
      </c>
      <c r="MLH6" s="97" t="str">
        <f t="shared" si="144"/>
        <v/>
      </c>
      <c r="MLI6" s="97" t="str">
        <f t="shared" si="144"/>
        <v/>
      </c>
      <c r="MLJ6" s="97" t="str">
        <f t="shared" si="144"/>
        <v/>
      </c>
      <c r="MLK6" s="97" t="str">
        <f t="shared" si="144"/>
        <v/>
      </c>
      <c r="MLL6" s="97" t="str">
        <f t="shared" si="144"/>
        <v/>
      </c>
      <c r="MLM6" s="97" t="str">
        <f t="shared" si="144"/>
        <v/>
      </c>
      <c r="MLN6" s="97" t="str">
        <f t="shared" si="144"/>
        <v/>
      </c>
      <c r="MLO6" s="97" t="str">
        <f t="shared" si="144"/>
        <v/>
      </c>
      <c r="MLP6" s="97" t="str">
        <f t="shared" si="144"/>
        <v/>
      </c>
      <c r="MLQ6" s="97" t="str">
        <f t="shared" si="144"/>
        <v/>
      </c>
      <c r="MLR6" s="97" t="str">
        <f t="shared" si="144"/>
        <v/>
      </c>
      <c r="MLS6" s="97" t="str">
        <f t="shared" si="144"/>
        <v/>
      </c>
      <c r="MLT6" s="97" t="str">
        <f t="shared" si="144"/>
        <v/>
      </c>
      <c r="MLU6" s="97" t="str">
        <f t="shared" si="144"/>
        <v/>
      </c>
      <c r="MLV6" s="97" t="str">
        <f t="shared" si="144"/>
        <v/>
      </c>
      <c r="MLW6" s="97" t="str">
        <f t="shared" si="144"/>
        <v/>
      </c>
      <c r="MLX6" s="97" t="str">
        <f t="shared" si="144"/>
        <v/>
      </c>
      <c r="MLY6" s="97" t="str">
        <f t="shared" si="144"/>
        <v/>
      </c>
      <c r="MLZ6" s="97" t="str">
        <f t="shared" si="144"/>
        <v/>
      </c>
      <c r="MMA6" s="97" t="str">
        <f t="shared" si="144"/>
        <v/>
      </c>
      <c r="MMB6" s="97" t="str">
        <f t="shared" si="144"/>
        <v/>
      </c>
      <c r="MMC6" s="97" t="str">
        <f t="shared" si="144"/>
        <v/>
      </c>
      <c r="MMD6" s="97" t="str">
        <f t="shared" si="144"/>
        <v/>
      </c>
      <c r="MME6" s="97" t="str">
        <f t="shared" si="144"/>
        <v/>
      </c>
      <c r="MMF6" s="97" t="str">
        <f t="shared" si="144"/>
        <v/>
      </c>
      <c r="MMG6" s="97" t="str">
        <f t="shared" si="144"/>
        <v/>
      </c>
      <c r="MMH6" s="97" t="str">
        <f t="shared" si="144"/>
        <v/>
      </c>
      <c r="MMI6" s="97" t="str">
        <f t="shared" si="144"/>
        <v/>
      </c>
      <c r="MMJ6" s="97" t="str">
        <f t="shared" si="144"/>
        <v/>
      </c>
      <c r="MMK6" s="97" t="str">
        <f t="shared" si="144"/>
        <v/>
      </c>
      <c r="MML6" s="97" t="str">
        <f t="shared" si="144"/>
        <v/>
      </c>
      <c r="MMM6" s="97" t="str">
        <f t="shared" si="144"/>
        <v/>
      </c>
      <c r="MMN6" s="97" t="str">
        <f t="shared" si="144"/>
        <v/>
      </c>
      <c r="MMO6" s="97" t="str">
        <f t="shared" si="144"/>
        <v/>
      </c>
      <c r="MMP6" s="97" t="str">
        <f t="shared" si="144"/>
        <v/>
      </c>
      <c r="MMQ6" s="97" t="str">
        <f t="shared" si="144"/>
        <v/>
      </c>
      <c r="MMR6" s="97" t="str">
        <f t="shared" si="144"/>
        <v/>
      </c>
      <c r="MMS6" s="97" t="str">
        <f t="shared" si="144"/>
        <v/>
      </c>
      <c r="MMT6" s="97" t="str">
        <f t="shared" si="144"/>
        <v/>
      </c>
      <c r="MMU6" s="97" t="str">
        <f t="shared" si="144"/>
        <v/>
      </c>
      <c r="MMV6" s="97" t="str">
        <f t="shared" si="144"/>
        <v/>
      </c>
      <c r="MMW6" s="97" t="str">
        <f t="shared" si="144"/>
        <v/>
      </c>
      <c r="MMX6" s="97" t="str">
        <f t="shared" si="144"/>
        <v/>
      </c>
      <c r="MMY6" s="97" t="str">
        <f t="shared" si="144"/>
        <v/>
      </c>
      <c r="MMZ6" s="97" t="str">
        <f t="shared" si="144"/>
        <v/>
      </c>
      <c r="MNA6" s="97" t="str">
        <f t="shared" si="144"/>
        <v/>
      </c>
      <c r="MNB6" s="97" t="str">
        <f t="shared" si="144"/>
        <v/>
      </c>
      <c r="MNC6" s="97" t="str">
        <f t="shared" si="144"/>
        <v/>
      </c>
      <c r="MND6" s="97" t="str">
        <f t="shared" si="144"/>
        <v/>
      </c>
      <c r="MNE6" s="97" t="str">
        <f t="shared" si="144"/>
        <v/>
      </c>
      <c r="MNF6" s="97" t="str">
        <f t="shared" ref="MNF6:MPQ6" si="145">IFERROR(AVERAGE(MNF7:MNF13),"")</f>
        <v/>
      </c>
      <c r="MNG6" s="97" t="str">
        <f t="shared" si="145"/>
        <v/>
      </c>
      <c r="MNH6" s="97" t="str">
        <f t="shared" si="145"/>
        <v/>
      </c>
      <c r="MNI6" s="97" t="str">
        <f t="shared" si="145"/>
        <v/>
      </c>
      <c r="MNJ6" s="97" t="str">
        <f t="shared" si="145"/>
        <v/>
      </c>
      <c r="MNK6" s="97" t="str">
        <f t="shared" si="145"/>
        <v/>
      </c>
      <c r="MNL6" s="97" t="str">
        <f t="shared" si="145"/>
        <v/>
      </c>
      <c r="MNM6" s="97" t="str">
        <f t="shared" si="145"/>
        <v/>
      </c>
      <c r="MNN6" s="97" t="str">
        <f t="shared" si="145"/>
        <v/>
      </c>
      <c r="MNO6" s="97" t="str">
        <f t="shared" si="145"/>
        <v/>
      </c>
      <c r="MNP6" s="97" t="str">
        <f t="shared" si="145"/>
        <v/>
      </c>
      <c r="MNQ6" s="97" t="str">
        <f t="shared" si="145"/>
        <v/>
      </c>
      <c r="MNR6" s="97" t="str">
        <f t="shared" si="145"/>
        <v/>
      </c>
      <c r="MNS6" s="97" t="str">
        <f t="shared" si="145"/>
        <v/>
      </c>
      <c r="MNT6" s="97" t="str">
        <f t="shared" si="145"/>
        <v/>
      </c>
      <c r="MNU6" s="97" t="str">
        <f t="shared" si="145"/>
        <v/>
      </c>
      <c r="MNV6" s="97" t="str">
        <f t="shared" si="145"/>
        <v/>
      </c>
      <c r="MNW6" s="97" t="str">
        <f t="shared" si="145"/>
        <v/>
      </c>
      <c r="MNX6" s="97" t="str">
        <f t="shared" si="145"/>
        <v/>
      </c>
      <c r="MNY6" s="97" t="str">
        <f t="shared" si="145"/>
        <v/>
      </c>
      <c r="MNZ6" s="97" t="str">
        <f t="shared" si="145"/>
        <v/>
      </c>
      <c r="MOA6" s="97" t="str">
        <f t="shared" si="145"/>
        <v/>
      </c>
      <c r="MOB6" s="97" t="str">
        <f t="shared" si="145"/>
        <v/>
      </c>
      <c r="MOC6" s="97" t="str">
        <f t="shared" si="145"/>
        <v/>
      </c>
      <c r="MOD6" s="97" t="str">
        <f t="shared" si="145"/>
        <v/>
      </c>
      <c r="MOE6" s="97" t="str">
        <f t="shared" si="145"/>
        <v/>
      </c>
      <c r="MOF6" s="97" t="str">
        <f t="shared" si="145"/>
        <v/>
      </c>
      <c r="MOG6" s="97" t="str">
        <f t="shared" si="145"/>
        <v/>
      </c>
      <c r="MOH6" s="97" t="str">
        <f t="shared" si="145"/>
        <v/>
      </c>
      <c r="MOI6" s="97" t="str">
        <f t="shared" si="145"/>
        <v/>
      </c>
      <c r="MOJ6" s="97" t="str">
        <f t="shared" si="145"/>
        <v/>
      </c>
      <c r="MOK6" s="97" t="str">
        <f t="shared" si="145"/>
        <v/>
      </c>
      <c r="MOL6" s="97" t="str">
        <f t="shared" si="145"/>
        <v/>
      </c>
      <c r="MOM6" s="97" t="str">
        <f t="shared" si="145"/>
        <v/>
      </c>
      <c r="MON6" s="97" t="str">
        <f t="shared" si="145"/>
        <v/>
      </c>
      <c r="MOO6" s="97" t="str">
        <f t="shared" si="145"/>
        <v/>
      </c>
      <c r="MOP6" s="97" t="str">
        <f t="shared" si="145"/>
        <v/>
      </c>
      <c r="MOQ6" s="97" t="str">
        <f t="shared" si="145"/>
        <v/>
      </c>
      <c r="MOR6" s="97" t="str">
        <f t="shared" si="145"/>
        <v/>
      </c>
      <c r="MOS6" s="97" t="str">
        <f t="shared" si="145"/>
        <v/>
      </c>
      <c r="MOT6" s="97" t="str">
        <f t="shared" si="145"/>
        <v/>
      </c>
      <c r="MOU6" s="97" t="str">
        <f t="shared" si="145"/>
        <v/>
      </c>
      <c r="MOV6" s="97" t="str">
        <f t="shared" si="145"/>
        <v/>
      </c>
      <c r="MOW6" s="97" t="str">
        <f t="shared" si="145"/>
        <v/>
      </c>
      <c r="MOX6" s="97" t="str">
        <f t="shared" si="145"/>
        <v/>
      </c>
      <c r="MOY6" s="97" t="str">
        <f t="shared" si="145"/>
        <v/>
      </c>
      <c r="MOZ6" s="97" t="str">
        <f t="shared" si="145"/>
        <v/>
      </c>
      <c r="MPA6" s="97" t="str">
        <f t="shared" si="145"/>
        <v/>
      </c>
      <c r="MPB6" s="97" t="str">
        <f t="shared" si="145"/>
        <v/>
      </c>
      <c r="MPC6" s="97" t="str">
        <f t="shared" si="145"/>
        <v/>
      </c>
      <c r="MPD6" s="97" t="str">
        <f t="shared" si="145"/>
        <v/>
      </c>
      <c r="MPE6" s="97" t="str">
        <f t="shared" si="145"/>
        <v/>
      </c>
      <c r="MPF6" s="97" t="str">
        <f t="shared" si="145"/>
        <v/>
      </c>
      <c r="MPG6" s="97" t="str">
        <f t="shared" si="145"/>
        <v/>
      </c>
      <c r="MPH6" s="97" t="str">
        <f t="shared" si="145"/>
        <v/>
      </c>
      <c r="MPI6" s="97" t="str">
        <f t="shared" si="145"/>
        <v/>
      </c>
      <c r="MPJ6" s="97" t="str">
        <f t="shared" si="145"/>
        <v/>
      </c>
      <c r="MPK6" s="97" t="str">
        <f t="shared" si="145"/>
        <v/>
      </c>
      <c r="MPL6" s="97" t="str">
        <f t="shared" si="145"/>
        <v/>
      </c>
      <c r="MPM6" s="97" t="str">
        <f t="shared" si="145"/>
        <v/>
      </c>
      <c r="MPN6" s="97" t="str">
        <f t="shared" si="145"/>
        <v/>
      </c>
      <c r="MPO6" s="97" t="str">
        <f t="shared" si="145"/>
        <v/>
      </c>
      <c r="MPP6" s="97" t="str">
        <f t="shared" si="145"/>
        <v/>
      </c>
      <c r="MPQ6" s="97" t="str">
        <f t="shared" si="145"/>
        <v/>
      </c>
      <c r="MPR6" s="97" t="str">
        <f t="shared" ref="MPR6:MSC6" si="146">IFERROR(AVERAGE(MPR7:MPR13),"")</f>
        <v/>
      </c>
      <c r="MPS6" s="97" t="str">
        <f t="shared" si="146"/>
        <v/>
      </c>
      <c r="MPT6" s="97" t="str">
        <f t="shared" si="146"/>
        <v/>
      </c>
      <c r="MPU6" s="97" t="str">
        <f t="shared" si="146"/>
        <v/>
      </c>
      <c r="MPV6" s="97" t="str">
        <f t="shared" si="146"/>
        <v/>
      </c>
      <c r="MPW6" s="97" t="str">
        <f t="shared" si="146"/>
        <v/>
      </c>
      <c r="MPX6" s="97" t="str">
        <f t="shared" si="146"/>
        <v/>
      </c>
      <c r="MPY6" s="97" t="str">
        <f t="shared" si="146"/>
        <v/>
      </c>
      <c r="MPZ6" s="97" t="str">
        <f t="shared" si="146"/>
        <v/>
      </c>
      <c r="MQA6" s="97" t="str">
        <f t="shared" si="146"/>
        <v/>
      </c>
      <c r="MQB6" s="97" t="str">
        <f t="shared" si="146"/>
        <v/>
      </c>
      <c r="MQC6" s="97" t="str">
        <f t="shared" si="146"/>
        <v/>
      </c>
      <c r="MQD6" s="97" t="str">
        <f t="shared" si="146"/>
        <v/>
      </c>
      <c r="MQE6" s="97" t="str">
        <f t="shared" si="146"/>
        <v/>
      </c>
      <c r="MQF6" s="97" t="str">
        <f t="shared" si="146"/>
        <v/>
      </c>
      <c r="MQG6" s="97" t="str">
        <f t="shared" si="146"/>
        <v/>
      </c>
      <c r="MQH6" s="97" t="str">
        <f t="shared" si="146"/>
        <v/>
      </c>
      <c r="MQI6" s="97" t="str">
        <f t="shared" si="146"/>
        <v/>
      </c>
      <c r="MQJ6" s="97" t="str">
        <f t="shared" si="146"/>
        <v/>
      </c>
      <c r="MQK6" s="97" t="str">
        <f t="shared" si="146"/>
        <v/>
      </c>
      <c r="MQL6" s="97" t="str">
        <f t="shared" si="146"/>
        <v/>
      </c>
      <c r="MQM6" s="97" t="str">
        <f t="shared" si="146"/>
        <v/>
      </c>
      <c r="MQN6" s="97" t="str">
        <f t="shared" si="146"/>
        <v/>
      </c>
      <c r="MQO6" s="97" t="str">
        <f t="shared" si="146"/>
        <v/>
      </c>
      <c r="MQP6" s="97" t="str">
        <f t="shared" si="146"/>
        <v/>
      </c>
      <c r="MQQ6" s="97" t="str">
        <f t="shared" si="146"/>
        <v/>
      </c>
      <c r="MQR6" s="97" t="str">
        <f t="shared" si="146"/>
        <v/>
      </c>
      <c r="MQS6" s="97" t="str">
        <f t="shared" si="146"/>
        <v/>
      </c>
      <c r="MQT6" s="97" t="str">
        <f t="shared" si="146"/>
        <v/>
      </c>
      <c r="MQU6" s="97" t="str">
        <f t="shared" si="146"/>
        <v/>
      </c>
      <c r="MQV6" s="97" t="str">
        <f t="shared" si="146"/>
        <v/>
      </c>
      <c r="MQW6" s="97" t="str">
        <f t="shared" si="146"/>
        <v/>
      </c>
      <c r="MQX6" s="97" t="str">
        <f t="shared" si="146"/>
        <v/>
      </c>
      <c r="MQY6" s="97" t="str">
        <f t="shared" si="146"/>
        <v/>
      </c>
      <c r="MQZ6" s="97" t="str">
        <f t="shared" si="146"/>
        <v/>
      </c>
      <c r="MRA6" s="97" t="str">
        <f t="shared" si="146"/>
        <v/>
      </c>
      <c r="MRB6" s="97" t="str">
        <f t="shared" si="146"/>
        <v/>
      </c>
      <c r="MRC6" s="97" t="str">
        <f t="shared" si="146"/>
        <v/>
      </c>
      <c r="MRD6" s="97" t="str">
        <f t="shared" si="146"/>
        <v/>
      </c>
      <c r="MRE6" s="97" t="str">
        <f t="shared" si="146"/>
        <v/>
      </c>
      <c r="MRF6" s="97" t="str">
        <f t="shared" si="146"/>
        <v/>
      </c>
      <c r="MRG6" s="97" t="str">
        <f t="shared" si="146"/>
        <v/>
      </c>
      <c r="MRH6" s="97" t="str">
        <f t="shared" si="146"/>
        <v/>
      </c>
      <c r="MRI6" s="97" t="str">
        <f t="shared" si="146"/>
        <v/>
      </c>
      <c r="MRJ6" s="97" t="str">
        <f t="shared" si="146"/>
        <v/>
      </c>
      <c r="MRK6" s="97" t="str">
        <f t="shared" si="146"/>
        <v/>
      </c>
      <c r="MRL6" s="97" t="str">
        <f t="shared" si="146"/>
        <v/>
      </c>
      <c r="MRM6" s="97" t="str">
        <f t="shared" si="146"/>
        <v/>
      </c>
      <c r="MRN6" s="97" t="str">
        <f t="shared" si="146"/>
        <v/>
      </c>
      <c r="MRO6" s="97" t="str">
        <f t="shared" si="146"/>
        <v/>
      </c>
      <c r="MRP6" s="97" t="str">
        <f t="shared" si="146"/>
        <v/>
      </c>
      <c r="MRQ6" s="97" t="str">
        <f t="shared" si="146"/>
        <v/>
      </c>
      <c r="MRR6" s="97" t="str">
        <f t="shared" si="146"/>
        <v/>
      </c>
      <c r="MRS6" s="97" t="str">
        <f t="shared" si="146"/>
        <v/>
      </c>
      <c r="MRT6" s="97" t="str">
        <f t="shared" si="146"/>
        <v/>
      </c>
      <c r="MRU6" s="97" t="str">
        <f t="shared" si="146"/>
        <v/>
      </c>
      <c r="MRV6" s="97" t="str">
        <f t="shared" si="146"/>
        <v/>
      </c>
      <c r="MRW6" s="97" t="str">
        <f t="shared" si="146"/>
        <v/>
      </c>
      <c r="MRX6" s="97" t="str">
        <f t="shared" si="146"/>
        <v/>
      </c>
      <c r="MRY6" s="97" t="str">
        <f t="shared" si="146"/>
        <v/>
      </c>
      <c r="MRZ6" s="97" t="str">
        <f t="shared" si="146"/>
        <v/>
      </c>
      <c r="MSA6" s="97" t="str">
        <f t="shared" si="146"/>
        <v/>
      </c>
      <c r="MSB6" s="97" t="str">
        <f t="shared" si="146"/>
        <v/>
      </c>
      <c r="MSC6" s="97" t="str">
        <f t="shared" si="146"/>
        <v/>
      </c>
      <c r="MSD6" s="97" t="str">
        <f t="shared" ref="MSD6:MUO6" si="147">IFERROR(AVERAGE(MSD7:MSD13),"")</f>
        <v/>
      </c>
      <c r="MSE6" s="97" t="str">
        <f t="shared" si="147"/>
        <v/>
      </c>
      <c r="MSF6" s="97" t="str">
        <f t="shared" si="147"/>
        <v/>
      </c>
      <c r="MSG6" s="97" t="str">
        <f t="shared" si="147"/>
        <v/>
      </c>
      <c r="MSH6" s="97" t="str">
        <f t="shared" si="147"/>
        <v/>
      </c>
      <c r="MSI6" s="97" t="str">
        <f t="shared" si="147"/>
        <v/>
      </c>
      <c r="MSJ6" s="97" t="str">
        <f t="shared" si="147"/>
        <v/>
      </c>
      <c r="MSK6" s="97" t="str">
        <f t="shared" si="147"/>
        <v/>
      </c>
      <c r="MSL6" s="97" t="str">
        <f t="shared" si="147"/>
        <v/>
      </c>
      <c r="MSM6" s="97" t="str">
        <f t="shared" si="147"/>
        <v/>
      </c>
      <c r="MSN6" s="97" t="str">
        <f t="shared" si="147"/>
        <v/>
      </c>
      <c r="MSO6" s="97" t="str">
        <f t="shared" si="147"/>
        <v/>
      </c>
      <c r="MSP6" s="97" t="str">
        <f t="shared" si="147"/>
        <v/>
      </c>
      <c r="MSQ6" s="97" t="str">
        <f t="shared" si="147"/>
        <v/>
      </c>
      <c r="MSR6" s="97" t="str">
        <f t="shared" si="147"/>
        <v/>
      </c>
      <c r="MSS6" s="97" t="str">
        <f t="shared" si="147"/>
        <v/>
      </c>
      <c r="MST6" s="97" t="str">
        <f t="shared" si="147"/>
        <v/>
      </c>
      <c r="MSU6" s="97" t="str">
        <f t="shared" si="147"/>
        <v/>
      </c>
      <c r="MSV6" s="97" t="str">
        <f t="shared" si="147"/>
        <v/>
      </c>
      <c r="MSW6" s="97" t="str">
        <f t="shared" si="147"/>
        <v/>
      </c>
      <c r="MSX6" s="97" t="str">
        <f t="shared" si="147"/>
        <v/>
      </c>
      <c r="MSY6" s="97" t="str">
        <f t="shared" si="147"/>
        <v/>
      </c>
      <c r="MSZ6" s="97" t="str">
        <f t="shared" si="147"/>
        <v/>
      </c>
      <c r="MTA6" s="97" t="str">
        <f t="shared" si="147"/>
        <v/>
      </c>
      <c r="MTB6" s="97" t="str">
        <f t="shared" si="147"/>
        <v/>
      </c>
      <c r="MTC6" s="97" t="str">
        <f t="shared" si="147"/>
        <v/>
      </c>
      <c r="MTD6" s="97" t="str">
        <f t="shared" si="147"/>
        <v/>
      </c>
      <c r="MTE6" s="97" t="str">
        <f t="shared" si="147"/>
        <v/>
      </c>
      <c r="MTF6" s="97" t="str">
        <f t="shared" si="147"/>
        <v/>
      </c>
      <c r="MTG6" s="97" t="str">
        <f t="shared" si="147"/>
        <v/>
      </c>
      <c r="MTH6" s="97" t="str">
        <f t="shared" si="147"/>
        <v/>
      </c>
      <c r="MTI6" s="97" t="str">
        <f t="shared" si="147"/>
        <v/>
      </c>
      <c r="MTJ6" s="97" t="str">
        <f t="shared" si="147"/>
        <v/>
      </c>
      <c r="MTK6" s="97" t="str">
        <f t="shared" si="147"/>
        <v/>
      </c>
      <c r="MTL6" s="97" t="str">
        <f t="shared" si="147"/>
        <v/>
      </c>
      <c r="MTM6" s="97" t="str">
        <f t="shared" si="147"/>
        <v/>
      </c>
      <c r="MTN6" s="97" t="str">
        <f t="shared" si="147"/>
        <v/>
      </c>
      <c r="MTO6" s="97" t="str">
        <f t="shared" si="147"/>
        <v/>
      </c>
      <c r="MTP6" s="97" t="str">
        <f t="shared" si="147"/>
        <v/>
      </c>
      <c r="MTQ6" s="97" t="str">
        <f t="shared" si="147"/>
        <v/>
      </c>
      <c r="MTR6" s="97" t="str">
        <f t="shared" si="147"/>
        <v/>
      </c>
      <c r="MTS6" s="97" t="str">
        <f t="shared" si="147"/>
        <v/>
      </c>
      <c r="MTT6" s="97" t="str">
        <f t="shared" si="147"/>
        <v/>
      </c>
      <c r="MTU6" s="97" t="str">
        <f t="shared" si="147"/>
        <v/>
      </c>
      <c r="MTV6" s="97" t="str">
        <f t="shared" si="147"/>
        <v/>
      </c>
      <c r="MTW6" s="97" t="str">
        <f t="shared" si="147"/>
        <v/>
      </c>
      <c r="MTX6" s="97" t="str">
        <f t="shared" si="147"/>
        <v/>
      </c>
      <c r="MTY6" s="97" t="str">
        <f t="shared" si="147"/>
        <v/>
      </c>
      <c r="MTZ6" s="97" t="str">
        <f t="shared" si="147"/>
        <v/>
      </c>
      <c r="MUA6" s="97" t="str">
        <f t="shared" si="147"/>
        <v/>
      </c>
      <c r="MUB6" s="97" t="str">
        <f t="shared" si="147"/>
        <v/>
      </c>
      <c r="MUC6" s="97" t="str">
        <f t="shared" si="147"/>
        <v/>
      </c>
      <c r="MUD6" s="97" t="str">
        <f t="shared" si="147"/>
        <v/>
      </c>
      <c r="MUE6" s="97" t="str">
        <f t="shared" si="147"/>
        <v/>
      </c>
      <c r="MUF6" s="97" t="str">
        <f t="shared" si="147"/>
        <v/>
      </c>
      <c r="MUG6" s="97" t="str">
        <f t="shared" si="147"/>
        <v/>
      </c>
      <c r="MUH6" s="97" t="str">
        <f t="shared" si="147"/>
        <v/>
      </c>
      <c r="MUI6" s="97" t="str">
        <f t="shared" si="147"/>
        <v/>
      </c>
      <c r="MUJ6" s="97" t="str">
        <f t="shared" si="147"/>
        <v/>
      </c>
      <c r="MUK6" s="97" t="str">
        <f t="shared" si="147"/>
        <v/>
      </c>
      <c r="MUL6" s="97" t="str">
        <f t="shared" si="147"/>
        <v/>
      </c>
      <c r="MUM6" s="97" t="str">
        <f t="shared" si="147"/>
        <v/>
      </c>
      <c r="MUN6" s="97" t="str">
        <f t="shared" si="147"/>
        <v/>
      </c>
      <c r="MUO6" s="97" t="str">
        <f t="shared" si="147"/>
        <v/>
      </c>
      <c r="MUP6" s="97" t="str">
        <f t="shared" ref="MUP6:MXA6" si="148">IFERROR(AVERAGE(MUP7:MUP13),"")</f>
        <v/>
      </c>
      <c r="MUQ6" s="97" t="str">
        <f t="shared" si="148"/>
        <v/>
      </c>
      <c r="MUR6" s="97" t="str">
        <f t="shared" si="148"/>
        <v/>
      </c>
      <c r="MUS6" s="97" t="str">
        <f t="shared" si="148"/>
        <v/>
      </c>
      <c r="MUT6" s="97" t="str">
        <f t="shared" si="148"/>
        <v/>
      </c>
      <c r="MUU6" s="97" t="str">
        <f t="shared" si="148"/>
        <v/>
      </c>
      <c r="MUV6" s="97" t="str">
        <f t="shared" si="148"/>
        <v/>
      </c>
      <c r="MUW6" s="97" t="str">
        <f t="shared" si="148"/>
        <v/>
      </c>
      <c r="MUX6" s="97" t="str">
        <f t="shared" si="148"/>
        <v/>
      </c>
      <c r="MUY6" s="97" t="str">
        <f t="shared" si="148"/>
        <v/>
      </c>
      <c r="MUZ6" s="97" t="str">
        <f t="shared" si="148"/>
        <v/>
      </c>
      <c r="MVA6" s="97" t="str">
        <f t="shared" si="148"/>
        <v/>
      </c>
      <c r="MVB6" s="97" t="str">
        <f t="shared" si="148"/>
        <v/>
      </c>
      <c r="MVC6" s="97" t="str">
        <f t="shared" si="148"/>
        <v/>
      </c>
      <c r="MVD6" s="97" t="str">
        <f t="shared" si="148"/>
        <v/>
      </c>
      <c r="MVE6" s="97" t="str">
        <f t="shared" si="148"/>
        <v/>
      </c>
      <c r="MVF6" s="97" t="str">
        <f t="shared" si="148"/>
        <v/>
      </c>
      <c r="MVG6" s="97" t="str">
        <f t="shared" si="148"/>
        <v/>
      </c>
      <c r="MVH6" s="97" t="str">
        <f t="shared" si="148"/>
        <v/>
      </c>
      <c r="MVI6" s="97" t="str">
        <f t="shared" si="148"/>
        <v/>
      </c>
      <c r="MVJ6" s="97" t="str">
        <f t="shared" si="148"/>
        <v/>
      </c>
      <c r="MVK6" s="97" t="str">
        <f t="shared" si="148"/>
        <v/>
      </c>
      <c r="MVL6" s="97" t="str">
        <f t="shared" si="148"/>
        <v/>
      </c>
      <c r="MVM6" s="97" t="str">
        <f t="shared" si="148"/>
        <v/>
      </c>
      <c r="MVN6" s="97" t="str">
        <f t="shared" si="148"/>
        <v/>
      </c>
      <c r="MVO6" s="97" t="str">
        <f t="shared" si="148"/>
        <v/>
      </c>
      <c r="MVP6" s="97" t="str">
        <f t="shared" si="148"/>
        <v/>
      </c>
      <c r="MVQ6" s="97" t="str">
        <f t="shared" si="148"/>
        <v/>
      </c>
      <c r="MVR6" s="97" t="str">
        <f t="shared" si="148"/>
        <v/>
      </c>
      <c r="MVS6" s="97" t="str">
        <f t="shared" si="148"/>
        <v/>
      </c>
      <c r="MVT6" s="97" t="str">
        <f t="shared" si="148"/>
        <v/>
      </c>
      <c r="MVU6" s="97" t="str">
        <f t="shared" si="148"/>
        <v/>
      </c>
      <c r="MVV6" s="97" t="str">
        <f t="shared" si="148"/>
        <v/>
      </c>
      <c r="MVW6" s="97" t="str">
        <f t="shared" si="148"/>
        <v/>
      </c>
      <c r="MVX6" s="97" t="str">
        <f t="shared" si="148"/>
        <v/>
      </c>
      <c r="MVY6" s="97" t="str">
        <f t="shared" si="148"/>
        <v/>
      </c>
      <c r="MVZ6" s="97" t="str">
        <f t="shared" si="148"/>
        <v/>
      </c>
      <c r="MWA6" s="97" t="str">
        <f t="shared" si="148"/>
        <v/>
      </c>
      <c r="MWB6" s="97" t="str">
        <f t="shared" si="148"/>
        <v/>
      </c>
      <c r="MWC6" s="97" t="str">
        <f t="shared" si="148"/>
        <v/>
      </c>
      <c r="MWD6" s="97" t="str">
        <f t="shared" si="148"/>
        <v/>
      </c>
      <c r="MWE6" s="97" t="str">
        <f t="shared" si="148"/>
        <v/>
      </c>
      <c r="MWF6" s="97" t="str">
        <f t="shared" si="148"/>
        <v/>
      </c>
      <c r="MWG6" s="97" t="str">
        <f t="shared" si="148"/>
        <v/>
      </c>
      <c r="MWH6" s="97" t="str">
        <f t="shared" si="148"/>
        <v/>
      </c>
      <c r="MWI6" s="97" t="str">
        <f t="shared" si="148"/>
        <v/>
      </c>
      <c r="MWJ6" s="97" t="str">
        <f t="shared" si="148"/>
        <v/>
      </c>
      <c r="MWK6" s="97" t="str">
        <f t="shared" si="148"/>
        <v/>
      </c>
      <c r="MWL6" s="97" t="str">
        <f t="shared" si="148"/>
        <v/>
      </c>
      <c r="MWM6" s="97" t="str">
        <f t="shared" si="148"/>
        <v/>
      </c>
      <c r="MWN6" s="97" t="str">
        <f t="shared" si="148"/>
        <v/>
      </c>
      <c r="MWO6" s="97" t="str">
        <f t="shared" si="148"/>
        <v/>
      </c>
      <c r="MWP6" s="97" t="str">
        <f t="shared" si="148"/>
        <v/>
      </c>
      <c r="MWQ6" s="97" t="str">
        <f t="shared" si="148"/>
        <v/>
      </c>
      <c r="MWR6" s="97" t="str">
        <f t="shared" si="148"/>
        <v/>
      </c>
      <c r="MWS6" s="97" t="str">
        <f t="shared" si="148"/>
        <v/>
      </c>
      <c r="MWT6" s="97" t="str">
        <f t="shared" si="148"/>
        <v/>
      </c>
      <c r="MWU6" s="97" t="str">
        <f t="shared" si="148"/>
        <v/>
      </c>
      <c r="MWV6" s="97" t="str">
        <f t="shared" si="148"/>
        <v/>
      </c>
      <c r="MWW6" s="97" t="str">
        <f t="shared" si="148"/>
        <v/>
      </c>
      <c r="MWX6" s="97" t="str">
        <f t="shared" si="148"/>
        <v/>
      </c>
      <c r="MWY6" s="97" t="str">
        <f t="shared" si="148"/>
        <v/>
      </c>
      <c r="MWZ6" s="97" t="str">
        <f t="shared" si="148"/>
        <v/>
      </c>
      <c r="MXA6" s="97" t="str">
        <f t="shared" si="148"/>
        <v/>
      </c>
      <c r="MXB6" s="97" t="str">
        <f t="shared" ref="MXB6:MZM6" si="149">IFERROR(AVERAGE(MXB7:MXB13),"")</f>
        <v/>
      </c>
      <c r="MXC6" s="97" t="str">
        <f t="shared" si="149"/>
        <v/>
      </c>
      <c r="MXD6" s="97" t="str">
        <f t="shared" si="149"/>
        <v/>
      </c>
      <c r="MXE6" s="97" t="str">
        <f t="shared" si="149"/>
        <v/>
      </c>
      <c r="MXF6" s="97" t="str">
        <f t="shared" si="149"/>
        <v/>
      </c>
      <c r="MXG6" s="97" t="str">
        <f t="shared" si="149"/>
        <v/>
      </c>
      <c r="MXH6" s="97" t="str">
        <f t="shared" si="149"/>
        <v/>
      </c>
      <c r="MXI6" s="97" t="str">
        <f t="shared" si="149"/>
        <v/>
      </c>
      <c r="MXJ6" s="97" t="str">
        <f t="shared" si="149"/>
        <v/>
      </c>
      <c r="MXK6" s="97" t="str">
        <f t="shared" si="149"/>
        <v/>
      </c>
      <c r="MXL6" s="97" t="str">
        <f t="shared" si="149"/>
        <v/>
      </c>
      <c r="MXM6" s="97" t="str">
        <f t="shared" si="149"/>
        <v/>
      </c>
      <c r="MXN6" s="97" t="str">
        <f t="shared" si="149"/>
        <v/>
      </c>
      <c r="MXO6" s="97" t="str">
        <f t="shared" si="149"/>
        <v/>
      </c>
      <c r="MXP6" s="97" t="str">
        <f t="shared" si="149"/>
        <v/>
      </c>
      <c r="MXQ6" s="97" t="str">
        <f t="shared" si="149"/>
        <v/>
      </c>
      <c r="MXR6" s="97" t="str">
        <f t="shared" si="149"/>
        <v/>
      </c>
      <c r="MXS6" s="97" t="str">
        <f t="shared" si="149"/>
        <v/>
      </c>
      <c r="MXT6" s="97" t="str">
        <f t="shared" si="149"/>
        <v/>
      </c>
      <c r="MXU6" s="97" t="str">
        <f t="shared" si="149"/>
        <v/>
      </c>
      <c r="MXV6" s="97" t="str">
        <f t="shared" si="149"/>
        <v/>
      </c>
      <c r="MXW6" s="97" t="str">
        <f t="shared" si="149"/>
        <v/>
      </c>
      <c r="MXX6" s="97" t="str">
        <f t="shared" si="149"/>
        <v/>
      </c>
      <c r="MXY6" s="97" t="str">
        <f t="shared" si="149"/>
        <v/>
      </c>
      <c r="MXZ6" s="97" t="str">
        <f t="shared" si="149"/>
        <v/>
      </c>
      <c r="MYA6" s="97" t="str">
        <f t="shared" si="149"/>
        <v/>
      </c>
      <c r="MYB6" s="97" t="str">
        <f t="shared" si="149"/>
        <v/>
      </c>
      <c r="MYC6" s="97" t="str">
        <f t="shared" si="149"/>
        <v/>
      </c>
      <c r="MYD6" s="97" t="str">
        <f t="shared" si="149"/>
        <v/>
      </c>
      <c r="MYE6" s="97" t="str">
        <f t="shared" si="149"/>
        <v/>
      </c>
      <c r="MYF6" s="97" t="str">
        <f t="shared" si="149"/>
        <v/>
      </c>
      <c r="MYG6" s="97" t="str">
        <f t="shared" si="149"/>
        <v/>
      </c>
      <c r="MYH6" s="97" t="str">
        <f t="shared" si="149"/>
        <v/>
      </c>
      <c r="MYI6" s="97" t="str">
        <f t="shared" si="149"/>
        <v/>
      </c>
      <c r="MYJ6" s="97" t="str">
        <f t="shared" si="149"/>
        <v/>
      </c>
      <c r="MYK6" s="97" t="str">
        <f t="shared" si="149"/>
        <v/>
      </c>
      <c r="MYL6" s="97" t="str">
        <f t="shared" si="149"/>
        <v/>
      </c>
      <c r="MYM6" s="97" t="str">
        <f t="shared" si="149"/>
        <v/>
      </c>
      <c r="MYN6" s="97" t="str">
        <f t="shared" si="149"/>
        <v/>
      </c>
      <c r="MYO6" s="97" t="str">
        <f t="shared" si="149"/>
        <v/>
      </c>
      <c r="MYP6" s="97" t="str">
        <f t="shared" si="149"/>
        <v/>
      </c>
      <c r="MYQ6" s="97" t="str">
        <f t="shared" si="149"/>
        <v/>
      </c>
      <c r="MYR6" s="97" t="str">
        <f t="shared" si="149"/>
        <v/>
      </c>
      <c r="MYS6" s="97" t="str">
        <f t="shared" si="149"/>
        <v/>
      </c>
      <c r="MYT6" s="97" t="str">
        <f t="shared" si="149"/>
        <v/>
      </c>
      <c r="MYU6" s="97" t="str">
        <f t="shared" si="149"/>
        <v/>
      </c>
      <c r="MYV6" s="97" t="str">
        <f t="shared" si="149"/>
        <v/>
      </c>
      <c r="MYW6" s="97" t="str">
        <f t="shared" si="149"/>
        <v/>
      </c>
      <c r="MYX6" s="97" t="str">
        <f t="shared" si="149"/>
        <v/>
      </c>
      <c r="MYY6" s="97" t="str">
        <f t="shared" si="149"/>
        <v/>
      </c>
      <c r="MYZ6" s="97" t="str">
        <f t="shared" si="149"/>
        <v/>
      </c>
      <c r="MZA6" s="97" t="str">
        <f t="shared" si="149"/>
        <v/>
      </c>
      <c r="MZB6" s="97" t="str">
        <f t="shared" si="149"/>
        <v/>
      </c>
      <c r="MZC6" s="97" t="str">
        <f t="shared" si="149"/>
        <v/>
      </c>
      <c r="MZD6" s="97" t="str">
        <f t="shared" si="149"/>
        <v/>
      </c>
      <c r="MZE6" s="97" t="str">
        <f t="shared" si="149"/>
        <v/>
      </c>
      <c r="MZF6" s="97" t="str">
        <f t="shared" si="149"/>
        <v/>
      </c>
      <c r="MZG6" s="97" t="str">
        <f t="shared" si="149"/>
        <v/>
      </c>
      <c r="MZH6" s="97" t="str">
        <f t="shared" si="149"/>
        <v/>
      </c>
      <c r="MZI6" s="97" t="str">
        <f t="shared" si="149"/>
        <v/>
      </c>
      <c r="MZJ6" s="97" t="str">
        <f t="shared" si="149"/>
        <v/>
      </c>
      <c r="MZK6" s="97" t="str">
        <f t="shared" si="149"/>
        <v/>
      </c>
      <c r="MZL6" s="97" t="str">
        <f t="shared" si="149"/>
        <v/>
      </c>
      <c r="MZM6" s="97" t="str">
        <f t="shared" si="149"/>
        <v/>
      </c>
      <c r="MZN6" s="97" t="str">
        <f t="shared" ref="MZN6:NBY6" si="150">IFERROR(AVERAGE(MZN7:MZN13),"")</f>
        <v/>
      </c>
      <c r="MZO6" s="97" t="str">
        <f t="shared" si="150"/>
        <v/>
      </c>
      <c r="MZP6" s="97" t="str">
        <f t="shared" si="150"/>
        <v/>
      </c>
      <c r="MZQ6" s="97" t="str">
        <f t="shared" si="150"/>
        <v/>
      </c>
      <c r="MZR6" s="97" t="str">
        <f t="shared" si="150"/>
        <v/>
      </c>
      <c r="MZS6" s="97" t="str">
        <f t="shared" si="150"/>
        <v/>
      </c>
      <c r="MZT6" s="97" t="str">
        <f t="shared" si="150"/>
        <v/>
      </c>
      <c r="MZU6" s="97" t="str">
        <f t="shared" si="150"/>
        <v/>
      </c>
      <c r="MZV6" s="97" t="str">
        <f t="shared" si="150"/>
        <v/>
      </c>
      <c r="MZW6" s="97" t="str">
        <f t="shared" si="150"/>
        <v/>
      </c>
      <c r="MZX6" s="97" t="str">
        <f t="shared" si="150"/>
        <v/>
      </c>
      <c r="MZY6" s="97" t="str">
        <f t="shared" si="150"/>
        <v/>
      </c>
      <c r="MZZ6" s="97" t="str">
        <f t="shared" si="150"/>
        <v/>
      </c>
      <c r="NAA6" s="97" t="str">
        <f t="shared" si="150"/>
        <v/>
      </c>
      <c r="NAB6" s="97" t="str">
        <f t="shared" si="150"/>
        <v/>
      </c>
      <c r="NAC6" s="97" t="str">
        <f t="shared" si="150"/>
        <v/>
      </c>
      <c r="NAD6" s="97" t="str">
        <f t="shared" si="150"/>
        <v/>
      </c>
      <c r="NAE6" s="97" t="str">
        <f t="shared" si="150"/>
        <v/>
      </c>
      <c r="NAF6" s="97" t="str">
        <f t="shared" si="150"/>
        <v/>
      </c>
      <c r="NAG6" s="97" t="str">
        <f t="shared" si="150"/>
        <v/>
      </c>
      <c r="NAH6" s="97" t="str">
        <f t="shared" si="150"/>
        <v/>
      </c>
      <c r="NAI6" s="97" t="str">
        <f t="shared" si="150"/>
        <v/>
      </c>
      <c r="NAJ6" s="97" t="str">
        <f t="shared" si="150"/>
        <v/>
      </c>
      <c r="NAK6" s="97" t="str">
        <f t="shared" si="150"/>
        <v/>
      </c>
      <c r="NAL6" s="97" t="str">
        <f t="shared" si="150"/>
        <v/>
      </c>
      <c r="NAM6" s="97" t="str">
        <f t="shared" si="150"/>
        <v/>
      </c>
      <c r="NAN6" s="97" t="str">
        <f t="shared" si="150"/>
        <v/>
      </c>
      <c r="NAO6" s="97" t="str">
        <f t="shared" si="150"/>
        <v/>
      </c>
      <c r="NAP6" s="97" t="str">
        <f t="shared" si="150"/>
        <v/>
      </c>
      <c r="NAQ6" s="97" t="str">
        <f t="shared" si="150"/>
        <v/>
      </c>
      <c r="NAR6" s="97" t="str">
        <f t="shared" si="150"/>
        <v/>
      </c>
      <c r="NAS6" s="97" t="str">
        <f t="shared" si="150"/>
        <v/>
      </c>
      <c r="NAT6" s="97" t="str">
        <f t="shared" si="150"/>
        <v/>
      </c>
      <c r="NAU6" s="97" t="str">
        <f t="shared" si="150"/>
        <v/>
      </c>
      <c r="NAV6" s="97" t="str">
        <f t="shared" si="150"/>
        <v/>
      </c>
      <c r="NAW6" s="97" t="str">
        <f t="shared" si="150"/>
        <v/>
      </c>
      <c r="NAX6" s="97" t="str">
        <f t="shared" si="150"/>
        <v/>
      </c>
      <c r="NAY6" s="97" t="str">
        <f t="shared" si="150"/>
        <v/>
      </c>
      <c r="NAZ6" s="97" t="str">
        <f t="shared" si="150"/>
        <v/>
      </c>
      <c r="NBA6" s="97" t="str">
        <f t="shared" si="150"/>
        <v/>
      </c>
      <c r="NBB6" s="97" t="str">
        <f t="shared" si="150"/>
        <v/>
      </c>
      <c r="NBC6" s="97" t="str">
        <f t="shared" si="150"/>
        <v/>
      </c>
      <c r="NBD6" s="97" t="str">
        <f t="shared" si="150"/>
        <v/>
      </c>
      <c r="NBE6" s="97" t="str">
        <f t="shared" si="150"/>
        <v/>
      </c>
      <c r="NBF6" s="97" t="str">
        <f t="shared" si="150"/>
        <v/>
      </c>
      <c r="NBG6" s="97" t="str">
        <f t="shared" si="150"/>
        <v/>
      </c>
      <c r="NBH6" s="97" t="str">
        <f t="shared" si="150"/>
        <v/>
      </c>
      <c r="NBI6" s="97" t="str">
        <f t="shared" si="150"/>
        <v/>
      </c>
      <c r="NBJ6" s="97" t="str">
        <f t="shared" si="150"/>
        <v/>
      </c>
      <c r="NBK6" s="97" t="str">
        <f t="shared" si="150"/>
        <v/>
      </c>
      <c r="NBL6" s="97" t="str">
        <f t="shared" si="150"/>
        <v/>
      </c>
      <c r="NBM6" s="97" t="str">
        <f t="shared" si="150"/>
        <v/>
      </c>
      <c r="NBN6" s="97" t="str">
        <f t="shared" si="150"/>
        <v/>
      </c>
      <c r="NBO6" s="97" t="str">
        <f t="shared" si="150"/>
        <v/>
      </c>
      <c r="NBP6" s="97" t="str">
        <f t="shared" si="150"/>
        <v/>
      </c>
      <c r="NBQ6" s="97" t="str">
        <f t="shared" si="150"/>
        <v/>
      </c>
      <c r="NBR6" s="97" t="str">
        <f t="shared" si="150"/>
        <v/>
      </c>
      <c r="NBS6" s="97" t="str">
        <f t="shared" si="150"/>
        <v/>
      </c>
      <c r="NBT6" s="97" t="str">
        <f t="shared" si="150"/>
        <v/>
      </c>
      <c r="NBU6" s="97" t="str">
        <f t="shared" si="150"/>
        <v/>
      </c>
      <c r="NBV6" s="97" t="str">
        <f t="shared" si="150"/>
        <v/>
      </c>
      <c r="NBW6" s="97" t="str">
        <f t="shared" si="150"/>
        <v/>
      </c>
      <c r="NBX6" s="97" t="str">
        <f t="shared" si="150"/>
        <v/>
      </c>
      <c r="NBY6" s="97" t="str">
        <f t="shared" si="150"/>
        <v/>
      </c>
      <c r="NBZ6" s="97" t="str">
        <f t="shared" ref="NBZ6:NEK6" si="151">IFERROR(AVERAGE(NBZ7:NBZ13),"")</f>
        <v/>
      </c>
      <c r="NCA6" s="97" t="str">
        <f t="shared" si="151"/>
        <v/>
      </c>
      <c r="NCB6" s="97" t="str">
        <f t="shared" si="151"/>
        <v/>
      </c>
      <c r="NCC6" s="97" t="str">
        <f t="shared" si="151"/>
        <v/>
      </c>
      <c r="NCD6" s="97" t="str">
        <f t="shared" si="151"/>
        <v/>
      </c>
      <c r="NCE6" s="97" t="str">
        <f t="shared" si="151"/>
        <v/>
      </c>
      <c r="NCF6" s="97" t="str">
        <f t="shared" si="151"/>
        <v/>
      </c>
      <c r="NCG6" s="97" t="str">
        <f t="shared" si="151"/>
        <v/>
      </c>
      <c r="NCH6" s="97" t="str">
        <f t="shared" si="151"/>
        <v/>
      </c>
      <c r="NCI6" s="97" t="str">
        <f t="shared" si="151"/>
        <v/>
      </c>
      <c r="NCJ6" s="97" t="str">
        <f t="shared" si="151"/>
        <v/>
      </c>
      <c r="NCK6" s="97" t="str">
        <f t="shared" si="151"/>
        <v/>
      </c>
      <c r="NCL6" s="97" t="str">
        <f t="shared" si="151"/>
        <v/>
      </c>
      <c r="NCM6" s="97" t="str">
        <f t="shared" si="151"/>
        <v/>
      </c>
      <c r="NCN6" s="97" t="str">
        <f t="shared" si="151"/>
        <v/>
      </c>
      <c r="NCO6" s="97" t="str">
        <f t="shared" si="151"/>
        <v/>
      </c>
      <c r="NCP6" s="97" t="str">
        <f t="shared" si="151"/>
        <v/>
      </c>
      <c r="NCQ6" s="97" t="str">
        <f t="shared" si="151"/>
        <v/>
      </c>
      <c r="NCR6" s="97" t="str">
        <f t="shared" si="151"/>
        <v/>
      </c>
      <c r="NCS6" s="97" t="str">
        <f t="shared" si="151"/>
        <v/>
      </c>
      <c r="NCT6" s="97" t="str">
        <f t="shared" si="151"/>
        <v/>
      </c>
      <c r="NCU6" s="97" t="str">
        <f t="shared" si="151"/>
        <v/>
      </c>
      <c r="NCV6" s="97" t="str">
        <f t="shared" si="151"/>
        <v/>
      </c>
      <c r="NCW6" s="97" t="str">
        <f t="shared" si="151"/>
        <v/>
      </c>
      <c r="NCX6" s="97" t="str">
        <f t="shared" si="151"/>
        <v/>
      </c>
      <c r="NCY6" s="97" t="str">
        <f t="shared" si="151"/>
        <v/>
      </c>
      <c r="NCZ6" s="97" t="str">
        <f t="shared" si="151"/>
        <v/>
      </c>
      <c r="NDA6" s="97" t="str">
        <f t="shared" si="151"/>
        <v/>
      </c>
      <c r="NDB6" s="97" t="str">
        <f t="shared" si="151"/>
        <v/>
      </c>
      <c r="NDC6" s="97" t="str">
        <f t="shared" si="151"/>
        <v/>
      </c>
      <c r="NDD6" s="97" t="str">
        <f t="shared" si="151"/>
        <v/>
      </c>
      <c r="NDE6" s="97" t="str">
        <f t="shared" si="151"/>
        <v/>
      </c>
      <c r="NDF6" s="97" t="str">
        <f t="shared" si="151"/>
        <v/>
      </c>
      <c r="NDG6" s="97" t="str">
        <f t="shared" si="151"/>
        <v/>
      </c>
      <c r="NDH6" s="97" t="str">
        <f t="shared" si="151"/>
        <v/>
      </c>
      <c r="NDI6" s="97" t="str">
        <f t="shared" si="151"/>
        <v/>
      </c>
      <c r="NDJ6" s="97" t="str">
        <f t="shared" si="151"/>
        <v/>
      </c>
      <c r="NDK6" s="97" t="str">
        <f t="shared" si="151"/>
        <v/>
      </c>
      <c r="NDL6" s="97" t="str">
        <f t="shared" si="151"/>
        <v/>
      </c>
      <c r="NDM6" s="97" t="str">
        <f t="shared" si="151"/>
        <v/>
      </c>
      <c r="NDN6" s="97" t="str">
        <f t="shared" si="151"/>
        <v/>
      </c>
      <c r="NDO6" s="97" t="str">
        <f t="shared" si="151"/>
        <v/>
      </c>
      <c r="NDP6" s="97" t="str">
        <f t="shared" si="151"/>
        <v/>
      </c>
      <c r="NDQ6" s="97" t="str">
        <f t="shared" si="151"/>
        <v/>
      </c>
      <c r="NDR6" s="97" t="str">
        <f t="shared" si="151"/>
        <v/>
      </c>
      <c r="NDS6" s="97" t="str">
        <f t="shared" si="151"/>
        <v/>
      </c>
      <c r="NDT6" s="97" t="str">
        <f t="shared" si="151"/>
        <v/>
      </c>
      <c r="NDU6" s="97" t="str">
        <f t="shared" si="151"/>
        <v/>
      </c>
      <c r="NDV6" s="97" t="str">
        <f t="shared" si="151"/>
        <v/>
      </c>
      <c r="NDW6" s="97" t="str">
        <f t="shared" si="151"/>
        <v/>
      </c>
      <c r="NDX6" s="97" t="str">
        <f t="shared" si="151"/>
        <v/>
      </c>
      <c r="NDY6" s="97" t="str">
        <f t="shared" si="151"/>
        <v/>
      </c>
      <c r="NDZ6" s="97" t="str">
        <f t="shared" si="151"/>
        <v/>
      </c>
      <c r="NEA6" s="97" t="str">
        <f t="shared" si="151"/>
        <v/>
      </c>
      <c r="NEB6" s="97" t="str">
        <f t="shared" si="151"/>
        <v/>
      </c>
      <c r="NEC6" s="97" t="str">
        <f t="shared" si="151"/>
        <v/>
      </c>
      <c r="NED6" s="97" t="str">
        <f t="shared" si="151"/>
        <v/>
      </c>
      <c r="NEE6" s="97" t="str">
        <f t="shared" si="151"/>
        <v/>
      </c>
      <c r="NEF6" s="97" t="str">
        <f t="shared" si="151"/>
        <v/>
      </c>
      <c r="NEG6" s="97" t="str">
        <f t="shared" si="151"/>
        <v/>
      </c>
      <c r="NEH6" s="97" t="str">
        <f t="shared" si="151"/>
        <v/>
      </c>
      <c r="NEI6" s="97" t="str">
        <f t="shared" si="151"/>
        <v/>
      </c>
      <c r="NEJ6" s="97" t="str">
        <f t="shared" si="151"/>
        <v/>
      </c>
      <c r="NEK6" s="97" t="str">
        <f t="shared" si="151"/>
        <v/>
      </c>
      <c r="NEL6" s="97" t="str">
        <f t="shared" ref="NEL6:NGW6" si="152">IFERROR(AVERAGE(NEL7:NEL13),"")</f>
        <v/>
      </c>
      <c r="NEM6" s="97" t="str">
        <f t="shared" si="152"/>
        <v/>
      </c>
      <c r="NEN6" s="97" t="str">
        <f t="shared" si="152"/>
        <v/>
      </c>
      <c r="NEO6" s="97" t="str">
        <f t="shared" si="152"/>
        <v/>
      </c>
      <c r="NEP6" s="97" t="str">
        <f t="shared" si="152"/>
        <v/>
      </c>
      <c r="NEQ6" s="97" t="str">
        <f t="shared" si="152"/>
        <v/>
      </c>
      <c r="NER6" s="97" t="str">
        <f t="shared" si="152"/>
        <v/>
      </c>
      <c r="NES6" s="97" t="str">
        <f t="shared" si="152"/>
        <v/>
      </c>
      <c r="NET6" s="97" t="str">
        <f t="shared" si="152"/>
        <v/>
      </c>
      <c r="NEU6" s="97" t="str">
        <f t="shared" si="152"/>
        <v/>
      </c>
      <c r="NEV6" s="97" t="str">
        <f t="shared" si="152"/>
        <v/>
      </c>
      <c r="NEW6" s="97" t="str">
        <f t="shared" si="152"/>
        <v/>
      </c>
      <c r="NEX6" s="97" t="str">
        <f t="shared" si="152"/>
        <v/>
      </c>
      <c r="NEY6" s="97" t="str">
        <f t="shared" si="152"/>
        <v/>
      </c>
      <c r="NEZ6" s="97" t="str">
        <f t="shared" si="152"/>
        <v/>
      </c>
      <c r="NFA6" s="97" t="str">
        <f t="shared" si="152"/>
        <v/>
      </c>
      <c r="NFB6" s="97" t="str">
        <f t="shared" si="152"/>
        <v/>
      </c>
      <c r="NFC6" s="97" t="str">
        <f t="shared" si="152"/>
        <v/>
      </c>
      <c r="NFD6" s="97" t="str">
        <f t="shared" si="152"/>
        <v/>
      </c>
      <c r="NFE6" s="97" t="str">
        <f t="shared" si="152"/>
        <v/>
      </c>
      <c r="NFF6" s="97" t="str">
        <f t="shared" si="152"/>
        <v/>
      </c>
      <c r="NFG6" s="97" t="str">
        <f t="shared" si="152"/>
        <v/>
      </c>
      <c r="NFH6" s="97" t="str">
        <f t="shared" si="152"/>
        <v/>
      </c>
      <c r="NFI6" s="97" t="str">
        <f t="shared" si="152"/>
        <v/>
      </c>
      <c r="NFJ6" s="97" t="str">
        <f t="shared" si="152"/>
        <v/>
      </c>
      <c r="NFK6" s="97" t="str">
        <f t="shared" si="152"/>
        <v/>
      </c>
      <c r="NFL6" s="97" t="str">
        <f t="shared" si="152"/>
        <v/>
      </c>
      <c r="NFM6" s="97" t="str">
        <f t="shared" si="152"/>
        <v/>
      </c>
      <c r="NFN6" s="97" t="str">
        <f t="shared" si="152"/>
        <v/>
      </c>
      <c r="NFO6" s="97" t="str">
        <f t="shared" si="152"/>
        <v/>
      </c>
      <c r="NFP6" s="97" t="str">
        <f t="shared" si="152"/>
        <v/>
      </c>
      <c r="NFQ6" s="97" t="str">
        <f t="shared" si="152"/>
        <v/>
      </c>
      <c r="NFR6" s="97" t="str">
        <f t="shared" si="152"/>
        <v/>
      </c>
      <c r="NFS6" s="97" t="str">
        <f t="shared" si="152"/>
        <v/>
      </c>
      <c r="NFT6" s="97" t="str">
        <f t="shared" si="152"/>
        <v/>
      </c>
      <c r="NFU6" s="97" t="str">
        <f t="shared" si="152"/>
        <v/>
      </c>
      <c r="NFV6" s="97" t="str">
        <f t="shared" si="152"/>
        <v/>
      </c>
      <c r="NFW6" s="97" t="str">
        <f t="shared" si="152"/>
        <v/>
      </c>
      <c r="NFX6" s="97" t="str">
        <f t="shared" si="152"/>
        <v/>
      </c>
      <c r="NFY6" s="97" t="str">
        <f t="shared" si="152"/>
        <v/>
      </c>
      <c r="NFZ6" s="97" t="str">
        <f t="shared" si="152"/>
        <v/>
      </c>
      <c r="NGA6" s="97" t="str">
        <f t="shared" si="152"/>
        <v/>
      </c>
      <c r="NGB6" s="97" t="str">
        <f t="shared" si="152"/>
        <v/>
      </c>
      <c r="NGC6" s="97" t="str">
        <f t="shared" si="152"/>
        <v/>
      </c>
      <c r="NGD6" s="97" t="str">
        <f t="shared" si="152"/>
        <v/>
      </c>
      <c r="NGE6" s="97" t="str">
        <f t="shared" si="152"/>
        <v/>
      </c>
      <c r="NGF6" s="97" t="str">
        <f t="shared" si="152"/>
        <v/>
      </c>
      <c r="NGG6" s="97" t="str">
        <f t="shared" si="152"/>
        <v/>
      </c>
      <c r="NGH6" s="97" t="str">
        <f t="shared" si="152"/>
        <v/>
      </c>
      <c r="NGI6" s="97" t="str">
        <f t="shared" si="152"/>
        <v/>
      </c>
      <c r="NGJ6" s="97" t="str">
        <f t="shared" si="152"/>
        <v/>
      </c>
      <c r="NGK6" s="97" t="str">
        <f t="shared" si="152"/>
        <v/>
      </c>
      <c r="NGL6" s="97" t="str">
        <f t="shared" si="152"/>
        <v/>
      </c>
      <c r="NGM6" s="97" t="str">
        <f t="shared" si="152"/>
        <v/>
      </c>
      <c r="NGN6" s="97" t="str">
        <f t="shared" si="152"/>
        <v/>
      </c>
      <c r="NGO6" s="97" t="str">
        <f t="shared" si="152"/>
        <v/>
      </c>
      <c r="NGP6" s="97" t="str">
        <f t="shared" si="152"/>
        <v/>
      </c>
      <c r="NGQ6" s="97" t="str">
        <f t="shared" si="152"/>
        <v/>
      </c>
      <c r="NGR6" s="97" t="str">
        <f t="shared" si="152"/>
        <v/>
      </c>
      <c r="NGS6" s="97" t="str">
        <f t="shared" si="152"/>
        <v/>
      </c>
      <c r="NGT6" s="97" t="str">
        <f t="shared" si="152"/>
        <v/>
      </c>
      <c r="NGU6" s="97" t="str">
        <f t="shared" si="152"/>
        <v/>
      </c>
      <c r="NGV6" s="97" t="str">
        <f t="shared" si="152"/>
        <v/>
      </c>
      <c r="NGW6" s="97" t="str">
        <f t="shared" si="152"/>
        <v/>
      </c>
      <c r="NGX6" s="97" t="str">
        <f t="shared" ref="NGX6:NJI6" si="153">IFERROR(AVERAGE(NGX7:NGX13),"")</f>
        <v/>
      </c>
      <c r="NGY6" s="97" t="str">
        <f t="shared" si="153"/>
        <v/>
      </c>
      <c r="NGZ6" s="97" t="str">
        <f t="shared" si="153"/>
        <v/>
      </c>
      <c r="NHA6" s="97" t="str">
        <f t="shared" si="153"/>
        <v/>
      </c>
      <c r="NHB6" s="97" t="str">
        <f t="shared" si="153"/>
        <v/>
      </c>
      <c r="NHC6" s="97" t="str">
        <f t="shared" si="153"/>
        <v/>
      </c>
      <c r="NHD6" s="97" t="str">
        <f t="shared" si="153"/>
        <v/>
      </c>
      <c r="NHE6" s="97" t="str">
        <f t="shared" si="153"/>
        <v/>
      </c>
      <c r="NHF6" s="97" t="str">
        <f t="shared" si="153"/>
        <v/>
      </c>
      <c r="NHG6" s="97" t="str">
        <f t="shared" si="153"/>
        <v/>
      </c>
      <c r="NHH6" s="97" t="str">
        <f t="shared" si="153"/>
        <v/>
      </c>
      <c r="NHI6" s="97" t="str">
        <f t="shared" si="153"/>
        <v/>
      </c>
      <c r="NHJ6" s="97" t="str">
        <f t="shared" si="153"/>
        <v/>
      </c>
      <c r="NHK6" s="97" t="str">
        <f t="shared" si="153"/>
        <v/>
      </c>
      <c r="NHL6" s="97" t="str">
        <f t="shared" si="153"/>
        <v/>
      </c>
      <c r="NHM6" s="97" t="str">
        <f t="shared" si="153"/>
        <v/>
      </c>
      <c r="NHN6" s="97" t="str">
        <f t="shared" si="153"/>
        <v/>
      </c>
      <c r="NHO6" s="97" t="str">
        <f t="shared" si="153"/>
        <v/>
      </c>
      <c r="NHP6" s="97" t="str">
        <f t="shared" si="153"/>
        <v/>
      </c>
      <c r="NHQ6" s="97" t="str">
        <f t="shared" si="153"/>
        <v/>
      </c>
      <c r="NHR6" s="97" t="str">
        <f t="shared" si="153"/>
        <v/>
      </c>
      <c r="NHS6" s="97" t="str">
        <f t="shared" si="153"/>
        <v/>
      </c>
      <c r="NHT6" s="97" t="str">
        <f t="shared" si="153"/>
        <v/>
      </c>
      <c r="NHU6" s="97" t="str">
        <f t="shared" si="153"/>
        <v/>
      </c>
      <c r="NHV6" s="97" t="str">
        <f t="shared" si="153"/>
        <v/>
      </c>
      <c r="NHW6" s="97" t="str">
        <f t="shared" si="153"/>
        <v/>
      </c>
      <c r="NHX6" s="97" t="str">
        <f t="shared" si="153"/>
        <v/>
      </c>
      <c r="NHY6" s="97" t="str">
        <f t="shared" si="153"/>
        <v/>
      </c>
      <c r="NHZ6" s="97" t="str">
        <f t="shared" si="153"/>
        <v/>
      </c>
      <c r="NIA6" s="97" t="str">
        <f t="shared" si="153"/>
        <v/>
      </c>
      <c r="NIB6" s="97" t="str">
        <f t="shared" si="153"/>
        <v/>
      </c>
      <c r="NIC6" s="97" t="str">
        <f t="shared" si="153"/>
        <v/>
      </c>
      <c r="NID6" s="97" t="str">
        <f t="shared" si="153"/>
        <v/>
      </c>
      <c r="NIE6" s="97" t="str">
        <f t="shared" si="153"/>
        <v/>
      </c>
      <c r="NIF6" s="97" t="str">
        <f t="shared" si="153"/>
        <v/>
      </c>
      <c r="NIG6" s="97" t="str">
        <f t="shared" si="153"/>
        <v/>
      </c>
      <c r="NIH6" s="97" t="str">
        <f t="shared" si="153"/>
        <v/>
      </c>
      <c r="NII6" s="97" t="str">
        <f t="shared" si="153"/>
        <v/>
      </c>
      <c r="NIJ6" s="97" t="str">
        <f t="shared" si="153"/>
        <v/>
      </c>
      <c r="NIK6" s="97" t="str">
        <f t="shared" si="153"/>
        <v/>
      </c>
      <c r="NIL6" s="97" t="str">
        <f t="shared" si="153"/>
        <v/>
      </c>
      <c r="NIM6" s="97" t="str">
        <f t="shared" si="153"/>
        <v/>
      </c>
      <c r="NIN6" s="97" t="str">
        <f t="shared" si="153"/>
        <v/>
      </c>
      <c r="NIO6" s="97" t="str">
        <f t="shared" si="153"/>
        <v/>
      </c>
      <c r="NIP6" s="97" t="str">
        <f t="shared" si="153"/>
        <v/>
      </c>
      <c r="NIQ6" s="97" t="str">
        <f t="shared" si="153"/>
        <v/>
      </c>
      <c r="NIR6" s="97" t="str">
        <f t="shared" si="153"/>
        <v/>
      </c>
      <c r="NIS6" s="97" t="str">
        <f t="shared" si="153"/>
        <v/>
      </c>
      <c r="NIT6" s="97" t="str">
        <f t="shared" si="153"/>
        <v/>
      </c>
      <c r="NIU6" s="97" t="str">
        <f t="shared" si="153"/>
        <v/>
      </c>
      <c r="NIV6" s="97" t="str">
        <f t="shared" si="153"/>
        <v/>
      </c>
      <c r="NIW6" s="97" t="str">
        <f t="shared" si="153"/>
        <v/>
      </c>
      <c r="NIX6" s="97" t="str">
        <f t="shared" si="153"/>
        <v/>
      </c>
      <c r="NIY6" s="97" t="str">
        <f t="shared" si="153"/>
        <v/>
      </c>
      <c r="NIZ6" s="97" t="str">
        <f t="shared" si="153"/>
        <v/>
      </c>
      <c r="NJA6" s="97" t="str">
        <f t="shared" si="153"/>
        <v/>
      </c>
      <c r="NJB6" s="97" t="str">
        <f t="shared" si="153"/>
        <v/>
      </c>
      <c r="NJC6" s="97" t="str">
        <f t="shared" si="153"/>
        <v/>
      </c>
      <c r="NJD6" s="97" t="str">
        <f t="shared" si="153"/>
        <v/>
      </c>
      <c r="NJE6" s="97" t="str">
        <f t="shared" si="153"/>
        <v/>
      </c>
      <c r="NJF6" s="97" t="str">
        <f t="shared" si="153"/>
        <v/>
      </c>
      <c r="NJG6" s="97" t="str">
        <f t="shared" si="153"/>
        <v/>
      </c>
      <c r="NJH6" s="97" t="str">
        <f t="shared" si="153"/>
        <v/>
      </c>
      <c r="NJI6" s="97" t="str">
        <f t="shared" si="153"/>
        <v/>
      </c>
      <c r="NJJ6" s="97" t="str">
        <f t="shared" ref="NJJ6:NLU6" si="154">IFERROR(AVERAGE(NJJ7:NJJ13),"")</f>
        <v/>
      </c>
      <c r="NJK6" s="97" t="str">
        <f t="shared" si="154"/>
        <v/>
      </c>
      <c r="NJL6" s="97" t="str">
        <f t="shared" si="154"/>
        <v/>
      </c>
      <c r="NJM6" s="97" t="str">
        <f t="shared" si="154"/>
        <v/>
      </c>
      <c r="NJN6" s="97" t="str">
        <f t="shared" si="154"/>
        <v/>
      </c>
      <c r="NJO6" s="97" t="str">
        <f t="shared" si="154"/>
        <v/>
      </c>
      <c r="NJP6" s="97" t="str">
        <f t="shared" si="154"/>
        <v/>
      </c>
      <c r="NJQ6" s="97" t="str">
        <f t="shared" si="154"/>
        <v/>
      </c>
      <c r="NJR6" s="97" t="str">
        <f t="shared" si="154"/>
        <v/>
      </c>
      <c r="NJS6" s="97" t="str">
        <f t="shared" si="154"/>
        <v/>
      </c>
      <c r="NJT6" s="97" t="str">
        <f t="shared" si="154"/>
        <v/>
      </c>
      <c r="NJU6" s="97" t="str">
        <f t="shared" si="154"/>
        <v/>
      </c>
      <c r="NJV6" s="97" t="str">
        <f t="shared" si="154"/>
        <v/>
      </c>
      <c r="NJW6" s="97" t="str">
        <f t="shared" si="154"/>
        <v/>
      </c>
      <c r="NJX6" s="97" t="str">
        <f t="shared" si="154"/>
        <v/>
      </c>
      <c r="NJY6" s="97" t="str">
        <f t="shared" si="154"/>
        <v/>
      </c>
      <c r="NJZ6" s="97" t="str">
        <f t="shared" si="154"/>
        <v/>
      </c>
      <c r="NKA6" s="97" t="str">
        <f t="shared" si="154"/>
        <v/>
      </c>
      <c r="NKB6" s="97" t="str">
        <f t="shared" si="154"/>
        <v/>
      </c>
      <c r="NKC6" s="97" t="str">
        <f t="shared" si="154"/>
        <v/>
      </c>
      <c r="NKD6" s="97" t="str">
        <f t="shared" si="154"/>
        <v/>
      </c>
      <c r="NKE6" s="97" t="str">
        <f t="shared" si="154"/>
        <v/>
      </c>
      <c r="NKF6" s="97" t="str">
        <f t="shared" si="154"/>
        <v/>
      </c>
      <c r="NKG6" s="97" t="str">
        <f t="shared" si="154"/>
        <v/>
      </c>
      <c r="NKH6" s="97" t="str">
        <f t="shared" si="154"/>
        <v/>
      </c>
      <c r="NKI6" s="97" t="str">
        <f t="shared" si="154"/>
        <v/>
      </c>
      <c r="NKJ6" s="97" t="str">
        <f t="shared" si="154"/>
        <v/>
      </c>
      <c r="NKK6" s="97" t="str">
        <f t="shared" si="154"/>
        <v/>
      </c>
      <c r="NKL6" s="97" t="str">
        <f t="shared" si="154"/>
        <v/>
      </c>
      <c r="NKM6" s="97" t="str">
        <f t="shared" si="154"/>
        <v/>
      </c>
      <c r="NKN6" s="97" t="str">
        <f t="shared" si="154"/>
        <v/>
      </c>
      <c r="NKO6" s="97" t="str">
        <f t="shared" si="154"/>
        <v/>
      </c>
      <c r="NKP6" s="97" t="str">
        <f t="shared" si="154"/>
        <v/>
      </c>
      <c r="NKQ6" s="97" t="str">
        <f t="shared" si="154"/>
        <v/>
      </c>
      <c r="NKR6" s="97" t="str">
        <f t="shared" si="154"/>
        <v/>
      </c>
      <c r="NKS6" s="97" t="str">
        <f t="shared" si="154"/>
        <v/>
      </c>
      <c r="NKT6" s="97" t="str">
        <f t="shared" si="154"/>
        <v/>
      </c>
      <c r="NKU6" s="97" t="str">
        <f t="shared" si="154"/>
        <v/>
      </c>
      <c r="NKV6" s="97" t="str">
        <f t="shared" si="154"/>
        <v/>
      </c>
      <c r="NKW6" s="97" t="str">
        <f t="shared" si="154"/>
        <v/>
      </c>
      <c r="NKX6" s="97" t="str">
        <f t="shared" si="154"/>
        <v/>
      </c>
      <c r="NKY6" s="97" t="str">
        <f t="shared" si="154"/>
        <v/>
      </c>
      <c r="NKZ6" s="97" t="str">
        <f t="shared" si="154"/>
        <v/>
      </c>
      <c r="NLA6" s="97" t="str">
        <f t="shared" si="154"/>
        <v/>
      </c>
      <c r="NLB6" s="97" t="str">
        <f t="shared" si="154"/>
        <v/>
      </c>
      <c r="NLC6" s="97" t="str">
        <f t="shared" si="154"/>
        <v/>
      </c>
      <c r="NLD6" s="97" t="str">
        <f t="shared" si="154"/>
        <v/>
      </c>
      <c r="NLE6" s="97" t="str">
        <f t="shared" si="154"/>
        <v/>
      </c>
      <c r="NLF6" s="97" t="str">
        <f t="shared" si="154"/>
        <v/>
      </c>
      <c r="NLG6" s="97" t="str">
        <f t="shared" si="154"/>
        <v/>
      </c>
      <c r="NLH6" s="97" t="str">
        <f t="shared" si="154"/>
        <v/>
      </c>
      <c r="NLI6" s="97" t="str">
        <f t="shared" si="154"/>
        <v/>
      </c>
      <c r="NLJ6" s="97" t="str">
        <f t="shared" si="154"/>
        <v/>
      </c>
      <c r="NLK6" s="97" t="str">
        <f t="shared" si="154"/>
        <v/>
      </c>
      <c r="NLL6" s="97" t="str">
        <f t="shared" si="154"/>
        <v/>
      </c>
      <c r="NLM6" s="97" t="str">
        <f t="shared" si="154"/>
        <v/>
      </c>
      <c r="NLN6" s="97" t="str">
        <f t="shared" si="154"/>
        <v/>
      </c>
      <c r="NLO6" s="97" t="str">
        <f t="shared" si="154"/>
        <v/>
      </c>
      <c r="NLP6" s="97" t="str">
        <f t="shared" si="154"/>
        <v/>
      </c>
      <c r="NLQ6" s="97" t="str">
        <f t="shared" si="154"/>
        <v/>
      </c>
      <c r="NLR6" s="97" t="str">
        <f t="shared" si="154"/>
        <v/>
      </c>
      <c r="NLS6" s="97" t="str">
        <f t="shared" si="154"/>
        <v/>
      </c>
      <c r="NLT6" s="97" t="str">
        <f t="shared" si="154"/>
        <v/>
      </c>
      <c r="NLU6" s="97" t="str">
        <f t="shared" si="154"/>
        <v/>
      </c>
      <c r="NLV6" s="97" t="str">
        <f t="shared" ref="NLV6:NOG6" si="155">IFERROR(AVERAGE(NLV7:NLV13),"")</f>
        <v/>
      </c>
      <c r="NLW6" s="97" t="str">
        <f t="shared" si="155"/>
        <v/>
      </c>
      <c r="NLX6" s="97" t="str">
        <f t="shared" si="155"/>
        <v/>
      </c>
      <c r="NLY6" s="97" t="str">
        <f t="shared" si="155"/>
        <v/>
      </c>
      <c r="NLZ6" s="97" t="str">
        <f t="shared" si="155"/>
        <v/>
      </c>
      <c r="NMA6" s="97" t="str">
        <f t="shared" si="155"/>
        <v/>
      </c>
      <c r="NMB6" s="97" t="str">
        <f t="shared" si="155"/>
        <v/>
      </c>
      <c r="NMC6" s="97" t="str">
        <f t="shared" si="155"/>
        <v/>
      </c>
      <c r="NMD6" s="97" t="str">
        <f t="shared" si="155"/>
        <v/>
      </c>
      <c r="NME6" s="97" t="str">
        <f t="shared" si="155"/>
        <v/>
      </c>
      <c r="NMF6" s="97" t="str">
        <f t="shared" si="155"/>
        <v/>
      </c>
      <c r="NMG6" s="97" t="str">
        <f t="shared" si="155"/>
        <v/>
      </c>
      <c r="NMH6" s="97" t="str">
        <f t="shared" si="155"/>
        <v/>
      </c>
      <c r="NMI6" s="97" t="str">
        <f t="shared" si="155"/>
        <v/>
      </c>
      <c r="NMJ6" s="97" t="str">
        <f t="shared" si="155"/>
        <v/>
      </c>
      <c r="NMK6" s="97" t="str">
        <f t="shared" si="155"/>
        <v/>
      </c>
      <c r="NML6" s="97" t="str">
        <f t="shared" si="155"/>
        <v/>
      </c>
      <c r="NMM6" s="97" t="str">
        <f t="shared" si="155"/>
        <v/>
      </c>
      <c r="NMN6" s="97" t="str">
        <f t="shared" si="155"/>
        <v/>
      </c>
      <c r="NMO6" s="97" t="str">
        <f t="shared" si="155"/>
        <v/>
      </c>
      <c r="NMP6" s="97" t="str">
        <f t="shared" si="155"/>
        <v/>
      </c>
      <c r="NMQ6" s="97" t="str">
        <f t="shared" si="155"/>
        <v/>
      </c>
      <c r="NMR6" s="97" t="str">
        <f t="shared" si="155"/>
        <v/>
      </c>
      <c r="NMS6" s="97" t="str">
        <f t="shared" si="155"/>
        <v/>
      </c>
      <c r="NMT6" s="97" t="str">
        <f t="shared" si="155"/>
        <v/>
      </c>
      <c r="NMU6" s="97" t="str">
        <f t="shared" si="155"/>
        <v/>
      </c>
      <c r="NMV6" s="97" t="str">
        <f t="shared" si="155"/>
        <v/>
      </c>
      <c r="NMW6" s="97" t="str">
        <f t="shared" si="155"/>
        <v/>
      </c>
      <c r="NMX6" s="97" t="str">
        <f t="shared" si="155"/>
        <v/>
      </c>
      <c r="NMY6" s="97" t="str">
        <f t="shared" si="155"/>
        <v/>
      </c>
      <c r="NMZ6" s="97" t="str">
        <f t="shared" si="155"/>
        <v/>
      </c>
      <c r="NNA6" s="97" t="str">
        <f t="shared" si="155"/>
        <v/>
      </c>
      <c r="NNB6" s="97" t="str">
        <f t="shared" si="155"/>
        <v/>
      </c>
      <c r="NNC6" s="97" t="str">
        <f t="shared" si="155"/>
        <v/>
      </c>
      <c r="NND6" s="97" t="str">
        <f t="shared" si="155"/>
        <v/>
      </c>
      <c r="NNE6" s="97" t="str">
        <f t="shared" si="155"/>
        <v/>
      </c>
      <c r="NNF6" s="97" t="str">
        <f t="shared" si="155"/>
        <v/>
      </c>
      <c r="NNG6" s="97" t="str">
        <f t="shared" si="155"/>
        <v/>
      </c>
      <c r="NNH6" s="97" t="str">
        <f t="shared" si="155"/>
        <v/>
      </c>
      <c r="NNI6" s="97" t="str">
        <f t="shared" si="155"/>
        <v/>
      </c>
      <c r="NNJ6" s="97" t="str">
        <f t="shared" si="155"/>
        <v/>
      </c>
      <c r="NNK6" s="97" t="str">
        <f t="shared" si="155"/>
        <v/>
      </c>
      <c r="NNL6" s="97" t="str">
        <f t="shared" si="155"/>
        <v/>
      </c>
      <c r="NNM6" s="97" t="str">
        <f t="shared" si="155"/>
        <v/>
      </c>
      <c r="NNN6" s="97" t="str">
        <f t="shared" si="155"/>
        <v/>
      </c>
      <c r="NNO6" s="97" t="str">
        <f t="shared" si="155"/>
        <v/>
      </c>
      <c r="NNP6" s="97" t="str">
        <f t="shared" si="155"/>
        <v/>
      </c>
      <c r="NNQ6" s="97" t="str">
        <f t="shared" si="155"/>
        <v/>
      </c>
      <c r="NNR6" s="97" t="str">
        <f t="shared" si="155"/>
        <v/>
      </c>
      <c r="NNS6" s="97" t="str">
        <f t="shared" si="155"/>
        <v/>
      </c>
      <c r="NNT6" s="97" t="str">
        <f t="shared" si="155"/>
        <v/>
      </c>
      <c r="NNU6" s="97" t="str">
        <f t="shared" si="155"/>
        <v/>
      </c>
      <c r="NNV6" s="97" t="str">
        <f t="shared" si="155"/>
        <v/>
      </c>
      <c r="NNW6" s="97" t="str">
        <f t="shared" si="155"/>
        <v/>
      </c>
      <c r="NNX6" s="97" t="str">
        <f t="shared" si="155"/>
        <v/>
      </c>
      <c r="NNY6" s="97" t="str">
        <f t="shared" si="155"/>
        <v/>
      </c>
      <c r="NNZ6" s="97" t="str">
        <f t="shared" si="155"/>
        <v/>
      </c>
      <c r="NOA6" s="97" t="str">
        <f t="shared" si="155"/>
        <v/>
      </c>
      <c r="NOB6" s="97" t="str">
        <f t="shared" si="155"/>
        <v/>
      </c>
      <c r="NOC6" s="97" t="str">
        <f t="shared" si="155"/>
        <v/>
      </c>
      <c r="NOD6" s="97" t="str">
        <f t="shared" si="155"/>
        <v/>
      </c>
      <c r="NOE6" s="97" t="str">
        <f t="shared" si="155"/>
        <v/>
      </c>
      <c r="NOF6" s="97" t="str">
        <f t="shared" si="155"/>
        <v/>
      </c>
      <c r="NOG6" s="97" t="str">
        <f t="shared" si="155"/>
        <v/>
      </c>
      <c r="NOH6" s="97" t="str">
        <f t="shared" ref="NOH6:NQS6" si="156">IFERROR(AVERAGE(NOH7:NOH13),"")</f>
        <v/>
      </c>
      <c r="NOI6" s="97" t="str">
        <f t="shared" si="156"/>
        <v/>
      </c>
      <c r="NOJ6" s="97" t="str">
        <f t="shared" si="156"/>
        <v/>
      </c>
      <c r="NOK6" s="97" t="str">
        <f t="shared" si="156"/>
        <v/>
      </c>
      <c r="NOL6" s="97" t="str">
        <f t="shared" si="156"/>
        <v/>
      </c>
      <c r="NOM6" s="97" t="str">
        <f t="shared" si="156"/>
        <v/>
      </c>
      <c r="NON6" s="97" t="str">
        <f t="shared" si="156"/>
        <v/>
      </c>
      <c r="NOO6" s="97" t="str">
        <f t="shared" si="156"/>
        <v/>
      </c>
      <c r="NOP6" s="97" t="str">
        <f t="shared" si="156"/>
        <v/>
      </c>
      <c r="NOQ6" s="97" t="str">
        <f t="shared" si="156"/>
        <v/>
      </c>
      <c r="NOR6" s="97" t="str">
        <f t="shared" si="156"/>
        <v/>
      </c>
      <c r="NOS6" s="97" t="str">
        <f t="shared" si="156"/>
        <v/>
      </c>
      <c r="NOT6" s="97" t="str">
        <f t="shared" si="156"/>
        <v/>
      </c>
      <c r="NOU6" s="97" t="str">
        <f t="shared" si="156"/>
        <v/>
      </c>
      <c r="NOV6" s="97" t="str">
        <f t="shared" si="156"/>
        <v/>
      </c>
      <c r="NOW6" s="97" t="str">
        <f t="shared" si="156"/>
        <v/>
      </c>
      <c r="NOX6" s="97" t="str">
        <f t="shared" si="156"/>
        <v/>
      </c>
      <c r="NOY6" s="97" t="str">
        <f t="shared" si="156"/>
        <v/>
      </c>
      <c r="NOZ6" s="97" t="str">
        <f t="shared" si="156"/>
        <v/>
      </c>
      <c r="NPA6" s="97" t="str">
        <f t="shared" si="156"/>
        <v/>
      </c>
      <c r="NPB6" s="97" t="str">
        <f t="shared" si="156"/>
        <v/>
      </c>
      <c r="NPC6" s="97" t="str">
        <f t="shared" si="156"/>
        <v/>
      </c>
      <c r="NPD6" s="97" t="str">
        <f t="shared" si="156"/>
        <v/>
      </c>
      <c r="NPE6" s="97" t="str">
        <f t="shared" si="156"/>
        <v/>
      </c>
      <c r="NPF6" s="97" t="str">
        <f t="shared" si="156"/>
        <v/>
      </c>
      <c r="NPG6" s="97" t="str">
        <f t="shared" si="156"/>
        <v/>
      </c>
      <c r="NPH6" s="97" t="str">
        <f t="shared" si="156"/>
        <v/>
      </c>
      <c r="NPI6" s="97" t="str">
        <f t="shared" si="156"/>
        <v/>
      </c>
      <c r="NPJ6" s="97" t="str">
        <f t="shared" si="156"/>
        <v/>
      </c>
      <c r="NPK6" s="97" t="str">
        <f t="shared" si="156"/>
        <v/>
      </c>
      <c r="NPL6" s="97" t="str">
        <f t="shared" si="156"/>
        <v/>
      </c>
      <c r="NPM6" s="97" t="str">
        <f t="shared" si="156"/>
        <v/>
      </c>
      <c r="NPN6" s="97" t="str">
        <f t="shared" si="156"/>
        <v/>
      </c>
      <c r="NPO6" s="97" t="str">
        <f t="shared" si="156"/>
        <v/>
      </c>
      <c r="NPP6" s="97" t="str">
        <f t="shared" si="156"/>
        <v/>
      </c>
      <c r="NPQ6" s="97" t="str">
        <f t="shared" si="156"/>
        <v/>
      </c>
      <c r="NPR6" s="97" t="str">
        <f t="shared" si="156"/>
        <v/>
      </c>
      <c r="NPS6" s="97" t="str">
        <f t="shared" si="156"/>
        <v/>
      </c>
      <c r="NPT6" s="97" t="str">
        <f t="shared" si="156"/>
        <v/>
      </c>
      <c r="NPU6" s="97" t="str">
        <f t="shared" si="156"/>
        <v/>
      </c>
      <c r="NPV6" s="97" t="str">
        <f t="shared" si="156"/>
        <v/>
      </c>
      <c r="NPW6" s="97" t="str">
        <f t="shared" si="156"/>
        <v/>
      </c>
      <c r="NPX6" s="97" t="str">
        <f t="shared" si="156"/>
        <v/>
      </c>
      <c r="NPY6" s="97" t="str">
        <f t="shared" si="156"/>
        <v/>
      </c>
      <c r="NPZ6" s="97" t="str">
        <f t="shared" si="156"/>
        <v/>
      </c>
      <c r="NQA6" s="97" t="str">
        <f t="shared" si="156"/>
        <v/>
      </c>
      <c r="NQB6" s="97" t="str">
        <f t="shared" si="156"/>
        <v/>
      </c>
      <c r="NQC6" s="97" t="str">
        <f t="shared" si="156"/>
        <v/>
      </c>
      <c r="NQD6" s="97" t="str">
        <f t="shared" si="156"/>
        <v/>
      </c>
      <c r="NQE6" s="97" t="str">
        <f t="shared" si="156"/>
        <v/>
      </c>
      <c r="NQF6" s="97" t="str">
        <f t="shared" si="156"/>
        <v/>
      </c>
      <c r="NQG6" s="97" t="str">
        <f t="shared" si="156"/>
        <v/>
      </c>
      <c r="NQH6" s="97" t="str">
        <f t="shared" si="156"/>
        <v/>
      </c>
      <c r="NQI6" s="97" t="str">
        <f t="shared" si="156"/>
        <v/>
      </c>
      <c r="NQJ6" s="97" t="str">
        <f t="shared" si="156"/>
        <v/>
      </c>
      <c r="NQK6" s="97" t="str">
        <f t="shared" si="156"/>
        <v/>
      </c>
      <c r="NQL6" s="97" t="str">
        <f t="shared" si="156"/>
        <v/>
      </c>
      <c r="NQM6" s="97" t="str">
        <f t="shared" si="156"/>
        <v/>
      </c>
      <c r="NQN6" s="97" t="str">
        <f t="shared" si="156"/>
        <v/>
      </c>
      <c r="NQO6" s="97" t="str">
        <f t="shared" si="156"/>
        <v/>
      </c>
      <c r="NQP6" s="97" t="str">
        <f t="shared" si="156"/>
        <v/>
      </c>
      <c r="NQQ6" s="97" t="str">
        <f t="shared" si="156"/>
        <v/>
      </c>
      <c r="NQR6" s="97" t="str">
        <f t="shared" si="156"/>
        <v/>
      </c>
      <c r="NQS6" s="97" t="str">
        <f t="shared" si="156"/>
        <v/>
      </c>
      <c r="NQT6" s="97" t="str">
        <f t="shared" ref="NQT6:NTE6" si="157">IFERROR(AVERAGE(NQT7:NQT13),"")</f>
        <v/>
      </c>
      <c r="NQU6" s="97" t="str">
        <f t="shared" si="157"/>
        <v/>
      </c>
      <c r="NQV6" s="97" t="str">
        <f t="shared" si="157"/>
        <v/>
      </c>
      <c r="NQW6" s="97" t="str">
        <f t="shared" si="157"/>
        <v/>
      </c>
      <c r="NQX6" s="97" t="str">
        <f t="shared" si="157"/>
        <v/>
      </c>
      <c r="NQY6" s="97" t="str">
        <f t="shared" si="157"/>
        <v/>
      </c>
      <c r="NQZ6" s="97" t="str">
        <f t="shared" si="157"/>
        <v/>
      </c>
      <c r="NRA6" s="97" t="str">
        <f t="shared" si="157"/>
        <v/>
      </c>
      <c r="NRB6" s="97" t="str">
        <f t="shared" si="157"/>
        <v/>
      </c>
      <c r="NRC6" s="97" t="str">
        <f t="shared" si="157"/>
        <v/>
      </c>
      <c r="NRD6" s="97" t="str">
        <f t="shared" si="157"/>
        <v/>
      </c>
      <c r="NRE6" s="97" t="str">
        <f t="shared" si="157"/>
        <v/>
      </c>
      <c r="NRF6" s="97" t="str">
        <f t="shared" si="157"/>
        <v/>
      </c>
      <c r="NRG6" s="97" t="str">
        <f t="shared" si="157"/>
        <v/>
      </c>
      <c r="NRH6" s="97" t="str">
        <f t="shared" si="157"/>
        <v/>
      </c>
      <c r="NRI6" s="97" t="str">
        <f t="shared" si="157"/>
        <v/>
      </c>
      <c r="NRJ6" s="97" t="str">
        <f t="shared" si="157"/>
        <v/>
      </c>
      <c r="NRK6" s="97" t="str">
        <f t="shared" si="157"/>
        <v/>
      </c>
      <c r="NRL6" s="97" t="str">
        <f t="shared" si="157"/>
        <v/>
      </c>
      <c r="NRM6" s="97" t="str">
        <f t="shared" si="157"/>
        <v/>
      </c>
      <c r="NRN6" s="97" t="str">
        <f t="shared" si="157"/>
        <v/>
      </c>
      <c r="NRO6" s="97" t="str">
        <f t="shared" si="157"/>
        <v/>
      </c>
      <c r="NRP6" s="97" t="str">
        <f t="shared" si="157"/>
        <v/>
      </c>
      <c r="NRQ6" s="97" t="str">
        <f t="shared" si="157"/>
        <v/>
      </c>
      <c r="NRR6" s="97" t="str">
        <f t="shared" si="157"/>
        <v/>
      </c>
      <c r="NRS6" s="97" t="str">
        <f t="shared" si="157"/>
        <v/>
      </c>
      <c r="NRT6" s="97" t="str">
        <f t="shared" si="157"/>
        <v/>
      </c>
      <c r="NRU6" s="97" t="str">
        <f t="shared" si="157"/>
        <v/>
      </c>
      <c r="NRV6" s="97" t="str">
        <f t="shared" si="157"/>
        <v/>
      </c>
      <c r="NRW6" s="97" t="str">
        <f t="shared" si="157"/>
        <v/>
      </c>
      <c r="NRX6" s="97" t="str">
        <f t="shared" si="157"/>
        <v/>
      </c>
      <c r="NRY6" s="97" t="str">
        <f t="shared" si="157"/>
        <v/>
      </c>
      <c r="NRZ6" s="97" t="str">
        <f t="shared" si="157"/>
        <v/>
      </c>
      <c r="NSA6" s="97" t="str">
        <f t="shared" si="157"/>
        <v/>
      </c>
      <c r="NSB6" s="97" t="str">
        <f t="shared" si="157"/>
        <v/>
      </c>
      <c r="NSC6" s="97" t="str">
        <f t="shared" si="157"/>
        <v/>
      </c>
      <c r="NSD6" s="97" t="str">
        <f t="shared" si="157"/>
        <v/>
      </c>
      <c r="NSE6" s="97" t="str">
        <f t="shared" si="157"/>
        <v/>
      </c>
      <c r="NSF6" s="97" t="str">
        <f t="shared" si="157"/>
        <v/>
      </c>
      <c r="NSG6" s="97" t="str">
        <f t="shared" si="157"/>
        <v/>
      </c>
      <c r="NSH6" s="97" t="str">
        <f t="shared" si="157"/>
        <v/>
      </c>
      <c r="NSI6" s="97" t="str">
        <f t="shared" si="157"/>
        <v/>
      </c>
      <c r="NSJ6" s="97" t="str">
        <f t="shared" si="157"/>
        <v/>
      </c>
      <c r="NSK6" s="97" t="str">
        <f t="shared" si="157"/>
        <v/>
      </c>
      <c r="NSL6" s="97" t="str">
        <f t="shared" si="157"/>
        <v/>
      </c>
      <c r="NSM6" s="97" t="str">
        <f t="shared" si="157"/>
        <v/>
      </c>
      <c r="NSN6" s="97" t="str">
        <f t="shared" si="157"/>
        <v/>
      </c>
      <c r="NSO6" s="97" t="str">
        <f t="shared" si="157"/>
        <v/>
      </c>
      <c r="NSP6" s="97" t="str">
        <f t="shared" si="157"/>
        <v/>
      </c>
      <c r="NSQ6" s="97" t="str">
        <f t="shared" si="157"/>
        <v/>
      </c>
      <c r="NSR6" s="97" t="str">
        <f t="shared" si="157"/>
        <v/>
      </c>
      <c r="NSS6" s="97" t="str">
        <f t="shared" si="157"/>
        <v/>
      </c>
      <c r="NST6" s="97" t="str">
        <f t="shared" si="157"/>
        <v/>
      </c>
      <c r="NSU6" s="97" t="str">
        <f t="shared" si="157"/>
        <v/>
      </c>
      <c r="NSV6" s="97" t="str">
        <f t="shared" si="157"/>
        <v/>
      </c>
      <c r="NSW6" s="97" t="str">
        <f t="shared" si="157"/>
        <v/>
      </c>
      <c r="NSX6" s="97" t="str">
        <f t="shared" si="157"/>
        <v/>
      </c>
      <c r="NSY6" s="97" t="str">
        <f t="shared" si="157"/>
        <v/>
      </c>
      <c r="NSZ6" s="97" t="str">
        <f t="shared" si="157"/>
        <v/>
      </c>
      <c r="NTA6" s="97" t="str">
        <f t="shared" si="157"/>
        <v/>
      </c>
      <c r="NTB6" s="97" t="str">
        <f t="shared" si="157"/>
        <v/>
      </c>
      <c r="NTC6" s="97" t="str">
        <f t="shared" si="157"/>
        <v/>
      </c>
      <c r="NTD6" s="97" t="str">
        <f t="shared" si="157"/>
        <v/>
      </c>
      <c r="NTE6" s="97" t="str">
        <f t="shared" si="157"/>
        <v/>
      </c>
      <c r="NTF6" s="97" t="str">
        <f t="shared" ref="NTF6:NVQ6" si="158">IFERROR(AVERAGE(NTF7:NTF13),"")</f>
        <v/>
      </c>
      <c r="NTG6" s="97" t="str">
        <f t="shared" si="158"/>
        <v/>
      </c>
      <c r="NTH6" s="97" t="str">
        <f t="shared" si="158"/>
        <v/>
      </c>
      <c r="NTI6" s="97" t="str">
        <f t="shared" si="158"/>
        <v/>
      </c>
      <c r="NTJ6" s="97" t="str">
        <f t="shared" si="158"/>
        <v/>
      </c>
      <c r="NTK6" s="97" t="str">
        <f t="shared" si="158"/>
        <v/>
      </c>
      <c r="NTL6" s="97" t="str">
        <f t="shared" si="158"/>
        <v/>
      </c>
      <c r="NTM6" s="97" t="str">
        <f t="shared" si="158"/>
        <v/>
      </c>
      <c r="NTN6" s="97" t="str">
        <f t="shared" si="158"/>
        <v/>
      </c>
      <c r="NTO6" s="97" t="str">
        <f t="shared" si="158"/>
        <v/>
      </c>
      <c r="NTP6" s="97" t="str">
        <f t="shared" si="158"/>
        <v/>
      </c>
      <c r="NTQ6" s="97" t="str">
        <f t="shared" si="158"/>
        <v/>
      </c>
      <c r="NTR6" s="97" t="str">
        <f t="shared" si="158"/>
        <v/>
      </c>
      <c r="NTS6" s="97" t="str">
        <f t="shared" si="158"/>
        <v/>
      </c>
      <c r="NTT6" s="97" t="str">
        <f t="shared" si="158"/>
        <v/>
      </c>
      <c r="NTU6" s="97" t="str">
        <f t="shared" si="158"/>
        <v/>
      </c>
      <c r="NTV6" s="97" t="str">
        <f t="shared" si="158"/>
        <v/>
      </c>
      <c r="NTW6" s="97" t="str">
        <f t="shared" si="158"/>
        <v/>
      </c>
      <c r="NTX6" s="97" t="str">
        <f t="shared" si="158"/>
        <v/>
      </c>
      <c r="NTY6" s="97" t="str">
        <f t="shared" si="158"/>
        <v/>
      </c>
      <c r="NTZ6" s="97" t="str">
        <f t="shared" si="158"/>
        <v/>
      </c>
      <c r="NUA6" s="97" t="str">
        <f t="shared" si="158"/>
        <v/>
      </c>
      <c r="NUB6" s="97" t="str">
        <f t="shared" si="158"/>
        <v/>
      </c>
      <c r="NUC6" s="97" t="str">
        <f t="shared" si="158"/>
        <v/>
      </c>
      <c r="NUD6" s="97" t="str">
        <f t="shared" si="158"/>
        <v/>
      </c>
      <c r="NUE6" s="97" t="str">
        <f t="shared" si="158"/>
        <v/>
      </c>
      <c r="NUF6" s="97" t="str">
        <f t="shared" si="158"/>
        <v/>
      </c>
      <c r="NUG6" s="97" t="str">
        <f t="shared" si="158"/>
        <v/>
      </c>
      <c r="NUH6" s="97" t="str">
        <f t="shared" si="158"/>
        <v/>
      </c>
      <c r="NUI6" s="97" t="str">
        <f t="shared" si="158"/>
        <v/>
      </c>
      <c r="NUJ6" s="97" t="str">
        <f t="shared" si="158"/>
        <v/>
      </c>
      <c r="NUK6" s="97" t="str">
        <f t="shared" si="158"/>
        <v/>
      </c>
      <c r="NUL6" s="97" t="str">
        <f t="shared" si="158"/>
        <v/>
      </c>
      <c r="NUM6" s="97" t="str">
        <f t="shared" si="158"/>
        <v/>
      </c>
      <c r="NUN6" s="97" t="str">
        <f t="shared" si="158"/>
        <v/>
      </c>
      <c r="NUO6" s="97" t="str">
        <f t="shared" si="158"/>
        <v/>
      </c>
      <c r="NUP6" s="97" t="str">
        <f t="shared" si="158"/>
        <v/>
      </c>
      <c r="NUQ6" s="97" t="str">
        <f t="shared" si="158"/>
        <v/>
      </c>
      <c r="NUR6" s="97" t="str">
        <f t="shared" si="158"/>
        <v/>
      </c>
      <c r="NUS6" s="97" t="str">
        <f t="shared" si="158"/>
        <v/>
      </c>
      <c r="NUT6" s="97" t="str">
        <f t="shared" si="158"/>
        <v/>
      </c>
      <c r="NUU6" s="97" t="str">
        <f t="shared" si="158"/>
        <v/>
      </c>
      <c r="NUV6" s="97" t="str">
        <f t="shared" si="158"/>
        <v/>
      </c>
      <c r="NUW6" s="97" t="str">
        <f t="shared" si="158"/>
        <v/>
      </c>
      <c r="NUX6" s="97" t="str">
        <f t="shared" si="158"/>
        <v/>
      </c>
      <c r="NUY6" s="97" t="str">
        <f t="shared" si="158"/>
        <v/>
      </c>
      <c r="NUZ6" s="97" t="str">
        <f t="shared" si="158"/>
        <v/>
      </c>
      <c r="NVA6" s="97" t="str">
        <f t="shared" si="158"/>
        <v/>
      </c>
      <c r="NVB6" s="97" t="str">
        <f t="shared" si="158"/>
        <v/>
      </c>
      <c r="NVC6" s="97" t="str">
        <f t="shared" si="158"/>
        <v/>
      </c>
      <c r="NVD6" s="97" t="str">
        <f t="shared" si="158"/>
        <v/>
      </c>
      <c r="NVE6" s="97" t="str">
        <f t="shared" si="158"/>
        <v/>
      </c>
      <c r="NVF6" s="97" t="str">
        <f t="shared" si="158"/>
        <v/>
      </c>
      <c r="NVG6" s="97" t="str">
        <f t="shared" si="158"/>
        <v/>
      </c>
      <c r="NVH6" s="97" t="str">
        <f t="shared" si="158"/>
        <v/>
      </c>
      <c r="NVI6" s="97" t="str">
        <f t="shared" si="158"/>
        <v/>
      </c>
      <c r="NVJ6" s="97" t="str">
        <f t="shared" si="158"/>
        <v/>
      </c>
      <c r="NVK6" s="97" t="str">
        <f t="shared" si="158"/>
        <v/>
      </c>
      <c r="NVL6" s="97" t="str">
        <f t="shared" si="158"/>
        <v/>
      </c>
      <c r="NVM6" s="97" t="str">
        <f t="shared" si="158"/>
        <v/>
      </c>
      <c r="NVN6" s="97" t="str">
        <f t="shared" si="158"/>
        <v/>
      </c>
      <c r="NVO6" s="97" t="str">
        <f t="shared" si="158"/>
        <v/>
      </c>
      <c r="NVP6" s="97" t="str">
        <f t="shared" si="158"/>
        <v/>
      </c>
      <c r="NVQ6" s="97" t="str">
        <f t="shared" si="158"/>
        <v/>
      </c>
      <c r="NVR6" s="97" t="str">
        <f t="shared" ref="NVR6:NYC6" si="159">IFERROR(AVERAGE(NVR7:NVR13),"")</f>
        <v/>
      </c>
      <c r="NVS6" s="97" t="str">
        <f t="shared" si="159"/>
        <v/>
      </c>
      <c r="NVT6" s="97" t="str">
        <f t="shared" si="159"/>
        <v/>
      </c>
      <c r="NVU6" s="97" t="str">
        <f t="shared" si="159"/>
        <v/>
      </c>
      <c r="NVV6" s="97" t="str">
        <f t="shared" si="159"/>
        <v/>
      </c>
      <c r="NVW6" s="97" t="str">
        <f t="shared" si="159"/>
        <v/>
      </c>
      <c r="NVX6" s="97" t="str">
        <f t="shared" si="159"/>
        <v/>
      </c>
      <c r="NVY6" s="97" t="str">
        <f t="shared" si="159"/>
        <v/>
      </c>
      <c r="NVZ6" s="97" t="str">
        <f t="shared" si="159"/>
        <v/>
      </c>
      <c r="NWA6" s="97" t="str">
        <f t="shared" si="159"/>
        <v/>
      </c>
      <c r="NWB6" s="97" t="str">
        <f t="shared" si="159"/>
        <v/>
      </c>
      <c r="NWC6" s="97" t="str">
        <f t="shared" si="159"/>
        <v/>
      </c>
      <c r="NWD6" s="97" t="str">
        <f t="shared" si="159"/>
        <v/>
      </c>
      <c r="NWE6" s="97" t="str">
        <f t="shared" si="159"/>
        <v/>
      </c>
      <c r="NWF6" s="97" t="str">
        <f t="shared" si="159"/>
        <v/>
      </c>
      <c r="NWG6" s="97" t="str">
        <f t="shared" si="159"/>
        <v/>
      </c>
      <c r="NWH6" s="97" t="str">
        <f t="shared" si="159"/>
        <v/>
      </c>
      <c r="NWI6" s="97" t="str">
        <f t="shared" si="159"/>
        <v/>
      </c>
      <c r="NWJ6" s="97" t="str">
        <f t="shared" si="159"/>
        <v/>
      </c>
      <c r="NWK6" s="97" t="str">
        <f t="shared" si="159"/>
        <v/>
      </c>
      <c r="NWL6" s="97" t="str">
        <f t="shared" si="159"/>
        <v/>
      </c>
      <c r="NWM6" s="97" t="str">
        <f t="shared" si="159"/>
        <v/>
      </c>
      <c r="NWN6" s="97" t="str">
        <f t="shared" si="159"/>
        <v/>
      </c>
      <c r="NWO6" s="97" t="str">
        <f t="shared" si="159"/>
        <v/>
      </c>
      <c r="NWP6" s="97" t="str">
        <f t="shared" si="159"/>
        <v/>
      </c>
      <c r="NWQ6" s="97" t="str">
        <f t="shared" si="159"/>
        <v/>
      </c>
      <c r="NWR6" s="97" t="str">
        <f t="shared" si="159"/>
        <v/>
      </c>
      <c r="NWS6" s="97" t="str">
        <f t="shared" si="159"/>
        <v/>
      </c>
      <c r="NWT6" s="97" t="str">
        <f t="shared" si="159"/>
        <v/>
      </c>
      <c r="NWU6" s="97" t="str">
        <f t="shared" si="159"/>
        <v/>
      </c>
      <c r="NWV6" s="97" t="str">
        <f t="shared" si="159"/>
        <v/>
      </c>
      <c r="NWW6" s="97" t="str">
        <f t="shared" si="159"/>
        <v/>
      </c>
      <c r="NWX6" s="97" t="str">
        <f t="shared" si="159"/>
        <v/>
      </c>
      <c r="NWY6" s="97" t="str">
        <f t="shared" si="159"/>
        <v/>
      </c>
      <c r="NWZ6" s="97" t="str">
        <f t="shared" si="159"/>
        <v/>
      </c>
      <c r="NXA6" s="97" t="str">
        <f t="shared" si="159"/>
        <v/>
      </c>
      <c r="NXB6" s="97" t="str">
        <f t="shared" si="159"/>
        <v/>
      </c>
      <c r="NXC6" s="97" t="str">
        <f t="shared" si="159"/>
        <v/>
      </c>
      <c r="NXD6" s="97" t="str">
        <f t="shared" si="159"/>
        <v/>
      </c>
      <c r="NXE6" s="97" t="str">
        <f t="shared" si="159"/>
        <v/>
      </c>
      <c r="NXF6" s="97" t="str">
        <f t="shared" si="159"/>
        <v/>
      </c>
      <c r="NXG6" s="97" t="str">
        <f t="shared" si="159"/>
        <v/>
      </c>
      <c r="NXH6" s="97" t="str">
        <f t="shared" si="159"/>
        <v/>
      </c>
      <c r="NXI6" s="97" t="str">
        <f t="shared" si="159"/>
        <v/>
      </c>
      <c r="NXJ6" s="97" t="str">
        <f t="shared" si="159"/>
        <v/>
      </c>
      <c r="NXK6" s="97" t="str">
        <f t="shared" si="159"/>
        <v/>
      </c>
      <c r="NXL6" s="97" t="str">
        <f t="shared" si="159"/>
        <v/>
      </c>
      <c r="NXM6" s="97" t="str">
        <f t="shared" si="159"/>
        <v/>
      </c>
      <c r="NXN6" s="97" t="str">
        <f t="shared" si="159"/>
        <v/>
      </c>
      <c r="NXO6" s="97" t="str">
        <f t="shared" si="159"/>
        <v/>
      </c>
      <c r="NXP6" s="97" t="str">
        <f t="shared" si="159"/>
        <v/>
      </c>
      <c r="NXQ6" s="97" t="str">
        <f t="shared" si="159"/>
        <v/>
      </c>
      <c r="NXR6" s="97" t="str">
        <f t="shared" si="159"/>
        <v/>
      </c>
      <c r="NXS6" s="97" t="str">
        <f t="shared" si="159"/>
        <v/>
      </c>
      <c r="NXT6" s="97" t="str">
        <f t="shared" si="159"/>
        <v/>
      </c>
      <c r="NXU6" s="97" t="str">
        <f t="shared" si="159"/>
        <v/>
      </c>
      <c r="NXV6" s="97" t="str">
        <f t="shared" si="159"/>
        <v/>
      </c>
      <c r="NXW6" s="97" t="str">
        <f t="shared" si="159"/>
        <v/>
      </c>
      <c r="NXX6" s="97" t="str">
        <f t="shared" si="159"/>
        <v/>
      </c>
      <c r="NXY6" s="97" t="str">
        <f t="shared" si="159"/>
        <v/>
      </c>
      <c r="NXZ6" s="97" t="str">
        <f t="shared" si="159"/>
        <v/>
      </c>
      <c r="NYA6" s="97" t="str">
        <f t="shared" si="159"/>
        <v/>
      </c>
      <c r="NYB6" s="97" t="str">
        <f t="shared" si="159"/>
        <v/>
      </c>
      <c r="NYC6" s="97" t="str">
        <f t="shared" si="159"/>
        <v/>
      </c>
      <c r="NYD6" s="97" t="str">
        <f t="shared" ref="NYD6:OAO6" si="160">IFERROR(AVERAGE(NYD7:NYD13),"")</f>
        <v/>
      </c>
      <c r="NYE6" s="97" t="str">
        <f t="shared" si="160"/>
        <v/>
      </c>
      <c r="NYF6" s="97" t="str">
        <f t="shared" si="160"/>
        <v/>
      </c>
      <c r="NYG6" s="97" t="str">
        <f t="shared" si="160"/>
        <v/>
      </c>
      <c r="NYH6" s="97" t="str">
        <f t="shared" si="160"/>
        <v/>
      </c>
      <c r="NYI6" s="97" t="str">
        <f t="shared" si="160"/>
        <v/>
      </c>
      <c r="NYJ6" s="97" t="str">
        <f t="shared" si="160"/>
        <v/>
      </c>
      <c r="NYK6" s="97" t="str">
        <f t="shared" si="160"/>
        <v/>
      </c>
      <c r="NYL6" s="97" t="str">
        <f t="shared" si="160"/>
        <v/>
      </c>
      <c r="NYM6" s="97" t="str">
        <f t="shared" si="160"/>
        <v/>
      </c>
      <c r="NYN6" s="97" t="str">
        <f t="shared" si="160"/>
        <v/>
      </c>
      <c r="NYO6" s="97" t="str">
        <f t="shared" si="160"/>
        <v/>
      </c>
      <c r="NYP6" s="97" t="str">
        <f t="shared" si="160"/>
        <v/>
      </c>
      <c r="NYQ6" s="97" t="str">
        <f t="shared" si="160"/>
        <v/>
      </c>
      <c r="NYR6" s="97" t="str">
        <f t="shared" si="160"/>
        <v/>
      </c>
      <c r="NYS6" s="97" t="str">
        <f t="shared" si="160"/>
        <v/>
      </c>
      <c r="NYT6" s="97" t="str">
        <f t="shared" si="160"/>
        <v/>
      </c>
      <c r="NYU6" s="97" t="str">
        <f t="shared" si="160"/>
        <v/>
      </c>
      <c r="NYV6" s="97" t="str">
        <f t="shared" si="160"/>
        <v/>
      </c>
      <c r="NYW6" s="97" t="str">
        <f t="shared" si="160"/>
        <v/>
      </c>
      <c r="NYX6" s="97" t="str">
        <f t="shared" si="160"/>
        <v/>
      </c>
      <c r="NYY6" s="97" t="str">
        <f t="shared" si="160"/>
        <v/>
      </c>
      <c r="NYZ6" s="97" t="str">
        <f t="shared" si="160"/>
        <v/>
      </c>
      <c r="NZA6" s="97" t="str">
        <f t="shared" si="160"/>
        <v/>
      </c>
      <c r="NZB6" s="97" t="str">
        <f t="shared" si="160"/>
        <v/>
      </c>
      <c r="NZC6" s="97" t="str">
        <f t="shared" si="160"/>
        <v/>
      </c>
      <c r="NZD6" s="97" t="str">
        <f t="shared" si="160"/>
        <v/>
      </c>
      <c r="NZE6" s="97" t="str">
        <f t="shared" si="160"/>
        <v/>
      </c>
      <c r="NZF6" s="97" t="str">
        <f t="shared" si="160"/>
        <v/>
      </c>
      <c r="NZG6" s="97" t="str">
        <f t="shared" si="160"/>
        <v/>
      </c>
      <c r="NZH6" s="97" t="str">
        <f t="shared" si="160"/>
        <v/>
      </c>
      <c r="NZI6" s="97" t="str">
        <f t="shared" si="160"/>
        <v/>
      </c>
      <c r="NZJ6" s="97" t="str">
        <f t="shared" si="160"/>
        <v/>
      </c>
      <c r="NZK6" s="97" t="str">
        <f t="shared" si="160"/>
        <v/>
      </c>
      <c r="NZL6" s="97" t="str">
        <f t="shared" si="160"/>
        <v/>
      </c>
      <c r="NZM6" s="97" t="str">
        <f t="shared" si="160"/>
        <v/>
      </c>
      <c r="NZN6" s="97" t="str">
        <f t="shared" si="160"/>
        <v/>
      </c>
      <c r="NZO6" s="97" t="str">
        <f t="shared" si="160"/>
        <v/>
      </c>
      <c r="NZP6" s="97" t="str">
        <f t="shared" si="160"/>
        <v/>
      </c>
      <c r="NZQ6" s="97" t="str">
        <f t="shared" si="160"/>
        <v/>
      </c>
      <c r="NZR6" s="97" t="str">
        <f t="shared" si="160"/>
        <v/>
      </c>
      <c r="NZS6" s="97" t="str">
        <f t="shared" si="160"/>
        <v/>
      </c>
      <c r="NZT6" s="97" t="str">
        <f t="shared" si="160"/>
        <v/>
      </c>
      <c r="NZU6" s="97" t="str">
        <f t="shared" si="160"/>
        <v/>
      </c>
      <c r="NZV6" s="97" t="str">
        <f t="shared" si="160"/>
        <v/>
      </c>
      <c r="NZW6" s="97" t="str">
        <f t="shared" si="160"/>
        <v/>
      </c>
      <c r="NZX6" s="97" t="str">
        <f t="shared" si="160"/>
        <v/>
      </c>
      <c r="NZY6" s="97" t="str">
        <f t="shared" si="160"/>
        <v/>
      </c>
      <c r="NZZ6" s="97" t="str">
        <f t="shared" si="160"/>
        <v/>
      </c>
      <c r="OAA6" s="97" t="str">
        <f t="shared" si="160"/>
        <v/>
      </c>
      <c r="OAB6" s="97" t="str">
        <f t="shared" si="160"/>
        <v/>
      </c>
      <c r="OAC6" s="97" t="str">
        <f t="shared" si="160"/>
        <v/>
      </c>
      <c r="OAD6" s="97" t="str">
        <f t="shared" si="160"/>
        <v/>
      </c>
      <c r="OAE6" s="97" t="str">
        <f t="shared" si="160"/>
        <v/>
      </c>
      <c r="OAF6" s="97" t="str">
        <f t="shared" si="160"/>
        <v/>
      </c>
      <c r="OAG6" s="97" t="str">
        <f t="shared" si="160"/>
        <v/>
      </c>
      <c r="OAH6" s="97" t="str">
        <f t="shared" si="160"/>
        <v/>
      </c>
      <c r="OAI6" s="97" t="str">
        <f t="shared" si="160"/>
        <v/>
      </c>
      <c r="OAJ6" s="97" t="str">
        <f t="shared" si="160"/>
        <v/>
      </c>
      <c r="OAK6" s="97" t="str">
        <f t="shared" si="160"/>
        <v/>
      </c>
      <c r="OAL6" s="97" t="str">
        <f t="shared" si="160"/>
        <v/>
      </c>
      <c r="OAM6" s="97" t="str">
        <f t="shared" si="160"/>
        <v/>
      </c>
      <c r="OAN6" s="97" t="str">
        <f t="shared" si="160"/>
        <v/>
      </c>
      <c r="OAO6" s="97" t="str">
        <f t="shared" si="160"/>
        <v/>
      </c>
      <c r="OAP6" s="97" t="str">
        <f t="shared" ref="OAP6:ODA6" si="161">IFERROR(AVERAGE(OAP7:OAP13),"")</f>
        <v/>
      </c>
      <c r="OAQ6" s="97" t="str">
        <f t="shared" si="161"/>
        <v/>
      </c>
      <c r="OAR6" s="97" t="str">
        <f t="shared" si="161"/>
        <v/>
      </c>
      <c r="OAS6" s="97" t="str">
        <f t="shared" si="161"/>
        <v/>
      </c>
      <c r="OAT6" s="97" t="str">
        <f t="shared" si="161"/>
        <v/>
      </c>
      <c r="OAU6" s="97" t="str">
        <f t="shared" si="161"/>
        <v/>
      </c>
      <c r="OAV6" s="97" t="str">
        <f t="shared" si="161"/>
        <v/>
      </c>
      <c r="OAW6" s="97" t="str">
        <f t="shared" si="161"/>
        <v/>
      </c>
      <c r="OAX6" s="97" t="str">
        <f t="shared" si="161"/>
        <v/>
      </c>
      <c r="OAY6" s="97" t="str">
        <f t="shared" si="161"/>
        <v/>
      </c>
      <c r="OAZ6" s="97" t="str">
        <f t="shared" si="161"/>
        <v/>
      </c>
      <c r="OBA6" s="97" t="str">
        <f t="shared" si="161"/>
        <v/>
      </c>
      <c r="OBB6" s="97" t="str">
        <f t="shared" si="161"/>
        <v/>
      </c>
      <c r="OBC6" s="97" t="str">
        <f t="shared" si="161"/>
        <v/>
      </c>
      <c r="OBD6" s="97" t="str">
        <f t="shared" si="161"/>
        <v/>
      </c>
      <c r="OBE6" s="97" t="str">
        <f t="shared" si="161"/>
        <v/>
      </c>
      <c r="OBF6" s="97" t="str">
        <f t="shared" si="161"/>
        <v/>
      </c>
      <c r="OBG6" s="97" t="str">
        <f t="shared" si="161"/>
        <v/>
      </c>
      <c r="OBH6" s="97" t="str">
        <f t="shared" si="161"/>
        <v/>
      </c>
      <c r="OBI6" s="97" t="str">
        <f t="shared" si="161"/>
        <v/>
      </c>
      <c r="OBJ6" s="97" t="str">
        <f t="shared" si="161"/>
        <v/>
      </c>
      <c r="OBK6" s="97" t="str">
        <f t="shared" si="161"/>
        <v/>
      </c>
      <c r="OBL6" s="97" t="str">
        <f t="shared" si="161"/>
        <v/>
      </c>
      <c r="OBM6" s="97" t="str">
        <f t="shared" si="161"/>
        <v/>
      </c>
      <c r="OBN6" s="97" t="str">
        <f t="shared" si="161"/>
        <v/>
      </c>
      <c r="OBO6" s="97" t="str">
        <f t="shared" si="161"/>
        <v/>
      </c>
      <c r="OBP6" s="97" t="str">
        <f t="shared" si="161"/>
        <v/>
      </c>
      <c r="OBQ6" s="97" t="str">
        <f t="shared" si="161"/>
        <v/>
      </c>
      <c r="OBR6" s="97" t="str">
        <f t="shared" si="161"/>
        <v/>
      </c>
      <c r="OBS6" s="97" t="str">
        <f t="shared" si="161"/>
        <v/>
      </c>
      <c r="OBT6" s="97" t="str">
        <f t="shared" si="161"/>
        <v/>
      </c>
      <c r="OBU6" s="97" t="str">
        <f t="shared" si="161"/>
        <v/>
      </c>
      <c r="OBV6" s="97" t="str">
        <f t="shared" si="161"/>
        <v/>
      </c>
      <c r="OBW6" s="97" t="str">
        <f t="shared" si="161"/>
        <v/>
      </c>
      <c r="OBX6" s="97" t="str">
        <f t="shared" si="161"/>
        <v/>
      </c>
      <c r="OBY6" s="97" t="str">
        <f t="shared" si="161"/>
        <v/>
      </c>
      <c r="OBZ6" s="97" t="str">
        <f t="shared" si="161"/>
        <v/>
      </c>
      <c r="OCA6" s="97" t="str">
        <f t="shared" si="161"/>
        <v/>
      </c>
      <c r="OCB6" s="97" t="str">
        <f t="shared" si="161"/>
        <v/>
      </c>
      <c r="OCC6" s="97" t="str">
        <f t="shared" si="161"/>
        <v/>
      </c>
      <c r="OCD6" s="97" t="str">
        <f t="shared" si="161"/>
        <v/>
      </c>
      <c r="OCE6" s="97" t="str">
        <f t="shared" si="161"/>
        <v/>
      </c>
      <c r="OCF6" s="97" t="str">
        <f t="shared" si="161"/>
        <v/>
      </c>
      <c r="OCG6" s="97" t="str">
        <f t="shared" si="161"/>
        <v/>
      </c>
      <c r="OCH6" s="97" t="str">
        <f t="shared" si="161"/>
        <v/>
      </c>
      <c r="OCI6" s="97" t="str">
        <f t="shared" si="161"/>
        <v/>
      </c>
      <c r="OCJ6" s="97" t="str">
        <f t="shared" si="161"/>
        <v/>
      </c>
      <c r="OCK6" s="97" t="str">
        <f t="shared" si="161"/>
        <v/>
      </c>
      <c r="OCL6" s="97" t="str">
        <f t="shared" si="161"/>
        <v/>
      </c>
      <c r="OCM6" s="97" t="str">
        <f t="shared" si="161"/>
        <v/>
      </c>
      <c r="OCN6" s="97" t="str">
        <f t="shared" si="161"/>
        <v/>
      </c>
      <c r="OCO6" s="97" t="str">
        <f t="shared" si="161"/>
        <v/>
      </c>
      <c r="OCP6" s="97" t="str">
        <f t="shared" si="161"/>
        <v/>
      </c>
      <c r="OCQ6" s="97" t="str">
        <f t="shared" si="161"/>
        <v/>
      </c>
      <c r="OCR6" s="97" t="str">
        <f t="shared" si="161"/>
        <v/>
      </c>
      <c r="OCS6" s="97" t="str">
        <f t="shared" si="161"/>
        <v/>
      </c>
      <c r="OCT6" s="97" t="str">
        <f t="shared" si="161"/>
        <v/>
      </c>
      <c r="OCU6" s="97" t="str">
        <f t="shared" si="161"/>
        <v/>
      </c>
      <c r="OCV6" s="97" t="str">
        <f t="shared" si="161"/>
        <v/>
      </c>
      <c r="OCW6" s="97" t="str">
        <f t="shared" si="161"/>
        <v/>
      </c>
      <c r="OCX6" s="97" t="str">
        <f t="shared" si="161"/>
        <v/>
      </c>
      <c r="OCY6" s="97" t="str">
        <f t="shared" si="161"/>
        <v/>
      </c>
      <c r="OCZ6" s="97" t="str">
        <f t="shared" si="161"/>
        <v/>
      </c>
      <c r="ODA6" s="97" t="str">
        <f t="shared" si="161"/>
        <v/>
      </c>
      <c r="ODB6" s="97" t="str">
        <f t="shared" ref="ODB6:OFM6" si="162">IFERROR(AVERAGE(ODB7:ODB13),"")</f>
        <v/>
      </c>
      <c r="ODC6" s="97" t="str">
        <f t="shared" si="162"/>
        <v/>
      </c>
      <c r="ODD6" s="97" t="str">
        <f t="shared" si="162"/>
        <v/>
      </c>
      <c r="ODE6" s="97" t="str">
        <f t="shared" si="162"/>
        <v/>
      </c>
      <c r="ODF6" s="97" t="str">
        <f t="shared" si="162"/>
        <v/>
      </c>
      <c r="ODG6" s="97" t="str">
        <f t="shared" si="162"/>
        <v/>
      </c>
      <c r="ODH6" s="97" t="str">
        <f t="shared" si="162"/>
        <v/>
      </c>
      <c r="ODI6" s="97" t="str">
        <f t="shared" si="162"/>
        <v/>
      </c>
      <c r="ODJ6" s="97" t="str">
        <f t="shared" si="162"/>
        <v/>
      </c>
      <c r="ODK6" s="97" t="str">
        <f t="shared" si="162"/>
        <v/>
      </c>
      <c r="ODL6" s="97" t="str">
        <f t="shared" si="162"/>
        <v/>
      </c>
      <c r="ODM6" s="97" t="str">
        <f t="shared" si="162"/>
        <v/>
      </c>
      <c r="ODN6" s="97" t="str">
        <f t="shared" si="162"/>
        <v/>
      </c>
      <c r="ODO6" s="97" t="str">
        <f t="shared" si="162"/>
        <v/>
      </c>
      <c r="ODP6" s="97" t="str">
        <f t="shared" si="162"/>
        <v/>
      </c>
      <c r="ODQ6" s="97" t="str">
        <f t="shared" si="162"/>
        <v/>
      </c>
      <c r="ODR6" s="97" t="str">
        <f t="shared" si="162"/>
        <v/>
      </c>
      <c r="ODS6" s="97" t="str">
        <f t="shared" si="162"/>
        <v/>
      </c>
      <c r="ODT6" s="97" t="str">
        <f t="shared" si="162"/>
        <v/>
      </c>
      <c r="ODU6" s="97" t="str">
        <f t="shared" si="162"/>
        <v/>
      </c>
      <c r="ODV6" s="97" t="str">
        <f t="shared" si="162"/>
        <v/>
      </c>
      <c r="ODW6" s="97" t="str">
        <f t="shared" si="162"/>
        <v/>
      </c>
      <c r="ODX6" s="97" t="str">
        <f t="shared" si="162"/>
        <v/>
      </c>
      <c r="ODY6" s="97" t="str">
        <f t="shared" si="162"/>
        <v/>
      </c>
      <c r="ODZ6" s="97" t="str">
        <f t="shared" si="162"/>
        <v/>
      </c>
      <c r="OEA6" s="97" t="str">
        <f t="shared" si="162"/>
        <v/>
      </c>
      <c r="OEB6" s="97" t="str">
        <f t="shared" si="162"/>
        <v/>
      </c>
      <c r="OEC6" s="97" t="str">
        <f t="shared" si="162"/>
        <v/>
      </c>
      <c r="OED6" s="97" t="str">
        <f t="shared" si="162"/>
        <v/>
      </c>
      <c r="OEE6" s="97" t="str">
        <f t="shared" si="162"/>
        <v/>
      </c>
      <c r="OEF6" s="97" t="str">
        <f t="shared" si="162"/>
        <v/>
      </c>
      <c r="OEG6" s="97" t="str">
        <f t="shared" si="162"/>
        <v/>
      </c>
      <c r="OEH6" s="97" t="str">
        <f t="shared" si="162"/>
        <v/>
      </c>
      <c r="OEI6" s="97" t="str">
        <f t="shared" si="162"/>
        <v/>
      </c>
      <c r="OEJ6" s="97" t="str">
        <f t="shared" si="162"/>
        <v/>
      </c>
      <c r="OEK6" s="97" t="str">
        <f t="shared" si="162"/>
        <v/>
      </c>
      <c r="OEL6" s="97" t="str">
        <f t="shared" si="162"/>
        <v/>
      </c>
      <c r="OEM6" s="97" t="str">
        <f t="shared" si="162"/>
        <v/>
      </c>
      <c r="OEN6" s="97" t="str">
        <f t="shared" si="162"/>
        <v/>
      </c>
      <c r="OEO6" s="97" t="str">
        <f t="shared" si="162"/>
        <v/>
      </c>
      <c r="OEP6" s="97" t="str">
        <f t="shared" si="162"/>
        <v/>
      </c>
      <c r="OEQ6" s="97" t="str">
        <f t="shared" si="162"/>
        <v/>
      </c>
      <c r="OER6" s="97" t="str">
        <f t="shared" si="162"/>
        <v/>
      </c>
      <c r="OES6" s="97" t="str">
        <f t="shared" si="162"/>
        <v/>
      </c>
      <c r="OET6" s="97" t="str">
        <f t="shared" si="162"/>
        <v/>
      </c>
      <c r="OEU6" s="97" t="str">
        <f t="shared" si="162"/>
        <v/>
      </c>
      <c r="OEV6" s="97" t="str">
        <f t="shared" si="162"/>
        <v/>
      </c>
      <c r="OEW6" s="97" t="str">
        <f t="shared" si="162"/>
        <v/>
      </c>
      <c r="OEX6" s="97" t="str">
        <f t="shared" si="162"/>
        <v/>
      </c>
      <c r="OEY6" s="97" t="str">
        <f t="shared" si="162"/>
        <v/>
      </c>
      <c r="OEZ6" s="97" t="str">
        <f t="shared" si="162"/>
        <v/>
      </c>
      <c r="OFA6" s="97" t="str">
        <f t="shared" si="162"/>
        <v/>
      </c>
      <c r="OFB6" s="97" t="str">
        <f t="shared" si="162"/>
        <v/>
      </c>
      <c r="OFC6" s="97" t="str">
        <f t="shared" si="162"/>
        <v/>
      </c>
      <c r="OFD6" s="97" t="str">
        <f t="shared" si="162"/>
        <v/>
      </c>
      <c r="OFE6" s="97" t="str">
        <f t="shared" si="162"/>
        <v/>
      </c>
      <c r="OFF6" s="97" t="str">
        <f t="shared" si="162"/>
        <v/>
      </c>
      <c r="OFG6" s="97" t="str">
        <f t="shared" si="162"/>
        <v/>
      </c>
      <c r="OFH6" s="97" t="str">
        <f t="shared" si="162"/>
        <v/>
      </c>
      <c r="OFI6" s="97" t="str">
        <f t="shared" si="162"/>
        <v/>
      </c>
      <c r="OFJ6" s="97" t="str">
        <f t="shared" si="162"/>
        <v/>
      </c>
      <c r="OFK6" s="97" t="str">
        <f t="shared" si="162"/>
        <v/>
      </c>
      <c r="OFL6" s="97" t="str">
        <f t="shared" si="162"/>
        <v/>
      </c>
      <c r="OFM6" s="97" t="str">
        <f t="shared" si="162"/>
        <v/>
      </c>
      <c r="OFN6" s="97" t="str">
        <f t="shared" ref="OFN6:OHY6" si="163">IFERROR(AVERAGE(OFN7:OFN13),"")</f>
        <v/>
      </c>
      <c r="OFO6" s="97" t="str">
        <f t="shared" si="163"/>
        <v/>
      </c>
      <c r="OFP6" s="97" t="str">
        <f t="shared" si="163"/>
        <v/>
      </c>
      <c r="OFQ6" s="97" t="str">
        <f t="shared" si="163"/>
        <v/>
      </c>
      <c r="OFR6" s="97" t="str">
        <f t="shared" si="163"/>
        <v/>
      </c>
      <c r="OFS6" s="97" t="str">
        <f t="shared" si="163"/>
        <v/>
      </c>
      <c r="OFT6" s="97" t="str">
        <f t="shared" si="163"/>
        <v/>
      </c>
      <c r="OFU6" s="97" t="str">
        <f t="shared" si="163"/>
        <v/>
      </c>
      <c r="OFV6" s="97" t="str">
        <f t="shared" si="163"/>
        <v/>
      </c>
      <c r="OFW6" s="97" t="str">
        <f t="shared" si="163"/>
        <v/>
      </c>
      <c r="OFX6" s="97" t="str">
        <f t="shared" si="163"/>
        <v/>
      </c>
      <c r="OFY6" s="97" t="str">
        <f t="shared" si="163"/>
        <v/>
      </c>
      <c r="OFZ6" s="97" t="str">
        <f t="shared" si="163"/>
        <v/>
      </c>
      <c r="OGA6" s="97" t="str">
        <f t="shared" si="163"/>
        <v/>
      </c>
      <c r="OGB6" s="97" t="str">
        <f t="shared" si="163"/>
        <v/>
      </c>
      <c r="OGC6" s="97" t="str">
        <f t="shared" si="163"/>
        <v/>
      </c>
      <c r="OGD6" s="97" t="str">
        <f t="shared" si="163"/>
        <v/>
      </c>
      <c r="OGE6" s="97" t="str">
        <f t="shared" si="163"/>
        <v/>
      </c>
      <c r="OGF6" s="97" t="str">
        <f t="shared" si="163"/>
        <v/>
      </c>
      <c r="OGG6" s="97" t="str">
        <f t="shared" si="163"/>
        <v/>
      </c>
      <c r="OGH6" s="97" t="str">
        <f t="shared" si="163"/>
        <v/>
      </c>
      <c r="OGI6" s="97" t="str">
        <f t="shared" si="163"/>
        <v/>
      </c>
      <c r="OGJ6" s="97" t="str">
        <f t="shared" si="163"/>
        <v/>
      </c>
      <c r="OGK6" s="97" t="str">
        <f t="shared" si="163"/>
        <v/>
      </c>
      <c r="OGL6" s="97" t="str">
        <f t="shared" si="163"/>
        <v/>
      </c>
      <c r="OGM6" s="97" t="str">
        <f t="shared" si="163"/>
        <v/>
      </c>
      <c r="OGN6" s="97" t="str">
        <f t="shared" si="163"/>
        <v/>
      </c>
      <c r="OGO6" s="97" t="str">
        <f t="shared" si="163"/>
        <v/>
      </c>
      <c r="OGP6" s="97" t="str">
        <f t="shared" si="163"/>
        <v/>
      </c>
      <c r="OGQ6" s="97" t="str">
        <f t="shared" si="163"/>
        <v/>
      </c>
      <c r="OGR6" s="97" t="str">
        <f t="shared" si="163"/>
        <v/>
      </c>
      <c r="OGS6" s="97" t="str">
        <f t="shared" si="163"/>
        <v/>
      </c>
      <c r="OGT6" s="97" t="str">
        <f t="shared" si="163"/>
        <v/>
      </c>
      <c r="OGU6" s="97" t="str">
        <f t="shared" si="163"/>
        <v/>
      </c>
      <c r="OGV6" s="97" t="str">
        <f t="shared" si="163"/>
        <v/>
      </c>
      <c r="OGW6" s="97" t="str">
        <f t="shared" si="163"/>
        <v/>
      </c>
      <c r="OGX6" s="97" t="str">
        <f t="shared" si="163"/>
        <v/>
      </c>
      <c r="OGY6" s="97" t="str">
        <f t="shared" si="163"/>
        <v/>
      </c>
      <c r="OGZ6" s="97" t="str">
        <f t="shared" si="163"/>
        <v/>
      </c>
      <c r="OHA6" s="97" t="str">
        <f t="shared" si="163"/>
        <v/>
      </c>
      <c r="OHB6" s="97" t="str">
        <f t="shared" si="163"/>
        <v/>
      </c>
      <c r="OHC6" s="97" t="str">
        <f t="shared" si="163"/>
        <v/>
      </c>
      <c r="OHD6" s="97" t="str">
        <f t="shared" si="163"/>
        <v/>
      </c>
      <c r="OHE6" s="97" t="str">
        <f t="shared" si="163"/>
        <v/>
      </c>
      <c r="OHF6" s="97" t="str">
        <f t="shared" si="163"/>
        <v/>
      </c>
      <c r="OHG6" s="97" t="str">
        <f t="shared" si="163"/>
        <v/>
      </c>
      <c r="OHH6" s="97" t="str">
        <f t="shared" si="163"/>
        <v/>
      </c>
      <c r="OHI6" s="97" t="str">
        <f t="shared" si="163"/>
        <v/>
      </c>
      <c r="OHJ6" s="97" t="str">
        <f t="shared" si="163"/>
        <v/>
      </c>
      <c r="OHK6" s="97" t="str">
        <f t="shared" si="163"/>
        <v/>
      </c>
      <c r="OHL6" s="97" t="str">
        <f t="shared" si="163"/>
        <v/>
      </c>
      <c r="OHM6" s="97" t="str">
        <f t="shared" si="163"/>
        <v/>
      </c>
      <c r="OHN6" s="97" t="str">
        <f t="shared" si="163"/>
        <v/>
      </c>
      <c r="OHO6" s="97" t="str">
        <f t="shared" si="163"/>
        <v/>
      </c>
      <c r="OHP6" s="97" t="str">
        <f t="shared" si="163"/>
        <v/>
      </c>
      <c r="OHQ6" s="97" t="str">
        <f t="shared" si="163"/>
        <v/>
      </c>
      <c r="OHR6" s="97" t="str">
        <f t="shared" si="163"/>
        <v/>
      </c>
      <c r="OHS6" s="97" t="str">
        <f t="shared" si="163"/>
        <v/>
      </c>
      <c r="OHT6" s="97" t="str">
        <f t="shared" si="163"/>
        <v/>
      </c>
      <c r="OHU6" s="97" t="str">
        <f t="shared" si="163"/>
        <v/>
      </c>
      <c r="OHV6" s="97" t="str">
        <f t="shared" si="163"/>
        <v/>
      </c>
      <c r="OHW6" s="97" t="str">
        <f t="shared" si="163"/>
        <v/>
      </c>
      <c r="OHX6" s="97" t="str">
        <f t="shared" si="163"/>
        <v/>
      </c>
      <c r="OHY6" s="97" t="str">
        <f t="shared" si="163"/>
        <v/>
      </c>
      <c r="OHZ6" s="97" t="str">
        <f t="shared" ref="OHZ6:OKK6" si="164">IFERROR(AVERAGE(OHZ7:OHZ13),"")</f>
        <v/>
      </c>
      <c r="OIA6" s="97" t="str">
        <f t="shared" si="164"/>
        <v/>
      </c>
      <c r="OIB6" s="97" t="str">
        <f t="shared" si="164"/>
        <v/>
      </c>
      <c r="OIC6" s="97" t="str">
        <f t="shared" si="164"/>
        <v/>
      </c>
      <c r="OID6" s="97" t="str">
        <f t="shared" si="164"/>
        <v/>
      </c>
      <c r="OIE6" s="97" t="str">
        <f t="shared" si="164"/>
        <v/>
      </c>
      <c r="OIF6" s="97" t="str">
        <f t="shared" si="164"/>
        <v/>
      </c>
      <c r="OIG6" s="97" t="str">
        <f t="shared" si="164"/>
        <v/>
      </c>
      <c r="OIH6" s="97" t="str">
        <f t="shared" si="164"/>
        <v/>
      </c>
      <c r="OII6" s="97" t="str">
        <f t="shared" si="164"/>
        <v/>
      </c>
      <c r="OIJ6" s="97" t="str">
        <f t="shared" si="164"/>
        <v/>
      </c>
      <c r="OIK6" s="97" t="str">
        <f t="shared" si="164"/>
        <v/>
      </c>
      <c r="OIL6" s="97" t="str">
        <f t="shared" si="164"/>
        <v/>
      </c>
      <c r="OIM6" s="97" t="str">
        <f t="shared" si="164"/>
        <v/>
      </c>
      <c r="OIN6" s="97" t="str">
        <f t="shared" si="164"/>
        <v/>
      </c>
      <c r="OIO6" s="97" t="str">
        <f t="shared" si="164"/>
        <v/>
      </c>
      <c r="OIP6" s="97" t="str">
        <f t="shared" si="164"/>
        <v/>
      </c>
      <c r="OIQ6" s="97" t="str">
        <f t="shared" si="164"/>
        <v/>
      </c>
      <c r="OIR6" s="97" t="str">
        <f t="shared" si="164"/>
        <v/>
      </c>
      <c r="OIS6" s="97" t="str">
        <f t="shared" si="164"/>
        <v/>
      </c>
      <c r="OIT6" s="97" t="str">
        <f t="shared" si="164"/>
        <v/>
      </c>
      <c r="OIU6" s="97" t="str">
        <f t="shared" si="164"/>
        <v/>
      </c>
      <c r="OIV6" s="97" t="str">
        <f t="shared" si="164"/>
        <v/>
      </c>
      <c r="OIW6" s="97" t="str">
        <f t="shared" si="164"/>
        <v/>
      </c>
      <c r="OIX6" s="97" t="str">
        <f t="shared" si="164"/>
        <v/>
      </c>
      <c r="OIY6" s="97" t="str">
        <f t="shared" si="164"/>
        <v/>
      </c>
      <c r="OIZ6" s="97" t="str">
        <f t="shared" si="164"/>
        <v/>
      </c>
      <c r="OJA6" s="97" t="str">
        <f t="shared" si="164"/>
        <v/>
      </c>
      <c r="OJB6" s="97" t="str">
        <f t="shared" si="164"/>
        <v/>
      </c>
      <c r="OJC6" s="97" t="str">
        <f t="shared" si="164"/>
        <v/>
      </c>
      <c r="OJD6" s="97" t="str">
        <f t="shared" si="164"/>
        <v/>
      </c>
      <c r="OJE6" s="97" t="str">
        <f t="shared" si="164"/>
        <v/>
      </c>
      <c r="OJF6" s="97" t="str">
        <f t="shared" si="164"/>
        <v/>
      </c>
      <c r="OJG6" s="97" t="str">
        <f t="shared" si="164"/>
        <v/>
      </c>
      <c r="OJH6" s="97" t="str">
        <f t="shared" si="164"/>
        <v/>
      </c>
      <c r="OJI6" s="97" t="str">
        <f t="shared" si="164"/>
        <v/>
      </c>
      <c r="OJJ6" s="97" t="str">
        <f t="shared" si="164"/>
        <v/>
      </c>
      <c r="OJK6" s="97" t="str">
        <f t="shared" si="164"/>
        <v/>
      </c>
      <c r="OJL6" s="97" t="str">
        <f t="shared" si="164"/>
        <v/>
      </c>
      <c r="OJM6" s="97" t="str">
        <f t="shared" si="164"/>
        <v/>
      </c>
      <c r="OJN6" s="97" t="str">
        <f t="shared" si="164"/>
        <v/>
      </c>
      <c r="OJO6" s="97" t="str">
        <f t="shared" si="164"/>
        <v/>
      </c>
      <c r="OJP6" s="97" t="str">
        <f t="shared" si="164"/>
        <v/>
      </c>
      <c r="OJQ6" s="97" t="str">
        <f t="shared" si="164"/>
        <v/>
      </c>
      <c r="OJR6" s="97" t="str">
        <f t="shared" si="164"/>
        <v/>
      </c>
      <c r="OJS6" s="97" t="str">
        <f t="shared" si="164"/>
        <v/>
      </c>
      <c r="OJT6" s="97" t="str">
        <f t="shared" si="164"/>
        <v/>
      </c>
      <c r="OJU6" s="97" t="str">
        <f t="shared" si="164"/>
        <v/>
      </c>
      <c r="OJV6" s="97" t="str">
        <f t="shared" si="164"/>
        <v/>
      </c>
      <c r="OJW6" s="97" t="str">
        <f t="shared" si="164"/>
        <v/>
      </c>
      <c r="OJX6" s="97" t="str">
        <f t="shared" si="164"/>
        <v/>
      </c>
      <c r="OJY6" s="97" t="str">
        <f t="shared" si="164"/>
        <v/>
      </c>
      <c r="OJZ6" s="97" t="str">
        <f t="shared" si="164"/>
        <v/>
      </c>
      <c r="OKA6" s="97" t="str">
        <f t="shared" si="164"/>
        <v/>
      </c>
      <c r="OKB6" s="97" t="str">
        <f t="shared" si="164"/>
        <v/>
      </c>
      <c r="OKC6" s="97" t="str">
        <f t="shared" si="164"/>
        <v/>
      </c>
      <c r="OKD6" s="97" t="str">
        <f t="shared" si="164"/>
        <v/>
      </c>
      <c r="OKE6" s="97" t="str">
        <f t="shared" si="164"/>
        <v/>
      </c>
      <c r="OKF6" s="97" t="str">
        <f t="shared" si="164"/>
        <v/>
      </c>
      <c r="OKG6" s="97" t="str">
        <f t="shared" si="164"/>
        <v/>
      </c>
      <c r="OKH6" s="97" t="str">
        <f t="shared" si="164"/>
        <v/>
      </c>
      <c r="OKI6" s="97" t="str">
        <f t="shared" si="164"/>
        <v/>
      </c>
      <c r="OKJ6" s="97" t="str">
        <f t="shared" si="164"/>
        <v/>
      </c>
      <c r="OKK6" s="97" t="str">
        <f t="shared" si="164"/>
        <v/>
      </c>
      <c r="OKL6" s="97" t="str">
        <f t="shared" ref="OKL6:OMW6" si="165">IFERROR(AVERAGE(OKL7:OKL13),"")</f>
        <v/>
      </c>
      <c r="OKM6" s="97" t="str">
        <f t="shared" si="165"/>
        <v/>
      </c>
      <c r="OKN6" s="97" t="str">
        <f t="shared" si="165"/>
        <v/>
      </c>
      <c r="OKO6" s="97" t="str">
        <f t="shared" si="165"/>
        <v/>
      </c>
      <c r="OKP6" s="97" t="str">
        <f t="shared" si="165"/>
        <v/>
      </c>
      <c r="OKQ6" s="97" t="str">
        <f t="shared" si="165"/>
        <v/>
      </c>
      <c r="OKR6" s="97" t="str">
        <f t="shared" si="165"/>
        <v/>
      </c>
      <c r="OKS6" s="97" t="str">
        <f t="shared" si="165"/>
        <v/>
      </c>
      <c r="OKT6" s="97" t="str">
        <f t="shared" si="165"/>
        <v/>
      </c>
      <c r="OKU6" s="97" t="str">
        <f t="shared" si="165"/>
        <v/>
      </c>
      <c r="OKV6" s="97" t="str">
        <f t="shared" si="165"/>
        <v/>
      </c>
      <c r="OKW6" s="97" t="str">
        <f t="shared" si="165"/>
        <v/>
      </c>
      <c r="OKX6" s="97" t="str">
        <f t="shared" si="165"/>
        <v/>
      </c>
      <c r="OKY6" s="97" t="str">
        <f t="shared" si="165"/>
        <v/>
      </c>
      <c r="OKZ6" s="97" t="str">
        <f t="shared" si="165"/>
        <v/>
      </c>
      <c r="OLA6" s="97" t="str">
        <f t="shared" si="165"/>
        <v/>
      </c>
      <c r="OLB6" s="97" t="str">
        <f t="shared" si="165"/>
        <v/>
      </c>
      <c r="OLC6" s="97" t="str">
        <f t="shared" si="165"/>
        <v/>
      </c>
      <c r="OLD6" s="97" t="str">
        <f t="shared" si="165"/>
        <v/>
      </c>
      <c r="OLE6" s="97" t="str">
        <f t="shared" si="165"/>
        <v/>
      </c>
      <c r="OLF6" s="97" t="str">
        <f t="shared" si="165"/>
        <v/>
      </c>
      <c r="OLG6" s="97" t="str">
        <f t="shared" si="165"/>
        <v/>
      </c>
      <c r="OLH6" s="97" t="str">
        <f t="shared" si="165"/>
        <v/>
      </c>
      <c r="OLI6" s="97" t="str">
        <f t="shared" si="165"/>
        <v/>
      </c>
      <c r="OLJ6" s="97" t="str">
        <f t="shared" si="165"/>
        <v/>
      </c>
      <c r="OLK6" s="97" t="str">
        <f t="shared" si="165"/>
        <v/>
      </c>
      <c r="OLL6" s="97" t="str">
        <f t="shared" si="165"/>
        <v/>
      </c>
      <c r="OLM6" s="97" t="str">
        <f t="shared" si="165"/>
        <v/>
      </c>
      <c r="OLN6" s="97" t="str">
        <f t="shared" si="165"/>
        <v/>
      </c>
      <c r="OLO6" s="97" t="str">
        <f t="shared" si="165"/>
        <v/>
      </c>
      <c r="OLP6" s="97" t="str">
        <f t="shared" si="165"/>
        <v/>
      </c>
      <c r="OLQ6" s="97" t="str">
        <f t="shared" si="165"/>
        <v/>
      </c>
      <c r="OLR6" s="97" t="str">
        <f t="shared" si="165"/>
        <v/>
      </c>
      <c r="OLS6" s="97" t="str">
        <f t="shared" si="165"/>
        <v/>
      </c>
      <c r="OLT6" s="97" t="str">
        <f t="shared" si="165"/>
        <v/>
      </c>
      <c r="OLU6" s="97" t="str">
        <f t="shared" si="165"/>
        <v/>
      </c>
      <c r="OLV6" s="97" t="str">
        <f t="shared" si="165"/>
        <v/>
      </c>
      <c r="OLW6" s="97" t="str">
        <f t="shared" si="165"/>
        <v/>
      </c>
      <c r="OLX6" s="97" t="str">
        <f t="shared" si="165"/>
        <v/>
      </c>
      <c r="OLY6" s="97" t="str">
        <f t="shared" si="165"/>
        <v/>
      </c>
      <c r="OLZ6" s="97" t="str">
        <f t="shared" si="165"/>
        <v/>
      </c>
      <c r="OMA6" s="97" t="str">
        <f t="shared" si="165"/>
        <v/>
      </c>
      <c r="OMB6" s="97" t="str">
        <f t="shared" si="165"/>
        <v/>
      </c>
      <c r="OMC6" s="97" t="str">
        <f t="shared" si="165"/>
        <v/>
      </c>
      <c r="OMD6" s="97" t="str">
        <f t="shared" si="165"/>
        <v/>
      </c>
      <c r="OME6" s="97" t="str">
        <f t="shared" si="165"/>
        <v/>
      </c>
      <c r="OMF6" s="97" t="str">
        <f t="shared" si="165"/>
        <v/>
      </c>
      <c r="OMG6" s="97" t="str">
        <f t="shared" si="165"/>
        <v/>
      </c>
      <c r="OMH6" s="97" t="str">
        <f t="shared" si="165"/>
        <v/>
      </c>
      <c r="OMI6" s="97" t="str">
        <f t="shared" si="165"/>
        <v/>
      </c>
      <c r="OMJ6" s="97" t="str">
        <f t="shared" si="165"/>
        <v/>
      </c>
      <c r="OMK6" s="97" t="str">
        <f t="shared" si="165"/>
        <v/>
      </c>
      <c r="OML6" s="97" t="str">
        <f t="shared" si="165"/>
        <v/>
      </c>
      <c r="OMM6" s="97" t="str">
        <f t="shared" si="165"/>
        <v/>
      </c>
      <c r="OMN6" s="97" t="str">
        <f t="shared" si="165"/>
        <v/>
      </c>
      <c r="OMO6" s="97" t="str">
        <f t="shared" si="165"/>
        <v/>
      </c>
      <c r="OMP6" s="97" t="str">
        <f t="shared" si="165"/>
        <v/>
      </c>
      <c r="OMQ6" s="97" t="str">
        <f t="shared" si="165"/>
        <v/>
      </c>
      <c r="OMR6" s="97" t="str">
        <f t="shared" si="165"/>
        <v/>
      </c>
      <c r="OMS6" s="97" t="str">
        <f t="shared" si="165"/>
        <v/>
      </c>
      <c r="OMT6" s="97" t="str">
        <f t="shared" si="165"/>
        <v/>
      </c>
      <c r="OMU6" s="97" t="str">
        <f t="shared" si="165"/>
        <v/>
      </c>
      <c r="OMV6" s="97" t="str">
        <f t="shared" si="165"/>
        <v/>
      </c>
      <c r="OMW6" s="97" t="str">
        <f t="shared" si="165"/>
        <v/>
      </c>
      <c r="OMX6" s="97" t="str">
        <f t="shared" ref="OMX6:OPI6" si="166">IFERROR(AVERAGE(OMX7:OMX13),"")</f>
        <v/>
      </c>
      <c r="OMY6" s="97" t="str">
        <f t="shared" si="166"/>
        <v/>
      </c>
      <c r="OMZ6" s="97" t="str">
        <f t="shared" si="166"/>
        <v/>
      </c>
      <c r="ONA6" s="97" t="str">
        <f t="shared" si="166"/>
        <v/>
      </c>
      <c r="ONB6" s="97" t="str">
        <f t="shared" si="166"/>
        <v/>
      </c>
      <c r="ONC6" s="97" t="str">
        <f t="shared" si="166"/>
        <v/>
      </c>
      <c r="OND6" s="97" t="str">
        <f t="shared" si="166"/>
        <v/>
      </c>
      <c r="ONE6" s="97" t="str">
        <f t="shared" si="166"/>
        <v/>
      </c>
      <c r="ONF6" s="97" t="str">
        <f t="shared" si="166"/>
        <v/>
      </c>
      <c r="ONG6" s="97" t="str">
        <f t="shared" si="166"/>
        <v/>
      </c>
      <c r="ONH6" s="97" t="str">
        <f t="shared" si="166"/>
        <v/>
      </c>
      <c r="ONI6" s="97" t="str">
        <f t="shared" si="166"/>
        <v/>
      </c>
      <c r="ONJ6" s="97" t="str">
        <f t="shared" si="166"/>
        <v/>
      </c>
      <c r="ONK6" s="97" t="str">
        <f t="shared" si="166"/>
        <v/>
      </c>
      <c r="ONL6" s="97" t="str">
        <f t="shared" si="166"/>
        <v/>
      </c>
      <c r="ONM6" s="97" t="str">
        <f t="shared" si="166"/>
        <v/>
      </c>
      <c r="ONN6" s="97" t="str">
        <f t="shared" si="166"/>
        <v/>
      </c>
      <c r="ONO6" s="97" t="str">
        <f t="shared" si="166"/>
        <v/>
      </c>
      <c r="ONP6" s="97" t="str">
        <f t="shared" si="166"/>
        <v/>
      </c>
      <c r="ONQ6" s="97" t="str">
        <f t="shared" si="166"/>
        <v/>
      </c>
      <c r="ONR6" s="97" t="str">
        <f t="shared" si="166"/>
        <v/>
      </c>
      <c r="ONS6" s="97" t="str">
        <f t="shared" si="166"/>
        <v/>
      </c>
      <c r="ONT6" s="97" t="str">
        <f t="shared" si="166"/>
        <v/>
      </c>
      <c r="ONU6" s="97" t="str">
        <f t="shared" si="166"/>
        <v/>
      </c>
      <c r="ONV6" s="97" t="str">
        <f t="shared" si="166"/>
        <v/>
      </c>
      <c r="ONW6" s="97" t="str">
        <f t="shared" si="166"/>
        <v/>
      </c>
      <c r="ONX6" s="97" t="str">
        <f t="shared" si="166"/>
        <v/>
      </c>
      <c r="ONY6" s="97" t="str">
        <f t="shared" si="166"/>
        <v/>
      </c>
      <c r="ONZ6" s="97" t="str">
        <f t="shared" si="166"/>
        <v/>
      </c>
      <c r="OOA6" s="97" t="str">
        <f t="shared" si="166"/>
        <v/>
      </c>
      <c r="OOB6" s="97" t="str">
        <f t="shared" si="166"/>
        <v/>
      </c>
      <c r="OOC6" s="97" t="str">
        <f t="shared" si="166"/>
        <v/>
      </c>
      <c r="OOD6" s="97" t="str">
        <f t="shared" si="166"/>
        <v/>
      </c>
      <c r="OOE6" s="97" t="str">
        <f t="shared" si="166"/>
        <v/>
      </c>
      <c r="OOF6" s="97" t="str">
        <f t="shared" si="166"/>
        <v/>
      </c>
      <c r="OOG6" s="97" t="str">
        <f t="shared" si="166"/>
        <v/>
      </c>
      <c r="OOH6" s="97" t="str">
        <f t="shared" si="166"/>
        <v/>
      </c>
      <c r="OOI6" s="97" t="str">
        <f t="shared" si="166"/>
        <v/>
      </c>
      <c r="OOJ6" s="97" t="str">
        <f t="shared" si="166"/>
        <v/>
      </c>
      <c r="OOK6" s="97" t="str">
        <f t="shared" si="166"/>
        <v/>
      </c>
      <c r="OOL6" s="97" t="str">
        <f t="shared" si="166"/>
        <v/>
      </c>
      <c r="OOM6" s="97" t="str">
        <f t="shared" si="166"/>
        <v/>
      </c>
      <c r="OON6" s="97" t="str">
        <f t="shared" si="166"/>
        <v/>
      </c>
      <c r="OOO6" s="97" t="str">
        <f t="shared" si="166"/>
        <v/>
      </c>
      <c r="OOP6" s="97" t="str">
        <f t="shared" si="166"/>
        <v/>
      </c>
      <c r="OOQ6" s="97" t="str">
        <f t="shared" si="166"/>
        <v/>
      </c>
      <c r="OOR6" s="97" t="str">
        <f t="shared" si="166"/>
        <v/>
      </c>
      <c r="OOS6" s="97" t="str">
        <f t="shared" si="166"/>
        <v/>
      </c>
      <c r="OOT6" s="97" t="str">
        <f t="shared" si="166"/>
        <v/>
      </c>
      <c r="OOU6" s="97" t="str">
        <f t="shared" si="166"/>
        <v/>
      </c>
      <c r="OOV6" s="97" t="str">
        <f t="shared" si="166"/>
        <v/>
      </c>
      <c r="OOW6" s="97" t="str">
        <f t="shared" si="166"/>
        <v/>
      </c>
      <c r="OOX6" s="97" t="str">
        <f t="shared" si="166"/>
        <v/>
      </c>
      <c r="OOY6" s="97" t="str">
        <f t="shared" si="166"/>
        <v/>
      </c>
      <c r="OOZ6" s="97" t="str">
        <f t="shared" si="166"/>
        <v/>
      </c>
      <c r="OPA6" s="97" t="str">
        <f t="shared" si="166"/>
        <v/>
      </c>
      <c r="OPB6" s="97" t="str">
        <f t="shared" si="166"/>
        <v/>
      </c>
      <c r="OPC6" s="97" t="str">
        <f t="shared" si="166"/>
        <v/>
      </c>
      <c r="OPD6" s="97" t="str">
        <f t="shared" si="166"/>
        <v/>
      </c>
      <c r="OPE6" s="97" t="str">
        <f t="shared" si="166"/>
        <v/>
      </c>
      <c r="OPF6" s="97" t="str">
        <f t="shared" si="166"/>
        <v/>
      </c>
      <c r="OPG6" s="97" t="str">
        <f t="shared" si="166"/>
        <v/>
      </c>
      <c r="OPH6" s="97" t="str">
        <f t="shared" si="166"/>
        <v/>
      </c>
      <c r="OPI6" s="97" t="str">
        <f t="shared" si="166"/>
        <v/>
      </c>
      <c r="OPJ6" s="97" t="str">
        <f t="shared" ref="OPJ6:ORU6" si="167">IFERROR(AVERAGE(OPJ7:OPJ13),"")</f>
        <v/>
      </c>
      <c r="OPK6" s="97" t="str">
        <f t="shared" si="167"/>
        <v/>
      </c>
      <c r="OPL6" s="97" t="str">
        <f t="shared" si="167"/>
        <v/>
      </c>
      <c r="OPM6" s="97" t="str">
        <f t="shared" si="167"/>
        <v/>
      </c>
      <c r="OPN6" s="97" t="str">
        <f t="shared" si="167"/>
        <v/>
      </c>
      <c r="OPO6" s="97" t="str">
        <f t="shared" si="167"/>
        <v/>
      </c>
      <c r="OPP6" s="97" t="str">
        <f t="shared" si="167"/>
        <v/>
      </c>
      <c r="OPQ6" s="97" t="str">
        <f t="shared" si="167"/>
        <v/>
      </c>
      <c r="OPR6" s="97" t="str">
        <f t="shared" si="167"/>
        <v/>
      </c>
      <c r="OPS6" s="97" t="str">
        <f t="shared" si="167"/>
        <v/>
      </c>
      <c r="OPT6" s="97" t="str">
        <f t="shared" si="167"/>
        <v/>
      </c>
      <c r="OPU6" s="97" t="str">
        <f t="shared" si="167"/>
        <v/>
      </c>
      <c r="OPV6" s="97" t="str">
        <f t="shared" si="167"/>
        <v/>
      </c>
      <c r="OPW6" s="97" t="str">
        <f t="shared" si="167"/>
        <v/>
      </c>
      <c r="OPX6" s="97" t="str">
        <f t="shared" si="167"/>
        <v/>
      </c>
      <c r="OPY6" s="97" t="str">
        <f t="shared" si="167"/>
        <v/>
      </c>
      <c r="OPZ6" s="97" t="str">
        <f t="shared" si="167"/>
        <v/>
      </c>
      <c r="OQA6" s="97" t="str">
        <f t="shared" si="167"/>
        <v/>
      </c>
      <c r="OQB6" s="97" t="str">
        <f t="shared" si="167"/>
        <v/>
      </c>
      <c r="OQC6" s="97" t="str">
        <f t="shared" si="167"/>
        <v/>
      </c>
      <c r="OQD6" s="97" t="str">
        <f t="shared" si="167"/>
        <v/>
      </c>
      <c r="OQE6" s="97" t="str">
        <f t="shared" si="167"/>
        <v/>
      </c>
      <c r="OQF6" s="97" t="str">
        <f t="shared" si="167"/>
        <v/>
      </c>
      <c r="OQG6" s="97" t="str">
        <f t="shared" si="167"/>
        <v/>
      </c>
      <c r="OQH6" s="97" t="str">
        <f t="shared" si="167"/>
        <v/>
      </c>
      <c r="OQI6" s="97" t="str">
        <f t="shared" si="167"/>
        <v/>
      </c>
      <c r="OQJ6" s="97" t="str">
        <f t="shared" si="167"/>
        <v/>
      </c>
      <c r="OQK6" s="97" t="str">
        <f t="shared" si="167"/>
        <v/>
      </c>
      <c r="OQL6" s="97" t="str">
        <f t="shared" si="167"/>
        <v/>
      </c>
      <c r="OQM6" s="97" t="str">
        <f t="shared" si="167"/>
        <v/>
      </c>
      <c r="OQN6" s="97" t="str">
        <f t="shared" si="167"/>
        <v/>
      </c>
      <c r="OQO6" s="97" t="str">
        <f t="shared" si="167"/>
        <v/>
      </c>
      <c r="OQP6" s="97" t="str">
        <f t="shared" si="167"/>
        <v/>
      </c>
      <c r="OQQ6" s="97" t="str">
        <f t="shared" si="167"/>
        <v/>
      </c>
      <c r="OQR6" s="97" t="str">
        <f t="shared" si="167"/>
        <v/>
      </c>
      <c r="OQS6" s="97" t="str">
        <f t="shared" si="167"/>
        <v/>
      </c>
      <c r="OQT6" s="97" t="str">
        <f t="shared" si="167"/>
        <v/>
      </c>
      <c r="OQU6" s="97" t="str">
        <f t="shared" si="167"/>
        <v/>
      </c>
      <c r="OQV6" s="97" t="str">
        <f t="shared" si="167"/>
        <v/>
      </c>
      <c r="OQW6" s="97" t="str">
        <f t="shared" si="167"/>
        <v/>
      </c>
      <c r="OQX6" s="97" t="str">
        <f t="shared" si="167"/>
        <v/>
      </c>
      <c r="OQY6" s="97" t="str">
        <f t="shared" si="167"/>
        <v/>
      </c>
      <c r="OQZ6" s="97" t="str">
        <f t="shared" si="167"/>
        <v/>
      </c>
      <c r="ORA6" s="97" t="str">
        <f t="shared" si="167"/>
        <v/>
      </c>
      <c r="ORB6" s="97" t="str">
        <f t="shared" si="167"/>
        <v/>
      </c>
      <c r="ORC6" s="97" t="str">
        <f t="shared" si="167"/>
        <v/>
      </c>
      <c r="ORD6" s="97" t="str">
        <f t="shared" si="167"/>
        <v/>
      </c>
      <c r="ORE6" s="97" t="str">
        <f t="shared" si="167"/>
        <v/>
      </c>
      <c r="ORF6" s="97" t="str">
        <f t="shared" si="167"/>
        <v/>
      </c>
      <c r="ORG6" s="97" t="str">
        <f t="shared" si="167"/>
        <v/>
      </c>
      <c r="ORH6" s="97" t="str">
        <f t="shared" si="167"/>
        <v/>
      </c>
      <c r="ORI6" s="97" t="str">
        <f t="shared" si="167"/>
        <v/>
      </c>
      <c r="ORJ6" s="97" t="str">
        <f t="shared" si="167"/>
        <v/>
      </c>
      <c r="ORK6" s="97" t="str">
        <f t="shared" si="167"/>
        <v/>
      </c>
      <c r="ORL6" s="97" t="str">
        <f t="shared" si="167"/>
        <v/>
      </c>
      <c r="ORM6" s="97" t="str">
        <f t="shared" si="167"/>
        <v/>
      </c>
      <c r="ORN6" s="97" t="str">
        <f t="shared" si="167"/>
        <v/>
      </c>
      <c r="ORO6" s="97" t="str">
        <f t="shared" si="167"/>
        <v/>
      </c>
      <c r="ORP6" s="97" t="str">
        <f t="shared" si="167"/>
        <v/>
      </c>
      <c r="ORQ6" s="97" t="str">
        <f t="shared" si="167"/>
        <v/>
      </c>
      <c r="ORR6" s="97" t="str">
        <f t="shared" si="167"/>
        <v/>
      </c>
      <c r="ORS6" s="97" t="str">
        <f t="shared" si="167"/>
        <v/>
      </c>
      <c r="ORT6" s="97" t="str">
        <f t="shared" si="167"/>
        <v/>
      </c>
      <c r="ORU6" s="97" t="str">
        <f t="shared" si="167"/>
        <v/>
      </c>
      <c r="ORV6" s="97" t="str">
        <f t="shared" ref="ORV6:OUG6" si="168">IFERROR(AVERAGE(ORV7:ORV13),"")</f>
        <v/>
      </c>
      <c r="ORW6" s="97" t="str">
        <f t="shared" si="168"/>
        <v/>
      </c>
      <c r="ORX6" s="97" t="str">
        <f t="shared" si="168"/>
        <v/>
      </c>
      <c r="ORY6" s="97" t="str">
        <f t="shared" si="168"/>
        <v/>
      </c>
      <c r="ORZ6" s="97" t="str">
        <f t="shared" si="168"/>
        <v/>
      </c>
      <c r="OSA6" s="97" t="str">
        <f t="shared" si="168"/>
        <v/>
      </c>
      <c r="OSB6" s="97" t="str">
        <f t="shared" si="168"/>
        <v/>
      </c>
      <c r="OSC6" s="97" t="str">
        <f t="shared" si="168"/>
        <v/>
      </c>
      <c r="OSD6" s="97" t="str">
        <f t="shared" si="168"/>
        <v/>
      </c>
      <c r="OSE6" s="97" t="str">
        <f t="shared" si="168"/>
        <v/>
      </c>
      <c r="OSF6" s="97" t="str">
        <f t="shared" si="168"/>
        <v/>
      </c>
      <c r="OSG6" s="97" t="str">
        <f t="shared" si="168"/>
        <v/>
      </c>
      <c r="OSH6" s="97" t="str">
        <f t="shared" si="168"/>
        <v/>
      </c>
      <c r="OSI6" s="97" t="str">
        <f t="shared" si="168"/>
        <v/>
      </c>
      <c r="OSJ6" s="97" t="str">
        <f t="shared" si="168"/>
        <v/>
      </c>
      <c r="OSK6" s="97" t="str">
        <f t="shared" si="168"/>
        <v/>
      </c>
      <c r="OSL6" s="97" t="str">
        <f t="shared" si="168"/>
        <v/>
      </c>
      <c r="OSM6" s="97" t="str">
        <f t="shared" si="168"/>
        <v/>
      </c>
      <c r="OSN6" s="97" t="str">
        <f t="shared" si="168"/>
        <v/>
      </c>
      <c r="OSO6" s="97" t="str">
        <f t="shared" si="168"/>
        <v/>
      </c>
      <c r="OSP6" s="97" t="str">
        <f t="shared" si="168"/>
        <v/>
      </c>
      <c r="OSQ6" s="97" t="str">
        <f t="shared" si="168"/>
        <v/>
      </c>
      <c r="OSR6" s="97" t="str">
        <f t="shared" si="168"/>
        <v/>
      </c>
      <c r="OSS6" s="97" t="str">
        <f t="shared" si="168"/>
        <v/>
      </c>
      <c r="OST6" s="97" t="str">
        <f t="shared" si="168"/>
        <v/>
      </c>
      <c r="OSU6" s="97" t="str">
        <f t="shared" si="168"/>
        <v/>
      </c>
      <c r="OSV6" s="97" t="str">
        <f t="shared" si="168"/>
        <v/>
      </c>
      <c r="OSW6" s="97" t="str">
        <f t="shared" si="168"/>
        <v/>
      </c>
      <c r="OSX6" s="97" t="str">
        <f t="shared" si="168"/>
        <v/>
      </c>
      <c r="OSY6" s="97" t="str">
        <f t="shared" si="168"/>
        <v/>
      </c>
      <c r="OSZ6" s="97" t="str">
        <f t="shared" si="168"/>
        <v/>
      </c>
      <c r="OTA6" s="97" t="str">
        <f t="shared" si="168"/>
        <v/>
      </c>
      <c r="OTB6" s="97" t="str">
        <f t="shared" si="168"/>
        <v/>
      </c>
      <c r="OTC6" s="97" t="str">
        <f t="shared" si="168"/>
        <v/>
      </c>
      <c r="OTD6" s="97" t="str">
        <f t="shared" si="168"/>
        <v/>
      </c>
      <c r="OTE6" s="97" t="str">
        <f t="shared" si="168"/>
        <v/>
      </c>
      <c r="OTF6" s="97" t="str">
        <f t="shared" si="168"/>
        <v/>
      </c>
      <c r="OTG6" s="97" t="str">
        <f t="shared" si="168"/>
        <v/>
      </c>
      <c r="OTH6" s="97" t="str">
        <f t="shared" si="168"/>
        <v/>
      </c>
      <c r="OTI6" s="97" t="str">
        <f t="shared" si="168"/>
        <v/>
      </c>
      <c r="OTJ6" s="97" t="str">
        <f t="shared" si="168"/>
        <v/>
      </c>
      <c r="OTK6" s="97" t="str">
        <f t="shared" si="168"/>
        <v/>
      </c>
      <c r="OTL6" s="97" t="str">
        <f t="shared" si="168"/>
        <v/>
      </c>
      <c r="OTM6" s="97" t="str">
        <f t="shared" si="168"/>
        <v/>
      </c>
      <c r="OTN6" s="97" t="str">
        <f t="shared" si="168"/>
        <v/>
      </c>
      <c r="OTO6" s="97" t="str">
        <f t="shared" si="168"/>
        <v/>
      </c>
      <c r="OTP6" s="97" t="str">
        <f t="shared" si="168"/>
        <v/>
      </c>
      <c r="OTQ6" s="97" t="str">
        <f t="shared" si="168"/>
        <v/>
      </c>
      <c r="OTR6" s="97" t="str">
        <f t="shared" si="168"/>
        <v/>
      </c>
      <c r="OTS6" s="97" t="str">
        <f t="shared" si="168"/>
        <v/>
      </c>
      <c r="OTT6" s="97" t="str">
        <f t="shared" si="168"/>
        <v/>
      </c>
      <c r="OTU6" s="97" t="str">
        <f t="shared" si="168"/>
        <v/>
      </c>
      <c r="OTV6" s="97" t="str">
        <f t="shared" si="168"/>
        <v/>
      </c>
      <c r="OTW6" s="97" t="str">
        <f t="shared" si="168"/>
        <v/>
      </c>
      <c r="OTX6" s="97" t="str">
        <f t="shared" si="168"/>
        <v/>
      </c>
      <c r="OTY6" s="97" t="str">
        <f t="shared" si="168"/>
        <v/>
      </c>
      <c r="OTZ6" s="97" t="str">
        <f t="shared" si="168"/>
        <v/>
      </c>
      <c r="OUA6" s="97" t="str">
        <f t="shared" si="168"/>
        <v/>
      </c>
      <c r="OUB6" s="97" t="str">
        <f t="shared" si="168"/>
        <v/>
      </c>
      <c r="OUC6" s="97" t="str">
        <f t="shared" si="168"/>
        <v/>
      </c>
      <c r="OUD6" s="97" t="str">
        <f t="shared" si="168"/>
        <v/>
      </c>
      <c r="OUE6" s="97" t="str">
        <f t="shared" si="168"/>
        <v/>
      </c>
      <c r="OUF6" s="97" t="str">
        <f t="shared" si="168"/>
        <v/>
      </c>
      <c r="OUG6" s="97" t="str">
        <f t="shared" si="168"/>
        <v/>
      </c>
      <c r="OUH6" s="97" t="str">
        <f t="shared" ref="OUH6:OWS6" si="169">IFERROR(AVERAGE(OUH7:OUH13),"")</f>
        <v/>
      </c>
      <c r="OUI6" s="97" t="str">
        <f t="shared" si="169"/>
        <v/>
      </c>
      <c r="OUJ6" s="97" t="str">
        <f t="shared" si="169"/>
        <v/>
      </c>
      <c r="OUK6" s="97" t="str">
        <f t="shared" si="169"/>
        <v/>
      </c>
      <c r="OUL6" s="97" t="str">
        <f t="shared" si="169"/>
        <v/>
      </c>
      <c r="OUM6" s="97" t="str">
        <f t="shared" si="169"/>
        <v/>
      </c>
      <c r="OUN6" s="97" t="str">
        <f t="shared" si="169"/>
        <v/>
      </c>
      <c r="OUO6" s="97" t="str">
        <f t="shared" si="169"/>
        <v/>
      </c>
      <c r="OUP6" s="97" t="str">
        <f t="shared" si="169"/>
        <v/>
      </c>
      <c r="OUQ6" s="97" t="str">
        <f t="shared" si="169"/>
        <v/>
      </c>
      <c r="OUR6" s="97" t="str">
        <f t="shared" si="169"/>
        <v/>
      </c>
      <c r="OUS6" s="97" t="str">
        <f t="shared" si="169"/>
        <v/>
      </c>
      <c r="OUT6" s="97" t="str">
        <f t="shared" si="169"/>
        <v/>
      </c>
      <c r="OUU6" s="97" t="str">
        <f t="shared" si="169"/>
        <v/>
      </c>
      <c r="OUV6" s="97" t="str">
        <f t="shared" si="169"/>
        <v/>
      </c>
      <c r="OUW6" s="97" t="str">
        <f t="shared" si="169"/>
        <v/>
      </c>
      <c r="OUX6" s="97" t="str">
        <f t="shared" si="169"/>
        <v/>
      </c>
      <c r="OUY6" s="97" t="str">
        <f t="shared" si="169"/>
        <v/>
      </c>
      <c r="OUZ6" s="97" t="str">
        <f t="shared" si="169"/>
        <v/>
      </c>
      <c r="OVA6" s="97" t="str">
        <f t="shared" si="169"/>
        <v/>
      </c>
      <c r="OVB6" s="97" t="str">
        <f t="shared" si="169"/>
        <v/>
      </c>
      <c r="OVC6" s="97" t="str">
        <f t="shared" si="169"/>
        <v/>
      </c>
      <c r="OVD6" s="97" t="str">
        <f t="shared" si="169"/>
        <v/>
      </c>
      <c r="OVE6" s="97" t="str">
        <f t="shared" si="169"/>
        <v/>
      </c>
      <c r="OVF6" s="97" t="str">
        <f t="shared" si="169"/>
        <v/>
      </c>
      <c r="OVG6" s="97" t="str">
        <f t="shared" si="169"/>
        <v/>
      </c>
      <c r="OVH6" s="97" t="str">
        <f t="shared" si="169"/>
        <v/>
      </c>
      <c r="OVI6" s="97" t="str">
        <f t="shared" si="169"/>
        <v/>
      </c>
      <c r="OVJ6" s="97" t="str">
        <f t="shared" si="169"/>
        <v/>
      </c>
      <c r="OVK6" s="97" t="str">
        <f t="shared" si="169"/>
        <v/>
      </c>
      <c r="OVL6" s="97" t="str">
        <f t="shared" si="169"/>
        <v/>
      </c>
      <c r="OVM6" s="97" t="str">
        <f t="shared" si="169"/>
        <v/>
      </c>
      <c r="OVN6" s="97" t="str">
        <f t="shared" si="169"/>
        <v/>
      </c>
      <c r="OVO6" s="97" t="str">
        <f t="shared" si="169"/>
        <v/>
      </c>
      <c r="OVP6" s="97" t="str">
        <f t="shared" si="169"/>
        <v/>
      </c>
      <c r="OVQ6" s="97" t="str">
        <f t="shared" si="169"/>
        <v/>
      </c>
      <c r="OVR6" s="97" t="str">
        <f t="shared" si="169"/>
        <v/>
      </c>
      <c r="OVS6" s="97" t="str">
        <f t="shared" si="169"/>
        <v/>
      </c>
      <c r="OVT6" s="97" t="str">
        <f t="shared" si="169"/>
        <v/>
      </c>
      <c r="OVU6" s="97" t="str">
        <f t="shared" si="169"/>
        <v/>
      </c>
      <c r="OVV6" s="97" t="str">
        <f t="shared" si="169"/>
        <v/>
      </c>
      <c r="OVW6" s="97" t="str">
        <f t="shared" si="169"/>
        <v/>
      </c>
      <c r="OVX6" s="97" t="str">
        <f t="shared" si="169"/>
        <v/>
      </c>
      <c r="OVY6" s="97" t="str">
        <f t="shared" si="169"/>
        <v/>
      </c>
      <c r="OVZ6" s="97" t="str">
        <f t="shared" si="169"/>
        <v/>
      </c>
      <c r="OWA6" s="97" t="str">
        <f t="shared" si="169"/>
        <v/>
      </c>
      <c r="OWB6" s="97" t="str">
        <f t="shared" si="169"/>
        <v/>
      </c>
      <c r="OWC6" s="97" t="str">
        <f t="shared" si="169"/>
        <v/>
      </c>
      <c r="OWD6" s="97" t="str">
        <f t="shared" si="169"/>
        <v/>
      </c>
      <c r="OWE6" s="97" t="str">
        <f t="shared" si="169"/>
        <v/>
      </c>
      <c r="OWF6" s="97" t="str">
        <f t="shared" si="169"/>
        <v/>
      </c>
      <c r="OWG6" s="97" t="str">
        <f t="shared" si="169"/>
        <v/>
      </c>
      <c r="OWH6" s="97" t="str">
        <f t="shared" si="169"/>
        <v/>
      </c>
      <c r="OWI6" s="97" t="str">
        <f t="shared" si="169"/>
        <v/>
      </c>
      <c r="OWJ6" s="97" t="str">
        <f t="shared" si="169"/>
        <v/>
      </c>
      <c r="OWK6" s="97" t="str">
        <f t="shared" si="169"/>
        <v/>
      </c>
      <c r="OWL6" s="97" t="str">
        <f t="shared" si="169"/>
        <v/>
      </c>
      <c r="OWM6" s="97" t="str">
        <f t="shared" si="169"/>
        <v/>
      </c>
      <c r="OWN6" s="97" t="str">
        <f t="shared" si="169"/>
        <v/>
      </c>
      <c r="OWO6" s="97" t="str">
        <f t="shared" si="169"/>
        <v/>
      </c>
      <c r="OWP6" s="97" t="str">
        <f t="shared" si="169"/>
        <v/>
      </c>
      <c r="OWQ6" s="97" t="str">
        <f t="shared" si="169"/>
        <v/>
      </c>
      <c r="OWR6" s="97" t="str">
        <f t="shared" si="169"/>
        <v/>
      </c>
      <c r="OWS6" s="97" t="str">
        <f t="shared" si="169"/>
        <v/>
      </c>
      <c r="OWT6" s="97" t="str">
        <f t="shared" ref="OWT6:OZE6" si="170">IFERROR(AVERAGE(OWT7:OWT13),"")</f>
        <v/>
      </c>
      <c r="OWU6" s="97" t="str">
        <f t="shared" si="170"/>
        <v/>
      </c>
      <c r="OWV6" s="97" t="str">
        <f t="shared" si="170"/>
        <v/>
      </c>
      <c r="OWW6" s="97" t="str">
        <f t="shared" si="170"/>
        <v/>
      </c>
      <c r="OWX6" s="97" t="str">
        <f t="shared" si="170"/>
        <v/>
      </c>
      <c r="OWY6" s="97" t="str">
        <f t="shared" si="170"/>
        <v/>
      </c>
      <c r="OWZ6" s="97" t="str">
        <f t="shared" si="170"/>
        <v/>
      </c>
      <c r="OXA6" s="97" t="str">
        <f t="shared" si="170"/>
        <v/>
      </c>
      <c r="OXB6" s="97" t="str">
        <f t="shared" si="170"/>
        <v/>
      </c>
      <c r="OXC6" s="97" t="str">
        <f t="shared" si="170"/>
        <v/>
      </c>
      <c r="OXD6" s="97" t="str">
        <f t="shared" si="170"/>
        <v/>
      </c>
      <c r="OXE6" s="97" t="str">
        <f t="shared" si="170"/>
        <v/>
      </c>
      <c r="OXF6" s="97" t="str">
        <f t="shared" si="170"/>
        <v/>
      </c>
      <c r="OXG6" s="97" t="str">
        <f t="shared" si="170"/>
        <v/>
      </c>
      <c r="OXH6" s="97" t="str">
        <f t="shared" si="170"/>
        <v/>
      </c>
      <c r="OXI6" s="97" t="str">
        <f t="shared" si="170"/>
        <v/>
      </c>
      <c r="OXJ6" s="97" t="str">
        <f t="shared" si="170"/>
        <v/>
      </c>
      <c r="OXK6" s="97" t="str">
        <f t="shared" si="170"/>
        <v/>
      </c>
      <c r="OXL6" s="97" t="str">
        <f t="shared" si="170"/>
        <v/>
      </c>
      <c r="OXM6" s="97" t="str">
        <f t="shared" si="170"/>
        <v/>
      </c>
      <c r="OXN6" s="97" t="str">
        <f t="shared" si="170"/>
        <v/>
      </c>
      <c r="OXO6" s="97" t="str">
        <f t="shared" si="170"/>
        <v/>
      </c>
      <c r="OXP6" s="97" t="str">
        <f t="shared" si="170"/>
        <v/>
      </c>
      <c r="OXQ6" s="97" t="str">
        <f t="shared" si="170"/>
        <v/>
      </c>
      <c r="OXR6" s="97" t="str">
        <f t="shared" si="170"/>
        <v/>
      </c>
      <c r="OXS6" s="97" t="str">
        <f t="shared" si="170"/>
        <v/>
      </c>
      <c r="OXT6" s="97" t="str">
        <f t="shared" si="170"/>
        <v/>
      </c>
      <c r="OXU6" s="97" t="str">
        <f t="shared" si="170"/>
        <v/>
      </c>
      <c r="OXV6" s="97" t="str">
        <f t="shared" si="170"/>
        <v/>
      </c>
      <c r="OXW6" s="97" t="str">
        <f t="shared" si="170"/>
        <v/>
      </c>
      <c r="OXX6" s="97" t="str">
        <f t="shared" si="170"/>
        <v/>
      </c>
      <c r="OXY6" s="97" t="str">
        <f t="shared" si="170"/>
        <v/>
      </c>
      <c r="OXZ6" s="97" t="str">
        <f t="shared" si="170"/>
        <v/>
      </c>
      <c r="OYA6" s="97" t="str">
        <f t="shared" si="170"/>
        <v/>
      </c>
      <c r="OYB6" s="97" t="str">
        <f t="shared" si="170"/>
        <v/>
      </c>
      <c r="OYC6" s="97" t="str">
        <f t="shared" si="170"/>
        <v/>
      </c>
      <c r="OYD6" s="97" t="str">
        <f t="shared" si="170"/>
        <v/>
      </c>
      <c r="OYE6" s="97" t="str">
        <f t="shared" si="170"/>
        <v/>
      </c>
      <c r="OYF6" s="97" t="str">
        <f t="shared" si="170"/>
        <v/>
      </c>
      <c r="OYG6" s="97" t="str">
        <f t="shared" si="170"/>
        <v/>
      </c>
      <c r="OYH6" s="97" t="str">
        <f t="shared" si="170"/>
        <v/>
      </c>
      <c r="OYI6" s="97" t="str">
        <f t="shared" si="170"/>
        <v/>
      </c>
      <c r="OYJ6" s="97" t="str">
        <f t="shared" si="170"/>
        <v/>
      </c>
      <c r="OYK6" s="97" t="str">
        <f t="shared" si="170"/>
        <v/>
      </c>
      <c r="OYL6" s="97" t="str">
        <f t="shared" si="170"/>
        <v/>
      </c>
      <c r="OYM6" s="97" t="str">
        <f t="shared" si="170"/>
        <v/>
      </c>
      <c r="OYN6" s="97" t="str">
        <f t="shared" si="170"/>
        <v/>
      </c>
      <c r="OYO6" s="97" t="str">
        <f t="shared" si="170"/>
        <v/>
      </c>
      <c r="OYP6" s="97" t="str">
        <f t="shared" si="170"/>
        <v/>
      </c>
      <c r="OYQ6" s="97" t="str">
        <f t="shared" si="170"/>
        <v/>
      </c>
      <c r="OYR6" s="97" t="str">
        <f t="shared" si="170"/>
        <v/>
      </c>
      <c r="OYS6" s="97" t="str">
        <f t="shared" si="170"/>
        <v/>
      </c>
      <c r="OYT6" s="97" t="str">
        <f t="shared" si="170"/>
        <v/>
      </c>
      <c r="OYU6" s="97" t="str">
        <f t="shared" si="170"/>
        <v/>
      </c>
      <c r="OYV6" s="97" t="str">
        <f t="shared" si="170"/>
        <v/>
      </c>
      <c r="OYW6" s="97" t="str">
        <f t="shared" si="170"/>
        <v/>
      </c>
      <c r="OYX6" s="97" t="str">
        <f t="shared" si="170"/>
        <v/>
      </c>
      <c r="OYY6" s="97" t="str">
        <f t="shared" si="170"/>
        <v/>
      </c>
      <c r="OYZ6" s="97" t="str">
        <f t="shared" si="170"/>
        <v/>
      </c>
      <c r="OZA6" s="97" t="str">
        <f t="shared" si="170"/>
        <v/>
      </c>
      <c r="OZB6" s="97" t="str">
        <f t="shared" si="170"/>
        <v/>
      </c>
      <c r="OZC6" s="97" t="str">
        <f t="shared" si="170"/>
        <v/>
      </c>
      <c r="OZD6" s="97" t="str">
        <f t="shared" si="170"/>
        <v/>
      </c>
      <c r="OZE6" s="97" t="str">
        <f t="shared" si="170"/>
        <v/>
      </c>
      <c r="OZF6" s="97" t="str">
        <f t="shared" ref="OZF6:PBQ6" si="171">IFERROR(AVERAGE(OZF7:OZF13),"")</f>
        <v/>
      </c>
      <c r="OZG6" s="97" t="str">
        <f t="shared" si="171"/>
        <v/>
      </c>
      <c r="OZH6" s="97" t="str">
        <f t="shared" si="171"/>
        <v/>
      </c>
      <c r="OZI6" s="97" t="str">
        <f t="shared" si="171"/>
        <v/>
      </c>
      <c r="OZJ6" s="97" t="str">
        <f t="shared" si="171"/>
        <v/>
      </c>
      <c r="OZK6" s="97" t="str">
        <f t="shared" si="171"/>
        <v/>
      </c>
      <c r="OZL6" s="97" t="str">
        <f t="shared" si="171"/>
        <v/>
      </c>
      <c r="OZM6" s="97" t="str">
        <f t="shared" si="171"/>
        <v/>
      </c>
      <c r="OZN6" s="97" t="str">
        <f t="shared" si="171"/>
        <v/>
      </c>
      <c r="OZO6" s="97" t="str">
        <f t="shared" si="171"/>
        <v/>
      </c>
      <c r="OZP6" s="97" t="str">
        <f t="shared" si="171"/>
        <v/>
      </c>
      <c r="OZQ6" s="97" t="str">
        <f t="shared" si="171"/>
        <v/>
      </c>
      <c r="OZR6" s="97" t="str">
        <f t="shared" si="171"/>
        <v/>
      </c>
      <c r="OZS6" s="97" t="str">
        <f t="shared" si="171"/>
        <v/>
      </c>
      <c r="OZT6" s="97" t="str">
        <f t="shared" si="171"/>
        <v/>
      </c>
      <c r="OZU6" s="97" t="str">
        <f t="shared" si="171"/>
        <v/>
      </c>
      <c r="OZV6" s="97" t="str">
        <f t="shared" si="171"/>
        <v/>
      </c>
      <c r="OZW6" s="97" t="str">
        <f t="shared" si="171"/>
        <v/>
      </c>
      <c r="OZX6" s="97" t="str">
        <f t="shared" si="171"/>
        <v/>
      </c>
      <c r="OZY6" s="97" t="str">
        <f t="shared" si="171"/>
        <v/>
      </c>
      <c r="OZZ6" s="97" t="str">
        <f t="shared" si="171"/>
        <v/>
      </c>
      <c r="PAA6" s="97" t="str">
        <f t="shared" si="171"/>
        <v/>
      </c>
      <c r="PAB6" s="97" t="str">
        <f t="shared" si="171"/>
        <v/>
      </c>
      <c r="PAC6" s="97" t="str">
        <f t="shared" si="171"/>
        <v/>
      </c>
      <c r="PAD6" s="97" t="str">
        <f t="shared" si="171"/>
        <v/>
      </c>
      <c r="PAE6" s="97" t="str">
        <f t="shared" si="171"/>
        <v/>
      </c>
      <c r="PAF6" s="97" t="str">
        <f t="shared" si="171"/>
        <v/>
      </c>
      <c r="PAG6" s="97" t="str">
        <f t="shared" si="171"/>
        <v/>
      </c>
      <c r="PAH6" s="97" t="str">
        <f t="shared" si="171"/>
        <v/>
      </c>
      <c r="PAI6" s="97" t="str">
        <f t="shared" si="171"/>
        <v/>
      </c>
      <c r="PAJ6" s="97" t="str">
        <f t="shared" si="171"/>
        <v/>
      </c>
      <c r="PAK6" s="97" t="str">
        <f t="shared" si="171"/>
        <v/>
      </c>
      <c r="PAL6" s="97" t="str">
        <f t="shared" si="171"/>
        <v/>
      </c>
      <c r="PAM6" s="97" t="str">
        <f t="shared" si="171"/>
        <v/>
      </c>
      <c r="PAN6" s="97" t="str">
        <f t="shared" si="171"/>
        <v/>
      </c>
      <c r="PAO6" s="97" t="str">
        <f t="shared" si="171"/>
        <v/>
      </c>
      <c r="PAP6" s="97" t="str">
        <f t="shared" si="171"/>
        <v/>
      </c>
      <c r="PAQ6" s="97" t="str">
        <f t="shared" si="171"/>
        <v/>
      </c>
      <c r="PAR6" s="97" t="str">
        <f t="shared" si="171"/>
        <v/>
      </c>
      <c r="PAS6" s="97" t="str">
        <f t="shared" si="171"/>
        <v/>
      </c>
      <c r="PAT6" s="97" t="str">
        <f t="shared" si="171"/>
        <v/>
      </c>
      <c r="PAU6" s="97" t="str">
        <f t="shared" si="171"/>
        <v/>
      </c>
      <c r="PAV6" s="97" t="str">
        <f t="shared" si="171"/>
        <v/>
      </c>
      <c r="PAW6" s="97" t="str">
        <f t="shared" si="171"/>
        <v/>
      </c>
      <c r="PAX6" s="97" t="str">
        <f t="shared" si="171"/>
        <v/>
      </c>
      <c r="PAY6" s="97" t="str">
        <f t="shared" si="171"/>
        <v/>
      </c>
      <c r="PAZ6" s="97" t="str">
        <f t="shared" si="171"/>
        <v/>
      </c>
      <c r="PBA6" s="97" t="str">
        <f t="shared" si="171"/>
        <v/>
      </c>
      <c r="PBB6" s="97" t="str">
        <f t="shared" si="171"/>
        <v/>
      </c>
      <c r="PBC6" s="97" t="str">
        <f t="shared" si="171"/>
        <v/>
      </c>
      <c r="PBD6" s="97" t="str">
        <f t="shared" si="171"/>
        <v/>
      </c>
      <c r="PBE6" s="97" t="str">
        <f t="shared" si="171"/>
        <v/>
      </c>
      <c r="PBF6" s="97" t="str">
        <f t="shared" si="171"/>
        <v/>
      </c>
      <c r="PBG6" s="97" t="str">
        <f t="shared" si="171"/>
        <v/>
      </c>
      <c r="PBH6" s="97" t="str">
        <f t="shared" si="171"/>
        <v/>
      </c>
      <c r="PBI6" s="97" t="str">
        <f t="shared" si="171"/>
        <v/>
      </c>
      <c r="PBJ6" s="97" t="str">
        <f t="shared" si="171"/>
        <v/>
      </c>
      <c r="PBK6" s="97" t="str">
        <f t="shared" si="171"/>
        <v/>
      </c>
      <c r="PBL6" s="97" t="str">
        <f t="shared" si="171"/>
        <v/>
      </c>
      <c r="PBM6" s="97" t="str">
        <f t="shared" si="171"/>
        <v/>
      </c>
      <c r="PBN6" s="97" t="str">
        <f t="shared" si="171"/>
        <v/>
      </c>
      <c r="PBO6" s="97" t="str">
        <f t="shared" si="171"/>
        <v/>
      </c>
      <c r="PBP6" s="97" t="str">
        <f t="shared" si="171"/>
        <v/>
      </c>
      <c r="PBQ6" s="97" t="str">
        <f t="shared" si="171"/>
        <v/>
      </c>
      <c r="PBR6" s="97" t="str">
        <f t="shared" ref="PBR6:PEC6" si="172">IFERROR(AVERAGE(PBR7:PBR13),"")</f>
        <v/>
      </c>
      <c r="PBS6" s="97" t="str">
        <f t="shared" si="172"/>
        <v/>
      </c>
      <c r="PBT6" s="97" t="str">
        <f t="shared" si="172"/>
        <v/>
      </c>
      <c r="PBU6" s="97" t="str">
        <f t="shared" si="172"/>
        <v/>
      </c>
      <c r="PBV6" s="97" t="str">
        <f t="shared" si="172"/>
        <v/>
      </c>
      <c r="PBW6" s="97" t="str">
        <f t="shared" si="172"/>
        <v/>
      </c>
      <c r="PBX6" s="97" t="str">
        <f t="shared" si="172"/>
        <v/>
      </c>
      <c r="PBY6" s="97" t="str">
        <f t="shared" si="172"/>
        <v/>
      </c>
      <c r="PBZ6" s="97" t="str">
        <f t="shared" si="172"/>
        <v/>
      </c>
      <c r="PCA6" s="97" t="str">
        <f t="shared" si="172"/>
        <v/>
      </c>
      <c r="PCB6" s="97" t="str">
        <f t="shared" si="172"/>
        <v/>
      </c>
      <c r="PCC6" s="97" t="str">
        <f t="shared" si="172"/>
        <v/>
      </c>
      <c r="PCD6" s="97" t="str">
        <f t="shared" si="172"/>
        <v/>
      </c>
      <c r="PCE6" s="97" t="str">
        <f t="shared" si="172"/>
        <v/>
      </c>
      <c r="PCF6" s="97" t="str">
        <f t="shared" si="172"/>
        <v/>
      </c>
      <c r="PCG6" s="97" t="str">
        <f t="shared" si="172"/>
        <v/>
      </c>
      <c r="PCH6" s="97" t="str">
        <f t="shared" si="172"/>
        <v/>
      </c>
      <c r="PCI6" s="97" t="str">
        <f t="shared" si="172"/>
        <v/>
      </c>
      <c r="PCJ6" s="97" t="str">
        <f t="shared" si="172"/>
        <v/>
      </c>
      <c r="PCK6" s="97" t="str">
        <f t="shared" si="172"/>
        <v/>
      </c>
      <c r="PCL6" s="97" t="str">
        <f t="shared" si="172"/>
        <v/>
      </c>
      <c r="PCM6" s="97" t="str">
        <f t="shared" si="172"/>
        <v/>
      </c>
      <c r="PCN6" s="97" t="str">
        <f t="shared" si="172"/>
        <v/>
      </c>
      <c r="PCO6" s="97" t="str">
        <f t="shared" si="172"/>
        <v/>
      </c>
      <c r="PCP6" s="97" t="str">
        <f t="shared" si="172"/>
        <v/>
      </c>
      <c r="PCQ6" s="97" t="str">
        <f t="shared" si="172"/>
        <v/>
      </c>
      <c r="PCR6" s="97" t="str">
        <f t="shared" si="172"/>
        <v/>
      </c>
      <c r="PCS6" s="97" t="str">
        <f t="shared" si="172"/>
        <v/>
      </c>
      <c r="PCT6" s="97" t="str">
        <f t="shared" si="172"/>
        <v/>
      </c>
      <c r="PCU6" s="97" t="str">
        <f t="shared" si="172"/>
        <v/>
      </c>
      <c r="PCV6" s="97" t="str">
        <f t="shared" si="172"/>
        <v/>
      </c>
      <c r="PCW6" s="97" t="str">
        <f t="shared" si="172"/>
        <v/>
      </c>
      <c r="PCX6" s="97" t="str">
        <f t="shared" si="172"/>
        <v/>
      </c>
      <c r="PCY6" s="97" t="str">
        <f t="shared" si="172"/>
        <v/>
      </c>
      <c r="PCZ6" s="97" t="str">
        <f t="shared" si="172"/>
        <v/>
      </c>
      <c r="PDA6" s="97" t="str">
        <f t="shared" si="172"/>
        <v/>
      </c>
      <c r="PDB6" s="97" t="str">
        <f t="shared" si="172"/>
        <v/>
      </c>
      <c r="PDC6" s="97" t="str">
        <f t="shared" si="172"/>
        <v/>
      </c>
      <c r="PDD6" s="97" t="str">
        <f t="shared" si="172"/>
        <v/>
      </c>
      <c r="PDE6" s="97" t="str">
        <f t="shared" si="172"/>
        <v/>
      </c>
      <c r="PDF6" s="97" t="str">
        <f t="shared" si="172"/>
        <v/>
      </c>
      <c r="PDG6" s="97" t="str">
        <f t="shared" si="172"/>
        <v/>
      </c>
      <c r="PDH6" s="97" t="str">
        <f t="shared" si="172"/>
        <v/>
      </c>
      <c r="PDI6" s="97" t="str">
        <f t="shared" si="172"/>
        <v/>
      </c>
      <c r="PDJ6" s="97" t="str">
        <f t="shared" si="172"/>
        <v/>
      </c>
      <c r="PDK6" s="97" t="str">
        <f t="shared" si="172"/>
        <v/>
      </c>
      <c r="PDL6" s="97" t="str">
        <f t="shared" si="172"/>
        <v/>
      </c>
      <c r="PDM6" s="97" t="str">
        <f t="shared" si="172"/>
        <v/>
      </c>
      <c r="PDN6" s="97" t="str">
        <f t="shared" si="172"/>
        <v/>
      </c>
      <c r="PDO6" s="97" t="str">
        <f t="shared" si="172"/>
        <v/>
      </c>
      <c r="PDP6" s="97" t="str">
        <f t="shared" si="172"/>
        <v/>
      </c>
      <c r="PDQ6" s="97" t="str">
        <f t="shared" si="172"/>
        <v/>
      </c>
      <c r="PDR6" s="97" t="str">
        <f t="shared" si="172"/>
        <v/>
      </c>
      <c r="PDS6" s="97" t="str">
        <f t="shared" si="172"/>
        <v/>
      </c>
      <c r="PDT6" s="97" t="str">
        <f t="shared" si="172"/>
        <v/>
      </c>
      <c r="PDU6" s="97" t="str">
        <f t="shared" si="172"/>
        <v/>
      </c>
      <c r="PDV6" s="97" t="str">
        <f t="shared" si="172"/>
        <v/>
      </c>
      <c r="PDW6" s="97" t="str">
        <f t="shared" si="172"/>
        <v/>
      </c>
      <c r="PDX6" s="97" t="str">
        <f t="shared" si="172"/>
        <v/>
      </c>
      <c r="PDY6" s="97" t="str">
        <f t="shared" si="172"/>
        <v/>
      </c>
      <c r="PDZ6" s="97" t="str">
        <f t="shared" si="172"/>
        <v/>
      </c>
      <c r="PEA6" s="97" t="str">
        <f t="shared" si="172"/>
        <v/>
      </c>
      <c r="PEB6" s="97" t="str">
        <f t="shared" si="172"/>
        <v/>
      </c>
      <c r="PEC6" s="97" t="str">
        <f t="shared" si="172"/>
        <v/>
      </c>
      <c r="PED6" s="97" t="str">
        <f t="shared" ref="PED6:PGO6" si="173">IFERROR(AVERAGE(PED7:PED13),"")</f>
        <v/>
      </c>
      <c r="PEE6" s="97" t="str">
        <f t="shared" si="173"/>
        <v/>
      </c>
      <c r="PEF6" s="97" t="str">
        <f t="shared" si="173"/>
        <v/>
      </c>
      <c r="PEG6" s="97" t="str">
        <f t="shared" si="173"/>
        <v/>
      </c>
      <c r="PEH6" s="97" t="str">
        <f t="shared" si="173"/>
        <v/>
      </c>
      <c r="PEI6" s="97" t="str">
        <f t="shared" si="173"/>
        <v/>
      </c>
      <c r="PEJ6" s="97" t="str">
        <f t="shared" si="173"/>
        <v/>
      </c>
      <c r="PEK6" s="97" t="str">
        <f t="shared" si="173"/>
        <v/>
      </c>
      <c r="PEL6" s="97" t="str">
        <f t="shared" si="173"/>
        <v/>
      </c>
      <c r="PEM6" s="97" t="str">
        <f t="shared" si="173"/>
        <v/>
      </c>
      <c r="PEN6" s="97" t="str">
        <f t="shared" si="173"/>
        <v/>
      </c>
      <c r="PEO6" s="97" t="str">
        <f t="shared" si="173"/>
        <v/>
      </c>
      <c r="PEP6" s="97" t="str">
        <f t="shared" si="173"/>
        <v/>
      </c>
      <c r="PEQ6" s="97" t="str">
        <f t="shared" si="173"/>
        <v/>
      </c>
      <c r="PER6" s="97" t="str">
        <f t="shared" si="173"/>
        <v/>
      </c>
      <c r="PES6" s="97" t="str">
        <f t="shared" si="173"/>
        <v/>
      </c>
      <c r="PET6" s="97" t="str">
        <f t="shared" si="173"/>
        <v/>
      </c>
      <c r="PEU6" s="97" t="str">
        <f t="shared" si="173"/>
        <v/>
      </c>
      <c r="PEV6" s="97" t="str">
        <f t="shared" si="173"/>
        <v/>
      </c>
      <c r="PEW6" s="97" t="str">
        <f t="shared" si="173"/>
        <v/>
      </c>
      <c r="PEX6" s="97" t="str">
        <f t="shared" si="173"/>
        <v/>
      </c>
      <c r="PEY6" s="97" t="str">
        <f t="shared" si="173"/>
        <v/>
      </c>
      <c r="PEZ6" s="97" t="str">
        <f t="shared" si="173"/>
        <v/>
      </c>
      <c r="PFA6" s="97" t="str">
        <f t="shared" si="173"/>
        <v/>
      </c>
      <c r="PFB6" s="97" t="str">
        <f t="shared" si="173"/>
        <v/>
      </c>
      <c r="PFC6" s="97" t="str">
        <f t="shared" si="173"/>
        <v/>
      </c>
      <c r="PFD6" s="97" t="str">
        <f t="shared" si="173"/>
        <v/>
      </c>
      <c r="PFE6" s="97" t="str">
        <f t="shared" si="173"/>
        <v/>
      </c>
      <c r="PFF6" s="97" t="str">
        <f t="shared" si="173"/>
        <v/>
      </c>
      <c r="PFG6" s="97" t="str">
        <f t="shared" si="173"/>
        <v/>
      </c>
      <c r="PFH6" s="97" t="str">
        <f t="shared" si="173"/>
        <v/>
      </c>
      <c r="PFI6" s="97" t="str">
        <f t="shared" si="173"/>
        <v/>
      </c>
      <c r="PFJ6" s="97" t="str">
        <f t="shared" si="173"/>
        <v/>
      </c>
      <c r="PFK6" s="97" t="str">
        <f t="shared" si="173"/>
        <v/>
      </c>
      <c r="PFL6" s="97" t="str">
        <f t="shared" si="173"/>
        <v/>
      </c>
      <c r="PFM6" s="97" t="str">
        <f t="shared" si="173"/>
        <v/>
      </c>
      <c r="PFN6" s="97" t="str">
        <f t="shared" si="173"/>
        <v/>
      </c>
      <c r="PFO6" s="97" t="str">
        <f t="shared" si="173"/>
        <v/>
      </c>
      <c r="PFP6" s="97" t="str">
        <f t="shared" si="173"/>
        <v/>
      </c>
      <c r="PFQ6" s="97" t="str">
        <f t="shared" si="173"/>
        <v/>
      </c>
      <c r="PFR6" s="97" t="str">
        <f t="shared" si="173"/>
        <v/>
      </c>
      <c r="PFS6" s="97" t="str">
        <f t="shared" si="173"/>
        <v/>
      </c>
      <c r="PFT6" s="97" t="str">
        <f t="shared" si="173"/>
        <v/>
      </c>
      <c r="PFU6" s="97" t="str">
        <f t="shared" si="173"/>
        <v/>
      </c>
      <c r="PFV6" s="97" t="str">
        <f t="shared" si="173"/>
        <v/>
      </c>
      <c r="PFW6" s="97" t="str">
        <f t="shared" si="173"/>
        <v/>
      </c>
      <c r="PFX6" s="97" t="str">
        <f t="shared" si="173"/>
        <v/>
      </c>
      <c r="PFY6" s="97" t="str">
        <f t="shared" si="173"/>
        <v/>
      </c>
      <c r="PFZ6" s="97" t="str">
        <f t="shared" si="173"/>
        <v/>
      </c>
      <c r="PGA6" s="97" t="str">
        <f t="shared" si="173"/>
        <v/>
      </c>
      <c r="PGB6" s="97" t="str">
        <f t="shared" si="173"/>
        <v/>
      </c>
      <c r="PGC6" s="97" t="str">
        <f t="shared" si="173"/>
        <v/>
      </c>
      <c r="PGD6" s="97" t="str">
        <f t="shared" si="173"/>
        <v/>
      </c>
      <c r="PGE6" s="97" t="str">
        <f t="shared" si="173"/>
        <v/>
      </c>
      <c r="PGF6" s="97" t="str">
        <f t="shared" si="173"/>
        <v/>
      </c>
      <c r="PGG6" s="97" t="str">
        <f t="shared" si="173"/>
        <v/>
      </c>
      <c r="PGH6" s="97" t="str">
        <f t="shared" si="173"/>
        <v/>
      </c>
      <c r="PGI6" s="97" t="str">
        <f t="shared" si="173"/>
        <v/>
      </c>
      <c r="PGJ6" s="97" t="str">
        <f t="shared" si="173"/>
        <v/>
      </c>
      <c r="PGK6" s="97" t="str">
        <f t="shared" si="173"/>
        <v/>
      </c>
      <c r="PGL6" s="97" t="str">
        <f t="shared" si="173"/>
        <v/>
      </c>
      <c r="PGM6" s="97" t="str">
        <f t="shared" si="173"/>
        <v/>
      </c>
      <c r="PGN6" s="97" t="str">
        <f t="shared" si="173"/>
        <v/>
      </c>
      <c r="PGO6" s="97" t="str">
        <f t="shared" si="173"/>
        <v/>
      </c>
      <c r="PGP6" s="97" t="str">
        <f t="shared" ref="PGP6:PJA6" si="174">IFERROR(AVERAGE(PGP7:PGP13),"")</f>
        <v/>
      </c>
      <c r="PGQ6" s="97" t="str">
        <f t="shared" si="174"/>
        <v/>
      </c>
      <c r="PGR6" s="97" t="str">
        <f t="shared" si="174"/>
        <v/>
      </c>
      <c r="PGS6" s="97" t="str">
        <f t="shared" si="174"/>
        <v/>
      </c>
      <c r="PGT6" s="97" t="str">
        <f t="shared" si="174"/>
        <v/>
      </c>
      <c r="PGU6" s="97" t="str">
        <f t="shared" si="174"/>
        <v/>
      </c>
      <c r="PGV6" s="97" t="str">
        <f t="shared" si="174"/>
        <v/>
      </c>
      <c r="PGW6" s="97" t="str">
        <f t="shared" si="174"/>
        <v/>
      </c>
      <c r="PGX6" s="97" t="str">
        <f t="shared" si="174"/>
        <v/>
      </c>
      <c r="PGY6" s="97" t="str">
        <f t="shared" si="174"/>
        <v/>
      </c>
      <c r="PGZ6" s="97" t="str">
        <f t="shared" si="174"/>
        <v/>
      </c>
      <c r="PHA6" s="97" t="str">
        <f t="shared" si="174"/>
        <v/>
      </c>
      <c r="PHB6" s="97" t="str">
        <f t="shared" si="174"/>
        <v/>
      </c>
      <c r="PHC6" s="97" t="str">
        <f t="shared" si="174"/>
        <v/>
      </c>
      <c r="PHD6" s="97" t="str">
        <f t="shared" si="174"/>
        <v/>
      </c>
      <c r="PHE6" s="97" t="str">
        <f t="shared" si="174"/>
        <v/>
      </c>
      <c r="PHF6" s="97" t="str">
        <f t="shared" si="174"/>
        <v/>
      </c>
      <c r="PHG6" s="97" t="str">
        <f t="shared" si="174"/>
        <v/>
      </c>
      <c r="PHH6" s="97" t="str">
        <f t="shared" si="174"/>
        <v/>
      </c>
      <c r="PHI6" s="97" t="str">
        <f t="shared" si="174"/>
        <v/>
      </c>
      <c r="PHJ6" s="97" t="str">
        <f t="shared" si="174"/>
        <v/>
      </c>
      <c r="PHK6" s="97" t="str">
        <f t="shared" si="174"/>
        <v/>
      </c>
      <c r="PHL6" s="97" t="str">
        <f t="shared" si="174"/>
        <v/>
      </c>
      <c r="PHM6" s="97" t="str">
        <f t="shared" si="174"/>
        <v/>
      </c>
      <c r="PHN6" s="97" t="str">
        <f t="shared" si="174"/>
        <v/>
      </c>
      <c r="PHO6" s="97" t="str">
        <f t="shared" si="174"/>
        <v/>
      </c>
      <c r="PHP6" s="97" t="str">
        <f t="shared" si="174"/>
        <v/>
      </c>
      <c r="PHQ6" s="97" t="str">
        <f t="shared" si="174"/>
        <v/>
      </c>
      <c r="PHR6" s="97" t="str">
        <f t="shared" si="174"/>
        <v/>
      </c>
      <c r="PHS6" s="97" t="str">
        <f t="shared" si="174"/>
        <v/>
      </c>
      <c r="PHT6" s="97" t="str">
        <f t="shared" si="174"/>
        <v/>
      </c>
      <c r="PHU6" s="97" t="str">
        <f t="shared" si="174"/>
        <v/>
      </c>
      <c r="PHV6" s="97" t="str">
        <f t="shared" si="174"/>
        <v/>
      </c>
      <c r="PHW6" s="97" t="str">
        <f t="shared" si="174"/>
        <v/>
      </c>
      <c r="PHX6" s="97" t="str">
        <f t="shared" si="174"/>
        <v/>
      </c>
      <c r="PHY6" s="97" t="str">
        <f t="shared" si="174"/>
        <v/>
      </c>
      <c r="PHZ6" s="97" t="str">
        <f t="shared" si="174"/>
        <v/>
      </c>
      <c r="PIA6" s="97" t="str">
        <f t="shared" si="174"/>
        <v/>
      </c>
      <c r="PIB6" s="97" t="str">
        <f t="shared" si="174"/>
        <v/>
      </c>
      <c r="PIC6" s="97" t="str">
        <f t="shared" si="174"/>
        <v/>
      </c>
      <c r="PID6" s="97" t="str">
        <f t="shared" si="174"/>
        <v/>
      </c>
      <c r="PIE6" s="97" t="str">
        <f t="shared" si="174"/>
        <v/>
      </c>
      <c r="PIF6" s="97" t="str">
        <f t="shared" si="174"/>
        <v/>
      </c>
      <c r="PIG6" s="97" t="str">
        <f t="shared" si="174"/>
        <v/>
      </c>
      <c r="PIH6" s="97" t="str">
        <f t="shared" si="174"/>
        <v/>
      </c>
      <c r="PII6" s="97" t="str">
        <f t="shared" si="174"/>
        <v/>
      </c>
      <c r="PIJ6" s="97" t="str">
        <f t="shared" si="174"/>
        <v/>
      </c>
      <c r="PIK6" s="97" t="str">
        <f t="shared" si="174"/>
        <v/>
      </c>
      <c r="PIL6" s="97" t="str">
        <f t="shared" si="174"/>
        <v/>
      </c>
      <c r="PIM6" s="97" t="str">
        <f t="shared" si="174"/>
        <v/>
      </c>
      <c r="PIN6" s="97" t="str">
        <f t="shared" si="174"/>
        <v/>
      </c>
      <c r="PIO6" s="97" t="str">
        <f t="shared" si="174"/>
        <v/>
      </c>
      <c r="PIP6" s="97" t="str">
        <f t="shared" si="174"/>
        <v/>
      </c>
      <c r="PIQ6" s="97" t="str">
        <f t="shared" si="174"/>
        <v/>
      </c>
      <c r="PIR6" s="97" t="str">
        <f t="shared" si="174"/>
        <v/>
      </c>
      <c r="PIS6" s="97" t="str">
        <f t="shared" si="174"/>
        <v/>
      </c>
      <c r="PIT6" s="97" t="str">
        <f t="shared" si="174"/>
        <v/>
      </c>
      <c r="PIU6" s="97" t="str">
        <f t="shared" si="174"/>
        <v/>
      </c>
      <c r="PIV6" s="97" t="str">
        <f t="shared" si="174"/>
        <v/>
      </c>
      <c r="PIW6" s="97" t="str">
        <f t="shared" si="174"/>
        <v/>
      </c>
      <c r="PIX6" s="97" t="str">
        <f t="shared" si="174"/>
        <v/>
      </c>
      <c r="PIY6" s="97" t="str">
        <f t="shared" si="174"/>
        <v/>
      </c>
      <c r="PIZ6" s="97" t="str">
        <f t="shared" si="174"/>
        <v/>
      </c>
      <c r="PJA6" s="97" t="str">
        <f t="shared" si="174"/>
        <v/>
      </c>
      <c r="PJB6" s="97" t="str">
        <f t="shared" ref="PJB6:PLM6" si="175">IFERROR(AVERAGE(PJB7:PJB13),"")</f>
        <v/>
      </c>
      <c r="PJC6" s="97" t="str">
        <f t="shared" si="175"/>
        <v/>
      </c>
      <c r="PJD6" s="97" t="str">
        <f t="shared" si="175"/>
        <v/>
      </c>
      <c r="PJE6" s="97" t="str">
        <f t="shared" si="175"/>
        <v/>
      </c>
      <c r="PJF6" s="97" t="str">
        <f t="shared" si="175"/>
        <v/>
      </c>
      <c r="PJG6" s="97" t="str">
        <f t="shared" si="175"/>
        <v/>
      </c>
      <c r="PJH6" s="97" t="str">
        <f t="shared" si="175"/>
        <v/>
      </c>
      <c r="PJI6" s="97" t="str">
        <f t="shared" si="175"/>
        <v/>
      </c>
      <c r="PJJ6" s="97" t="str">
        <f t="shared" si="175"/>
        <v/>
      </c>
      <c r="PJK6" s="97" t="str">
        <f t="shared" si="175"/>
        <v/>
      </c>
      <c r="PJL6" s="97" t="str">
        <f t="shared" si="175"/>
        <v/>
      </c>
      <c r="PJM6" s="97" t="str">
        <f t="shared" si="175"/>
        <v/>
      </c>
      <c r="PJN6" s="97" t="str">
        <f t="shared" si="175"/>
        <v/>
      </c>
      <c r="PJO6" s="97" t="str">
        <f t="shared" si="175"/>
        <v/>
      </c>
      <c r="PJP6" s="97" t="str">
        <f t="shared" si="175"/>
        <v/>
      </c>
      <c r="PJQ6" s="97" t="str">
        <f t="shared" si="175"/>
        <v/>
      </c>
      <c r="PJR6" s="97" t="str">
        <f t="shared" si="175"/>
        <v/>
      </c>
      <c r="PJS6" s="97" t="str">
        <f t="shared" si="175"/>
        <v/>
      </c>
      <c r="PJT6" s="97" t="str">
        <f t="shared" si="175"/>
        <v/>
      </c>
      <c r="PJU6" s="97" t="str">
        <f t="shared" si="175"/>
        <v/>
      </c>
      <c r="PJV6" s="97" t="str">
        <f t="shared" si="175"/>
        <v/>
      </c>
      <c r="PJW6" s="97" t="str">
        <f t="shared" si="175"/>
        <v/>
      </c>
      <c r="PJX6" s="97" t="str">
        <f t="shared" si="175"/>
        <v/>
      </c>
      <c r="PJY6" s="97" t="str">
        <f t="shared" si="175"/>
        <v/>
      </c>
      <c r="PJZ6" s="97" t="str">
        <f t="shared" si="175"/>
        <v/>
      </c>
      <c r="PKA6" s="97" t="str">
        <f t="shared" si="175"/>
        <v/>
      </c>
      <c r="PKB6" s="97" t="str">
        <f t="shared" si="175"/>
        <v/>
      </c>
      <c r="PKC6" s="97" t="str">
        <f t="shared" si="175"/>
        <v/>
      </c>
      <c r="PKD6" s="97" t="str">
        <f t="shared" si="175"/>
        <v/>
      </c>
      <c r="PKE6" s="97" t="str">
        <f t="shared" si="175"/>
        <v/>
      </c>
      <c r="PKF6" s="97" t="str">
        <f t="shared" si="175"/>
        <v/>
      </c>
      <c r="PKG6" s="97" t="str">
        <f t="shared" si="175"/>
        <v/>
      </c>
      <c r="PKH6" s="97" t="str">
        <f t="shared" si="175"/>
        <v/>
      </c>
      <c r="PKI6" s="97" t="str">
        <f t="shared" si="175"/>
        <v/>
      </c>
      <c r="PKJ6" s="97" t="str">
        <f t="shared" si="175"/>
        <v/>
      </c>
      <c r="PKK6" s="97" t="str">
        <f t="shared" si="175"/>
        <v/>
      </c>
      <c r="PKL6" s="97" t="str">
        <f t="shared" si="175"/>
        <v/>
      </c>
      <c r="PKM6" s="97" t="str">
        <f t="shared" si="175"/>
        <v/>
      </c>
      <c r="PKN6" s="97" t="str">
        <f t="shared" si="175"/>
        <v/>
      </c>
      <c r="PKO6" s="97" t="str">
        <f t="shared" si="175"/>
        <v/>
      </c>
      <c r="PKP6" s="97" t="str">
        <f t="shared" si="175"/>
        <v/>
      </c>
      <c r="PKQ6" s="97" t="str">
        <f t="shared" si="175"/>
        <v/>
      </c>
      <c r="PKR6" s="97" t="str">
        <f t="shared" si="175"/>
        <v/>
      </c>
      <c r="PKS6" s="97" t="str">
        <f t="shared" si="175"/>
        <v/>
      </c>
      <c r="PKT6" s="97" t="str">
        <f t="shared" si="175"/>
        <v/>
      </c>
      <c r="PKU6" s="97" t="str">
        <f t="shared" si="175"/>
        <v/>
      </c>
      <c r="PKV6" s="97" t="str">
        <f t="shared" si="175"/>
        <v/>
      </c>
      <c r="PKW6" s="97" t="str">
        <f t="shared" si="175"/>
        <v/>
      </c>
      <c r="PKX6" s="97" t="str">
        <f t="shared" si="175"/>
        <v/>
      </c>
      <c r="PKY6" s="97" t="str">
        <f t="shared" si="175"/>
        <v/>
      </c>
      <c r="PKZ6" s="97" t="str">
        <f t="shared" si="175"/>
        <v/>
      </c>
      <c r="PLA6" s="97" t="str">
        <f t="shared" si="175"/>
        <v/>
      </c>
      <c r="PLB6" s="97" t="str">
        <f t="shared" si="175"/>
        <v/>
      </c>
      <c r="PLC6" s="97" t="str">
        <f t="shared" si="175"/>
        <v/>
      </c>
      <c r="PLD6" s="97" t="str">
        <f t="shared" si="175"/>
        <v/>
      </c>
      <c r="PLE6" s="97" t="str">
        <f t="shared" si="175"/>
        <v/>
      </c>
      <c r="PLF6" s="97" t="str">
        <f t="shared" si="175"/>
        <v/>
      </c>
      <c r="PLG6" s="97" t="str">
        <f t="shared" si="175"/>
        <v/>
      </c>
      <c r="PLH6" s="97" t="str">
        <f t="shared" si="175"/>
        <v/>
      </c>
      <c r="PLI6" s="97" t="str">
        <f t="shared" si="175"/>
        <v/>
      </c>
      <c r="PLJ6" s="97" t="str">
        <f t="shared" si="175"/>
        <v/>
      </c>
      <c r="PLK6" s="97" t="str">
        <f t="shared" si="175"/>
        <v/>
      </c>
      <c r="PLL6" s="97" t="str">
        <f t="shared" si="175"/>
        <v/>
      </c>
      <c r="PLM6" s="97" t="str">
        <f t="shared" si="175"/>
        <v/>
      </c>
      <c r="PLN6" s="97" t="str">
        <f t="shared" ref="PLN6:PNY6" si="176">IFERROR(AVERAGE(PLN7:PLN13),"")</f>
        <v/>
      </c>
      <c r="PLO6" s="97" t="str">
        <f t="shared" si="176"/>
        <v/>
      </c>
      <c r="PLP6" s="97" t="str">
        <f t="shared" si="176"/>
        <v/>
      </c>
      <c r="PLQ6" s="97" t="str">
        <f t="shared" si="176"/>
        <v/>
      </c>
      <c r="PLR6" s="97" t="str">
        <f t="shared" si="176"/>
        <v/>
      </c>
      <c r="PLS6" s="97" t="str">
        <f t="shared" si="176"/>
        <v/>
      </c>
      <c r="PLT6" s="97" t="str">
        <f t="shared" si="176"/>
        <v/>
      </c>
      <c r="PLU6" s="97" t="str">
        <f t="shared" si="176"/>
        <v/>
      </c>
      <c r="PLV6" s="97" t="str">
        <f t="shared" si="176"/>
        <v/>
      </c>
      <c r="PLW6" s="97" t="str">
        <f t="shared" si="176"/>
        <v/>
      </c>
      <c r="PLX6" s="97" t="str">
        <f t="shared" si="176"/>
        <v/>
      </c>
      <c r="PLY6" s="97" t="str">
        <f t="shared" si="176"/>
        <v/>
      </c>
      <c r="PLZ6" s="97" t="str">
        <f t="shared" si="176"/>
        <v/>
      </c>
      <c r="PMA6" s="97" t="str">
        <f t="shared" si="176"/>
        <v/>
      </c>
      <c r="PMB6" s="97" t="str">
        <f t="shared" si="176"/>
        <v/>
      </c>
      <c r="PMC6" s="97" t="str">
        <f t="shared" si="176"/>
        <v/>
      </c>
      <c r="PMD6" s="97" t="str">
        <f t="shared" si="176"/>
        <v/>
      </c>
      <c r="PME6" s="97" t="str">
        <f t="shared" si="176"/>
        <v/>
      </c>
      <c r="PMF6" s="97" t="str">
        <f t="shared" si="176"/>
        <v/>
      </c>
      <c r="PMG6" s="97" t="str">
        <f t="shared" si="176"/>
        <v/>
      </c>
      <c r="PMH6" s="97" t="str">
        <f t="shared" si="176"/>
        <v/>
      </c>
      <c r="PMI6" s="97" t="str">
        <f t="shared" si="176"/>
        <v/>
      </c>
      <c r="PMJ6" s="97" t="str">
        <f t="shared" si="176"/>
        <v/>
      </c>
      <c r="PMK6" s="97" t="str">
        <f t="shared" si="176"/>
        <v/>
      </c>
      <c r="PML6" s="97" t="str">
        <f t="shared" si="176"/>
        <v/>
      </c>
      <c r="PMM6" s="97" t="str">
        <f t="shared" si="176"/>
        <v/>
      </c>
      <c r="PMN6" s="97" t="str">
        <f t="shared" si="176"/>
        <v/>
      </c>
      <c r="PMO6" s="97" t="str">
        <f t="shared" si="176"/>
        <v/>
      </c>
      <c r="PMP6" s="97" t="str">
        <f t="shared" si="176"/>
        <v/>
      </c>
      <c r="PMQ6" s="97" t="str">
        <f t="shared" si="176"/>
        <v/>
      </c>
      <c r="PMR6" s="97" t="str">
        <f t="shared" si="176"/>
        <v/>
      </c>
      <c r="PMS6" s="97" t="str">
        <f t="shared" si="176"/>
        <v/>
      </c>
      <c r="PMT6" s="97" t="str">
        <f t="shared" si="176"/>
        <v/>
      </c>
      <c r="PMU6" s="97" t="str">
        <f t="shared" si="176"/>
        <v/>
      </c>
      <c r="PMV6" s="97" t="str">
        <f t="shared" si="176"/>
        <v/>
      </c>
      <c r="PMW6" s="97" t="str">
        <f t="shared" si="176"/>
        <v/>
      </c>
      <c r="PMX6" s="97" t="str">
        <f t="shared" si="176"/>
        <v/>
      </c>
      <c r="PMY6" s="97" t="str">
        <f t="shared" si="176"/>
        <v/>
      </c>
      <c r="PMZ6" s="97" t="str">
        <f t="shared" si="176"/>
        <v/>
      </c>
      <c r="PNA6" s="97" t="str">
        <f t="shared" si="176"/>
        <v/>
      </c>
      <c r="PNB6" s="97" t="str">
        <f t="shared" si="176"/>
        <v/>
      </c>
      <c r="PNC6" s="97" t="str">
        <f t="shared" si="176"/>
        <v/>
      </c>
      <c r="PND6" s="97" t="str">
        <f t="shared" si="176"/>
        <v/>
      </c>
      <c r="PNE6" s="97" t="str">
        <f t="shared" si="176"/>
        <v/>
      </c>
      <c r="PNF6" s="97" t="str">
        <f t="shared" si="176"/>
        <v/>
      </c>
      <c r="PNG6" s="97" t="str">
        <f t="shared" si="176"/>
        <v/>
      </c>
      <c r="PNH6" s="97" t="str">
        <f t="shared" si="176"/>
        <v/>
      </c>
      <c r="PNI6" s="97" t="str">
        <f t="shared" si="176"/>
        <v/>
      </c>
      <c r="PNJ6" s="97" t="str">
        <f t="shared" si="176"/>
        <v/>
      </c>
      <c r="PNK6" s="97" t="str">
        <f t="shared" si="176"/>
        <v/>
      </c>
      <c r="PNL6" s="97" t="str">
        <f t="shared" si="176"/>
        <v/>
      </c>
      <c r="PNM6" s="97" t="str">
        <f t="shared" si="176"/>
        <v/>
      </c>
      <c r="PNN6" s="97" t="str">
        <f t="shared" si="176"/>
        <v/>
      </c>
      <c r="PNO6" s="97" t="str">
        <f t="shared" si="176"/>
        <v/>
      </c>
      <c r="PNP6" s="97" t="str">
        <f t="shared" si="176"/>
        <v/>
      </c>
      <c r="PNQ6" s="97" t="str">
        <f t="shared" si="176"/>
        <v/>
      </c>
      <c r="PNR6" s="97" t="str">
        <f t="shared" si="176"/>
        <v/>
      </c>
      <c r="PNS6" s="97" t="str">
        <f t="shared" si="176"/>
        <v/>
      </c>
      <c r="PNT6" s="97" t="str">
        <f t="shared" si="176"/>
        <v/>
      </c>
      <c r="PNU6" s="97" t="str">
        <f t="shared" si="176"/>
        <v/>
      </c>
      <c r="PNV6" s="97" t="str">
        <f t="shared" si="176"/>
        <v/>
      </c>
      <c r="PNW6" s="97" t="str">
        <f t="shared" si="176"/>
        <v/>
      </c>
      <c r="PNX6" s="97" t="str">
        <f t="shared" si="176"/>
        <v/>
      </c>
      <c r="PNY6" s="97" t="str">
        <f t="shared" si="176"/>
        <v/>
      </c>
      <c r="PNZ6" s="97" t="str">
        <f t="shared" ref="PNZ6:PQK6" si="177">IFERROR(AVERAGE(PNZ7:PNZ13),"")</f>
        <v/>
      </c>
      <c r="POA6" s="97" t="str">
        <f t="shared" si="177"/>
        <v/>
      </c>
      <c r="POB6" s="97" t="str">
        <f t="shared" si="177"/>
        <v/>
      </c>
      <c r="POC6" s="97" t="str">
        <f t="shared" si="177"/>
        <v/>
      </c>
      <c r="POD6" s="97" t="str">
        <f t="shared" si="177"/>
        <v/>
      </c>
      <c r="POE6" s="97" t="str">
        <f t="shared" si="177"/>
        <v/>
      </c>
      <c r="POF6" s="97" t="str">
        <f t="shared" si="177"/>
        <v/>
      </c>
      <c r="POG6" s="97" t="str">
        <f t="shared" si="177"/>
        <v/>
      </c>
      <c r="POH6" s="97" t="str">
        <f t="shared" si="177"/>
        <v/>
      </c>
      <c r="POI6" s="97" t="str">
        <f t="shared" si="177"/>
        <v/>
      </c>
      <c r="POJ6" s="97" t="str">
        <f t="shared" si="177"/>
        <v/>
      </c>
      <c r="POK6" s="97" t="str">
        <f t="shared" si="177"/>
        <v/>
      </c>
      <c r="POL6" s="97" t="str">
        <f t="shared" si="177"/>
        <v/>
      </c>
      <c r="POM6" s="97" t="str">
        <f t="shared" si="177"/>
        <v/>
      </c>
      <c r="PON6" s="97" t="str">
        <f t="shared" si="177"/>
        <v/>
      </c>
      <c r="POO6" s="97" t="str">
        <f t="shared" si="177"/>
        <v/>
      </c>
      <c r="POP6" s="97" t="str">
        <f t="shared" si="177"/>
        <v/>
      </c>
      <c r="POQ6" s="97" t="str">
        <f t="shared" si="177"/>
        <v/>
      </c>
      <c r="POR6" s="97" t="str">
        <f t="shared" si="177"/>
        <v/>
      </c>
      <c r="POS6" s="97" t="str">
        <f t="shared" si="177"/>
        <v/>
      </c>
      <c r="POT6" s="97" t="str">
        <f t="shared" si="177"/>
        <v/>
      </c>
      <c r="POU6" s="97" t="str">
        <f t="shared" si="177"/>
        <v/>
      </c>
      <c r="POV6" s="97" t="str">
        <f t="shared" si="177"/>
        <v/>
      </c>
      <c r="POW6" s="97" t="str">
        <f t="shared" si="177"/>
        <v/>
      </c>
      <c r="POX6" s="97" t="str">
        <f t="shared" si="177"/>
        <v/>
      </c>
      <c r="POY6" s="97" t="str">
        <f t="shared" si="177"/>
        <v/>
      </c>
      <c r="POZ6" s="97" t="str">
        <f t="shared" si="177"/>
        <v/>
      </c>
      <c r="PPA6" s="97" t="str">
        <f t="shared" si="177"/>
        <v/>
      </c>
      <c r="PPB6" s="97" t="str">
        <f t="shared" si="177"/>
        <v/>
      </c>
      <c r="PPC6" s="97" t="str">
        <f t="shared" si="177"/>
        <v/>
      </c>
      <c r="PPD6" s="97" t="str">
        <f t="shared" si="177"/>
        <v/>
      </c>
      <c r="PPE6" s="97" t="str">
        <f t="shared" si="177"/>
        <v/>
      </c>
      <c r="PPF6" s="97" t="str">
        <f t="shared" si="177"/>
        <v/>
      </c>
      <c r="PPG6" s="97" t="str">
        <f t="shared" si="177"/>
        <v/>
      </c>
      <c r="PPH6" s="97" t="str">
        <f t="shared" si="177"/>
        <v/>
      </c>
      <c r="PPI6" s="97" t="str">
        <f t="shared" si="177"/>
        <v/>
      </c>
      <c r="PPJ6" s="97" t="str">
        <f t="shared" si="177"/>
        <v/>
      </c>
      <c r="PPK6" s="97" t="str">
        <f t="shared" si="177"/>
        <v/>
      </c>
      <c r="PPL6" s="97" t="str">
        <f t="shared" si="177"/>
        <v/>
      </c>
      <c r="PPM6" s="97" t="str">
        <f t="shared" si="177"/>
        <v/>
      </c>
      <c r="PPN6" s="97" t="str">
        <f t="shared" si="177"/>
        <v/>
      </c>
      <c r="PPO6" s="97" t="str">
        <f t="shared" si="177"/>
        <v/>
      </c>
      <c r="PPP6" s="97" t="str">
        <f t="shared" si="177"/>
        <v/>
      </c>
      <c r="PPQ6" s="97" t="str">
        <f t="shared" si="177"/>
        <v/>
      </c>
      <c r="PPR6" s="97" t="str">
        <f t="shared" si="177"/>
        <v/>
      </c>
      <c r="PPS6" s="97" t="str">
        <f t="shared" si="177"/>
        <v/>
      </c>
      <c r="PPT6" s="97" t="str">
        <f t="shared" si="177"/>
        <v/>
      </c>
      <c r="PPU6" s="97" t="str">
        <f t="shared" si="177"/>
        <v/>
      </c>
      <c r="PPV6" s="97" t="str">
        <f t="shared" si="177"/>
        <v/>
      </c>
      <c r="PPW6" s="97" t="str">
        <f t="shared" si="177"/>
        <v/>
      </c>
      <c r="PPX6" s="97" t="str">
        <f t="shared" si="177"/>
        <v/>
      </c>
      <c r="PPY6" s="97" t="str">
        <f t="shared" si="177"/>
        <v/>
      </c>
      <c r="PPZ6" s="97" t="str">
        <f t="shared" si="177"/>
        <v/>
      </c>
      <c r="PQA6" s="97" t="str">
        <f t="shared" si="177"/>
        <v/>
      </c>
      <c r="PQB6" s="97" t="str">
        <f t="shared" si="177"/>
        <v/>
      </c>
      <c r="PQC6" s="97" t="str">
        <f t="shared" si="177"/>
        <v/>
      </c>
      <c r="PQD6" s="97" t="str">
        <f t="shared" si="177"/>
        <v/>
      </c>
      <c r="PQE6" s="97" t="str">
        <f t="shared" si="177"/>
        <v/>
      </c>
      <c r="PQF6" s="97" t="str">
        <f t="shared" si="177"/>
        <v/>
      </c>
      <c r="PQG6" s="97" t="str">
        <f t="shared" si="177"/>
        <v/>
      </c>
      <c r="PQH6" s="97" t="str">
        <f t="shared" si="177"/>
        <v/>
      </c>
      <c r="PQI6" s="97" t="str">
        <f t="shared" si="177"/>
        <v/>
      </c>
      <c r="PQJ6" s="97" t="str">
        <f t="shared" si="177"/>
        <v/>
      </c>
      <c r="PQK6" s="97" t="str">
        <f t="shared" si="177"/>
        <v/>
      </c>
      <c r="PQL6" s="97" t="str">
        <f t="shared" ref="PQL6:PSW6" si="178">IFERROR(AVERAGE(PQL7:PQL13),"")</f>
        <v/>
      </c>
      <c r="PQM6" s="97" t="str">
        <f t="shared" si="178"/>
        <v/>
      </c>
      <c r="PQN6" s="97" t="str">
        <f t="shared" si="178"/>
        <v/>
      </c>
      <c r="PQO6" s="97" t="str">
        <f t="shared" si="178"/>
        <v/>
      </c>
      <c r="PQP6" s="97" t="str">
        <f t="shared" si="178"/>
        <v/>
      </c>
      <c r="PQQ6" s="97" t="str">
        <f t="shared" si="178"/>
        <v/>
      </c>
      <c r="PQR6" s="97" t="str">
        <f t="shared" si="178"/>
        <v/>
      </c>
      <c r="PQS6" s="97" t="str">
        <f t="shared" si="178"/>
        <v/>
      </c>
      <c r="PQT6" s="97" t="str">
        <f t="shared" si="178"/>
        <v/>
      </c>
      <c r="PQU6" s="97" t="str">
        <f t="shared" si="178"/>
        <v/>
      </c>
      <c r="PQV6" s="97" t="str">
        <f t="shared" si="178"/>
        <v/>
      </c>
      <c r="PQW6" s="97" t="str">
        <f t="shared" si="178"/>
        <v/>
      </c>
      <c r="PQX6" s="97" t="str">
        <f t="shared" si="178"/>
        <v/>
      </c>
      <c r="PQY6" s="97" t="str">
        <f t="shared" si="178"/>
        <v/>
      </c>
      <c r="PQZ6" s="97" t="str">
        <f t="shared" si="178"/>
        <v/>
      </c>
      <c r="PRA6" s="97" t="str">
        <f t="shared" si="178"/>
        <v/>
      </c>
      <c r="PRB6" s="97" t="str">
        <f t="shared" si="178"/>
        <v/>
      </c>
      <c r="PRC6" s="97" t="str">
        <f t="shared" si="178"/>
        <v/>
      </c>
      <c r="PRD6" s="97" t="str">
        <f t="shared" si="178"/>
        <v/>
      </c>
      <c r="PRE6" s="97" t="str">
        <f t="shared" si="178"/>
        <v/>
      </c>
      <c r="PRF6" s="97" t="str">
        <f t="shared" si="178"/>
        <v/>
      </c>
      <c r="PRG6" s="97" t="str">
        <f t="shared" si="178"/>
        <v/>
      </c>
      <c r="PRH6" s="97" t="str">
        <f t="shared" si="178"/>
        <v/>
      </c>
      <c r="PRI6" s="97" t="str">
        <f t="shared" si="178"/>
        <v/>
      </c>
      <c r="PRJ6" s="97" t="str">
        <f t="shared" si="178"/>
        <v/>
      </c>
      <c r="PRK6" s="97" t="str">
        <f t="shared" si="178"/>
        <v/>
      </c>
      <c r="PRL6" s="97" t="str">
        <f t="shared" si="178"/>
        <v/>
      </c>
      <c r="PRM6" s="97" t="str">
        <f t="shared" si="178"/>
        <v/>
      </c>
      <c r="PRN6" s="97" t="str">
        <f t="shared" si="178"/>
        <v/>
      </c>
      <c r="PRO6" s="97" t="str">
        <f t="shared" si="178"/>
        <v/>
      </c>
      <c r="PRP6" s="97" t="str">
        <f t="shared" si="178"/>
        <v/>
      </c>
      <c r="PRQ6" s="97" t="str">
        <f t="shared" si="178"/>
        <v/>
      </c>
      <c r="PRR6" s="97" t="str">
        <f t="shared" si="178"/>
        <v/>
      </c>
      <c r="PRS6" s="97" t="str">
        <f t="shared" si="178"/>
        <v/>
      </c>
      <c r="PRT6" s="97" t="str">
        <f t="shared" si="178"/>
        <v/>
      </c>
      <c r="PRU6" s="97" t="str">
        <f t="shared" si="178"/>
        <v/>
      </c>
      <c r="PRV6" s="97" t="str">
        <f t="shared" si="178"/>
        <v/>
      </c>
      <c r="PRW6" s="97" t="str">
        <f t="shared" si="178"/>
        <v/>
      </c>
      <c r="PRX6" s="97" t="str">
        <f t="shared" si="178"/>
        <v/>
      </c>
      <c r="PRY6" s="97" t="str">
        <f t="shared" si="178"/>
        <v/>
      </c>
      <c r="PRZ6" s="97" t="str">
        <f t="shared" si="178"/>
        <v/>
      </c>
      <c r="PSA6" s="97" t="str">
        <f t="shared" si="178"/>
        <v/>
      </c>
      <c r="PSB6" s="97" t="str">
        <f t="shared" si="178"/>
        <v/>
      </c>
      <c r="PSC6" s="97" t="str">
        <f t="shared" si="178"/>
        <v/>
      </c>
      <c r="PSD6" s="97" t="str">
        <f t="shared" si="178"/>
        <v/>
      </c>
      <c r="PSE6" s="97" t="str">
        <f t="shared" si="178"/>
        <v/>
      </c>
      <c r="PSF6" s="97" t="str">
        <f t="shared" si="178"/>
        <v/>
      </c>
      <c r="PSG6" s="97" t="str">
        <f t="shared" si="178"/>
        <v/>
      </c>
      <c r="PSH6" s="97" t="str">
        <f t="shared" si="178"/>
        <v/>
      </c>
      <c r="PSI6" s="97" t="str">
        <f t="shared" si="178"/>
        <v/>
      </c>
      <c r="PSJ6" s="97" t="str">
        <f t="shared" si="178"/>
        <v/>
      </c>
      <c r="PSK6" s="97" t="str">
        <f t="shared" si="178"/>
        <v/>
      </c>
      <c r="PSL6" s="97" t="str">
        <f t="shared" si="178"/>
        <v/>
      </c>
      <c r="PSM6" s="97" t="str">
        <f t="shared" si="178"/>
        <v/>
      </c>
      <c r="PSN6" s="97" t="str">
        <f t="shared" si="178"/>
        <v/>
      </c>
      <c r="PSO6" s="97" t="str">
        <f t="shared" si="178"/>
        <v/>
      </c>
      <c r="PSP6" s="97" t="str">
        <f t="shared" si="178"/>
        <v/>
      </c>
      <c r="PSQ6" s="97" t="str">
        <f t="shared" si="178"/>
        <v/>
      </c>
      <c r="PSR6" s="97" t="str">
        <f t="shared" si="178"/>
        <v/>
      </c>
      <c r="PSS6" s="97" t="str">
        <f t="shared" si="178"/>
        <v/>
      </c>
      <c r="PST6" s="97" t="str">
        <f t="shared" si="178"/>
        <v/>
      </c>
      <c r="PSU6" s="97" t="str">
        <f t="shared" si="178"/>
        <v/>
      </c>
      <c r="PSV6" s="97" t="str">
        <f t="shared" si="178"/>
        <v/>
      </c>
      <c r="PSW6" s="97" t="str">
        <f t="shared" si="178"/>
        <v/>
      </c>
      <c r="PSX6" s="97" t="str">
        <f t="shared" ref="PSX6:PVI6" si="179">IFERROR(AVERAGE(PSX7:PSX13),"")</f>
        <v/>
      </c>
      <c r="PSY6" s="97" t="str">
        <f t="shared" si="179"/>
        <v/>
      </c>
      <c r="PSZ6" s="97" t="str">
        <f t="shared" si="179"/>
        <v/>
      </c>
      <c r="PTA6" s="97" t="str">
        <f t="shared" si="179"/>
        <v/>
      </c>
      <c r="PTB6" s="97" t="str">
        <f t="shared" si="179"/>
        <v/>
      </c>
      <c r="PTC6" s="97" t="str">
        <f t="shared" si="179"/>
        <v/>
      </c>
      <c r="PTD6" s="97" t="str">
        <f t="shared" si="179"/>
        <v/>
      </c>
      <c r="PTE6" s="97" t="str">
        <f t="shared" si="179"/>
        <v/>
      </c>
      <c r="PTF6" s="97" t="str">
        <f t="shared" si="179"/>
        <v/>
      </c>
      <c r="PTG6" s="97" t="str">
        <f t="shared" si="179"/>
        <v/>
      </c>
      <c r="PTH6" s="97" t="str">
        <f t="shared" si="179"/>
        <v/>
      </c>
      <c r="PTI6" s="97" t="str">
        <f t="shared" si="179"/>
        <v/>
      </c>
      <c r="PTJ6" s="97" t="str">
        <f t="shared" si="179"/>
        <v/>
      </c>
      <c r="PTK6" s="97" t="str">
        <f t="shared" si="179"/>
        <v/>
      </c>
      <c r="PTL6" s="97" t="str">
        <f t="shared" si="179"/>
        <v/>
      </c>
      <c r="PTM6" s="97" t="str">
        <f t="shared" si="179"/>
        <v/>
      </c>
      <c r="PTN6" s="97" t="str">
        <f t="shared" si="179"/>
        <v/>
      </c>
      <c r="PTO6" s="97" t="str">
        <f t="shared" si="179"/>
        <v/>
      </c>
      <c r="PTP6" s="97" t="str">
        <f t="shared" si="179"/>
        <v/>
      </c>
      <c r="PTQ6" s="97" t="str">
        <f t="shared" si="179"/>
        <v/>
      </c>
      <c r="PTR6" s="97" t="str">
        <f t="shared" si="179"/>
        <v/>
      </c>
      <c r="PTS6" s="97" t="str">
        <f t="shared" si="179"/>
        <v/>
      </c>
      <c r="PTT6" s="97" t="str">
        <f t="shared" si="179"/>
        <v/>
      </c>
      <c r="PTU6" s="97" t="str">
        <f t="shared" si="179"/>
        <v/>
      </c>
      <c r="PTV6" s="97" t="str">
        <f t="shared" si="179"/>
        <v/>
      </c>
      <c r="PTW6" s="97" t="str">
        <f t="shared" si="179"/>
        <v/>
      </c>
      <c r="PTX6" s="97" t="str">
        <f t="shared" si="179"/>
        <v/>
      </c>
      <c r="PTY6" s="97" t="str">
        <f t="shared" si="179"/>
        <v/>
      </c>
      <c r="PTZ6" s="97" t="str">
        <f t="shared" si="179"/>
        <v/>
      </c>
      <c r="PUA6" s="97" t="str">
        <f t="shared" si="179"/>
        <v/>
      </c>
      <c r="PUB6" s="97" t="str">
        <f t="shared" si="179"/>
        <v/>
      </c>
      <c r="PUC6" s="97" t="str">
        <f t="shared" si="179"/>
        <v/>
      </c>
      <c r="PUD6" s="97" t="str">
        <f t="shared" si="179"/>
        <v/>
      </c>
      <c r="PUE6" s="97" t="str">
        <f t="shared" si="179"/>
        <v/>
      </c>
      <c r="PUF6" s="97" t="str">
        <f t="shared" si="179"/>
        <v/>
      </c>
      <c r="PUG6" s="97" t="str">
        <f t="shared" si="179"/>
        <v/>
      </c>
      <c r="PUH6" s="97" t="str">
        <f t="shared" si="179"/>
        <v/>
      </c>
      <c r="PUI6" s="97" t="str">
        <f t="shared" si="179"/>
        <v/>
      </c>
      <c r="PUJ6" s="97" t="str">
        <f t="shared" si="179"/>
        <v/>
      </c>
      <c r="PUK6" s="97" t="str">
        <f t="shared" si="179"/>
        <v/>
      </c>
      <c r="PUL6" s="97" t="str">
        <f t="shared" si="179"/>
        <v/>
      </c>
      <c r="PUM6" s="97" t="str">
        <f t="shared" si="179"/>
        <v/>
      </c>
      <c r="PUN6" s="97" t="str">
        <f t="shared" si="179"/>
        <v/>
      </c>
      <c r="PUO6" s="97" t="str">
        <f t="shared" si="179"/>
        <v/>
      </c>
      <c r="PUP6" s="97" t="str">
        <f t="shared" si="179"/>
        <v/>
      </c>
      <c r="PUQ6" s="97" t="str">
        <f t="shared" si="179"/>
        <v/>
      </c>
      <c r="PUR6" s="97" t="str">
        <f t="shared" si="179"/>
        <v/>
      </c>
      <c r="PUS6" s="97" t="str">
        <f t="shared" si="179"/>
        <v/>
      </c>
      <c r="PUT6" s="97" t="str">
        <f t="shared" si="179"/>
        <v/>
      </c>
      <c r="PUU6" s="97" t="str">
        <f t="shared" si="179"/>
        <v/>
      </c>
      <c r="PUV6" s="97" t="str">
        <f t="shared" si="179"/>
        <v/>
      </c>
      <c r="PUW6" s="97" t="str">
        <f t="shared" si="179"/>
        <v/>
      </c>
      <c r="PUX6" s="97" t="str">
        <f t="shared" si="179"/>
        <v/>
      </c>
      <c r="PUY6" s="97" t="str">
        <f t="shared" si="179"/>
        <v/>
      </c>
      <c r="PUZ6" s="97" t="str">
        <f t="shared" si="179"/>
        <v/>
      </c>
      <c r="PVA6" s="97" t="str">
        <f t="shared" si="179"/>
        <v/>
      </c>
      <c r="PVB6" s="97" t="str">
        <f t="shared" si="179"/>
        <v/>
      </c>
      <c r="PVC6" s="97" t="str">
        <f t="shared" si="179"/>
        <v/>
      </c>
      <c r="PVD6" s="97" t="str">
        <f t="shared" si="179"/>
        <v/>
      </c>
      <c r="PVE6" s="97" t="str">
        <f t="shared" si="179"/>
        <v/>
      </c>
      <c r="PVF6" s="97" t="str">
        <f t="shared" si="179"/>
        <v/>
      </c>
      <c r="PVG6" s="97" t="str">
        <f t="shared" si="179"/>
        <v/>
      </c>
      <c r="PVH6" s="97" t="str">
        <f t="shared" si="179"/>
        <v/>
      </c>
      <c r="PVI6" s="97" t="str">
        <f t="shared" si="179"/>
        <v/>
      </c>
      <c r="PVJ6" s="97" t="str">
        <f t="shared" ref="PVJ6:PXU6" si="180">IFERROR(AVERAGE(PVJ7:PVJ13),"")</f>
        <v/>
      </c>
      <c r="PVK6" s="97" t="str">
        <f t="shared" si="180"/>
        <v/>
      </c>
      <c r="PVL6" s="97" t="str">
        <f t="shared" si="180"/>
        <v/>
      </c>
      <c r="PVM6" s="97" t="str">
        <f t="shared" si="180"/>
        <v/>
      </c>
      <c r="PVN6" s="97" t="str">
        <f t="shared" si="180"/>
        <v/>
      </c>
      <c r="PVO6" s="97" t="str">
        <f t="shared" si="180"/>
        <v/>
      </c>
      <c r="PVP6" s="97" t="str">
        <f t="shared" si="180"/>
        <v/>
      </c>
      <c r="PVQ6" s="97" t="str">
        <f t="shared" si="180"/>
        <v/>
      </c>
      <c r="PVR6" s="97" t="str">
        <f t="shared" si="180"/>
        <v/>
      </c>
      <c r="PVS6" s="97" t="str">
        <f t="shared" si="180"/>
        <v/>
      </c>
      <c r="PVT6" s="97" t="str">
        <f t="shared" si="180"/>
        <v/>
      </c>
      <c r="PVU6" s="97" t="str">
        <f t="shared" si="180"/>
        <v/>
      </c>
      <c r="PVV6" s="97" t="str">
        <f t="shared" si="180"/>
        <v/>
      </c>
      <c r="PVW6" s="97" t="str">
        <f t="shared" si="180"/>
        <v/>
      </c>
      <c r="PVX6" s="97" t="str">
        <f t="shared" si="180"/>
        <v/>
      </c>
      <c r="PVY6" s="97" t="str">
        <f t="shared" si="180"/>
        <v/>
      </c>
      <c r="PVZ6" s="97" t="str">
        <f t="shared" si="180"/>
        <v/>
      </c>
      <c r="PWA6" s="97" t="str">
        <f t="shared" si="180"/>
        <v/>
      </c>
      <c r="PWB6" s="97" t="str">
        <f t="shared" si="180"/>
        <v/>
      </c>
      <c r="PWC6" s="97" t="str">
        <f t="shared" si="180"/>
        <v/>
      </c>
      <c r="PWD6" s="97" t="str">
        <f t="shared" si="180"/>
        <v/>
      </c>
      <c r="PWE6" s="97" t="str">
        <f t="shared" si="180"/>
        <v/>
      </c>
      <c r="PWF6" s="97" t="str">
        <f t="shared" si="180"/>
        <v/>
      </c>
      <c r="PWG6" s="97" t="str">
        <f t="shared" si="180"/>
        <v/>
      </c>
      <c r="PWH6" s="97" t="str">
        <f t="shared" si="180"/>
        <v/>
      </c>
      <c r="PWI6" s="97" t="str">
        <f t="shared" si="180"/>
        <v/>
      </c>
      <c r="PWJ6" s="97" t="str">
        <f t="shared" si="180"/>
        <v/>
      </c>
      <c r="PWK6" s="97" t="str">
        <f t="shared" si="180"/>
        <v/>
      </c>
      <c r="PWL6" s="97" t="str">
        <f t="shared" si="180"/>
        <v/>
      </c>
      <c r="PWM6" s="97" t="str">
        <f t="shared" si="180"/>
        <v/>
      </c>
      <c r="PWN6" s="97" t="str">
        <f t="shared" si="180"/>
        <v/>
      </c>
      <c r="PWO6" s="97" t="str">
        <f t="shared" si="180"/>
        <v/>
      </c>
      <c r="PWP6" s="97" t="str">
        <f t="shared" si="180"/>
        <v/>
      </c>
      <c r="PWQ6" s="97" t="str">
        <f t="shared" si="180"/>
        <v/>
      </c>
      <c r="PWR6" s="97" t="str">
        <f t="shared" si="180"/>
        <v/>
      </c>
      <c r="PWS6" s="97" t="str">
        <f t="shared" si="180"/>
        <v/>
      </c>
      <c r="PWT6" s="97" t="str">
        <f t="shared" si="180"/>
        <v/>
      </c>
      <c r="PWU6" s="97" t="str">
        <f t="shared" si="180"/>
        <v/>
      </c>
      <c r="PWV6" s="97" t="str">
        <f t="shared" si="180"/>
        <v/>
      </c>
      <c r="PWW6" s="97" t="str">
        <f t="shared" si="180"/>
        <v/>
      </c>
      <c r="PWX6" s="97" t="str">
        <f t="shared" si="180"/>
        <v/>
      </c>
      <c r="PWY6" s="97" t="str">
        <f t="shared" si="180"/>
        <v/>
      </c>
      <c r="PWZ6" s="97" t="str">
        <f t="shared" si="180"/>
        <v/>
      </c>
      <c r="PXA6" s="97" t="str">
        <f t="shared" si="180"/>
        <v/>
      </c>
      <c r="PXB6" s="97" t="str">
        <f t="shared" si="180"/>
        <v/>
      </c>
      <c r="PXC6" s="97" t="str">
        <f t="shared" si="180"/>
        <v/>
      </c>
      <c r="PXD6" s="97" t="str">
        <f t="shared" si="180"/>
        <v/>
      </c>
      <c r="PXE6" s="97" t="str">
        <f t="shared" si="180"/>
        <v/>
      </c>
      <c r="PXF6" s="97" t="str">
        <f t="shared" si="180"/>
        <v/>
      </c>
      <c r="PXG6" s="97" t="str">
        <f t="shared" si="180"/>
        <v/>
      </c>
      <c r="PXH6" s="97" t="str">
        <f t="shared" si="180"/>
        <v/>
      </c>
      <c r="PXI6" s="97" t="str">
        <f t="shared" si="180"/>
        <v/>
      </c>
      <c r="PXJ6" s="97" t="str">
        <f t="shared" si="180"/>
        <v/>
      </c>
      <c r="PXK6" s="97" t="str">
        <f t="shared" si="180"/>
        <v/>
      </c>
      <c r="PXL6" s="97" t="str">
        <f t="shared" si="180"/>
        <v/>
      </c>
      <c r="PXM6" s="97" t="str">
        <f t="shared" si="180"/>
        <v/>
      </c>
      <c r="PXN6" s="97" t="str">
        <f t="shared" si="180"/>
        <v/>
      </c>
      <c r="PXO6" s="97" t="str">
        <f t="shared" si="180"/>
        <v/>
      </c>
      <c r="PXP6" s="97" t="str">
        <f t="shared" si="180"/>
        <v/>
      </c>
      <c r="PXQ6" s="97" t="str">
        <f t="shared" si="180"/>
        <v/>
      </c>
      <c r="PXR6" s="97" t="str">
        <f t="shared" si="180"/>
        <v/>
      </c>
      <c r="PXS6" s="97" t="str">
        <f t="shared" si="180"/>
        <v/>
      </c>
      <c r="PXT6" s="97" t="str">
        <f t="shared" si="180"/>
        <v/>
      </c>
      <c r="PXU6" s="97" t="str">
        <f t="shared" si="180"/>
        <v/>
      </c>
      <c r="PXV6" s="97" t="str">
        <f t="shared" ref="PXV6:QAG6" si="181">IFERROR(AVERAGE(PXV7:PXV13),"")</f>
        <v/>
      </c>
      <c r="PXW6" s="97" t="str">
        <f t="shared" si="181"/>
        <v/>
      </c>
      <c r="PXX6" s="97" t="str">
        <f t="shared" si="181"/>
        <v/>
      </c>
      <c r="PXY6" s="97" t="str">
        <f t="shared" si="181"/>
        <v/>
      </c>
      <c r="PXZ6" s="97" t="str">
        <f t="shared" si="181"/>
        <v/>
      </c>
      <c r="PYA6" s="97" t="str">
        <f t="shared" si="181"/>
        <v/>
      </c>
      <c r="PYB6" s="97" t="str">
        <f t="shared" si="181"/>
        <v/>
      </c>
      <c r="PYC6" s="97" t="str">
        <f t="shared" si="181"/>
        <v/>
      </c>
      <c r="PYD6" s="97" t="str">
        <f t="shared" si="181"/>
        <v/>
      </c>
      <c r="PYE6" s="97" t="str">
        <f t="shared" si="181"/>
        <v/>
      </c>
      <c r="PYF6" s="97" t="str">
        <f t="shared" si="181"/>
        <v/>
      </c>
      <c r="PYG6" s="97" t="str">
        <f t="shared" si="181"/>
        <v/>
      </c>
      <c r="PYH6" s="97" t="str">
        <f t="shared" si="181"/>
        <v/>
      </c>
      <c r="PYI6" s="97" t="str">
        <f t="shared" si="181"/>
        <v/>
      </c>
      <c r="PYJ6" s="97" t="str">
        <f t="shared" si="181"/>
        <v/>
      </c>
      <c r="PYK6" s="97" t="str">
        <f t="shared" si="181"/>
        <v/>
      </c>
      <c r="PYL6" s="97" t="str">
        <f t="shared" si="181"/>
        <v/>
      </c>
      <c r="PYM6" s="97" t="str">
        <f t="shared" si="181"/>
        <v/>
      </c>
      <c r="PYN6" s="97" t="str">
        <f t="shared" si="181"/>
        <v/>
      </c>
      <c r="PYO6" s="97" t="str">
        <f t="shared" si="181"/>
        <v/>
      </c>
      <c r="PYP6" s="97" t="str">
        <f t="shared" si="181"/>
        <v/>
      </c>
      <c r="PYQ6" s="97" t="str">
        <f t="shared" si="181"/>
        <v/>
      </c>
      <c r="PYR6" s="97" t="str">
        <f t="shared" si="181"/>
        <v/>
      </c>
      <c r="PYS6" s="97" t="str">
        <f t="shared" si="181"/>
        <v/>
      </c>
      <c r="PYT6" s="97" t="str">
        <f t="shared" si="181"/>
        <v/>
      </c>
      <c r="PYU6" s="97" t="str">
        <f t="shared" si="181"/>
        <v/>
      </c>
      <c r="PYV6" s="97" t="str">
        <f t="shared" si="181"/>
        <v/>
      </c>
      <c r="PYW6" s="97" t="str">
        <f t="shared" si="181"/>
        <v/>
      </c>
      <c r="PYX6" s="97" t="str">
        <f t="shared" si="181"/>
        <v/>
      </c>
      <c r="PYY6" s="97" t="str">
        <f t="shared" si="181"/>
        <v/>
      </c>
      <c r="PYZ6" s="97" t="str">
        <f t="shared" si="181"/>
        <v/>
      </c>
      <c r="PZA6" s="97" t="str">
        <f t="shared" si="181"/>
        <v/>
      </c>
      <c r="PZB6" s="97" t="str">
        <f t="shared" si="181"/>
        <v/>
      </c>
      <c r="PZC6" s="97" t="str">
        <f t="shared" si="181"/>
        <v/>
      </c>
      <c r="PZD6" s="97" t="str">
        <f t="shared" si="181"/>
        <v/>
      </c>
      <c r="PZE6" s="97" t="str">
        <f t="shared" si="181"/>
        <v/>
      </c>
      <c r="PZF6" s="97" t="str">
        <f t="shared" si="181"/>
        <v/>
      </c>
      <c r="PZG6" s="97" t="str">
        <f t="shared" si="181"/>
        <v/>
      </c>
      <c r="PZH6" s="97" t="str">
        <f t="shared" si="181"/>
        <v/>
      </c>
      <c r="PZI6" s="97" t="str">
        <f t="shared" si="181"/>
        <v/>
      </c>
      <c r="PZJ6" s="97" t="str">
        <f t="shared" si="181"/>
        <v/>
      </c>
      <c r="PZK6" s="97" t="str">
        <f t="shared" si="181"/>
        <v/>
      </c>
      <c r="PZL6" s="97" t="str">
        <f t="shared" si="181"/>
        <v/>
      </c>
      <c r="PZM6" s="97" t="str">
        <f t="shared" si="181"/>
        <v/>
      </c>
      <c r="PZN6" s="97" t="str">
        <f t="shared" si="181"/>
        <v/>
      </c>
      <c r="PZO6" s="97" t="str">
        <f t="shared" si="181"/>
        <v/>
      </c>
      <c r="PZP6" s="97" t="str">
        <f t="shared" si="181"/>
        <v/>
      </c>
      <c r="PZQ6" s="97" t="str">
        <f t="shared" si="181"/>
        <v/>
      </c>
      <c r="PZR6" s="97" t="str">
        <f t="shared" si="181"/>
        <v/>
      </c>
      <c r="PZS6" s="97" t="str">
        <f t="shared" si="181"/>
        <v/>
      </c>
      <c r="PZT6" s="97" t="str">
        <f t="shared" si="181"/>
        <v/>
      </c>
      <c r="PZU6" s="97" t="str">
        <f t="shared" si="181"/>
        <v/>
      </c>
      <c r="PZV6" s="97" t="str">
        <f t="shared" si="181"/>
        <v/>
      </c>
      <c r="PZW6" s="97" t="str">
        <f t="shared" si="181"/>
        <v/>
      </c>
      <c r="PZX6" s="97" t="str">
        <f t="shared" si="181"/>
        <v/>
      </c>
      <c r="PZY6" s="97" t="str">
        <f t="shared" si="181"/>
        <v/>
      </c>
      <c r="PZZ6" s="97" t="str">
        <f t="shared" si="181"/>
        <v/>
      </c>
      <c r="QAA6" s="97" t="str">
        <f t="shared" si="181"/>
        <v/>
      </c>
      <c r="QAB6" s="97" t="str">
        <f t="shared" si="181"/>
        <v/>
      </c>
      <c r="QAC6" s="97" t="str">
        <f t="shared" si="181"/>
        <v/>
      </c>
      <c r="QAD6" s="97" t="str">
        <f t="shared" si="181"/>
        <v/>
      </c>
      <c r="QAE6" s="97" t="str">
        <f t="shared" si="181"/>
        <v/>
      </c>
      <c r="QAF6" s="97" t="str">
        <f t="shared" si="181"/>
        <v/>
      </c>
      <c r="QAG6" s="97" t="str">
        <f t="shared" si="181"/>
        <v/>
      </c>
      <c r="QAH6" s="97" t="str">
        <f t="shared" ref="QAH6:QCS6" si="182">IFERROR(AVERAGE(QAH7:QAH13),"")</f>
        <v/>
      </c>
      <c r="QAI6" s="97" t="str">
        <f t="shared" si="182"/>
        <v/>
      </c>
      <c r="QAJ6" s="97" t="str">
        <f t="shared" si="182"/>
        <v/>
      </c>
      <c r="QAK6" s="97" t="str">
        <f t="shared" si="182"/>
        <v/>
      </c>
      <c r="QAL6" s="97" t="str">
        <f t="shared" si="182"/>
        <v/>
      </c>
      <c r="QAM6" s="97" t="str">
        <f t="shared" si="182"/>
        <v/>
      </c>
      <c r="QAN6" s="97" t="str">
        <f t="shared" si="182"/>
        <v/>
      </c>
      <c r="QAO6" s="97" t="str">
        <f t="shared" si="182"/>
        <v/>
      </c>
      <c r="QAP6" s="97" t="str">
        <f t="shared" si="182"/>
        <v/>
      </c>
      <c r="QAQ6" s="97" t="str">
        <f t="shared" si="182"/>
        <v/>
      </c>
      <c r="QAR6" s="97" t="str">
        <f t="shared" si="182"/>
        <v/>
      </c>
      <c r="QAS6" s="97" t="str">
        <f t="shared" si="182"/>
        <v/>
      </c>
      <c r="QAT6" s="97" t="str">
        <f t="shared" si="182"/>
        <v/>
      </c>
      <c r="QAU6" s="97" t="str">
        <f t="shared" si="182"/>
        <v/>
      </c>
      <c r="QAV6" s="97" t="str">
        <f t="shared" si="182"/>
        <v/>
      </c>
      <c r="QAW6" s="97" t="str">
        <f t="shared" si="182"/>
        <v/>
      </c>
      <c r="QAX6" s="97" t="str">
        <f t="shared" si="182"/>
        <v/>
      </c>
      <c r="QAY6" s="97" t="str">
        <f t="shared" si="182"/>
        <v/>
      </c>
      <c r="QAZ6" s="97" t="str">
        <f t="shared" si="182"/>
        <v/>
      </c>
      <c r="QBA6" s="97" t="str">
        <f t="shared" si="182"/>
        <v/>
      </c>
      <c r="QBB6" s="97" t="str">
        <f t="shared" si="182"/>
        <v/>
      </c>
      <c r="QBC6" s="97" t="str">
        <f t="shared" si="182"/>
        <v/>
      </c>
      <c r="QBD6" s="97" t="str">
        <f t="shared" si="182"/>
        <v/>
      </c>
      <c r="QBE6" s="97" t="str">
        <f t="shared" si="182"/>
        <v/>
      </c>
      <c r="QBF6" s="97" t="str">
        <f t="shared" si="182"/>
        <v/>
      </c>
      <c r="QBG6" s="97" t="str">
        <f t="shared" si="182"/>
        <v/>
      </c>
      <c r="QBH6" s="97" t="str">
        <f t="shared" si="182"/>
        <v/>
      </c>
      <c r="QBI6" s="97" t="str">
        <f t="shared" si="182"/>
        <v/>
      </c>
      <c r="QBJ6" s="97" t="str">
        <f t="shared" si="182"/>
        <v/>
      </c>
      <c r="QBK6" s="97" t="str">
        <f t="shared" si="182"/>
        <v/>
      </c>
      <c r="QBL6" s="97" t="str">
        <f t="shared" si="182"/>
        <v/>
      </c>
      <c r="QBM6" s="97" t="str">
        <f t="shared" si="182"/>
        <v/>
      </c>
      <c r="QBN6" s="97" t="str">
        <f t="shared" si="182"/>
        <v/>
      </c>
      <c r="QBO6" s="97" t="str">
        <f t="shared" si="182"/>
        <v/>
      </c>
      <c r="QBP6" s="97" t="str">
        <f t="shared" si="182"/>
        <v/>
      </c>
      <c r="QBQ6" s="97" t="str">
        <f t="shared" si="182"/>
        <v/>
      </c>
      <c r="QBR6" s="97" t="str">
        <f t="shared" si="182"/>
        <v/>
      </c>
      <c r="QBS6" s="97" t="str">
        <f t="shared" si="182"/>
        <v/>
      </c>
      <c r="QBT6" s="97" t="str">
        <f t="shared" si="182"/>
        <v/>
      </c>
      <c r="QBU6" s="97" t="str">
        <f t="shared" si="182"/>
        <v/>
      </c>
      <c r="QBV6" s="97" t="str">
        <f t="shared" si="182"/>
        <v/>
      </c>
      <c r="QBW6" s="97" t="str">
        <f t="shared" si="182"/>
        <v/>
      </c>
      <c r="QBX6" s="97" t="str">
        <f t="shared" si="182"/>
        <v/>
      </c>
      <c r="QBY6" s="97" t="str">
        <f t="shared" si="182"/>
        <v/>
      </c>
      <c r="QBZ6" s="97" t="str">
        <f t="shared" si="182"/>
        <v/>
      </c>
      <c r="QCA6" s="97" t="str">
        <f t="shared" si="182"/>
        <v/>
      </c>
      <c r="QCB6" s="97" t="str">
        <f t="shared" si="182"/>
        <v/>
      </c>
      <c r="QCC6" s="97" t="str">
        <f t="shared" si="182"/>
        <v/>
      </c>
      <c r="QCD6" s="97" t="str">
        <f t="shared" si="182"/>
        <v/>
      </c>
      <c r="QCE6" s="97" t="str">
        <f t="shared" si="182"/>
        <v/>
      </c>
      <c r="QCF6" s="97" t="str">
        <f t="shared" si="182"/>
        <v/>
      </c>
      <c r="QCG6" s="97" t="str">
        <f t="shared" si="182"/>
        <v/>
      </c>
      <c r="QCH6" s="97" t="str">
        <f t="shared" si="182"/>
        <v/>
      </c>
      <c r="QCI6" s="97" t="str">
        <f t="shared" si="182"/>
        <v/>
      </c>
      <c r="QCJ6" s="97" t="str">
        <f t="shared" si="182"/>
        <v/>
      </c>
      <c r="QCK6" s="97" t="str">
        <f t="shared" si="182"/>
        <v/>
      </c>
      <c r="QCL6" s="97" t="str">
        <f t="shared" si="182"/>
        <v/>
      </c>
      <c r="QCM6" s="97" t="str">
        <f t="shared" si="182"/>
        <v/>
      </c>
      <c r="QCN6" s="97" t="str">
        <f t="shared" si="182"/>
        <v/>
      </c>
      <c r="QCO6" s="97" t="str">
        <f t="shared" si="182"/>
        <v/>
      </c>
      <c r="QCP6" s="97" t="str">
        <f t="shared" si="182"/>
        <v/>
      </c>
      <c r="QCQ6" s="97" t="str">
        <f t="shared" si="182"/>
        <v/>
      </c>
      <c r="QCR6" s="97" t="str">
        <f t="shared" si="182"/>
        <v/>
      </c>
      <c r="QCS6" s="97" t="str">
        <f t="shared" si="182"/>
        <v/>
      </c>
      <c r="QCT6" s="97" t="str">
        <f t="shared" ref="QCT6:QFE6" si="183">IFERROR(AVERAGE(QCT7:QCT13),"")</f>
        <v/>
      </c>
      <c r="QCU6" s="97" t="str">
        <f t="shared" si="183"/>
        <v/>
      </c>
      <c r="QCV6" s="97" t="str">
        <f t="shared" si="183"/>
        <v/>
      </c>
      <c r="QCW6" s="97" t="str">
        <f t="shared" si="183"/>
        <v/>
      </c>
      <c r="QCX6" s="97" t="str">
        <f t="shared" si="183"/>
        <v/>
      </c>
      <c r="QCY6" s="97" t="str">
        <f t="shared" si="183"/>
        <v/>
      </c>
      <c r="QCZ6" s="97" t="str">
        <f t="shared" si="183"/>
        <v/>
      </c>
      <c r="QDA6" s="97" t="str">
        <f t="shared" si="183"/>
        <v/>
      </c>
      <c r="QDB6" s="97" t="str">
        <f t="shared" si="183"/>
        <v/>
      </c>
      <c r="QDC6" s="97" t="str">
        <f t="shared" si="183"/>
        <v/>
      </c>
      <c r="QDD6" s="97" t="str">
        <f t="shared" si="183"/>
        <v/>
      </c>
      <c r="QDE6" s="97" t="str">
        <f t="shared" si="183"/>
        <v/>
      </c>
      <c r="QDF6" s="97" t="str">
        <f t="shared" si="183"/>
        <v/>
      </c>
      <c r="QDG6" s="97" t="str">
        <f t="shared" si="183"/>
        <v/>
      </c>
      <c r="QDH6" s="97" t="str">
        <f t="shared" si="183"/>
        <v/>
      </c>
      <c r="QDI6" s="97" t="str">
        <f t="shared" si="183"/>
        <v/>
      </c>
      <c r="QDJ6" s="97" t="str">
        <f t="shared" si="183"/>
        <v/>
      </c>
      <c r="QDK6" s="97" t="str">
        <f t="shared" si="183"/>
        <v/>
      </c>
      <c r="QDL6" s="97" t="str">
        <f t="shared" si="183"/>
        <v/>
      </c>
      <c r="QDM6" s="97" t="str">
        <f t="shared" si="183"/>
        <v/>
      </c>
      <c r="QDN6" s="97" t="str">
        <f t="shared" si="183"/>
        <v/>
      </c>
      <c r="QDO6" s="97" t="str">
        <f t="shared" si="183"/>
        <v/>
      </c>
      <c r="QDP6" s="97" t="str">
        <f t="shared" si="183"/>
        <v/>
      </c>
      <c r="QDQ6" s="97" t="str">
        <f t="shared" si="183"/>
        <v/>
      </c>
      <c r="QDR6" s="97" t="str">
        <f t="shared" si="183"/>
        <v/>
      </c>
      <c r="QDS6" s="97" t="str">
        <f t="shared" si="183"/>
        <v/>
      </c>
      <c r="QDT6" s="97" t="str">
        <f t="shared" si="183"/>
        <v/>
      </c>
      <c r="QDU6" s="97" t="str">
        <f t="shared" si="183"/>
        <v/>
      </c>
      <c r="QDV6" s="97" t="str">
        <f t="shared" si="183"/>
        <v/>
      </c>
      <c r="QDW6" s="97" t="str">
        <f t="shared" si="183"/>
        <v/>
      </c>
      <c r="QDX6" s="97" t="str">
        <f t="shared" si="183"/>
        <v/>
      </c>
      <c r="QDY6" s="97" t="str">
        <f t="shared" si="183"/>
        <v/>
      </c>
      <c r="QDZ6" s="97" t="str">
        <f t="shared" si="183"/>
        <v/>
      </c>
      <c r="QEA6" s="97" t="str">
        <f t="shared" si="183"/>
        <v/>
      </c>
      <c r="QEB6" s="97" t="str">
        <f t="shared" si="183"/>
        <v/>
      </c>
      <c r="QEC6" s="97" t="str">
        <f t="shared" si="183"/>
        <v/>
      </c>
      <c r="QED6" s="97" t="str">
        <f t="shared" si="183"/>
        <v/>
      </c>
      <c r="QEE6" s="97" t="str">
        <f t="shared" si="183"/>
        <v/>
      </c>
      <c r="QEF6" s="97" t="str">
        <f t="shared" si="183"/>
        <v/>
      </c>
      <c r="QEG6" s="97" t="str">
        <f t="shared" si="183"/>
        <v/>
      </c>
      <c r="QEH6" s="97" t="str">
        <f t="shared" si="183"/>
        <v/>
      </c>
      <c r="QEI6" s="97" t="str">
        <f t="shared" si="183"/>
        <v/>
      </c>
      <c r="QEJ6" s="97" t="str">
        <f t="shared" si="183"/>
        <v/>
      </c>
      <c r="QEK6" s="97" t="str">
        <f t="shared" si="183"/>
        <v/>
      </c>
      <c r="QEL6" s="97" t="str">
        <f t="shared" si="183"/>
        <v/>
      </c>
      <c r="QEM6" s="97" t="str">
        <f t="shared" si="183"/>
        <v/>
      </c>
      <c r="QEN6" s="97" t="str">
        <f t="shared" si="183"/>
        <v/>
      </c>
      <c r="QEO6" s="97" t="str">
        <f t="shared" si="183"/>
        <v/>
      </c>
      <c r="QEP6" s="97" t="str">
        <f t="shared" si="183"/>
        <v/>
      </c>
      <c r="QEQ6" s="97" t="str">
        <f t="shared" si="183"/>
        <v/>
      </c>
      <c r="QER6" s="97" t="str">
        <f t="shared" si="183"/>
        <v/>
      </c>
      <c r="QES6" s="97" t="str">
        <f t="shared" si="183"/>
        <v/>
      </c>
      <c r="QET6" s="97" t="str">
        <f t="shared" si="183"/>
        <v/>
      </c>
      <c r="QEU6" s="97" t="str">
        <f t="shared" si="183"/>
        <v/>
      </c>
      <c r="QEV6" s="97" t="str">
        <f t="shared" si="183"/>
        <v/>
      </c>
      <c r="QEW6" s="97" t="str">
        <f t="shared" si="183"/>
        <v/>
      </c>
      <c r="QEX6" s="97" t="str">
        <f t="shared" si="183"/>
        <v/>
      </c>
      <c r="QEY6" s="97" t="str">
        <f t="shared" si="183"/>
        <v/>
      </c>
      <c r="QEZ6" s="97" t="str">
        <f t="shared" si="183"/>
        <v/>
      </c>
      <c r="QFA6" s="97" t="str">
        <f t="shared" si="183"/>
        <v/>
      </c>
      <c r="QFB6" s="97" t="str">
        <f t="shared" si="183"/>
        <v/>
      </c>
      <c r="QFC6" s="97" t="str">
        <f t="shared" si="183"/>
        <v/>
      </c>
      <c r="QFD6" s="97" t="str">
        <f t="shared" si="183"/>
        <v/>
      </c>
      <c r="QFE6" s="97" t="str">
        <f t="shared" si="183"/>
        <v/>
      </c>
      <c r="QFF6" s="97" t="str">
        <f t="shared" ref="QFF6:QHQ6" si="184">IFERROR(AVERAGE(QFF7:QFF13),"")</f>
        <v/>
      </c>
      <c r="QFG6" s="97" t="str">
        <f t="shared" si="184"/>
        <v/>
      </c>
      <c r="QFH6" s="97" t="str">
        <f t="shared" si="184"/>
        <v/>
      </c>
      <c r="QFI6" s="97" t="str">
        <f t="shared" si="184"/>
        <v/>
      </c>
      <c r="QFJ6" s="97" t="str">
        <f t="shared" si="184"/>
        <v/>
      </c>
      <c r="QFK6" s="97" t="str">
        <f t="shared" si="184"/>
        <v/>
      </c>
      <c r="QFL6" s="97" t="str">
        <f t="shared" si="184"/>
        <v/>
      </c>
      <c r="QFM6" s="97" t="str">
        <f t="shared" si="184"/>
        <v/>
      </c>
      <c r="QFN6" s="97" t="str">
        <f t="shared" si="184"/>
        <v/>
      </c>
      <c r="QFO6" s="97" t="str">
        <f t="shared" si="184"/>
        <v/>
      </c>
      <c r="QFP6" s="97" t="str">
        <f t="shared" si="184"/>
        <v/>
      </c>
      <c r="QFQ6" s="97" t="str">
        <f t="shared" si="184"/>
        <v/>
      </c>
      <c r="QFR6" s="97" t="str">
        <f t="shared" si="184"/>
        <v/>
      </c>
      <c r="QFS6" s="97" t="str">
        <f t="shared" si="184"/>
        <v/>
      </c>
      <c r="QFT6" s="97" t="str">
        <f t="shared" si="184"/>
        <v/>
      </c>
      <c r="QFU6" s="97" t="str">
        <f t="shared" si="184"/>
        <v/>
      </c>
      <c r="QFV6" s="97" t="str">
        <f t="shared" si="184"/>
        <v/>
      </c>
      <c r="QFW6" s="97" t="str">
        <f t="shared" si="184"/>
        <v/>
      </c>
      <c r="QFX6" s="97" t="str">
        <f t="shared" si="184"/>
        <v/>
      </c>
      <c r="QFY6" s="97" t="str">
        <f t="shared" si="184"/>
        <v/>
      </c>
      <c r="QFZ6" s="97" t="str">
        <f t="shared" si="184"/>
        <v/>
      </c>
      <c r="QGA6" s="97" t="str">
        <f t="shared" si="184"/>
        <v/>
      </c>
      <c r="QGB6" s="97" t="str">
        <f t="shared" si="184"/>
        <v/>
      </c>
      <c r="QGC6" s="97" t="str">
        <f t="shared" si="184"/>
        <v/>
      </c>
      <c r="QGD6" s="97" t="str">
        <f t="shared" si="184"/>
        <v/>
      </c>
      <c r="QGE6" s="97" t="str">
        <f t="shared" si="184"/>
        <v/>
      </c>
      <c r="QGF6" s="97" t="str">
        <f t="shared" si="184"/>
        <v/>
      </c>
      <c r="QGG6" s="97" t="str">
        <f t="shared" si="184"/>
        <v/>
      </c>
      <c r="QGH6" s="97" t="str">
        <f t="shared" si="184"/>
        <v/>
      </c>
      <c r="QGI6" s="97" t="str">
        <f t="shared" si="184"/>
        <v/>
      </c>
      <c r="QGJ6" s="97" t="str">
        <f t="shared" si="184"/>
        <v/>
      </c>
      <c r="QGK6" s="97" t="str">
        <f t="shared" si="184"/>
        <v/>
      </c>
      <c r="QGL6" s="97" t="str">
        <f t="shared" si="184"/>
        <v/>
      </c>
      <c r="QGM6" s="97" t="str">
        <f t="shared" si="184"/>
        <v/>
      </c>
      <c r="QGN6" s="97" t="str">
        <f t="shared" si="184"/>
        <v/>
      </c>
      <c r="QGO6" s="97" t="str">
        <f t="shared" si="184"/>
        <v/>
      </c>
      <c r="QGP6" s="97" t="str">
        <f t="shared" si="184"/>
        <v/>
      </c>
      <c r="QGQ6" s="97" t="str">
        <f t="shared" si="184"/>
        <v/>
      </c>
      <c r="QGR6" s="97" t="str">
        <f t="shared" si="184"/>
        <v/>
      </c>
      <c r="QGS6" s="97" t="str">
        <f t="shared" si="184"/>
        <v/>
      </c>
      <c r="QGT6" s="97" t="str">
        <f t="shared" si="184"/>
        <v/>
      </c>
      <c r="QGU6" s="97" t="str">
        <f t="shared" si="184"/>
        <v/>
      </c>
      <c r="QGV6" s="97" t="str">
        <f t="shared" si="184"/>
        <v/>
      </c>
      <c r="QGW6" s="97" t="str">
        <f t="shared" si="184"/>
        <v/>
      </c>
      <c r="QGX6" s="97" t="str">
        <f t="shared" si="184"/>
        <v/>
      </c>
      <c r="QGY6" s="97" t="str">
        <f t="shared" si="184"/>
        <v/>
      </c>
      <c r="QGZ6" s="97" t="str">
        <f t="shared" si="184"/>
        <v/>
      </c>
      <c r="QHA6" s="97" t="str">
        <f t="shared" si="184"/>
        <v/>
      </c>
      <c r="QHB6" s="97" t="str">
        <f t="shared" si="184"/>
        <v/>
      </c>
      <c r="QHC6" s="97" t="str">
        <f t="shared" si="184"/>
        <v/>
      </c>
      <c r="QHD6" s="97" t="str">
        <f t="shared" si="184"/>
        <v/>
      </c>
      <c r="QHE6" s="97" t="str">
        <f t="shared" si="184"/>
        <v/>
      </c>
      <c r="QHF6" s="97" t="str">
        <f t="shared" si="184"/>
        <v/>
      </c>
      <c r="QHG6" s="97" t="str">
        <f t="shared" si="184"/>
        <v/>
      </c>
      <c r="QHH6" s="97" t="str">
        <f t="shared" si="184"/>
        <v/>
      </c>
      <c r="QHI6" s="97" t="str">
        <f t="shared" si="184"/>
        <v/>
      </c>
      <c r="QHJ6" s="97" t="str">
        <f t="shared" si="184"/>
        <v/>
      </c>
      <c r="QHK6" s="97" t="str">
        <f t="shared" si="184"/>
        <v/>
      </c>
      <c r="QHL6" s="97" t="str">
        <f t="shared" si="184"/>
        <v/>
      </c>
      <c r="QHM6" s="97" t="str">
        <f t="shared" si="184"/>
        <v/>
      </c>
      <c r="QHN6" s="97" t="str">
        <f t="shared" si="184"/>
        <v/>
      </c>
      <c r="QHO6" s="97" t="str">
        <f t="shared" si="184"/>
        <v/>
      </c>
      <c r="QHP6" s="97" t="str">
        <f t="shared" si="184"/>
        <v/>
      </c>
      <c r="QHQ6" s="97" t="str">
        <f t="shared" si="184"/>
        <v/>
      </c>
      <c r="QHR6" s="97" t="str">
        <f t="shared" ref="QHR6:QKC6" si="185">IFERROR(AVERAGE(QHR7:QHR13),"")</f>
        <v/>
      </c>
      <c r="QHS6" s="97" t="str">
        <f t="shared" si="185"/>
        <v/>
      </c>
      <c r="QHT6" s="97" t="str">
        <f t="shared" si="185"/>
        <v/>
      </c>
      <c r="QHU6" s="97" t="str">
        <f t="shared" si="185"/>
        <v/>
      </c>
      <c r="QHV6" s="97" t="str">
        <f t="shared" si="185"/>
        <v/>
      </c>
      <c r="QHW6" s="97" t="str">
        <f t="shared" si="185"/>
        <v/>
      </c>
      <c r="QHX6" s="97" t="str">
        <f t="shared" si="185"/>
        <v/>
      </c>
      <c r="QHY6" s="97" t="str">
        <f t="shared" si="185"/>
        <v/>
      </c>
      <c r="QHZ6" s="97" t="str">
        <f t="shared" si="185"/>
        <v/>
      </c>
      <c r="QIA6" s="97" t="str">
        <f t="shared" si="185"/>
        <v/>
      </c>
      <c r="QIB6" s="97" t="str">
        <f t="shared" si="185"/>
        <v/>
      </c>
      <c r="QIC6" s="97" t="str">
        <f t="shared" si="185"/>
        <v/>
      </c>
      <c r="QID6" s="97" t="str">
        <f t="shared" si="185"/>
        <v/>
      </c>
      <c r="QIE6" s="97" t="str">
        <f t="shared" si="185"/>
        <v/>
      </c>
      <c r="QIF6" s="97" t="str">
        <f t="shared" si="185"/>
        <v/>
      </c>
      <c r="QIG6" s="97" t="str">
        <f t="shared" si="185"/>
        <v/>
      </c>
      <c r="QIH6" s="97" t="str">
        <f t="shared" si="185"/>
        <v/>
      </c>
      <c r="QII6" s="97" t="str">
        <f t="shared" si="185"/>
        <v/>
      </c>
      <c r="QIJ6" s="97" t="str">
        <f t="shared" si="185"/>
        <v/>
      </c>
      <c r="QIK6" s="97" t="str">
        <f t="shared" si="185"/>
        <v/>
      </c>
      <c r="QIL6" s="97" t="str">
        <f t="shared" si="185"/>
        <v/>
      </c>
      <c r="QIM6" s="97" t="str">
        <f t="shared" si="185"/>
        <v/>
      </c>
      <c r="QIN6" s="97" t="str">
        <f t="shared" si="185"/>
        <v/>
      </c>
      <c r="QIO6" s="97" t="str">
        <f t="shared" si="185"/>
        <v/>
      </c>
      <c r="QIP6" s="97" t="str">
        <f t="shared" si="185"/>
        <v/>
      </c>
      <c r="QIQ6" s="97" t="str">
        <f t="shared" si="185"/>
        <v/>
      </c>
      <c r="QIR6" s="97" t="str">
        <f t="shared" si="185"/>
        <v/>
      </c>
      <c r="QIS6" s="97" t="str">
        <f t="shared" si="185"/>
        <v/>
      </c>
      <c r="QIT6" s="97" t="str">
        <f t="shared" si="185"/>
        <v/>
      </c>
      <c r="QIU6" s="97" t="str">
        <f t="shared" si="185"/>
        <v/>
      </c>
      <c r="QIV6" s="97" t="str">
        <f t="shared" si="185"/>
        <v/>
      </c>
      <c r="QIW6" s="97" t="str">
        <f t="shared" si="185"/>
        <v/>
      </c>
      <c r="QIX6" s="97" t="str">
        <f t="shared" si="185"/>
        <v/>
      </c>
      <c r="QIY6" s="97" t="str">
        <f t="shared" si="185"/>
        <v/>
      </c>
      <c r="QIZ6" s="97" t="str">
        <f t="shared" si="185"/>
        <v/>
      </c>
      <c r="QJA6" s="97" t="str">
        <f t="shared" si="185"/>
        <v/>
      </c>
      <c r="QJB6" s="97" t="str">
        <f t="shared" si="185"/>
        <v/>
      </c>
      <c r="QJC6" s="97" t="str">
        <f t="shared" si="185"/>
        <v/>
      </c>
      <c r="QJD6" s="97" t="str">
        <f t="shared" si="185"/>
        <v/>
      </c>
      <c r="QJE6" s="97" t="str">
        <f t="shared" si="185"/>
        <v/>
      </c>
      <c r="QJF6" s="97" t="str">
        <f t="shared" si="185"/>
        <v/>
      </c>
      <c r="QJG6" s="97" t="str">
        <f t="shared" si="185"/>
        <v/>
      </c>
      <c r="QJH6" s="97" t="str">
        <f t="shared" si="185"/>
        <v/>
      </c>
      <c r="QJI6" s="97" t="str">
        <f t="shared" si="185"/>
        <v/>
      </c>
      <c r="QJJ6" s="97" t="str">
        <f t="shared" si="185"/>
        <v/>
      </c>
      <c r="QJK6" s="97" t="str">
        <f t="shared" si="185"/>
        <v/>
      </c>
      <c r="QJL6" s="97" t="str">
        <f t="shared" si="185"/>
        <v/>
      </c>
      <c r="QJM6" s="97" t="str">
        <f t="shared" si="185"/>
        <v/>
      </c>
      <c r="QJN6" s="97" t="str">
        <f t="shared" si="185"/>
        <v/>
      </c>
      <c r="QJO6" s="97" t="str">
        <f t="shared" si="185"/>
        <v/>
      </c>
      <c r="QJP6" s="97" t="str">
        <f t="shared" si="185"/>
        <v/>
      </c>
      <c r="QJQ6" s="97" t="str">
        <f t="shared" si="185"/>
        <v/>
      </c>
      <c r="QJR6" s="97" t="str">
        <f t="shared" si="185"/>
        <v/>
      </c>
      <c r="QJS6" s="97" t="str">
        <f t="shared" si="185"/>
        <v/>
      </c>
      <c r="QJT6" s="97" t="str">
        <f t="shared" si="185"/>
        <v/>
      </c>
      <c r="QJU6" s="97" t="str">
        <f t="shared" si="185"/>
        <v/>
      </c>
      <c r="QJV6" s="97" t="str">
        <f t="shared" si="185"/>
        <v/>
      </c>
      <c r="QJW6" s="97" t="str">
        <f t="shared" si="185"/>
        <v/>
      </c>
      <c r="QJX6" s="97" t="str">
        <f t="shared" si="185"/>
        <v/>
      </c>
      <c r="QJY6" s="97" t="str">
        <f t="shared" si="185"/>
        <v/>
      </c>
      <c r="QJZ6" s="97" t="str">
        <f t="shared" si="185"/>
        <v/>
      </c>
      <c r="QKA6" s="97" t="str">
        <f t="shared" si="185"/>
        <v/>
      </c>
      <c r="QKB6" s="97" t="str">
        <f t="shared" si="185"/>
        <v/>
      </c>
      <c r="QKC6" s="97" t="str">
        <f t="shared" si="185"/>
        <v/>
      </c>
      <c r="QKD6" s="97" t="str">
        <f t="shared" ref="QKD6:QMO6" si="186">IFERROR(AVERAGE(QKD7:QKD13),"")</f>
        <v/>
      </c>
      <c r="QKE6" s="97" t="str">
        <f t="shared" si="186"/>
        <v/>
      </c>
      <c r="QKF6" s="97" t="str">
        <f t="shared" si="186"/>
        <v/>
      </c>
      <c r="QKG6" s="97" t="str">
        <f t="shared" si="186"/>
        <v/>
      </c>
      <c r="QKH6" s="97" t="str">
        <f t="shared" si="186"/>
        <v/>
      </c>
      <c r="QKI6" s="97" t="str">
        <f t="shared" si="186"/>
        <v/>
      </c>
      <c r="QKJ6" s="97" t="str">
        <f t="shared" si="186"/>
        <v/>
      </c>
      <c r="QKK6" s="97" t="str">
        <f t="shared" si="186"/>
        <v/>
      </c>
      <c r="QKL6" s="97" t="str">
        <f t="shared" si="186"/>
        <v/>
      </c>
      <c r="QKM6" s="97" t="str">
        <f t="shared" si="186"/>
        <v/>
      </c>
      <c r="QKN6" s="97" t="str">
        <f t="shared" si="186"/>
        <v/>
      </c>
      <c r="QKO6" s="97" t="str">
        <f t="shared" si="186"/>
        <v/>
      </c>
      <c r="QKP6" s="97" t="str">
        <f t="shared" si="186"/>
        <v/>
      </c>
      <c r="QKQ6" s="97" t="str">
        <f t="shared" si="186"/>
        <v/>
      </c>
      <c r="QKR6" s="97" t="str">
        <f t="shared" si="186"/>
        <v/>
      </c>
      <c r="QKS6" s="97" t="str">
        <f t="shared" si="186"/>
        <v/>
      </c>
      <c r="QKT6" s="97" t="str">
        <f t="shared" si="186"/>
        <v/>
      </c>
      <c r="QKU6" s="97" t="str">
        <f t="shared" si="186"/>
        <v/>
      </c>
      <c r="QKV6" s="97" t="str">
        <f t="shared" si="186"/>
        <v/>
      </c>
      <c r="QKW6" s="97" t="str">
        <f t="shared" si="186"/>
        <v/>
      </c>
      <c r="QKX6" s="97" t="str">
        <f t="shared" si="186"/>
        <v/>
      </c>
      <c r="QKY6" s="97" t="str">
        <f t="shared" si="186"/>
        <v/>
      </c>
      <c r="QKZ6" s="97" t="str">
        <f t="shared" si="186"/>
        <v/>
      </c>
      <c r="QLA6" s="97" t="str">
        <f t="shared" si="186"/>
        <v/>
      </c>
      <c r="QLB6" s="97" t="str">
        <f t="shared" si="186"/>
        <v/>
      </c>
      <c r="QLC6" s="97" t="str">
        <f t="shared" si="186"/>
        <v/>
      </c>
      <c r="QLD6" s="97" t="str">
        <f t="shared" si="186"/>
        <v/>
      </c>
      <c r="QLE6" s="97" t="str">
        <f t="shared" si="186"/>
        <v/>
      </c>
      <c r="QLF6" s="97" t="str">
        <f t="shared" si="186"/>
        <v/>
      </c>
      <c r="QLG6" s="97" t="str">
        <f t="shared" si="186"/>
        <v/>
      </c>
      <c r="QLH6" s="97" t="str">
        <f t="shared" si="186"/>
        <v/>
      </c>
      <c r="QLI6" s="97" t="str">
        <f t="shared" si="186"/>
        <v/>
      </c>
      <c r="QLJ6" s="97" t="str">
        <f t="shared" si="186"/>
        <v/>
      </c>
      <c r="QLK6" s="97" t="str">
        <f t="shared" si="186"/>
        <v/>
      </c>
      <c r="QLL6" s="97" t="str">
        <f t="shared" si="186"/>
        <v/>
      </c>
      <c r="QLM6" s="97" t="str">
        <f t="shared" si="186"/>
        <v/>
      </c>
      <c r="QLN6" s="97" t="str">
        <f t="shared" si="186"/>
        <v/>
      </c>
      <c r="QLO6" s="97" t="str">
        <f t="shared" si="186"/>
        <v/>
      </c>
      <c r="QLP6" s="97" t="str">
        <f t="shared" si="186"/>
        <v/>
      </c>
      <c r="QLQ6" s="97" t="str">
        <f t="shared" si="186"/>
        <v/>
      </c>
      <c r="QLR6" s="97" t="str">
        <f t="shared" si="186"/>
        <v/>
      </c>
      <c r="QLS6" s="97" t="str">
        <f t="shared" si="186"/>
        <v/>
      </c>
      <c r="QLT6" s="97" t="str">
        <f t="shared" si="186"/>
        <v/>
      </c>
      <c r="QLU6" s="97" t="str">
        <f t="shared" si="186"/>
        <v/>
      </c>
      <c r="QLV6" s="97" t="str">
        <f t="shared" si="186"/>
        <v/>
      </c>
      <c r="QLW6" s="97" t="str">
        <f t="shared" si="186"/>
        <v/>
      </c>
      <c r="QLX6" s="97" t="str">
        <f t="shared" si="186"/>
        <v/>
      </c>
      <c r="QLY6" s="97" t="str">
        <f t="shared" si="186"/>
        <v/>
      </c>
      <c r="QLZ6" s="97" t="str">
        <f t="shared" si="186"/>
        <v/>
      </c>
      <c r="QMA6" s="97" t="str">
        <f t="shared" si="186"/>
        <v/>
      </c>
      <c r="QMB6" s="97" t="str">
        <f t="shared" si="186"/>
        <v/>
      </c>
      <c r="QMC6" s="97" t="str">
        <f t="shared" si="186"/>
        <v/>
      </c>
      <c r="QMD6" s="97" t="str">
        <f t="shared" si="186"/>
        <v/>
      </c>
      <c r="QME6" s="97" t="str">
        <f t="shared" si="186"/>
        <v/>
      </c>
      <c r="QMF6" s="97" t="str">
        <f t="shared" si="186"/>
        <v/>
      </c>
      <c r="QMG6" s="97" t="str">
        <f t="shared" si="186"/>
        <v/>
      </c>
      <c r="QMH6" s="97" t="str">
        <f t="shared" si="186"/>
        <v/>
      </c>
      <c r="QMI6" s="97" t="str">
        <f t="shared" si="186"/>
        <v/>
      </c>
      <c r="QMJ6" s="97" t="str">
        <f t="shared" si="186"/>
        <v/>
      </c>
      <c r="QMK6" s="97" t="str">
        <f t="shared" si="186"/>
        <v/>
      </c>
      <c r="QML6" s="97" t="str">
        <f t="shared" si="186"/>
        <v/>
      </c>
      <c r="QMM6" s="97" t="str">
        <f t="shared" si="186"/>
        <v/>
      </c>
      <c r="QMN6" s="97" t="str">
        <f t="shared" si="186"/>
        <v/>
      </c>
      <c r="QMO6" s="97" t="str">
        <f t="shared" si="186"/>
        <v/>
      </c>
      <c r="QMP6" s="97" t="str">
        <f t="shared" ref="QMP6:QPA6" si="187">IFERROR(AVERAGE(QMP7:QMP13),"")</f>
        <v/>
      </c>
      <c r="QMQ6" s="97" t="str">
        <f t="shared" si="187"/>
        <v/>
      </c>
      <c r="QMR6" s="97" t="str">
        <f t="shared" si="187"/>
        <v/>
      </c>
      <c r="QMS6" s="97" t="str">
        <f t="shared" si="187"/>
        <v/>
      </c>
      <c r="QMT6" s="97" t="str">
        <f t="shared" si="187"/>
        <v/>
      </c>
      <c r="QMU6" s="97" t="str">
        <f t="shared" si="187"/>
        <v/>
      </c>
      <c r="QMV6" s="97" t="str">
        <f t="shared" si="187"/>
        <v/>
      </c>
      <c r="QMW6" s="97" t="str">
        <f t="shared" si="187"/>
        <v/>
      </c>
      <c r="QMX6" s="97" t="str">
        <f t="shared" si="187"/>
        <v/>
      </c>
      <c r="QMY6" s="97" t="str">
        <f t="shared" si="187"/>
        <v/>
      </c>
      <c r="QMZ6" s="97" t="str">
        <f t="shared" si="187"/>
        <v/>
      </c>
      <c r="QNA6" s="97" t="str">
        <f t="shared" si="187"/>
        <v/>
      </c>
      <c r="QNB6" s="97" t="str">
        <f t="shared" si="187"/>
        <v/>
      </c>
      <c r="QNC6" s="97" t="str">
        <f t="shared" si="187"/>
        <v/>
      </c>
      <c r="QND6" s="97" t="str">
        <f t="shared" si="187"/>
        <v/>
      </c>
      <c r="QNE6" s="97" t="str">
        <f t="shared" si="187"/>
        <v/>
      </c>
      <c r="QNF6" s="97" t="str">
        <f t="shared" si="187"/>
        <v/>
      </c>
      <c r="QNG6" s="97" t="str">
        <f t="shared" si="187"/>
        <v/>
      </c>
      <c r="QNH6" s="97" t="str">
        <f t="shared" si="187"/>
        <v/>
      </c>
      <c r="QNI6" s="97" t="str">
        <f t="shared" si="187"/>
        <v/>
      </c>
      <c r="QNJ6" s="97" t="str">
        <f t="shared" si="187"/>
        <v/>
      </c>
      <c r="QNK6" s="97" t="str">
        <f t="shared" si="187"/>
        <v/>
      </c>
      <c r="QNL6" s="97" t="str">
        <f t="shared" si="187"/>
        <v/>
      </c>
      <c r="QNM6" s="97" t="str">
        <f t="shared" si="187"/>
        <v/>
      </c>
      <c r="QNN6" s="97" t="str">
        <f t="shared" si="187"/>
        <v/>
      </c>
      <c r="QNO6" s="97" t="str">
        <f t="shared" si="187"/>
        <v/>
      </c>
      <c r="QNP6" s="97" t="str">
        <f t="shared" si="187"/>
        <v/>
      </c>
      <c r="QNQ6" s="97" t="str">
        <f t="shared" si="187"/>
        <v/>
      </c>
      <c r="QNR6" s="97" t="str">
        <f t="shared" si="187"/>
        <v/>
      </c>
      <c r="QNS6" s="97" t="str">
        <f t="shared" si="187"/>
        <v/>
      </c>
      <c r="QNT6" s="97" t="str">
        <f t="shared" si="187"/>
        <v/>
      </c>
      <c r="QNU6" s="97" t="str">
        <f t="shared" si="187"/>
        <v/>
      </c>
      <c r="QNV6" s="97" t="str">
        <f t="shared" si="187"/>
        <v/>
      </c>
      <c r="QNW6" s="97" t="str">
        <f t="shared" si="187"/>
        <v/>
      </c>
      <c r="QNX6" s="97" t="str">
        <f t="shared" si="187"/>
        <v/>
      </c>
      <c r="QNY6" s="97" t="str">
        <f t="shared" si="187"/>
        <v/>
      </c>
      <c r="QNZ6" s="97" t="str">
        <f t="shared" si="187"/>
        <v/>
      </c>
      <c r="QOA6" s="97" t="str">
        <f t="shared" si="187"/>
        <v/>
      </c>
      <c r="QOB6" s="97" t="str">
        <f t="shared" si="187"/>
        <v/>
      </c>
      <c r="QOC6" s="97" t="str">
        <f t="shared" si="187"/>
        <v/>
      </c>
      <c r="QOD6" s="97" t="str">
        <f t="shared" si="187"/>
        <v/>
      </c>
      <c r="QOE6" s="97" t="str">
        <f t="shared" si="187"/>
        <v/>
      </c>
      <c r="QOF6" s="97" t="str">
        <f t="shared" si="187"/>
        <v/>
      </c>
      <c r="QOG6" s="97" t="str">
        <f t="shared" si="187"/>
        <v/>
      </c>
      <c r="QOH6" s="97" t="str">
        <f t="shared" si="187"/>
        <v/>
      </c>
      <c r="QOI6" s="97" t="str">
        <f t="shared" si="187"/>
        <v/>
      </c>
      <c r="QOJ6" s="97" t="str">
        <f t="shared" si="187"/>
        <v/>
      </c>
      <c r="QOK6" s="97" t="str">
        <f t="shared" si="187"/>
        <v/>
      </c>
      <c r="QOL6" s="97" t="str">
        <f t="shared" si="187"/>
        <v/>
      </c>
      <c r="QOM6" s="97" t="str">
        <f t="shared" si="187"/>
        <v/>
      </c>
      <c r="QON6" s="97" t="str">
        <f t="shared" si="187"/>
        <v/>
      </c>
      <c r="QOO6" s="97" t="str">
        <f t="shared" si="187"/>
        <v/>
      </c>
      <c r="QOP6" s="97" t="str">
        <f t="shared" si="187"/>
        <v/>
      </c>
      <c r="QOQ6" s="97" t="str">
        <f t="shared" si="187"/>
        <v/>
      </c>
      <c r="QOR6" s="97" t="str">
        <f t="shared" si="187"/>
        <v/>
      </c>
      <c r="QOS6" s="97" t="str">
        <f t="shared" si="187"/>
        <v/>
      </c>
      <c r="QOT6" s="97" t="str">
        <f t="shared" si="187"/>
        <v/>
      </c>
      <c r="QOU6" s="97" t="str">
        <f t="shared" si="187"/>
        <v/>
      </c>
      <c r="QOV6" s="97" t="str">
        <f t="shared" si="187"/>
        <v/>
      </c>
      <c r="QOW6" s="97" t="str">
        <f t="shared" si="187"/>
        <v/>
      </c>
      <c r="QOX6" s="97" t="str">
        <f t="shared" si="187"/>
        <v/>
      </c>
      <c r="QOY6" s="97" t="str">
        <f t="shared" si="187"/>
        <v/>
      </c>
      <c r="QOZ6" s="97" t="str">
        <f t="shared" si="187"/>
        <v/>
      </c>
      <c r="QPA6" s="97" t="str">
        <f t="shared" si="187"/>
        <v/>
      </c>
      <c r="QPB6" s="97" t="str">
        <f t="shared" ref="QPB6:QRM6" si="188">IFERROR(AVERAGE(QPB7:QPB13),"")</f>
        <v/>
      </c>
      <c r="QPC6" s="97" t="str">
        <f t="shared" si="188"/>
        <v/>
      </c>
      <c r="QPD6" s="97" t="str">
        <f t="shared" si="188"/>
        <v/>
      </c>
      <c r="QPE6" s="97" t="str">
        <f t="shared" si="188"/>
        <v/>
      </c>
      <c r="QPF6" s="97" t="str">
        <f t="shared" si="188"/>
        <v/>
      </c>
      <c r="QPG6" s="97" t="str">
        <f t="shared" si="188"/>
        <v/>
      </c>
      <c r="QPH6" s="97" t="str">
        <f t="shared" si="188"/>
        <v/>
      </c>
      <c r="QPI6" s="97" t="str">
        <f t="shared" si="188"/>
        <v/>
      </c>
      <c r="QPJ6" s="97" t="str">
        <f t="shared" si="188"/>
        <v/>
      </c>
      <c r="QPK6" s="97" t="str">
        <f t="shared" si="188"/>
        <v/>
      </c>
      <c r="QPL6" s="97" t="str">
        <f t="shared" si="188"/>
        <v/>
      </c>
      <c r="QPM6" s="97" t="str">
        <f t="shared" si="188"/>
        <v/>
      </c>
      <c r="QPN6" s="97" t="str">
        <f t="shared" si="188"/>
        <v/>
      </c>
      <c r="QPO6" s="97" t="str">
        <f t="shared" si="188"/>
        <v/>
      </c>
      <c r="QPP6" s="97" t="str">
        <f t="shared" si="188"/>
        <v/>
      </c>
      <c r="QPQ6" s="97" t="str">
        <f t="shared" si="188"/>
        <v/>
      </c>
      <c r="QPR6" s="97" t="str">
        <f t="shared" si="188"/>
        <v/>
      </c>
      <c r="QPS6" s="97" t="str">
        <f t="shared" si="188"/>
        <v/>
      </c>
      <c r="QPT6" s="97" t="str">
        <f t="shared" si="188"/>
        <v/>
      </c>
      <c r="QPU6" s="97" t="str">
        <f t="shared" si="188"/>
        <v/>
      </c>
      <c r="QPV6" s="97" t="str">
        <f t="shared" si="188"/>
        <v/>
      </c>
      <c r="QPW6" s="97" t="str">
        <f t="shared" si="188"/>
        <v/>
      </c>
      <c r="QPX6" s="97" t="str">
        <f t="shared" si="188"/>
        <v/>
      </c>
      <c r="QPY6" s="97" t="str">
        <f t="shared" si="188"/>
        <v/>
      </c>
      <c r="QPZ6" s="97" t="str">
        <f t="shared" si="188"/>
        <v/>
      </c>
      <c r="QQA6" s="97" t="str">
        <f t="shared" si="188"/>
        <v/>
      </c>
      <c r="QQB6" s="97" t="str">
        <f t="shared" si="188"/>
        <v/>
      </c>
      <c r="QQC6" s="97" t="str">
        <f t="shared" si="188"/>
        <v/>
      </c>
      <c r="QQD6" s="97" t="str">
        <f t="shared" si="188"/>
        <v/>
      </c>
      <c r="QQE6" s="97" t="str">
        <f t="shared" si="188"/>
        <v/>
      </c>
      <c r="QQF6" s="97" t="str">
        <f t="shared" si="188"/>
        <v/>
      </c>
      <c r="QQG6" s="97" t="str">
        <f t="shared" si="188"/>
        <v/>
      </c>
      <c r="QQH6" s="97" t="str">
        <f t="shared" si="188"/>
        <v/>
      </c>
      <c r="QQI6" s="97" t="str">
        <f t="shared" si="188"/>
        <v/>
      </c>
      <c r="QQJ6" s="97" t="str">
        <f t="shared" si="188"/>
        <v/>
      </c>
      <c r="QQK6" s="97" t="str">
        <f t="shared" si="188"/>
        <v/>
      </c>
      <c r="QQL6" s="97" t="str">
        <f t="shared" si="188"/>
        <v/>
      </c>
      <c r="QQM6" s="97" t="str">
        <f t="shared" si="188"/>
        <v/>
      </c>
      <c r="QQN6" s="97" t="str">
        <f t="shared" si="188"/>
        <v/>
      </c>
      <c r="QQO6" s="97" t="str">
        <f t="shared" si="188"/>
        <v/>
      </c>
      <c r="QQP6" s="97" t="str">
        <f t="shared" si="188"/>
        <v/>
      </c>
      <c r="QQQ6" s="97" t="str">
        <f t="shared" si="188"/>
        <v/>
      </c>
      <c r="QQR6" s="97" t="str">
        <f t="shared" si="188"/>
        <v/>
      </c>
      <c r="QQS6" s="97" t="str">
        <f t="shared" si="188"/>
        <v/>
      </c>
      <c r="QQT6" s="97" t="str">
        <f t="shared" si="188"/>
        <v/>
      </c>
      <c r="QQU6" s="97" t="str">
        <f t="shared" si="188"/>
        <v/>
      </c>
      <c r="QQV6" s="97" t="str">
        <f t="shared" si="188"/>
        <v/>
      </c>
      <c r="QQW6" s="97" t="str">
        <f t="shared" si="188"/>
        <v/>
      </c>
      <c r="QQX6" s="97" t="str">
        <f t="shared" si="188"/>
        <v/>
      </c>
      <c r="QQY6" s="97" t="str">
        <f t="shared" si="188"/>
        <v/>
      </c>
      <c r="QQZ6" s="97" t="str">
        <f t="shared" si="188"/>
        <v/>
      </c>
      <c r="QRA6" s="97" t="str">
        <f t="shared" si="188"/>
        <v/>
      </c>
      <c r="QRB6" s="97" t="str">
        <f t="shared" si="188"/>
        <v/>
      </c>
      <c r="QRC6" s="97" t="str">
        <f t="shared" si="188"/>
        <v/>
      </c>
      <c r="QRD6" s="97" t="str">
        <f t="shared" si="188"/>
        <v/>
      </c>
      <c r="QRE6" s="97" t="str">
        <f t="shared" si="188"/>
        <v/>
      </c>
      <c r="QRF6" s="97" t="str">
        <f t="shared" si="188"/>
        <v/>
      </c>
      <c r="QRG6" s="97" t="str">
        <f t="shared" si="188"/>
        <v/>
      </c>
      <c r="QRH6" s="97" t="str">
        <f t="shared" si="188"/>
        <v/>
      </c>
      <c r="QRI6" s="97" t="str">
        <f t="shared" si="188"/>
        <v/>
      </c>
      <c r="QRJ6" s="97" t="str">
        <f t="shared" si="188"/>
        <v/>
      </c>
      <c r="QRK6" s="97" t="str">
        <f t="shared" si="188"/>
        <v/>
      </c>
      <c r="QRL6" s="97" t="str">
        <f t="shared" si="188"/>
        <v/>
      </c>
      <c r="QRM6" s="97" t="str">
        <f t="shared" si="188"/>
        <v/>
      </c>
      <c r="QRN6" s="97" t="str">
        <f t="shared" ref="QRN6:QTY6" si="189">IFERROR(AVERAGE(QRN7:QRN13),"")</f>
        <v/>
      </c>
      <c r="QRO6" s="97" t="str">
        <f t="shared" si="189"/>
        <v/>
      </c>
      <c r="QRP6" s="97" t="str">
        <f t="shared" si="189"/>
        <v/>
      </c>
      <c r="QRQ6" s="97" t="str">
        <f t="shared" si="189"/>
        <v/>
      </c>
      <c r="QRR6" s="97" t="str">
        <f t="shared" si="189"/>
        <v/>
      </c>
      <c r="QRS6" s="97" t="str">
        <f t="shared" si="189"/>
        <v/>
      </c>
      <c r="QRT6" s="97" t="str">
        <f t="shared" si="189"/>
        <v/>
      </c>
      <c r="QRU6" s="97" t="str">
        <f t="shared" si="189"/>
        <v/>
      </c>
      <c r="QRV6" s="97" t="str">
        <f t="shared" si="189"/>
        <v/>
      </c>
      <c r="QRW6" s="97" t="str">
        <f t="shared" si="189"/>
        <v/>
      </c>
      <c r="QRX6" s="97" t="str">
        <f t="shared" si="189"/>
        <v/>
      </c>
      <c r="QRY6" s="97" t="str">
        <f t="shared" si="189"/>
        <v/>
      </c>
      <c r="QRZ6" s="97" t="str">
        <f t="shared" si="189"/>
        <v/>
      </c>
      <c r="QSA6" s="97" t="str">
        <f t="shared" si="189"/>
        <v/>
      </c>
      <c r="QSB6" s="97" t="str">
        <f t="shared" si="189"/>
        <v/>
      </c>
      <c r="QSC6" s="97" t="str">
        <f t="shared" si="189"/>
        <v/>
      </c>
      <c r="QSD6" s="97" t="str">
        <f t="shared" si="189"/>
        <v/>
      </c>
      <c r="QSE6" s="97" t="str">
        <f t="shared" si="189"/>
        <v/>
      </c>
      <c r="QSF6" s="97" t="str">
        <f t="shared" si="189"/>
        <v/>
      </c>
      <c r="QSG6" s="97" t="str">
        <f t="shared" si="189"/>
        <v/>
      </c>
      <c r="QSH6" s="97" t="str">
        <f t="shared" si="189"/>
        <v/>
      </c>
      <c r="QSI6" s="97" t="str">
        <f t="shared" si="189"/>
        <v/>
      </c>
      <c r="QSJ6" s="97" t="str">
        <f t="shared" si="189"/>
        <v/>
      </c>
      <c r="QSK6" s="97" t="str">
        <f t="shared" si="189"/>
        <v/>
      </c>
      <c r="QSL6" s="97" t="str">
        <f t="shared" si="189"/>
        <v/>
      </c>
      <c r="QSM6" s="97" t="str">
        <f t="shared" si="189"/>
        <v/>
      </c>
      <c r="QSN6" s="97" t="str">
        <f t="shared" si="189"/>
        <v/>
      </c>
      <c r="QSO6" s="97" t="str">
        <f t="shared" si="189"/>
        <v/>
      </c>
      <c r="QSP6" s="97" t="str">
        <f t="shared" si="189"/>
        <v/>
      </c>
      <c r="QSQ6" s="97" t="str">
        <f t="shared" si="189"/>
        <v/>
      </c>
      <c r="QSR6" s="97" t="str">
        <f t="shared" si="189"/>
        <v/>
      </c>
      <c r="QSS6" s="97" t="str">
        <f t="shared" si="189"/>
        <v/>
      </c>
      <c r="QST6" s="97" t="str">
        <f t="shared" si="189"/>
        <v/>
      </c>
      <c r="QSU6" s="97" t="str">
        <f t="shared" si="189"/>
        <v/>
      </c>
      <c r="QSV6" s="97" t="str">
        <f t="shared" si="189"/>
        <v/>
      </c>
      <c r="QSW6" s="97" t="str">
        <f t="shared" si="189"/>
        <v/>
      </c>
      <c r="QSX6" s="97" t="str">
        <f t="shared" si="189"/>
        <v/>
      </c>
      <c r="QSY6" s="97" t="str">
        <f t="shared" si="189"/>
        <v/>
      </c>
      <c r="QSZ6" s="97" t="str">
        <f t="shared" si="189"/>
        <v/>
      </c>
      <c r="QTA6" s="97" t="str">
        <f t="shared" si="189"/>
        <v/>
      </c>
      <c r="QTB6" s="97" t="str">
        <f t="shared" si="189"/>
        <v/>
      </c>
      <c r="QTC6" s="97" t="str">
        <f t="shared" si="189"/>
        <v/>
      </c>
      <c r="QTD6" s="97" t="str">
        <f t="shared" si="189"/>
        <v/>
      </c>
      <c r="QTE6" s="97" t="str">
        <f t="shared" si="189"/>
        <v/>
      </c>
      <c r="QTF6" s="97" t="str">
        <f t="shared" si="189"/>
        <v/>
      </c>
      <c r="QTG6" s="97" t="str">
        <f t="shared" si="189"/>
        <v/>
      </c>
      <c r="QTH6" s="97" t="str">
        <f t="shared" si="189"/>
        <v/>
      </c>
      <c r="QTI6" s="97" t="str">
        <f t="shared" si="189"/>
        <v/>
      </c>
      <c r="QTJ6" s="97" t="str">
        <f t="shared" si="189"/>
        <v/>
      </c>
      <c r="QTK6" s="97" t="str">
        <f t="shared" si="189"/>
        <v/>
      </c>
      <c r="QTL6" s="97" t="str">
        <f t="shared" si="189"/>
        <v/>
      </c>
      <c r="QTM6" s="97" t="str">
        <f t="shared" si="189"/>
        <v/>
      </c>
      <c r="QTN6" s="97" t="str">
        <f t="shared" si="189"/>
        <v/>
      </c>
      <c r="QTO6" s="97" t="str">
        <f t="shared" si="189"/>
        <v/>
      </c>
      <c r="QTP6" s="97" t="str">
        <f t="shared" si="189"/>
        <v/>
      </c>
      <c r="QTQ6" s="97" t="str">
        <f t="shared" si="189"/>
        <v/>
      </c>
      <c r="QTR6" s="97" t="str">
        <f t="shared" si="189"/>
        <v/>
      </c>
      <c r="QTS6" s="97" t="str">
        <f t="shared" si="189"/>
        <v/>
      </c>
      <c r="QTT6" s="97" t="str">
        <f t="shared" si="189"/>
        <v/>
      </c>
      <c r="QTU6" s="97" t="str">
        <f t="shared" si="189"/>
        <v/>
      </c>
      <c r="QTV6" s="97" t="str">
        <f t="shared" si="189"/>
        <v/>
      </c>
      <c r="QTW6" s="97" t="str">
        <f t="shared" si="189"/>
        <v/>
      </c>
      <c r="QTX6" s="97" t="str">
        <f t="shared" si="189"/>
        <v/>
      </c>
      <c r="QTY6" s="97" t="str">
        <f t="shared" si="189"/>
        <v/>
      </c>
      <c r="QTZ6" s="97" t="str">
        <f t="shared" ref="QTZ6:QWK6" si="190">IFERROR(AVERAGE(QTZ7:QTZ13),"")</f>
        <v/>
      </c>
      <c r="QUA6" s="97" t="str">
        <f t="shared" si="190"/>
        <v/>
      </c>
      <c r="QUB6" s="97" t="str">
        <f t="shared" si="190"/>
        <v/>
      </c>
      <c r="QUC6" s="97" t="str">
        <f t="shared" si="190"/>
        <v/>
      </c>
      <c r="QUD6" s="97" t="str">
        <f t="shared" si="190"/>
        <v/>
      </c>
      <c r="QUE6" s="97" t="str">
        <f t="shared" si="190"/>
        <v/>
      </c>
      <c r="QUF6" s="97" t="str">
        <f t="shared" si="190"/>
        <v/>
      </c>
      <c r="QUG6" s="97" t="str">
        <f t="shared" si="190"/>
        <v/>
      </c>
      <c r="QUH6" s="97" t="str">
        <f t="shared" si="190"/>
        <v/>
      </c>
      <c r="QUI6" s="97" t="str">
        <f t="shared" si="190"/>
        <v/>
      </c>
      <c r="QUJ6" s="97" t="str">
        <f t="shared" si="190"/>
        <v/>
      </c>
      <c r="QUK6" s="97" t="str">
        <f t="shared" si="190"/>
        <v/>
      </c>
      <c r="QUL6" s="97" t="str">
        <f t="shared" si="190"/>
        <v/>
      </c>
      <c r="QUM6" s="97" t="str">
        <f t="shared" si="190"/>
        <v/>
      </c>
      <c r="QUN6" s="97" t="str">
        <f t="shared" si="190"/>
        <v/>
      </c>
      <c r="QUO6" s="97" t="str">
        <f t="shared" si="190"/>
        <v/>
      </c>
      <c r="QUP6" s="97" t="str">
        <f t="shared" si="190"/>
        <v/>
      </c>
      <c r="QUQ6" s="97" t="str">
        <f t="shared" si="190"/>
        <v/>
      </c>
      <c r="QUR6" s="97" t="str">
        <f t="shared" si="190"/>
        <v/>
      </c>
      <c r="QUS6" s="97" t="str">
        <f t="shared" si="190"/>
        <v/>
      </c>
      <c r="QUT6" s="97" t="str">
        <f t="shared" si="190"/>
        <v/>
      </c>
      <c r="QUU6" s="97" t="str">
        <f t="shared" si="190"/>
        <v/>
      </c>
      <c r="QUV6" s="97" t="str">
        <f t="shared" si="190"/>
        <v/>
      </c>
      <c r="QUW6" s="97" t="str">
        <f t="shared" si="190"/>
        <v/>
      </c>
      <c r="QUX6" s="97" t="str">
        <f t="shared" si="190"/>
        <v/>
      </c>
      <c r="QUY6" s="97" t="str">
        <f t="shared" si="190"/>
        <v/>
      </c>
      <c r="QUZ6" s="97" t="str">
        <f t="shared" si="190"/>
        <v/>
      </c>
      <c r="QVA6" s="97" t="str">
        <f t="shared" si="190"/>
        <v/>
      </c>
      <c r="QVB6" s="97" t="str">
        <f t="shared" si="190"/>
        <v/>
      </c>
      <c r="QVC6" s="97" t="str">
        <f t="shared" si="190"/>
        <v/>
      </c>
      <c r="QVD6" s="97" t="str">
        <f t="shared" si="190"/>
        <v/>
      </c>
      <c r="QVE6" s="97" t="str">
        <f t="shared" si="190"/>
        <v/>
      </c>
      <c r="QVF6" s="97" t="str">
        <f t="shared" si="190"/>
        <v/>
      </c>
      <c r="QVG6" s="97" t="str">
        <f t="shared" si="190"/>
        <v/>
      </c>
      <c r="QVH6" s="97" t="str">
        <f t="shared" si="190"/>
        <v/>
      </c>
      <c r="QVI6" s="97" t="str">
        <f t="shared" si="190"/>
        <v/>
      </c>
      <c r="QVJ6" s="97" t="str">
        <f t="shared" si="190"/>
        <v/>
      </c>
      <c r="QVK6" s="97" t="str">
        <f t="shared" si="190"/>
        <v/>
      </c>
      <c r="QVL6" s="97" t="str">
        <f t="shared" si="190"/>
        <v/>
      </c>
      <c r="QVM6" s="97" t="str">
        <f t="shared" si="190"/>
        <v/>
      </c>
      <c r="QVN6" s="97" t="str">
        <f t="shared" si="190"/>
        <v/>
      </c>
      <c r="QVO6" s="97" t="str">
        <f t="shared" si="190"/>
        <v/>
      </c>
      <c r="QVP6" s="97" t="str">
        <f t="shared" si="190"/>
        <v/>
      </c>
      <c r="QVQ6" s="97" t="str">
        <f t="shared" si="190"/>
        <v/>
      </c>
      <c r="QVR6" s="97" t="str">
        <f t="shared" si="190"/>
        <v/>
      </c>
      <c r="QVS6" s="97" t="str">
        <f t="shared" si="190"/>
        <v/>
      </c>
      <c r="QVT6" s="97" t="str">
        <f t="shared" si="190"/>
        <v/>
      </c>
      <c r="QVU6" s="97" t="str">
        <f t="shared" si="190"/>
        <v/>
      </c>
      <c r="QVV6" s="97" t="str">
        <f t="shared" si="190"/>
        <v/>
      </c>
      <c r="QVW6" s="97" t="str">
        <f t="shared" si="190"/>
        <v/>
      </c>
      <c r="QVX6" s="97" t="str">
        <f t="shared" si="190"/>
        <v/>
      </c>
      <c r="QVY6" s="97" t="str">
        <f t="shared" si="190"/>
        <v/>
      </c>
      <c r="QVZ6" s="97" t="str">
        <f t="shared" si="190"/>
        <v/>
      </c>
      <c r="QWA6" s="97" t="str">
        <f t="shared" si="190"/>
        <v/>
      </c>
      <c r="QWB6" s="97" t="str">
        <f t="shared" si="190"/>
        <v/>
      </c>
      <c r="QWC6" s="97" t="str">
        <f t="shared" si="190"/>
        <v/>
      </c>
      <c r="QWD6" s="97" t="str">
        <f t="shared" si="190"/>
        <v/>
      </c>
      <c r="QWE6" s="97" t="str">
        <f t="shared" si="190"/>
        <v/>
      </c>
      <c r="QWF6" s="97" t="str">
        <f t="shared" si="190"/>
        <v/>
      </c>
      <c r="QWG6" s="97" t="str">
        <f t="shared" si="190"/>
        <v/>
      </c>
      <c r="QWH6" s="97" t="str">
        <f t="shared" si="190"/>
        <v/>
      </c>
      <c r="QWI6" s="97" t="str">
        <f t="shared" si="190"/>
        <v/>
      </c>
      <c r="QWJ6" s="97" t="str">
        <f t="shared" si="190"/>
        <v/>
      </c>
      <c r="QWK6" s="97" t="str">
        <f t="shared" si="190"/>
        <v/>
      </c>
      <c r="QWL6" s="97" t="str">
        <f t="shared" ref="QWL6:QYW6" si="191">IFERROR(AVERAGE(QWL7:QWL13),"")</f>
        <v/>
      </c>
      <c r="QWM6" s="97" t="str">
        <f t="shared" si="191"/>
        <v/>
      </c>
      <c r="QWN6" s="97" t="str">
        <f t="shared" si="191"/>
        <v/>
      </c>
      <c r="QWO6" s="97" t="str">
        <f t="shared" si="191"/>
        <v/>
      </c>
      <c r="QWP6" s="97" t="str">
        <f t="shared" si="191"/>
        <v/>
      </c>
      <c r="QWQ6" s="97" t="str">
        <f t="shared" si="191"/>
        <v/>
      </c>
      <c r="QWR6" s="97" t="str">
        <f t="shared" si="191"/>
        <v/>
      </c>
      <c r="QWS6" s="97" t="str">
        <f t="shared" si="191"/>
        <v/>
      </c>
      <c r="QWT6" s="97" t="str">
        <f t="shared" si="191"/>
        <v/>
      </c>
      <c r="QWU6" s="97" t="str">
        <f t="shared" si="191"/>
        <v/>
      </c>
      <c r="QWV6" s="97" t="str">
        <f t="shared" si="191"/>
        <v/>
      </c>
      <c r="QWW6" s="97" t="str">
        <f t="shared" si="191"/>
        <v/>
      </c>
      <c r="QWX6" s="97" t="str">
        <f t="shared" si="191"/>
        <v/>
      </c>
      <c r="QWY6" s="97" t="str">
        <f t="shared" si="191"/>
        <v/>
      </c>
      <c r="QWZ6" s="97" t="str">
        <f t="shared" si="191"/>
        <v/>
      </c>
      <c r="QXA6" s="97" t="str">
        <f t="shared" si="191"/>
        <v/>
      </c>
      <c r="QXB6" s="97" t="str">
        <f t="shared" si="191"/>
        <v/>
      </c>
      <c r="QXC6" s="97" t="str">
        <f t="shared" si="191"/>
        <v/>
      </c>
      <c r="QXD6" s="97" t="str">
        <f t="shared" si="191"/>
        <v/>
      </c>
      <c r="QXE6" s="97" t="str">
        <f t="shared" si="191"/>
        <v/>
      </c>
      <c r="QXF6" s="97" t="str">
        <f t="shared" si="191"/>
        <v/>
      </c>
      <c r="QXG6" s="97" t="str">
        <f t="shared" si="191"/>
        <v/>
      </c>
      <c r="QXH6" s="97" t="str">
        <f t="shared" si="191"/>
        <v/>
      </c>
      <c r="QXI6" s="97" t="str">
        <f t="shared" si="191"/>
        <v/>
      </c>
      <c r="QXJ6" s="97" t="str">
        <f t="shared" si="191"/>
        <v/>
      </c>
      <c r="QXK6" s="97" t="str">
        <f t="shared" si="191"/>
        <v/>
      </c>
      <c r="QXL6" s="97" t="str">
        <f t="shared" si="191"/>
        <v/>
      </c>
      <c r="QXM6" s="97" t="str">
        <f t="shared" si="191"/>
        <v/>
      </c>
      <c r="QXN6" s="97" t="str">
        <f t="shared" si="191"/>
        <v/>
      </c>
      <c r="QXO6" s="97" t="str">
        <f t="shared" si="191"/>
        <v/>
      </c>
      <c r="QXP6" s="97" t="str">
        <f t="shared" si="191"/>
        <v/>
      </c>
      <c r="QXQ6" s="97" t="str">
        <f t="shared" si="191"/>
        <v/>
      </c>
      <c r="QXR6" s="97" t="str">
        <f t="shared" si="191"/>
        <v/>
      </c>
      <c r="QXS6" s="97" t="str">
        <f t="shared" si="191"/>
        <v/>
      </c>
      <c r="QXT6" s="97" t="str">
        <f t="shared" si="191"/>
        <v/>
      </c>
      <c r="QXU6" s="97" t="str">
        <f t="shared" si="191"/>
        <v/>
      </c>
      <c r="QXV6" s="97" t="str">
        <f t="shared" si="191"/>
        <v/>
      </c>
      <c r="QXW6" s="97" t="str">
        <f t="shared" si="191"/>
        <v/>
      </c>
      <c r="QXX6" s="97" t="str">
        <f t="shared" si="191"/>
        <v/>
      </c>
      <c r="QXY6" s="97" t="str">
        <f t="shared" si="191"/>
        <v/>
      </c>
      <c r="QXZ6" s="97" t="str">
        <f t="shared" si="191"/>
        <v/>
      </c>
      <c r="QYA6" s="97" t="str">
        <f t="shared" si="191"/>
        <v/>
      </c>
      <c r="QYB6" s="97" t="str">
        <f t="shared" si="191"/>
        <v/>
      </c>
      <c r="QYC6" s="97" t="str">
        <f t="shared" si="191"/>
        <v/>
      </c>
      <c r="QYD6" s="97" t="str">
        <f t="shared" si="191"/>
        <v/>
      </c>
      <c r="QYE6" s="97" t="str">
        <f t="shared" si="191"/>
        <v/>
      </c>
      <c r="QYF6" s="97" t="str">
        <f t="shared" si="191"/>
        <v/>
      </c>
      <c r="QYG6" s="97" t="str">
        <f t="shared" si="191"/>
        <v/>
      </c>
      <c r="QYH6" s="97" t="str">
        <f t="shared" si="191"/>
        <v/>
      </c>
      <c r="QYI6" s="97" t="str">
        <f t="shared" si="191"/>
        <v/>
      </c>
      <c r="QYJ6" s="97" t="str">
        <f t="shared" si="191"/>
        <v/>
      </c>
      <c r="QYK6" s="97" t="str">
        <f t="shared" si="191"/>
        <v/>
      </c>
      <c r="QYL6" s="97" t="str">
        <f t="shared" si="191"/>
        <v/>
      </c>
      <c r="QYM6" s="97" t="str">
        <f t="shared" si="191"/>
        <v/>
      </c>
      <c r="QYN6" s="97" t="str">
        <f t="shared" si="191"/>
        <v/>
      </c>
      <c r="QYO6" s="97" t="str">
        <f t="shared" si="191"/>
        <v/>
      </c>
      <c r="QYP6" s="97" t="str">
        <f t="shared" si="191"/>
        <v/>
      </c>
      <c r="QYQ6" s="97" t="str">
        <f t="shared" si="191"/>
        <v/>
      </c>
      <c r="QYR6" s="97" t="str">
        <f t="shared" si="191"/>
        <v/>
      </c>
      <c r="QYS6" s="97" t="str">
        <f t="shared" si="191"/>
        <v/>
      </c>
      <c r="QYT6" s="97" t="str">
        <f t="shared" si="191"/>
        <v/>
      </c>
      <c r="QYU6" s="97" t="str">
        <f t="shared" si="191"/>
        <v/>
      </c>
      <c r="QYV6" s="97" t="str">
        <f t="shared" si="191"/>
        <v/>
      </c>
      <c r="QYW6" s="97" t="str">
        <f t="shared" si="191"/>
        <v/>
      </c>
      <c r="QYX6" s="97" t="str">
        <f t="shared" ref="QYX6:RBI6" si="192">IFERROR(AVERAGE(QYX7:QYX13),"")</f>
        <v/>
      </c>
      <c r="QYY6" s="97" t="str">
        <f t="shared" si="192"/>
        <v/>
      </c>
      <c r="QYZ6" s="97" t="str">
        <f t="shared" si="192"/>
        <v/>
      </c>
      <c r="QZA6" s="97" t="str">
        <f t="shared" si="192"/>
        <v/>
      </c>
      <c r="QZB6" s="97" t="str">
        <f t="shared" si="192"/>
        <v/>
      </c>
      <c r="QZC6" s="97" t="str">
        <f t="shared" si="192"/>
        <v/>
      </c>
      <c r="QZD6" s="97" t="str">
        <f t="shared" si="192"/>
        <v/>
      </c>
      <c r="QZE6" s="97" t="str">
        <f t="shared" si="192"/>
        <v/>
      </c>
      <c r="QZF6" s="97" t="str">
        <f t="shared" si="192"/>
        <v/>
      </c>
      <c r="QZG6" s="97" t="str">
        <f t="shared" si="192"/>
        <v/>
      </c>
      <c r="QZH6" s="97" t="str">
        <f t="shared" si="192"/>
        <v/>
      </c>
      <c r="QZI6" s="97" t="str">
        <f t="shared" si="192"/>
        <v/>
      </c>
      <c r="QZJ6" s="97" t="str">
        <f t="shared" si="192"/>
        <v/>
      </c>
      <c r="QZK6" s="97" t="str">
        <f t="shared" si="192"/>
        <v/>
      </c>
      <c r="QZL6" s="97" t="str">
        <f t="shared" si="192"/>
        <v/>
      </c>
      <c r="QZM6" s="97" t="str">
        <f t="shared" si="192"/>
        <v/>
      </c>
      <c r="QZN6" s="97" t="str">
        <f t="shared" si="192"/>
        <v/>
      </c>
      <c r="QZO6" s="97" t="str">
        <f t="shared" si="192"/>
        <v/>
      </c>
      <c r="QZP6" s="97" t="str">
        <f t="shared" si="192"/>
        <v/>
      </c>
      <c r="QZQ6" s="97" t="str">
        <f t="shared" si="192"/>
        <v/>
      </c>
      <c r="QZR6" s="97" t="str">
        <f t="shared" si="192"/>
        <v/>
      </c>
      <c r="QZS6" s="97" t="str">
        <f t="shared" si="192"/>
        <v/>
      </c>
      <c r="QZT6" s="97" t="str">
        <f t="shared" si="192"/>
        <v/>
      </c>
      <c r="QZU6" s="97" t="str">
        <f t="shared" si="192"/>
        <v/>
      </c>
      <c r="QZV6" s="97" t="str">
        <f t="shared" si="192"/>
        <v/>
      </c>
      <c r="QZW6" s="97" t="str">
        <f t="shared" si="192"/>
        <v/>
      </c>
      <c r="QZX6" s="97" t="str">
        <f t="shared" si="192"/>
        <v/>
      </c>
      <c r="QZY6" s="97" t="str">
        <f t="shared" si="192"/>
        <v/>
      </c>
      <c r="QZZ6" s="97" t="str">
        <f t="shared" si="192"/>
        <v/>
      </c>
      <c r="RAA6" s="97" t="str">
        <f t="shared" si="192"/>
        <v/>
      </c>
      <c r="RAB6" s="97" t="str">
        <f t="shared" si="192"/>
        <v/>
      </c>
      <c r="RAC6" s="97" t="str">
        <f t="shared" si="192"/>
        <v/>
      </c>
      <c r="RAD6" s="97" t="str">
        <f t="shared" si="192"/>
        <v/>
      </c>
      <c r="RAE6" s="97" t="str">
        <f t="shared" si="192"/>
        <v/>
      </c>
      <c r="RAF6" s="97" t="str">
        <f t="shared" si="192"/>
        <v/>
      </c>
      <c r="RAG6" s="97" t="str">
        <f t="shared" si="192"/>
        <v/>
      </c>
      <c r="RAH6" s="97" t="str">
        <f t="shared" si="192"/>
        <v/>
      </c>
      <c r="RAI6" s="97" t="str">
        <f t="shared" si="192"/>
        <v/>
      </c>
      <c r="RAJ6" s="97" t="str">
        <f t="shared" si="192"/>
        <v/>
      </c>
      <c r="RAK6" s="97" t="str">
        <f t="shared" si="192"/>
        <v/>
      </c>
      <c r="RAL6" s="97" t="str">
        <f t="shared" si="192"/>
        <v/>
      </c>
      <c r="RAM6" s="97" t="str">
        <f t="shared" si="192"/>
        <v/>
      </c>
      <c r="RAN6" s="97" t="str">
        <f t="shared" si="192"/>
        <v/>
      </c>
      <c r="RAO6" s="97" t="str">
        <f t="shared" si="192"/>
        <v/>
      </c>
      <c r="RAP6" s="97" t="str">
        <f t="shared" si="192"/>
        <v/>
      </c>
      <c r="RAQ6" s="97" t="str">
        <f t="shared" si="192"/>
        <v/>
      </c>
      <c r="RAR6" s="97" t="str">
        <f t="shared" si="192"/>
        <v/>
      </c>
      <c r="RAS6" s="97" t="str">
        <f t="shared" si="192"/>
        <v/>
      </c>
      <c r="RAT6" s="97" t="str">
        <f t="shared" si="192"/>
        <v/>
      </c>
      <c r="RAU6" s="97" t="str">
        <f t="shared" si="192"/>
        <v/>
      </c>
      <c r="RAV6" s="97" t="str">
        <f t="shared" si="192"/>
        <v/>
      </c>
      <c r="RAW6" s="97" t="str">
        <f t="shared" si="192"/>
        <v/>
      </c>
      <c r="RAX6" s="97" t="str">
        <f t="shared" si="192"/>
        <v/>
      </c>
      <c r="RAY6" s="97" t="str">
        <f t="shared" si="192"/>
        <v/>
      </c>
      <c r="RAZ6" s="97" t="str">
        <f t="shared" si="192"/>
        <v/>
      </c>
      <c r="RBA6" s="97" t="str">
        <f t="shared" si="192"/>
        <v/>
      </c>
      <c r="RBB6" s="97" t="str">
        <f t="shared" si="192"/>
        <v/>
      </c>
      <c r="RBC6" s="97" t="str">
        <f t="shared" si="192"/>
        <v/>
      </c>
      <c r="RBD6" s="97" t="str">
        <f t="shared" si="192"/>
        <v/>
      </c>
      <c r="RBE6" s="97" t="str">
        <f t="shared" si="192"/>
        <v/>
      </c>
      <c r="RBF6" s="97" t="str">
        <f t="shared" si="192"/>
        <v/>
      </c>
      <c r="RBG6" s="97" t="str">
        <f t="shared" si="192"/>
        <v/>
      </c>
      <c r="RBH6" s="97" t="str">
        <f t="shared" si="192"/>
        <v/>
      </c>
      <c r="RBI6" s="97" t="str">
        <f t="shared" si="192"/>
        <v/>
      </c>
      <c r="RBJ6" s="97" t="str">
        <f t="shared" ref="RBJ6:RDU6" si="193">IFERROR(AVERAGE(RBJ7:RBJ13),"")</f>
        <v/>
      </c>
      <c r="RBK6" s="97" t="str">
        <f t="shared" si="193"/>
        <v/>
      </c>
      <c r="RBL6" s="97" t="str">
        <f t="shared" si="193"/>
        <v/>
      </c>
      <c r="RBM6" s="97" t="str">
        <f t="shared" si="193"/>
        <v/>
      </c>
      <c r="RBN6" s="97" t="str">
        <f t="shared" si="193"/>
        <v/>
      </c>
      <c r="RBO6" s="97" t="str">
        <f t="shared" si="193"/>
        <v/>
      </c>
      <c r="RBP6" s="97" t="str">
        <f t="shared" si="193"/>
        <v/>
      </c>
      <c r="RBQ6" s="97" t="str">
        <f t="shared" si="193"/>
        <v/>
      </c>
      <c r="RBR6" s="97" t="str">
        <f t="shared" si="193"/>
        <v/>
      </c>
      <c r="RBS6" s="97" t="str">
        <f t="shared" si="193"/>
        <v/>
      </c>
      <c r="RBT6" s="97" t="str">
        <f t="shared" si="193"/>
        <v/>
      </c>
      <c r="RBU6" s="97" t="str">
        <f t="shared" si="193"/>
        <v/>
      </c>
      <c r="RBV6" s="97" t="str">
        <f t="shared" si="193"/>
        <v/>
      </c>
      <c r="RBW6" s="97" t="str">
        <f t="shared" si="193"/>
        <v/>
      </c>
      <c r="RBX6" s="97" t="str">
        <f t="shared" si="193"/>
        <v/>
      </c>
      <c r="RBY6" s="97" t="str">
        <f t="shared" si="193"/>
        <v/>
      </c>
      <c r="RBZ6" s="97" t="str">
        <f t="shared" si="193"/>
        <v/>
      </c>
      <c r="RCA6" s="97" t="str">
        <f t="shared" si="193"/>
        <v/>
      </c>
      <c r="RCB6" s="97" t="str">
        <f t="shared" si="193"/>
        <v/>
      </c>
      <c r="RCC6" s="97" t="str">
        <f t="shared" si="193"/>
        <v/>
      </c>
      <c r="RCD6" s="97" t="str">
        <f t="shared" si="193"/>
        <v/>
      </c>
      <c r="RCE6" s="97" t="str">
        <f t="shared" si="193"/>
        <v/>
      </c>
      <c r="RCF6" s="97" t="str">
        <f t="shared" si="193"/>
        <v/>
      </c>
      <c r="RCG6" s="97" t="str">
        <f t="shared" si="193"/>
        <v/>
      </c>
      <c r="RCH6" s="97" t="str">
        <f t="shared" si="193"/>
        <v/>
      </c>
      <c r="RCI6" s="97" t="str">
        <f t="shared" si="193"/>
        <v/>
      </c>
      <c r="RCJ6" s="97" t="str">
        <f t="shared" si="193"/>
        <v/>
      </c>
      <c r="RCK6" s="97" t="str">
        <f t="shared" si="193"/>
        <v/>
      </c>
      <c r="RCL6" s="97" t="str">
        <f t="shared" si="193"/>
        <v/>
      </c>
      <c r="RCM6" s="97" t="str">
        <f t="shared" si="193"/>
        <v/>
      </c>
      <c r="RCN6" s="97" t="str">
        <f t="shared" si="193"/>
        <v/>
      </c>
      <c r="RCO6" s="97" t="str">
        <f t="shared" si="193"/>
        <v/>
      </c>
      <c r="RCP6" s="97" t="str">
        <f t="shared" si="193"/>
        <v/>
      </c>
      <c r="RCQ6" s="97" t="str">
        <f t="shared" si="193"/>
        <v/>
      </c>
      <c r="RCR6" s="97" t="str">
        <f t="shared" si="193"/>
        <v/>
      </c>
      <c r="RCS6" s="97" t="str">
        <f t="shared" si="193"/>
        <v/>
      </c>
      <c r="RCT6" s="97" t="str">
        <f t="shared" si="193"/>
        <v/>
      </c>
      <c r="RCU6" s="97" t="str">
        <f t="shared" si="193"/>
        <v/>
      </c>
      <c r="RCV6" s="97" t="str">
        <f t="shared" si="193"/>
        <v/>
      </c>
      <c r="RCW6" s="97" t="str">
        <f t="shared" si="193"/>
        <v/>
      </c>
      <c r="RCX6" s="97" t="str">
        <f t="shared" si="193"/>
        <v/>
      </c>
      <c r="RCY6" s="97" t="str">
        <f t="shared" si="193"/>
        <v/>
      </c>
      <c r="RCZ6" s="97" t="str">
        <f t="shared" si="193"/>
        <v/>
      </c>
      <c r="RDA6" s="97" t="str">
        <f t="shared" si="193"/>
        <v/>
      </c>
      <c r="RDB6" s="97" t="str">
        <f t="shared" si="193"/>
        <v/>
      </c>
      <c r="RDC6" s="97" t="str">
        <f t="shared" si="193"/>
        <v/>
      </c>
      <c r="RDD6" s="97" t="str">
        <f t="shared" si="193"/>
        <v/>
      </c>
      <c r="RDE6" s="97" t="str">
        <f t="shared" si="193"/>
        <v/>
      </c>
      <c r="RDF6" s="97" t="str">
        <f t="shared" si="193"/>
        <v/>
      </c>
      <c r="RDG6" s="97" t="str">
        <f t="shared" si="193"/>
        <v/>
      </c>
      <c r="RDH6" s="97" t="str">
        <f t="shared" si="193"/>
        <v/>
      </c>
      <c r="RDI6" s="97" t="str">
        <f t="shared" si="193"/>
        <v/>
      </c>
      <c r="RDJ6" s="97" t="str">
        <f t="shared" si="193"/>
        <v/>
      </c>
      <c r="RDK6" s="97" t="str">
        <f t="shared" si="193"/>
        <v/>
      </c>
      <c r="RDL6" s="97" t="str">
        <f t="shared" si="193"/>
        <v/>
      </c>
      <c r="RDM6" s="97" t="str">
        <f t="shared" si="193"/>
        <v/>
      </c>
      <c r="RDN6" s="97" t="str">
        <f t="shared" si="193"/>
        <v/>
      </c>
      <c r="RDO6" s="97" t="str">
        <f t="shared" si="193"/>
        <v/>
      </c>
      <c r="RDP6" s="97" t="str">
        <f t="shared" si="193"/>
        <v/>
      </c>
      <c r="RDQ6" s="97" t="str">
        <f t="shared" si="193"/>
        <v/>
      </c>
      <c r="RDR6" s="97" t="str">
        <f t="shared" si="193"/>
        <v/>
      </c>
      <c r="RDS6" s="97" t="str">
        <f t="shared" si="193"/>
        <v/>
      </c>
      <c r="RDT6" s="97" t="str">
        <f t="shared" si="193"/>
        <v/>
      </c>
      <c r="RDU6" s="97" t="str">
        <f t="shared" si="193"/>
        <v/>
      </c>
      <c r="RDV6" s="97" t="str">
        <f t="shared" ref="RDV6:RGG6" si="194">IFERROR(AVERAGE(RDV7:RDV13),"")</f>
        <v/>
      </c>
      <c r="RDW6" s="97" t="str">
        <f t="shared" si="194"/>
        <v/>
      </c>
      <c r="RDX6" s="97" t="str">
        <f t="shared" si="194"/>
        <v/>
      </c>
      <c r="RDY6" s="97" t="str">
        <f t="shared" si="194"/>
        <v/>
      </c>
      <c r="RDZ6" s="97" t="str">
        <f t="shared" si="194"/>
        <v/>
      </c>
      <c r="REA6" s="97" t="str">
        <f t="shared" si="194"/>
        <v/>
      </c>
      <c r="REB6" s="97" t="str">
        <f t="shared" si="194"/>
        <v/>
      </c>
      <c r="REC6" s="97" t="str">
        <f t="shared" si="194"/>
        <v/>
      </c>
      <c r="RED6" s="97" t="str">
        <f t="shared" si="194"/>
        <v/>
      </c>
      <c r="REE6" s="97" t="str">
        <f t="shared" si="194"/>
        <v/>
      </c>
      <c r="REF6" s="97" t="str">
        <f t="shared" si="194"/>
        <v/>
      </c>
      <c r="REG6" s="97" t="str">
        <f t="shared" si="194"/>
        <v/>
      </c>
      <c r="REH6" s="97" t="str">
        <f t="shared" si="194"/>
        <v/>
      </c>
      <c r="REI6" s="97" t="str">
        <f t="shared" si="194"/>
        <v/>
      </c>
      <c r="REJ6" s="97" t="str">
        <f t="shared" si="194"/>
        <v/>
      </c>
      <c r="REK6" s="97" t="str">
        <f t="shared" si="194"/>
        <v/>
      </c>
      <c r="REL6" s="97" t="str">
        <f t="shared" si="194"/>
        <v/>
      </c>
      <c r="REM6" s="97" t="str">
        <f t="shared" si="194"/>
        <v/>
      </c>
      <c r="REN6" s="97" t="str">
        <f t="shared" si="194"/>
        <v/>
      </c>
      <c r="REO6" s="97" t="str">
        <f t="shared" si="194"/>
        <v/>
      </c>
      <c r="REP6" s="97" t="str">
        <f t="shared" si="194"/>
        <v/>
      </c>
      <c r="REQ6" s="97" t="str">
        <f t="shared" si="194"/>
        <v/>
      </c>
      <c r="RER6" s="97" t="str">
        <f t="shared" si="194"/>
        <v/>
      </c>
      <c r="RES6" s="97" t="str">
        <f t="shared" si="194"/>
        <v/>
      </c>
      <c r="RET6" s="97" t="str">
        <f t="shared" si="194"/>
        <v/>
      </c>
      <c r="REU6" s="97" t="str">
        <f t="shared" si="194"/>
        <v/>
      </c>
      <c r="REV6" s="97" t="str">
        <f t="shared" si="194"/>
        <v/>
      </c>
      <c r="REW6" s="97" t="str">
        <f t="shared" si="194"/>
        <v/>
      </c>
      <c r="REX6" s="97" t="str">
        <f t="shared" si="194"/>
        <v/>
      </c>
      <c r="REY6" s="97" t="str">
        <f t="shared" si="194"/>
        <v/>
      </c>
      <c r="REZ6" s="97" t="str">
        <f t="shared" si="194"/>
        <v/>
      </c>
      <c r="RFA6" s="97" t="str">
        <f t="shared" si="194"/>
        <v/>
      </c>
      <c r="RFB6" s="97" t="str">
        <f t="shared" si="194"/>
        <v/>
      </c>
      <c r="RFC6" s="97" t="str">
        <f t="shared" si="194"/>
        <v/>
      </c>
      <c r="RFD6" s="97" t="str">
        <f t="shared" si="194"/>
        <v/>
      </c>
      <c r="RFE6" s="97" t="str">
        <f t="shared" si="194"/>
        <v/>
      </c>
      <c r="RFF6" s="97" t="str">
        <f t="shared" si="194"/>
        <v/>
      </c>
      <c r="RFG6" s="97" t="str">
        <f t="shared" si="194"/>
        <v/>
      </c>
      <c r="RFH6" s="97" t="str">
        <f t="shared" si="194"/>
        <v/>
      </c>
      <c r="RFI6" s="97" t="str">
        <f t="shared" si="194"/>
        <v/>
      </c>
      <c r="RFJ6" s="97" t="str">
        <f t="shared" si="194"/>
        <v/>
      </c>
      <c r="RFK6" s="97" t="str">
        <f t="shared" si="194"/>
        <v/>
      </c>
      <c r="RFL6" s="97" t="str">
        <f t="shared" si="194"/>
        <v/>
      </c>
      <c r="RFM6" s="97" t="str">
        <f t="shared" si="194"/>
        <v/>
      </c>
      <c r="RFN6" s="97" t="str">
        <f t="shared" si="194"/>
        <v/>
      </c>
      <c r="RFO6" s="97" t="str">
        <f t="shared" si="194"/>
        <v/>
      </c>
      <c r="RFP6" s="97" t="str">
        <f t="shared" si="194"/>
        <v/>
      </c>
      <c r="RFQ6" s="97" t="str">
        <f t="shared" si="194"/>
        <v/>
      </c>
      <c r="RFR6" s="97" t="str">
        <f t="shared" si="194"/>
        <v/>
      </c>
      <c r="RFS6" s="97" t="str">
        <f t="shared" si="194"/>
        <v/>
      </c>
      <c r="RFT6" s="97" t="str">
        <f t="shared" si="194"/>
        <v/>
      </c>
      <c r="RFU6" s="97" t="str">
        <f t="shared" si="194"/>
        <v/>
      </c>
      <c r="RFV6" s="97" t="str">
        <f t="shared" si="194"/>
        <v/>
      </c>
      <c r="RFW6" s="97" t="str">
        <f t="shared" si="194"/>
        <v/>
      </c>
      <c r="RFX6" s="97" t="str">
        <f t="shared" si="194"/>
        <v/>
      </c>
      <c r="RFY6" s="97" t="str">
        <f t="shared" si="194"/>
        <v/>
      </c>
      <c r="RFZ6" s="97" t="str">
        <f t="shared" si="194"/>
        <v/>
      </c>
      <c r="RGA6" s="97" t="str">
        <f t="shared" si="194"/>
        <v/>
      </c>
      <c r="RGB6" s="97" t="str">
        <f t="shared" si="194"/>
        <v/>
      </c>
      <c r="RGC6" s="97" t="str">
        <f t="shared" si="194"/>
        <v/>
      </c>
      <c r="RGD6" s="97" t="str">
        <f t="shared" si="194"/>
        <v/>
      </c>
      <c r="RGE6" s="97" t="str">
        <f t="shared" si="194"/>
        <v/>
      </c>
      <c r="RGF6" s="97" t="str">
        <f t="shared" si="194"/>
        <v/>
      </c>
      <c r="RGG6" s="97" t="str">
        <f t="shared" si="194"/>
        <v/>
      </c>
      <c r="RGH6" s="97" t="str">
        <f t="shared" ref="RGH6:RIS6" si="195">IFERROR(AVERAGE(RGH7:RGH13),"")</f>
        <v/>
      </c>
      <c r="RGI6" s="97" t="str">
        <f t="shared" si="195"/>
        <v/>
      </c>
      <c r="RGJ6" s="97" t="str">
        <f t="shared" si="195"/>
        <v/>
      </c>
      <c r="RGK6" s="97" t="str">
        <f t="shared" si="195"/>
        <v/>
      </c>
      <c r="RGL6" s="97" t="str">
        <f t="shared" si="195"/>
        <v/>
      </c>
      <c r="RGM6" s="97" t="str">
        <f t="shared" si="195"/>
        <v/>
      </c>
      <c r="RGN6" s="97" t="str">
        <f t="shared" si="195"/>
        <v/>
      </c>
      <c r="RGO6" s="97" t="str">
        <f t="shared" si="195"/>
        <v/>
      </c>
      <c r="RGP6" s="97" t="str">
        <f t="shared" si="195"/>
        <v/>
      </c>
      <c r="RGQ6" s="97" t="str">
        <f t="shared" si="195"/>
        <v/>
      </c>
      <c r="RGR6" s="97" t="str">
        <f t="shared" si="195"/>
        <v/>
      </c>
      <c r="RGS6" s="97" t="str">
        <f t="shared" si="195"/>
        <v/>
      </c>
      <c r="RGT6" s="97" t="str">
        <f t="shared" si="195"/>
        <v/>
      </c>
      <c r="RGU6" s="97" t="str">
        <f t="shared" si="195"/>
        <v/>
      </c>
      <c r="RGV6" s="97" t="str">
        <f t="shared" si="195"/>
        <v/>
      </c>
      <c r="RGW6" s="97" t="str">
        <f t="shared" si="195"/>
        <v/>
      </c>
      <c r="RGX6" s="97" t="str">
        <f t="shared" si="195"/>
        <v/>
      </c>
      <c r="RGY6" s="97" t="str">
        <f t="shared" si="195"/>
        <v/>
      </c>
      <c r="RGZ6" s="97" t="str">
        <f t="shared" si="195"/>
        <v/>
      </c>
      <c r="RHA6" s="97" t="str">
        <f t="shared" si="195"/>
        <v/>
      </c>
      <c r="RHB6" s="97" t="str">
        <f t="shared" si="195"/>
        <v/>
      </c>
      <c r="RHC6" s="97" t="str">
        <f t="shared" si="195"/>
        <v/>
      </c>
      <c r="RHD6" s="97" t="str">
        <f t="shared" si="195"/>
        <v/>
      </c>
      <c r="RHE6" s="97" t="str">
        <f t="shared" si="195"/>
        <v/>
      </c>
      <c r="RHF6" s="97" t="str">
        <f t="shared" si="195"/>
        <v/>
      </c>
      <c r="RHG6" s="97" t="str">
        <f t="shared" si="195"/>
        <v/>
      </c>
      <c r="RHH6" s="97" t="str">
        <f t="shared" si="195"/>
        <v/>
      </c>
      <c r="RHI6" s="97" t="str">
        <f t="shared" si="195"/>
        <v/>
      </c>
      <c r="RHJ6" s="97" t="str">
        <f t="shared" si="195"/>
        <v/>
      </c>
      <c r="RHK6" s="97" t="str">
        <f t="shared" si="195"/>
        <v/>
      </c>
      <c r="RHL6" s="97" t="str">
        <f t="shared" si="195"/>
        <v/>
      </c>
      <c r="RHM6" s="97" t="str">
        <f t="shared" si="195"/>
        <v/>
      </c>
      <c r="RHN6" s="97" t="str">
        <f t="shared" si="195"/>
        <v/>
      </c>
      <c r="RHO6" s="97" t="str">
        <f t="shared" si="195"/>
        <v/>
      </c>
      <c r="RHP6" s="97" t="str">
        <f t="shared" si="195"/>
        <v/>
      </c>
      <c r="RHQ6" s="97" t="str">
        <f t="shared" si="195"/>
        <v/>
      </c>
      <c r="RHR6" s="97" t="str">
        <f t="shared" si="195"/>
        <v/>
      </c>
      <c r="RHS6" s="97" t="str">
        <f t="shared" si="195"/>
        <v/>
      </c>
      <c r="RHT6" s="97" t="str">
        <f t="shared" si="195"/>
        <v/>
      </c>
      <c r="RHU6" s="97" t="str">
        <f t="shared" si="195"/>
        <v/>
      </c>
      <c r="RHV6" s="97" t="str">
        <f t="shared" si="195"/>
        <v/>
      </c>
      <c r="RHW6" s="97" t="str">
        <f t="shared" si="195"/>
        <v/>
      </c>
      <c r="RHX6" s="97" t="str">
        <f t="shared" si="195"/>
        <v/>
      </c>
      <c r="RHY6" s="97" t="str">
        <f t="shared" si="195"/>
        <v/>
      </c>
      <c r="RHZ6" s="97" t="str">
        <f t="shared" si="195"/>
        <v/>
      </c>
      <c r="RIA6" s="97" t="str">
        <f t="shared" si="195"/>
        <v/>
      </c>
      <c r="RIB6" s="97" t="str">
        <f t="shared" si="195"/>
        <v/>
      </c>
      <c r="RIC6" s="97" t="str">
        <f t="shared" si="195"/>
        <v/>
      </c>
      <c r="RID6" s="97" t="str">
        <f t="shared" si="195"/>
        <v/>
      </c>
      <c r="RIE6" s="97" t="str">
        <f t="shared" si="195"/>
        <v/>
      </c>
      <c r="RIF6" s="97" t="str">
        <f t="shared" si="195"/>
        <v/>
      </c>
      <c r="RIG6" s="97" t="str">
        <f t="shared" si="195"/>
        <v/>
      </c>
      <c r="RIH6" s="97" t="str">
        <f t="shared" si="195"/>
        <v/>
      </c>
      <c r="RII6" s="97" t="str">
        <f t="shared" si="195"/>
        <v/>
      </c>
      <c r="RIJ6" s="97" t="str">
        <f t="shared" si="195"/>
        <v/>
      </c>
      <c r="RIK6" s="97" t="str">
        <f t="shared" si="195"/>
        <v/>
      </c>
      <c r="RIL6" s="97" t="str">
        <f t="shared" si="195"/>
        <v/>
      </c>
      <c r="RIM6" s="97" t="str">
        <f t="shared" si="195"/>
        <v/>
      </c>
      <c r="RIN6" s="97" t="str">
        <f t="shared" si="195"/>
        <v/>
      </c>
      <c r="RIO6" s="97" t="str">
        <f t="shared" si="195"/>
        <v/>
      </c>
      <c r="RIP6" s="97" t="str">
        <f t="shared" si="195"/>
        <v/>
      </c>
      <c r="RIQ6" s="97" t="str">
        <f t="shared" si="195"/>
        <v/>
      </c>
      <c r="RIR6" s="97" t="str">
        <f t="shared" si="195"/>
        <v/>
      </c>
      <c r="RIS6" s="97" t="str">
        <f t="shared" si="195"/>
        <v/>
      </c>
      <c r="RIT6" s="97" t="str">
        <f t="shared" ref="RIT6:RLE6" si="196">IFERROR(AVERAGE(RIT7:RIT13),"")</f>
        <v/>
      </c>
      <c r="RIU6" s="97" t="str">
        <f t="shared" si="196"/>
        <v/>
      </c>
      <c r="RIV6" s="97" t="str">
        <f t="shared" si="196"/>
        <v/>
      </c>
      <c r="RIW6" s="97" t="str">
        <f t="shared" si="196"/>
        <v/>
      </c>
      <c r="RIX6" s="97" t="str">
        <f t="shared" si="196"/>
        <v/>
      </c>
      <c r="RIY6" s="97" t="str">
        <f t="shared" si="196"/>
        <v/>
      </c>
      <c r="RIZ6" s="97" t="str">
        <f t="shared" si="196"/>
        <v/>
      </c>
      <c r="RJA6" s="97" t="str">
        <f t="shared" si="196"/>
        <v/>
      </c>
      <c r="RJB6" s="97" t="str">
        <f t="shared" si="196"/>
        <v/>
      </c>
      <c r="RJC6" s="97" t="str">
        <f t="shared" si="196"/>
        <v/>
      </c>
      <c r="RJD6" s="97" t="str">
        <f t="shared" si="196"/>
        <v/>
      </c>
      <c r="RJE6" s="97" t="str">
        <f t="shared" si="196"/>
        <v/>
      </c>
      <c r="RJF6" s="97" t="str">
        <f t="shared" si="196"/>
        <v/>
      </c>
      <c r="RJG6" s="97" t="str">
        <f t="shared" si="196"/>
        <v/>
      </c>
      <c r="RJH6" s="97" t="str">
        <f t="shared" si="196"/>
        <v/>
      </c>
      <c r="RJI6" s="97" t="str">
        <f t="shared" si="196"/>
        <v/>
      </c>
      <c r="RJJ6" s="97" t="str">
        <f t="shared" si="196"/>
        <v/>
      </c>
      <c r="RJK6" s="97" t="str">
        <f t="shared" si="196"/>
        <v/>
      </c>
      <c r="RJL6" s="97" t="str">
        <f t="shared" si="196"/>
        <v/>
      </c>
      <c r="RJM6" s="97" t="str">
        <f t="shared" si="196"/>
        <v/>
      </c>
      <c r="RJN6" s="97" t="str">
        <f t="shared" si="196"/>
        <v/>
      </c>
      <c r="RJO6" s="97" t="str">
        <f t="shared" si="196"/>
        <v/>
      </c>
      <c r="RJP6" s="97" t="str">
        <f t="shared" si="196"/>
        <v/>
      </c>
      <c r="RJQ6" s="97" t="str">
        <f t="shared" si="196"/>
        <v/>
      </c>
      <c r="RJR6" s="97" t="str">
        <f t="shared" si="196"/>
        <v/>
      </c>
      <c r="RJS6" s="97" t="str">
        <f t="shared" si="196"/>
        <v/>
      </c>
      <c r="RJT6" s="97" t="str">
        <f t="shared" si="196"/>
        <v/>
      </c>
      <c r="RJU6" s="97" t="str">
        <f t="shared" si="196"/>
        <v/>
      </c>
      <c r="RJV6" s="97" t="str">
        <f t="shared" si="196"/>
        <v/>
      </c>
      <c r="RJW6" s="97" t="str">
        <f t="shared" si="196"/>
        <v/>
      </c>
      <c r="RJX6" s="97" t="str">
        <f t="shared" si="196"/>
        <v/>
      </c>
      <c r="RJY6" s="97" t="str">
        <f t="shared" si="196"/>
        <v/>
      </c>
      <c r="RJZ6" s="97" t="str">
        <f t="shared" si="196"/>
        <v/>
      </c>
      <c r="RKA6" s="97" t="str">
        <f t="shared" si="196"/>
        <v/>
      </c>
      <c r="RKB6" s="97" t="str">
        <f t="shared" si="196"/>
        <v/>
      </c>
      <c r="RKC6" s="97" t="str">
        <f t="shared" si="196"/>
        <v/>
      </c>
      <c r="RKD6" s="97" t="str">
        <f t="shared" si="196"/>
        <v/>
      </c>
      <c r="RKE6" s="97" t="str">
        <f t="shared" si="196"/>
        <v/>
      </c>
      <c r="RKF6" s="97" t="str">
        <f t="shared" si="196"/>
        <v/>
      </c>
      <c r="RKG6" s="97" t="str">
        <f t="shared" si="196"/>
        <v/>
      </c>
      <c r="RKH6" s="97" t="str">
        <f t="shared" si="196"/>
        <v/>
      </c>
      <c r="RKI6" s="97" t="str">
        <f t="shared" si="196"/>
        <v/>
      </c>
      <c r="RKJ6" s="97" t="str">
        <f t="shared" si="196"/>
        <v/>
      </c>
      <c r="RKK6" s="97" t="str">
        <f t="shared" si="196"/>
        <v/>
      </c>
      <c r="RKL6" s="97" t="str">
        <f t="shared" si="196"/>
        <v/>
      </c>
      <c r="RKM6" s="97" t="str">
        <f t="shared" si="196"/>
        <v/>
      </c>
      <c r="RKN6" s="97" t="str">
        <f t="shared" si="196"/>
        <v/>
      </c>
      <c r="RKO6" s="97" t="str">
        <f t="shared" si="196"/>
        <v/>
      </c>
      <c r="RKP6" s="97" t="str">
        <f t="shared" si="196"/>
        <v/>
      </c>
      <c r="RKQ6" s="97" t="str">
        <f t="shared" si="196"/>
        <v/>
      </c>
      <c r="RKR6" s="97" t="str">
        <f t="shared" si="196"/>
        <v/>
      </c>
      <c r="RKS6" s="97" t="str">
        <f t="shared" si="196"/>
        <v/>
      </c>
      <c r="RKT6" s="97" t="str">
        <f t="shared" si="196"/>
        <v/>
      </c>
      <c r="RKU6" s="97" t="str">
        <f t="shared" si="196"/>
        <v/>
      </c>
      <c r="RKV6" s="97" t="str">
        <f t="shared" si="196"/>
        <v/>
      </c>
      <c r="RKW6" s="97" t="str">
        <f t="shared" si="196"/>
        <v/>
      </c>
      <c r="RKX6" s="97" t="str">
        <f t="shared" si="196"/>
        <v/>
      </c>
      <c r="RKY6" s="97" t="str">
        <f t="shared" si="196"/>
        <v/>
      </c>
      <c r="RKZ6" s="97" t="str">
        <f t="shared" si="196"/>
        <v/>
      </c>
      <c r="RLA6" s="97" t="str">
        <f t="shared" si="196"/>
        <v/>
      </c>
      <c r="RLB6" s="97" t="str">
        <f t="shared" si="196"/>
        <v/>
      </c>
      <c r="RLC6" s="97" t="str">
        <f t="shared" si="196"/>
        <v/>
      </c>
      <c r="RLD6" s="97" t="str">
        <f t="shared" si="196"/>
        <v/>
      </c>
      <c r="RLE6" s="97" t="str">
        <f t="shared" si="196"/>
        <v/>
      </c>
      <c r="RLF6" s="97" t="str">
        <f t="shared" ref="RLF6:RNQ6" si="197">IFERROR(AVERAGE(RLF7:RLF13),"")</f>
        <v/>
      </c>
      <c r="RLG6" s="97" t="str">
        <f t="shared" si="197"/>
        <v/>
      </c>
      <c r="RLH6" s="97" t="str">
        <f t="shared" si="197"/>
        <v/>
      </c>
      <c r="RLI6" s="97" t="str">
        <f t="shared" si="197"/>
        <v/>
      </c>
      <c r="RLJ6" s="97" t="str">
        <f t="shared" si="197"/>
        <v/>
      </c>
      <c r="RLK6" s="97" t="str">
        <f t="shared" si="197"/>
        <v/>
      </c>
      <c r="RLL6" s="97" t="str">
        <f t="shared" si="197"/>
        <v/>
      </c>
      <c r="RLM6" s="97" t="str">
        <f t="shared" si="197"/>
        <v/>
      </c>
      <c r="RLN6" s="97" t="str">
        <f t="shared" si="197"/>
        <v/>
      </c>
      <c r="RLO6" s="97" t="str">
        <f t="shared" si="197"/>
        <v/>
      </c>
      <c r="RLP6" s="97" t="str">
        <f t="shared" si="197"/>
        <v/>
      </c>
      <c r="RLQ6" s="97" t="str">
        <f t="shared" si="197"/>
        <v/>
      </c>
      <c r="RLR6" s="97" t="str">
        <f t="shared" si="197"/>
        <v/>
      </c>
      <c r="RLS6" s="97" t="str">
        <f t="shared" si="197"/>
        <v/>
      </c>
      <c r="RLT6" s="97" t="str">
        <f t="shared" si="197"/>
        <v/>
      </c>
      <c r="RLU6" s="97" t="str">
        <f t="shared" si="197"/>
        <v/>
      </c>
      <c r="RLV6" s="97" t="str">
        <f t="shared" si="197"/>
        <v/>
      </c>
      <c r="RLW6" s="97" t="str">
        <f t="shared" si="197"/>
        <v/>
      </c>
      <c r="RLX6" s="97" t="str">
        <f t="shared" si="197"/>
        <v/>
      </c>
      <c r="RLY6" s="97" t="str">
        <f t="shared" si="197"/>
        <v/>
      </c>
      <c r="RLZ6" s="97" t="str">
        <f t="shared" si="197"/>
        <v/>
      </c>
      <c r="RMA6" s="97" t="str">
        <f t="shared" si="197"/>
        <v/>
      </c>
      <c r="RMB6" s="97" t="str">
        <f t="shared" si="197"/>
        <v/>
      </c>
      <c r="RMC6" s="97" t="str">
        <f t="shared" si="197"/>
        <v/>
      </c>
      <c r="RMD6" s="97" t="str">
        <f t="shared" si="197"/>
        <v/>
      </c>
      <c r="RME6" s="97" t="str">
        <f t="shared" si="197"/>
        <v/>
      </c>
      <c r="RMF6" s="97" t="str">
        <f t="shared" si="197"/>
        <v/>
      </c>
      <c r="RMG6" s="97" t="str">
        <f t="shared" si="197"/>
        <v/>
      </c>
      <c r="RMH6" s="97" t="str">
        <f t="shared" si="197"/>
        <v/>
      </c>
      <c r="RMI6" s="97" t="str">
        <f t="shared" si="197"/>
        <v/>
      </c>
      <c r="RMJ6" s="97" t="str">
        <f t="shared" si="197"/>
        <v/>
      </c>
      <c r="RMK6" s="97" t="str">
        <f t="shared" si="197"/>
        <v/>
      </c>
      <c r="RML6" s="97" t="str">
        <f t="shared" si="197"/>
        <v/>
      </c>
      <c r="RMM6" s="97" t="str">
        <f t="shared" si="197"/>
        <v/>
      </c>
      <c r="RMN6" s="97" t="str">
        <f t="shared" si="197"/>
        <v/>
      </c>
      <c r="RMO6" s="97" t="str">
        <f t="shared" si="197"/>
        <v/>
      </c>
      <c r="RMP6" s="97" t="str">
        <f t="shared" si="197"/>
        <v/>
      </c>
      <c r="RMQ6" s="97" t="str">
        <f t="shared" si="197"/>
        <v/>
      </c>
      <c r="RMR6" s="97" t="str">
        <f t="shared" si="197"/>
        <v/>
      </c>
      <c r="RMS6" s="97" t="str">
        <f t="shared" si="197"/>
        <v/>
      </c>
      <c r="RMT6" s="97" t="str">
        <f t="shared" si="197"/>
        <v/>
      </c>
      <c r="RMU6" s="97" t="str">
        <f t="shared" si="197"/>
        <v/>
      </c>
      <c r="RMV6" s="97" t="str">
        <f t="shared" si="197"/>
        <v/>
      </c>
      <c r="RMW6" s="97" t="str">
        <f t="shared" si="197"/>
        <v/>
      </c>
      <c r="RMX6" s="97" t="str">
        <f t="shared" si="197"/>
        <v/>
      </c>
      <c r="RMY6" s="97" t="str">
        <f t="shared" si="197"/>
        <v/>
      </c>
      <c r="RMZ6" s="97" t="str">
        <f t="shared" si="197"/>
        <v/>
      </c>
      <c r="RNA6" s="97" t="str">
        <f t="shared" si="197"/>
        <v/>
      </c>
      <c r="RNB6" s="97" t="str">
        <f t="shared" si="197"/>
        <v/>
      </c>
      <c r="RNC6" s="97" t="str">
        <f t="shared" si="197"/>
        <v/>
      </c>
      <c r="RND6" s="97" t="str">
        <f t="shared" si="197"/>
        <v/>
      </c>
      <c r="RNE6" s="97" t="str">
        <f t="shared" si="197"/>
        <v/>
      </c>
      <c r="RNF6" s="97" t="str">
        <f t="shared" si="197"/>
        <v/>
      </c>
      <c r="RNG6" s="97" t="str">
        <f t="shared" si="197"/>
        <v/>
      </c>
      <c r="RNH6" s="97" t="str">
        <f t="shared" si="197"/>
        <v/>
      </c>
      <c r="RNI6" s="97" t="str">
        <f t="shared" si="197"/>
        <v/>
      </c>
      <c r="RNJ6" s="97" t="str">
        <f t="shared" si="197"/>
        <v/>
      </c>
      <c r="RNK6" s="97" t="str">
        <f t="shared" si="197"/>
        <v/>
      </c>
      <c r="RNL6" s="97" t="str">
        <f t="shared" si="197"/>
        <v/>
      </c>
      <c r="RNM6" s="97" t="str">
        <f t="shared" si="197"/>
        <v/>
      </c>
      <c r="RNN6" s="97" t="str">
        <f t="shared" si="197"/>
        <v/>
      </c>
      <c r="RNO6" s="97" t="str">
        <f t="shared" si="197"/>
        <v/>
      </c>
      <c r="RNP6" s="97" t="str">
        <f t="shared" si="197"/>
        <v/>
      </c>
      <c r="RNQ6" s="97" t="str">
        <f t="shared" si="197"/>
        <v/>
      </c>
      <c r="RNR6" s="97" t="str">
        <f t="shared" ref="RNR6:RQC6" si="198">IFERROR(AVERAGE(RNR7:RNR13),"")</f>
        <v/>
      </c>
      <c r="RNS6" s="97" t="str">
        <f t="shared" si="198"/>
        <v/>
      </c>
      <c r="RNT6" s="97" t="str">
        <f t="shared" si="198"/>
        <v/>
      </c>
      <c r="RNU6" s="97" t="str">
        <f t="shared" si="198"/>
        <v/>
      </c>
      <c r="RNV6" s="97" t="str">
        <f t="shared" si="198"/>
        <v/>
      </c>
      <c r="RNW6" s="97" t="str">
        <f t="shared" si="198"/>
        <v/>
      </c>
      <c r="RNX6" s="97" t="str">
        <f t="shared" si="198"/>
        <v/>
      </c>
      <c r="RNY6" s="97" t="str">
        <f t="shared" si="198"/>
        <v/>
      </c>
      <c r="RNZ6" s="97" t="str">
        <f t="shared" si="198"/>
        <v/>
      </c>
      <c r="ROA6" s="97" t="str">
        <f t="shared" si="198"/>
        <v/>
      </c>
      <c r="ROB6" s="97" t="str">
        <f t="shared" si="198"/>
        <v/>
      </c>
      <c r="ROC6" s="97" t="str">
        <f t="shared" si="198"/>
        <v/>
      </c>
      <c r="ROD6" s="97" t="str">
        <f t="shared" si="198"/>
        <v/>
      </c>
      <c r="ROE6" s="97" t="str">
        <f t="shared" si="198"/>
        <v/>
      </c>
      <c r="ROF6" s="97" t="str">
        <f t="shared" si="198"/>
        <v/>
      </c>
      <c r="ROG6" s="97" t="str">
        <f t="shared" si="198"/>
        <v/>
      </c>
      <c r="ROH6" s="97" t="str">
        <f t="shared" si="198"/>
        <v/>
      </c>
      <c r="ROI6" s="97" t="str">
        <f t="shared" si="198"/>
        <v/>
      </c>
      <c r="ROJ6" s="97" t="str">
        <f t="shared" si="198"/>
        <v/>
      </c>
      <c r="ROK6" s="97" t="str">
        <f t="shared" si="198"/>
        <v/>
      </c>
      <c r="ROL6" s="97" t="str">
        <f t="shared" si="198"/>
        <v/>
      </c>
      <c r="ROM6" s="97" t="str">
        <f t="shared" si="198"/>
        <v/>
      </c>
      <c r="RON6" s="97" t="str">
        <f t="shared" si="198"/>
        <v/>
      </c>
      <c r="ROO6" s="97" t="str">
        <f t="shared" si="198"/>
        <v/>
      </c>
      <c r="ROP6" s="97" t="str">
        <f t="shared" si="198"/>
        <v/>
      </c>
      <c r="ROQ6" s="97" t="str">
        <f t="shared" si="198"/>
        <v/>
      </c>
      <c r="ROR6" s="97" t="str">
        <f t="shared" si="198"/>
        <v/>
      </c>
      <c r="ROS6" s="97" t="str">
        <f t="shared" si="198"/>
        <v/>
      </c>
      <c r="ROT6" s="97" t="str">
        <f t="shared" si="198"/>
        <v/>
      </c>
      <c r="ROU6" s="97" t="str">
        <f t="shared" si="198"/>
        <v/>
      </c>
      <c r="ROV6" s="97" t="str">
        <f t="shared" si="198"/>
        <v/>
      </c>
      <c r="ROW6" s="97" t="str">
        <f t="shared" si="198"/>
        <v/>
      </c>
      <c r="ROX6" s="97" t="str">
        <f t="shared" si="198"/>
        <v/>
      </c>
      <c r="ROY6" s="97" t="str">
        <f t="shared" si="198"/>
        <v/>
      </c>
      <c r="ROZ6" s="97" t="str">
        <f t="shared" si="198"/>
        <v/>
      </c>
      <c r="RPA6" s="97" t="str">
        <f t="shared" si="198"/>
        <v/>
      </c>
      <c r="RPB6" s="97" t="str">
        <f t="shared" si="198"/>
        <v/>
      </c>
      <c r="RPC6" s="97" t="str">
        <f t="shared" si="198"/>
        <v/>
      </c>
      <c r="RPD6" s="97" t="str">
        <f t="shared" si="198"/>
        <v/>
      </c>
      <c r="RPE6" s="97" t="str">
        <f t="shared" si="198"/>
        <v/>
      </c>
      <c r="RPF6" s="97" t="str">
        <f t="shared" si="198"/>
        <v/>
      </c>
      <c r="RPG6" s="97" t="str">
        <f t="shared" si="198"/>
        <v/>
      </c>
      <c r="RPH6" s="97" t="str">
        <f t="shared" si="198"/>
        <v/>
      </c>
      <c r="RPI6" s="97" t="str">
        <f t="shared" si="198"/>
        <v/>
      </c>
      <c r="RPJ6" s="97" t="str">
        <f t="shared" si="198"/>
        <v/>
      </c>
      <c r="RPK6" s="97" t="str">
        <f t="shared" si="198"/>
        <v/>
      </c>
      <c r="RPL6" s="97" t="str">
        <f t="shared" si="198"/>
        <v/>
      </c>
      <c r="RPM6" s="97" t="str">
        <f t="shared" si="198"/>
        <v/>
      </c>
      <c r="RPN6" s="97" t="str">
        <f t="shared" si="198"/>
        <v/>
      </c>
      <c r="RPO6" s="97" t="str">
        <f t="shared" si="198"/>
        <v/>
      </c>
      <c r="RPP6" s="97" t="str">
        <f t="shared" si="198"/>
        <v/>
      </c>
      <c r="RPQ6" s="97" t="str">
        <f t="shared" si="198"/>
        <v/>
      </c>
      <c r="RPR6" s="97" t="str">
        <f t="shared" si="198"/>
        <v/>
      </c>
      <c r="RPS6" s="97" t="str">
        <f t="shared" si="198"/>
        <v/>
      </c>
      <c r="RPT6" s="97" t="str">
        <f t="shared" si="198"/>
        <v/>
      </c>
      <c r="RPU6" s="97" t="str">
        <f t="shared" si="198"/>
        <v/>
      </c>
      <c r="RPV6" s="97" t="str">
        <f t="shared" si="198"/>
        <v/>
      </c>
      <c r="RPW6" s="97" t="str">
        <f t="shared" si="198"/>
        <v/>
      </c>
      <c r="RPX6" s="97" t="str">
        <f t="shared" si="198"/>
        <v/>
      </c>
      <c r="RPY6" s="97" t="str">
        <f t="shared" si="198"/>
        <v/>
      </c>
      <c r="RPZ6" s="97" t="str">
        <f t="shared" si="198"/>
        <v/>
      </c>
      <c r="RQA6" s="97" t="str">
        <f t="shared" si="198"/>
        <v/>
      </c>
      <c r="RQB6" s="97" t="str">
        <f t="shared" si="198"/>
        <v/>
      </c>
      <c r="RQC6" s="97" t="str">
        <f t="shared" si="198"/>
        <v/>
      </c>
      <c r="RQD6" s="97" t="str">
        <f t="shared" ref="RQD6:RSO6" si="199">IFERROR(AVERAGE(RQD7:RQD13),"")</f>
        <v/>
      </c>
      <c r="RQE6" s="97" t="str">
        <f t="shared" si="199"/>
        <v/>
      </c>
      <c r="RQF6" s="97" t="str">
        <f t="shared" si="199"/>
        <v/>
      </c>
      <c r="RQG6" s="97" t="str">
        <f t="shared" si="199"/>
        <v/>
      </c>
      <c r="RQH6" s="97" t="str">
        <f t="shared" si="199"/>
        <v/>
      </c>
      <c r="RQI6" s="97" t="str">
        <f t="shared" si="199"/>
        <v/>
      </c>
      <c r="RQJ6" s="97" t="str">
        <f t="shared" si="199"/>
        <v/>
      </c>
      <c r="RQK6" s="97" t="str">
        <f t="shared" si="199"/>
        <v/>
      </c>
      <c r="RQL6" s="97" t="str">
        <f t="shared" si="199"/>
        <v/>
      </c>
      <c r="RQM6" s="97" t="str">
        <f t="shared" si="199"/>
        <v/>
      </c>
      <c r="RQN6" s="97" t="str">
        <f t="shared" si="199"/>
        <v/>
      </c>
      <c r="RQO6" s="97" t="str">
        <f t="shared" si="199"/>
        <v/>
      </c>
      <c r="RQP6" s="97" t="str">
        <f t="shared" si="199"/>
        <v/>
      </c>
      <c r="RQQ6" s="97" t="str">
        <f t="shared" si="199"/>
        <v/>
      </c>
      <c r="RQR6" s="97" t="str">
        <f t="shared" si="199"/>
        <v/>
      </c>
      <c r="RQS6" s="97" t="str">
        <f t="shared" si="199"/>
        <v/>
      </c>
      <c r="RQT6" s="97" t="str">
        <f t="shared" si="199"/>
        <v/>
      </c>
      <c r="RQU6" s="97" t="str">
        <f t="shared" si="199"/>
        <v/>
      </c>
      <c r="RQV6" s="97" t="str">
        <f t="shared" si="199"/>
        <v/>
      </c>
      <c r="RQW6" s="97" t="str">
        <f t="shared" si="199"/>
        <v/>
      </c>
      <c r="RQX6" s="97" t="str">
        <f t="shared" si="199"/>
        <v/>
      </c>
      <c r="RQY6" s="97" t="str">
        <f t="shared" si="199"/>
        <v/>
      </c>
      <c r="RQZ6" s="97" t="str">
        <f t="shared" si="199"/>
        <v/>
      </c>
      <c r="RRA6" s="97" t="str">
        <f t="shared" si="199"/>
        <v/>
      </c>
      <c r="RRB6" s="97" t="str">
        <f t="shared" si="199"/>
        <v/>
      </c>
      <c r="RRC6" s="97" t="str">
        <f t="shared" si="199"/>
        <v/>
      </c>
      <c r="RRD6" s="97" t="str">
        <f t="shared" si="199"/>
        <v/>
      </c>
      <c r="RRE6" s="97" t="str">
        <f t="shared" si="199"/>
        <v/>
      </c>
      <c r="RRF6" s="97" t="str">
        <f t="shared" si="199"/>
        <v/>
      </c>
      <c r="RRG6" s="97" t="str">
        <f t="shared" si="199"/>
        <v/>
      </c>
      <c r="RRH6" s="97" t="str">
        <f t="shared" si="199"/>
        <v/>
      </c>
      <c r="RRI6" s="97" t="str">
        <f t="shared" si="199"/>
        <v/>
      </c>
      <c r="RRJ6" s="97" t="str">
        <f t="shared" si="199"/>
        <v/>
      </c>
      <c r="RRK6" s="97" t="str">
        <f t="shared" si="199"/>
        <v/>
      </c>
      <c r="RRL6" s="97" t="str">
        <f t="shared" si="199"/>
        <v/>
      </c>
      <c r="RRM6" s="97" t="str">
        <f t="shared" si="199"/>
        <v/>
      </c>
      <c r="RRN6" s="97" t="str">
        <f t="shared" si="199"/>
        <v/>
      </c>
      <c r="RRO6" s="97" t="str">
        <f t="shared" si="199"/>
        <v/>
      </c>
      <c r="RRP6" s="97" t="str">
        <f t="shared" si="199"/>
        <v/>
      </c>
      <c r="RRQ6" s="97" t="str">
        <f t="shared" si="199"/>
        <v/>
      </c>
      <c r="RRR6" s="97" t="str">
        <f t="shared" si="199"/>
        <v/>
      </c>
      <c r="RRS6" s="97" t="str">
        <f t="shared" si="199"/>
        <v/>
      </c>
      <c r="RRT6" s="97" t="str">
        <f t="shared" si="199"/>
        <v/>
      </c>
      <c r="RRU6" s="97" t="str">
        <f t="shared" si="199"/>
        <v/>
      </c>
      <c r="RRV6" s="97" t="str">
        <f t="shared" si="199"/>
        <v/>
      </c>
      <c r="RRW6" s="97" t="str">
        <f t="shared" si="199"/>
        <v/>
      </c>
      <c r="RRX6" s="97" t="str">
        <f t="shared" si="199"/>
        <v/>
      </c>
      <c r="RRY6" s="97" t="str">
        <f t="shared" si="199"/>
        <v/>
      </c>
      <c r="RRZ6" s="97" t="str">
        <f t="shared" si="199"/>
        <v/>
      </c>
      <c r="RSA6" s="97" t="str">
        <f t="shared" si="199"/>
        <v/>
      </c>
      <c r="RSB6" s="97" t="str">
        <f t="shared" si="199"/>
        <v/>
      </c>
      <c r="RSC6" s="97" t="str">
        <f t="shared" si="199"/>
        <v/>
      </c>
      <c r="RSD6" s="97" t="str">
        <f t="shared" si="199"/>
        <v/>
      </c>
      <c r="RSE6" s="97" t="str">
        <f t="shared" si="199"/>
        <v/>
      </c>
      <c r="RSF6" s="97" t="str">
        <f t="shared" si="199"/>
        <v/>
      </c>
      <c r="RSG6" s="97" t="str">
        <f t="shared" si="199"/>
        <v/>
      </c>
      <c r="RSH6" s="97" t="str">
        <f t="shared" si="199"/>
        <v/>
      </c>
      <c r="RSI6" s="97" t="str">
        <f t="shared" si="199"/>
        <v/>
      </c>
      <c r="RSJ6" s="97" t="str">
        <f t="shared" si="199"/>
        <v/>
      </c>
      <c r="RSK6" s="97" t="str">
        <f t="shared" si="199"/>
        <v/>
      </c>
      <c r="RSL6" s="97" t="str">
        <f t="shared" si="199"/>
        <v/>
      </c>
      <c r="RSM6" s="97" t="str">
        <f t="shared" si="199"/>
        <v/>
      </c>
      <c r="RSN6" s="97" t="str">
        <f t="shared" si="199"/>
        <v/>
      </c>
      <c r="RSO6" s="97" t="str">
        <f t="shared" si="199"/>
        <v/>
      </c>
      <c r="RSP6" s="97" t="str">
        <f t="shared" ref="RSP6:RVA6" si="200">IFERROR(AVERAGE(RSP7:RSP13),"")</f>
        <v/>
      </c>
      <c r="RSQ6" s="97" t="str">
        <f t="shared" si="200"/>
        <v/>
      </c>
      <c r="RSR6" s="97" t="str">
        <f t="shared" si="200"/>
        <v/>
      </c>
      <c r="RSS6" s="97" t="str">
        <f t="shared" si="200"/>
        <v/>
      </c>
      <c r="RST6" s="97" t="str">
        <f t="shared" si="200"/>
        <v/>
      </c>
      <c r="RSU6" s="97" t="str">
        <f t="shared" si="200"/>
        <v/>
      </c>
      <c r="RSV6" s="97" t="str">
        <f t="shared" si="200"/>
        <v/>
      </c>
      <c r="RSW6" s="97" t="str">
        <f t="shared" si="200"/>
        <v/>
      </c>
      <c r="RSX6" s="97" t="str">
        <f t="shared" si="200"/>
        <v/>
      </c>
      <c r="RSY6" s="97" t="str">
        <f t="shared" si="200"/>
        <v/>
      </c>
      <c r="RSZ6" s="97" t="str">
        <f t="shared" si="200"/>
        <v/>
      </c>
      <c r="RTA6" s="97" t="str">
        <f t="shared" si="200"/>
        <v/>
      </c>
      <c r="RTB6" s="97" t="str">
        <f t="shared" si="200"/>
        <v/>
      </c>
      <c r="RTC6" s="97" t="str">
        <f t="shared" si="200"/>
        <v/>
      </c>
      <c r="RTD6" s="97" t="str">
        <f t="shared" si="200"/>
        <v/>
      </c>
      <c r="RTE6" s="97" t="str">
        <f t="shared" si="200"/>
        <v/>
      </c>
      <c r="RTF6" s="97" t="str">
        <f t="shared" si="200"/>
        <v/>
      </c>
      <c r="RTG6" s="97" t="str">
        <f t="shared" si="200"/>
        <v/>
      </c>
      <c r="RTH6" s="97" t="str">
        <f t="shared" si="200"/>
        <v/>
      </c>
      <c r="RTI6" s="97" t="str">
        <f t="shared" si="200"/>
        <v/>
      </c>
      <c r="RTJ6" s="97" t="str">
        <f t="shared" si="200"/>
        <v/>
      </c>
      <c r="RTK6" s="97" t="str">
        <f t="shared" si="200"/>
        <v/>
      </c>
      <c r="RTL6" s="97" t="str">
        <f t="shared" si="200"/>
        <v/>
      </c>
      <c r="RTM6" s="97" t="str">
        <f t="shared" si="200"/>
        <v/>
      </c>
      <c r="RTN6" s="97" t="str">
        <f t="shared" si="200"/>
        <v/>
      </c>
      <c r="RTO6" s="97" t="str">
        <f t="shared" si="200"/>
        <v/>
      </c>
      <c r="RTP6" s="97" t="str">
        <f t="shared" si="200"/>
        <v/>
      </c>
      <c r="RTQ6" s="97" t="str">
        <f t="shared" si="200"/>
        <v/>
      </c>
      <c r="RTR6" s="97" t="str">
        <f t="shared" si="200"/>
        <v/>
      </c>
      <c r="RTS6" s="97" t="str">
        <f t="shared" si="200"/>
        <v/>
      </c>
      <c r="RTT6" s="97" t="str">
        <f t="shared" si="200"/>
        <v/>
      </c>
      <c r="RTU6" s="97" t="str">
        <f t="shared" si="200"/>
        <v/>
      </c>
      <c r="RTV6" s="97" t="str">
        <f t="shared" si="200"/>
        <v/>
      </c>
      <c r="RTW6" s="97" t="str">
        <f t="shared" si="200"/>
        <v/>
      </c>
      <c r="RTX6" s="97" t="str">
        <f t="shared" si="200"/>
        <v/>
      </c>
      <c r="RTY6" s="97" t="str">
        <f t="shared" si="200"/>
        <v/>
      </c>
      <c r="RTZ6" s="97" t="str">
        <f t="shared" si="200"/>
        <v/>
      </c>
      <c r="RUA6" s="97" t="str">
        <f t="shared" si="200"/>
        <v/>
      </c>
      <c r="RUB6" s="97" t="str">
        <f t="shared" si="200"/>
        <v/>
      </c>
      <c r="RUC6" s="97" t="str">
        <f t="shared" si="200"/>
        <v/>
      </c>
      <c r="RUD6" s="97" t="str">
        <f t="shared" si="200"/>
        <v/>
      </c>
      <c r="RUE6" s="97" t="str">
        <f t="shared" si="200"/>
        <v/>
      </c>
      <c r="RUF6" s="97" t="str">
        <f t="shared" si="200"/>
        <v/>
      </c>
      <c r="RUG6" s="97" t="str">
        <f t="shared" si="200"/>
        <v/>
      </c>
      <c r="RUH6" s="97" t="str">
        <f t="shared" si="200"/>
        <v/>
      </c>
      <c r="RUI6" s="97" t="str">
        <f t="shared" si="200"/>
        <v/>
      </c>
      <c r="RUJ6" s="97" t="str">
        <f t="shared" si="200"/>
        <v/>
      </c>
      <c r="RUK6" s="97" t="str">
        <f t="shared" si="200"/>
        <v/>
      </c>
      <c r="RUL6" s="97" t="str">
        <f t="shared" si="200"/>
        <v/>
      </c>
      <c r="RUM6" s="97" t="str">
        <f t="shared" si="200"/>
        <v/>
      </c>
      <c r="RUN6" s="97" t="str">
        <f t="shared" si="200"/>
        <v/>
      </c>
      <c r="RUO6" s="97" t="str">
        <f t="shared" si="200"/>
        <v/>
      </c>
      <c r="RUP6" s="97" t="str">
        <f t="shared" si="200"/>
        <v/>
      </c>
      <c r="RUQ6" s="97" t="str">
        <f t="shared" si="200"/>
        <v/>
      </c>
      <c r="RUR6" s="97" t="str">
        <f t="shared" si="200"/>
        <v/>
      </c>
      <c r="RUS6" s="97" t="str">
        <f t="shared" si="200"/>
        <v/>
      </c>
      <c r="RUT6" s="97" t="str">
        <f t="shared" si="200"/>
        <v/>
      </c>
      <c r="RUU6" s="97" t="str">
        <f t="shared" si="200"/>
        <v/>
      </c>
      <c r="RUV6" s="97" t="str">
        <f t="shared" si="200"/>
        <v/>
      </c>
      <c r="RUW6" s="97" t="str">
        <f t="shared" si="200"/>
        <v/>
      </c>
      <c r="RUX6" s="97" t="str">
        <f t="shared" si="200"/>
        <v/>
      </c>
      <c r="RUY6" s="97" t="str">
        <f t="shared" si="200"/>
        <v/>
      </c>
      <c r="RUZ6" s="97" t="str">
        <f t="shared" si="200"/>
        <v/>
      </c>
      <c r="RVA6" s="97" t="str">
        <f t="shared" si="200"/>
        <v/>
      </c>
      <c r="RVB6" s="97" t="str">
        <f t="shared" ref="RVB6:RXM6" si="201">IFERROR(AVERAGE(RVB7:RVB13),"")</f>
        <v/>
      </c>
      <c r="RVC6" s="97" t="str">
        <f t="shared" si="201"/>
        <v/>
      </c>
      <c r="RVD6" s="97" t="str">
        <f t="shared" si="201"/>
        <v/>
      </c>
      <c r="RVE6" s="97" t="str">
        <f t="shared" si="201"/>
        <v/>
      </c>
      <c r="RVF6" s="97" t="str">
        <f t="shared" si="201"/>
        <v/>
      </c>
      <c r="RVG6" s="97" t="str">
        <f t="shared" si="201"/>
        <v/>
      </c>
      <c r="RVH6" s="97" t="str">
        <f t="shared" si="201"/>
        <v/>
      </c>
      <c r="RVI6" s="97" t="str">
        <f t="shared" si="201"/>
        <v/>
      </c>
      <c r="RVJ6" s="97" t="str">
        <f t="shared" si="201"/>
        <v/>
      </c>
      <c r="RVK6" s="97" t="str">
        <f t="shared" si="201"/>
        <v/>
      </c>
      <c r="RVL6" s="97" t="str">
        <f t="shared" si="201"/>
        <v/>
      </c>
      <c r="RVM6" s="97" t="str">
        <f t="shared" si="201"/>
        <v/>
      </c>
      <c r="RVN6" s="97" t="str">
        <f t="shared" si="201"/>
        <v/>
      </c>
      <c r="RVO6" s="97" t="str">
        <f t="shared" si="201"/>
        <v/>
      </c>
      <c r="RVP6" s="97" t="str">
        <f t="shared" si="201"/>
        <v/>
      </c>
      <c r="RVQ6" s="97" t="str">
        <f t="shared" si="201"/>
        <v/>
      </c>
      <c r="RVR6" s="97" t="str">
        <f t="shared" si="201"/>
        <v/>
      </c>
      <c r="RVS6" s="97" t="str">
        <f t="shared" si="201"/>
        <v/>
      </c>
      <c r="RVT6" s="97" t="str">
        <f t="shared" si="201"/>
        <v/>
      </c>
      <c r="RVU6" s="97" t="str">
        <f t="shared" si="201"/>
        <v/>
      </c>
      <c r="RVV6" s="97" t="str">
        <f t="shared" si="201"/>
        <v/>
      </c>
      <c r="RVW6" s="97" t="str">
        <f t="shared" si="201"/>
        <v/>
      </c>
      <c r="RVX6" s="97" t="str">
        <f t="shared" si="201"/>
        <v/>
      </c>
      <c r="RVY6" s="97" t="str">
        <f t="shared" si="201"/>
        <v/>
      </c>
      <c r="RVZ6" s="97" t="str">
        <f t="shared" si="201"/>
        <v/>
      </c>
      <c r="RWA6" s="97" t="str">
        <f t="shared" si="201"/>
        <v/>
      </c>
      <c r="RWB6" s="97" t="str">
        <f t="shared" si="201"/>
        <v/>
      </c>
      <c r="RWC6" s="97" t="str">
        <f t="shared" si="201"/>
        <v/>
      </c>
      <c r="RWD6" s="97" t="str">
        <f t="shared" si="201"/>
        <v/>
      </c>
      <c r="RWE6" s="97" t="str">
        <f t="shared" si="201"/>
        <v/>
      </c>
      <c r="RWF6" s="97" t="str">
        <f t="shared" si="201"/>
        <v/>
      </c>
      <c r="RWG6" s="97" t="str">
        <f t="shared" si="201"/>
        <v/>
      </c>
      <c r="RWH6" s="97" t="str">
        <f t="shared" si="201"/>
        <v/>
      </c>
      <c r="RWI6" s="97" t="str">
        <f t="shared" si="201"/>
        <v/>
      </c>
      <c r="RWJ6" s="97" t="str">
        <f t="shared" si="201"/>
        <v/>
      </c>
      <c r="RWK6" s="97" t="str">
        <f t="shared" si="201"/>
        <v/>
      </c>
      <c r="RWL6" s="97" t="str">
        <f t="shared" si="201"/>
        <v/>
      </c>
      <c r="RWM6" s="97" t="str">
        <f t="shared" si="201"/>
        <v/>
      </c>
      <c r="RWN6" s="97" t="str">
        <f t="shared" si="201"/>
        <v/>
      </c>
      <c r="RWO6" s="97" t="str">
        <f t="shared" si="201"/>
        <v/>
      </c>
      <c r="RWP6" s="97" t="str">
        <f t="shared" si="201"/>
        <v/>
      </c>
      <c r="RWQ6" s="97" t="str">
        <f t="shared" si="201"/>
        <v/>
      </c>
      <c r="RWR6" s="97" t="str">
        <f t="shared" si="201"/>
        <v/>
      </c>
      <c r="RWS6" s="97" t="str">
        <f t="shared" si="201"/>
        <v/>
      </c>
      <c r="RWT6" s="97" t="str">
        <f t="shared" si="201"/>
        <v/>
      </c>
      <c r="RWU6" s="97" t="str">
        <f t="shared" si="201"/>
        <v/>
      </c>
      <c r="RWV6" s="97" t="str">
        <f t="shared" si="201"/>
        <v/>
      </c>
      <c r="RWW6" s="97" t="str">
        <f t="shared" si="201"/>
        <v/>
      </c>
      <c r="RWX6" s="97" t="str">
        <f t="shared" si="201"/>
        <v/>
      </c>
      <c r="RWY6" s="97" t="str">
        <f t="shared" si="201"/>
        <v/>
      </c>
      <c r="RWZ6" s="97" t="str">
        <f t="shared" si="201"/>
        <v/>
      </c>
      <c r="RXA6" s="97" t="str">
        <f t="shared" si="201"/>
        <v/>
      </c>
      <c r="RXB6" s="97" t="str">
        <f t="shared" si="201"/>
        <v/>
      </c>
      <c r="RXC6" s="97" t="str">
        <f t="shared" si="201"/>
        <v/>
      </c>
      <c r="RXD6" s="97" t="str">
        <f t="shared" si="201"/>
        <v/>
      </c>
      <c r="RXE6" s="97" t="str">
        <f t="shared" si="201"/>
        <v/>
      </c>
      <c r="RXF6" s="97" t="str">
        <f t="shared" si="201"/>
        <v/>
      </c>
      <c r="RXG6" s="97" t="str">
        <f t="shared" si="201"/>
        <v/>
      </c>
      <c r="RXH6" s="97" t="str">
        <f t="shared" si="201"/>
        <v/>
      </c>
      <c r="RXI6" s="97" t="str">
        <f t="shared" si="201"/>
        <v/>
      </c>
      <c r="RXJ6" s="97" t="str">
        <f t="shared" si="201"/>
        <v/>
      </c>
      <c r="RXK6" s="97" t="str">
        <f t="shared" si="201"/>
        <v/>
      </c>
      <c r="RXL6" s="97" t="str">
        <f t="shared" si="201"/>
        <v/>
      </c>
      <c r="RXM6" s="97" t="str">
        <f t="shared" si="201"/>
        <v/>
      </c>
      <c r="RXN6" s="97" t="str">
        <f t="shared" ref="RXN6:RZY6" si="202">IFERROR(AVERAGE(RXN7:RXN13),"")</f>
        <v/>
      </c>
      <c r="RXO6" s="97" t="str">
        <f t="shared" si="202"/>
        <v/>
      </c>
      <c r="RXP6" s="97" t="str">
        <f t="shared" si="202"/>
        <v/>
      </c>
      <c r="RXQ6" s="97" t="str">
        <f t="shared" si="202"/>
        <v/>
      </c>
      <c r="RXR6" s="97" t="str">
        <f t="shared" si="202"/>
        <v/>
      </c>
      <c r="RXS6" s="97" t="str">
        <f t="shared" si="202"/>
        <v/>
      </c>
      <c r="RXT6" s="97" t="str">
        <f t="shared" si="202"/>
        <v/>
      </c>
      <c r="RXU6" s="97" t="str">
        <f t="shared" si="202"/>
        <v/>
      </c>
      <c r="RXV6" s="97" t="str">
        <f t="shared" si="202"/>
        <v/>
      </c>
      <c r="RXW6" s="97" t="str">
        <f t="shared" si="202"/>
        <v/>
      </c>
      <c r="RXX6" s="97" t="str">
        <f t="shared" si="202"/>
        <v/>
      </c>
      <c r="RXY6" s="97" t="str">
        <f t="shared" si="202"/>
        <v/>
      </c>
      <c r="RXZ6" s="97" t="str">
        <f t="shared" si="202"/>
        <v/>
      </c>
      <c r="RYA6" s="97" t="str">
        <f t="shared" si="202"/>
        <v/>
      </c>
      <c r="RYB6" s="97" t="str">
        <f t="shared" si="202"/>
        <v/>
      </c>
      <c r="RYC6" s="97" t="str">
        <f t="shared" si="202"/>
        <v/>
      </c>
      <c r="RYD6" s="97" t="str">
        <f t="shared" si="202"/>
        <v/>
      </c>
      <c r="RYE6" s="97" t="str">
        <f t="shared" si="202"/>
        <v/>
      </c>
      <c r="RYF6" s="97" t="str">
        <f t="shared" si="202"/>
        <v/>
      </c>
      <c r="RYG6" s="97" t="str">
        <f t="shared" si="202"/>
        <v/>
      </c>
      <c r="RYH6" s="97" t="str">
        <f t="shared" si="202"/>
        <v/>
      </c>
      <c r="RYI6" s="97" t="str">
        <f t="shared" si="202"/>
        <v/>
      </c>
      <c r="RYJ6" s="97" t="str">
        <f t="shared" si="202"/>
        <v/>
      </c>
      <c r="RYK6" s="97" t="str">
        <f t="shared" si="202"/>
        <v/>
      </c>
      <c r="RYL6" s="97" t="str">
        <f t="shared" si="202"/>
        <v/>
      </c>
      <c r="RYM6" s="97" t="str">
        <f t="shared" si="202"/>
        <v/>
      </c>
      <c r="RYN6" s="97" t="str">
        <f t="shared" si="202"/>
        <v/>
      </c>
      <c r="RYO6" s="97" t="str">
        <f t="shared" si="202"/>
        <v/>
      </c>
      <c r="RYP6" s="97" t="str">
        <f t="shared" si="202"/>
        <v/>
      </c>
      <c r="RYQ6" s="97" t="str">
        <f t="shared" si="202"/>
        <v/>
      </c>
      <c r="RYR6" s="97" t="str">
        <f t="shared" si="202"/>
        <v/>
      </c>
      <c r="RYS6" s="97" t="str">
        <f t="shared" si="202"/>
        <v/>
      </c>
      <c r="RYT6" s="97" t="str">
        <f t="shared" si="202"/>
        <v/>
      </c>
      <c r="RYU6" s="97" t="str">
        <f t="shared" si="202"/>
        <v/>
      </c>
      <c r="RYV6" s="97" t="str">
        <f t="shared" si="202"/>
        <v/>
      </c>
      <c r="RYW6" s="97" t="str">
        <f t="shared" si="202"/>
        <v/>
      </c>
      <c r="RYX6" s="97" t="str">
        <f t="shared" si="202"/>
        <v/>
      </c>
      <c r="RYY6" s="97" t="str">
        <f t="shared" si="202"/>
        <v/>
      </c>
      <c r="RYZ6" s="97" t="str">
        <f t="shared" si="202"/>
        <v/>
      </c>
      <c r="RZA6" s="97" t="str">
        <f t="shared" si="202"/>
        <v/>
      </c>
      <c r="RZB6" s="97" t="str">
        <f t="shared" si="202"/>
        <v/>
      </c>
      <c r="RZC6" s="97" t="str">
        <f t="shared" si="202"/>
        <v/>
      </c>
      <c r="RZD6" s="97" t="str">
        <f t="shared" si="202"/>
        <v/>
      </c>
      <c r="RZE6" s="97" t="str">
        <f t="shared" si="202"/>
        <v/>
      </c>
      <c r="RZF6" s="97" t="str">
        <f t="shared" si="202"/>
        <v/>
      </c>
      <c r="RZG6" s="97" t="str">
        <f t="shared" si="202"/>
        <v/>
      </c>
      <c r="RZH6" s="97" t="str">
        <f t="shared" si="202"/>
        <v/>
      </c>
      <c r="RZI6" s="97" t="str">
        <f t="shared" si="202"/>
        <v/>
      </c>
      <c r="RZJ6" s="97" t="str">
        <f t="shared" si="202"/>
        <v/>
      </c>
      <c r="RZK6" s="97" t="str">
        <f t="shared" si="202"/>
        <v/>
      </c>
      <c r="RZL6" s="97" t="str">
        <f t="shared" si="202"/>
        <v/>
      </c>
      <c r="RZM6" s="97" t="str">
        <f t="shared" si="202"/>
        <v/>
      </c>
      <c r="RZN6" s="97" t="str">
        <f t="shared" si="202"/>
        <v/>
      </c>
      <c r="RZO6" s="97" t="str">
        <f t="shared" si="202"/>
        <v/>
      </c>
      <c r="RZP6" s="97" t="str">
        <f t="shared" si="202"/>
        <v/>
      </c>
      <c r="RZQ6" s="97" t="str">
        <f t="shared" si="202"/>
        <v/>
      </c>
      <c r="RZR6" s="97" t="str">
        <f t="shared" si="202"/>
        <v/>
      </c>
      <c r="RZS6" s="97" t="str">
        <f t="shared" si="202"/>
        <v/>
      </c>
      <c r="RZT6" s="97" t="str">
        <f t="shared" si="202"/>
        <v/>
      </c>
      <c r="RZU6" s="97" t="str">
        <f t="shared" si="202"/>
        <v/>
      </c>
      <c r="RZV6" s="97" t="str">
        <f t="shared" si="202"/>
        <v/>
      </c>
      <c r="RZW6" s="97" t="str">
        <f t="shared" si="202"/>
        <v/>
      </c>
      <c r="RZX6" s="97" t="str">
        <f t="shared" si="202"/>
        <v/>
      </c>
      <c r="RZY6" s="97" t="str">
        <f t="shared" si="202"/>
        <v/>
      </c>
      <c r="RZZ6" s="97" t="str">
        <f t="shared" ref="RZZ6:SCK6" si="203">IFERROR(AVERAGE(RZZ7:RZZ13),"")</f>
        <v/>
      </c>
      <c r="SAA6" s="97" t="str">
        <f t="shared" si="203"/>
        <v/>
      </c>
      <c r="SAB6" s="97" t="str">
        <f t="shared" si="203"/>
        <v/>
      </c>
      <c r="SAC6" s="97" t="str">
        <f t="shared" si="203"/>
        <v/>
      </c>
      <c r="SAD6" s="97" t="str">
        <f t="shared" si="203"/>
        <v/>
      </c>
      <c r="SAE6" s="97" t="str">
        <f t="shared" si="203"/>
        <v/>
      </c>
      <c r="SAF6" s="97" t="str">
        <f t="shared" si="203"/>
        <v/>
      </c>
      <c r="SAG6" s="97" t="str">
        <f t="shared" si="203"/>
        <v/>
      </c>
      <c r="SAH6" s="97" t="str">
        <f t="shared" si="203"/>
        <v/>
      </c>
      <c r="SAI6" s="97" t="str">
        <f t="shared" si="203"/>
        <v/>
      </c>
      <c r="SAJ6" s="97" t="str">
        <f t="shared" si="203"/>
        <v/>
      </c>
      <c r="SAK6" s="97" t="str">
        <f t="shared" si="203"/>
        <v/>
      </c>
      <c r="SAL6" s="97" t="str">
        <f t="shared" si="203"/>
        <v/>
      </c>
      <c r="SAM6" s="97" t="str">
        <f t="shared" si="203"/>
        <v/>
      </c>
      <c r="SAN6" s="97" t="str">
        <f t="shared" si="203"/>
        <v/>
      </c>
      <c r="SAO6" s="97" t="str">
        <f t="shared" si="203"/>
        <v/>
      </c>
      <c r="SAP6" s="97" t="str">
        <f t="shared" si="203"/>
        <v/>
      </c>
      <c r="SAQ6" s="97" t="str">
        <f t="shared" si="203"/>
        <v/>
      </c>
      <c r="SAR6" s="97" t="str">
        <f t="shared" si="203"/>
        <v/>
      </c>
      <c r="SAS6" s="97" t="str">
        <f t="shared" si="203"/>
        <v/>
      </c>
      <c r="SAT6" s="97" t="str">
        <f t="shared" si="203"/>
        <v/>
      </c>
      <c r="SAU6" s="97" t="str">
        <f t="shared" si="203"/>
        <v/>
      </c>
      <c r="SAV6" s="97" t="str">
        <f t="shared" si="203"/>
        <v/>
      </c>
      <c r="SAW6" s="97" t="str">
        <f t="shared" si="203"/>
        <v/>
      </c>
      <c r="SAX6" s="97" t="str">
        <f t="shared" si="203"/>
        <v/>
      </c>
      <c r="SAY6" s="97" t="str">
        <f t="shared" si="203"/>
        <v/>
      </c>
      <c r="SAZ6" s="97" t="str">
        <f t="shared" si="203"/>
        <v/>
      </c>
      <c r="SBA6" s="97" t="str">
        <f t="shared" si="203"/>
        <v/>
      </c>
      <c r="SBB6" s="97" t="str">
        <f t="shared" si="203"/>
        <v/>
      </c>
      <c r="SBC6" s="97" t="str">
        <f t="shared" si="203"/>
        <v/>
      </c>
      <c r="SBD6" s="97" t="str">
        <f t="shared" si="203"/>
        <v/>
      </c>
      <c r="SBE6" s="97" t="str">
        <f t="shared" si="203"/>
        <v/>
      </c>
      <c r="SBF6" s="97" t="str">
        <f t="shared" si="203"/>
        <v/>
      </c>
      <c r="SBG6" s="97" t="str">
        <f t="shared" si="203"/>
        <v/>
      </c>
      <c r="SBH6" s="97" t="str">
        <f t="shared" si="203"/>
        <v/>
      </c>
      <c r="SBI6" s="97" t="str">
        <f t="shared" si="203"/>
        <v/>
      </c>
      <c r="SBJ6" s="97" t="str">
        <f t="shared" si="203"/>
        <v/>
      </c>
      <c r="SBK6" s="97" t="str">
        <f t="shared" si="203"/>
        <v/>
      </c>
      <c r="SBL6" s="97" t="str">
        <f t="shared" si="203"/>
        <v/>
      </c>
      <c r="SBM6" s="97" t="str">
        <f t="shared" si="203"/>
        <v/>
      </c>
      <c r="SBN6" s="97" t="str">
        <f t="shared" si="203"/>
        <v/>
      </c>
      <c r="SBO6" s="97" t="str">
        <f t="shared" si="203"/>
        <v/>
      </c>
      <c r="SBP6" s="97" t="str">
        <f t="shared" si="203"/>
        <v/>
      </c>
      <c r="SBQ6" s="97" t="str">
        <f t="shared" si="203"/>
        <v/>
      </c>
      <c r="SBR6" s="97" t="str">
        <f t="shared" si="203"/>
        <v/>
      </c>
      <c r="SBS6" s="97" t="str">
        <f t="shared" si="203"/>
        <v/>
      </c>
      <c r="SBT6" s="97" t="str">
        <f t="shared" si="203"/>
        <v/>
      </c>
      <c r="SBU6" s="97" t="str">
        <f t="shared" si="203"/>
        <v/>
      </c>
      <c r="SBV6" s="97" t="str">
        <f t="shared" si="203"/>
        <v/>
      </c>
      <c r="SBW6" s="97" t="str">
        <f t="shared" si="203"/>
        <v/>
      </c>
      <c r="SBX6" s="97" t="str">
        <f t="shared" si="203"/>
        <v/>
      </c>
      <c r="SBY6" s="97" t="str">
        <f t="shared" si="203"/>
        <v/>
      </c>
      <c r="SBZ6" s="97" t="str">
        <f t="shared" si="203"/>
        <v/>
      </c>
      <c r="SCA6" s="97" t="str">
        <f t="shared" si="203"/>
        <v/>
      </c>
      <c r="SCB6" s="97" t="str">
        <f t="shared" si="203"/>
        <v/>
      </c>
      <c r="SCC6" s="97" t="str">
        <f t="shared" si="203"/>
        <v/>
      </c>
      <c r="SCD6" s="97" t="str">
        <f t="shared" si="203"/>
        <v/>
      </c>
      <c r="SCE6" s="97" t="str">
        <f t="shared" si="203"/>
        <v/>
      </c>
      <c r="SCF6" s="97" t="str">
        <f t="shared" si="203"/>
        <v/>
      </c>
      <c r="SCG6" s="97" t="str">
        <f t="shared" si="203"/>
        <v/>
      </c>
      <c r="SCH6" s="97" t="str">
        <f t="shared" si="203"/>
        <v/>
      </c>
      <c r="SCI6" s="97" t="str">
        <f t="shared" si="203"/>
        <v/>
      </c>
      <c r="SCJ6" s="97" t="str">
        <f t="shared" si="203"/>
        <v/>
      </c>
      <c r="SCK6" s="97" t="str">
        <f t="shared" si="203"/>
        <v/>
      </c>
      <c r="SCL6" s="97" t="str">
        <f t="shared" ref="SCL6:SEW6" si="204">IFERROR(AVERAGE(SCL7:SCL13),"")</f>
        <v/>
      </c>
      <c r="SCM6" s="97" t="str">
        <f t="shared" si="204"/>
        <v/>
      </c>
      <c r="SCN6" s="97" t="str">
        <f t="shared" si="204"/>
        <v/>
      </c>
      <c r="SCO6" s="97" t="str">
        <f t="shared" si="204"/>
        <v/>
      </c>
      <c r="SCP6" s="97" t="str">
        <f t="shared" si="204"/>
        <v/>
      </c>
      <c r="SCQ6" s="97" t="str">
        <f t="shared" si="204"/>
        <v/>
      </c>
      <c r="SCR6" s="97" t="str">
        <f t="shared" si="204"/>
        <v/>
      </c>
      <c r="SCS6" s="97" t="str">
        <f t="shared" si="204"/>
        <v/>
      </c>
      <c r="SCT6" s="97" t="str">
        <f t="shared" si="204"/>
        <v/>
      </c>
      <c r="SCU6" s="97" t="str">
        <f t="shared" si="204"/>
        <v/>
      </c>
      <c r="SCV6" s="97" t="str">
        <f t="shared" si="204"/>
        <v/>
      </c>
      <c r="SCW6" s="97" t="str">
        <f t="shared" si="204"/>
        <v/>
      </c>
      <c r="SCX6" s="97" t="str">
        <f t="shared" si="204"/>
        <v/>
      </c>
      <c r="SCY6" s="97" t="str">
        <f t="shared" si="204"/>
        <v/>
      </c>
      <c r="SCZ6" s="97" t="str">
        <f t="shared" si="204"/>
        <v/>
      </c>
      <c r="SDA6" s="97" t="str">
        <f t="shared" si="204"/>
        <v/>
      </c>
      <c r="SDB6" s="97" t="str">
        <f t="shared" si="204"/>
        <v/>
      </c>
      <c r="SDC6" s="97" t="str">
        <f t="shared" si="204"/>
        <v/>
      </c>
      <c r="SDD6" s="97" t="str">
        <f t="shared" si="204"/>
        <v/>
      </c>
      <c r="SDE6" s="97" t="str">
        <f t="shared" si="204"/>
        <v/>
      </c>
      <c r="SDF6" s="97" t="str">
        <f t="shared" si="204"/>
        <v/>
      </c>
      <c r="SDG6" s="97" t="str">
        <f t="shared" si="204"/>
        <v/>
      </c>
      <c r="SDH6" s="97" t="str">
        <f t="shared" si="204"/>
        <v/>
      </c>
      <c r="SDI6" s="97" t="str">
        <f t="shared" si="204"/>
        <v/>
      </c>
      <c r="SDJ6" s="97" t="str">
        <f t="shared" si="204"/>
        <v/>
      </c>
      <c r="SDK6" s="97" t="str">
        <f t="shared" si="204"/>
        <v/>
      </c>
      <c r="SDL6" s="97" t="str">
        <f t="shared" si="204"/>
        <v/>
      </c>
      <c r="SDM6" s="97" t="str">
        <f t="shared" si="204"/>
        <v/>
      </c>
      <c r="SDN6" s="97" t="str">
        <f t="shared" si="204"/>
        <v/>
      </c>
      <c r="SDO6" s="97" t="str">
        <f t="shared" si="204"/>
        <v/>
      </c>
      <c r="SDP6" s="97" t="str">
        <f t="shared" si="204"/>
        <v/>
      </c>
      <c r="SDQ6" s="97" t="str">
        <f t="shared" si="204"/>
        <v/>
      </c>
      <c r="SDR6" s="97" t="str">
        <f t="shared" si="204"/>
        <v/>
      </c>
      <c r="SDS6" s="97" t="str">
        <f t="shared" si="204"/>
        <v/>
      </c>
      <c r="SDT6" s="97" t="str">
        <f t="shared" si="204"/>
        <v/>
      </c>
      <c r="SDU6" s="97" t="str">
        <f t="shared" si="204"/>
        <v/>
      </c>
      <c r="SDV6" s="97" t="str">
        <f t="shared" si="204"/>
        <v/>
      </c>
      <c r="SDW6" s="97" t="str">
        <f t="shared" si="204"/>
        <v/>
      </c>
      <c r="SDX6" s="97" t="str">
        <f t="shared" si="204"/>
        <v/>
      </c>
      <c r="SDY6" s="97" t="str">
        <f t="shared" si="204"/>
        <v/>
      </c>
      <c r="SDZ6" s="97" t="str">
        <f t="shared" si="204"/>
        <v/>
      </c>
      <c r="SEA6" s="97" t="str">
        <f t="shared" si="204"/>
        <v/>
      </c>
      <c r="SEB6" s="97" t="str">
        <f t="shared" si="204"/>
        <v/>
      </c>
      <c r="SEC6" s="97" t="str">
        <f t="shared" si="204"/>
        <v/>
      </c>
      <c r="SED6" s="97" t="str">
        <f t="shared" si="204"/>
        <v/>
      </c>
      <c r="SEE6" s="97" t="str">
        <f t="shared" si="204"/>
        <v/>
      </c>
      <c r="SEF6" s="97" t="str">
        <f t="shared" si="204"/>
        <v/>
      </c>
      <c r="SEG6" s="97" t="str">
        <f t="shared" si="204"/>
        <v/>
      </c>
      <c r="SEH6" s="97" t="str">
        <f t="shared" si="204"/>
        <v/>
      </c>
      <c r="SEI6" s="97" t="str">
        <f t="shared" si="204"/>
        <v/>
      </c>
      <c r="SEJ6" s="97" t="str">
        <f t="shared" si="204"/>
        <v/>
      </c>
      <c r="SEK6" s="97" t="str">
        <f t="shared" si="204"/>
        <v/>
      </c>
      <c r="SEL6" s="97" t="str">
        <f t="shared" si="204"/>
        <v/>
      </c>
      <c r="SEM6" s="97" t="str">
        <f t="shared" si="204"/>
        <v/>
      </c>
      <c r="SEN6" s="97" t="str">
        <f t="shared" si="204"/>
        <v/>
      </c>
      <c r="SEO6" s="97" t="str">
        <f t="shared" si="204"/>
        <v/>
      </c>
      <c r="SEP6" s="97" t="str">
        <f t="shared" si="204"/>
        <v/>
      </c>
      <c r="SEQ6" s="97" t="str">
        <f t="shared" si="204"/>
        <v/>
      </c>
      <c r="SER6" s="97" t="str">
        <f t="shared" si="204"/>
        <v/>
      </c>
      <c r="SES6" s="97" t="str">
        <f t="shared" si="204"/>
        <v/>
      </c>
      <c r="SET6" s="97" t="str">
        <f t="shared" si="204"/>
        <v/>
      </c>
      <c r="SEU6" s="97" t="str">
        <f t="shared" si="204"/>
        <v/>
      </c>
      <c r="SEV6" s="97" t="str">
        <f t="shared" si="204"/>
        <v/>
      </c>
      <c r="SEW6" s="97" t="str">
        <f t="shared" si="204"/>
        <v/>
      </c>
      <c r="SEX6" s="97" t="str">
        <f t="shared" ref="SEX6:SHI6" si="205">IFERROR(AVERAGE(SEX7:SEX13),"")</f>
        <v/>
      </c>
      <c r="SEY6" s="97" t="str">
        <f t="shared" si="205"/>
        <v/>
      </c>
      <c r="SEZ6" s="97" t="str">
        <f t="shared" si="205"/>
        <v/>
      </c>
      <c r="SFA6" s="97" t="str">
        <f t="shared" si="205"/>
        <v/>
      </c>
      <c r="SFB6" s="97" t="str">
        <f t="shared" si="205"/>
        <v/>
      </c>
      <c r="SFC6" s="97" t="str">
        <f t="shared" si="205"/>
        <v/>
      </c>
      <c r="SFD6" s="97" t="str">
        <f t="shared" si="205"/>
        <v/>
      </c>
      <c r="SFE6" s="97" t="str">
        <f t="shared" si="205"/>
        <v/>
      </c>
      <c r="SFF6" s="97" t="str">
        <f t="shared" si="205"/>
        <v/>
      </c>
      <c r="SFG6" s="97" t="str">
        <f t="shared" si="205"/>
        <v/>
      </c>
      <c r="SFH6" s="97" t="str">
        <f t="shared" si="205"/>
        <v/>
      </c>
      <c r="SFI6" s="97" t="str">
        <f t="shared" si="205"/>
        <v/>
      </c>
      <c r="SFJ6" s="97" t="str">
        <f t="shared" si="205"/>
        <v/>
      </c>
      <c r="SFK6" s="97" t="str">
        <f t="shared" si="205"/>
        <v/>
      </c>
      <c r="SFL6" s="97" t="str">
        <f t="shared" si="205"/>
        <v/>
      </c>
      <c r="SFM6" s="97" t="str">
        <f t="shared" si="205"/>
        <v/>
      </c>
      <c r="SFN6" s="97" t="str">
        <f t="shared" si="205"/>
        <v/>
      </c>
      <c r="SFO6" s="97" t="str">
        <f t="shared" si="205"/>
        <v/>
      </c>
      <c r="SFP6" s="97" t="str">
        <f t="shared" si="205"/>
        <v/>
      </c>
      <c r="SFQ6" s="97" t="str">
        <f t="shared" si="205"/>
        <v/>
      </c>
      <c r="SFR6" s="97" t="str">
        <f t="shared" si="205"/>
        <v/>
      </c>
      <c r="SFS6" s="97" t="str">
        <f t="shared" si="205"/>
        <v/>
      </c>
      <c r="SFT6" s="97" t="str">
        <f t="shared" si="205"/>
        <v/>
      </c>
      <c r="SFU6" s="97" t="str">
        <f t="shared" si="205"/>
        <v/>
      </c>
      <c r="SFV6" s="97" t="str">
        <f t="shared" si="205"/>
        <v/>
      </c>
      <c r="SFW6" s="97" t="str">
        <f t="shared" si="205"/>
        <v/>
      </c>
      <c r="SFX6" s="97" t="str">
        <f t="shared" si="205"/>
        <v/>
      </c>
      <c r="SFY6" s="97" t="str">
        <f t="shared" si="205"/>
        <v/>
      </c>
      <c r="SFZ6" s="97" t="str">
        <f t="shared" si="205"/>
        <v/>
      </c>
      <c r="SGA6" s="97" t="str">
        <f t="shared" si="205"/>
        <v/>
      </c>
      <c r="SGB6" s="97" t="str">
        <f t="shared" si="205"/>
        <v/>
      </c>
      <c r="SGC6" s="97" t="str">
        <f t="shared" si="205"/>
        <v/>
      </c>
      <c r="SGD6" s="97" t="str">
        <f t="shared" si="205"/>
        <v/>
      </c>
      <c r="SGE6" s="97" t="str">
        <f t="shared" si="205"/>
        <v/>
      </c>
      <c r="SGF6" s="97" t="str">
        <f t="shared" si="205"/>
        <v/>
      </c>
      <c r="SGG6" s="97" t="str">
        <f t="shared" si="205"/>
        <v/>
      </c>
      <c r="SGH6" s="97" t="str">
        <f t="shared" si="205"/>
        <v/>
      </c>
      <c r="SGI6" s="97" t="str">
        <f t="shared" si="205"/>
        <v/>
      </c>
      <c r="SGJ6" s="97" t="str">
        <f t="shared" si="205"/>
        <v/>
      </c>
      <c r="SGK6" s="97" t="str">
        <f t="shared" si="205"/>
        <v/>
      </c>
      <c r="SGL6" s="97" t="str">
        <f t="shared" si="205"/>
        <v/>
      </c>
      <c r="SGM6" s="97" t="str">
        <f t="shared" si="205"/>
        <v/>
      </c>
      <c r="SGN6" s="97" t="str">
        <f t="shared" si="205"/>
        <v/>
      </c>
      <c r="SGO6" s="97" t="str">
        <f t="shared" si="205"/>
        <v/>
      </c>
      <c r="SGP6" s="97" t="str">
        <f t="shared" si="205"/>
        <v/>
      </c>
      <c r="SGQ6" s="97" t="str">
        <f t="shared" si="205"/>
        <v/>
      </c>
      <c r="SGR6" s="97" t="str">
        <f t="shared" si="205"/>
        <v/>
      </c>
      <c r="SGS6" s="97" t="str">
        <f t="shared" si="205"/>
        <v/>
      </c>
      <c r="SGT6" s="97" t="str">
        <f t="shared" si="205"/>
        <v/>
      </c>
      <c r="SGU6" s="97" t="str">
        <f t="shared" si="205"/>
        <v/>
      </c>
      <c r="SGV6" s="97" t="str">
        <f t="shared" si="205"/>
        <v/>
      </c>
      <c r="SGW6" s="97" t="str">
        <f t="shared" si="205"/>
        <v/>
      </c>
      <c r="SGX6" s="97" t="str">
        <f t="shared" si="205"/>
        <v/>
      </c>
      <c r="SGY6" s="97" t="str">
        <f t="shared" si="205"/>
        <v/>
      </c>
      <c r="SGZ6" s="97" t="str">
        <f t="shared" si="205"/>
        <v/>
      </c>
      <c r="SHA6" s="97" t="str">
        <f t="shared" si="205"/>
        <v/>
      </c>
      <c r="SHB6" s="97" t="str">
        <f t="shared" si="205"/>
        <v/>
      </c>
      <c r="SHC6" s="97" t="str">
        <f t="shared" si="205"/>
        <v/>
      </c>
      <c r="SHD6" s="97" t="str">
        <f t="shared" si="205"/>
        <v/>
      </c>
      <c r="SHE6" s="97" t="str">
        <f t="shared" si="205"/>
        <v/>
      </c>
      <c r="SHF6" s="97" t="str">
        <f t="shared" si="205"/>
        <v/>
      </c>
      <c r="SHG6" s="97" t="str">
        <f t="shared" si="205"/>
        <v/>
      </c>
      <c r="SHH6" s="97" t="str">
        <f t="shared" si="205"/>
        <v/>
      </c>
      <c r="SHI6" s="97" t="str">
        <f t="shared" si="205"/>
        <v/>
      </c>
      <c r="SHJ6" s="97" t="str">
        <f t="shared" ref="SHJ6:SJU6" si="206">IFERROR(AVERAGE(SHJ7:SHJ13),"")</f>
        <v/>
      </c>
      <c r="SHK6" s="97" t="str">
        <f t="shared" si="206"/>
        <v/>
      </c>
      <c r="SHL6" s="97" t="str">
        <f t="shared" si="206"/>
        <v/>
      </c>
      <c r="SHM6" s="97" t="str">
        <f t="shared" si="206"/>
        <v/>
      </c>
      <c r="SHN6" s="97" t="str">
        <f t="shared" si="206"/>
        <v/>
      </c>
      <c r="SHO6" s="97" t="str">
        <f t="shared" si="206"/>
        <v/>
      </c>
      <c r="SHP6" s="97" t="str">
        <f t="shared" si="206"/>
        <v/>
      </c>
      <c r="SHQ6" s="97" t="str">
        <f t="shared" si="206"/>
        <v/>
      </c>
      <c r="SHR6" s="97" t="str">
        <f t="shared" si="206"/>
        <v/>
      </c>
      <c r="SHS6" s="97" t="str">
        <f t="shared" si="206"/>
        <v/>
      </c>
      <c r="SHT6" s="97" t="str">
        <f t="shared" si="206"/>
        <v/>
      </c>
      <c r="SHU6" s="97" t="str">
        <f t="shared" si="206"/>
        <v/>
      </c>
      <c r="SHV6" s="97" t="str">
        <f t="shared" si="206"/>
        <v/>
      </c>
      <c r="SHW6" s="97" t="str">
        <f t="shared" si="206"/>
        <v/>
      </c>
      <c r="SHX6" s="97" t="str">
        <f t="shared" si="206"/>
        <v/>
      </c>
      <c r="SHY6" s="97" t="str">
        <f t="shared" si="206"/>
        <v/>
      </c>
      <c r="SHZ6" s="97" t="str">
        <f t="shared" si="206"/>
        <v/>
      </c>
      <c r="SIA6" s="97" t="str">
        <f t="shared" si="206"/>
        <v/>
      </c>
      <c r="SIB6" s="97" t="str">
        <f t="shared" si="206"/>
        <v/>
      </c>
      <c r="SIC6" s="97" t="str">
        <f t="shared" si="206"/>
        <v/>
      </c>
      <c r="SID6" s="97" t="str">
        <f t="shared" si="206"/>
        <v/>
      </c>
      <c r="SIE6" s="97" t="str">
        <f t="shared" si="206"/>
        <v/>
      </c>
      <c r="SIF6" s="97" t="str">
        <f t="shared" si="206"/>
        <v/>
      </c>
      <c r="SIG6" s="97" t="str">
        <f t="shared" si="206"/>
        <v/>
      </c>
      <c r="SIH6" s="97" t="str">
        <f t="shared" si="206"/>
        <v/>
      </c>
      <c r="SII6" s="97" t="str">
        <f t="shared" si="206"/>
        <v/>
      </c>
      <c r="SIJ6" s="97" t="str">
        <f t="shared" si="206"/>
        <v/>
      </c>
      <c r="SIK6" s="97" t="str">
        <f t="shared" si="206"/>
        <v/>
      </c>
      <c r="SIL6" s="97" t="str">
        <f t="shared" si="206"/>
        <v/>
      </c>
      <c r="SIM6" s="97" t="str">
        <f t="shared" si="206"/>
        <v/>
      </c>
      <c r="SIN6" s="97" t="str">
        <f t="shared" si="206"/>
        <v/>
      </c>
      <c r="SIO6" s="97" t="str">
        <f t="shared" si="206"/>
        <v/>
      </c>
      <c r="SIP6" s="97" t="str">
        <f t="shared" si="206"/>
        <v/>
      </c>
      <c r="SIQ6" s="97" t="str">
        <f t="shared" si="206"/>
        <v/>
      </c>
      <c r="SIR6" s="97" t="str">
        <f t="shared" si="206"/>
        <v/>
      </c>
      <c r="SIS6" s="97" t="str">
        <f t="shared" si="206"/>
        <v/>
      </c>
      <c r="SIT6" s="97" t="str">
        <f t="shared" si="206"/>
        <v/>
      </c>
      <c r="SIU6" s="97" t="str">
        <f t="shared" si="206"/>
        <v/>
      </c>
      <c r="SIV6" s="97" t="str">
        <f t="shared" si="206"/>
        <v/>
      </c>
      <c r="SIW6" s="97" t="str">
        <f t="shared" si="206"/>
        <v/>
      </c>
      <c r="SIX6" s="97" t="str">
        <f t="shared" si="206"/>
        <v/>
      </c>
      <c r="SIY6" s="97" t="str">
        <f t="shared" si="206"/>
        <v/>
      </c>
      <c r="SIZ6" s="97" t="str">
        <f t="shared" si="206"/>
        <v/>
      </c>
      <c r="SJA6" s="97" t="str">
        <f t="shared" si="206"/>
        <v/>
      </c>
      <c r="SJB6" s="97" t="str">
        <f t="shared" si="206"/>
        <v/>
      </c>
      <c r="SJC6" s="97" t="str">
        <f t="shared" si="206"/>
        <v/>
      </c>
      <c r="SJD6" s="97" t="str">
        <f t="shared" si="206"/>
        <v/>
      </c>
      <c r="SJE6" s="97" t="str">
        <f t="shared" si="206"/>
        <v/>
      </c>
      <c r="SJF6" s="97" t="str">
        <f t="shared" si="206"/>
        <v/>
      </c>
      <c r="SJG6" s="97" t="str">
        <f t="shared" si="206"/>
        <v/>
      </c>
      <c r="SJH6" s="97" t="str">
        <f t="shared" si="206"/>
        <v/>
      </c>
      <c r="SJI6" s="97" t="str">
        <f t="shared" si="206"/>
        <v/>
      </c>
      <c r="SJJ6" s="97" t="str">
        <f t="shared" si="206"/>
        <v/>
      </c>
      <c r="SJK6" s="97" t="str">
        <f t="shared" si="206"/>
        <v/>
      </c>
      <c r="SJL6" s="97" t="str">
        <f t="shared" si="206"/>
        <v/>
      </c>
      <c r="SJM6" s="97" t="str">
        <f t="shared" si="206"/>
        <v/>
      </c>
      <c r="SJN6" s="97" t="str">
        <f t="shared" si="206"/>
        <v/>
      </c>
      <c r="SJO6" s="97" t="str">
        <f t="shared" si="206"/>
        <v/>
      </c>
      <c r="SJP6" s="97" t="str">
        <f t="shared" si="206"/>
        <v/>
      </c>
      <c r="SJQ6" s="97" t="str">
        <f t="shared" si="206"/>
        <v/>
      </c>
      <c r="SJR6" s="97" t="str">
        <f t="shared" si="206"/>
        <v/>
      </c>
      <c r="SJS6" s="97" t="str">
        <f t="shared" si="206"/>
        <v/>
      </c>
      <c r="SJT6" s="97" t="str">
        <f t="shared" si="206"/>
        <v/>
      </c>
      <c r="SJU6" s="97" t="str">
        <f t="shared" si="206"/>
        <v/>
      </c>
      <c r="SJV6" s="97" t="str">
        <f t="shared" ref="SJV6:SMG6" si="207">IFERROR(AVERAGE(SJV7:SJV13),"")</f>
        <v/>
      </c>
      <c r="SJW6" s="97" t="str">
        <f t="shared" si="207"/>
        <v/>
      </c>
      <c r="SJX6" s="97" t="str">
        <f t="shared" si="207"/>
        <v/>
      </c>
      <c r="SJY6" s="97" t="str">
        <f t="shared" si="207"/>
        <v/>
      </c>
      <c r="SJZ6" s="97" t="str">
        <f t="shared" si="207"/>
        <v/>
      </c>
      <c r="SKA6" s="97" t="str">
        <f t="shared" si="207"/>
        <v/>
      </c>
      <c r="SKB6" s="97" t="str">
        <f t="shared" si="207"/>
        <v/>
      </c>
      <c r="SKC6" s="97" t="str">
        <f t="shared" si="207"/>
        <v/>
      </c>
      <c r="SKD6" s="97" t="str">
        <f t="shared" si="207"/>
        <v/>
      </c>
      <c r="SKE6" s="97" t="str">
        <f t="shared" si="207"/>
        <v/>
      </c>
      <c r="SKF6" s="97" t="str">
        <f t="shared" si="207"/>
        <v/>
      </c>
      <c r="SKG6" s="97" t="str">
        <f t="shared" si="207"/>
        <v/>
      </c>
      <c r="SKH6" s="97" t="str">
        <f t="shared" si="207"/>
        <v/>
      </c>
      <c r="SKI6" s="97" t="str">
        <f t="shared" si="207"/>
        <v/>
      </c>
      <c r="SKJ6" s="97" t="str">
        <f t="shared" si="207"/>
        <v/>
      </c>
      <c r="SKK6" s="97" t="str">
        <f t="shared" si="207"/>
        <v/>
      </c>
      <c r="SKL6" s="97" t="str">
        <f t="shared" si="207"/>
        <v/>
      </c>
      <c r="SKM6" s="97" t="str">
        <f t="shared" si="207"/>
        <v/>
      </c>
      <c r="SKN6" s="97" t="str">
        <f t="shared" si="207"/>
        <v/>
      </c>
      <c r="SKO6" s="97" t="str">
        <f t="shared" si="207"/>
        <v/>
      </c>
      <c r="SKP6" s="97" t="str">
        <f t="shared" si="207"/>
        <v/>
      </c>
      <c r="SKQ6" s="97" t="str">
        <f t="shared" si="207"/>
        <v/>
      </c>
      <c r="SKR6" s="97" t="str">
        <f t="shared" si="207"/>
        <v/>
      </c>
      <c r="SKS6" s="97" t="str">
        <f t="shared" si="207"/>
        <v/>
      </c>
      <c r="SKT6" s="97" t="str">
        <f t="shared" si="207"/>
        <v/>
      </c>
      <c r="SKU6" s="97" t="str">
        <f t="shared" si="207"/>
        <v/>
      </c>
      <c r="SKV6" s="97" t="str">
        <f t="shared" si="207"/>
        <v/>
      </c>
      <c r="SKW6" s="97" t="str">
        <f t="shared" si="207"/>
        <v/>
      </c>
      <c r="SKX6" s="97" t="str">
        <f t="shared" si="207"/>
        <v/>
      </c>
      <c r="SKY6" s="97" t="str">
        <f t="shared" si="207"/>
        <v/>
      </c>
      <c r="SKZ6" s="97" t="str">
        <f t="shared" si="207"/>
        <v/>
      </c>
      <c r="SLA6" s="97" t="str">
        <f t="shared" si="207"/>
        <v/>
      </c>
      <c r="SLB6" s="97" t="str">
        <f t="shared" si="207"/>
        <v/>
      </c>
      <c r="SLC6" s="97" t="str">
        <f t="shared" si="207"/>
        <v/>
      </c>
      <c r="SLD6" s="97" t="str">
        <f t="shared" si="207"/>
        <v/>
      </c>
      <c r="SLE6" s="97" t="str">
        <f t="shared" si="207"/>
        <v/>
      </c>
      <c r="SLF6" s="97" t="str">
        <f t="shared" si="207"/>
        <v/>
      </c>
      <c r="SLG6" s="97" t="str">
        <f t="shared" si="207"/>
        <v/>
      </c>
      <c r="SLH6" s="97" t="str">
        <f t="shared" si="207"/>
        <v/>
      </c>
      <c r="SLI6" s="97" t="str">
        <f t="shared" si="207"/>
        <v/>
      </c>
      <c r="SLJ6" s="97" t="str">
        <f t="shared" si="207"/>
        <v/>
      </c>
      <c r="SLK6" s="97" t="str">
        <f t="shared" si="207"/>
        <v/>
      </c>
      <c r="SLL6" s="97" t="str">
        <f t="shared" si="207"/>
        <v/>
      </c>
      <c r="SLM6" s="97" t="str">
        <f t="shared" si="207"/>
        <v/>
      </c>
      <c r="SLN6" s="97" t="str">
        <f t="shared" si="207"/>
        <v/>
      </c>
      <c r="SLO6" s="97" t="str">
        <f t="shared" si="207"/>
        <v/>
      </c>
      <c r="SLP6" s="97" t="str">
        <f t="shared" si="207"/>
        <v/>
      </c>
      <c r="SLQ6" s="97" t="str">
        <f t="shared" si="207"/>
        <v/>
      </c>
      <c r="SLR6" s="97" t="str">
        <f t="shared" si="207"/>
        <v/>
      </c>
      <c r="SLS6" s="97" t="str">
        <f t="shared" si="207"/>
        <v/>
      </c>
      <c r="SLT6" s="97" t="str">
        <f t="shared" si="207"/>
        <v/>
      </c>
      <c r="SLU6" s="97" t="str">
        <f t="shared" si="207"/>
        <v/>
      </c>
      <c r="SLV6" s="97" t="str">
        <f t="shared" si="207"/>
        <v/>
      </c>
      <c r="SLW6" s="97" t="str">
        <f t="shared" si="207"/>
        <v/>
      </c>
      <c r="SLX6" s="97" t="str">
        <f t="shared" si="207"/>
        <v/>
      </c>
      <c r="SLY6" s="97" t="str">
        <f t="shared" si="207"/>
        <v/>
      </c>
      <c r="SLZ6" s="97" t="str">
        <f t="shared" si="207"/>
        <v/>
      </c>
      <c r="SMA6" s="97" t="str">
        <f t="shared" si="207"/>
        <v/>
      </c>
      <c r="SMB6" s="97" t="str">
        <f t="shared" si="207"/>
        <v/>
      </c>
      <c r="SMC6" s="97" t="str">
        <f t="shared" si="207"/>
        <v/>
      </c>
      <c r="SMD6" s="97" t="str">
        <f t="shared" si="207"/>
        <v/>
      </c>
      <c r="SME6" s="97" t="str">
        <f t="shared" si="207"/>
        <v/>
      </c>
      <c r="SMF6" s="97" t="str">
        <f t="shared" si="207"/>
        <v/>
      </c>
      <c r="SMG6" s="97" t="str">
        <f t="shared" si="207"/>
        <v/>
      </c>
      <c r="SMH6" s="97" t="str">
        <f t="shared" ref="SMH6:SOS6" si="208">IFERROR(AVERAGE(SMH7:SMH13),"")</f>
        <v/>
      </c>
      <c r="SMI6" s="97" t="str">
        <f t="shared" si="208"/>
        <v/>
      </c>
      <c r="SMJ6" s="97" t="str">
        <f t="shared" si="208"/>
        <v/>
      </c>
      <c r="SMK6" s="97" t="str">
        <f t="shared" si="208"/>
        <v/>
      </c>
      <c r="SML6" s="97" t="str">
        <f t="shared" si="208"/>
        <v/>
      </c>
      <c r="SMM6" s="97" t="str">
        <f t="shared" si="208"/>
        <v/>
      </c>
      <c r="SMN6" s="97" t="str">
        <f t="shared" si="208"/>
        <v/>
      </c>
      <c r="SMO6" s="97" t="str">
        <f t="shared" si="208"/>
        <v/>
      </c>
      <c r="SMP6" s="97" t="str">
        <f t="shared" si="208"/>
        <v/>
      </c>
      <c r="SMQ6" s="97" t="str">
        <f t="shared" si="208"/>
        <v/>
      </c>
      <c r="SMR6" s="97" t="str">
        <f t="shared" si="208"/>
        <v/>
      </c>
      <c r="SMS6" s="97" t="str">
        <f t="shared" si="208"/>
        <v/>
      </c>
      <c r="SMT6" s="97" t="str">
        <f t="shared" si="208"/>
        <v/>
      </c>
      <c r="SMU6" s="97" t="str">
        <f t="shared" si="208"/>
        <v/>
      </c>
      <c r="SMV6" s="97" t="str">
        <f t="shared" si="208"/>
        <v/>
      </c>
      <c r="SMW6" s="97" t="str">
        <f t="shared" si="208"/>
        <v/>
      </c>
      <c r="SMX6" s="97" t="str">
        <f t="shared" si="208"/>
        <v/>
      </c>
      <c r="SMY6" s="97" t="str">
        <f t="shared" si="208"/>
        <v/>
      </c>
      <c r="SMZ6" s="97" t="str">
        <f t="shared" si="208"/>
        <v/>
      </c>
      <c r="SNA6" s="97" t="str">
        <f t="shared" si="208"/>
        <v/>
      </c>
      <c r="SNB6" s="97" t="str">
        <f t="shared" si="208"/>
        <v/>
      </c>
      <c r="SNC6" s="97" t="str">
        <f t="shared" si="208"/>
        <v/>
      </c>
      <c r="SND6" s="97" t="str">
        <f t="shared" si="208"/>
        <v/>
      </c>
      <c r="SNE6" s="97" t="str">
        <f t="shared" si="208"/>
        <v/>
      </c>
      <c r="SNF6" s="97" t="str">
        <f t="shared" si="208"/>
        <v/>
      </c>
      <c r="SNG6" s="97" t="str">
        <f t="shared" si="208"/>
        <v/>
      </c>
      <c r="SNH6" s="97" t="str">
        <f t="shared" si="208"/>
        <v/>
      </c>
      <c r="SNI6" s="97" t="str">
        <f t="shared" si="208"/>
        <v/>
      </c>
      <c r="SNJ6" s="97" t="str">
        <f t="shared" si="208"/>
        <v/>
      </c>
      <c r="SNK6" s="97" t="str">
        <f t="shared" si="208"/>
        <v/>
      </c>
      <c r="SNL6" s="97" t="str">
        <f t="shared" si="208"/>
        <v/>
      </c>
      <c r="SNM6" s="97" t="str">
        <f t="shared" si="208"/>
        <v/>
      </c>
      <c r="SNN6" s="97" t="str">
        <f t="shared" si="208"/>
        <v/>
      </c>
      <c r="SNO6" s="97" t="str">
        <f t="shared" si="208"/>
        <v/>
      </c>
      <c r="SNP6" s="97" t="str">
        <f t="shared" si="208"/>
        <v/>
      </c>
      <c r="SNQ6" s="97" t="str">
        <f t="shared" si="208"/>
        <v/>
      </c>
      <c r="SNR6" s="97" t="str">
        <f t="shared" si="208"/>
        <v/>
      </c>
      <c r="SNS6" s="97" t="str">
        <f t="shared" si="208"/>
        <v/>
      </c>
      <c r="SNT6" s="97" t="str">
        <f t="shared" si="208"/>
        <v/>
      </c>
      <c r="SNU6" s="97" t="str">
        <f t="shared" si="208"/>
        <v/>
      </c>
      <c r="SNV6" s="97" t="str">
        <f t="shared" si="208"/>
        <v/>
      </c>
      <c r="SNW6" s="97" t="str">
        <f t="shared" si="208"/>
        <v/>
      </c>
      <c r="SNX6" s="97" t="str">
        <f t="shared" si="208"/>
        <v/>
      </c>
      <c r="SNY6" s="97" t="str">
        <f t="shared" si="208"/>
        <v/>
      </c>
      <c r="SNZ6" s="97" t="str">
        <f t="shared" si="208"/>
        <v/>
      </c>
      <c r="SOA6" s="97" t="str">
        <f t="shared" si="208"/>
        <v/>
      </c>
      <c r="SOB6" s="97" t="str">
        <f t="shared" si="208"/>
        <v/>
      </c>
      <c r="SOC6" s="97" t="str">
        <f t="shared" si="208"/>
        <v/>
      </c>
      <c r="SOD6" s="97" t="str">
        <f t="shared" si="208"/>
        <v/>
      </c>
      <c r="SOE6" s="97" t="str">
        <f t="shared" si="208"/>
        <v/>
      </c>
      <c r="SOF6" s="97" t="str">
        <f t="shared" si="208"/>
        <v/>
      </c>
      <c r="SOG6" s="97" t="str">
        <f t="shared" si="208"/>
        <v/>
      </c>
      <c r="SOH6" s="97" t="str">
        <f t="shared" si="208"/>
        <v/>
      </c>
      <c r="SOI6" s="97" t="str">
        <f t="shared" si="208"/>
        <v/>
      </c>
      <c r="SOJ6" s="97" t="str">
        <f t="shared" si="208"/>
        <v/>
      </c>
      <c r="SOK6" s="97" t="str">
        <f t="shared" si="208"/>
        <v/>
      </c>
      <c r="SOL6" s="97" t="str">
        <f t="shared" si="208"/>
        <v/>
      </c>
      <c r="SOM6" s="97" t="str">
        <f t="shared" si="208"/>
        <v/>
      </c>
      <c r="SON6" s="97" t="str">
        <f t="shared" si="208"/>
        <v/>
      </c>
      <c r="SOO6" s="97" t="str">
        <f t="shared" si="208"/>
        <v/>
      </c>
      <c r="SOP6" s="97" t="str">
        <f t="shared" si="208"/>
        <v/>
      </c>
      <c r="SOQ6" s="97" t="str">
        <f t="shared" si="208"/>
        <v/>
      </c>
      <c r="SOR6" s="97" t="str">
        <f t="shared" si="208"/>
        <v/>
      </c>
      <c r="SOS6" s="97" t="str">
        <f t="shared" si="208"/>
        <v/>
      </c>
      <c r="SOT6" s="97" t="str">
        <f t="shared" ref="SOT6:SRE6" si="209">IFERROR(AVERAGE(SOT7:SOT13),"")</f>
        <v/>
      </c>
      <c r="SOU6" s="97" t="str">
        <f t="shared" si="209"/>
        <v/>
      </c>
      <c r="SOV6" s="97" t="str">
        <f t="shared" si="209"/>
        <v/>
      </c>
      <c r="SOW6" s="97" t="str">
        <f t="shared" si="209"/>
        <v/>
      </c>
      <c r="SOX6" s="97" t="str">
        <f t="shared" si="209"/>
        <v/>
      </c>
      <c r="SOY6" s="97" t="str">
        <f t="shared" si="209"/>
        <v/>
      </c>
      <c r="SOZ6" s="97" t="str">
        <f t="shared" si="209"/>
        <v/>
      </c>
      <c r="SPA6" s="97" t="str">
        <f t="shared" si="209"/>
        <v/>
      </c>
      <c r="SPB6" s="97" t="str">
        <f t="shared" si="209"/>
        <v/>
      </c>
      <c r="SPC6" s="97" t="str">
        <f t="shared" si="209"/>
        <v/>
      </c>
      <c r="SPD6" s="97" t="str">
        <f t="shared" si="209"/>
        <v/>
      </c>
      <c r="SPE6" s="97" t="str">
        <f t="shared" si="209"/>
        <v/>
      </c>
      <c r="SPF6" s="97" t="str">
        <f t="shared" si="209"/>
        <v/>
      </c>
      <c r="SPG6" s="97" t="str">
        <f t="shared" si="209"/>
        <v/>
      </c>
      <c r="SPH6" s="97" t="str">
        <f t="shared" si="209"/>
        <v/>
      </c>
      <c r="SPI6" s="97" t="str">
        <f t="shared" si="209"/>
        <v/>
      </c>
      <c r="SPJ6" s="97" t="str">
        <f t="shared" si="209"/>
        <v/>
      </c>
      <c r="SPK6" s="97" t="str">
        <f t="shared" si="209"/>
        <v/>
      </c>
      <c r="SPL6" s="97" t="str">
        <f t="shared" si="209"/>
        <v/>
      </c>
      <c r="SPM6" s="97" t="str">
        <f t="shared" si="209"/>
        <v/>
      </c>
      <c r="SPN6" s="97" t="str">
        <f t="shared" si="209"/>
        <v/>
      </c>
      <c r="SPO6" s="97" t="str">
        <f t="shared" si="209"/>
        <v/>
      </c>
      <c r="SPP6" s="97" t="str">
        <f t="shared" si="209"/>
        <v/>
      </c>
      <c r="SPQ6" s="97" t="str">
        <f t="shared" si="209"/>
        <v/>
      </c>
      <c r="SPR6" s="97" t="str">
        <f t="shared" si="209"/>
        <v/>
      </c>
      <c r="SPS6" s="97" t="str">
        <f t="shared" si="209"/>
        <v/>
      </c>
      <c r="SPT6" s="97" t="str">
        <f t="shared" si="209"/>
        <v/>
      </c>
      <c r="SPU6" s="97" t="str">
        <f t="shared" si="209"/>
        <v/>
      </c>
      <c r="SPV6" s="97" t="str">
        <f t="shared" si="209"/>
        <v/>
      </c>
      <c r="SPW6" s="97" t="str">
        <f t="shared" si="209"/>
        <v/>
      </c>
      <c r="SPX6" s="97" t="str">
        <f t="shared" si="209"/>
        <v/>
      </c>
      <c r="SPY6" s="97" t="str">
        <f t="shared" si="209"/>
        <v/>
      </c>
      <c r="SPZ6" s="97" t="str">
        <f t="shared" si="209"/>
        <v/>
      </c>
      <c r="SQA6" s="97" t="str">
        <f t="shared" si="209"/>
        <v/>
      </c>
      <c r="SQB6" s="97" t="str">
        <f t="shared" si="209"/>
        <v/>
      </c>
      <c r="SQC6" s="97" t="str">
        <f t="shared" si="209"/>
        <v/>
      </c>
      <c r="SQD6" s="97" t="str">
        <f t="shared" si="209"/>
        <v/>
      </c>
      <c r="SQE6" s="97" t="str">
        <f t="shared" si="209"/>
        <v/>
      </c>
      <c r="SQF6" s="97" t="str">
        <f t="shared" si="209"/>
        <v/>
      </c>
      <c r="SQG6" s="97" t="str">
        <f t="shared" si="209"/>
        <v/>
      </c>
      <c r="SQH6" s="97" t="str">
        <f t="shared" si="209"/>
        <v/>
      </c>
      <c r="SQI6" s="97" t="str">
        <f t="shared" si="209"/>
        <v/>
      </c>
      <c r="SQJ6" s="97" t="str">
        <f t="shared" si="209"/>
        <v/>
      </c>
      <c r="SQK6" s="97" t="str">
        <f t="shared" si="209"/>
        <v/>
      </c>
      <c r="SQL6" s="97" t="str">
        <f t="shared" si="209"/>
        <v/>
      </c>
      <c r="SQM6" s="97" t="str">
        <f t="shared" si="209"/>
        <v/>
      </c>
      <c r="SQN6" s="97" t="str">
        <f t="shared" si="209"/>
        <v/>
      </c>
      <c r="SQO6" s="97" t="str">
        <f t="shared" si="209"/>
        <v/>
      </c>
      <c r="SQP6" s="97" t="str">
        <f t="shared" si="209"/>
        <v/>
      </c>
      <c r="SQQ6" s="97" t="str">
        <f t="shared" si="209"/>
        <v/>
      </c>
      <c r="SQR6" s="97" t="str">
        <f t="shared" si="209"/>
        <v/>
      </c>
      <c r="SQS6" s="97" t="str">
        <f t="shared" si="209"/>
        <v/>
      </c>
      <c r="SQT6" s="97" t="str">
        <f t="shared" si="209"/>
        <v/>
      </c>
      <c r="SQU6" s="97" t="str">
        <f t="shared" si="209"/>
        <v/>
      </c>
      <c r="SQV6" s="97" t="str">
        <f t="shared" si="209"/>
        <v/>
      </c>
      <c r="SQW6" s="97" t="str">
        <f t="shared" si="209"/>
        <v/>
      </c>
      <c r="SQX6" s="97" t="str">
        <f t="shared" si="209"/>
        <v/>
      </c>
      <c r="SQY6" s="97" t="str">
        <f t="shared" si="209"/>
        <v/>
      </c>
      <c r="SQZ6" s="97" t="str">
        <f t="shared" si="209"/>
        <v/>
      </c>
      <c r="SRA6" s="97" t="str">
        <f t="shared" si="209"/>
        <v/>
      </c>
      <c r="SRB6" s="97" t="str">
        <f t="shared" si="209"/>
        <v/>
      </c>
      <c r="SRC6" s="97" t="str">
        <f t="shared" si="209"/>
        <v/>
      </c>
      <c r="SRD6" s="97" t="str">
        <f t="shared" si="209"/>
        <v/>
      </c>
      <c r="SRE6" s="97" t="str">
        <f t="shared" si="209"/>
        <v/>
      </c>
      <c r="SRF6" s="97" t="str">
        <f t="shared" ref="SRF6:STQ6" si="210">IFERROR(AVERAGE(SRF7:SRF13),"")</f>
        <v/>
      </c>
      <c r="SRG6" s="97" t="str">
        <f t="shared" si="210"/>
        <v/>
      </c>
      <c r="SRH6" s="97" t="str">
        <f t="shared" si="210"/>
        <v/>
      </c>
      <c r="SRI6" s="97" t="str">
        <f t="shared" si="210"/>
        <v/>
      </c>
      <c r="SRJ6" s="97" t="str">
        <f t="shared" si="210"/>
        <v/>
      </c>
      <c r="SRK6" s="97" t="str">
        <f t="shared" si="210"/>
        <v/>
      </c>
      <c r="SRL6" s="97" t="str">
        <f t="shared" si="210"/>
        <v/>
      </c>
      <c r="SRM6" s="97" t="str">
        <f t="shared" si="210"/>
        <v/>
      </c>
      <c r="SRN6" s="97" t="str">
        <f t="shared" si="210"/>
        <v/>
      </c>
      <c r="SRO6" s="97" t="str">
        <f t="shared" si="210"/>
        <v/>
      </c>
      <c r="SRP6" s="97" t="str">
        <f t="shared" si="210"/>
        <v/>
      </c>
      <c r="SRQ6" s="97" t="str">
        <f t="shared" si="210"/>
        <v/>
      </c>
      <c r="SRR6" s="97" t="str">
        <f t="shared" si="210"/>
        <v/>
      </c>
      <c r="SRS6" s="97" t="str">
        <f t="shared" si="210"/>
        <v/>
      </c>
      <c r="SRT6" s="97" t="str">
        <f t="shared" si="210"/>
        <v/>
      </c>
      <c r="SRU6" s="97" t="str">
        <f t="shared" si="210"/>
        <v/>
      </c>
      <c r="SRV6" s="97" t="str">
        <f t="shared" si="210"/>
        <v/>
      </c>
      <c r="SRW6" s="97" t="str">
        <f t="shared" si="210"/>
        <v/>
      </c>
      <c r="SRX6" s="97" t="str">
        <f t="shared" si="210"/>
        <v/>
      </c>
      <c r="SRY6" s="97" t="str">
        <f t="shared" si="210"/>
        <v/>
      </c>
      <c r="SRZ6" s="97" t="str">
        <f t="shared" si="210"/>
        <v/>
      </c>
      <c r="SSA6" s="97" t="str">
        <f t="shared" si="210"/>
        <v/>
      </c>
      <c r="SSB6" s="97" t="str">
        <f t="shared" si="210"/>
        <v/>
      </c>
      <c r="SSC6" s="97" t="str">
        <f t="shared" si="210"/>
        <v/>
      </c>
      <c r="SSD6" s="97" t="str">
        <f t="shared" si="210"/>
        <v/>
      </c>
      <c r="SSE6" s="97" t="str">
        <f t="shared" si="210"/>
        <v/>
      </c>
      <c r="SSF6" s="97" t="str">
        <f t="shared" si="210"/>
        <v/>
      </c>
      <c r="SSG6" s="97" t="str">
        <f t="shared" si="210"/>
        <v/>
      </c>
      <c r="SSH6" s="97" t="str">
        <f t="shared" si="210"/>
        <v/>
      </c>
      <c r="SSI6" s="97" t="str">
        <f t="shared" si="210"/>
        <v/>
      </c>
      <c r="SSJ6" s="97" t="str">
        <f t="shared" si="210"/>
        <v/>
      </c>
      <c r="SSK6" s="97" t="str">
        <f t="shared" si="210"/>
        <v/>
      </c>
      <c r="SSL6" s="97" t="str">
        <f t="shared" si="210"/>
        <v/>
      </c>
      <c r="SSM6" s="97" t="str">
        <f t="shared" si="210"/>
        <v/>
      </c>
      <c r="SSN6" s="97" t="str">
        <f t="shared" si="210"/>
        <v/>
      </c>
      <c r="SSO6" s="97" t="str">
        <f t="shared" si="210"/>
        <v/>
      </c>
      <c r="SSP6" s="97" t="str">
        <f t="shared" si="210"/>
        <v/>
      </c>
      <c r="SSQ6" s="97" t="str">
        <f t="shared" si="210"/>
        <v/>
      </c>
      <c r="SSR6" s="97" t="str">
        <f t="shared" si="210"/>
        <v/>
      </c>
      <c r="SSS6" s="97" t="str">
        <f t="shared" si="210"/>
        <v/>
      </c>
      <c r="SST6" s="97" t="str">
        <f t="shared" si="210"/>
        <v/>
      </c>
      <c r="SSU6" s="97" t="str">
        <f t="shared" si="210"/>
        <v/>
      </c>
      <c r="SSV6" s="97" t="str">
        <f t="shared" si="210"/>
        <v/>
      </c>
      <c r="SSW6" s="97" t="str">
        <f t="shared" si="210"/>
        <v/>
      </c>
      <c r="SSX6" s="97" t="str">
        <f t="shared" si="210"/>
        <v/>
      </c>
      <c r="SSY6" s="97" t="str">
        <f t="shared" si="210"/>
        <v/>
      </c>
      <c r="SSZ6" s="97" t="str">
        <f t="shared" si="210"/>
        <v/>
      </c>
      <c r="STA6" s="97" t="str">
        <f t="shared" si="210"/>
        <v/>
      </c>
      <c r="STB6" s="97" t="str">
        <f t="shared" si="210"/>
        <v/>
      </c>
      <c r="STC6" s="97" t="str">
        <f t="shared" si="210"/>
        <v/>
      </c>
      <c r="STD6" s="97" t="str">
        <f t="shared" si="210"/>
        <v/>
      </c>
      <c r="STE6" s="97" t="str">
        <f t="shared" si="210"/>
        <v/>
      </c>
      <c r="STF6" s="97" t="str">
        <f t="shared" si="210"/>
        <v/>
      </c>
      <c r="STG6" s="97" t="str">
        <f t="shared" si="210"/>
        <v/>
      </c>
      <c r="STH6" s="97" t="str">
        <f t="shared" si="210"/>
        <v/>
      </c>
      <c r="STI6" s="97" t="str">
        <f t="shared" si="210"/>
        <v/>
      </c>
      <c r="STJ6" s="97" t="str">
        <f t="shared" si="210"/>
        <v/>
      </c>
      <c r="STK6" s="97" t="str">
        <f t="shared" si="210"/>
        <v/>
      </c>
      <c r="STL6" s="97" t="str">
        <f t="shared" si="210"/>
        <v/>
      </c>
      <c r="STM6" s="97" t="str">
        <f t="shared" si="210"/>
        <v/>
      </c>
      <c r="STN6" s="97" t="str">
        <f t="shared" si="210"/>
        <v/>
      </c>
      <c r="STO6" s="97" t="str">
        <f t="shared" si="210"/>
        <v/>
      </c>
      <c r="STP6" s="97" t="str">
        <f t="shared" si="210"/>
        <v/>
      </c>
      <c r="STQ6" s="97" t="str">
        <f t="shared" si="210"/>
        <v/>
      </c>
      <c r="STR6" s="97" t="str">
        <f t="shared" ref="STR6:SWC6" si="211">IFERROR(AVERAGE(STR7:STR13),"")</f>
        <v/>
      </c>
      <c r="STS6" s="97" t="str">
        <f t="shared" si="211"/>
        <v/>
      </c>
      <c r="STT6" s="97" t="str">
        <f t="shared" si="211"/>
        <v/>
      </c>
      <c r="STU6" s="97" t="str">
        <f t="shared" si="211"/>
        <v/>
      </c>
      <c r="STV6" s="97" t="str">
        <f t="shared" si="211"/>
        <v/>
      </c>
      <c r="STW6" s="97" t="str">
        <f t="shared" si="211"/>
        <v/>
      </c>
      <c r="STX6" s="97" t="str">
        <f t="shared" si="211"/>
        <v/>
      </c>
      <c r="STY6" s="97" t="str">
        <f t="shared" si="211"/>
        <v/>
      </c>
      <c r="STZ6" s="97" t="str">
        <f t="shared" si="211"/>
        <v/>
      </c>
      <c r="SUA6" s="97" t="str">
        <f t="shared" si="211"/>
        <v/>
      </c>
      <c r="SUB6" s="97" t="str">
        <f t="shared" si="211"/>
        <v/>
      </c>
      <c r="SUC6" s="97" t="str">
        <f t="shared" si="211"/>
        <v/>
      </c>
      <c r="SUD6" s="97" t="str">
        <f t="shared" si="211"/>
        <v/>
      </c>
      <c r="SUE6" s="97" t="str">
        <f t="shared" si="211"/>
        <v/>
      </c>
      <c r="SUF6" s="97" t="str">
        <f t="shared" si="211"/>
        <v/>
      </c>
      <c r="SUG6" s="97" t="str">
        <f t="shared" si="211"/>
        <v/>
      </c>
      <c r="SUH6" s="97" t="str">
        <f t="shared" si="211"/>
        <v/>
      </c>
      <c r="SUI6" s="97" t="str">
        <f t="shared" si="211"/>
        <v/>
      </c>
      <c r="SUJ6" s="97" t="str">
        <f t="shared" si="211"/>
        <v/>
      </c>
      <c r="SUK6" s="97" t="str">
        <f t="shared" si="211"/>
        <v/>
      </c>
      <c r="SUL6" s="97" t="str">
        <f t="shared" si="211"/>
        <v/>
      </c>
      <c r="SUM6" s="97" t="str">
        <f t="shared" si="211"/>
        <v/>
      </c>
      <c r="SUN6" s="97" t="str">
        <f t="shared" si="211"/>
        <v/>
      </c>
      <c r="SUO6" s="97" t="str">
        <f t="shared" si="211"/>
        <v/>
      </c>
      <c r="SUP6" s="97" t="str">
        <f t="shared" si="211"/>
        <v/>
      </c>
      <c r="SUQ6" s="97" t="str">
        <f t="shared" si="211"/>
        <v/>
      </c>
      <c r="SUR6" s="97" t="str">
        <f t="shared" si="211"/>
        <v/>
      </c>
      <c r="SUS6" s="97" t="str">
        <f t="shared" si="211"/>
        <v/>
      </c>
      <c r="SUT6" s="97" t="str">
        <f t="shared" si="211"/>
        <v/>
      </c>
      <c r="SUU6" s="97" t="str">
        <f t="shared" si="211"/>
        <v/>
      </c>
      <c r="SUV6" s="97" t="str">
        <f t="shared" si="211"/>
        <v/>
      </c>
      <c r="SUW6" s="97" t="str">
        <f t="shared" si="211"/>
        <v/>
      </c>
      <c r="SUX6" s="97" t="str">
        <f t="shared" si="211"/>
        <v/>
      </c>
      <c r="SUY6" s="97" t="str">
        <f t="shared" si="211"/>
        <v/>
      </c>
      <c r="SUZ6" s="97" t="str">
        <f t="shared" si="211"/>
        <v/>
      </c>
      <c r="SVA6" s="97" t="str">
        <f t="shared" si="211"/>
        <v/>
      </c>
      <c r="SVB6" s="97" t="str">
        <f t="shared" si="211"/>
        <v/>
      </c>
      <c r="SVC6" s="97" t="str">
        <f t="shared" si="211"/>
        <v/>
      </c>
      <c r="SVD6" s="97" t="str">
        <f t="shared" si="211"/>
        <v/>
      </c>
      <c r="SVE6" s="97" t="str">
        <f t="shared" si="211"/>
        <v/>
      </c>
      <c r="SVF6" s="97" t="str">
        <f t="shared" si="211"/>
        <v/>
      </c>
      <c r="SVG6" s="97" t="str">
        <f t="shared" si="211"/>
        <v/>
      </c>
      <c r="SVH6" s="97" t="str">
        <f t="shared" si="211"/>
        <v/>
      </c>
      <c r="SVI6" s="97" t="str">
        <f t="shared" si="211"/>
        <v/>
      </c>
      <c r="SVJ6" s="97" t="str">
        <f t="shared" si="211"/>
        <v/>
      </c>
      <c r="SVK6" s="97" t="str">
        <f t="shared" si="211"/>
        <v/>
      </c>
      <c r="SVL6" s="97" t="str">
        <f t="shared" si="211"/>
        <v/>
      </c>
      <c r="SVM6" s="97" t="str">
        <f t="shared" si="211"/>
        <v/>
      </c>
      <c r="SVN6" s="97" t="str">
        <f t="shared" si="211"/>
        <v/>
      </c>
      <c r="SVO6" s="97" t="str">
        <f t="shared" si="211"/>
        <v/>
      </c>
      <c r="SVP6" s="97" t="str">
        <f t="shared" si="211"/>
        <v/>
      </c>
      <c r="SVQ6" s="97" t="str">
        <f t="shared" si="211"/>
        <v/>
      </c>
      <c r="SVR6" s="97" t="str">
        <f t="shared" si="211"/>
        <v/>
      </c>
      <c r="SVS6" s="97" t="str">
        <f t="shared" si="211"/>
        <v/>
      </c>
      <c r="SVT6" s="97" t="str">
        <f t="shared" si="211"/>
        <v/>
      </c>
      <c r="SVU6" s="97" t="str">
        <f t="shared" si="211"/>
        <v/>
      </c>
      <c r="SVV6" s="97" t="str">
        <f t="shared" si="211"/>
        <v/>
      </c>
      <c r="SVW6" s="97" t="str">
        <f t="shared" si="211"/>
        <v/>
      </c>
      <c r="SVX6" s="97" t="str">
        <f t="shared" si="211"/>
        <v/>
      </c>
      <c r="SVY6" s="97" t="str">
        <f t="shared" si="211"/>
        <v/>
      </c>
      <c r="SVZ6" s="97" t="str">
        <f t="shared" si="211"/>
        <v/>
      </c>
      <c r="SWA6" s="97" t="str">
        <f t="shared" si="211"/>
        <v/>
      </c>
      <c r="SWB6" s="97" t="str">
        <f t="shared" si="211"/>
        <v/>
      </c>
      <c r="SWC6" s="97" t="str">
        <f t="shared" si="211"/>
        <v/>
      </c>
      <c r="SWD6" s="97" t="str">
        <f t="shared" ref="SWD6:SYO6" si="212">IFERROR(AVERAGE(SWD7:SWD13),"")</f>
        <v/>
      </c>
      <c r="SWE6" s="97" t="str">
        <f t="shared" si="212"/>
        <v/>
      </c>
      <c r="SWF6" s="97" t="str">
        <f t="shared" si="212"/>
        <v/>
      </c>
      <c r="SWG6" s="97" t="str">
        <f t="shared" si="212"/>
        <v/>
      </c>
      <c r="SWH6" s="97" t="str">
        <f t="shared" si="212"/>
        <v/>
      </c>
      <c r="SWI6" s="97" t="str">
        <f t="shared" si="212"/>
        <v/>
      </c>
      <c r="SWJ6" s="97" t="str">
        <f t="shared" si="212"/>
        <v/>
      </c>
      <c r="SWK6" s="97" t="str">
        <f t="shared" si="212"/>
        <v/>
      </c>
      <c r="SWL6" s="97" t="str">
        <f t="shared" si="212"/>
        <v/>
      </c>
      <c r="SWM6" s="97" t="str">
        <f t="shared" si="212"/>
        <v/>
      </c>
      <c r="SWN6" s="97" t="str">
        <f t="shared" si="212"/>
        <v/>
      </c>
      <c r="SWO6" s="97" t="str">
        <f t="shared" si="212"/>
        <v/>
      </c>
      <c r="SWP6" s="97" t="str">
        <f t="shared" si="212"/>
        <v/>
      </c>
      <c r="SWQ6" s="97" t="str">
        <f t="shared" si="212"/>
        <v/>
      </c>
      <c r="SWR6" s="97" t="str">
        <f t="shared" si="212"/>
        <v/>
      </c>
      <c r="SWS6" s="97" t="str">
        <f t="shared" si="212"/>
        <v/>
      </c>
      <c r="SWT6" s="97" t="str">
        <f t="shared" si="212"/>
        <v/>
      </c>
      <c r="SWU6" s="97" t="str">
        <f t="shared" si="212"/>
        <v/>
      </c>
      <c r="SWV6" s="97" t="str">
        <f t="shared" si="212"/>
        <v/>
      </c>
      <c r="SWW6" s="97" t="str">
        <f t="shared" si="212"/>
        <v/>
      </c>
      <c r="SWX6" s="97" t="str">
        <f t="shared" si="212"/>
        <v/>
      </c>
      <c r="SWY6" s="97" t="str">
        <f t="shared" si="212"/>
        <v/>
      </c>
      <c r="SWZ6" s="97" t="str">
        <f t="shared" si="212"/>
        <v/>
      </c>
      <c r="SXA6" s="97" t="str">
        <f t="shared" si="212"/>
        <v/>
      </c>
      <c r="SXB6" s="97" t="str">
        <f t="shared" si="212"/>
        <v/>
      </c>
      <c r="SXC6" s="97" t="str">
        <f t="shared" si="212"/>
        <v/>
      </c>
      <c r="SXD6" s="97" t="str">
        <f t="shared" si="212"/>
        <v/>
      </c>
      <c r="SXE6" s="97" t="str">
        <f t="shared" si="212"/>
        <v/>
      </c>
      <c r="SXF6" s="97" t="str">
        <f t="shared" si="212"/>
        <v/>
      </c>
      <c r="SXG6" s="97" t="str">
        <f t="shared" si="212"/>
        <v/>
      </c>
      <c r="SXH6" s="97" t="str">
        <f t="shared" si="212"/>
        <v/>
      </c>
      <c r="SXI6" s="97" t="str">
        <f t="shared" si="212"/>
        <v/>
      </c>
      <c r="SXJ6" s="97" t="str">
        <f t="shared" si="212"/>
        <v/>
      </c>
      <c r="SXK6" s="97" t="str">
        <f t="shared" si="212"/>
        <v/>
      </c>
      <c r="SXL6" s="97" t="str">
        <f t="shared" si="212"/>
        <v/>
      </c>
      <c r="SXM6" s="97" t="str">
        <f t="shared" si="212"/>
        <v/>
      </c>
      <c r="SXN6" s="97" t="str">
        <f t="shared" si="212"/>
        <v/>
      </c>
      <c r="SXO6" s="97" t="str">
        <f t="shared" si="212"/>
        <v/>
      </c>
      <c r="SXP6" s="97" t="str">
        <f t="shared" si="212"/>
        <v/>
      </c>
      <c r="SXQ6" s="97" t="str">
        <f t="shared" si="212"/>
        <v/>
      </c>
      <c r="SXR6" s="97" t="str">
        <f t="shared" si="212"/>
        <v/>
      </c>
      <c r="SXS6" s="97" t="str">
        <f t="shared" si="212"/>
        <v/>
      </c>
      <c r="SXT6" s="97" t="str">
        <f t="shared" si="212"/>
        <v/>
      </c>
      <c r="SXU6" s="97" t="str">
        <f t="shared" si="212"/>
        <v/>
      </c>
      <c r="SXV6" s="97" t="str">
        <f t="shared" si="212"/>
        <v/>
      </c>
      <c r="SXW6" s="97" t="str">
        <f t="shared" si="212"/>
        <v/>
      </c>
      <c r="SXX6" s="97" t="str">
        <f t="shared" si="212"/>
        <v/>
      </c>
      <c r="SXY6" s="97" t="str">
        <f t="shared" si="212"/>
        <v/>
      </c>
      <c r="SXZ6" s="97" t="str">
        <f t="shared" si="212"/>
        <v/>
      </c>
      <c r="SYA6" s="97" t="str">
        <f t="shared" si="212"/>
        <v/>
      </c>
      <c r="SYB6" s="97" t="str">
        <f t="shared" si="212"/>
        <v/>
      </c>
      <c r="SYC6" s="97" t="str">
        <f t="shared" si="212"/>
        <v/>
      </c>
      <c r="SYD6" s="97" t="str">
        <f t="shared" si="212"/>
        <v/>
      </c>
      <c r="SYE6" s="97" t="str">
        <f t="shared" si="212"/>
        <v/>
      </c>
      <c r="SYF6" s="97" t="str">
        <f t="shared" si="212"/>
        <v/>
      </c>
      <c r="SYG6" s="97" t="str">
        <f t="shared" si="212"/>
        <v/>
      </c>
      <c r="SYH6" s="97" t="str">
        <f t="shared" si="212"/>
        <v/>
      </c>
      <c r="SYI6" s="97" t="str">
        <f t="shared" si="212"/>
        <v/>
      </c>
      <c r="SYJ6" s="97" t="str">
        <f t="shared" si="212"/>
        <v/>
      </c>
      <c r="SYK6" s="97" t="str">
        <f t="shared" si="212"/>
        <v/>
      </c>
      <c r="SYL6" s="97" t="str">
        <f t="shared" si="212"/>
        <v/>
      </c>
      <c r="SYM6" s="97" t="str">
        <f t="shared" si="212"/>
        <v/>
      </c>
      <c r="SYN6" s="97" t="str">
        <f t="shared" si="212"/>
        <v/>
      </c>
      <c r="SYO6" s="97" t="str">
        <f t="shared" si="212"/>
        <v/>
      </c>
      <c r="SYP6" s="97" t="str">
        <f t="shared" ref="SYP6:TBA6" si="213">IFERROR(AVERAGE(SYP7:SYP13),"")</f>
        <v/>
      </c>
      <c r="SYQ6" s="97" t="str">
        <f t="shared" si="213"/>
        <v/>
      </c>
      <c r="SYR6" s="97" t="str">
        <f t="shared" si="213"/>
        <v/>
      </c>
      <c r="SYS6" s="97" t="str">
        <f t="shared" si="213"/>
        <v/>
      </c>
      <c r="SYT6" s="97" t="str">
        <f t="shared" si="213"/>
        <v/>
      </c>
      <c r="SYU6" s="97" t="str">
        <f t="shared" si="213"/>
        <v/>
      </c>
      <c r="SYV6" s="97" t="str">
        <f t="shared" si="213"/>
        <v/>
      </c>
      <c r="SYW6" s="97" t="str">
        <f t="shared" si="213"/>
        <v/>
      </c>
      <c r="SYX6" s="97" t="str">
        <f t="shared" si="213"/>
        <v/>
      </c>
      <c r="SYY6" s="97" t="str">
        <f t="shared" si="213"/>
        <v/>
      </c>
      <c r="SYZ6" s="97" t="str">
        <f t="shared" si="213"/>
        <v/>
      </c>
      <c r="SZA6" s="97" t="str">
        <f t="shared" si="213"/>
        <v/>
      </c>
      <c r="SZB6" s="97" t="str">
        <f t="shared" si="213"/>
        <v/>
      </c>
      <c r="SZC6" s="97" t="str">
        <f t="shared" si="213"/>
        <v/>
      </c>
      <c r="SZD6" s="97" t="str">
        <f t="shared" si="213"/>
        <v/>
      </c>
      <c r="SZE6" s="97" t="str">
        <f t="shared" si="213"/>
        <v/>
      </c>
      <c r="SZF6" s="97" t="str">
        <f t="shared" si="213"/>
        <v/>
      </c>
      <c r="SZG6" s="97" t="str">
        <f t="shared" si="213"/>
        <v/>
      </c>
      <c r="SZH6" s="97" t="str">
        <f t="shared" si="213"/>
        <v/>
      </c>
      <c r="SZI6" s="97" t="str">
        <f t="shared" si="213"/>
        <v/>
      </c>
      <c r="SZJ6" s="97" t="str">
        <f t="shared" si="213"/>
        <v/>
      </c>
      <c r="SZK6" s="97" t="str">
        <f t="shared" si="213"/>
        <v/>
      </c>
      <c r="SZL6" s="97" t="str">
        <f t="shared" si="213"/>
        <v/>
      </c>
      <c r="SZM6" s="97" t="str">
        <f t="shared" si="213"/>
        <v/>
      </c>
      <c r="SZN6" s="97" t="str">
        <f t="shared" si="213"/>
        <v/>
      </c>
      <c r="SZO6" s="97" t="str">
        <f t="shared" si="213"/>
        <v/>
      </c>
      <c r="SZP6" s="97" t="str">
        <f t="shared" si="213"/>
        <v/>
      </c>
      <c r="SZQ6" s="97" t="str">
        <f t="shared" si="213"/>
        <v/>
      </c>
      <c r="SZR6" s="97" t="str">
        <f t="shared" si="213"/>
        <v/>
      </c>
      <c r="SZS6" s="97" t="str">
        <f t="shared" si="213"/>
        <v/>
      </c>
      <c r="SZT6" s="97" t="str">
        <f t="shared" si="213"/>
        <v/>
      </c>
      <c r="SZU6" s="97" t="str">
        <f t="shared" si="213"/>
        <v/>
      </c>
      <c r="SZV6" s="97" t="str">
        <f t="shared" si="213"/>
        <v/>
      </c>
      <c r="SZW6" s="97" t="str">
        <f t="shared" si="213"/>
        <v/>
      </c>
      <c r="SZX6" s="97" t="str">
        <f t="shared" si="213"/>
        <v/>
      </c>
      <c r="SZY6" s="97" t="str">
        <f t="shared" si="213"/>
        <v/>
      </c>
      <c r="SZZ6" s="97" t="str">
        <f t="shared" si="213"/>
        <v/>
      </c>
      <c r="TAA6" s="97" t="str">
        <f t="shared" si="213"/>
        <v/>
      </c>
      <c r="TAB6" s="97" t="str">
        <f t="shared" si="213"/>
        <v/>
      </c>
      <c r="TAC6" s="97" t="str">
        <f t="shared" si="213"/>
        <v/>
      </c>
      <c r="TAD6" s="97" t="str">
        <f t="shared" si="213"/>
        <v/>
      </c>
      <c r="TAE6" s="97" t="str">
        <f t="shared" si="213"/>
        <v/>
      </c>
      <c r="TAF6" s="97" t="str">
        <f t="shared" si="213"/>
        <v/>
      </c>
      <c r="TAG6" s="97" t="str">
        <f t="shared" si="213"/>
        <v/>
      </c>
      <c r="TAH6" s="97" t="str">
        <f t="shared" si="213"/>
        <v/>
      </c>
      <c r="TAI6" s="97" t="str">
        <f t="shared" si="213"/>
        <v/>
      </c>
      <c r="TAJ6" s="97" t="str">
        <f t="shared" si="213"/>
        <v/>
      </c>
      <c r="TAK6" s="97" t="str">
        <f t="shared" si="213"/>
        <v/>
      </c>
      <c r="TAL6" s="97" t="str">
        <f t="shared" si="213"/>
        <v/>
      </c>
      <c r="TAM6" s="97" t="str">
        <f t="shared" si="213"/>
        <v/>
      </c>
      <c r="TAN6" s="97" t="str">
        <f t="shared" si="213"/>
        <v/>
      </c>
      <c r="TAO6" s="97" t="str">
        <f t="shared" si="213"/>
        <v/>
      </c>
      <c r="TAP6" s="97" t="str">
        <f t="shared" si="213"/>
        <v/>
      </c>
      <c r="TAQ6" s="97" t="str">
        <f t="shared" si="213"/>
        <v/>
      </c>
      <c r="TAR6" s="97" t="str">
        <f t="shared" si="213"/>
        <v/>
      </c>
      <c r="TAS6" s="97" t="str">
        <f t="shared" si="213"/>
        <v/>
      </c>
      <c r="TAT6" s="97" t="str">
        <f t="shared" si="213"/>
        <v/>
      </c>
      <c r="TAU6" s="97" t="str">
        <f t="shared" si="213"/>
        <v/>
      </c>
      <c r="TAV6" s="97" t="str">
        <f t="shared" si="213"/>
        <v/>
      </c>
      <c r="TAW6" s="97" t="str">
        <f t="shared" si="213"/>
        <v/>
      </c>
      <c r="TAX6" s="97" t="str">
        <f t="shared" si="213"/>
        <v/>
      </c>
      <c r="TAY6" s="97" t="str">
        <f t="shared" si="213"/>
        <v/>
      </c>
      <c r="TAZ6" s="97" t="str">
        <f t="shared" si="213"/>
        <v/>
      </c>
      <c r="TBA6" s="97" t="str">
        <f t="shared" si="213"/>
        <v/>
      </c>
      <c r="TBB6" s="97" t="str">
        <f t="shared" ref="TBB6:TDM6" si="214">IFERROR(AVERAGE(TBB7:TBB13),"")</f>
        <v/>
      </c>
      <c r="TBC6" s="97" t="str">
        <f t="shared" si="214"/>
        <v/>
      </c>
      <c r="TBD6" s="97" t="str">
        <f t="shared" si="214"/>
        <v/>
      </c>
      <c r="TBE6" s="97" t="str">
        <f t="shared" si="214"/>
        <v/>
      </c>
      <c r="TBF6" s="97" t="str">
        <f t="shared" si="214"/>
        <v/>
      </c>
      <c r="TBG6" s="97" t="str">
        <f t="shared" si="214"/>
        <v/>
      </c>
      <c r="TBH6" s="97" t="str">
        <f t="shared" si="214"/>
        <v/>
      </c>
      <c r="TBI6" s="97" t="str">
        <f t="shared" si="214"/>
        <v/>
      </c>
      <c r="TBJ6" s="97" t="str">
        <f t="shared" si="214"/>
        <v/>
      </c>
      <c r="TBK6" s="97" t="str">
        <f t="shared" si="214"/>
        <v/>
      </c>
      <c r="TBL6" s="97" t="str">
        <f t="shared" si="214"/>
        <v/>
      </c>
      <c r="TBM6" s="97" t="str">
        <f t="shared" si="214"/>
        <v/>
      </c>
      <c r="TBN6" s="97" t="str">
        <f t="shared" si="214"/>
        <v/>
      </c>
      <c r="TBO6" s="97" t="str">
        <f t="shared" si="214"/>
        <v/>
      </c>
      <c r="TBP6" s="97" t="str">
        <f t="shared" si="214"/>
        <v/>
      </c>
      <c r="TBQ6" s="97" t="str">
        <f t="shared" si="214"/>
        <v/>
      </c>
      <c r="TBR6" s="97" t="str">
        <f t="shared" si="214"/>
        <v/>
      </c>
      <c r="TBS6" s="97" t="str">
        <f t="shared" si="214"/>
        <v/>
      </c>
      <c r="TBT6" s="97" t="str">
        <f t="shared" si="214"/>
        <v/>
      </c>
      <c r="TBU6" s="97" t="str">
        <f t="shared" si="214"/>
        <v/>
      </c>
      <c r="TBV6" s="97" t="str">
        <f t="shared" si="214"/>
        <v/>
      </c>
      <c r="TBW6" s="97" t="str">
        <f t="shared" si="214"/>
        <v/>
      </c>
      <c r="TBX6" s="97" t="str">
        <f t="shared" si="214"/>
        <v/>
      </c>
      <c r="TBY6" s="97" t="str">
        <f t="shared" si="214"/>
        <v/>
      </c>
      <c r="TBZ6" s="97" t="str">
        <f t="shared" si="214"/>
        <v/>
      </c>
      <c r="TCA6" s="97" t="str">
        <f t="shared" si="214"/>
        <v/>
      </c>
      <c r="TCB6" s="97" t="str">
        <f t="shared" si="214"/>
        <v/>
      </c>
      <c r="TCC6" s="97" t="str">
        <f t="shared" si="214"/>
        <v/>
      </c>
      <c r="TCD6" s="97" t="str">
        <f t="shared" si="214"/>
        <v/>
      </c>
      <c r="TCE6" s="97" t="str">
        <f t="shared" si="214"/>
        <v/>
      </c>
      <c r="TCF6" s="97" t="str">
        <f t="shared" si="214"/>
        <v/>
      </c>
      <c r="TCG6" s="97" t="str">
        <f t="shared" si="214"/>
        <v/>
      </c>
      <c r="TCH6" s="97" t="str">
        <f t="shared" si="214"/>
        <v/>
      </c>
      <c r="TCI6" s="97" t="str">
        <f t="shared" si="214"/>
        <v/>
      </c>
      <c r="TCJ6" s="97" t="str">
        <f t="shared" si="214"/>
        <v/>
      </c>
      <c r="TCK6" s="97" t="str">
        <f t="shared" si="214"/>
        <v/>
      </c>
      <c r="TCL6" s="97" t="str">
        <f t="shared" si="214"/>
        <v/>
      </c>
      <c r="TCM6" s="97" t="str">
        <f t="shared" si="214"/>
        <v/>
      </c>
      <c r="TCN6" s="97" t="str">
        <f t="shared" si="214"/>
        <v/>
      </c>
      <c r="TCO6" s="97" t="str">
        <f t="shared" si="214"/>
        <v/>
      </c>
      <c r="TCP6" s="97" t="str">
        <f t="shared" si="214"/>
        <v/>
      </c>
      <c r="TCQ6" s="97" t="str">
        <f t="shared" si="214"/>
        <v/>
      </c>
      <c r="TCR6" s="97" t="str">
        <f t="shared" si="214"/>
        <v/>
      </c>
      <c r="TCS6" s="97" t="str">
        <f t="shared" si="214"/>
        <v/>
      </c>
      <c r="TCT6" s="97" t="str">
        <f t="shared" si="214"/>
        <v/>
      </c>
      <c r="TCU6" s="97" t="str">
        <f t="shared" si="214"/>
        <v/>
      </c>
      <c r="TCV6" s="97" t="str">
        <f t="shared" si="214"/>
        <v/>
      </c>
      <c r="TCW6" s="97" t="str">
        <f t="shared" si="214"/>
        <v/>
      </c>
      <c r="TCX6" s="97" t="str">
        <f t="shared" si="214"/>
        <v/>
      </c>
      <c r="TCY6" s="97" t="str">
        <f t="shared" si="214"/>
        <v/>
      </c>
      <c r="TCZ6" s="97" t="str">
        <f t="shared" si="214"/>
        <v/>
      </c>
      <c r="TDA6" s="97" t="str">
        <f t="shared" si="214"/>
        <v/>
      </c>
      <c r="TDB6" s="97" t="str">
        <f t="shared" si="214"/>
        <v/>
      </c>
      <c r="TDC6" s="97" t="str">
        <f t="shared" si="214"/>
        <v/>
      </c>
      <c r="TDD6" s="97" t="str">
        <f t="shared" si="214"/>
        <v/>
      </c>
      <c r="TDE6" s="97" t="str">
        <f t="shared" si="214"/>
        <v/>
      </c>
      <c r="TDF6" s="97" t="str">
        <f t="shared" si="214"/>
        <v/>
      </c>
      <c r="TDG6" s="97" t="str">
        <f t="shared" si="214"/>
        <v/>
      </c>
      <c r="TDH6" s="97" t="str">
        <f t="shared" si="214"/>
        <v/>
      </c>
      <c r="TDI6" s="97" t="str">
        <f t="shared" si="214"/>
        <v/>
      </c>
      <c r="TDJ6" s="97" t="str">
        <f t="shared" si="214"/>
        <v/>
      </c>
      <c r="TDK6" s="97" t="str">
        <f t="shared" si="214"/>
        <v/>
      </c>
      <c r="TDL6" s="97" t="str">
        <f t="shared" si="214"/>
        <v/>
      </c>
      <c r="TDM6" s="97" t="str">
        <f t="shared" si="214"/>
        <v/>
      </c>
      <c r="TDN6" s="97" t="str">
        <f t="shared" ref="TDN6:TFY6" si="215">IFERROR(AVERAGE(TDN7:TDN13),"")</f>
        <v/>
      </c>
      <c r="TDO6" s="97" t="str">
        <f t="shared" si="215"/>
        <v/>
      </c>
      <c r="TDP6" s="97" t="str">
        <f t="shared" si="215"/>
        <v/>
      </c>
      <c r="TDQ6" s="97" t="str">
        <f t="shared" si="215"/>
        <v/>
      </c>
      <c r="TDR6" s="97" t="str">
        <f t="shared" si="215"/>
        <v/>
      </c>
      <c r="TDS6" s="97" t="str">
        <f t="shared" si="215"/>
        <v/>
      </c>
      <c r="TDT6" s="97" t="str">
        <f t="shared" si="215"/>
        <v/>
      </c>
      <c r="TDU6" s="97" t="str">
        <f t="shared" si="215"/>
        <v/>
      </c>
      <c r="TDV6" s="97" t="str">
        <f t="shared" si="215"/>
        <v/>
      </c>
      <c r="TDW6" s="97" t="str">
        <f t="shared" si="215"/>
        <v/>
      </c>
      <c r="TDX6" s="97" t="str">
        <f t="shared" si="215"/>
        <v/>
      </c>
      <c r="TDY6" s="97" t="str">
        <f t="shared" si="215"/>
        <v/>
      </c>
      <c r="TDZ6" s="97" t="str">
        <f t="shared" si="215"/>
        <v/>
      </c>
      <c r="TEA6" s="97" t="str">
        <f t="shared" si="215"/>
        <v/>
      </c>
      <c r="TEB6" s="97" t="str">
        <f t="shared" si="215"/>
        <v/>
      </c>
      <c r="TEC6" s="97" t="str">
        <f t="shared" si="215"/>
        <v/>
      </c>
      <c r="TED6" s="97" t="str">
        <f t="shared" si="215"/>
        <v/>
      </c>
      <c r="TEE6" s="97" t="str">
        <f t="shared" si="215"/>
        <v/>
      </c>
      <c r="TEF6" s="97" t="str">
        <f t="shared" si="215"/>
        <v/>
      </c>
      <c r="TEG6" s="97" t="str">
        <f t="shared" si="215"/>
        <v/>
      </c>
      <c r="TEH6" s="97" t="str">
        <f t="shared" si="215"/>
        <v/>
      </c>
      <c r="TEI6" s="97" t="str">
        <f t="shared" si="215"/>
        <v/>
      </c>
      <c r="TEJ6" s="97" t="str">
        <f t="shared" si="215"/>
        <v/>
      </c>
      <c r="TEK6" s="97" t="str">
        <f t="shared" si="215"/>
        <v/>
      </c>
      <c r="TEL6" s="97" t="str">
        <f t="shared" si="215"/>
        <v/>
      </c>
      <c r="TEM6" s="97" t="str">
        <f t="shared" si="215"/>
        <v/>
      </c>
      <c r="TEN6" s="97" t="str">
        <f t="shared" si="215"/>
        <v/>
      </c>
      <c r="TEO6" s="97" t="str">
        <f t="shared" si="215"/>
        <v/>
      </c>
      <c r="TEP6" s="97" t="str">
        <f t="shared" si="215"/>
        <v/>
      </c>
      <c r="TEQ6" s="97" t="str">
        <f t="shared" si="215"/>
        <v/>
      </c>
      <c r="TER6" s="97" t="str">
        <f t="shared" si="215"/>
        <v/>
      </c>
      <c r="TES6" s="97" t="str">
        <f t="shared" si="215"/>
        <v/>
      </c>
      <c r="TET6" s="97" t="str">
        <f t="shared" si="215"/>
        <v/>
      </c>
      <c r="TEU6" s="97" t="str">
        <f t="shared" si="215"/>
        <v/>
      </c>
      <c r="TEV6" s="97" t="str">
        <f t="shared" si="215"/>
        <v/>
      </c>
      <c r="TEW6" s="97" t="str">
        <f t="shared" si="215"/>
        <v/>
      </c>
      <c r="TEX6" s="97" t="str">
        <f t="shared" si="215"/>
        <v/>
      </c>
      <c r="TEY6" s="97" t="str">
        <f t="shared" si="215"/>
        <v/>
      </c>
      <c r="TEZ6" s="97" t="str">
        <f t="shared" si="215"/>
        <v/>
      </c>
      <c r="TFA6" s="97" t="str">
        <f t="shared" si="215"/>
        <v/>
      </c>
      <c r="TFB6" s="97" t="str">
        <f t="shared" si="215"/>
        <v/>
      </c>
      <c r="TFC6" s="97" t="str">
        <f t="shared" si="215"/>
        <v/>
      </c>
      <c r="TFD6" s="97" t="str">
        <f t="shared" si="215"/>
        <v/>
      </c>
      <c r="TFE6" s="97" t="str">
        <f t="shared" si="215"/>
        <v/>
      </c>
      <c r="TFF6" s="97" t="str">
        <f t="shared" si="215"/>
        <v/>
      </c>
      <c r="TFG6" s="97" t="str">
        <f t="shared" si="215"/>
        <v/>
      </c>
      <c r="TFH6" s="97" t="str">
        <f t="shared" si="215"/>
        <v/>
      </c>
      <c r="TFI6" s="97" t="str">
        <f t="shared" si="215"/>
        <v/>
      </c>
      <c r="TFJ6" s="97" t="str">
        <f t="shared" si="215"/>
        <v/>
      </c>
      <c r="TFK6" s="97" t="str">
        <f t="shared" si="215"/>
        <v/>
      </c>
      <c r="TFL6" s="97" t="str">
        <f t="shared" si="215"/>
        <v/>
      </c>
      <c r="TFM6" s="97" t="str">
        <f t="shared" si="215"/>
        <v/>
      </c>
      <c r="TFN6" s="97" t="str">
        <f t="shared" si="215"/>
        <v/>
      </c>
      <c r="TFO6" s="97" t="str">
        <f t="shared" si="215"/>
        <v/>
      </c>
      <c r="TFP6" s="97" t="str">
        <f t="shared" si="215"/>
        <v/>
      </c>
      <c r="TFQ6" s="97" t="str">
        <f t="shared" si="215"/>
        <v/>
      </c>
      <c r="TFR6" s="97" t="str">
        <f t="shared" si="215"/>
        <v/>
      </c>
      <c r="TFS6" s="97" t="str">
        <f t="shared" si="215"/>
        <v/>
      </c>
      <c r="TFT6" s="97" t="str">
        <f t="shared" si="215"/>
        <v/>
      </c>
      <c r="TFU6" s="97" t="str">
        <f t="shared" si="215"/>
        <v/>
      </c>
      <c r="TFV6" s="97" t="str">
        <f t="shared" si="215"/>
        <v/>
      </c>
      <c r="TFW6" s="97" t="str">
        <f t="shared" si="215"/>
        <v/>
      </c>
      <c r="TFX6" s="97" t="str">
        <f t="shared" si="215"/>
        <v/>
      </c>
      <c r="TFY6" s="97" t="str">
        <f t="shared" si="215"/>
        <v/>
      </c>
      <c r="TFZ6" s="97" t="str">
        <f t="shared" ref="TFZ6:TIK6" si="216">IFERROR(AVERAGE(TFZ7:TFZ13),"")</f>
        <v/>
      </c>
      <c r="TGA6" s="97" t="str">
        <f t="shared" si="216"/>
        <v/>
      </c>
      <c r="TGB6" s="97" t="str">
        <f t="shared" si="216"/>
        <v/>
      </c>
      <c r="TGC6" s="97" t="str">
        <f t="shared" si="216"/>
        <v/>
      </c>
      <c r="TGD6" s="97" t="str">
        <f t="shared" si="216"/>
        <v/>
      </c>
      <c r="TGE6" s="97" t="str">
        <f t="shared" si="216"/>
        <v/>
      </c>
      <c r="TGF6" s="97" t="str">
        <f t="shared" si="216"/>
        <v/>
      </c>
      <c r="TGG6" s="97" t="str">
        <f t="shared" si="216"/>
        <v/>
      </c>
      <c r="TGH6" s="97" t="str">
        <f t="shared" si="216"/>
        <v/>
      </c>
      <c r="TGI6" s="97" t="str">
        <f t="shared" si="216"/>
        <v/>
      </c>
      <c r="TGJ6" s="97" t="str">
        <f t="shared" si="216"/>
        <v/>
      </c>
      <c r="TGK6" s="97" t="str">
        <f t="shared" si="216"/>
        <v/>
      </c>
      <c r="TGL6" s="97" t="str">
        <f t="shared" si="216"/>
        <v/>
      </c>
      <c r="TGM6" s="97" t="str">
        <f t="shared" si="216"/>
        <v/>
      </c>
      <c r="TGN6" s="97" t="str">
        <f t="shared" si="216"/>
        <v/>
      </c>
      <c r="TGO6" s="97" t="str">
        <f t="shared" si="216"/>
        <v/>
      </c>
      <c r="TGP6" s="97" t="str">
        <f t="shared" si="216"/>
        <v/>
      </c>
      <c r="TGQ6" s="97" t="str">
        <f t="shared" si="216"/>
        <v/>
      </c>
      <c r="TGR6" s="97" t="str">
        <f t="shared" si="216"/>
        <v/>
      </c>
      <c r="TGS6" s="97" t="str">
        <f t="shared" si="216"/>
        <v/>
      </c>
      <c r="TGT6" s="97" t="str">
        <f t="shared" si="216"/>
        <v/>
      </c>
      <c r="TGU6" s="97" t="str">
        <f t="shared" si="216"/>
        <v/>
      </c>
      <c r="TGV6" s="97" t="str">
        <f t="shared" si="216"/>
        <v/>
      </c>
      <c r="TGW6" s="97" t="str">
        <f t="shared" si="216"/>
        <v/>
      </c>
      <c r="TGX6" s="97" t="str">
        <f t="shared" si="216"/>
        <v/>
      </c>
      <c r="TGY6" s="97" t="str">
        <f t="shared" si="216"/>
        <v/>
      </c>
      <c r="TGZ6" s="97" t="str">
        <f t="shared" si="216"/>
        <v/>
      </c>
      <c r="THA6" s="97" t="str">
        <f t="shared" si="216"/>
        <v/>
      </c>
      <c r="THB6" s="97" t="str">
        <f t="shared" si="216"/>
        <v/>
      </c>
      <c r="THC6" s="97" t="str">
        <f t="shared" si="216"/>
        <v/>
      </c>
      <c r="THD6" s="97" t="str">
        <f t="shared" si="216"/>
        <v/>
      </c>
      <c r="THE6" s="97" t="str">
        <f t="shared" si="216"/>
        <v/>
      </c>
      <c r="THF6" s="97" t="str">
        <f t="shared" si="216"/>
        <v/>
      </c>
      <c r="THG6" s="97" t="str">
        <f t="shared" si="216"/>
        <v/>
      </c>
      <c r="THH6" s="97" t="str">
        <f t="shared" si="216"/>
        <v/>
      </c>
      <c r="THI6" s="97" t="str">
        <f t="shared" si="216"/>
        <v/>
      </c>
      <c r="THJ6" s="97" t="str">
        <f t="shared" si="216"/>
        <v/>
      </c>
      <c r="THK6" s="97" t="str">
        <f t="shared" si="216"/>
        <v/>
      </c>
      <c r="THL6" s="97" t="str">
        <f t="shared" si="216"/>
        <v/>
      </c>
      <c r="THM6" s="97" t="str">
        <f t="shared" si="216"/>
        <v/>
      </c>
      <c r="THN6" s="97" t="str">
        <f t="shared" si="216"/>
        <v/>
      </c>
      <c r="THO6" s="97" t="str">
        <f t="shared" si="216"/>
        <v/>
      </c>
      <c r="THP6" s="97" t="str">
        <f t="shared" si="216"/>
        <v/>
      </c>
      <c r="THQ6" s="97" t="str">
        <f t="shared" si="216"/>
        <v/>
      </c>
      <c r="THR6" s="97" t="str">
        <f t="shared" si="216"/>
        <v/>
      </c>
      <c r="THS6" s="97" t="str">
        <f t="shared" si="216"/>
        <v/>
      </c>
      <c r="THT6" s="97" t="str">
        <f t="shared" si="216"/>
        <v/>
      </c>
      <c r="THU6" s="97" t="str">
        <f t="shared" si="216"/>
        <v/>
      </c>
      <c r="THV6" s="97" t="str">
        <f t="shared" si="216"/>
        <v/>
      </c>
      <c r="THW6" s="97" t="str">
        <f t="shared" si="216"/>
        <v/>
      </c>
      <c r="THX6" s="97" t="str">
        <f t="shared" si="216"/>
        <v/>
      </c>
      <c r="THY6" s="97" t="str">
        <f t="shared" si="216"/>
        <v/>
      </c>
      <c r="THZ6" s="97" t="str">
        <f t="shared" si="216"/>
        <v/>
      </c>
      <c r="TIA6" s="97" t="str">
        <f t="shared" si="216"/>
        <v/>
      </c>
      <c r="TIB6" s="97" t="str">
        <f t="shared" si="216"/>
        <v/>
      </c>
      <c r="TIC6" s="97" t="str">
        <f t="shared" si="216"/>
        <v/>
      </c>
      <c r="TID6" s="97" t="str">
        <f t="shared" si="216"/>
        <v/>
      </c>
      <c r="TIE6" s="97" t="str">
        <f t="shared" si="216"/>
        <v/>
      </c>
      <c r="TIF6" s="97" t="str">
        <f t="shared" si="216"/>
        <v/>
      </c>
      <c r="TIG6" s="97" t="str">
        <f t="shared" si="216"/>
        <v/>
      </c>
      <c r="TIH6" s="97" t="str">
        <f t="shared" si="216"/>
        <v/>
      </c>
      <c r="TII6" s="97" t="str">
        <f t="shared" si="216"/>
        <v/>
      </c>
      <c r="TIJ6" s="97" t="str">
        <f t="shared" si="216"/>
        <v/>
      </c>
      <c r="TIK6" s="97" t="str">
        <f t="shared" si="216"/>
        <v/>
      </c>
      <c r="TIL6" s="97" t="str">
        <f t="shared" ref="TIL6:TKW6" si="217">IFERROR(AVERAGE(TIL7:TIL13),"")</f>
        <v/>
      </c>
      <c r="TIM6" s="97" t="str">
        <f t="shared" si="217"/>
        <v/>
      </c>
      <c r="TIN6" s="97" t="str">
        <f t="shared" si="217"/>
        <v/>
      </c>
      <c r="TIO6" s="97" t="str">
        <f t="shared" si="217"/>
        <v/>
      </c>
      <c r="TIP6" s="97" t="str">
        <f t="shared" si="217"/>
        <v/>
      </c>
      <c r="TIQ6" s="97" t="str">
        <f t="shared" si="217"/>
        <v/>
      </c>
      <c r="TIR6" s="97" t="str">
        <f t="shared" si="217"/>
        <v/>
      </c>
      <c r="TIS6" s="97" t="str">
        <f t="shared" si="217"/>
        <v/>
      </c>
      <c r="TIT6" s="97" t="str">
        <f t="shared" si="217"/>
        <v/>
      </c>
      <c r="TIU6" s="97" t="str">
        <f t="shared" si="217"/>
        <v/>
      </c>
      <c r="TIV6" s="97" t="str">
        <f t="shared" si="217"/>
        <v/>
      </c>
      <c r="TIW6" s="97" t="str">
        <f t="shared" si="217"/>
        <v/>
      </c>
      <c r="TIX6" s="97" t="str">
        <f t="shared" si="217"/>
        <v/>
      </c>
      <c r="TIY6" s="97" t="str">
        <f t="shared" si="217"/>
        <v/>
      </c>
      <c r="TIZ6" s="97" t="str">
        <f t="shared" si="217"/>
        <v/>
      </c>
      <c r="TJA6" s="97" t="str">
        <f t="shared" si="217"/>
        <v/>
      </c>
      <c r="TJB6" s="97" t="str">
        <f t="shared" si="217"/>
        <v/>
      </c>
      <c r="TJC6" s="97" t="str">
        <f t="shared" si="217"/>
        <v/>
      </c>
      <c r="TJD6" s="97" t="str">
        <f t="shared" si="217"/>
        <v/>
      </c>
      <c r="TJE6" s="97" t="str">
        <f t="shared" si="217"/>
        <v/>
      </c>
      <c r="TJF6" s="97" t="str">
        <f t="shared" si="217"/>
        <v/>
      </c>
      <c r="TJG6" s="97" t="str">
        <f t="shared" si="217"/>
        <v/>
      </c>
      <c r="TJH6" s="97" t="str">
        <f t="shared" si="217"/>
        <v/>
      </c>
      <c r="TJI6" s="97" t="str">
        <f t="shared" si="217"/>
        <v/>
      </c>
      <c r="TJJ6" s="97" t="str">
        <f t="shared" si="217"/>
        <v/>
      </c>
      <c r="TJK6" s="97" t="str">
        <f t="shared" si="217"/>
        <v/>
      </c>
      <c r="TJL6" s="97" t="str">
        <f t="shared" si="217"/>
        <v/>
      </c>
      <c r="TJM6" s="97" t="str">
        <f t="shared" si="217"/>
        <v/>
      </c>
      <c r="TJN6" s="97" t="str">
        <f t="shared" si="217"/>
        <v/>
      </c>
      <c r="TJO6" s="97" t="str">
        <f t="shared" si="217"/>
        <v/>
      </c>
      <c r="TJP6" s="97" t="str">
        <f t="shared" si="217"/>
        <v/>
      </c>
      <c r="TJQ6" s="97" t="str">
        <f t="shared" si="217"/>
        <v/>
      </c>
      <c r="TJR6" s="97" t="str">
        <f t="shared" si="217"/>
        <v/>
      </c>
      <c r="TJS6" s="97" t="str">
        <f t="shared" si="217"/>
        <v/>
      </c>
      <c r="TJT6" s="97" t="str">
        <f t="shared" si="217"/>
        <v/>
      </c>
      <c r="TJU6" s="97" t="str">
        <f t="shared" si="217"/>
        <v/>
      </c>
      <c r="TJV6" s="97" t="str">
        <f t="shared" si="217"/>
        <v/>
      </c>
      <c r="TJW6" s="97" t="str">
        <f t="shared" si="217"/>
        <v/>
      </c>
      <c r="TJX6" s="97" t="str">
        <f t="shared" si="217"/>
        <v/>
      </c>
      <c r="TJY6" s="97" t="str">
        <f t="shared" si="217"/>
        <v/>
      </c>
      <c r="TJZ6" s="97" t="str">
        <f t="shared" si="217"/>
        <v/>
      </c>
      <c r="TKA6" s="97" t="str">
        <f t="shared" si="217"/>
        <v/>
      </c>
      <c r="TKB6" s="97" t="str">
        <f t="shared" si="217"/>
        <v/>
      </c>
      <c r="TKC6" s="97" t="str">
        <f t="shared" si="217"/>
        <v/>
      </c>
      <c r="TKD6" s="97" t="str">
        <f t="shared" si="217"/>
        <v/>
      </c>
      <c r="TKE6" s="97" t="str">
        <f t="shared" si="217"/>
        <v/>
      </c>
      <c r="TKF6" s="97" t="str">
        <f t="shared" si="217"/>
        <v/>
      </c>
      <c r="TKG6" s="97" t="str">
        <f t="shared" si="217"/>
        <v/>
      </c>
      <c r="TKH6" s="97" t="str">
        <f t="shared" si="217"/>
        <v/>
      </c>
      <c r="TKI6" s="97" t="str">
        <f t="shared" si="217"/>
        <v/>
      </c>
      <c r="TKJ6" s="97" t="str">
        <f t="shared" si="217"/>
        <v/>
      </c>
      <c r="TKK6" s="97" t="str">
        <f t="shared" si="217"/>
        <v/>
      </c>
      <c r="TKL6" s="97" t="str">
        <f t="shared" si="217"/>
        <v/>
      </c>
      <c r="TKM6" s="97" t="str">
        <f t="shared" si="217"/>
        <v/>
      </c>
      <c r="TKN6" s="97" t="str">
        <f t="shared" si="217"/>
        <v/>
      </c>
      <c r="TKO6" s="97" t="str">
        <f t="shared" si="217"/>
        <v/>
      </c>
      <c r="TKP6" s="97" t="str">
        <f t="shared" si="217"/>
        <v/>
      </c>
      <c r="TKQ6" s="97" t="str">
        <f t="shared" si="217"/>
        <v/>
      </c>
      <c r="TKR6" s="97" t="str">
        <f t="shared" si="217"/>
        <v/>
      </c>
      <c r="TKS6" s="97" t="str">
        <f t="shared" si="217"/>
        <v/>
      </c>
      <c r="TKT6" s="97" t="str">
        <f t="shared" si="217"/>
        <v/>
      </c>
      <c r="TKU6" s="97" t="str">
        <f t="shared" si="217"/>
        <v/>
      </c>
      <c r="TKV6" s="97" t="str">
        <f t="shared" si="217"/>
        <v/>
      </c>
      <c r="TKW6" s="97" t="str">
        <f t="shared" si="217"/>
        <v/>
      </c>
      <c r="TKX6" s="97" t="str">
        <f t="shared" ref="TKX6:TNI6" si="218">IFERROR(AVERAGE(TKX7:TKX13),"")</f>
        <v/>
      </c>
      <c r="TKY6" s="97" t="str">
        <f t="shared" si="218"/>
        <v/>
      </c>
      <c r="TKZ6" s="97" t="str">
        <f t="shared" si="218"/>
        <v/>
      </c>
      <c r="TLA6" s="97" t="str">
        <f t="shared" si="218"/>
        <v/>
      </c>
      <c r="TLB6" s="97" t="str">
        <f t="shared" si="218"/>
        <v/>
      </c>
      <c r="TLC6" s="97" t="str">
        <f t="shared" si="218"/>
        <v/>
      </c>
      <c r="TLD6" s="97" t="str">
        <f t="shared" si="218"/>
        <v/>
      </c>
      <c r="TLE6" s="97" t="str">
        <f t="shared" si="218"/>
        <v/>
      </c>
      <c r="TLF6" s="97" t="str">
        <f t="shared" si="218"/>
        <v/>
      </c>
      <c r="TLG6" s="97" t="str">
        <f t="shared" si="218"/>
        <v/>
      </c>
      <c r="TLH6" s="97" t="str">
        <f t="shared" si="218"/>
        <v/>
      </c>
      <c r="TLI6" s="97" t="str">
        <f t="shared" si="218"/>
        <v/>
      </c>
      <c r="TLJ6" s="97" t="str">
        <f t="shared" si="218"/>
        <v/>
      </c>
      <c r="TLK6" s="97" t="str">
        <f t="shared" si="218"/>
        <v/>
      </c>
      <c r="TLL6" s="97" t="str">
        <f t="shared" si="218"/>
        <v/>
      </c>
      <c r="TLM6" s="97" t="str">
        <f t="shared" si="218"/>
        <v/>
      </c>
      <c r="TLN6" s="97" t="str">
        <f t="shared" si="218"/>
        <v/>
      </c>
      <c r="TLO6" s="97" t="str">
        <f t="shared" si="218"/>
        <v/>
      </c>
      <c r="TLP6" s="97" t="str">
        <f t="shared" si="218"/>
        <v/>
      </c>
      <c r="TLQ6" s="97" t="str">
        <f t="shared" si="218"/>
        <v/>
      </c>
      <c r="TLR6" s="97" t="str">
        <f t="shared" si="218"/>
        <v/>
      </c>
      <c r="TLS6" s="97" t="str">
        <f t="shared" si="218"/>
        <v/>
      </c>
      <c r="TLT6" s="97" t="str">
        <f t="shared" si="218"/>
        <v/>
      </c>
      <c r="TLU6" s="97" t="str">
        <f t="shared" si="218"/>
        <v/>
      </c>
      <c r="TLV6" s="97" t="str">
        <f t="shared" si="218"/>
        <v/>
      </c>
      <c r="TLW6" s="97" t="str">
        <f t="shared" si="218"/>
        <v/>
      </c>
      <c r="TLX6" s="97" t="str">
        <f t="shared" si="218"/>
        <v/>
      </c>
      <c r="TLY6" s="97" t="str">
        <f t="shared" si="218"/>
        <v/>
      </c>
      <c r="TLZ6" s="97" t="str">
        <f t="shared" si="218"/>
        <v/>
      </c>
      <c r="TMA6" s="97" t="str">
        <f t="shared" si="218"/>
        <v/>
      </c>
      <c r="TMB6" s="97" t="str">
        <f t="shared" si="218"/>
        <v/>
      </c>
      <c r="TMC6" s="97" t="str">
        <f t="shared" si="218"/>
        <v/>
      </c>
      <c r="TMD6" s="97" t="str">
        <f t="shared" si="218"/>
        <v/>
      </c>
      <c r="TME6" s="97" t="str">
        <f t="shared" si="218"/>
        <v/>
      </c>
      <c r="TMF6" s="97" t="str">
        <f t="shared" si="218"/>
        <v/>
      </c>
      <c r="TMG6" s="97" t="str">
        <f t="shared" si="218"/>
        <v/>
      </c>
      <c r="TMH6" s="97" t="str">
        <f t="shared" si="218"/>
        <v/>
      </c>
      <c r="TMI6" s="97" t="str">
        <f t="shared" si="218"/>
        <v/>
      </c>
      <c r="TMJ6" s="97" t="str">
        <f t="shared" si="218"/>
        <v/>
      </c>
      <c r="TMK6" s="97" t="str">
        <f t="shared" si="218"/>
        <v/>
      </c>
      <c r="TML6" s="97" t="str">
        <f t="shared" si="218"/>
        <v/>
      </c>
      <c r="TMM6" s="97" t="str">
        <f t="shared" si="218"/>
        <v/>
      </c>
      <c r="TMN6" s="97" t="str">
        <f t="shared" si="218"/>
        <v/>
      </c>
      <c r="TMO6" s="97" t="str">
        <f t="shared" si="218"/>
        <v/>
      </c>
      <c r="TMP6" s="97" t="str">
        <f t="shared" si="218"/>
        <v/>
      </c>
      <c r="TMQ6" s="97" t="str">
        <f t="shared" si="218"/>
        <v/>
      </c>
      <c r="TMR6" s="97" t="str">
        <f t="shared" si="218"/>
        <v/>
      </c>
      <c r="TMS6" s="97" t="str">
        <f t="shared" si="218"/>
        <v/>
      </c>
      <c r="TMT6" s="97" t="str">
        <f t="shared" si="218"/>
        <v/>
      </c>
      <c r="TMU6" s="97" t="str">
        <f t="shared" si="218"/>
        <v/>
      </c>
      <c r="TMV6" s="97" t="str">
        <f t="shared" si="218"/>
        <v/>
      </c>
      <c r="TMW6" s="97" t="str">
        <f t="shared" si="218"/>
        <v/>
      </c>
      <c r="TMX6" s="97" t="str">
        <f t="shared" si="218"/>
        <v/>
      </c>
      <c r="TMY6" s="97" t="str">
        <f t="shared" si="218"/>
        <v/>
      </c>
      <c r="TMZ6" s="97" t="str">
        <f t="shared" si="218"/>
        <v/>
      </c>
      <c r="TNA6" s="97" t="str">
        <f t="shared" si="218"/>
        <v/>
      </c>
      <c r="TNB6" s="97" t="str">
        <f t="shared" si="218"/>
        <v/>
      </c>
      <c r="TNC6" s="97" t="str">
        <f t="shared" si="218"/>
        <v/>
      </c>
      <c r="TND6" s="97" t="str">
        <f t="shared" si="218"/>
        <v/>
      </c>
      <c r="TNE6" s="97" t="str">
        <f t="shared" si="218"/>
        <v/>
      </c>
      <c r="TNF6" s="97" t="str">
        <f t="shared" si="218"/>
        <v/>
      </c>
      <c r="TNG6" s="97" t="str">
        <f t="shared" si="218"/>
        <v/>
      </c>
      <c r="TNH6" s="97" t="str">
        <f t="shared" si="218"/>
        <v/>
      </c>
      <c r="TNI6" s="97" t="str">
        <f t="shared" si="218"/>
        <v/>
      </c>
      <c r="TNJ6" s="97" t="str">
        <f t="shared" ref="TNJ6:TPU6" si="219">IFERROR(AVERAGE(TNJ7:TNJ13),"")</f>
        <v/>
      </c>
      <c r="TNK6" s="97" t="str">
        <f t="shared" si="219"/>
        <v/>
      </c>
      <c r="TNL6" s="97" t="str">
        <f t="shared" si="219"/>
        <v/>
      </c>
      <c r="TNM6" s="97" t="str">
        <f t="shared" si="219"/>
        <v/>
      </c>
      <c r="TNN6" s="97" t="str">
        <f t="shared" si="219"/>
        <v/>
      </c>
      <c r="TNO6" s="97" t="str">
        <f t="shared" si="219"/>
        <v/>
      </c>
      <c r="TNP6" s="97" t="str">
        <f t="shared" si="219"/>
        <v/>
      </c>
      <c r="TNQ6" s="97" t="str">
        <f t="shared" si="219"/>
        <v/>
      </c>
      <c r="TNR6" s="97" t="str">
        <f t="shared" si="219"/>
        <v/>
      </c>
      <c r="TNS6" s="97" t="str">
        <f t="shared" si="219"/>
        <v/>
      </c>
      <c r="TNT6" s="97" t="str">
        <f t="shared" si="219"/>
        <v/>
      </c>
      <c r="TNU6" s="97" t="str">
        <f t="shared" si="219"/>
        <v/>
      </c>
      <c r="TNV6" s="97" t="str">
        <f t="shared" si="219"/>
        <v/>
      </c>
      <c r="TNW6" s="97" t="str">
        <f t="shared" si="219"/>
        <v/>
      </c>
      <c r="TNX6" s="97" t="str">
        <f t="shared" si="219"/>
        <v/>
      </c>
      <c r="TNY6" s="97" t="str">
        <f t="shared" si="219"/>
        <v/>
      </c>
      <c r="TNZ6" s="97" t="str">
        <f t="shared" si="219"/>
        <v/>
      </c>
      <c r="TOA6" s="97" t="str">
        <f t="shared" si="219"/>
        <v/>
      </c>
      <c r="TOB6" s="97" t="str">
        <f t="shared" si="219"/>
        <v/>
      </c>
      <c r="TOC6" s="97" t="str">
        <f t="shared" si="219"/>
        <v/>
      </c>
      <c r="TOD6" s="97" t="str">
        <f t="shared" si="219"/>
        <v/>
      </c>
      <c r="TOE6" s="97" t="str">
        <f t="shared" si="219"/>
        <v/>
      </c>
      <c r="TOF6" s="97" t="str">
        <f t="shared" si="219"/>
        <v/>
      </c>
      <c r="TOG6" s="97" t="str">
        <f t="shared" si="219"/>
        <v/>
      </c>
      <c r="TOH6" s="97" t="str">
        <f t="shared" si="219"/>
        <v/>
      </c>
      <c r="TOI6" s="97" t="str">
        <f t="shared" si="219"/>
        <v/>
      </c>
      <c r="TOJ6" s="97" t="str">
        <f t="shared" si="219"/>
        <v/>
      </c>
      <c r="TOK6" s="97" t="str">
        <f t="shared" si="219"/>
        <v/>
      </c>
      <c r="TOL6" s="97" t="str">
        <f t="shared" si="219"/>
        <v/>
      </c>
      <c r="TOM6" s="97" t="str">
        <f t="shared" si="219"/>
        <v/>
      </c>
      <c r="TON6" s="97" t="str">
        <f t="shared" si="219"/>
        <v/>
      </c>
      <c r="TOO6" s="97" t="str">
        <f t="shared" si="219"/>
        <v/>
      </c>
      <c r="TOP6" s="97" t="str">
        <f t="shared" si="219"/>
        <v/>
      </c>
      <c r="TOQ6" s="97" t="str">
        <f t="shared" si="219"/>
        <v/>
      </c>
      <c r="TOR6" s="97" t="str">
        <f t="shared" si="219"/>
        <v/>
      </c>
      <c r="TOS6" s="97" t="str">
        <f t="shared" si="219"/>
        <v/>
      </c>
      <c r="TOT6" s="97" t="str">
        <f t="shared" si="219"/>
        <v/>
      </c>
      <c r="TOU6" s="97" t="str">
        <f t="shared" si="219"/>
        <v/>
      </c>
      <c r="TOV6" s="97" t="str">
        <f t="shared" si="219"/>
        <v/>
      </c>
      <c r="TOW6" s="97" t="str">
        <f t="shared" si="219"/>
        <v/>
      </c>
      <c r="TOX6" s="97" t="str">
        <f t="shared" si="219"/>
        <v/>
      </c>
      <c r="TOY6" s="97" t="str">
        <f t="shared" si="219"/>
        <v/>
      </c>
      <c r="TOZ6" s="97" t="str">
        <f t="shared" si="219"/>
        <v/>
      </c>
      <c r="TPA6" s="97" t="str">
        <f t="shared" si="219"/>
        <v/>
      </c>
      <c r="TPB6" s="97" t="str">
        <f t="shared" si="219"/>
        <v/>
      </c>
      <c r="TPC6" s="97" t="str">
        <f t="shared" si="219"/>
        <v/>
      </c>
      <c r="TPD6" s="97" t="str">
        <f t="shared" si="219"/>
        <v/>
      </c>
      <c r="TPE6" s="97" t="str">
        <f t="shared" si="219"/>
        <v/>
      </c>
      <c r="TPF6" s="97" t="str">
        <f t="shared" si="219"/>
        <v/>
      </c>
      <c r="TPG6" s="97" t="str">
        <f t="shared" si="219"/>
        <v/>
      </c>
      <c r="TPH6" s="97" t="str">
        <f t="shared" si="219"/>
        <v/>
      </c>
      <c r="TPI6" s="97" t="str">
        <f t="shared" si="219"/>
        <v/>
      </c>
      <c r="TPJ6" s="97" t="str">
        <f t="shared" si="219"/>
        <v/>
      </c>
      <c r="TPK6" s="97" t="str">
        <f t="shared" si="219"/>
        <v/>
      </c>
      <c r="TPL6" s="97" t="str">
        <f t="shared" si="219"/>
        <v/>
      </c>
      <c r="TPM6" s="97" t="str">
        <f t="shared" si="219"/>
        <v/>
      </c>
      <c r="TPN6" s="97" t="str">
        <f t="shared" si="219"/>
        <v/>
      </c>
      <c r="TPO6" s="97" t="str">
        <f t="shared" si="219"/>
        <v/>
      </c>
      <c r="TPP6" s="97" t="str">
        <f t="shared" si="219"/>
        <v/>
      </c>
      <c r="TPQ6" s="97" t="str">
        <f t="shared" si="219"/>
        <v/>
      </c>
      <c r="TPR6" s="97" t="str">
        <f t="shared" si="219"/>
        <v/>
      </c>
      <c r="TPS6" s="97" t="str">
        <f t="shared" si="219"/>
        <v/>
      </c>
      <c r="TPT6" s="97" t="str">
        <f t="shared" si="219"/>
        <v/>
      </c>
      <c r="TPU6" s="97" t="str">
        <f t="shared" si="219"/>
        <v/>
      </c>
      <c r="TPV6" s="97" t="str">
        <f t="shared" ref="TPV6:TSG6" si="220">IFERROR(AVERAGE(TPV7:TPV13),"")</f>
        <v/>
      </c>
      <c r="TPW6" s="97" t="str">
        <f t="shared" si="220"/>
        <v/>
      </c>
      <c r="TPX6" s="97" t="str">
        <f t="shared" si="220"/>
        <v/>
      </c>
      <c r="TPY6" s="97" t="str">
        <f t="shared" si="220"/>
        <v/>
      </c>
      <c r="TPZ6" s="97" t="str">
        <f t="shared" si="220"/>
        <v/>
      </c>
      <c r="TQA6" s="97" t="str">
        <f t="shared" si="220"/>
        <v/>
      </c>
      <c r="TQB6" s="97" t="str">
        <f t="shared" si="220"/>
        <v/>
      </c>
      <c r="TQC6" s="97" t="str">
        <f t="shared" si="220"/>
        <v/>
      </c>
      <c r="TQD6" s="97" t="str">
        <f t="shared" si="220"/>
        <v/>
      </c>
      <c r="TQE6" s="97" t="str">
        <f t="shared" si="220"/>
        <v/>
      </c>
      <c r="TQF6" s="97" t="str">
        <f t="shared" si="220"/>
        <v/>
      </c>
      <c r="TQG6" s="97" t="str">
        <f t="shared" si="220"/>
        <v/>
      </c>
      <c r="TQH6" s="97" t="str">
        <f t="shared" si="220"/>
        <v/>
      </c>
      <c r="TQI6" s="97" t="str">
        <f t="shared" si="220"/>
        <v/>
      </c>
      <c r="TQJ6" s="97" t="str">
        <f t="shared" si="220"/>
        <v/>
      </c>
      <c r="TQK6" s="97" t="str">
        <f t="shared" si="220"/>
        <v/>
      </c>
      <c r="TQL6" s="97" t="str">
        <f t="shared" si="220"/>
        <v/>
      </c>
      <c r="TQM6" s="97" t="str">
        <f t="shared" si="220"/>
        <v/>
      </c>
      <c r="TQN6" s="97" t="str">
        <f t="shared" si="220"/>
        <v/>
      </c>
      <c r="TQO6" s="97" t="str">
        <f t="shared" si="220"/>
        <v/>
      </c>
      <c r="TQP6" s="97" t="str">
        <f t="shared" si="220"/>
        <v/>
      </c>
      <c r="TQQ6" s="97" t="str">
        <f t="shared" si="220"/>
        <v/>
      </c>
      <c r="TQR6" s="97" t="str">
        <f t="shared" si="220"/>
        <v/>
      </c>
      <c r="TQS6" s="97" t="str">
        <f t="shared" si="220"/>
        <v/>
      </c>
      <c r="TQT6" s="97" t="str">
        <f t="shared" si="220"/>
        <v/>
      </c>
      <c r="TQU6" s="97" t="str">
        <f t="shared" si="220"/>
        <v/>
      </c>
      <c r="TQV6" s="97" t="str">
        <f t="shared" si="220"/>
        <v/>
      </c>
      <c r="TQW6" s="97" t="str">
        <f t="shared" si="220"/>
        <v/>
      </c>
      <c r="TQX6" s="97" t="str">
        <f t="shared" si="220"/>
        <v/>
      </c>
      <c r="TQY6" s="97" t="str">
        <f t="shared" si="220"/>
        <v/>
      </c>
      <c r="TQZ6" s="97" t="str">
        <f t="shared" si="220"/>
        <v/>
      </c>
      <c r="TRA6" s="97" t="str">
        <f t="shared" si="220"/>
        <v/>
      </c>
      <c r="TRB6" s="97" t="str">
        <f t="shared" si="220"/>
        <v/>
      </c>
      <c r="TRC6" s="97" t="str">
        <f t="shared" si="220"/>
        <v/>
      </c>
      <c r="TRD6" s="97" t="str">
        <f t="shared" si="220"/>
        <v/>
      </c>
      <c r="TRE6" s="97" t="str">
        <f t="shared" si="220"/>
        <v/>
      </c>
      <c r="TRF6" s="97" t="str">
        <f t="shared" si="220"/>
        <v/>
      </c>
      <c r="TRG6" s="97" t="str">
        <f t="shared" si="220"/>
        <v/>
      </c>
      <c r="TRH6" s="97" t="str">
        <f t="shared" si="220"/>
        <v/>
      </c>
      <c r="TRI6" s="97" t="str">
        <f t="shared" si="220"/>
        <v/>
      </c>
      <c r="TRJ6" s="97" t="str">
        <f t="shared" si="220"/>
        <v/>
      </c>
      <c r="TRK6" s="97" t="str">
        <f t="shared" si="220"/>
        <v/>
      </c>
      <c r="TRL6" s="97" t="str">
        <f t="shared" si="220"/>
        <v/>
      </c>
      <c r="TRM6" s="97" t="str">
        <f t="shared" si="220"/>
        <v/>
      </c>
      <c r="TRN6" s="97" t="str">
        <f t="shared" si="220"/>
        <v/>
      </c>
      <c r="TRO6" s="97" t="str">
        <f t="shared" si="220"/>
        <v/>
      </c>
      <c r="TRP6" s="97" t="str">
        <f t="shared" si="220"/>
        <v/>
      </c>
      <c r="TRQ6" s="97" t="str">
        <f t="shared" si="220"/>
        <v/>
      </c>
      <c r="TRR6" s="97" t="str">
        <f t="shared" si="220"/>
        <v/>
      </c>
      <c r="TRS6" s="97" t="str">
        <f t="shared" si="220"/>
        <v/>
      </c>
      <c r="TRT6" s="97" t="str">
        <f t="shared" si="220"/>
        <v/>
      </c>
      <c r="TRU6" s="97" t="str">
        <f t="shared" si="220"/>
        <v/>
      </c>
      <c r="TRV6" s="97" t="str">
        <f t="shared" si="220"/>
        <v/>
      </c>
      <c r="TRW6" s="97" t="str">
        <f t="shared" si="220"/>
        <v/>
      </c>
      <c r="TRX6" s="97" t="str">
        <f t="shared" si="220"/>
        <v/>
      </c>
      <c r="TRY6" s="97" t="str">
        <f t="shared" si="220"/>
        <v/>
      </c>
      <c r="TRZ6" s="97" t="str">
        <f t="shared" si="220"/>
        <v/>
      </c>
      <c r="TSA6" s="97" t="str">
        <f t="shared" si="220"/>
        <v/>
      </c>
      <c r="TSB6" s="97" t="str">
        <f t="shared" si="220"/>
        <v/>
      </c>
      <c r="TSC6" s="97" t="str">
        <f t="shared" si="220"/>
        <v/>
      </c>
      <c r="TSD6" s="97" t="str">
        <f t="shared" si="220"/>
        <v/>
      </c>
      <c r="TSE6" s="97" t="str">
        <f t="shared" si="220"/>
        <v/>
      </c>
      <c r="TSF6" s="97" t="str">
        <f t="shared" si="220"/>
        <v/>
      </c>
      <c r="TSG6" s="97" t="str">
        <f t="shared" si="220"/>
        <v/>
      </c>
      <c r="TSH6" s="97" t="str">
        <f t="shared" ref="TSH6:TUS6" si="221">IFERROR(AVERAGE(TSH7:TSH13),"")</f>
        <v/>
      </c>
      <c r="TSI6" s="97" t="str">
        <f t="shared" si="221"/>
        <v/>
      </c>
      <c r="TSJ6" s="97" t="str">
        <f t="shared" si="221"/>
        <v/>
      </c>
      <c r="TSK6" s="97" t="str">
        <f t="shared" si="221"/>
        <v/>
      </c>
      <c r="TSL6" s="97" t="str">
        <f t="shared" si="221"/>
        <v/>
      </c>
      <c r="TSM6" s="97" t="str">
        <f t="shared" si="221"/>
        <v/>
      </c>
      <c r="TSN6" s="97" t="str">
        <f t="shared" si="221"/>
        <v/>
      </c>
      <c r="TSO6" s="97" t="str">
        <f t="shared" si="221"/>
        <v/>
      </c>
      <c r="TSP6" s="97" t="str">
        <f t="shared" si="221"/>
        <v/>
      </c>
      <c r="TSQ6" s="97" t="str">
        <f t="shared" si="221"/>
        <v/>
      </c>
      <c r="TSR6" s="97" t="str">
        <f t="shared" si="221"/>
        <v/>
      </c>
      <c r="TSS6" s="97" t="str">
        <f t="shared" si="221"/>
        <v/>
      </c>
      <c r="TST6" s="97" t="str">
        <f t="shared" si="221"/>
        <v/>
      </c>
      <c r="TSU6" s="97" t="str">
        <f t="shared" si="221"/>
        <v/>
      </c>
      <c r="TSV6" s="97" t="str">
        <f t="shared" si="221"/>
        <v/>
      </c>
      <c r="TSW6" s="97" t="str">
        <f t="shared" si="221"/>
        <v/>
      </c>
      <c r="TSX6" s="97" t="str">
        <f t="shared" si="221"/>
        <v/>
      </c>
      <c r="TSY6" s="97" t="str">
        <f t="shared" si="221"/>
        <v/>
      </c>
      <c r="TSZ6" s="97" t="str">
        <f t="shared" si="221"/>
        <v/>
      </c>
      <c r="TTA6" s="97" t="str">
        <f t="shared" si="221"/>
        <v/>
      </c>
      <c r="TTB6" s="97" t="str">
        <f t="shared" si="221"/>
        <v/>
      </c>
      <c r="TTC6" s="97" t="str">
        <f t="shared" si="221"/>
        <v/>
      </c>
      <c r="TTD6" s="97" t="str">
        <f t="shared" si="221"/>
        <v/>
      </c>
      <c r="TTE6" s="97" t="str">
        <f t="shared" si="221"/>
        <v/>
      </c>
      <c r="TTF6" s="97" t="str">
        <f t="shared" si="221"/>
        <v/>
      </c>
      <c r="TTG6" s="97" t="str">
        <f t="shared" si="221"/>
        <v/>
      </c>
      <c r="TTH6" s="97" t="str">
        <f t="shared" si="221"/>
        <v/>
      </c>
      <c r="TTI6" s="97" t="str">
        <f t="shared" si="221"/>
        <v/>
      </c>
      <c r="TTJ6" s="97" t="str">
        <f t="shared" si="221"/>
        <v/>
      </c>
      <c r="TTK6" s="97" t="str">
        <f t="shared" si="221"/>
        <v/>
      </c>
      <c r="TTL6" s="97" t="str">
        <f t="shared" si="221"/>
        <v/>
      </c>
      <c r="TTM6" s="97" t="str">
        <f t="shared" si="221"/>
        <v/>
      </c>
      <c r="TTN6" s="97" t="str">
        <f t="shared" si="221"/>
        <v/>
      </c>
      <c r="TTO6" s="97" t="str">
        <f t="shared" si="221"/>
        <v/>
      </c>
      <c r="TTP6" s="97" t="str">
        <f t="shared" si="221"/>
        <v/>
      </c>
      <c r="TTQ6" s="97" t="str">
        <f t="shared" si="221"/>
        <v/>
      </c>
      <c r="TTR6" s="97" t="str">
        <f t="shared" si="221"/>
        <v/>
      </c>
      <c r="TTS6" s="97" t="str">
        <f t="shared" si="221"/>
        <v/>
      </c>
      <c r="TTT6" s="97" t="str">
        <f t="shared" si="221"/>
        <v/>
      </c>
      <c r="TTU6" s="97" t="str">
        <f t="shared" si="221"/>
        <v/>
      </c>
      <c r="TTV6" s="97" t="str">
        <f t="shared" si="221"/>
        <v/>
      </c>
      <c r="TTW6" s="97" t="str">
        <f t="shared" si="221"/>
        <v/>
      </c>
      <c r="TTX6" s="97" t="str">
        <f t="shared" si="221"/>
        <v/>
      </c>
      <c r="TTY6" s="97" t="str">
        <f t="shared" si="221"/>
        <v/>
      </c>
      <c r="TTZ6" s="97" t="str">
        <f t="shared" si="221"/>
        <v/>
      </c>
      <c r="TUA6" s="97" t="str">
        <f t="shared" si="221"/>
        <v/>
      </c>
      <c r="TUB6" s="97" t="str">
        <f t="shared" si="221"/>
        <v/>
      </c>
      <c r="TUC6" s="97" t="str">
        <f t="shared" si="221"/>
        <v/>
      </c>
      <c r="TUD6" s="97" t="str">
        <f t="shared" si="221"/>
        <v/>
      </c>
      <c r="TUE6" s="97" t="str">
        <f t="shared" si="221"/>
        <v/>
      </c>
      <c r="TUF6" s="97" t="str">
        <f t="shared" si="221"/>
        <v/>
      </c>
      <c r="TUG6" s="97" t="str">
        <f t="shared" si="221"/>
        <v/>
      </c>
      <c r="TUH6" s="97" t="str">
        <f t="shared" si="221"/>
        <v/>
      </c>
      <c r="TUI6" s="97" t="str">
        <f t="shared" si="221"/>
        <v/>
      </c>
      <c r="TUJ6" s="97" t="str">
        <f t="shared" si="221"/>
        <v/>
      </c>
      <c r="TUK6" s="97" t="str">
        <f t="shared" si="221"/>
        <v/>
      </c>
      <c r="TUL6" s="97" t="str">
        <f t="shared" si="221"/>
        <v/>
      </c>
      <c r="TUM6" s="97" t="str">
        <f t="shared" si="221"/>
        <v/>
      </c>
      <c r="TUN6" s="97" t="str">
        <f t="shared" si="221"/>
        <v/>
      </c>
      <c r="TUO6" s="97" t="str">
        <f t="shared" si="221"/>
        <v/>
      </c>
      <c r="TUP6" s="97" t="str">
        <f t="shared" si="221"/>
        <v/>
      </c>
      <c r="TUQ6" s="97" t="str">
        <f t="shared" si="221"/>
        <v/>
      </c>
      <c r="TUR6" s="97" t="str">
        <f t="shared" si="221"/>
        <v/>
      </c>
      <c r="TUS6" s="97" t="str">
        <f t="shared" si="221"/>
        <v/>
      </c>
      <c r="TUT6" s="97" t="str">
        <f t="shared" ref="TUT6:TXE6" si="222">IFERROR(AVERAGE(TUT7:TUT13),"")</f>
        <v/>
      </c>
      <c r="TUU6" s="97" t="str">
        <f t="shared" si="222"/>
        <v/>
      </c>
      <c r="TUV6" s="97" t="str">
        <f t="shared" si="222"/>
        <v/>
      </c>
      <c r="TUW6" s="97" t="str">
        <f t="shared" si="222"/>
        <v/>
      </c>
      <c r="TUX6" s="97" t="str">
        <f t="shared" si="222"/>
        <v/>
      </c>
      <c r="TUY6" s="97" t="str">
        <f t="shared" si="222"/>
        <v/>
      </c>
      <c r="TUZ6" s="97" t="str">
        <f t="shared" si="222"/>
        <v/>
      </c>
      <c r="TVA6" s="97" t="str">
        <f t="shared" si="222"/>
        <v/>
      </c>
      <c r="TVB6" s="97" t="str">
        <f t="shared" si="222"/>
        <v/>
      </c>
      <c r="TVC6" s="97" t="str">
        <f t="shared" si="222"/>
        <v/>
      </c>
      <c r="TVD6" s="97" t="str">
        <f t="shared" si="222"/>
        <v/>
      </c>
      <c r="TVE6" s="97" t="str">
        <f t="shared" si="222"/>
        <v/>
      </c>
      <c r="TVF6" s="97" t="str">
        <f t="shared" si="222"/>
        <v/>
      </c>
      <c r="TVG6" s="97" t="str">
        <f t="shared" si="222"/>
        <v/>
      </c>
      <c r="TVH6" s="97" t="str">
        <f t="shared" si="222"/>
        <v/>
      </c>
      <c r="TVI6" s="97" t="str">
        <f t="shared" si="222"/>
        <v/>
      </c>
      <c r="TVJ6" s="97" t="str">
        <f t="shared" si="222"/>
        <v/>
      </c>
      <c r="TVK6" s="97" t="str">
        <f t="shared" si="222"/>
        <v/>
      </c>
      <c r="TVL6" s="97" t="str">
        <f t="shared" si="222"/>
        <v/>
      </c>
      <c r="TVM6" s="97" t="str">
        <f t="shared" si="222"/>
        <v/>
      </c>
      <c r="TVN6" s="97" t="str">
        <f t="shared" si="222"/>
        <v/>
      </c>
      <c r="TVO6" s="97" t="str">
        <f t="shared" si="222"/>
        <v/>
      </c>
      <c r="TVP6" s="97" t="str">
        <f t="shared" si="222"/>
        <v/>
      </c>
      <c r="TVQ6" s="97" t="str">
        <f t="shared" si="222"/>
        <v/>
      </c>
      <c r="TVR6" s="97" t="str">
        <f t="shared" si="222"/>
        <v/>
      </c>
      <c r="TVS6" s="97" t="str">
        <f t="shared" si="222"/>
        <v/>
      </c>
      <c r="TVT6" s="97" t="str">
        <f t="shared" si="222"/>
        <v/>
      </c>
      <c r="TVU6" s="97" t="str">
        <f t="shared" si="222"/>
        <v/>
      </c>
      <c r="TVV6" s="97" t="str">
        <f t="shared" si="222"/>
        <v/>
      </c>
      <c r="TVW6" s="97" t="str">
        <f t="shared" si="222"/>
        <v/>
      </c>
      <c r="TVX6" s="97" t="str">
        <f t="shared" si="222"/>
        <v/>
      </c>
      <c r="TVY6" s="97" t="str">
        <f t="shared" si="222"/>
        <v/>
      </c>
      <c r="TVZ6" s="97" t="str">
        <f t="shared" si="222"/>
        <v/>
      </c>
      <c r="TWA6" s="97" t="str">
        <f t="shared" si="222"/>
        <v/>
      </c>
      <c r="TWB6" s="97" t="str">
        <f t="shared" si="222"/>
        <v/>
      </c>
      <c r="TWC6" s="97" t="str">
        <f t="shared" si="222"/>
        <v/>
      </c>
      <c r="TWD6" s="97" t="str">
        <f t="shared" si="222"/>
        <v/>
      </c>
      <c r="TWE6" s="97" t="str">
        <f t="shared" si="222"/>
        <v/>
      </c>
      <c r="TWF6" s="97" t="str">
        <f t="shared" si="222"/>
        <v/>
      </c>
      <c r="TWG6" s="97" t="str">
        <f t="shared" si="222"/>
        <v/>
      </c>
      <c r="TWH6" s="97" t="str">
        <f t="shared" si="222"/>
        <v/>
      </c>
      <c r="TWI6" s="97" t="str">
        <f t="shared" si="222"/>
        <v/>
      </c>
      <c r="TWJ6" s="97" t="str">
        <f t="shared" si="222"/>
        <v/>
      </c>
      <c r="TWK6" s="97" t="str">
        <f t="shared" si="222"/>
        <v/>
      </c>
      <c r="TWL6" s="97" t="str">
        <f t="shared" si="222"/>
        <v/>
      </c>
      <c r="TWM6" s="97" t="str">
        <f t="shared" si="222"/>
        <v/>
      </c>
      <c r="TWN6" s="97" t="str">
        <f t="shared" si="222"/>
        <v/>
      </c>
      <c r="TWO6" s="97" t="str">
        <f t="shared" si="222"/>
        <v/>
      </c>
      <c r="TWP6" s="97" t="str">
        <f t="shared" si="222"/>
        <v/>
      </c>
      <c r="TWQ6" s="97" t="str">
        <f t="shared" si="222"/>
        <v/>
      </c>
      <c r="TWR6" s="97" t="str">
        <f t="shared" si="222"/>
        <v/>
      </c>
      <c r="TWS6" s="97" t="str">
        <f t="shared" si="222"/>
        <v/>
      </c>
      <c r="TWT6" s="97" t="str">
        <f t="shared" si="222"/>
        <v/>
      </c>
      <c r="TWU6" s="97" t="str">
        <f t="shared" si="222"/>
        <v/>
      </c>
      <c r="TWV6" s="97" t="str">
        <f t="shared" si="222"/>
        <v/>
      </c>
      <c r="TWW6" s="97" t="str">
        <f t="shared" si="222"/>
        <v/>
      </c>
      <c r="TWX6" s="97" t="str">
        <f t="shared" si="222"/>
        <v/>
      </c>
      <c r="TWY6" s="97" t="str">
        <f t="shared" si="222"/>
        <v/>
      </c>
      <c r="TWZ6" s="97" t="str">
        <f t="shared" si="222"/>
        <v/>
      </c>
      <c r="TXA6" s="97" t="str">
        <f t="shared" si="222"/>
        <v/>
      </c>
      <c r="TXB6" s="97" t="str">
        <f t="shared" si="222"/>
        <v/>
      </c>
      <c r="TXC6" s="97" t="str">
        <f t="shared" si="222"/>
        <v/>
      </c>
      <c r="TXD6" s="97" t="str">
        <f t="shared" si="222"/>
        <v/>
      </c>
      <c r="TXE6" s="97" t="str">
        <f t="shared" si="222"/>
        <v/>
      </c>
      <c r="TXF6" s="97" t="str">
        <f t="shared" ref="TXF6:TZQ6" si="223">IFERROR(AVERAGE(TXF7:TXF13),"")</f>
        <v/>
      </c>
      <c r="TXG6" s="97" t="str">
        <f t="shared" si="223"/>
        <v/>
      </c>
      <c r="TXH6" s="97" t="str">
        <f t="shared" si="223"/>
        <v/>
      </c>
      <c r="TXI6" s="97" t="str">
        <f t="shared" si="223"/>
        <v/>
      </c>
      <c r="TXJ6" s="97" t="str">
        <f t="shared" si="223"/>
        <v/>
      </c>
      <c r="TXK6" s="97" t="str">
        <f t="shared" si="223"/>
        <v/>
      </c>
      <c r="TXL6" s="97" t="str">
        <f t="shared" si="223"/>
        <v/>
      </c>
      <c r="TXM6" s="97" t="str">
        <f t="shared" si="223"/>
        <v/>
      </c>
      <c r="TXN6" s="97" t="str">
        <f t="shared" si="223"/>
        <v/>
      </c>
      <c r="TXO6" s="97" t="str">
        <f t="shared" si="223"/>
        <v/>
      </c>
      <c r="TXP6" s="97" t="str">
        <f t="shared" si="223"/>
        <v/>
      </c>
      <c r="TXQ6" s="97" t="str">
        <f t="shared" si="223"/>
        <v/>
      </c>
      <c r="TXR6" s="97" t="str">
        <f t="shared" si="223"/>
        <v/>
      </c>
      <c r="TXS6" s="97" t="str">
        <f t="shared" si="223"/>
        <v/>
      </c>
      <c r="TXT6" s="97" t="str">
        <f t="shared" si="223"/>
        <v/>
      </c>
      <c r="TXU6" s="97" t="str">
        <f t="shared" si="223"/>
        <v/>
      </c>
      <c r="TXV6" s="97" t="str">
        <f t="shared" si="223"/>
        <v/>
      </c>
      <c r="TXW6" s="97" t="str">
        <f t="shared" si="223"/>
        <v/>
      </c>
      <c r="TXX6" s="97" t="str">
        <f t="shared" si="223"/>
        <v/>
      </c>
      <c r="TXY6" s="97" t="str">
        <f t="shared" si="223"/>
        <v/>
      </c>
      <c r="TXZ6" s="97" t="str">
        <f t="shared" si="223"/>
        <v/>
      </c>
      <c r="TYA6" s="97" t="str">
        <f t="shared" si="223"/>
        <v/>
      </c>
      <c r="TYB6" s="97" t="str">
        <f t="shared" si="223"/>
        <v/>
      </c>
      <c r="TYC6" s="97" t="str">
        <f t="shared" si="223"/>
        <v/>
      </c>
      <c r="TYD6" s="97" t="str">
        <f t="shared" si="223"/>
        <v/>
      </c>
      <c r="TYE6" s="97" t="str">
        <f t="shared" si="223"/>
        <v/>
      </c>
      <c r="TYF6" s="97" t="str">
        <f t="shared" si="223"/>
        <v/>
      </c>
      <c r="TYG6" s="97" t="str">
        <f t="shared" si="223"/>
        <v/>
      </c>
      <c r="TYH6" s="97" t="str">
        <f t="shared" si="223"/>
        <v/>
      </c>
      <c r="TYI6" s="97" t="str">
        <f t="shared" si="223"/>
        <v/>
      </c>
      <c r="TYJ6" s="97" t="str">
        <f t="shared" si="223"/>
        <v/>
      </c>
      <c r="TYK6" s="97" t="str">
        <f t="shared" si="223"/>
        <v/>
      </c>
      <c r="TYL6" s="97" t="str">
        <f t="shared" si="223"/>
        <v/>
      </c>
      <c r="TYM6" s="97" t="str">
        <f t="shared" si="223"/>
        <v/>
      </c>
      <c r="TYN6" s="97" t="str">
        <f t="shared" si="223"/>
        <v/>
      </c>
      <c r="TYO6" s="97" t="str">
        <f t="shared" si="223"/>
        <v/>
      </c>
      <c r="TYP6" s="97" t="str">
        <f t="shared" si="223"/>
        <v/>
      </c>
      <c r="TYQ6" s="97" t="str">
        <f t="shared" si="223"/>
        <v/>
      </c>
      <c r="TYR6" s="97" t="str">
        <f t="shared" si="223"/>
        <v/>
      </c>
      <c r="TYS6" s="97" t="str">
        <f t="shared" si="223"/>
        <v/>
      </c>
      <c r="TYT6" s="97" t="str">
        <f t="shared" si="223"/>
        <v/>
      </c>
      <c r="TYU6" s="97" t="str">
        <f t="shared" si="223"/>
        <v/>
      </c>
      <c r="TYV6" s="97" t="str">
        <f t="shared" si="223"/>
        <v/>
      </c>
      <c r="TYW6" s="97" t="str">
        <f t="shared" si="223"/>
        <v/>
      </c>
      <c r="TYX6" s="97" t="str">
        <f t="shared" si="223"/>
        <v/>
      </c>
      <c r="TYY6" s="97" t="str">
        <f t="shared" si="223"/>
        <v/>
      </c>
      <c r="TYZ6" s="97" t="str">
        <f t="shared" si="223"/>
        <v/>
      </c>
      <c r="TZA6" s="97" t="str">
        <f t="shared" si="223"/>
        <v/>
      </c>
      <c r="TZB6" s="97" t="str">
        <f t="shared" si="223"/>
        <v/>
      </c>
      <c r="TZC6" s="97" t="str">
        <f t="shared" si="223"/>
        <v/>
      </c>
      <c r="TZD6" s="97" t="str">
        <f t="shared" si="223"/>
        <v/>
      </c>
      <c r="TZE6" s="97" t="str">
        <f t="shared" si="223"/>
        <v/>
      </c>
      <c r="TZF6" s="97" t="str">
        <f t="shared" si="223"/>
        <v/>
      </c>
      <c r="TZG6" s="97" t="str">
        <f t="shared" si="223"/>
        <v/>
      </c>
      <c r="TZH6" s="97" t="str">
        <f t="shared" si="223"/>
        <v/>
      </c>
      <c r="TZI6" s="97" t="str">
        <f t="shared" si="223"/>
        <v/>
      </c>
      <c r="TZJ6" s="97" t="str">
        <f t="shared" si="223"/>
        <v/>
      </c>
      <c r="TZK6" s="97" t="str">
        <f t="shared" si="223"/>
        <v/>
      </c>
      <c r="TZL6" s="97" t="str">
        <f t="shared" si="223"/>
        <v/>
      </c>
      <c r="TZM6" s="97" t="str">
        <f t="shared" si="223"/>
        <v/>
      </c>
      <c r="TZN6" s="97" t="str">
        <f t="shared" si="223"/>
        <v/>
      </c>
      <c r="TZO6" s="97" t="str">
        <f t="shared" si="223"/>
        <v/>
      </c>
      <c r="TZP6" s="97" t="str">
        <f t="shared" si="223"/>
        <v/>
      </c>
      <c r="TZQ6" s="97" t="str">
        <f t="shared" si="223"/>
        <v/>
      </c>
      <c r="TZR6" s="97" t="str">
        <f t="shared" ref="TZR6:UCC6" si="224">IFERROR(AVERAGE(TZR7:TZR13),"")</f>
        <v/>
      </c>
      <c r="TZS6" s="97" t="str">
        <f t="shared" si="224"/>
        <v/>
      </c>
      <c r="TZT6" s="97" t="str">
        <f t="shared" si="224"/>
        <v/>
      </c>
      <c r="TZU6" s="97" t="str">
        <f t="shared" si="224"/>
        <v/>
      </c>
      <c r="TZV6" s="97" t="str">
        <f t="shared" si="224"/>
        <v/>
      </c>
      <c r="TZW6" s="97" t="str">
        <f t="shared" si="224"/>
        <v/>
      </c>
      <c r="TZX6" s="97" t="str">
        <f t="shared" si="224"/>
        <v/>
      </c>
      <c r="TZY6" s="97" t="str">
        <f t="shared" si="224"/>
        <v/>
      </c>
      <c r="TZZ6" s="97" t="str">
        <f t="shared" si="224"/>
        <v/>
      </c>
      <c r="UAA6" s="97" t="str">
        <f t="shared" si="224"/>
        <v/>
      </c>
      <c r="UAB6" s="97" t="str">
        <f t="shared" si="224"/>
        <v/>
      </c>
      <c r="UAC6" s="97" t="str">
        <f t="shared" si="224"/>
        <v/>
      </c>
      <c r="UAD6" s="97" t="str">
        <f t="shared" si="224"/>
        <v/>
      </c>
      <c r="UAE6" s="97" t="str">
        <f t="shared" si="224"/>
        <v/>
      </c>
      <c r="UAF6" s="97" t="str">
        <f t="shared" si="224"/>
        <v/>
      </c>
      <c r="UAG6" s="97" t="str">
        <f t="shared" si="224"/>
        <v/>
      </c>
      <c r="UAH6" s="97" t="str">
        <f t="shared" si="224"/>
        <v/>
      </c>
      <c r="UAI6" s="97" t="str">
        <f t="shared" si="224"/>
        <v/>
      </c>
      <c r="UAJ6" s="97" t="str">
        <f t="shared" si="224"/>
        <v/>
      </c>
      <c r="UAK6" s="97" t="str">
        <f t="shared" si="224"/>
        <v/>
      </c>
      <c r="UAL6" s="97" t="str">
        <f t="shared" si="224"/>
        <v/>
      </c>
      <c r="UAM6" s="97" t="str">
        <f t="shared" si="224"/>
        <v/>
      </c>
      <c r="UAN6" s="97" t="str">
        <f t="shared" si="224"/>
        <v/>
      </c>
      <c r="UAO6" s="97" t="str">
        <f t="shared" si="224"/>
        <v/>
      </c>
      <c r="UAP6" s="97" t="str">
        <f t="shared" si="224"/>
        <v/>
      </c>
      <c r="UAQ6" s="97" t="str">
        <f t="shared" si="224"/>
        <v/>
      </c>
      <c r="UAR6" s="97" t="str">
        <f t="shared" si="224"/>
        <v/>
      </c>
      <c r="UAS6" s="97" t="str">
        <f t="shared" si="224"/>
        <v/>
      </c>
      <c r="UAT6" s="97" t="str">
        <f t="shared" si="224"/>
        <v/>
      </c>
      <c r="UAU6" s="97" t="str">
        <f t="shared" si="224"/>
        <v/>
      </c>
      <c r="UAV6" s="97" t="str">
        <f t="shared" si="224"/>
        <v/>
      </c>
      <c r="UAW6" s="97" t="str">
        <f t="shared" si="224"/>
        <v/>
      </c>
      <c r="UAX6" s="97" t="str">
        <f t="shared" si="224"/>
        <v/>
      </c>
      <c r="UAY6" s="97" t="str">
        <f t="shared" si="224"/>
        <v/>
      </c>
      <c r="UAZ6" s="97" t="str">
        <f t="shared" si="224"/>
        <v/>
      </c>
      <c r="UBA6" s="97" t="str">
        <f t="shared" si="224"/>
        <v/>
      </c>
      <c r="UBB6" s="97" t="str">
        <f t="shared" si="224"/>
        <v/>
      </c>
      <c r="UBC6" s="97" t="str">
        <f t="shared" si="224"/>
        <v/>
      </c>
      <c r="UBD6" s="97" t="str">
        <f t="shared" si="224"/>
        <v/>
      </c>
      <c r="UBE6" s="97" t="str">
        <f t="shared" si="224"/>
        <v/>
      </c>
      <c r="UBF6" s="97" t="str">
        <f t="shared" si="224"/>
        <v/>
      </c>
      <c r="UBG6" s="97" t="str">
        <f t="shared" si="224"/>
        <v/>
      </c>
      <c r="UBH6" s="97" t="str">
        <f t="shared" si="224"/>
        <v/>
      </c>
      <c r="UBI6" s="97" t="str">
        <f t="shared" si="224"/>
        <v/>
      </c>
      <c r="UBJ6" s="97" t="str">
        <f t="shared" si="224"/>
        <v/>
      </c>
      <c r="UBK6" s="97" t="str">
        <f t="shared" si="224"/>
        <v/>
      </c>
      <c r="UBL6" s="97" t="str">
        <f t="shared" si="224"/>
        <v/>
      </c>
      <c r="UBM6" s="97" t="str">
        <f t="shared" si="224"/>
        <v/>
      </c>
      <c r="UBN6" s="97" t="str">
        <f t="shared" si="224"/>
        <v/>
      </c>
      <c r="UBO6" s="97" t="str">
        <f t="shared" si="224"/>
        <v/>
      </c>
      <c r="UBP6" s="97" t="str">
        <f t="shared" si="224"/>
        <v/>
      </c>
      <c r="UBQ6" s="97" t="str">
        <f t="shared" si="224"/>
        <v/>
      </c>
      <c r="UBR6" s="97" t="str">
        <f t="shared" si="224"/>
        <v/>
      </c>
      <c r="UBS6" s="97" t="str">
        <f t="shared" si="224"/>
        <v/>
      </c>
      <c r="UBT6" s="97" t="str">
        <f t="shared" si="224"/>
        <v/>
      </c>
      <c r="UBU6" s="97" t="str">
        <f t="shared" si="224"/>
        <v/>
      </c>
      <c r="UBV6" s="97" t="str">
        <f t="shared" si="224"/>
        <v/>
      </c>
      <c r="UBW6" s="97" t="str">
        <f t="shared" si="224"/>
        <v/>
      </c>
      <c r="UBX6" s="97" t="str">
        <f t="shared" si="224"/>
        <v/>
      </c>
      <c r="UBY6" s="97" t="str">
        <f t="shared" si="224"/>
        <v/>
      </c>
      <c r="UBZ6" s="97" t="str">
        <f t="shared" si="224"/>
        <v/>
      </c>
      <c r="UCA6" s="97" t="str">
        <f t="shared" si="224"/>
        <v/>
      </c>
      <c r="UCB6" s="97" t="str">
        <f t="shared" si="224"/>
        <v/>
      </c>
      <c r="UCC6" s="97" t="str">
        <f t="shared" si="224"/>
        <v/>
      </c>
      <c r="UCD6" s="97" t="str">
        <f t="shared" ref="UCD6:UEO6" si="225">IFERROR(AVERAGE(UCD7:UCD13),"")</f>
        <v/>
      </c>
      <c r="UCE6" s="97" t="str">
        <f t="shared" si="225"/>
        <v/>
      </c>
      <c r="UCF6" s="97" t="str">
        <f t="shared" si="225"/>
        <v/>
      </c>
      <c r="UCG6" s="97" t="str">
        <f t="shared" si="225"/>
        <v/>
      </c>
      <c r="UCH6" s="97" t="str">
        <f t="shared" si="225"/>
        <v/>
      </c>
      <c r="UCI6" s="97" t="str">
        <f t="shared" si="225"/>
        <v/>
      </c>
      <c r="UCJ6" s="97" t="str">
        <f t="shared" si="225"/>
        <v/>
      </c>
      <c r="UCK6" s="97" t="str">
        <f t="shared" si="225"/>
        <v/>
      </c>
      <c r="UCL6" s="97" t="str">
        <f t="shared" si="225"/>
        <v/>
      </c>
      <c r="UCM6" s="97" t="str">
        <f t="shared" si="225"/>
        <v/>
      </c>
      <c r="UCN6" s="97" t="str">
        <f t="shared" si="225"/>
        <v/>
      </c>
      <c r="UCO6" s="97" t="str">
        <f t="shared" si="225"/>
        <v/>
      </c>
      <c r="UCP6" s="97" t="str">
        <f t="shared" si="225"/>
        <v/>
      </c>
      <c r="UCQ6" s="97" t="str">
        <f t="shared" si="225"/>
        <v/>
      </c>
      <c r="UCR6" s="97" t="str">
        <f t="shared" si="225"/>
        <v/>
      </c>
      <c r="UCS6" s="97" t="str">
        <f t="shared" si="225"/>
        <v/>
      </c>
      <c r="UCT6" s="97" t="str">
        <f t="shared" si="225"/>
        <v/>
      </c>
      <c r="UCU6" s="97" t="str">
        <f t="shared" si="225"/>
        <v/>
      </c>
      <c r="UCV6" s="97" t="str">
        <f t="shared" si="225"/>
        <v/>
      </c>
      <c r="UCW6" s="97" t="str">
        <f t="shared" si="225"/>
        <v/>
      </c>
      <c r="UCX6" s="97" t="str">
        <f t="shared" si="225"/>
        <v/>
      </c>
      <c r="UCY6" s="97" t="str">
        <f t="shared" si="225"/>
        <v/>
      </c>
      <c r="UCZ6" s="97" t="str">
        <f t="shared" si="225"/>
        <v/>
      </c>
      <c r="UDA6" s="97" t="str">
        <f t="shared" si="225"/>
        <v/>
      </c>
      <c r="UDB6" s="97" t="str">
        <f t="shared" si="225"/>
        <v/>
      </c>
      <c r="UDC6" s="97" t="str">
        <f t="shared" si="225"/>
        <v/>
      </c>
      <c r="UDD6" s="97" t="str">
        <f t="shared" si="225"/>
        <v/>
      </c>
      <c r="UDE6" s="97" t="str">
        <f t="shared" si="225"/>
        <v/>
      </c>
      <c r="UDF6" s="97" t="str">
        <f t="shared" si="225"/>
        <v/>
      </c>
      <c r="UDG6" s="97" t="str">
        <f t="shared" si="225"/>
        <v/>
      </c>
      <c r="UDH6" s="97" t="str">
        <f t="shared" si="225"/>
        <v/>
      </c>
      <c r="UDI6" s="97" t="str">
        <f t="shared" si="225"/>
        <v/>
      </c>
      <c r="UDJ6" s="97" t="str">
        <f t="shared" si="225"/>
        <v/>
      </c>
      <c r="UDK6" s="97" t="str">
        <f t="shared" si="225"/>
        <v/>
      </c>
      <c r="UDL6" s="97" t="str">
        <f t="shared" si="225"/>
        <v/>
      </c>
      <c r="UDM6" s="97" t="str">
        <f t="shared" si="225"/>
        <v/>
      </c>
      <c r="UDN6" s="97" t="str">
        <f t="shared" si="225"/>
        <v/>
      </c>
      <c r="UDO6" s="97" t="str">
        <f t="shared" si="225"/>
        <v/>
      </c>
      <c r="UDP6" s="97" t="str">
        <f t="shared" si="225"/>
        <v/>
      </c>
      <c r="UDQ6" s="97" t="str">
        <f t="shared" si="225"/>
        <v/>
      </c>
      <c r="UDR6" s="97" t="str">
        <f t="shared" si="225"/>
        <v/>
      </c>
      <c r="UDS6" s="97" t="str">
        <f t="shared" si="225"/>
        <v/>
      </c>
      <c r="UDT6" s="97" t="str">
        <f t="shared" si="225"/>
        <v/>
      </c>
      <c r="UDU6" s="97" t="str">
        <f t="shared" si="225"/>
        <v/>
      </c>
      <c r="UDV6" s="97" t="str">
        <f t="shared" si="225"/>
        <v/>
      </c>
      <c r="UDW6" s="97" t="str">
        <f t="shared" si="225"/>
        <v/>
      </c>
      <c r="UDX6" s="97" t="str">
        <f t="shared" si="225"/>
        <v/>
      </c>
      <c r="UDY6" s="97" t="str">
        <f t="shared" si="225"/>
        <v/>
      </c>
      <c r="UDZ6" s="97" t="str">
        <f t="shared" si="225"/>
        <v/>
      </c>
      <c r="UEA6" s="97" t="str">
        <f t="shared" si="225"/>
        <v/>
      </c>
      <c r="UEB6" s="97" t="str">
        <f t="shared" si="225"/>
        <v/>
      </c>
      <c r="UEC6" s="97" t="str">
        <f t="shared" si="225"/>
        <v/>
      </c>
      <c r="UED6" s="97" t="str">
        <f t="shared" si="225"/>
        <v/>
      </c>
      <c r="UEE6" s="97" t="str">
        <f t="shared" si="225"/>
        <v/>
      </c>
      <c r="UEF6" s="97" t="str">
        <f t="shared" si="225"/>
        <v/>
      </c>
      <c r="UEG6" s="97" t="str">
        <f t="shared" si="225"/>
        <v/>
      </c>
      <c r="UEH6" s="97" t="str">
        <f t="shared" si="225"/>
        <v/>
      </c>
      <c r="UEI6" s="97" t="str">
        <f t="shared" si="225"/>
        <v/>
      </c>
      <c r="UEJ6" s="97" t="str">
        <f t="shared" si="225"/>
        <v/>
      </c>
      <c r="UEK6" s="97" t="str">
        <f t="shared" si="225"/>
        <v/>
      </c>
      <c r="UEL6" s="97" t="str">
        <f t="shared" si="225"/>
        <v/>
      </c>
      <c r="UEM6" s="97" t="str">
        <f t="shared" si="225"/>
        <v/>
      </c>
      <c r="UEN6" s="97" t="str">
        <f t="shared" si="225"/>
        <v/>
      </c>
      <c r="UEO6" s="97" t="str">
        <f t="shared" si="225"/>
        <v/>
      </c>
      <c r="UEP6" s="97" t="str">
        <f t="shared" ref="UEP6:UHA6" si="226">IFERROR(AVERAGE(UEP7:UEP13),"")</f>
        <v/>
      </c>
      <c r="UEQ6" s="97" t="str">
        <f t="shared" si="226"/>
        <v/>
      </c>
      <c r="UER6" s="97" t="str">
        <f t="shared" si="226"/>
        <v/>
      </c>
      <c r="UES6" s="97" t="str">
        <f t="shared" si="226"/>
        <v/>
      </c>
      <c r="UET6" s="97" t="str">
        <f t="shared" si="226"/>
        <v/>
      </c>
      <c r="UEU6" s="97" t="str">
        <f t="shared" si="226"/>
        <v/>
      </c>
      <c r="UEV6" s="97" t="str">
        <f t="shared" si="226"/>
        <v/>
      </c>
      <c r="UEW6" s="97" t="str">
        <f t="shared" si="226"/>
        <v/>
      </c>
      <c r="UEX6" s="97" t="str">
        <f t="shared" si="226"/>
        <v/>
      </c>
      <c r="UEY6" s="97" t="str">
        <f t="shared" si="226"/>
        <v/>
      </c>
      <c r="UEZ6" s="97" t="str">
        <f t="shared" si="226"/>
        <v/>
      </c>
      <c r="UFA6" s="97" t="str">
        <f t="shared" si="226"/>
        <v/>
      </c>
      <c r="UFB6" s="97" t="str">
        <f t="shared" si="226"/>
        <v/>
      </c>
      <c r="UFC6" s="97" t="str">
        <f t="shared" si="226"/>
        <v/>
      </c>
      <c r="UFD6" s="97" t="str">
        <f t="shared" si="226"/>
        <v/>
      </c>
      <c r="UFE6" s="97" t="str">
        <f t="shared" si="226"/>
        <v/>
      </c>
      <c r="UFF6" s="97" t="str">
        <f t="shared" si="226"/>
        <v/>
      </c>
      <c r="UFG6" s="97" t="str">
        <f t="shared" si="226"/>
        <v/>
      </c>
      <c r="UFH6" s="97" t="str">
        <f t="shared" si="226"/>
        <v/>
      </c>
      <c r="UFI6" s="97" t="str">
        <f t="shared" si="226"/>
        <v/>
      </c>
      <c r="UFJ6" s="97" t="str">
        <f t="shared" si="226"/>
        <v/>
      </c>
      <c r="UFK6" s="97" t="str">
        <f t="shared" si="226"/>
        <v/>
      </c>
      <c r="UFL6" s="97" t="str">
        <f t="shared" si="226"/>
        <v/>
      </c>
      <c r="UFM6" s="97" t="str">
        <f t="shared" si="226"/>
        <v/>
      </c>
      <c r="UFN6" s="97" t="str">
        <f t="shared" si="226"/>
        <v/>
      </c>
      <c r="UFO6" s="97" t="str">
        <f t="shared" si="226"/>
        <v/>
      </c>
      <c r="UFP6" s="97" t="str">
        <f t="shared" si="226"/>
        <v/>
      </c>
      <c r="UFQ6" s="97" t="str">
        <f t="shared" si="226"/>
        <v/>
      </c>
      <c r="UFR6" s="97" t="str">
        <f t="shared" si="226"/>
        <v/>
      </c>
      <c r="UFS6" s="97" t="str">
        <f t="shared" si="226"/>
        <v/>
      </c>
      <c r="UFT6" s="97" t="str">
        <f t="shared" si="226"/>
        <v/>
      </c>
      <c r="UFU6" s="97" t="str">
        <f t="shared" si="226"/>
        <v/>
      </c>
      <c r="UFV6" s="97" t="str">
        <f t="shared" si="226"/>
        <v/>
      </c>
      <c r="UFW6" s="97" t="str">
        <f t="shared" si="226"/>
        <v/>
      </c>
      <c r="UFX6" s="97" t="str">
        <f t="shared" si="226"/>
        <v/>
      </c>
      <c r="UFY6" s="97" t="str">
        <f t="shared" si="226"/>
        <v/>
      </c>
      <c r="UFZ6" s="97" t="str">
        <f t="shared" si="226"/>
        <v/>
      </c>
      <c r="UGA6" s="97" t="str">
        <f t="shared" si="226"/>
        <v/>
      </c>
      <c r="UGB6" s="97" t="str">
        <f t="shared" si="226"/>
        <v/>
      </c>
      <c r="UGC6" s="97" t="str">
        <f t="shared" si="226"/>
        <v/>
      </c>
      <c r="UGD6" s="97" t="str">
        <f t="shared" si="226"/>
        <v/>
      </c>
      <c r="UGE6" s="97" t="str">
        <f t="shared" si="226"/>
        <v/>
      </c>
      <c r="UGF6" s="97" t="str">
        <f t="shared" si="226"/>
        <v/>
      </c>
      <c r="UGG6" s="97" t="str">
        <f t="shared" si="226"/>
        <v/>
      </c>
      <c r="UGH6" s="97" t="str">
        <f t="shared" si="226"/>
        <v/>
      </c>
      <c r="UGI6" s="97" t="str">
        <f t="shared" si="226"/>
        <v/>
      </c>
      <c r="UGJ6" s="97" t="str">
        <f t="shared" si="226"/>
        <v/>
      </c>
      <c r="UGK6" s="97" t="str">
        <f t="shared" si="226"/>
        <v/>
      </c>
      <c r="UGL6" s="97" t="str">
        <f t="shared" si="226"/>
        <v/>
      </c>
      <c r="UGM6" s="97" t="str">
        <f t="shared" si="226"/>
        <v/>
      </c>
      <c r="UGN6" s="97" t="str">
        <f t="shared" si="226"/>
        <v/>
      </c>
      <c r="UGO6" s="97" t="str">
        <f t="shared" si="226"/>
        <v/>
      </c>
      <c r="UGP6" s="97" t="str">
        <f t="shared" si="226"/>
        <v/>
      </c>
      <c r="UGQ6" s="97" t="str">
        <f t="shared" si="226"/>
        <v/>
      </c>
      <c r="UGR6" s="97" t="str">
        <f t="shared" si="226"/>
        <v/>
      </c>
      <c r="UGS6" s="97" t="str">
        <f t="shared" si="226"/>
        <v/>
      </c>
      <c r="UGT6" s="97" t="str">
        <f t="shared" si="226"/>
        <v/>
      </c>
      <c r="UGU6" s="97" t="str">
        <f t="shared" si="226"/>
        <v/>
      </c>
      <c r="UGV6" s="97" t="str">
        <f t="shared" si="226"/>
        <v/>
      </c>
      <c r="UGW6" s="97" t="str">
        <f t="shared" si="226"/>
        <v/>
      </c>
      <c r="UGX6" s="97" t="str">
        <f t="shared" si="226"/>
        <v/>
      </c>
      <c r="UGY6" s="97" t="str">
        <f t="shared" si="226"/>
        <v/>
      </c>
      <c r="UGZ6" s="97" t="str">
        <f t="shared" si="226"/>
        <v/>
      </c>
      <c r="UHA6" s="97" t="str">
        <f t="shared" si="226"/>
        <v/>
      </c>
      <c r="UHB6" s="97" t="str">
        <f t="shared" ref="UHB6:UJM6" si="227">IFERROR(AVERAGE(UHB7:UHB13),"")</f>
        <v/>
      </c>
      <c r="UHC6" s="97" t="str">
        <f t="shared" si="227"/>
        <v/>
      </c>
      <c r="UHD6" s="97" t="str">
        <f t="shared" si="227"/>
        <v/>
      </c>
      <c r="UHE6" s="97" t="str">
        <f t="shared" si="227"/>
        <v/>
      </c>
      <c r="UHF6" s="97" t="str">
        <f t="shared" si="227"/>
        <v/>
      </c>
      <c r="UHG6" s="97" t="str">
        <f t="shared" si="227"/>
        <v/>
      </c>
      <c r="UHH6" s="97" t="str">
        <f t="shared" si="227"/>
        <v/>
      </c>
      <c r="UHI6" s="97" t="str">
        <f t="shared" si="227"/>
        <v/>
      </c>
      <c r="UHJ6" s="97" t="str">
        <f t="shared" si="227"/>
        <v/>
      </c>
      <c r="UHK6" s="97" t="str">
        <f t="shared" si="227"/>
        <v/>
      </c>
      <c r="UHL6" s="97" t="str">
        <f t="shared" si="227"/>
        <v/>
      </c>
      <c r="UHM6" s="97" t="str">
        <f t="shared" si="227"/>
        <v/>
      </c>
      <c r="UHN6" s="97" t="str">
        <f t="shared" si="227"/>
        <v/>
      </c>
      <c r="UHO6" s="97" t="str">
        <f t="shared" si="227"/>
        <v/>
      </c>
      <c r="UHP6" s="97" t="str">
        <f t="shared" si="227"/>
        <v/>
      </c>
      <c r="UHQ6" s="97" t="str">
        <f t="shared" si="227"/>
        <v/>
      </c>
      <c r="UHR6" s="97" t="str">
        <f t="shared" si="227"/>
        <v/>
      </c>
      <c r="UHS6" s="97" t="str">
        <f t="shared" si="227"/>
        <v/>
      </c>
      <c r="UHT6" s="97" t="str">
        <f t="shared" si="227"/>
        <v/>
      </c>
      <c r="UHU6" s="97" t="str">
        <f t="shared" si="227"/>
        <v/>
      </c>
      <c r="UHV6" s="97" t="str">
        <f t="shared" si="227"/>
        <v/>
      </c>
      <c r="UHW6" s="97" t="str">
        <f t="shared" si="227"/>
        <v/>
      </c>
      <c r="UHX6" s="97" t="str">
        <f t="shared" si="227"/>
        <v/>
      </c>
      <c r="UHY6" s="97" t="str">
        <f t="shared" si="227"/>
        <v/>
      </c>
      <c r="UHZ6" s="97" t="str">
        <f t="shared" si="227"/>
        <v/>
      </c>
      <c r="UIA6" s="97" t="str">
        <f t="shared" si="227"/>
        <v/>
      </c>
      <c r="UIB6" s="97" t="str">
        <f t="shared" si="227"/>
        <v/>
      </c>
      <c r="UIC6" s="97" t="str">
        <f t="shared" si="227"/>
        <v/>
      </c>
      <c r="UID6" s="97" t="str">
        <f t="shared" si="227"/>
        <v/>
      </c>
      <c r="UIE6" s="97" t="str">
        <f t="shared" si="227"/>
        <v/>
      </c>
      <c r="UIF6" s="97" t="str">
        <f t="shared" si="227"/>
        <v/>
      </c>
      <c r="UIG6" s="97" t="str">
        <f t="shared" si="227"/>
        <v/>
      </c>
      <c r="UIH6" s="97" t="str">
        <f t="shared" si="227"/>
        <v/>
      </c>
      <c r="UII6" s="97" t="str">
        <f t="shared" si="227"/>
        <v/>
      </c>
      <c r="UIJ6" s="97" t="str">
        <f t="shared" si="227"/>
        <v/>
      </c>
      <c r="UIK6" s="97" t="str">
        <f t="shared" si="227"/>
        <v/>
      </c>
      <c r="UIL6" s="97" t="str">
        <f t="shared" si="227"/>
        <v/>
      </c>
      <c r="UIM6" s="97" t="str">
        <f t="shared" si="227"/>
        <v/>
      </c>
      <c r="UIN6" s="97" t="str">
        <f t="shared" si="227"/>
        <v/>
      </c>
      <c r="UIO6" s="97" t="str">
        <f t="shared" si="227"/>
        <v/>
      </c>
      <c r="UIP6" s="97" t="str">
        <f t="shared" si="227"/>
        <v/>
      </c>
      <c r="UIQ6" s="97" t="str">
        <f t="shared" si="227"/>
        <v/>
      </c>
      <c r="UIR6" s="97" t="str">
        <f t="shared" si="227"/>
        <v/>
      </c>
      <c r="UIS6" s="97" t="str">
        <f t="shared" si="227"/>
        <v/>
      </c>
      <c r="UIT6" s="97" t="str">
        <f t="shared" si="227"/>
        <v/>
      </c>
      <c r="UIU6" s="97" t="str">
        <f t="shared" si="227"/>
        <v/>
      </c>
      <c r="UIV6" s="97" t="str">
        <f t="shared" si="227"/>
        <v/>
      </c>
      <c r="UIW6" s="97" t="str">
        <f t="shared" si="227"/>
        <v/>
      </c>
      <c r="UIX6" s="97" t="str">
        <f t="shared" si="227"/>
        <v/>
      </c>
      <c r="UIY6" s="97" t="str">
        <f t="shared" si="227"/>
        <v/>
      </c>
      <c r="UIZ6" s="97" t="str">
        <f t="shared" si="227"/>
        <v/>
      </c>
      <c r="UJA6" s="97" t="str">
        <f t="shared" si="227"/>
        <v/>
      </c>
      <c r="UJB6" s="97" t="str">
        <f t="shared" si="227"/>
        <v/>
      </c>
      <c r="UJC6" s="97" t="str">
        <f t="shared" si="227"/>
        <v/>
      </c>
      <c r="UJD6" s="97" t="str">
        <f t="shared" si="227"/>
        <v/>
      </c>
      <c r="UJE6" s="97" t="str">
        <f t="shared" si="227"/>
        <v/>
      </c>
      <c r="UJF6" s="97" t="str">
        <f t="shared" si="227"/>
        <v/>
      </c>
      <c r="UJG6" s="97" t="str">
        <f t="shared" si="227"/>
        <v/>
      </c>
      <c r="UJH6" s="97" t="str">
        <f t="shared" si="227"/>
        <v/>
      </c>
      <c r="UJI6" s="97" t="str">
        <f t="shared" si="227"/>
        <v/>
      </c>
      <c r="UJJ6" s="97" t="str">
        <f t="shared" si="227"/>
        <v/>
      </c>
      <c r="UJK6" s="97" t="str">
        <f t="shared" si="227"/>
        <v/>
      </c>
      <c r="UJL6" s="97" t="str">
        <f t="shared" si="227"/>
        <v/>
      </c>
      <c r="UJM6" s="97" t="str">
        <f t="shared" si="227"/>
        <v/>
      </c>
      <c r="UJN6" s="97" t="str">
        <f t="shared" ref="UJN6:ULY6" si="228">IFERROR(AVERAGE(UJN7:UJN13),"")</f>
        <v/>
      </c>
      <c r="UJO6" s="97" t="str">
        <f t="shared" si="228"/>
        <v/>
      </c>
      <c r="UJP6" s="97" t="str">
        <f t="shared" si="228"/>
        <v/>
      </c>
      <c r="UJQ6" s="97" t="str">
        <f t="shared" si="228"/>
        <v/>
      </c>
      <c r="UJR6" s="97" t="str">
        <f t="shared" si="228"/>
        <v/>
      </c>
      <c r="UJS6" s="97" t="str">
        <f t="shared" si="228"/>
        <v/>
      </c>
      <c r="UJT6" s="97" t="str">
        <f t="shared" si="228"/>
        <v/>
      </c>
      <c r="UJU6" s="97" t="str">
        <f t="shared" si="228"/>
        <v/>
      </c>
      <c r="UJV6" s="97" t="str">
        <f t="shared" si="228"/>
        <v/>
      </c>
      <c r="UJW6" s="97" t="str">
        <f t="shared" si="228"/>
        <v/>
      </c>
      <c r="UJX6" s="97" t="str">
        <f t="shared" si="228"/>
        <v/>
      </c>
      <c r="UJY6" s="97" t="str">
        <f t="shared" si="228"/>
        <v/>
      </c>
      <c r="UJZ6" s="97" t="str">
        <f t="shared" si="228"/>
        <v/>
      </c>
      <c r="UKA6" s="97" t="str">
        <f t="shared" si="228"/>
        <v/>
      </c>
      <c r="UKB6" s="97" t="str">
        <f t="shared" si="228"/>
        <v/>
      </c>
      <c r="UKC6" s="97" t="str">
        <f t="shared" si="228"/>
        <v/>
      </c>
      <c r="UKD6" s="97" t="str">
        <f t="shared" si="228"/>
        <v/>
      </c>
      <c r="UKE6" s="97" t="str">
        <f t="shared" si="228"/>
        <v/>
      </c>
      <c r="UKF6" s="97" t="str">
        <f t="shared" si="228"/>
        <v/>
      </c>
      <c r="UKG6" s="97" t="str">
        <f t="shared" si="228"/>
        <v/>
      </c>
      <c r="UKH6" s="97" t="str">
        <f t="shared" si="228"/>
        <v/>
      </c>
      <c r="UKI6" s="97" t="str">
        <f t="shared" si="228"/>
        <v/>
      </c>
      <c r="UKJ6" s="97" t="str">
        <f t="shared" si="228"/>
        <v/>
      </c>
      <c r="UKK6" s="97" t="str">
        <f t="shared" si="228"/>
        <v/>
      </c>
      <c r="UKL6" s="97" t="str">
        <f t="shared" si="228"/>
        <v/>
      </c>
      <c r="UKM6" s="97" t="str">
        <f t="shared" si="228"/>
        <v/>
      </c>
      <c r="UKN6" s="97" t="str">
        <f t="shared" si="228"/>
        <v/>
      </c>
      <c r="UKO6" s="97" t="str">
        <f t="shared" si="228"/>
        <v/>
      </c>
      <c r="UKP6" s="97" t="str">
        <f t="shared" si="228"/>
        <v/>
      </c>
      <c r="UKQ6" s="97" t="str">
        <f t="shared" si="228"/>
        <v/>
      </c>
      <c r="UKR6" s="97" t="str">
        <f t="shared" si="228"/>
        <v/>
      </c>
      <c r="UKS6" s="97" t="str">
        <f t="shared" si="228"/>
        <v/>
      </c>
      <c r="UKT6" s="97" t="str">
        <f t="shared" si="228"/>
        <v/>
      </c>
      <c r="UKU6" s="97" t="str">
        <f t="shared" si="228"/>
        <v/>
      </c>
      <c r="UKV6" s="97" t="str">
        <f t="shared" si="228"/>
        <v/>
      </c>
      <c r="UKW6" s="97" t="str">
        <f t="shared" si="228"/>
        <v/>
      </c>
      <c r="UKX6" s="97" t="str">
        <f t="shared" si="228"/>
        <v/>
      </c>
      <c r="UKY6" s="97" t="str">
        <f t="shared" si="228"/>
        <v/>
      </c>
      <c r="UKZ6" s="97" t="str">
        <f t="shared" si="228"/>
        <v/>
      </c>
      <c r="ULA6" s="97" t="str">
        <f t="shared" si="228"/>
        <v/>
      </c>
      <c r="ULB6" s="97" t="str">
        <f t="shared" si="228"/>
        <v/>
      </c>
      <c r="ULC6" s="97" t="str">
        <f t="shared" si="228"/>
        <v/>
      </c>
      <c r="ULD6" s="97" t="str">
        <f t="shared" si="228"/>
        <v/>
      </c>
      <c r="ULE6" s="97" t="str">
        <f t="shared" si="228"/>
        <v/>
      </c>
      <c r="ULF6" s="97" t="str">
        <f t="shared" si="228"/>
        <v/>
      </c>
      <c r="ULG6" s="97" t="str">
        <f t="shared" si="228"/>
        <v/>
      </c>
      <c r="ULH6" s="97" t="str">
        <f t="shared" si="228"/>
        <v/>
      </c>
      <c r="ULI6" s="97" t="str">
        <f t="shared" si="228"/>
        <v/>
      </c>
      <c r="ULJ6" s="97" t="str">
        <f t="shared" si="228"/>
        <v/>
      </c>
      <c r="ULK6" s="97" t="str">
        <f t="shared" si="228"/>
        <v/>
      </c>
      <c r="ULL6" s="97" t="str">
        <f t="shared" si="228"/>
        <v/>
      </c>
      <c r="ULM6" s="97" t="str">
        <f t="shared" si="228"/>
        <v/>
      </c>
      <c r="ULN6" s="97" t="str">
        <f t="shared" si="228"/>
        <v/>
      </c>
      <c r="ULO6" s="97" t="str">
        <f t="shared" si="228"/>
        <v/>
      </c>
      <c r="ULP6" s="97" t="str">
        <f t="shared" si="228"/>
        <v/>
      </c>
      <c r="ULQ6" s="97" t="str">
        <f t="shared" si="228"/>
        <v/>
      </c>
      <c r="ULR6" s="97" t="str">
        <f t="shared" si="228"/>
        <v/>
      </c>
      <c r="ULS6" s="97" t="str">
        <f t="shared" si="228"/>
        <v/>
      </c>
      <c r="ULT6" s="97" t="str">
        <f t="shared" si="228"/>
        <v/>
      </c>
      <c r="ULU6" s="97" t="str">
        <f t="shared" si="228"/>
        <v/>
      </c>
      <c r="ULV6" s="97" t="str">
        <f t="shared" si="228"/>
        <v/>
      </c>
      <c r="ULW6" s="97" t="str">
        <f t="shared" si="228"/>
        <v/>
      </c>
      <c r="ULX6" s="97" t="str">
        <f t="shared" si="228"/>
        <v/>
      </c>
      <c r="ULY6" s="97" t="str">
        <f t="shared" si="228"/>
        <v/>
      </c>
      <c r="ULZ6" s="97" t="str">
        <f t="shared" ref="ULZ6:UOK6" si="229">IFERROR(AVERAGE(ULZ7:ULZ13),"")</f>
        <v/>
      </c>
      <c r="UMA6" s="97" t="str">
        <f t="shared" si="229"/>
        <v/>
      </c>
      <c r="UMB6" s="97" t="str">
        <f t="shared" si="229"/>
        <v/>
      </c>
      <c r="UMC6" s="97" t="str">
        <f t="shared" si="229"/>
        <v/>
      </c>
      <c r="UMD6" s="97" t="str">
        <f t="shared" si="229"/>
        <v/>
      </c>
      <c r="UME6" s="97" t="str">
        <f t="shared" si="229"/>
        <v/>
      </c>
      <c r="UMF6" s="97" t="str">
        <f t="shared" si="229"/>
        <v/>
      </c>
      <c r="UMG6" s="97" t="str">
        <f t="shared" si="229"/>
        <v/>
      </c>
      <c r="UMH6" s="97" t="str">
        <f t="shared" si="229"/>
        <v/>
      </c>
      <c r="UMI6" s="97" t="str">
        <f t="shared" si="229"/>
        <v/>
      </c>
      <c r="UMJ6" s="97" t="str">
        <f t="shared" si="229"/>
        <v/>
      </c>
      <c r="UMK6" s="97" t="str">
        <f t="shared" si="229"/>
        <v/>
      </c>
      <c r="UML6" s="97" t="str">
        <f t="shared" si="229"/>
        <v/>
      </c>
      <c r="UMM6" s="97" t="str">
        <f t="shared" si="229"/>
        <v/>
      </c>
      <c r="UMN6" s="97" t="str">
        <f t="shared" si="229"/>
        <v/>
      </c>
      <c r="UMO6" s="97" t="str">
        <f t="shared" si="229"/>
        <v/>
      </c>
      <c r="UMP6" s="97" t="str">
        <f t="shared" si="229"/>
        <v/>
      </c>
      <c r="UMQ6" s="97" t="str">
        <f t="shared" si="229"/>
        <v/>
      </c>
      <c r="UMR6" s="97" t="str">
        <f t="shared" si="229"/>
        <v/>
      </c>
      <c r="UMS6" s="97" t="str">
        <f t="shared" si="229"/>
        <v/>
      </c>
      <c r="UMT6" s="97" t="str">
        <f t="shared" si="229"/>
        <v/>
      </c>
      <c r="UMU6" s="97" t="str">
        <f t="shared" si="229"/>
        <v/>
      </c>
      <c r="UMV6" s="97" t="str">
        <f t="shared" si="229"/>
        <v/>
      </c>
      <c r="UMW6" s="97" t="str">
        <f t="shared" si="229"/>
        <v/>
      </c>
      <c r="UMX6" s="97" t="str">
        <f t="shared" si="229"/>
        <v/>
      </c>
      <c r="UMY6" s="97" t="str">
        <f t="shared" si="229"/>
        <v/>
      </c>
      <c r="UMZ6" s="97" t="str">
        <f t="shared" si="229"/>
        <v/>
      </c>
      <c r="UNA6" s="97" t="str">
        <f t="shared" si="229"/>
        <v/>
      </c>
      <c r="UNB6" s="97" t="str">
        <f t="shared" si="229"/>
        <v/>
      </c>
      <c r="UNC6" s="97" t="str">
        <f t="shared" si="229"/>
        <v/>
      </c>
      <c r="UND6" s="97" t="str">
        <f t="shared" si="229"/>
        <v/>
      </c>
      <c r="UNE6" s="97" t="str">
        <f t="shared" si="229"/>
        <v/>
      </c>
      <c r="UNF6" s="97" t="str">
        <f t="shared" si="229"/>
        <v/>
      </c>
      <c r="UNG6" s="97" t="str">
        <f t="shared" si="229"/>
        <v/>
      </c>
      <c r="UNH6" s="97" t="str">
        <f t="shared" si="229"/>
        <v/>
      </c>
      <c r="UNI6" s="97" t="str">
        <f t="shared" si="229"/>
        <v/>
      </c>
      <c r="UNJ6" s="97" t="str">
        <f t="shared" si="229"/>
        <v/>
      </c>
      <c r="UNK6" s="97" t="str">
        <f t="shared" si="229"/>
        <v/>
      </c>
      <c r="UNL6" s="97" t="str">
        <f t="shared" si="229"/>
        <v/>
      </c>
      <c r="UNM6" s="97" t="str">
        <f t="shared" si="229"/>
        <v/>
      </c>
      <c r="UNN6" s="97" t="str">
        <f t="shared" si="229"/>
        <v/>
      </c>
      <c r="UNO6" s="97" t="str">
        <f t="shared" si="229"/>
        <v/>
      </c>
      <c r="UNP6" s="97" t="str">
        <f t="shared" si="229"/>
        <v/>
      </c>
      <c r="UNQ6" s="97" t="str">
        <f t="shared" si="229"/>
        <v/>
      </c>
      <c r="UNR6" s="97" t="str">
        <f t="shared" si="229"/>
        <v/>
      </c>
      <c r="UNS6" s="97" t="str">
        <f t="shared" si="229"/>
        <v/>
      </c>
      <c r="UNT6" s="97" t="str">
        <f t="shared" si="229"/>
        <v/>
      </c>
      <c r="UNU6" s="97" t="str">
        <f t="shared" si="229"/>
        <v/>
      </c>
      <c r="UNV6" s="97" t="str">
        <f t="shared" si="229"/>
        <v/>
      </c>
      <c r="UNW6" s="97" t="str">
        <f t="shared" si="229"/>
        <v/>
      </c>
      <c r="UNX6" s="97" t="str">
        <f t="shared" si="229"/>
        <v/>
      </c>
      <c r="UNY6" s="97" t="str">
        <f t="shared" si="229"/>
        <v/>
      </c>
      <c r="UNZ6" s="97" t="str">
        <f t="shared" si="229"/>
        <v/>
      </c>
      <c r="UOA6" s="97" t="str">
        <f t="shared" si="229"/>
        <v/>
      </c>
      <c r="UOB6" s="97" t="str">
        <f t="shared" si="229"/>
        <v/>
      </c>
      <c r="UOC6" s="97" t="str">
        <f t="shared" si="229"/>
        <v/>
      </c>
      <c r="UOD6" s="97" t="str">
        <f t="shared" si="229"/>
        <v/>
      </c>
      <c r="UOE6" s="97" t="str">
        <f t="shared" si="229"/>
        <v/>
      </c>
      <c r="UOF6" s="97" t="str">
        <f t="shared" si="229"/>
        <v/>
      </c>
      <c r="UOG6" s="97" t="str">
        <f t="shared" si="229"/>
        <v/>
      </c>
      <c r="UOH6" s="97" t="str">
        <f t="shared" si="229"/>
        <v/>
      </c>
      <c r="UOI6" s="97" t="str">
        <f t="shared" si="229"/>
        <v/>
      </c>
      <c r="UOJ6" s="97" t="str">
        <f t="shared" si="229"/>
        <v/>
      </c>
      <c r="UOK6" s="97" t="str">
        <f t="shared" si="229"/>
        <v/>
      </c>
      <c r="UOL6" s="97" t="str">
        <f t="shared" ref="UOL6:UQW6" si="230">IFERROR(AVERAGE(UOL7:UOL13),"")</f>
        <v/>
      </c>
      <c r="UOM6" s="97" t="str">
        <f t="shared" si="230"/>
        <v/>
      </c>
      <c r="UON6" s="97" t="str">
        <f t="shared" si="230"/>
        <v/>
      </c>
      <c r="UOO6" s="97" t="str">
        <f t="shared" si="230"/>
        <v/>
      </c>
      <c r="UOP6" s="97" t="str">
        <f t="shared" si="230"/>
        <v/>
      </c>
      <c r="UOQ6" s="97" t="str">
        <f t="shared" si="230"/>
        <v/>
      </c>
      <c r="UOR6" s="97" t="str">
        <f t="shared" si="230"/>
        <v/>
      </c>
      <c r="UOS6" s="97" t="str">
        <f t="shared" si="230"/>
        <v/>
      </c>
      <c r="UOT6" s="97" t="str">
        <f t="shared" si="230"/>
        <v/>
      </c>
      <c r="UOU6" s="97" t="str">
        <f t="shared" si="230"/>
        <v/>
      </c>
      <c r="UOV6" s="97" t="str">
        <f t="shared" si="230"/>
        <v/>
      </c>
      <c r="UOW6" s="97" t="str">
        <f t="shared" si="230"/>
        <v/>
      </c>
      <c r="UOX6" s="97" t="str">
        <f t="shared" si="230"/>
        <v/>
      </c>
      <c r="UOY6" s="97" t="str">
        <f t="shared" si="230"/>
        <v/>
      </c>
      <c r="UOZ6" s="97" t="str">
        <f t="shared" si="230"/>
        <v/>
      </c>
      <c r="UPA6" s="97" t="str">
        <f t="shared" si="230"/>
        <v/>
      </c>
      <c r="UPB6" s="97" t="str">
        <f t="shared" si="230"/>
        <v/>
      </c>
      <c r="UPC6" s="97" t="str">
        <f t="shared" si="230"/>
        <v/>
      </c>
      <c r="UPD6" s="97" t="str">
        <f t="shared" si="230"/>
        <v/>
      </c>
      <c r="UPE6" s="97" t="str">
        <f t="shared" si="230"/>
        <v/>
      </c>
      <c r="UPF6" s="97" t="str">
        <f t="shared" si="230"/>
        <v/>
      </c>
      <c r="UPG6" s="97" t="str">
        <f t="shared" si="230"/>
        <v/>
      </c>
      <c r="UPH6" s="97" t="str">
        <f t="shared" si="230"/>
        <v/>
      </c>
      <c r="UPI6" s="97" t="str">
        <f t="shared" si="230"/>
        <v/>
      </c>
      <c r="UPJ6" s="97" t="str">
        <f t="shared" si="230"/>
        <v/>
      </c>
      <c r="UPK6" s="97" t="str">
        <f t="shared" si="230"/>
        <v/>
      </c>
      <c r="UPL6" s="97" t="str">
        <f t="shared" si="230"/>
        <v/>
      </c>
      <c r="UPM6" s="97" t="str">
        <f t="shared" si="230"/>
        <v/>
      </c>
      <c r="UPN6" s="97" t="str">
        <f t="shared" si="230"/>
        <v/>
      </c>
      <c r="UPO6" s="97" t="str">
        <f t="shared" si="230"/>
        <v/>
      </c>
      <c r="UPP6" s="97" t="str">
        <f t="shared" si="230"/>
        <v/>
      </c>
      <c r="UPQ6" s="97" t="str">
        <f t="shared" si="230"/>
        <v/>
      </c>
      <c r="UPR6" s="97" t="str">
        <f t="shared" si="230"/>
        <v/>
      </c>
      <c r="UPS6" s="97" t="str">
        <f t="shared" si="230"/>
        <v/>
      </c>
      <c r="UPT6" s="97" t="str">
        <f t="shared" si="230"/>
        <v/>
      </c>
      <c r="UPU6" s="97" t="str">
        <f t="shared" si="230"/>
        <v/>
      </c>
      <c r="UPV6" s="97" t="str">
        <f t="shared" si="230"/>
        <v/>
      </c>
      <c r="UPW6" s="97" t="str">
        <f t="shared" si="230"/>
        <v/>
      </c>
      <c r="UPX6" s="97" t="str">
        <f t="shared" si="230"/>
        <v/>
      </c>
      <c r="UPY6" s="97" t="str">
        <f t="shared" si="230"/>
        <v/>
      </c>
      <c r="UPZ6" s="97" t="str">
        <f t="shared" si="230"/>
        <v/>
      </c>
      <c r="UQA6" s="97" t="str">
        <f t="shared" si="230"/>
        <v/>
      </c>
      <c r="UQB6" s="97" t="str">
        <f t="shared" si="230"/>
        <v/>
      </c>
      <c r="UQC6" s="97" t="str">
        <f t="shared" si="230"/>
        <v/>
      </c>
      <c r="UQD6" s="97" t="str">
        <f t="shared" si="230"/>
        <v/>
      </c>
      <c r="UQE6" s="97" t="str">
        <f t="shared" si="230"/>
        <v/>
      </c>
      <c r="UQF6" s="97" t="str">
        <f t="shared" si="230"/>
        <v/>
      </c>
      <c r="UQG6" s="97" t="str">
        <f t="shared" si="230"/>
        <v/>
      </c>
      <c r="UQH6" s="97" t="str">
        <f t="shared" si="230"/>
        <v/>
      </c>
      <c r="UQI6" s="97" t="str">
        <f t="shared" si="230"/>
        <v/>
      </c>
      <c r="UQJ6" s="97" t="str">
        <f t="shared" si="230"/>
        <v/>
      </c>
      <c r="UQK6" s="97" t="str">
        <f t="shared" si="230"/>
        <v/>
      </c>
      <c r="UQL6" s="97" t="str">
        <f t="shared" si="230"/>
        <v/>
      </c>
      <c r="UQM6" s="97" t="str">
        <f t="shared" si="230"/>
        <v/>
      </c>
      <c r="UQN6" s="97" t="str">
        <f t="shared" si="230"/>
        <v/>
      </c>
      <c r="UQO6" s="97" t="str">
        <f t="shared" si="230"/>
        <v/>
      </c>
      <c r="UQP6" s="97" t="str">
        <f t="shared" si="230"/>
        <v/>
      </c>
      <c r="UQQ6" s="97" t="str">
        <f t="shared" si="230"/>
        <v/>
      </c>
      <c r="UQR6" s="97" t="str">
        <f t="shared" si="230"/>
        <v/>
      </c>
      <c r="UQS6" s="97" t="str">
        <f t="shared" si="230"/>
        <v/>
      </c>
      <c r="UQT6" s="97" t="str">
        <f t="shared" si="230"/>
        <v/>
      </c>
      <c r="UQU6" s="97" t="str">
        <f t="shared" si="230"/>
        <v/>
      </c>
      <c r="UQV6" s="97" t="str">
        <f t="shared" si="230"/>
        <v/>
      </c>
      <c r="UQW6" s="97" t="str">
        <f t="shared" si="230"/>
        <v/>
      </c>
      <c r="UQX6" s="97" t="str">
        <f t="shared" ref="UQX6:UTI6" si="231">IFERROR(AVERAGE(UQX7:UQX13),"")</f>
        <v/>
      </c>
      <c r="UQY6" s="97" t="str">
        <f t="shared" si="231"/>
        <v/>
      </c>
      <c r="UQZ6" s="97" t="str">
        <f t="shared" si="231"/>
        <v/>
      </c>
      <c r="URA6" s="97" t="str">
        <f t="shared" si="231"/>
        <v/>
      </c>
      <c r="URB6" s="97" t="str">
        <f t="shared" si="231"/>
        <v/>
      </c>
      <c r="URC6" s="97" t="str">
        <f t="shared" si="231"/>
        <v/>
      </c>
      <c r="URD6" s="97" t="str">
        <f t="shared" si="231"/>
        <v/>
      </c>
      <c r="URE6" s="97" t="str">
        <f t="shared" si="231"/>
        <v/>
      </c>
      <c r="URF6" s="97" t="str">
        <f t="shared" si="231"/>
        <v/>
      </c>
      <c r="URG6" s="97" t="str">
        <f t="shared" si="231"/>
        <v/>
      </c>
      <c r="URH6" s="97" t="str">
        <f t="shared" si="231"/>
        <v/>
      </c>
      <c r="URI6" s="97" t="str">
        <f t="shared" si="231"/>
        <v/>
      </c>
      <c r="URJ6" s="97" t="str">
        <f t="shared" si="231"/>
        <v/>
      </c>
      <c r="URK6" s="97" t="str">
        <f t="shared" si="231"/>
        <v/>
      </c>
      <c r="URL6" s="97" t="str">
        <f t="shared" si="231"/>
        <v/>
      </c>
      <c r="URM6" s="97" t="str">
        <f t="shared" si="231"/>
        <v/>
      </c>
      <c r="URN6" s="97" t="str">
        <f t="shared" si="231"/>
        <v/>
      </c>
      <c r="URO6" s="97" t="str">
        <f t="shared" si="231"/>
        <v/>
      </c>
      <c r="URP6" s="97" t="str">
        <f t="shared" si="231"/>
        <v/>
      </c>
      <c r="URQ6" s="97" t="str">
        <f t="shared" si="231"/>
        <v/>
      </c>
      <c r="URR6" s="97" t="str">
        <f t="shared" si="231"/>
        <v/>
      </c>
      <c r="URS6" s="97" t="str">
        <f t="shared" si="231"/>
        <v/>
      </c>
      <c r="URT6" s="97" t="str">
        <f t="shared" si="231"/>
        <v/>
      </c>
      <c r="URU6" s="97" t="str">
        <f t="shared" si="231"/>
        <v/>
      </c>
      <c r="URV6" s="97" t="str">
        <f t="shared" si="231"/>
        <v/>
      </c>
      <c r="URW6" s="97" t="str">
        <f t="shared" si="231"/>
        <v/>
      </c>
      <c r="URX6" s="97" t="str">
        <f t="shared" si="231"/>
        <v/>
      </c>
      <c r="URY6" s="97" t="str">
        <f t="shared" si="231"/>
        <v/>
      </c>
      <c r="URZ6" s="97" t="str">
        <f t="shared" si="231"/>
        <v/>
      </c>
      <c r="USA6" s="97" t="str">
        <f t="shared" si="231"/>
        <v/>
      </c>
      <c r="USB6" s="97" t="str">
        <f t="shared" si="231"/>
        <v/>
      </c>
      <c r="USC6" s="97" t="str">
        <f t="shared" si="231"/>
        <v/>
      </c>
      <c r="USD6" s="97" t="str">
        <f t="shared" si="231"/>
        <v/>
      </c>
      <c r="USE6" s="97" t="str">
        <f t="shared" si="231"/>
        <v/>
      </c>
      <c r="USF6" s="97" t="str">
        <f t="shared" si="231"/>
        <v/>
      </c>
      <c r="USG6" s="97" t="str">
        <f t="shared" si="231"/>
        <v/>
      </c>
      <c r="USH6" s="97" t="str">
        <f t="shared" si="231"/>
        <v/>
      </c>
      <c r="USI6" s="97" t="str">
        <f t="shared" si="231"/>
        <v/>
      </c>
      <c r="USJ6" s="97" t="str">
        <f t="shared" si="231"/>
        <v/>
      </c>
      <c r="USK6" s="97" t="str">
        <f t="shared" si="231"/>
        <v/>
      </c>
      <c r="USL6" s="97" t="str">
        <f t="shared" si="231"/>
        <v/>
      </c>
      <c r="USM6" s="97" t="str">
        <f t="shared" si="231"/>
        <v/>
      </c>
      <c r="USN6" s="97" t="str">
        <f t="shared" si="231"/>
        <v/>
      </c>
      <c r="USO6" s="97" t="str">
        <f t="shared" si="231"/>
        <v/>
      </c>
      <c r="USP6" s="97" t="str">
        <f t="shared" si="231"/>
        <v/>
      </c>
      <c r="USQ6" s="97" t="str">
        <f t="shared" si="231"/>
        <v/>
      </c>
      <c r="USR6" s="97" t="str">
        <f t="shared" si="231"/>
        <v/>
      </c>
      <c r="USS6" s="97" t="str">
        <f t="shared" si="231"/>
        <v/>
      </c>
      <c r="UST6" s="97" t="str">
        <f t="shared" si="231"/>
        <v/>
      </c>
      <c r="USU6" s="97" t="str">
        <f t="shared" si="231"/>
        <v/>
      </c>
      <c r="USV6" s="97" t="str">
        <f t="shared" si="231"/>
        <v/>
      </c>
      <c r="USW6" s="97" t="str">
        <f t="shared" si="231"/>
        <v/>
      </c>
      <c r="USX6" s="97" t="str">
        <f t="shared" si="231"/>
        <v/>
      </c>
      <c r="USY6" s="97" t="str">
        <f t="shared" si="231"/>
        <v/>
      </c>
      <c r="USZ6" s="97" t="str">
        <f t="shared" si="231"/>
        <v/>
      </c>
      <c r="UTA6" s="97" t="str">
        <f t="shared" si="231"/>
        <v/>
      </c>
      <c r="UTB6" s="97" t="str">
        <f t="shared" si="231"/>
        <v/>
      </c>
      <c r="UTC6" s="97" t="str">
        <f t="shared" si="231"/>
        <v/>
      </c>
      <c r="UTD6" s="97" t="str">
        <f t="shared" si="231"/>
        <v/>
      </c>
      <c r="UTE6" s="97" t="str">
        <f t="shared" si="231"/>
        <v/>
      </c>
      <c r="UTF6" s="97" t="str">
        <f t="shared" si="231"/>
        <v/>
      </c>
      <c r="UTG6" s="97" t="str">
        <f t="shared" si="231"/>
        <v/>
      </c>
      <c r="UTH6" s="97" t="str">
        <f t="shared" si="231"/>
        <v/>
      </c>
      <c r="UTI6" s="97" t="str">
        <f t="shared" si="231"/>
        <v/>
      </c>
      <c r="UTJ6" s="97" t="str">
        <f t="shared" ref="UTJ6:UVU6" si="232">IFERROR(AVERAGE(UTJ7:UTJ13),"")</f>
        <v/>
      </c>
      <c r="UTK6" s="97" t="str">
        <f t="shared" si="232"/>
        <v/>
      </c>
      <c r="UTL6" s="97" t="str">
        <f t="shared" si="232"/>
        <v/>
      </c>
      <c r="UTM6" s="97" t="str">
        <f t="shared" si="232"/>
        <v/>
      </c>
      <c r="UTN6" s="97" t="str">
        <f t="shared" si="232"/>
        <v/>
      </c>
      <c r="UTO6" s="97" t="str">
        <f t="shared" si="232"/>
        <v/>
      </c>
      <c r="UTP6" s="97" t="str">
        <f t="shared" si="232"/>
        <v/>
      </c>
      <c r="UTQ6" s="97" t="str">
        <f t="shared" si="232"/>
        <v/>
      </c>
      <c r="UTR6" s="97" t="str">
        <f t="shared" si="232"/>
        <v/>
      </c>
      <c r="UTS6" s="97" t="str">
        <f t="shared" si="232"/>
        <v/>
      </c>
      <c r="UTT6" s="97" t="str">
        <f t="shared" si="232"/>
        <v/>
      </c>
      <c r="UTU6" s="97" t="str">
        <f t="shared" si="232"/>
        <v/>
      </c>
      <c r="UTV6" s="97" t="str">
        <f t="shared" si="232"/>
        <v/>
      </c>
      <c r="UTW6" s="97" t="str">
        <f t="shared" si="232"/>
        <v/>
      </c>
      <c r="UTX6" s="97" t="str">
        <f t="shared" si="232"/>
        <v/>
      </c>
      <c r="UTY6" s="97" t="str">
        <f t="shared" si="232"/>
        <v/>
      </c>
      <c r="UTZ6" s="97" t="str">
        <f t="shared" si="232"/>
        <v/>
      </c>
      <c r="UUA6" s="97" t="str">
        <f t="shared" si="232"/>
        <v/>
      </c>
      <c r="UUB6" s="97" t="str">
        <f t="shared" si="232"/>
        <v/>
      </c>
      <c r="UUC6" s="97" t="str">
        <f t="shared" si="232"/>
        <v/>
      </c>
      <c r="UUD6" s="97" t="str">
        <f t="shared" si="232"/>
        <v/>
      </c>
      <c r="UUE6" s="97" t="str">
        <f t="shared" si="232"/>
        <v/>
      </c>
      <c r="UUF6" s="97" t="str">
        <f t="shared" si="232"/>
        <v/>
      </c>
      <c r="UUG6" s="97" t="str">
        <f t="shared" si="232"/>
        <v/>
      </c>
      <c r="UUH6" s="97" t="str">
        <f t="shared" si="232"/>
        <v/>
      </c>
      <c r="UUI6" s="97" t="str">
        <f t="shared" si="232"/>
        <v/>
      </c>
      <c r="UUJ6" s="97" t="str">
        <f t="shared" si="232"/>
        <v/>
      </c>
      <c r="UUK6" s="97" t="str">
        <f t="shared" si="232"/>
        <v/>
      </c>
      <c r="UUL6" s="97" t="str">
        <f t="shared" si="232"/>
        <v/>
      </c>
      <c r="UUM6" s="97" t="str">
        <f t="shared" si="232"/>
        <v/>
      </c>
      <c r="UUN6" s="97" t="str">
        <f t="shared" si="232"/>
        <v/>
      </c>
      <c r="UUO6" s="97" t="str">
        <f t="shared" si="232"/>
        <v/>
      </c>
      <c r="UUP6" s="97" t="str">
        <f t="shared" si="232"/>
        <v/>
      </c>
      <c r="UUQ6" s="97" t="str">
        <f t="shared" si="232"/>
        <v/>
      </c>
      <c r="UUR6" s="97" t="str">
        <f t="shared" si="232"/>
        <v/>
      </c>
      <c r="UUS6" s="97" t="str">
        <f t="shared" si="232"/>
        <v/>
      </c>
      <c r="UUT6" s="97" t="str">
        <f t="shared" si="232"/>
        <v/>
      </c>
      <c r="UUU6" s="97" t="str">
        <f t="shared" si="232"/>
        <v/>
      </c>
      <c r="UUV6" s="97" t="str">
        <f t="shared" si="232"/>
        <v/>
      </c>
      <c r="UUW6" s="97" t="str">
        <f t="shared" si="232"/>
        <v/>
      </c>
      <c r="UUX6" s="97" t="str">
        <f t="shared" si="232"/>
        <v/>
      </c>
      <c r="UUY6" s="97" t="str">
        <f t="shared" si="232"/>
        <v/>
      </c>
      <c r="UUZ6" s="97" t="str">
        <f t="shared" si="232"/>
        <v/>
      </c>
      <c r="UVA6" s="97" t="str">
        <f t="shared" si="232"/>
        <v/>
      </c>
      <c r="UVB6" s="97" t="str">
        <f t="shared" si="232"/>
        <v/>
      </c>
      <c r="UVC6" s="97" t="str">
        <f t="shared" si="232"/>
        <v/>
      </c>
      <c r="UVD6" s="97" t="str">
        <f t="shared" si="232"/>
        <v/>
      </c>
      <c r="UVE6" s="97" t="str">
        <f t="shared" si="232"/>
        <v/>
      </c>
      <c r="UVF6" s="97" t="str">
        <f t="shared" si="232"/>
        <v/>
      </c>
      <c r="UVG6" s="97" t="str">
        <f t="shared" si="232"/>
        <v/>
      </c>
      <c r="UVH6" s="97" t="str">
        <f t="shared" si="232"/>
        <v/>
      </c>
      <c r="UVI6" s="97" t="str">
        <f t="shared" si="232"/>
        <v/>
      </c>
      <c r="UVJ6" s="97" t="str">
        <f t="shared" si="232"/>
        <v/>
      </c>
      <c r="UVK6" s="97" t="str">
        <f t="shared" si="232"/>
        <v/>
      </c>
      <c r="UVL6" s="97" t="str">
        <f t="shared" si="232"/>
        <v/>
      </c>
      <c r="UVM6" s="97" t="str">
        <f t="shared" si="232"/>
        <v/>
      </c>
      <c r="UVN6" s="97" t="str">
        <f t="shared" si="232"/>
        <v/>
      </c>
      <c r="UVO6" s="97" t="str">
        <f t="shared" si="232"/>
        <v/>
      </c>
      <c r="UVP6" s="97" t="str">
        <f t="shared" si="232"/>
        <v/>
      </c>
      <c r="UVQ6" s="97" t="str">
        <f t="shared" si="232"/>
        <v/>
      </c>
      <c r="UVR6" s="97" t="str">
        <f t="shared" si="232"/>
        <v/>
      </c>
      <c r="UVS6" s="97" t="str">
        <f t="shared" si="232"/>
        <v/>
      </c>
      <c r="UVT6" s="97" t="str">
        <f t="shared" si="232"/>
        <v/>
      </c>
      <c r="UVU6" s="97" t="str">
        <f t="shared" si="232"/>
        <v/>
      </c>
      <c r="UVV6" s="97" t="str">
        <f t="shared" ref="UVV6:UYG6" si="233">IFERROR(AVERAGE(UVV7:UVV13),"")</f>
        <v/>
      </c>
      <c r="UVW6" s="97" t="str">
        <f t="shared" si="233"/>
        <v/>
      </c>
      <c r="UVX6" s="97" t="str">
        <f t="shared" si="233"/>
        <v/>
      </c>
      <c r="UVY6" s="97" t="str">
        <f t="shared" si="233"/>
        <v/>
      </c>
      <c r="UVZ6" s="97" t="str">
        <f t="shared" si="233"/>
        <v/>
      </c>
      <c r="UWA6" s="97" t="str">
        <f t="shared" si="233"/>
        <v/>
      </c>
      <c r="UWB6" s="97" t="str">
        <f t="shared" si="233"/>
        <v/>
      </c>
      <c r="UWC6" s="97" t="str">
        <f t="shared" si="233"/>
        <v/>
      </c>
      <c r="UWD6" s="97" t="str">
        <f t="shared" si="233"/>
        <v/>
      </c>
      <c r="UWE6" s="97" t="str">
        <f t="shared" si="233"/>
        <v/>
      </c>
      <c r="UWF6" s="97" t="str">
        <f t="shared" si="233"/>
        <v/>
      </c>
      <c r="UWG6" s="97" t="str">
        <f t="shared" si="233"/>
        <v/>
      </c>
      <c r="UWH6" s="97" t="str">
        <f t="shared" si="233"/>
        <v/>
      </c>
      <c r="UWI6" s="97" t="str">
        <f t="shared" si="233"/>
        <v/>
      </c>
      <c r="UWJ6" s="97" t="str">
        <f t="shared" si="233"/>
        <v/>
      </c>
      <c r="UWK6" s="97" t="str">
        <f t="shared" si="233"/>
        <v/>
      </c>
      <c r="UWL6" s="97" t="str">
        <f t="shared" si="233"/>
        <v/>
      </c>
      <c r="UWM6" s="97" t="str">
        <f t="shared" si="233"/>
        <v/>
      </c>
      <c r="UWN6" s="97" t="str">
        <f t="shared" si="233"/>
        <v/>
      </c>
      <c r="UWO6" s="97" t="str">
        <f t="shared" si="233"/>
        <v/>
      </c>
      <c r="UWP6" s="97" t="str">
        <f t="shared" si="233"/>
        <v/>
      </c>
      <c r="UWQ6" s="97" t="str">
        <f t="shared" si="233"/>
        <v/>
      </c>
      <c r="UWR6" s="97" t="str">
        <f t="shared" si="233"/>
        <v/>
      </c>
      <c r="UWS6" s="97" t="str">
        <f t="shared" si="233"/>
        <v/>
      </c>
      <c r="UWT6" s="97" t="str">
        <f t="shared" si="233"/>
        <v/>
      </c>
      <c r="UWU6" s="97" t="str">
        <f t="shared" si="233"/>
        <v/>
      </c>
      <c r="UWV6" s="97" t="str">
        <f t="shared" si="233"/>
        <v/>
      </c>
      <c r="UWW6" s="97" t="str">
        <f t="shared" si="233"/>
        <v/>
      </c>
      <c r="UWX6" s="97" t="str">
        <f t="shared" si="233"/>
        <v/>
      </c>
      <c r="UWY6" s="97" t="str">
        <f t="shared" si="233"/>
        <v/>
      </c>
      <c r="UWZ6" s="97" t="str">
        <f t="shared" si="233"/>
        <v/>
      </c>
      <c r="UXA6" s="97" t="str">
        <f t="shared" si="233"/>
        <v/>
      </c>
      <c r="UXB6" s="97" t="str">
        <f t="shared" si="233"/>
        <v/>
      </c>
      <c r="UXC6" s="97" t="str">
        <f t="shared" si="233"/>
        <v/>
      </c>
      <c r="UXD6" s="97" t="str">
        <f t="shared" si="233"/>
        <v/>
      </c>
      <c r="UXE6" s="97" t="str">
        <f t="shared" si="233"/>
        <v/>
      </c>
      <c r="UXF6" s="97" t="str">
        <f t="shared" si="233"/>
        <v/>
      </c>
      <c r="UXG6" s="97" t="str">
        <f t="shared" si="233"/>
        <v/>
      </c>
      <c r="UXH6" s="97" t="str">
        <f t="shared" si="233"/>
        <v/>
      </c>
      <c r="UXI6" s="97" t="str">
        <f t="shared" si="233"/>
        <v/>
      </c>
      <c r="UXJ6" s="97" t="str">
        <f t="shared" si="233"/>
        <v/>
      </c>
      <c r="UXK6" s="97" t="str">
        <f t="shared" si="233"/>
        <v/>
      </c>
      <c r="UXL6" s="97" t="str">
        <f t="shared" si="233"/>
        <v/>
      </c>
      <c r="UXM6" s="97" t="str">
        <f t="shared" si="233"/>
        <v/>
      </c>
      <c r="UXN6" s="97" t="str">
        <f t="shared" si="233"/>
        <v/>
      </c>
      <c r="UXO6" s="97" t="str">
        <f t="shared" si="233"/>
        <v/>
      </c>
      <c r="UXP6" s="97" t="str">
        <f t="shared" si="233"/>
        <v/>
      </c>
      <c r="UXQ6" s="97" t="str">
        <f t="shared" si="233"/>
        <v/>
      </c>
      <c r="UXR6" s="97" t="str">
        <f t="shared" si="233"/>
        <v/>
      </c>
      <c r="UXS6" s="97" t="str">
        <f t="shared" si="233"/>
        <v/>
      </c>
      <c r="UXT6" s="97" t="str">
        <f t="shared" si="233"/>
        <v/>
      </c>
      <c r="UXU6" s="97" t="str">
        <f t="shared" si="233"/>
        <v/>
      </c>
      <c r="UXV6" s="97" t="str">
        <f t="shared" si="233"/>
        <v/>
      </c>
      <c r="UXW6" s="97" t="str">
        <f t="shared" si="233"/>
        <v/>
      </c>
      <c r="UXX6" s="97" t="str">
        <f t="shared" si="233"/>
        <v/>
      </c>
      <c r="UXY6" s="97" t="str">
        <f t="shared" si="233"/>
        <v/>
      </c>
      <c r="UXZ6" s="97" t="str">
        <f t="shared" si="233"/>
        <v/>
      </c>
      <c r="UYA6" s="97" t="str">
        <f t="shared" si="233"/>
        <v/>
      </c>
      <c r="UYB6" s="97" t="str">
        <f t="shared" si="233"/>
        <v/>
      </c>
      <c r="UYC6" s="97" t="str">
        <f t="shared" si="233"/>
        <v/>
      </c>
      <c r="UYD6" s="97" t="str">
        <f t="shared" si="233"/>
        <v/>
      </c>
      <c r="UYE6" s="97" t="str">
        <f t="shared" si="233"/>
        <v/>
      </c>
      <c r="UYF6" s="97" t="str">
        <f t="shared" si="233"/>
        <v/>
      </c>
      <c r="UYG6" s="97" t="str">
        <f t="shared" si="233"/>
        <v/>
      </c>
      <c r="UYH6" s="97" t="str">
        <f t="shared" ref="UYH6:VAS6" si="234">IFERROR(AVERAGE(UYH7:UYH13),"")</f>
        <v/>
      </c>
      <c r="UYI6" s="97" t="str">
        <f t="shared" si="234"/>
        <v/>
      </c>
      <c r="UYJ6" s="97" t="str">
        <f t="shared" si="234"/>
        <v/>
      </c>
      <c r="UYK6" s="97" t="str">
        <f t="shared" si="234"/>
        <v/>
      </c>
      <c r="UYL6" s="97" t="str">
        <f t="shared" si="234"/>
        <v/>
      </c>
      <c r="UYM6" s="97" t="str">
        <f t="shared" si="234"/>
        <v/>
      </c>
      <c r="UYN6" s="97" t="str">
        <f t="shared" si="234"/>
        <v/>
      </c>
      <c r="UYO6" s="97" t="str">
        <f t="shared" si="234"/>
        <v/>
      </c>
      <c r="UYP6" s="97" t="str">
        <f t="shared" si="234"/>
        <v/>
      </c>
      <c r="UYQ6" s="97" t="str">
        <f t="shared" si="234"/>
        <v/>
      </c>
      <c r="UYR6" s="97" t="str">
        <f t="shared" si="234"/>
        <v/>
      </c>
      <c r="UYS6" s="97" t="str">
        <f t="shared" si="234"/>
        <v/>
      </c>
      <c r="UYT6" s="97" t="str">
        <f t="shared" si="234"/>
        <v/>
      </c>
      <c r="UYU6" s="97" t="str">
        <f t="shared" si="234"/>
        <v/>
      </c>
      <c r="UYV6" s="97" t="str">
        <f t="shared" si="234"/>
        <v/>
      </c>
      <c r="UYW6" s="97" t="str">
        <f t="shared" si="234"/>
        <v/>
      </c>
      <c r="UYX6" s="97" t="str">
        <f t="shared" si="234"/>
        <v/>
      </c>
      <c r="UYY6" s="97" t="str">
        <f t="shared" si="234"/>
        <v/>
      </c>
      <c r="UYZ6" s="97" t="str">
        <f t="shared" si="234"/>
        <v/>
      </c>
      <c r="UZA6" s="97" t="str">
        <f t="shared" si="234"/>
        <v/>
      </c>
      <c r="UZB6" s="97" t="str">
        <f t="shared" si="234"/>
        <v/>
      </c>
      <c r="UZC6" s="97" t="str">
        <f t="shared" si="234"/>
        <v/>
      </c>
      <c r="UZD6" s="97" t="str">
        <f t="shared" si="234"/>
        <v/>
      </c>
      <c r="UZE6" s="97" t="str">
        <f t="shared" si="234"/>
        <v/>
      </c>
      <c r="UZF6" s="97" t="str">
        <f t="shared" si="234"/>
        <v/>
      </c>
      <c r="UZG6" s="97" t="str">
        <f t="shared" si="234"/>
        <v/>
      </c>
      <c r="UZH6" s="97" t="str">
        <f t="shared" si="234"/>
        <v/>
      </c>
      <c r="UZI6" s="97" t="str">
        <f t="shared" si="234"/>
        <v/>
      </c>
      <c r="UZJ6" s="97" t="str">
        <f t="shared" si="234"/>
        <v/>
      </c>
      <c r="UZK6" s="97" t="str">
        <f t="shared" si="234"/>
        <v/>
      </c>
      <c r="UZL6" s="97" t="str">
        <f t="shared" si="234"/>
        <v/>
      </c>
      <c r="UZM6" s="97" t="str">
        <f t="shared" si="234"/>
        <v/>
      </c>
      <c r="UZN6" s="97" t="str">
        <f t="shared" si="234"/>
        <v/>
      </c>
      <c r="UZO6" s="97" t="str">
        <f t="shared" si="234"/>
        <v/>
      </c>
      <c r="UZP6" s="97" t="str">
        <f t="shared" si="234"/>
        <v/>
      </c>
      <c r="UZQ6" s="97" t="str">
        <f t="shared" si="234"/>
        <v/>
      </c>
      <c r="UZR6" s="97" t="str">
        <f t="shared" si="234"/>
        <v/>
      </c>
      <c r="UZS6" s="97" t="str">
        <f t="shared" si="234"/>
        <v/>
      </c>
      <c r="UZT6" s="97" t="str">
        <f t="shared" si="234"/>
        <v/>
      </c>
      <c r="UZU6" s="97" t="str">
        <f t="shared" si="234"/>
        <v/>
      </c>
      <c r="UZV6" s="97" t="str">
        <f t="shared" si="234"/>
        <v/>
      </c>
      <c r="UZW6" s="97" t="str">
        <f t="shared" si="234"/>
        <v/>
      </c>
      <c r="UZX6" s="97" t="str">
        <f t="shared" si="234"/>
        <v/>
      </c>
      <c r="UZY6" s="97" t="str">
        <f t="shared" si="234"/>
        <v/>
      </c>
      <c r="UZZ6" s="97" t="str">
        <f t="shared" si="234"/>
        <v/>
      </c>
      <c r="VAA6" s="97" t="str">
        <f t="shared" si="234"/>
        <v/>
      </c>
      <c r="VAB6" s="97" t="str">
        <f t="shared" si="234"/>
        <v/>
      </c>
      <c r="VAC6" s="97" t="str">
        <f t="shared" si="234"/>
        <v/>
      </c>
      <c r="VAD6" s="97" t="str">
        <f t="shared" si="234"/>
        <v/>
      </c>
      <c r="VAE6" s="97" t="str">
        <f t="shared" si="234"/>
        <v/>
      </c>
      <c r="VAF6" s="97" t="str">
        <f t="shared" si="234"/>
        <v/>
      </c>
      <c r="VAG6" s="97" t="str">
        <f t="shared" si="234"/>
        <v/>
      </c>
      <c r="VAH6" s="97" t="str">
        <f t="shared" si="234"/>
        <v/>
      </c>
      <c r="VAI6" s="97" t="str">
        <f t="shared" si="234"/>
        <v/>
      </c>
      <c r="VAJ6" s="97" t="str">
        <f t="shared" si="234"/>
        <v/>
      </c>
      <c r="VAK6" s="97" t="str">
        <f t="shared" si="234"/>
        <v/>
      </c>
      <c r="VAL6" s="97" t="str">
        <f t="shared" si="234"/>
        <v/>
      </c>
      <c r="VAM6" s="97" t="str">
        <f t="shared" si="234"/>
        <v/>
      </c>
      <c r="VAN6" s="97" t="str">
        <f t="shared" si="234"/>
        <v/>
      </c>
      <c r="VAO6" s="97" t="str">
        <f t="shared" si="234"/>
        <v/>
      </c>
      <c r="VAP6" s="97" t="str">
        <f t="shared" si="234"/>
        <v/>
      </c>
      <c r="VAQ6" s="97" t="str">
        <f t="shared" si="234"/>
        <v/>
      </c>
      <c r="VAR6" s="97" t="str">
        <f t="shared" si="234"/>
        <v/>
      </c>
      <c r="VAS6" s="97" t="str">
        <f t="shared" si="234"/>
        <v/>
      </c>
      <c r="VAT6" s="97" t="str">
        <f t="shared" ref="VAT6:VDE6" si="235">IFERROR(AVERAGE(VAT7:VAT13),"")</f>
        <v/>
      </c>
      <c r="VAU6" s="97" t="str">
        <f t="shared" si="235"/>
        <v/>
      </c>
      <c r="VAV6" s="97" t="str">
        <f t="shared" si="235"/>
        <v/>
      </c>
      <c r="VAW6" s="97" t="str">
        <f t="shared" si="235"/>
        <v/>
      </c>
      <c r="VAX6" s="97" t="str">
        <f t="shared" si="235"/>
        <v/>
      </c>
      <c r="VAY6" s="97" t="str">
        <f t="shared" si="235"/>
        <v/>
      </c>
      <c r="VAZ6" s="97" t="str">
        <f t="shared" si="235"/>
        <v/>
      </c>
      <c r="VBA6" s="97" t="str">
        <f t="shared" si="235"/>
        <v/>
      </c>
      <c r="VBB6" s="97" t="str">
        <f t="shared" si="235"/>
        <v/>
      </c>
      <c r="VBC6" s="97" t="str">
        <f t="shared" si="235"/>
        <v/>
      </c>
      <c r="VBD6" s="97" t="str">
        <f t="shared" si="235"/>
        <v/>
      </c>
      <c r="VBE6" s="97" t="str">
        <f t="shared" si="235"/>
        <v/>
      </c>
      <c r="VBF6" s="97" t="str">
        <f t="shared" si="235"/>
        <v/>
      </c>
      <c r="VBG6" s="97" t="str">
        <f t="shared" si="235"/>
        <v/>
      </c>
      <c r="VBH6" s="97" t="str">
        <f t="shared" si="235"/>
        <v/>
      </c>
      <c r="VBI6" s="97" t="str">
        <f t="shared" si="235"/>
        <v/>
      </c>
      <c r="VBJ6" s="97" t="str">
        <f t="shared" si="235"/>
        <v/>
      </c>
      <c r="VBK6" s="97" t="str">
        <f t="shared" si="235"/>
        <v/>
      </c>
      <c r="VBL6" s="97" t="str">
        <f t="shared" si="235"/>
        <v/>
      </c>
      <c r="VBM6" s="97" t="str">
        <f t="shared" si="235"/>
        <v/>
      </c>
      <c r="VBN6" s="97" t="str">
        <f t="shared" si="235"/>
        <v/>
      </c>
      <c r="VBO6" s="97" t="str">
        <f t="shared" si="235"/>
        <v/>
      </c>
      <c r="VBP6" s="97" t="str">
        <f t="shared" si="235"/>
        <v/>
      </c>
      <c r="VBQ6" s="97" t="str">
        <f t="shared" si="235"/>
        <v/>
      </c>
      <c r="VBR6" s="97" t="str">
        <f t="shared" si="235"/>
        <v/>
      </c>
      <c r="VBS6" s="97" t="str">
        <f t="shared" si="235"/>
        <v/>
      </c>
      <c r="VBT6" s="97" t="str">
        <f t="shared" si="235"/>
        <v/>
      </c>
      <c r="VBU6" s="97" t="str">
        <f t="shared" si="235"/>
        <v/>
      </c>
      <c r="VBV6" s="97" t="str">
        <f t="shared" si="235"/>
        <v/>
      </c>
      <c r="VBW6" s="97" t="str">
        <f t="shared" si="235"/>
        <v/>
      </c>
      <c r="VBX6" s="97" t="str">
        <f t="shared" si="235"/>
        <v/>
      </c>
      <c r="VBY6" s="97" t="str">
        <f t="shared" si="235"/>
        <v/>
      </c>
      <c r="VBZ6" s="97" t="str">
        <f t="shared" si="235"/>
        <v/>
      </c>
      <c r="VCA6" s="97" t="str">
        <f t="shared" si="235"/>
        <v/>
      </c>
      <c r="VCB6" s="97" t="str">
        <f t="shared" si="235"/>
        <v/>
      </c>
      <c r="VCC6" s="97" t="str">
        <f t="shared" si="235"/>
        <v/>
      </c>
      <c r="VCD6" s="97" t="str">
        <f t="shared" si="235"/>
        <v/>
      </c>
      <c r="VCE6" s="97" t="str">
        <f t="shared" si="235"/>
        <v/>
      </c>
      <c r="VCF6" s="97" t="str">
        <f t="shared" si="235"/>
        <v/>
      </c>
      <c r="VCG6" s="97" t="str">
        <f t="shared" si="235"/>
        <v/>
      </c>
      <c r="VCH6" s="97" t="str">
        <f t="shared" si="235"/>
        <v/>
      </c>
      <c r="VCI6" s="97" t="str">
        <f t="shared" si="235"/>
        <v/>
      </c>
      <c r="VCJ6" s="97" t="str">
        <f t="shared" si="235"/>
        <v/>
      </c>
      <c r="VCK6" s="97" t="str">
        <f t="shared" si="235"/>
        <v/>
      </c>
      <c r="VCL6" s="97" t="str">
        <f t="shared" si="235"/>
        <v/>
      </c>
      <c r="VCM6" s="97" t="str">
        <f t="shared" si="235"/>
        <v/>
      </c>
      <c r="VCN6" s="97" t="str">
        <f t="shared" si="235"/>
        <v/>
      </c>
      <c r="VCO6" s="97" t="str">
        <f t="shared" si="235"/>
        <v/>
      </c>
      <c r="VCP6" s="97" t="str">
        <f t="shared" si="235"/>
        <v/>
      </c>
      <c r="VCQ6" s="97" t="str">
        <f t="shared" si="235"/>
        <v/>
      </c>
      <c r="VCR6" s="97" t="str">
        <f t="shared" si="235"/>
        <v/>
      </c>
      <c r="VCS6" s="97" t="str">
        <f t="shared" si="235"/>
        <v/>
      </c>
      <c r="VCT6" s="97" t="str">
        <f t="shared" si="235"/>
        <v/>
      </c>
      <c r="VCU6" s="97" t="str">
        <f t="shared" si="235"/>
        <v/>
      </c>
      <c r="VCV6" s="97" t="str">
        <f t="shared" si="235"/>
        <v/>
      </c>
      <c r="VCW6" s="97" t="str">
        <f t="shared" si="235"/>
        <v/>
      </c>
      <c r="VCX6" s="97" t="str">
        <f t="shared" si="235"/>
        <v/>
      </c>
      <c r="VCY6" s="97" t="str">
        <f t="shared" si="235"/>
        <v/>
      </c>
      <c r="VCZ6" s="97" t="str">
        <f t="shared" si="235"/>
        <v/>
      </c>
      <c r="VDA6" s="97" t="str">
        <f t="shared" si="235"/>
        <v/>
      </c>
      <c r="VDB6" s="97" t="str">
        <f t="shared" si="235"/>
        <v/>
      </c>
      <c r="VDC6" s="97" t="str">
        <f t="shared" si="235"/>
        <v/>
      </c>
      <c r="VDD6" s="97" t="str">
        <f t="shared" si="235"/>
        <v/>
      </c>
      <c r="VDE6" s="97" t="str">
        <f t="shared" si="235"/>
        <v/>
      </c>
      <c r="VDF6" s="97" t="str">
        <f t="shared" ref="VDF6:VFQ6" si="236">IFERROR(AVERAGE(VDF7:VDF13),"")</f>
        <v/>
      </c>
      <c r="VDG6" s="97" t="str">
        <f t="shared" si="236"/>
        <v/>
      </c>
      <c r="VDH6" s="97" t="str">
        <f t="shared" si="236"/>
        <v/>
      </c>
      <c r="VDI6" s="97" t="str">
        <f t="shared" si="236"/>
        <v/>
      </c>
      <c r="VDJ6" s="97" t="str">
        <f t="shared" si="236"/>
        <v/>
      </c>
      <c r="VDK6" s="97" t="str">
        <f t="shared" si="236"/>
        <v/>
      </c>
      <c r="VDL6" s="97" t="str">
        <f t="shared" si="236"/>
        <v/>
      </c>
      <c r="VDM6" s="97" t="str">
        <f t="shared" si="236"/>
        <v/>
      </c>
      <c r="VDN6" s="97" t="str">
        <f t="shared" si="236"/>
        <v/>
      </c>
      <c r="VDO6" s="97" t="str">
        <f t="shared" si="236"/>
        <v/>
      </c>
      <c r="VDP6" s="97" t="str">
        <f t="shared" si="236"/>
        <v/>
      </c>
      <c r="VDQ6" s="97" t="str">
        <f t="shared" si="236"/>
        <v/>
      </c>
      <c r="VDR6" s="97" t="str">
        <f t="shared" si="236"/>
        <v/>
      </c>
      <c r="VDS6" s="97" t="str">
        <f t="shared" si="236"/>
        <v/>
      </c>
      <c r="VDT6" s="97" t="str">
        <f t="shared" si="236"/>
        <v/>
      </c>
      <c r="VDU6" s="97" t="str">
        <f t="shared" si="236"/>
        <v/>
      </c>
      <c r="VDV6" s="97" t="str">
        <f t="shared" si="236"/>
        <v/>
      </c>
      <c r="VDW6" s="97" t="str">
        <f t="shared" si="236"/>
        <v/>
      </c>
      <c r="VDX6" s="97" t="str">
        <f t="shared" si="236"/>
        <v/>
      </c>
      <c r="VDY6" s="97" t="str">
        <f t="shared" si="236"/>
        <v/>
      </c>
      <c r="VDZ6" s="97" t="str">
        <f t="shared" si="236"/>
        <v/>
      </c>
      <c r="VEA6" s="97" t="str">
        <f t="shared" si="236"/>
        <v/>
      </c>
      <c r="VEB6" s="97" t="str">
        <f t="shared" si="236"/>
        <v/>
      </c>
      <c r="VEC6" s="97" t="str">
        <f t="shared" si="236"/>
        <v/>
      </c>
      <c r="VED6" s="97" t="str">
        <f t="shared" si="236"/>
        <v/>
      </c>
      <c r="VEE6" s="97" t="str">
        <f t="shared" si="236"/>
        <v/>
      </c>
      <c r="VEF6" s="97" t="str">
        <f t="shared" si="236"/>
        <v/>
      </c>
      <c r="VEG6" s="97" t="str">
        <f t="shared" si="236"/>
        <v/>
      </c>
      <c r="VEH6" s="97" t="str">
        <f t="shared" si="236"/>
        <v/>
      </c>
      <c r="VEI6" s="97" t="str">
        <f t="shared" si="236"/>
        <v/>
      </c>
      <c r="VEJ6" s="97" t="str">
        <f t="shared" si="236"/>
        <v/>
      </c>
      <c r="VEK6" s="97" t="str">
        <f t="shared" si="236"/>
        <v/>
      </c>
      <c r="VEL6" s="97" t="str">
        <f t="shared" si="236"/>
        <v/>
      </c>
      <c r="VEM6" s="97" t="str">
        <f t="shared" si="236"/>
        <v/>
      </c>
      <c r="VEN6" s="97" t="str">
        <f t="shared" si="236"/>
        <v/>
      </c>
      <c r="VEO6" s="97" t="str">
        <f t="shared" si="236"/>
        <v/>
      </c>
      <c r="VEP6" s="97" t="str">
        <f t="shared" si="236"/>
        <v/>
      </c>
      <c r="VEQ6" s="97" t="str">
        <f t="shared" si="236"/>
        <v/>
      </c>
      <c r="VER6" s="97" t="str">
        <f t="shared" si="236"/>
        <v/>
      </c>
      <c r="VES6" s="97" t="str">
        <f t="shared" si="236"/>
        <v/>
      </c>
      <c r="VET6" s="97" t="str">
        <f t="shared" si="236"/>
        <v/>
      </c>
      <c r="VEU6" s="97" t="str">
        <f t="shared" si="236"/>
        <v/>
      </c>
      <c r="VEV6" s="97" t="str">
        <f t="shared" si="236"/>
        <v/>
      </c>
      <c r="VEW6" s="97" t="str">
        <f t="shared" si="236"/>
        <v/>
      </c>
      <c r="VEX6" s="97" t="str">
        <f t="shared" si="236"/>
        <v/>
      </c>
      <c r="VEY6" s="97" t="str">
        <f t="shared" si="236"/>
        <v/>
      </c>
      <c r="VEZ6" s="97" t="str">
        <f t="shared" si="236"/>
        <v/>
      </c>
      <c r="VFA6" s="97" t="str">
        <f t="shared" si="236"/>
        <v/>
      </c>
      <c r="VFB6" s="97" t="str">
        <f t="shared" si="236"/>
        <v/>
      </c>
      <c r="VFC6" s="97" t="str">
        <f t="shared" si="236"/>
        <v/>
      </c>
      <c r="VFD6" s="97" t="str">
        <f t="shared" si="236"/>
        <v/>
      </c>
      <c r="VFE6" s="97" t="str">
        <f t="shared" si="236"/>
        <v/>
      </c>
      <c r="VFF6" s="97" t="str">
        <f t="shared" si="236"/>
        <v/>
      </c>
      <c r="VFG6" s="97" t="str">
        <f t="shared" si="236"/>
        <v/>
      </c>
      <c r="VFH6" s="97" t="str">
        <f t="shared" si="236"/>
        <v/>
      </c>
      <c r="VFI6" s="97" t="str">
        <f t="shared" si="236"/>
        <v/>
      </c>
      <c r="VFJ6" s="97" t="str">
        <f t="shared" si="236"/>
        <v/>
      </c>
      <c r="VFK6" s="97" t="str">
        <f t="shared" si="236"/>
        <v/>
      </c>
      <c r="VFL6" s="97" t="str">
        <f t="shared" si="236"/>
        <v/>
      </c>
      <c r="VFM6" s="97" t="str">
        <f t="shared" si="236"/>
        <v/>
      </c>
      <c r="VFN6" s="97" t="str">
        <f t="shared" si="236"/>
        <v/>
      </c>
      <c r="VFO6" s="97" t="str">
        <f t="shared" si="236"/>
        <v/>
      </c>
      <c r="VFP6" s="97" t="str">
        <f t="shared" si="236"/>
        <v/>
      </c>
      <c r="VFQ6" s="97" t="str">
        <f t="shared" si="236"/>
        <v/>
      </c>
      <c r="VFR6" s="97" t="str">
        <f t="shared" ref="VFR6:VIC6" si="237">IFERROR(AVERAGE(VFR7:VFR13),"")</f>
        <v/>
      </c>
      <c r="VFS6" s="97" t="str">
        <f t="shared" si="237"/>
        <v/>
      </c>
      <c r="VFT6" s="97" t="str">
        <f t="shared" si="237"/>
        <v/>
      </c>
      <c r="VFU6" s="97" t="str">
        <f t="shared" si="237"/>
        <v/>
      </c>
      <c r="VFV6" s="97" t="str">
        <f t="shared" si="237"/>
        <v/>
      </c>
      <c r="VFW6" s="97" t="str">
        <f t="shared" si="237"/>
        <v/>
      </c>
      <c r="VFX6" s="97" t="str">
        <f t="shared" si="237"/>
        <v/>
      </c>
      <c r="VFY6" s="97" t="str">
        <f t="shared" si="237"/>
        <v/>
      </c>
      <c r="VFZ6" s="97" t="str">
        <f t="shared" si="237"/>
        <v/>
      </c>
      <c r="VGA6" s="97" t="str">
        <f t="shared" si="237"/>
        <v/>
      </c>
      <c r="VGB6" s="97" t="str">
        <f t="shared" si="237"/>
        <v/>
      </c>
      <c r="VGC6" s="97" t="str">
        <f t="shared" si="237"/>
        <v/>
      </c>
      <c r="VGD6" s="97" t="str">
        <f t="shared" si="237"/>
        <v/>
      </c>
      <c r="VGE6" s="97" t="str">
        <f t="shared" si="237"/>
        <v/>
      </c>
      <c r="VGF6" s="97" t="str">
        <f t="shared" si="237"/>
        <v/>
      </c>
      <c r="VGG6" s="97" t="str">
        <f t="shared" si="237"/>
        <v/>
      </c>
      <c r="VGH6" s="97" t="str">
        <f t="shared" si="237"/>
        <v/>
      </c>
      <c r="VGI6" s="97" t="str">
        <f t="shared" si="237"/>
        <v/>
      </c>
      <c r="VGJ6" s="97" t="str">
        <f t="shared" si="237"/>
        <v/>
      </c>
      <c r="VGK6" s="97" t="str">
        <f t="shared" si="237"/>
        <v/>
      </c>
      <c r="VGL6" s="97" t="str">
        <f t="shared" si="237"/>
        <v/>
      </c>
      <c r="VGM6" s="97" t="str">
        <f t="shared" si="237"/>
        <v/>
      </c>
      <c r="VGN6" s="97" t="str">
        <f t="shared" si="237"/>
        <v/>
      </c>
      <c r="VGO6" s="97" t="str">
        <f t="shared" si="237"/>
        <v/>
      </c>
      <c r="VGP6" s="97" t="str">
        <f t="shared" si="237"/>
        <v/>
      </c>
      <c r="VGQ6" s="97" t="str">
        <f t="shared" si="237"/>
        <v/>
      </c>
      <c r="VGR6" s="97" t="str">
        <f t="shared" si="237"/>
        <v/>
      </c>
      <c r="VGS6" s="97" t="str">
        <f t="shared" si="237"/>
        <v/>
      </c>
      <c r="VGT6" s="97" t="str">
        <f t="shared" si="237"/>
        <v/>
      </c>
      <c r="VGU6" s="97" t="str">
        <f t="shared" si="237"/>
        <v/>
      </c>
      <c r="VGV6" s="97" t="str">
        <f t="shared" si="237"/>
        <v/>
      </c>
      <c r="VGW6" s="97" t="str">
        <f t="shared" si="237"/>
        <v/>
      </c>
      <c r="VGX6" s="97" t="str">
        <f t="shared" si="237"/>
        <v/>
      </c>
      <c r="VGY6" s="97" t="str">
        <f t="shared" si="237"/>
        <v/>
      </c>
      <c r="VGZ6" s="97" t="str">
        <f t="shared" si="237"/>
        <v/>
      </c>
      <c r="VHA6" s="97" t="str">
        <f t="shared" si="237"/>
        <v/>
      </c>
      <c r="VHB6" s="97" t="str">
        <f t="shared" si="237"/>
        <v/>
      </c>
      <c r="VHC6" s="97" t="str">
        <f t="shared" si="237"/>
        <v/>
      </c>
      <c r="VHD6" s="97" t="str">
        <f t="shared" si="237"/>
        <v/>
      </c>
      <c r="VHE6" s="97" t="str">
        <f t="shared" si="237"/>
        <v/>
      </c>
      <c r="VHF6" s="97" t="str">
        <f t="shared" si="237"/>
        <v/>
      </c>
      <c r="VHG6" s="97" t="str">
        <f t="shared" si="237"/>
        <v/>
      </c>
      <c r="VHH6" s="97" t="str">
        <f t="shared" si="237"/>
        <v/>
      </c>
      <c r="VHI6" s="97" t="str">
        <f t="shared" si="237"/>
        <v/>
      </c>
      <c r="VHJ6" s="97" t="str">
        <f t="shared" si="237"/>
        <v/>
      </c>
      <c r="VHK6" s="97" t="str">
        <f t="shared" si="237"/>
        <v/>
      </c>
      <c r="VHL6" s="97" t="str">
        <f t="shared" si="237"/>
        <v/>
      </c>
      <c r="VHM6" s="97" t="str">
        <f t="shared" si="237"/>
        <v/>
      </c>
      <c r="VHN6" s="97" t="str">
        <f t="shared" si="237"/>
        <v/>
      </c>
      <c r="VHO6" s="97" t="str">
        <f t="shared" si="237"/>
        <v/>
      </c>
      <c r="VHP6" s="97" t="str">
        <f t="shared" si="237"/>
        <v/>
      </c>
      <c r="VHQ6" s="97" t="str">
        <f t="shared" si="237"/>
        <v/>
      </c>
      <c r="VHR6" s="97" t="str">
        <f t="shared" si="237"/>
        <v/>
      </c>
      <c r="VHS6" s="97" t="str">
        <f t="shared" si="237"/>
        <v/>
      </c>
      <c r="VHT6" s="97" t="str">
        <f t="shared" si="237"/>
        <v/>
      </c>
      <c r="VHU6" s="97" t="str">
        <f t="shared" si="237"/>
        <v/>
      </c>
      <c r="VHV6" s="97" t="str">
        <f t="shared" si="237"/>
        <v/>
      </c>
      <c r="VHW6" s="97" t="str">
        <f t="shared" si="237"/>
        <v/>
      </c>
      <c r="VHX6" s="97" t="str">
        <f t="shared" si="237"/>
        <v/>
      </c>
      <c r="VHY6" s="97" t="str">
        <f t="shared" si="237"/>
        <v/>
      </c>
      <c r="VHZ6" s="97" t="str">
        <f t="shared" si="237"/>
        <v/>
      </c>
      <c r="VIA6" s="97" t="str">
        <f t="shared" si="237"/>
        <v/>
      </c>
      <c r="VIB6" s="97" t="str">
        <f t="shared" si="237"/>
        <v/>
      </c>
      <c r="VIC6" s="97" t="str">
        <f t="shared" si="237"/>
        <v/>
      </c>
      <c r="VID6" s="97" t="str">
        <f t="shared" ref="VID6:VKO6" si="238">IFERROR(AVERAGE(VID7:VID13),"")</f>
        <v/>
      </c>
      <c r="VIE6" s="97" t="str">
        <f t="shared" si="238"/>
        <v/>
      </c>
      <c r="VIF6" s="97" t="str">
        <f t="shared" si="238"/>
        <v/>
      </c>
      <c r="VIG6" s="97" t="str">
        <f t="shared" si="238"/>
        <v/>
      </c>
      <c r="VIH6" s="97" t="str">
        <f t="shared" si="238"/>
        <v/>
      </c>
      <c r="VII6" s="97" t="str">
        <f t="shared" si="238"/>
        <v/>
      </c>
      <c r="VIJ6" s="97" t="str">
        <f t="shared" si="238"/>
        <v/>
      </c>
      <c r="VIK6" s="97" t="str">
        <f t="shared" si="238"/>
        <v/>
      </c>
      <c r="VIL6" s="97" t="str">
        <f t="shared" si="238"/>
        <v/>
      </c>
      <c r="VIM6" s="97" t="str">
        <f t="shared" si="238"/>
        <v/>
      </c>
      <c r="VIN6" s="97" t="str">
        <f t="shared" si="238"/>
        <v/>
      </c>
      <c r="VIO6" s="97" t="str">
        <f t="shared" si="238"/>
        <v/>
      </c>
      <c r="VIP6" s="97" t="str">
        <f t="shared" si="238"/>
        <v/>
      </c>
      <c r="VIQ6" s="97" t="str">
        <f t="shared" si="238"/>
        <v/>
      </c>
      <c r="VIR6" s="97" t="str">
        <f t="shared" si="238"/>
        <v/>
      </c>
      <c r="VIS6" s="97" t="str">
        <f t="shared" si="238"/>
        <v/>
      </c>
      <c r="VIT6" s="97" t="str">
        <f t="shared" si="238"/>
        <v/>
      </c>
      <c r="VIU6" s="97" t="str">
        <f t="shared" si="238"/>
        <v/>
      </c>
      <c r="VIV6" s="97" t="str">
        <f t="shared" si="238"/>
        <v/>
      </c>
      <c r="VIW6" s="97" t="str">
        <f t="shared" si="238"/>
        <v/>
      </c>
      <c r="VIX6" s="97" t="str">
        <f t="shared" si="238"/>
        <v/>
      </c>
      <c r="VIY6" s="97" t="str">
        <f t="shared" si="238"/>
        <v/>
      </c>
      <c r="VIZ6" s="97" t="str">
        <f t="shared" si="238"/>
        <v/>
      </c>
      <c r="VJA6" s="97" t="str">
        <f t="shared" si="238"/>
        <v/>
      </c>
      <c r="VJB6" s="97" t="str">
        <f t="shared" si="238"/>
        <v/>
      </c>
      <c r="VJC6" s="97" t="str">
        <f t="shared" si="238"/>
        <v/>
      </c>
      <c r="VJD6" s="97" t="str">
        <f t="shared" si="238"/>
        <v/>
      </c>
      <c r="VJE6" s="97" t="str">
        <f t="shared" si="238"/>
        <v/>
      </c>
      <c r="VJF6" s="97" t="str">
        <f t="shared" si="238"/>
        <v/>
      </c>
      <c r="VJG6" s="97" t="str">
        <f t="shared" si="238"/>
        <v/>
      </c>
      <c r="VJH6" s="97" t="str">
        <f t="shared" si="238"/>
        <v/>
      </c>
      <c r="VJI6" s="97" t="str">
        <f t="shared" si="238"/>
        <v/>
      </c>
      <c r="VJJ6" s="97" t="str">
        <f t="shared" si="238"/>
        <v/>
      </c>
      <c r="VJK6" s="97" t="str">
        <f t="shared" si="238"/>
        <v/>
      </c>
      <c r="VJL6" s="97" t="str">
        <f t="shared" si="238"/>
        <v/>
      </c>
      <c r="VJM6" s="97" t="str">
        <f t="shared" si="238"/>
        <v/>
      </c>
      <c r="VJN6" s="97" t="str">
        <f t="shared" si="238"/>
        <v/>
      </c>
      <c r="VJO6" s="97" t="str">
        <f t="shared" si="238"/>
        <v/>
      </c>
      <c r="VJP6" s="97" t="str">
        <f t="shared" si="238"/>
        <v/>
      </c>
      <c r="VJQ6" s="97" t="str">
        <f t="shared" si="238"/>
        <v/>
      </c>
      <c r="VJR6" s="97" t="str">
        <f t="shared" si="238"/>
        <v/>
      </c>
      <c r="VJS6" s="97" t="str">
        <f t="shared" si="238"/>
        <v/>
      </c>
      <c r="VJT6" s="97" t="str">
        <f t="shared" si="238"/>
        <v/>
      </c>
      <c r="VJU6" s="97" t="str">
        <f t="shared" si="238"/>
        <v/>
      </c>
      <c r="VJV6" s="97" t="str">
        <f t="shared" si="238"/>
        <v/>
      </c>
      <c r="VJW6" s="97" t="str">
        <f t="shared" si="238"/>
        <v/>
      </c>
      <c r="VJX6" s="97" t="str">
        <f t="shared" si="238"/>
        <v/>
      </c>
      <c r="VJY6" s="97" t="str">
        <f t="shared" si="238"/>
        <v/>
      </c>
      <c r="VJZ6" s="97" t="str">
        <f t="shared" si="238"/>
        <v/>
      </c>
      <c r="VKA6" s="97" t="str">
        <f t="shared" si="238"/>
        <v/>
      </c>
      <c r="VKB6" s="97" t="str">
        <f t="shared" si="238"/>
        <v/>
      </c>
      <c r="VKC6" s="97" t="str">
        <f t="shared" si="238"/>
        <v/>
      </c>
      <c r="VKD6" s="97" t="str">
        <f t="shared" si="238"/>
        <v/>
      </c>
      <c r="VKE6" s="97" t="str">
        <f t="shared" si="238"/>
        <v/>
      </c>
      <c r="VKF6" s="97" t="str">
        <f t="shared" si="238"/>
        <v/>
      </c>
      <c r="VKG6" s="97" t="str">
        <f t="shared" si="238"/>
        <v/>
      </c>
      <c r="VKH6" s="97" t="str">
        <f t="shared" si="238"/>
        <v/>
      </c>
      <c r="VKI6" s="97" t="str">
        <f t="shared" si="238"/>
        <v/>
      </c>
      <c r="VKJ6" s="97" t="str">
        <f t="shared" si="238"/>
        <v/>
      </c>
      <c r="VKK6" s="97" t="str">
        <f t="shared" si="238"/>
        <v/>
      </c>
      <c r="VKL6" s="97" t="str">
        <f t="shared" si="238"/>
        <v/>
      </c>
      <c r="VKM6" s="97" t="str">
        <f t="shared" si="238"/>
        <v/>
      </c>
      <c r="VKN6" s="97" t="str">
        <f t="shared" si="238"/>
        <v/>
      </c>
      <c r="VKO6" s="97" t="str">
        <f t="shared" si="238"/>
        <v/>
      </c>
      <c r="VKP6" s="97" t="str">
        <f t="shared" ref="VKP6:VNA6" si="239">IFERROR(AVERAGE(VKP7:VKP13),"")</f>
        <v/>
      </c>
      <c r="VKQ6" s="97" t="str">
        <f t="shared" si="239"/>
        <v/>
      </c>
      <c r="VKR6" s="97" t="str">
        <f t="shared" si="239"/>
        <v/>
      </c>
      <c r="VKS6" s="97" t="str">
        <f t="shared" si="239"/>
        <v/>
      </c>
      <c r="VKT6" s="97" t="str">
        <f t="shared" si="239"/>
        <v/>
      </c>
      <c r="VKU6" s="97" t="str">
        <f t="shared" si="239"/>
        <v/>
      </c>
      <c r="VKV6" s="97" t="str">
        <f t="shared" si="239"/>
        <v/>
      </c>
      <c r="VKW6" s="97" t="str">
        <f t="shared" si="239"/>
        <v/>
      </c>
      <c r="VKX6" s="97" t="str">
        <f t="shared" si="239"/>
        <v/>
      </c>
      <c r="VKY6" s="97" t="str">
        <f t="shared" si="239"/>
        <v/>
      </c>
      <c r="VKZ6" s="97" t="str">
        <f t="shared" si="239"/>
        <v/>
      </c>
      <c r="VLA6" s="97" t="str">
        <f t="shared" si="239"/>
        <v/>
      </c>
      <c r="VLB6" s="97" t="str">
        <f t="shared" si="239"/>
        <v/>
      </c>
      <c r="VLC6" s="97" t="str">
        <f t="shared" si="239"/>
        <v/>
      </c>
      <c r="VLD6" s="97" t="str">
        <f t="shared" si="239"/>
        <v/>
      </c>
      <c r="VLE6" s="97" t="str">
        <f t="shared" si="239"/>
        <v/>
      </c>
      <c r="VLF6" s="97" t="str">
        <f t="shared" si="239"/>
        <v/>
      </c>
      <c r="VLG6" s="97" t="str">
        <f t="shared" si="239"/>
        <v/>
      </c>
      <c r="VLH6" s="97" t="str">
        <f t="shared" si="239"/>
        <v/>
      </c>
      <c r="VLI6" s="97" t="str">
        <f t="shared" si="239"/>
        <v/>
      </c>
      <c r="VLJ6" s="97" t="str">
        <f t="shared" si="239"/>
        <v/>
      </c>
      <c r="VLK6" s="97" t="str">
        <f t="shared" si="239"/>
        <v/>
      </c>
      <c r="VLL6" s="97" t="str">
        <f t="shared" si="239"/>
        <v/>
      </c>
      <c r="VLM6" s="97" t="str">
        <f t="shared" si="239"/>
        <v/>
      </c>
      <c r="VLN6" s="97" t="str">
        <f t="shared" si="239"/>
        <v/>
      </c>
      <c r="VLO6" s="97" t="str">
        <f t="shared" si="239"/>
        <v/>
      </c>
      <c r="VLP6" s="97" t="str">
        <f t="shared" si="239"/>
        <v/>
      </c>
      <c r="VLQ6" s="97" t="str">
        <f t="shared" si="239"/>
        <v/>
      </c>
      <c r="VLR6" s="97" t="str">
        <f t="shared" si="239"/>
        <v/>
      </c>
      <c r="VLS6" s="97" t="str">
        <f t="shared" si="239"/>
        <v/>
      </c>
      <c r="VLT6" s="97" t="str">
        <f t="shared" si="239"/>
        <v/>
      </c>
      <c r="VLU6" s="97" t="str">
        <f t="shared" si="239"/>
        <v/>
      </c>
      <c r="VLV6" s="97" t="str">
        <f t="shared" si="239"/>
        <v/>
      </c>
      <c r="VLW6" s="97" t="str">
        <f t="shared" si="239"/>
        <v/>
      </c>
      <c r="VLX6" s="97" t="str">
        <f t="shared" si="239"/>
        <v/>
      </c>
      <c r="VLY6" s="97" t="str">
        <f t="shared" si="239"/>
        <v/>
      </c>
      <c r="VLZ6" s="97" t="str">
        <f t="shared" si="239"/>
        <v/>
      </c>
      <c r="VMA6" s="97" t="str">
        <f t="shared" si="239"/>
        <v/>
      </c>
      <c r="VMB6" s="97" t="str">
        <f t="shared" si="239"/>
        <v/>
      </c>
      <c r="VMC6" s="97" t="str">
        <f t="shared" si="239"/>
        <v/>
      </c>
      <c r="VMD6" s="97" t="str">
        <f t="shared" si="239"/>
        <v/>
      </c>
      <c r="VME6" s="97" t="str">
        <f t="shared" si="239"/>
        <v/>
      </c>
      <c r="VMF6" s="97" t="str">
        <f t="shared" si="239"/>
        <v/>
      </c>
      <c r="VMG6" s="97" t="str">
        <f t="shared" si="239"/>
        <v/>
      </c>
      <c r="VMH6" s="97" t="str">
        <f t="shared" si="239"/>
        <v/>
      </c>
      <c r="VMI6" s="97" t="str">
        <f t="shared" si="239"/>
        <v/>
      </c>
      <c r="VMJ6" s="97" t="str">
        <f t="shared" si="239"/>
        <v/>
      </c>
      <c r="VMK6" s="97" t="str">
        <f t="shared" si="239"/>
        <v/>
      </c>
      <c r="VML6" s="97" t="str">
        <f t="shared" si="239"/>
        <v/>
      </c>
      <c r="VMM6" s="97" t="str">
        <f t="shared" si="239"/>
        <v/>
      </c>
      <c r="VMN6" s="97" t="str">
        <f t="shared" si="239"/>
        <v/>
      </c>
      <c r="VMO6" s="97" t="str">
        <f t="shared" si="239"/>
        <v/>
      </c>
      <c r="VMP6" s="97" t="str">
        <f t="shared" si="239"/>
        <v/>
      </c>
      <c r="VMQ6" s="97" t="str">
        <f t="shared" si="239"/>
        <v/>
      </c>
      <c r="VMR6" s="97" t="str">
        <f t="shared" si="239"/>
        <v/>
      </c>
      <c r="VMS6" s="97" t="str">
        <f t="shared" si="239"/>
        <v/>
      </c>
      <c r="VMT6" s="97" t="str">
        <f t="shared" si="239"/>
        <v/>
      </c>
      <c r="VMU6" s="97" t="str">
        <f t="shared" si="239"/>
        <v/>
      </c>
      <c r="VMV6" s="97" t="str">
        <f t="shared" si="239"/>
        <v/>
      </c>
      <c r="VMW6" s="97" t="str">
        <f t="shared" si="239"/>
        <v/>
      </c>
      <c r="VMX6" s="97" t="str">
        <f t="shared" si="239"/>
        <v/>
      </c>
      <c r="VMY6" s="97" t="str">
        <f t="shared" si="239"/>
        <v/>
      </c>
      <c r="VMZ6" s="97" t="str">
        <f t="shared" si="239"/>
        <v/>
      </c>
      <c r="VNA6" s="97" t="str">
        <f t="shared" si="239"/>
        <v/>
      </c>
      <c r="VNB6" s="97" t="str">
        <f t="shared" ref="VNB6:VPM6" si="240">IFERROR(AVERAGE(VNB7:VNB13),"")</f>
        <v/>
      </c>
      <c r="VNC6" s="97" t="str">
        <f t="shared" si="240"/>
        <v/>
      </c>
      <c r="VND6" s="97" t="str">
        <f t="shared" si="240"/>
        <v/>
      </c>
      <c r="VNE6" s="97" t="str">
        <f t="shared" si="240"/>
        <v/>
      </c>
      <c r="VNF6" s="97" t="str">
        <f t="shared" si="240"/>
        <v/>
      </c>
      <c r="VNG6" s="97" t="str">
        <f t="shared" si="240"/>
        <v/>
      </c>
      <c r="VNH6" s="97" t="str">
        <f t="shared" si="240"/>
        <v/>
      </c>
      <c r="VNI6" s="97" t="str">
        <f t="shared" si="240"/>
        <v/>
      </c>
      <c r="VNJ6" s="97" t="str">
        <f t="shared" si="240"/>
        <v/>
      </c>
      <c r="VNK6" s="97" t="str">
        <f t="shared" si="240"/>
        <v/>
      </c>
      <c r="VNL6" s="97" t="str">
        <f t="shared" si="240"/>
        <v/>
      </c>
      <c r="VNM6" s="97" t="str">
        <f t="shared" si="240"/>
        <v/>
      </c>
      <c r="VNN6" s="97" t="str">
        <f t="shared" si="240"/>
        <v/>
      </c>
      <c r="VNO6" s="97" t="str">
        <f t="shared" si="240"/>
        <v/>
      </c>
      <c r="VNP6" s="97" t="str">
        <f t="shared" si="240"/>
        <v/>
      </c>
      <c r="VNQ6" s="97" t="str">
        <f t="shared" si="240"/>
        <v/>
      </c>
      <c r="VNR6" s="97" t="str">
        <f t="shared" si="240"/>
        <v/>
      </c>
      <c r="VNS6" s="97" t="str">
        <f t="shared" si="240"/>
        <v/>
      </c>
      <c r="VNT6" s="97" t="str">
        <f t="shared" si="240"/>
        <v/>
      </c>
      <c r="VNU6" s="97" t="str">
        <f t="shared" si="240"/>
        <v/>
      </c>
      <c r="VNV6" s="97" t="str">
        <f t="shared" si="240"/>
        <v/>
      </c>
      <c r="VNW6" s="97" t="str">
        <f t="shared" si="240"/>
        <v/>
      </c>
      <c r="VNX6" s="97" t="str">
        <f t="shared" si="240"/>
        <v/>
      </c>
      <c r="VNY6" s="97" t="str">
        <f t="shared" si="240"/>
        <v/>
      </c>
      <c r="VNZ6" s="97" t="str">
        <f t="shared" si="240"/>
        <v/>
      </c>
      <c r="VOA6" s="97" t="str">
        <f t="shared" si="240"/>
        <v/>
      </c>
      <c r="VOB6" s="97" t="str">
        <f t="shared" si="240"/>
        <v/>
      </c>
      <c r="VOC6" s="97" t="str">
        <f t="shared" si="240"/>
        <v/>
      </c>
      <c r="VOD6" s="97" t="str">
        <f t="shared" si="240"/>
        <v/>
      </c>
      <c r="VOE6" s="97" t="str">
        <f t="shared" si="240"/>
        <v/>
      </c>
      <c r="VOF6" s="97" t="str">
        <f t="shared" si="240"/>
        <v/>
      </c>
      <c r="VOG6" s="97" t="str">
        <f t="shared" si="240"/>
        <v/>
      </c>
      <c r="VOH6" s="97" t="str">
        <f t="shared" si="240"/>
        <v/>
      </c>
      <c r="VOI6" s="97" t="str">
        <f t="shared" si="240"/>
        <v/>
      </c>
      <c r="VOJ6" s="97" t="str">
        <f t="shared" si="240"/>
        <v/>
      </c>
      <c r="VOK6" s="97" t="str">
        <f t="shared" si="240"/>
        <v/>
      </c>
      <c r="VOL6" s="97" t="str">
        <f t="shared" si="240"/>
        <v/>
      </c>
      <c r="VOM6" s="97" t="str">
        <f t="shared" si="240"/>
        <v/>
      </c>
      <c r="VON6" s="97" t="str">
        <f t="shared" si="240"/>
        <v/>
      </c>
      <c r="VOO6" s="97" t="str">
        <f t="shared" si="240"/>
        <v/>
      </c>
      <c r="VOP6" s="97" t="str">
        <f t="shared" si="240"/>
        <v/>
      </c>
      <c r="VOQ6" s="97" t="str">
        <f t="shared" si="240"/>
        <v/>
      </c>
      <c r="VOR6" s="97" t="str">
        <f t="shared" si="240"/>
        <v/>
      </c>
      <c r="VOS6" s="97" t="str">
        <f t="shared" si="240"/>
        <v/>
      </c>
      <c r="VOT6" s="97" t="str">
        <f t="shared" si="240"/>
        <v/>
      </c>
      <c r="VOU6" s="97" t="str">
        <f t="shared" si="240"/>
        <v/>
      </c>
      <c r="VOV6" s="97" t="str">
        <f t="shared" si="240"/>
        <v/>
      </c>
      <c r="VOW6" s="97" t="str">
        <f t="shared" si="240"/>
        <v/>
      </c>
      <c r="VOX6" s="97" t="str">
        <f t="shared" si="240"/>
        <v/>
      </c>
      <c r="VOY6" s="97" t="str">
        <f t="shared" si="240"/>
        <v/>
      </c>
      <c r="VOZ6" s="97" t="str">
        <f t="shared" si="240"/>
        <v/>
      </c>
      <c r="VPA6" s="97" t="str">
        <f t="shared" si="240"/>
        <v/>
      </c>
      <c r="VPB6" s="97" t="str">
        <f t="shared" si="240"/>
        <v/>
      </c>
      <c r="VPC6" s="97" t="str">
        <f t="shared" si="240"/>
        <v/>
      </c>
      <c r="VPD6" s="97" t="str">
        <f t="shared" si="240"/>
        <v/>
      </c>
      <c r="VPE6" s="97" t="str">
        <f t="shared" si="240"/>
        <v/>
      </c>
      <c r="VPF6" s="97" t="str">
        <f t="shared" si="240"/>
        <v/>
      </c>
      <c r="VPG6" s="97" t="str">
        <f t="shared" si="240"/>
        <v/>
      </c>
      <c r="VPH6" s="97" t="str">
        <f t="shared" si="240"/>
        <v/>
      </c>
      <c r="VPI6" s="97" t="str">
        <f t="shared" si="240"/>
        <v/>
      </c>
      <c r="VPJ6" s="97" t="str">
        <f t="shared" si="240"/>
        <v/>
      </c>
      <c r="VPK6" s="97" t="str">
        <f t="shared" si="240"/>
        <v/>
      </c>
      <c r="VPL6" s="97" t="str">
        <f t="shared" si="240"/>
        <v/>
      </c>
      <c r="VPM6" s="97" t="str">
        <f t="shared" si="240"/>
        <v/>
      </c>
      <c r="VPN6" s="97" t="str">
        <f t="shared" ref="VPN6:VRY6" si="241">IFERROR(AVERAGE(VPN7:VPN13),"")</f>
        <v/>
      </c>
      <c r="VPO6" s="97" t="str">
        <f t="shared" si="241"/>
        <v/>
      </c>
      <c r="VPP6" s="97" t="str">
        <f t="shared" si="241"/>
        <v/>
      </c>
      <c r="VPQ6" s="97" t="str">
        <f t="shared" si="241"/>
        <v/>
      </c>
      <c r="VPR6" s="97" t="str">
        <f t="shared" si="241"/>
        <v/>
      </c>
      <c r="VPS6" s="97" t="str">
        <f t="shared" si="241"/>
        <v/>
      </c>
      <c r="VPT6" s="97" t="str">
        <f t="shared" si="241"/>
        <v/>
      </c>
      <c r="VPU6" s="97" t="str">
        <f t="shared" si="241"/>
        <v/>
      </c>
      <c r="VPV6" s="97" t="str">
        <f t="shared" si="241"/>
        <v/>
      </c>
      <c r="VPW6" s="97" t="str">
        <f t="shared" si="241"/>
        <v/>
      </c>
      <c r="VPX6" s="97" t="str">
        <f t="shared" si="241"/>
        <v/>
      </c>
      <c r="VPY6" s="97" t="str">
        <f t="shared" si="241"/>
        <v/>
      </c>
      <c r="VPZ6" s="97" t="str">
        <f t="shared" si="241"/>
        <v/>
      </c>
      <c r="VQA6" s="97" t="str">
        <f t="shared" si="241"/>
        <v/>
      </c>
      <c r="VQB6" s="97" t="str">
        <f t="shared" si="241"/>
        <v/>
      </c>
      <c r="VQC6" s="97" t="str">
        <f t="shared" si="241"/>
        <v/>
      </c>
      <c r="VQD6" s="97" t="str">
        <f t="shared" si="241"/>
        <v/>
      </c>
      <c r="VQE6" s="97" t="str">
        <f t="shared" si="241"/>
        <v/>
      </c>
      <c r="VQF6" s="97" t="str">
        <f t="shared" si="241"/>
        <v/>
      </c>
      <c r="VQG6" s="97" t="str">
        <f t="shared" si="241"/>
        <v/>
      </c>
      <c r="VQH6" s="97" t="str">
        <f t="shared" si="241"/>
        <v/>
      </c>
      <c r="VQI6" s="97" t="str">
        <f t="shared" si="241"/>
        <v/>
      </c>
      <c r="VQJ6" s="97" t="str">
        <f t="shared" si="241"/>
        <v/>
      </c>
      <c r="VQK6" s="97" t="str">
        <f t="shared" si="241"/>
        <v/>
      </c>
      <c r="VQL6" s="97" t="str">
        <f t="shared" si="241"/>
        <v/>
      </c>
      <c r="VQM6" s="97" t="str">
        <f t="shared" si="241"/>
        <v/>
      </c>
      <c r="VQN6" s="97" t="str">
        <f t="shared" si="241"/>
        <v/>
      </c>
      <c r="VQO6" s="97" t="str">
        <f t="shared" si="241"/>
        <v/>
      </c>
      <c r="VQP6" s="97" t="str">
        <f t="shared" si="241"/>
        <v/>
      </c>
      <c r="VQQ6" s="97" t="str">
        <f t="shared" si="241"/>
        <v/>
      </c>
      <c r="VQR6" s="97" t="str">
        <f t="shared" si="241"/>
        <v/>
      </c>
      <c r="VQS6" s="97" t="str">
        <f t="shared" si="241"/>
        <v/>
      </c>
      <c r="VQT6" s="97" t="str">
        <f t="shared" si="241"/>
        <v/>
      </c>
      <c r="VQU6" s="97" t="str">
        <f t="shared" si="241"/>
        <v/>
      </c>
      <c r="VQV6" s="97" t="str">
        <f t="shared" si="241"/>
        <v/>
      </c>
      <c r="VQW6" s="97" t="str">
        <f t="shared" si="241"/>
        <v/>
      </c>
      <c r="VQX6" s="97" t="str">
        <f t="shared" si="241"/>
        <v/>
      </c>
      <c r="VQY6" s="97" t="str">
        <f t="shared" si="241"/>
        <v/>
      </c>
      <c r="VQZ6" s="97" t="str">
        <f t="shared" si="241"/>
        <v/>
      </c>
      <c r="VRA6" s="97" t="str">
        <f t="shared" si="241"/>
        <v/>
      </c>
      <c r="VRB6" s="97" t="str">
        <f t="shared" si="241"/>
        <v/>
      </c>
      <c r="VRC6" s="97" t="str">
        <f t="shared" si="241"/>
        <v/>
      </c>
      <c r="VRD6" s="97" t="str">
        <f t="shared" si="241"/>
        <v/>
      </c>
      <c r="VRE6" s="97" t="str">
        <f t="shared" si="241"/>
        <v/>
      </c>
      <c r="VRF6" s="97" t="str">
        <f t="shared" si="241"/>
        <v/>
      </c>
      <c r="VRG6" s="97" t="str">
        <f t="shared" si="241"/>
        <v/>
      </c>
      <c r="VRH6" s="97" t="str">
        <f t="shared" si="241"/>
        <v/>
      </c>
      <c r="VRI6" s="97" t="str">
        <f t="shared" si="241"/>
        <v/>
      </c>
      <c r="VRJ6" s="97" t="str">
        <f t="shared" si="241"/>
        <v/>
      </c>
      <c r="VRK6" s="97" t="str">
        <f t="shared" si="241"/>
        <v/>
      </c>
      <c r="VRL6" s="97" t="str">
        <f t="shared" si="241"/>
        <v/>
      </c>
      <c r="VRM6" s="97" t="str">
        <f t="shared" si="241"/>
        <v/>
      </c>
      <c r="VRN6" s="97" t="str">
        <f t="shared" si="241"/>
        <v/>
      </c>
      <c r="VRO6" s="97" t="str">
        <f t="shared" si="241"/>
        <v/>
      </c>
      <c r="VRP6" s="97" t="str">
        <f t="shared" si="241"/>
        <v/>
      </c>
      <c r="VRQ6" s="97" t="str">
        <f t="shared" si="241"/>
        <v/>
      </c>
      <c r="VRR6" s="97" t="str">
        <f t="shared" si="241"/>
        <v/>
      </c>
      <c r="VRS6" s="97" t="str">
        <f t="shared" si="241"/>
        <v/>
      </c>
      <c r="VRT6" s="97" t="str">
        <f t="shared" si="241"/>
        <v/>
      </c>
      <c r="VRU6" s="97" t="str">
        <f t="shared" si="241"/>
        <v/>
      </c>
      <c r="VRV6" s="97" t="str">
        <f t="shared" si="241"/>
        <v/>
      </c>
      <c r="VRW6" s="97" t="str">
        <f t="shared" si="241"/>
        <v/>
      </c>
      <c r="VRX6" s="97" t="str">
        <f t="shared" si="241"/>
        <v/>
      </c>
      <c r="VRY6" s="97" t="str">
        <f t="shared" si="241"/>
        <v/>
      </c>
      <c r="VRZ6" s="97" t="str">
        <f t="shared" ref="VRZ6:VUK6" si="242">IFERROR(AVERAGE(VRZ7:VRZ13),"")</f>
        <v/>
      </c>
      <c r="VSA6" s="97" t="str">
        <f t="shared" si="242"/>
        <v/>
      </c>
      <c r="VSB6" s="97" t="str">
        <f t="shared" si="242"/>
        <v/>
      </c>
      <c r="VSC6" s="97" t="str">
        <f t="shared" si="242"/>
        <v/>
      </c>
      <c r="VSD6" s="97" t="str">
        <f t="shared" si="242"/>
        <v/>
      </c>
      <c r="VSE6" s="97" t="str">
        <f t="shared" si="242"/>
        <v/>
      </c>
      <c r="VSF6" s="97" t="str">
        <f t="shared" si="242"/>
        <v/>
      </c>
      <c r="VSG6" s="97" t="str">
        <f t="shared" si="242"/>
        <v/>
      </c>
      <c r="VSH6" s="97" t="str">
        <f t="shared" si="242"/>
        <v/>
      </c>
      <c r="VSI6" s="97" t="str">
        <f t="shared" si="242"/>
        <v/>
      </c>
      <c r="VSJ6" s="97" t="str">
        <f t="shared" si="242"/>
        <v/>
      </c>
      <c r="VSK6" s="97" t="str">
        <f t="shared" si="242"/>
        <v/>
      </c>
      <c r="VSL6" s="97" t="str">
        <f t="shared" si="242"/>
        <v/>
      </c>
      <c r="VSM6" s="97" t="str">
        <f t="shared" si="242"/>
        <v/>
      </c>
      <c r="VSN6" s="97" t="str">
        <f t="shared" si="242"/>
        <v/>
      </c>
      <c r="VSO6" s="97" t="str">
        <f t="shared" si="242"/>
        <v/>
      </c>
      <c r="VSP6" s="97" t="str">
        <f t="shared" si="242"/>
        <v/>
      </c>
      <c r="VSQ6" s="97" t="str">
        <f t="shared" si="242"/>
        <v/>
      </c>
      <c r="VSR6" s="97" t="str">
        <f t="shared" si="242"/>
        <v/>
      </c>
      <c r="VSS6" s="97" t="str">
        <f t="shared" si="242"/>
        <v/>
      </c>
      <c r="VST6" s="97" t="str">
        <f t="shared" si="242"/>
        <v/>
      </c>
      <c r="VSU6" s="97" t="str">
        <f t="shared" si="242"/>
        <v/>
      </c>
      <c r="VSV6" s="97" t="str">
        <f t="shared" si="242"/>
        <v/>
      </c>
      <c r="VSW6" s="97" t="str">
        <f t="shared" si="242"/>
        <v/>
      </c>
      <c r="VSX6" s="97" t="str">
        <f t="shared" si="242"/>
        <v/>
      </c>
      <c r="VSY6" s="97" t="str">
        <f t="shared" si="242"/>
        <v/>
      </c>
      <c r="VSZ6" s="97" t="str">
        <f t="shared" si="242"/>
        <v/>
      </c>
      <c r="VTA6" s="97" t="str">
        <f t="shared" si="242"/>
        <v/>
      </c>
      <c r="VTB6" s="97" t="str">
        <f t="shared" si="242"/>
        <v/>
      </c>
      <c r="VTC6" s="97" t="str">
        <f t="shared" si="242"/>
        <v/>
      </c>
      <c r="VTD6" s="97" t="str">
        <f t="shared" si="242"/>
        <v/>
      </c>
      <c r="VTE6" s="97" t="str">
        <f t="shared" si="242"/>
        <v/>
      </c>
      <c r="VTF6" s="97" t="str">
        <f t="shared" si="242"/>
        <v/>
      </c>
      <c r="VTG6" s="97" t="str">
        <f t="shared" si="242"/>
        <v/>
      </c>
      <c r="VTH6" s="97" t="str">
        <f t="shared" si="242"/>
        <v/>
      </c>
      <c r="VTI6" s="97" t="str">
        <f t="shared" si="242"/>
        <v/>
      </c>
      <c r="VTJ6" s="97" t="str">
        <f t="shared" si="242"/>
        <v/>
      </c>
      <c r="VTK6" s="97" t="str">
        <f t="shared" si="242"/>
        <v/>
      </c>
      <c r="VTL6" s="97" t="str">
        <f t="shared" si="242"/>
        <v/>
      </c>
      <c r="VTM6" s="97" t="str">
        <f t="shared" si="242"/>
        <v/>
      </c>
      <c r="VTN6" s="97" t="str">
        <f t="shared" si="242"/>
        <v/>
      </c>
      <c r="VTO6" s="97" t="str">
        <f t="shared" si="242"/>
        <v/>
      </c>
      <c r="VTP6" s="97" t="str">
        <f t="shared" si="242"/>
        <v/>
      </c>
      <c r="VTQ6" s="97" t="str">
        <f t="shared" si="242"/>
        <v/>
      </c>
      <c r="VTR6" s="97" t="str">
        <f t="shared" si="242"/>
        <v/>
      </c>
      <c r="VTS6" s="97" t="str">
        <f t="shared" si="242"/>
        <v/>
      </c>
      <c r="VTT6" s="97" t="str">
        <f t="shared" si="242"/>
        <v/>
      </c>
      <c r="VTU6" s="97" t="str">
        <f t="shared" si="242"/>
        <v/>
      </c>
      <c r="VTV6" s="97" t="str">
        <f t="shared" si="242"/>
        <v/>
      </c>
      <c r="VTW6" s="97" t="str">
        <f t="shared" si="242"/>
        <v/>
      </c>
      <c r="VTX6" s="97" t="str">
        <f t="shared" si="242"/>
        <v/>
      </c>
      <c r="VTY6" s="97" t="str">
        <f t="shared" si="242"/>
        <v/>
      </c>
      <c r="VTZ6" s="97" t="str">
        <f t="shared" si="242"/>
        <v/>
      </c>
      <c r="VUA6" s="97" t="str">
        <f t="shared" si="242"/>
        <v/>
      </c>
      <c r="VUB6" s="97" t="str">
        <f t="shared" si="242"/>
        <v/>
      </c>
      <c r="VUC6" s="97" t="str">
        <f t="shared" si="242"/>
        <v/>
      </c>
      <c r="VUD6" s="97" t="str">
        <f t="shared" si="242"/>
        <v/>
      </c>
      <c r="VUE6" s="97" t="str">
        <f t="shared" si="242"/>
        <v/>
      </c>
      <c r="VUF6" s="97" t="str">
        <f t="shared" si="242"/>
        <v/>
      </c>
      <c r="VUG6" s="97" t="str">
        <f t="shared" si="242"/>
        <v/>
      </c>
      <c r="VUH6" s="97" t="str">
        <f t="shared" si="242"/>
        <v/>
      </c>
      <c r="VUI6" s="97" t="str">
        <f t="shared" si="242"/>
        <v/>
      </c>
      <c r="VUJ6" s="97" t="str">
        <f t="shared" si="242"/>
        <v/>
      </c>
      <c r="VUK6" s="97" t="str">
        <f t="shared" si="242"/>
        <v/>
      </c>
      <c r="VUL6" s="97" t="str">
        <f t="shared" ref="VUL6:VWW6" si="243">IFERROR(AVERAGE(VUL7:VUL13),"")</f>
        <v/>
      </c>
      <c r="VUM6" s="97" t="str">
        <f t="shared" si="243"/>
        <v/>
      </c>
      <c r="VUN6" s="97" t="str">
        <f t="shared" si="243"/>
        <v/>
      </c>
      <c r="VUO6" s="97" t="str">
        <f t="shared" si="243"/>
        <v/>
      </c>
      <c r="VUP6" s="97" t="str">
        <f t="shared" si="243"/>
        <v/>
      </c>
      <c r="VUQ6" s="97" t="str">
        <f t="shared" si="243"/>
        <v/>
      </c>
      <c r="VUR6" s="97" t="str">
        <f t="shared" si="243"/>
        <v/>
      </c>
      <c r="VUS6" s="97" t="str">
        <f t="shared" si="243"/>
        <v/>
      </c>
      <c r="VUT6" s="97" t="str">
        <f t="shared" si="243"/>
        <v/>
      </c>
      <c r="VUU6" s="97" t="str">
        <f t="shared" si="243"/>
        <v/>
      </c>
      <c r="VUV6" s="97" t="str">
        <f t="shared" si="243"/>
        <v/>
      </c>
      <c r="VUW6" s="97" t="str">
        <f t="shared" si="243"/>
        <v/>
      </c>
      <c r="VUX6" s="97" t="str">
        <f t="shared" si="243"/>
        <v/>
      </c>
      <c r="VUY6" s="97" t="str">
        <f t="shared" si="243"/>
        <v/>
      </c>
      <c r="VUZ6" s="97" t="str">
        <f t="shared" si="243"/>
        <v/>
      </c>
      <c r="VVA6" s="97" t="str">
        <f t="shared" si="243"/>
        <v/>
      </c>
      <c r="VVB6" s="97" t="str">
        <f t="shared" si="243"/>
        <v/>
      </c>
      <c r="VVC6" s="97" t="str">
        <f t="shared" si="243"/>
        <v/>
      </c>
      <c r="VVD6" s="97" t="str">
        <f t="shared" si="243"/>
        <v/>
      </c>
      <c r="VVE6" s="97" t="str">
        <f t="shared" si="243"/>
        <v/>
      </c>
      <c r="VVF6" s="97" t="str">
        <f t="shared" si="243"/>
        <v/>
      </c>
      <c r="VVG6" s="97" t="str">
        <f t="shared" si="243"/>
        <v/>
      </c>
      <c r="VVH6" s="97" t="str">
        <f t="shared" si="243"/>
        <v/>
      </c>
      <c r="VVI6" s="97" t="str">
        <f t="shared" si="243"/>
        <v/>
      </c>
      <c r="VVJ6" s="97" t="str">
        <f t="shared" si="243"/>
        <v/>
      </c>
      <c r="VVK6" s="97" t="str">
        <f t="shared" si="243"/>
        <v/>
      </c>
      <c r="VVL6" s="97" t="str">
        <f t="shared" si="243"/>
        <v/>
      </c>
      <c r="VVM6" s="97" t="str">
        <f t="shared" si="243"/>
        <v/>
      </c>
      <c r="VVN6" s="97" t="str">
        <f t="shared" si="243"/>
        <v/>
      </c>
      <c r="VVO6" s="97" t="str">
        <f t="shared" si="243"/>
        <v/>
      </c>
      <c r="VVP6" s="97" t="str">
        <f t="shared" si="243"/>
        <v/>
      </c>
      <c r="VVQ6" s="97" t="str">
        <f t="shared" si="243"/>
        <v/>
      </c>
      <c r="VVR6" s="97" t="str">
        <f t="shared" si="243"/>
        <v/>
      </c>
      <c r="VVS6" s="97" t="str">
        <f t="shared" si="243"/>
        <v/>
      </c>
      <c r="VVT6" s="97" t="str">
        <f t="shared" si="243"/>
        <v/>
      </c>
      <c r="VVU6" s="97" t="str">
        <f t="shared" si="243"/>
        <v/>
      </c>
      <c r="VVV6" s="97" t="str">
        <f t="shared" si="243"/>
        <v/>
      </c>
      <c r="VVW6" s="97" t="str">
        <f t="shared" si="243"/>
        <v/>
      </c>
      <c r="VVX6" s="97" t="str">
        <f t="shared" si="243"/>
        <v/>
      </c>
      <c r="VVY6" s="97" t="str">
        <f t="shared" si="243"/>
        <v/>
      </c>
      <c r="VVZ6" s="97" t="str">
        <f t="shared" si="243"/>
        <v/>
      </c>
      <c r="VWA6" s="97" t="str">
        <f t="shared" si="243"/>
        <v/>
      </c>
      <c r="VWB6" s="97" t="str">
        <f t="shared" si="243"/>
        <v/>
      </c>
      <c r="VWC6" s="97" t="str">
        <f t="shared" si="243"/>
        <v/>
      </c>
      <c r="VWD6" s="97" t="str">
        <f t="shared" si="243"/>
        <v/>
      </c>
      <c r="VWE6" s="97" t="str">
        <f t="shared" si="243"/>
        <v/>
      </c>
      <c r="VWF6" s="97" t="str">
        <f t="shared" si="243"/>
        <v/>
      </c>
      <c r="VWG6" s="97" t="str">
        <f t="shared" si="243"/>
        <v/>
      </c>
      <c r="VWH6" s="97" t="str">
        <f t="shared" si="243"/>
        <v/>
      </c>
      <c r="VWI6" s="97" t="str">
        <f t="shared" si="243"/>
        <v/>
      </c>
      <c r="VWJ6" s="97" t="str">
        <f t="shared" si="243"/>
        <v/>
      </c>
      <c r="VWK6" s="97" t="str">
        <f t="shared" si="243"/>
        <v/>
      </c>
      <c r="VWL6" s="97" t="str">
        <f t="shared" si="243"/>
        <v/>
      </c>
      <c r="VWM6" s="97" t="str">
        <f t="shared" si="243"/>
        <v/>
      </c>
      <c r="VWN6" s="97" t="str">
        <f t="shared" si="243"/>
        <v/>
      </c>
      <c r="VWO6" s="97" t="str">
        <f t="shared" si="243"/>
        <v/>
      </c>
      <c r="VWP6" s="97" t="str">
        <f t="shared" si="243"/>
        <v/>
      </c>
      <c r="VWQ6" s="97" t="str">
        <f t="shared" si="243"/>
        <v/>
      </c>
      <c r="VWR6" s="97" t="str">
        <f t="shared" si="243"/>
        <v/>
      </c>
      <c r="VWS6" s="97" t="str">
        <f t="shared" si="243"/>
        <v/>
      </c>
      <c r="VWT6" s="97" t="str">
        <f t="shared" si="243"/>
        <v/>
      </c>
      <c r="VWU6" s="97" t="str">
        <f t="shared" si="243"/>
        <v/>
      </c>
      <c r="VWV6" s="97" t="str">
        <f t="shared" si="243"/>
        <v/>
      </c>
      <c r="VWW6" s="97" t="str">
        <f t="shared" si="243"/>
        <v/>
      </c>
      <c r="VWX6" s="97" t="str">
        <f t="shared" ref="VWX6:VZI6" si="244">IFERROR(AVERAGE(VWX7:VWX13),"")</f>
        <v/>
      </c>
      <c r="VWY6" s="97" t="str">
        <f t="shared" si="244"/>
        <v/>
      </c>
      <c r="VWZ6" s="97" t="str">
        <f t="shared" si="244"/>
        <v/>
      </c>
      <c r="VXA6" s="97" t="str">
        <f t="shared" si="244"/>
        <v/>
      </c>
      <c r="VXB6" s="97" t="str">
        <f t="shared" si="244"/>
        <v/>
      </c>
      <c r="VXC6" s="97" t="str">
        <f t="shared" si="244"/>
        <v/>
      </c>
      <c r="VXD6" s="97" t="str">
        <f t="shared" si="244"/>
        <v/>
      </c>
      <c r="VXE6" s="97" t="str">
        <f t="shared" si="244"/>
        <v/>
      </c>
      <c r="VXF6" s="97" t="str">
        <f t="shared" si="244"/>
        <v/>
      </c>
      <c r="VXG6" s="97" t="str">
        <f t="shared" si="244"/>
        <v/>
      </c>
      <c r="VXH6" s="97" t="str">
        <f t="shared" si="244"/>
        <v/>
      </c>
      <c r="VXI6" s="97" t="str">
        <f t="shared" si="244"/>
        <v/>
      </c>
      <c r="VXJ6" s="97" t="str">
        <f t="shared" si="244"/>
        <v/>
      </c>
      <c r="VXK6" s="97" t="str">
        <f t="shared" si="244"/>
        <v/>
      </c>
      <c r="VXL6" s="97" t="str">
        <f t="shared" si="244"/>
        <v/>
      </c>
      <c r="VXM6" s="97" t="str">
        <f t="shared" si="244"/>
        <v/>
      </c>
      <c r="VXN6" s="97" t="str">
        <f t="shared" si="244"/>
        <v/>
      </c>
      <c r="VXO6" s="97" t="str">
        <f t="shared" si="244"/>
        <v/>
      </c>
      <c r="VXP6" s="97" t="str">
        <f t="shared" si="244"/>
        <v/>
      </c>
      <c r="VXQ6" s="97" t="str">
        <f t="shared" si="244"/>
        <v/>
      </c>
      <c r="VXR6" s="97" t="str">
        <f t="shared" si="244"/>
        <v/>
      </c>
      <c r="VXS6" s="97" t="str">
        <f t="shared" si="244"/>
        <v/>
      </c>
      <c r="VXT6" s="97" t="str">
        <f t="shared" si="244"/>
        <v/>
      </c>
      <c r="VXU6" s="97" t="str">
        <f t="shared" si="244"/>
        <v/>
      </c>
      <c r="VXV6" s="97" t="str">
        <f t="shared" si="244"/>
        <v/>
      </c>
      <c r="VXW6" s="97" t="str">
        <f t="shared" si="244"/>
        <v/>
      </c>
      <c r="VXX6" s="97" t="str">
        <f t="shared" si="244"/>
        <v/>
      </c>
      <c r="VXY6" s="97" t="str">
        <f t="shared" si="244"/>
        <v/>
      </c>
      <c r="VXZ6" s="97" t="str">
        <f t="shared" si="244"/>
        <v/>
      </c>
      <c r="VYA6" s="97" t="str">
        <f t="shared" si="244"/>
        <v/>
      </c>
      <c r="VYB6" s="97" t="str">
        <f t="shared" si="244"/>
        <v/>
      </c>
      <c r="VYC6" s="97" t="str">
        <f t="shared" si="244"/>
        <v/>
      </c>
      <c r="VYD6" s="97" t="str">
        <f t="shared" si="244"/>
        <v/>
      </c>
      <c r="VYE6" s="97" t="str">
        <f t="shared" si="244"/>
        <v/>
      </c>
      <c r="VYF6" s="97" t="str">
        <f t="shared" si="244"/>
        <v/>
      </c>
      <c r="VYG6" s="97" t="str">
        <f t="shared" si="244"/>
        <v/>
      </c>
      <c r="VYH6" s="97" t="str">
        <f t="shared" si="244"/>
        <v/>
      </c>
      <c r="VYI6" s="97" t="str">
        <f t="shared" si="244"/>
        <v/>
      </c>
      <c r="VYJ6" s="97" t="str">
        <f t="shared" si="244"/>
        <v/>
      </c>
      <c r="VYK6" s="97" t="str">
        <f t="shared" si="244"/>
        <v/>
      </c>
      <c r="VYL6" s="97" t="str">
        <f t="shared" si="244"/>
        <v/>
      </c>
      <c r="VYM6" s="97" t="str">
        <f t="shared" si="244"/>
        <v/>
      </c>
      <c r="VYN6" s="97" t="str">
        <f t="shared" si="244"/>
        <v/>
      </c>
      <c r="VYO6" s="97" t="str">
        <f t="shared" si="244"/>
        <v/>
      </c>
      <c r="VYP6" s="97" t="str">
        <f t="shared" si="244"/>
        <v/>
      </c>
      <c r="VYQ6" s="97" t="str">
        <f t="shared" si="244"/>
        <v/>
      </c>
      <c r="VYR6" s="97" t="str">
        <f t="shared" si="244"/>
        <v/>
      </c>
      <c r="VYS6" s="97" t="str">
        <f t="shared" si="244"/>
        <v/>
      </c>
      <c r="VYT6" s="97" t="str">
        <f t="shared" si="244"/>
        <v/>
      </c>
      <c r="VYU6" s="97" t="str">
        <f t="shared" si="244"/>
        <v/>
      </c>
      <c r="VYV6" s="97" t="str">
        <f t="shared" si="244"/>
        <v/>
      </c>
      <c r="VYW6" s="97" t="str">
        <f t="shared" si="244"/>
        <v/>
      </c>
      <c r="VYX6" s="97" t="str">
        <f t="shared" si="244"/>
        <v/>
      </c>
      <c r="VYY6" s="97" t="str">
        <f t="shared" si="244"/>
        <v/>
      </c>
      <c r="VYZ6" s="97" t="str">
        <f t="shared" si="244"/>
        <v/>
      </c>
      <c r="VZA6" s="97" t="str">
        <f t="shared" si="244"/>
        <v/>
      </c>
      <c r="VZB6" s="97" t="str">
        <f t="shared" si="244"/>
        <v/>
      </c>
      <c r="VZC6" s="97" t="str">
        <f t="shared" si="244"/>
        <v/>
      </c>
      <c r="VZD6" s="97" t="str">
        <f t="shared" si="244"/>
        <v/>
      </c>
      <c r="VZE6" s="97" t="str">
        <f t="shared" si="244"/>
        <v/>
      </c>
      <c r="VZF6" s="97" t="str">
        <f t="shared" si="244"/>
        <v/>
      </c>
      <c r="VZG6" s="97" t="str">
        <f t="shared" si="244"/>
        <v/>
      </c>
      <c r="VZH6" s="97" t="str">
        <f t="shared" si="244"/>
        <v/>
      </c>
      <c r="VZI6" s="97" t="str">
        <f t="shared" si="244"/>
        <v/>
      </c>
      <c r="VZJ6" s="97" t="str">
        <f t="shared" ref="VZJ6:WBU6" si="245">IFERROR(AVERAGE(VZJ7:VZJ13),"")</f>
        <v/>
      </c>
      <c r="VZK6" s="97" t="str">
        <f t="shared" si="245"/>
        <v/>
      </c>
      <c r="VZL6" s="97" t="str">
        <f t="shared" si="245"/>
        <v/>
      </c>
      <c r="VZM6" s="97" t="str">
        <f t="shared" si="245"/>
        <v/>
      </c>
      <c r="VZN6" s="97" t="str">
        <f t="shared" si="245"/>
        <v/>
      </c>
      <c r="VZO6" s="97" t="str">
        <f t="shared" si="245"/>
        <v/>
      </c>
      <c r="VZP6" s="97" t="str">
        <f t="shared" si="245"/>
        <v/>
      </c>
      <c r="VZQ6" s="97" t="str">
        <f t="shared" si="245"/>
        <v/>
      </c>
      <c r="VZR6" s="97" t="str">
        <f t="shared" si="245"/>
        <v/>
      </c>
      <c r="VZS6" s="97" t="str">
        <f t="shared" si="245"/>
        <v/>
      </c>
      <c r="VZT6" s="97" t="str">
        <f t="shared" si="245"/>
        <v/>
      </c>
      <c r="VZU6" s="97" t="str">
        <f t="shared" si="245"/>
        <v/>
      </c>
      <c r="VZV6" s="97" t="str">
        <f t="shared" si="245"/>
        <v/>
      </c>
      <c r="VZW6" s="97" t="str">
        <f t="shared" si="245"/>
        <v/>
      </c>
      <c r="VZX6" s="97" t="str">
        <f t="shared" si="245"/>
        <v/>
      </c>
      <c r="VZY6" s="97" t="str">
        <f t="shared" si="245"/>
        <v/>
      </c>
      <c r="VZZ6" s="97" t="str">
        <f t="shared" si="245"/>
        <v/>
      </c>
      <c r="WAA6" s="97" t="str">
        <f t="shared" si="245"/>
        <v/>
      </c>
      <c r="WAB6" s="97" t="str">
        <f t="shared" si="245"/>
        <v/>
      </c>
      <c r="WAC6" s="97" t="str">
        <f t="shared" si="245"/>
        <v/>
      </c>
      <c r="WAD6" s="97" t="str">
        <f t="shared" si="245"/>
        <v/>
      </c>
      <c r="WAE6" s="97" t="str">
        <f t="shared" si="245"/>
        <v/>
      </c>
      <c r="WAF6" s="97" t="str">
        <f t="shared" si="245"/>
        <v/>
      </c>
      <c r="WAG6" s="97" t="str">
        <f t="shared" si="245"/>
        <v/>
      </c>
      <c r="WAH6" s="97" t="str">
        <f t="shared" si="245"/>
        <v/>
      </c>
      <c r="WAI6" s="97" t="str">
        <f t="shared" si="245"/>
        <v/>
      </c>
      <c r="WAJ6" s="97" t="str">
        <f t="shared" si="245"/>
        <v/>
      </c>
      <c r="WAK6" s="97" t="str">
        <f t="shared" si="245"/>
        <v/>
      </c>
      <c r="WAL6" s="97" t="str">
        <f t="shared" si="245"/>
        <v/>
      </c>
      <c r="WAM6" s="97" t="str">
        <f t="shared" si="245"/>
        <v/>
      </c>
      <c r="WAN6" s="97" t="str">
        <f t="shared" si="245"/>
        <v/>
      </c>
      <c r="WAO6" s="97" t="str">
        <f t="shared" si="245"/>
        <v/>
      </c>
      <c r="WAP6" s="97" t="str">
        <f t="shared" si="245"/>
        <v/>
      </c>
      <c r="WAQ6" s="97" t="str">
        <f t="shared" si="245"/>
        <v/>
      </c>
      <c r="WAR6" s="97" t="str">
        <f t="shared" si="245"/>
        <v/>
      </c>
      <c r="WAS6" s="97" t="str">
        <f t="shared" si="245"/>
        <v/>
      </c>
      <c r="WAT6" s="97" t="str">
        <f t="shared" si="245"/>
        <v/>
      </c>
      <c r="WAU6" s="97" t="str">
        <f t="shared" si="245"/>
        <v/>
      </c>
      <c r="WAV6" s="97" t="str">
        <f t="shared" si="245"/>
        <v/>
      </c>
      <c r="WAW6" s="97" t="str">
        <f t="shared" si="245"/>
        <v/>
      </c>
      <c r="WAX6" s="97" t="str">
        <f t="shared" si="245"/>
        <v/>
      </c>
      <c r="WAY6" s="97" t="str">
        <f t="shared" si="245"/>
        <v/>
      </c>
      <c r="WAZ6" s="97" t="str">
        <f t="shared" si="245"/>
        <v/>
      </c>
      <c r="WBA6" s="97" t="str">
        <f t="shared" si="245"/>
        <v/>
      </c>
      <c r="WBB6" s="97" t="str">
        <f t="shared" si="245"/>
        <v/>
      </c>
      <c r="WBC6" s="97" t="str">
        <f t="shared" si="245"/>
        <v/>
      </c>
      <c r="WBD6" s="97" t="str">
        <f t="shared" si="245"/>
        <v/>
      </c>
      <c r="WBE6" s="97" t="str">
        <f t="shared" si="245"/>
        <v/>
      </c>
      <c r="WBF6" s="97" t="str">
        <f t="shared" si="245"/>
        <v/>
      </c>
      <c r="WBG6" s="97" t="str">
        <f t="shared" si="245"/>
        <v/>
      </c>
      <c r="WBH6" s="97" t="str">
        <f t="shared" si="245"/>
        <v/>
      </c>
      <c r="WBI6" s="97" t="str">
        <f t="shared" si="245"/>
        <v/>
      </c>
      <c r="WBJ6" s="97" t="str">
        <f t="shared" si="245"/>
        <v/>
      </c>
      <c r="WBK6" s="97" t="str">
        <f t="shared" si="245"/>
        <v/>
      </c>
      <c r="WBL6" s="97" t="str">
        <f t="shared" si="245"/>
        <v/>
      </c>
      <c r="WBM6" s="97" t="str">
        <f t="shared" si="245"/>
        <v/>
      </c>
      <c r="WBN6" s="97" t="str">
        <f t="shared" si="245"/>
        <v/>
      </c>
      <c r="WBO6" s="97" t="str">
        <f t="shared" si="245"/>
        <v/>
      </c>
      <c r="WBP6" s="97" t="str">
        <f t="shared" si="245"/>
        <v/>
      </c>
      <c r="WBQ6" s="97" t="str">
        <f t="shared" si="245"/>
        <v/>
      </c>
      <c r="WBR6" s="97" t="str">
        <f t="shared" si="245"/>
        <v/>
      </c>
      <c r="WBS6" s="97" t="str">
        <f t="shared" si="245"/>
        <v/>
      </c>
      <c r="WBT6" s="97" t="str">
        <f t="shared" si="245"/>
        <v/>
      </c>
      <c r="WBU6" s="97" t="str">
        <f t="shared" si="245"/>
        <v/>
      </c>
      <c r="WBV6" s="97" t="str">
        <f t="shared" ref="WBV6:WEG6" si="246">IFERROR(AVERAGE(WBV7:WBV13),"")</f>
        <v/>
      </c>
      <c r="WBW6" s="97" t="str">
        <f t="shared" si="246"/>
        <v/>
      </c>
      <c r="WBX6" s="97" t="str">
        <f t="shared" si="246"/>
        <v/>
      </c>
      <c r="WBY6" s="97" t="str">
        <f t="shared" si="246"/>
        <v/>
      </c>
      <c r="WBZ6" s="97" t="str">
        <f t="shared" si="246"/>
        <v/>
      </c>
      <c r="WCA6" s="97" t="str">
        <f t="shared" si="246"/>
        <v/>
      </c>
      <c r="WCB6" s="97" t="str">
        <f t="shared" si="246"/>
        <v/>
      </c>
      <c r="WCC6" s="97" t="str">
        <f t="shared" si="246"/>
        <v/>
      </c>
      <c r="WCD6" s="97" t="str">
        <f t="shared" si="246"/>
        <v/>
      </c>
      <c r="WCE6" s="97" t="str">
        <f t="shared" si="246"/>
        <v/>
      </c>
      <c r="WCF6" s="97" t="str">
        <f t="shared" si="246"/>
        <v/>
      </c>
      <c r="WCG6" s="97" t="str">
        <f t="shared" si="246"/>
        <v/>
      </c>
      <c r="WCH6" s="97" t="str">
        <f t="shared" si="246"/>
        <v/>
      </c>
      <c r="WCI6" s="97" t="str">
        <f t="shared" si="246"/>
        <v/>
      </c>
      <c r="WCJ6" s="97" t="str">
        <f t="shared" si="246"/>
        <v/>
      </c>
      <c r="WCK6" s="97" t="str">
        <f t="shared" si="246"/>
        <v/>
      </c>
      <c r="WCL6" s="97" t="str">
        <f t="shared" si="246"/>
        <v/>
      </c>
      <c r="WCM6" s="97" t="str">
        <f t="shared" si="246"/>
        <v/>
      </c>
      <c r="WCN6" s="97" t="str">
        <f t="shared" si="246"/>
        <v/>
      </c>
      <c r="WCO6" s="97" t="str">
        <f t="shared" si="246"/>
        <v/>
      </c>
      <c r="WCP6" s="97" t="str">
        <f t="shared" si="246"/>
        <v/>
      </c>
      <c r="WCQ6" s="97" t="str">
        <f t="shared" si="246"/>
        <v/>
      </c>
      <c r="WCR6" s="97" t="str">
        <f t="shared" si="246"/>
        <v/>
      </c>
      <c r="WCS6" s="97" t="str">
        <f t="shared" si="246"/>
        <v/>
      </c>
      <c r="WCT6" s="97" t="str">
        <f t="shared" si="246"/>
        <v/>
      </c>
      <c r="WCU6" s="97" t="str">
        <f t="shared" si="246"/>
        <v/>
      </c>
      <c r="WCV6" s="97" t="str">
        <f t="shared" si="246"/>
        <v/>
      </c>
      <c r="WCW6" s="97" t="str">
        <f t="shared" si="246"/>
        <v/>
      </c>
      <c r="WCX6" s="97" t="str">
        <f t="shared" si="246"/>
        <v/>
      </c>
      <c r="WCY6" s="97" t="str">
        <f t="shared" si="246"/>
        <v/>
      </c>
      <c r="WCZ6" s="97" t="str">
        <f t="shared" si="246"/>
        <v/>
      </c>
      <c r="WDA6" s="97" t="str">
        <f t="shared" si="246"/>
        <v/>
      </c>
      <c r="WDB6" s="97" t="str">
        <f t="shared" si="246"/>
        <v/>
      </c>
      <c r="WDC6" s="97" t="str">
        <f t="shared" si="246"/>
        <v/>
      </c>
      <c r="WDD6" s="97" t="str">
        <f t="shared" si="246"/>
        <v/>
      </c>
      <c r="WDE6" s="97" t="str">
        <f t="shared" si="246"/>
        <v/>
      </c>
      <c r="WDF6" s="97" t="str">
        <f t="shared" si="246"/>
        <v/>
      </c>
      <c r="WDG6" s="97" t="str">
        <f t="shared" si="246"/>
        <v/>
      </c>
      <c r="WDH6" s="97" t="str">
        <f t="shared" si="246"/>
        <v/>
      </c>
      <c r="WDI6" s="97" t="str">
        <f t="shared" si="246"/>
        <v/>
      </c>
      <c r="WDJ6" s="97" t="str">
        <f t="shared" si="246"/>
        <v/>
      </c>
      <c r="WDK6" s="97" t="str">
        <f t="shared" si="246"/>
        <v/>
      </c>
      <c r="WDL6" s="97" t="str">
        <f t="shared" si="246"/>
        <v/>
      </c>
      <c r="WDM6" s="97" t="str">
        <f t="shared" si="246"/>
        <v/>
      </c>
      <c r="WDN6" s="97" t="str">
        <f t="shared" si="246"/>
        <v/>
      </c>
      <c r="WDO6" s="97" t="str">
        <f t="shared" si="246"/>
        <v/>
      </c>
      <c r="WDP6" s="97" t="str">
        <f t="shared" si="246"/>
        <v/>
      </c>
      <c r="WDQ6" s="97" t="str">
        <f t="shared" si="246"/>
        <v/>
      </c>
      <c r="WDR6" s="97" t="str">
        <f t="shared" si="246"/>
        <v/>
      </c>
      <c r="WDS6" s="97" t="str">
        <f t="shared" si="246"/>
        <v/>
      </c>
      <c r="WDT6" s="97" t="str">
        <f t="shared" si="246"/>
        <v/>
      </c>
      <c r="WDU6" s="97" t="str">
        <f t="shared" si="246"/>
        <v/>
      </c>
      <c r="WDV6" s="97" t="str">
        <f t="shared" si="246"/>
        <v/>
      </c>
      <c r="WDW6" s="97" t="str">
        <f t="shared" si="246"/>
        <v/>
      </c>
      <c r="WDX6" s="97" t="str">
        <f t="shared" si="246"/>
        <v/>
      </c>
      <c r="WDY6" s="97" t="str">
        <f t="shared" si="246"/>
        <v/>
      </c>
      <c r="WDZ6" s="97" t="str">
        <f t="shared" si="246"/>
        <v/>
      </c>
      <c r="WEA6" s="97" t="str">
        <f t="shared" si="246"/>
        <v/>
      </c>
      <c r="WEB6" s="97" t="str">
        <f t="shared" si="246"/>
        <v/>
      </c>
      <c r="WEC6" s="97" t="str">
        <f t="shared" si="246"/>
        <v/>
      </c>
      <c r="WED6" s="97" t="str">
        <f t="shared" si="246"/>
        <v/>
      </c>
      <c r="WEE6" s="97" t="str">
        <f t="shared" si="246"/>
        <v/>
      </c>
      <c r="WEF6" s="97" t="str">
        <f t="shared" si="246"/>
        <v/>
      </c>
      <c r="WEG6" s="97" t="str">
        <f t="shared" si="246"/>
        <v/>
      </c>
      <c r="WEH6" s="97" t="str">
        <f t="shared" ref="WEH6:WGS6" si="247">IFERROR(AVERAGE(WEH7:WEH13),"")</f>
        <v/>
      </c>
      <c r="WEI6" s="97" t="str">
        <f t="shared" si="247"/>
        <v/>
      </c>
      <c r="WEJ6" s="97" t="str">
        <f t="shared" si="247"/>
        <v/>
      </c>
      <c r="WEK6" s="97" t="str">
        <f t="shared" si="247"/>
        <v/>
      </c>
      <c r="WEL6" s="97" t="str">
        <f t="shared" si="247"/>
        <v/>
      </c>
      <c r="WEM6" s="97" t="str">
        <f t="shared" si="247"/>
        <v/>
      </c>
      <c r="WEN6" s="97" t="str">
        <f t="shared" si="247"/>
        <v/>
      </c>
      <c r="WEO6" s="97" t="str">
        <f t="shared" si="247"/>
        <v/>
      </c>
      <c r="WEP6" s="97" t="str">
        <f t="shared" si="247"/>
        <v/>
      </c>
      <c r="WEQ6" s="97" t="str">
        <f t="shared" si="247"/>
        <v/>
      </c>
      <c r="WER6" s="97" t="str">
        <f t="shared" si="247"/>
        <v/>
      </c>
      <c r="WES6" s="97" t="str">
        <f t="shared" si="247"/>
        <v/>
      </c>
      <c r="WET6" s="97" t="str">
        <f t="shared" si="247"/>
        <v/>
      </c>
      <c r="WEU6" s="97" t="str">
        <f t="shared" si="247"/>
        <v/>
      </c>
      <c r="WEV6" s="97" t="str">
        <f t="shared" si="247"/>
        <v/>
      </c>
      <c r="WEW6" s="97" t="str">
        <f t="shared" si="247"/>
        <v/>
      </c>
      <c r="WEX6" s="97" t="str">
        <f t="shared" si="247"/>
        <v/>
      </c>
      <c r="WEY6" s="97" t="str">
        <f t="shared" si="247"/>
        <v/>
      </c>
      <c r="WEZ6" s="97" t="str">
        <f t="shared" si="247"/>
        <v/>
      </c>
      <c r="WFA6" s="97" t="str">
        <f t="shared" si="247"/>
        <v/>
      </c>
      <c r="WFB6" s="97" t="str">
        <f t="shared" si="247"/>
        <v/>
      </c>
      <c r="WFC6" s="97" t="str">
        <f t="shared" si="247"/>
        <v/>
      </c>
      <c r="WFD6" s="97" t="str">
        <f t="shared" si="247"/>
        <v/>
      </c>
      <c r="WFE6" s="97" t="str">
        <f t="shared" si="247"/>
        <v/>
      </c>
      <c r="WFF6" s="97" t="str">
        <f t="shared" si="247"/>
        <v/>
      </c>
      <c r="WFG6" s="97" t="str">
        <f t="shared" si="247"/>
        <v/>
      </c>
      <c r="WFH6" s="97" t="str">
        <f t="shared" si="247"/>
        <v/>
      </c>
      <c r="WFI6" s="97" t="str">
        <f t="shared" si="247"/>
        <v/>
      </c>
      <c r="WFJ6" s="97" t="str">
        <f t="shared" si="247"/>
        <v/>
      </c>
      <c r="WFK6" s="97" t="str">
        <f t="shared" si="247"/>
        <v/>
      </c>
      <c r="WFL6" s="97" t="str">
        <f t="shared" si="247"/>
        <v/>
      </c>
      <c r="WFM6" s="97" t="str">
        <f t="shared" si="247"/>
        <v/>
      </c>
      <c r="WFN6" s="97" t="str">
        <f t="shared" si="247"/>
        <v/>
      </c>
      <c r="WFO6" s="97" t="str">
        <f t="shared" si="247"/>
        <v/>
      </c>
      <c r="WFP6" s="97" t="str">
        <f t="shared" si="247"/>
        <v/>
      </c>
      <c r="WFQ6" s="97" t="str">
        <f t="shared" si="247"/>
        <v/>
      </c>
      <c r="WFR6" s="97" t="str">
        <f t="shared" si="247"/>
        <v/>
      </c>
      <c r="WFS6" s="97" t="str">
        <f t="shared" si="247"/>
        <v/>
      </c>
      <c r="WFT6" s="97" t="str">
        <f t="shared" si="247"/>
        <v/>
      </c>
      <c r="WFU6" s="97" t="str">
        <f t="shared" si="247"/>
        <v/>
      </c>
      <c r="WFV6" s="97" t="str">
        <f t="shared" si="247"/>
        <v/>
      </c>
      <c r="WFW6" s="97" t="str">
        <f t="shared" si="247"/>
        <v/>
      </c>
      <c r="WFX6" s="97" t="str">
        <f t="shared" si="247"/>
        <v/>
      </c>
      <c r="WFY6" s="97" t="str">
        <f t="shared" si="247"/>
        <v/>
      </c>
      <c r="WFZ6" s="97" t="str">
        <f t="shared" si="247"/>
        <v/>
      </c>
      <c r="WGA6" s="97" t="str">
        <f t="shared" si="247"/>
        <v/>
      </c>
      <c r="WGB6" s="97" t="str">
        <f t="shared" si="247"/>
        <v/>
      </c>
      <c r="WGC6" s="97" t="str">
        <f t="shared" si="247"/>
        <v/>
      </c>
      <c r="WGD6" s="97" t="str">
        <f t="shared" si="247"/>
        <v/>
      </c>
      <c r="WGE6" s="97" t="str">
        <f t="shared" si="247"/>
        <v/>
      </c>
      <c r="WGF6" s="97" t="str">
        <f t="shared" si="247"/>
        <v/>
      </c>
      <c r="WGG6" s="97" t="str">
        <f t="shared" si="247"/>
        <v/>
      </c>
      <c r="WGH6" s="97" t="str">
        <f t="shared" si="247"/>
        <v/>
      </c>
      <c r="WGI6" s="97" t="str">
        <f t="shared" si="247"/>
        <v/>
      </c>
      <c r="WGJ6" s="97" t="str">
        <f t="shared" si="247"/>
        <v/>
      </c>
      <c r="WGK6" s="97" t="str">
        <f t="shared" si="247"/>
        <v/>
      </c>
      <c r="WGL6" s="97" t="str">
        <f t="shared" si="247"/>
        <v/>
      </c>
      <c r="WGM6" s="97" t="str">
        <f t="shared" si="247"/>
        <v/>
      </c>
      <c r="WGN6" s="97" t="str">
        <f t="shared" si="247"/>
        <v/>
      </c>
      <c r="WGO6" s="97" t="str">
        <f t="shared" si="247"/>
        <v/>
      </c>
      <c r="WGP6" s="97" t="str">
        <f t="shared" si="247"/>
        <v/>
      </c>
      <c r="WGQ6" s="97" t="str">
        <f t="shared" si="247"/>
        <v/>
      </c>
      <c r="WGR6" s="97" t="str">
        <f t="shared" si="247"/>
        <v/>
      </c>
      <c r="WGS6" s="97" t="str">
        <f t="shared" si="247"/>
        <v/>
      </c>
      <c r="WGT6" s="97" t="str">
        <f t="shared" ref="WGT6:WJE6" si="248">IFERROR(AVERAGE(WGT7:WGT13),"")</f>
        <v/>
      </c>
      <c r="WGU6" s="97" t="str">
        <f t="shared" si="248"/>
        <v/>
      </c>
      <c r="WGV6" s="97" t="str">
        <f t="shared" si="248"/>
        <v/>
      </c>
      <c r="WGW6" s="97" t="str">
        <f t="shared" si="248"/>
        <v/>
      </c>
      <c r="WGX6" s="97" t="str">
        <f t="shared" si="248"/>
        <v/>
      </c>
      <c r="WGY6" s="97" t="str">
        <f t="shared" si="248"/>
        <v/>
      </c>
      <c r="WGZ6" s="97" t="str">
        <f t="shared" si="248"/>
        <v/>
      </c>
      <c r="WHA6" s="97" t="str">
        <f t="shared" si="248"/>
        <v/>
      </c>
      <c r="WHB6" s="97" t="str">
        <f t="shared" si="248"/>
        <v/>
      </c>
      <c r="WHC6" s="97" t="str">
        <f t="shared" si="248"/>
        <v/>
      </c>
      <c r="WHD6" s="97" t="str">
        <f t="shared" si="248"/>
        <v/>
      </c>
      <c r="WHE6" s="97" t="str">
        <f t="shared" si="248"/>
        <v/>
      </c>
      <c r="WHF6" s="97" t="str">
        <f t="shared" si="248"/>
        <v/>
      </c>
      <c r="WHG6" s="97" t="str">
        <f t="shared" si="248"/>
        <v/>
      </c>
      <c r="WHH6" s="97" t="str">
        <f t="shared" si="248"/>
        <v/>
      </c>
      <c r="WHI6" s="97" t="str">
        <f t="shared" si="248"/>
        <v/>
      </c>
      <c r="WHJ6" s="97" t="str">
        <f t="shared" si="248"/>
        <v/>
      </c>
      <c r="WHK6" s="97" t="str">
        <f t="shared" si="248"/>
        <v/>
      </c>
      <c r="WHL6" s="97" t="str">
        <f t="shared" si="248"/>
        <v/>
      </c>
      <c r="WHM6" s="97" t="str">
        <f t="shared" si="248"/>
        <v/>
      </c>
      <c r="WHN6" s="97" t="str">
        <f t="shared" si="248"/>
        <v/>
      </c>
      <c r="WHO6" s="97" t="str">
        <f t="shared" si="248"/>
        <v/>
      </c>
      <c r="WHP6" s="97" t="str">
        <f t="shared" si="248"/>
        <v/>
      </c>
      <c r="WHQ6" s="97" t="str">
        <f t="shared" si="248"/>
        <v/>
      </c>
      <c r="WHR6" s="97" t="str">
        <f t="shared" si="248"/>
        <v/>
      </c>
      <c r="WHS6" s="97" t="str">
        <f t="shared" si="248"/>
        <v/>
      </c>
      <c r="WHT6" s="97" t="str">
        <f t="shared" si="248"/>
        <v/>
      </c>
      <c r="WHU6" s="97" t="str">
        <f t="shared" si="248"/>
        <v/>
      </c>
      <c r="WHV6" s="97" t="str">
        <f t="shared" si="248"/>
        <v/>
      </c>
      <c r="WHW6" s="97" t="str">
        <f t="shared" si="248"/>
        <v/>
      </c>
      <c r="WHX6" s="97" t="str">
        <f t="shared" si="248"/>
        <v/>
      </c>
      <c r="WHY6" s="97" t="str">
        <f t="shared" si="248"/>
        <v/>
      </c>
      <c r="WHZ6" s="97" t="str">
        <f t="shared" si="248"/>
        <v/>
      </c>
      <c r="WIA6" s="97" t="str">
        <f t="shared" si="248"/>
        <v/>
      </c>
      <c r="WIB6" s="97" t="str">
        <f t="shared" si="248"/>
        <v/>
      </c>
      <c r="WIC6" s="97" t="str">
        <f t="shared" si="248"/>
        <v/>
      </c>
      <c r="WID6" s="97" t="str">
        <f t="shared" si="248"/>
        <v/>
      </c>
      <c r="WIE6" s="97" t="str">
        <f t="shared" si="248"/>
        <v/>
      </c>
      <c r="WIF6" s="97" t="str">
        <f t="shared" si="248"/>
        <v/>
      </c>
      <c r="WIG6" s="97" t="str">
        <f t="shared" si="248"/>
        <v/>
      </c>
      <c r="WIH6" s="97" t="str">
        <f t="shared" si="248"/>
        <v/>
      </c>
      <c r="WII6" s="97" t="str">
        <f t="shared" si="248"/>
        <v/>
      </c>
      <c r="WIJ6" s="97" t="str">
        <f t="shared" si="248"/>
        <v/>
      </c>
      <c r="WIK6" s="97" t="str">
        <f t="shared" si="248"/>
        <v/>
      </c>
      <c r="WIL6" s="97" t="str">
        <f t="shared" si="248"/>
        <v/>
      </c>
      <c r="WIM6" s="97" t="str">
        <f t="shared" si="248"/>
        <v/>
      </c>
      <c r="WIN6" s="97" t="str">
        <f t="shared" si="248"/>
        <v/>
      </c>
      <c r="WIO6" s="97" t="str">
        <f t="shared" si="248"/>
        <v/>
      </c>
      <c r="WIP6" s="97" t="str">
        <f t="shared" si="248"/>
        <v/>
      </c>
      <c r="WIQ6" s="97" t="str">
        <f t="shared" si="248"/>
        <v/>
      </c>
      <c r="WIR6" s="97" t="str">
        <f t="shared" si="248"/>
        <v/>
      </c>
      <c r="WIS6" s="97" t="str">
        <f t="shared" si="248"/>
        <v/>
      </c>
      <c r="WIT6" s="97" t="str">
        <f t="shared" si="248"/>
        <v/>
      </c>
      <c r="WIU6" s="97" t="str">
        <f t="shared" si="248"/>
        <v/>
      </c>
      <c r="WIV6" s="97" t="str">
        <f t="shared" si="248"/>
        <v/>
      </c>
      <c r="WIW6" s="97" t="str">
        <f t="shared" si="248"/>
        <v/>
      </c>
      <c r="WIX6" s="97" t="str">
        <f t="shared" si="248"/>
        <v/>
      </c>
      <c r="WIY6" s="97" t="str">
        <f t="shared" si="248"/>
        <v/>
      </c>
      <c r="WIZ6" s="97" t="str">
        <f t="shared" si="248"/>
        <v/>
      </c>
      <c r="WJA6" s="97" t="str">
        <f t="shared" si="248"/>
        <v/>
      </c>
      <c r="WJB6" s="97" t="str">
        <f t="shared" si="248"/>
        <v/>
      </c>
      <c r="WJC6" s="97" t="str">
        <f t="shared" si="248"/>
        <v/>
      </c>
      <c r="WJD6" s="97" t="str">
        <f t="shared" si="248"/>
        <v/>
      </c>
      <c r="WJE6" s="97" t="str">
        <f t="shared" si="248"/>
        <v/>
      </c>
      <c r="WJF6" s="97" t="str">
        <f t="shared" ref="WJF6:WLQ6" si="249">IFERROR(AVERAGE(WJF7:WJF13),"")</f>
        <v/>
      </c>
      <c r="WJG6" s="97" t="str">
        <f t="shared" si="249"/>
        <v/>
      </c>
      <c r="WJH6" s="97" t="str">
        <f t="shared" si="249"/>
        <v/>
      </c>
      <c r="WJI6" s="97" t="str">
        <f t="shared" si="249"/>
        <v/>
      </c>
      <c r="WJJ6" s="97" t="str">
        <f t="shared" si="249"/>
        <v/>
      </c>
      <c r="WJK6" s="97" t="str">
        <f t="shared" si="249"/>
        <v/>
      </c>
      <c r="WJL6" s="97" t="str">
        <f t="shared" si="249"/>
        <v/>
      </c>
      <c r="WJM6" s="97" t="str">
        <f t="shared" si="249"/>
        <v/>
      </c>
      <c r="WJN6" s="97" t="str">
        <f t="shared" si="249"/>
        <v/>
      </c>
      <c r="WJO6" s="97" t="str">
        <f t="shared" si="249"/>
        <v/>
      </c>
      <c r="WJP6" s="97" t="str">
        <f t="shared" si="249"/>
        <v/>
      </c>
      <c r="WJQ6" s="97" t="str">
        <f t="shared" si="249"/>
        <v/>
      </c>
      <c r="WJR6" s="97" t="str">
        <f t="shared" si="249"/>
        <v/>
      </c>
      <c r="WJS6" s="97" t="str">
        <f t="shared" si="249"/>
        <v/>
      </c>
      <c r="WJT6" s="97" t="str">
        <f t="shared" si="249"/>
        <v/>
      </c>
      <c r="WJU6" s="97" t="str">
        <f t="shared" si="249"/>
        <v/>
      </c>
      <c r="WJV6" s="97" t="str">
        <f t="shared" si="249"/>
        <v/>
      </c>
      <c r="WJW6" s="97" t="str">
        <f t="shared" si="249"/>
        <v/>
      </c>
      <c r="WJX6" s="97" t="str">
        <f t="shared" si="249"/>
        <v/>
      </c>
      <c r="WJY6" s="97" t="str">
        <f t="shared" si="249"/>
        <v/>
      </c>
      <c r="WJZ6" s="97" t="str">
        <f t="shared" si="249"/>
        <v/>
      </c>
      <c r="WKA6" s="97" t="str">
        <f t="shared" si="249"/>
        <v/>
      </c>
      <c r="WKB6" s="97" t="str">
        <f t="shared" si="249"/>
        <v/>
      </c>
      <c r="WKC6" s="97" t="str">
        <f t="shared" si="249"/>
        <v/>
      </c>
      <c r="WKD6" s="97" t="str">
        <f t="shared" si="249"/>
        <v/>
      </c>
      <c r="WKE6" s="97" t="str">
        <f t="shared" si="249"/>
        <v/>
      </c>
      <c r="WKF6" s="97" t="str">
        <f t="shared" si="249"/>
        <v/>
      </c>
      <c r="WKG6" s="97" t="str">
        <f t="shared" si="249"/>
        <v/>
      </c>
      <c r="WKH6" s="97" t="str">
        <f t="shared" si="249"/>
        <v/>
      </c>
      <c r="WKI6" s="97" t="str">
        <f t="shared" si="249"/>
        <v/>
      </c>
      <c r="WKJ6" s="97" t="str">
        <f t="shared" si="249"/>
        <v/>
      </c>
      <c r="WKK6" s="97" t="str">
        <f t="shared" si="249"/>
        <v/>
      </c>
      <c r="WKL6" s="97" t="str">
        <f t="shared" si="249"/>
        <v/>
      </c>
      <c r="WKM6" s="97" t="str">
        <f t="shared" si="249"/>
        <v/>
      </c>
      <c r="WKN6" s="97" t="str">
        <f t="shared" si="249"/>
        <v/>
      </c>
      <c r="WKO6" s="97" t="str">
        <f t="shared" si="249"/>
        <v/>
      </c>
      <c r="WKP6" s="97" t="str">
        <f t="shared" si="249"/>
        <v/>
      </c>
      <c r="WKQ6" s="97" t="str">
        <f t="shared" si="249"/>
        <v/>
      </c>
      <c r="WKR6" s="97" t="str">
        <f t="shared" si="249"/>
        <v/>
      </c>
      <c r="WKS6" s="97" t="str">
        <f t="shared" si="249"/>
        <v/>
      </c>
      <c r="WKT6" s="97" t="str">
        <f t="shared" si="249"/>
        <v/>
      </c>
      <c r="WKU6" s="97" t="str">
        <f t="shared" si="249"/>
        <v/>
      </c>
      <c r="WKV6" s="97" t="str">
        <f t="shared" si="249"/>
        <v/>
      </c>
      <c r="WKW6" s="97" t="str">
        <f t="shared" si="249"/>
        <v/>
      </c>
      <c r="WKX6" s="97" t="str">
        <f t="shared" si="249"/>
        <v/>
      </c>
      <c r="WKY6" s="97" t="str">
        <f t="shared" si="249"/>
        <v/>
      </c>
      <c r="WKZ6" s="97" t="str">
        <f t="shared" si="249"/>
        <v/>
      </c>
      <c r="WLA6" s="97" t="str">
        <f t="shared" si="249"/>
        <v/>
      </c>
      <c r="WLB6" s="97" t="str">
        <f t="shared" si="249"/>
        <v/>
      </c>
      <c r="WLC6" s="97" t="str">
        <f t="shared" si="249"/>
        <v/>
      </c>
      <c r="WLD6" s="97" t="str">
        <f t="shared" si="249"/>
        <v/>
      </c>
      <c r="WLE6" s="97" t="str">
        <f t="shared" si="249"/>
        <v/>
      </c>
      <c r="WLF6" s="97" t="str">
        <f t="shared" si="249"/>
        <v/>
      </c>
      <c r="WLG6" s="97" t="str">
        <f t="shared" si="249"/>
        <v/>
      </c>
      <c r="WLH6" s="97" t="str">
        <f t="shared" si="249"/>
        <v/>
      </c>
      <c r="WLI6" s="97" t="str">
        <f t="shared" si="249"/>
        <v/>
      </c>
      <c r="WLJ6" s="97" t="str">
        <f t="shared" si="249"/>
        <v/>
      </c>
      <c r="WLK6" s="97" t="str">
        <f t="shared" si="249"/>
        <v/>
      </c>
      <c r="WLL6" s="97" t="str">
        <f t="shared" si="249"/>
        <v/>
      </c>
      <c r="WLM6" s="97" t="str">
        <f t="shared" si="249"/>
        <v/>
      </c>
      <c r="WLN6" s="97" t="str">
        <f t="shared" si="249"/>
        <v/>
      </c>
      <c r="WLO6" s="97" t="str">
        <f t="shared" si="249"/>
        <v/>
      </c>
      <c r="WLP6" s="97" t="str">
        <f t="shared" si="249"/>
        <v/>
      </c>
      <c r="WLQ6" s="97" t="str">
        <f t="shared" si="249"/>
        <v/>
      </c>
      <c r="WLR6" s="97" t="str">
        <f t="shared" ref="WLR6:WOC6" si="250">IFERROR(AVERAGE(WLR7:WLR13),"")</f>
        <v/>
      </c>
      <c r="WLS6" s="97" t="str">
        <f t="shared" si="250"/>
        <v/>
      </c>
      <c r="WLT6" s="97" t="str">
        <f t="shared" si="250"/>
        <v/>
      </c>
      <c r="WLU6" s="97" t="str">
        <f t="shared" si="250"/>
        <v/>
      </c>
      <c r="WLV6" s="97" t="str">
        <f t="shared" si="250"/>
        <v/>
      </c>
      <c r="WLW6" s="97" t="str">
        <f t="shared" si="250"/>
        <v/>
      </c>
      <c r="WLX6" s="97" t="str">
        <f t="shared" si="250"/>
        <v/>
      </c>
      <c r="WLY6" s="97" t="str">
        <f t="shared" si="250"/>
        <v/>
      </c>
      <c r="WLZ6" s="97" t="str">
        <f t="shared" si="250"/>
        <v/>
      </c>
      <c r="WMA6" s="97" t="str">
        <f t="shared" si="250"/>
        <v/>
      </c>
      <c r="WMB6" s="97" t="str">
        <f t="shared" si="250"/>
        <v/>
      </c>
      <c r="WMC6" s="97" t="str">
        <f t="shared" si="250"/>
        <v/>
      </c>
      <c r="WMD6" s="97" t="str">
        <f t="shared" si="250"/>
        <v/>
      </c>
      <c r="WME6" s="97" t="str">
        <f t="shared" si="250"/>
        <v/>
      </c>
      <c r="WMF6" s="97" t="str">
        <f t="shared" si="250"/>
        <v/>
      </c>
      <c r="WMG6" s="97" t="str">
        <f t="shared" si="250"/>
        <v/>
      </c>
      <c r="WMH6" s="97" t="str">
        <f t="shared" si="250"/>
        <v/>
      </c>
      <c r="WMI6" s="97" t="str">
        <f t="shared" si="250"/>
        <v/>
      </c>
      <c r="WMJ6" s="97" t="str">
        <f t="shared" si="250"/>
        <v/>
      </c>
      <c r="WMK6" s="97" t="str">
        <f t="shared" si="250"/>
        <v/>
      </c>
      <c r="WML6" s="97" t="str">
        <f t="shared" si="250"/>
        <v/>
      </c>
      <c r="WMM6" s="97" t="str">
        <f t="shared" si="250"/>
        <v/>
      </c>
      <c r="WMN6" s="97" t="str">
        <f t="shared" si="250"/>
        <v/>
      </c>
      <c r="WMO6" s="97" t="str">
        <f t="shared" si="250"/>
        <v/>
      </c>
      <c r="WMP6" s="97" t="str">
        <f t="shared" si="250"/>
        <v/>
      </c>
      <c r="WMQ6" s="97" t="str">
        <f t="shared" si="250"/>
        <v/>
      </c>
      <c r="WMR6" s="97" t="str">
        <f t="shared" si="250"/>
        <v/>
      </c>
      <c r="WMS6" s="97" t="str">
        <f t="shared" si="250"/>
        <v/>
      </c>
      <c r="WMT6" s="97" t="str">
        <f t="shared" si="250"/>
        <v/>
      </c>
      <c r="WMU6" s="97" t="str">
        <f t="shared" si="250"/>
        <v/>
      </c>
      <c r="WMV6" s="97" t="str">
        <f t="shared" si="250"/>
        <v/>
      </c>
      <c r="WMW6" s="97" t="str">
        <f t="shared" si="250"/>
        <v/>
      </c>
      <c r="WMX6" s="97" t="str">
        <f t="shared" si="250"/>
        <v/>
      </c>
      <c r="WMY6" s="97" t="str">
        <f t="shared" si="250"/>
        <v/>
      </c>
      <c r="WMZ6" s="97" t="str">
        <f t="shared" si="250"/>
        <v/>
      </c>
      <c r="WNA6" s="97" t="str">
        <f t="shared" si="250"/>
        <v/>
      </c>
      <c r="WNB6" s="97" t="str">
        <f t="shared" si="250"/>
        <v/>
      </c>
      <c r="WNC6" s="97" t="str">
        <f t="shared" si="250"/>
        <v/>
      </c>
      <c r="WND6" s="97" t="str">
        <f t="shared" si="250"/>
        <v/>
      </c>
      <c r="WNE6" s="97" t="str">
        <f t="shared" si="250"/>
        <v/>
      </c>
      <c r="WNF6" s="97" t="str">
        <f t="shared" si="250"/>
        <v/>
      </c>
      <c r="WNG6" s="97" t="str">
        <f t="shared" si="250"/>
        <v/>
      </c>
      <c r="WNH6" s="97" t="str">
        <f t="shared" si="250"/>
        <v/>
      </c>
      <c r="WNI6" s="97" t="str">
        <f t="shared" si="250"/>
        <v/>
      </c>
      <c r="WNJ6" s="97" t="str">
        <f t="shared" si="250"/>
        <v/>
      </c>
      <c r="WNK6" s="97" t="str">
        <f t="shared" si="250"/>
        <v/>
      </c>
      <c r="WNL6" s="97" t="str">
        <f t="shared" si="250"/>
        <v/>
      </c>
      <c r="WNM6" s="97" t="str">
        <f t="shared" si="250"/>
        <v/>
      </c>
      <c r="WNN6" s="97" t="str">
        <f t="shared" si="250"/>
        <v/>
      </c>
      <c r="WNO6" s="97" t="str">
        <f t="shared" si="250"/>
        <v/>
      </c>
      <c r="WNP6" s="97" t="str">
        <f t="shared" si="250"/>
        <v/>
      </c>
      <c r="WNQ6" s="97" t="str">
        <f t="shared" si="250"/>
        <v/>
      </c>
      <c r="WNR6" s="97" t="str">
        <f t="shared" si="250"/>
        <v/>
      </c>
      <c r="WNS6" s="97" t="str">
        <f t="shared" si="250"/>
        <v/>
      </c>
      <c r="WNT6" s="97" t="str">
        <f t="shared" si="250"/>
        <v/>
      </c>
      <c r="WNU6" s="97" t="str">
        <f t="shared" si="250"/>
        <v/>
      </c>
      <c r="WNV6" s="97" t="str">
        <f t="shared" si="250"/>
        <v/>
      </c>
      <c r="WNW6" s="97" t="str">
        <f t="shared" si="250"/>
        <v/>
      </c>
      <c r="WNX6" s="97" t="str">
        <f t="shared" si="250"/>
        <v/>
      </c>
      <c r="WNY6" s="97" t="str">
        <f t="shared" si="250"/>
        <v/>
      </c>
      <c r="WNZ6" s="97" t="str">
        <f t="shared" si="250"/>
        <v/>
      </c>
      <c r="WOA6" s="97" t="str">
        <f t="shared" si="250"/>
        <v/>
      </c>
      <c r="WOB6" s="97" t="str">
        <f t="shared" si="250"/>
        <v/>
      </c>
      <c r="WOC6" s="97" t="str">
        <f t="shared" si="250"/>
        <v/>
      </c>
      <c r="WOD6" s="97" t="str">
        <f t="shared" ref="WOD6:WQO6" si="251">IFERROR(AVERAGE(WOD7:WOD13),"")</f>
        <v/>
      </c>
      <c r="WOE6" s="97" t="str">
        <f t="shared" si="251"/>
        <v/>
      </c>
      <c r="WOF6" s="97" t="str">
        <f t="shared" si="251"/>
        <v/>
      </c>
      <c r="WOG6" s="97" t="str">
        <f t="shared" si="251"/>
        <v/>
      </c>
      <c r="WOH6" s="97" t="str">
        <f t="shared" si="251"/>
        <v/>
      </c>
      <c r="WOI6" s="97" t="str">
        <f t="shared" si="251"/>
        <v/>
      </c>
      <c r="WOJ6" s="97" t="str">
        <f t="shared" si="251"/>
        <v/>
      </c>
      <c r="WOK6" s="97" t="str">
        <f t="shared" si="251"/>
        <v/>
      </c>
      <c r="WOL6" s="97" t="str">
        <f t="shared" si="251"/>
        <v/>
      </c>
      <c r="WOM6" s="97" t="str">
        <f t="shared" si="251"/>
        <v/>
      </c>
      <c r="WON6" s="97" t="str">
        <f t="shared" si="251"/>
        <v/>
      </c>
      <c r="WOO6" s="97" t="str">
        <f t="shared" si="251"/>
        <v/>
      </c>
      <c r="WOP6" s="97" t="str">
        <f t="shared" si="251"/>
        <v/>
      </c>
      <c r="WOQ6" s="97" t="str">
        <f t="shared" si="251"/>
        <v/>
      </c>
      <c r="WOR6" s="97" t="str">
        <f t="shared" si="251"/>
        <v/>
      </c>
      <c r="WOS6" s="97" t="str">
        <f t="shared" si="251"/>
        <v/>
      </c>
      <c r="WOT6" s="97" t="str">
        <f t="shared" si="251"/>
        <v/>
      </c>
      <c r="WOU6" s="97" t="str">
        <f t="shared" si="251"/>
        <v/>
      </c>
      <c r="WOV6" s="97" t="str">
        <f t="shared" si="251"/>
        <v/>
      </c>
      <c r="WOW6" s="97" t="str">
        <f t="shared" si="251"/>
        <v/>
      </c>
      <c r="WOX6" s="97" t="str">
        <f t="shared" si="251"/>
        <v/>
      </c>
      <c r="WOY6" s="97" t="str">
        <f t="shared" si="251"/>
        <v/>
      </c>
      <c r="WOZ6" s="97" t="str">
        <f t="shared" si="251"/>
        <v/>
      </c>
      <c r="WPA6" s="97" t="str">
        <f t="shared" si="251"/>
        <v/>
      </c>
      <c r="WPB6" s="97" t="str">
        <f t="shared" si="251"/>
        <v/>
      </c>
      <c r="WPC6" s="97" t="str">
        <f t="shared" si="251"/>
        <v/>
      </c>
      <c r="WPD6" s="97" t="str">
        <f t="shared" si="251"/>
        <v/>
      </c>
      <c r="WPE6" s="97" t="str">
        <f t="shared" si="251"/>
        <v/>
      </c>
      <c r="WPF6" s="97" t="str">
        <f t="shared" si="251"/>
        <v/>
      </c>
      <c r="WPG6" s="97" t="str">
        <f t="shared" si="251"/>
        <v/>
      </c>
      <c r="WPH6" s="97" t="str">
        <f t="shared" si="251"/>
        <v/>
      </c>
      <c r="WPI6" s="97" t="str">
        <f t="shared" si="251"/>
        <v/>
      </c>
      <c r="WPJ6" s="97" t="str">
        <f t="shared" si="251"/>
        <v/>
      </c>
      <c r="WPK6" s="97" t="str">
        <f t="shared" si="251"/>
        <v/>
      </c>
      <c r="WPL6" s="97" t="str">
        <f t="shared" si="251"/>
        <v/>
      </c>
      <c r="WPM6" s="97" t="str">
        <f t="shared" si="251"/>
        <v/>
      </c>
      <c r="WPN6" s="97" t="str">
        <f t="shared" si="251"/>
        <v/>
      </c>
      <c r="WPO6" s="97" t="str">
        <f t="shared" si="251"/>
        <v/>
      </c>
      <c r="WPP6" s="97" t="str">
        <f t="shared" si="251"/>
        <v/>
      </c>
      <c r="WPQ6" s="97" t="str">
        <f t="shared" si="251"/>
        <v/>
      </c>
      <c r="WPR6" s="97" t="str">
        <f t="shared" si="251"/>
        <v/>
      </c>
      <c r="WPS6" s="97" t="str">
        <f t="shared" si="251"/>
        <v/>
      </c>
      <c r="WPT6" s="97" t="str">
        <f t="shared" si="251"/>
        <v/>
      </c>
      <c r="WPU6" s="97" t="str">
        <f t="shared" si="251"/>
        <v/>
      </c>
      <c r="WPV6" s="97" t="str">
        <f t="shared" si="251"/>
        <v/>
      </c>
      <c r="WPW6" s="97" t="str">
        <f t="shared" si="251"/>
        <v/>
      </c>
      <c r="WPX6" s="97" t="str">
        <f t="shared" si="251"/>
        <v/>
      </c>
      <c r="WPY6" s="97" t="str">
        <f t="shared" si="251"/>
        <v/>
      </c>
      <c r="WPZ6" s="97" t="str">
        <f t="shared" si="251"/>
        <v/>
      </c>
      <c r="WQA6" s="97" t="str">
        <f t="shared" si="251"/>
        <v/>
      </c>
      <c r="WQB6" s="97" t="str">
        <f t="shared" si="251"/>
        <v/>
      </c>
      <c r="WQC6" s="97" t="str">
        <f t="shared" si="251"/>
        <v/>
      </c>
      <c r="WQD6" s="97" t="str">
        <f t="shared" si="251"/>
        <v/>
      </c>
      <c r="WQE6" s="97" t="str">
        <f t="shared" si="251"/>
        <v/>
      </c>
      <c r="WQF6" s="97" t="str">
        <f t="shared" si="251"/>
        <v/>
      </c>
      <c r="WQG6" s="97" t="str">
        <f t="shared" si="251"/>
        <v/>
      </c>
      <c r="WQH6" s="97" t="str">
        <f t="shared" si="251"/>
        <v/>
      </c>
      <c r="WQI6" s="97" t="str">
        <f t="shared" si="251"/>
        <v/>
      </c>
      <c r="WQJ6" s="97" t="str">
        <f t="shared" si="251"/>
        <v/>
      </c>
      <c r="WQK6" s="97" t="str">
        <f t="shared" si="251"/>
        <v/>
      </c>
      <c r="WQL6" s="97" t="str">
        <f t="shared" si="251"/>
        <v/>
      </c>
      <c r="WQM6" s="97" t="str">
        <f t="shared" si="251"/>
        <v/>
      </c>
      <c r="WQN6" s="97" t="str">
        <f t="shared" si="251"/>
        <v/>
      </c>
      <c r="WQO6" s="97" t="str">
        <f t="shared" si="251"/>
        <v/>
      </c>
      <c r="WQP6" s="97" t="str">
        <f t="shared" ref="WQP6:WTA6" si="252">IFERROR(AVERAGE(WQP7:WQP13),"")</f>
        <v/>
      </c>
      <c r="WQQ6" s="97" t="str">
        <f t="shared" si="252"/>
        <v/>
      </c>
      <c r="WQR6" s="97" t="str">
        <f t="shared" si="252"/>
        <v/>
      </c>
      <c r="WQS6" s="97" t="str">
        <f t="shared" si="252"/>
        <v/>
      </c>
      <c r="WQT6" s="97" t="str">
        <f t="shared" si="252"/>
        <v/>
      </c>
      <c r="WQU6" s="97" t="str">
        <f t="shared" si="252"/>
        <v/>
      </c>
      <c r="WQV6" s="97" t="str">
        <f t="shared" si="252"/>
        <v/>
      </c>
      <c r="WQW6" s="97" t="str">
        <f t="shared" si="252"/>
        <v/>
      </c>
      <c r="WQX6" s="97" t="str">
        <f t="shared" si="252"/>
        <v/>
      </c>
      <c r="WQY6" s="97" t="str">
        <f t="shared" si="252"/>
        <v/>
      </c>
      <c r="WQZ6" s="97" t="str">
        <f t="shared" si="252"/>
        <v/>
      </c>
      <c r="WRA6" s="97" t="str">
        <f t="shared" si="252"/>
        <v/>
      </c>
      <c r="WRB6" s="97" t="str">
        <f t="shared" si="252"/>
        <v/>
      </c>
      <c r="WRC6" s="97" t="str">
        <f t="shared" si="252"/>
        <v/>
      </c>
      <c r="WRD6" s="97" t="str">
        <f t="shared" si="252"/>
        <v/>
      </c>
      <c r="WRE6" s="97" t="str">
        <f t="shared" si="252"/>
        <v/>
      </c>
      <c r="WRF6" s="97" t="str">
        <f t="shared" si="252"/>
        <v/>
      </c>
      <c r="WRG6" s="97" t="str">
        <f t="shared" si="252"/>
        <v/>
      </c>
      <c r="WRH6" s="97" t="str">
        <f t="shared" si="252"/>
        <v/>
      </c>
      <c r="WRI6" s="97" t="str">
        <f t="shared" si="252"/>
        <v/>
      </c>
      <c r="WRJ6" s="97" t="str">
        <f t="shared" si="252"/>
        <v/>
      </c>
      <c r="WRK6" s="97" t="str">
        <f t="shared" si="252"/>
        <v/>
      </c>
      <c r="WRL6" s="97" t="str">
        <f t="shared" si="252"/>
        <v/>
      </c>
      <c r="WRM6" s="97" t="str">
        <f t="shared" si="252"/>
        <v/>
      </c>
      <c r="WRN6" s="97" t="str">
        <f t="shared" si="252"/>
        <v/>
      </c>
      <c r="WRO6" s="97" t="str">
        <f t="shared" si="252"/>
        <v/>
      </c>
      <c r="WRP6" s="97" t="str">
        <f t="shared" si="252"/>
        <v/>
      </c>
      <c r="WRQ6" s="97" t="str">
        <f t="shared" si="252"/>
        <v/>
      </c>
      <c r="WRR6" s="97" t="str">
        <f t="shared" si="252"/>
        <v/>
      </c>
      <c r="WRS6" s="97" t="str">
        <f t="shared" si="252"/>
        <v/>
      </c>
      <c r="WRT6" s="97" t="str">
        <f t="shared" si="252"/>
        <v/>
      </c>
      <c r="WRU6" s="97" t="str">
        <f t="shared" si="252"/>
        <v/>
      </c>
      <c r="WRV6" s="97" t="str">
        <f t="shared" si="252"/>
        <v/>
      </c>
      <c r="WRW6" s="97" t="str">
        <f t="shared" si="252"/>
        <v/>
      </c>
      <c r="WRX6" s="97" t="str">
        <f t="shared" si="252"/>
        <v/>
      </c>
      <c r="WRY6" s="97" t="str">
        <f t="shared" si="252"/>
        <v/>
      </c>
      <c r="WRZ6" s="97" t="str">
        <f t="shared" si="252"/>
        <v/>
      </c>
      <c r="WSA6" s="97" t="str">
        <f t="shared" si="252"/>
        <v/>
      </c>
      <c r="WSB6" s="97" t="str">
        <f t="shared" si="252"/>
        <v/>
      </c>
      <c r="WSC6" s="97" t="str">
        <f t="shared" si="252"/>
        <v/>
      </c>
      <c r="WSD6" s="97" t="str">
        <f t="shared" si="252"/>
        <v/>
      </c>
      <c r="WSE6" s="97" t="str">
        <f t="shared" si="252"/>
        <v/>
      </c>
      <c r="WSF6" s="97" t="str">
        <f t="shared" si="252"/>
        <v/>
      </c>
      <c r="WSG6" s="97" t="str">
        <f t="shared" si="252"/>
        <v/>
      </c>
      <c r="WSH6" s="97" t="str">
        <f t="shared" si="252"/>
        <v/>
      </c>
      <c r="WSI6" s="97" t="str">
        <f t="shared" si="252"/>
        <v/>
      </c>
      <c r="WSJ6" s="97" t="str">
        <f t="shared" si="252"/>
        <v/>
      </c>
      <c r="WSK6" s="97" t="str">
        <f t="shared" si="252"/>
        <v/>
      </c>
      <c r="WSL6" s="97" t="str">
        <f t="shared" si="252"/>
        <v/>
      </c>
      <c r="WSM6" s="97" t="str">
        <f t="shared" si="252"/>
        <v/>
      </c>
      <c r="WSN6" s="97" t="str">
        <f t="shared" si="252"/>
        <v/>
      </c>
      <c r="WSO6" s="97" t="str">
        <f t="shared" si="252"/>
        <v/>
      </c>
      <c r="WSP6" s="97" t="str">
        <f t="shared" si="252"/>
        <v/>
      </c>
      <c r="WSQ6" s="97" t="str">
        <f t="shared" si="252"/>
        <v/>
      </c>
      <c r="WSR6" s="97" t="str">
        <f t="shared" si="252"/>
        <v/>
      </c>
      <c r="WSS6" s="97" t="str">
        <f t="shared" si="252"/>
        <v/>
      </c>
      <c r="WST6" s="97" t="str">
        <f t="shared" si="252"/>
        <v/>
      </c>
      <c r="WSU6" s="97" t="str">
        <f t="shared" si="252"/>
        <v/>
      </c>
      <c r="WSV6" s="97" t="str">
        <f t="shared" si="252"/>
        <v/>
      </c>
      <c r="WSW6" s="97" t="str">
        <f t="shared" si="252"/>
        <v/>
      </c>
      <c r="WSX6" s="97" t="str">
        <f t="shared" si="252"/>
        <v/>
      </c>
      <c r="WSY6" s="97" t="str">
        <f t="shared" si="252"/>
        <v/>
      </c>
      <c r="WSZ6" s="97" t="str">
        <f t="shared" si="252"/>
        <v/>
      </c>
      <c r="WTA6" s="97" t="str">
        <f t="shared" si="252"/>
        <v/>
      </c>
      <c r="WTB6" s="97" t="str">
        <f t="shared" ref="WTB6:WVM6" si="253">IFERROR(AVERAGE(WTB7:WTB13),"")</f>
        <v/>
      </c>
      <c r="WTC6" s="97" t="str">
        <f t="shared" si="253"/>
        <v/>
      </c>
      <c r="WTD6" s="97" t="str">
        <f t="shared" si="253"/>
        <v/>
      </c>
      <c r="WTE6" s="97" t="str">
        <f t="shared" si="253"/>
        <v/>
      </c>
      <c r="WTF6" s="97" t="str">
        <f t="shared" si="253"/>
        <v/>
      </c>
      <c r="WTG6" s="97" t="str">
        <f t="shared" si="253"/>
        <v/>
      </c>
      <c r="WTH6" s="97" t="str">
        <f t="shared" si="253"/>
        <v/>
      </c>
      <c r="WTI6" s="97" t="str">
        <f t="shared" si="253"/>
        <v/>
      </c>
      <c r="WTJ6" s="97" t="str">
        <f t="shared" si="253"/>
        <v/>
      </c>
      <c r="WTK6" s="97" t="str">
        <f t="shared" si="253"/>
        <v/>
      </c>
      <c r="WTL6" s="97" t="str">
        <f t="shared" si="253"/>
        <v/>
      </c>
      <c r="WTM6" s="97" t="str">
        <f t="shared" si="253"/>
        <v/>
      </c>
      <c r="WTN6" s="97" t="str">
        <f t="shared" si="253"/>
        <v/>
      </c>
      <c r="WTO6" s="97" t="str">
        <f t="shared" si="253"/>
        <v/>
      </c>
      <c r="WTP6" s="97" t="str">
        <f t="shared" si="253"/>
        <v/>
      </c>
      <c r="WTQ6" s="97" t="str">
        <f t="shared" si="253"/>
        <v/>
      </c>
      <c r="WTR6" s="97" t="str">
        <f t="shared" si="253"/>
        <v/>
      </c>
      <c r="WTS6" s="97" t="str">
        <f t="shared" si="253"/>
        <v/>
      </c>
      <c r="WTT6" s="97" t="str">
        <f t="shared" si="253"/>
        <v/>
      </c>
      <c r="WTU6" s="97" t="str">
        <f t="shared" si="253"/>
        <v/>
      </c>
      <c r="WTV6" s="97" t="str">
        <f t="shared" si="253"/>
        <v/>
      </c>
      <c r="WTW6" s="97" t="str">
        <f t="shared" si="253"/>
        <v/>
      </c>
      <c r="WTX6" s="97" t="str">
        <f t="shared" si="253"/>
        <v/>
      </c>
      <c r="WTY6" s="97" t="str">
        <f t="shared" si="253"/>
        <v/>
      </c>
      <c r="WTZ6" s="97" t="str">
        <f t="shared" si="253"/>
        <v/>
      </c>
      <c r="WUA6" s="97" t="str">
        <f t="shared" si="253"/>
        <v/>
      </c>
      <c r="WUB6" s="97" t="str">
        <f t="shared" si="253"/>
        <v/>
      </c>
      <c r="WUC6" s="97" t="str">
        <f t="shared" si="253"/>
        <v/>
      </c>
      <c r="WUD6" s="97" t="str">
        <f t="shared" si="253"/>
        <v/>
      </c>
      <c r="WUE6" s="97" t="str">
        <f t="shared" si="253"/>
        <v/>
      </c>
      <c r="WUF6" s="97" t="str">
        <f t="shared" si="253"/>
        <v/>
      </c>
      <c r="WUG6" s="97" t="str">
        <f t="shared" si="253"/>
        <v/>
      </c>
      <c r="WUH6" s="97" t="str">
        <f t="shared" si="253"/>
        <v/>
      </c>
      <c r="WUI6" s="97" t="str">
        <f t="shared" si="253"/>
        <v/>
      </c>
      <c r="WUJ6" s="97" t="str">
        <f t="shared" si="253"/>
        <v/>
      </c>
      <c r="WUK6" s="97" t="str">
        <f t="shared" si="253"/>
        <v/>
      </c>
      <c r="WUL6" s="97" t="str">
        <f t="shared" si="253"/>
        <v/>
      </c>
      <c r="WUM6" s="97" t="str">
        <f t="shared" si="253"/>
        <v/>
      </c>
      <c r="WUN6" s="97" t="str">
        <f t="shared" si="253"/>
        <v/>
      </c>
      <c r="WUO6" s="97" t="str">
        <f t="shared" si="253"/>
        <v/>
      </c>
      <c r="WUP6" s="97" t="str">
        <f t="shared" si="253"/>
        <v/>
      </c>
      <c r="WUQ6" s="97" t="str">
        <f t="shared" si="253"/>
        <v/>
      </c>
      <c r="WUR6" s="97" t="str">
        <f t="shared" si="253"/>
        <v/>
      </c>
      <c r="WUS6" s="97" t="str">
        <f t="shared" si="253"/>
        <v/>
      </c>
      <c r="WUT6" s="97" t="str">
        <f t="shared" si="253"/>
        <v/>
      </c>
      <c r="WUU6" s="97" t="str">
        <f t="shared" si="253"/>
        <v/>
      </c>
      <c r="WUV6" s="97" t="str">
        <f t="shared" si="253"/>
        <v/>
      </c>
      <c r="WUW6" s="97" t="str">
        <f t="shared" si="253"/>
        <v/>
      </c>
      <c r="WUX6" s="97" t="str">
        <f t="shared" si="253"/>
        <v/>
      </c>
      <c r="WUY6" s="97" t="str">
        <f t="shared" si="253"/>
        <v/>
      </c>
      <c r="WUZ6" s="97" t="str">
        <f t="shared" si="253"/>
        <v/>
      </c>
      <c r="WVA6" s="97" t="str">
        <f t="shared" si="253"/>
        <v/>
      </c>
      <c r="WVB6" s="97" t="str">
        <f t="shared" si="253"/>
        <v/>
      </c>
      <c r="WVC6" s="97" t="str">
        <f t="shared" si="253"/>
        <v/>
      </c>
      <c r="WVD6" s="97" t="str">
        <f t="shared" si="253"/>
        <v/>
      </c>
      <c r="WVE6" s="97" t="str">
        <f t="shared" si="253"/>
        <v/>
      </c>
      <c r="WVF6" s="97" t="str">
        <f t="shared" si="253"/>
        <v/>
      </c>
      <c r="WVG6" s="97" t="str">
        <f t="shared" si="253"/>
        <v/>
      </c>
      <c r="WVH6" s="97" t="str">
        <f t="shared" si="253"/>
        <v/>
      </c>
      <c r="WVI6" s="97" t="str">
        <f t="shared" si="253"/>
        <v/>
      </c>
      <c r="WVJ6" s="97" t="str">
        <f t="shared" si="253"/>
        <v/>
      </c>
      <c r="WVK6" s="97" t="str">
        <f t="shared" si="253"/>
        <v/>
      </c>
      <c r="WVL6" s="97" t="str">
        <f t="shared" si="253"/>
        <v/>
      </c>
      <c r="WVM6" s="97" t="str">
        <f t="shared" si="253"/>
        <v/>
      </c>
      <c r="WVN6" s="97" t="str">
        <f t="shared" ref="WVN6:WXY6" si="254">IFERROR(AVERAGE(WVN7:WVN13),"")</f>
        <v/>
      </c>
      <c r="WVO6" s="97" t="str">
        <f t="shared" si="254"/>
        <v/>
      </c>
      <c r="WVP6" s="97" t="str">
        <f t="shared" si="254"/>
        <v/>
      </c>
      <c r="WVQ6" s="97" t="str">
        <f t="shared" si="254"/>
        <v/>
      </c>
      <c r="WVR6" s="97" t="str">
        <f t="shared" si="254"/>
        <v/>
      </c>
      <c r="WVS6" s="97" t="str">
        <f t="shared" si="254"/>
        <v/>
      </c>
      <c r="WVT6" s="97" t="str">
        <f t="shared" si="254"/>
        <v/>
      </c>
      <c r="WVU6" s="97" t="str">
        <f t="shared" si="254"/>
        <v/>
      </c>
      <c r="WVV6" s="97" t="str">
        <f t="shared" si="254"/>
        <v/>
      </c>
      <c r="WVW6" s="97" t="str">
        <f t="shared" si="254"/>
        <v/>
      </c>
      <c r="WVX6" s="97" t="str">
        <f t="shared" si="254"/>
        <v/>
      </c>
      <c r="WVY6" s="97" t="str">
        <f t="shared" si="254"/>
        <v/>
      </c>
      <c r="WVZ6" s="97" t="str">
        <f t="shared" si="254"/>
        <v/>
      </c>
      <c r="WWA6" s="97" t="str">
        <f t="shared" si="254"/>
        <v/>
      </c>
      <c r="WWB6" s="97" t="str">
        <f t="shared" si="254"/>
        <v/>
      </c>
      <c r="WWC6" s="97" t="str">
        <f t="shared" si="254"/>
        <v/>
      </c>
      <c r="WWD6" s="97" t="str">
        <f t="shared" si="254"/>
        <v/>
      </c>
      <c r="WWE6" s="97" t="str">
        <f t="shared" si="254"/>
        <v/>
      </c>
      <c r="WWF6" s="97" t="str">
        <f t="shared" si="254"/>
        <v/>
      </c>
      <c r="WWG6" s="97" t="str">
        <f t="shared" si="254"/>
        <v/>
      </c>
      <c r="WWH6" s="97" t="str">
        <f t="shared" si="254"/>
        <v/>
      </c>
      <c r="WWI6" s="97" t="str">
        <f t="shared" si="254"/>
        <v/>
      </c>
      <c r="WWJ6" s="97" t="str">
        <f t="shared" si="254"/>
        <v/>
      </c>
      <c r="WWK6" s="97" t="str">
        <f t="shared" si="254"/>
        <v/>
      </c>
      <c r="WWL6" s="97" t="str">
        <f t="shared" si="254"/>
        <v/>
      </c>
      <c r="WWM6" s="97" t="str">
        <f t="shared" si="254"/>
        <v/>
      </c>
      <c r="WWN6" s="97" t="str">
        <f t="shared" si="254"/>
        <v/>
      </c>
      <c r="WWO6" s="97" t="str">
        <f t="shared" si="254"/>
        <v/>
      </c>
      <c r="WWP6" s="97" t="str">
        <f t="shared" si="254"/>
        <v/>
      </c>
      <c r="WWQ6" s="97" t="str">
        <f t="shared" si="254"/>
        <v/>
      </c>
      <c r="WWR6" s="97" t="str">
        <f t="shared" si="254"/>
        <v/>
      </c>
      <c r="WWS6" s="97" t="str">
        <f t="shared" si="254"/>
        <v/>
      </c>
      <c r="WWT6" s="97" t="str">
        <f t="shared" si="254"/>
        <v/>
      </c>
      <c r="WWU6" s="97" t="str">
        <f t="shared" si="254"/>
        <v/>
      </c>
      <c r="WWV6" s="97" t="str">
        <f t="shared" si="254"/>
        <v/>
      </c>
      <c r="WWW6" s="97" t="str">
        <f t="shared" si="254"/>
        <v/>
      </c>
      <c r="WWX6" s="97" t="str">
        <f t="shared" si="254"/>
        <v/>
      </c>
      <c r="WWY6" s="97" t="str">
        <f t="shared" si="254"/>
        <v/>
      </c>
      <c r="WWZ6" s="97" t="str">
        <f t="shared" si="254"/>
        <v/>
      </c>
      <c r="WXA6" s="97" t="str">
        <f t="shared" si="254"/>
        <v/>
      </c>
      <c r="WXB6" s="97" t="str">
        <f t="shared" si="254"/>
        <v/>
      </c>
      <c r="WXC6" s="97" t="str">
        <f t="shared" si="254"/>
        <v/>
      </c>
      <c r="WXD6" s="97" t="str">
        <f t="shared" si="254"/>
        <v/>
      </c>
      <c r="WXE6" s="97" t="str">
        <f t="shared" si="254"/>
        <v/>
      </c>
      <c r="WXF6" s="97" t="str">
        <f t="shared" si="254"/>
        <v/>
      </c>
      <c r="WXG6" s="97" t="str">
        <f t="shared" si="254"/>
        <v/>
      </c>
      <c r="WXH6" s="97" t="str">
        <f t="shared" si="254"/>
        <v/>
      </c>
      <c r="WXI6" s="97" t="str">
        <f t="shared" si="254"/>
        <v/>
      </c>
      <c r="WXJ6" s="97" t="str">
        <f t="shared" si="254"/>
        <v/>
      </c>
      <c r="WXK6" s="97" t="str">
        <f t="shared" si="254"/>
        <v/>
      </c>
      <c r="WXL6" s="97" t="str">
        <f t="shared" si="254"/>
        <v/>
      </c>
      <c r="WXM6" s="97" t="str">
        <f t="shared" si="254"/>
        <v/>
      </c>
      <c r="WXN6" s="97" t="str">
        <f t="shared" si="254"/>
        <v/>
      </c>
      <c r="WXO6" s="97" t="str">
        <f t="shared" si="254"/>
        <v/>
      </c>
      <c r="WXP6" s="97" t="str">
        <f t="shared" si="254"/>
        <v/>
      </c>
      <c r="WXQ6" s="97" t="str">
        <f t="shared" si="254"/>
        <v/>
      </c>
      <c r="WXR6" s="97" t="str">
        <f t="shared" si="254"/>
        <v/>
      </c>
      <c r="WXS6" s="97" t="str">
        <f t="shared" si="254"/>
        <v/>
      </c>
      <c r="WXT6" s="97" t="str">
        <f t="shared" si="254"/>
        <v/>
      </c>
      <c r="WXU6" s="97" t="str">
        <f t="shared" si="254"/>
        <v/>
      </c>
      <c r="WXV6" s="97" t="str">
        <f t="shared" si="254"/>
        <v/>
      </c>
      <c r="WXW6" s="97" t="str">
        <f t="shared" si="254"/>
        <v/>
      </c>
      <c r="WXX6" s="97" t="str">
        <f t="shared" si="254"/>
        <v/>
      </c>
      <c r="WXY6" s="97" t="str">
        <f t="shared" si="254"/>
        <v/>
      </c>
      <c r="WXZ6" s="97" t="str">
        <f t="shared" ref="WXZ6:XAK6" si="255">IFERROR(AVERAGE(WXZ7:WXZ13),"")</f>
        <v/>
      </c>
      <c r="WYA6" s="97" t="str">
        <f t="shared" si="255"/>
        <v/>
      </c>
      <c r="WYB6" s="97" t="str">
        <f t="shared" si="255"/>
        <v/>
      </c>
      <c r="WYC6" s="97" t="str">
        <f t="shared" si="255"/>
        <v/>
      </c>
      <c r="WYD6" s="97" t="str">
        <f t="shared" si="255"/>
        <v/>
      </c>
      <c r="WYE6" s="97" t="str">
        <f t="shared" si="255"/>
        <v/>
      </c>
      <c r="WYF6" s="97" t="str">
        <f t="shared" si="255"/>
        <v/>
      </c>
      <c r="WYG6" s="97" t="str">
        <f t="shared" si="255"/>
        <v/>
      </c>
      <c r="WYH6" s="97" t="str">
        <f t="shared" si="255"/>
        <v/>
      </c>
      <c r="WYI6" s="97" t="str">
        <f t="shared" si="255"/>
        <v/>
      </c>
      <c r="WYJ6" s="97" t="str">
        <f t="shared" si="255"/>
        <v/>
      </c>
      <c r="WYK6" s="97" t="str">
        <f t="shared" si="255"/>
        <v/>
      </c>
      <c r="WYL6" s="97" t="str">
        <f t="shared" si="255"/>
        <v/>
      </c>
      <c r="WYM6" s="97" t="str">
        <f t="shared" si="255"/>
        <v/>
      </c>
      <c r="WYN6" s="97" t="str">
        <f t="shared" si="255"/>
        <v/>
      </c>
      <c r="WYO6" s="97" t="str">
        <f t="shared" si="255"/>
        <v/>
      </c>
      <c r="WYP6" s="97" t="str">
        <f t="shared" si="255"/>
        <v/>
      </c>
      <c r="WYQ6" s="97" t="str">
        <f t="shared" si="255"/>
        <v/>
      </c>
      <c r="WYR6" s="97" t="str">
        <f t="shared" si="255"/>
        <v/>
      </c>
      <c r="WYS6" s="97" t="str">
        <f t="shared" si="255"/>
        <v/>
      </c>
      <c r="WYT6" s="97" t="str">
        <f t="shared" si="255"/>
        <v/>
      </c>
      <c r="WYU6" s="97" t="str">
        <f t="shared" si="255"/>
        <v/>
      </c>
      <c r="WYV6" s="97" t="str">
        <f t="shared" si="255"/>
        <v/>
      </c>
      <c r="WYW6" s="97" t="str">
        <f t="shared" si="255"/>
        <v/>
      </c>
      <c r="WYX6" s="97" t="str">
        <f t="shared" si="255"/>
        <v/>
      </c>
      <c r="WYY6" s="97" t="str">
        <f t="shared" si="255"/>
        <v/>
      </c>
      <c r="WYZ6" s="97" t="str">
        <f t="shared" si="255"/>
        <v/>
      </c>
      <c r="WZA6" s="97" t="str">
        <f t="shared" si="255"/>
        <v/>
      </c>
      <c r="WZB6" s="97" t="str">
        <f t="shared" si="255"/>
        <v/>
      </c>
      <c r="WZC6" s="97" t="str">
        <f t="shared" si="255"/>
        <v/>
      </c>
      <c r="WZD6" s="97" t="str">
        <f t="shared" si="255"/>
        <v/>
      </c>
      <c r="WZE6" s="97" t="str">
        <f t="shared" si="255"/>
        <v/>
      </c>
      <c r="WZF6" s="97" t="str">
        <f t="shared" si="255"/>
        <v/>
      </c>
      <c r="WZG6" s="97" t="str">
        <f t="shared" si="255"/>
        <v/>
      </c>
      <c r="WZH6" s="97" t="str">
        <f t="shared" si="255"/>
        <v/>
      </c>
      <c r="WZI6" s="97" t="str">
        <f t="shared" si="255"/>
        <v/>
      </c>
      <c r="WZJ6" s="97" t="str">
        <f t="shared" si="255"/>
        <v/>
      </c>
      <c r="WZK6" s="97" t="str">
        <f t="shared" si="255"/>
        <v/>
      </c>
      <c r="WZL6" s="97" t="str">
        <f t="shared" si="255"/>
        <v/>
      </c>
      <c r="WZM6" s="97" t="str">
        <f t="shared" si="255"/>
        <v/>
      </c>
      <c r="WZN6" s="97" t="str">
        <f t="shared" si="255"/>
        <v/>
      </c>
      <c r="WZO6" s="97" t="str">
        <f t="shared" si="255"/>
        <v/>
      </c>
      <c r="WZP6" s="97" t="str">
        <f t="shared" si="255"/>
        <v/>
      </c>
      <c r="WZQ6" s="97" t="str">
        <f t="shared" si="255"/>
        <v/>
      </c>
      <c r="WZR6" s="97" t="str">
        <f t="shared" si="255"/>
        <v/>
      </c>
      <c r="WZS6" s="97" t="str">
        <f t="shared" si="255"/>
        <v/>
      </c>
      <c r="WZT6" s="97" t="str">
        <f t="shared" si="255"/>
        <v/>
      </c>
      <c r="WZU6" s="97" t="str">
        <f t="shared" si="255"/>
        <v/>
      </c>
      <c r="WZV6" s="97" t="str">
        <f t="shared" si="255"/>
        <v/>
      </c>
      <c r="WZW6" s="97" t="str">
        <f t="shared" si="255"/>
        <v/>
      </c>
      <c r="WZX6" s="97" t="str">
        <f t="shared" si="255"/>
        <v/>
      </c>
      <c r="WZY6" s="97" t="str">
        <f t="shared" si="255"/>
        <v/>
      </c>
      <c r="WZZ6" s="97" t="str">
        <f t="shared" si="255"/>
        <v/>
      </c>
      <c r="XAA6" s="97" t="str">
        <f t="shared" si="255"/>
        <v/>
      </c>
      <c r="XAB6" s="97" t="str">
        <f t="shared" si="255"/>
        <v/>
      </c>
      <c r="XAC6" s="97" t="str">
        <f t="shared" si="255"/>
        <v/>
      </c>
      <c r="XAD6" s="97" t="str">
        <f t="shared" si="255"/>
        <v/>
      </c>
      <c r="XAE6" s="97" t="str">
        <f t="shared" si="255"/>
        <v/>
      </c>
      <c r="XAF6" s="97" t="str">
        <f t="shared" si="255"/>
        <v/>
      </c>
      <c r="XAG6" s="97" t="str">
        <f t="shared" si="255"/>
        <v/>
      </c>
      <c r="XAH6" s="97" t="str">
        <f t="shared" si="255"/>
        <v/>
      </c>
      <c r="XAI6" s="97" t="str">
        <f t="shared" si="255"/>
        <v/>
      </c>
      <c r="XAJ6" s="97" t="str">
        <f t="shared" si="255"/>
        <v/>
      </c>
      <c r="XAK6" s="97" t="str">
        <f t="shared" si="255"/>
        <v/>
      </c>
      <c r="XAL6" s="97" t="str">
        <f t="shared" ref="XAL6:XCW6" si="256">IFERROR(AVERAGE(XAL7:XAL13),"")</f>
        <v/>
      </c>
      <c r="XAM6" s="97" t="str">
        <f t="shared" si="256"/>
        <v/>
      </c>
      <c r="XAN6" s="97" t="str">
        <f t="shared" si="256"/>
        <v/>
      </c>
      <c r="XAO6" s="97" t="str">
        <f t="shared" si="256"/>
        <v/>
      </c>
      <c r="XAP6" s="97" t="str">
        <f t="shared" si="256"/>
        <v/>
      </c>
      <c r="XAQ6" s="97" t="str">
        <f t="shared" si="256"/>
        <v/>
      </c>
      <c r="XAR6" s="97" t="str">
        <f t="shared" si="256"/>
        <v/>
      </c>
      <c r="XAS6" s="97" t="str">
        <f t="shared" si="256"/>
        <v/>
      </c>
      <c r="XAT6" s="97" t="str">
        <f t="shared" si="256"/>
        <v/>
      </c>
      <c r="XAU6" s="97" t="str">
        <f t="shared" si="256"/>
        <v/>
      </c>
      <c r="XAV6" s="97" t="str">
        <f t="shared" si="256"/>
        <v/>
      </c>
      <c r="XAW6" s="97" t="str">
        <f t="shared" si="256"/>
        <v/>
      </c>
      <c r="XAX6" s="97" t="str">
        <f t="shared" si="256"/>
        <v/>
      </c>
      <c r="XAY6" s="97" t="str">
        <f t="shared" si="256"/>
        <v/>
      </c>
      <c r="XAZ6" s="97" t="str">
        <f t="shared" si="256"/>
        <v/>
      </c>
      <c r="XBA6" s="97" t="str">
        <f t="shared" si="256"/>
        <v/>
      </c>
      <c r="XBB6" s="97" t="str">
        <f t="shared" si="256"/>
        <v/>
      </c>
      <c r="XBC6" s="97" t="str">
        <f t="shared" si="256"/>
        <v/>
      </c>
      <c r="XBD6" s="97" t="str">
        <f t="shared" si="256"/>
        <v/>
      </c>
      <c r="XBE6" s="97" t="str">
        <f t="shared" si="256"/>
        <v/>
      </c>
      <c r="XBF6" s="97" t="str">
        <f t="shared" si="256"/>
        <v/>
      </c>
      <c r="XBG6" s="97" t="str">
        <f t="shared" si="256"/>
        <v/>
      </c>
      <c r="XBH6" s="97" t="str">
        <f t="shared" si="256"/>
        <v/>
      </c>
      <c r="XBI6" s="97" t="str">
        <f t="shared" si="256"/>
        <v/>
      </c>
      <c r="XBJ6" s="97" t="str">
        <f t="shared" si="256"/>
        <v/>
      </c>
      <c r="XBK6" s="97" t="str">
        <f t="shared" si="256"/>
        <v/>
      </c>
      <c r="XBL6" s="97" t="str">
        <f t="shared" si="256"/>
        <v/>
      </c>
      <c r="XBM6" s="97" t="str">
        <f t="shared" si="256"/>
        <v/>
      </c>
      <c r="XBN6" s="97" t="str">
        <f t="shared" si="256"/>
        <v/>
      </c>
      <c r="XBO6" s="97" t="str">
        <f t="shared" si="256"/>
        <v/>
      </c>
      <c r="XBP6" s="97" t="str">
        <f t="shared" si="256"/>
        <v/>
      </c>
      <c r="XBQ6" s="97" t="str">
        <f t="shared" si="256"/>
        <v/>
      </c>
      <c r="XBR6" s="97" t="str">
        <f t="shared" si="256"/>
        <v/>
      </c>
      <c r="XBS6" s="97" t="str">
        <f t="shared" si="256"/>
        <v/>
      </c>
      <c r="XBT6" s="97" t="str">
        <f t="shared" si="256"/>
        <v/>
      </c>
      <c r="XBU6" s="97" t="str">
        <f t="shared" si="256"/>
        <v/>
      </c>
      <c r="XBV6" s="97" t="str">
        <f t="shared" si="256"/>
        <v/>
      </c>
      <c r="XBW6" s="97" t="str">
        <f t="shared" si="256"/>
        <v/>
      </c>
      <c r="XBX6" s="97" t="str">
        <f t="shared" si="256"/>
        <v/>
      </c>
      <c r="XBY6" s="97" t="str">
        <f t="shared" si="256"/>
        <v/>
      </c>
      <c r="XBZ6" s="97" t="str">
        <f t="shared" si="256"/>
        <v/>
      </c>
      <c r="XCA6" s="97" t="str">
        <f t="shared" si="256"/>
        <v/>
      </c>
      <c r="XCB6" s="97" t="str">
        <f t="shared" si="256"/>
        <v/>
      </c>
      <c r="XCC6" s="97" t="str">
        <f t="shared" si="256"/>
        <v/>
      </c>
      <c r="XCD6" s="97" t="str">
        <f t="shared" si="256"/>
        <v/>
      </c>
      <c r="XCE6" s="97" t="str">
        <f t="shared" si="256"/>
        <v/>
      </c>
      <c r="XCF6" s="97" t="str">
        <f t="shared" si="256"/>
        <v/>
      </c>
      <c r="XCG6" s="97" t="str">
        <f t="shared" si="256"/>
        <v/>
      </c>
      <c r="XCH6" s="97" t="str">
        <f t="shared" si="256"/>
        <v/>
      </c>
      <c r="XCI6" s="97" t="str">
        <f t="shared" si="256"/>
        <v/>
      </c>
      <c r="XCJ6" s="97" t="str">
        <f t="shared" si="256"/>
        <v/>
      </c>
      <c r="XCK6" s="97" t="str">
        <f t="shared" si="256"/>
        <v/>
      </c>
      <c r="XCL6" s="97" t="str">
        <f t="shared" si="256"/>
        <v/>
      </c>
      <c r="XCM6" s="97" t="str">
        <f t="shared" si="256"/>
        <v/>
      </c>
      <c r="XCN6" s="97" t="str">
        <f t="shared" si="256"/>
        <v/>
      </c>
      <c r="XCO6" s="97" t="str">
        <f t="shared" si="256"/>
        <v/>
      </c>
      <c r="XCP6" s="97" t="str">
        <f t="shared" si="256"/>
        <v/>
      </c>
      <c r="XCQ6" s="97" t="str">
        <f t="shared" si="256"/>
        <v/>
      </c>
      <c r="XCR6" s="97" t="str">
        <f t="shared" si="256"/>
        <v/>
      </c>
      <c r="XCS6" s="97" t="str">
        <f t="shared" si="256"/>
        <v/>
      </c>
      <c r="XCT6" s="97" t="str">
        <f t="shared" si="256"/>
        <v/>
      </c>
      <c r="XCU6" s="97" t="str">
        <f t="shared" si="256"/>
        <v/>
      </c>
      <c r="XCV6" s="97" t="str">
        <f t="shared" si="256"/>
        <v/>
      </c>
      <c r="XCW6" s="97" t="str">
        <f t="shared" si="256"/>
        <v/>
      </c>
      <c r="XCX6" s="97" t="str">
        <f t="shared" ref="XCX6:XFD6" si="257">IFERROR(AVERAGE(XCX7:XCX13),"")</f>
        <v/>
      </c>
      <c r="XCY6" s="97" t="str">
        <f t="shared" si="257"/>
        <v/>
      </c>
      <c r="XCZ6" s="97" t="str">
        <f t="shared" si="257"/>
        <v/>
      </c>
      <c r="XDA6" s="97" t="str">
        <f t="shared" si="257"/>
        <v/>
      </c>
      <c r="XDB6" s="97" t="str">
        <f t="shared" si="257"/>
        <v/>
      </c>
      <c r="XDC6" s="97" t="str">
        <f t="shared" si="257"/>
        <v/>
      </c>
      <c r="XDD6" s="97" t="str">
        <f t="shared" si="257"/>
        <v/>
      </c>
      <c r="XDE6" s="97" t="str">
        <f t="shared" si="257"/>
        <v/>
      </c>
      <c r="XDF6" s="97" t="str">
        <f t="shared" si="257"/>
        <v/>
      </c>
      <c r="XDG6" s="97" t="str">
        <f t="shared" si="257"/>
        <v/>
      </c>
      <c r="XDH6" s="97" t="str">
        <f t="shared" si="257"/>
        <v/>
      </c>
      <c r="XDI6" s="97" t="str">
        <f t="shared" si="257"/>
        <v/>
      </c>
      <c r="XDJ6" s="97" t="str">
        <f t="shared" si="257"/>
        <v/>
      </c>
      <c r="XDK6" s="97" t="str">
        <f t="shared" si="257"/>
        <v/>
      </c>
      <c r="XDL6" s="97" t="str">
        <f t="shared" si="257"/>
        <v/>
      </c>
      <c r="XDM6" s="97" t="str">
        <f t="shared" si="257"/>
        <v/>
      </c>
      <c r="XDN6" s="97" t="str">
        <f t="shared" si="257"/>
        <v/>
      </c>
      <c r="XDO6" s="97" t="str">
        <f t="shared" si="257"/>
        <v/>
      </c>
      <c r="XDP6" s="97" t="str">
        <f t="shared" si="257"/>
        <v/>
      </c>
      <c r="XDQ6" s="97" t="str">
        <f t="shared" si="257"/>
        <v/>
      </c>
      <c r="XDR6" s="97" t="str">
        <f t="shared" si="257"/>
        <v/>
      </c>
      <c r="XDS6" s="97" t="str">
        <f t="shared" si="257"/>
        <v/>
      </c>
      <c r="XDT6" s="97" t="str">
        <f t="shared" si="257"/>
        <v/>
      </c>
      <c r="XDU6" s="97" t="str">
        <f t="shared" si="257"/>
        <v/>
      </c>
      <c r="XDV6" s="97" t="str">
        <f t="shared" si="257"/>
        <v/>
      </c>
      <c r="XDW6" s="97" t="str">
        <f t="shared" si="257"/>
        <v/>
      </c>
      <c r="XDX6" s="97" t="str">
        <f t="shared" si="257"/>
        <v/>
      </c>
      <c r="XDY6" s="97" t="str">
        <f t="shared" si="257"/>
        <v/>
      </c>
      <c r="XDZ6" s="97" t="str">
        <f t="shared" si="257"/>
        <v/>
      </c>
      <c r="XEA6" s="97" t="str">
        <f t="shared" si="257"/>
        <v/>
      </c>
      <c r="XEB6" s="97" t="str">
        <f t="shared" si="257"/>
        <v/>
      </c>
      <c r="XEC6" s="97" t="str">
        <f t="shared" si="257"/>
        <v/>
      </c>
      <c r="XED6" s="97" t="str">
        <f t="shared" si="257"/>
        <v/>
      </c>
      <c r="XEE6" s="97" t="str">
        <f t="shared" si="257"/>
        <v/>
      </c>
      <c r="XEF6" s="97" t="str">
        <f t="shared" si="257"/>
        <v/>
      </c>
      <c r="XEG6" s="97" t="str">
        <f t="shared" si="257"/>
        <v/>
      </c>
      <c r="XEH6" s="97" t="str">
        <f t="shared" si="257"/>
        <v/>
      </c>
      <c r="XEI6" s="97" t="str">
        <f t="shared" si="257"/>
        <v/>
      </c>
      <c r="XEJ6" s="97" t="str">
        <f t="shared" si="257"/>
        <v/>
      </c>
      <c r="XEK6" s="97" t="str">
        <f t="shared" si="257"/>
        <v/>
      </c>
      <c r="XEL6" s="97" t="str">
        <f t="shared" si="257"/>
        <v/>
      </c>
      <c r="XEM6" s="97" t="str">
        <f t="shared" si="257"/>
        <v/>
      </c>
      <c r="XEN6" s="97" t="str">
        <f t="shared" si="257"/>
        <v/>
      </c>
      <c r="XEO6" s="97" t="str">
        <f t="shared" si="257"/>
        <v/>
      </c>
      <c r="XEP6" s="97" t="str">
        <f t="shared" si="257"/>
        <v/>
      </c>
      <c r="XEQ6" s="97" t="str">
        <f t="shared" si="257"/>
        <v/>
      </c>
      <c r="XER6" s="97" t="str">
        <f t="shared" si="257"/>
        <v/>
      </c>
      <c r="XES6" s="97" t="str">
        <f t="shared" si="257"/>
        <v/>
      </c>
      <c r="XET6" s="97" t="str">
        <f t="shared" si="257"/>
        <v/>
      </c>
      <c r="XEU6" s="97" t="str">
        <f t="shared" si="257"/>
        <v/>
      </c>
      <c r="XEV6" s="97" t="str">
        <f t="shared" si="257"/>
        <v/>
      </c>
      <c r="XEW6" s="97" t="str">
        <f t="shared" si="257"/>
        <v/>
      </c>
      <c r="XEX6" s="97" t="str">
        <f t="shared" si="257"/>
        <v/>
      </c>
      <c r="XEY6" s="97" t="str">
        <f t="shared" si="257"/>
        <v/>
      </c>
      <c r="XEZ6" s="97" t="str">
        <f t="shared" si="257"/>
        <v/>
      </c>
      <c r="XFA6" s="97" t="str">
        <f t="shared" si="257"/>
        <v/>
      </c>
      <c r="XFB6" s="97" t="str">
        <f t="shared" si="257"/>
        <v/>
      </c>
      <c r="XFC6" s="97" t="str">
        <f t="shared" si="257"/>
        <v/>
      </c>
      <c r="XFD6" s="97" t="str">
        <f t="shared" si="257"/>
        <v/>
      </c>
    </row>
    <row r="7" spans="1:16384" ht="27" customHeight="1">
      <c r="A7" s="30"/>
      <c r="B7" s="801"/>
      <c r="C7" s="74" t="s">
        <v>1590</v>
      </c>
      <c r="D7" s="72">
        <v>43663</v>
      </c>
      <c r="E7" s="98">
        <v>100</v>
      </c>
      <c r="F7" s="98">
        <v>75</v>
      </c>
      <c r="G7" s="98">
        <v>75</v>
      </c>
      <c r="H7" s="98">
        <v>90</v>
      </c>
      <c r="I7" s="98">
        <v>78</v>
      </c>
      <c r="J7" s="98">
        <v>90</v>
      </c>
      <c r="K7" s="98">
        <v>100</v>
      </c>
      <c r="L7" s="98">
        <v>100</v>
      </c>
      <c r="M7" s="98">
        <v>100</v>
      </c>
      <c r="N7" s="98">
        <v>100</v>
      </c>
      <c r="O7" s="98">
        <v>100</v>
      </c>
      <c r="P7" s="98">
        <v>90</v>
      </c>
      <c r="Q7" s="98">
        <v>100</v>
      </c>
      <c r="R7" s="98">
        <v>100</v>
      </c>
      <c r="S7" s="98">
        <v>75</v>
      </c>
      <c r="T7" s="98">
        <v>75</v>
      </c>
      <c r="U7" s="98">
        <v>100</v>
      </c>
      <c r="V7" s="98">
        <v>100</v>
      </c>
      <c r="W7" s="98">
        <v>90</v>
      </c>
      <c r="X7" s="98">
        <v>80</v>
      </c>
      <c r="Y7" s="98">
        <v>100</v>
      </c>
      <c r="Z7" s="98">
        <v>75</v>
      </c>
      <c r="AA7" s="98">
        <v>100</v>
      </c>
      <c r="AB7" s="98">
        <v>100</v>
      </c>
      <c r="AC7" s="98"/>
      <c r="AD7" s="98"/>
      <c r="AE7" s="98"/>
      <c r="AF7" s="98"/>
      <c r="AG7" s="98"/>
      <c r="AH7" s="98"/>
    </row>
    <row r="8" spans="1:16384" ht="27" customHeight="1">
      <c r="A8" s="30"/>
      <c r="B8" s="801"/>
      <c r="C8" s="74" t="s">
        <v>1591</v>
      </c>
      <c r="D8" s="72">
        <v>43670</v>
      </c>
      <c r="E8" s="98">
        <v>80</v>
      </c>
      <c r="F8" s="98">
        <v>75</v>
      </c>
      <c r="G8" s="98">
        <v>75</v>
      </c>
      <c r="H8" s="98">
        <v>90</v>
      </c>
      <c r="I8" s="98">
        <v>80</v>
      </c>
      <c r="J8" s="98">
        <v>90</v>
      </c>
      <c r="K8" s="98">
        <v>100</v>
      </c>
      <c r="L8" s="98">
        <v>75</v>
      </c>
      <c r="M8" s="98">
        <v>75</v>
      </c>
      <c r="N8" s="98">
        <v>90</v>
      </c>
      <c r="O8" s="98">
        <v>80</v>
      </c>
      <c r="P8" s="98">
        <v>90</v>
      </c>
      <c r="Q8" s="98">
        <v>78</v>
      </c>
      <c r="R8" s="98">
        <v>100</v>
      </c>
      <c r="S8" s="98">
        <v>75</v>
      </c>
      <c r="T8" s="98">
        <v>75</v>
      </c>
      <c r="U8" s="98">
        <v>95</v>
      </c>
      <c r="V8" s="98">
        <v>80</v>
      </c>
      <c r="W8" s="98">
        <v>75</v>
      </c>
      <c r="X8" s="98">
        <v>100</v>
      </c>
      <c r="Y8" s="98">
        <v>80</v>
      </c>
      <c r="Z8" s="98">
        <v>75</v>
      </c>
      <c r="AA8" s="98">
        <v>85</v>
      </c>
      <c r="AB8" s="98">
        <v>85</v>
      </c>
      <c r="AC8" s="98"/>
      <c r="AD8" s="98"/>
      <c r="AE8" s="98"/>
      <c r="AF8" s="98"/>
      <c r="AG8" s="98"/>
      <c r="AH8" s="98"/>
    </row>
    <row r="9" spans="1:16384" ht="27" hidden="1" customHeight="1">
      <c r="A9" s="30"/>
      <c r="B9" s="801"/>
      <c r="C9" s="74"/>
      <c r="D9" s="72"/>
      <c r="E9" s="98"/>
      <c r="F9" s="98"/>
      <c r="G9" s="98"/>
      <c r="H9" s="98"/>
      <c r="I9" s="98"/>
      <c r="J9" s="98"/>
      <c r="K9" s="98"/>
      <c r="L9" s="98"/>
      <c r="M9" s="98"/>
      <c r="N9" s="98"/>
      <c r="O9" s="98"/>
      <c r="P9" s="98"/>
      <c r="Q9" s="98"/>
      <c r="R9" s="98"/>
      <c r="S9" s="98"/>
      <c r="T9" s="98"/>
      <c r="U9" s="98"/>
      <c r="V9" s="98"/>
      <c r="W9" s="98"/>
      <c r="X9" s="98"/>
      <c r="Y9" s="98"/>
      <c r="Z9" s="98"/>
      <c r="AA9" s="98"/>
      <c r="AB9" s="98"/>
      <c r="AC9" s="98"/>
      <c r="AD9" s="98"/>
      <c r="AE9" s="98"/>
      <c r="AF9" s="98"/>
      <c r="AG9" s="98"/>
      <c r="AH9" s="98"/>
    </row>
    <row r="10" spans="1:16384" ht="27" hidden="1" customHeight="1">
      <c r="A10" s="30"/>
      <c r="B10" s="801"/>
      <c r="C10" s="74"/>
      <c r="D10" s="72"/>
      <c r="E10" s="98"/>
      <c r="F10" s="98"/>
      <c r="G10" s="98"/>
      <c r="H10" s="98"/>
      <c r="I10" s="98"/>
      <c r="J10" s="98"/>
      <c r="K10" s="98"/>
      <c r="L10" s="98"/>
      <c r="M10" s="98"/>
      <c r="N10" s="98"/>
      <c r="O10" s="98"/>
      <c r="P10" s="98"/>
      <c r="Q10" s="98"/>
      <c r="R10" s="98"/>
      <c r="S10" s="98"/>
      <c r="T10" s="98"/>
      <c r="U10" s="98"/>
      <c r="V10" s="98"/>
      <c r="W10" s="98"/>
      <c r="X10" s="98"/>
      <c r="Y10" s="98"/>
      <c r="Z10" s="98"/>
      <c r="AA10" s="98"/>
      <c r="AB10" s="98"/>
      <c r="AC10" s="98"/>
      <c r="AD10" s="98"/>
      <c r="AE10" s="98"/>
      <c r="AF10" s="98"/>
      <c r="AG10" s="98"/>
      <c r="AH10" s="98"/>
    </row>
    <row r="11" spans="1:16384" ht="27" hidden="1" customHeight="1">
      <c r="A11" s="30"/>
      <c r="B11" s="801"/>
      <c r="C11" s="74"/>
      <c r="D11" s="72"/>
      <c r="E11" s="98"/>
      <c r="F11" s="98"/>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row>
    <row r="12" spans="1:16384" ht="27" hidden="1" customHeight="1">
      <c r="A12" s="30"/>
      <c r="B12" s="801"/>
      <c r="C12" s="74"/>
      <c r="D12" s="72"/>
      <c r="E12" s="98"/>
      <c r="F12" s="98"/>
      <c r="G12" s="98"/>
      <c r="H12" s="98"/>
      <c r="I12" s="98"/>
      <c r="J12" s="98"/>
      <c r="K12" s="98"/>
      <c r="L12" s="98"/>
      <c r="M12" s="98"/>
      <c r="N12" s="98"/>
      <c r="O12" s="98"/>
      <c r="P12" s="98"/>
      <c r="Q12" s="98"/>
      <c r="R12" s="98"/>
      <c r="S12" s="98"/>
      <c r="T12" s="98"/>
      <c r="U12" s="98"/>
      <c r="V12" s="98"/>
      <c r="W12" s="98"/>
      <c r="X12" s="98"/>
      <c r="Y12" s="98"/>
      <c r="Z12" s="98"/>
      <c r="AA12" s="98"/>
      <c r="AB12" s="98"/>
      <c r="AC12" s="98"/>
      <c r="AD12" s="98"/>
      <c r="AE12" s="98"/>
      <c r="AF12" s="98"/>
      <c r="AG12" s="98"/>
      <c r="AH12" s="98"/>
    </row>
    <row r="13" spans="1:16384" ht="27" hidden="1" customHeight="1">
      <c r="A13" s="30"/>
      <c r="B13" s="802"/>
      <c r="C13" s="74"/>
      <c r="D13" s="72"/>
      <c r="E13" s="98"/>
      <c r="F13" s="98"/>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row>
    <row r="14" spans="1:16384" ht="27" customHeight="1">
      <c r="A14" s="30"/>
      <c r="B14" s="800">
        <v>2</v>
      </c>
      <c r="C14" s="795" t="s">
        <v>1592</v>
      </c>
      <c r="D14" s="796"/>
      <c r="E14" s="97">
        <f>IFERROR(AVERAGE(E15:E21),"")</f>
        <v>100</v>
      </c>
      <c r="F14" s="97">
        <f t="shared" ref="F14:AA14" si="258">IFERROR(AVERAGE(F15:F21),"")</f>
        <v>100</v>
      </c>
      <c r="G14" s="97">
        <f t="shared" si="258"/>
        <v>100</v>
      </c>
      <c r="H14" s="97">
        <f t="shared" si="258"/>
        <v>100</v>
      </c>
      <c r="I14" s="97">
        <f t="shared" si="258"/>
        <v>100</v>
      </c>
      <c r="J14" s="97">
        <f t="shared" si="258"/>
        <v>100</v>
      </c>
      <c r="K14" s="97">
        <f t="shared" si="258"/>
        <v>100</v>
      </c>
      <c r="L14" s="97">
        <f t="shared" si="258"/>
        <v>100</v>
      </c>
      <c r="M14" s="97">
        <f t="shared" si="258"/>
        <v>100</v>
      </c>
      <c r="N14" s="97">
        <f t="shared" si="258"/>
        <v>100</v>
      </c>
      <c r="O14" s="97">
        <f t="shared" si="258"/>
        <v>100</v>
      </c>
      <c r="P14" s="97">
        <f t="shared" si="258"/>
        <v>100</v>
      </c>
      <c r="Q14" s="97">
        <f t="shared" si="258"/>
        <v>100</v>
      </c>
      <c r="R14" s="97">
        <f t="shared" si="258"/>
        <v>100</v>
      </c>
      <c r="S14" s="97">
        <f t="shared" si="258"/>
        <v>100</v>
      </c>
      <c r="T14" s="97">
        <f t="shared" si="258"/>
        <v>100</v>
      </c>
      <c r="U14" s="97">
        <f t="shared" si="258"/>
        <v>100</v>
      </c>
      <c r="V14" s="97">
        <f t="shared" si="258"/>
        <v>100</v>
      </c>
      <c r="W14" s="97">
        <f t="shared" si="258"/>
        <v>100</v>
      </c>
      <c r="X14" s="97">
        <f t="shared" si="258"/>
        <v>100</v>
      </c>
      <c r="Y14" s="97">
        <f t="shared" si="258"/>
        <v>100</v>
      </c>
      <c r="Z14" s="97">
        <f t="shared" si="258"/>
        <v>100</v>
      </c>
      <c r="AA14" s="97">
        <f t="shared" si="258"/>
        <v>100</v>
      </c>
      <c r="AB14" s="97">
        <f t="shared" ref="AB14:AH14" si="259">IFERROR(AVERAGE(AB15:AB21),"")</f>
        <v>100</v>
      </c>
      <c r="AC14" s="97" t="str">
        <f t="shared" si="259"/>
        <v/>
      </c>
      <c r="AD14" s="97" t="str">
        <f t="shared" si="259"/>
        <v/>
      </c>
      <c r="AE14" s="97" t="str">
        <f t="shared" si="259"/>
        <v/>
      </c>
      <c r="AF14" s="97" t="str">
        <f t="shared" si="259"/>
        <v/>
      </c>
      <c r="AG14" s="97" t="str">
        <f t="shared" si="259"/>
        <v/>
      </c>
      <c r="AH14" s="97" t="str">
        <f t="shared" si="259"/>
        <v/>
      </c>
    </row>
    <row r="15" spans="1:16384" ht="27" customHeight="1">
      <c r="A15" s="30"/>
      <c r="B15" s="801"/>
      <c r="C15" s="74" t="s">
        <v>1593</v>
      </c>
      <c r="D15" s="72">
        <v>43654</v>
      </c>
      <c r="E15" s="98">
        <v>100</v>
      </c>
      <c r="F15" s="98">
        <v>100</v>
      </c>
      <c r="G15" s="98">
        <v>100</v>
      </c>
      <c r="H15" s="98">
        <v>100</v>
      </c>
      <c r="I15" s="98">
        <v>100</v>
      </c>
      <c r="J15" s="98">
        <v>100</v>
      </c>
      <c r="K15" s="98">
        <v>100</v>
      </c>
      <c r="L15" s="98">
        <v>100</v>
      </c>
      <c r="M15" s="98">
        <v>100</v>
      </c>
      <c r="N15" s="98">
        <v>100</v>
      </c>
      <c r="O15" s="98">
        <v>100</v>
      </c>
      <c r="P15" s="98">
        <v>100</v>
      </c>
      <c r="Q15" s="98">
        <v>100</v>
      </c>
      <c r="R15" s="98">
        <v>100</v>
      </c>
      <c r="S15" s="98">
        <v>100</v>
      </c>
      <c r="T15" s="98">
        <v>100</v>
      </c>
      <c r="U15" s="98">
        <v>100</v>
      </c>
      <c r="V15" s="98">
        <v>100</v>
      </c>
      <c r="W15" s="98">
        <v>100</v>
      </c>
      <c r="X15" s="98">
        <v>100</v>
      </c>
      <c r="Y15" s="98">
        <v>100</v>
      </c>
      <c r="Z15" s="98">
        <v>100</v>
      </c>
      <c r="AA15" s="98">
        <v>100</v>
      </c>
      <c r="AB15" s="98">
        <v>100</v>
      </c>
      <c r="AC15" s="98"/>
      <c r="AD15" s="98"/>
      <c r="AE15" s="98"/>
      <c r="AF15" s="98"/>
      <c r="AG15" s="98"/>
      <c r="AH15" s="98"/>
    </row>
    <row r="16" spans="1:16384" ht="27" hidden="1" customHeight="1">
      <c r="A16" s="30"/>
      <c r="B16" s="801"/>
      <c r="C16" s="74"/>
      <c r="D16" s="72"/>
      <c r="E16" s="98"/>
      <c r="F16" s="98"/>
      <c r="G16" s="98"/>
      <c r="H16" s="98"/>
      <c r="I16" s="98"/>
      <c r="J16" s="98"/>
      <c r="K16" s="98"/>
      <c r="L16" s="98"/>
      <c r="M16" s="98"/>
      <c r="N16" s="98"/>
      <c r="O16" s="98"/>
      <c r="P16" s="98"/>
      <c r="Q16" s="98"/>
      <c r="R16" s="98"/>
      <c r="S16" s="98"/>
      <c r="T16" s="98"/>
      <c r="U16" s="98"/>
      <c r="V16" s="98"/>
      <c r="W16" s="98"/>
      <c r="X16" s="98"/>
      <c r="Y16" s="98"/>
      <c r="Z16" s="98"/>
      <c r="AA16" s="98"/>
      <c r="AB16" s="98"/>
      <c r="AC16" s="98"/>
      <c r="AD16" s="98"/>
      <c r="AE16" s="98"/>
      <c r="AF16" s="98"/>
      <c r="AG16" s="98"/>
      <c r="AH16" s="98"/>
    </row>
    <row r="17" spans="1:34" ht="27" hidden="1" customHeight="1">
      <c r="A17" s="30"/>
      <c r="B17" s="801"/>
      <c r="C17" s="74"/>
      <c r="D17" s="72"/>
      <c r="E17" s="98"/>
      <c r="F17" s="98"/>
      <c r="G17" s="98"/>
      <c r="H17" s="98"/>
      <c r="I17" s="98"/>
      <c r="J17" s="98"/>
      <c r="K17" s="98"/>
      <c r="L17" s="98"/>
      <c r="M17" s="98"/>
      <c r="N17" s="98"/>
      <c r="O17" s="98"/>
      <c r="P17" s="98"/>
      <c r="Q17" s="98"/>
      <c r="R17" s="98"/>
      <c r="S17" s="98"/>
      <c r="T17" s="98"/>
      <c r="U17" s="98"/>
      <c r="V17" s="98"/>
      <c r="W17" s="98"/>
      <c r="X17" s="98"/>
      <c r="Y17" s="98"/>
      <c r="Z17" s="98"/>
      <c r="AA17" s="98"/>
      <c r="AB17" s="98"/>
      <c r="AC17" s="98"/>
      <c r="AD17" s="98"/>
      <c r="AE17" s="98"/>
      <c r="AF17" s="98"/>
      <c r="AG17" s="98"/>
      <c r="AH17" s="98"/>
    </row>
    <row r="18" spans="1:34" ht="27" hidden="1" customHeight="1">
      <c r="A18" s="30"/>
      <c r="B18" s="801"/>
      <c r="C18" s="74"/>
      <c r="D18" s="72"/>
      <c r="E18" s="98"/>
      <c r="F18" s="98"/>
      <c r="G18" s="98"/>
      <c r="H18" s="98"/>
      <c r="I18" s="98"/>
      <c r="J18" s="98"/>
      <c r="K18" s="98"/>
      <c r="L18" s="98"/>
      <c r="M18" s="98"/>
      <c r="N18" s="98"/>
      <c r="O18" s="98"/>
      <c r="P18" s="98"/>
      <c r="Q18" s="98"/>
      <c r="R18" s="98"/>
      <c r="S18" s="98"/>
      <c r="T18" s="98"/>
      <c r="U18" s="98"/>
      <c r="V18" s="98"/>
      <c r="W18" s="98"/>
      <c r="X18" s="98"/>
      <c r="Y18" s="98"/>
      <c r="Z18" s="98"/>
      <c r="AA18" s="98"/>
      <c r="AB18" s="98"/>
      <c r="AC18" s="98"/>
      <c r="AD18" s="98"/>
      <c r="AE18" s="98"/>
      <c r="AF18" s="98"/>
      <c r="AG18" s="98"/>
      <c r="AH18" s="98"/>
    </row>
    <row r="19" spans="1:34" ht="27" hidden="1" customHeight="1">
      <c r="A19" s="30"/>
      <c r="B19" s="801"/>
      <c r="C19" s="74"/>
      <c r="D19" s="72"/>
      <c r="E19" s="98"/>
      <c r="F19" s="98"/>
      <c r="G19" s="98"/>
      <c r="H19" s="98"/>
      <c r="I19" s="98"/>
      <c r="J19" s="98"/>
      <c r="K19" s="98"/>
      <c r="L19" s="98"/>
      <c r="M19" s="98"/>
      <c r="N19" s="98"/>
      <c r="O19" s="98"/>
      <c r="P19" s="98"/>
      <c r="Q19" s="98"/>
      <c r="R19" s="98"/>
      <c r="S19" s="98"/>
      <c r="T19" s="98"/>
      <c r="U19" s="98"/>
      <c r="V19" s="98"/>
      <c r="W19" s="98"/>
      <c r="X19" s="98"/>
      <c r="Y19" s="98"/>
      <c r="Z19" s="98"/>
      <c r="AA19" s="98"/>
      <c r="AB19" s="98"/>
      <c r="AC19" s="98"/>
      <c r="AD19" s="98"/>
      <c r="AE19" s="98"/>
      <c r="AF19" s="98"/>
      <c r="AG19" s="98"/>
      <c r="AH19" s="98"/>
    </row>
    <row r="20" spans="1:34" ht="27" hidden="1" customHeight="1">
      <c r="A20" s="30"/>
      <c r="B20" s="801"/>
      <c r="C20" s="74"/>
      <c r="D20" s="72"/>
      <c r="E20" s="98"/>
      <c r="F20" s="98"/>
      <c r="G20" s="98"/>
      <c r="H20" s="98"/>
      <c r="I20" s="98"/>
      <c r="J20" s="98"/>
      <c r="K20" s="98"/>
      <c r="L20" s="98"/>
      <c r="M20" s="98"/>
      <c r="N20" s="98"/>
      <c r="O20" s="98"/>
      <c r="P20" s="98"/>
      <c r="Q20" s="98"/>
      <c r="R20" s="98"/>
      <c r="S20" s="98"/>
      <c r="T20" s="98"/>
      <c r="U20" s="98"/>
      <c r="V20" s="98"/>
      <c r="W20" s="98"/>
      <c r="X20" s="98"/>
      <c r="Y20" s="98"/>
      <c r="Z20" s="98"/>
      <c r="AA20" s="98"/>
      <c r="AB20" s="98"/>
      <c r="AC20" s="98"/>
      <c r="AD20" s="98"/>
      <c r="AE20" s="98"/>
      <c r="AF20" s="98"/>
      <c r="AG20" s="98"/>
      <c r="AH20" s="98"/>
    </row>
    <row r="21" spans="1:34" ht="27" hidden="1" customHeight="1">
      <c r="A21" s="30"/>
      <c r="B21" s="802"/>
      <c r="C21" s="74"/>
      <c r="D21" s="72"/>
      <c r="E21" s="98"/>
      <c r="F21" s="98"/>
      <c r="G21" s="98"/>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row>
    <row r="22" spans="1:34" ht="27" customHeight="1">
      <c r="A22" s="30"/>
      <c r="B22" s="801">
        <v>3</v>
      </c>
      <c r="C22" s="795" t="s">
        <v>1594</v>
      </c>
      <c r="D22" s="796"/>
      <c r="E22" s="97">
        <f>IFERROR(AVERAGE(E23:E29),"")</f>
        <v>85</v>
      </c>
      <c r="F22" s="97">
        <f t="shared" ref="F22:AA22" si="260">IFERROR(AVERAGE(F23:F29),"")</f>
        <v>100</v>
      </c>
      <c r="G22" s="97">
        <f t="shared" si="260"/>
        <v>80</v>
      </c>
      <c r="H22" s="97">
        <f t="shared" si="260"/>
        <v>90</v>
      </c>
      <c r="I22" s="97">
        <f t="shared" si="260"/>
        <v>85</v>
      </c>
      <c r="J22" s="97">
        <f t="shared" si="260"/>
        <v>98</v>
      </c>
      <c r="K22" s="97">
        <f t="shared" si="260"/>
        <v>75</v>
      </c>
      <c r="L22" s="97">
        <f t="shared" si="260"/>
        <v>100</v>
      </c>
      <c r="M22" s="97">
        <f t="shared" si="260"/>
        <v>98</v>
      </c>
      <c r="N22" s="97">
        <f t="shared" si="260"/>
        <v>75</v>
      </c>
      <c r="O22" s="97">
        <f t="shared" si="260"/>
        <v>100</v>
      </c>
      <c r="P22" s="97">
        <f t="shared" si="260"/>
        <v>75</v>
      </c>
      <c r="Q22" s="97">
        <f t="shared" si="260"/>
        <v>100</v>
      </c>
      <c r="R22" s="97">
        <f t="shared" si="260"/>
        <v>75</v>
      </c>
      <c r="S22" s="97">
        <f t="shared" si="260"/>
        <v>75</v>
      </c>
      <c r="T22" s="97">
        <f t="shared" si="260"/>
        <v>92</v>
      </c>
      <c r="U22" s="97">
        <f t="shared" si="260"/>
        <v>98</v>
      </c>
      <c r="V22" s="97">
        <f t="shared" si="260"/>
        <v>92</v>
      </c>
      <c r="W22" s="97">
        <f t="shared" si="260"/>
        <v>75</v>
      </c>
      <c r="X22" s="97">
        <f t="shared" si="260"/>
        <v>92</v>
      </c>
      <c r="Y22" s="97">
        <f t="shared" si="260"/>
        <v>92</v>
      </c>
      <c r="Z22" s="97">
        <f t="shared" si="260"/>
        <v>75</v>
      </c>
      <c r="AA22" s="97">
        <f t="shared" si="260"/>
        <v>80</v>
      </c>
      <c r="AB22" s="97">
        <f t="shared" ref="AB22:AH22" si="261">IFERROR(AVERAGE(AB23:AB29),"")</f>
        <v>92</v>
      </c>
      <c r="AC22" s="97" t="str">
        <f t="shared" si="261"/>
        <v/>
      </c>
      <c r="AD22" s="97" t="str">
        <f t="shared" si="261"/>
        <v/>
      </c>
      <c r="AE22" s="97" t="str">
        <f t="shared" si="261"/>
        <v/>
      </c>
      <c r="AF22" s="97" t="str">
        <f t="shared" si="261"/>
        <v/>
      </c>
      <c r="AG22" s="97" t="str">
        <f t="shared" si="261"/>
        <v/>
      </c>
      <c r="AH22" s="97" t="str">
        <f t="shared" si="261"/>
        <v/>
      </c>
    </row>
    <row r="23" spans="1:34" ht="27" customHeight="1">
      <c r="A23" s="30"/>
      <c r="B23" s="794"/>
      <c r="C23" s="573" t="s">
        <v>1595</v>
      </c>
      <c r="D23" s="574" t="s">
        <v>1865</v>
      </c>
      <c r="E23" s="98">
        <v>85</v>
      </c>
      <c r="F23" s="98">
        <v>100</v>
      </c>
      <c r="G23" s="98">
        <v>80</v>
      </c>
      <c r="H23" s="98">
        <v>90</v>
      </c>
      <c r="I23" s="98">
        <v>85</v>
      </c>
      <c r="J23" s="98">
        <v>98</v>
      </c>
      <c r="K23" s="98">
        <v>75</v>
      </c>
      <c r="L23" s="98">
        <v>100</v>
      </c>
      <c r="M23" s="98">
        <v>98</v>
      </c>
      <c r="N23" s="98">
        <v>75</v>
      </c>
      <c r="O23" s="98">
        <v>100</v>
      </c>
      <c r="P23" s="98">
        <v>75</v>
      </c>
      <c r="Q23" s="98">
        <v>100</v>
      </c>
      <c r="R23" s="98">
        <v>75</v>
      </c>
      <c r="S23" s="98">
        <v>75</v>
      </c>
      <c r="T23" s="98">
        <v>92</v>
      </c>
      <c r="U23" s="98">
        <v>98</v>
      </c>
      <c r="V23" s="98">
        <v>92</v>
      </c>
      <c r="W23" s="98">
        <v>75</v>
      </c>
      <c r="X23" s="98">
        <v>92</v>
      </c>
      <c r="Y23" s="98">
        <v>92</v>
      </c>
      <c r="Z23" s="98">
        <v>75</v>
      </c>
      <c r="AA23" s="98">
        <v>80</v>
      </c>
      <c r="AB23" s="98">
        <v>92</v>
      </c>
      <c r="AC23" s="98"/>
      <c r="AD23" s="98"/>
      <c r="AE23" s="98"/>
      <c r="AF23" s="98"/>
      <c r="AG23" s="98"/>
      <c r="AH23" s="98"/>
    </row>
    <row r="24" spans="1:34" ht="27" customHeight="1">
      <c r="A24" s="30"/>
      <c r="B24" s="794"/>
      <c r="C24" s="74" t="s">
        <v>1596</v>
      </c>
      <c r="D24" s="72" t="s">
        <v>1865</v>
      </c>
      <c r="E24" s="98">
        <v>85</v>
      </c>
      <c r="F24" s="98">
        <v>100</v>
      </c>
      <c r="G24" s="98">
        <v>80</v>
      </c>
      <c r="H24" s="98">
        <v>90</v>
      </c>
      <c r="I24" s="98">
        <v>85</v>
      </c>
      <c r="J24" s="98">
        <v>98</v>
      </c>
      <c r="K24" s="98">
        <v>75</v>
      </c>
      <c r="L24" s="98">
        <v>100</v>
      </c>
      <c r="M24" s="98">
        <v>98</v>
      </c>
      <c r="N24" s="98">
        <v>75</v>
      </c>
      <c r="O24" s="98">
        <v>100</v>
      </c>
      <c r="P24" s="98">
        <v>75</v>
      </c>
      <c r="Q24" s="98">
        <v>100</v>
      </c>
      <c r="R24" s="98">
        <v>75</v>
      </c>
      <c r="S24" s="98">
        <v>75</v>
      </c>
      <c r="T24" s="98">
        <v>92</v>
      </c>
      <c r="U24" s="98">
        <v>98</v>
      </c>
      <c r="V24" s="98">
        <v>92</v>
      </c>
      <c r="W24" s="98">
        <v>75</v>
      </c>
      <c r="X24" s="98">
        <v>92</v>
      </c>
      <c r="Y24" s="98">
        <v>92</v>
      </c>
      <c r="Z24" s="98">
        <v>75</v>
      </c>
      <c r="AA24" s="98">
        <v>80</v>
      </c>
      <c r="AB24" s="98">
        <v>92</v>
      </c>
      <c r="AC24" s="98"/>
      <c r="AD24" s="98"/>
      <c r="AE24" s="98"/>
      <c r="AF24" s="98"/>
      <c r="AG24" s="98"/>
      <c r="AH24" s="98"/>
    </row>
    <row r="25" spans="1:34" ht="27" hidden="1" customHeight="1">
      <c r="A25" s="30"/>
      <c r="B25" s="794"/>
      <c r="C25" s="74"/>
      <c r="D25" s="72"/>
      <c r="E25" s="98"/>
      <c r="F25" s="98"/>
      <c r="G25" s="98"/>
      <c r="H25" s="98"/>
      <c r="I25" s="98"/>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row>
    <row r="26" spans="1:34" ht="27" hidden="1" customHeight="1">
      <c r="A26" s="30"/>
      <c r="B26" s="794"/>
      <c r="C26" s="74"/>
      <c r="D26" s="72"/>
      <c r="E26" s="98"/>
      <c r="F26" s="98"/>
      <c r="G26" s="98"/>
      <c r="H26" s="98"/>
      <c r="I26" s="98"/>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row>
    <row r="27" spans="1:34" ht="27" hidden="1" customHeight="1">
      <c r="A27" s="30"/>
      <c r="B27" s="794"/>
      <c r="C27" s="74"/>
      <c r="D27" s="72"/>
      <c r="E27" s="98"/>
      <c r="F27" s="98"/>
      <c r="G27" s="98"/>
      <c r="H27" s="98"/>
      <c r="I27" s="98"/>
      <c r="J27" s="98"/>
      <c r="K27" s="98"/>
      <c r="L27" s="98"/>
      <c r="M27" s="98"/>
      <c r="N27" s="98"/>
      <c r="O27" s="98"/>
      <c r="P27" s="98"/>
      <c r="Q27" s="98"/>
      <c r="R27" s="98"/>
      <c r="S27" s="98"/>
      <c r="T27" s="98"/>
      <c r="U27" s="98"/>
      <c r="V27" s="98"/>
      <c r="W27" s="98"/>
      <c r="X27" s="98"/>
      <c r="Y27" s="98"/>
      <c r="Z27" s="98"/>
      <c r="AA27" s="98"/>
      <c r="AB27" s="98"/>
      <c r="AC27" s="98"/>
      <c r="AD27" s="98"/>
      <c r="AE27" s="98"/>
      <c r="AF27" s="98"/>
      <c r="AG27" s="98"/>
      <c r="AH27" s="98"/>
    </row>
    <row r="28" spans="1:34" ht="27" hidden="1" customHeight="1">
      <c r="A28" s="30"/>
      <c r="B28" s="794"/>
      <c r="C28" s="74"/>
      <c r="D28" s="72"/>
      <c r="E28" s="98"/>
      <c r="F28" s="98"/>
      <c r="G28" s="98"/>
      <c r="H28" s="98"/>
      <c r="I28" s="98"/>
      <c r="J28" s="98"/>
      <c r="K28" s="98"/>
      <c r="L28" s="98"/>
      <c r="M28" s="98"/>
      <c r="N28" s="98"/>
      <c r="O28" s="98"/>
      <c r="P28" s="98"/>
      <c r="Q28" s="98"/>
      <c r="R28" s="98"/>
      <c r="S28" s="98"/>
      <c r="T28" s="98"/>
      <c r="U28" s="98"/>
      <c r="V28" s="98"/>
      <c r="W28" s="98"/>
      <c r="X28" s="98"/>
      <c r="Y28" s="98"/>
      <c r="Z28" s="98"/>
      <c r="AA28" s="98"/>
      <c r="AB28" s="98"/>
      <c r="AC28" s="98"/>
      <c r="AD28" s="98"/>
      <c r="AE28" s="98"/>
      <c r="AF28" s="98"/>
      <c r="AG28" s="98"/>
      <c r="AH28" s="98"/>
    </row>
    <row r="29" spans="1:34" ht="27" hidden="1" customHeight="1">
      <c r="A29" s="30"/>
      <c r="B29" s="802"/>
      <c r="C29" s="74"/>
      <c r="D29" s="72"/>
      <c r="E29" s="98"/>
      <c r="F29" s="98"/>
      <c r="G29" s="98"/>
      <c r="H29" s="98"/>
      <c r="I29" s="98"/>
      <c r="J29" s="98"/>
      <c r="K29" s="98"/>
      <c r="L29" s="98"/>
      <c r="M29" s="98"/>
      <c r="N29" s="98"/>
      <c r="O29" s="98"/>
      <c r="P29" s="98"/>
      <c r="Q29" s="98"/>
      <c r="R29" s="98"/>
      <c r="S29" s="98"/>
      <c r="T29" s="98"/>
      <c r="U29" s="98"/>
      <c r="V29" s="98"/>
      <c r="W29" s="98"/>
      <c r="X29" s="98"/>
      <c r="Y29" s="98"/>
      <c r="Z29" s="98"/>
      <c r="AA29" s="98"/>
      <c r="AB29" s="98"/>
      <c r="AC29" s="98"/>
      <c r="AD29" s="98"/>
      <c r="AE29" s="98"/>
      <c r="AF29" s="98"/>
      <c r="AG29" s="98"/>
      <c r="AH29" s="98"/>
    </row>
    <row r="30" spans="1:34" ht="27" customHeight="1">
      <c r="A30" s="30"/>
      <c r="B30" s="800">
        <v>4</v>
      </c>
      <c r="C30" s="795" t="s">
        <v>1597</v>
      </c>
      <c r="D30" s="796"/>
      <c r="E30" s="97">
        <f>IFERROR(AVERAGE(E31:E37),"")</f>
        <v>90</v>
      </c>
      <c r="F30" s="97">
        <f t="shared" ref="F30:AA30" si="262">IFERROR(AVERAGE(F31:F37),"")</f>
        <v>75</v>
      </c>
      <c r="G30" s="97">
        <f t="shared" si="262"/>
        <v>75</v>
      </c>
      <c r="H30" s="97">
        <f t="shared" si="262"/>
        <v>90</v>
      </c>
      <c r="I30" s="97">
        <f t="shared" si="262"/>
        <v>78</v>
      </c>
      <c r="J30" s="97">
        <f t="shared" si="262"/>
        <v>90</v>
      </c>
      <c r="K30" s="97">
        <f t="shared" si="262"/>
        <v>100</v>
      </c>
      <c r="L30" s="97">
        <f t="shared" si="262"/>
        <v>100</v>
      </c>
      <c r="M30" s="97">
        <f t="shared" si="262"/>
        <v>100</v>
      </c>
      <c r="N30" s="97">
        <f t="shared" si="262"/>
        <v>100</v>
      </c>
      <c r="O30" s="97">
        <f t="shared" si="262"/>
        <v>100</v>
      </c>
      <c r="P30" s="97">
        <f t="shared" si="262"/>
        <v>90</v>
      </c>
      <c r="Q30" s="97">
        <f t="shared" si="262"/>
        <v>100</v>
      </c>
      <c r="R30" s="97">
        <f t="shared" si="262"/>
        <v>100</v>
      </c>
      <c r="S30" s="97">
        <f t="shared" si="262"/>
        <v>75</v>
      </c>
      <c r="T30" s="97">
        <f t="shared" si="262"/>
        <v>75</v>
      </c>
      <c r="U30" s="97">
        <f t="shared" si="262"/>
        <v>100</v>
      </c>
      <c r="V30" s="97">
        <f t="shared" si="262"/>
        <v>100</v>
      </c>
      <c r="W30" s="97">
        <f t="shared" si="262"/>
        <v>90</v>
      </c>
      <c r="X30" s="97">
        <f t="shared" si="262"/>
        <v>80</v>
      </c>
      <c r="Y30" s="97">
        <f t="shared" si="262"/>
        <v>100</v>
      </c>
      <c r="Z30" s="97">
        <f t="shared" si="262"/>
        <v>75</v>
      </c>
      <c r="AA30" s="97">
        <f t="shared" si="262"/>
        <v>100</v>
      </c>
      <c r="AB30" s="97">
        <f t="shared" ref="AB30:AH30" si="263">IFERROR(AVERAGE(AB31:AB37),"")</f>
        <v>100</v>
      </c>
      <c r="AC30" s="97" t="str">
        <f t="shared" si="263"/>
        <v/>
      </c>
      <c r="AD30" s="97" t="str">
        <f t="shared" si="263"/>
        <v/>
      </c>
      <c r="AE30" s="97" t="str">
        <f t="shared" si="263"/>
        <v/>
      </c>
      <c r="AF30" s="97" t="str">
        <f t="shared" si="263"/>
        <v/>
      </c>
      <c r="AG30" s="97" t="str">
        <f t="shared" si="263"/>
        <v/>
      </c>
      <c r="AH30" s="97" t="str">
        <f t="shared" si="263"/>
        <v/>
      </c>
    </row>
    <row r="31" spans="1:34" ht="27" customHeight="1">
      <c r="A31" s="30"/>
      <c r="B31" s="801"/>
      <c r="C31" s="575" t="s">
        <v>1598</v>
      </c>
      <c r="D31" s="72">
        <v>43778</v>
      </c>
      <c r="E31" s="98">
        <v>90</v>
      </c>
      <c r="F31" s="98">
        <v>75</v>
      </c>
      <c r="G31" s="98">
        <v>75</v>
      </c>
      <c r="H31" s="98">
        <v>90</v>
      </c>
      <c r="I31" s="98">
        <v>78</v>
      </c>
      <c r="J31" s="98">
        <v>90</v>
      </c>
      <c r="K31" s="98">
        <v>100</v>
      </c>
      <c r="L31" s="98">
        <v>100</v>
      </c>
      <c r="M31" s="98">
        <v>100</v>
      </c>
      <c r="N31" s="98">
        <v>100</v>
      </c>
      <c r="O31" s="98">
        <v>100</v>
      </c>
      <c r="P31" s="98">
        <v>90</v>
      </c>
      <c r="Q31" s="98">
        <v>100</v>
      </c>
      <c r="R31" s="98">
        <v>100</v>
      </c>
      <c r="S31" s="98">
        <v>75</v>
      </c>
      <c r="T31" s="98">
        <v>75</v>
      </c>
      <c r="U31" s="98">
        <v>100</v>
      </c>
      <c r="V31" s="98">
        <v>100</v>
      </c>
      <c r="W31" s="98">
        <v>90</v>
      </c>
      <c r="X31" s="98">
        <v>80</v>
      </c>
      <c r="Y31" s="98">
        <v>100</v>
      </c>
      <c r="Z31" s="98">
        <v>75</v>
      </c>
      <c r="AA31" s="98">
        <v>100</v>
      </c>
      <c r="AB31" s="98">
        <v>100</v>
      </c>
      <c r="AC31" s="98"/>
      <c r="AD31" s="98"/>
      <c r="AE31" s="98"/>
      <c r="AF31" s="98"/>
      <c r="AG31" s="98"/>
      <c r="AH31" s="98"/>
    </row>
    <row r="32" spans="1:34" ht="27" hidden="1" customHeight="1">
      <c r="A32" s="30"/>
      <c r="B32" s="801"/>
      <c r="C32" s="74"/>
      <c r="D32" s="72"/>
      <c r="E32" s="98"/>
      <c r="F32" s="98"/>
      <c r="G32" s="98"/>
      <c r="H32" s="98"/>
      <c r="I32" s="98"/>
      <c r="J32" s="98"/>
      <c r="K32" s="98"/>
      <c r="L32" s="98"/>
      <c r="M32" s="98"/>
      <c r="N32" s="98"/>
      <c r="O32" s="98"/>
      <c r="P32" s="98"/>
      <c r="Q32" s="98"/>
      <c r="R32" s="98"/>
      <c r="S32" s="98"/>
      <c r="T32" s="98"/>
      <c r="U32" s="98"/>
      <c r="V32" s="98"/>
      <c r="W32" s="98"/>
      <c r="X32" s="98"/>
      <c r="Y32" s="98"/>
      <c r="Z32" s="98"/>
      <c r="AA32" s="98"/>
      <c r="AB32" s="98"/>
      <c r="AC32" s="98"/>
      <c r="AD32" s="98"/>
      <c r="AE32" s="98"/>
      <c r="AF32" s="98"/>
      <c r="AG32" s="98"/>
      <c r="AH32" s="98"/>
    </row>
    <row r="33" spans="1:34" ht="27" hidden="1" customHeight="1">
      <c r="A33" s="30"/>
      <c r="B33" s="801"/>
      <c r="C33" s="74"/>
      <c r="D33" s="72"/>
      <c r="E33" s="98"/>
      <c r="F33" s="98"/>
      <c r="G33" s="98"/>
      <c r="H33" s="98"/>
      <c r="I33" s="98"/>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row>
    <row r="34" spans="1:34" ht="27" hidden="1" customHeight="1">
      <c r="A34" s="30"/>
      <c r="B34" s="801"/>
      <c r="C34" s="74"/>
      <c r="D34" s="72"/>
      <c r="E34" s="98"/>
      <c r="F34" s="98"/>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row>
    <row r="35" spans="1:34" ht="27" hidden="1" customHeight="1">
      <c r="A35" s="30"/>
      <c r="B35" s="801"/>
      <c r="C35" s="74"/>
      <c r="D35" s="72"/>
      <c r="E35" s="98"/>
      <c r="F35" s="98"/>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row>
    <row r="36" spans="1:34" ht="27" hidden="1" customHeight="1">
      <c r="A36" s="30"/>
      <c r="B36" s="801"/>
      <c r="C36" s="74"/>
      <c r="D36" s="72"/>
      <c r="E36" s="98"/>
      <c r="F36" s="98"/>
      <c r="G36" s="98"/>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row>
    <row r="37" spans="1:34" ht="27" hidden="1" customHeight="1">
      <c r="A37" s="30"/>
      <c r="B37" s="802"/>
      <c r="C37" s="74"/>
      <c r="D37" s="72"/>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row>
    <row r="38" spans="1:34" ht="27" customHeight="1">
      <c r="A38" s="30"/>
      <c r="B38" s="800">
        <v>5</v>
      </c>
      <c r="C38" s="795" t="s">
        <v>1599</v>
      </c>
      <c r="D38" s="796"/>
      <c r="E38" s="97">
        <f>IFERROR(AVERAGE(E39:E45),"")</f>
        <v>75</v>
      </c>
      <c r="F38" s="97">
        <f t="shared" ref="F38:AA38" si="264">IFERROR(AVERAGE(F39:F45),"")</f>
        <v>90</v>
      </c>
      <c r="G38" s="97">
        <f t="shared" si="264"/>
        <v>80</v>
      </c>
      <c r="H38" s="97">
        <f t="shared" si="264"/>
        <v>90</v>
      </c>
      <c r="I38" s="97">
        <f t="shared" si="264"/>
        <v>100</v>
      </c>
      <c r="J38" s="97">
        <f t="shared" si="264"/>
        <v>100</v>
      </c>
      <c r="K38" s="97">
        <f t="shared" si="264"/>
        <v>100</v>
      </c>
      <c r="L38" s="97">
        <f t="shared" si="264"/>
        <v>100</v>
      </c>
      <c r="M38" s="97">
        <f t="shared" si="264"/>
        <v>90</v>
      </c>
      <c r="N38" s="97">
        <f t="shared" si="264"/>
        <v>95</v>
      </c>
      <c r="O38" s="97">
        <f t="shared" si="264"/>
        <v>100</v>
      </c>
      <c r="P38" s="97">
        <f t="shared" si="264"/>
        <v>100</v>
      </c>
      <c r="Q38" s="97">
        <f t="shared" si="264"/>
        <v>100</v>
      </c>
      <c r="R38" s="97">
        <f t="shared" si="264"/>
        <v>75</v>
      </c>
      <c r="S38" s="97">
        <f t="shared" si="264"/>
        <v>100</v>
      </c>
      <c r="T38" s="97">
        <f t="shared" si="264"/>
        <v>100</v>
      </c>
      <c r="U38" s="97">
        <f t="shared" si="264"/>
        <v>100</v>
      </c>
      <c r="V38" s="97">
        <f t="shared" si="264"/>
        <v>95</v>
      </c>
      <c r="W38" s="97">
        <f t="shared" si="264"/>
        <v>100</v>
      </c>
      <c r="X38" s="97">
        <f t="shared" si="264"/>
        <v>90</v>
      </c>
      <c r="Y38" s="97">
        <f t="shared" si="264"/>
        <v>100</v>
      </c>
      <c r="Z38" s="97">
        <f t="shared" si="264"/>
        <v>90</v>
      </c>
      <c r="AA38" s="97">
        <f t="shared" si="264"/>
        <v>90</v>
      </c>
      <c r="AB38" s="97">
        <f t="shared" ref="AB38:AH38" si="265">IFERROR(AVERAGE(AB39:AB45),"")</f>
        <v>100</v>
      </c>
      <c r="AC38" s="97" t="str">
        <f t="shared" si="265"/>
        <v/>
      </c>
      <c r="AD38" s="97" t="str">
        <f t="shared" si="265"/>
        <v/>
      </c>
      <c r="AE38" s="97" t="str">
        <f t="shared" si="265"/>
        <v/>
      </c>
      <c r="AF38" s="97" t="str">
        <f t="shared" si="265"/>
        <v/>
      </c>
      <c r="AG38" s="97" t="str">
        <f t="shared" si="265"/>
        <v/>
      </c>
      <c r="AH38" s="97" t="str">
        <f t="shared" si="265"/>
        <v/>
      </c>
    </row>
    <row r="39" spans="1:34" ht="27" customHeight="1">
      <c r="A39" s="30"/>
      <c r="B39" s="801"/>
      <c r="C39" s="576" t="s">
        <v>1600</v>
      </c>
      <c r="D39" s="72" t="s">
        <v>1866</v>
      </c>
      <c r="E39" s="98">
        <v>75</v>
      </c>
      <c r="F39" s="98">
        <v>90</v>
      </c>
      <c r="G39" s="98">
        <v>80</v>
      </c>
      <c r="H39" s="98">
        <v>90</v>
      </c>
      <c r="I39" s="98">
        <v>100</v>
      </c>
      <c r="J39" s="98">
        <v>100</v>
      </c>
      <c r="K39" s="98">
        <v>100</v>
      </c>
      <c r="L39" s="98">
        <v>100</v>
      </c>
      <c r="M39" s="98">
        <v>90</v>
      </c>
      <c r="N39" s="98">
        <v>95</v>
      </c>
      <c r="O39" s="98">
        <v>100</v>
      </c>
      <c r="P39" s="98">
        <v>100</v>
      </c>
      <c r="Q39" s="98">
        <v>100</v>
      </c>
      <c r="R39" s="98">
        <v>75</v>
      </c>
      <c r="S39" s="98">
        <v>100</v>
      </c>
      <c r="T39" s="98">
        <v>100</v>
      </c>
      <c r="U39" s="98">
        <v>100</v>
      </c>
      <c r="V39" s="98">
        <v>95</v>
      </c>
      <c r="W39" s="98">
        <v>100</v>
      </c>
      <c r="X39" s="98">
        <v>90</v>
      </c>
      <c r="Y39" s="98">
        <v>100</v>
      </c>
      <c r="Z39" s="98">
        <v>90</v>
      </c>
      <c r="AA39" s="98">
        <v>90</v>
      </c>
      <c r="AB39" s="98">
        <v>100</v>
      </c>
      <c r="AC39" s="98"/>
      <c r="AD39" s="98"/>
      <c r="AE39" s="98"/>
      <c r="AF39" s="98"/>
      <c r="AG39" s="98"/>
      <c r="AH39" s="98"/>
    </row>
    <row r="40" spans="1:34" ht="27" hidden="1" customHeight="1">
      <c r="A40" s="30"/>
      <c r="B40" s="801"/>
      <c r="C40" s="74"/>
      <c r="D40" s="72"/>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row>
    <row r="41" spans="1:34" ht="27" hidden="1" customHeight="1">
      <c r="A41" s="30"/>
      <c r="B41" s="801"/>
      <c r="C41" s="74"/>
      <c r="D41" s="72"/>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row>
    <row r="42" spans="1:34" ht="27" hidden="1" customHeight="1">
      <c r="A42" s="30"/>
      <c r="B42" s="801"/>
      <c r="C42" s="74"/>
      <c r="D42" s="72"/>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row>
    <row r="43" spans="1:34" ht="27" hidden="1" customHeight="1">
      <c r="A43" s="30"/>
      <c r="B43" s="801"/>
      <c r="C43" s="74"/>
      <c r="D43" s="72"/>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row>
    <row r="44" spans="1:34" ht="27" hidden="1" customHeight="1">
      <c r="A44" s="30"/>
      <c r="B44" s="801"/>
      <c r="C44" s="74"/>
      <c r="D44" s="72"/>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row>
    <row r="45" spans="1:34" ht="27" hidden="1" customHeight="1">
      <c r="A45" s="30"/>
      <c r="B45" s="802"/>
      <c r="C45" s="74"/>
      <c r="D45" s="72"/>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row>
    <row r="46" spans="1:34" ht="27" customHeight="1">
      <c r="A46" s="30"/>
      <c r="B46" s="794">
        <v>6</v>
      </c>
      <c r="C46" s="795" t="s">
        <v>1601</v>
      </c>
      <c r="D46" s="796"/>
      <c r="E46" s="97">
        <f>IFERROR(AVERAGE(E47:E53),"")</f>
        <v>100</v>
      </c>
      <c r="F46" s="97">
        <f t="shared" ref="F46:AA46" si="266">IFERROR(AVERAGE(F47:F53),"")</f>
        <v>80</v>
      </c>
      <c r="G46" s="97">
        <f t="shared" si="266"/>
        <v>90</v>
      </c>
      <c r="H46" s="97">
        <f t="shared" si="266"/>
        <v>90</v>
      </c>
      <c r="I46" s="97">
        <f t="shared" si="266"/>
        <v>90</v>
      </c>
      <c r="J46" s="97">
        <f t="shared" si="266"/>
        <v>100</v>
      </c>
      <c r="K46" s="97">
        <f t="shared" si="266"/>
        <v>90</v>
      </c>
      <c r="L46" s="97">
        <f t="shared" si="266"/>
        <v>100</v>
      </c>
      <c r="M46" s="97">
        <f t="shared" si="266"/>
        <v>95</v>
      </c>
      <c r="N46" s="97">
        <f t="shared" si="266"/>
        <v>90</v>
      </c>
      <c r="O46" s="97">
        <f t="shared" si="266"/>
        <v>95</v>
      </c>
      <c r="P46" s="97">
        <f t="shared" si="266"/>
        <v>100</v>
      </c>
      <c r="Q46" s="97">
        <f t="shared" si="266"/>
        <v>100</v>
      </c>
      <c r="R46" s="97">
        <f t="shared" si="266"/>
        <v>90</v>
      </c>
      <c r="S46" s="97">
        <f t="shared" si="266"/>
        <v>80</v>
      </c>
      <c r="T46" s="97">
        <f t="shared" si="266"/>
        <v>80</v>
      </c>
      <c r="U46" s="97">
        <f t="shared" si="266"/>
        <v>95</v>
      </c>
      <c r="V46" s="97">
        <f t="shared" si="266"/>
        <v>90</v>
      </c>
      <c r="W46" s="97">
        <f t="shared" si="266"/>
        <v>100</v>
      </c>
      <c r="X46" s="97">
        <f t="shared" si="266"/>
        <v>75</v>
      </c>
      <c r="Y46" s="97">
        <f t="shared" si="266"/>
        <v>90</v>
      </c>
      <c r="Z46" s="97">
        <f t="shared" si="266"/>
        <v>85</v>
      </c>
      <c r="AA46" s="97">
        <f t="shared" si="266"/>
        <v>100</v>
      </c>
      <c r="AB46" s="97">
        <f t="shared" ref="AB46:AH46" si="267">IFERROR(AVERAGE(AB47:AB53),"")</f>
        <v>95</v>
      </c>
      <c r="AC46" s="97" t="str">
        <f t="shared" si="267"/>
        <v/>
      </c>
      <c r="AD46" s="97" t="str">
        <f t="shared" si="267"/>
        <v/>
      </c>
      <c r="AE46" s="97" t="str">
        <f t="shared" si="267"/>
        <v/>
      </c>
      <c r="AF46" s="97" t="str">
        <f t="shared" si="267"/>
        <v/>
      </c>
      <c r="AG46" s="97" t="str">
        <f t="shared" si="267"/>
        <v/>
      </c>
      <c r="AH46" s="97" t="str">
        <f t="shared" si="267"/>
        <v/>
      </c>
    </row>
    <row r="47" spans="1:34" ht="27" customHeight="1">
      <c r="A47" s="30"/>
      <c r="B47" s="794"/>
      <c r="C47" s="74" t="s">
        <v>1602</v>
      </c>
      <c r="D47" s="72" t="s">
        <v>1867</v>
      </c>
      <c r="E47" s="98">
        <v>100</v>
      </c>
      <c r="F47" s="98">
        <v>80</v>
      </c>
      <c r="G47" s="98">
        <v>90</v>
      </c>
      <c r="H47" s="98">
        <v>90</v>
      </c>
      <c r="I47" s="98">
        <v>90</v>
      </c>
      <c r="J47" s="98">
        <v>100</v>
      </c>
      <c r="K47" s="98">
        <v>90</v>
      </c>
      <c r="L47" s="98">
        <v>100</v>
      </c>
      <c r="M47" s="98">
        <v>95</v>
      </c>
      <c r="N47" s="98">
        <v>90</v>
      </c>
      <c r="O47" s="98">
        <v>95</v>
      </c>
      <c r="P47" s="98">
        <v>100</v>
      </c>
      <c r="Q47" s="98">
        <v>100</v>
      </c>
      <c r="R47" s="98">
        <v>90</v>
      </c>
      <c r="S47" s="98">
        <v>80</v>
      </c>
      <c r="T47" s="98">
        <v>80</v>
      </c>
      <c r="U47" s="98">
        <v>95</v>
      </c>
      <c r="V47" s="98">
        <v>90</v>
      </c>
      <c r="W47" s="98">
        <v>100</v>
      </c>
      <c r="X47" s="98">
        <v>75</v>
      </c>
      <c r="Y47" s="98">
        <v>90</v>
      </c>
      <c r="Z47" s="98">
        <v>85</v>
      </c>
      <c r="AA47" s="98">
        <v>100</v>
      </c>
      <c r="AB47" s="98">
        <v>95</v>
      </c>
      <c r="AC47" s="98"/>
      <c r="AD47" s="98"/>
      <c r="AE47" s="98"/>
      <c r="AF47" s="98"/>
      <c r="AG47" s="98"/>
      <c r="AH47" s="98"/>
    </row>
    <row r="48" spans="1:34" ht="27" hidden="1" customHeight="1">
      <c r="A48" s="30"/>
      <c r="B48" s="794"/>
      <c r="C48" s="74"/>
      <c r="D48" s="72"/>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row>
    <row r="49" spans="1:34" ht="27" hidden="1" customHeight="1">
      <c r="A49" s="30"/>
      <c r="B49" s="794"/>
      <c r="C49" s="74"/>
      <c r="D49" s="72"/>
      <c r="E49" s="98"/>
      <c r="F49" s="98"/>
      <c r="G49" s="98"/>
      <c r="H49" s="98"/>
      <c r="I49" s="98"/>
      <c r="J49" s="98"/>
      <c r="K49" s="98"/>
      <c r="L49" s="98"/>
      <c r="M49" s="98"/>
      <c r="N49" s="98"/>
      <c r="O49" s="98"/>
      <c r="P49" s="98"/>
      <c r="Q49" s="98"/>
      <c r="R49" s="98"/>
      <c r="S49" s="98"/>
      <c r="T49" s="98"/>
      <c r="U49" s="98"/>
      <c r="V49" s="98"/>
      <c r="W49" s="98"/>
      <c r="X49" s="98"/>
      <c r="Y49" s="98"/>
      <c r="Z49" s="98"/>
      <c r="AA49" s="98"/>
      <c r="AB49" s="98"/>
      <c r="AC49" s="98"/>
      <c r="AD49" s="98"/>
      <c r="AE49" s="98"/>
      <c r="AF49" s="98"/>
      <c r="AG49" s="98"/>
      <c r="AH49" s="98"/>
    </row>
    <row r="50" spans="1:34" ht="27" hidden="1" customHeight="1">
      <c r="A50" s="30"/>
      <c r="B50" s="794"/>
      <c r="C50" s="74"/>
      <c r="D50" s="72"/>
      <c r="E50" s="98"/>
      <c r="F50" s="98"/>
      <c r="G50" s="98"/>
      <c r="H50" s="98"/>
      <c r="I50" s="98"/>
      <c r="J50" s="98"/>
      <c r="K50" s="98"/>
      <c r="L50" s="98"/>
      <c r="M50" s="98"/>
      <c r="N50" s="98"/>
      <c r="O50" s="98"/>
      <c r="P50" s="98"/>
      <c r="Q50" s="98"/>
      <c r="R50" s="98"/>
      <c r="S50" s="98"/>
      <c r="T50" s="98"/>
      <c r="U50" s="98"/>
      <c r="V50" s="98"/>
      <c r="W50" s="98"/>
      <c r="X50" s="98"/>
      <c r="Y50" s="98"/>
      <c r="Z50" s="98"/>
      <c r="AA50" s="98"/>
      <c r="AB50" s="98"/>
      <c r="AC50" s="98"/>
      <c r="AD50" s="98"/>
      <c r="AE50" s="98"/>
      <c r="AF50" s="98"/>
      <c r="AG50" s="98"/>
      <c r="AH50" s="98"/>
    </row>
    <row r="51" spans="1:34" ht="27" hidden="1" customHeight="1">
      <c r="A51" s="30"/>
      <c r="B51" s="794"/>
      <c r="C51" s="74"/>
      <c r="D51" s="72"/>
      <c r="E51" s="98"/>
      <c r="F51" s="98"/>
      <c r="G51" s="98"/>
      <c r="H51" s="98"/>
      <c r="I51" s="98"/>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row>
    <row r="52" spans="1:34" ht="27" hidden="1" customHeight="1">
      <c r="A52" s="30"/>
      <c r="B52" s="794"/>
      <c r="C52" s="74"/>
      <c r="D52" s="72"/>
      <c r="E52" s="98"/>
      <c r="F52" s="98"/>
      <c r="G52" s="98"/>
      <c r="H52" s="98"/>
      <c r="I52" s="98"/>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row>
    <row r="53" spans="1:34" ht="27" hidden="1" customHeight="1">
      <c r="A53" s="30"/>
      <c r="B53" s="794"/>
      <c r="C53" s="74"/>
      <c r="D53" s="72"/>
      <c r="E53" s="98"/>
      <c r="F53" s="98"/>
      <c r="G53" s="98"/>
      <c r="H53" s="98"/>
      <c r="I53" s="98"/>
      <c r="J53" s="98"/>
      <c r="K53" s="98"/>
      <c r="L53" s="98"/>
      <c r="M53" s="98"/>
      <c r="N53" s="98"/>
      <c r="O53" s="98"/>
      <c r="P53" s="98"/>
      <c r="Q53" s="98"/>
      <c r="R53" s="98"/>
      <c r="S53" s="98"/>
      <c r="T53" s="98"/>
      <c r="U53" s="98"/>
      <c r="V53" s="98"/>
      <c r="W53" s="98"/>
      <c r="X53" s="98"/>
      <c r="Y53" s="98"/>
      <c r="Z53" s="98"/>
      <c r="AA53" s="98"/>
      <c r="AB53" s="98"/>
      <c r="AC53" s="98"/>
      <c r="AD53" s="98"/>
      <c r="AE53" s="98"/>
      <c r="AF53" s="98"/>
      <c r="AG53" s="98"/>
      <c r="AH53" s="98"/>
    </row>
    <row r="54" spans="1:34" ht="27" customHeight="1">
      <c r="A54" s="30"/>
      <c r="B54" s="800">
        <v>7</v>
      </c>
      <c r="C54" s="795" t="s">
        <v>1603</v>
      </c>
      <c r="D54" s="796"/>
      <c r="E54" s="97">
        <f>IFERROR(AVERAGE(E55:E61),"")</f>
        <v>90</v>
      </c>
      <c r="F54" s="97">
        <f t="shared" ref="F54:AA54" si="268">IFERROR(AVERAGE(F55:F61),"")</f>
        <v>75</v>
      </c>
      <c r="G54" s="97">
        <f t="shared" si="268"/>
        <v>75</v>
      </c>
      <c r="H54" s="97">
        <f t="shared" si="268"/>
        <v>90</v>
      </c>
      <c r="I54" s="97">
        <f t="shared" si="268"/>
        <v>78</v>
      </c>
      <c r="J54" s="97">
        <f t="shared" si="268"/>
        <v>90</v>
      </c>
      <c r="K54" s="97">
        <f t="shared" si="268"/>
        <v>100</v>
      </c>
      <c r="L54" s="97">
        <f t="shared" si="268"/>
        <v>100</v>
      </c>
      <c r="M54" s="97">
        <f t="shared" si="268"/>
        <v>100</v>
      </c>
      <c r="N54" s="97">
        <f t="shared" si="268"/>
        <v>100</v>
      </c>
      <c r="O54" s="97">
        <f t="shared" si="268"/>
        <v>100</v>
      </c>
      <c r="P54" s="97">
        <f t="shared" si="268"/>
        <v>90</v>
      </c>
      <c r="Q54" s="97">
        <f t="shared" si="268"/>
        <v>100</v>
      </c>
      <c r="R54" s="97">
        <f t="shared" si="268"/>
        <v>100</v>
      </c>
      <c r="S54" s="97">
        <f t="shared" si="268"/>
        <v>75</v>
      </c>
      <c r="T54" s="97">
        <f t="shared" si="268"/>
        <v>75</v>
      </c>
      <c r="U54" s="97">
        <f t="shared" si="268"/>
        <v>100</v>
      </c>
      <c r="V54" s="97">
        <f t="shared" si="268"/>
        <v>100</v>
      </c>
      <c r="W54" s="97">
        <f t="shared" si="268"/>
        <v>90</v>
      </c>
      <c r="X54" s="97">
        <f t="shared" si="268"/>
        <v>80</v>
      </c>
      <c r="Y54" s="97">
        <f t="shared" si="268"/>
        <v>100</v>
      </c>
      <c r="Z54" s="97">
        <f t="shared" si="268"/>
        <v>75</v>
      </c>
      <c r="AA54" s="97">
        <f t="shared" si="268"/>
        <v>100</v>
      </c>
      <c r="AB54" s="97">
        <f t="shared" ref="AB54:AH54" si="269">IFERROR(AVERAGE(AB55:AB61),"")</f>
        <v>100</v>
      </c>
      <c r="AC54" s="97" t="str">
        <f t="shared" si="269"/>
        <v/>
      </c>
      <c r="AD54" s="97" t="str">
        <f t="shared" si="269"/>
        <v/>
      </c>
      <c r="AE54" s="97" t="str">
        <f t="shared" si="269"/>
        <v/>
      </c>
      <c r="AF54" s="97" t="str">
        <f t="shared" si="269"/>
        <v/>
      </c>
      <c r="AG54" s="97" t="str">
        <f t="shared" si="269"/>
        <v/>
      </c>
      <c r="AH54" s="97" t="str">
        <f t="shared" si="269"/>
        <v/>
      </c>
    </row>
    <row r="55" spans="1:34" ht="27" customHeight="1">
      <c r="A55" s="30"/>
      <c r="B55" s="801"/>
      <c r="C55" s="74" t="s">
        <v>1604</v>
      </c>
      <c r="D55" s="72" t="s">
        <v>1868</v>
      </c>
      <c r="E55" s="98">
        <v>90</v>
      </c>
      <c r="F55" s="98">
        <v>75</v>
      </c>
      <c r="G55" s="98">
        <v>75</v>
      </c>
      <c r="H55" s="98">
        <v>90</v>
      </c>
      <c r="I55" s="98">
        <v>78</v>
      </c>
      <c r="J55" s="98">
        <v>90</v>
      </c>
      <c r="K55" s="98">
        <v>100</v>
      </c>
      <c r="L55" s="98">
        <v>100</v>
      </c>
      <c r="M55" s="98">
        <v>100</v>
      </c>
      <c r="N55" s="98">
        <v>100</v>
      </c>
      <c r="O55" s="98">
        <v>100</v>
      </c>
      <c r="P55" s="98">
        <v>90</v>
      </c>
      <c r="Q55" s="98">
        <v>100</v>
      </c>
      <c r="R55" s="98">
        <v>100</v>
      </c>
      <c r="S55" s="98">
        <v>75</v>
      </c>
      <c r="T55" s="98">
        <v>75</v>
      </c>
      <c r="U55" s="98">
        <v>100</v>
      </c>
      <c r="V55" s="98">
        <v>100</v>
      </c>
      <c r="W55" s="98">
        <v>90</v>
      </c>
      <c r="X55" s="98">
        <v>80</v>
      </c>
      <c r="Y55" s="98">
        <v>100</v>
      </c>
      <c r="Z55" s="98">
        <v>75</v>
      </c>
      <c r="AA55" s="98">
        <v>100</v>
      </c>
      <c r="AB55" s="98">
        <v>100</v>
      </c>
      <c r="AC55" s="98"/>
      <c r="AD55" s="98"/>
      <c r="AE55" s="98"/>
      <c r="AF55" s="98"/>
      <c r="AG55" s="98"/>
      <c r="AH55" s="98"/>
    </row>
    <row r="56" spans="1:34" ht="27" hidden="1" customHeight="1">
      <c r="A56" s="30"/>
      <c r="B56" s="801"/>
      <c r="C56" s="74"/>
      <c r="D56" s="72"/>
      <c r="E56" s="98"/>
      <c r="F56" s="98"/>
      <c r="G56" s="98"/>
      <c r="H56" s="98"/>
      <c r="I56" s="98"/>
      <c r="J56" s="98"/>
      <c r="K56" s="98"/>
      <c r="L56" s="98"/>
      <c r="M56" s="98"/>
      <c r="N56" s="98"/>
      <c r="O56" s="98"/>
      <c r="P56" s="98"/>
      <c r="Q56" s="98"/>
      <c r="R56" s="98"/>
      <c r="S56" s="98"/>
      <c r="T56" s="98"/>
      <c r="U56" s="98"/>
      <c r="V56" s="98"/>
      <c r="W56" s="98"/>
      <c r="X56" s="98"/>
      <c r="Y56" s="98"/>
      <c r="Z56" s="98"/>
      <c r="AA56" s="98"/>
      <c r="AB56" s="98"/>
      <c r="AC56" s="98"/>
      <c r="AD56" s="98"/>
      <c r="AE56" s="98"/>
      <c r="AF56" s="98"/>
      <c r="AG56" s="98"/>
      <c r="AH56" s="98"/>
    </row>
    <row r="57" spans="1:34" ht="27" hidden="1" customHeight="1">
      <c r="A57" s="30"/>
      <c r="B57" s="801"/>
      <c r="C57" s="74"/>
      <c r="D57" s="72"/>
      <c r="E57" s="98"/>
      <c r="F57" s="98"/>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row>
    <row r="58" spans="1:34" ht="27" hidden="1" customHeight="1">
      <c r="A58" s="30"/>
      <c r="B58" s="801"/>
      <c r="C58" s="74"/>
      <c r="D58" s="72"/>
      <c r="E58" s="98"/>
      <c r="F58" s="98"/>
      <c r="G58" s="98"/>
      <c r="H58" s="98"/>
      <c r="I58" s="98"/>
      <c r="J58" s="98"/>
      <c r="K58" s="98"/>
      <c r="L58" s="98"/>
      <c r="M58" s="98"/>
      <c r="N58" s="98"/>
      <c r="O58" s="98"/>
      <c r="P58" s="98"/>
      <c r="Q58" s="98"/>
      <c r="R58" s="98"/>
      <c r="S58" s="98"/>
      <c r="T58" s="98"/>
      <c r="U58" s="98"/>
      <c r="V58" s="98"/>
      <c r="W58" s="98"/>
      <c r="X58" s="98"/>
      <c r="Y58" s="98"/>
      <c r="Z58" s="98"/>
      <c r="AA58" s="98"/>
      <c r="AB58" s="98"/>
      <c r="AC58" s="98"/>
      <c r="AD58" s="98"/>
      <c r="AE58" s="98"/>
      <c r="AF58" s="98"/>
      <c r="AG58" s="98"/>
      <c r="AH58" s="98"/>
    </row>
    <row r="59" spans="1:34" ht="27" hidden="1" customHeight="1">
      <c r="A59" s="30"/>
      <c r="B59" s="801"/>
      <c r="C59" s="74"/>
      <c r="D59" s="72"/>
      <c r="E59" s="98"/>
      <c r="F59" s="98"/>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F59" s="98"/>
      <c r="AG59" s="98"/>
      <c r="AH59" s="98"/>
    </row>
    <row r="60" spans="1:34" ht="27" hidden="1" customHeight="1">
      <c r="A60" s="30"/>
      <c r="B60" s="801"/>
      <c r="C60" s="74"/>
      <c r="D60" s="72"/>
      <c r="E60" s="98"/>
      <c r="F60" s="98"/>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F60" s="98"/>
      <c r="AG60" s="98"/>
      <c r="AH60" s="98"/>
    </row>
    <row r="61" spans="1:34" ht="27" hidden="1" customHeight="1">
      <c r="A61" s="30"/>
      <c r="B61" s="802"/>
      <c r="C61" s="74"/>
      <c r="D61" s="72"/>
      <c r="E61" s="98"/>
      <c r="F61" s="98"/>
      <c r="G61" s="98"/>
      <c r="H61" s="98"/>
      <c r="I61" s="98"/>
      <c r="J61" s="98"/>
      <c r="K61" s="98"/>
      <c r="L61" s="98"/>
      <c r="M61" s="98"/>
      <c r="N61" s="98"/>
      <c r="O61" s="98"/>
      <c r="P61" s="98"/>
      <c r="Q61" s="98"/>
      <c r="R61" s="98"/>
      <c r="S61" s="98"/>
      <c r="T61" s="98"/>
      <c r="U61" s="98"/>
      <c r="V61" s="98"/>
      <c r="W61" s="98"/>
      <c r="X61" s="98"/>
      <c r="Y61" s="98"/>
      <c r="Z61" s="98"/>
      <c r="AA61" s="98"/>
      <c r="AB61" s="98"/>
      <c r="AC61" s="98"/>
      <c r="AD61" s="98"/>
      <c r="AE61" s="98"/>
      <c r="AF61" s="98"/>
      <c r="AG61" s="98"/>
      <c r="AH61" s="98"/>
    </row>
    <row r="62" spans="1:34" ht="27" customHeight="1">
      <c r="A62" s="30"/>
      <c r="B62" s="800">
        <v>8</v>
      </c>
      <c r="C62" s="795" t="s">
        <v>1605</v>
      </c>
      <c r="D62" s="796"/>
      <c r="E62" s="97">
        <f>IFERROR(AVERAGE(E63:E69),"")</f>
        <v>100</v>
      </c>
      <c r="F62" s="97">
        <f t="shared" ref="F62:AA62" si="270">IFERROR(AVERAGE(F63:F69),"")</f>
        <v>75</v>
      </c>
      <c r="G62" s="97">
        <f t="shared" si="270"/>
        <v>75</v>
      </c>
      <c r="H62" s="97">
        <f t="shared" si="270"/>
        <v>90</v>
      </c>
      <c r="I62" s="97">
        <f t="shared" si="270"/>
        <v>80</v>
      </c>
      <c r="J62" s="97">
        <f t="shared" si="270"/>
        <v>90</v>
      </c>
      <c r="K62" s="97">
        <f t="shared" si="270"/>
        <v>100</v>
      </c>
      <c r="L62" s="97">
        <f t="shared" si="270"/>
        <v>75</v>
      </c>
      <c r="M62" s="97">
        <f t="shared" si="270"/>
        <v>75</v>
      </c>
      <c r="N62" s="97">
        <f t="shared" si="270"/>
        <v>90</v>
      </c>
      <c r="O62" s="97">
        <f t="shared" si="270"/>
        <v>80</v>
      </c>
      <c r="P62" s="97">
        <f t="shared" si="270"/>
        <v>90</v>
      </c>
      <c r="Q62" s="97">
        <f t="shared" si="270"/>
        <v>78</v>
      </c>
      <c r="R62" s="97">
        <f t="shared" si="270"/>
        <v>100</v>
      </c>
      <c r="S62" s="97">
        <f t="shared" si="270"/>
        <v>75</v>
      </c>
      <c r="T62" s="97">
        <f t="shared" si="270"/>
        <v>75</v>
      </c>
      <c r="U62" s="97">
        <f t="shared" si="270"/>
        <v>95</v>
      </c>
      <c r="V62" s="97">
        <f t="shared" si="270"/>
        <v>80</v>
      </c>
      <c r="W62" s="97">
        <f t="shared" si="270"/>
        <v>75</v>
      </c>
      <c r="X62" s="97">
        <f t="shared" si="270"/>
        <v>100</v>
      </c>
      <c r="Y62" s="97">
        <f t="shared" si="270"/>
        <v>80</v>
      </c>
      <c r="Z62" s="97">
        <f t="shared" si="270"/>
        <v>75</v>
      </c>
      <c r="AA62" s="97">
        <f t="shared" si="270"/>
        <v>85</v>
      </c>
      <c r="AB62" s="97">
        <f t="shared" ref="AB62:AH62" si="271">IFERROR(AVERAGE(AB63:AB69),"")</f>
        <v>85</v>
      </c>
      <c r="AC62" s="97" t="str">
        <f t="shared" si="271"/>
        <v/>
      </c>
      <c r="AD62" s="97" t="str">
        <f t="shared" si="271"/>
        <v/>
      </c>
      <c r="AE62" s="97" t="str">
        <f t="shared" si="271"/>
        <v/>
      </c>
      <c r="AF62" s="97" t="str">
        <f t="shared" si="271"/>
        <v/>
      </c>
      <c r="AG62" s="97" t="str">
        <f t="shared" si="271"/>
        <v/>
      </c>
      <c r="AH62" s="97" t="str">
        <f t="shared" si="271"/>
        <v/>
      </c>
    </row>
    <row r="63" spans="1:34" ht="27" customHeight="1">
      <c r="A63" s="30"/>
      <c r="B63" s="801"/>
      <c r="C63" s="74" t="s">
        <v>1606</v>
      </c>
      <c r="D63" s="72" t="s">
        <v>1869</v>
      </c>
      <c r="E63" s="98">
        <v>100</v>
      </c>
      <c r="F63" s="98">
        <v>75</v>
      </c>
      <c r="G63" s="98">
        <v>75</v>
      </c>
      <c r="H63" s="98">
        <v>90</v>
      </c>
      <c r="I63" s="98">
        <v>80</v>
      </c>
      <c r="J63" s="98">
        <v>90</v>
      </c>
      <c r="K63" s="98">
        <v>100</v>
      </c>
      <c r="L63" s="98">
        <v>75</v>
      </c>
      <c r="M63" s="98">
        <v>75</v>
      </c>
      <c r="N63" s="98">
        <v>90</v>
      </c>
      <c r="O63" s="98">
        <v>80</v>
      </c>
      <c r="P63" s="98">
        <v>90</v>
      </c>
      <c r="Q63" s="98">
        <v>78</v>
      </c>
      <c r="R63" s="98">
        <v>100</v>
      </c>
      <c r="S63" s="98">
        <v>75</v>
      </c>
      <c r="T63" s="98">
        <v>75</v>
      </c>
      <c r="U63" s="98">
        <v>95</v>
      </c>
      <c r="V63" s="98">
        <v>80</v>
      </c>
      <c r="W63" s="98">
        <v>75</v>
      </c>
      <c r="X63" s="98">
        <v>100</v>
      </c>
      <c r="Y63" s="98">
        <v>80</v>
      </c>
      <c r="Z63" s="98">
        <v>75</v>
      </c>
      <c r="AA63" s="98">
        <v>85</v>
      </c>
      <c r="AB63" s="98">
        <v>85</v>
      </c>
      <c r="AC63" s="98"/>
      <c r="AD63" s="98"/>
      <c r="AE63" s="98"/>
      <c r="AF63" s="98"/>
      <c r="AG63" s="98"/>
      <c r="AH63" s="98"/>
    </row>
    <row r="64" spans="1:34" ht="27" hidden="1" customHeight="1">
      <c r="A64" s="30"/>
      <c r="B64" s="801"/>
      <c r="C64" s="74"/>
      <c r="D64" s="72"/>
      <c r="E64" s="98"/>
      <c r="F64" s="98"/>
      <c r="G64" s="98"/>
      <c r="H64" s="98"/>
      <c r="I64" s="98"/>
      <c r="J64" s="98"/>
      <c r="K64" s="98"/>
      <c r="L64" s="98"/>
      <c r="M64" s="98"/>
      <c r="N64" s="98"/>
      <c r="O64" s="98"/>
      <c r="P64" s="98"/>
      <c r="Q64" s="98"/>
      <c r="R64" s="98"/>
      <c r="S64" s="98"/>
      <c r="T64" s="98"/>
      <c r="U64" s="98"/>
      <c r="V64" s="98"/>
      <c r="W64" s="98"/>
      <c r="X64" s="98"/>
      <c r="Y64" s="98"/>
      <c r="Z64" s="98"/>
      <c r="AA64" s="98"/>
      <c r="AB64" s="98"/>
      <c r="AC64" s="98"/>
      <c r="AD64" s="98"/>
      <c r="AE64" s="98"/>
      <c r="AF64" s="98"/>
      <c r="AG64" s="98"/>
      <c r="AH64" s="98"/>
    </row>
    <row r="65" spans="1:34" ht="27" hidden="1" customHeight="1">
      <c r="A65" s="30"/>
      <c r="B65" s="801"/>
      <c r="C65" s="74"/>
      <c r="D65" s="72"/>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row>
    <row r="66" spans="1:34" ht="27" hidden="1" customHeight="1">
      <c r="A66" s="30"/>
      <c r="B66" s="801"/>
      <c r="C66" s="74"/>
      <c r="D66" s="72"/>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row>
    <row r="67" spans="1:34" ht="27" hidden="1" customHeight="1">
      <c r="A67" s="30"/>
      <c r="B67" s="801"/>
      <c r="C67" s="74"/>
      <c r="D67" s="72"/>
      <c r="E67" s="98"/>
      <c r="F67" s="98"/>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row>
    <row r="68" spans="1:34" ht="27" hidden="1" customHeight="1">
      <c r="A68" s="30"/>
      <c r="B68" s="801"/>
      <c r="C68" s="74"/>
      <c r="D68" s="72"/>
      <c r="E68" s="98"/>
      <c r="F68" s="98"/>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row>
    <row r="69" spans="1:34" ht="27" hidden="1" customHeight="1">
      <c r="A69" s="30"/>
      <c r="B69" s="802"/>
      <c r="C69" s="74"/>
      <c r="D69" s="72"/>
      <c r="E69" s="98"/>
      <c r="F69" s="98"/>
      <c r="G69" s="98"/>
      <c r="H69" s="98"/>
      <c r="I69" s="98"/>
      <c r="J69" s="98"/>
      <c r="K69" s="98"/>
      <c r="L69" s="98"/>
      <c r="M69" s="98"/>
      <c r="N69" s="98"/>
      <c r="O69" s="98"/>
      <c r="P69" s="98"/>
      <c r="Q69" s="98"/>
      <c r="R69" s="98"/>
      <c r="S69" s="98"/>
      <c r="T69" s="98"/>
      <c r="U69" s="98"/>
      <c r="V69" s="98"/>
      <c r="W69" s="98"/>
      <c r="X69" s="98"/>
      <c r="Y69" s="98"/>
      <c r="Z69" s="98"/>
      <c r="AA69" s="98"/>
      <c r="AB69" s="98"/>
      <c r="AC69" s="98"/>
      <c r="AD69" s="98"/>
      <c r="AE69" s="98"/>
      <c r="AF69" s="98"/>
      <c r="AG69" s="98"/>
      <c r="AH69" s="98"/>
    </row>
    <row r="70" spans="1:34" ht="27" customHeight="1">
      <c r="A70" s="30"/>
      <c r="B70" s="794">
        <v>9</v>
      </c>
      <c r="C70" s="795" t="s">
        <v>1607</v>
      </c>
      <c r="D70" s="796"/>
      <c r="E70" s="97">
        <f>IFERROR(AVERAGE(E71:E77),"")</f>
        <v>100</v>
      </c>
      <c r="F70" s="97">
        <f t="shared" ref="F70:AA70" si="272">IFERROR(AVERAGE(F71:F77),"")</f>
        <v>75</v>
      </c>
      <c r="G70" s="97">
        <f t="shared" si="272"/>
        <v>75</v>
      </c>
      <c r="H70" s="97">
        <f t="shared" si="272"/>
        <v>90</v>
      </c>
      <c r="I70" s="97">
        <f t="shared" si="272"/>
        <v>80</v>
      </c>
      <c r="J70" s="97">
        <f t="shared" si="272"/>
        <v>90</v>
      </c>
      <c r="K70" s="97">
        <f t="shared" si="272"/>
        <v>100</v>
      </c>
      <c r="L70" s="97">
        <f t="shared" si="272"/>
        <v>75</v>
      </c>
      <c r="M70" s="97">
        <f t="shared" si="272"/>
        <v>75</v>
      </c>
      <c r="N70" s="97">
        <f t="shared" si="272"/>
        <v>90</v>
      </c>
      <c r="O70" s="97">
        <f t="shared" si="272"/>
        <v>80</v>
      </c>
      <c r="P70" s="97">
        <f t="shared" si="272"/>
        <v>90</v>
      </c>
      <c r="Q70" s="97">
        <f t="shared" si="272"/>
        <v>78</v>
      </c>
      <c r="R70" s="97">
        <f t="shared" si="272"/>
        <v>100</v>
      </c>
      <c r="S70" s="97">
        <f t="shared" si="272"/>
        <v>75</v>
      </c>
      <c r="T70" s="97">
        <f t="shared" si="272"/>
        <v>75</v>
      </c>
      <c r="U70" s="97">
        <f t="shared" si="272"/>
        <v>95</v>
      </c>
      <c r="V70" s="97">
        <f t="shared" si="272"/>
        <v>80</v>
      </c>
      <c r="W70" s="97">
        <f t="shared" si="272"/>
        <v>75</v>
      </c>
      <c r="X70" s="97">
        <f t="shared" si="272"/>
        <v>100</v>
      </c>
      <c r="Y70" s="97">
        <f t="shared" si="272"/>
        <v>80</v>
      </c>
      <c r="Z70" s="97">
        <f t="shared" si="272"/>
        <v>75</v>
      </c>
      <c r="AA70" s="97">
        <f t="shared" si="272"/>
        <v>85</v>
      </c>
      <c r="AB70" s="97">
        <f t="shared" ref="AB70:AH70" si="273">IFERROR(AVERAGE(AB71:AB77),"")</f>
        <v>85</v>
      </c>
      <c r="AC70" s="97" t="str">
        <f t="shared" si="273"/>
        <v/>
      </c>
      <c r="AD70" s="97" t="str">
        <f t="shared" si="273"/>
        <v/>
      </c>
      <c r="AE70" s="97" t="str">
        <f t="shared" si="273"/>
        <v/>
      </c>
      <c r="AF70" s="97" t="str">
        <f t="shared" si="273"/>
        <v/>
      </c>
      <c r="AG70" s="97" t="str">
        <f t="shared" si="273"/>
        <v/>
      </c>
      <c r="AH70" s="97" t="str">
        <f t="shared" si="273"/>
        <v/>
      </c>
    </row>
    <row r="71" spans="1:34" ht="27" hidden="1" customHeight="1">
      <c r="A71" s="30"/>
      <c r="B71" s="794"/>
      <c r="C71" s="74"/>
      <c r="D71" s="72"/>
      <c r="E71" s="98"/>
      <c r="F71" s="98"/>
      <c r="G71" s="98"/>
      <c r="H71" s="98"/>
      <c r="I71" s="98"/>
      <c r="J71" s="98"/>
      <c r="K71" s="98"/>
      <c r="L71" s="98"/>
      <c r="M71" s="98"/>
      <c r="N71" s="98"/>
      <c r="O71" s="98"/>
      <c r="P71" s="98"/>
      <c r="Q71" s="98"/>
      <c r="R71" s="98"/>
      <c r="S71" s="98"/>
      <c r="T71" s="98"/>
      <c r="U71" s="98"/>
      <c r="V71" s="98"/>
      <c r="W71" s="98"/>
      <c r="X71" s="98"/>
      <c r="Y71" s="98"/>
      <c r="Z71" s="98"/>
      <c r="AA71" s="98"/>
      <c r="AB71" s="98"/>
      <c r="AC71" s="98"/>
      <c r="AD71" s="98"/>
      <c r="AE71" s="98"/>
      <c r="AF71" s="98"/>
      <c r="AG71" s="98"/>
      <c r="AH71" s="98"/>
    </row>
    <row r="72" spans="1:34" ht="27" customHeight="1">
      <c r="A72" s="30"/>
      <c r="B72" s="794"/>
      <c r="C72" s="74" t="s">
        <v>1608</v>
      </c>
      <c r="D72" s="72" t="s">
        <v>1870</v>
      </c>
      <c r="E72" s="98">
        <v>100</v>
      </c>
      <c r="F72" s="98">
        <v>75</v>
      </c>
      <c r="G72" s="98">
        <v>75</v>
      </c>
      <c r="H72" s="98">
        <v>90</v>
      </c>
      <c r="I72" s="98">
        <v>80</v>
      </c>
      <c r="J72" s="98">
        <v>90</v>
      </c>
      <c r="K72" s="98">
        <v>100</v>
      </c>
      <c r="L72" s="98">
        <v>75</v>
      </c>
      <c r="M72" s="98">
        <v>75</v>
      </c>
      <c r="N72" s="98">
        <v>90</v>
      </c>
      <c r="O72" s="98">
        <v>80</v>
      </c>
      <c r="P72" s="98">
        <v>90</v>
      </c>
      <c r="Q72" s="98">
        <v>78</v>
      </c>
      <c r="R72" s="98">
        <v>100</v>
      </c>
      <c r="S72" s="98">
        <v>75</v>
      </c>
      <c r="T72" s="98">
        <v>75</v>
      </c>
      <c r="U72" s="98">
        <v>95</v>
      </c>
      <c r="V72" s="98">
        <v>80</v>
      </c>
      <c r="W72" s="98">
        <v>75</v>
      </c>
      <c r="X72" s="98">
        <v>100</v>
      </c>
      <c r="Y72" s="98">
        <v>80</v>
      </c>
      <c r="Z72" s="98">
        <v>75</v>
      </c>
      <c r="AA72" s="98">
        <v>85</v>
      </c>
      <c r="AB72" s="98">
        <v>85</v>
      </c>
      <c r="AC72" s="98"/>
      <c r="AD72" s="98"/>
      <c r="AE72" s="98"/>
      <c r="AF72" s="98"/>
      <c r="AG72" s="98"/>
      <c r="AH72" s="98"/>
    </row>
    <row r="73" spans="1:34" ht="27" hidden="1" customHeight="1">
      <c r="A73" s="30"/>
      <c r="B73" s="794"/>
      <c r="C73" s="74"/>
      <c r="D73" s="72"/>
      <c r="E73" s="98"/>
      <c r="F73" s="98"/>
      <c r="G73" s="98"/>
      <c r="H73" s="98"/>
      <c r="I73" s="98"/>
      <c r="J73" s="98"/>
      <c r="K73" s="98"/>
      <c r="L73" s="98"/>
      <c r="M73" s="98"/>
      <c r="N73" s="98"/>
      <c r="O73" s="98"/>
      <c r="P73" s="98"/>
      <c r="Q73" s="98"/>
      <c r="R73" s="98"/>
      <c r="S73" s="98"/>
      <c r="T73" s="98"/>
      <c r="U73" s="98"/>
      <c r="V73" s="98"/>
      <c r="W73" s="98"/>
      <c r="X73" s="98"/>
      <c r="Y73" s="98"/>
      <c r="Z73" s="98"/>
      <c r="AA73" s="98"/>
      <c r="AB73" s="98"/>
      <c r="AC73" s="98"/>
      <c r="AD73" s="98"/>
      <c r="AE73" s="98"/>
      <c r="AF73" s="98"/>
      <c r="AG73" s="98"/>
      <c r="AH73" s="98"/>
    </row>
    <row r="74" spans="1:34" ht="27" hidden="1" customHeight="1">
      <c r="A74" s="30"/>
      <c r="B74" s="794"/>
      <c r="C74" s="74"/>
      <c r="D74" s="72"/>
      <c r="E74" s="98"/>
      <c r="F74" s="98"/>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row>
    <row r="75" spans="1:34" ht="27" hidden="1" customHeight="1">
      <c r="A75" s="30"/>
      <c r="B75" s="794"/>
      <c r="C75" s="74"/>
      <c r="D75" s="72"/>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row>
    <row r="76" spans="1:34" ht="27" hidden="1" customHeight="1">
      <c r="A76" s="30"/>
      <c r="B76" s="794"/>
      <c r="C76" s="74"/>
      <c r="D76" s="72"/>
      <c r="E76" s="98"/>
      <c r="F76" s="98"/>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row>
    <row r="77" spans="1:34" ht="27" hidden="1" customHeight="1">
      <c r="A77" s="30"/>
      <c r="B77" s="794"/>
      <c r="C77" s="74"/>
      <c r="D77" s="72"/>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row>
    <row r="78" spans="1:34" ht="27" customHeight="1">
      <c r="A78" s="30"/>
      <c r="B78" s="800">
        <v>10</v>
      </c>
      <c r="C78" s="795" t="s">
        <v>1609</v>
      </c>
      <c r="D78" s="796"/>
      <c r="E78" s="97">
        <f>IFERROR(AVERAGE(E79:E85),"")</f>
        <v>75</v>
      </c>
      <c r="F78" s="97">
        <f t="shared" ref="F78:AA78" si="274">IFERROR(AVERAGE(F79:F85),"")</f>
        <v>75</v>
      </c>
      <c r="G78" s="97">
        <f t="shared" si="274"/>
        <v>75</v>
      </c>
      <c r="H78" s="97">
        <f t="shared" si="274"/>
        <v>90</v>
      </c>
      <c r="I78" s="97">
        <f t="shared" si="274"/>
        <v>80</v>
      </c>
      <c r="J78" s="97">
        <f t="shared" si="274"/>
        <v>90</v>
      </c>
      <c r="K78" s="97">
        <f t="shared" si="274"/>
        <v>100</v>
      </c>
      <c r="L78" s="97">
        <f t="shared" si="274"/>
        <v>75</v>
      </c>
      <c r="M78" s="97">
        <f t="shared" si="274"/>
        <v>75</v>
      </c>
      <c r="N78" s="97">
        <f t="shared" si="274"/>
        <v>90</v>
      </c>
      <c r="O78" s="97">
        <f t="shared" si="274"/>
        <v>80</v>
      </c>
      <c r="P78" s="97">
        <f t="shared" si="274"/>
        <v>90</v>
      </c>
      <c r="Q78" s="97">
        <f t="shared" si="274"/>
        <v>78</v>
      </c>
      <c r="R78" s="97">
        <f t="shared" si="274"/>
        <v>100</v>
      </c>
      <c r="S78" s="97">
        <f t="shared" si="274"/>
        <v>75</v>
      </c>
      <c r="T78" s="97">
        <f t="shared" si="274"/>
        <v>75</v>
      </c>
      <c r="U78" s="97">
        <f t="shared" si="274"/>
        <v>95</v>
      </c>
      <c r="V78" s="97">
        <f t="shared" si="274"/>
        <v>80</v>
      </c>
      <c r="W78" s="97">
        <f t="shared" si="274"/>
        <v>75</v>
      </c>
      <c r="X78" s="97">
        <f t="shared" si="274"/>
        <v>100</v>
      </c>
      <c r="Y78" s="97">
        <f t="shared" si="274"/>
        <v>80</v>
      </c>
      <c r="Z78" s="97">
        <f t="shared" si="274"/>
        <v>75</v>
      </c>
      <c r="AA78" s="97">
        <f t="shared" si="274"/>
        <v>85</v>
      </c>
      <c r="AB78" s="97">
        <f t="shared" ref="AB78:AH78" si="275">IFERROR(AVERAGE(AB79:AB85),"")</f>
        <v>85</v>
      </c>
      <c r="AC78" s="97" t="str">
        <f t="shared" si="275"/>
        <v/>
      </c>
      <c r="AD78" s="97" t="str">
        <f t="shared" si="275"/>
        <v/>
      </c>
      <c r="AE78" s="97" t="str">
        <f t="shared" si="275"/>
        <v/>
      </c>
      <c r="AF78" s="97" t="str">
        <f t="shared" si="275"/>
        <v/>
      </c>
      <c r="AG78" s="97" t="str">
        <f t="shared" si="275"/>
        <v/>
      </c>
      <c r="AH78" s="97" t="str">
        <f t="shared" si="275"/>
        <v/>
      </c>
    </row>
    <row r="79" spans="1:34" ht="27" customHeight="1">
      <c r="A79" s="30"/>
      <c r="B79" s="801"/>
      <c r="C79" s="74" t="s">
        <v>1610</v>
      </c>
      <c r="D79" s="72" t="s">
        <v>1871</v>
      </c>
      <c r="E79" s="98">
        <v>75</v>
      </c>
      <c r="F79" s="98">
        <v>75</v>
      </c>
      <c r="G79" s="98">
        <v>75</v>
      </c>
      <c r="H79" s="98">
        <v>90</v>
      </c>
      <c r="I79" s="98">
        <v>80</v>
      </c>
      <c r="J79" s="98">
        <v>90</v>
      </c>
      <c r="K79" s="98">
        <v>100</v>
      </c>
      <c r="L79" s="98">
        <v>75</v>
      </c>
      <c r="M79" s="98">
        <v>75</v>
      </c>
      <c r="N79" s="98">
        <v>90</v>
      </c>
      <c r="O79" s="98">
        <v>80</v>
      </c>
      <c r="P79" s="98">
        <v>90</v>
      </c>
      <c r="Q79" s="98">
        <v>78</v>
      </c>
      <c r="R79" s="98">
        <v>100</v>
      </c>
      <c r="S79" s="98">
        <v>75</v>
      </c>
      <c r="T79" s="98">
        <v>75</v>
      </c>
      <c r="U79" s="98">
        <v>95</v>
      </c>
      <c r="V79" s="98">
        <v>80</v>
      </c>
      <c r="W79" s="98">
        <v>75</v>
      </c>
      <c r="X79" s="98">
        <v>100</v>
      </c>
      <c r="Y79" s="98">
        <v>80</v>
      </c>
      <c r="Z79" s="98">
        <v>75</v>
      </c>
      <c r="AA79" s="98">
        <v>85</v>
      </c>
      <c r="AB79" s="98">
        <v>85</v>
      </c>
      <c r="AC79" s="98"/>
      <c r="AD79" s="98"/>
      <c r="AE79" s="98"/>
      <c r="AF79" s="98"/>
      <c r="AG79" s="98"/>
      <c r="AH79" s="98"/>
    </row>
    <row r="80" spans="1:34" ht="27" hidden="1" customHeight="1">
      <c r="A80" s="30"/>
      <c r="B80" s="801"/>
      <c r="C80" s="74"/>
      <c r="D80" s="72"/>
      <c r="E80" s="98"/>
      <c r="F80" s="98"/>
      <c r="G80" s="98"/>
      <c r="H80" s="98"/>
      <c r="I80" s="98"/>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row>
    <row r="81" spans="1:34" ht="27" hidden="1" customHeight="1">
      <c r="A81" s="30"/>
      <c r="B81" s="801"/>
      <c r="C81" s="74"/>
      <c r="D81" s="72"/>
      <c r="E81" s="98"/>
      <c r="F81" s="98"/>
      <c r="G81" s="98"/>
      <c r="H81" s="98"/>
      <c r="I81" s="98"/>
      <c r="J81" s="98"/>
      <c r="K81" s="98"/>
      <c r="L81" s="98"/>
      <c r="M81" s="98"/>
      <c r="N81" s="98"/>
      <c r="O81" s="98"/>
      <c r="P81" s="98"/>
      <c r="Q81" s="98"/>
      <c r="R81" s="98"/>
      <c r="S81" s="98"/>
      <c r="T81" s="98"/>
      <c r="U81" s="98"/>
      <c r="V81" s="98"/>
      <c r="W81" s="98"/>
      <c r="X81" s="98"/>
      <c r="Y81" s="98"/>
      <c r="Z81" s="98"/>
      <c r="AA81" s="98"/>
      <c r="AB81" s="98"/>
      <c r="AC81" s="98"/>
      <c r="AD81" s="98"/>
      <c r="AE81" s="98"/>
      <c r="AF81" s="98"/>
      <c r="AG81" s="98"/>
      <c r="AH81" s="98"/>
    </row>
    <row r="82" spans="1:34" ht="27" hidden="1" customHeight="1">
      <c r="A82" s="30"/>
      <c r="B82" s="801"/>
      <c r="C82" s="74"/>
      <c r="D82" s="72"/>
      <c r="E82" s="98"/>
      <c r="F82" s="98"/>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row>
    <row r="83" spans="1:34" ht="27" hidden="1" customHeight="1">
      <c r="A83" s="30"/>
      <c r="B83" s="801"/>
      <c r="C83" s="74"/>
      <c r="D83" s="72"/>
      <c r="E83" s="98"/>
      <c r="F83" s="98"/>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row>
    <row r="84" spans="1:34" ht="27" hidden="1" customHeight="1">
      <c r="A84" s="30"/>
      <c r="B84" s="801"/>
      <c r="C84" s="74"/>
      <c r="D84" s="72"/>
      <c r="E84" s="98"/>
      <c r="F84" s="98"/>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row>
    <row r="85" spans="1:34" ht="27" hidden="1" customHeight="1">
      <c r="A85" s="30"/>
      <c r="B85" s="802"/>
      <c r="C85" s="74"/>
      <c r="D85" s="72"/>
      <c r="E85" s="98"/>
      <c r="F85" s="98"/>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row>
    <row r="86" spans="1:34" ht="27" hidden="1" customHeight="1">
      <c r="A86" s="30"/>
      <c r="B86" s="800">
        <v>11</v>
      </c>
      <c r="C86" s="795"/>
      <c r="D86" s="796"/>
      <c r="E86" s="97" t="str">
        <f>IFERROR(AVERAGE(E87:E93),"")</f>
        <v/>
      </c>
      <c r="F86" s="97" t="str">
        <f t="shared" ref="F86:AA86" si="276">IFERROR(AVERAGE(F87:F93),"")</f>
        <v/>
      </c>
      <c r="G86" s="97" t="str">
        <f>IFERROR(AVERAGE(G87:G93),"")</f>
        <v/>
      </c>
      <c r="H86" s="97" t="str">
        <f t="shared" si="276"/>
        <v/>
      </c>
      <c r="I86" s="97" t="str">
        <f t="shared" si="276"/>
        <v/>
      </c>
      <c r="J86" s="97" t="str">
        <f t="shared" si="276"/>
        <v/>
      </c>
      <c r="K86" s="97" t="str">
        <f t="shared" si="276"/>
        <v/>
      </c>
      <c r="L86" s="97" t="str">
        <f t="shared" si="276"/>
        <v/>
      </c>
      <c r="M86" s="97" t="str">
        <f t="shared" si="276"/>
        <v/>
      </c>
      <c r="N86" s="97" t="str">
        <f t="shared" si="276"/>
        <v/>
      </c>
      <c r="O86" s="97" t="str">
        <f t="shared" si="276"/>
        <v/>
      </c>
      <c r="P86" s="97" t="str">
        <f t="shared" si="276"/>
        <v/>
      </c>
      <c r="Q86" s="97" t="str">
        <f t="shared" si="276"/>
        <v/>
      </c>
      <c r="R86" s="97" t="str">
        <f t="shared" si="276"/>
        <v/>
      </c>
      <c r="S86" s="97" t="str">
        <f t="shared" si="276"/>
        <v/>
      </c>
      <c r="T86" s="97" t="str">
        <f t="shared" si="276"/>
        <v/>
      </c>
      <c r="U86" s="97" t="str">
        <f t="shared" si="276"/>
        <v/>
      </c>
      <c r="V86" s="97" t="str">
        <f t="shared" si="276"/>
        <v/>
      </c>
      <c r="W86" s="97" t="str">
        <f t="shared" si="276"/>
        <v/>
      </c>
      <c r="X86" s="97" t="str">
        <f t="shared" si="276"/>
        <v/>
      </c>
      <c r="Y86" s="97" t="str">
        <f t="shared" si="276"/>
        <v/>
      </c>
      <c r="Z86" s="97" t="str">
        <f t="shared" si="276"/>
        <v/>
      </c>
      <c r="AA86" s="97" t="str">
        <f t="shared" si="276"/>
        <v/>
      </c>
      <c r="AB86" s="97" t="str">
        <f t="shared" ref="AB86:AH86" si="277">IFERROR(AVERAGE(AB87:AB93),"")</f>
        <v/>
      </c>
      <c r="AC86" s="97" t="str">
        <f t="shared" si="277"/>
        <v/>
      </c>
      <c r="AD86" s="97" t="str">
        <f t="shared" si="277"/>
        <v/>
      </c>
      <c r="AE86" s="97" t="str">
        <f t="shared" si="277"/>
        <v/>
      </c>
      <c r="AF86" s="97" t="str">
        <f t="shared" si="277"/>
        <v/>
      </c>
      <c r="AG86" s="97" t="str">
        <f t="shared" si="277"/>
        <v/>
      </c>
      <c r="AH86" s="97" t="str">
        <f t="shared" si="277"/>
        <v/>
      </c>
    </row>
    <row r="87" spans="1:34" ht="27" hidden="1" customHeight="1">
      <c r="A87" s="30"/>
      <c r="B87" s="801"/>
      <c r="C87" s="74"/>
      <c r="D87" s="72"/>
      <c r="E87" s="98"/>
      <c r="F87" s="98"/>
      <c r="G87" s="98"/>
      <c r="H87" s="98"/>
      <c r="I87" s="98"/>
      <c r="J87" s="98"/>
      <c r="K87" s="98"/>
      <c r="L87" s="98"/>
      <c r="M87" s="98"/>
      <c r="N87" s="99"/>
      <c r="O87" s="99"/>
      <c r="P87" s="98"/>
      <c r="Q87" s="98"/>
      <c r="R87" s="98"/>
      <c r="S87" s="98"/>
      <c r="T87" s="99"/>
      <c r="U87" s="98"/>
      <c r="V87" s="98"/>
      <c r="W87" s="98"/>
      <c r="X87" s="98"/>
      <c r="Y87" s="98"/>
      <c r="Z87" s="98"/>
      <c r="AA87" s="98"/>
      <c r="AB87" s="99"/>
      <c r="AC87" s="99"/>
      <c r="AD87" s="99"/>
      <c r="AE87" s="99"/>
      <c r="AF87" s="99"/>
      <c r="AG87" s="99"/>
      <c r="AH87" s="99"/>
    </row>
    <row r="88" spans="1:34" ht="27" hidden="1" customHeight="1">
      <c r="A88" s="30"/>
      <c r="B88" s="801"/>
      <c r="C88" s="74"/>
      <c r="D88" s="72"/>
      <c r="E88" s="98"/>
      <c r="F88" s="98"/>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row>
    <row r="89" spans="1:34" ht="27" hidden="1" customHeight="1">
      <c r="A89" s="30"/>
      <c r="B89" s="801"/>
      <c r="C89" s="74"/>
      <c r="D89" s="72"/>
      <c r="E89" s="98"/>
      <c r="F89" s="98"/>
      <c r="G89" s="98"/>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row>
    <row r="90" spans="1:34" ht="27" hidden="1" customHeight="1">
      <c r="A90" s="30"/>
      <c r="B90" s="801"/>
      <c r="C90" s="74"/>
      <c r="D90" s="72"/>
      <c r="E90" s="98"/>
      <c r="F90" s="98"/>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row>
    <row r="91" spans="1:34" ht="27" hidden="1" customHeight="1">
      <c r="A91" s="30"/>
      <c r="B91" s="801"/>
      <c r="C91" s="74"/>
      <c r="D91" s="72"/>
      <c r="E91" s="98"/>
      <c r="F91" s="98"/>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row>
    <row r="92" spans="1:34" ht="27" hidden="1" customHeight="1">
      <c r="A92" s="30"/>
      <c r="B92" s="801"/>
      <c r="C92" s="74"/>
      <c r="D92" s="72"/>
      <c r="E92" s="98"/>
      <c r="F92" s="98"/>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row>
    <row r="93" spans="1:34" ht="27" hidden="1" customHeight="1">
      <c r="A93" s="30"/>
      <c r="B93" s="802"/>
      <c r="C93" s="74"/>
      <c r="D93" s="72"/>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row>
    <row r="94" spans="1:34" ht="27" hidden="1" customHeight="1">
      <c r="A94" s="30"/>
      <c r="B94" s="800">
        <v>12</v>
      </c>
      <c r="C94" s="795"/>
      <c r="D94" s="796"/>
      <c r="E94" s="97" t="str">
        <f>IFERROR(AVERAGE(E95:E101),"")</f>
        <v/>
      </c>
      <c r="F94" s="97" t="str">
        <f t="shared" ref="F94:AH94" si="278">IFERROR(AVERAGE(F95:F101),"")</f>
        <v/>
      </c>
      <c r="G94" s="97" t="str">
        <f t="shared" si="278"/>
        <v/>
      </c>
      <c r="H94" s="97" t="str">
        <f t="shared" si="278"/>
        <v/>
      </c>
      <c r="I94" s="97" t="str">
        <f t="shared" si="278"/>
        <v/>
      </c>
      <c r="J94" s="97" t="str">
        <f t="shared" si="278"/>
        <v/>
      </c>
      <c r="K94" s="97" t="str">
        <f t="shared" si="278"/>
        <v/>
      </c>
      <c r="L94" s="97" t="str">
        <f t="shared" si="278"/>
        <v/>
      </c>
      <c r="M94" s="97" t="str">
        <f t="shared" si="278"/>
        <v/>
      </c>
      <c r="N94" s="97" t="str">
        <f t="shared" si="278"/>
        <v/>
      </c>
      <c r="O94" s="97" t="str">
        <f t="shared" si="278"/>
        <v/>
      </c>
      <c r="P94" s="97" t="str">
        <f t="shared" si="278"/>
        <v/>
      </c>
      <c r="Q94" s="97" t="str">
        <f t="shared" si="278"/>
        <v/>
      </c>
      <c r="R94" s="97" t="str">
        <f t="shared" si="278"/>
        <v/>
      </c>
      <c r="S94" s="97" t="str">
        <f t="shared" si="278"/>
        <v/>
      </c>
      <c r="T94" s="97" t="str">
        <f t="shared" si="278"/>
        <v/>
      </c>
      <c r="U94" s="97" t="str">
        <f t="shared" si="278"/>
        <v/>
      </c>
      <c r="V94" s="97" t="str">
        <f t="shared" si="278"/>
        <v/>
      </c>
      <c r="W94" s="97" t="str">
        <f t="shared" si="278"/>
        <v/>
      </c>
      <c r="X94" s="97" t="str">
        <f t="shared" si="278"/>
        <v/>
      </c>
      <c r="Y94" s="97" t="str">
        <f t="shared" si="278"/>
        <v/>
      </c>
      <c r="Z94" s="97" t="str">
        <f t="shared" si="278"/>
        <v/>
      </c>
      <c r="AA94" s="97" t="str">
        <f t="shared" si="278"/>
        <v/>
      </c>
      <c r="AB94" s="97" t="str">
        <f t="shared" si="278"/>
        <v/>
      </c>
      <c r="AC94" s="97" t="str">
        <f t="shared" si="278"/>
        <v/>
      </c>
      <c r="AD94" s="97" t="str">
        <f t="shared" si="278"/>
        <v/>
      </c>
      <c r="AE94" s="97" t="str">
        <f t="shared" si="278"/>
        <v/>
      </c>
      <c r="AF94" s="97" t="str">
        <f t="shared" si="278"/>
        <v/>
      </c>
      <c r="AG94" s="97" t="str">
        <f t="shared" si="278"/>
        <v/>
      </c>
      <c r="AH94" s="97" t="str">
        <f t="shared" si="278"/>
        <v/>
      </c>
    </row>
    <row r="95" spans="1:34" ht="27" hidden="1" customHeight="1">
      <c r="A95" s="30"/>
      <c r="B95" s="801"/>
      <c r="C95" s="74"/>
      <c r="D95" s="72"/>
      <c r="E95" s="98"/>
      <c r="F95" s="98"/>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row>
    <row r="96" spans="1:34" ht="27" hidden="1" customHeight="1">
      <c r="A96" s="30"/>
      <c r="B96" s="801"/>
      <c r="C96" s="74"/>
      <c r="D96" s="72"/>
      <c r="E96" s="98"/>
      <c r="F96" s="98"/>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row>
    <row r="97" spans="1:34" ht="27" hidden="1" customHeight="1">
      <c r="A97" s="30"/>
      <c r="B97" s="801"/>
      <c r="C97" s="74"/>
      <c r="D97" s="72"/>
      <c r="E97" s="98"/>
      <c r="F97" s="98"/>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row>
    <row r="98" spans="1:34" ht="27" hidden="1" customHeight="1">
      <c r="A98" s="30"/>
      <c r="B98" s="801"/>
      <c r="C98" s="74"/>
      <c r="D98" s="72"/>
      <c r="E98" s="98"/>
      <c r="F98" s="98"/>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row>
    <row r="99" spans="1:34" ht="27" hidden="1" customHeight="1">
      <c r="A99" s="30"/>
      <c r="B99" s="801"/>
      <c r="C99" s="74"/>
      <c r="D99" s="72"/>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row>
    <row r="100" spans="1:34" ht="27" hidden="1" customHeight="1">
      <c r="A100" s="30"/>
      <c r="B100" s="801"/>
      <c r="C100" s="74"/>
      <c r="D100" s="72"/>
      <c r="E100" s="98"/>
      <c r="F100" s="98"/>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row>
    <row r="101" spans="1:34" ht="27" hidden="1" customHeight="1">
      <c r="A101" s="30"/>
      <c r="B101" s="802"/>
      <c r="C101" s="74"/>
      <c r="D101" s="72"/>
      <c r="E101" s="98"/>
      <c r="F101" s="98"/>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row>
    <row r="102" spans="1:34" ht="27" hidden="1" customHeight="1">
      <c r="A102" s="30"/>
      <c r="B102" s="794">
        <v>13</v>
      </c>
      <c r="C102" s="795"/>
      <c r="D102" s="796"/>
      <c r="E102" s="97" t="str">
        <f>IFERROR(AVERAGE(E103:E109),"")</f>
        <v/>
      </c>
      <c r="F102" s="97" t="str">
        <f t="shared" ref="F102:AH102" si="279">IFERROR(AVERAGE(F103:F109),"")</f>
        <v/>
      </c>
      <c r="G102" s="97" t="str">
        <f t="shared" si="279"/>
        <v/>
      </c>
      <c r="H102" s="97" t="str">
        <f t="shared" si="279"/>
        <v/>
      </c>
      <c r="I102" s="97" t="str">
        <f t="shared" si="279"/>
        <v/>
      </c>
      <c r="J102" s="97" t="str">
        <f t="shared" si="279"/>
        <v/>
      </c>
      <c r="K102" s="97" t="str">
        <f t="shared" si="279"/>
        <v/>
      </c>
      <c r="L102" s="97" t="str">
        <f t="shared" si="279"/>
        <v/>
      </c>
      <c r="M102" s="97" t="str">
        <f t="shared" si="279"/>
        <v/>
      </c>
      <c r="N102" s="97" t="str">
        <f t="shared" si="279"/>
        <v/>
      </c>
      <c r="O102" s="97" t="str">
        <f t="shared" si="279"/>
        <v/>
      </c>
      <c r="P102" s="97" t="str">
        <f t="shared" si="279"/>
        <v/>
      </c>
      <c r="Q102" s="97" t="str">
        <f t="shared" si="279"/>
        <v/>
      </c>
      <c r="R102" s="97" t="str">
        <f t="shared" si="279"/>
        <v/>
      </c>
      <c r="S102" s="97" t="str">
        <f t="shared" si="279"/>
        <v/>
      </c>
      <c r="T102" s="97" t="str">
        <f t="shared" si="279"/>
        <v/>
      </c>
      <c r="U102" s="97" t="str">
        <f t="shared" si="279"/>
        <v/>
      </c>
      <c r="V102" s="97" t="str">
        <f t="shared" si="279"/>
        <v/>
      </c>
      <c r="W102" s="97" t="str">
        <f t="shared" si="279"/>
        <v/>
      </c>
      <c r="X102" s="97" t="str">
        <f t="shared" si="279"/>
        <v/>
      </c>
      <c r="Y102" s="97" t="str">
        <f t="shared" si="279"/>
        <v/>
      </c>
      <c r="Z102" s="97" t="str">
        <f t="shared" si="279"/>
        <v/>
      </c>
      <c r="AA102" s="97" t="str">
        <f t="shared" si="279"/>
        <v/>
      </c>
      <c r="AB102" s="97" t="str">
        <f t="shared" si="279"/>
        <v/>
      </c>
      <c r="AC102" s="97" t="str">
        <f t="shared" si="279"/>
        <v/>
      </c>
      <c r="AD102" s="97" t="str">
        <f t="shared" si="279"/>
        <v/>
      </c>
      <c r="AE102" s="97" t="str">
        <f t="shared" si="279"/>
        <v/>
      </c>
      <c r="AF102" s="97" t="str">
        <f t="shared" si="279"/>
        <v/>
      </c>
      <c r="AG102" s="97" t="str">
        <f t="shared" si="279"/>
        <v/>
      </c>
      <c r="AH102" s="97" t="str">
        <f t="shared" si="279"/>
        <v/>
      </c>
    </row>
    <row r="103" spans="1:34" ht="27" hidden="1" customHeight="1">
      <c r="A103" s="30"/>
      <c r="B103" s="794"/>
      <c r="C103" s="74" t="s">
        <v>229</v>
      </c>
      <c r="D103" s="72"/>
      <c r="E103" s="98"/>
      <c r="F103" s="98"/>
      <c r="G103" s="98"/>
      <c r="H103" s="98"/>
      <c r="I103" s="98"/>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row>
    <row r="104" spans="1:34" ht="27" hidden="1" customHeight="1">
      <c r="A104" s="30"/>
      <c r="B104" s="794"/>
      <c r="C104" s="74" t="s">
        <v>230</v>
      </c>
      <c r="D104" s="72"/>
      <c r="E104" s="98"/>
      <c r="F104" s="98"/>
      <c r="G104" s="98"/>
      <c r="H104" s="98"/>
      <c r="I104" s="98"/>
      <c r="J104" s="98"/>
      <c r="K104" s="98"/>
      <c r="L104" s="98"/>
      <c r="M104" s="98"/>
      <c r="N104" s="98"/>
      <c r="O104" s="98"/>
      <c r="P104" s="98"/>
      <c r="Q104" s="98"/>
      <c r="R104" s="98"/>
      <c r="S104" s="98"/>
      <c r="T104" s="98"/>
      <c r="U104" s="98"/>
      <c r="V104" s="98"/>
      <c r="W104" s="98"/>
      <c r="X104" s="98"/>
      <c r="Y104" s="98"/>
      <c r="Z104" s="98"/>
      <c r="AA104" s="98"/>
      <c r="AB104" s="98"/>
      <c r="AC104" s="98"/>
      <c r="AD104" s="98"/>
      <c r="AE104" s="98"/>
      <c r="AF104" s="98"/>
      <c r="AG104" s="98"/>
      <c r="AH104" s="98"/>
    </row>
    <row r="105" spans="1:34" ht="27" hidden="1" customHeight="1">
      <c r="A105" s="30"/>
      <c r="B105" s="794"/>
      <c r="C105" s="74" t="s">
        <v>231</v>
      </c>
      <c r="D105" s="72"/>
      <c r="E105" s="98"/>
      <c r="F105" s="98"/>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row>
    <row r="106" spans="1:34" ht="27" hidden="1" customHeight="1">
      <c r="A106" s="30"/>
      <c r="B106" s="794"/>
      <c r="C106" s="74" t="s">
        <v>232</v>
      </c>
      <c r="D106" s="72"/>
      <c r="E106" s="98"/>
      <c r="F106" s="98"/>
      <c r="G106" s="98"/>
      <c r="H106" s="98"/>
      <c r="I106" s="98"/>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row>
    <row r="107" spans="1:34" ht="27" hidden="1" customHeight="1">
      <c r="A107" s="30"/>
      <c r="B107" s="794"/>
      <c r="C107" s="74" t="s">
        <v>233</v>
      </c>
      <c r="D107" s="72"/>
      <c r="E107" s="98"/>
      <c r="F107" s="98"/>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row>
    <row r="108" spans="1:34" ht="27" hidden="1" customHeight="1">
      <c r="A108" s="30"/>
      <c r="B108" s="794"/>
      <c r="C108" s="74" t="s">
        <v>234</v>
      </c>
      <c r="D108" s="72"/>
      <c r="E108" s="98"/>
      <c r="F108" s="98"/>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row>
    <row r="109" spans="1:34" ht="27" hidden="1" customHeight="1">
      <c r="A109" s="30"/>
      <c r="B109" s="794"/>
      <c r="C109" s="74" t="s">
        <v>235</v>
      </c>
      <c r="D109" s="72"/>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row>
    <row r="110" spans="1:34" ht="27" customHeight="1">
      <c r="A110" s="30"/>
      <c r="B110" s="797" t="s">
        <v>143</v>
      </c>
      <c r="C110" s="798"/>
      <c r="D110" s="799"/>
      <c r="E110" s="100">
        <f>IFERROR(AVERAGE(E6,E14,E22,E30,E38,E46,E54,E62,E70,E78,E86,E94,E102),"")</f>
        <v>90.5</v>
      </c>
      <c r="F110" s="100">
        <f t="shared" ref="F110:AH110" si="280">IFERROR(AVERAGE(F6,F14,F22,F30,F38,F46,F54,F62,F70,F78,F86,F94,F102),"")</f>
        <v>82</v>
      </c>
      <c r="G110" s="100">
        <f t="shared" si="280"/>
        <v>80</v>
      </c>
      <c r="H110" s="100">
        <f t="shared" si="280"/>
        <v>91</v>
      </c>
      <c r="I110" s="100">
        <f t="shared" si="280"/>
        <v>85</v>
      </c>
      <c r="J110" s="100">
        <f t="shared" si="280"/>
        <v>93.8</v>
      </c>
      <c r="K110" s="100">
        <f t="shared" si="280"/>
        <v>96.5</v>
      </c>
      <c r="L110" s="100">
        <f t="shared" si="280"/>
        <v>91.25</v>
      </c>
      <c r="M110" s="100">
        <f t="shared" si="280"/>
        <v>89.55</v>
      </c>
      <c r="N110" s="100">
        <f t="shared" si="280"/>
        <v>92.5</v>
      </c>
      <c r="O110" s="100">
        <f t="shared" si="280"/>
        <v>92.5</v>
      </c>
      <c r="P110" s="100">
        <f t="shared" si="280"/>
        <v>91.5</v>
      </c>
      <c r="Q110" s="100">
        <f t="shared" si="280"/>
        <v>92.3</v>
      </c>
      <c r="R110" s="100">
        <f t="shared" si="280"/>
        <v>94</v>
      </c>
      <c r="S110" s="100">
        <f t="shared" si="280"/>
        <v>80.5</v>
      </c>
      <c r="T110" s="100">
        <f t="shared" si="280"/>
        <v>82.2</v>
      </c>
      <c r="U110" s="100">
        <f t="shared" si="280"/>
        <v>97.55</v>
      </c>
      <c r="V110" s="100">
        <f t="shared" si="280"/>
        <v>90.7</v>
      </c>
      <c r="W110" s="100">
        <f t="shared" si="280"/>
        <v>86.25</v>
      </c>
      <c r="X110" s="100">
        <f t="shared" si="280"/>
        <v>90.7</v>
      </c>
      <c r="Y110" s="100">
        <f t="shared" si="280"/>
        <v>91.2</v>
      </c>
      <c r="Z110" s="100">
        <f t="shared" si="280"/>
        <v>80</v>
      </c>
      <c r="AA110" s="100">
        <f t="shared" si="280"/>
        <v>91.75</v>
      </c>
      <c r="AB110" s="100">
        <f t="shared" si="280"/>
        <v>93.45</v>
      </c>
      <c r="AC110" s="100" t="str">
        <f t="shared" si="280"/>
        <v/>
      </c>
      <c r="AD110" s="100" t="str">
        <f t="shared" si="280"/>
        <v/>
      </c>
      <c r="AE110" s="100" t="str">
        <f t="shared" si="280"/>
        <v/>
      </c>
      <c r="AF110" s="100" t="str">
        <f t="shared" si="280"/>
        <v/>
      </c>
      <c r="AG110" s="100" t="str">
        <f t="shared" si="280"/>
        <v/>
      </c>
      <c r="AH110" s="100" t="str">
        <f t="shared" si="280"/>
        <v/>
      </c>
    </row>
    <row r="111" spans="1:34" hidden="1">
      <c r="B111" s="31"/>
      <c r="C111" s="31"/>
      <c r="D111" s="32"/>
    </row>
    <row r="112" spans="1:34" hidden="1">
      <c r="B112" s="31"/>
      <c r="C112" s="31"/>
      <c r="D112" s="32"/>
    </row>
    <row r="113" spans="2:4" hidden="1">
      <c r="B113" s="31"/>
      <c r="C113" s="31"/>
      <c r="D113" s="32"/>
    </row>
    <row r="114" spans="2:4" hidden="1">
      <c r="B114" s="31"/>
      <c r="C114" s="31"/>
      <c r="D114" s="32"/>
    </row>
    <row r="115" spans="2:4" hidden="1">
      <c r="B115" s="31"/>
      <c r="C115" s="31"/>
      <c r="D115" s="32"/>
    </row>
    <row r="116" spans="2:4" hidden="1">
      <c r="B116" s="31"/>
      <c r="C116" s="31"/>
      <c r="D116" s="32"/>
    </row>
    <row r="117" spans="2:4" hidden="1">
      <c r="B117" s="31"/>
      <c r="C117" s="31"/>
      <c r="D117" s="32"/>
    </row>
    <row r="118" spans="2:4" hidden="1">
      <c r="B118" s="31"/>
      <c r="C118" s="31"/>
      <c r="D118" s="32"/>
    </row>
    <row r="119" spans="2:4" hidden="1">
      <c r="B119" s="31"/>
      <c r="C119" s="31"/>
      <c r="D119" s="32"/>
    </row>
    <row r="120" spans="2:4" hidden="1">
      <c r="B120" s="31"/>
      <c r="C120" s="31"/>
      <c r="D120" s="32"/>
    </row>
    <row r="121" spans="2:4" hidden="1">
      <c r="B121" s="31"/>
      <c r="C121" s="31"/>
      <c r="D121" s="32"/>
    </row>
    <row r="122" spans="2:4" hidden="1">
      <c r="B122" s="31"/>
      <c r="C122" s="31"/>
      <c r="D122" s="32"/>
    </row>
    <row r="123" spans="2:4" hidden="1">
      <c r="B123" s="31"/>
      <c r="C123" s="31"/>
      <c r="D123" s="32"/>
    </row>
    <row r="124" spans="2:4" hidden="1">
      <c r="B124" s="31"/>
      <c r="C124" s="31"/>
      <c r="D124" s="32"/>
    </row>
    <row r="125" spans="2:4" hidden="1">
      <c r="B125" s="31"/>
      <c r="C125" s="31"/>
      <c r="D125" s="32"/>
    </row>
    <row r="126" spans="2:4" hidden="1">
      <c r="B126" s="31"/>
      <c r="C126" s="31"/>
      <c r="D126" s="32"/>
    </row>
    <row r="127" spans="2:4" hidden="1">
      <c r="B127" s="31"/>
      <c r="C127" s="31"/>
      <c r="D127" s="32"/>
    </row>
    <row r="128" spans="2:4" hidden="1">
      <c r="B128" s="31"/>
      <c r="C128" s="31"/>
      <c r="D128" s="32"/>
    </row>
    <row r="129" spans="2:4" hidden="1">
      <c r="B129" s="31"/>
      <c r="C129" s="31"/>
      <c r="D129" s="32"/>
    </row>
    <row r="130" spans="2:4" hidden="1">
      <c r="B130" s="31"/>
      <c r="C130" s="31"/>
      <c r="D130" s="32"/>
    </row>
    <row r="131" spans="2:4" hidden="1">
      <c r="B131" s="31"/>
      <c r="C131" s="31"/>
      <c r="D131" s="32"/>
    </row>
    <row r="132" spans="2:4" hidden="1">
      <c r="B132" s="31"/>
      <c r="C132" s="31"/>
      <c r="D132" s="32"/>
    </row>
    <row r="133" spans="2:4" hidden="1">
      <c r="B133" s="31"/>
      <c r="C133" s="31"/>
      <c r="D133" s="32"/>
    </row>
    <row r="134" spans="2:4" hidden="1">
      <c r="B134" s="31"/>
      <c r="C134" s="31"/>
      <c r="D134" s="32"/>
    </row>
    <row r="135" spans="2:4" hidden="1">
      <c r="B135" s="31"/>
      <c r="C135" s="31"/>
      <c r="D135" s="32"/>
    </row>
    <row r="136" spans="2:4" hidden="1">
      <c r="B136" s="31"/>
      <c r="C136" s="31"/>
      <c r="D136" s="32"/>
    </row>
    <row r="137" spans="2:4" hidden="1">
      <c r="B137" s="31"/>
      <c r="C137" s="31"/>
      <c r="D137" s="32"/>
    </row>
    <row r="138" spans="2:4" hidden="1">
      <c r="B138" s="31"/>
      <c r="C138" s="31"/>
      <c r="D138" s="32"/>
    </row>
    <row r="139" spans="2:4" hidden="1">
      <c r="B139" s="31"/>
      <c r="C139" s="31"/>
      <c r="D139" s="32"/>
    </row>
    <row r="140" spans="2:4" hidden="1">
      <c r="B140" s="31"/>
      <c r="C140" s="31"/>
      <c r="D140" s="32"/>
    </row>
    <row r="141" spans="2:4" hidden="1">
      <c r="B141" s="31"/>
      <c r="C141" s="31"/>
      <c r="D141" s="32"/>
    </row>
    <row r="142" spans="2:4" hidden="1">
      <c r="B142" s="31"/>
      <c r="C142" s="31"/>
      <c r="D142" s="32"/>
    </row>
    <row r="143" spans="2:4" hidden="1">
      <c r="B143" s="31"/>
      <c r="C143" s="31"/>
      <c r="D143" s="32"/>
    </row>
    <row r="144" spans="2:4" hidden="1">
      <c r="B144" s="31"/>
      <c r="C144" s="31"/>
      <c r="D144" s="32"/>
    </row>
    <row r="145" spans="2:4" hidden="1">
      <c r="B145" s="31"/>
      <c r="C145" s="31"/>
      <c r="D145" s="32"/>
    </row>
    <row r="146" spans="2:4" hidden="1">
      <c r="B146" s="31"/>
      <c r="C146" s="31"/>
      <c r="D146" s="32"/>
    </row>
    <row r="147" spans="2:4" hidden="1">
      <c r="B147" s="31"/>
      <c r="C147" s="31"/>
      <c r="D147" s="32"/>
    </row>
    <row r="148" spans="2:4" hidden="1">
      <c r="B148" s="31"/>
      <c r="C148" s="31"/>
      <c r="D148" s="32"/>
    </row>
    <row r="149" spans="2:4" hidden="1">
      <c r="B149" s="31"/>
      <c r="C149" s="31"/>
      <c r="D149" s="32"/>
    </row>
    <row r="150" spans="2:4" hidden="1">
      <c r="B150" s="31"/>
      <c r="C150" s="31"/>
      <c r="D150" s="32"/>
    </row>
    <row r="151" spans="2:4" hidden="1">
      <c r="B151" s="31"/>
      <c r="C151" s="31"/>
      <c r="D151" s="32"/>
    </row>
    <row r="152" spans="2:4" hidden="1">
      <c r="B152" s="31"/>
      <c r="C152" s="31"/>
      <c r="D152" s="32"/>
    </row>
    <row r="153" spans="2:4" hidden="1">
      <c r="B153" s="31"/>
      <c r="C153" s="31"/>
      <c r="D153" s="32"/>
    </row>
    <row r="154" spans="2:4" hidden="1">
      <c r="B154" s="31"/>
      <c r="C154" s="31"/>
      <c r="D154" s="32"/>
    </row>
    <row r="155" spans="2:4" hidden="1">
      <c r="B155" s="31"/>
      <c r="C155" s="31"/>
      <c r="D155" s="32"/>
    </row>
    <row r="156" spans="2:4" hidden="1">
      <c r="B156" s="31"/>
      <c r="C156" s="31"/>
      <c r="D156" s="32"/>
    </row>
    <row r="157" spans="2:4" hidden="1">
      <c r="B157" s="31"/>
      <c r="C157" s="31"/>
      <c r="D157" s="32"/>
    </row>
    <row r="158" spans="2:4" hidden="1">
      <c r="B158" s="31"/>
      <c r="C158" s="31"/>
      <c r="D158" s="32"/>
    </row>
    <row r="159" spans="2:4" hidden="1">
      <c r="B159" s="31"/>
      <c r="C159" s="31"/>
      <c r="D159" s="32"/>
    </row>
    <row r="160" spans="2:4" hidden="1">
      <c r="B160" s="31"/>
      <c r="C160" s="31"/>
      <c r="D160" s="32"/>
    </row>
    <row r="161" spans="2:4" hidden="1">
      <c r="B161" s="31"/>
      <c r="C161" s="31"/>
      <c r="D161" s="32"/>
    </row>
    <row r="162" spans="2:4" hidden="1">
      <c r="B162" s="31"/>
      <c r="C162" s="31"/>
      <c r="D162" s="32"/>
    </row>
    <row r="163" spans="2:4" hidden="1">
      <c r="B163" s="31"/>
      <c r="C163" s="31"/>
      <c r="D163" s="32"/>
    </row>
    <row r="164" spans="2:4" hidden="1">
      <c r="B164" s="31"/>
      <c r="C164" s="31"/>
      <c r="D164" s="32"/>
    </row>
    <row r="165" spans="2:4" hidden="1">
      <c r="B165" s="31"/>
      <c r="C165" s="31"/>
      <c r="D165" s="32"/>
    </row>
    <row r="166" spans="2:4" hidden="1">
      <c r="B166" s="31"/>
      <c r="C166" s="31"/>
      <c r="D166" s="32"/>
    </row>
    <row r="167" spans="2:4" hidden="1">
      <c r="B167" s="31"/>
      <c r="C167" s="31"/>
      <c r="D167" s="32"/>
    </row>
    <row r="168" spans="2:4" hidden="1">
      <c r="B168" s="31"/>
      <c r="C168" s="31"/>
      <c r="D168" s="32"/>
    </row>
    <row r="169" spans="2:4" hidden="1">
      <c r="B169" s="31"/>
      <c r="C169" s="31"/>
      <c r="D169" s="32"/>
    </row>
    <row r="170" spans="2:4" hidden="1">
      <c r="B170" s="31"/>
      <c r="C170" s="31"/>
      <c r="D170" s="32"/>
    </row>
  </sheetData>
  <mergeCells count="33">
    <mergeCell ref="B102:B109"/>
    <mergeCell ref="C102:D102"/>
    <mergeCell ref="B110:D110"/>
    <mergeCell ref="B78:B85"/>
    <mergeCell ref="C78:D78"/>
    <mergeCell ref="B86:B93"/>
    <mergeCell ref="C86:D86"/>
    <mergeCell ref="B94:B101"/>
    <mergeCell ref="C94:D94"/>
    <mergeCell ref="B54:B61"/>
    <mergeCell ref="C54:D54"/>
    <mergeCell ref="B62:B69"/>
    <mergeCell ref="C62:D62"/>
    <mergeCell ref="B70:B77"/>
    <mergeCell ref="C70:D70"/>
    <mergeCell ref="B30:B37"/>
    <mergeCell ref="C30:D30"/>
    <mergeCell ref="B38:B45"/>
    <mergeCell ref="C38:D38"/>
    <mergeCell ref="B46:B53"/>
    <mergeCell ref="C46:D46"/>
    <mergeCell ref="B6:B13"/>
    <mergeCell ref="C6:D6"/>
    <mergeCell ref="B14:B21"/>
    <mergeCell ref="C14:D14"/>
    <mergeCell ref="B22:B29"/>
    <mergeCell ref="C22:D22"/>
    <mergeCell ref="A1:AH2"/>
    <mergeCell ref="B3:D3"/>
    <mergeCell ref="B4:B5"/>
    <mergeCell ref="C4:C5"/>
    <mergeCell ref="D4:D5"/>
    <mergeCell ref="E4:AH4"/>
  </mergeCells>
  <pageMargins left="0.35" right="0.2" top="0.17" bottom="0.74803149606299213" header="0.31496062992125984" footer="0.31496062992125984"/>
  <pageSetup paperSize="14" scale="75" orientation="landscape" horizontalDpi="4294967293"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5"/>
  <dimension ref="A1:AW177"/>
  <sheetViews>
    <sheetView showGridLines="0" zoomScale="83" zoomScaleNormal="83" workbookViewId="0">
      <pane ySplit="5" topLeftCell="A17" activePane="bottomLeft" state="frozen"/>
      <selection activeCell="K33" sqref="K33"/>
      <selection pane="bottomLeft" activeCell="C6" sqref="C6:D49"/>
    </sheetView>
  </sheetViews>
  <sheetFormatPr defaultColWidth="0" defaultRowHeight="15" customHeight="1" zeroHeight="1"/>
  <cols>
    <col min="1" max="1" width="1" style="29" customWidth="1"/>
    <col min="2" max="2" width="3.7109375" style="33" customWidth="1"/>
    <col min="3" max="3" width="46.140625" style="33" customWidth="1"/>
    <col min="4" max="4" width="10.28515625" style="29" customWidth="1"/>
    <col min="5" max="34" width="5.7109375" style="29" customWidth="1"/>
    <col min="35" max="49" width="5.7109375" hidden="1" customWidth="1"/>
    <col min="50" max="16384" width="9.140625" hidden="1"/>
  </cols>
  <sheetData>
    <row r="1" spans="1:34" ht="15" customHeight="1">
      <c r="A1" s="803" t="s">
        <v>254</v>
      </c>
      <c r="B1" s="803"/>
      <c r="C1" s="803"/>
      <c r="D1" s="803"/>
      <c r="E1" s="803"/>
      <c r="F1" s="803"/>
      <c r="G1" s="803"/>
      <c r="H1" s="803"/>
      <c r="I1" s="803"/>
      <c r="J1" s="803"/>
      <c r="K1" s="803"/>
      <c r="L1" s="803"/>
      <c r="M1" s="803"/>
      <c r="N1" s="803"/>
      <c r="O1" s="803"/>
      <c r="P1" s="803"/>
      <c r="Q1" s="803"/>
      <c r="R1" s="803"/>
      <c r="S1" s="803"/>
      <c r="T1" s="803"/>
      <c r="U1" s="803"/>
      <c r="V1" s="803"/>
      <c r="W1" s="803"/>
      <c r="X1" s="803"/>
      <c r="Y1" s="803"/>
      <c r="Z1" s="803"/>
      <c r="AA1" s="803"/>
      <c r="AB1" s="803"/>
      <c r="AC1" s="803"/>
      <c r="AD1" s="803"/>
      <c r="AE1" s="803"/>
      <c r="AF1" s="803"/>
      <c r="AG1" s="803"/>
      <c r="AH1" s="803"/>
    </row>
    <row r="2" spans="1:34" ht="15" customHeight="1">
      <c r="A2" s="803"/>
      <c r="B2" s="803"/>
      <c r="C2" s="803"/>
      <c r="D2" s="803"/>
      <c r="E2" s="803"/>
      <c r="F2" s="803"/>
      <c r="G2" s="803"/>
      <c r="H2" s="803"/>
      <c r="I2" s="803"/>
      <c r="J2" s="803"/>
      <c r="K2" s="803"/>
      <c r="L2" s="803"/>
      <c r="M2" s="803"/>
      <c r="N2" s="803"/>
      <c r="O2" s="803"/>
      <c r="P2" s="803"/>
      <c r="Q2" s="803"/>
      <c r="R2" s="803"/>
      <c r="S2" s="803"/>
      <c r="T2" s="803"/>
      <c r="U2" s="803"/>
      <c r="V2" s="803"/>
      <c r="W2" s="803"/>
      <c r="X2" s="803"/>
      <c r="Y2" s="803"/>
      <c r="Z2" s="803"/>
      <c r="AA2" s="803"/>
      <c r="AB2" s="803"/>
      <c r="AC2" s="803"/>
      <c r="AD2" s="803"/>
      <c r="AE2" s="803"/>
      <c r="AF2" s="803"/>
      <c r="AG2" s="803"/>
      <c r="AH2" s="803"/>
    </row>
    <row r="3" spans="1:34" ht="15" customHeight="1">
      <c r="B3" s="804"/>
      <c r="C3" s="804"/>
      <c r="D3" s="80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row>
    <row r="4" spans="1:34" ht="15" customHeight="1">
      <c r="B4" s="805" t="s">
        <v>5</v>
      </c>
      <c r="C4" s="805" t="s">
        <v>125</v>
      </c>
      <c r="D4" s="806" t="s">
        <v>126</v>
      </c>
      <c r="E4" s="807" t="s">
        <v>57</v>
      </c>
      <c r="F4" s="807"/>
      <c r="G4" s="807"/>
      <c r="H4" s="807"/>
      <c r="I4" s="807"/>
      <c r="J4" s="807"/>
      <c r="K4" s="807"/>
      <c r="L4" s="807"/>
      <c r="M4" s="807"/>
      <c r="N4" s="807"/>
      <c r="O4" s="807"/>
      <c r="P4" s="807"/>
      <c r="Q4" s="807"/>
      <c r="R4" s="807"/>
      <c r="S4" s="807"/>
      <c r="T4" s="807"/>
      <c r="U4" s="807"/>
      <c r="V4" s="807"/>
      <c r="W4" s="807"/>
      <c r="X4" s="807"/>
      <c r="Y4" s="807"/>
      <c r="Z4" s="807"/>
      <c r="AA4" s="807"/>
      <c r="AB4" s="807"/>
      <c r="AC4" s="807"/>
      <c r="AD4" s="807"/>
      <c r="AE4" s="807"/>
      <c r="AF4" s="807"/>
      <c r="AG4" s="807"/>
      <c r="AH4" s="807"/>
    </row>
    <row r="5" spans="1:34" ht="12.75" customHeight="1">
      <c r="B5" s="805"/>
      <c r="C5" s="805"/>
      <c r="D5" s="806"/>
      <c r="E5" s="35" t="str">
        <f>DATASISWA!$F$8</f>
        <v>Dita</v>
      </c>
      <c r="F5" s="35" t="str">
        <f>DATASISWA!$F$9</f>
        <v>Annisa</v>
      </c>
      <c r="G5" s="35" t="str">
        <f>DATASISWA!$F$10</f>
        <v>Kiki</v>
      </c>
      <c r="H5" s="35" t="str">
        <f>DATASISWA!$F$11</f>
        <v>Lily</v>
      </c>
      <c r="I5" s="35" t="str">
        <f>DATASISWA!$F$12</f>
        <v>Rere</v>
      </c>
      <c r="J5" s="35" t="str">
        <f>DATASISWA!$F$13</f>
        <v>Fadhil</v>
      </c>
      <c r="K5" s="35" t="str">
        <f>DATASISWA!$F$14</f>
        <v>Yuefa</v>
      </c>
      <c r="L5" s="35" t="str">
        <f>DATASISWA!$F$15</f>
        <v>Ria</v>
      </c>
      <c r="M5" s="35" t="str">
        <f>DATASISWA!$F$16</f>
        <v>Tiara</v>
      </c>
      <c r="N5" s="35" t="str">
        <f>DATASISWA!$F$17</f>
        <v>Alvind</v>
      </c>
      <c r="O5" s="35" t="str">
        <f>DATASISWA!$F$18</f>
        <v>Icha</v>
      </c>
      <c r="P5" s="35" t="str">
        <f>DATASISWA!$F$19</f>
        <v>Qonita</v>
      </c>
      <c r="Q5" s="35" t="str">
        <f>DATASISWA!$F$20</f>
        <v>Anya</v>
      </c>
      <c r="R5" s="35" t="str">
        <f>DATASISWA!$F$21</f>
        <v>Radit</v>
      </c>
      <c r="S5" s="35" t="str">
        <f>DATASISWA!$F$22</f>
        <v>angel</v>
      </c>
      <c r="T5" s="35">
        <f>DATASISWA!$F$23</f>
        <v>0</v>
      </c>
      <c r="U5" s="35">
        <f>DATASISWA!$F$24</f>
        <v>0</v>
      </c>
      <c r="V5" s="35">
        <f>DATASISWA!$F$25</f>
        <v>0</v>
      </c>
      <c r="W5" s="35">
        <f>DATASISWA!$F$26</f>
        <v>0</v>
      </c>
      <c r="X5" s="35">
        <f>DATASISWA!$F$27</f>
        <v>0</v>
      </c>
      <c r="Y5" s="35">
        <f>DATASISWA!$F$28</f>
        <v>0</v>
      </c>
      <c r="Z5" s="35">
        <f>DATASISWA!$F$29</f>
        <v>0</v>
      </c>
      <c r="AA5" s="35">
        <f>DATASISWA!$F$30</f>
        <v>0</v>
      </c>
      <c r="AB5" s="35">
        <f>DATASISWA!$F$31</f>
        <v>0</v>
      </c>
      <c r="AC5" s="35">
        <f>DATASISWA!$F$32</f>
        <v>0</v>
      </c>
      <c r="AD5" s="35">
        <f>DATASISWA!$F$33</f>
        <v>0</v>
      </c>
      <c r="AE5" s="35">
        <f>DATASISWA!$F$34</f>
        <v>0</v>
      </c>
      <c r="AF5" s="35">
        <f>DATASISWA!$F$35</f>
        <v>0</v>
      </c>
      <c r="AG5" s="35">
        <f>DATASISWA!$F$36</f>
        <v>0</v>
      </c>
      <c r="AH5" s="35">
        <f>DATASISWA!$F$37</f>
        <v>0</v>
      </c>
    </row>
    <row r="6" spans="1:34" ht="27" customHeight="1">
      <c r="A6" s="30"/>
      <c r="B6" s="800">
        <v>1</v>
      </c>
      <c r="C6" s="809" t="s">
        <v>1844</v>
      </c>
      <c r="D6" s="810"/>
      <c r="E6" s="97">
        <f>IFERROR(AVERAGE(E7:E13),"")</f>
        <v>82.5</v>
      </c>
      <c r="F6" s="97">
        <f t="shared" ref="F6:AH6" si="0">IFERROR(AVERAGE(F7:F13),"")</f>
        <v>75</v>
      </c>
      <c r="G6" s="97">
        <f t="shared" si="0"/>
        <v>82.5</v>
      </c>
      <c r="H6" s="97">
        <f t="shared" si="0"/>
        <v>82.5</v>
      </c>
      <c r="I6" s="97">
        <f t="shared" si="0"/>
        <v>86.5</v>
      </c>
      <c r="J6" s="97">
        <f t="shared" si="0"/>
        <v>100</v>
      </c>
      <c r="K6" s="97">
        <f t="shared" si="0"/>
        <v>91</v>
      </c>
      <c r="L6" s="97">
        <f t="shared" si="0"/>
        <v>80</v>
      </c>
      <c r="M6" s="97">
        <f t="shared" si="0"/>
        <v>77.5</v>
      </c>
      <c r="N6" s="97">
        <f t="shared" si="0"/>
        <v>97.5</v>
      </c>
      <c r="O6" s="97">
        <f t="shared" si="0"/>
        <v>87.5</v>
      </c>
      <c r="P6" s="97">
        <f t="shared" si="0"/>
        <v>92.5</v>
      </c>
      <c r="Q6" s="97">
        <f t="shared" si="0"/>
        <v>87.5</v>
      </c>
      <c r="R6" s="97">
        <f t="shared" si="0"/>
        <v>82.5</v>
      </c>
      <c r="S6" s="97">
        <f t="shared" si="0"/>
        <v>90</v>
      </c>
      <c r="T6" s="97">
        <f t="shared" si="0"/>
        <v>82.5</v>
      </c>
      <c r="U6" s="97">
        <f t="shared" si="0"/>
        <v>100</v>
      </c>
      <c r="V6" s="97">
        <f t="shared" si="0"/>
        <v>99</v>
      </c>
      <c r="W6" s="97">
        <f t="shared" si="0"/>
        <v>82.5</v>
      </c>
      <c r="X6" s="97">
        <f t="shared" si="0"/>
        <v>80</v>
      </c>
      <c r="Y6" s="97">
        <f t="shared" si="0"/>
        <v>95</v>
      </c>
      <c r="Z6" s="97">
        <f t="shared" si="0"/>
        <v>82.5</v>
      </c>
      <c r="AA6" s="97">
        <f t="shared" si="0"/>
        <v>75</v>
      </c>
      <c r="AB6" s="97">
        <f t="shared" si="0"/>
        <v>100</v>
      </c>
      <c r="AC6" s="97" t="str">
        <f t="shared" si="0"/>
        <v/>
      </c>
      <c r="AD6" s="97" t="str">
        <f t="shared" si="0"/>
        <v/>
      </c>
      <c r="AE6" s="97" t="str">
        <f t="shared" si="0"/>
        <v/>
      </c>
      <c r="AF6" s="97" t="str">
        <f t="shared" si="0"/>
        <v/>
      </c>
      <c r="AG6" s="97" t="str">
        <f t="shared" si="0"/>
        <v/>
      </c>
      <c r="AH6" s="97" t="str">
        <f t="shared" si="0"/>
        <v/>
      </c>
    </row>
    <row r="7" spans="1:34" ht="27" customHeight="1">
      <c r="A7" s="30"/>
      <c r="B7" s="801"/>
      <c r="C7" s="74" t="s">
        <v>1845</v>
      </c>
      <c r="D7" s="72">
        <v>43683</v>
      </c>
      <c r="E7" s="98">
        <v>75</v>
      </c>
      <c r="F7" s="98">
        <v>75</v>
      </c>
      <c r="G7" s="98">
        <v>85</v>
      </c>
      <c r="H7" s="98">
        <v>75</v>
      </c>
      <c r="I7" s="98">
        <v>75</v>
      </c>
      <c r="J7" s="98">
        <v>100</v>
      </c>
      <c r="K7" s="98">
        <v>92</v>
      </c>
      <c r="L7" s="98">
        <v>85</v>
      </c>
      <c r="M7" s="98">
        <v>75</v>
      </c>
      <c r="N7" s="98">
        <v>95</v>
      </c>
      <c r="O7" s="98">
        <v>100</v>
      </c>
      <c r="P7" s="98">
        <v>95</v>
      </c>
      <c r="Q7" s="98">
        <v>75</v>
      </c>
      <c r="R7" s="98">
        <v>75</v>
      </c>
      <c r="S7" s="98">
        <v>90</v>
      </c>
      <c r="T7" s="98">
        <v>75</v>
      </c>
      <c r="U7" s="98">
        <v>100</v>
      </c>
      <c r="V7" s="98">
        <v>100</v>
      </c>
      <c r="W7" s="98">
        <v>75</v>
      </c>
      <c r="X7" s="98">
        <v>75</v>
      </c>
      <c r="Y7" s="98">
        <v>100</v>
      </c>
      <c r="Z7" s="98">
        <v>75</v>
      </c>
      <c r="AA7" s="98">
        <v>75</v>
      </c>
      <c r="AB7" s="98">
        <v>100</v>
      </c>
      <c r="AC7" s="98"/>
      <c r="AD7" s="98"/>
      <c r="AE7" s="98"/>
      <c r="AF7" s="98"/>
      <c r="AG7" s="98"/>
      <c r="AH7" s="98"/>
    </row>
    <row r="8" spans="1:34" ht="27" customHeight="1">
      <c r="A8" s="30"/>
      <c r="B8" s="801"/>
      <c r="C8" s="74" t="s">
        <v>1846</v>
      </c>
      <c r="D8" s="72">
        <v>43718</v>
      </c>
      <c r="E8" s="98">
        <v>90</v>
      </c>
      <c r="F8" s="98">
        <v>75</v>
      </c>
      <c r="G8" s="98">
        <v>80</v>
      </c>
      <c r="H8" s="98">
        <v>90</v>
      </c>
      <c r="I8" s="98">
        <v>98</v>
      </c>
      <c r="J8" s="98">
        <v>100</v>
      </c>
      <c r="K8" s="98">
        <v>90</v>
      </c>
      <c r="L8" s="98">
        <v>75</v>
      </c>
      <c r="M8" s="98">
        <v>80</v>
      </c>
      <c r="N8" s="98">
        <v>100</v>
      </c>
      <c r="O8" s="98">
        <v>75</v>
      </c>
      <c r="P8" s="98">
        <v>90</v>
      </c>
      <c r="Q8" s="98">
        <v>100</v>
      </c>
      <c r="R8" s="98">
        <v>90</v>
      </c>
      <c r="S8" s="98">
        <v>90</v>
      </c>
      <c r="T8" s="98">
        <v>90</v>
      </c>
      <c r="U8" s="98">
        <v>100</v>
      </c>
      <c r="V8" s="98">
        <v>98</v>
      </c>
      <c r="W8" s="98">
        <v>90</v>
      </c>
      <c r="X8" s="98">
        <v>85</v>
      </c>
      <c r="Y8" s="98">
        <v>90</v>
      </c>
      <c r="Z8" s="98">
        <v>90</v>
      </c>
      <c r="AA8" s="98">
        <v>75</v>
      </c>
      <c r="AB8" s="98">
        <v>100</v>
      </c>
      <c r="AC8" s="98"/>
      <c r="AD8" s="98"/>
      <c r="AE8" s="98"/>
      <c r="AF8" s="98"/>
      <c r="AG8" s="98"/>
      <c r="AH8" s="98"/>
    </row>
    <row r="9" spans="1:34" ht="27" hidden="1" customHeight="1">
      <c r="A9" s="30"/>
      <c r="B9" s="801"/>
      <c r="C9" s="74"/>
      <c r="D9" s="72"/>
      <c r="E9" s="98"/>
      <c r="F9" s="98"/>
      <c r="G9" s="98"/>
      <c r="H9" s="98"/>
      <c r="I9" s="98"/>
      <c r="J9" s="98"/>
      <c r="K9" s="98"/>
      <c r="L9" s="98"/>
      <c r="M9" s="98"/>
      <c r="N9" s="98"/>
      <c r="O9" s="98"/>
      <c r="P9" s="98"/>
      <c r="Q9" s="98"/>
      <c r="R9" s="98"/>
      <c r="S9" s="98"/>
      <c r="T9" s="98"/>
      <c r="U9" s="98"/>
      <c r="V9" s="98"/>
      <c r="W9" s="98"/>
      <c r="X9" s="98"/>
      <c r="Y9" s="98"/>
      <c r="Z9" s="98"/>
      <c r="AA9" s="98"/>
      <c r="AB9" s="98"/>
      <c r="AC9" s="98"/>
      <c r="AD9" s="98"/>
      <c r="AE9" s="98"/>
      <c r="AF9" s="98"/>
      <c r="AG9" s="98"/>
      <c r="AH9" s="98"/>
    </row>
    <row r="10" spans="1:34" ht="27" hidden="1" customHeight="1">
      <c r="A10" s="30"/>
      <c r="B10" s="801"/>
      <c r="C10" s="74"/>
      <c r="D10" s="72"/>
      <c r="E10" s="98"/>
      <c r="F10" s="98"/>
      <c r="G10" s="98"/>
      <c r="H10" s="98"/>
      <c r="I10" s="98"/>
      <c r="J10" s="98"/>
      <c r="K10" s="98"/>
      <c r="L10" s="98"/>
      <c r="M10" s="98"/>
      <c r="N10" s="98"/>
      <c r="O10" s="98"/>
      <c r="P10" s="98"/>
      <c r="Q10" s="98"/>
      <c r="R10" s="98"/>
      <c r="S10" s="98"/>
      <c r="T10" s="98"/>
      <c r="U10" s="98"/>
      <c r="V10" s="98"/>
      <c r="W10" s="98"/>
      <c r="X10" s="98"/>
      <c r="Y10" s="98"/>
      <c r="Z10" s="98"/>
      <c r="AA10" s="98"/>
      <c r="AB10" s="98"/>
      <c r="AC10" s="98"/>
      <c r="AD10" s="98"/>
      <c r="AE10" s="98"/>
      <c r="AF10" s="98"/>
      <c r="AG10" s="98"/>
      <c r="AH10" s="98"/>
    </row>
    <row r="11" spans="1:34" ht="27" hidden="1" customHeight="1">
      <c r="A11" s="30"/>
      <c r="B11" s="801"/>
      <c r="C11" s="74"/>
      <c r="D11" s="72"/>
      <c r="E11" s="98"/>
      <c r="F11" s="98"/>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row>
    <row r="12" spans="1:34" ht="27" hidden="1" customHeight="1">
      <c r="A12" s="30"/>
      <c r="B12" s="801"/>
      <c r="C12" s="74"/>
      <c r="D12" s="72"/>
      <c r="E12" s="98"/>
      <c r="F12" s="98"/>
      <c r="G12" s="98"/>
      <c r="H12" s="98"/>
      <c r="I12" s="98"/>
      <c r="J12" s="98"/>
      <c r="K12" s="98"/>
      <c r="L12" s="98"/>
      <c r="M12" s="98"/>
      <c r="N12" s="98"/>
      <c r="O12" s="98"/>
      <c r="P12" s="98"/>
      <c r="Q12" s="98"/>
      <c r="R12" s="98"/>
      <c r="S12" s="98"/>
      <c r="T12" s="98"/>
      <c r="U12" s="98"/>
      <c r="V12" s="98"/>
      <c r="W12" s="98"/>
      <c r="X12" s="98"/>
      <c r="Y12" s="98"/>
      <c r="Z12" s="98"/>
      <c r="AA12" s="98"/>
      <c r="AB12" s="98"/>
      <c r="AC12" s="98"/>
      <c r="AD12" s="98"/>
      <c r="AE12" s="98"/>
      <c r="AF12" s="98"/>
      <c r="AG12" s="98"/>
      <c r="AH12" s="98"/>
    </row>
    <row r="13" spans="1:34" ht="27" hidden="1" customHeight="1">
      <c r="A13" s="30"/>
      <c r="B13" s="802"/>
      <c r="C13" s="74"/>
      <c r="D13" s="72"/>
      <c r="E13" s="98"/>
      <c r="F13" s="98"/>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row>
    <row r="14" spans="1:34" ht="27" customHeight="1">
      <c r="A14" s="30"/>
      <c r="B14" s="800">
        <v>2</v>
      </c>
      <c r="C14" s="795" t="s">
        <v>1847</v>
      </c>
      <c r="D14" s="796"/>
      <c r="E14" s="97">
        <f>IFERROR(AVERAGE(E15:E21),"")</f>
        <v>94</v>
      </c>
      <c r="F14" s="97">
        <f t="shared" ref="F14:AH14" si="1">IFERROR(AVERAGE(F15:F21),"")</f>
        <v>89</v>
      </c>
      <c r="G14" s="97">
        <f t="shared" si="1"/>
        <v>91.6</v>
      </c>
      <c r="H14" s="97">
        <f t="shared" si="1"/>
        <v>93</v>
      </c>
      <c r="I14" s="97">
        <f t="shared" si="1"/>
        <v>92</v>
      </c>
      <c r="J14" s="97">
        <f t="shared" si="1"/>
        <v>95.8</v>
      </c>
      <c r="K14" s="97">
        <f t="shared" si="1"/>
        <v>95.6</v>
      </c>
      <c r="L14" s="97">
        <f t="shared" si="1"/>
        <v>99</v>
      </c>
      <c r="M14" s="97">
        <f t="shared" si="1"/>
        <v>93.2</v>
      </c>
      <c r="N14" s="97">
        <f t="shared" si="1"/>
        <v>90</v>
      </c>
      <c r="O14" s="97">
        <f t="shared" si="1"/>
        <v>93.4</v>
      </c>
      <c r="P14" s="97">
        <f t="shared" si="1"/>
        <v>98</v>
      </c>
      <c r="Q14" s="97">
        <f t="shared" si="1"/>
        <v>96.4</v>
      </c>
      <c r="R14" s="97">
        <f t="shared" si="1"/>
        <v>75</v>
      </c>
      <c r="S14" s="97">
        <f t="shared" si="1"/>
        <v>78</v>
      </c>
      <c r="T14" s="97">
        <f t="shared" si="1"/>
        <v>89</v>
      </c>
      <c r="U14" s="97">
        <f t="shared" si="1"/>
        <v>96</v>
      </c>
      <c r="V14" s="97">
        <f t="shared" si="1"/>
        <v>92.8</v>
      </c>
      <c r="W14" s="97">
        <f t="shared" si="1"/>
        <v>86.4</v>
      </c>
      <c r="X14" s="97">
        <f t="shared" si="1"/>
        <v>76</v>
      </c>
      <c r="Y14" s="97">
        <f t="shared" si="1"/>
        <v>94</v>
      </c>
      <c r="Z14" s="97">
        <f t="shared" si="1"/>
        <v>90</v>
      </c>
      <c r="AA14" s="97">
        <f t="shared" si="1"/>
        <v>85.6</v>
      </c>
      <c r="AB14" s="97">
        <f t="shared" si="1"/>
        <v>92</v>
      </c>
      <c r="AC14" s="97" t="str">
        <f t="shared" si="1"/>
        <v/>
      </c>
      <c r="AD14" s="97" t="str">
        <f t="shared" si="1"/>
        <v/>
      </c>
      <c r="AE14" s="97" t="str">
        <f t="shared" si="1"/>
        <v/>
      </c>
      <c r="AF14" s="97" t="str">
        <f t="shared" si="1"/>
        <v/>
      </c>
      <c r="AG14" s="97" t="str">
        <f t="shared" si="1"/>
        <v/>
      </c>
      <c r="AH14" s="97" t="str">
        <f t="shared" si="1"/>
        <v/>
      </c>
    </row>
    <row r="15" spans="1:34" ht="27" customHeight="1">
      <c r="A15" s="30"/>
      <c r="B15" s="801"/>
      <c r="C15" s="74" t="s">
        <v>1848</v>
      </c>
      <c r="D15" s="72">
        <v>43739</v>
      </c>
      <c r="E15" s="98">
        <v>75</v>
      </c>
      <c r="F15" s="98">
        <v>80</v>
      </c>
      <c r="G15" s="98">
        <v>90</v>
      </c>
      <c r="H15" s="98">
        <v>90</v>
      </c>
      <c r="I15" s="98">
        <v>95</v>
      </c>
      <c r="J15" s="98">
        <v>92</v>
      </c>
      <c r="K15" s="98">
        <v>100</v>
      </c>
      <c r="L15" s="98">
        <v>95</v>
      </c>
      <c r="M15" s="98">
        <v>90</v>
      </c>
      <c r="N15" s="98">
        <v>75</v>
      </c>
      <c r="O15" s="98">
        <v>100</v>
      </c>
      <c r="P15" s="98">
        <v>95</v>
      </c>
      <c r="Q15" s="98">
        <v>92</v>
      </c>
      <c r="R15" s="98">
        <v>75</v>
      </c>
      <c r="S15" s="98">
        <v>75</v>
      </c>
      <c r="T15" s="98">
        <v>85</v>
      </c>
      <c r="U15" s="98">
        <v>95</v>
      </c>
      <c r="V15" s="98">
        <v>90</v>
      </c>
      <c r="W15" s="98">
        <v>75</v>
      </c>
      <c r="X15" s="98">
        <v>75</v>
      </c>
      <c r="Y15" s="98">
        <v>95</v>
      </c>
      <c r="Z15" s="98">
        <v>90</v>
      </c>
      <c r="AA15" s="98">
        <v>75</v>
      </c>
      <c r="AB15" s="98">
        <v>90</v>
      </c>
      <c r="AC15" s="98"/>
      <c r="AD15" s="98"/>
      <c r="AE15" s="98"/>
      <c r="AF15" s="98"/>
      <c r="AG15" s="98"/>
      <c r="AH15" s="98"/>
    </row>
    <row r="16" spans="1:34" ht="27" customHeight="1">
      <c r="A16" s="30"/>
      <c r="B16" s="801"/>
      <c r="C16" s="74" t="s">
        <v>1849</v>
      </c>
      <c r="D16" s="72">
        <v>43753</v>
      </c>
      <c r="E16" s="98">
        <v>100</v>
      </c>
      <c r="F16" s="98">
        <v>95</v>
      </c>
      <c r="G16" s="98">
        <v>95</v>
      </c>
      <c r="H16" s="98">
        <v>92</v>
      </c>
      <c r="I16" s="98">
        <v>85</v>
      </c>
      <c r="J16" s="98">
        <v>92</v>
      </c>
      <c r="K16" s="98">
        <v>95</v>
      </c>
      <c r="L16" s="98">
        <v>100</v>
      </c>
      <c r="M16" s="98">
        <v>90</v>
      </c>
      <c r="N16" s="98">
        <v>90</v>
      </c>
      <c r="O16" s="98">
        <v>92</v>
      </c>
      <c r="P16" s="98">
        <v>100</v>
      </c>
      <c r="Q16" s="98">
        <v>100</v>
      </c>
      <c r="R16" s="98">
        <v>75</v>
      </c>
      <c r="S16" s="98">
        <v>75</v>
      </c>
      <c r="T16" s="98">
        <v>85</v>
      </c>
      <c r="U16" s="98">
        <v>95</v>
      </c>
      <c r="V16" s="98">
        <v>92</v>
      </c>
      <c r="W16" s="98">
        <v>92</v>
      </c>
      <c r="X16" s="98">
        <v>75</v>
      </c>
      <c r="Y16" s="98">
        <v>95</v>
      </c>
      <c r="Z16" s="98">
        <v>90</v>
      </c>
      <c r="AA16" s="98">
        <v>90</v>
      </c>
      <c r="AB16" s="98">
        <v>95</v>
      </c>
      <c r="AC16" s="98"/>
      <c r="AD16" s="98"/>
      <c r="AE16" s="98"/>
      <c r="AF16" s="98"/>
      <c r="AG16" s="98"/>
      <c r="AH16" s="98"/>
    </row>
    <row r="17" spans="1:34" ht="27" customHeight="1">
      <c r="A17" s="30"/>
      <c r="B17" s="801"/>
      <c r="C17" s="74" t="s">
        <v>1850</v>
      </c>
      <c r="D17" s="72">
        <v>43767</v>
      </c>
      <c r="E17" s="98">
        <v>100</v>
      </c>
      <c r="F17" s="98">
        <v>100</v>
      </c>
      <c r="G17" s="98">
        <v>90</v>
      </c>
      <c r="H17" s="98">
        <v>85</v>
      </c>
      <c r="I17" s="98">
        <v>90</v>
      </c>
      <c r="J17" s="98">
        <v>100</v>
      </c>
      <c r="K17" s="98">
        <v>90</v>
      </c>
      <c r="L17" s="98">
        <v>100</v>
      </c>
      <c r="M17" s="98">
        <v>90</v>
      </c>
      <c r="N17" s="98">
        <v>100</v>
      </c>
      <c r="O17" s="98">
        <v>92</v>
      </c>
      <c r="P17" s="98">
        <v>100</v>
      </c>
      <c r="Q17" s="98">
        <v>100</v>
      </c>
      <c r="R17" s="98">
        <v>75</v>
      </c>
      <c r="S17" s="98">
        <v>75</v>
      </c>
      <c r="T17" s="98">
        <v>90</v>
      </c>
      <c r="U17" s="98">
        <v>90</v>
      </c>
      <c r="V17" s="98">
        <v>92</v>
      </c>
      <c r="W17" s="98">
        <v>100</v>
      </c>
      <c r="X17" s="98">
        <v>70</v>
      </c>
      <c r="Y17" s="98">
        <v>90</v>
      </c>
      <c r="Z17" s="98">
        <v>100</v>
      </c>
      <c r="AA17" s="98">
        <v>88</v>
      </c>
      <c r="AB17" s="98">
        <v>90</v>
      </c>
      <c r="AC17" s="98"/>
      <c r="AD17" s="98"/>
      <c r="AE17" s="98"/>
      <c r="AF17" s="98"/>
      <c r="AG17" s="98"/>
      <c r="AH17" s="98"/>
    </row>
    <row r="18" spans="1:34" ht="27" customHeight="1">
      <c r="A18" s="30"/>
      <c r="B18" s="801"/>
      <c r="C18" s="74" t="s">
        <v>1851</v>
      </c>
      <c r="D18" s="72">
        <v>43774</v>
      </c>
      <c r="E18" s="98">
        <v>100</v>
      </c>
      <c r="F18" s="98">
        <v>75</v>
      </c>
      <c r="G18" s="98">
        <v>98</v>
      </c>
      <c r="H18" s="98">
        <v>100</v>
      </c>
      <c r="I18" s="98">
        <v>95</v>
      </c>
      <c r="J18" s="98">
        <v>100</v>
      </c>
      <c r="K18" s="98">
        <v>98</v>
      </c>
      <c r="L18" s="98">
        <v>100</v>
      </c>
      <c r="M18" s="98">
        <v>98</v>
      </c>
      <c r="N18" s="98">
        <v>100</v>
      </c>
      <c r="O18" s="98">
        <v>98</v>
      </c>
      <c r="P18" s="98">
        <v>100</v>
      </c>
      <c r="Q18" s="98">
        <v>98</v>
      </c>
      <c r="R18" s="98">
        <v>75</v>
      </c>
      <c r="S18" s="98">
        <v>90</v>
      </c>
      <c r="T18" s="98">
        <v>100</v>
      </c>
      <c r="U18" s="98">
        <v>100</v>
      </c>
      <c r="V18" s="98">
        <v>98</v>
      </c>
      <c r="W18" s="98">
        <v>75</v>
      </c>
      <c r="X18" s="98">
        <v>85</v>
      </c>
      <c r="Y18" s="98">
        <v>95</v>
      </c>
      <c r="Z18" s="98">
        <v>75</v>
      </c>
      <c r="AA18" s="98">
        <v>100</v>
      </c>
      <c r="AB18" s="98">
        <v>100</v>
      </c>
      <c r="AC18" s="98"/>
      <c r="AD18" s="98"/>
      <c r="AE18" s="98"/>
      <c r="AF18" s="98"/>
      <c r="AG18" s="98"/>
      <c r="AH18" s="98"/>
    </row>
    <row r="19" spans="1:34" ht="27" customHeight="1">
      <c r="A19" s="30"/>
      <c r="B19" s="801"/>
      <c r="C19" s="74" t="s">
        <v>1852</v>
      </c>
      <c r="D19" s="72">
        <v>43781</v>
      </c>
      <c r="E19" s="98">
        <v>95</v>
      </c>
      <c r="F19" s="98">
        <v>95</v>
      </c>
      <c r="G19" s="98">
        <v>85</v>
      </c>
      <c r="H19" s="98">
        <v>98</v>
      </c>
      <c r="I19" s="98">
        <v>95</v>
      </c>
      <c r="J19" s="98">
        <v>95</v>
      </c>
      <c r="K19" s="98">
        <v>95</v>
      </c>
      <c r="L19" s="98">
        <v>100</v>
      </c>
      <c r="M19" s="98">
        <v>98</v>
      </c>
      <c r="N19" s="98">
        <v>85</v>
      </c>
      <c r="O19" s="98">
        <v>85</v>
      </c>
      <c r="P19" s="98">
        <v>95</v>
      </c>
      <c r="Q19" s="98">
        <v>92</v>
      </c>
      <c r="R19" s="98">
        <v>75</v>
      </c>
      <c r="S19" s="98">
        <v>75</v>
      </c>
      <c r="T19" s="98">
        <v>85</v>
      </c>
      <c r="U19" s="98">
        <v>100</v>
      </c>
      <c r="V19" s="98">
        <v>92</v>
      </c>
      <c r="W19" s="98">
        <v>90</v>
      </c>
      <c r="X19" s="98">
        <v>75</v>
      </c>
      <c r="Y19" s="98">
        <v>95</v>
      </c>
      <c r="Z19" s="98">
        <v>95</v>
      </c>
      <c r="AA19" s="98">
        <v>75</v>
      </c>
      <c r="AB19" s="98">
        <v>85</v>
      </c>
      <c r="AC19" s="98"/>
      <c r="AD19" s="98"/>
      <c r="AE19" s="98"/>
      <c r="AF19" s="98"/>
      <c r="AG19" s="98"/>
      <c r="AH19" s="98"/>
    </row>
    <row r="20" spans="1:34" ht="27" hidden="1" customHeight="1">
      <c r="A20" s="30"/>
      <c r="B20" s="801"/>
      <c r="C20" s="74"/>
      <c r="D20" s="72"/>
      <c r="E20" s="98"/>
      <c r="F20" s="98"/>
      <c r="G20" s="98"/>
      <c r="H20" s="98"/>
      <c r="I20" s="98"/>
      <c r="J20" s="98"/>
      <c r="K20" s="98"/>
      <c r="L20" s="98"/>
      <c r="M20" s="98"/>
      <c r="N20" s="98"/>
      <c r="O20" s="98"/>
      <c r="P20" s="98"/>
      <c r="Q20" s="98"/>
      <c r="R20" s="98"/>
      <c r="S20" s="98"/>
      <c r="T20" s="98"/>
      <c r="U20" s="98"/>
      <c r="V20" s="98"/>
      <c r="W20" s="98"/>
      <c r="X20" s="98"/>
      <c r="Y20" s="98"/>
      <c r="Z20" s="98"/>
      <c r="AA20" s="98"/>
      <c r="AB20" s="98"/>
      <c r="AC20" s="98"/>
      <c r="AD20" s="98"/>
      <c r="AE20" s="98"/>
      <c r="AF20" s="98"/>
      <c r="AG20" s="98"/>
      <c r="AH20" s="98"/>
    </row>
    <row r="21" spans="1:34" ht="27" hidden="1" customHeight="1">
      <c r="A21" s="30"/>
      <c r="B21" s="802"/>
      <c r="C21" s="74"/>
      <c r="D21" s="72"/>
      <c r="E21" s="98"/>
      <c r="F21" s="98"/>
      <c r="G21" s="98"/>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row>
    <row r="22" spans="1:34" ht="27" hidden="1" customHeight="1">
      <c r="A22" s="30"/>
      <c r="B22" s="415"/>
      <c r="C22" s="406"/>
      <c r="D22" s="403"/>
      <c r="E22" s="98"/>
      <c r="F22" s="98"/>
      <c r="G22" s="98"/>
      <c r="H22" s="98"/>
      <c r="I22" s="98"/>
      <c r="J22" s="98"/>
      <c r="K22" s="98"/>
      <c r="L22" s="98"/>
      <c r="M22" s="98"/>
      <c r="N22" s="98"/>
      <c r="O22" s="98"/>
      <c r="P22" s="98"/>
      <c r="Q22" s="98"/>
      <c r="R22" s="98"/>
      <c r="S22" s="98"/>
      <c r="T22" s="98"/>
      <c r="U22" s="98"/>
      <c r="V22" s="98"/>
      <c r="W22" s="98"/>
      <c r="X22" s="98"/>
      <c r="Y22" s="98"/>
      <c r="Z22" s="98"/>
      <c r="AA22" s="98"/>
      <c r="AB22" s="98"/>
      <c r="AC22" s="98"/>
      <c r="AD22" s="98"/>
      <c r="AE22" s="98"/>
      <c r="AF22" s="98"/>
      <c r="AG22" s="98"/>
      <c r="AH22" s="98"/>
    </row>
    <row r="23" spans="1:34" ht="27" customHeight="1">
      <c r="A23" s="30"/>
      <c r="B23" s="801">
        <v>3</v>
      </c>
      <c r="C23" s="795" t="s">
        <v>1853</v>
      </c>
      <c r="D23" s="796"/>
      <c r="E23" s="97">
        <f>IFERROR(AVERAGE(E24:E30),"")</f>
        <v>80</v>
      </c>
      <c r="F23" s="97">
        <f t="shared" ref="F23:AH23" si="2">IFERROR(AVERAGE(F24:F30),"")</f>
        <v>96.666666666666671</v>
      </c>
      <c r="G23" s="97">
        <f t="shared" si="2"/>
        <v>75</v>
      </c>
      <c r="H23" s="97">
        <f t="shared" si="2"/>
        <v>81</v>
      </c>
      <c r="I23" s="97">
        <f t="shared" si="2"/>
        <v>89</v>
      </c>
      <c r="J23" s="97">
        <f t="shared" si="2"/>
        <v>97.666666666666671</v>
      </c>
      <c r="K23" s="97">
        <f t="shared" si="2"/>
        <v>88.333333333333329</v>
      </c>
      <c r="L23" s="97">
        <f t="shared" si="2"/>
        <v>88.333333333333329</v>
      </c>
      <c r="M23" s="97">
        <f t="shared" si="2"/>
        <v>85</v>
      </c>
      <c r="N23" s="97">
        <f t="shared" si="2"/>
        <v>89.333333333333329</v>
      </c>
      <c r="O23" s="97">
        <f t="shared" si="2"/>
        <v>83.333333333333329</v>
      </c>
      <c r="P23" s="97">
        <f t="shared" si="2"/>
        <v>85</v>
      </c>
      <c r="Q23" s="97">
        <f t="shared" si="2"/>
        <v>90</v>
      </c>
      <c r="R23" s="97">
        <f t="shared" si="2"/>
        <v>81.666666666666671</v>
      </c>
      <c r="S23" s="97">
        <f t="shared" si="2"/>
        <v>80</v>
      </c>
      <c r="T23" s="97">
        <f t="shared" si="2"/>
        <v>76.666666666666671</v>
      </c>
      <c r="U23" s="97">
        <f t="shared" si="2"/>
        <v>94.333333333333329</v>
      </c>
      <c r="V23" s="97">
        <f t="shared" si="2"/>
        <v>80</v>
      </c>
      <c r="W23" s="97">
        <f t="shared" si="2"/>
        <v>78.333333333333329</v>
      </c>
      <c r="X23" s="97">
        <f t="shared" si="2"/>
        <v>80</v>
      </c>
      <c r="Y23" s="97">
        <f t="shared" si="2"/>
        <v>86.666666666666671</v>
      </c>
      <c r="Z23" s="97">
        <f t="shared" si="2"/>
        <v>89</v>
      </c>
      <c r="AA23" s="97">
        <f t="shared" si="2"/>
        <v>90</v>
      </c>
      <c r="AB23" s="97">
        <f t="shared" si="2"/>
        <v>91.666666666666671</v>
      </c>
      <c r="AC23" s="97" t="str">
        <f t="shared" si="2"/>
        <v/>
      </c>
      <c r="AD23" s="97" t="str">
        <f t="shared" si="2"/>
        <v/>
      </c>
      <c r="AE23" s="97" t="str">
        <f t="shared" si="2"/>
        <v/>
      </c>
      <c r="AF23" s="97" t="str">
        <f t="shared" si="2"/>
        <v/>
      </c>
      <c r="AG23" s="97" t="str">
        <f t="shared" si="2"/>
        <v/>
      </c>
      <c r="AH23" s="97" t="str">
        <f t="shared" si="2"/>
        <v/>
      </c>
    </row>
    <row r="24" spans="1:34" ht="27" customHeight="1">
      <c r="A24" s="30"/>
      <c r="B24" s="794"/>
      <c r="C24" s="74" t="s">
        <v>1854</v>
      </c>
      <c r="D24" s="72">
        <v>43669</v>
      </c>
      <c r="E24" s="98">
        <v>75</v>
      </c>
      <c r="F24" s="98">
        <v>100</v>
      </c>
      <c r="G24" s="98">
        <v>75</v>
      </c>
      <c r="H24" s="98">
        <v>75</v>
      </c>
      <c r="I24" s="98">
        <v>92</v>
      </c>
      <c r="J24" s="98">
        <v>98</v>
      </c>
      <c r="K24" s="98">
        <v>100</v>
      </c>
      <c r="L24" s="98">
        <v>85</v>
      </c>
      <c r="M24" s="98">
        <v>85</v>
      </c>
      <c r="N24" s="98">
        <v>90</v>
      </c>
      <c r="O24" s="98">
        <v>75</v>
      </c>
      <c r="P24" s="98">
        <v>85</v>
      </c>
      <c r="Q24" s="98">
        <v>90</v>
      </c>
      <c r="R24" s="98">
        <v>95</v>
      </c>
      <c r="S24" s="98">
        <v>85</v>
      </c>
      <c r="T24" s="98">
        <v>75</v>
      </c>
      <c r="U24" s="98">
        <v>98</v>
      </c>
      <c r="V24" s="98">
        <v>90</v>
      </c>
      <c r="W24" s="98">
        <v>85</v>
      </c>
      <c r="X24" s="98">
        <v>85</v>
      </c>
      <c r="Y24" s="98">
        <v>80</v>
      </c>
      <c r="Z24" s="98">
        <v>92</v>
      </c>
      <c r="AA24" s="98">
        <v>95</v>
      </c>
      <c r="AB24" s="98">
        <v>90</v>
      </c>
      <c r="AC24" s="98"/>
      <c r="AD24" s="98"/>
      <c r="AE24" s="98"/>
      <c r="AF24" s="98"/>
      <c r="AG24" s="98"/>
      <c r="AH24" s="98"/>
    </row>
    <row r="25" spans="1:34" ht="27" customHeight="1">
      <c r="A25" s="30"/>
      <c r="B25" s="794"/>
      <c r="C25" s="74" t="s">
        <v>1855</v>
      </c>
      <c r="D25" s="72">
        <v>43676</v>
      </c>
      <c r="E25" s="98">
        <v>90</v>
      </c>
      <c r="F25" s="98">
        <v>95</v>
      </c>
      <c r="G25" s="98">
        <v>75</v>
      </c>
      <c r="H25" s="98">
        <v>90</v>
      </c>
      <c r="I25" s="98">
        <v>100</v>
      </c>
      <c r="J25" s="98">
        <v>100</v>
      </c>
      <c r="K25" s="98">
        <v>90</v>
      </c>
      <c r="L25" s="98">
        <v>95</v>
      </c>
      <c r="M25" s="98">
        <v>95</v>
      </c>
      <c r="N25" s="98">
        <v>100</v>
      </c>
      <c r="O25" s="98">
        <v>100</v>
      </c>
      <c r="P25" s="98">
        <v>100</v>
      </c>
      <c r="Q25" s="98">
        <v>95</v>
      </c>
      <c r="R25" s="98">
        <v>90</v>
      </c>
      <c r="S25" s="98">
        <v>80</v>
      </c>
      <c r="T25" s="98">
        <v>85</v>
      </c>
      <c r="U25" s="98">
        <v>100</v>
      </c>
      <c r="V25" s="98">
        <v>75</v>
      </c>
      <c r="W25" s="98">
        <v>75</v>
      </c>
      <c r="X25" s="98">
        <v>80</v>
      </c>
      <c r="Y25" s="98">
        <v>100</v>
      </c>
      <c r="Z25" s="98">
        <v>95</v>
      </c>
      <c r="AA25" s="98">
        <v>100</v>
      </c>
      <c r="AB25" s="98">
        <v>100</v>
      </c>
      <c r="AC25" s="98"/>
      <c r="AD25" s="98"/>
      <c r="AE25" s="98"/>
      <c r="AF25" s="98"/>
      <c r="AG25" s="98"/>
      <c r="AH25" s="98"/>
    </row>
    <row r="26" spans="1:34" ht="27" customHeight="1">
      <c r="A26" s="30"/>
      <c r="B26" s="794"/>
      <c r="C26" s="74" t="s">
        <v>1856</v>
      </c>
      <c r="D26" s="72">
        <v>43704</v>
      </c>
      <c r="E26" s="98">
        <v>75</v>
      </c>
      <c r="F26" s="98">
        <v>95</v>
      </c>
      <c r="G26" s="98">
        <v>75</v>
      </c>
      <c r="H26" s="98">
        <v>78</v>
      </c>
      <c r="I26" s="98">
        <v>75</v>
      </c>
      <c r="J26" s="98">
        <v>95</v>
      </c>
      <c r="K26" s="98">
        <v>75</v>
      </c>
      <c r="L26" s="98">
        <v>85</v>
      </c>
      <c r="M26" s="98">
        <v>75</v>
      </c>
      <c r="N26" s="98">
        <v>78</v>
      </c>
      <c r="O26" s="98">
        <v>75</v>
      </c>
      <c r="P26" s="98">
        <v>70</v>
      </c>
      <c r="Q26" s="98">
        <v>85</v>
      </c>
      <c r="R26" s="98">
        <v>60</v>
      </c>
      <c r="S26" s="98">
        <v>75</v>
      </c>
      <c r="T26" s="98">
        <v>70</v>
      </c>
      <c r="U26" s="98">
        <v>85</v>
      </c>
      <c r="V26" s="98">
        <v>75</v>
      </c>
      <c r="W26" s="98">
        <v>75</v>
      </c>
      <c r="X26" s="98">
        <v>75</v>
      </c>
      <c r="Y26" s="98">
        <v>80</v>
      </c>
      <c r="Z26" s="98">
        <v>80</v>
      </c>
      <c r="AA26" s="98">
        <v>75</v>
      </c>
      <c r="AB26" s="98">
        <v>85</v>
      </c>
      <c r="AC26" s="98"/>
      <c r="AD26" s="98"/>
      <c r="AE26" s="98"/>
      <c r="AF26" s="98"/>
      <c r="AG26" s="98"/>
      <c r="AH26" s="98"/>
    </row>
    <row r="27" spans="1:34" ht="27" hidden="1" customHeight="1">
      <c r="A27" s="30"/>
      <c r="B27" s="794"/>
      <c r="C27" s="74"/>
      <c r="D27" s="72"/>
      <c r="E27" s="98"/>
      <c r="F27" s="98"/>
      <c r="G27" s="98"/>
      <c r="H27" s="98"/>
      <c r="I27" s="98"/>
      <c r="J27" s="98"/>
      <c r="K27" s="98"/>
      <c r="L27" s="98"/>
      <c r="M27" s="98"/>
      <c r="N27" s="98"/>
      <c r="O27" s="98"/>
      <c r="P27" s="98"/>
      <c r="Q27" s="98"/>
      <c r="R27" s="98"/>
      <c r="S27" s="98"/>
      <c r="T27" s="98"/>
      <c r="U27" s="98"/>
      <c r="V27" s="98"/>
      <c r="W27" s="98"/>
      <c r="X27" s="98"/>
      <c r="Y27" s="98"/>
      <c r="Z27" s="98"/>
      <c r="AA27" s="98"/>
      <c r="AB27" s="98"/>
      <c r="AC27" s="98"/>
      <c r="AD27" s="98"/>
      <c r="AE27" s="98"/>
      <c r="AF27" s="98"/>
      <c r="AG27" s="98"/>
      <c r="AH27" s="98"/>
    </row>
    <row r="28" spans="1:34" ht="27" hidden="1" customHeight="1">
      <c r="A28" s="30"/>
      <c r="B28" s="794"/>
      <c r="C28" s="74"/>
      <c r="D28" s="72"/>
      <c r="E28" s="98"/>
      <c r="F28" s="98"/>
      <c r="G28" s="98"/>
      <c r="H28" s="98"/>
      <c r="I28" s="98"/>
      <c r="J28" s="98"/>
      <c r="K28" s="98"/>
      <c r="L28" s="98"/>
      <c r="M28" s="98"/>
      <c r="N28" s="98"/>
      <c r="O28" s="98"/>
      <c r="P28" s="98"/>
      <c r="Q28" s="98"/>
      <c r="R28" s="98"/>
      <c r="S28" s="98"/>
      <c r="T28" s="98"/>
      <c r="U28" s="98"/>
      <c r="V28" s="98"/>
      <c r="W28" s="98"/>
      <c r="X28" s="98"/>
      <c r="Y28" s="98"/>
      <c r="Z28" s="98"/>
      <c r="AA28" s="98"/>
      <c r="AB28" s="98"/>
      <c r="AC28" s="98"/>
      <c r="AD28" s="98"/>
      <c r="AE28" s="98"/>
      <c r="AF28" s="98"/>
      <c r="AG28" s="98"/>
      <c r="AH28" s="98"/>
    </row>
    <row r="29" spans="1:34" ht="27" hidden="1" customHeight="1">
      <c r="A29" s="30"/>
      <c r="B29" s="794"/>
      <c r="C29" s="74"/>
      <c r="D29" s="72"/>
      <c r="E29" s="98"/>
      <c r="F29" s="98"/>
      <c r="G29" s="98"/>
      <c r="H29" s="98"/>
      <c r="I29" s="98"/>
      <c r="J29" s="98"/>
      <c r="K29" s="98"/>
      <c r="L29" s="98"/>
      <c r="M29" s="98"/>
      <c r="N29" s="98"/>
      <c r="O29" s="98"/>
      <c r="P29" s="98"/>
      <c r="Q29" s="98"/>
      <c r="R29" s="98"/>
      <c r="S29" s="98"/>
      <c r="T29" s="98"/>
      <c r="U29" s="98"/>
      <c r="V29" s="98"/>
      <c r="W29" s="98"/>
      <c r="X29" s="98"/>
      <c r="Y29" s="98"/>
      <c r="Z29" s="98"/>
      <c r="AA29" s="98"/>
      <c r="AB29" s="98"/>
      <c r="AC29" s="98"/>
      <c r="AD29" s="98"/>
      <c r="AE29" s="98"/>
      <c r="AF29" s="98"/>
      <c r="AG29" s="98"/>
      <c r="AH29" s="98"/>
    </row>
    <row r="30" spans="1:34" ht="27" hidden="1" customHeight="1">
      <c r="A30" s="30"/>
      <c r="B30" s="802"/>
      <c r="C30" s="74"/>
      <c r="D30" s="72"/>
      <c r="E30" s="98"/>
      <c r="F30" s="98"/>
      <c r="G30" s="98"/>
      <c r="H30" s="98"/>
      <c r="I30" s="98"/>
      <c r="J30" s="98"/>
      <c r="K30" s="98"/>
      <c r="L30" s="98"/>
      <c r="M30" s="98"/>
      <c r="N30" s="98"/>
      <c r="O30" s="98"/>
      <c r="P30" s="98"/>
      <c r="Q30" s="98"/>
      <c r="R30" s="98"/>
      <c r="S30" s="98"/>
      <c r="T30" s="98"/>
      <c r="U30" s="98"/>
      <c r="V30" s="98"/>
      <c r="W30" s="98"/>
      <c r="X30" s="98"/>
      <c r="Y30" s="98"/>
      <c r="Z30" s="98"/>
      <c r="AA30" s="98"/>
      <c r="AB30" s="98"/>
      <c r="AC30" s="98"/>
      <c r="AD30" s="98"/>
      <c r="AE30" s="98"/>
      <c r="AF30" s="98"/>
      <c r="AG30" s="98"/>
      <c r="AH30" s="98"/>
    </row>
    <row r="31" spans="1:34" ht="27" customHeight="1">
      <c r="A31" s="30"/>
      <c r="B31" s="800">
        <v>4</v>
      </c>
      <c r="C31" s="795" t="s">
        <v>1857</v>
      </c>
      <c r="D31" s="796"/>
      <c r="E31" s="97">
        <f>IFERROR(AVERAGE(E32:E38),"")</f>
        <v>75</v>
      </c>
      <c r="F31" s="97">
        <f t="shared" ref="F31:AH31" si="3">IFERROR(AVERAGE(F32:F38),"")</f>
        <v>100</v>
      </c>
      <c r="G31" s="97">
        <f t="shared" si="3"/>
        <v>75</v>
      </c>
      <c r="H31" s="97">
        <f t="shared" si="3"/>
        <v>75</v>
      </c>
      <c r="I31" s="97">
        <f t="shared" si="3"/>
        <v>92</v>
      </c>
      <c r="J31" s="97">
        <f t="shared" si="3"/>
        <v>98</v>
      </c>
      <c r="K31" s="97">
        <f t="shared" si="3"/>
        <v>100</v>
      </c>
      <c r="L31" s="97">
        <f t="shared" si="3"/>
        <v>85</v>
      </c>
      <c r="M31" s="97">
        <f t="shared" si="3"/>
        <v>85</v>
      </c>
      <c r="N31" s="97">
        <f t="shared" si="3"/>
        <v>90</v>
      </c>
      <c r="O31" s="97">
        <f t="shared" si="3"/>
        <v>75</v>
      </c>
      <c r="P31" s="97">
        <f t="shared" si="3"/>
        <v>85</v>
      </c>
      <c r="Q31" s="97">
        <f t="shared" si="3"/>
        <v>90</v>
      </c>
      <c r="R31" s="97">
        <f t="shared" si="3"/>
        <v>95</v>
      </c>
      <c r="S31" s="97">
        <f t="shared" si="3"/>
        <v>85</v>
      </c>
      <c r="T31" s="97">
        <f t="shared" si="3"/>
        <v>75</v>
      </c>
      <c r="U31" s="97">
        <f t="shared" si="3"/>
        <v>98</v>
      </c>
      <c r="V31" s="97">
        <f t="shared" si="3"/>
        <v>90</v>
      </c>
      <c r="W31" s="97">
        <f t="shared" si="3"/>
        <v>85</v>
      </c>
      <c r="X31" s="97">
        <f t="shared" si="3"/>
        <v>85</v>
      </c>
      <c r="Y31" s="97">
        <f t="shared" si="3"/>
        <v>80</v>
      </c>
      <c r="Z31" s="97">
        <f t="shared" si="3"/>
        <v>92</v>
      </c>
      <c r="AA31" s="97">
        <f t="shared" si="3"/>
        <v>95</v>
      </c>
      <c r="AB31" s="97">
        <f t="shared" si="3"/>
        <v>90</v>
      </c>
      <c r="AC31" s="97" t="str">
        <f t="shared" si="3"/>
        <v/>
      </c>
      <c r="AD31" s="97" t="str">
        <f t="shared" si="3"/>
        <v/>
      </c>
      <c r="AE31" s="97" t="str">
        <f t="shared" si="3"/>
        <v/>
      </c>
      <c r="AF31" s="97" t="str">
        <f t="shared" si="3"/>
        <v/>
      </c>
      <c r="AG31" s="97" t="str">
        <f t="shared" si="3"/>
        <v/>
      </c>
      <c r="AH31" s="97" t="str">
        <f t="shared" si="3"/>
        <v/>
      </c>
    </row>
    <row r="32" spans="1:34" ht="27" customHeight="1">
      <c r="A32" s="30"/>
      <c r="B32" s="801"/>
      <c r="C32" s="74" t="s">
        <v>1858</v>
      </c>
      <c r="D32" s="72">
        <v>43790</v>
      </c>
      <c r="E32" s="98">
        <v>75</v>
      </c>
      <c r="F32" s="98">
        <v>100</v>
      </c>
      <c r="G32" s="98">
        <v>75</v>
      </c>
      <c r="H32" s="98">
        <v>75</v>
      </c>
      <c r="I32" s="98">
        <v>92</v>
      </c>
      <c r="J32" s="98">
        <v>98</v>
      </c>
      <c r="K32" s="98">
        <v>100</v>
      </c>
      <c r="L32" s="98">
        <v>85</v>
      </c>
      <c r="M32" s="98">
        <v>85</v>
      </c>
      <c r="N32" s="98">
        <v>90</v>
      </c>
      <c r="O32" s="98">
        <v>75</v>
      </c>
      <c r="P32" s="98">
        <v>85</v>
      </c>
      <c r="Q32" s="98">
        <v>90</v>
      </c>
      <c r="R32" s="98">
        <v>95</v>
      </c>
      <c r="S32" s="98">
        <v>85</v>
      </c>
      <c r="T32" s="98">
        <v>75</v>
      </c>
      <c r="U32" s="98">
        <v>98</v>
      </c>
      <c r="V32" s="98">
        <v>90</v>
      </c>
      <c r="W32" s="98">
        <v>85</v>
      </c>
      <c r="X32" s="98">
        <v>85</v>
      </c>
      <c r="Y32" s="98">
        <v>80</v>
      </c>
      <c r="Z32" s="98">
        <v>92</v>
      </c>
      <c r="AA32" s="98">
        <v>95</v>
      </c>
      <c r="AB32" s="98">
        <v>90</v>
      </c>
      <c r="AC32" s="98"/>
      <c r="AD32" s="98"/>
      <c r="AE32" s="98"/>
      <c r="AF32" s="98"/>
      <c r="AG32" s="98"/>
      <c r="AH32" s="98"/>
    </row>
    <row r="33" spans="1:34" ht="27" hidden="1" customHeight="1">
      <c r="A33" s="30"/>
      <c r="B33" s="801"/>
      <c r="C33" s="74"/>
      <c r="D33" s="72"/>
      <c r="E33" s="98"/>
      <c r="F33" s="98"/>
      <c r="G33" s="98"/>
      <c r="H33" s="98"/>
      <c r="I33" s="98"/>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row>
    <row r="34" spans="1:34" ht="27" hidden="1" customHeight="1">
      <c r="A34" s="30"/>
      <c r="B34" s="801"/>
      <c r="C34" s="74"/>
      <c r="D34" s="72"/>
      <c r="E34" s="98"/>
      <c r="F34" s="98"/>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row>
    <row r="35" spans="1:34" ht="27" hidden="1" customHeight="1">
      <c r="A35" s="30"/>
      <c r="B35" s="801"/>
      <c r="C35" s="74"/>
      <c r="D35" s="72"/>
      <c r="E35" s="98"/>
      <c r="F35" s="98"/>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row>
    <row r="36" spans="1:34" ht="27" hidden="1" customHeight="1">
      <c r="A36" s="30"/>
      <c r="B36" s="801"/>
      <c r="C36" s="74"/>
      <c r="D36" s="72"/>
      <c r="E36" s="98"/>
      <c r="F36" s="98"/>
      <c r="G36" s="98"/>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row>
    <row r="37" spans="1:34" ht="27" hidden="1" customHeight="1">
      <c r="A37" s="30"/>
      <c r="B37" s="801"/>
      <c r="C37" s="74"/>
      <c r="D37" s="72"/>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row>
    <row r="38" spans="1:34" ht="27" hidden="1" customHeight="1">
      <c r="A38" s="30"/>
      <c r="B38" s="802"/>
      <c r="C38" s="74"/>
      <c r="D38" s="72"/>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row>
    <row r="39" spans="1:34" ht="27" hidden="1" customHeight="1">
      <c r="A39" s="30"/>
      <c r="B39" s="416"/>
      <c r="C39" s="406"/>
      <c r="D39" s="403"/>
      <c r="E39" s="98"/>
      <c r="F39" s="98"/>
      <c r="G39" s="98"/>
      <c r="H39" s="98"/>
      <c r="I39" s="98"/>
      <c r="J39" s="98"/>
      <c r="K39" s="98"/>
      <c r="L39" s="98"/>
      <c r="M39" s="98"/>
      <c r="N39" s="98"/>
      <c r="O39" s="98"/>
      <c r="P39" s="98"/>
      <c r="Q39" s="98"/>
      <c r="R39" s="98"/>
      <c r="S39" s="98"/>
      <c r="T39" s="98"/>
      <c r="U39" s="98"/>
      <c r="V39" s="98"/>
      <c r="W39" s="98"/>
      <c r="X39" s="98"/>
      <c r="Y39" s="98"/>
      <c r="Z39" s="98"/>
      <c r="AA39" s="98"/>
      <c r="AB39" s="98"/>
      <c r="AC39" s="98"/>
      <c r="AD39" s="98"/>
      <c r="AE39" s="98"/>
      <c r="AF39" s="98"/>
      <c r="AG39" s="98"/>
      <c r="AH39" s="98"/>
    </row>
    <row r="40" spans="1:34" ht="27" customHeight="1">
      <c r="A40" s="30"/>
      <c r="B40" s="808">
        <v>5</v>
      </c>
      <c r="C40" s="795" t="s">
        <v>1859</v>
      </c>
      <c r="D40" s="796"/>
      <c r="E40" s="97">
        <f>IFERROR(AVERAGE(E41:E43),"")</f>
        <v>90</v>
      </c>
      <c r="F40" s="97">
        <f t="shared" ref="F40:AH40" si="4">IFERROR(AVERAGE(F41:F43),"")</f>
        <v>95</v>
      </c>
      <c r="G40" s="97">
        <f t="shared" si="4"/>
        <v>75</v>
      </c>
      <c r="H40" s="97">
        <f t="shared" si="4"/>
        <v>90</v>
      </c>
      <c r="I40" s="97">
        <f t="shared" si="4"/>
        <v>100</v>
      </c>
      <c r="J40" s="97">
        <f t="shared" si="4"/>
        <v>100</v>
      </c>
      <c r="K40" s="97">
        <f t="shared" si="4"/>
        <v>90</v>
      </c>
      <c r="L40" s="97">
        <f t="shared" si="4"/>
        <v>95</v>
      </c>
      <c r="M40" s="97">
        <f t="shared" si="4"/>
        <v>95</v>
      </c>
      <c r="N40" s="97">
        <f t="shared" si="4"/>
        <v>100</v>
      </c>
      <c r="O40" s="97">
        <f t="shared" si="4"/>
        <v>100</v>
      </c>
      <c r="P40" s="97">
        <f t="shared" si="4"/>
        <v>100</v>
      </c>
      <c r="Q40" s="97">
        <f t="shared" si="4"/>
        <v>95</v>
      </c>
      <c r="R40" s="97">
        <f t="shared" si="4"/>
        <v>90</v>
      </c>
      <c r="S40" s="97">
        <f t="shared" si="4"/>
        <v>80</v>
      </c>
      <c r="T40" s="97">
        <f t="shared" si="4"/>
        <v>85</v>
      </c>
      <c r="U40" s="97">
        <f t="shared" si="4"/>
        <v>100</v>
      </c>
      <c r="V40" s="97">
        <f t="shared" si="4"/>
        <v>75</v>
      </c>
      <c r="W40" s="97">
        <f t="shared" si="4"/>
        <v>75</v>
      </c>
      <c r="X40" s="97">
        <f t="shared" si="4"/>
        <v>80</v>
      </c>
      <c r="Y40" s="97">
        <f t="shared" si="4"/>
        <v>100</v>
      </c>
      <c r="Z40" s="97">
        <f t="shared" si="4"/>
        <v>95</v>
      </c>
      <c r="AA40" s="97">
        <f t="shared" si="4"/>
        <v>100</v>
      </c>
      <c r="AB40" s="97">
        <f t="shared" si="4"/>
        <v>100</v>
      </c>
      <c r="AC40" s="97" t="str">
        <f t="shared" si="4"/>
        <v/>
      </c>
      <c r="AD40" s="97" t="str">
        <f t="shared" si="4"/>
        <v/>
      </c>
      <c r="AE40" s="97" t="str">
        <f t="shared" si="4"/>
        <v/>
      </c>
      <c r="AF40" s="97" t="str">
        <f t="shared" si="4"/>
        <v/>
      </c>
      <c r="AG40" s="97" t="str">
        <f t="shared" si="4"/>
        <v/>
      </c>
      <c r="AH40" s="97" t="str">
        <f t="shared" si="4"/>
        <v/>
      </c>
    </row>
    <row r="41" spans="1:34" ht="27" customHeight="1">
      <c r="A41" s="30"/>
      <c r="B41" s="808"/>
      <c r="C41" s="406" t="s">
        <v>1860</v>
      </c>
      <c r="D41" s="72">
        <v>43790</v>
      </c>
      <c r="E41" s="98">
        <v>90</v>
      </c>
      <c r="F41" s="98">
        <v>95</v>
      </c>
      <c r="G41" s="98">
        <v>75</v>
      </c>
      <c r="H41" s="98">
        <v>90</v>
      </c>
      <c r="I41" s="98">
        <v>100</v>
      </c>
      <c r="J41" s="98">
        <v>100</v>
      </c>
      <c r="K41" s="98">
        <v>90</v>
      </c>
      <c r="L41" s="98">
        <v>95</v>
      </c>
      <c r="M41" s="98">
        <v>95</v>
      </c>
      <c r="N41" s="98">
        <v>100</v>
      </c>
      <c r="O41" s="98">
        <v>100</v>
      </c>
      <c r="P41" s="98">
        <v>100</v>
      </c>
      <c r="Q41" s="98">
        <v>95</v>
      </c>
      <c r="R41" s="98">
        <v>90</v>
      </c>
      <c r="S41" s="98">
        <v>80</v>
      </c>
      <c r="T41" s="98">
        <v>85</v>
      </c>
      <c r="U41" s="98">
        <v>100</v>
      </c>
      <c r="V41" s="98">
        <v>75</v>
      </c>
      <c r="W41" s="98">
        <v>75</v>
      </c>
      <c r="X41" s="98">
        <v>80</v>
      </c>
      <c r="Y41" s="98">
        <v>100</v>
      </c>
      <c r="Z41" s="98">
        <v>95</v>
      </c>
      <c r="AA41" s="98">
        <v>100</v>
      </c>
      <c r="AB41" s="98">
        <v>100</v>
      </c>
      <c r="AC41" s="98"/>
      <c r="AD41" s="98"/>
      <c r="AE41" s="98"/>
      <c r="AF41" s="98"/>
      <c r="AG41" s="98"/>
      <c r="AH41" s="98"/>
    </row>
    <row r="42" spans="1:34" ht="27" hidden="1" customHeight="1">
      <c r="A42" s="30"/>
      <c r="B42" s="808"/>
      <c r="C42" s="406"/>
      <c r="D42" s="72"/>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row>
    <row r="43" spans="1:34" ht="27" hidden="1" customHeight="1">
      <c r="A43" s="30"/>
      <c r="B43" s="808"/>
      <c r="C43" s="406"/>
      <c r="D43" s="72"/>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row>
    <row r="44" spans="1:34" ht="27" hidden="1" customHeight="1">
      <c r="A44" s="30"/>
      <c r="B44" s="808"/>
      <c r="C44" s="91"/>
      <c r="D44" s="403"/>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row>
    <row r="45" spans="1:34" ht="27" hidden="1" customHeight="1">
      <c r="A45" s="30"/>
      <c r="B45" s="808"/>
      <c r="C45" s="91"/>
      <c r="D45" s="403"/>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row>
    <row r="46" spans="1:34" ht="27" hidden="1" customHeight="1">
      <c r="A46" s="30"/>
      <c r="B46" s="808"/>
      <c r="C46" s="91"/>
      <c r="D46" s="403"/>
      <c r="E46" s="98"/>
      <c r="F46" s="98"/>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row>
    <row r="47" spans="1:34" ht="27" hidden="1" customHeight="1">
      <c r="A47" s="30"/>
      <c r="B47" s="808"/>
      <c r="C47" s="91"/>
      <c r="D47" s="403"/>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row>
    <row r="48" spans="1:34" ht="27" customHeight="1">
      <c r="A48" s="30"/>
      <c r="B48" s="794">
        <v>6</v>
      </c>
      <c r="C48" s="795" t="s">
        <v>1861</v>
      </c>
      <c r="D48" s="796"/>
      <c r="E48" s="97">
        <f>IFERROR(AVERAGE(E49:E55),"")</f>
        <v>75</v>
      </c>
      <c r="F48" s="97">
        <f t="shared" ref="F48:AH48" si="5">IFERROR(AVERAGE(F49:F55),"")</f>
        <v>95</v>
      </c>
      <c r="G48" s="97">
        <f t="shared" si="5"/>
        <v>75</v>
      </c>
      <c r="H48" s="97">
        <f t="shared" si="5"/>
        <v>78</v>
      </c>
      <c r="I48" s="97">
        <f t="shared" si="5"/>
        <v>75</v>
      </c>
      <c r="J48" s="97">
        <f t="shared" si="5"/>
        <v>95</v>
      </c>
      <c r="K48" s="97">
        <f t="shared" si="5"/>
        <v>75</v>
      </c>
      <c r="L48" s="97">
        <f t="shared" si="5"/>
        <v>85</v>
      </c>
      <c r="M48" s="97">
        <f t="shared" si="5"/>
        <v>75</v>
      </c>
      <c r="N48" s="97">
        <f t="shared" si="5"/>
        <v>78</v>
      </c>
      <c r="O48" s="97">
        <f t="shared" si="5"/>
        <v>75</v>
      </c>
      <c r="P48" s="97">
        <f t="shared" si="5"/>
        <v>70</v>
      </c>
      <c r="Q48" s="97">
        <f t="shared" si="5"/>
        <v>85</v>
      </c>
      <c r="R48" s="97">
        <f t="shared" si="5"/>
        <v>60</v>
      </c>
      <c r="S48" s="97">
        <f t="shared" si="5"/>
        <v>75</v>
      </c>
      <c r="T48" s="97">
        <f t="shared" si="5"/>
        <v>70</v>
      </c>
      <c r="U48" s="97">
        <f t="shared" si="5"/>
        <v>85</v>
      </c>
      <c r="V48" s="97">
        <f t="shared" si="5"/>
        <v>75</v>
      </c>
      <c r="W48" s="97">
        <f t="shared" si="5"/>
        <v>75</v>
      </c>
      <c r="X48" s="97">
        <f t="shared" si="5"/>
        <v>75</v>
      </c>
      <c r="Y48" s="97">
        <f t="shared" si="5"/>
        <v>80</v>
      </c>
      <c r="Z48" s="97">
        <f t="shared" si="5"/>
        <v>80</v>
      </c>
      <c r="AA48" s="97">
        <f t="shared" si="5"/>
        <v>75</v>
      </c>
      <c r="AB48" s="97">
        <f t="shared" si="5"/>
        <v>85</v>
      </c>
      <c r="AC48" s="97" t="str">
        <f t="shared" si="5"/>
        <v/>
      </c>
      <c r="AD48" s="97" t="str">
        <f t="shared" si="5"/>
        <v/>
      </c>
      <c r="AE48" s="97" t="str">
        <f t="shared" si="5"/>
        <v/>
      </c>
      <c r="AF48" s="97" t="str">
        <f t="shared" si="5"/>
        <v/>
      </c>
      <c r="AG48" s="97" t="str">
        <f t="shared" si="5"/>
        <v/>
      </c>
      <c r="AH48" s="97" t="str">
        <f t="shared" si="5"/>
        <v/>
      </c>
    </row>
    <row r="49" spans="1:34" ht="27" customHeight="1">
      <c r="A49" s="30"/>
      <c r="B49" s="794"/>
      <c r="C49" s="74" t="s">
        <v>1862</v>
      </c>
      <c r="D49" s="72">
        <v>43790</v>
      </c>
      <c r="E49" s="98">
        <v>75</v>
      </c>
      <c r="F49" s="98">
        <v>95</v>
      </c>
      <c r="G49" s="98">
        <v>75</v>
      </c>
      <c r="H49" s="98">
        <v>78</v>
      </c>
      <c r="I49" s="98">
        <v>75</v>
      </c>
      <c r="J49" s="98">
        <v>95</v>
      </c>
      <c r="K49" s="98">
        <v>75</v>
      </c>
      <c r="L49" s="98">
        <v>85</v>
      </c>
      <c r="M49" s="98">
        <v>75</v>
      </c>
      <c r="N49" s="98">
        <v>78</v>
      </c>
      <c r="O49" s="98">
        <v>75</v>
      </c>
      <c r="P49" s="98">
        <v>70</v>
      </c>
      <c r="Q49" s="98">
        <v>85</v>
      </c>
      <c r="R49" s="98">
        <v>60</v>
      </c>
      <c r="S49" s="98">
        <v>75</v>
      </c>
      <c r="T49" s="98">
        <v>70</v>
      </c>
      <c r="U49" s="98">
        <v>85</v>
      </c>
      <c r="V49" s="98">
        <v>75</v>
      </c>
      <c r="W49" s="98">
        <v>75</v>
      </c>
      <c r="X49" s="98">
        <v>75</v>
      </c>
      <c r="Y49" s="98">
        <v>80</v>
      </c>
      <c r="Z49" s="98">
        <v>80</v>
      </c>
      <c r="AA49" s="98">
        <v>75</v>
      </c>
      <c r="AB49" s="98">
        <v>85</v>
      </c>
      <c r="AC49" s="98"/>
      <c r="AD49" s="98"/>
      <c r="AE49" s="98"/>
      <c r="AF49" s="98"/>
      <c r="AG49" s="98"/>
      <c r="AH49" s="98"/>
    </row>
    <row r="50" spans="1:34" ht="27" hidden="1" customHeight="1">
      <c r="A50" s="30"/>
      <c r="B50" s="794"/>
      <c r="C50" s="74"/>
      <c r="D50" s="72"/>
      <c r="E50" s="98"/>
      <c r="F50" s="98"/>
      <c r="G50" s="98"/>
      <c r="H50" s="98"/>
      <c r="I50" s="98"/>
      <c r="J50" s="98"/>
      <c r="K50" s="98"/>
      <c r="L50" s="98"/>
      <c r="M50" s="98"/>
      <c r="N50" s="98"/>
      <c r="O50" s="98"/>
      <c r="P50" s="98"/>
      <c r="Q50" s="98"/>
      <c r="R50" s="98"/>
      <c r="S50" s="98"/>
      <c r="T50" s="98"/>
      <c r="U50" s="98"/>
      <c r="V50" s="98"/>
      <c r="W50" s="98"/>
      <c r="X50" s="98"/>
      <c r="Y50" s="98"/>
      <c r="Z50" s="98"/>
      <c r="AA50" s="98"/>
      <c r="AB50" s="98"/>
      <c r="AC50" s="98"/>
      <c r="AD50" s="98"/>
      <c r="AE50" s="98"/>
      <c r="AF50" s="98"/>
      <c r="AG50" s="98"/>
      <c r="AH50" s="98"/>
    </row>
    <row r="51" spans="1:34" ht="27" hidden="1" customHeight="1">
      <c r="A51" s="30"/>
      <c r="B51" s="794"/>
      <c r="C51" s="74"/>
      <c r="D51" s="72"/>
      <c r="E51" s="98"/>
      <c r="F51" s="98"/>
      <c r="G51" s="98"/>
      <c r="H51" s="98"/>
      <c r="I51" s="98"/>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row>
    <row r="52" spans="1:34" ht="27" hidden="1" customHeight="1">
      <c r="A52" s="30"/>
      <c r="B52" s="794"/>
      <c r="C52" s="74"/>
      <c r="D52" s="72"/>
      <c r="E52" s="98"/>
      <c r="F52" s="98"/>
      <c r="G52" s="98"/>
      <c r="H52" s="98"/>
      <c r="I52" s="98"/>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row>
    <row r="53" spans="1:34" ht="27" hidden="1" customHeight="1">
      <c r="A53" s="30"/>
      <c r="B53" s="794"/>
      <c r="C53" s="74"/>
      <c r="D53" s="72"/>
      <c r="E53" s="98"/>
      <c r="F53" s="98"/>
      <c r="G53" s="98"/>
      <c r="H53" s="98"/>
      <c r="I53" s="98"/>
      <c r="J53" s="98"/>
      <c r="K53" s="98"/>
      <c r="L53" s="98"/>
      <c r="M53" s="98"/>
      <c r="N53" s="98"/>
      <c r="O53" s="98"/>
      <c r="P53" s="98"/>
      <c r="Q53" s="98"/>
      <c r="R53" s="98"/>
      <c r="S53" s="98"/>
      <c r="T53" s="98"/>
      <c r="U53" s="98"/>
      <c r="V53" s="98"/>
      <c r="W53" s="98"/>
      <c r="X53" s="98"/>
      <c r="Y53" s="98"/>
      <c r="Z53" s="98"/>
      <c r="AA53" s="98"/>
      <c r="AB53" s="98"/>
      <c r="AC53" s="98"/>
      <c r="AD53" s="98"/>
      <c r="AE53" s="98"/>
      <c r="AF53" s="98"/>
      <c r="AG53" s="98"/>
      <c r="AH53" s="98"/>
    </row>
    <row r="54" spans="1:34" ht="27" hidden="1" customHeight="1">
      <c r="A54" s="30"/>
      <c r="B54" s="794"/>
      <c r="C54" s="74"/>
      <c r="D54" s="72"/>
      <c r="E54" s="98"/>
      <c r="F54" s="98"/>
      <c r="G54" s="98"/>
      <c r="H54" s="98"/>
      <c r="I54" s="98"/>
      <c r="J54" s="98"/>
      <c r="K54" s="98"/>
      <c r="L54" s="98"/>
      <c r="M54" s="98"/>
      <c r="N54" s="98"/>
      <c r="O54" s="98"/>
      <c r="P54" s="98"/>
      <c r="Q54" s="98"/>
      <c r="R54" s="98"/>
      <c r="S54" s="98"/>
      <c r="T54" s="98"/>
      <c r="U54" s="98"/>
      <c r="V54" s="98"/>
      <c r="W54" s="98"/>
      <c r="X54" s="98"/>
      <c r="Y54" s="98"/>
      <c r="Z54" s="98"/>
      <c r="AA54" s="98"/>
      <c r="AB54" s="98"/>
      <c r="AC54" s="98"/>
      <c r="AD54" s="98"/>
      <c r="AE54" s="98"/>
      <c r="AF54" s="98"/>
      <c r="AG54" s="98"/>
      <c r="AH54" s="98"/>
    </row>
    <row r="55" spans="1:34" ht="27" hidden="1" customHeight="1">
      <c r="A55" s="30"/>
      <c r="B55" s="794"/>
      <c r="C55" s="74"/>
      <c r="D55" s="72"/>
      <c r="E55" s="98"/>
      <c r="F55" s="98"/>
      <c r="G55" s="98"/>
      <c r="H55" s="98"/>
      <c r="I55" s="98"/>
      <c r="J55" s="98"/>
      <c r="K55" s="98"/>
      <c r="L55" s="98"/>
      <c r="M55" s="98"/>
      <c r="N55" s="98"/>
      <c r="O55" s="98"/>
      <c r="P55" s="98"/>
      <c r="Q55" s="98"/>
      <c r="R55" s="98"/>
      <c r="S55" s="98"/>
      <c r="T55" s="98"/>
      <c r="U55" s="98"/>
      <c r="V55" s="98"/>
      <c r="W55" s="98"/>
      <c r="X55" s="98"/>
      <c r="Y55" s="98"/>
      <c r="Z55" s="98"/>
      <c r="AA55" s="98"/>
      <c r="AB55" s="98"/>
      <c r="AC55" s="98"/>
      <c r="AD55" s="98"/>
      <c r="AE55" s="98"/>
      <c r="AF55" s="98"/>
      <c r="AG55" s="98"/>
      <c r="AH55" s="98"/>
    </row>
    <row r="56" spans="1:34" ht="27" hidden="1" customHeight="1" thickBot="1">
      <c r="A56" s="30"/>
      <c r="B56" s="800">
        <v>7</v>
      </c>
      <c r="C56" s="795"/>
      <c r="D56" s="796"/>
      <c r="E56" s="97" t="str">
        <f>IFERROR(AVERAGE(E57:E63),"")</f>
        <v/>
      </c>
      <c r="F56" s="97" t="str">
        <f t="shared" ref="F56:AH56" si="6">IFERROR(AVERAGE(F57:F63),"")</f>
        <v/>
      </c>
      <c r="G56" s="97" t="str">
        <f t="shared" si="6"/>
        <v/>
      </c>
      <c r="H56" s="97" t="str">
        <f t="shared" si="6"/>
        <v/>
      </c>
      <c r="I56" s="97" t="str">
        <f t="shared" si="6"/>
        <v/>
      </c>
      <c r="J56" s="97" t="str">
        <f t="shared" si="6"/>
        <v/>
      </c>
      <c r="K56" s="97" t="str">
        <f t="shared" si="6"/>
        <v/>
      </c>
      <c r="L56" s="97" t="str">
        <f t="shared" si="6"/>
        <v/>
      </c>
      <c r="M56" s="97" t="str">
        <f t="shared" si="6"/>
        <v/>
      </c>
      <c r="N56" s="97" t="str">
        <f t="shared" si="6"/>
        <v/>
      </c>
      <c r="O56" s="97" t="str">
        <f t="shared" si="6"/>
        <v/>
      </c>
      <c r="P56" s="97" t="str">
        <f t="shared" si="6"/>
        <v/>
      </c>
      <c r="Q56" s="97" t="str">
        <f t="shared" si="6"/>
        <v/>
      </c>
      <c r="R56" s="97" t="str">
        <f t="shared" si="6"/>
        <v/>
      </c>
      <c r="S56" s="97" t="str">
        <f t="shared" si="6"/>
        <v/>
      </c>
      <c r="T56" s="97" t="str">
        <f t="shared" si="6"/>
        <v/>
      </c>
      <c r="U56" s="97" t="str">
        <f t="shared" si="6"/>
        <v/>
      </c>
      <c r="V56" s="97" t="str">
        <f t="shared" si="6"/>
        <v/>
      </c>
      <c r="W56" s="97" t="str">
        <f t="shared" si="6"/>
        <v/>
      </c>
      <c r="X56" s="97" t="str">
        <f t="shared" si="6"/>
        <v/>
      </c>
      <c r="Y56" s="97" t="str">
        <f t="shared" si="6"/>
        <v/>
      </c>
      <c r="Z56" s="97" t="str">
        <f t="shared" si="6"/>
        <v/>
      </c>
      <c r="AA56" s="97" t="str">
        <f t="shared" si="6"/>
        <v/>
      </c>
      <c r="AB56" s="97" t="str">
        <f t="shared" si="6"/>
        <v/>
      </c>
      <c r="AC56" s="97" t="str">
        <f t="shared" si="6"/>
        <v/>
      </c>
      <c r="AD56" s="97" t="str">
        <f t="shared" si="6"/>
        <v/>
      </c>
      <c r="AE56" s="97" t="str">
        <f t="shared" si="6"/>
        <v/>
      </c>
      <c r="AF56" s="97" t="str">
        <f t="shared" si="6"/>
        <v/>
      </c>
      <c r="AG56" s="97" t="str">
        <f t="shared" si="6"/>
        <v/>
      </c>
      <c r="AH56" s="97" t="str">
        <f t="shared" si="6"/>
        <v/>
      </c>
    </row>
    <row r="57" spans="1:34" ht="27" hidden="1" customHeight="1">
      <c r="A57" s="30"/>
      <c r="B57" s="801"/>
      <c r="C57" s="407"/>
      <c r="D57" s="72"/>
      <c r="E57" s="98"/>
      <c r="F57" s="98"/>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row>
    <row r="58" spans="1:34" ht="27" hidden="1" customHeight="1">
      <c r="A58" s="30"/>
      <c r="B58" s="801"/>
      <c r="C58" s="74"/>
      <c r="D58" s="72"/>
      <c r="E58" s="98"/>
      <c r="F58" s="98"/>
      <c r="G58" s="98"/>
      <c r="H58" s="98"/>
      <c r="I58" s="98"/>
      <c r="J58" s="98"/>
      <c r="K58" s="98"/>
      <c r="L58" s="98"/>
      <c r="M58" s="98"/>
      <c r="N58" s="98"/>
      <c r="O58" s="98"/>
      <c r="P58" s="98"/>
      <c r="Q58" s="98"/>
      <c r="R58" s="98"/>
      <c r="S58" s="98"/>
      <c r="T58" s="98"/>
      <c r="U58" s="98"/>
      <c r="V58" s="98"/>
      <c r="W58" s="98"/>
      <c r="X58" s="98"/>
      <c r="Y58" s="98"/>
      <c r="Z58" s="98"/>
      <c r="AA58" s="98"/>
      <c r="AB58" s="98"/>
      <c r="AC58" s="98"/>
      <c r="AD58" s="98"/>
      <c r="AE58" s="98"/>
      <c r="AF58" s="98"/>
      <c r="AG58" s="98"/>
      <c r="AH58" s="98"/>
    </row>
    <row r="59" spans="1:34" ht="27" hidden="1" customHeight="1">
      <c r="A59" s="30"/>
      <c r="B59" s="801"/>
      <c r="C59" s="74"/>
      <c r="D59" s="72"/>
      <c r="E59" s="98"/>
      <c r="F59" s="98"/>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F59" s="98"/>
      <c r="AG59" s="98"/>
      <c r="AH59" s="98"/>
    </row>
    <row r="60" spans="1:34" ht="27" hidden="1" customHeight="1">
      <c r="A60" s="30"/>
      <c r="B60" s="801"/>
      <c r="C60" s="74"/>
      <c r="D60" s="72"/>
      <c r="E60" s="98"/>
      <c r="F60" s="98"/>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F60" s="98"/>
      <c r="AG60" s="98"/>
      <c r="AH60" s="98"/>
    </row>
    <row r="61" spans="1:34" ht="27" hidden="1" customHeight="1">
      <c r="A61" s="30"/>
      <c r="B61" s="801"/>
      <c r="C61" s="74"/>
      <c r="D61" s="72"/>
      <c r="E61" s="98"/>
      <c r="F61" s="98"/>
      <c r="G61" s="98"/>
      <c r="H61" s="98"/>
      <c r="I61" s="98"/>
      <c r="J61" s="98"/>
      <c r="K61" s="98"/>
      <c r="L61" s="98"/>
      <c r="M61" s="98"/>
      <c r="N61" s="98"/>
      <c r="O61" s="98"/>
      <c r="P61" s="98"/>
      <c r="Q61" s="98"/>
      <c r="R61" s="98"/>
      <c r="S61" s="98"/>
      <c r="T61" s="98"/>
      <c r="U61" s="98"/>
      <c r="V61" s="98"/>
      <c r="W61" s="98"/>
      <c r="X61" s="98"/>
      <c r="Y61" s="98"/>
      <c r="Z61" s="98"/>
      <c r="AA61" s="98"/>
      <c r="AB61" s="98"/>
      <c r="AC61" s="98"/>
      <c r="AD61" s="98"/>
      <c r="AE61" s="98"/>
      <c r="AF61" s="98"/>
      <c r="AG61" s="98"/>
      <c r="AH61" s="98"/>
    </row>
    <row r="62" spans="1:34" ht="27" hidden="1" customHeight="1">
      <c r="A62" s="30"/>
      <c r="B62" s="801"/>
      <c r="C62" s="74"/>
      <c r="D62" s="72"/>
      <c r="E62" s="98"/>
      <c r="F62" s="98"/>
      <c r="G62" s="98"/>
      <c r="H62" s="98"/>
      <c r="I62" s="98"/>
      <c r="J62" s="98"/>
      <c r="K62" s="98"/>
      <c r="L62" s="98"/>
      <c r="M62" s="98"/>
      <c r="N62" s="98"/>
      <c r="O62" s="98"/>
      <c r="P62" s="98"/>
      <c r="Q62" s="98"/>
      <c r="R62" s="98"/>
      <c r="S62" s="98"/>
      <c r="T62" s="98"/>
      <c r="U62" s="98"/>
      <c r="V62" s="98"/>
      <c r="W62" s="98"/>
      <c r="X62" s="98"/>
      <c r="Y62" s="98"/>
      <c r="Z62" s="98"/>
      <c r="AA62" s="98"/>
      <c r="AB62" s="98"/>
      <c r="AC62" s="98"/>
      <c r="AD62" s="98"/>
      <c r="AE62" s="98"/>
      <c r="AF62" s="98"/>
      <c r="AG62" s="98"/>
      <c r="AH62" s="98"/>
    </row>
    <row r="63" spans="1:34" ht="27" hidden="1" customHeight="1">
      <c r="A63" s="30"/>
      <c r="B63" s="802"/>
      <c r="C63" s="74"/>
      <c r="D63" s="72"/>
      <c r="E63" s="98"/>
      <c r="F63" s="98"/>
      <c r="G63" s="98"/>
      <c r="H63" s="98"/>
      <c r="I63" s="98"/>
      <c r="J63" s="98"/>
      <c r="K63" s="98"/>
      <c r="L63" s="98"/>
      <c r="M63" s="98"/>
      <c r="N63" s="98"/>
      <c r="O63" s="98"/>
      <c r="P63" s="98"/>
      <c r="Q63" s="98"/>
      <c r="R63" s="98"/>
      <c r="S63" s="98"/>
      <c r="T63" s="98"/>
      <c r="U63" s="98"/>
      <c r="V63" s="98"/>
      <c r="W63" s="98"/>
      <c r="X63" s="98"/>
      <c r="Y63" s="98"/>
      <c r="Z63" s="98"/>
      <c r="AA63" s="98"/>
      <c r="AB63" s="98"/>
      <c r="AC63" s="98"/>
      <c r="AD63" s="98"/>
      <c r="AE63" s="98"/>
      <c r="AF63" s="98"/>
      <c r="AG63" s="98"/>
      <c r="AH63" s="98"/>
    </row>
    <row r="64" spans="1:34" ht="27" hidden="1" customHeight="1">
      <c r="A64" s="30"/>
      <c r="B64" s="800">
        <v>8</v>
      </c>
      <c r="C64" s="795"/>
      <c r="D64" s="796"/>
      <c r="E64" s="97" t="str">
        <f>IFERROR(AVERAGE(E65:E71),"")</f>
        <v/>
      </c>
      <c r="F64" s="97" t="str">
        <f t="shared" ref="F64:AH64" si="7">IFERROR(AVERAGE(F65:F71),"")</f>
        <v/>
      </c>
      <c r="G64" s="97" t="str">
        <f t="shared" si="7"/>
        <v/>
      </c>
      <c r="H64" s="97" t="str">
        <f t="shared" si="7"/>
        <v/>
      </c>
      <c r="I64" s="97" t="str">
        <f t="shared" si="7"/>
        <v/>
      </c>
      <c r="J64" s="97" t="str">
        <f t="shared" si="7"/>
        <v/>
      </c>
      <c r="K64" s="97" t="str">
        <f t="shared" si="7"/>
        <v/>
      </c>
      <c r="L64" s="97" t="str">
        <f t="shared" si="7"/>
        <v/>
      </c>
      <c r="M64" s="97" t="str">
        <f t="shared" si="7"/>
        <v/>
      </c>
      <c r="N64" s="97" t="str">
        <f t="shared" si="7"/>
        <v/>
      </c>
      <c r="O64" s="97" t="str">
        <f t="shared" si="7"/>
        <v/>
      </c>
      <c r="P64" s="97" t="str">
        <f t="shared" si="7"/>
        <v/>
      </c>
      <c r="Q64" s="97" t="str">
        <f t="shared" si="7"/>
        <v/>
      </c>
      <c r="R64" s="97" t="str">
        <f t="shared" si="7"/>
        <v/>
      </c>
      <c r="S64" s="97" t="str">
        <f t="shared" si="7"/>
        <v/>
      </c>
      <c r="T64" s="97" t="str">
        <f t="shared" si="7"/>
        <v/>
      </c>
      <c r="U64" s="97" t="str">
        <f t="shared" si="7"/>
        <v/>
      </c>
      <c r="V64" s="97" t="str">
        <f t="shared" si="7"/>
        <v/>
      </c>
      <c r="W64" s="97" t="str">
        <f t="shared" si="7"/>
        <v/>
      </c>
      <c r="X64" s="97" t="str">
        <f t="shared" si="7"/>
        <v/>
      </c>
      <c r="Y64" s="97" t="str">
        <f t="shared" si="7"/>
        <v/>
      </c>
      <c r="Z64" s="97" t="str">
        <f t="shared" si="7"/>
        <v/>
      </c>
      <c r="AA64" s="97" t="str">
        <f t="shared" si="7"/>
        <v/>
      </c>
      <c r="AB64" s="97" t="str">
        <f t="shared" si="7"/>
        <v/>
      </c>
      <c r="AC64" s="97" t="str">
        <f t="shared" si="7"/>
        <v/>
      </c>
      <c r="AD64" s="97" t="str">
        <f t="shared" si="7"/>
        <v/>
      </c>
      <c r="AE64" s="97" t="str">
        <f t="shared" si="7"/>
        <v/>
      </c>
      <c r="AF64" s="97" t="str">
        <f t="shared" si="7"/>
        <v/>
      </c>
      <c r="AG64" s="97" t="str">
        <f t="shared" si="7"/>
        <v/>
      </c>
      <c r="AH64" s="97" t="str">
        <f t="shared" si="7"/>
        <v/>
      </c>
    </row>
    <row r="65" spans="1:34" ht="27" hidden="1" customHeight="1">
      <c r="A65" s="30"/>
      <c r="B65" s="801"/>
      <c r="C65" s="74"/>
      <c r="D65" s="72"/>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row>
    <row r="66" spans="1:34" ht="27" hidden="1" customHeight="1">
      <c r="A66" s="30"/>
      <c r="B66" s="801"/>
      <c r="C66" s="74" t="s">
        <v>195</v>
      </c>
      <c r="D66" s="72"/>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row>
    <row r="67" spans="1:34" ht="27" hidden="1" customHeight="1">
      <c r="A67" s="30"/>
      <c r="B67" s="801"/>
      <c r="C67" s="74" t="s">
        <v>196</v>
      </c>
      <c r="D67" s="72"/>
      <c r="E67" s="98"/>
      <c r="F67" s="98"/>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row>
    <row r="68" spans="1:34" ht="27" hidden="1" customHeight="1">
      <c r="A68" s="30"/>
      <c r="B68" s="801"/>
      <c r="C68" s="74" t="s">
        <v>197</v>
      </c>
      <c r="D68" s="72"/>
      <c r="E68" s="98"/>
      <c r="F68" s="98"/>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row>
    <row r="69" spans="1:34" ht="27" hidden="1" customHeight="1">
      <c r="A69" s="30"/>
      <c r="B69" s="801"/>
      <c r="C69" s="74" t="s">
        <v>198</v>
      </c>
      <c r="D69" s="72"/>
      <c r="E69" s="98"/>
      <c r="F69" s="98"/>
      <c r="G69" s="98"/>
      <c r="H69" s="98"/>
      <c r="I69" s="98"/>
      <c r="J69" s="98"/>
      <c r="K69" s="98"/>
      <c r="L69" s="98"/>
      <c r="M69" s="98"/>
      <c r="N69" s="98"/>
      <c r="O69" s="98"/>
      <c r="P69" s="98"/>
      <c r="Q69" s="98"/>
      <c r="R69" s="98"/>
      <c r="S69" s="98"/>
      <c r="T69" s="98"/>
      <c r="U69" s="98"/>
      <c r="V69" s="98"/>
      <c r="W69" s="98"/>
      <c r="X69" s="98"/>
      <c r="Y69" s="98"/>
      <c r="Z69" s="98"/>
      <c r="AA69" s="98"/>
      <c r="AB69" s="98"/>
      <c r="AC69" s="98"/>
      <c r="AD69" s="98"/>
      <c r="AE69" s="98"/>
      <c r="AF69" s="98"/>
      <c r="AG69" s="98"/>
      <c r="AH69" s="98"/>
    </row>
    <row r="70" spans="1:34" ht="27" hidden="1" customHeight="1">
      <c r="A70" s="30"/>
      <c r="B70" s="801"/>
      <c r="C70" s="74" t="s">
        <v>199</v>
      </c>
      <c r="D70" s="72"/>
      <c r="E70" s="98"/>
      <c r="F70" s="98"/>
      <c r="G70" s="98"/>
      <c r="H70" s="98"/>
      <c r="I70" s="98"/>
      <c r="J70" s="98"/>
      <c r="K70" s="98"/>
      <c r="L70" s="98"/>
      <c r="M70" s="98"/>
      <c r="N70" s="98"/>
      <c r="O70" s="98"/>
      <c r="P70" s="98"/>
      <c r="Q70" s="98"/>
      <c r="R70" s="98"/>
      <c r="S70" s="98"/>
      <c r="T70" s="98"/>
      <c r="U70" s="98"/>
      <c r="V70" s="98"/>
      <c r="W70" s="98"/>
      <c r="X70" s="98"/>
      <c r="Y70" s="98"/>
      <c r="Z70" s="98"/>
      <c r="AA70" s="98"/>
      <c r="AB70" s="98"/>
      <c r="AC70" s="98"/>
      <c r="AD70" s="98"/>
      <c r="AE70" s="98"/>
      <c r="AF70" s="98"/>
      <c r="AG70" s="98"/>
      <c r="AH70" s="98"/>
    </row>
    <row r="71" spans="1:34" ht="27" hidden="1" customHeight="1">
      <c r="A71" s="30"/>
      <c r="B71" s="802"/>
      <c r="C71" s="74" t="s">
        <v>200</v>
      </c>
      <c r="D71" s="72"/>
      <c r="E71" s="98"/>
      <c r="F71" s="98"/>
      <c r="G71" s="98"/>
      <c r="H71" s="98"/>
      <c r="I71" s="98"/>
      <c r="J71" s="98"/>
      <c r="K71" s="98"/>
      <c r="L71" s="98"/>
      <c r="M71" s="98"/>
      <c r="N71" s="98"/>
      <c r="O71" s="98"/>
      <c r="P71" s="98"/>
      <c r="Q71" s="98"/>
      <c r="R71" s="98"/>
      <c r="S71" s="98"/>
      <c r="T71" s="98"/>
      <c r="U71" s="98"/>
      <c r="V71" s="98"/>
      <c r="W71" s="98"/>
      <c r="X71" s="98"/>
      <c r="Y71" s="98"/>
      <c r="Z71" s="98"/>
      <c r="AA71" s="98"/>
      <c r="AB71" s="98"/>
      <c r="AC71" s="98"/>
      <c r="AD71" s="98"/>
      <c r="AE71" s="98"/>
      <c r="AF71" s="98"/>
      <c r="AG71" s="98"/>
      <c r="AH71" s="98"/>
    </row>
    <row r="72" spans="1:34" ht="27" hidden="1" customHeight="1">
      <c r="A72" s="30"/>
      <c r="B72" s="794">
        <v>9</v>
      </c>
      <c r="C72" s="795"/>
      <c r="D72" s="796"/>
      <c r="E72" s="97" t="str">
        <f>IFERROR(AVERAGE(E73:E79),"")</f>
        <v/>
      </c>
      <c r="F72" s="97" t="str">
        <f t="shared" ref="F72:AH72" si="8">IFERROR(AVERAGE(F73:F79),"")</f>
        <v/>
      </c>
      <c r="G72" s="97" t="str">
        <f t="shared" si="8"/>
        <v/>
      </c>
      <c r="H72" s="97" t="str">
        <f t="shared" si="8"/>
        <v/>
      </c>
      <c r="I72" s="97" t="str">
        <f t="shared" si="8"/>
        <v/>
      </c>
      <c r="J72" s="97" t="str">
        <f t="shared" si="8"/>
        <v/>
      </c>
      <c r="K72" s="97" t="str">
        <f t="shared" si="8"/>
        <v/>
      </c>
      <c r="L72" s="97" t="str">
        <f t="shared" si="8"/>
        <v/>
      </c>
      <c r="M72" s="97" t="str">
        <f t="shared" si="8"/>
        <v/>
      </c>
      <c r="N72" s="97" t="str">
        <f t="shared" si="8"/>
        <v/>
      </c>
      <c r="O72" s="97" t="str">
        <f t="shared" si="8"/>
        <v/>
      </c>
      <c r="P72" s="97" t="str">
        <f t="shared" si="8"/>
        <v/>
      </c>
      <c r="Q72" s="97" t="str">
        <f t="shared" si="8"/>
        <v/>
      </c>
      <c r="R72" s="97" t="str">
        <f t="shared" si="8"/>
        <v/>
      </c>
      <c r="S72" s="97" t="str">
        <f t="shared" si="8"/>
        <v/>
      </c>
      <c r="T72" s="97" t="str">
        <f t="shared" si="8"/>
        <v/>
      </c>
      <c r="U72" s="97" t="str">
        <f t="shared" si="8"/>
        <v/>
      </c>
      <c r="V72" s="97" t="str">
        <f t="shared" si="8"/>
        <v/>
      </c>
      <c r="W72" s="97" t="str">
        <f t="shared" si="8"/>
        <v/>
      </c>
      <c r="X72" s="97" t="str">
        <f t="shared" si="8"/>
        <v/>
      </c>
      <c r="Y72" s="97" t="str">
        <f t="shared" si="8"/>
        <v/>
      </c>
      <c r="Z72" s="97" t="str">
        <f t="shared" si="8"/>
        <v/>
      </c>
      <c r="AA72" s="97" t="str">
        <f t="shared" si="8"/>
        <v/>
      </c>
      <c r="AB72" s="97" t="str">
        <f t="shared" si="8"/>
        <v/>
      </c>
      <c r="AC72" s="97" t="str">
        <f t="shared" si="8"/>
        <v/>
      </c>
      <c r="AD72" s="97" t="str">
        <f t="shared" si="8"/>
        <v/>
      </c>
      <c r="AE72" s="97" t="str">
        <f t="shared" si="8"/>
        <v/>
      </c>
      <c r="AF72" s="97" t="str">
        <f t="shared" si="8"/>
        <v/>
      </c>
      <c r="AG72" s="97" t="str">
        <f t="shared" si="8"/>
        <v/>
      </c>
      <c r="AH72" s="97" t="str">
        <f t="shared" si="8"/>
        <v/>
      </c>
    </row>
    <row r="73" spans="1:34" ht="27" hidden="1" customHeight="1">
      <c r="A73" s="30"/>
      <c r="B73" s="794"/>
      <c r="C73" s="74" t="s">
        <v>201</v>
      </c>
      <c r="D73" s="72"/>
      <c r="E73" s="98"/>
      <c r="F73" s="98"/>
      <c r="G73" s="98"/>
      <c r="H73" s="98"/>
      <c r="I73" s="98"/>
      <c r="J73" s="98"/>
      <c r="K73" s="98"/>
      <c r="L73" s="98"/>
      <c r="M73" s="98"/>
      <c r="N73" s="98"/>
      <c r="O73" s="98"/>
      <c r="P73" s="98"/>
      <c r="Q73" s="98"/>
      <c r="R73" s="98"/>
      <c r="S73" s="98"/>
      <c r="T73" s="98"/>
      <c r="U73" s="98"/>
      <c r="V73" s="98"/>
      <c r="W73" s="98"/>
      <c r="X73" s="98"/>
      <c r="Y73" s="98"/>
      <c r="Z73" s="98"/>
      <c r="AA73" s="98"/>
      <c r="AB73" s="98"/>
      <c r="AC73" s="98"/>
      <c r="AD73" s="98"/>
      <c r="AE73" s="98"/>
      <c r="AF73" s="98"/>
      <c r="AG73" s="98"/>
      <c r="AH73" s="98"/>
    </row>
    <row r="74" spans="1:34" ht="27" hidden="1" customHeight="1">
      <c r="A74" s="30"/>
      <c r="B74" s="794"/>
      <c r="C74" s="74" t="s">
        <v>202</v>
      </c>
      <c r="D74" s="72"/>
      <c r="E74" s="98"/>
      <c r="F74" s="98"/>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row>
    <row r="75" spans="1:34" ht="27" hidden="1" customHeight="1">
      <c r="A75" s="30"/>
      <c r="B75" s="794"/>
      <c r="C75" s="74" t="s">
        <v>203</v>
      </c>
      <c r="D75" s="72"/>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row>
    <row r="76" spans="1:34" ht="27" hidden="1" customHeight="1">
      <c r="A76" s="30"/>
      <c r="B76" s="794"/>
      <c r="C76" s="74" t="s">
        <v>204</v>
      </c>
      <c r="D76" s="72"/>
      <c r="E76" s="98"/>
      <c r="F76" s="98"/>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row>
    <row r="77" spans="1:34" ht="27" hidden="1" customHeight="1">
      <c r="A77" s="30"/>
      <c r="B77" s="794"/>
      <c r="C77" s="74" t="s">
        <v>205</v>
      </c>
      <c r="D77" s="72"/>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row>
    <row r="78" spans="1:34" ht="27" hidden="1" customHeight="1">
      <c r="A78" s="30"/>
      <c r="B78" s="794"/>
      <c r="C78" s="74" t="s">
        <v>206</v>
      </c>
      <c r="D78" s="72"/>
      <c r="E78" s="98"/>
      <c r="F78" s="98"/>
      <c r="G78" s="98"/>
      <c r="H78" s="98"/>
      <c r="I78" s="98"/>
      <c r="J78" s="98"/>
      <c r="K78" s="98"/>
      <c r="L78" s="98"/>
      <c r="M78" s="98"/>
      <c r="N78" s="98"/>
      <c r="O78" s="98"/>
      <c r="P78" s="98"/>
      <c r="Q78" s="98"/>
      <c r="R78" s="98"/>
      <c r="S78" s="98"/>
      <c r="T78" s="98"/>
      <c r="U78" s="98"/>
      <c r="V78" s="98"/>
      <c r="W78" s="98"/>
      <c r="X78" s="98"/>
      <c r="Y78" s="98"/>
      <c r="Z78" s="98"/>
      <c r="AA78" s="98"/>
      <c r="AB78" s="98"/>
      <c r="AC78" s="98"/>
      <c r="AD78" s="98"/>
      <c r="AE78" s="98"/>
      <c r="AF78" s="98"/>
      <c r="AG78" s="98"/>
      <c r="AH78" s="98"/>
    </row>
    <row r="79" spans="1:34" ht="27" hidden="1" customHeight="1">
      <c r="A79" s="30"/>
      <c r="B79" s="794"/>
      <c r="C79" s="74" t="s">
        <v>207</v>
      </c>
      <c r="D79" s="72"/>
      <c r="E79" s="98"/>
      <c r="F79" s="98"/>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row>
    <row r="80" spans="1:34" ht="27" hidden="1" customHeight="1">
      <c r="A80" s="30"/>
      <c r="B80" s="800">
        <v>10</v>
      </c>
      <c r="C80" s="795"/>
      <c r="D80" s="796"/>
      <c r="E80" s="97" t="str">
        <f>IFERROR(AVERAGE(E81:E87),"")</f>
        <v/>
      </c>
      <c r="F80" s="97" t="str">
        <f t="shared" ref="F80:AH80" si="9">IFERROR(AVERAGE(F81:F87),"")</f>
        <v/>
      </c>
      <c r="G80" s="97" t="str">
        <f t="shared" si="9"/>
        <v/>
      </c>
      <c r="H80" s="97" t="str">
        <f t="shared" si="9"/>
        <v/>
      </c>
      <c r="I80" s="97" t="str">
        <f t="shared" si="9"/>
        <v/>
      </c>
      <c r="J80" s="97" t="str">
        <f t="shared" si="9"/>
        <v/>
      </c>
      <c r="K80" s="97" t="str">
        <f t="shared" si="9"/>
        <v/>
      </c>
      <c r="L80" s="97" t="str">
        <f t="shared" si="9"/>
        <v/>
      </c>
      <c r="M80" s="97" t="str">
        <f t="shared" si="9"/>
        <v/>
      </c>
      <c r="N80" s="97" t="str">
        <f t="shared" si="9"/>
        <v/>
      </c>
      <c r="O80" s="97" t="str">
        <f t="shared" si="9"/>
        <v/>
      </c>
      <c r="P80" s="97" t="str">
        <f t="shared" si="9"/>
        <v/>
      </c>
      <c r="Q80" s="97" t="str">
        <f t="shared" si="9"/>
        <v/>
      </c>
      <c r="R80" s="97" t="str">
        <f t="shared" si="9"/>
        <v/>
      </c>
      <c r="S80" s="97" t="str">
        <f t="shared" si="9"/>
        <v/>
      </c>
      <c r="T80" s="97" t="str">
        <f t="shared" si="9"/>
        <v/>
      </c>
      <c r="U80" s="97" t="str">
        <f t="shared" si="9"/>
        <v/>
      </c>
      <c r="V80" s="97" t="str">
        <f t="shared" si="9"/>
        <v/>
      </c>
      <c r="W80" s="97" t="str">
        <f t="shared" si="9"/>
        <v/>
      </c>
      <c r="X80" s="97" t="str">
        <f t="shared" si="9"/>
        <v/>
      </c>
      <c r="Y80" s="97" t="str">
        <f t="shared" si="9"/>
        <v/>
      </c>
      <c r="Z80" s="97" t="str">
        <f t="shared" si="9"/>
        <v/>
      </c>
      <c r="AA80" s="97" t="str">
        <f t="shared" si="9"/>
        <v/>
      </c>
      <c r="AB80" s="97" t="str">
        <f t="shared" si="9"/>
        <v/>
      </c>
      <c r="AC80" s="97" t="str">
        <f t="shared" si="9"/>
        <v/>
      </c>
      <c r="AD80" s="97" t="str">
        <f t="shared" si="9"/>
        <v/>
      </c>
      <c r="AE80" s="97" t="str">
        <f t="shared" si="9"/>
        <v/>
      </c>
      <c r="AF80" s="97" t="str">
        <f t="shared" si="9"/>
        <v/>
      </c>
      <c r="AG80" s="97" t="str">
        <f t="shared" si="9"/>
        <v/>
      </c>
      <c r="AH80" s="97" t="str">
        <f t="shared" si="9"/>
        <v/>
      </c>
    </row>
    <row r="81" spans="1:34" ht="27" hidden="1" customHeight="1">
      <c r="A81" s="30"/>
      <c r="B81" s="801"/>
      <c r="C81" s="74" t="s">
        <v>208</v>
      </c>
      <c r="D81" s="72"/>
      <c r="E81" s="98"/>
      <c r="F81" s="98"/>
      <c r="G81" s="98"/>
      <c r="H81" s="98"/>
      <c r="I81" s="98"/>
      <c r="J81" s="98"/>
      <c r="K81" s="98"/>
      <c r="L81" s="98"/>
      <c r="M81" s="98"/>
      <c r="N81" s="98"/>
      <c r="O81" s="98"/>
      <c r="P81" s="98"/>
      <c r="Q81" s="98"/>
      <c r="R81" s="98"/>
      <c r="S81" s="98"/>
      <c r="T81" s="98"/>
      <c r="U81" s="98"/>
      <c r="V81" s="98"/>
      <c r="W81" s="98"/>
      <c r="X81" s="98"/>
      <c r="Y81" s="98"/>
      <c r="Z81" s="98"/>
      <c r="AA81" s="98"/>
      <c r="AB81" s="98"/>
      <c r="AC81" s="98"/>
      <c r="AD81" s="98"/>
      <c r="AE81" s="98"/>
      <c r="AF81" s="98"/>
      <c r="AG81" s="98"/>
      <c r="AH81" s="98"/>
    </row>
    <row r="82" spans="1:34" ht="27" hidden="1" customHeight="1">
      <c r="A82" s="30"/>
      <c r="B82" s="801"/>
      <c r="C82" s="74" t="s">
        <v>209</v>
      </c>
      <c r="D82" s="72"/>
      <c r="E82" s="98"/>
      <c r="F82" s="98"/>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row>
    <row r="83" spans="1:34" ht="27" hidden="1" customHeight="1">
      <c r="A83" s="30"/>
      <c r="B83" s="801"/>
      <c r="C83" s="74" t="s">
        <v>210</v>
      </c>
      <c r="D83" s="72"/>
      <c r="E83" s="98"/>
      <c r="F83" s="98"/>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row>
    <row r="84" spans="1:34" ht="27" hidden="1" customHeight="1">
      <c r="A84" s="30"/>
      <c r="B84" s="801"/>
      <c r="C84" s="74" t="s">
        <v>211</v>
      </c>
      <c r="D84" s="72"/>
      <c r="E84" s="98"/>
      <c r="F84" s="98"/>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row>
    <row r="85" spans="1:34" ht="27" hidden="1" customHeight="1">
      <c r="A85" s="30"/>
      <c r="B85" s="801"/>
      <c r="C85" s="74" t="s">
        <v>212</v>
      </c>
      <c r="D85" s="72"/>
      <c r="E85" s="98"/>
      <c r="F85" s="98"/>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row>
    <row r="86" spans="1:34" ht="27" hidden="1" customHeight="1">
      <c r="A86" s="30"/>
      <c r="B86" s="801"/>
      <c r="C86" s="74" t="s">
        <v>213</v>
      </c>
      <c r="D86" s="72"/>
      <c r="E86" s="98"/>
      <c r="F86" s="98"/>
      <c r="G86" s="98"/>
      <c r="H86" s="98"/>
      <c r="I86" s="98"/>
      <c r="J86" s="98"/>
      <c r="K86" s="98"/>
      <c r="L86" s="98"/>
      <c r="M86" s="98"/>
      <c r="N86" s="98"/>
      <c r="O86" s="98"/>
      <c r="P86" s="98"/>
      <c r="Q86" s="98"/>
      <c r="R86" s="98"/>
      <c r="S86" s="98"/>
      <c r="T86" s="98"/>
      <c r="U86" s="98"/>
      <c r="V86" s="98"/>
      <c r="W86" s="98"/>
      <c r="X86" s="98"/>
      <c r="Y86" s="98"/>
      <c r="Z86" s="98"/>
      <c r="AA86" s="98"/>
      <c r="AB86" s="98"/>
      <c r="AC86" s="98"/>
      <c r="AD86" s="98"/>
      <c r="AE86" s="98"/>
      <c r="AF86" s="98"/>
      <c r="AG86" s="98"/>
      <c r="AH86" s="98"/>
    </row>
    <row r="87" spans="1:34" ht="27" hidden="1" customHeight="1">
      <c r="A87" s="30"/>
      <c r="B87" s="802"/>
      <c r="C87" s="74" t="s">
        <v>214</v>
      </c>
      <c r="D87" s="72"/>
      <c r="E87" s="98"/>
      <c r="F87" s="98"/>
      <c r="G87" s="98"/>
      <c r="H87" s="98"/>
      <c r="I87" s="98"/>
      <c r="J87" s="98"/>
      <c r="K87" s="98"/>
      <c r="L87" s="98"/>
      <c r="M87" s="98"/>
      <c r="N87" s="98"/>
      <c r="O87" s="98"/>
      <c r="P87" s="98"/>
      <c r="Q87" s="98"/>
      <c r="R87" s="98"/>
      <c r="S87" s="98"/>
      <c r="T87" s="98"/>
      <c r="U87" s="98"/>
      <c r="V87" s="98"/>
      <c r="W87" s="98"/>
      <c r="X87" s="98"/>
      <c r="Y87" s="98"/>
      <c r="Z87" s="98"/>
      <c r="AA87" s="98"/>
      <c r="AB87" s="98"/>
      <c r="AC87" s="98"/>
      <c r="AD87" s="98"/>
      <c r="AE87" s="98"/>
      <c r="AF87" s="98"/>
      <c r="AG87" s="98"/>
      <c r="AH87" s="98"/>
    </row>
    <row r="88" spans="1:34" ht="27" hidden="1" customHeight="1">
      <c r="A88" s="30"/>
      <c r="B88" s="800">
        <v>11</v>
      </c>
      <c r="C88" s="795"/>
      <c r="D88" s="796"/>
      <c r="E88" s="97" t="str">
        <f>IFERROR(AVERAGE(E89:E95),"")</f>
        <v/>
      </c>
      <c r="F88" s="97" t="str">
        <f t="shared" ref="F88:AH88" si="10">IFERROR(AVERAGE(F89:F95),"")</f>
        <v/>
      </c>
      <c r="G88" s="97" t="str">
        <f t="shared" si="10"/>
        <v/>
      </c>
      <c r="H88" s="97" t="str">
        <f t="shared" si="10"/>
        <v/>
      </c>
      <c r="I88" s="97" t="str">
        <f t="shared" si="10"/>
        <v/>
      </c>
      <c r="J88" s="97" t="str">
        <f t="shared" si="10"/>
        <v/>
      </c>
      <c r="K88" s="97" t="str">
        <f t="shared" si="10"/>
        <v/>
      </c>
      <c r="L88" s="97" t="str">
        <f t="shared" si="10"/>
        <v/>
      </c>
      <c r="M88" s="97" t="str">
        <f t="shared" si="10"/>
        <v/>
      </c>
      <c r="N88" s="97" t="str">
        <f t="shared" si="10"/>
        <v/>
      </c>
      <c r="O88" s="97" t="str">
        <f t="shared" si="10"/>
        <v/>
      </c>
      <c r="P88" s="97" t="str">
        <f t="shared" si="10"/>
        <v/>
      </c>
      <c r="Q88" s="97" t="str">
        <f t="shared" si="10"/>
        <v/>
      </c>
      <c r="R88" s="97" t="str">
        <f t="shared" si="10"/>
        <v/>
      </c>
      <c r="S88" s="97" t="str">
        <f t="shared" si="10"/>
        <v/>
      </c>
      <c r="T88" s="97" t="str">
        <f t="shared" si="10"/>
        <v/>
      </c>
      <c r="U88" s="97" t="str">
        <f t="shared" si="10"/>
        <v/>
      </c>
      <c r="V88" s="97" t="str">
        <f t="shared" si="10"/>
        <v/>
      </c>
      <c r="W88" s="97" t="str">
        <f t="shared" si="10"/>
        <v/>
      </c>
      <c r="X88" s="97" t="str">
        <f t="shared" si="10"/>
        <v/>
      </c>
      <c r="Y88" s="97" t="str">
        <f t="shared" si="10"/>
        <v/>
      </c>
      <c r="Z88" s="97" t="str">
        <f t="shared" si="10"/>
        <v/>
      </c>
      <c r="AA88" s="97" t="str">
        <f t="shared" si="10"/>
        <v/>
      </c>
      <c r="AB88" s="97" t="str">
        <f t="shared" si="10"/>
        <v/>
      </c>
      <c r="AC88" s="97" t="str">
        <f t="shared" si="10"/>
        <v/>
      </c>
      <c r="AD88" s="97" t="str">
        <f t="shared" si="10"/>
        <v/>
      </c>
      <c r="AE88" s="97" t="str">
        <f t="shared" si="10"/>
        <v/>
      </c>
      <c r="AF88" s="97" t="str">
        <f t="shared" si="10"/>
        <v/>
      </c>
      <c r="AG88" s="97" t="str">
        <f t="shared" si="10"/>
        <v/>
      </c>
      <c r="AH88" s="97" t="str">
        <f t="shared" si="10"/>
        <v/>
      </c>
    </row>
    <row r="89" spans="1:34" ht="27" hidden="1" customHeight="1">
      <c r="A89" s="30"/>
      <c r="B89" s="801"/>
      <c r="C89" s="74" t="s">
        <v>215</v>
      </c>
      <c r="D89" s="72"/>
      <c r="E89" s="99"/>
      <c r="F89" s="99"/>
      <c r="G89" s="99"/>
      <c r="H89" s="99"/>
      <c r="I89" s="99"/>
      <c r="J89" s="99"/>
      <c r="K89" s="99"/>
      <c r="L89" s="99"/>
      <c r="M89" s="99"/>
      <c r="N89" s="99"/>
      <c r="O89" s="99"/>
      <c r="P89" s="99"/>
      <c r="Q89" s="99"/>
      <c r="R89" s="99"/>
      <c r="S89" s="99"/>
      <c r="T89" s="99"/>
      <c r="U89" s="99"/>
      <c r="V89" s="99"/>
      <c r="W89" s="99"/>
      <c r="X89" s="99"/>
      <c r="Y89" s="99"/>
      <c r="Z89" s="99"/>
      <c r="AA89" s="99"/>
      <c r="AB89" s="99"/>
      <c r="AC89" s="99"/>
      <c r="AD89" s="99"/>
      <c r="AE89" s="99"/>
      <c r="AF89" s="99"/>
      <c r="AG89" s="99"/>
      <c r="AH89" s="99"/>
    </row>
    <row r="90" spans="1:34" ht="27" hidden="1" customHeight="1">
      <c r="A90" s="30"/>
      <c r="B90" s="801"/>
      <c r="C90" s="74" t="s">
        <v>216</v>
      </c>
      <c r="D90" s="72"/>
      <c r="E90" s="98"/>
      <c r="F90" s="98"/>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row>
    <row r="91" spans="1:34" ht="27" hidden="1" customHeight="1">
      <c r="A91" s="30"/>
      <c r="B91" s="801"/>
      <c r="C91" s="74" t="s">
        <v>217</v>
      </c>
      <c r="D91" s="72"/>
      <c r="E91" s="98"/>
      <c r="F91" s="98"/>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row>
    <row r="92" spans="1:34" ht="27" hidden="1" customHeight="1">
      <c r="A92" s="30"/>
      <c r="B92" s="801"/>
      <c r="C92" s="74" t="s">
        <v>218</v>
      </c>
      <c r="D92" s="72"/>
      <c r="E92" s="98"/>
      <c r="F92" s="98"/>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row>
    <row r="93" spans="1:34" ht="27" hidden="1" customHeight="1">
      <c r="A93" s="30"/>
      <c r="B93" s="801"/>
      <c r="C93" s="74" t="s">
        <v>219</v>
      </c>
      <c r="D93" s="72"/>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row>
    <row r="94" spans="1:34" ht="27" hidden="1" customHeight="1">
      <c r="A94" s="30"/>
      <c r="B94" s="801"/>
      <c r="C94" s="74" t="s">
        <v>220</v>
      </c>
      <c r="D94" s="72"/>
      <c r="E94" s="98"/>
      <c r="F94" s="98"/>
      <c r="G94" s="98"/>
      <c r="H94" s="98"/>
      <c r="I94" s="98"/>
      <c r="J94" s="98"/>
      <c r="K94" s="98"/>
      <c r="L94" s="98"/>
      <c r="M94" s="98"/>
      <c r="N94" s="98"/>
      <c r="O94" s="98"/>
      <c r="P94" s="98"/>
      <c r="Q94" s="98"/>
      <c r="R94" s="98"/>
      <c r="S94" s="98"/>
      <c r="T94" s="98"/>
      <c r="U94" s="98"/>
      <c r="V94" s="98"/>
      <c r="W94" s="98"/>
      <c r="X94" s="98"/>
      <c r="Y94" s="98"/>
      <c r="Z94" s="98"/>
      <c r="AA94" s="98"/>
      <c r="AB94" s="98"/>
      <c r="AC94" s="98"/>
      <c r="AD94" s="98"/>
      <c r="AE94" s="98"/>
      <c r="AF94" s="98"/>
      <c r="AG94" s="98"/>
      <c r="AH94" s="98"/>
    </row>
    <row r="95" spans="1:34" ht="27" hidden="1" customHeight="1">
      <c r="A95" s="30"/>
      <c r="B95" s="802"/>
      <c r="C95" s="74" t="s">
        <v>221</v>
      </c>
      <c r="D95" s="72"/>
      <c r="E95" s="98"/>
      <c r="F95" s="98"/>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row>
    <row r="96" spans="1:34" ht="27" hidden="1" customHeight="1">
      <c r="A96" s="30"/>
      <c r="B96" s="800">
        <v>12</v>
      </c>
      <c r="C96" s="795"/>
      <c r="D96" s="796"/>
      <c r="E96" s="97" t="str">
        <f>IFERROR(AVERAGE(E97:E103),"")</f>
        <v/>
      </c>
      <c r="F96" s="97" t="str">
        <f t="shared" ref="F96:AH96" si="11">IFERROR(AVERAGE(F97:F103),"")</f>
        <v/>
      </c>
      <c r="G96" s="97" t="str">
        <f t="shared" si="11"/>
        <v/>
      </c>
      <c r="H96" s="97" t="str">
        <f t="shared" si="11"/>
        <v/>
      </c>
      <c r="I96" s="97" t="str">
        <f t="shared" si="11"/>
        <v/>
      </c>
      <c r="J96" s="97" t="str">
        <f t="shared" si="11"/>
        <v/>
      </c>
      <c r="K96" s="97" t="str">
        <f t="shared" si="11"/>
        <v/>
      </c>
      <c r="L96" s="97" t="str">
        <f t="shared" si="11"/>
        <v/>
      </c>
      <c r="M96" s="97" t="str">
        <f t="shared" si="11"/>
        <v/>
      </c>
      <c r="N96" s="97" t="str">
        <f t="shared" si="11"/>
        <v/>
      </c>
      <c r="O96" s="97" t="str">
        <f t="shared" si="11"/>
        <v/>
      </c>
      <c r="P96" s="97" t="str">
        <f t="shared" si="11"/>
        <v/>
      </c>
      <c r="Q96" s="97" t="str">
        <f t="shared" si="11"/>
        <v/>
      </c>
      <c r="R96" s="97" t="str">
        <f t="shared" si="11"/>
        <v/>
      </c>
      <c r="S96" s="97" t="str">
        <f t="shared" si="11"/>
        <v/>
      </c>
      <c r="T96" s="97" t="str">
        <f t="shared" si="11"/>
        <v/>
      </c>
      <c r="U96" s="97" t="str">
        <f t="shared" si="11"/>
        <v/>
      </c>
      <c r="V96" s="97" t="str">
        <f t="shared" si="11"/>
        <v/>
      </c>
      <c r="W96" s="97" t="str">
        <f t="shared" si="11"/>
        <v/>
      </c>
      <c r="X96" s="97" t="str">
        <f t="shared" si="11"/>
        <v/>
      </c>
      <c r="Y96" s="97" t="str">
        <f t="shared" si="11"/>
        <v/>
      </c>
      <c r="Z96" s="97" t="str">
        <f t="shared" si="11"/>
        <v/>
      </c>
      <c r="AA96" s="97" t="str">
        <f t="shared" si="11"/>
        <v/>
      </c>
      <c r="AB96" s="97" t="str">
        <f t="shared" si="11"/>
        <v/>
      </c>
      <c r="AC96" s="97" t="str">
        <f t="shared" si="11"/>
        <v/>
      </c>
      <c r="AD96" s="97" t="str">
        <f t="shared" si="11"/>
        <v/>
      </c>
      <c r="AE96" s="97" t="str">
        <f t="shared" si="11"/>
        <v/>
      </c>
      <c r="AF96" s="97" t="str">
        <f t="shared" si="11"/>
        <v/>
      </c>
      <c r="AG96" s="97" t="str">
        <f t="shared" si="11"/>
        <v/>
      </c>
      <c r="AH96" s="97" t="str">
        <f t="shared" si="11"/>
        <v/>
      </c>
    </row>
    <row r="97" spans="1:34" ht="27" hidden="1" customHeight="1">
      <c r="A97" s="30"/>
      <c r="B97" s="801"/>
      <c r="C97" s="74" t="s">
        <v>222</v>
      </c>
      <c r="D97" s="72"/>
      <c r="E97" s="98"/>
      <c r="F97" s="98"/>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row>
    <row r="98" spans="1:34" ht="27" hidden="1" customHeight="1">
      <c r="A98" s="30"/>
      <c r="B98" s="801"/>
      <c r="C98" s="74" t="s">
        <v>223</v>
      </c>
      <c r="D98" s="72"/>
      <c r="E98" s="98"/>
      <c r="F98" s="98"/>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row>
    <row r="99" spans="1:34" ht="27" hidden="1" customHeight="1">
      <c r="A99" s="30"/>
      <c r="B99" s="801"/>
      <c r="C99" s="74" t="s">
        <v>224</v>
      </c>
      <c r="D99" s="72"/>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row>
    <row r="100" spans="1:34" ht="27" hidden="1" customHeight="1">
      <c r="A100" s="30"/>
      <c r="B100" s="801"/>
      <c r="C100" s="74" t="s">
        <v>225</v>
      </c>
      <c r="D100" s="72"/>
      <c r="E100" s="98"/>
      <c r="F100" s="98"/>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row>
    <row r="101" spans="1:34" ht="27" hidden="1" customHeight="1">
      <c r="A101" s="30"/>
      <c r="B101" s="801"/>
      <c r="C101" s="74" t="s">
        <v>226</v>
      </c>
      <c r="D101" s="72"/>
      <c r="E101" s="98"/>
      <c r="F101" s="98"/>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row>
    <row r="102" spans="1:34" ht="27" hidden="1" customHeight="1">
      <c r="A102" s="30"/>
      <c r="B102" s="801"/>
      <c r="C102" s="74" t="s">
        <v>227</v>
      </c>
      <c r="D102" s="72"/>
      <c r="E102" s="98"/>
      <c r="F102" s="98"/>
      <c r="G102" s="98"/>
      <c r="H102" s="98"/>
      <c r="I102" s="98"/>
      <c r="J102" s="98"/>
      <c r="K102" s="98"/>
      <c r="L102" s="98"/>
      <c r="M102" s="98"/>
      <c r="N102" s="98"/>
      <c r="O102" s="98"/>
      <c r="P102" s="98"/>
      <c r="Q102" s="98"/>
      <c r="R102" s="98"/>
      <c r="S102" s="98"/>
      <c r="T102" s="98"/>
      <c r="U102" s="98"/>
      <c r="V102" s="98"/>
      <c r="W102" s="98"/>
      <c r="X102" s="98"/>
      <c r="Y102" s="98"/>
      <c r="Z102" s="98"/>
      <c r="AA102" s="98"/>
      <c r="AB102" s="98"/>
      <c r="AC102" s="98"/>
      <c r="AD102" s="98"/>
      <c r="AE102" s="98"/>
      <c r="AF102" s="98"/>
      <c r="AG102" s="98"/>
      <c r="AH102" s="98"/>
    </row>
    <row r="103" spans="1:34" ht="27" hidden="1" customHeight="1">
      <c r="A103" s="30"/>
      <c r="B103" s="802"/>
      <c r="C103" s="74" t="s">
        <v>228</v>
      </c>
      <c r="D103" s="72"/>
      <c r="E103" s="98"/>
      <c r="F103" s="98"/>
      <c r="G103" s="98"/>
      <c r="H103" s="98"/>
      <c r="I103" s="98"/>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row>
    <row r="104" spans="1:34" ht="27" hidden="1" customHeight="1">
      <c r="A104" s="30"/>
      <c r="B104" s="794">
        <v>13</v>
      </c>
      <c r="C104" s="795"/>
      <c r="D104" s="796"/>
      <c r="E104" s="97" t="str">
        <f>IFERROR(AVERAGE(E105:E111),"")</f>
        <v/>
      </c>
      <c r="F104" s="97" t="str">
        <f t="shared" ref="F104:AH104" si="12">IFERROR(AVERAGE(F105:F111),"")</f>
        <v/>
      </c>
      <c r="G104" s="97" t="str">
        <f t="shared" si="12"/>
        <v/>
      </c>
      <c r="H104" s="97" t="str">
        <f t="shared" si="12"/>
        <v/>
      </c>
      <c r="I104" s="97" t="str">
        <f t="shared" si="12"/>
        <v/>
      </c>
      <c r="J104" s="97" t="str">
        <f t="shared" si="12"/>
        <v/>
      </c>
      <c r="K104" s="97" t="str">
        <f t="shared" si="12"/>
        <v/>
      </c>
      <c r="L104" s="97" t="str">
        <f t="shared" si="12"/>
        <v/>
      </c>
      <c r="M104" s="97" t="str">
        <f t="shared" si="12"/>
        <v/>
      </c>
      <c r="N104" s="97" t="str">
        <f t="shared" si="12"/>
        <v/>
      </c>
      <c r="O104" s="97" t="str">
        <f t="shared" si="12"/>
        <v/>
      </c>
      <c r="P104" s="97" t="str">
        <f t="shared" si="12"/>
        <v/>
      </c>
      <c r="Q104" s="97" t="str">
        <f t="shared" si="12"/>
        <v/>
      </c>
      <c r="R104" s="97" t="str">
        <f t="shared" si="12"/>
        <v/>
      </c>
      <c r="S104" s="97" t="str">
        <f t="shared" si="12"/>
        <v/>
      </c>
      <c r="T104" s="97" t="str">
        <f t="shared" si="12"/>
        <v/>
      </c>
      <c r="U104" s="97" t="str">
        <f t="shared" si="12"/>
        <v/>
      </c>
      <c r="V104" s="97" t="str">
        <f t="shared" si="12"/>
        <v/>
      </c>
      <c r="W104" s="97" t="str">
        <f t="shared" si="12"/>
        <v/>
      </c>
      <c r="X104" s="97" t="str">
        <f t="shared" si="12"/>
        <v/>
      </c>
      <c r="Y104" s="97" t="str">
        <f t="shared" si="12"/>
        <v/>
      </c>
      <c r="Z104" s="97" t="str">
        <f t="shared" si="12"/>
        <v/>
      </c>
      <c r="AA104" s="97" t="str">
        <f t="shared" si="12"/>
        <v/>
      </c>
      <c r="AB104" s="97" t="str">
        <f t="shared" si="12"/>
        <v/>
      </c>
      <c r="AC104" s="97" t="str">
        <f t="shared" si="12"/>
        <v/>
      </c>
      <c r="AD104" s="97" t="str">
        <f t="shared" si="12"/>
        <v/>
      </c>
      <c r="AE104" s="97" t="str">
        <f t="shared" si="12"/>
        <v/>
      </c>
      <c r="AF104" s="97" t="str">
        <f t="shared" si="12"/>
        <v/>
      </c>
      <c r="AG104" s="97" t="str">
        <f t="shared" si="12"/>
        <v/>
      </c>
      <c r="AH104" s="97" t="str">
        <f t="shared" si="12"/>
        <v/>
      </c>
    </row>
    <row r="105" spans="1:34" ht="27" hidden="1" customHeight="1">
      <c r="A105" s="30"/>
      <c r="B105" s="794"/>
      <c r="C105" s="74" t="s">
        <v>229</v>
      </c>
      <c r="D105" s="72"/>
      <c r="E105" s="98"/>
      <c r="F105" s="98"/>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row>
    <row r="106" spans="1:34" ht="27" hidden="1" customHeight="1">
      <c r="A106" s="30"/>
      <c r="B106" s="794"/>
      <c r="C106" s="74" t="s">
        <v>230</v>
      </c>
      <c r="D106" s="72"/>
      <c r="E106" s="98"/>
      <c r="F106" s="98"/>
      <c r="G106" s="98"/>
      <c r="H106" s="98"/>
      <c r="I106" s="98"/>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row>
    <row r="107" spans="1:34" ht="27" hidden="1" customHeight="1">
      <c r="A107" s="30"/>
      <c r="B107" s="794"/>
      <c r="C107" s="74" t="s">
        <v>231</v>
      </c>
      <c r="D107" s="72"/>
      <c r="E107" s="98"/>
      <c r="F107" s="98"/>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row>
    <row r="108" spans="1:34" ht="27" hidden="1" customHeight="1">
      <c r="A108" s="30"/>
      <c r="B108" s="794"/>
      <c r="C108" s="74" t="s">
        <v>232</v>
      </c>
      <c r="D108" s="72"/>
      <c r="E108" s="98"/>
      <c r="F108" s="98"/>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row>
    <row r="109" spans="1:34" ht="27" hidden="1" customHeight="1">
      <c r="A109" s="30"/>
      <c r="B109" s="794"/>
      <c r="C109" s="74" t="s">
        <v>233</v>
      </c>
      <c r="D109" s="72"/>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row>
    <row r="110" spans="1:34" ht="27" hidden="1" customHeight="1">
      <c r="A110" s="30"/>
      <c r="B110" s="794"/>
      <c r="C110" s="74" t="s">
        <v>234</v>
      </c>
      <c r="D110" s="72"/>
      <c r="E110" s="98"/>
      <c r="F110" s="98"/>
      <c r="G110" s="98"/>
      <c r="H110" s="98"/>
      <c r="I110" s="98"/>
      <c r="J110" s="98"/>
      <c r="K110" s="98"/>
      <c r="L110" s="98"/>
      <c r="M110" s="98"/>
      <c r="N110" s="98"/>
      <c r="O110" s="98"/>
      <c r="P110" s="98"/>
      <c r="Q110" s="98"/>
      <c r="R110" s="98"/>
      <c r="S110" s="98"/>
      <c r="T110" s="98"/>
      <c r="U110" s="98"/>
      <c r="V110" s="98"/>
      <c r="W110" s="98"/>
      <c r="X110" s="98"/>
      <c r="Y110" s="98"/>
      <c r="Z110" s="98"/>
      <c r="AA110" s="98"/>
      <c r="AB110" s="98"/>
      <c r="AC110" s="98"/>
      <c r="AD110" s="98"/>
      <c r="AE110" s="98"/>
      <c r="AF110" s="98"/>
      <c r="AG110" s="98"/>
      <c r="AH110" s="98"/>
    </row>
    <row r="111" spans="1:34" ht="27" hidden="1" customHeight="1">
      <c r="A111" s="30"/>
      <c r="B111" s="794"/>
      <c r="C111" s="74" t="s">
        <v>235</v>
      </c>
      <c r="D111" s="72"/>
      <c r="E111" s="98"/>
      <c r="F111" s="98"/>
      <c r="G111" s="98"/>
      <c r="H111" s="98"/>
      <c r="I111" s="98"/>
      <c r="J111" s="98"/>
      <c r="K111" s="98"/>
      <c r="L111" s="98"/>
      <c r="M111" s="98"/>
      <c r="N111" s="98"/>
      <c r="O111" s="98"/>
      <c r="P111" s="98"/>
      <c r="Q111" s="98"/>
      <c r="R111" s="98"/>
      <c r="S111" s="98"/>
      <c r="T111" s="98"/>
      <c r="U111" s="98"/>
      <c r="V111" s="98"/>
      <c r="W111" s="98"/>
      <c r="X111" s="98"/>
      <c r="Y111" s="98"/>
      <c r="Z111" s="98"/>
      <c r="AA111" s="98"/>
      <c r="AB111" s="98"/>
      <c r="AC111" s="98"/>
      <c r="AD111" s="98"/>
      <c r="AE111" s="98"/>
      <c r="AF111" s="98"/>
      <c r="AG111" s="98"/>
      <c r="AH111" s="98"/>
    </row>
    <row r="112" spans="1:34" ht="27" customHeight="1">
      <c r="A112" s="30"/>
      <c r="B112" s="797" t="s">
        <v>143</v>
      </c>
      <c r="C112" s="798"/>
      <c r="D112" s="799"/>
      <c r="E112" s="100">
        <f t="shared" ref="E112:AH112" si="13">IFERROR(AVERAGE(E6,E14,E23,E31,E40,E48,E56,E64,E72,E80,E88,E96,E104),"")</f>
        <v>82.75</v>
      </c>
      <c r="F112" s="100">
        <f t="shared" si="13"/>
        <v>91.777777777777786</v>
      </c>
      <c r="G112" s="100">
        <f t="shared" si="13"/>
        <v>79.016666666666666</v>
      </c>
      <c r="H112" s="100">
        <f t="shared" si="13"/>
        <v>83.25</v>
      </c>
      <c r="I112" s="100">
        <f t="shared" si="13"/>
        <v>89.083333333333329</v>
      </c>
      <c r="J112" s="100">
        <f t="shared" si="13"/>
        <v>97.744444444444454</v>
      </c>
      <c r="K112" s="100">
        <f t="shared" si="13"/>
        <v>89.988888888888894</v>
      </c>
      <c r="L112" s="100">
        <f t="shared" si="13"/>
        <v>88.722222222222214</v>
      </c>
      <c r="M112" s="100">
        <f t="shared" si="13"/>
        <v>85.11666666666666</v>
      </c>
      <c r="N112" s="100">
        <f t="shared" si="13"/>
        <v>90.805555555555543</v>
      </c>
      <c r="O112" s="100">
        <f t="shared" si="13"/>
        <v>85.705555555555563</v>
      </c>
      <c r="P112" s="100">
        <f t="shared" si="13"/>
        <v>88.416666666666671</v>
      </c>
      <c r="Q112" s="100">
        <f t="shared" si="13"/>
        <v>90.649999999999991</v>
      </c>
      <c r="R112" s="100">
        <f t="shared" si="13"/>
        <v>80.694444444444443</v>
      </c>
      <c r="S112" s="100">
        <f t="shared" si="13"/>
        <v>81.333333333333329</v>
      </c>
      <c r="T112" s="100">
        <f t="shared" si="13"/>
        <v>79.694444444444443</v>
      </c>
      <c r="U112" s="100">
        <f t="shared" si="13"/>
        <v>95.555555555555543</v>
      </c>
      <c r="V112" s="100">
        <f t="shared" si="13"/>
        <v>85.3</v>
      </c>
      <c r="W112" s="100">
        <f t="shared" si="13"/>
        <v>80.37222222222222</v>
      </c>
      <c r="X112" s="100">
        <f t="shared" si="13"/>
        <v>79.333333333333329</v>
      </c>
      <c r="Y112" s="100">
        <f t="shared" si="13"/>
        <v>89.277777777777786</v>
      </c>
      <c r="Z112" s="100">
        <f t="shared" si="13"/>
        <v>88.083333333333329</v>
      </c>
      <c r="AA112" s="100">
        <f t="shared" si="13"/>
        <v>86.766666666666666</v>
      </c>
      <c r="AB112" s="100">
        <f t="shared" si="13"/>
        <v>93.111111111111128</v>
      </c>
      <c r="AC112" s="100" t="str">
        <f t="shared" si="13"/>
        <v/>
      </c>
      <c r="AD112" s="100" t="str">
        <f t="shared" si="13"/>
        <v/>
      </c>
      <c r="AE112" s="100" t="str">
        <f t="shared" si="13"/>
        <v/>
      </c>
      <c r="AF112" s="100" t="str">
        <f t="shared" si="13"/>
        <v/>
      </c>
      <c r="AG112" s="100" t="str">
        <f t="shared" si="13"/>
        <v/>
      </c>
      <c r="AH112" s="100" t="str">
        <f t="shared" si="13"/>
        <v/>
      </c>
    </row>
    <row r="113" spans="2:4" hidden="1">
      <c r="B113" s="31"/>
      <c r="C113" s="31"/>
      <c r="D113" s="32"/>
    </row>
    <row r="114" spans="2:4" hidden="1">
      <c r="B114" s="31"/>
      <c r="C114" s="31"/>
      <c r="D114" s="32"/>
    </row>
    <row r="115" spans="2:4" hidden="1">
      <c r="B115" s="31"/>
      <c r="C115" s="31"/>
      <c r="D115" s="32"/>
    </row>
    <row r="116" spans="2:4" hidden="1">
      <c r="B116" s="31"/>
      <c r="C116" s="31"/>
      <c r="D116" s="32"/>
    </row>
    <row r="117" spans="2:4" hidden="1">
      <c r="B117" s="31"/>
      <c r="C117" s="31"/>
      <c r="D117" s="32"/>
    </row>
    <row r="118" spans="2:4" hidden="1">
      <c r="B118" s="31"/>
      <c r="C118" s="31"/>
      <c r="D118" s="32"/>
    </row>
    <row r="119" spans="2:4" hidden="1">
      <c r="B119" s="31"/>
      <c r="C119" s="31"/>
      <c r="D119" s="32"/>
    </row>
    <row r="120" spans="2:4" hidden="1">
      <c r="B120" s="31"/>
      <c r="C120" s="31"/>
      <c r="D120" s="32"/>
    </row>
    <row r="121" spans="2:4" hidden="1">
      <c r="B121" s="31"/>
      <c r="C121" s="31"/>
      <c r="D121" s="32"/>
    </row>
    <row r="122" spans="2:4" hidden="1">
      <c r="B122" s="31"/>
      <c r="C122" s="31"/>
      <c r="D122" s="32"/>
    </row>
    <row r="123" spans="2:4" hidden="1">
      <c r="B123" s="31"/>
      <c r="C123" s="31"/>
      <c r="D123" s="32"/>
    </row>
    <row r="124" spans="2:4" hidden="1">
      <c r="B124" s="31"/>
      <c r="C124" s="31"/>
      <c r="D124" s="32"/>
    </row>
    <row r="125" spans="2:4" hidden="1">
      <c r="B125" s="31"/>
      <c r="C125" s="31"/>
      <c r="D125" s="32"/>
    </row>
    <row r="126" spans="2:4" hidden="1">
      <c r="B126" s="31"/>
      <c r="C126" s="31"/>
      <c r="D126" s="32"/>
    </row>
    <row r="127" spans="2:4" hidden="1">
      <c r="B127" s="31"/>
      <c r="C127" s="31"/>
      <c r="D127" s="32"/>
    </row>
    <row r="128" spans="2:4" hidden="1">
      <c r="B128" s="31"/>
      <c r="C128" s="31"/>
      <c r="D128" s="32"/>
    </row>
    <row r="129" spans="2:4" hidden="1">
      <c r="B129" s="31"/>
      <c r="C129" s="31"/>
      <c r="D129" s="32"/>
    </row>
    <row r="130" spans="2:4" hidden="1">
      <c r="B130" s="31"/>
      <c r="C130" s="31"/>
      <c r="D130" s="32"/>
    </row>
    <row r="131" spans="2:4" hidden="1">
      <c r="B131" s="31"/>
      <c r="C131" s="31"/>
      <c r="D131" s="32"/>
    </row>
    <row r="132" spans="2:4" hidden="1">
      <c r="B132" s="31"/>
      <c r="C132" s="31"/>
      <c r="D132" s="32"/>
    </row>
    <row r="133" spans="2:4" hidden="1">
      <c r="B133" s="31"/>
      <c r="C133" s="31"/>
      <c r="D133" s="32"/>
    </row>
    <row r="134" spans="2:4" hidden="1">
      <c r="B134" s="31"/>
      <c r="C134" s="31"/>
      <c r="D134" s="32"/>
    </row>
    <row r="135" spans="2:4" hidden="1">
      <c r="B135" s="31"/>
      <c r="C135" s="31"/>
      <c r="D135" s="32"/>
    </row>
    <row r="136" spans="2:4" hidden="1">
      <c r="B136" s="31"/>
      <c r="C136" s="31"/>
      <c r="D136" s="32"/>
    </row>
    <row r="137" spans="2:4" hidden="1">
      <c r="B137" s="31"/>
      <c r="C137" s="31"/>
      <c r="D137" s="32"/>
    </row>
    <row r="138" spans="2:4" hidden="1">
      <c r="B138" s="31"/>
      <c r="C138" s="31"/>
      <c r="D138" s="32"/>
    </row>
    <row r="139" spans="2:4" hidden="1">
      <c r="B139" s="31"/>
      <c r="C139" s="31"/>
      <c r="D139" s="32"/>
    </row>
    <row r="140" spans="2:4" hidden="1">
      <c r="B140" s="31"/>
      <c r="C140" s="31"/>
      <c r="D140" s="32"/>
    </row>
    <row r="141" spans="2:4" hidden="1">
      <c r="B141" s="31"/>
      <c r="C141" s="31"/>
      <c r="D141" s="32"/>
    </row>
    <row r="142" spans="2:4" hidden="1">
      <c r="B142" s="31"/>
      <c r="C142" s="31"/>
      <c r="D142" s="32"/>
    </row>
    <row r="143" spans="2:4" hidden="1">
      <c r="B143" s="31"/>
      <c r="C143" s="31"/>
      <c r="D143" s="32"/>
    </row>
    <row r="144" spans="2:4" hidden="1">
      <c r="B144" s="31"/>
      <c r="C144" s="31"/>
      <c r="D144" s="32"/>
    </row>
    <row r="145" spans="2:4" hidden="1">
      <c r="B145" s="31"/>
      <c r="C145" s="31"/>
      <c r="D145" s="32"/>
    </row>
    <row r="146" spans="2:4" hidden="1">
      <c r="B146" s="31"/>
      <c r="C146" s="31"/>
      <c r="D146" s="32"/>
    </row>
    <row r="147" spans="2:4" hidden="1">
      <c r="B147" s="31"/>
      <c r="C147" s="31"/>
      <c r="D147" s="32"/>
    </row>
    <row r="148" spans="2:4" hidden="1">
      <c r="B148" s="31"/>
      <c r="C148" s="31"/>
      <c r="D148" s="32"/>
    </row>
    <row r="149" spans="2:4" hidden="1">
      <c r="B149" s="31"/>
      <c r="C149" s="31"/>
      <c r="D149" s="32"/>
    </row>
    <row r="150" spans="2:4" hidden="1">
      <c r="B150" s="31"/>
      <c r="C150" s="31"/>
      <c r="D150" s="32"/>
    </row>
    <row r="151" spans="2:4" hidden="1">
      <c r="B151" s="31"/>
      <c r="C151" s="31"/>
      <c r="D151" s="32"/>
    </row>
    <row r="152" spans="2:4" hidden="1">
      <c r="B152" s="31"/>
      <c r="C152" s="31"/>
      <c r="D152" s="32"/>
    </row>
    <row r="153" spans="2:4" hidden="1">
      <c r="B153" s="31"/>
      <c r="C153" s="31"/>
      <c r="D153" s="32"/>
    </row>
    <row r="154" spans="2:4" hidden="1">
      <c r="B154" s="31"/>
      <c r="C154" s="31"/>
      <c r="D154" s="32"/>
    </row>
    <row r="155" spans="2:4" hidden="1">
      <c r="B155" s="31"/>
      <c r="C155" s="31"/>
      <c r="D155" s="32"/>
    </row>
    <row r="156" spans="2:4" hidden="1">
      <c r="B156" s="31"/>
      <c r="C156" s="31"/>
      <c r="D156" s="32"/>
    </row>
    <row r="157" spans="2:4" hidden="1">
      <c r="B157" s="31"/>
      <c r="C157" s="31"/>
      <c r="D157" s="32"/>
    </row>
    <row r="158" spans="2:4" hidden="1">
      <c r="B158" s="31"/>
      <c r="C158" s="31"/>
      <c r="D158" s="32"/>
    </row>
    <row r="159" spans="2:4" hidden="1">
      <c r="B159" s="31"/>
      <c r="C159" s="31"/>
      <c r="D159" s="32"/>
    </row>
    <row r="160" spans="2:4" hidden="1">
      <c r="B160" s="31"/>
      <c r="C160" s="31"/>
      <c r="D160" s="32"/>
    </row>
    <row r="161" spans="2:4" hidden="1">
      <c r="B161" s="31"/>
      <c r="C161" s="31"/>
      <c r="D161" s="32"/>
    </row>
    <row r="162" spans="2:4" hidden="1">
      <c r="B162" s="31"/>
      <c r="C162" s="31"/>
      <c r="D162" s="32"/>
    </row>
    <row r="163" spans="2:4" hidden="1">
      <c r="B163" s="31"/>
      <c r="C163" s="31"/>
      <c r="D163" s="32"/>
    </row>
    <row r="164" spans="2:4" hidden="1">
      <c r="B164" s="31"/>
      <c r="C164" s="31"/>
      <c r="D164" s="32"/>
    </row>
    <row r="165" spans="2:4" hidden="1">
      <c r="B165" s="31"/>
      <c r="C165" s="31"/>
      <c r="D165" s="32"/>
    </row>
    <row r="166" spans="2:4" hidden="1">
      <c r="B166" s="31"/>
      <c r="C166" s="31"/>
      <c r="D166" s="32"/>
    </row>
    <row r="167" spans="2:4" hidden="1">
      <c r="B167" s="31"/>
      <c r="C167" s="31"/>
      <c r="D167" s="32"/>
    </row>
    <row r="168" spans="2:4" hidden="1">
      <c r="B168" s="31"/>
      <c r="C168" s="31"/>
      <c r="D168" s="32"/>
    </row>
    <row r="169" spans="2:4" hidden="1">
      <c r="B169" s="31"/>
      <c r="C169" s="31"/>
      <c r="D169" s="32"/>
    </row>
    <row r="170" spans="2:4" hidden="1">
      <c r="B170" s="31"/>
      <c r="C170" s="31"/>
      <c r="D170" s="32"/>
    </row>
    <row r="171" spans="2:4" hidden="1">
      <c r="B171" s="31"/>
      <c r="C171" s="31"/>
      <c r="D171" s="32"/>
    </row>
    <row r="172" spans="2:4" hidden="1">
      <c r="B172" s="31"/>
      <c r="C172" s="31"/>
      <c r="D172" s="32"/>
    </row>
    <row r="173" spans="2:4" ht="15" customHeight="1"/>
    <row r="174" spans="2:4" ht="15" customHeight="1"/>
    <row r="175" spans="2:4" ht="15" customHeight="1"/>
    <row r="176" spans="2:4" ht="15" customHeight="1"/>
    <row r="177" ht="15" customHeight="1"/>
  </sheetData>
  <mergeCells count="33">
    <mergeCell ref="A1:AH2"/>
    <mergeCell ref="B3:D3"/>
    <mergeCell ref="B4:B5"/>
    <mergeCell ref="C4:C5"/>
    <mergeCell ref="D4:D5"/>
    <mergeCell ref="E4:AH4"/>
    <mergeCell ref="B6:B13"/>
    <mergeCell ref="C6:D6"/>
    <mergeCell ref="B14:B21"/>
    <mergeCell ref="C14:D14"/>
    <mergeCell ref="B23:B30"/>
    <mergeCell ref="C23:D23"/>
    <mergeCell ref="B31:B38"/>
    <mergeCell ref="C31:D31"/>
    <mergeCell ref="C40:D40"/>
    <mergeCell ref="B48:B55"/>
    <mergeCell ref="C48:D48"/>
    <mergeCell ref="B40:B47"/>
    <mergeCell ref="B56:B63"/>
    <mergeCell ref="C56:D56"/>
    <mergeCell ref="B64:B71"/>
    <mergeCell ref="C64:D64"/>
    <mergeCell ref="B72:B79"/>
    <mergeCell ref="C72:D72"/>
    <mergeCell ref="B104:B111"/>
    <mergeCell ref="C104:D104"/>
    <mergeCell ref="B112:D112"/>
    <mergeCell ref="B80:B87"/>
    <mergeCell ref="C80:D80"/>
    <mergeCell ref="B88:B95"/>
    <mergeCell ref="C88:D88"/>
    <mergeCell ref="B96:B103"/>
    <mergeCell ref="C96:D96"/>
  </mergeCells>
  <pageMargins left="0.28999999999999998" right="0.2" top="0.35" bottom="0.43307086614173229" header="0.31496062992125984" footer="0.31496062992125984"/>
  <pageSetup paperSize="14" scale="80" orientation="landscape" horizontalDpi="4294967293"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dimension ref="A1:AW188"/>
  <sheetViews>
    <sheetView zoomScale="83" zoomScaleNormal="83" workbookViewId="0">
      <pane ySplit="5" topLeftCell="A41" activePane="bottomLeft" state="frozen"/>
      <selection activeCell="K33" sqref="K33"/>
      <selection pane="bottomLeft" activeCell="L62" sqref="L62"/>
    </sheetView>
  </sheetViews>
  <sheetFormatPr defaultColWidth="0" defaultRowHeight="15" customHeight="1" zeroHeight="1"/>
  <cols>
    <col min="1" max="1" width="1" style="29" customWidth="1"/>
    <col min="2" max="2" width="3.7109375" style="33" customWidth="1"/>
    <col min="3" max="3" width="46.140625" style="33" customWidth="1"/>
    <col min="4" max="4" width="10.28515625" style="29" customWidth="1"/>
    <col min="5" max="34" width="5.7109375" style="29" customWidth="1"/>
    <col min="35" max="49" width="5.7109375" hidden="1" customWidth="1"/>
    <col min="50" max="16384" width="9.140625" hidden="1"/>
  </cols>
  <sheetData>
    <row r="1" spans="1:34" ht="15" customHeight="1">
      <c r="A1" s="803" t="s">
        <v>236</v>
      </c>
      <c r="B1" s="803"/>
      <c r="C1" s="803"/>
      <c r="D1" s="803"/>
      <c r="E1" s="803"/>
      <c r="F1" s="803"/>
      <c r="G1" s="803"/>
      <c r="H1" s="803"/>
      <c r="I1" s="803"/>
      <c r="J1" s="803"/>
      <c r="K1" s="803"/>
      <c r="L1" s="803"/>
      <c r="M1" s="803"/>
      <c r="N1" s="803"/>
      <c r="O1" s="803"/>
      <c r="P1" s="803"/>
      <c r="Q1" s="803"/>
      <c r="R1" s="803"/>
      <c r="S1" s="803"/>
      <c r="T1" s="803"/>
      <c r="U1" s="803"/>
      <c r="V1" s="803"/>
      <c r="W1" s="803"/>
      <c r="X1" s="803"/>
      <c r="Y1" s="803"/>
      <c r="Z1" s="803"/>
      <c r="AA1" s="803"/>
      <c r="AB1" s="803"/>
      <c r="AC1" s="803"/>
      <c r="AD1" s="803"/>
      <c r="AE1" s="803"/>
      <c r="AF1" s="803"/>
      <c r="AG1" s="803"/>
      <c r="AH1" s="803"/>
    </row>
    <row r="2" spans="1:34" ht="15" customHeight="1">
      <c r="A2" s="803"/>
      <c r="B2" s="803"/>
      <c r="C2" s="803"/>
      <c r="D2" s="803"/>
      <c r="E2" s="803"/>
      <c r="F2" s="803"/>
      <c r="G2" s="803"/>
      <c r="H2" s="803"/>
      <c r="I2" s="803"/>
      <c r="J2" s="803"/>
      <c r="K2" s="803"/>
      <c r="L2" s="803"/>
      <c r="M2" s="803"/>
      <c r="N2" s="803"/>
      <c r="O2" s="803"/>
      <c r="P2" s="803"/>
      <c r="Q2" s="803"/>
      <c r="R2" s="803"/>
      <c r="S2" s="803"/>
      <c r="T2" s="803"/>
      <c r="U2" s="803"/>
      <c r="V2" s="803"/>
      <c r="W2" s="803"/>
      <c r="X2" s="803"/>
      <c r="Y2" s="803"/>
      <c r="Z2" s="803"/>
      <c r="AA2" s="803"/>
      <c r="AB2" s="803"/>
      <c r="AC2" s="803"/>
      <c r="AD2" s="803"/>
      <c r="AE2" s="803"/>
      <c r="AF2" s="803"/>
      <c r="AG2" s="803"/>
      <c r="AH2" s="803"/>
    </row>
    <row r="3" spans="1:34" ht="15" customHeight="1">
      <c r="B3" s="804"/>
      <c r="C3" s="804"/>
      <c r="D3" s="80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row>
    <row r="4" spans="1:34" ht="15" customHeight="1">
      <c r="B4" s="805" t="s">
        <v>5</v>
      </c>
      <c r="C4" s="805" t="s">
        <v>125</v>
      </c>
      <c r="D4" s="806" t="s">
        <v>126</v>
      </c>
      <c r="E4" s="807" t="s">
        <v>57</v>
      </c>
      <c r="F4" s="807"/>
      <c r="G4" s="807"/>
      <c r="H4" s="807"/>
      <c r="I4" s="807"/>
      <c r="J4" s="807"/>
      <c r="K4" s="807"/>
      <c r="L4" s="807"/>
      <c r="M4" s="807"/>
      <c r="N4" s="807"/>
      <c r="O4" s="807"/>
      <c r="P4" s="807"/>
      <c r="Q4" s="807"/>
      <c r="R4" s="807"/>
      <c r="S4" s="807"/>
      <c r="T4" s="807"/>
      <c r="U4" s="807"/>
      <c r="V4" s="807"/>
      <c r="W4" s="807"/>
      <c r="X4" s="807"/>
      <c r="Y4" s="807"/>
      <c r="Z4" s="807"/>
      <c r="AA4" s="807"/>
      <c r="AB4" s="807"/>
      <c r="AC4" s="807"/>
      <c r="AD4" s="807"/>
      <c r="AE4" s="807"/>
      <c r="AF4" s="807"/>
      <c r="AG4" s="807"/>
      <c r="AH4" s="807"/>
    </row>
    <row r="5" spans="1:34" ht="12.75" customHeight="1">
      <c r="B5" s="805"/>
      <c r="C5" s="805"/>
      <c r="D5" s="806"/>
      <c r="E5" s="35" t="s">
        <v>1362</v>
      </c>
      <c r="F5" s="35" t="s">
        <v>1363</v>
      </c>
      <c r="G5" s="35" t="s">
        <v>1364</v>
      </c>
      <c r="H5" s="35" t="s">
        <v>1365</v>
      </c>
      <c r="I5" s="35" t="s">
        <v>1366</v>
      </c>
      <c r="J5" s="35" t="s">
        <v>1367</v>
      </c>
      <c r="K5" s="35" t="s">
        <v>1368</v>
      </c>
      <c r="L5" s="35" t="s">
        <v>1369</v>
      </c>
      <c r="M5" s="35" t="s">
        <v>1370</v>
      </c>
      <c r="N5" s="35" t="s">
        <v>1371</v>
      </c>
      <c r="O5" s="35" t="s">
        <v>1372</v>
      </c>
      <c r="P5" s="35" t="s">
        <v>1373</v>
      </c>
      <c r="Q5" s="35" t="s">
        <v>1374</v>
      </c>
      <c r="R5" s="35" t="s">
        <v>1375</v>
      </c>
      <c r="S5" s="35" t="s">
        <v>1376</v>
      </c>
      <c r="T5" s="35" t="s">
        <v>1377</v>
      </c>
      <c r="U5" s="35" t="s">
        <v>1378</v>
      </c>
      <c r="V5" s="35" t="s">
        <v>1379</v>
      </c>
      <c r="W5" s="35" t="s">
        <v>1380</v>
      </c>
      <c r="X5" s="35" t="s">
        <v>1381</v>
      </c>
      <c r="Y5" s="35" t="s">
        <v>1382</v>
      </c>
      <c r="Z5" s="35" t="s">
        <v>1383</v>
      </c>
      <c r="AA5" s="35" t="s">
        <v>1384</v>
      </c>
      <c r="AB5" s="35" t="s">
        <v>1385</v>
      </c>
      <c r="AC5" s="35">
        <f>DATASISWA!$F$32</f>
        <v>0</v>
      </c>
      <c r="AD5" s="35">
        <f>DATASISWA!$F$33</f>
        <v>0</v>
      </c>
      <c r="AE5" s="35">
        <f>DATASISWA!$F$34</f>
        <v>0</v>
      </c>
      <c r="AF5" s="35">
        <f>DATASISWA!$F$35</f>
        <v>0</v>
      </c>
      <c r="AG5" s="35">
        <f>DATASISWA!$F$36</f>
        <v>0</v>
      </c>
      <c r="AH5" s="35">
        <f>DATASISWA!$F$37</f>
        <v>0</v>
      </c>
    </row>
    <row r="6" spans="1:34" ht="27" customHeight="1">
      <c r="A6" s="30"/>
      <c r="B6" s="800">
        <v>1</v>
      </c>
      <c r="C6" s="809" t="s">
        <v>1353</v>
      </c>
      <c r="D6" s="810"/>
      <c r="E6" s="97">
        <f>IFERROR(AVERAGE(E7:E18),"")</f>
        <v>87.75</v>
      </c>
      <c r="F6" s="97">
        <f t="shared" ref="F6:AA6" si="0">IFERROR(AVERAGE(F7:F18),"")</f>
        <v>84.25</v>
      </c>
      <c r="G6" s="97">
        <f t="shared" si="0"/>
        <v>82.75</v>
      </c>
      <c r="H6" s="97">
        <f t="shared" si="0"/>
        <v>92.75</v>
      </c>
      <c r="I6" s="97">
        <f t="shared" si="0"/>
        <v>90.25</v>
      </c>
      <c r="J6" s="97">
        <f t="shared" si="0"/>
        <v>97.75</v>
      </c>
      <c r="K6" s="97">
        <f t="shared" si="0"/>
        <v>100</v>
      </c>
      <c r="L6" s="97">
        <f t="shared" si="0"/>
        <v>100</v>
      </c>
      <c r="M6" s="97">
        <f t="shared" si="0"/>
        <v>90.5</v>
      </c>
      <c r="N6" s="97">
        <f t="shared" si="0"/>
        <v>88</v>
      </c>
      <c r="O6" s="97">
        <f t="shared" si="0"/>
        <v>100</v>
      </c>
      <c r="P6" s="97">
        <f t="shared" si="0"/>
        <v>86.5</v>
      </c>
      <c r="Q6" s="97">
        <f t="shared" si="0"/>
        <v>93.75</v>
      </c>
      <c r="R6" s="97">
        <f t="shared" si="0"/>
        <v>87.75</v>
      </c>
      <c r="S6" s="97">
        <f t="shared" si="0"/>
        <v>79.25</v>
      </c>
      <c r="T6" s="97">
        <f t="shared" si="0"/>
        <v>89</v>
      </c>
      <c r="U6" s="97">
        <f t="shared" si="0"/>
        <v>92.75</v>
      </c>
      <c r="V6" s="97">
        <f t="shared" si="0"/>
        <v>93</v>
      </c>
      <c r="W6" s="97">
        <f t="shared" si="0"/>
        <v>78</v>
      </c>
      <c r="X6" s="97">
        <f t="shared" si="0"/>
        <v>81.75</v>
      </c>
      <c r="Y6" s="97">
        <f t="shared" si="0"/>
        <v>100</v>
      </c>
      <c r="Z6" s="97">
        <f t="shared" si="0"/>
        <v>93.75</v>
      </c>
      <c r="AA6" s="97">
        <f t="shared" si="0"/>
        <v>91.5</v>
      </c>
      <c r="AB6" s="97">
        <f t="shared" ref="AB6:AH6" si="1">IFERROR(AVERAGE(AB7:AB18),"")</f>
        <v>89</v>
      </c>
      <c r="AC6" s="97" t="str">
        <f t="shared" si="1"/>
        <v/>
      </c>
      <c r="AD6" s="97" t="str">
        <f t="shared" si="1"/>
        <v/>
      </c>
      <c r="AE6" s="97" t="str">
        <f t="shared" si="1"/>
        <v/>
      </c>
      <c r="AF6" s="97" t="str">
        <f t="shared" si="1"/>
        <v/>
      </c>
      <c r="AG6" s="97" t="str">
        <f t="shared" si="1"/>
        <v/>
      </c>
      <c r="AH6" s="97" t="str">
        <f t="shared" si="1"/>
        <v/>
      </c>
    </row>
    <row r="7" spans="1:34" ht="27" customHeight="1">
      <c r="A7" s="30"/>
      <c r="B7" s="801"/>
      <c r="C7" s="461" t="s">
        <v>1354</v>
      </c>
      <c r="D7" s="403">
        <v>43669</v>
      </c>
      <c r="E7" s="98">
        <v>95</v>
      </c>
      <c r="F7" s="98">
        <v>90</v>
      </c>
      <c r="G7" s="98">
        <v>75</v>
      </c>
      <c r="H7" s="98">
        <v>90</v>
      </c>
      <c r="I7" s="98">
        <v>90</v>
      </c>
      <c r="J7" s="98">
        <v>100</v>
      </c>
      <c r="K7" s="98">
        <v>100</v>
      </c>
      <c r="L7" s="98">
        <v>100</v>
      </c>
      <c r="M7" s="98">
        <v>100</v>
      </c>
      <c r="N7" s="98">
        <v>80</v>
      </c>
      <c r="O7" s="98">
        <v>100</v>
      </c>
      <c r="P7" s="98">
        <v>90</v>
      </c>
      <c r="Q7" s="98">
        <v>100</v>
      </c>
      <c r="R7" s="98">
        <v>80</v>
      </c>
      <c r="S7" s="98">
        <v>80</v>
      </c>
      <c r="T7" s="98">
        <v>75</v>
      </c>
      <c r="U7" s="98">
        <v>90</v>
      </c>
      <c r="V7" s="98">
        <v>100</v>
      </c>
      <c r="W7" s="98">
        <v>75</v>
      </c>
      <c r="X7" s="98">
        <v>75</v>
      </c>
      <c r="Y7" s="98">
        <v>100</v>
      </c>
      <c r="Z7" s="98">
        <v>100</v>
      </c>
      <c r="AA7" s="98">
        <v>85</v>
      </c>
      <c r="AB7" s="98">
        <v>90</v>
      </c>
      <c r="AC7" s="98"/>
      <c r="AD7" s="98"/>
      <c r="AE7" s="98"/>
      <c r="AF7" s="98"/>
      <c r="AG7" s="98"/>
      <c r="AH7" s="98"/>
    </row>
    <row r="8" spans="1:34" ht="27" customHeight="1">
      <c r="A8" s="30"/>
      <c r="B8" s="801"/>
      <c r="C8" s="91" t="s">
        <v>1355</v>
      </c>
      <c r="D8" s="403">
        <v>43669</v>
      </c>
      <c r="E8" s="98">
        <v>75</v>
      </c>
      <c r="F8" s="98">
        <v>75</v>
      </c>
      <c r="G8" s="98">
        <v>75</v>
      </c>
      <c r="H8" s="98">
        <v>100</v>
      </c>
      <c r="I8" s="98">
        <v>90</v>
      </c>
      <c r="J8" s="98">
        <v>100</v>
      </c>
      <c r="K8" s="98">
        <v>100</v>
      </c>
      <c r="L8" s="98">
        <v>100</v>
      </c>
      <c r="M8" s="98">
        <v>90</v>
      </c>
      <c r="N8" s="98">
        <v>100</v>
      </c>
      <c r="O8" s="98">
        <v>100</v>
      </c>
      <c r="P8" s="98">
        <v>75</v>
      </c>
      <c r="Q8" s="98">
        <v>75</v>
      </c>
      <c r="R8" s="98">
        <v>90</v>
      </c>
      <c r="S8" s="98">
        <v>75</v>
      </c>
      <c r="T8" s="98">
        <v>100</v>
      </c>
      <c r="U8" s="98">
        <v>90</v>
      </c>
      <c r="V8" s="98">
        <v>90</v>
      </c>
      <c r="W8" s="98">
        <v>75</v>
      </c>
      <c r="X8" s="98">
        <v>90</v>
      </c>
      <c r="Y8" s="98">
        <v>100</v>
      </c>
      <c r="Z8" s="98">
        <v>75</v>
      </c>
      <c r="AA8" s="98">
        <v>90</v>
      </c>
      <c r="AB8" s="98">
        <v>75</v>
      </c>
      <c r="AC8" s="98"/>
      <c r="AD8" s="98"/>
      <c r="AE8" s="98"/>
      <c r="AF8" s="98"/>
      <c r="AG8" s="98"/>
      <c r="AH8" s="98"/>
    </row>
    <row r="9" spans="1:34" ht="27" customHeight="1">
      <c r="A9" s="30"/>
      <c r="B9" s="801"/>
      <c r="C9" s="462" t="s">
        <v>1356</v>
      </c>
      <c r="D9" s="403">
        <v>43676</v>
      </c>
      <c r="E9" s="98">
        <v>81</v>
      </c>
      <c r="F9" s="98">
        <v>91</v>
      </c>
      <c r="G9" s="98">
        <v>100</v>
      </c>
      <c r="H9" s="98">
        <v>100</v>
      </c>
      <c r="I9" s="98">
        <v>100</v>
      </c>
      <c r="J9" s="98">
        <v>100</v>
      </c>
      <c r="K9" s="98">
        <v>100</v>
      </c>
      <c r="L9" s="98">
        <v>100</v>
      </c>
      <c r="M9" s="98">
        <v>81</v>
      </c>
      <c r="N9" s="98">
        <v>81</v>
      </c>
      <c r="O9" s="98">
        <v>100</v>
      </c>
      <c r="P9" s="98">
        <v>100</v>
      </c>
      <c r="Q9" s="98">
        <v>100</v>
      </c>
      <c r="R9" s="98">
        <v>100</v>
      </c>
      <c r="S9" s="98">
        <v>81</v>
      </c>
      <c r="T9" s="98">
        <v>100</v>
      </c>
      <c r="U9" s="98">
        <v>100</v>
      </c>
      <c r="V9" s="98">
        <v>91</v>
      </c>
      <c r="W9" s="98">
        <v>81</v>
      </c>
      <c r="X9" s="98">
        <v>81</v>
      </c>
      <c r="Y9" s="98">
        <v>100</v>
      </c>
      <c r="Z9" s="98">
        <v>100</v>
      </c>
      <c r="AA9" s="98">
        <v>100</v>
      </c>
      <c r="AB9" s="98">
        <v>100</v>
      </c>
      <c r="AC9" s="98"/>
      <c r="AD9" s="98"/>
      <c r="AE9" s="98"/>
      <c r="AF9" s="98"/>
      <c r="AG9" s="98"/>
      <c r="AH9" s="98"/>
    </row>
    <row r="10" spans="1:34" ht="27" customHeight="1">
      <c r="A10" s="30"/>
      <c r="B10" s="801"/>
      <c r="C10" s="462" t="s">
        <v>1357</v>
      </c>
      <c r="D10" s="403">
        <v>43676</v>
      </c>
      <c r="E10" s="98">
        <v>100</v>
      </c>
      <c r="F10" s="98">
        <v>81</v>
      </c>
      <c r="G10" s="98">
        <v>81</v>
      </c>
      <c r="H10" s="98">
        <v>81</v>
      </c>
      <c r="I10" s="98">
        <v>81</v>
      </c>
      <c r="J10" s="98">
        <v>91</v>
      </c>
      <c r="K10" s="98">
        <v>100</v>
      </c>
      <c r="L10" s="98">
        <v>100</v>
      </c>
      <c r="M10" s="98">
        <v>91</v>
      </c>
      <c r="N10" s="98">
        <v>91</v>
      </c>
      <c r="O10" s="98">
        <v>100</v>
      </c>
      <c r="P10" s="98">
        <v>81</v>
      </c>
      <c r="Q10" s="98">
        <v>100</v>
      </c>
      <c r="R10" s="98">
        <v>81</v>
      </c>
      <c r="S10" s="98">
        <v>81</v>
      </c>
      <c r="T10" s="98">
        <v>81</v>
      </c>
      <c r="U10" s="98">
        <v>91</v>
      </c>
      <c r="V10" s="98">
        <v>91</v>
      </c>
      <c r="W10" s="98">
        <v>81</v>
      </c>
      <c r="X10" s="98">
        <v>81</v>
      </c>
      <c r="Y10" s="98">
        <v>100</v>
      </c>
      <c r="Z10" s="98">
        <v>100</v>
      </c>
      <c r="AA10" s="98">
        <v>91</v>
      </c>
      <c r="AB10" s="98">
        <v>91</v>
      </c>
      <c r="AC10" s="98"/>
      <c r="AD10" s="98"/>
      <c r="AE10" s="98"/>
      <c r="AF10" s="98"/>
      <c r="AG10" s="98"/>
      <c r="AH10" s="98"/>
    </row>
    <row r="11" spans="1:34" ht="27" hidden="1" customHeight="1">
      <c r="A11" s="30"/>
      <c r="B11" s="801"/>
      <c r="C11" s="405"/>
      <c r="D11" s="403"/>
      <c r="E11" s="98"/>
      <c r="F11" s="98"/>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row>
    <row r="12" spans="1:34" ht="27" hidden="1" customHeight="1">
      <c r="A12" s="30"/>
      <c r="B12" s="801"/>
      <c r="C12" s="405"/>
      <c r="D12" s="403"/>
      <c r="E12" s="98"/>
      <c r="F12" s="98"/>
      <c r="G12" s="98"/>
      <c r="H12" s="98"/>
      <c r="I12" s="98"/>
      <c r="J12" s="98"/>
      <c r="K12" s="98"/>
      <c r="L12" s="98"/>
      <c r="M12" s="98"/>
      <c r="N12" s="98"/>
      <c r="O12" s="98"/>
      <c r="P12" s="98"/>
      <c r="Q12" s="98"/>
      <c r="R12" s="98"/>
      <c r="S12" s="98"/>
      <c r="T12" s="98"/>
      <c r="U12" s="98"/>
      <c r="V12" s="98"/>
      <c r="W12" s="98"/>
      <c r="X12" s="98"/>
      <c r="Y12" s="98"/>
      <c r="Z12" s="98"/>
      <c r="AA12" s="98"/>
      <c r="AB12" s="98"/>
      <c r="AC12" s="98"/>
      <c r="AD12" s="98"/>
      <c r="AE12" s="98"/>
      <c r="AF12" s="98"/>
      <c r="AG12" s="98"/>
      <c r="AH12" s="98"/>
    </row>
    <row r="13" spans="1:34" ht="27" hidden="1" customHeight="1">
      <c r="A13" s="30"/>
      <c r="B13" s="801"/>
      <c r="C13" s="405"/>
      <c r="D13" s="403"/>
      <c r="E13" s="98"/>
      <c r="F13" s="98"/>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row>
    <row r="14" spans="1:34" ht="27" hidden="1" customHeight="1">
      <c r="A14" s="30"/>
      <c r="B14" s="801"/>
      <c r="C14" s="405"/>
      <c r="D14" s="403"/>
      <c r="E14" s="98"/>
      <c r="F14" s="98"/>
      <c r="G14" s="98"/>
      <c r="H14" s="98"/>
      <c r="I14" s="98"/>
      <c r="J14" s="98"/>
      <c r="K14" s="98"/>
      <c r="L14" s="98"/>
      <c r="M14" s="98"/>
      <c r="N14" s="98"/>
      <c r="O14" s="98"/>
      <c r="P14" s="98"/>
      <c r="Q14" s="98"/>
      <c r="R14" s="98"/>
      <c r="S14" s="98"/>
      <c r="T14" s="98"/>
      <c r="U14" s="98"/>
      <c r="V14" s="98"/>
      <c r="W14" s="98"/>
      <c r="X14" s="98"/>
      <c r="Y14" s="98"/>
      <c r="Z14" s="98"/>
      <c r="AA14" s="98"/>
      <c r="AB14" s="98"/>
      <c r="AC14" s="98"/>
      <c r="AD14" s="98"/>
      <c r="AE14" s="98"/>
      <c r="AF14" s="98"/>
      <c r="AG14" s="98"/>
      <c r="AH14" s="98"/>
    </row>
    <row r="15" spans="1:34" ht="27" hidden="1" customHeight="1">
      <c r="A15" s="30"/>
      <c r="B15" s="801"/>
      <c r="C15" s="405"/>
      <c r="D15" s="403"/>
      <c r="E15" s="98"/>
      <c r="F15" s="98"/>
      <c r="G15" s="98"/>
      <c r="H15" s="98"/>
      <c r="I15" s="98"/>
      <c r="J15" s="98"/>
      <c r="K15" s="98"/>
      <c r="L15" s="98"/>
      <c r="M15" s="98"/>
      <c r="N15" s="98"/>
      <c r="O15" s="98"/>
      <c r="P15" s="98"/>
      <c r="Q15" s="98"/>
      <c r="R15" s="98"/>
      <c r="S15" s="98"/>
      <c r="T15" s="98"/>
      <c r="U15" s="98"/>
      <c r="V15" s="98"/>
      <c r="W15" s="98"/>
      <c r="X15" s="98"/>
      <c r="Y15" s="98"/>
      <c r="Z15" s="98"/>
      <c r="AA15" s="98"/>
      <c r="AB15" s="98"/>
      <c r="AC15" s="98"/>
      <c r="AD15" s="98"/>
      <c r="AE15" s="98"/>
      <c r="AF15" s="98"/>
      <c r="AG15" s="98"/>
      <c r="AH15" s="98"/>
    </row>
    <row r="16" spans="1:34" ht="27" hidden="1" customHeight="1">
      <c r="A16" s="30"/>
      <c r="B16" s="801"/>
      <c r="C16" s="404"/>
      <c r="D16" s="72"/>
      <c r="E16" s="98"/>
      <c r="F16" s="98"/>
      <c r="G16" s="98"/>
      <c r="H16" s="98"/>
      <c r="I16" s="98"/>
      <c r="J16" s="98"/>
      <c r="K16" s="98"/>
      <c r="L16" s="98"/>
      <c r="M16" s="98"/>
      <c r="N16" s="98"/>
      <c r="O16" s="98"/>
      <c r="P16" s="98"/>
      <c r="Q16" s="98"/>
      <c r="R16" s="98"/>
      <c r="S16" s="98"/>
      <c r="T16" s="98"/>
      <c r="U16" s="98"/>
      <c r="V16" s="98"/>
      <c r="W16" s="98"/>
      <c r="X16" s="98"/>
      <c r="Y16" s="98"/>
      <c r="Z16" s="98"/>
      <c r="AA16" s="98"/>
      <c r="AB16" s="98"/>
      <c r="AC16" s="98"/>
      <c r="AD16" s="98"/>
      <c r="AE16" s="98"/>
      <c r="AF16" s="98"/>
      <c r="AG16" s="98"/>
      <c r="AH16" s="98"/>
    </row>
    <row r="17" spans="1:34" ht="27" hidden="1" customHeight="1">
      <c r="A17" s="30"/>
      <c r="B17" s="801"/>
      <c r="C17" s="74"/>
      <c r="D17" s="72"/>
      <c r="E17" s="98"/>
      <c r="F17" s="98"/>
      <c r="G17" s="98"/>
      <c r="H17" s="98"/>
      <c r="I17" s="98"/>
      <c r="J17" s="98"/>
      <c r="K17" s="98"/>
      <c r="L17" s="98"/>
      <c r="M17" s="98"/>
      <c r="N17" s="98"/>
      <c r="O17" s="98"/>
      <c r="P17" s="98"/>
      <c r="Q17" s="98"/>
      <c r="R17" s="98"/>
      <c r="S17" s="98"/>
      <c r="T17" s="98"/>
      <c r="U17" s="98"/>
      <c r="V17" s="98"/>
      <c r="W17" s="98"/>
      <c r="X17" s="98"/>
      <c r="Y17" s="98"/>
      <c r="Z17" s="98"/>
      <c r="AA17" s="98"/>
      <c r="AB17" s="98"/>
      <c r="AC17" s="98"/>
      <c r="AD17" s="98"/>
      <c r="AE17" s="98"/>
      <c r="AF17" s="98"/>
      <c r="AG17" s="98"/>
      <c r="AH17" s="98"/>
    </row>
    <row r="18" spans="1:34" ht="27" hidden="1" customHeight="1">
      <c r="A18" s="30"/>
      <c r="B18" s="802"/>
      <c r="C18" s="74"/>
      <c r="D18" s="72"/>
      <c r="E18" s="98"/>
      <c r="F18" s="98"/>
      <c r="G18" s="98"/>
      <c r="H18" s="98"/>
      <c r="I18" s="98"/>
      <c r="J18" s="98"/>
      <c r="K18" s="98"/>
      <c r="L18" s="98"/>
      <c r="M18" s="98"/>
      <c r="N18" s="98"/>
      <c r="O18" s="98"/>
      <c r="P18" s="98"/>
      <c r="Q18" s="98"/>
      <c r="R18" s="98"/>
      <c r="S18" s="98"/>
      <c r="T18" s="98"/>
      <c r="U18" s="98"/>
      <c r="V18" s="98"/>
      <c r="W18" s="98"/>
      <c r="X18" s="98"/>
      <c r="Y18" s="98"/>
      <c r="Z18" s="98"/>
      <c r="AA18" s="98"/>
      <c r="AB18" s="98"/>
      <c r="AC18" s="98"/>
      <c r="AD18" s="98"/>
      <c r="AE18" s="98"/>
      <c r="AF18" s="98"/>
      <c r="AG18" s="98"/>
      <c r="AH18" s="98"/>
    </row>
    <row r="19" spans="1:34" ht="27" customHeight="1">
      <c r="A19" s="30"/>
      <c r="B19" s="800">
        <v>2</v>
      </c>
      <c r="C19" s="795" t="s">
        <v>1358</v>
      </c>
      <c r="D19" s="796"/>
      <c r="E19" s="97">
        <f>IFERROR(AVERAGE(E20:E26),"")</f>
        <v>95</v>
      </c>
      <c r="F19" s="97">
        <f t="shared" ref="F19:AA19" si="2">IFERROR(AVERAGE(F20:F26),"")</f>
        <v>95</v>
      </c>
      <c r="G19" s="97">
        <f t="shared" si="2"/>
        <v>85</v>
      </c>
      <c r="H19" s="97">
        <f t="shared" si="2"/>
        <v>80</v>
      </c>
      <c r="I19" s="97">
        <f t="shared" si="2"/>
        <v>85</v>
      </c>
      <c r="J19" s="97">
        <f t="shared" si="2"/>
        <v>90</v>
      </c>
      <c r="K19" s="97">
        <f t="shared" si="2"/>
        <v>85</v>
      </c>
      <c r="L19" s="97">
        <f t="shared" si="2"/>
        <v>90</v>
      </c>
      <c r="M19" s="97">
        <f t="shared" si="2"/>
        <v>75</v>
      </c>
      <c r="N19" s="97">
        <f t="shared" si="2"/>
        <v>90</v>
      </c>
      <c r="O19" s="97">
        <f t="shared" si="2"/>
        <v>100</v>
      </c>
      <c r="P19" s="97">
        <f t="shared" si="2"/>
        <v>95</v>
      </c>
      <c r="Q19" s="97">
        <f t="shared" si="2"/>
        <v>95</v>
      </c>
      <c r="R19" s="97">
        <f t="shared" si="2"/>
        <v>80</v>
      </c>
      <c r="S19" s="97">
        <f t="shared" si="2"/>
        <v>75</v>
      </c>
      <c r="T19" s="97">
        <f t="shared" si="2"/>
        <v>95</v>
      </c>
      <c r="U19" s="97">
        <f t="shared" si="2"/>
        <v>90</v>
      </c>
      <c r="V19" s="97">
        <f t="shared" si="2"/>
        <v>100</v>
      </c>
      <c r="W19" s="97">
        <f t="shared" si="2"/>
        <v>95</v>
      </c>
      <c r="X19" s="97">
        <f t="shared" si="2"/>
        <v>85</v>
      </c>
      <c r="Y19" s="97">
        <f t="shared" si="2"/>
        <v>90</v>
      </c>
      <c r="Z19" s="97">
        <f t="shared" si="2"/>
        <v>90</v>
      </c>
      <c r="AA19" s="97">
        <f t="shared" si="2"/>
        <v>92</v>
      </c>
      <c r="AB19" s="97">
        <f t="shared" ref="AB19:AH19" si="3">IFERROR(AVERAGE(AB20:AB26),"")</f>
        <v>83</v>
      </c>
      <c r="AC19" s="97" t="str">
        <f t="shared" si="3"/>
        <v/>
      </c>
      <c r="AD19" s="97" t="str">
        <f t="shared" si="3"/>
        <v/>
      </c>
      <c r="AE19" s="97" t="str">
        <f t="shared" si="3"/>
        <v/>
      </c>
      <c r="AF19" s="97" t="str">
        <f t="shared" si="3"/>
        <v/>
      </c>
      <c r="AG19" s="97" t="str">
        <f t="shared" si="3"/>
        <v/>
      </c>
      <c r="AH19" s="97" t="str">
        <f t="shared" si="3"/>
        <v/>
      </c>
    </row>
    <row r="20" spans="1:34" ht="27" customHeight="1">
      <c r="A20" s="30"/>
      <c r="B20" s="801"/>
      <c r="C20" s="74" t="s">
        <v>1359</v>
      </c>
      <c r="D20" s="72">
        <v>43683</v>
      </c>
      <c r="E20" s="98">
        <v>95</v>
      </c>
      <c r="F20" s="98">
        <v>95</v>
      </c>
      <c r="G20" s="98">
        <v>85</v>
      </c>
      <c r="H20" s="98">
        <v>80</v>
      </c>
      <c r="I20" s="98">
        <v>85</v>
      </c>
      <c r="J20" s="98">
        <v>90</v>
      </c>
      <c r="K20" s="98">
        <v>85</v>
      </c>
      <c r="L20" s="98">
        <v>90</v>
      </c>
      <c r="M20" s="98">
        <v>75</v>
      </c>
      <c r="N20" s="98">
        <v>90</v>
      </c>
      <c r="O20" s="98">
        <v>100</v>
      </c>
      <c r="P20" s="98">
        <v>95</v>
      </c>
      <c r="Q20" s="98">
        <v>95</v>
      </c>
      <c r="R20" s="98">
        <v>80</v>
      </c>
      <c r="S20" s="98">
        <v>75</v>
      </c>
      <c r="T20" s="98">
        <v>95</v>
      </c>
      <c r="U20" s="98">
        <v>90</v>
      </c>
      <c r="V20" s="98">
        <v>100</v>
      </c>
      <c r="W20" s="98">
        <v>95</v>
      </c>
      <c r="X20" s="98">
        <v>85</v>
      </c>
      <c r="Y20" s="98">
        <v>90</v>
      </c>
      <c r="Z20" s="98">
        <v>90</v>
      </c>
      <c r="AA20" s="98">
        <v>92</v>
      </c>
      <c r="AB20" s="98">
        <v>83</v>
      </c>
      <c r="AC20" s="98"/>
      <c r="AD20" s="98"/>
      <c r="AE20" s="98"/>
      <c r="AF20" s="98"/>
      <c r="AG20" s="98"/>
      <c r="AH20" s="98"/>
    </row>
    <row r="21" spans="1:34" ht="27" hidden="1" customHeight="1">
      <c r="A21" s="30"/>
      <c r="B21" s="801"/>
      <c r="C21" s="74"/>
      <c r="D21" s="72"/>
      <c r="E21" s="98"/>
      <c r="F21" s="98"/>
      <c r="G21" s="98"/>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row>
    <row r="22" spans="1:34" ht="27" hidden="1" customHeight="1">
      <c r="A22" s="30"/>
      <c r="B22" s="801"/>
      <c r="C22" s="74"/>
      <c r="D22" s="72"/>
      <c r="E22" s="98"/>
      <c r="F22" s="98"/>
      <c r="G22" s="98"/>
      <c r="H22" s="98"/>
      <c r="I22" s="98"/>
      <c r="J22" s="98"/>
      <c r="K22" s="98"/>
      <c r="L22" s="98"/>
      <c r="M22" s="98"/>
      <c r="N22" s="98"/>
      <c r="O22" s="98"/>
      <c r="P22" s="98"/>
      <c r="Q22" s="98"/>
      <c r="R22" s="98"/>
      <c r="S22" s="98"/>
      <c r="T22" s="98"/>
      <c r="U22" s="98"/>
      <c r="V22" s="98"/>
      <c r="W22" s="98"/>
      <c r="X22" s="98"/>
      <c r="Y22" s="98"/>
      <c r="Z22" s="98"/>
      <c r="AA22" s="98"/>
      <c r="AB22" s="98"/>
      <c r="AC22" s="98"/>
      <c r="AD22" s="98"/>
      <c r="AE22" s="98"/>
      <c r="AF22" s="98"/>
      <c r="AG22" s="98"/>
      <c r="AH22" s="98"/>
    </row>
    <row r="23" spans="1:34" ht="27" hidden="1" customHeight="1">
      <c r="A23" s="30"/>
      <c r="B23" s="801"/>
      <c r="C23" s="74"/>
      <c r="D23" s="72"/>
      <c r="E23" s="98"/>
      <c r="F23" s="98"/>
      <c r="G23" s="98"/>
      <c r="H23" s="98"/>
      <c r="I23" s="98"/>
      <c r="J23" s="98"/>
      <c r="K23" s="98"/>
      <c r="L23" s="98"/>
      <c r="M23" s="98"/>
      <c r="N23" s="98"/>
      <c r="O23" s="98"/>
      <c r="P23" s="98"/>
      <c r="Q23" s="98"/>
      <c r="R23" s="98"/>
      <c r="S23" s="98"/>
      <c r="T23" s="98"/>
      <c r="U23" s="98"/>
      <c r="V23" s="98"/>
      <c r="W23" s="98"/>
      <c r="X23" s="98"/>
      <c r="Y23" s="98"/>
      <c r="Z23" s="98"/>
      <c r="AA23" s="98"/>
      <c r="AB23" s="98"/>
      <c r="AC23" s="98"/>
      <c r="AD23" s="98"/>
      <c r="AE23" s="98"/>
      <c r="AF23" s="98"/>
      <c r="AG23" s="98"/>
      <c r="AH23" s="98"/>
    </row>
    <row r="24" spans="1:34" ht="27" hidden="1" customHeight="1">
      <c r="A24" s="30"/>
      <c r="B24" s="801"/>
      <c r="C24" s="74"/>
      <c r="D24" s="72"/>
      <c r="E24" s="98"/>
      <c r="F24" s="98"/>
      <c r="G24" s="98"/>
      <c r="H24" s="98"/>
      <c r="I24" s="98"/>
      <c r="J24" s="98"/>
      <c r="K24" s="98"/>
      <c r="L24" s="98"/>
      <c r="M24" s="98"/>
      <c r="N24" s="98"/>
      <c r="O24" s="98"/>
      <c r="P24" s="98"/>
      <c r="Q24" s="98"/>
      <c r="R24" s="98"/>
      <c r="S24" s="98"/>
      <c r="T24" s="98"/>
      <c r="U24" s="98"/>
      <c r="V24" s="98"/>
      <c r="W24" s="98"/>
      <c r="X24" s="98"/>
      <c r="Y24" s="98"/>
      <c r="Z24" s="98"/>
      <c r="AA24" s="98"/>
      <c r="AB24" s="98"/>
      <c r="AC24" s="98"/>
      <c r="AD24" s="98"/>
      <c r="AE24" s="98"/>
      <c r="AF24" s="98"/>
      <c r="AG24" s="98"/>
      <c r="AH24" s="98"/>
    </row>
    <row r="25" spans="1:34" ht="27" hidden="1" customHeight="1">
      <c r="A25" s="30"/>
      <c r="B25" s="801"/>
      <c r="C25" s="74"/>
      <c r="D25" s="72"/>
      <c r="E25" s="98"/>
      <c r="F25" s="98"/>
      <c r="G25" s="98"/>
      <c r="H25" s="98"/>
      <c r="I25" s="98"/>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row>
    <row r="26" spans="1:34" ht="27" hidden="1" customHeight="1">
      <c r="A26" s="30"/>
      <c r="B26" s="802"/>
      <c r="C26" s="74"/>
      <c r="D26" s="72"/>
      <c r="E26" s="98"/>
      <c r="F26" s="98"/>
      <c r="G26" s="98"/>
      <c r="H26" s="98"/>
      <c r="I26" s="98"/>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row>
    <row r="27" spans="1:34" ht="27" hidden="1" customHeight="1">
      <c r="A27" s="30"/>
      <c r="B27" s="418"/>
      <c r="C27" s="406"/>
      <c r="D27" s="403"/>
      <c r="E27" s="98"/>
      <c r="F27" s="98"/>
      <c r="G27" s="98"/>
      <c r="H27" s="98"/>
      <c r="I27" s="98"/>
      <c r="J27" s="98"/>
      <c r="K27" s="98"/>
      <c r="L27" s="98"/>
      <c r="M27" s="98"/>
      <c r="N27" s="98"/>
      <c r="O27" s="98"/>
      <c r="P27" s="98"/>
      <c r="Q27" s="98"/>
      <c r="R27" s="98"/>
      <c r="S27" s="98"/>
      <c r="T27" s="98"/>
      <c r="U27" s="98"/>
      <c r="V27" s="98"/>
      <c r="W27" s="98"/>
      <c r="X27" s="98"/>
      <c r="Y27" s="98"/>
      <c r="Z27" s="98"/>
      <c r="AA27" s="98"/>
      <c r="AB27" s="98"/>
      <c r="AC27" s="98"/>
      <c r="AD27" s="98"/>
      <c r="AE27" s="98"/>
      <c r="AF27" s="98"/>
      <c r="AG27" s="98"/>
      <c r="AH27" s="98"/>
    </row>
    <row r="28" spans="1:34" ht="27" customHeight="1">
      <c r="A28" s="30"/>
      <c r="B28" s="801">
        <v>3</v>
      </c>
      <c r="C28" s="795" t="s">
        <v>1913</v>
      </c>
      <c r="D28" s="796"/>
      <c r="E28" s="97">
        <f>IFERROR(AVERAGE(E29:E35),"")</f>
        <v>80</v>
      </c>
      <c r="F28" s="97">
        <f t="shared" ref="F28:AA28" si="4">IFERROR(AVERAGE(F29:F35),"")</f>
        <v>100</v>
      </c>
      <c r="G28" s="97">
        <f t="shared" si="4"/>
        <v>100</v>
      </c>
      <c r="H28" s="97">
        <f t="shared" si="4"/>
        <v>85</v>
      </c>
      <c r="I28" s="97">
        <f t="shared" si="4"/>
        <v>90</v>
      </c>
      <c r="J28" s="97">
        <f t="shared" si="4"/>
        <v>85</v>
      </c>
      <c r="K28" s="97">
        <f t="shared" si="4"/>
        <v>100</v>
      </c>
      <c r="L28" s="97">
        <f t="shared" si="4"/>
        <v>100</v>
      </c>
      <c r="M28" s="97">
        <f t="shared" si="4"/>
        <v>85</v>
      </c>
      <c r="N28" s="97">
        <f t="shared" si="4"/>
        <v>100</v>
      </c>
      <c r="O28" s="97">
        <f t="shared" si="4"/>
        <v>100</v>
      </c>
      <c r="P28" s="97">
        <f t="shared" si="4"/>
        <v>100</v>
      </c>
      <c r="Q28" s="97">
        <f t="shared" si="4"/>
        <v>100</v>
      </c>
      <c r="R28" s="97">
        <f t="shared" si="4"/>
        <v>80</v>
      </c>
      <c r="S28" s="97">
        <f t="shared" si="4"/>
        <v>80</v>
      </c>
      <c r="T28" s="97">
        <f t="shared" si="4"/>
        <v>80</v>
      </c>
      <c r="U28" s="97">
        <f t="shared" si="4"/>
        <v>100</v>
      </c>
      <c r="V28" s="97">
        <f t="shared" si="4"/>
        <v>100</v>
      </c>
      <c r="W28" s="97">
        <f t="shared" si="4"/>
        <v>75</v>
      </c>
      <c r="X28" s="97">
        <f t="shared" si="4"/>
        <v>75</v>
      </c>
      <c r="Y28" s="97">
        <f t="shared" si="4"/>
        <v>85</v>
      </c>
      <c r="Z28" s="97">
        <f t="shared" si="4"/>
        <v>80</v>
      </c>
      <c r="AA28" s="97">
        <f t="shared" si="4"/>
        <v>80</v>
      </c>
      <c r="AB28" s="97">
        <f t="shared" ref="AB28:AH28" si="5">IFERROR(AVERAGE(AB29:AB35),"")</f>
        <v>75</v>
      </c>
      <c r="AC28" s="97" t="str">
        <f t="shared" si="5"/>
        <v/>
      </c>
      <c r="AD28" s="97" t="str">
        <f t="shared" si="5"/>
        <v/>
      </c>
      <c r="AE28" s="97" t="str">
        <f t="shared" si="5"/>
        <v/>
      </c>
      <c r="AF28" s="97" t="str">
        <f t="shared" si="5"/>
        <v/>
      </c>
      <c r="AG28" s="97" t="str">
        <f t="shared" si="5"/>
        <v/>
      </c>
      <c r="AH28" s="97" t="str">
        <f t="shared" si="5"/>
        <v/>
      </c>
    </row>
    <row r="29" spans="1:34" ht="27" customHeight="1">
      <c r="A29" s="30"/>
      <c r="B29" s="794"/>
      <c r="C29" s="74" t="s">
        <v>1914</v>
      </c>
      <c r="D29" s="72">
        <v>43697</v>
      </c>
      <c r="E29" s="98">
        <v>80</v>
      </c>
      <c r="F29" s="98">
        <v>100</v>
      </c>
      <c r="G29" s="98">
        <v>100</v>
      </c>
      <c r="H29" s="98">
        <v>85</v>
      </c>
      <c r="I29" s="98">
        <v>90</v>
      </c>
      <c r="J29" s="98">
        <v>85</v>
      </c>
      <c r="K29" s="98">
        <v>100</v>
      </c>
      <c r="L29" s="98">
        <v>100</v>
      </c>
      <c r="M29" s="98">
        <v>85</v>
      </c>
      <c r="N29" s="98">
        <v>100</v>
      </c>
      <c r="O29" s="98">
        <v>100</v>
      </c>
      <c r="P29" s="98">
        <v>100</v>
      </c>
      <c r="Q29" s="98">
        <v>100</v>
      </c>
      <c r="R29" s="98">
        <v>80</v>
      </c>
      <c r="S29" s="98">
        <v>80</v>
      </c>
      <c r="T29" s="98">
        <v>80</v>
      </c>
      <c r="U29" s="98">
        <v>100</v>
      </c>
      <c r="V29" s="98">
        <v>100</v>
      </c>
      <c r="W29" s="98">
        <v>75</v>
      </c>
      <c r="X29" s="98">
        <v>75</v>
      </c>
      <c r="Y29" s="98">
        <v>85</v>
      </c>
      <c r="Z29" s="98">
        <v>80</v>
      </c>
      <c r="AA29" s="98">
        <v>80</v>
      </c>
      <c r="AB29" s="98">
        <v>75</v>
      </c>
      <c r="AC29" s="98"/>
      <c r="AD29" s="98"/>
      <c r="AE29" s="98"/>
      <c r="AF29" s="98"/>
      <c r="AG29" s="98"/>
      <c r="AH29" s="98"/>
    </row>
    <row r="30" spans="1:34" ht="27" hidden="1" customHeight="1">
      <c r="A30" s="30"/>
      <c r="B30" s="344"/>
      <c r="C30" s="74"/>
      <c r="D30" s="72"/>
      <c r="E30" s="98"/>
      <c r="F30" s="98"/>
      <c r="G30" s="98"/>
      <c r="H30" s="98"/>
      <c r="I30" s="98"/>
      <c r="J30" s="98"/>
      <c r="K30" s="98"/>
      <c r="L30" s="98"/>
      <c r="M30" s="98"/>
      <c r="N30" s="98"/>
      <c r="O30" s="98"/>
      <c r="P30" s="98"/>
      <c r="Q30" s="98"/>
      <c r="R30" s="98"/>
      <c r="S30" s="98"/>
      <c r="T30" s="98"/>
      <c r="U30" s="98"/>
      <c r="V30" s="98"/>
      <c r="W30" s="98"/>
      <c r="X30" s="98"/>
      <c r="Y30" s="98"/>
      <c r="Z30" s="98"/>
      <c r="AA30" s="98"/>
      <c r="AB30" s="98"/>
      <c r="AC30" s="98"/>
      <c r="AD30" s="98"/>
      <c r="AE30" s="98"/>
      <c r="AF30" s="98"/>
      <c r="AG30" s="98"/>
      <c r="AH30" s="98"/>
    </row>
    <row r="31" spans="1:34" ht="27" hidden="1" customHeight="1">
      <c r="A31" s="30"/>
      <c r="B31" s="344"/>
      <c r="C31" s="74"/>
      <c r="D31" s="72"/>
      <c r="E31" s="98"/>
      <c r="F31" s="98"/>
      <c r="G31" s="98"/>
      <c r="H31" s="98"/>
      <c r="I31" s="98"/>
      <c r="J31" s="98"/>
      <c r="K31" s="98"/>
      <c r="L31" s="98"/>
      <c r="M31" s="98"/>
      <c r="N31" s="98"/>
      <c r="O31" s="98"/>
      <c r="P31" s="98"/>
      <c r="Q31" s="98"/>
      <c r="R31" s="98"/>
      <c r="S31" s="98"/>
      <c r="T31" s="98"/>
      <c r="U31" s="98"/>
      <c r="V31" s="98"/>
      <c r="W31" s="98"/>
      <c r="X31" s="98"/>
      <c r="Y31" s="98"/>
      <c r="Z31" s="98"/>
      <c r="AA31" s="98"/>
      <c r="AB31" s="98"/>
      <c r="AC31" s="98"/>
      <c r="AD31" s="98"/>
      <c r="AE31" s="98"/>
      <c r="AF31" s="98"/>
      <c r="AG31" s="98"/>
      <c r="AH31" s="98"/>
    </row>
    <row r="32" spans="1:34" ht="27" hidden="1" customHeight="1">
      <c r="A32" s="30"/>
      <c r="B32" s="344"/>
      <c r="C32" s="74"/>
      <c r="D32" s="72"/>
      <c r="E32" s="98"/>
      <c r="F32" s="98"/>
      <c r="G32" s="98"/>
      <c r="H32" s="98"/>
      <c r="I32" s="98"/>
      <c r="J32" s="98"/>
      <c r="K32" s="98"/>
      <c r="L32" s="98"/>
      <c r="M32" s="98"/>
      <c r="N32" s="98"/>
      <c r="O32" s="98"/>
      <c r="P32" s="98"/>
      <c r="Q32" s="98"/>
      <c r="R32" s="98"/>
      <c r="S32" s="98"/>
      <c r="T32" s="98"/>
      <c r="U32" s="98"/>
      <c r="V32" s="98"/>
      <c r="W32" s="98"/>
      <c r="X32" s="98"/>
      <c r="Y32" s="98"/>
      <c r="Z32" s="98"/>
      <c r="AA32" s="98"/>
      <c r="AB32" s="98"/>
      <c r="AC32" s="98"/>
      <c r="AD32" s="98"/>
      <c r="AE32" s="98"/>
      <c r="AF32" s="98"/>
      <c r="AG32" s="98"/>
      <c r="AH32" s="98"/>
    </row>
    <row r="33" spans="1:34" ht="27" hidden="1" customHeight="1">
      <c r="A33" s="30"/>
      <c r="B33" s="344"/>
      <c r="C33" s="74"/>
      <c r="D33" s="72"/>
      <c r="E33" s="98"/>
      <c r="F33" s="98"/>
      <c r="G33" s="98"/>
      <c r="H33" s="98"/>
      <c r="I33" s="98"/>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row>
    <row r="34" spans="1:34" ht="27" hidden="1" customHeight="1">
      <c r="A34" s="30"/>
      <c r="B34" s="344"/>
      <c r="C34" s="74"/>
      <c r="D34" s="72"/>
      <c r="E34" s="98"/>
      <c r="F34" s="98"/>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row>
    <row r="35" spans="1:34" ht="26.25" hidden="1" customHeight="1">
      <c r="A35" s="30"/>
      <c r="B35" s="344"/>
      <c r="C35" s="74"/>
      <c r="D35" s="72"/>
      <c r="E35" s="98"/>
      <c r="F35" s="98"/>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row>
    <row r="36" spans="1:34" ht="26.25" hidden="1" customHeight="1">
      <c r="A36" s="30"/>
      <c r="B36" s="417"/>
      <c r="C36" s="406"/>
      <c r="D36" s="403"/>
      <c r="E36" s="98"/>
      <c r="F36" s="98"/>
      <c r="G36" s="98"/>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row>
    <row r="37" spans="1:34" ht="26.25" hidden="1" customHeight="1">
      <c r="A37" s="30"/>
      <c r="B37" s="417"/>
      <c r="C37" s="406"/>
      <c r="D37" s="403"/>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row>
    <row r="38" spans="1:34" ht="26.25" hidden="1" customHeight="1">
      <c r="A38" s="30"/>
      <c r="B38" s="417"/>
      <c r="C38" s="406"/>
      <c r="D38" s="403"/>
      <c r="E38" s="98">
        <v>92</v>
      </c>
      <c r="F38" s="98">
        <v>95</v>
      </c>
      <c r="G38" s="98"/>
      <c r="H38" s="98">
        <v>92</v>
      </c>
      <c r="I38" s="98">
        <v>92</v>
      </c>
      <c r="J38" s="98">
        <v>92</v>
      </c>
      <c r="K38" s="98">
        <v>100</v>
      </c>
      <c r="L38" s="98">
        <v>100</v>
      </c>
      <c r="M38" s="98">
        <v>95</v>
      </c>
      <c r="N38" s="98">
        <v>100</v>
      </c>
      <c r="O38" s="98">
        <v>92</v>
      </c>
      <c r="P38" s="98"/>
      <c r="Q38" s="98"/>
      <c r="R38" s="98">
        <v>90</v>
      </c>
      <c r="S38" s="98">
        <v>90</v>
      </c>
      <c r="T38" s="98">
        <v>90</v>
      </c>
      <c r="U38" s="98">
        <v>92</v>
      </c>
      <c r="V38" s="98">
        <v>95</v>
      </c>
      <c r="W38" s="98">
        <v>80</v>
      </c>
      <c r="X38" s="98">
        <v>92</v>
      </c>
      <c r="Y38" s="98"/>
      <c r="Z38" s="98">
        <v>95</v>
      </c>
      <c r="AA38" s="98">
        <v>100</v>
      </c>
      <c r="AB38" s="98">
        <v>80</v>
      </c>
      <c r="AC38" s="98"/>
      <c r="AD38" s="98"/>
      <c r="AE38" s="98"/>
      <c r="AF38" s="98"/>
      <c r="AG38" s="98"/>
      <c r="AH38" s="98"/>
    </row>
    <row r="39" spans="1:34" ht="26.25" hidden="1" customHeight="1">
      <c r="A39" s="30"/>
      <c r="B39" s="417"/>
      <c r="C39" s="406"/>
      <c r="D39" s="403"/>
      <c r="E39" s="98">
        <v>92</v>
      </c>
      <c r="F39" s="98">
        <v>95</v>
      </c>
      <c r="G39" s="98"/>
      <c r="H39" s="98">
        <v>92</v>
      </c>
      <c r="I39" s="98">
        <v>92</v>
      </c>
      <c r="J39" s="98">
        <v>92</v>
      </c>
      <c r="K39" s="98">
        <v>100</v>
      </c>
      <c r="L39" s="98">
        <v>100</v>
      </c>
      <c r="M39" s="98">
        <v>95</v>
      </c>
      <c r="N39" s="98">
        <v>100</v>
      </c>
      <c r="O39" s="98">
        <v>92</v>
      </c>
      <c r="P39" s="98"/>
      <c r="Q39" s="98"/>
      <c r="R39" s="98">
        <v>90</v>
      </c>
      <c r="S39" s="98">
        <v>90</v>
      </c>
      <c r="T39" s="98">
        <v>90</v>
      </c>
      <c r="U39" s="98">
        <v>92</v>
      </c>
      <c r="V39" s="98">
        <v>95</v>
      </c>
      <c r="W39" s="98">
        <v>80</v>
      </c>
      <c r="X39" s="98">
        <v>92</v>
      </c>
      <c r="Y39" s="98"/>
      <c r="Z39" s="98">
        <v>95</v>
      </c>
      <c r="AA39" s="98">
        <v>100</v>
      </c>
      <c r="AB39" s="98">
        <v>80</v>
      </c>
      <c r="AC39" s="98"/>
      <c r="AD39" s="98"/>
      <c r="AE39" s="98"/>
      <c r="AF39" s="98"/>
      <c r="AG39" s="98"/>
      <c r="AH39" s="98"/>
    </row>
    <row r="40" spans="1:34" ht="26.25" hidden="1" customHeight="1">
      <c r="A40" s="30"/>
      <c r="B40" s="417"/>
      <c r="C40" s="406"/>
      <c r="D40" s="403"/>
      <c r="E40" s="98">
        <v>92</v>
      </c>
      <c r="F40" s="98">
        <v>95</v>
      </c>
      <c r="G40" s="98"/>
      <c r="H40" s="98">
        <v>92</v>
      </c>
      <c r="I40" s="98">
        <v>92</v>
      </c>
      <c r="J40" s="98">
        <v>92</v>
      </c>
      <c r="K40" s="98">
        <v>100</v>
      </c>
      <c r="L40" s="98">
        <v>100</v>
      </c>
      <c r="M40" s="98">
        <v>95</v>
      </c>
      <c r="N40" s="98">
        <v>100</v>
      </c>
      <c r="O40" s="98">
        <v>92</v>
      </c>
      <c r="P40" s="98"/>
      <c r="Q40" s="98"/>
      <c r="R40" s="98">
        <v>90</v>
      </c>
      <c r="S40" s="98">
        <v>90</v>
      </c>
      <c r="T40" s="98">
        <v>90</v>
      </c>
      <c r="U40" s="98">
        <v>92</v>
      </c>
      <c r="V40" s="98">
        <v>95</v>
      </c>
      <c r="W40" s="98">
        <v>80</v>
      </c>
      <c r="X40" s="98">
        <v>92</v>
      </c>
      <c r="Y40" s="98"/>
      <c r="Z40" s="98">
        <v>95</v>
      </c>
      <c r="AA40" s="98">
        <v>100</v>
      </c>
      <c r="AB40" s="98">
        <v>80</v>
      </c>
      <c r="AC40" s="98"/>
      <c r="AD40" s="98"/>
      <c r="AE40" s="98"/>
      <c r="AF40" s="98"/>
      <c r="AG40" s="98"/>
      <c r="AH40" s="98"/>
    </row>
    <row r="41" spans="1:34" ht="27" customHeight="1">
      <c r="A41" s="30"/>
      <c r="B41" s="800">
        <v>4</v>
      </c>
      <c r="C41" s="795" t="s">
        <v>1915</v>
      </c>
      <c r="D41" s="796"/>
      <c r="E41" s="97">
        <f>IFERROR(AVERAGE(E42:E48),"")</f>
        <v>85</v>
      </c>
      <c r="F41" s="97">
        <f t="shared" ref="F41:AA41" si="6">IFERROR(AVERAGE(F42:F48),"")</f>
        <v>100</v>
      </c>
      <c r="G41" s="97">
        <f t="shared" si="6"/>
        <v>75</v>
      </c>
      <c r="H41" s="97">
        <f t="shared" si="6"/>
        <v>100</v>
      </c>
      <c r="I41" s="97">
        <f t="shared" si="6"/>
        <v>100</v>
      </c>
      <c r="J41" s="97">
        <f t="shared" si="6"/>
        <v>90</v>
      </c>
      <c r="K41" s="97">
        <f t="shared" si="6"/>
        <v>100</v>
      </c>
      <c r="L41" s="97">
        <f t="shared" si="6"/>
        <v>100</v>
      </c>
      <c r="M41" s="97">
        <f t="shared" si="6"/>
        <v>100</v>
      </c>
      <c r="N41" s="97">
        <f t="shared" si="6"/>
        <v>100</v>
      </c>
      <c r="O41" s="97">
        <f t="shared" si="6"/>
        <v>100</v>
      </c>
      <c r="P41" s="97">
        <f t="shared" si="6"/>
        <v>95</v>
      </c>
      <c r="Q41" s="97">
        <f t="shared" si="6"/>
        <v>100</v>
      </c>
      <c r="R41" s="97">
        <f t="shared" si="6"/>
        <v>100</v>
      </c>
      <c r="S41" s="97">
        <f t="shared" si="6"/>
        <v>80</v>
      </c>
      <c r="T41" s="97">
        <f t="shared" si="6"/>
        <v>90</v>
      </c>
      <c r="U41" s="97">
        <f t="shared" si="6"/>
        <v>100</v>
      </c>
      <c r="V41" s="97">
        <f t="shared" si="6"/>
        <v>100</v>
      </c>
      <c r="W41" s="97">
        <f t="shared" si="6"/>
        <v>75</v>
      </c>
      <c r="X41" s="97">
        <f t="shared" si="6"/>
        <v>90</v>
      </c>
      <c r="Y41" s="97">
        <f t="shared" si="6"/>
        <v>100</v>
      </c>
      <c r="Z41" s="97">
        <f t="shared" si="6"/>
        <v>90</v>
      </c>
      <c r="AA41" s="97">
        <f t="shared" si="6"/>
        <v>100</v>
      </c>
      <c r="AB41" s="97">
        <f t="shared" ref="AB41:AH41" si="7">IFERROR(AVERAGE(AB42:AB48),"")</f>
        <v>75</v>
      </c>
      <c r="AC41" s="97" t="str">
        <f t="shared" si="7"/>
        <v/>
      </c>
      <c r="AD41" s="97" t="str">
        <f t="shared" si="7"/>
        <v/>
      </c>
      <c r="AE41" s="97" t="str">
        <f t="shared" si="7"/>
        <v/>
      </c>
      <c r="AF41" s="97" t="str">
        <f t="shared" si="7"/>
        <v/>
      </c>
      <c r="AG41" s="97" t="str">
        <f t="shared" si="7"/>
        <v/>
      </c>
      <c r="AH41" s="97" t="str">
        <f t="shared" si="7"/>
        <v/>
      </c>
    </row>
    <row r="42" spans="1:34" ht="27" customHeight="1">
      <c r="A42" s="30"/>
      <c r="B42" s="801"/>
      <c r="C42" s="74" t="s">
        <v>1916</v>
      </c>
      <c r="D42" s="72">
        <v>43711</v>
      </c>
      <c r="E42" s="98">
        <v>85</v>
      </c>
      <c r="F42" s="98">
        <v>100</v>
      </c>
      <c r="G42" s="98">
        <v>75</v>
      </c>
      <c r="H42" s="98">
        <v>100</v>
      </c>
      <c r="I42" s="98">
        <v>100</v>
      </c>
      <c r="J42" s="98">
        <v>90</v>
      </c>
      <c r="K42" s="98">
        <v>100</v>
      </c>
      <c r="L42" s="98">
        <v>100</v>
      </c>
      <c r="M42" s="98">
        <v>100</v>
      </c>
      <c r="N42" s="98">
        <v>100</v>
      </c>
      <c r="O42" s="98">
        <v>100</v>
      </c>
      <c r="P42" s="98">
        <v>95</v>
      </c>
      <c r="Q42" s="98">
        <v>100</v>
      </c>
      <c r="R42" s="98">
        <v>100</v>
      </c>
      <c r="S42" s="98">
        <v>80</v>
      </c>
      <c r="T42" s="98">
        <v>90</v>
      </c>
      <c r="U42" s="98">
        <v>100</v>
      </c>
      <c r="V42" s="98">
        <v>100</v>
      </c>
      <c r="W42" s="98">
        <v>75</v>
      </c>
      <c r="X42" s="98">
        <v>90</v>
      </c>
      <c r="Y42" s="98">
        <v>100</v>
      </c>
      <c r="Z42" s="98">
        <v>90</v>
      </c>
      <c r="AA42" s="98">
        <v>100</v>
      </c>
      <c r="AB42" s="98">
        <v>75</v>
      </c>
      <c r="AC42" s="98"/>
      <c r="AD42" s="98"/>
      <c r="AE42" s="98"/>
      <c r="AF42" s="98"/>
      <c r="AG42" s="98"/>
      <c r="AH42" s="98"/>
    </row>
    <row r="43" spans="1:34" ht="27" hidden="1" customHeight="1">
      <c r="A43" s="30"/>
      <c r="B43" s="801"/>
      <c r="C43" s="74"/>
      <c r="D43" s="72"/>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row>
    <row r="44" spans="1:34" ht="27" hidden="1" customHeight="1">
      <c r="A44" s="30"/>
      <c r="B44" s="801"/>
      <c r="C44" s="74"/>
      <c r="D44" s="72"/>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row>
    <row r="45" spans="1:34" ht="27" hidden="1" customHeight="1">
      <c r="A45" s="30"/>
      <c r="B45" s="801"/>
      <c r="C45" s="74"/>
      <c r="D45" s="72"/>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row>
    <row r="46" spans="1:34" ht="27" hidden="1" customHeight="1">
      <c r="A46" s="30"/>
      <c r="B46" s="801"/>
      <c r="C46" s="74"/>
      <c r="D46" s="72"/>
      <c r="E46" s="98"/>
      <c r="F46" s="98"/>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row>
    <row r="47" spans="1:34" ht="27" hidden="1" customHeight="1">
      <c r="A47" s="30"/>
      <c r="B47" s="801"/>
      <c r="C47" s="74"/>
      <c r="D47" s="72"/>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row>
    <row r="48" spans="1:34" ht="27" hidden="1" customHeight="1">
      <c r="A48" s="30"/>
      <c r="B48" s="802"/>
      <c r="C48" s="74"/>
      <c r="D48" s="72"/>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row>
    <row r="49" spans="1:34" ht="27" customHeight="1">
      <c r="A49" s="30"/>
      <c r="B49" s="800">
        <v>5</v>
      </c>
      <c r="C49" s="795" t="s">
        <v>1917</v>
      </c>
      <c r="D49" s="796"/>
      <c r="E49" s="97" t="str">
        <f>IFERROR(AVERAGE(E50:E61),"")</f>
        <v/>
      </c>
      <c r="F49" s="97">
        <f t="shared" ref="F49:AA49" si="8">IFERROR(AVERAGE(F50:F61),"")</f>
        <v>90</v>
      </c>
      <c r="G49" s="97">
        <f t="shared" si="8"/>
        <v>75</v>
      </c>
      <c r="H49" s="97">
        <f t="shared" si="8"/>
        <v>90</v>
      </c>
      <c r="I49" s="97">
        <f t="shared" si="8"/>
        <v>100</v>
      </c>
      <c r="J49" s="97">
        <f t="shared" si="8"/>
        <v>90</v>
      </c>
      <c r="K49" s="97">
        <f t="shared" si="8"/>
        <v>100</v>
      </c>
      <c r="L49" s="97" t="str">
        <f t="shared" si="8"/>
        <v/>
      </c>
      <c r="M49" s="97">
        <f t="shared" si="8"/>
        <v>85</v>
      </c>
      <c r="N49" s="97">
        <f t="shared" si="8"/>
        <v>95</v>
      </c>
      <c r="O49" s="97">
        <f t="shared" si="8"/>
        <v>80</v>
      </c>
      <c r="P49" s="97">
        <f t="shared" si="8"/>
        <v>90</v>
      </c>
      <c r="Q49" s="97">
        <f t="shared" si="8"/>
        <v>100</v>
      </c>
      <c r="R49" s="97">
        <f t="shared" si="8"/>
        <v>85</v>
      </c>
      <c r="S49" s="97">
        <f t="shared" si="8"/>
        <v>75</v>
      </c>
      <c r="T49" s="97">
        <f t="shared" si="8"/>
        <v>100</v>
      </c>
      <c r="U49" s="97">
        <f t="shared" si="8"/>
        <v>100</v>
      </c>
      <c r="V49" s="97">
        <f t="shared" si="8"/>
        <v>100</v>
      </c>
      <c r="W49" s="97">
        <f t="shared" si="8"/>
        <v>80</v>
      </c>
      <c r="X49" s="97">
        <f t="shared" si="8"/>
        <v>80</v>
      </c>
      <c r="Y49" s="97">
        <f t="shared" si="8"/>
        <v>80</v>
      </c>
      <c r="Z49" s="97">
        <f t="shared" si="8"/>
        <v>80</v>
      </c>
      <c r="AA49" s="97">
        <f t="shared" si="8"/>
        <v>85</v>
      </c>
      <c r="AB49" s="97">
        <f t="shared" ref="AB49:AH49" si="9">IFERROR(AVERAGE(AB50:AB61),"")</f>
        <v>80</v>
      </c>
      <c r="AC49" s="97" t="str">
        <f t="shared" si="9"/>
        <v/>
      </c>
      <c r="AD49" s="97" t="str">
        <f t="shared" si="9"/>
        <v/>
      </c>
      <c r="AE49" s="97" t="str">
        <f t="shared" si="9"/>
        <v/>
      </c>
      <c r="AF49" s="97" t="str">
        <f t="shared" si="9"/>
        <v/>
      </c>
      <c r="AG49" s="97" t="str">
        <f t="shared" si="9"/>
        <v/>
      </c>
      <c r="AH49" s="97" t="str">
        <f t="shared" si="9"/>
        <v/>
      </c>
    </row>
    <row r="50" spans="1:34" ht="27" customHeight="1">
      <c r="A50" s="30"/>
      <c r="B50" s="801"/>
      <c r="C50" s="74" t="s">
        <v>1918</v>
      </c>
      <c r="D50" s="72">
        <v>43718</v>
      </c>
      <c r="E50" s="98"/>
      <c r="F50" s="98">
        <v>90</v>
      </c>
      <c r="G50" s="98">
        <v>75</v>
      </c>
      <c r="H50" s="98">
        <v>90</v>
      </c>
      <c r="I50" s="98">
        <v>100</v>
      </c>
      <c r="J50" s="98">
        <v>90</v>
      </c>
      <c r="K50" s="98">
        <v>100</v>
      </c>
      <c r="L50" s="98"/>
      <c r="M50" s="98">
        <v>85</v>
      </c>
      <c r="N50" s="98">
        <v>95</v>
      </c>
      <c r="O50" s="98">
        <v>80</v>
      </c>
      <c r="P50" s="98">
        <v>90</v>
      </c>
      <c r="Q50" s="98">
        <v>100</v>
      </c>
      <c r="R50" s="98">
        <v>85</v>
      </c>
      <c r="S50" s="98">
        <v>75</v>
      </c>
      <c r="T50" s="98">
        <v>100</v>
      </c>
      <c r="U50" s="98">
        <v>100</v>
      </c>
      <c r="V50" s="98">
        <v>100</v>
      </c>
      <c r="W50" s="98">
        <v>80</v>
      </c>
      <c r="X50" s="98">
        <v>80</v>
      </c>
      <c r="Y50" s="98">
        <v>80</v>
      </c>
      <c r="Z50" s="98">
        <v>80</v>
      </c>
      <c r="AA50" s="98">
        <v>85</v>
      </c>
      <c r="AB50" s="98">
        <v>80</v>
      </c>
      <c r="AC50" s="98"/>
      <c r="AD50" s="98"/>
      <c r="AE50" s="98"/>
      <c r="AF50" s="98"/>
      <c r="AG50" s="98"/>
      <c r="AH50" s="98"/>
    </row>
    <row r="51" spans="1:34" ht="27" hidden="1" customHeight="1">
      <c r="A51" s="30"/>
      <c r="B51" s="801"/>
      <c r="C51" s="74"/>
      <c r="D51" s="72"/>
      <c r="E51" s="98"/>
      <c r="F51" s="98"/>
      <c r="G51" s="98"/>
      <c r="H51" s="98"/>
      <c r="I51" s="98"/>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row>
    <row r="52" spans="1:34" ht="27" hidden="1" customHeight="1">
      <c r="A52" s="30"/>
      <c r="B52" s="801"/>
      <c r="C52" s="74"/>
      <c r="D52" s="72"/>
      <c r="E52" s="98"/>
      <c r="F52" s="98"/>
      <c r="G52" s="98"/>
      <c r="H52" s="98"/>
      <c r="I52" s="98"/>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row>
    <row r="53" spans="1:34" ht="27" hidden="1" customHeight="1">
      <c r="A53" s="30"/>
      <c r="B53" s="801"/>
      <c r="C53" s="74"/>
      <c r="D53" s="72"/>
      <c r="E53" s="98"/>
      <c r="F53" s="98"/>
      <c r="G53" s="98"/>
      <c r="H53" s="98"/>
      <c r="I53" s="98"/>
      <c r="J53" s="98"/>
      <c r="K53" s="98"/>
      <c r="L53" s="98"/>
      <c r="M53" s="98"/>
      <c r="N53" s="98"/>
      <c r="O53" s="98"/>
      <c r="P53" s="98"/>
      <c r="Q53" s="98"/>
      <c r="R53" s="98"/>
      <c r="S53" s="98"/>
      <c r="T53" s="98"/>
      <c r="U53" s="98"/>
      <c r="V53" s="98"/>
      <c r="W53" s="98"/>
      <c r="X53" s="98"/>
      <c r="Y53" s="98"/>
      <c r="Z53" s="98"/>
      <c r="AA53" s="98"/>
      <c r="AB53" s="98"/>
      <c r="AC53" s="98"/>
      <c r="AD53" s="98"/>
      <c r="AE53" s="98"/>
      <c r="AF53" s="98"/>
      <c r="AG53" s="98"/>
      <c r="AH53" s="98"/>
    </row>
    <row r="54" spans="1:34" ht="27" hidden="1" customHeight="1">
      <c r="A54" s="30"/>
      <c r="B54" s="801"/>
      <c r="C54" s="74"/>
      <c r="D54" s="72"/>
      <c r="E54" s="98"/>
      <c r="F54" s="98"/>
      <c r="G54" s="98"/>
      <c r="H54" s="98"/>
      <c r="I54" s="98"/>
      <c r="J54" s="98"/>
      <c r="K54" s="98"/>
      <c r="L54" s="98"/>
      <c r="M54" s="98"/>
      <c r="N54" s="98"/>
      <c r="O54" s="98"/>
      <c r="P54" s="98"/>
      <c r="Q54" s="98"/>
      <c r="R54" s="98"/>
      <c r="S54" s="98"/>
      <c r="T54" s="98"/>
      <c r="U54" s="98"/>
      <c r="V54" s="98"/>
      <c r="W54" s="98"/>
      <c r="X54" s="98"/>
      <c r="Y54" s="98"/>
      <c r="Z54" s="98"/>
      <c r="AA54" s="98"/>
      <c r="AB54" s="98"/>
      <c r="AC54" s="98"/>
      <c r="AD54" s="98"/>
      <c r="AE54" s="98"/>
      <c r="AF54" s="98"/>
      <c r="AG54" s="98"/>
      <c r="AH54" s="98"/>
    </row>
    <row r="55" spans="1:34" ht="27" hidden="1" customHeight="1">
      <c r="A55" s="30"/>
      <c r="B55" s="801"/>
      <c r="C55" s="74"/>
      <c r="D55" s="72"/>
      <c r="E55" s="98"/>
      <c r="F55" s="98"/>
      <c r="G55" s="98"/>
      <c r="H55" s="98"/>
      <c r="I55" s="98"/>
      <c r="J55" s="98"/>
      <c r="K55" s="98"/>
      <c r="L55" s="98"/>
      <c r="M55" s="98"/>
      <c r="N55" s="98"/>
      <c r="O55" s="98"/>
      <c r="P55" s="98"/>
      <c r="Q55" s="98"/>
      <c r="R55" s="98"/>
      <c r="S55" s="98"/>
      <c r="T55" s="98"/>
      <c r="U55" s="98"/>
      <c r="V55" s="98"/>
      <c r="W55" s="98"/>
      <c r="X55" s="98"/>
      <c r="Y55" s="98"/>
      <c r="Z55" s="98"/>
      <c r="AA55" s="98"/>
      <c r="AB55" s="98"/>
      <c r="AC55" s="98"/>
      <c r="AD55" s="98"/>
      <c r="AE55" s="98"/>
      <c r="AF55" s="98"/>
      <c r="AG55" s="98"/>
      <c r="AH55" s="98"/>
    </row>
    <row r="56" spans="1:34" ht="27" hidden="1" customHeight="1">
      <c r="A56" s="30"/>
      <c r="B56" s="801"/>
      <c r="C56" s="74"/>
      <c r="D56" s="72"/>
      <c r="E56" s="98"/>
      <c r="F56" s="98"/>
      <c r="G56" s="98"/>
      <c r="H56" s="98"/>
      <c r="I56" s="98"/>
      <c r="J56" s="98"/>
      <c r="K56" s="98"/>
      <c r="L56" s="98"/>
      <c r="M56" s="98"/>
      <c r="N56" s="98"/>
      <c r="O56" s="98"/>
      <c r="P56" s="98"/>
      <c r="Q56" s="98"/>
      <c r="R56" s="98"/>
      <c r="S56" s="98"/>
      <c r="T56" s="98"/>
      <c r="U56" s="98"/>
      <c r="V56" s="98"/>
      <c r="W56" s="98"/>
      <c r="X56" s="98"/>
      <c r="Y56" s="98"/>
      <c r="Z56" s="98"/>
      <c r="AA56" s="98"/>
      <c r="AB56" s="98"/>
      <c r="AC56" s="98"/>
      <c r="AD56" s="98"/>
      <c r="AE56" s="98"/>
      <c r="AF56" s="98"/>
      <c r="AG56" s="98"/>
      <c r="AH56" s="98"/>
    </row>
    <row r="57" spans="1:34" ht="27" hidden="1" customHeight="1">
      <c r="A57" s="30"/>
      <c r="B57" s="801"/>
      <c r="C57" s="74"/>
      <c r="D57" s="72"/>
      <c r="E57" s="98"/>
      <c r="F57" s="98"/>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row>
    <row r="58" spans="1:34" ht="27" hidden="1" customHeight="1">
      <c r="A58" s="30"/>
      <c r="B58" s="801"/>
      <c r="C58" s="74"/>
      <c r="D58" s="72"/>
      <c r="E58" s="98"/>
      <c r="F58" s="98"/>
      <c r="G58" s="98"/>
      <c r="H58" s="98"/>
      <c r="I58" s="98"/>
      <c r="J58" s="98"/>
      <c r="K58" s="98"/>
      <c r="L58" s="98"/>
      <c r="M58" s="98"/>
      <c r="N58" s="98"/>
      <c r="O58" s="98"/>
      <c r="P58" s="98"/>
      <c r="Q58" s="98"/>
      <c r="R58" s="98"/>
      <c r="S58" s="98"/>
      <c r="T58" s="98"/>
      <c r="U58" s="98"/>
      <c r="V58" s="98"/>
      <c r="W58" s="98"/>
      <c r="X58" s="98"/>
      <c r="Y58" s="98"/>
      <c r="Z58" s="98"/>
      <c r="AA58" s="98"/>
      <c r="AB58" s="98"/>
      <c r="AC58" s="98"/>
      <c r="AD58" s="98"/>
      <c r="AE58" s="98"/>
      <c r="AF58" s="98"/>
      <c r="AG58" s="98"/>
      <c r="AH58" s="98"/>
    </row>
    <row r="59" spans="1:34" ht="27" hidden="1" customHeight="1">
      <c r="A59" s="30"/>
      <c r="B59" s="801"/>
      <c r="C59" s="74"/>
      <c r="D59" s="72"/>
      <c r="E59" s="98"/>
      <c r="F59" s="98"/>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F59" s="98"/>
      <c r="AG59" s="98"/>
      <c r="AH59" s="98"/>
    </row>
    <row r="60" spans="1:34" ht="27" hidden="1" customHeight="1">
      <c r="A60" s="30"/>
      <c r="B60" s="801"/>
      <c r="C60" s="74"/>
      <c r="D60" s="72"/>
      <c r="E60" s="98"/>
      <c r="F60" s="98"/>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F60" s="98"/>
      <c r="AG60" s="98"/>
      <c r="AH60" s="98"/>
    </row>
    <row r="61" spans="1:34" ht="27" hidden="1" customHeight="1">
      <c r="A61" s="30"/>
      <c r="B61" s="802"/>
      <c r="C61" s="74"/>
      <c r="D61" s="72"/>
      <c r="E61" s="98"/>
      <c r="F61" s="98"/>
      <c r="G61" s="98"/>
      <c r="H61" s="98"/>
      <c r="I61" s="98"/>
      <c r="J61" s="98"/>
      <c r="K61" s="98"/>
      <c r="L61" s="98"/>
      <c r="M61" s="98"/>
      <c r="N61" s="98"/>
      <c r="O61" s="98"/>
      <c r="P61" s="98"/>
      <c r="Q61" s="98"/>
      <c r="R61" s="98"/>
      <c r="S61" s="98"/>
      <c r="T61" s="98"/>
      <c r="U61" s="98"/>
      <c r="V61" s="98"/>
      <c r="W61" s="98"/>
      <c r="X61" s="98"/>
      <c r="Y61" s="98"/>
      <c r="Z61" s="98"/>
      <c r="AA61" s="98"/>
      <c r="AB61" s="98"/>
      <c r="AC61" s="98"/>
      <c r="AD61" s="98"/>
      <c r="AE61" s="98"/>
      <c r="AF61" s="98"/>
      <c r="AG61" s="98"/>
      <c r="AH61" s="98"/>
    </row>
    <row r="62" spans="1:34" ht="27" customHeight="1">
      <c r="A62" s="30"/>
      <c r="B62" s="794">
        <v>6</v>
      </c>
      <c r="C62" s="795" t="s">
        <v>1919</v>
      </c>
      <c r="D62" s="796"/>
      <c r="E62" s="97">
        <f>IFERROR(AVERAGE(E63:E69),"")</f>
        <v>98</v>
      </c>
      <c r="F62" s="97">
        <f t="shared" ref="F62:AA62" si="10">IFERROR(AVERAGE(F63:F69),"")</f>
        <v>90</v>
      </c>
      <c r="G62" s="97">
        <f t="shared" si="10"/>
        <v>90</v>
      </c>
      <c r="H62" s="97">
        <f t="shared" si="10"/>
        <v>90</v>
      </c>
      <c r="I62" s="97">
        <f t="shared" si="10"/>
        <v>100</v>
      </c>
      <c r="J62" s="97">
        <f t="shared" si="10"/>
        <v>98</v>
      </c>
      <c r="K62" s="97">
        <f t="shared" si="10"/>
        <v>100</v>
      </c>
      <c r="L62" s="97">
        <f t="shared" si="10"/>
        <v>100</v>
      </c>
      <c r="M62" s="97">
        <f t="shared" si="10"/>
        <v>100</v>
      </c>
      <c r="N62" s="97">
        <f t="shared" si="10"/>
        <v>90</v>
      </c>
      <c r="O62" s="97">
        <f t="shared" si="10"/>
        <v>100</v>
      </c>
      <c r="P62" s="97">
        <f t="shared" si="10"/>
        <v>100</v>
      </c>
      <c r="Q62" s="97">
        <f t="shared" si="10"/>
        <v>100</v>
      </c>
      <c r="R62" s="97">
        <f t="shared" si="10"/>
        <v>100</v>
      </c>
      <c r="S62" s="97">
        <f t="shared" si="10"/>
        <v>88</v>
      </c>
      <c r="T62" s="97">
        <f t="shared" si="10"/>
        <v>83</v>
      </c>
      <c r="U62" s="97">
        <f t="shared" si="10"/>
        <v>98</v>
      </c>
      <c r="V62" s="97">
        <f t="shared" si="10"/>
        <v>100</v>
      </c>
      <c r="W62" s="97">
        <f t="shared" si="10"/>
        <v>88</v>
      </c>
      <c r="X62" s="97">
        <f t="shared" si="10"/>
        <v>83</v>
      </c>
      <c r="Y62" s="97">
        <f t="shared" si="10"/>
        <v>89</v>
      </c>
      <c r="Z62" s="97">
        <f t="shared" si="10"/>
        <v>100</v>
      </c>
      <c r="AA62" s="97">
        <f t="shared" si="10"/>
        <v>100</v>
      </c>
      <c r="AB62" s="97">
        <f t="shared" ref="AB62:AH62" si="11">IFERROR(AVERAGE(AB63:AB69),"")</f>
        <v>88</v>
      </c>
      <c r="AC62" s="97" t="str">
        <f t="shared" si="11"/>
        <v/>
      </c>
      <c r="AD62" s="97" t="str">
        <f t="shared" si="11"/>
        <v/>
      </c>
      <c r="AE62" s="97" t="str">
        <f t="shared" si="11"/>
        <v/>
      </c>
      <c r="AF62" s="97" t="str">
        <f t="shared" si="11"/>
        <v/>
      </c>
      <c r="AG62" s="97" t="str">
        <f t="shared" si="11"/>
        <v/>
      </c>
      <c r="AH62" s="97" t="str">
        <f t="shared" si="11"/>
        <v/>
      </c>
    </row>
    <row r="63" spans="1:34" ht="27" customHeight="1">
      <c r="A63" s="30"/>
      <c r="B63" s="794"/>
      <c r="C63" s="74" t="s">
        <v>1920</v>
      </c>
      <c r="D63" s="72">
        <v>43739</v>
      </c>
      <c r="E63" s="98">
        <v>98</v>
      </c>
      <c r="F63" s="98">
        <v>90</v>
      </c>
      <c r="G63" s="98">
        <v>90</v>
      </c>
      <c r="H63" s="98">
        <v>90</v>
      </c>
      <c r="I63" s="98">
        <v>100</v>
      </c>
      <c r="J63" s="98">
        <v>98</v>
      </c>
      <c r="K63" s="98">
        <v>100</v>
      </c>
      <c r="L63" s="98">
        <v>100</v>
      </c>
      <c r="M63" s="98">
        <v>100</v>
      </c>
      <c r="N63" s="98">
        <v>90</v>
      </c>
      <c r="O63" s="98">
        <v>100</v>
      </c>
      <c r="P63" s="98">
        <v>100</v>
      </c>
      <c r="Q63" s="98">
        <v>100</v>
      </c>
      <c r="R63" s="98">
        <v>100</v>
      </c>
      <c r="S63" s="98">
        <v>88</v>
      </c>
      <c r="T63" s="98">
        <v>83</v>
      </c>
      <c r="U63" s="98">
        <v>98</v>
      </c>
      <c r="V63" s="98">
        <v>100</v>
      </c>
      <c r="W63" s="98">
        <v>88</v>
      </c>
      <c r="X63" s="98">
        <v>83</v>
      </c>
      <c r="Y63" s="98">
        <v>89</v>
      </c>
      <c r="Z63" s="98">
        <v>100</v>
      </c>
      <c r="AA63" s="98">
        <v>100</v>
      </c>
      <c r="AB63" s="98">
        <v>88</v>
      </c>
      <c r="AC63" s="98"/>
      <c r="AD63" s="98"/>
      <c r="AE63" s="98"/>
      <c r="AF63" s="98"/>
      <c r="AG63" s="98"/>
      <c r="AH63" s="98"/>
    </row>
    <row r="64" spans="1:34" ht="27" hidden="1" customHeight="1">
      <c r="A64" s="30"/>
      <c r="B64" s="794"/>
      <c r="C64" s="74"/>
      <c r="D64" s="72"/>
      <c r="E64" s="98"/>
      <c r="F64" s="98"/>
      <c r="G64" s="98"/>
      <c r="H64" s="98"/>
      <c r="I64" s="98"/>
      <c r="J64" s="98"/>
      <c r="K64" s="98"/>
      <c r="L64" s="98"/>
      <c r="M64" s="98"/>
      <c r="N64" s="98"/>
      <c r="O64" s="98"/>
      <c r="P64" s="98"/>
      <c r="Q64" s="98"/>
      <c r="R64" s="98"/>
      <c r="S64" s="98"/>
      <c r="T64" s="98"/>
      <c r="U64" s="98"/>
      <c r="V64" s="98"/>
      <c r="W64" s="98"/>
      <c r="X64" s="98"/>
      <c r="Y64" s="98"/>
      <c r="Z64" s="98"/>
      <c r="AA64" s="98"/>
      <c r="AB64" s="98"/>
      <c r="AC64" s="98"/>
      <c r="AD64" s="98"/>
      <c r="AE64" s="98"/>
      <c r="AF64" s="98"/>
      <c r="AG64" s="98"/>
      <c r="AH64" s="98"/>
    </row>
    <row r="65" spans="1:34" ht="27" hidden="1" customHeight="1">
      <c r="A65" s="30"/>
      <c r="B65" s="794"/>
      <c r="C65" s="74"/>
      <c r="D65" s="72"/>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row>
    <row r="66" spans="1:34" ht="27" hidden="1" customHeight="1">
      <c r="A66" s="30"/>
      <c r="B66" s="794"/>
      <c r="C66" s="74"/>
      <c r="D66" s="72"/>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row>
    <row r="67" spans="1:34" ht="27" hidden="1" customHeight="1">
      <c r="A67" s="30"/>
      <c r="B67" s="794"/>
      <c r="C67" s="74"/>
      <c r="D67" s="72"/>
      <c r="E67" s="98"/>
      <c r="F67" s="98"/>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row>
    <row r="68" spans="1:34" ht="27" hidden="1" customHeight="1">
      <c r="A68" s="30"/>
      <c r="B68" s="794"/>
      <c r="C68" s="74"/>
      <c r="D68" s="72"/>
      <c r="E68" s="98"/>
      <c r="F68" s="98"/>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row>
    <row r="69" spans="1:34" ht="27" hidden="1" customHeight="1">
      <c r="A69" s="30"/>
      <c r="B69" s="794"/>
      <c r="C69" s="74"/>
      <c r="D69" s="72"/>
      <c r="E69" s="98"/>
      <c r="F69" s="98"/>
      <c r="G69" s="98"/>
      <c r="H69" s="98"/>
      <c r="I69" s="98"/>
      <c r="J69" s="98"/>
      <c r="K69" s="98"/>
      <c r="L69" s="98"/>
      <c r="M69" s="98"/>
      <c r="N69" s="98"/>
      <c r="O69" s="98"/>
      <c r="P69" s="98"/>
      <c r="Q69" s="98"/>
      <c r="R69" s="98"/>
      <c r="S69" s="98"/>
      <c r="T69" s="98"/>
      <c r="U69" s="98"/>
      <c r="V69" s="98"/>
      <c r="W69" s="98"/>
      <c r="X69" s="98"/>
      <c r="Y69" s="98"/>
      <c r="Z69" s="98"/>
      <c r="AA69" s="98"/>
      <c r="AB69" s="98"/>
      <c r="AC69" s="98"/>
      <c r="AD69" s="98"/>
      <c r="AE69" s="98"/>
      <c r="AF69" s="98"/>
      <c r="AG69" s="98"/>
      <c r="AH69" s="98"/>
    </row>
    <row r="70" spans="1:34" ht="27" hidden="1" customHeight="1">
      <c r="A70" s="30"/>
      <c r="B70" s="417"/>
      <c r="C70" s="406"/>
      <c r="D70" s="403"/>
      <c r="E70" s="98"/>
      <c r="F70" s="98"/>
      <c r="G70" s="98"/>
      <c r="H70" s="98"/>
      <c r="I70" s="98"/>
      <c r="J70" s="98"/>
      <c r="K70" s="98"/>
      <c r="L70" s="98"/>
      <c r="M70" s="98"/>
      <c r="N70" s="98"/>
      <c r="O70" s="98"/>
      <c r="P70" s="98"/>
      <c r="Q70" s="98"/>
      <c r="R70" s="98"/>
      <c r="S70" s="98"/>
      <c r="T70" s="98"/>
      <c r="U70" s="98"/>
      <c r="V70" s="98"/>
      <c r="W70" s="98"/>
      <c r="X70" s="98"/>
      <c r="Y70" s="98"/>
      <c r="Z70" s="98"/>
      <c r="AA70" s="98"/>
      <c r="AB70" s="98"/>
      <c r="AC70" s="98"/>
      <c r="AD70" s="98"/>
      <c r="AE70" s="98"/>
      <c r="AF70" s="98"/>
      <c r="AG70" s="98"/>
      <c r="AH70" s="98"/>
    </row>
    <row r="71" spans="1:34" ht="27" customHeight="1">
      <c r="A71" s="30"/>
      <c r="B71" s="800">
        <v>7</v>
      </c>
      <c r="C71" s="795" t="s">
        <v>1921</v>
      </c>
      <c r="D71" s="796"/>
      <c r="E71" s="97">
        <f>IFERROR(AVERAGE(E72:E78),"")</f>
        <v>90</v>
      </c>
      <c r="F71" s="97">
        <f t="shared" ref="F71:AA71" si="12">IFERROR(AVERAGE(F72:F78),"")</f>
        <v>100</v>
      </c>
      <c r="G71" s="97">
        <f t="shared" si="12"/>
        <v>98</v>
      </c>
      <c r="H71" s="97">
        <f t="shared" si="12"/>
        <v>85</v>
      </c>
      <c r="I71" s="97">
        <f t="shared" si="12"/>
        <v>98</v>
      </c>
      <c r="J71" s="97">
        <f t="shared" si="12"/>
        <v>98</v>
      </c>
      <c r="K71" s="97">
        <f t="shared" si="12"/>
        <v>85</v>
      </c>
      <c r="L71" s="97">
        <f t="shared" si="12"/>
        <v>98</v>
      </c>
      <c r="M71" s="97">
        <f t="shared" si="12"/>
        <v>100</v>
      </c>
      <c r="N71" s="97">
        <f t="shared" si="12"/>
        <v>100</v>
      </c>
      <c r="O71" s="97">
        <f t="shared" si="12"/>
        <v>98</v>
      </c>
      <c r="P71" s="97">
        <f t="shared" si="12"/>
        <v>98</v>
      </c>
      <c r="Q71" s="97">
        <f t="shared" si="12"/>
        <v>98</v>
      </c>
      <c r="R71" s="97">
        <f t="shared" si="12"/>
        <v>98</v>
      </c>
      <c r="S71" s="97">
        <f t="shared" si="12"/>
        <v>85</v>
      </c>
      <c r="T71" s="97">
        <f t="shared" si="12"/>
        <v>98</v>
      </c>
      <c r="U71" s="97">
        <f t="shared" si="12"/>
        <v>90</v>
      </c>
      <c r="V71" s="97">
        <f t="shared" si="12"/>
        <v>90</v>
      </c>
      <c r="W71" s="97">
        <f t="shared" si="12"/>
        <v>98</v>
      </c>
      <c r="X71" s="97">
        <f t="shared" si="12"/>
        <v>80</v>
      </c>
      <c r="Y71" s="97">
        <f t="shared" si="12"/>
        <v>85</v>
      </c>
      <c r="Z71" s="97">
        <f t="shared" si="12"/>
        <v>98</v>
      </c>
      <c r="AA71" s="97">
        <f t="shared" si="12"/>
        <v>98</v>
      </c>
      <c r="AB71" s="97">
        <f t="shared" ref="AB71:AH71" si="13">IFERROR(AVERAGE(AB72:AB78),"")</f>
        <v>85</v>
      </c>
      <c r="AC71" s="97" t="str">
        <f t="shared" si="13"/>
        <v/>
      </c>
      <c r="AD71" s="97" t="str">
        <f t="shared" si="13"/>
        <v/>
      </c>
      <c r="AE71" s="97" t="str">
        <f t="shared" si="13"/>
        <v/>
      </c>
      <c r="AF71" s="97" t="str">
        <f t="shared" si="13"/>
        <v/>
      </c>
      <c r="AG71" s="97" t="str">
        <f t="shared" si="13"/>
        <v/>
      </c>
      <c r="AH71" s="97" t="str">
        <f t="shared" si="13"/>
        <v/>
      </c>
    </row>
    <row r="72" spans="1:34" ht="27" customHeight="1">
      <c r="A72" s="30"/>
      <c r="B72" s="801"/>
      <c r="C72" s="74" t="s">
        <v>1922</v>
      </c>
      <c r="D72" s="72">
        <v>43746</v>
      </c>
      <c r="E72" s="98">
        <v>90</v>
      </c>
      <c r="F72" s="98">
        <v>100</v>
      </c>
      <c r="G72" s="98">
        <v>98</v>
      </c>
      <c r="H72" s="98">
        <v>85</v>
      </c>
      <c r="I72" s="98">
        <v>98</v>
      </c>
      <c r="J72" s="98">
        <v>98</v>
      </c>
      <c r="K72" s="98">
        <v>85</v>
      </c>
      <c r="L72" s="98">
        <v>98</v>
      </c>
      <c r="M72" s="98">
        <v>100</v>
      </c>
      <c r="N72" s="98">
        <v>100</v>
      </c>
      <c r="O72" s="98">
        <v>98</v>
      </c>
      <c r="P72" s="98">
        <v>98</v>
      </c>
      <c r="Q72" s="98">
        <v>98</v>
      </c>
      <c r="R72" s="98">
        <v>98</v>
      </c>
      <c r="S72" s="98">
        <v>85</v>
      </c>
      <c r="T72" s="98">
        <v>98</v>
      </c>
      <c r="U72" s="98">
        <v>90</v>
      </c>
      <c r="V72" s="98">
        <v>90</v>
      </c>
      <c r="W72" s="98">
        <v>98</v>
      </c>
      <c r="X72" s="98">
        <v>80</v>
      </c>
      <c r="Y72" s="98">
        <v>85</v>
      </c>
      <c r="Z72" s="98">
        <v>98</v>
      </c>
      <c r="AA72" s="98">
        <v>98</v>
      </c>
      <c r="AB72" s="98">
        <v>85</v>
      </c>
      <c r="AC72" s="98"/>
      <c r="AD72" s="98"/>
      <c r="AE72" s="98"/>
      <c r="AF72" s="98"/>
      <c r="AG72" s="98"/>
      <c r="AH72" s="98"/>
    </row>
    <row r="73" spans="1:34" ht="27" hidden="1" customHeight="1">
      <c r="A73" s="30"/>
      <c r="B73" s="801"/>
      <c r="C73" s="74"/>
      <c r="D73" s="72"/>
      <c r="E73" s="98"/>
      <c r="F73" s="98"/>
      <c r="G73" s="98"/>
      <c r="H73" s="98"/>
      <c r="I73" s="98"/>
      <c r="J73" s="98"/>
      <c r="K73" s="98"/>
      <c r="L73" s="98"/>
      <c r="M73" s="98"/>
      <c r="N73" s="98"/>
      <c r="O73" s="98"/>
      <c r="P73" s="98"/>
      <c r="Q73" s="98"/>
      <c r="R73" s="98"/>
      <c r="S73" s="98"/>
      <c r="T73" s="98"/>
      <c r="U73" s="98"/>
      <c r="V73" s="98"/>
      <c r="W73" s="98"/>
      <c r="X73" s="98"/>
      <c r="Y73" s="98"/>
      <c r="Z73" s="98"/>
      <c r="AA73" s="98"/>
      <c r="AB73" s="98"/>
      <c r="AC73" s="98"/>
      <c r="AD73" s="98"/>
      <c r="AE73" s="98"/>
      <c r="AF73" s="98"/>
      <c r="AG73" s="98"/>
      <c r="AH73" s="98"/>
    </row>
    <row r="74" spans="1:34" ht="27" hidden="1" customHeight="1">
      <c r="A74" s="30"/>
      <c r="B74" s="801"/>
      <c r="C74" s="74"/>
      <c r="D74" s="72"/>
      <c r="E74" s="98"/>
      <c r="F74" s="98"/>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row>
    <row r="75" spans="1:34" ht="27" hidden="1" customHeight="1">
      <c r="A75" s="30"/>
      <c r="B75" s="801"/>
      <c r="C75" s="74"/>
      <c r="D75" s="72"/>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row>
    <row r="76" spans="1:34" ht="27" hidden="1" customHeight="1">
      <c r="A76" s="30"/>
      <c r="B76" s="801"/>
      <c r="C76" s="74"/>
      <c r="D76" s="72"/>
      <c r="E76" s="98"/>
      <c r="F76" s="98"/>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row>
    <row r="77" spans="1:34" ht="27" hidden="1" customHeight="1">
      <c r="A77" s="30"/>
      <c r="B77" s="801"/>
      <c r="C77" s="74"/>
      <c r="D77" s="72"/>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row>
    <row r="78" spans="1:34" ht="27" hidden="1" customHeight="1">
      <c r="A78" s="30"/>
      <c r="B78" s="802"/>
      <c r="C78" s="74"/>
      <c r="D78" s="72"/>
      <c r="E78" s="98"/>
      <c r="F78" s="98"/>
      <c r="G78" s="98"/>
      <c r="H78" s="98"/>
      <c r="I78" s="98"/>
      <c r="J78" s="98"/>
      <c r="K78" s="98"/>
      <c r="L78" s="98"/>
      <c r="M78" s="98"/>
      <c r="N78" s="98"/>
      <c r="O78" s="98"/>
      <c r="P78" s="98"/>
      <c r="Q78" s="98"/>
      <c r="R78" s="98"/>
      <c r="S78" s="98"/>
      <c r="T78" s="98"/>
      <c r="U78" s="98"/>
      <c r="V78" s="98"/>
      <c r="W78" s="98"/>
      <c r="X78" s="98"/>
      <c r="Y78" s="98"/>
      <c r="Z78" s="98"/>
      <c r="AA78" s="98"/>
      <c r="AB78" s="98"/>
      <c r="AC78" s="98"/>
      <c r="AD78" s="98"/>
      <c r="AE78" s="98"/>
      <c r="AF78" s="98"/>
      <c r="AG78" s="98"/>
      <c r="AH78" s="98"/>
    </row>
    <row r="79" spans="1:34" ht="27" hidden="1" customHeight="1">
      <c r="A79" s="30"/>
      <c r="B79" s="418"/>
      <c r="C79" s="406"/>
      <c r="D79" s="403"/>
      <c r="E79" s="98"/>
      <c r="F79" s="98"/>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row>
    <row r="80" spans="1:34" ht="27" customHeight="1">
      <c r="A80" s="30"/>
      <c r="B80" s="800">
        <v>8</v>
      </c>
      <c r="C80" s="795" t="s">
        <v>1360</v>
      </c>
      <c r="D80" s="796"/>
      <c r="E80" s="97">
        <f>IFERROR(AVERAGE(E81:E87),"")</f>
        <v>78</v>
      </c>
      <c r="F80" s="97">
        <f t="shared" ref="F80:AB80" si="14">IFERROR(AVERAGE(F81:F87),"")</f>
        <v>80</v>
      </c>
      <c r="G80" s="97">
        <f t="shared" si="14"/>
        <v>78</v>
      </c>
      <c r="H80" s="97">
        <f t="shared" si="14"/>
        <v>85</v>
      </c>
      <c r="I80" s="97">
        <f t="shared" si="14"/>
        <v>80</v>
      </c>
      <c r="J80" s="97">
        <f t="shared" si="14"/>
        <v>80</v>
      </c>
      <c r="K80" s="97">
        <f t="shared" si="14"/>
        <v>85</v>
      </c>
      <c r="L80" s="97">
        <f t="shared" si="14"/>
        <v>80</v>
      </c>
      <c r="M80" s="97">
        <f t="shared" si="14"/>
        <v>78</v>
      </c>
      <c r="N80" s="97">
        <f t="shared" si="14"/>
        <v>80</v>
      </c>
      <c r="O80" s="97">
        <f t="shared" si="14"/>
        <v>85</v>
      </c>
      <c r="P80" s="97">
        <f t="shared" si="14"/>
        <v>80</v>
      </c>
      <c r="Q80" s="97">
        <f t="shared" si="14"/>
        <v>80</v>
      </c>
      <c r="R80" s="97">
        <f t="shared" si="14"/>
        <v>81</v>
      </c>
      <c r="S80" s="97">
        <f t="shared" si="14"/>
        <v>78</v>
      </c>
      <c r="T80" s="97">
        <f t="shared" si="14"/>
        <v>80</v>
      </c>
      <c r="U80" s="97">
        <f t="shared" si="14"/>
        <v>80</v>
      </c>
      <c r="V80" s="97">
        <f t="shared" si="14"/>
        <v>80</v>
      </c>
      <c r="W80" s="97">
        <f t="shared" si="14"/>
        <v>78</v>
      </c>
      <c r="X80" s="97">
        <f t="shared" si="14"/>
        <v>80</v>
      </c>
      <c r="Y80" s="97">
        <f t="shared" si="14"/>
        <v>85</v>
      </c>
      <c r="Z80" s="97">
        <f t="shared" si="14"/>
        <v>80</v>
      </c>
      <c r="AA80" s="97">
        <f t="shared" si="14"/>
        <v>80</v>
      </c>
      <c r="AB80" s="97">
        <f t="shared" si="14"/>
        <v>80</v>
      </c>
      <c r="AC80" s="97" t="str">
        <f t="shared" ref="AC80:AH80" si="15">IFERROR(AVERAGE(AC81:AC87),"")</f>
        <v/>
      </c>
      <c r="AD80" s="97" t="str">
        <f t="shared" si="15"/>
        <v/>
      </c>
      <c r="AE80" s="97" t="str">
        <f t="shared" si="15"/>
        <v/>
      </c>
      <c r="AF80" s="97" t="str">
        <f t="shared" si="15"/>
        <v/>
      </c>
      <c r="AG80" s="97" t="str">
        <f t="shared" si="15"/>
        <v/>
      </c>
      <c r="AH80" s="97" t="str">
        <f t="shared" si="15"/>
        <v/>
      </c>
    </row>
    <row r="81" spans="1:34" ht="27" customHeight="1">
      <c r="A81" s="30"/>
      <c r="B81" s="801"/>
      <c r="C81" s="74" t="s">
        <v>1361</v>
      </c>
      <c r="D81" s="72">
        <v>43774</v>
      </c>
      <c r="E81" s="98">
        <v>78</v>
      </c>
      <c r="F81" s="98">
        <v>80</v>
      </c>
      <c r="G81" s="98">
        <v>78</v>
      </c>
      <c r="H81" s="98">
        <v>85</v>
      </c>
      <c r="I81" s="98">
        <v>80</v>
      </c>
      <c r="J81" s="98">
        <v>80</v>
      </c>
      <c r="K81" s="98">
        <v>85</v>
      </c>
      <c r="L81" s="98">
        <v>80</v>
      </c>
      <c r="M81" s="98">
        <v>78</v>
      </c>
      <c r="N81" s="98">
        <v>80</v>
      </c>
      <c r="O81" s="98">
        <v>85</v>
      </c>
      <c r="P81" s="98">
        <v>80</v>
      </c>
      <c r="Q81" s="98">
        <v>80</v>
      </c>
      <c r="R81" s="98">
        <v>81</v>
      </c>
      <c r="S81" s="98">
        <v>78</v>
      </c>
      <c r="T81" s="98">
        <v>80</v>
      </c>
      <c r="U81" s="98">
        <v>80</v>
      </c>
      <c r="V81" s="98">
        <v>80</v>
      </c>
      <c r="W81" s="98">
        <v>78</v>
      </c>
      <c r="X81" s="98">
        <v>80</v>
      </c>
      <c r="Y81" s="98">
        <v>85</v>
      </c>
      <c r="Z81" s="98">
        <v>80</v>
      </c>
      <c r="AA81" s="98">
        <v>80</v>
      </c>
      <c r="AB81" s="98">
        <v>80</v>
      </c>
      <c r="AC81" s="98"/>
      <c r="AD81" s="98"/>
      <c r="AE81" s="98"/>
      <c r="AF81" s="98"/>
      <c r="AG81" s="98"/>
      <c r="AH81" s="98"/>
    </row>
    <row r="82" spans="1:34" ht="27" hidden="1" customHeight="1">
      <c r="A82" s="30"/>
      <c r="B82" s="801"/>
      <c r="C82" s="74"/>
      <c r="D82" s="72"/>
      <c r="E82" s="98"/>
      <c r="F82" s="98"/>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row>
    <row r="83" spans="1:34" ht="27" hidden="1" customHeight="1">
      <c r="A83" s="30"/>
      <c r="B83" s="801"/>
      <c r="C83" s="74"/>
      <c r="D83" s="72"/>
      <c r="E83" s="98"/>
      <c r="F83" s="98"/>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row>
    <row r="84" spans="1:34" ht="27" hidden="1" customHeight="1">
      <c r="A84" s="30"/>
      <c r="B84" s="801"/>
      <c r="C84" s="74"/>
      <c r="D84" s="72"/>
      <c r="E84" s="98"/>
      <c r="F84" s="98"/>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row>
    <row r="85" spans="1:34" ht="27" hidden="1" customHeight="1">
      <c r="A85" s="30"/>
      <c r="B85" s="801"/>
      <c r="C85" s="74"/>
      <c r="D85" s="72"/>
      <c r="E85" s="98"/>
      <c r="F85" s="98"/>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row>
    <row r="86" spans="1:34" ht="27" hidden="1" customHeight="1">
      <c r="A86" s="30"/>
      <c r="B86" s="801"/>
      <c r="C86" s="74"/>
      <c r="D86" s="72"/>
      <c r="E86" s="98"/>
      <c r="F86" s="98"/>
      <c r="G86" s="98"/>
      <c r="H86" s="98"/>
      <c r="I86" s="98"/>
      <c r="J86" s="98"/>
      <c r="K86" s="98"/>
      <c r="L86" s="98"/>
      <c r="M86" s="98"/>
      <c r="N86" s="98"/>
      <c r="O86" s="98"/>
      <c r="P86" s="98"/>
      <c r="Q86" s="98"/>
      <c r="R86" s="98"/>
      <c r="S86" s="98"/>
      <c r="T86" s="98"/>
      <c r="U86" s="98"/>
      <c r="V86" s="98"/>
      <c r="W86" s="98"/>
      <c r="X86" s="98"/>
      <c r="Y86" s="98"/>
      <c r="Z86" s="98"/>
      <c r="AA86" s="98"/>
      <c r="AB86" s="98"/>
      <c r="AC86" s="98"/>
      <c r="AD86" s="98"/>
      <c r="AE86" s="98"/>
      <c r="AF86" s="98"/>
      <c r="AG86" s="98"/>
      <c r="AH86" s="98"/>
    </row>
    <row r="87" spans="1:34" ht="27" hidden="1" customHeight="1">
      <c r="A87" s="30"/>
      <c r="B87" s="802"/>
      <c r="C87" s="74"/>
      <c r="D87" s="72"/>
      <c r="E87" s="98"/>
      <c r="F87" s="98"/>
      <c r="G87" s="98"/>
      <c r="H87" s="98"/>
      <c r="I87" s="98"/>
      <c r="J87" s="98"/>
      <c r="K87" s="98"/>
      <c r="L87" s="98"/>
      <c r="M87" s="98"/>
      <c r="N87" s="98"/>
      <c r="O87" s="98"/>
      <c r="P87" s="98"/>
      <c r="Q87" s="98"/>
      <c r="R87" s="98"/>
      <c r="S87" s="98"/>
      <c r="T87" s="98"/>
      <c r="U87" s="98"/>
      <c r="V87" s="98"/>
      <c r="W87" s="98"/>
      <c r="X87" s="98"/>
      <c r="Y87" s="98"/>
      <c r="Z87" s="98"/>
      <c r="AA87" s="98"/>
      <c r="AB87" s="98"/>
      <c r="AC87" s="98"/>
      <c r="AD87" s="98"/>
      <c r="AE87" s="98"/>
      <c r="AF87" s="98"/>
      <c r="AG87" s="98"/>
      <c r="AH87" s="98"/>
    </row>
    <row r="88" spans="1:34" ht="27" hidden="1" customHeight="1">
      <c r="A88" s="30"/>
      <c r="B88" s="794">
        <v>9</v>
      </c>
      <c r="C88" s="795"/>
      <c r="D88" s="796"/>
      <c r="E88" s="97" t="str">
        <f>IFERROR(AVERAGE(E89:E95),"")</f>
        <v/>
      </c>
      <c r="F88" s="97" t="str">
        <f t="shared" ref="F88:AA88" si="16">IFERROR(AVERAGE(F89:F95),"")</f>
        <v/>
      </c>
      <c r="G88" s="97" t="str">
        <f t="shared" si="16"/>
        <v/>
      </c>
      <c r="H88" s="97" t="str">
        <f t="shared" si="16"/>
        <v/>
      </c>
      <c r="I88" s="97" t="str">
        <f t="shared" si="16"/>
        <v/>
      </c>
      <c r="J88" s="97" t="str">
        <f t="shared" si="16"/>
        <v/>
      </c>
      <c r="K88" s="97" t="str">
        <f t="shared" si="16"/>
        <v/>
      </c>
      <c r="L88" s="97" t="str">
        <f t="shared" si="16"/>
        <v/>
      </c>
      <c r="M88" s="97" t="str">
        <f t="shared" si="16"/>
        <v/>
      </c>
      <c r="N88" s="97" t="str">
        <f t="shared" si="16"/>
        <v/>
      </c>
      <c r="O88" s="97" t="str">
        <f t="shared" si="16"/>
        <v/>
      </c>
      <c r="P88" s="97" t="str">
        <f t="shared" si="16"/>
        <v/>
      </c>
      <c r="Q88" s="97" t="str">
        <f t="shared" si="16"/>
        <v/>
      </c>
      <c r="R88" s="97" t="str">
        <f t="shared" si="16"/>
        <v/>
      </c>
      <c r="S88" s="97" t="str">
        <f t="shared" si="16"/>
        <v/>
      </c>
      <c r="T88" s="97" t="str">
        <f t="shared" si="16"/>
        <v/>
      </c>
      <c r="U88" s="97" t="str">
        <f t="shared" si="16"/>
        <v/>
      </c>
      <c r="V88" s="97" t="str">
        <f t="shared" si="16"/>
        <v/>
      </c>
      <c r="W88" s="97" t="str">
        <f t="shared" si="16"/>
        <v/>
      </c>
      <c r="X88" s="97" t="str">
        <f t="shared" si="16"/>
        <v/>
      </c>
      <c r="Y88" s="97" t="str">
        <f t="shared" si="16"/>
        <v/>
      </c>
      <c r="Z88" s="97" t="str">
        <f t="shared" si="16"/>
        <v/>
      </c>
      <c r="AA88" s="97" t="str">
        <f t="shared" si="16"/>
        <v/>
      </c>
      <c r="AB88" s="97" t="str">
        <f t="shared" ref="AB88:AH88" si="17">IFERROR(AVERAGE(AB89:AB95),"")</f>
        <v/>
      </c>
      <c r="AC88" s="97" t="str">
        <f t="shared" si="17"/>
        <v/>
      </c>
      <c r="AD88" s="97" t="str">
        <f t="shared" si="17"/>
        <v/>
      </c>
      <c r="AE88" s="97" t="str">
        <f t="shared" si="17"/>
        <v/>
      </c>
      <c r="AF88" s="97" t="str">
        <f t="shared" si="17"/>
        <v/>
      </c>
      <c r="AG88" s="97" t="str">
        <f t="shared" si="17"/>
        <v/>
      </c>
      <c r="AH88" s="97" t="str">
        <f t="shared" si="17"/>
        <v/>
      </c>
    </row>
    <row r="89" spans="1:34" ht="27" hidden="1" customHeight="1">
      <c r="A89" s="30"/>
      <c r="B89" s="794"/>
      <c r="C89" s="74"/>
      <c r="D89" s="72"/>
      <c r="E89" s="98"/>
      <c r="F89" s="98"/>
      <c r="G89" s="98"/>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row>
    <row r="90" spans="1:34" ht="27" hidden="1" customHeight="1">
      <c r="A90" s="30"/>
      <c r="B90" s="794"/>
      <c r="C90" s="74" t="s">
        <v>202</v>
      </c>
      <c r="D90" s="72"/>
      <c r="E90" s="98"/>
      <c r="F90" s="98"/>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row>
    <row r="91" spans="1:34" ht="27" hidden="1" customHeight="1">
      <c r="A91" s="30"/>
      <c r="B91" s="794"/>
      <c r="C91" s="74" t="s">
        <v>203</v>
      </c>
      <c r="D91" s="72"/>
      <c r="E91" s="98"/>
      <c r="F91" s="98"/>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row>
    <row r="92" spans="1:34" ht="27" hidden="1" customHeight="1">
      <c r="A92" s="30"/>
      <c r="B92" s="794"/>
      <c r="C92" s="74" t="s">
        <v>204</v>
      </c>
      <c r="D92" s="72"/>
      <c r="E92" s="98"/>
      <c r="F92" s="98"/>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row>
    <row r="93" spans="1:34" ht="27" hidden="1" customHeight="1">
      <c r="A93" s="30"/>
      <c r="B93" s="794"/>
      <c r="C93" s="74" t="s">
        <v>205</v>
      </c>
      <c r="D93" s="72"/>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row>
    <row r="94" spans="1:34" ht="27" hidden="1" customHeight="1">
      <c r="A94" s="30"/>
      <c r="B94" s="794"/>
      <c r="C94" s="74" t="s">
        <v>206</v>
      </c>
      <c r="D94" s="72"/>
      <c r="E94" s="98"/>
      <c r="F94" s="98"/>
      <c r="G94" s="98"/>
      <c r="H94" s="98"/>
      <c r="I94" s="98"/>
      <c r="J94" s="98"/>
      <c r="K94" s="98"/>
      <c r="L94" s="98"/>
      <c r="M94" s="98"/>
      <c r="N94" s="98"/>
      <c r="O94" s="98"/>
      <c r="P94" s="98"/>
      <c r="Q94" s="98"/>
      <c r="R94" s="98"/>
      <c r="S94" s="98"/>
      <c r="T94" s="98"/>
      <c r="U94" s="98"/>
      <c r="V94" s="98"/>
      <c r="W94" s="98"/>
      <c r="X94" s="98"/>
      <c r="Y94" s="98"/>
      <c r="Z94" s="98"/>
      <c r="AA94" s="98"/>
      <c r="AB94" s="98"/>
      <c r="AC94" s="98"/>
      <c r="AD94" s="98"/>
      <c r="AE94" s="98"/>
      <c r="AF94" s="98"/>
      <c r="AG94" s="98"/>
      <c r="AH94" s="98"/>
    </row>
    <row r="95" spans="1:34" ht="27" hidden="1" customHeight="1">
      <c r="A95" s="30"/>
      <c r="B95" s="794"/>
      <c r="C95" s="74" t="s">
        <v>207</v>
      </c>
      <c r="D95" s="72"/>
      <c r="E95" s="98"/>
      <c r="F95" s="98"/>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row>
    <row r="96" spans="1:34" ht="27" hidden="1" customHeight="1">
      <c r="A96" s="30"/>
      <c r="B96" s="800">
        <v>10</v>
      </c>
      <c r="C96" s="795"/>
      <c r="D96" s="796"/>
      <c r="E96" s="97" t="str">
        <f>IFERROR(AVERAGE(E97:E103),"")</f>
        <v/>
      </c>
      <c r="F96" s="97" t="str">
        <f t="shared" ref="F96:AH96" si="18">IFERROR(AVERAGE(F97:F103),"")</f>
        <v/>
      </c>
      <c r="G96" s="97" t="str">
        <f t="shared" si="18"/>
        <v/>
      </c>
      <c r="H96" s="97" t="str">
        <f t="shared" si="18"/>
        <v/>
      </c>
      <c r="I96" s="97" t="str">
        <f t="shared" si="18"/>
        <v/>
      </c>
      <c r="J96" s="97" t="str">
        <f t="shared" si="18"/>
        <v/>
      </c>
      <c r="K96" s="97" t="str">
        <f t="shared" si="18"/>
        <v/>
      </c>
      <c r="L96" s="97" t="str">
        <f t="shared" si="18"/>
        <v/>
      </c>
      <c r="M96" s="97" t="str">
        <f t="shared" si="18"/>
        <v/>
      </c>
      <c r="N96" s="97" t="str">
        <f t="shared" si="18"/>
        <v/>
      </c>
      <c r="O96" s="97" t="str">
        <f t="shared" si="18"/>
        <v/>
      </c>
      <c r="P96" s="97" t="str">
        <f t="shared" si="18"/>
        <v/>
      </c>
      <c r="Q96" s="97" t="str">
        <f t="shared" si="18"/>
        <v/>
      </c>
      <c r="R96" s="97" t="str">
        <f t="shared" si="18"/>
        <v/>
      </c>
      <c r="S96" s="97" t="str">
        <f t="shared" si="18"/>
        <v/>
      </c>
      <c r="T96" s="97" t="str">
        <f t="shared" si="18"/>
        <v/>
      </c>
      <c r="U96" s="97" t="str">
        <f t="shared" si="18"/>
        <v/>
      </c>
      <c r="V96" s="97" t="str">
        <f t="shared" si="18"/>
        <v/>
      </c>
      <c r="W96" s="97" t="str">
        <f t="shared" si="18"/>
        <v/>
      </c>
      <c r="X96" s="97" t="str">
        <f t="shared" si="18"/>
        <v/>
      </c>
      <c r="Y96" s="97" t="str">
        <f t="shared" si="18"/>
        <v/>
      </c>
      <c r="Z96" s="97" t="str">
        <f t="shared" si="18"/>
        <v/>
      </c>
      <c r="AA96" s="97" t="str">
        <f t="shared" si="18"/>
        <v/>
      </c>
      <c r="AB96" s="97" t="str">
        <f t="shared" si="18"/>
        <v/>
      </c>
      <c r="AC96" s="97" t="str">
        <f t="shared" si="18"/>
        <v/>
      </c>
      <c r="AD96" s="97" t="str">
        <f t="shared" si="18"/>
        <v/>
      </c>
      <c r="AE96" s="97" t="str">
        <f t="shared" si="18"/>
        <v/>
      </c>
      <c r="AF96" s="97" t="str">
        <f t="shared" si="18"/>
        <v/>
      </c>
      <c r="AG96" s="97" t="str">
        <f t="shared" si="18"/>
        <v/>
      </c>
      <c r="AH96" s="97" t="str">
        <f t="shared" si="18"/>
        <v/>
      </c>
    </row>
    <row r="97" spans="1:34" ht="27" hidden="1" customHeight="1">
      <c r="A97" s="30"/>
      <c r="B97" s="801"/>
      <c r="C97" s="74" t="s">
        <v>208</v>
      </c>
      <c r="D97" s="72"/>
      <c r="E97" s="98"/>
      <c r="F97" s="98"/>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row>
    <row r="98" spans="1:34" ht="27" hidden="1" customHeight="1">
      <c r="A98" s="30"/>
      <c r="B98" s="801"/>
      <c r="C98" s="74" t="s">
        <v>209</v>
      </c>
      <c r="D98" s="72"/>
      <c r="E98" s="98"/>
      <c r="F98" s="98"/>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row>
    <row r="99" spans="1:34" ht="27" hidden="1" customHeight="1">
      <c r="A99" s="30"/>
      <c r="B99" s="801"/>
      <c r="C99" s="74" t="s">
        <v>210</v>
      </c>
      <c r="D99" s="72"/>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row>
    <row r="100" spans="1:34" ht="27" hidden="1" customHeight="1">
      <c r="A100" s="30"/>
      <c r="B100" s="801"/>
      <c r="C100" s="74" t="s">
        <v>211</v>
      </c>
      <c r="D100" s="72"/>
      <c r="E100" s="98"/>
      <c r="F100" s="98"/>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row>
    <row r="101" spans="1:34" ht="27" hidden="1" customHeight="1">
      <c r="A101" s="30"/>
      <c r="B101" s="801"/>
      <c r="C101" s="74" t="s">
        <v>212</v>
      </c>
      <c r="D101" s="72"/>
      <c r="E101" s="98"/>
      <c r="F101" s="98"/>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row>
    <row r="102" spans="1:34" ht="27" hidden="1" customHeight="1">
      <c r="A102" s="30"/>
      <c r="B102" s="801"/>
      <c r="C102" s="74" t="s">
        <v>213</v>
      </c>
      <c r="D102" s="72"/>
      <c r="E102" s="98"/>
      <c r="F102" s="98"/>
      <c r="G102" s="98"/>
      <c r="H102" s="98"/>
      <c r="I102" s="98"/>
      <c r="J102" s="98"/>
      <c r="K102" s="98"/>
      <c r="L102" s="98"/>
      <c r="M102" s="98"/>
      <c r="N102" s="98"/>
      <c r="O102" s="98"/>
      <c r="P102" s="98"/>
      <c r="Q102" s="98"/>
      <c r="R102" s="98"/>
      <c r="S102" s="98"/>
      <c r="T102" s="98"/>
      <c r="U102" s="98"/>
      <c r="V102" s="98"/>
      <c r="W102" s="98"/>
      <c r="X102" s="98"/>
      <c r="Y102" s="98"/>
      <c r="Z102" s="98"/>
      <c r="AA102" s="98"/>
      <c r="AB102" s="98"/>
      <c r="AC102" s="98"/>
      <c r="AD102" s="98"/>
      <c r="AE102" s="98"/>
      <c r="AF102" s="98"/>
      <c r="AG102" s="98"/>
      <c r="AH102" s="98"/>
    </row>
    <row r="103" spans="1:34" ht="27" hidden="1" customHeight="1">
      <c r="A103" s="30"/>
      <c r="B103" s="802"/>
      <c r="C103" s="74" t="s">
        <v>214</v>
      </c>
      <c r="D103" s="72"/>
      <c r="E103" s="98"/>
      <c r="F103" s="98"/>
      <c r="G103" s="98"/>
      <c r="H103" s="98"/>
      <c r="I103" s="98"/>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row>
    <row r="104" spans="1:34" ht="27" hidden="1" customHeight="1">
      <c r="A104" s="30"/>
      <c r="B104" s="800">
        <v>11</v>
      </c>
      <c r="C104" s="795"/>
      <c r="D104" s="796"/>
      <c r="E104" s="97" t="str">
        <f>IFERROR(AVERAGE(E105:E111),"")</f>
        <v/>
      </c>
      <c r="F104" s="97" t="str">
        <f t="shared" ref="F104:AH104" si="19">IFERROR(AVERAGE(F105:F111),"")</f>
        <v/>
      </c>
      <c r="G104" s="97" t="str">
        <f t="shared" si="19"/>
        <v/>
      </c>
      <c r="H104" s="97" t="str">
        <f t="shared" si="19"/>
        <v/>
      </c>
      <c r="I104" s="97" t="str">
        <f t="shared" si="19"/>
        <v/>
      </c>
      <c r="J104" s="97" t="str">
        <f t="shared" si="19"/>
        <v/>
      </c>
      <c r="K104" s="97" t="str">
        <f t="shared" si="19"/>
        <v/>
      </c>
      <c r="L104" s="97" t="str">
        <f t="shared" si="19"/>
        <v/>
      </c>
      <c r="M104" s="97" t="str">
        <f t="shared" si="19"/>
        <v/>
      </c>
      <c r="N104" s="97" t="str">
        <f t="shared" si="19"/>
        <v/>
      </c>
      <c r="O104" s="97" t="str">
        <f t="shared" si="19"/>
        <v/>
      </c>
      <c r="P104" s="97" t="str">
        <f t="shared" si="19"/>
        <v/>
      </c>
      <c r="Q104" s="97" t="str">
        <f t="shared" si="19"/>
        <v/>
      </c>
      <c r="R104" s="97" t="str">
        <f t="shared" si="19"/>
        <v/>
      </c>
      <c r="S104" s="97" t="str">
        <f t="shared" si="19"/>
        <v/>
      </c>
      <c r="T104" s="97" t="str">
        <f t="shared" si="19"/>
        <v/>
      </c>
      <c r="U104" s="97" t="str">
        <f t="shared" si="19"/>
        <v/>
      </c>
      <c r="V104" s="97" t="str">
        <f t="shared" si="19"/>
        <v/>
      </c>
      <c r="W104" s="97" t="str">
        <f t="shared" si="19"/>
        <v/>
      </c>
      <c r="X104" s="97" t="str">
        <f t="shared" si="19"/>
        <v/>
      </c>
      <c r="Y104" s="97" t="str">
        <f t="shared" si="19"/>
        <v/>
      </c>
      <c r="Z104" s="97" t="str">
        <f t="shared" si="19"/>
        <v/>
      </c>
      <c r="AA104" s="97" t="str">
        <f t="shared" si="19"/>
        <v/>
      </c>
      <c r="AB104" s="97" t="str">
        <f t="shared" si="19"/>
        <v/>
      </c>
      <c r="AC104" s="97" t="str">
        <f t="shared" si="19"/>
        <v/>
      </c>
      <c r="AD104" s="97" t="str">
        <f t="shared" si="19"/>
        <v/>
      </c>
      <c r="AE104" s="97" t="str">
        <f t="shared" si="19"/>
        <v/>
      </c>
      <c r="AF104" s="97" t="str">
        <f t="shared" si="19"/>
        <v/>
      </c>
      <c r="AG104" s="97" t="str">
        <f t="shared" si="19"/>
        <v/>
      </c>
      <c r="AH104" s="97" t="str">
        <f t="shared" si="19"/>
        <v/>
      </c>
    </row>
    <row r="105" spans="1:34" ht="27" hidden="1" customHeight="1">
      <c r="A105" s="30"/>
      <c r="B105" s="801"/>
      <c r="C105" s="74" t="s">
        <v>215</v>
      </c>
      <c r="D105" s="72"/>
      <c r="E105" s="99"/>
      <c r="F105" s="99"/>
      <c r="G105" s="99"/>
      <c r="H105" s="99"/>
      <c r="I105" s="99"/>
      <c r="J105" s="99"/>
      <c r="K105" s="99"/>
      <c r="L105" s="99"/>
      <c r="M105" s="99"/>
      <c r="N105" s="99"/>
      <c r="O105" s="99"/>
      <c r="P105" s="99"/>
      <c r="Q105" s="99"/>
      <c r="R105" s="99"/>
      <c r="S105" s="99"/>
      <c r="T105" s="99"/>
      <c r="U105" s="99"/>
      <c r="V105" s="99"/>
      <c r="W105" s="99"/>
      <c r="X105" s="99"/>
      <c r="Y105" s="99"/>
      <c r="Z105" s="99"/>
      <c r="AA105" s="99"/>
      <c r="AB105" s="99"/>
      <c r="AC105" s="99"/>
      <c r="AD105" s="99"/>
      <c r="AE105" s="99"/>
      <c r="AF105" s="99"/>
      <c r="AG105" s="99"/>
      <c r="AH105" s="99"/>
    </row>
    <row r="106" spans="1:34" ht="27" hidden="1" customHeight="1">
      <c r="A106" s="30"/>
      <c r="B106" s="801"/>
      <c r="C106" s="74" t="s">
        <v>216</v>
      </c>
      <c r="D106" s="72"/>
      <c r="E106" s="98"/>
      <c r="F106" s="98"/>
      <c r="G106" s="98"/>
      <c r="H106" s="98"/>
      <c r="I106" s="98"/>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row>
    <row r="107" spans="1:34" ht="27" hidden="1" customHeight="1">
      <c r="A107" s="30"/>
      <c r="B107" s="801"/>
      <c r="C107" s="74" t="s">
        <v>217</v>
      </c>
      <c r="D107" s="72"/>
      <c r="E107" s="98"/>
      <c r="F107" s="98"/>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row>
    <row r="108" spans="1:34" ht="27" hidden="1" customHeight="1">
      <c r="A108" s="30"/>
      <c r="B108" s="801"/>
      <c r="C108" s="74" t="s">
        <v>218</v>
      </c>
      <c r="D108" s="72"/>
      <c r="E108" s="98"/>
      <c r="F108" s="98"/>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row>
    <row r="109" spans="1:34" ht="27" hidden="1" customHeight="1">
      <c r="A109" s="30"/>
      <c r="B109" s="801"/>
      <c r="C109" s="74" t="s">
        <v>219</v>
      </c>
      <c r="D109" s="72"/>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row>
    <row r="110" spans="1:34" ht="27" hidden="1" customHeight="1">
      <c r="A110" s="30"/>
      <c r="B110" s="801"/>
      <c r="C110" s="74" t="s">
        <v>220</v>
      </c>
      <c r="D110" s="72"/>
      <c r="E110" s="98"/>
      <c r="F110" s="98"/>
      <c r="G110" s="98"/>
      <c r="H110" s="98"/>
      <c r="I110" s="98"/>
      <c r="J110" s="98"/>
      <c r="K110" s="98"/>
      <c r="L110" s="98"/>
      <c r="M110" s="98"/>
      <c r="N110" s="98"/>
      <c r="O110" s="98"/>
      <c r="P110" s="98"/>
      <c r="Q110" s="98"/>
      <c r="R110" s="98"/>
      <c r="S110" s="98"/>
      <c r="T110" s="98"/>
      <c r="U110" s="98"/>
      <c r="V110" s="98"/>
      <c r="W110" s="98"/>
      <c r="X110" s="98"/>
      <c r="Y110" s="98"/>
      <c r="Z110" s="98"/>
      <c r="AA110" s="98"/>
      <c r="AB110" s="98"/>
      <c r="AC110" s="98"/>
      <c r="AD110" s="98"/>
      <c r="AE110" s="98"/>
      <c r="AF110" s="98"/>
      <c r="AG110" s="98"/>
      <c r="AH110" s="98"/>
    </row>
    <row r="111" spans="1:34" ht="27" hidden="1" customHeight="1">
      <c r="A111" s="30"/>
      <c r="B111" s="802"/>
      <c r="C111" s="74" t="s">
        <v>221</v>
      </c>
      <c r="D111" s="72"/>
      <c r="E111" s="98"/>
      <c r="F111" s="98"/>
      <c r="G111" s="98"/>
      <c r="H111" s="98"/>
      <c r="I111" s="98"/>
      <c r="J111" s="98"/>
      <c r="K111" s="98"/>
      <c r="L111" s="98"/>
      <c r="M111" s="98"/>
      <c r="N111" s="98"/>
      <c r="O111" s="98"/>
      <c r="P111" s="98"/>
      <c r="Q111" s="98"/>
      <c r="R111" s="98"/>
      <c r="S111" s="98"/>
      <c r="T111" s="98"/>
      <c r="U111" s="98"/>
      <c r="V111" s="98"/>
      <c r="W111" s="98"/>
      <c r="X111" s="98"/>
      <c r="Y111" s="98"/>
      <c r="Z111" s="98"/>
      <c r="AA111" s="98"/>
      <c r="AB111" s="98"/>
      <c r="AC111" s="98"/>
      <c r="AD111" s="98"/>
      <c r="AE111" s="98"/>
      <c r="AF111" s="98"/>
      <c r="AG111" s="98"/>
      <c r="AH111" s="98"/>
    </row>
    <row r="112" spans="1:34" ht="27" hidden="1" customHeight="1">
      <c r="A112" s="30"/>
      <c r="B112" s="800">
        <v>12</v>
      </c>
      <c r="C112" s="795"/>
      <c r="D112" s="796"/>
      <c r="E112" s="97" t="str">
        <f>IFERROR(AVERAGE(E113:E119),"")</f>
        <v/>
      </c>
      <c r="F112" s="97" t="str">
        <f t="shared" ref="F112:AH112" si="20">IFERROR(AVERAGE(F113:F119),"")</f>
        <v/>
      </c>
      <c r="G112" s="97" t="str">
        <f t="shared" si="20"/>
        <v/>
      </c>
      <c r="H112" s="97" t="str">
        <f t="shared" si="20"/>
        <v/>
      </c>
      <c r="I112" s="97" t="str">
        <f t="shared" si="20"/>
        <v/>
      </c>
      <c r="J112" s="97" t="str">
        <f t="shared" si="20"/>
        <v/>
      </c>
      <c r="K112" s="97" t="str">
        <f t="shared" si="20"/>
        <v/>
      </c>
      <c r="L112" s="97" t="str">
        <f t="shared" si="20"/>
        <v/>
      </c>
      <c r="M112" s="97" t="str">
        <f t="shared" si="20"/>
        <v/>
      </c>
      <c r="N112" s="97" t="str">
        <f t="shared" si="20"/>
        <v/>
      </c>
      <c r="O112" s="97" t="str">
        <f t="shared" si="20"/>
        <v/>
      </c>
      <c r="P112" s="97" t="str">
        <f t="shared" si="20"/>
        <v/>
      </c>
      <c r="Q112" s="97" t="str">
        <f t="shared" si="20"/>
        <v/>
      </c>
      <c r="R112" s="97" t="str">
        <f t="shared" si="20"/>
        <v/>
      </c>
      <c r="S112" s="97" t="str">
        <f t="shared" si="20"/>
        <v/>
      </c>
      <c r="T112" s="97" t="str">
        <f t="shared" si="20"/>
        <v/>
      </c>
      <c r="U112" s="97" t="str">
        <f t="shared" si="20"/>
        <v/>
      </c>
      <c r="V112" s="97" t="str">
        <f t="shared" si="20"/>
        <v/>
      </c>
      <c r="W112" s="97" t="str">
        <f t="shared" si="20"/>
        <v/>
      </c>
      <c r="X112" s="97" t="str">
        <f t="shared" si="20"/>
        <v/>
      </c>
      <c r="Y112" s="97" t="str">
        <f t="shared" si="20"/>
        <v/>
      </c>
      <c r="Z112" s="97" t="str">
        <f t="shared" si="20"/>
        <v/>
      </c>
      <c r="AA112" s="97" t="str">
        <f t="shared" si="20"/>
        <v/>
      </c>
      <c r="AB112" s="97" t="str">
        <f t="shared" si="20"/>
        <v/>
      </c>
      <c r="AC112" s="97" t="str">
        <f t="shared" si="20"/>
        <v/>
      </c>
      <c r="AD112" s="97" t="str">
        <f t="shared" si="20"/>
        <v/>
      </c>
      <c r="AE112" s="97" t="str">
        <f t="shared" si="20"/>
        <v/>
      </c>
      <c r="AF112" s="97" t="str">
        <f t="shared" si="20"/>
        <v/>
      </c>
      <c r="AG112" s="97" t="str">
        <f t="shared" si="20"/>
        <v/>
      </c>
      <c r="AH112" s="97" t="str">
        <f t="shared" si="20"/>
        <v/>
      </c>
    </row>
    <row r="113" spans="1:34" ht="27" hidden="1" customHeight="1">
      <c r="A113" s="30"/>
      <c r="B113" s="801"/>
      <c r="C113" s="74" t="s">
        <v>222</v>
      </c>
      <c r="D113" s="72"/>
      <c r="E113" s="98"/>
      <c r="F113" s="98"/>
      <c r="G113" s="98"/>
      <c r="H113" s="98"/>
      <c r="I113" s="98"/>
      <c r="J113" s="98"/>
      <c r="K113" s="98"/>
      <c r="L113" s="98"/>
      <c r="M113" s="98"/>
      <c r="N113" s="98"/>
      <c r="O113" s="98"/>
      <c r="P113" s="98"/>
      <c r="Q113" s="98"/>
      <c r="R113" s="98"/>
      <c r="S113" s="98"/>
      <c r="T113" s="98"/>
      <c r="U113" s="98"/>
      <c r="V113" s="98"/>
      <c r="W113" s="98"/>
      <c r="X113" s="98"/>
      <c r="Y113" s="98"/>
      <c r="Z113" s="98"/>
      <c r="AA113" s="98"/>
      <c r="AB113" s="98"/>
      <c r="AC113" s="98"/>
      <c r="AD113" s="98"/>
      <c r="AE113" s="98"/>
      <c r="AF113" s="98"/>
      <c r="AG113" s="98"/>
      <c r="AH113" s="98"/>
    </row>
    <row r="114" spans="1:34" ht="27" hidden="1" customHeight="1">
      <c r="A114" s="30"/>
      <c r="B114" s="801"/>
      <c r="C114" s="74" t="s">
        <v>223</v>
      </c>
      <c r="D114" s="72"/>
      <c r="E114" s="98"/>
      <c r="F114" s="98"/>
      <c r="G114" s="98"/>
      <c r="H114" s="98"/>
      <c r="I114" s="98"/>
      <c r="J114" s="98"/>
      <c r="K114" s="98"/>
      <c r="L114" s="98"/>
      <c r="M114" s="98"/>
      <c r="N114" s="98"/>
      <c r="O114" s="98"/>
      <c r="P114" s="98"/>
      <c r="Q114" s="98"/>
      <c r="R114" s="98"/>
      <c r="S114" s="98"/>
      <c r="T114" s="98"/>
      <c r="U114" s="98"/>
      <c r="V114" s="98"/>
      <c r="W114" s="98"/>
      <c r="X114" s="98"/>
      <c r="Y114" s="98"/>
      <c r="Z114" s="98"/>
      <c r="AA114" s="98"/>
      <c r="AB114" s="98"/>
      <c r="AC114" s="98"/>
      <c r="AD114" s="98"/>
      <c r="AE114" s="98"/>
      <c r="AF114" s="98"/>
      <c r="AG114" s="98"/>
      <c r="AH114" s="98"/>
    </row>
    <row r="115" spans="1:34" ht="27" hidden="1" customHeight="1">
      <c r="A115" s="30"/>
      <c r="B115" s="801"/>
      <c r="C115" s="74" t="s">
        <v>224</v>
      </c>
      <c r="D115" s="72"/>
      <c r="E115" s="98"/>
      <c r="F115" s="98"/>
      <c r="G115" s="98"/>
      <c r="H115" s="98"/>
      <c r="I115" s="98"/>
      <c r="J115" s="98"/>
      <c r="K115" s="98"/>
      <c r="L115" s="98"/>
      <c r="M115" s="98"/>
      <c r="N115" s="98"/>
      <c r="O115" s="98"/>
      <c r="P115" s="98"/>
      <c r="Q115" s="98"/>
      <c r="R115" s="98"/>
      <c r="S115" s="98"/>
      <c r="T115" s="98"/>
      <c r="U115" s="98"/>
      <c r="V115" s="98"/>
      <c r="W115" s="98"/>
      <c r="X115" s="98"/>
      <c r="Y115" s="98"/>
      <c r="Z115" s="98"/>
      <c r="AA115" s="98"/>
      <c r="AB115" s="98"/>
      <c r="AC115" s="98"/>
      <c r="AD115" s="98"/>
      <c r="AE115" s="98"/>
      <c r="AF115" s="98"/>
      <c r="AG115" s="98"/>
      <c r="AH115" s="98"/>
    </row>
    <row r="116" spans="1:34" ht="27" hidden="1" customHeight="1">
      <c r="A116" s="30"/>
      <c r="B116" s="801"/>
      <c r="C116" s="74" t="s">
        <v>225</v>
      </c>
      <c r="D116" s="72"/>
      <c r="E116" s="98"/>
      <c r="F116" s="98"/>
      <c r="G116" s="98"/>
      <c r="H116" s="98"/>
      <c r="I116" s="98"/>
      <c r="J116" s="98"/>
      <c r="K116" s="98"/>
      <c r="L116" s="98"/>
      <c r="M116" s="98"/>
      <c r="N116" s="98"/>
      <c r="O116" s="98"/>
      <c r="P116" s="98"/>
      <c r="Q116" s="98"/>
      <c r="R116" s="98"/>
      <c r="S116" s="98"/>
      <c r="T116" s="98"/>
      <c r="U116" s="98"/>
      <c r="V116" s="98"/>
      <c r="W116" s="98"/>
      <c r="X116" s="98"/>
      <c r="Y116" s="98"/>
      <c r="Z116" s="98"/>
      <c r="AA116" s="98"/>
      <c r="AB116" s="98"/>
      <c r="AC116" s="98"/>
      <c r="AD116" s="98"/>
      <c r="AE116" s="98"/>
      <c r="AF116" s="98"/>
      <c r="AG116" s="98"/>
      <c r="AH116" s="98"/>
    </row>
    <row r="117" spans="1:34" ht="27" hidden="1" customHeight="1">
      <c r="A117" s="30"/>
      <c r="B117" s="801"/>
      <c r="C117" s="74" t="s">
        <v>226</v>
      </c>
      <c r="D117" s="72"/>
      <c r="E117" s="98"/>
      <c r="F117" s="98"/>
      <c r="G117" s="98"/>
      <c r="H117" s="98"/>
      <c r="I117" s="98"/>
      <c r="J117" s="98"/>
      <c r="K117" s="98"/>
      <c r="L117" s="98"/>
      <c r="M117" s="98"/>
      <c r="N117" s="98"/>
      <c r="O117" s="98"/>
      <c r="P117" s="98"/>
      <c r="Q117" s="98"/>
      <c r="R117" s="98"/>
      <c r="S117" s="98"/>
      <c r="T117" s="98"/>
      <c r="U117" s="98"/>
      <c r="V117" s="98"/>
      <c r="W117" s="98"/>
      <c r="X117" s="98"/>
      <c r="Y117" s="98"/>
      <c r="Z117" s="98"/>
      <c r="AA117" s="98"/>
      <c r="AB117" s="98"/>
      <c r="AC117" s="98"/>
      <c r="AD117" s="98"/>
      <c r="AE117" s="98"/>
      <c r="AF117" s="98"/>
      <c r="AG117" s="98"/>
      <c r="AH117" s="98"/>
    </row>
    <row r="118" spans="1:34" ht="27" hidden="1" customHeight="1">
      <c r="A118" s="30"/>
      <c r="B118" s="801"/>
      <c r="C118" s="74" t="s">
        <v>227</v>
      </c>
      <c r="D118" s="72"/>
      <c r="E118" s="98"/>
      <c r="F118" s="98"/>
      <c r="G118" s="98"/>
      <c r="H118" s="98"/>
      <c r="I118" s="98"/>
      <c r="J118" s="98"/>
      <c r="K118" s="98"/>
      <c r="L118" s="98"/>
      <c r="M118" s="98"/>
      <c r="N118" s="98"/>
      <c r="O118" s="98"/>
      <c r="P118" s="98"/>
      <c r="Q118" s="98"/>
      <c r="R118" s="98"/>
      <c r="S118" s="98"/>
      <c r="T118" s="98"/>
      <c r="U118" s="98"/>
      <c r="V118" s="98"/>
      <c r="W118" s="98"/>
      <c r="X118" s="98"/>
      <c r="Y118" s="98"/>
      <c r="Z118" s="98"/>
      <c r="AA118" s="98"/>
      <c r="AB118" s="98"/>
      <c r="AC118" s="98"/>
      <c r="AD118" s="98"/>
      <c r="AE118" s="98"/>
      <c r="AF118" s="98"/>
      <c r="AG118" s="98"/>
      <c r="AH118" s="98"/>
    </row>
    <row r="119" spans="1:34" ht="27" hidden="1" customHeight="1">
      <c r="A119" s="30"/>
      <c r="B119" s="802"/>
      <c r="C119" s="74" t="s">
        <v>228</v>
      </c>
      <c r="D119" s="72"/>
      <c r="E119" s="98"/>
      <c r="F119" s="98"/>
      <c r="G119" s="98"/>
      <c r="H119" s="98"/>
      <c r="I119" s="98"/>
      <c r="J119" s="98"/>
      <c r="K119" s="98"/>
      <c r="L119" s="98"/>
      <c r="M119" s="98"/>
      <c r="N119" s="98"/>
      <c r="O119" s="98"/>
      <c r="P119" s="98"/>
      <c r="Q119" s="98"/>
      <c r="R119" s="98"/>
      <c r="S119" s="98"/>
      <c r="T119" s="98"/>
      <c r="U119" s="98"/>
      <c r="V119" s="98"/>
      <c r="W119" s="98"/>
      <c r="X119" s="98"/>
      <c r="Y119" s="98"/>
      <c r="Z119" s="98"/>
      <c r="AA119" s="98"/>
      <c r="AB119" s="98"/>
      <c r="AC119" s="98"/>
      <c r="AD119" s="98"/>
      <c r="AE119" s="98"/>
      <c r="AF119" s="98"/>
      <c r="AG119" s="98"/>
      <c r="AH119" s="98"/>
    </row>
    <row r="120" spans="1:34" ht="27" hidden="1" customHeight="1">
      <c r="A120" s="30"/>
      <c r="B120" s="794">
        <v>13</v>
      </c>
      <c r="C120" s="795"/>
      <c r="D120" s="796"/>
      <c r="E120" s="97" t="str">
        <f>IFERROR(AVERAGE(E121:E127),"")</f>
        <v/>
      </c>
      <c r="F120" s="97" t="str">
        <f t="shared" ref="F120:AH120" si="21">IFERROR(AVERAGE(F121:F127),"")</f>
        <v/>
      </c>
      <c r="G120" s="97" t="str">
        <f t="shared" si="21"/>
        <v/>
      </c>
      <c r="H120" s="97" t="str">
        <f t="shared" si="21"/>
        <v/>
      </c>
      <c r="I120" s="97" t="str">
        <f t="shared" si="21"/>
        <v/>
      </c>
      <c r="J120" s="97" t="str">
        <f t="shared" si="21"/>
        <v/>
      </c>
      <c r="K120" s="97" t="str">
        <f t="shared" si="21"/>
        <v/>
      </c>
      <c r="L120" s="97" t="str">
        <f t="shared" si="21"/>
        <v/>
      </c>
      <c r="M120" s="97" t="str">
        <f t="shared" si="21"/>
        <v/>
      </c>
      <c r="N120" s="97" t="str">
        <f t="shared" si="21"/>
        <v/>
      </c>
      <c r="O120" s="97" t="str">
        <f t="shared" si="21"/>
        <v/>
      </c>
      <c r="P120" s="97" t="str">
        <f t="shared" si="21"/>
        <v/>
      </c>
      <c r="Q120" s="97" t="str">
        <f t="shared" si="21"/>
        <v/>
      </c>
      <c r="R120" s="97" t="str">
        <f t="shared" si="21"/>
        <v/>
      </c>
      <c r="S120" s="97" t="str">
        <f t="shared" si="21"/>
        <v/>
      </c>
      <c r="T120" s="97" t="str">
        <f t="shared" si="21"/>
        <v/>
      </c>
      <c r="U120" s="97" t="str">
        <f t="shared" si="21"/>
        <v/>
      </c>
      <c r="V120" s="97" t="str">
        <f t="shared" si="21"/>
        <v/>
      </c>
      <c r="W120" s="97" t="str">
        <f t="shared" si="21"/>
        <v/>
      </c>
      <c r="X120" s="97" t="str">
        <f t="shared" si="21"/>
        <v/>
      </c>
      <c r="Y120" s="97" t="str">
        <f t="shared" si="21"/>
        <v/>
      </c>
      <c r="Z120" s="97" t="str">
        <f t="shared" si="21"/>
        <v/>
      </c>
      <c r="AA120" s="97" t="str">
        <f t="shared" si="21"/>
        <v/>
      </c>
      <c r="AB120" s="97" t="str">
        <f t="shared" si="21"/>
        <v/>
      </c>
      <c r="AC120" s="97" t="str">
        <f t="shared" si="21"/>
        <v/>
      </c>
      <c r="AD120" s="97" t="str">
        <f t="shared" si="21"/>
        <v/>
      </c>
      <c r="AE120" s="97" t="str">
        <f t="shared" si="21"/>
        <v/>
      </c>
      <c r="AF120" s="97" t="str">
        <f t="shared" si="21"/>
        <v/>
      </c>
      <c r="AG120" s="97" t="str">
        <f t="shared" si="21"/>
        <v/>
      </c>
      <c r="AH120" s="97" t="str">
        <f t="shared" si="21"/>
        <v/>
      </c>
    </row>
    <row r="121" spans="1:34" ht="27" hidden="1" customHeight="1">
      <c r="A121" s="30"/>
      <c r="B121" s="794"/>
      <c r="C121" s="74" t="s">
        <v>229</v>
      </c>
      <c r="D121" s="72"/>
      <c r="E121" s="98"/>
      <c r="F121" s="98"/>
      <c r="G121" s="98"/>
      <c r="H121" s="98"/>
      <c r="I121" s="98"/>
      <c r="J121" s="98"/>
      <c r="K121" s="98"/>
      <c r="L121" s="98"/>
      <c r="M121" s="98"/>
      <c r="N121" s="98"/>
      <c r="O121" s="98"/>
      <c r="P121" s="98"/>
      <c r="Q121" s="98"/>
      <c r="R121" s="98"/>
      <c r="S121" s="98"/>
      <c r="T121" s="98"/>
      <c r="U121" s="98"/>
      <c r="V121" s="98"/>
      <c r="W121" s="98"/>
      <c r="X121" s="98"/>
      <c r="Y121" s="98"/>
      <c r="Z121" s="98"/>
      <c r="AA121" s="98"/>
      <c r="AB121" s="98"/>
      <c r="AC121" s="98"/>
      <c r="AD121" s="98"/>
      <c r="AE121" s="98"/>
      <c r="AF121" s="98"/>
      <c r="AG121" s="98"/>
      <c r="AH121" s="98"/>
    </row>
    <row r="122" spans="1:34" ht="27" hidden="1" customHeight="1">
      <c r="A122" s="30"/>
      <c r="B122" s="794"/>
      <c r="C122" s="74" t="s">
        <v>230</v>
      </c>
      <c r="D122" s="72"/>
      <c r="E122" s="98"/>
      <c r="F122" s="98"/>
      <c r="G122" s="98"/>
      <c r="H122" s="98"/>
      <c r="I122" s="98"/>
      <c r="J122" s="98"/>
      <c r="K122" s="98"/>
      <c r="L122" s="98"/>
      <c r="M122" s="98"/>
      <c r="N122" s="98"/>
      <c r="O122" s="98"/>
      <c r="P122" s="98"/>
      <c r="Q122" s="98"/>
      <c r="R122" s="98"/>
      <c r="S122" s="98"/>
      <c r="T122" s="98"/>
      <c r="U122" s="98"/>
      <c r="V122" s="98"/>
      <c r="W122" s="98"/>
      <c r="X122" s="98"/>
      <c r="Y122" s="98"/>
      <c r="Z122" s="98"/>
      <c r="AA122" s="98"/>
      <c r="AB122" s="98"/>
      <c r="AC122" s="98"/>
      <c r="AD122" s="98"/>
      <c r="AE122" s="98"/>
      <c r="AF122" s="98"/>
      <c r="AG122" s="98"/>
      <c r="AH122" s="98"/>
    </row>
    <row r="123" spans="1:34" ht="27" hidden="1" customHeight="1">
      <c r="A123" s="30"/>
      <c r="B123" s="794"/>
      <c r="C123" s="74" t="s">
        <v>231</v>
      </c>
      <c r="D123" s="72"/>
      <c r="E123" s="98"/>
      <c r="F123" s="98"/>
      <c r="G123" s="98"/>
      <c r="H123" s="98"/>
      <c r="I123" s="98"/>
      <c r="J123" s="98"/>
      <c r="K123" s="98"/>
      <c r="L123" s="98"/>
      <c r="M123" s="98"/>
      <c r="N123" s="98"/>
      <c r="O123" s="98"/>
      <c r="P123" s="98"/>
      <c r="Q123" s="98"/>
      <c r="R123" s="98"/>
      <c r="S123" s="98"/>
      <c r="T123" s="98"/>
      <c r="U123" s="98"/>
      <c r="V123" s="98"/>
      <c r="W123" s="98"/>
      <c r="X123" s="98"/>
      <c r="Y123" s="98"/>
      <c r="Z123" s="98"/>
      <c r="AA123" s="98"/>
      <c r="AB123" s="98"/>
      <c r="AC123" s="98"/>
      <c r="AD123" s="98"/>
      <c r="AE123" s="98"/>
      <c r="AF123" s="98"/>
      <c r="AG123" s="98"/>
      <c r="AH123" s="98"/>
    </row>
    <row r="124" spans="1:34" ht="27" hidden="1" customHeight="1">
      <c r="A124" s="30"/>
      <c r="B124" s="794"/>
      <c r="C124" s="74" t="s">
        <v>232</v>
      </c>
      <c r="D124" s="72"/>
      <c r="E124" s="98"/>
      <c r="F124" s="98"/>
      <c r="G124" s="98"/>
      <c r="H124" s="98"/>
      <c r="I124" s="98"/>
      <c r="J124" s="98"/>
      <c r="K124" s="98"/>
      <c r="L124" s="98"/>
      <c r="M124" s="98"/>
      <c r="N124" s="98"/>
      <c r="O124" s="98"/>
      <c r="P124" s="98"/>
      <c r="Q124" s="98"/>
      <c r="R124" s="98"/>
      <c r="S124" s="98"/>
      <c r="T124" s="98"/>
      <c r="U124" s="98"/>
      <c r="V124" s="98"/>
      <c r="W124" s="98"/>
      <c r="X124" s="98"/>
      <c r="Y124" s="98"/>
      <c r="Z124" s="98"/>
      <c r="AA124" s="98"/>
      <c r="AB124" s="98"/>
      <c r="AC124" s="98"/>
      <c r="AD124" s="98"/>
      <c r="AE124" s="98"/>
      <c r="AF124" s="98"/>
      <c r="AG124" s="98"/>
      <c r="AH124" s="98"/>
    </row>
    <row r="125" spans="1:34" ht="27" hidden="1" customHeight="1">
      <c r="A125" s="30"/>
      <c r="B125" s="794"/>
      <c r="C125" s="74" t="s">
        <v>233</v>
      </c>
      <c r="D125" s="72"/>
      <c r="E125" s="98"/>
      <c r="F125" s="98"/>
      <c r="G125" s="98"/>
      <c r="H125" s="98"/>
      <c r="I125" s="98"/>
      <c r="J125" s="98"/>
      <c r="K125" s="98"/>
      <c r="L125" s="98"/>
      <c r="M125" s="98"/>
      <c r="N125" s="98"/>
      <c r="O125" s="98"/>
      <c r="P125" s="98"/>
      <c r="Q125" s="98"/>
      <c r="R125" s="98"/>
      <c r="S125" s="98"/>
      <c r="T125" s="98"/>
      <c r="U125" s="98"/>
      <c r="V125" s="98"/>
      <c r="W125" s="98"/>
      <c r="X125" s="98"/>
      <c r="Y125" s="98"/>
      <c r="Z125" s="98"/>
      <c r="AA125" s="98"/>
      <c r="AB125" s="98"/>
      <c r="AC125" s="98"/>
      <c r="AD125" s="98"/>
      <c r="AE125" s="98"/>
      <c r="AF125" s="98"/>
      <c r="AG125" s="98"/>
      <c r="AH125" s="98"/>
    </row>
    <row r="126" spans="1:34" ht="27" hidden="1" customHeight="1">
      <c r="A126" s="30"/>
      <c r="B126" s="794"/>
      <c r="C126" s="74" t="s">
        <v>234</v>
      </c>
      <c r="D126" s="72"/>
      <c r="E126" s="98"/>
      <c r="F126" s="98"/>
      <c r="G126" s="98"/>
      <c r="H126" s="98"/>
      <c r="I126" s="98"/>
      <c r="J126" s="98"/>
      <c r="K126" s="98"/>
      <c r="L126" s="98"/>
      <c r="M126" s="98"/>
      <c r="N126" s="98"/>
      <c r="O126" s="98"/>
      <c r="P126" s="98"/>
      <c r="Q126" s="98"/>
      <c r="R126" s="98"/>
      <c r="S126" s="98"/>
      <c r="T126" s="98"/>
      <c r="U126" s="98"/>
      <c r="V126" s="98"/>
      <c r="W126" s="98"/>
      <c r="X126" s="98"/>
      <c r="Y126" s="98"/>
      <c r="Z126" s="98"/>
      <c r="AA126" s="98"/>
      <c r="AB126" s="98"/>
      <c r="AC126" s="98"/>
      <c r="AD126" s="98"/>
      <c r="AE126" s="98"/>
      <c r="AF126" s="98"/>
      <c r="AG126" s="98"/>
      <c r="AH126" s="98"/>
    </row>
    <row r="127" spans="1:34" ht="27" hidden="1" customHeight="1">
      <c r="A127" s="30"/>
      <c r="B127" s="794"/>
      <c r="C127" s="74" t="s">
        <v>235</v>
      </c>
      <c r="D127" s="72"/>
      <c r="E127" s="98"/>
      <c r="F127" s="98"/>
      <c r="G127" s="98"/>
      <c r="H127" s="98"/>
      <c r="I127" s="98"/>
      <c r="J127" s="98"/>
      <c r="K127" s="98"/>
      <c r="L127" s="98"/>
      <c r="M127" s="98"/>
      <c r="N127" s="98"/>
      <c r="O127" s="98"/>
      <c r="P127" s="98"/>
      <c r="Q127" s="98"/>
      <c r="R127" s="98"/>
      <c r="S127" s="98"/>
      <c r="T127" s="98"/>
      <c r="U127" s="98"/>
      <c r="V127" s="98"/>
      <c r="W127" s="98"/>
      <c r="X127" s="98"/>
      <c r="Y127" s="98"/>
      <c r="Z127" s="98"/>
      <c r="AA127" s="98"/>
      <c r="AB127" s="98"/>
      <c r="AC127" s="98"/>
      <c r="AD127" s="98"/>
      <c r="AE127" s="98"/>
      <c r="AF127" s="98"/>
      <c r="AG127" s="98"/>
      <c r="AH127" s="98"/>
    </row>
    <row r="128" spans="1:34" ht="27" customHeight="1">
      <c r="A128" s="30"/>
      <c r="B128" s="797" t="s">
        <v>143</v>
      </c>
      <c r="C128" s="798"/>
      <c r="D128" s="799"/>
      <c r="E128" s="100">
        <f t="shared" ref="E128:AH128" si="22">IFERROR(AVERAGE(E6,E19,E28,E41,E49,E62,E71,E80,E88,E96,E104,E112,E120),"")</f>
        <v>87.678571428571431</v>
      </c>
      <c r="F128" s="100">
        <f t="shared" si="22"/>
        <v>92.40625</v>
      </c>
      <c r="G128" s="100">
        <f t="shared" si="22"/>
        <v>85.46875</v>
      </c>
      <c r="H128" s="100">
        <f t="shared" si="22"/>
        <v>88.46875</v>
      </c>
      <c r="I128" s="100">
        <f t="shared" si="22"/>
        <v>92.90625</v>
      </c>
      <c r="J128" s="100">
        <f t="shared" si="22"/>
        <v>91.09375</v>
      </c>
      <c r="K128" s="100">
        <f t="shared" si="22"/>
        <v>94.375</v>
      </c>
      <c r="L128" s="100">
        <f t="shared" si="22"/>
        <v>95.428571428571431</v>
      </c>
      <c r="M128" s="100">
        <f t="shared" si="22"/>
        <v>89.1875</v>
      </c>
      <c r="N128" s="100">
        <f t="shared" si="22"/>
        <v>92.875</v>
      </c>
      <c r="O128" s="100">
        <f t="shared" si="22"/>
        <v>95.375</v>
      </c>
      <c r="P128" s="100">
        <f t="shared" si="22"/>
        <v>93.0625</v>
      </c>
      <c r="Q128" s="100">
        <f t="shared" si="22"/>
        <v>95.84375</v>
      </c>
      <c r="R128" s="100">
        <f t="shared" si="22"/>
        <v>88.96875</v>
      </c>
      <c r="S128" s="100">
        <f t="shared" si="22"/>
        <v>80.03125</v>
      </c>
      <c r="T128" s="100">
        <f t="shared" si="22"/>
        <v>89.375</v>
      </c>
      <c r="U128" s="100">
        <f t="shared" si="22"/>
        <v>93.84375</v>
      </c>
      <c r="V128" s="100">
        <f t="shared" si="22"/>
        <v>95.375</v>
      </c>
      <c r="W128" s="100">
        <f t="shared" si="22"/>
        <v>83.375</v>
      </c>
      <c r="X128" s="100">
        <f t="shared" si="22"/>
        <v>81.84375</v>
      </c>
      <c r="Y128" s="100">
        <f t="shared" si="22"/>
        <v>89.25</v>
      </c>
      <c r="Z128" s="100">
        <f t="shared" si="22"/>
        <v>88.96875</v>
      </c>
      <c r="AA128" s="100">
        <f t="shared" si="22"/>
        <v>90.8125</v>
      </c>
      <c r="AB128" s="100">
        <f t="shared" si="22"/>
        <v>81.875</v>
      </c>
      <c r="AC128" s="100" t="str">
        <f t="shared" si="22"/>
        <v/>
      </c>
      <c r="AD128" s="100" t="str">
        <f t="shared" si="22"/>
        <v/>
      </c>
      <c r="AE128" s="100" t="str">
        <f t="shared" si="22"/>
        <v/>
      </c>
      <c r="AF128" s="100" t="str">
        <f t="shared" si="22"/>
        <v/>
      </c>
      <c r="AG128" s="100" t="str">
        <f t="shared" si="22"/>
        <v/>
      </c>
      <c r="AH128" s="100" t="str">
        <f t="shared" si="22"/>
        <v/>
      </c>
    </row>
    <row r="129" spans="2:49" hidden="1">
      <c r="B129" s="31"/>
      <c r="C129" s="31"/>
      <c r="D129" s="32"/>
    </row>
    <row r="130" spans="2:49" hidden="1">
      <c r="B130" s="31"/>
      <c r="C130" s="31"/>
      <c r="D130" s="32"/>
    </row>
    <row r="131" spans="2:49" s="29" customFormat="1" hidden="1">
      <c r="B131" s="31"/>
      <c r="C131" s="31"/>
      <c r="D131" s="32"/>
      <c r="AI131"/>
      <c r="AJ131"/>
      <c r="AK131"/>
      <c r="AL131"/>
      <c r="AM131"/>
      <c r="AN131"/>
      <c r="AO131"/>
      <c r="AP131"/>
      <c r="AQ131"/>
      <c r="AR131"/>
      <c r="AS131"/>
      <c r="AT131"/>
      <c r="AU131"/>
      <c r="AV131"/>
      <c r="AW131"/>
    </row>
    <row r="132" spans="2:49" s="29" customFormat="1" hidden="1">
      <c r="B132" s="31"/>
      <c r="C132" s="31"/>
      <c r="D132" s="32"/>
      <c r="AI132"/>
      <c r="AJ132"/>
      <c r="AK132"/>
      <c r="AL132"/>
      <c r="AM132"/>
      <c r="AN132"/>
      <c r="AO132"/>
      <c r="AP132"/>
      <c r="AQ132"/>
      <c r="AR132"/>
      <c r="AS132"/>
      <c r="AT132"/>
      <c r="AU132"/>
      <c r="AV132"/>
      <c r="AW132"/>
    </row>
    <row r="133" spans="2:49" s="29" customFormat="1" hidden="1">
      <c r="B133" s="31"/>
      <c r="C133" s="31"/>
      <c r="D133" s="32"/>
      <c r="AI133"/>
      <c r="AJ133"/>
      <c r="AK133"/>
      <c r="AL133"/>
      <c r="AM133"/>
      <c r="AN133"/>
      <c r="AO133"/>
      <c r="AP133"/>
      <c r="AQ133"/>
      <c r="AR133"/>
      <c r="AS133"/>
      <c r="AT133"/>
      <c r="AU133"/>
      <c r="AV133"/>
      <c r="AW133"/>
    </row>
    <row r="134" spans="2:49" s="29" customFormat="1" hidden="1">
      <c r="B134" s="31"/>
      <c r="C134" s="31"/>
      <c r="D134" s="32"/>
      <c r="AI134"/>
      <c r="AJ134"/>
      <c r="AK134"/>
      <c r="AL134"/>
      <c r="AM134"/>
      <c r="AN134"/>
      <c r="AO134"/>
      <c r="AP134"/>
      <c r="AQ134"/>
      <c r="AR134"/>
      <c r="AS134"/>
      <c r="AT134"/>
      <c r="AU134"/>
      <c r="AV134"/>
      <c r="AW134"/>
    </row>
    <row r="135" spans="2:49" s="29" customFormat="1" hidden="1">
      <c r="B135" s="31"/>
      <c r="C135" s="31"/>
      <c r="D135" s="32"/>
      <c r="AI135"/>
      <c r="AJ135"/>
      <c r="AK135"/>
      <c r="AL135"/>
      <c r="AM135"/>
      <c r="AN135"/>
      <c r="AO135"/>
      <c r="AP135"/>
      <c r="AQ135"/>
      <c r="AR135"/>
      <c r="AS135"/>
      <c r="AT135"/>
      <c r="AU135"/>
      <c r="AV135"/>
      <c r="AW135"/>
    </row>
    <row r="136" spans="2:49" s="29" customFormat="1" hidden="1">
      <c r="B136" s="31"/>
      <c r="C136" s="31"/>
      <c r="D136" s="32"/>
      <c r="AI136"/>
      <c r="AJ136"/>
      <c r="AK136"/>
      <c r="AL136"/>
      <c r="AM136"/>
      <c r="AN136"/>
      <c r="AO136"/>
      <c r="AP136"/>
      <c r="AQ136"/>
      <c r="AR136"/>
      <c r="AS136"/>
      <c r="AT136"/>
      <c r="AU136"/>
      <c r="AV136"/>
      <c r="AW136"/>
    </row>
    <row r="137" spans="2:49" s="29" customFormat="1" hidden="1">
      <c r="B137" s="31"/>
      <c r="C137" s="31"/>
      <c r="D137" s="32"/>
      <c r="AI137"/>
      <c r="AJ137"/>
      <c r="AK137"/>
      <c r="AL137"/>
      <c r="AM137"/>
      <c r="AN137"/>
      <c r="AO137"/>
      <c r="AP137"/>
      <c r="AQ137"/>
      <c r="AR137"/>
      <c r="AS137"/>
      <c r="AT137"/>
      <c r="AU137"/>
      <c r="AV137"/>
      <c r="AW137"/>
    </row>
    <row r="138" spans="2:49" s="29" customFormat="1" hidden="1">
      <c r="B138" s="31"/>
      <c r="C138" s="31"/>
      <c r="D138" s="32"/>
      <c r="AI138"/>
      <c r="AJ138"/>
      <c r="AK138"/>
      <c r="AL138"/>
      <c r="AM138"/>
      <c r="AN138"/>
      <c r="AO138"/>
      <c r="AP138"/>
      <c r="AQ138"/>
      <c r="AR138"/>
      <c r="AS138"/>
      <c r="AT138"/>
      <c r="AU138"/>
      <c r="AV138"/>
      <c r="AW138"/>
    </row>
    <row r="139" spans="2:49" s="29" customFormat="1" hidden="1">
      <c r="B139" s="31"/>
      <c r="C139" s="31"/>
      <c r="D139" s="32"/>
      <c r="AI139"/>
      <c r="AJ139"/>
      <c r="AK139"/>
      <c r="AL139"/>
      <c r="AM139"/>
      <c r="AN139"/>
      <c r="AO139"/>
      <c r="AP139"/>
      <c r="AQ139"/>
      <c r="AR139"/>
      <c r="AS139"/>
      <c r="AT139"/>
      <c r="AU139"/>
      <c r="AV139"/>
      <c r="AW139"/>
    </row>
    <row r="140" spans="2:49" s="29" customFormat="1" hidden="1">
      <c r="B140" s="31"/>
      <c r="C140" s="31"/>
      <c r="D140" s="32"/>
      <c r="AI140"/>
      <c r="AJ140"/>
      <c r="AK140"/>
      <c r="AL140"/>
      <c r="AM140"/>
      <c r="AN140"/>
      <c r="AO140"/>
      <c r="AP140"/>
      <c r="AQ140"/>
      <c r="AR140"/>
      <c r="AS140"/>
      <c r="AT140"/>
      <c r="AU140"/>
      <c r="AV140"/>
      <c r="AW140"/>
    </row>
    <row r="141" spans="2:49" s="29" customFormat="1" hidden="1">
      <c r="B141" s="31"/>
      <c r="C141" s="31"/>
      <c r="D141" s="32"/>
      <c r="AI141"/>
      <c r="AJ141"/>
      <c r="AK141"/>
      <c r="AL141"/>
      <c r="AM141"/>
      <c r="AN141"/>
      <c r="AO141"/>
      <c r="AP141"/>
      <c r="AQ141"/>
      <c r="AR141"/>
      <c r="AS141"/>
      <c r="AT141"/>
      <c r="AU141"/>
      <c r="AV141"/>
      <c r="AW141"/>
    </row>
    <row r="142" spans="2:49" s="29" customFormat="1" hidden="1">
      <c r="B142" s="31"/>
      <c r="C142" s="31"/>
      <c r="D142" s="32"/>
      <c r="AI142"/>
      <c r="AJ142"/>
      <c r="AK142"/>
      <c r="AL142"/>
      <c r="AM142"/>
      <c r="AN142"/>
      <c r="AO142"/>
      <c r="AP142"/>
      <c r="AQ142"/>
      <c r="AR142"/>
      <c r="AS142"/>
      <c r="AT142"/>
      <c r="AU142"/>
      <c r="AV142"/>
      <c r="AW142"/>
    </row>
    <row r="143" spans="2:49" s="29" customFormat="1" hidden="1">
      <c r="B143" s="31"/>
      <c r="C143" s="31"/>
      <c r="D143" s="32"/>
      <c r="AI143"/>
      <c r="AJ143"/>
      <c r="AK143"/>
      <c r="AL143"/>
      <c r="AM143"/>
      <c r="AN143"/>
      <c r="AO143"/>
      <c r="AP143"/>
      <c r="AQ143"/>
      <c r="AR143"/>
      <c r="AS143"/>
      <c r="AT143"/>
      <c r="AU143"/>
      <c r="AV143"/>
      <c r="AW143"/>
    </row>
    <row r="144" spans="2:49" s="29" customFormat="1" hidden="1">
      <c r="B144" s="31"/>
      <c r="C144" s="31"/>
      <c r="D144" s="32"/>
      <c r="AI144"/>
      <c r="AJ144"/>
      <c r="AK144"/>
      <c r="AL144"/>
      <c r="AM144"/>
      <c r="AN144"/>
      <c r="AO144"/>
      <c r="AP144"/>
      <c r="AQ144"/>
      <c r="AR144"/>
      <c r="AS144"/>
      <c r="AT144"/>
      <c r="AU144"/>
      <c r="AV144"/>
      <c r="AW144"/>
    </row>
    <row r="145" spans="2:49" s="29" customFormat="1" hidden="1">
      <c r="B145" s="31"/>
      <c r="C145" s="31"/>
      <c r="D145" s="32"/>
      <c r="AI145"/>
      <c r="AJ145"/>
      <c r="AK145"/>
      <c r="AL145"/>
      <c r="AM145"/>
      <c r="AN145"/>
      <c r="AO145"/>
      <c r="AP145"/>
      <c r="AQ145"/>
      <c r="AR145"/>
      <c r="AS145"/>
      <c r="AT145"/>
      <c r="AU145"/>
      <c r="AV145"/>
      <c r="AW145"/>
    </row>
    <row r="146" spans="2:49" s="29" customFormat="1" hidden="1">
      <c r="B146" s="31"/>
      <c r="C146" s="31"/>
      <c r="D146" s="32"/>
      <c r="AI146"/>
      <c r="AJ146"/>
      <c r="AK146"/>
      <c r="AL146"/>
      <c r="AM146"/>
      <c r="AN146"/>
      <c r="AO146"/>
      <c r="AP146"/>
      <c r="AQ146"/>
      <c r="AR146"/>
      <c r="AS146"/>
      <c r="AT146"/>
      <c r="AU146"/>
      <c r="AV146"/>
      <c r="AW146"/>
    </row>
    <row r="147" spans="2:49" s="29" customFormat="1" hidden="1">
      <c r="B147" s="31"/>
      <c r="C147" s="31"/>
      <c r="D147" s="32"/>
      <c r="AI147"/>
      <c r="AJ147"/>
      <c r="AK147"/>
      <c r="AL147"/>
      <c r="AM147"/>
      <c r="AN147"/>
      <c r="AO147"/>
      <c r="AP147"/>
      <c r="AQ147"/>
      <c r="AR147"/>
      <c r="AS147"/>
      <c r="AT147"/>
      <c r="AU147"/>
      <c r="AV147"/>
      <c r="AW147"/>
    </row>
    <row r="148" spans="2:49" s="29" customFormat="1" hidden="1">
      <c r="B148" s="31"/>
      <c r="C148" s="31"/>
      <c r="D148" s="32"/>
      <c r="AI148"/>
      <c r="AJ148"/>
      <c r="AK148"/>
      <c r="AL148"/>
      <c r="AM148"/>
      <c r="AN148"/>
      <c r="AO148"/>
      <c r="AP148"/>
      <c r="AQ148"/>
      <c r="AR148"/>
      <c r="AS148"/>
      <c r="AT148"/>
      <c r="AU148"/>
      <c r="AV148"/>
      <c r="AW148"/>
    </row>
    <row r="149" spans="2:49" s="29" customFormat="1" hidden="1">
      <c r="B149" s="31"/>
      <c r="C149" s="31"/>
      <c r="D149" s="32"/>
      <c r="AI149"/>
      <c r="AJ149"/>
      <c r="AK149"/>
      <c r="AL149"/>
      <c r="AM149"/>
      <c r="AN149"/>
      <c r="AO149"/>
      <c r="AP149"/>
      <c r="AQ149"/>
      <c r="AR149"/>
      <c r="AS149"/>
      <c r="AT149"/>
      <c r="AU149"/>
      <c r="AV149"/>
      <c r="AW149"/>
    </row>
    <row r="150" spans="2:49" s="29" customFormat="1" hidden="1">
      <c r="B150" s="31"/>
      <c r="C150" s="31"/>
      <c r="D150" s="32"/>
      <c r="AI150"/>
      <c r="AJ150"/>
      <c r="AK150"/>
      <c r="AL150"/>
      <c r="AM150"/>
      <c r="AN150"/>
      <c r="AO150"/>
      <c r="AP150"/>
      <c r="AQ150"/>
      <c r="AR150"/>
      <c r="AS150"/>
      <c r="AT150"/>
      <c r="AU150"/>
      <c r="AV150"/>
      <c r="AW150"/>
    </row>
    <row r="151" spans="2:49" s="29" customFormat="1" hidden="1">
      <c r="B151" s="31"/>
      <c r="C151" s="31"/>
      <c r="D151" s="32"/>
      <c r="AI151"/>
      <c r="AJ151"/>
      <c r="AK151"/>
      <c r="AL151"/>
      <c r="AM151"/>
      <c r="AN151"/>
      <c r="AO151"/>
      <c r="AP151"/>
      <c r="AQ151"/>
      <c r="AR151"/>
      <c r="AS151"/>
      <c r="AT151"/>
      <c r="AU151"/>
      <c r="AV151"/>
      <c r="AW151"/>
    </row>
    <row r="152" spans="2:49" s="29" customFormat="1" hidden="1">
      <c r="B152" s="31"/>
      <c r="C152" s="31"/>
      <c r="D152" s="32"/>
      <c r="AI152"/>
      <c r="AJ152"/>
      <c r="AK152"/>
      <c r="AL152"/>
      <c r="AM152"/>
      <c r="AN152"/>
      <c r="AO152"/>
      <c r="AP152"/>
      <c r="AQ152"/>
      <c r="AR152"/>
      <c r="AS152"/>
      <c r="AT152"/>
      <c r="AU152"/>
      <c r="AV152"/>
      <c r="AW152"/>
    </row>
    <row r="153" spans="2:49" s="29" customFormat="1" hidden="1">
      <c r="B153" s="31"/>
      <c r="C153" s="31"/>
      <c r="D153" s="32"/>
      <c r="AI153"/>
      <c r="AJ153"/>
      <c r="AK153"/>
      <c r="AL153"/>
      <c r="AM153"/>
      <c r="AN153"/>
      <c r="AO153"/>
      <c r="AP153"/>
      <c r="AQ153"/>
      <c r="AR153"/>
      <c r="AS153"/>
      <c r="AT153"/>
      <c r="AU153"/>
      <c r="AV153"/>
      <c r="AW153"/>
    </row>
    <row r="154" spans="2:49" s="29" customFormat="1" hidden="1">
      <c r="B154" s="31"/>
      <c r="C154" s="31"/>
      <c r="D154" s="32"/>
      <c r="AI154"/>
      <c r="AJ154"/>
      <c r="AK154"/>
      <c r="AL154"/>
      <c r="AM154"/>
      <c r="AN154"/>
      <c r="AO154"/>
      <c r="AP154"/>
      <c r="AQ154"/>
      <c r="AR154"/>
      <c r="AS154"/>
      <c r="AT154"/>
      <c r="AU154"/>
      <c r="AV154"/>
      <c r="AW154"/>
    </row>
    <row r="155" spans="2:49" s="29" customFormat="1" hidden="1">
      <c r="B155" s="31"/>
      <c r="C155" s="31"/>
      <c r="D155" s="32"/>
      <c r="AI155"/>
      <c r="AJ155"/>
      <c r="AK155"/>
      <c r="AL155"/>
      <c r="AM155"/>
      <c r="AN155"/>
      <c r="AO155"/>
      <c r="AP155"/>
      <c r="AQ155"/>
      <c r="AR155"/>
      <c r="AS155"/>
      <c r="AT155"/>
      <c r="AU155"/>
      <c r="AV155"/>
      <c r="AW155"/>
    </row>
    <row r="156" spans="2:49" s="29" customFormat="1" hidden="1">
      <c r="B156" s="31"/>
      <c r="C156" s="31"/>
      <c r="D156" s="32"/>
      <c r="AI156"/>
      <c r="AJ156"/>
      <c r="AK156"/>
      <c r="AL156"/>
      <c r="AM156"/>
      <c r="AN156"/>
      <c r="AO156"/>
      <c r="AP156"/>
      <c r="AQ156"/>
      <c r="AR156"/>
      <c r="AS156"/>
      <c r="AT156"/>
      <c r="AU156"/>
      <c r="AV156"/>
      <c r="AW156"/>
    </row>
    <row r="157" spans="2:49" s="29" customFormat="1" hidden="1">
      <c r="B157" s="31"/>
      <c r="C157" s="31"/>
      <c r="D157" s="32"/>
      <c r="AI157"/>
      <c r="AJ157"/>
      <c r="AK157"/>
      <c r="AL157"/>
      <c r="AM157"/>
      <c r="AN157"/>
      <c r="AO157"/>
      <c r="AP157"/>
      <c r="AQ157"/>
      <c r="AR157"/>
      <c r="AS157"/>
      <c r="AT157"/>
      <c r="AU157"/>
      <c r="AV157"/>
      <c r="AW157"/>
    </row>
    <row r="158" spans="2:49" s="29" customFormat="1" hidden="1">
      <c r="B158" s="31"/>
      <c r="C158" s="31"/>
      <c r="D158" s="32"/>
      <c r="AI158"/>
      <c r="AJ158"/>
      <c r="AK158"/>
      <c r="AL158"/>
      <c r="AM158"/>
      <c r="AN158"/>
      <c r="AO158"/>
      <c r="AP158"/>
      <c r="AQ158"/>
      <c r="AR158"/>
      <c r="AS158"/>
      <c r="AT158"/>
      <c r="AU158"/>
      <c r="AV158"/>
      <c r="AW158"/>
    </row>
    <row r="159" spans="2:49" s="29" customFormat="1" hidden="1">
      <c r="B159" s="31"/>
      <c r="C159" s="31"/>
      <c r="D159" s="32"/>
      <c r="AI159"/>
      <c r="AJ159"/>
      <c r="AK159"/>
      <c r="AL159"/>
      <c r="AM159"/>
      <c r="AN159"/>
      <c r="AO159"/>
      <c r="AP159"/>
      <c r="AQ159"/>
      <c r="AR159"/>
      <c r="AS159"/>
      <c r="AT159"/>
      <c r="AU159"/>
      <c r="AV159"/>
      <c r="AW159"/>
    </row>
    <row r="160" spans="2:49" s="29" customFormat="1" hidden="1">
      <c r="B160" s="31"/>
      <c r="C160" s="31"/>
      <c r="D160" s="32"/>
      <c r="AI160"/>
      <c r="AJ160"/>
      <c r="AK160"/>
      <c r="AL160"/>
      <c r="AM160"/>
      <c r="AN160"/>
      <c r="AO160"/>
      <c r="AP160"/>
      <c r="AQ160"/>
      <c r="AR160"/>
      <c r="AS160"/>
      <c r="AT160"/>
      <c r="AU160"/>
      <c r="AV160"/>
      <c r="AW160"/>
    </row>
    <row r="161" spans="2:49" s="29" customFormat="1" hidden="1">
      <c r="B161" s="31"/>
      <c r="C161" s="31"/>
      <c r="D161" s="32"/>
      <c r="AI161"/>
      <c r="AJ161"/>
      <c r="AK161"/>
      <c r="AL161"/>
      <c r="AM161"/>
      <c r="AN161"/>
      <c r="AO161"/>
      <c r="AP161"/>
      <c r="AQ161"/>
      <c r="AR161"/>
      <c r="AS161"/>
      <c r="AT161"/>
      <c r="AU161"/>
      <c r="AV161"/>
      <c r="AW161"/>
    </row>
    <row r="162" spans="2:49" s="29" customFormat="1" hidden="1">
      <c r="B162" s="31"/>
      <c r="C162" s="31"/>
      <c r="D162" s="32"/>
      <c r="AI162"/>
      <c r="AJ162"/>
      <c r="AK162"/>
      <c r="AL162"/>
      <c r="AM162"/>
      <c r="AN162"/>
      <c r="AO162"/>
      <c r="AP162"/>
      <c r="AQ162"/>
      <c r="AR162"/>
      <c r="AS162"/>
      <c r="AT162"/>
      <c r="AU162"/>
      <c r="AV162"/>
      <c r="AW162"/>
    </row>
    <row r="163" spans="2:49" s="29" customFormat="1" hidden="1">
      <c r="B163" s="31"/>
      <c r="C163" s="31"/>
      <c r="D163" s="32"/>
      <c r="AI163"/>
      <c r="AJ163"/>
      <c r="AK163"/>
      <c r="AL163"/>
      <c r="AM163"/>
      <c r="AN163"/>
      <c r="AO163"/>
      <c r="AP163"/>
      <c r="AQ163"/>
      <c r="AR163"/>
      <c r="AS163"/>
      <c r="AT163"/>
      <c r="AU163"/>
      <c r="AV163"/>
      <c r="AW163"/>
    </row>
    <row r="164" spans="2:49" s="29" customFormat="1" hidden="1">
      <c r="B164" s="31"/>
      <c r="C164" s="31"/>
      <c r="D164" s="32"/>
      <c r="AI164"/>
      <c r="AJ164"/>
      <c r="AK164"/>
      <c r="AL164"/>
      <c r="AM164"/>
      <c r="AN164"/>
      <c r="AO164"/>
      <c r="AP164"/>
      <c r="AQ164"/>
      <c r="AR164"/>
      <c r="AS164"/>
      <c r="AT164"/>
      <c r="AU164"/>
      <c r="AV164"/>
      <c r="AW164"/>
    </row>
    <row r="165" spans="2:49" s="29" customFormat="1" hidden="1">
      <c r="B165" s="31"/>
      <c r="C165" s="31"/>
      <c r="D165" s="32"/>
      <c r="AI165"/>
      <c r="AJ165"/>
      <c r="AK165"/>
      <c r="AL165"/>
      <c r="AM165"/>
      <c r="AN165"/>
      <c r="AO165"/>
      <c r="AP165"/>
      <c r="AQ165"/>
      <c r="AR165"/>
      <c r="AS165"/>
      <c r="AT165"/>
      <c r="AU165"/>
      <c r="AV165"/>
      <c r="AW165"/>
    </row>
    <row r="166" spans="2:49" s="29" customFormat="1" hidden="1">
      <c r="B166" s="31"/>
      <c r="C166" s="31"/>
      <c r="D166" s="32"/>
      <c r="AI166"/>
      <c r="AJ166"/>
      <c r="AK166"/>
      <c r="AL166"/>
      <c r="AM166"/>
      <c r="AN166"/>
      <c r="AO166"/>
      <c r="AP166"/>
      <c r="AQ166"/>
      <c r="AR166"/>
      <c r="AS166"/>
      <c r="AT166"/>
      <c r="AU166"/>
      <c r="AV166"/>
      <c r="AW166"/>
    </row>
    <row r="167" spans="2:49" s="29" customFormat="1" hidden="1">
      <c r="B167" s="31"/>
      <c r="C167" s="31"/>
      <c r="D167" s="32"/>
      <c r="AI167"/>
      <c r="AJ167"/>
      <c r="AK167"/>
      <c r="AL167"/>
      <c r="AM167"/>
      <c r="AN167"/>
      <c r="AO167"/>
      <c r="AP167"/>
      <c r="AQ167"/>
      <c r="AR167"/>
      <c r="AS167"/>
      <c r="AT167"/>
      <c r="AU167"/>
      <c r="AV167"/>
      <c r="AW167"/>
    </row>
    <row r="168" spans="2:49" s="29" customFormat="1" hidden="1">
      <c r="B168" s="31"/>
      <c r="C168" s="31"/>
      <c r="D168" s="32"/>
      <c r="AI168"/>
      <c r="AJ168"/>
      <c r="AK168"/>
      <c r="AL168"/>
      <c r="AM168"/>
      <c r="AN168"/>
      <c r="AO168"/>
      <c r="AP168"/>
      <c r="AQ168"/>
      <c r="AR168"/>
      <c r="AS168"/>
      <c r="AT168"/>
      <c r="AU168"/>
      <c r="AV168"/>
      <c r="AW168"/>
    </row>
    <row r="169" spans="2:49" s="29" customFormat="1" hidden="1">
      <c r="B169" s="31"/>
      <c r="C169" s="31"/>
      <c r="D169" s="32"/>
      <c r="AI169"/>
      <c r="AJ169"/>
      <c r="AK169"/>
      <c r="AL169"/>
      <c r="AM169"/>
      <c r="AN169"/>
      <c r="AO169"/>
      <c r="AP169"/>
      <c r="AQ169"/>
      <c r="AR169"/>
      <c r="AS169"/>
      <c r="AT169"/>
      <c r="AU169"/>
      <c r="AV169"/>
      <c r="AW169"/>
    </row>
    <row r="170" spans="2:49" s="29" customFormat="1" hidden="1">
      <c r="B170" s="31"/>
      <c r="C170" s="31"/>
      <c r="D170" s="32"/>
      <c r="AI170"/>
      <c r="AJ170"/>
      <c r="AK170"/>
      <c r="AL170"/>
      <c r="AM170"/>
      <c r="AN170"/>
      <c r="AO170"/>
      <c r="AP170"/>
      <c r="AQ170"/>
      <c r="AR170"/>
      <c r="AS170"/>
      <c r="AT170"/>
      <c r="AU170"/>
      <c r="AV170"/>
      <c r="AW170"/>
    </row>
    <row r="171" spans="2:49" s="29" customFormat="1" hidden="1">
      <c r="B171" s="31"/>
      <c r="C171" s="31"/>
      <c r="D171" s="32"/>
      <c r="AI171"/>
      <c r="AJ171"/>
      <c r="AK171"/>
      <c r="AL171"/>
      <c r="AM171"/>
      <c r="AN171"/>
      <c r="AO171"/>
      <c r="AP171"/>
      <c r="AQ171"/>
      <c r="AR171"/>
      <c r="AS171"/>
      <c r="AT171"/>
      <c r="AU171"/>
      <c r="AV171"/>
      <c r="AW171"/>
    </row>
    <row r="172" spans="2:49" s="29" customFormat="1" hidden="1">
      <c r="B172" s="31"/>
      <c r="C172" s="31"/>
      <c r="D172" s="32"/>
      <c r="AI172"/>
      <c r="AJ172"/>
      <c r="AK172"/>
      <c r="AL172"/>
      <c r="AM172"/>
      <c r="AN172"/>
      <c r="AO172"/>
      <c r="AP172"/>
      <c r="AQ172"/>
      <c r="AR172"/>
      <c r="AS172"/>
      <c r="AT172"/>
      <c r="AU172"/>
      <c r="AV172"/>
      <c r="AW172"/>
    </row>
    <row r="173" spans="2:49" s="29" customFormat="1" hidden="1">
      <c r="B173" s="31"/>
      <c r="C173" s="31"/>
      <c r="D173" s="32"/>
      <c r="AI173"/>
      <c r="AJ173"/>
      <c r="AK173"/>
      <c r="AL173"/>
      <c r="AM173"/>
      <c r="AN173"/>
      <c r="AO173"/>
      <c r="AP173"/>
      <c r="AQ173"/>
      <c r="AR173"/>
      <c r="AS173"/>
      <c r="AT173"/>
      <c r="AU173"/>
      <c r="AV173"/>
      <c r="AW173"/>
    </row>
    <row r="174" spans="2:49" s="29" customFormat="1" hidden="1">
      <c r="B174" s="31"/>
      <c r="C174" s="31"/>
      <c r="D174" s="32"/>
      <c r="AI174"/>
      <c r="AJ174"/>
      <c r="AK174"/>
      <c r="AL174"/>
      <c r="AM174"/>
      <c r="AN174"/>
      <c r="AO174"/>
      <c r="AP174"/>
      <c r="AQ174"/>
      <c r="AR174"/>
      <c r="AS174"/>
      <c r="AT174"/>
      <c r="AU174"/>
      <c r="AV174"/>
      <c r="AW174"/>
    </row>
    <row r="175" spans="2:49" s="29" customFormat="1" hidden="1">
      <c r="B175" s="31"/>
      <c r="C175" s="31"/>
      <c r="D175" s="32"/>
      <c r="AI175"/>
      <c r="AJ175"/>
      <c r="AK175"/>
      <c r="AL175"/>
      <c r="AM175"/>
      <c r="AN175"/>
      <c r="AO175"/>
      <c r="AP175"/>
      <c r="AQ175"/>
      <c r="AR175"/>
      <c r="AS175"/>
      <c r="AT175"/>
      <c r="AU175"/>
      <c r="AV175"/>
      <c r="AW175"/>
    </row>
    <row r="176" spans="2:49" s="29" customFormat="1" hidden="1">
      <c r="B176" s="31"/>
      <c r="C176" s="31"/>
      <c r="D176" s="32"/>
      <c r="AI176"/>
      <c r="AJ176"/>
      <c r="AK176"/>
      <c r="AL176"/>
      <c r="AM176"/>
      <c r="AN176"/>
      <c r="AO176"/>
      <c r="AP176"/>
      <c r="AQ176"/>
      <c r="AR176"/>
      <c r="AS176"/>
      <c r="AT176"/>
      <c r="AU176"/>
      <c r="AV176"/>
      <c r="AW176"/>
    </row>
    <row r="177" spans="2:49" s="29" customFormat="1" hidden="1">
      <c r="B177" s="31"/>
      <c r="C177" s="31"/>
      <c r="D177" s="32"/>
      <c r="AI177"/>
      <c r="AJ177"/>
      <c r="AK177"/>
      <c r="AL177"/>
      <c r="AM177"/>
      <c r="AN177"/>
      <c r="AO177"/>
      <c r="AP177"/>
      <c r="AQ177"/>
      <c r="AR177"/>
      <c r="AS177"/>
      <c r="AT177"/>
      <c r="AU177"/>
      <c r="AV177"/>
      <c r="AW177"/>
    </row>
    <row r="178" spans="2:49" s="29" customFormat="1" hidden="1">
      <c r="B178" s="31"/>
      <c r="C178" s="31"/>
      <c r="D178" s="32"/>
      <c r="AI178"/>
      <c r="AJ178"/>
      <c r="AK178"/>
      <c r="AL178"/>
      <c r="AM178"/>
      <c r="AN178"/>
      <c r="AO178"/>
      <c r="AP178"/>
      <c r="AQ178"/>
      <c r="AR178"/>
      <c r="AS178"/>
      <c r="AT178"/>
      <c r="AU178"/>
      <c r="AV178"/>
      <c r="AW178"/>
    </row>
    <row r="179" spans="2:49" s="29" customFormat="1" hidden="1">
      <c r="B179" s="31"/>
      <c r="C179" s="31"/>
      <c r="D179" s="32"/>
      <c r="AI179"/>
      <c r="AJ179"/>
      <c r="AK179"/>
      <c r="AL179"/>
      <c r="AM179"/>
      <c r="AN179"/>
      <c r="AO179"/>
      <c r="AP179"/>
      <c r="AQ179"/>
      <c r="AR179"/>
      <c r="AS179"/>
      <c r="AT179"/>
      <c r="AU179"/>
      <c r="AV179"/>
      <c r="AW179"/>
    </row>
    <row r="180" spans="2:49" s="29" customFormat="1" hidden="1">
      <c r="B180" s="31"/>
      <c r="C180" s="31"/>
      <c r="D180" s="32"/>
      <c r="AI180"/>
      <c r="AJ180"/>
      <c r="AK180"/>
      <c r="AL180"/>
      <c r="AM180"/>
      <c r="AN180"/>
      <c r="AO180"/>
      <c r="AP180"/>
      <c r="AQ180"/>
      <c r="AR180"/>
      <c r="AS180"/>
      <c r="AT180"/>
      <c r="AU180"/>
      <c r="AV180"/>
      <c r="AW180"/>
    </row>
    <row r="181" spans="2:49" s="29" customFormat="1" hidden="1">
      <c r="B181" s="31"/>
      <c r="C181" s="31"/>
      <c r="D181" s="32"/>
      <c r="AI181"/>
      <c r="AJ181"/>
      <c r="AK181"/>
      <c r="AL181"/>
      <c r="AM181"/>
      <c r="AN181"/>
      <c r="AO181"/>
      <c r="AP181"/>
      <c r="AQ181"/>
      <c r="AR181"/>
      <c r="AS181"/>
      <c r="AT181"/>
      <c r="AU181"/>
      <c r="AV181"/>
      <c r="AW181"/>
    </row>
    <row r="182" spans="2:49" s="29" customFormat="1" hidden="1">
      <c r="B182" s="31"/>
      <c r="C182" s="31"/>
      <c r="D182" s="32"/>
      <c r="AI182"/>
      <c r="AJ182"/>
      <c r="AK182"/>
      <c r="AL182"/>
      <c r="AM182"/>
      <c r="AN182"/>
      <c r="AO182"/>
      <c r="AP182"/>
      <c r="AQ182"/>
      <c r="AR182"/>
      <c r="AS182"/>
      <c r="AT182"/>
      <c r="AU182"/>
      <c r="AV182"/>
      <c r="AW182"/>
    </row>
    <row r="183" spans="2:49" s="29" customFormat="1" hidden="1">
      <c r="B183" s="31"/>
      <c r="C183" s="31"/>
      <c r="D183" s="32"/>
      <c r="AI183"/>
      <c r="AJ183"/>
      <c r="AK183"/>
      <c r="AL183"/>
      <c r="AM183"/>
      <c r="AN183"/>
      <c r="AO183"/>
      <c r="AP183"/>
      <c r="AQ183"/>
      <c r="AR183"/>
      <c r="AS183"/>
      <c r="AT183"/>
      <c r="AU183"/>
      <c r="AV183"/>
      <c r="AW183"/>
    </row>
    <row r="184" spans="2:49" s="29" customFormat="1" hidden="1">
      <c r="B184" s="31"/>
      <c r="C184" s="31"/>
      <c r="D184" s="32"/>
      <c r="AI184"/>
      <c r="AJ184"/>
      <c r="AK184"/>
      <c r="AL184"/>
      <c r="AM184"/>
      <c r="AN184"/>
      <c r="AO184"/>
      <c r="AP184"/>
      <c r="AQ184"/>
      <c r="AR184"/>
      <c r="AS184"/>
      <c r="AT184"/>
      <c r="AU184"/>
      <c r="AV184"/>
      <c r="AW184"/>
    </row>
    <row r="185" spans="2:49" s="29" customFormat="1" hidden="1">
      <c r="B185" s="31"/>
      <c r="C185" s="31"/>
      <c r="D185" s="32"/>
      <c r="AI185"/>
      <c r="AJ185"/>
      <c r="AK185"/>
      <c r="AL185"/>
      <c r="AM185"/>
      <c r="AN185"/>
      <c r="AO185"/>
      <c r="AP185"/>
      <c r="AQ185"/>
      <c r="AR185"/>
      <c r="AS185"/>
      <c r="AT185"/>
      <c r="AU185"/>
      <c r="AV185"/>
      <c r="AW185"/>
    </row>
    <row r="186" spans="2:49" s="29" customFormat="1" hidden="1">
      <c r="B186" s="31"/>
      <c r="C186" s="31"/>
      <c r="D186" s="32"/>
      <c r="AI186"/>
      <c r="AJ186"/>
      <c r="AK186"/>
      <c r="AL186"/>
      <c r="AM186"/>
      <c r="AN186"/>
      <c r="AO186"/>
      <c r="AP186"/>
      <c r="AQ186"/>
      <c r="AR186"/>
      <c r="AS186"/>
      <c r="AT186"/>
      <c r="AU186"/>
      <c r="AV186"/>
      <c r="AW186"/>
    </row>
    <row r="187" spans="2:49" s="29" customFormat="1" hidden="1">
      <c r="B187" s="31"/>
      <c r="C187" s="31"/>
      <c r="D187" s="32"/>
      <c r="AI187"/>
      <c r="AJ187"/>
      <c r="AK187"/>
      <c r="AL187"/>
      <c r="AM187"/>
      <c r="AN187"/>
      <c r="AO187"/>
      <c r="AP187"/>
      <c r="AQ187"/>
      <c r="AR187"/>
      <c r="AS187"/>
      <c r="AT187"/>
      <c r="AU187"/>
      <c r="AV187"/>
      <c r="AW187"/>
    </row>
    <row r="188" spans="2:49" s="29" customFormat="1" hidden="1">
      <c r="B188" s="31"/>
      <c r="C188" s="31"/>
      <c r="D188" s="32"/>
      <c r="AI188"/>
      <c r="AJ188"/>
      <c r="AK188"/>
      <c r="AL188"/>
      <c r="AM188"/>
      <c r="AN188"/>
      <c r="AO188"/>
      <c r="AP188"/>
      <c r="AQ188"/>
      <c r="AR188"/>
      <c r="AS188"/>
      <c r="AT188"/>
      <c r="AU188"/>
      <c r="AV188"/>
      <c r="AW188"/>
    </row>
  </sheetData>
  <mergeCells count="33">
    <mergeCell ref="A1:AH2"/>
    <mergeCell ref="B3:D3"/>
    <mergeCell ref="B4:B5"/>
    <mergeCell ref="C4:C5"/>
    <mergeCell ref="D4:D5"/>
    <mergeCell ref="E4:AH4"/>
    <mergeCell ref="B6:B18"/>
    <mergeCell ref="C6:D6"/>
    <mergeCell ref="B19:B26"/>
    <mergeCell ref="C19:D19"/>
    <mergeCell ref="B28:B29"/>
    <mergeCell ref="C28:D28"/>
    <mergeCell ref="B41:B48"/>
    <mergeCell ref="C41:D41"/>
    <mergeCell ref="B49:B61"/>
    <mergeCell ref="C49:D49"/>
    <mergeCell ref="B62:B69"/>
    <mergeCell ref="C62:D62"/>
    <mergeCell ref="B71:B78"/>
    <mergeCell ref="C71:D71"/>
    <mergeCell ref="B80:B87"/>
    <mergeCell ref="C80:D80"/>
    <mergeCell ref="B88:B95"/>
    <mergeCell ref="C88:D88"/>
    <mergeCell ref="B120:B127"/>
    <mergeCell ref="C120:D120"/>
    <mergeCell ref="B128:D128"/>
    <mergeCell ref="B96:B103"/>
    <mergeCell ref="C96:D96"/>
    <mergeCell ref="B104:B111"/>
    <mergeCell ref="C104:D104"/>
    <mergeCell ref="B112:B119"/>
    <mergeCell ref="C112:D112"/>
  </mergeCells>
  <pageMargins left="0.7" right="0.7" top="0.75" bottom="0.75" header="0.3" footer="0.3"/>
  <pageSetup paperSize="9" orientation="portrait" horizontalDpi="4294967293"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7"/>
  <dimension ref="A1:AW265"/>
  <sheetViews>
    <sheetView zoomScale="83" zoomScaleNormal="83" workbookViewId="0">
      <pane ySplit="5" topLeftCell="A145" activePane="bottomLeft" state="frozen"/>
      <selection activeCell="K33" sqref="K33"/>
      <selection pane="bottomLeft" activeCell="E6" sqref="E6:AB6"/>
    </sheetView>
  </sheetViews>
  <sheetFormatPr defaultColWidth="0" defaultRowHeight="15" customHeight="1" zeroHeight="1"/>
  <cols>
    <col min="1" max="1" width="1" style="29" customWidth="1"/>
    <col min="2" max="2" width="3.7109375" style="33" customWidth="1"/>
    <col min="3" max="3" width="46.140625" style="33" customWidth="1"/>
    <col min="4" max="4" width="15.42578125" style="29" customWidth="1"/>
    <col min="5" max="34" width="5.7109375" style="29" customWidth="1"/>
    <col min="35" max="49" width="5.7109375" hidden="1" customWidth="1"/>
    <col min="50" max="16384" width="9.140625" hidden="1"/>
  </cols>
  <sheetData>
    <row r="1" spans="1:34" ht="15" customHeight="1">
      <c r="A1" s="803" t="s">
        <v>1191</v>
      </c>
      <c r="B1" s="803"/>
      <c r="C1" s="803"/>
      <c r="D1" s="803"/>
      <c r="E1" s="803"/>
      <c r="F1" s="803"/>
      <c r="G1" s="803"/>
      <c r="H1" s="803"/>
      <c r="I1" s="803"/>
      <c r="J1" s="803"/>
      <c r="K1" s="803"/>
      <c r="L1" s="803"/>
      <c r="M1" s="803"/>
      <c r="N1" s="803"/>
      <c r="O1" s="803"/>
      <c r="P1" s="803"/>
      <c r="Q1" s="803"/>
      <c r="R1" s="803"/>
      <c r="S1" s="803"/>
      <c r="T1" s="803"/>
      <c r="U1" s="803"/>
      <c r="V1" s="803"/>
      <c r="W1" s="803"/>
      <c r="X1" s="803"/>
      <c r="Y1" s="803"/>
      <c r="Z1" s="803"/>
      <c r="AA1" s="803"/>
      <c r="AB1" s="803"/>
      <c r="AC1" s="803"/>
      <c r="AD1" s="803"/>
      <c r="AE1" s="803"/>
      <c r="AF1" s="803"/>
      <c r="AG1" s="803"/>
      <c r="AH1" s="803"/>
    </row>
    <row r="2" spans="1:34" ht="15" customHeight="1">
      <c r="A2" s="803"/>
      <c r="B2" s="803"/>
      <c r="C2" s="803"/>
      <c r="D2" s="803"/>
      <c r="E2" s="803"/>
      <c r="F2" s="803"/>
      <c r="G2" s="803"/>
      <c r="H2" s="803"/>
      <c r="I2" s="803"/>
      <c r="J2" s="803"/>
      <c r="K2" s="803"/>
      <c r="L2" s="803"/>
      <c r="M2" s="803"/>
      <c r="N2" s="803"/>
      <c r="O2" s="803"/>
      <c r="P2" s="803"/>
      <c r="Q2" s="803"/>
      <c r="R2" s="803"/>
      <c r="S2" s="803"/>
      <c r="T2" s="803"/>
      <c r="U2" s="803"/>
      <c r="V2" s="803"/>
      <c r="W2" s="803"/>
      <c r="X2" s="803"/>
      <c r="Y2" s="803"/>
      <c r="Z2" s="803"/>
      <c r="AA2" s="803"/>
      <c r="AB2" s="803"/>
      <c r="AC2" s="803"/>
      <c r="AD2" s="803"/>
      <c r="AE2" s="803"/>
      <c r="AF2" s="803"/>
      <c r="AG2" s="803"/>
      <c r="AH2" s="803"/>
    </row>
    <row r="3" spans="1:34" ht="15" customHeight="1">
      <c r="B3" s="804"/>
      <c r="C3" s="804"/>
      <c r="D3" s="80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row>
    <row r="4" spans="1:34" ht="15" customHeight="1">
      <c r="B4" s="805" t="s">
        <v>5</v>
      </c>
      <c r="C4" s="805" t="s">
        <v>125</v>
      </c>
      <c r="D4" s="806" t="s">
        <v>126</v>
      </c>
      <c r="E4" s="807" t="s">
        <v>57</v>
      </c>
      <c r="F4" s="807"/>
      <c r="G4" s="807"/>
      <c r="H4" s="807"/>
      <c r="I4" s="807"/>
      <c r="J4" s="807"/>
      <c r="K4" s="807"/>
      <c r="L4" s="807"/>
      <c r="M4" s="807"/>
      <c r="N4" s="807"/>
      <c r="O4" s="807"/>
      <c r="P4" s="807"/>
      <c r="Q4" s="807"/>
      <c r="R4" s="807"/>
      <c r="S4" s="807"/>
      <c r="T4" s="807"/>
      <c r="U4" s="807"/>
      <c r="V4" s="807"/>
      <c r="W4" s="807"/>
      <c r="X4" s="807"/>
      <c r="Y4" s="807"/>
      <c r="Z4" s="807"/>
      <c r="AA4" s="807"/>
      <c r="AB4" s="807"/>
      <c r="AC4" s="807"/>
      <c r="AD4" s="807"/>
      <c r="AE4" s="807"/>
      <c r="AF4" s="807"/>
      <c r="AG4" s="807"/>
      <c r="AH4" s="807"/>
    </row>
    <row r="5" spans="1:34" ht="12.75" customHeight="1">
      <c r="B5" s="805"/>
      <c r="C5" s="805"/>
      <c r="D5" s="806"/>
      <c r="E5" s="35" t="str">
        <f>DATASISWA!$F$8</f>
        <v>Dita</v>
      </c>
      <c r="F5" s="35" t="str">
        <f>DATASISWA!$F$9</f>
        <v>Annisa</v>
      </c>
      <c r="G5" s="35" t="str">
        <f>DATASISWA!$F$10</f>
        <v>Kiki</v>
      </c>
      <c r="H5" s="35" t="str">
        <f>DATASISWA!$F$11</f>
        <v>Lily</v>
      </c>
      <c r="I5" s="35" t="str">
        <f>DATASISWA!$F$12</f>
        <v>Rere</v>
      </c>
      <c r="J5" s="35" t="str">
        <f>DATASISWA!$F$13</f>
        <v>Fadhil</v>
      </c>
      <c r="K5" s="35" t="str">
        <f>DATASISWA!$F$14</f>
        <v>Yuefa</v>
      </c>
      <c r="L5" s="35" t="str">
        <f>DATASISWA!$F$15</f>
        <v>Ria</v>
      </c>
      <c r="M5" s="35" t="str">
        <f>DATASISWA!$F$16</f>
        <v>Tiara</v>
      </c>
      <c r="N5" s="35" t="str">
        <f>DATASISWA!$F$17</f>
        <v>Alvind</v>
      </c>
      <c r="O5" s="35" t="str">
        <f>DATASISWA!$F$18</f>
        <v>Icha</v>
      </c>
      <c r="P5" s="35" t="str">
        <f>DATASISWA!$F$19</f>
        <v>Qonita</v>
      </c>
      <c r="Q5" s="35" t="str">
        <f>DATASISWA!$F$20</f>
        <v>Anya</v>
      </c>
      <c r="R5" s="35" t="str">
        <f>DATASISWA!$F$21</f>
        <v>Radit</v>
      </c>
      <c r="S5" s="35" t="str">
        <f>DATASISWA!$F$22</f>
        <v>angel</v>
      </c>
      <c r="T5" s="35">
        <f>DATASISWA!$F$23</f>
        <v>0</v>
      </c>
      <c r="U5" s="35">
        <f>DATASISWA!$F$24</f>
        <v>0</v>
      </c>
      <c r="V5" s="35">
        <f>DATASISWA!$F$25</f>
        <v>0</v>
      </c>
      <c r="W5" s="35">
        <f>DATASISWA!$F$26</f>
        <v>0</v>
      </c>
      <c r="X5" s="35">
        <f>DATASISWA!$F$27</f>
        <v>0</v>
      </c>
      <c r="Y5" s="35">
        <f>DATASISWA!$F$28</f>
        <v>0</v>
      </c>
      <c r="Z5" s="35">
        <f>DATASISWA!$F$29</f>
        <v>0</v>
      </c>
      <c r="AA5" s="35">
        <f>DATASISWA!$F$30</f>
        <v>0</v>
      </c>
      <c r="AB5" s="35">
        <f>DATASISWA!$F$31</f>
        <v>0</v>
      </c>
      <c r="AC5" s="35">
        <f>DATASISWA!$F$32</f>
        <v>0</v>
      </c>
      <c r="AD5" s="35">
        <f>DATASISWA!$F$33</f>
        <v>0</v>
      </c>
      <c r="AE5" s="35">
        <f>DATASISWA!$F$34</f>
        <v>0</v>
      </c>
      <c r="AF5" s="35">
        <f>DATASISWA!$F$35</f>
        <v>0</v>
      </c>
      <c r="AG5" s="35">
        <f>DATASISWA!$F$36</f>
        <v>0</v>
      </c>
      <c r="AH5" s="35">
        <f>DATASISWA!$F$37</f>
        <v>0</v>
      </c>
    </row>
    <row r="6" spans="1:34" ht="27" customHeight="1">
      <c r="A6" s="30"/>
      <c r="B6" s="800">
        <v>1</v>
      </c>
      <c r="C6" s="813" t="s">
        <v>1752</v>
      </c>
      <c r="D6" s="813"/>
      <c r="E6" s="97">
        <f>IFERROR(AVERAGE(E7:E22),"")</f>
        <v>93.125</v>
      </c>
      <c r="F6" s="97">
        <f t="shared" ref="F6:AB6" si="0">IFERROR(AVERAGE(F7:F22),"")</f>
        <v>92.5</v>
      </c>
      <c r="G6" s="97">
        <f t="shared" si="0"/>
        <v>92.333333333333329</v>
      </c>
      <c r="H6" s="97">
        <f t="shared" si="0"/>
        <v>97.8125</v>
      </c>
      <c r="I6" s="97">
        <f t="shared" si="0"/>
        <v>98.125</v>
      </c>
      <c r="J6" s="97">
        <f t="shared" si="0"/>
        <v>99.375</v>
      </c>
      <c r="K6" s="97">
        <f t="shared" si="0"/>
        <v>98.75</v>
      </c>
      <c r="L6" s="97">
        <f t="shared" si="0"/>
        <v>98.4375</v>
      </c>
      <c r="M6" s="97">
        <f t="shared" si="0"/>
        <v>95</v>
      </c>
      <c r="N6" s="97">
        <f t="shared" si="0"/>
        <v>96.25</v>
      </c>
      <c r="O6" s="97">
        <f t="shared" si="0"/>
        <v>98.4375</v>
      </c>
      <c r="P6" s="97">
        <f t="shared" si="0"/>
        <v>97.5</v>
      </c>
      <c r="Q6" s="97">
        <f t="shared" si="0"/>
        <v>97.5</v>
      </c>
      <c r="R6" s="97">
        <f t="shared" si="0"/>
        <v>95.625</v>
      </c>
      <c r="S6" s="97">
        <f t="shared" si="0"/>
        <v>91.5625</v>
      </c>
      <c r="T6" s="97">
        <f t="shared" si="0"/>
        <v>95.625</v>
      </c>
      <c r="U6" s="97">
        <f t="shared" si="0"/>
        <v>99.375</v>
      </c>
      <c r="V6" s="97">
        <f t="shared" si="0"/>
        <v>94.375</v>
      </c>
      <c r="W6" s="97">
        <f t="shared" si="0"/>
        <v>92.5</v>
      </c>
      <c r="X6" s="97">
        <f t="shared" si="0"/>
        <v>93.125</v>
      </c>
      <c r="Y6" s="97">
        <f t="shared" si="0"/>
        <v>97.1875</v>
      </c>
      <c r="Z6" s="97">
        <f t="shared" si="0"/>
        <v>95.3125</v>
      </c>
      <c r="AA6" s="97">
        <f t="shared" si="0"/>
        <v>98.75</v>
      </c>
      <c r="AB6" s="97">
        <f t="shared" si="0"/>
        <v>93.125</v>
      </c>
      <c r="AC6" s="97" t="str">
        <f t="shared" ref="AC6:AH6" si="1">IFERROR(AVERAGE(AC7:AC31),"")</f>
        <v/>
      </c>
      <c r="AD6" s="97" t="str">
        <f t="shared" si="1"/>
        <v/>
      </c>
      <c r="AE6" s="97" t="str">
        <f t="shared" si="1"/>
        <v/>
      </c>
      <c r="AF6" s="97" t="str">
        <f t="shared" si="1"/>
        <v/>
      </c>
      <c r="AG6" s="97" t="str">
        <f t="shared" si="1"/>
        <v/>
      </c>
      <c r="AH6" s="97" t="str">
        <f t="shared" si="1"/>
        <v/>
      </c>
    </row>
    <row r="7" spans="1:34" ht="35.25" customHeight="1">
      <c r="A7" s="30"/>
      <c r="B7" s="801"/>
      <c r="C7" s="613" t="s">
        <v>1753</v>
      </c>
      <c r="D7" s="614" t="s">
        <v>1644</v>
      </c>
      <c r="E7" s="631">
        <v>90</v>
      </c>
      <c r="F7" s="631">
        <v>100</v>
      </c>
      <c r="G7" s="631">
        <v>100</v>
      </c>
      <c r="H7" s="631">
        <v>100</v>
      </c>
      <c r="I7" s="631">
        <v>100</v>
      </c>
      <c r="J7" s="631">
        <v>100</v>
      </c>
      <c r="K7" s="631">
        <v>100</v>
      </c>
      <c r="L7" s="631">
        <v>100</v>
      </c>
      <c r="M7" s="631">
        <v>95</v>
      </c>
      <c r="N7" s="631">
        <v>100</v>
      </c>
      <c r="O7" s="631">
        <v>100</v>
      </c>
      <c r="P7" s="631">
        <v>100</v>
      </c>
      <c r="Q7" s="631">
        <v>100</v>
      </c>
      <c r="R7" s="631">
        <v>90</v>
      </c>
      <c r="S7" s="631">
        <v>100</v>
      </c>
      <c r="T7" s="631">
        <v>90</v>
      </c>
      <c r="U7" s="631">
        <v>100</v>
      </c>
      <c r="V7" s="631">
        <v>100</v>
      </c>
      <c r="W7" s="631">
        <v>100</v>
      </c>
      <c r="X7" s="631">
        <v>85</v>
      </c>
      <c r="Y7" s="631">
        <v>100</v>
      </c>
      <c r="Z7" s="631">
        <v>100</v>
      </c>
      <c r="AA7" s="631">
        <v>100</v>
      </c>
      <c r="AB7" s="631">
        <v>100</v>
      </c>
      <c r="AC7" s="582"/>
      <c r="AD7" s="98"/>
      <c r="AE7" s="98"/>
      <c r="AF7" s="98"/>
      <c r="AG7" s="98"/>
      <c r="AH7" s="98"/>
    </row>
    <row r="8" spans="1:34" s="478" customFormat="1" ht="35.25" customHeight="1">
      <c r="A8" s="30"/>
      <c r="B8" s="801"/>
      <c r="C8" s="615" t="s">
        <v>1754</v>
      </c>
      <c r="D8" s="616" t="s">
        <v>1647</v>
      </c>
      <c r="E8" s="631">
        <v>100</v>
      </c>
      <c r="F8" s="631">
        <v>100</v>
      </c>
      <c r="G8" s="631">
        <v>100</v>
      </c>
      <c r="H8" s="631">
        <v>100</v>
      </c>
      <c r="I8" s="631">
        <v>100</v>
      </c>
      <c r="J8" s="631">
        <v>100</v>
      </c>
      <c r="K8" s="631">
        <v>100</v>
      </c>
      <c r="L8" s="631">
        <v>100</v>
      </c>
      <c r="M8" s="631">
        <v>100</v>
      </c>
      <c r="N8" s="631">
        <v>100</v>
      </c>
      <c r="O8" s="631">
        <v>100</v>
      </c>
      <c r="P8" s="631">
        <v>100</v>
      </c>
      <c r="Q8" s="631">
        <v>100</v>
      </c>
      <c r="R8" s="631">
        <v>100</v>
      </c>
      <c r="S8" s="631">
        <v>100</v>
      </c>
      <c r="T8" s="631">
        <v>100</v>
      </c>
      <c r="U8" s="631">
        <v>100</v>
      </c>
      <c r="V8" s="631">
        <v>100</v>
      </c>
      <c r="W8" s="631">
        <v>100</v>
      </c>
      <c r="X8" s="631">
        <v>90</v>
      </c>
      <c r="Y8" s="631">
        <v>100</v>
      </c>
      <c r="Z8" s="631">
        <v>100</v>
      </c>
      <c r="AA8" s="631">
        <v>100</v>
      </c>
      <c r="AB8" s="631">
        <v>100</v>
      </c>
      <c r="AC8" s="98"/>
      <c r="AD8" s="98"/>
      <c r="AE8" s="98"/>
      <c r="AF8" s="98"/>
      <c r="AG8" s="98"/>
      <c r="AH8" s="98"/>
    </row>
    <row r="9" spans="1:34" s="478" customFormat="1" ht="35.25" customHeight="1">
      <c r="A9" s="30"/>
      <c r="B9" s="801"/>
      <c r="C9" s="615" t="s">
        <v>1755</v>
      </c>
      <c r="D9" s="616" t="s">
        <v>1423</v>
      </c>
      <c r="E9" s="631">
        <v>100</v>
      </c>
      <c r="F9" s="631">
        <v>100</v>
      </c>
      <c r="G9" s="631">
        <v>90</v>
      </c>
      <c r="H9" s="631">
        <v>100</v>
      </c>
      <c r="I9" s="631">
        <v>95</v>
      </c>
      <c r="J9" s="631">
        <v>100</v>
      </c>
      <c r="K9" s="631">
        <v>100</v>
      </c>
      <c r="L9" s="631">
        <v>100</v>
      </c>
      <c r="M9" s="631">
        <v>100</v>
      </c>
      <c r="N9" s="631">
        <v>100</v>
      </c>
      <c r="O9" s="631">
        <v>100</v>
      </c>
      <c r="P9" s="631">
        <v>100</v>
      </c>
      <c r="Q9" s="631">
        <v>90</v>
      </c>
      <c r="R9" s="631">
        <v>90</v>
      </c>
      <c r="S9" s="631">
        <v>100</v>
      </c>
      <c r="T9" s="631">
        <v>100</v>
      </c>
      <c r="U9" s="631">
        <v>100</v>
      </c>
      <c r="V9" s="631">
        <v>90</v>
      </c>
      <c r="W9" s="631">
        <v>100</v>
      </c>
      <c r="X9" s="631">
        <v>100</v>
      </c>
      <c r="Y9" s="631">
        <v>90</v>
      </c>
      <c r="Z9" s="631">
        <v>95</v>
      </c>
      <c r="AA9" s="631">
        <v>100</v>
      </c>
      <c r="AB9" s="631">
        <v>85</v>
      </c>
      <c r="AC9" s="98"/>
      <c r="AD9" s="98"/>
      <c r="AE9" s="98"/>
      <c r="AF9" s="98"/>
      <c r="AG9" s="98"/>
      <c r="AH9" s="98"/>
    </row>
    <row r="10" spans="1:34" s="478" customFormat="1" ht="35.25" customHeight="1">
      <c r="A10" s="30"/>
      <c r="B10" s="801"/>
      <c r="C10" s="615" t="s">
        <v>1756</v>
      </c>
      <c r="D10" s="616" t="s">
        <v>1425</v>
      </c>
      <c r="E10" s="631">
        <v>85</v>
      </c>
      <c r="F10" s="631">
        <v>95</v>
      </c>
      <c r="G10" s="631">
        <v>90</v>
      </c>
      <c r="H10" s="631">
        <v>100</v>
      </c>
      <c r="I10" s="631">
        <v>100</v>
      </c>
      <c r="J10" s="631">
        <v>100</v>
      </c>
      <c r="K10" s="631">
        <v>100</v>
      </c>
      <c r="L10" s="631">
        <v>100</v>
      </c>
      <c r="M10" s="631">
        <v>100</v>
      </c>
      <c r="N10" s="631">
        <v>100</v>
      </c>
      <c r="O10" s="631">
        <v>100</v>
      </c>
      <c r="P10" s="631">
        <v>100</v>
      </c>
      <c r="Q10" s="631">
        <v>100</v>
      </c>
      <c r="R10" s="631">
        <v>95</v>
      </c>
      <c r="S10" s="631">
        <v>100</v>
      </c>
      <c r="T10" s="631">
        <v>100</v>
      </c>
      <c r="U10" s="631">
        <v>100</v>
      </c>
      <c r="V10" s="631">
        <v>95</v>
      </c>
      <c r="W10" s="631">
        <v>90</v>
      </c>
      <c r="X10" s="631">
        <v>100</v>
      </c>
      <c r="Y10" s="631">
        <v>100</v>
      </c>
      <c r="Z10" s="631">
        <v>95</v>
      </c>
      <c r="AA10" s="631">
        <v>100</v>
      </c>
      <c r="AB10" s="631">
        <v>95</v>
      </c>
      <c r="AC10" s="98"/>
      <c r="AD10" s="98"/>
      <c r="AE10" s="98"/>
      <c r="AF10" s="98"/>
      <c r="AG10" s="98"/>
      <c r="AH10" s="98"/>
    </row>
    <row r="11" spans="1:34" s="478" customFormat="1" ht="35.25" customHeight="1">
      <c r="A11" s="30"/>
      <c r="B11" s="801"/>
      <c r="C11" s="615" t="s">
        <v>1757</v>
      </c>
      <c r="D11" s="616" t="s">
        <v>1652</v>
      </c>
      <c r="E11" s="666">
        <v>100</v>
      </c>
      <c r="F11" s="666">
        <v>80</v>
      </c>
      <c r="G11" s="666">
        <v>100</v>
      </c>
      <c r="H11" s="666">
        <v>80</v>
      </c>
      <c r="I11" s="666">
        <v>90</v>
      </c>
      <c r="J11" s="666">
        <v>100</v>
      </c>
      <c r="K11" s="666">
        <v>100</v>
      </c>
      <c r="L11" s="666">
        <v>80</v>
      </c>
      <c r="M11" s="666">
        <v>90</v>
      </c>
      <c r="N11" s="666">
        <v>90</v>
      </c>
      <c r="O11" s="666">
        <v>100</v>
      </c>
      <c r="P11" s="666">
        <v>90</v>
      </c>
      <c r="Q11" s="666">
        <v>90</v>
      </c>
      <c r="R11" s="666">
        <v>90</v>
      </c>
      <c r="S11" s="666">
        <v>85</v>
      </c>
      <c r="T11" s="666">
        <v>95</v>
      </c>
      <c r="U11" s="666">
        <v>100</v>
      </c>
      <c r="V11" s="666">
        <v>85</v>
      </c>
      <c r="W11" s="666">
        <v>75</v>
      </c>
      <c r="X11" s="666">
        <v>85</v>
      </c>
      <c r="Y11" s="666">
        <v>90</v>
      </c>
      <c r="Z11" s="666">
        <v>85</v>
      </c>
      <c r="AA11" s="666">
        <v>90</v>
      </c>
      <c r="AB11" s="666">
        <v>80</v>
      </c>
      <c r="AC11" s="98"/>
      <c r="AD11" s="98"/>
      <c r="AE11" s="98"/>
      <c r="AF11" s="98"/>
      <c r="AG11" s="98"/>
      <c r="AH11" s="98"/>
    </row>
    <row r="12" spans="1:34" s="478" customFormat="1" ht="35.25" customHeight="1">
      <c r="A12" s="30"/>
      <c r="B12" s="801"/>
      <c r="C12" s="615" t="s">
        <v>1758</v>
      </c>
      <c r="D12" s="616" t="s">
        <v>1656</v>
      </c>
      <c r="E12" s="666">
        <v>80</v>
      </c>
      <c r="F12" s="666">
        <v>95</v>
      </c>
      <c r="G12" s="666">
        <v>100</v>
      </c>
      <c r="H12" s="666">
        <v>100</v>
      </c>
      <c r="I12" s="666">
        <v>100</v>
      </c>
      <c r="J12" s="666">
        <v>100</v>
      </c>
      <c r="K12" s="666">
        <v>100</v>
      </c>
      <c r="L12" s="666">
        <v>100</v>
      </c>
      <c r="M12" s="666">
        <v>85</v>
      </c>
      <c r="N12" s="666">
        <v>90</v>
      </c>
      <c r="O12" s="666">
        <v>100</v>
      </c>
      <c r="P12" s="666">
        <v>95</v>
      </c>
      <c r="Q12" s="666">
        <v>100</v>
      </c>
      <c r="R12" s="666">
        <v>100</v>
      </c>
      <c r="S12" s="666">
        <v>90</v>
      </c>
      <c r="T12" s="666">
        <v>100</v>
      </c>
      <c r="U12" s="666">
        <v>100</v>
      </c>
      <c r="V12" s="666">
        <v>85</v>
      </c>
      <c r="W12" s="666">
        <v>100</v>
      </c>
      <c r="X12" s="666">
        <v>80</v>
      </c>
      <c r="Y12" s="666">
        <v>90</v>
      </c>
      <c r="Z12" s="666">
        <v>100</v>
      </c>
      <c r="AA12" s="666">
        <v>100</v>
      </c>
      <c r="AB12" s="666">
        <v>90</v>
      </c>
      <c r="AC12" s="98"/>
      <c r="AD12" s="98"/>
      <c r="AE12" s="98"/>
      <c r="AF12" s="98"/>
      <c r="AG12" s="98"/>
      <c r="AH12" s="98"/>
    </row>
    <row r="13" spans="1:34" s="478" customFormat="1" ht="35.25" customHeight="1">
      <c r="A13" s="30"/>
      <c r="B13" s="801"/>
      <c r="C13" s="617" t="s">
        <v>1759</v>
      </c>
      <c r="D13" s="618" t="s">
        <v>1691</v>
      </c>
      <c r="E13" s="660">
        <v>100</v>
      </c>
      <c r="F13" s="660">
        <v>100</v>
      </c>
      <c r="G13" s="660">
        <v>100</v>
      </c>
      <c r="H13" s="660">
        <v>100</v>
      </c>
      <c r="I13" s="660">
        <v>100</v>
      </c>
      <c r="J13" s="660">
        <v>100</v>
      </c>
      <c r="K13" s="660">
        <v>100</v>
      </c>
      <c r="L13" s="660">
        <v>100</v>
      </c>
      <c r="M13" s="660">
        <v>100</v>
      </c>
      <c r="N13" s="660">
        <v>100</v>
      </c>
      <c r="O13" s="660">
        <v>100</v>
      </c>
      <c r="P13" s="660">
        <v>100</v>
      </c>
      <c r="Q13" s="660">
        <v>100</v>
      </c>
      <c r="R13" s="660">
        <v>100</v>
      </c>
      <c r="S13" s="660">
        <v>100</v>
      </c>
      <c r="T13" s="660">
        <v>100</v>
      </c>
      <c r="U13" s="660">
        <v>100</v>
      </c>
      <c r="V13" s="660">
        <v>100</v>
      </c>
      <c r="W13" s="660">
        <v>100</v>
      </c>
      <c r="X13" s="660">
        <v>100</v>
      </c>
      <c r="Y13" s="660">
        <v>100</v>
      </c>
      <c r="Z13" s="660">
        <v>100</v>
      </c>
      <c r="AA13" s="660">
        <v>100</v>
      </c>
      <c r="AB13" s="660">
        <v>100</v>
      </c>
      <c r="AC13" s="98"/>
      <c r="AD13" s="98"/>
      <c r="AE13" s="98"/>
      <c r="AF13" s="98"/>
      <c r="AG13" s="98"/>
      <c r="AH13" s="98"/>
    </row>
    <row r="14" spans="1:34" s="478" customFormat="1" ht="35.25" customHeight="1">
      <c r="A14" s="30"/>
      <c r="B14" s="801"/>
      <c r="C14" s="617" t="s">
        <v>1760</v>
      </c>
      <c r="D14" s="618" t="s">
        <v>1694</v>
      </c>
      <c r="E14" s="660">
        <v>95</v>
      </c>
      <c r="F14" s="660">
        <v>85</v>
      </c>
      <c r="G14" s="660">
        <v>75</v>
      </c>
      <c r="H14" s="660">
        <v>100</v>
      </c>
      <c r="I14" s="660">
        <v>100</v>
      </c>
      <c r="J14" s="660">
        <v>100</v>
      </c>
      <c r="K14" s="660">
        <v>100</v>
      </c>
      <c r="L14" s="660">
        <v>100</v>
      </c>
      <c r="M14" s="660">
        <v>85</v>
      </c>
      <c r="N14" s="660">
        <v>100</v>
      </c>
      <c r="O14" s="660">
        <v>100</v>
      </c>
      <c r="P14" s="660">
        <v>100</v>
      </c>
      <c r="Q14" s="660">
        <v>100</v>
      </c>
      <c r="R14" s="660">
        <v>85</v>
      </c>
      <c r="S14" s="660">
        <v>80</v>
      </c>
      <c r="T14" s="660">
        <v>100</v>
      </c>
      <c r="U14" s="660">
        <v>100</v>
      </c>
      <c r="V14" s="660">
        <v>100</v>
      </c>
      <c r="W14" s="660">
        <v>90</v>
      </c>
      <c r="X14" s="660">
        <v>100</v>
      </c>
      <c r="Y14" s="660">
        <v>100</v>
      </c>
      <c r="Z14" s="660">
        <v>100</v>
      </c>
      <c r="AA14" s="660">
        <v>100</v>
      </c>
      <c r="AB14" s="660">
        <v>100</v>
      </c>
      <c r="AC14" s="98"/>
      <c r="AD14" s="98"/>
      <c r="AE14" s="98"/>
      <c r="AF14" s="98"/>
      <c r="AG14" s="98"/>
      <c r="AH14" s="98"/>
    </row>
    <row r="15" spans="1:34" s="478" customFormat="1" ht="35.25" customHeight="1">
      <c r="A15" s="30"/>
      <c r="B15" s="801"/>
      <c r="C15" s="617" t="s">
        <v>1761</v>
      </c>
      <c r="D15" s="618" t="s">
        <v>1396</v>
      </c>
      <c r="E15" s="660">
        <v>85</v>
      </c>
      <c r="F15" s="660">
        <v>80</v>
      </c>
      <c r="G15" s="660">
        <v>70</v>
      </c>
      <c r="H15" s="660">
        <v>100</v>
      </c>
      <c r="I15" s="660">
        <v>100</v>
      </c>
      <c r="J15" s="660">
        <v>95</v>
      </c>
      <c r="K15" s="660">
        <v>95</v>
      </c>
      <c r="L15" s="660">
        <v>100</v>
      </c>
      <c r="M15" s="660">
        <v>95</v>
      </c>
      <c r="N15" s="660">
        <v>100</v>
      </c>
      <c r="O15" s="660">
        <v>100</v>
      </c>
      <c r="P15" s="660">
        <v>100</v>
      </c>
      <c r="Q15" s="660">
        <v>95</v>
      </c>
      <c r="R15" s="660">
        <v>85</v>
      </c>
      <c r="S15" s="660">
        <v>65</v>
      </c>
      <c r="T15" s="660">
        <v>95</v>
      </c>
      <c r="U15" s="660">
        <v>100</v>
      </c>
      <c r="V15" s="660">
        <v>95</v>
      </c>
      <c r="W15" s="660">
        <v>85</v>
      </c>
      <c r="X15" s="660">
        <v>95</v>
      </c>
      <c r="Y15" s="660">
        <v>100</v>
      </c>
      <c r="Z15" s="660">
        <v>85</v>
      </c>
      <c r="AA15" s="660">
        <v>100</v>
      </c>
      <c r="AB15" s="660">
        <v>90</v>
      </c>
      <c r="AC15" s="98"/>
      <c r="AD15" s="98"/>
      <c r="AE15" s="98"/>
      <c r="AF15" s="98"/>
      <c r="AG15" s="98"/>
      <c r="AH15" s="98"/>
    </row>
    <row r="16" spans="1:34" s="478" customFormat="1" ht="35.25" customHeight="1">
      <c r="A16" s="30"/>
      <c r="B16" s="801"/>
      <c r="C16" s="617" t="s">
        <v>1762</v>
      </c>
      <c r="D16" s="618" t="s">
        <v>1398</v>
      </c>
      <c r="E16" s="660">
        <v>95</v>
      </c>
      <c r="F16" s="660">
        <v>90</v>
      </c>
      <c r="G16" s="660">
        <v>90</v>
      </c>
      <c r="H16" s="660">
        <v>90</v>
      </c>
      <c r="I16" s="660">
        <v>95</v>
      </c>
      <c r="J16" s="660">
        <v>100</v>
      </c>
      <c r="K16" s="660">
        <v>95</v>
      </c>
      <c r="L16" s="660">
        <v>100</v>
      </c>
      <c r="M16" s="660">
        <v>100</v>
      </c>
      <c r="N16" s="660">
        <v>90</v>
      </c>
      <c r="O16" s="660">
        <v>95</v>
      </c>
      <c r="P16" s="660">
        <v>80</v>
      </c>
      <c r="Q16" s="660">
        <v>95</v>
      </c>
      <c r="R16" s="660">
        <v>100</v>
      </c>
      <c r="S16" s="660">
        <v>90</v>
      </c>
      <c r="T16" s="660">
        <v>90</v>
      </c>
      <c r="U16" s="660">
        <v>95</v>
      </c>
      <c r="V16" s="660">
        <v>100</v>
      </c>
      <c r="W16" s="660">
        <v>60</v>
      </c>
      <c r="X16" s="660">
        <v>80</v>
      </c>
      <c r="Y16" s="660">
        <v>100</v>
      </c>
      <c r="Z16" s="660">
        <v>80</v>
      </c>
      <c r="AA16" s="660">
        <v>90</v>
      </c>
      <c r="AB16" s="660">
        <v>85</v>
      </c>
      <c r="AC16" s="98"/>
      <c r="AD16" s="98"/>
      <c r="AE16" s="98"/>
      <c r="AF16" s="98"/>
      <c r="AG16" s="98"/>
      <c r="AH16" s="98"/>
    </row>
    <row r="17" spans="1:34" s="478" customFormat="1" ht="35.25" customHeight="1">
      <c r="A17" s="30"/>
      <c r="B17" s="801"/>
      <c r="C17" s="617" t="s">
        <v>1763</v>
      </c>
      <c r="D17" s="618" t="s">
        <v>1702</v>
      </c>
      <c r="E17" s="666">
        <v>80</v>
      </c>
      <c r="F17" s="666">
        <v>95</v>
      </c>
      <c r="G17" s="666">
        <v>100</v>
      </c>
      <c r="H17" s="666">
        <v>100</v>
      </c>
      <c r="I17" s="666">
        <v>100</v>
      </c>
      <c r="J17" s="666">
        <v>100</v>
      </c>
      <c r="K17" s="666">
        <v>100</v>
      </c>
      <c r="L17" s="666">
        <v>100</v>
      </c>
      <c r="M17" s="666">
        <v>85</v>
      </c>
      <c r="N17" s="666">
        <v>90</v>
      </c>
      <c r="O17" s="666">
        <v>100</v>
      </c>
      <c r="P17" s="666">
        <v>95</v>
      </c>
      <c r="Q17" s="666">
        <v>100</v>
      </c>
      <c r="R17" s="666">
        <v>100</v>
      </c>
      <c r="S17" s="666">
        <v>90</v>
      </c>
      <c r="T17" s="666">
        <v>100</v>
      </c>
      <c r="U17" s="666">
        <v>100</v>
      </c>
      <c r="V17" s="666">
        <v>85</v>
      </c>
      <c r="W17" s="666">
        <v>100</v>
      </c>
      <c r="X17" s="666">
        <v>80</v>
      </c>
      <c r="Y17" s="666">
        <v>90</v>
      </c>
      <c r="Z17" s="666">
        <v>100</v>
      </c>
      <c r="AA17" s="666">
        <v>100</v>
      </c>
      <c r="AB17" s="666">
        <v>90</v>
      </c>
      <c r="AC17" s="98"/>
      <c r="AD17" s="98"/>
      <c r="AE17" s="98"/>
      <c r="AF17" s="98"/>
      <c r="AG17" s="98"/>
      <c r="AH17" s="98"/>
    </row>
    <row r="18" spans="1:34" s="478" customFormat="1" ht="35.25" customHeight="1">
      <c r="A18" s="30"/>
      <c r="B18" s="801"/>
      <c r="C18" s="617" t="s">
        <v>1764</v>
      </c>
      <c r="D18" s="618" t="s">
        <v>1613</v>
      </c>
      <c r="E18" s="628">
        <v>100</v>
      </c>
      <c r="F18" s="628"/>
      <c r="G18" s="628">
        <v>90</v>
      </c>
      <c r="H18" s="628">
        <v>100</v>
      </c>
      <c r="I18" s="628">
        <v>90</v>
      </c>
      <c r="J18" s="628">
        <v>100</v>
      </c>
      <c r="K18" s="628">
        <v>90</v>
      </c>
      <c r="L18" s="628">
        <v>100</v>
      </c>
      <c r="M18" s="628">
        <v>90</v>
      </c>
      <c r="N18" s="628">
        <v>80</v>
      </c>
      <c r="O18" s="628">
        <v>80</v>
      </c>
      <c r="P18" s="628">
        <v>100</v>
      </c>
      <c r="Q18" s="628">
        <v>90</v>
      </c>
      <c r="R18" s="628">
        <v>100</v>
      </c>
      <c r="S18" s="628">
        <v>80</v>
      </c>
      <c r="T18" s="628">
        <v>80</v>
      </c>
      <c r="U18" s="628">
        <v>100</v>
      </c>
      <c r="V18" s="628">
        <v>90</v>
      </c>
      <c r="W18" s="628">
        <v>100</v>
      </c>
      <c r="X18" s="628">
        <v>95</v>
      </c>
      <c r="Y18" s="628">
        <v>100</v>
      </c>
      <c r="Z18" s="628">
        <v>90</v>
      </c>
      <c r="AA18" s="628">
        <v>100</v>
      </c>
      <c r="AB18" s="628">
        <v>90</v>
      </c>
      <c r="AC18" s="98"/>
      <c r="AD18" s="98"/>
      <c r="AE18" s="98"/>
      <c r="AF18" s="98"/>
      <c r="AG18" s="98"/>
      <c r="AH18" s="98"/>
    </row>
    <row r="19" spans="1:34" s="478" customFormat="1" ht="35.25" customHeight="1">
      <c r="A19" s="30"/>
      <c r="B19" s="801"/>
      <c r="C19" s="617" t="s">
        <v>1765</v>
      </c>
      <c r="D19" s="618" t="s">
        <v>1766</v>
      </c>
      <c r="E19" s="628">
        <v>95</v>
      </c>
      <c r="F19" s="628">
        <v>90</v>
      </c>
      <c r="G19" s="628">
        <v>90</v>
      </c>
      <c r="H19" s="628">
        <v>100</v>
      </c>
      <c r="I19" s="628">
        <v>100</v>
      </c>
      <c r="J19" s="628">
        <v>100</v>
      </c>
      <c r="K19" s="628">
        <v>100</v>
      </c>
      <c r="L19" s="628">
        <v>100</v>
      </c>
      <c r="M19" s="628">
        <v>95</v>
      </c>
      <c r="N19" s="628">
        <v>100</v>
      </c>
      <c r="O19" s="628">
        <v>100</v>
      </c>
      <c r="P19" s="628">
        <v>100</v>
      </c>
      <c r="Q19" s="628">
        <v>100</v>
      </c>
      <c r="R19" s="628">
        <v>95</v>
      </c>
      <c r="S19" s="628">
        <v>95</v>
      </c>
      <c r="T19" s="628">
        <v>100</v>
      </c>
      <c r="U19" s="628">
        <v>100</v>
      </c>
      <c r="V19" s="628">
        <v>90</v>
      </c>
      <c r="W19" s="628">
        <v>100</v>
      </c>
      <c r="X19" s="628">
        <v>100</v>
      </c>
      <c r="Y19" s="628">
        <v>100</v>
      </c>
      <c r="Z19" s="628">
        <v>100</v>
      </c>
      <c r="AA19" s="628">
        <v>100</v>
      </c>
      <c r="AB19" s="628">
        <v>100</v>
      </c>
      <c r="AC19" s="98"/>
      <c r="AD19" s="98"/>
      <c r="AE19" s="98"/>
      <c r="AF19" s="98"/>
      <c r="AG19" s="98"/>
      <c r="AH19" s="98"/>
    </row>
    <row r="20" spans="1:34" s="478" customFormat="1" ht="35.25" customHeight="1">
      <c r="A20" s="30"/>
      <c r="B20" s="801"/>
      <c r="C20" s="617" t="s">
        <v>1767</v>
      </c>
      <c r="D20" s="618" t="s">
        <v>1486</v>
      </c>
      <c r="E20" s="628">
        <v>95</v>
      </c>
      <c r="F20" s="628">
        <v>90</v>
      </c>
      <c r="G20" s="628">
        <v>100</v>
      </c>
      <c r="H20" s="628">
        <v>95</v>
      </c>
      <c r="I20" s="628">
        <v>100</v>
      </c>
      <c r="J20" s="628">
        <v>95</v>
      </c>
      <c r="K20" s="628">
        <v>100</v>
      </c>
      <c r="L20" s="628">
        <v>100</v>
      </c>
      <c r="M20" s="628">
        <v>100</v>
      </c>
      <c r="N20" s="628">
        <v>100</v>
      </c>
      <c r="O20" s="628">
        <v>100</v>
      </c>
      <c r="P20" s="628">
        <v>100</v>
      </c>
      <c r="Q20" s="628">
        <v>100</v>
      </c>
      <c r="R20" s="628">
        <v>100</v>
      </c>
      <c r="S20" s="628">
        <v>90</v>
      </c>
      <c r="T20" s="628">
        <v>90</v>
      </c>
      <c r="U20" s="628">
        <v>95</v>
      </c>
      <c r="V20" s="628">
        <v>95</v>
      </c>
      <c r="W20" s="628">
        <v>95</v>
      </c>
      <c r="X20" s="628">
        <v>100</v>
      </c>
      <c r="Y20" s="628">
        <v>95</v>
      </c>
      <c r="Z20" s="628">
        <v>95</v>
      </c>
      <c r="AA20" s="628">
        <v>100</v>
      </c>
      <c r="AB20" s="628">
        <v>85</v>
      </c>
      <c r="AC20" s="98"/>
      <c r="AD20" s="98"/>
      <c r="AE20" s="98"/>
      <c r="AF20" s="98"/>
      <c r="AG20" s="98"/>
      <c r="AH20" s="98"/>
    </row>
    <row r="21" spans="1:34" s="478" customFormat="1" ht="35.25" customHeight="1">
      <c r="A21" s="30"/>
      <c r="B21" s="801"/>
      <c r="C21" s="617" t="s">
        <v>1768</v>
      </c>
      <c r="D21" s="618" t="s">
        <v>1488</v>
      </c>
      <c r="E21" s="628">
        <v>100</v>
      </c>
      <c r="F21" s="628"/>
      <c r="G21" s="628"/>
      <c r="H21" s="628">
        <v>100</v>
      </c>
      <c r="I21" s="628">
        <v>100</v>
      </c>
      <c r="J21" s="628">
        <v>100</v>
      </c>
      <c r="K21" s="628">
        <v>100</v>
      </c>
      <c r="L21" s="628">
        <v>100</v>
      </c>
      <c r="M21" s="628">
        <v>100</v>
      </c>
      <c r="N21" s="628">
        <v>100</v>
      </c>
      <c r="O21" s="628">
        <v>100</v>
      </c>
      <c r="P21" s="628">
        <v>100</v>
      </c>
      <c r="Q21" s="628">
        <v>100</v>
      </c>
      <c r="R21" s="628">
        <v>100</v>
      </c>
      <c r="S21" s="628">
        <v>100</v>
      </c>
      <c r="T21" s="628">
        <v>100</v>
      </c>
      <c r="U21" s="628">
        <v>100</v>
      </c>
      <c r="V21" s="628">
        <v>100</v>
      </c>
      <c r="W21" s="628">
        <v>100</v>
      </c>
      <c r="X21" s="628">
        <v>100</v>
      </c>
      <c r="Y21" s="628">
        <v>100</v>
      </c>
      <c r="Z21" s="628">
        <v>100</v>
      </c>
      <c r="AA21" s="628">
        <v>100</v>
      </c>
      <c r="AB21" s="628">
        <v>100</v>
      </c>
      <c r="AC21" s="98"/>
      <c r="AD21" s="98"/>
      <c r="AE21" s="98"/>
      <c r="AF21" s="98"/>
      <c r="AG21" s="98"/>
      <c r="AH21" s="98"/>
    </row>
    <row r="22" spans="1:34" s="478" customFormat="1" ht="35.25" customHeight="1">
      <c r="A22" s="30"/>
      <c r="B22" s="801"/>
      <c r="C22" s="617" t="s">
        <v>1769</v>
      </c>
      <c r="D22" s="618" t="s">
        <v>1620</v>
      </c>
      <c r="E22" s="651">
        <v>90</v>
      </c>
      <c r="F22" s="651">
        <v>95</v>
      </c>
      <c r="G22" s="651">
        <v>90</v>
      </c>
      <c r="H22" s="651">
        <v>100</v>
      </c>
      <c r="I22" s="651">
        <v>100</v>
      </c>
      <c r="J22" s="651">
        <v>100</v>
      </c>
      <c r="K22" s="651">
        <v>100</v>
      </c>
      <c r="L22" s="651">
        <v>95</v>
      </c>
      <c r="M22" s="651">
        <v>100</v>
      </c>
      <c r="N22" s="651">
        <v>100</v>
      </c>
      <c r="O22" s="651">
        <v>100</v>
      </c>
      <c r="P22" s="651">
        <v>100</v>
      </c>
      <c r="Q22" s="651">
        <v>100</v>
      </c>
      <c r="R22" s="651">
        <v>100</v>
      </c>
      <c r="S22" s="651">
        <v>100</v>
      </c>
      <c r="T22" s="651">
        <v>90</v>
      </c>
      <c r="U22" s="651">
        <v>100</v>
      </c>
      <c r="V22" s="651">
        <v>100</v>
      </c>
      <c r="W22" s="651">
        <v>85</v>
      </c>
      <c r="X22" s="651">
        <v>100</v>
      </c>
      <c r="Y22" s="651">
        <v>100</v>
      </c>
      <c r="Z22" s="651">
        <v>100</v>
      </c>
      <c r="AA22" s="651">
        <v>100</v>
      </c>
      <c r="AB22" s="651">
        <v>100</v>
      </c>
      <c r="AC22" s="98"/>
      <c r="AD22" s="98"/>
      <c r="AE22" s="98"/>
      <c r="AF22" s="98"/>
      <c r="AG22" s="98"/>
      <c r="AH22" s="98"/>
    </row>
    <row r="23" spans="1:34" s="478" customFormat="1" ht="35.25" customHeight="1">
      <c r="A23" s="30"/>
      <c r="B23" s="801"/>
      <c r="C23" s="617" t="s">
        <v>1770</v>
      </c>
      <c r="D23" s="618" t="s">
        <v>1623</v>
      </c>
      <c r="E23" s="651">
        <v>100</v>
      </c>
      <c r="F23" s="651">
        <v>100</v>
      </c>
      <c r="G23" s="651">
        <v>95</v>
      </c>
      <c r="H23" s="651">
        <v>100</v>
      </c>
      <c r="I23" s="651">
        <v>95</v>
      </c>
      <c r="J23" s="651">
        <v>100</v>
      </c>
      <c r="K23" s="651">
        <v>100</v>
      </c>
      <c r="L23" s="651">
        <v>100</v>
      </c>
      <c r="M23" s="651">
        <v>100</v>
      </c>
      <c r="N23" s="651">
        <v>90</v>
      </c>
      <c r="O23" s="651">
        <v>100</v>
      </c>
      <c r="P23" s="651">
        <v>100</v>
      </c>
      <c r="Q23" s="651">
        <v>95</v>
      </c>
      <c r="R23" s="651">
        <v>90</v>
      </c>
      <c r="S23" s="651">
        <v>95</v>
      </c>
      <c r="T23" s="651">
        <v>100</v>
      </c>
      <c r="U23" s="651">
        <v>100</v>
      </c>
      <c r="V23" s="651">
        <v>95</v>
      </c>
      <c r="W23" s="651">
        <v>100</v>
      </c>
      <c r="X23" s="651">
        <v>100</v>
      </c>
      <c r="Y23" s="651">
        <v>100</v>
      </c>
      <c r="Z23" s="651">
        <v>100</v>
      </c>
      <c r="AA23" s="651">
        <v>100</v>
      </c>
      <c r="AB23" s="651">
        <v>95</v>
      </c>
      <c r="AC23" s="98"/>
      <c r="AD23" s="98"/>
      <c r="AE23" s="98"/>
      <c r="AF23" s="98"/>
      <c r="AG23" s="98"/>
      <c r="AH23" s="98"/>
    </row>
    <row r="24" spans="1:34" s="478" customFormat="1" ht="35.25" customHeight="1">
      <c r="A24" s="30"/>
      <c r="B24" s="801"/>
      <c r="C24" s="617" t="s">
        <v>1771</v>
      </c>
      <c r="D24" s="618" t="s">
        <v>1494</v>
      </c>
      <c r="E24" s="651">
        <v>100</v>
      </c>
      <c r="F24" s="651">
        <v>90</v>
      </c>
      <c r="G24" s="651">
        <v>100</v>
      </c>
      <c r="H24" s="651">
        <v>100</v>
      </c>
      <c r="I24" s="651">
        <v>100</v>
      </c>
      <c r="J24" s="651">
        <v>100</v>
      </c>
      <c r="K24" s="651">
        <v>100</v>
      </c>
      <c r="L24" s="651">
        <v>100</v>
      </c>
      <c r="M24" s="651">
        <v>100</v>
      </c>
      <c r="N24" s="651">
        <v>100</v>
      </c>
      <c r="O24" s="651">
        <v>100</v>
      </c>
      <c r="P24" s="651">
        <v>100</v>
      </c>
      <c r="Q24" s="651">
        <v>90</v>
      </c>
      <c r="R24" s="651">
        <v>90</v>
      </c>
      <c r="S24" s="651">
        <v>90</v>
      </c>
      <c r="T24" s="651">
        <v>100</v>
      </c>
      <c r="U24" s="651">
        <v>100</v>
      </c>
      <c r="V24" s="651">
        <v>100</v>
      </c>
      <c r="W24" s="651">
        <v>100</v>
      </c>
      <c r="X24" s="651">
        <v>100</v>
      </c>
      <c r="Y24" s="651">
        <v>100</v>
      </c>
      <c r="Z24" s="651">
        <v>100</v>
      </c>
      <c r="AA24" s="651">
        <v>100</v>
      </c>
      <c r="AB24" s="651">
        <v>100</v>
      </c>
      <c r="AC24" s="98"/>
      <c r="AD24" s="98"/>
      <c r="AE24" s="98"/>
      <c r="AF24" s="98"/>
      <c r="AG24" s="98"/>
      <c r="AH24" s="98"/>
    </row>
    <row r="25" spans="1:34" s="478" customFormat="1" ht="35.25" customHeight="1">
      <c r="A25" s="30"/>
      <c r="B25" s="801"/>
      <c r="C25" s="617" t="s">
        <v>1772</v>
      </c>
      <c r="D25" s="618" t="s">
        <v>1496</v>
      </c>
      <c r="E25" s="651">
        <v>100</v>
      </c>
      <c r="F25" s="651">
        <v>100</v>
      </c>
      <c r="G25" s="651">
        <v>100</v>
      </c>
      <c r="H25" s="651">
        <v>90</v>
      </c>
      <c r="I25" s="651">
        <v>100</v>
      </c>
      <c r="J25" s="651">
        <v>100</v>
      </c>
      <c r="K25" s="651">
        <v>100</v>
      </c>
      <c r="L25" s="651">
        <v>100</v>
      </c>
      <c r="M25" s="651">
        <v>90</v>
      </c>
      <c r="N25" s="651">
        <v>100</v>
      </c>
      <c r="O25" s="651">
        <v>90</v>
      </c>
      <c r="P25" s="651">
        <v>100</v>
      </c>
      <c r="Q25" s="651">
        <v>100</v>
      </c>
      <c r="R25" s="651">
        <v>100</v>
      </c>
      <c r="S25" s="651">
        <v>100</v>
      </c>
      <c r="T25" s="651">
        <v>100</v>
      </c>
      <c r="U25" s="651">
        <v>100</v>
      </c>
      <c r="V25" s="651">
        <v>80</v>
      </c>
      <c r="W25" s="651">
        <v>100</v>
      </c>
      <c r="X25" s="651">
        <v>100</v>
      </c>
      <c r="Y25" s="651">
        <v>100</v>
      </c>
      <c r="Z25" s="651">
        <v>80</v>
      </c>
      <c r="AA25" s="651">
        <v>100</v>
      </c>
      <c r="AB25" s="651">
        <v>100</v>
      </c>
      <c r="AC25" s="98"/>
      <c r="AD25" s="98"/>
      <c r="AE25" s="98"/>
      <c r="AF25" s="98"/>
      <c r="AG25" s="98"/>
      <c r="AH25" s="98"/>
    </row>
    <row r="26" spans="1:34" ht="27" hidden="1" customHeight="1">
      <c r="A26" s="30"/>
      <c r="B26" s="801"/>
      <c r="C26" s="408"/>
      <c r="D26" s="72"/>
      <c r="E26" s="98"/>
      <c r="F26" s="98"/>
      <c r="G26" s="98"/>
      <c r="H26" s="98"/>
      <c r="I26" s="98"/>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row>
    <row r="27" spans="1:34" ht="27" hidden="1" customHeight="1">
      <c r="A27" s="30"/>
      <c r="B27" s="801"/>
      <c r="C27" s="408"/>
      <c r="D27" s="403"/>
      <c r="E27" s="98"/>
      <c r="F27" s="98"/>
      <c r="G27" s="98"/>
      <c r="H27" s="98"/>
      <c r="I27" s="98"/>
      <c r="J27" s="98"/>
      <c r="K27" s="98"/>
      <c r="L27" s="98"/>
      <c r="M27" s="98"/>
      <c r="N27" s="98"/>
      <c r="O27" s="98"/>
      <c r="P27" s="98"/>
      <c r="Q27" s="98"/>
      <c r="R27" s="98"/>
      <c r="S27" s="98"/>
      <c r="T27" s="98"/>
      <c r="U27" s="98"/>
      <c r="V27" s="98"/>
      <c r="W27" s="98"/>
      <c r="X27" s="98"/>
      <c r="Y27" s="98"/>
      <c r="Z27" s="98"/>
      <c r="AA27" s="98"/>
      <c r="AB27" s="98"/>
      <c r="AC27" s="98"/>
      <c r="AD27" s="98"/>
      <c r="AE27" s="98"/>
      <c r="AF27" s="98"/>
      <c r="AG27" s="98"/>
      <c r="AH27" s="98"/>
    </row>
    <row r="28" spans="1:34" ht="27" hidden="1" customHeight="1">
      <c r="A28" s="30"/>
      <c r="B28" s="801"/>
      <c r="C28" s="91"/>
      <c r="D28" s="403"/>
      <c r="E28" s="98"/>
      <c r="F28" s="98"/>
      <c r="G28" s="98"/>
      <c r="H28" s="98"/>
      <c r="I28" s="98"/>
      <c r="J28" s="98"/>
      <c r="K28" s="98"/>
      <c r="L28" s="98"/>
      <c r="M28" s="98"/>
      <c r="N28" s="98"/>
      <c r="O28" s="98"/>
      <c r="P28" s="98"/>
      <c r="Q28" s="98"/>
      <c r="R28" s="98"/>
      <c r="S28" s="98"/>
      <c r="T28" s="98"/>
      <c r="U28" s="98"/>
      <c r="V28" s="98"/>
      <c r="W28" s="98"/>
      <c r="X28" s="98"/>
      <c r="Y28" s="98"/>
      <c r="Z28" s="98"/>
      <c r="AA28" s="98"/>
      <c r="AB28" s="98"/>
      <c r="AC28" s="98"/>
      <c r="AD28" s="98"/>
      <c r="AE28" s="98"/>
      <c r="AF28" s="98"/>
      <c r="AG28" s="98"/>
      <c r="AH28" s="98"/>
    </row>
    <row r="29" spans="1:34" ht="27" hidden="1" customHeight="1">
      <c r="A29" s="30"/>
      <c r="B29" s="801"/>
      <c r="C29" s="91"/>
      <c r="D29" s="403"/>
      <c r="E29" s="98"/>
      <c r="F29" s="98"/>
      <c r="G29" s="98"/>
      <c r="H29" s="98"/>
      <c r="I29" s="98"/>
      <c r="J29" s="98"/>
      <c r="K29" s="98"/>
      <c r="L29" s="98"/>
      <c r="M29" s="98"/>
      <c r="N29" s="98"/>
      <c r="O29" s="98"/>
      <c r="P29" s="98"/>
      <c r="Q29" s="98"/>
      <c r="R29" s="98"/>
      <c r="S29" s="98"/>
      <c r="T29" s="98"/>
      <c r="U29" s="98"/>
      <c r="V29" s="98"/>
      <c r="W29" s="98"/>
      <c r="X29" s="98"/>
      <c r="Y29" s="98"/>
      <c r="Z29" s="98"/>
      <c r="AA29" s="98"/>
      <c r="AB29" s="98"/>
      <c r="AC29" s="98"/>
      <c r="AD29" s="98"/>
      <c r="AE29" s="98"/>
      <c r="AF29" s="98"/>
      <c r="AG29" s="98"/>
      <c r="AH29" s="98"/>
    </row>
    <row r="30" spans="1:34" ht="27" hidden="1" customHeight="1">
      <c r="A30" s="30"/>
      <c r="B30" s="801"/>
      <c r="C30" s="91"/>
      <c r="D30" s="403"/>
      <c r="E30" s="98"/>
      <c r="F30" s="98"/>
      <c r="G30" s="98"/>
      <c r="H30" s="98"/>
      <c r="I30" s="98"/>
      <c r="J30" s="98"/>
      <c r="K30" s="98"/>
      <c r="L30" s="98"/>
      <c r="M30" s="98"/>
      <c r="N30" s="98"/>
      <c r="O30" s="98"/>
      <c r="P30" s="98"/>
      <c r="Q30" s="98"/>
      <c r="R30" s="98"/>
      <c r="S30" s="98"/>
      <c r="T30" s="98"/>
      <c r="U30" s="98"/>
      <c r="V30" s="98"/>
      <c r="W30" s="98"/>
      <c r="X30" s="98"/>
      <c r="Y30" s="98"/>
      <c r="Z30" s="98"/>
      <c r="AA30" s="98"/>
      <c r="AB30" s="98"/>
      <c r="AC30" s="98"/>
      <c r="AD30" s="98"/>
      <c r="AE30" s="98"/>
      <c r="AF30" s="98"/>
      <c r="AG30" s="98"/>
      <c r="AH30" s="98"/>
    </row>
    <row r="31" spans="1:34" ht="27" hidden="1" customHeight="1">
      <c r="A31" s="30"/>
      <c r="B31" s="802"/>
      <c r="C31" s="91"/>
      <c r="D31" s="403"/>
      <c r="E31" s="98"/>
      <c r="F31" s="98"/>
      <c r="G31" s="98"/>
      <c r="H31" s="98"/>
      <c r="I31" s="98"/>
      <c r="J31" s="98"/>
      <c r="K31" s="98"/>
      <c r="L31" s="98"/>
      <c r="M31" s="98"/>
      <c r="N31" s="98"/>
      <c r="O31" s="98"/>
      <c r="P31" s="98"/>
      <c r="Q31" s="98"/>
      <c r="R31" s="98"/>
      <c r="S31" s="98"/>
      <c r="T31" s="98"/>
      <c r="U31" s="98"/>
      <c r="V31" s="98"/>
      <c r="W31" s="98"/>
      <c r="X31" s="98"/>
      <c r="Y31" s="98"/>
      <c r="Z31" s="98"/>
      <c r="AA31" s="98"/>
      <c r="AB31" s="98"/>
      <c r="AC31" s="98"/>
      <c r="AD31" s="98"/>
      <c r="AE31" s="98"/>
      <c r="AF31" s="98"/>
      <c r="AG31" s="98"/>
      <c r="AH31" s="98"/>
    </row>
    <row r="32" spans="1:34" ht="27" customHeight="1">
      <c r="A32" s="30"/>
      <c r="B32" s="800">
        <v>2</v>
      </c>
      <c r="C32" s="814" t="s">
        <v>1773</v>
      </c>
      <c r="D32" s="814"/>
      <c r="E32" s="97">
        <f>IFERROR(AVERAGE(E33:E48),"")</f>
        <v>97.666666666666671</v>
      </c>
      <c r="F32" s="97">
        <f t="shared" ref="F32:AB32" si="2">IFERROR(AVERAGE(F33:F48),"")</f>
        <v>96.666666666666671</v>
      </c>
      <c r="G32" s="97">
        <f t="shared" si="2"/>
        <v>96.25</v>
      </c>
      <c r="H32" s="97">
        <f t="shared" si="2"/>
        <v>95.9375</v>
      </c>
      <c r="I32" s="97">
        <f t="shared" si="2"/>
        <v>97.857142857142861</v>
      </c>
      <c r="J32" s="97">
        <f t="shared" si="2"/>
        <v>96.875</v>
      </c>
      <c r="K32" s="97">
        <f t="shared" si="2"/>
        <v>98.75</v>
      </c>
      <c r="L32" s="97">
        <f t="shared" si="2"/>
        <v>96.5625</v>
      </c>
      <c r="M32" s="97">
        <f t="shared" si="2"/>
        <v>96.25</v>
      </c>
      <c r="N32" s="97">
        <f t="shared" si="2"/>
        <v>100</v>
      </c>
      <c r="O32" s="97">
        <f t="shared" si="2"/>
        <v>98.75</v>
      </c>
      <c r="P32" s="97">
        <f t="shared" si="2"/>
        <v>98.75</v>
      </c>
      <c r="Q32" s="97">
        <f t="shared" si="2"/>
        <v>98.4375</v>
      </c>
      <c r="R32" s="97">
        <f t="shared" si="2"/>
        <v>98.125</v>
      </c>
      <c r="S32" s="97">
        <f t="shared" si="2"/>
        <v>96.071428571428569</v>
      </c>
      <c r="T32" s="97">
        <f t="shared" si="2"/>
        <v>95.3125</v>
      </c>
      <c r="U32" s="97">
        <f t="shared" si="2"/>
        <v>99.375</v>
      </c>
      <c r="V32" s="97">
        <f t="shared" si="2"/>
        <v>95.3125</v>
      </c>
      <c r="W32" s="97">
        <f t="shared" si="2"/>
        <v>96</v>
      </c>
      <c r="X32" s="97">
        <f t="shared" si="2"/>
        <v>91.25</v>
      </c>
      <c r="Y32" s="97">
        <f t="shared" si="2"/>
        <v>97.5</v>
      </c>
      <c r="Z32" s="97">
        <f t="shared" si="2"/>
        <v>98.928571428571431</v>
      </c>
      <c r="AA32" s="97">
        <f t="shared" si="2"/>
        <v>97.5</v>
      </c>
      <c r="AB32" s="97">
        <f t="shared" si="2"/>
        <v>95</v>
      </c>
      <c r="AC32" s="97" t="str">
        <f t="shared" ref="AC32:AH32" si="3">IFERROR(AVERAGE(AC33:AC54),"")</f>
        <v/>
      </c>
      <c r="AD32" s="97" t="str">
        <f t="shared" si="3"/>
        <v/>
      </c>
      <c r="AE32" s="97" t="str">
        <f t="shared" si="3"/>
        <v/>
      </c>
      <c r="AF32" s="97" t="str">
        <f t="shared" si="3"/>
        <v/>
      </c>
      <c r="AG32" s="97" t="str">
        <f t="shared" si="3"/>
        <v/>
      </c>
      <c r="AH32" s="97" t="str">
        <f t="shared" si="3"/>
        <v/>
      </c>
    </row>
    <row r="33" spans="1:34" ht="27" customHeight="1">
      <c r="A33" s="30"/>
      <c r="B33" s="801"/>
      <c r="C33" s="619" t="s">
        <v>1774</v>
      </c>
      <c r="D33" s="614" t="s">
        <v>1678</v>
      </c>
      <c r="E33" s="644">
        <v>90</v>
      </c>
      <c r="F33" s="644">
        <v>100</v>
      </c>
      <c r="G33" s="644">
        <v>100</v>
      </c>
      <c r="H33" s="644">
        <v>80</v>
      </c>
      <c r="I33" s="644">
        <v>100</v>
      </c>
      <c r="J33" s="644">
        <v>100</v>
      </c>
      <c r="K33" s="644">
        <v>100</v>
      </c>
      <c r="L33" s="644">
        <v>80</v>
      </c>
      <c r="M33" s="644">
        <v>100</v>
      </c>
      <c r="N33" s="644">
        <v>100</v>
      </c>
      <c r="O33" s="644">
        <v>100</v>
      </c>
      <c r="P33" s="644">
        <v>100</v>
      </c>
      <c r="Q33" s="644">
        <v>100</v>
      </c>
      <c r="R33" s="644">
        <v>90</v>
      </c>
      <c r="S33" s="644">
        <v>100</v>
      </c>
      <c r="T33" s="644">
        <v>90</v>
      </c>
      <c r="U33" s="644">
        <v>100</v>
      </c>
      <c r="V33" s="644">
        <v>80</v>
      </c>
      <c r="W33" s="644">
        <v>100</v>
      </c>
      <c r="X33" s="644">
        <v>95</v>
      </c>
      <c r="Y33" s="644">
        <v>100</v>
      </c>
      <c r="Z33" s="644">
        <v>100</v>
      </c>
      <c r="AA33" s="644">
        <v>100</v>
      </c>
      <c r="AB33" s="644">
        <v>100</v>
      </c>
      <c r="AC33" s="98"/>
      <c r="AD33" s="98"/>
      <c r="AE33" s="98"/>
      <c r="AF33" s="98"/>
      <c r="AG33" s="98"/>
      <c r="AH33" s="98"/>
    </row>
    <row r="34" spans="1:34" s="478" customFormat="1" ht="27" customHeight="1">
      <c r="A34" s="30"/>
      <c r="B34" s="801"/>
      <c r="C34" s="613" t="s">
        <v>1775</v>
      </c>
      <c r="D34" s="616" t="s">
        <v>1681</v>
      </c>
      <c r="E34" s="644">
        <v>100</v>
      </c>
      <c r="F34" s="644">
        <v>90</v>
      </c>
      <c r="G34" s="644">
        <v>100</v>
      </c>
      <c r="H34" s="644">
        <v>100</v>
      </c>
      <c r="I34" s="644">
        <v>100</v>
      </c>
      <c r="J34" s="644">
        <v>100</v>
      </c>
      <c r="K34" s="644">
        <v>95</v>
      </c>
      <c r="L34" s="644">
        <v>100</v>
      </c>
      <c r="M34" s="644">
        <v>95</v>
      </c>
      <c r="N34" s="644">
        <v>100</v>
      </c>
      <c r="O34" s="644">
        <v>95</v>
      </c>
      <c r="P34" s="644">
        <v>100</v>
      </c>
      <c r="Q34" s="644">
        <v>95</v>
      </c>
      <c r="R34" s="644">
        <v>100</v>
      </c>
      <c r="S34" s="644">
        <v>90</v>
      </c>
      <c r="T34" s="644">
        <v>90</v>
      </c>
      <c r="U34" s="644">
        <v>90</v>
      </c>
      <c r="V34" s="644">
        <v>100</v>
      </c>
      <c r="W34" s="644">
        <v>100</v>
      </c>
      <c r="X34" s="644">
        <v>100</v>
      </c>
      <c r="Y34" s="644">
        <v>100</v>
      </c>
      <c r="Z34" s="644">
        <v>100</v>
      </c>
      <c r="AA34" s="644">
        <v>100</v>
      </c>
      <c r="AB34" s="644">
        <v>100</v>
      </c>
      <c r="AC34" s="98"/>
      <c r="AD34" s="98"/>
      <c r="AE34" s="98"/>
      <c r="AF34" s="98"/>
      <c r="AG34" s="98"/>
      <c r="AH34" s="98"/>
    </row>
    <row r="35" spans="1:34" s="478" customFormat="1" ht="27" customHeight="1">
      <c r="A35" s="30"/>
      <c r="B35" s="801"/>
      <c r="C35" s="615" t="s">
        <v>1776</v>
      </c>
      <c r="D35" s="616" t="s">
        <v>1412</v>
      </c>
      <c r="E35" s="644">
        <v>95</v>
      </c>
      <c r="F35" s="644"/>
      <c r="G35" s="644">
        <v>90</v>
      </c>
      <c r="H35" s="644">
        <v>100</v>
      </c>
      <c r="I35" s="644">
        <v>100</v>
      </c>
      <c r="J35" s="644">
        <v>100</v>
      </c>
      <c r="K35" s="644">
        <v>100</v>
      </c>
      <c r="L35" s="644">
        <v>85</v>
      </c>
      <c r="M35" s="644">
        <v>95</v>
      </c>
      <c r="N35" s="644">
        <v>100</v>
      </c>
      <c r="O35" s="644">
        <v>100</v>
      </c>
      <c r="P35" s="644">
        <v>95</v>
      </c>
      <c r="Q35" s="644">
        <v>100</v>
      </c>
      <c r="R35" s="644">
        <v>95</v>
      </c>
      <c r="S35" s="644">
        <v>95</v>
      </c>
      <c r="T35" s="644">
        <v>95</v>
      </c>
      <c r="U35" s="644">
        <v>100</v>
      </c>
      <c r="V35" s="644">
        <v>100</v>
      </c>
      <c r="W35" s="644">
        <v>90</v>
      </c>
      <c r="X35" s="644">
        <v>100</v>
      </c>
      <c r="Y35" s="644">
        <v>100</v>
      </c>
      <c r="Z35" s="644">
        <v>100</v>
      </c>
      <c r="AA35" s="644">
        <v>100</v>
      </c>
      <c r="AB35" s="644">
        <v>95</v>
      </c>
      <c r="AC35" s="98"/>
      <c r="AD35" s="98"/>
      <c r="AE35" s="98"/>
      <c r="AF35" s="98"/>
      <c r="AG35" s="98"/>
      <c r="AH35" s="98"/>
    </row>
    <row r="36" spans="1:34" s="478" customFormat="1" ht="27" customHeight="1">
      <c r="A36" s="30"/>
      <c r="B36" s="801"/>
      <c r="C36" s="617" t="s">
        <v>1777</v>
      </c>
      <c r="D36" s="618" t="s">
        <v>1413</v>
      </c>
      <c r="E36" s="644">
        <v>95</v>
      </c>
      <c r="F36" s="644"/>
      <c r="G36" s="644">
        <v>100</v>
      </c>
      <c r="H36" s="644">
        <v>100</v>
      </c>
      <c r="I36" s="644">
        <v>100</v>
      </c>
      <c r="J36" s="644">
        <v>100</v>
      </c>
      <c r="K36" s="644">
        <v>95</v>
      </c>
      <c r="L36" s="644">
        <v>100</v>
      </c>
      <c r="M36" s="644">
        <v>100</v>
      </c>
      <c r="N36" s="644">
        <v>100</v>
      </c>
      <c r="O36" s="644">
        <v>100</v>
      </c>
      <c r="P36" s="644">
        <v>90</v>
      </c>
      <c r="Q36" s="644">
        <v>100</v>
      </c>
      <c r="R36" s="644">
        <v>90</v>
      </c>
      <c r="S36" s="644">
        <v>70</v>
      </c>
      <c r="T36" s="644">
        <v>90</v>
      </c>
      <c r="U36" s="644">
        <v>100</v>
      </c>
      <c r="V36" s="644">
        <v>100</v>
      </c>
      <c r="W36" s="644">
        <v>90</v>
      </c>
      <c r="X36" s="644">
        <v>80</v>
      </c>
      <c r="Y36" s="644">
        <v>90</v>
      </c>
      <c r="Z36" s="644">
        <v>100</v>
      </c>
      <c r="AA36" s="644">
        <v>100</v>
      </c>
      <c r="AB36" s="644">
        <v>90</v>
      </c>
      <c r="AC36" s="98"/>
      <c r="AD36" s="98"/>
      <c r="AE36" s="98"/>
      <c r="AF36" s="98"/>
      <c r="AG36" s="98"/>
      <c r="AH36" s="98"/>
    </row>
    <row r="37" spans="1:34" s="478" customFormat="1" ht="27" customHeight="1">
      <c r="A37" s="30"/>
      <c r="B37" s="801"/>
      <c r="C37" s="620" t="s">
        <v>1778</v>
      </c>
      <c r="D37" s="618" t="s">
        <v>1711</v>
      </c>
      <c r="E37" s="672">
        <v>100</v>
      </c>
      <c r="F37" s="672">
        <v>100</v>
      </c>
      <c r="G37" s="672">
        <v>100</v>
      </c>
      <c r="H37" s="672">
        <v>100</v>
      </c>
      <c r="I37" s="672">
        <v>100</v>
      </c>
      <c r="J37" s="672">
        <v>100</v>
      </c>
      <c r="K37" s="672">
        <v>100</v>
      </c>
      <c r="L37" s="672">
        <v>90</v>
      </c>
      <c r="M37" s="672">
        <v>100</v>
      </c>
      <c r="N37" s="672">
        <v>100</v>
      </c>
      <c r="O37" s="672">
        <v>100</v>
      </c>
      <c r="P37" s="672">
        <v>100</v>
      </c>
      <c r="Q37" s="672">
        <v>100</v>
      </c>
      <c r="R37" s="672">
        <v>100</v>
      </c>
      <c r="S37" s="672">
        <v>100</v>
      </c>
      <c r="T37" s="672">
        <v>100</v>
      </c>
      <c r="U37" s="672">
        <v>100</v>
      </c>
      <c r="V37" s="672">
        <v>100</v>
      </c>
      <c r="W37" s="672">
        <v>100</v>
      </c>
      <c r="X37" s="672">
        <v>100</v>
      </c>
      <c r="Y37" s="672">
        <v>100</v>
      </c>
      <c r="Z37" s="672">
        <v>100</v>
      </c>
      <c r="AA37" s="672">
        <v>100</v>
      </c>
      <c r="AB37" s="672">
        <v>100</v>
      </c>
      <c r="AC37" s="98"/>
      <c r="AD37" s="98"/>
      <c r="AE37" s="98"/>
      <c r="AF37" s="98"/>
      <c r="AG37" s="98"/>
      <c r="AH37" s="98"/>
    </row>
    <row r="38" spans="1:34" s="478" customFormat="1" ht="27" customHeight="1">
      <c r="A38" s="30"/>
      <c r="B38" s="801"/>
      <c r="C38" s="617" t="s">
        <v>1779</v>
      </c>
      <c r="D38" s="618" t="s">
        <v>1780</v>
      </c>
      <c r="E38" s="98">
        <v>100</v>
      </c>
      <c r="F38" s="98">
        <v>100</v>
      </c>
      <c r="G38" s="98">
        <v>100</v>
      </c>
      <c r="H38" s="98">
        <v>100</v>
      </c>
      <c r="I38" s="98">
        <v>100</v>
      </c>
      <c r="J38" s="98">
        <v>100</v>
      </c>
      <c r="K38" s="98">
        <v>100</v>
      </c>
      <c r="L38" s="98">
        <v>100</v>
      </c>
      <c r="M38" s="98">
        <v>100</v>
      </c>
      <c r="N38" s="98">
        <v>100</v>
      </c>
      <c r="O38" s="98">
        <v>100</v>
      </c>
      <c r="P38" s="98">
        <v>100</v>
      </c>
      <c r="Q38" s="98">
        <v>100</v>
      </c>
      <c r="R38" s="98">
        <v>100</v>
      </c>
      <c r="S38" s="98">
        <v>100</v>
      </c>
      <c r="T38" s="98">
        <v>100</v>
      </c>
      <c r="U38" s="98">
        <v>100</v>
      </c>
      <c r="V38" s="98">
        <v>100</v>
      </c>
      <c r="W38" s="98">
        <v>100</v>
      </c>
      <c r="X38" s="98">
        <v>100</v>
      </c>
      <c r="Y38" s="98">
        <v>100</v>
      </c>
      <c r="Z38" s="98">
        <v>100</v>
      </c>
      <c r="AA38" s="98">
        <v>100</v>
      </c>
      <c r="AB38" s="98">
        <v>100</v>
      </c>
      <c r="AC38" s="98"/>
      <c r="AD38" s="98"/>
      <c r="AE38" s="98"/>
      <c r="AF38" s="98"/>
      <c r="AG38" s="98"/>
      <c r="AH38" s="98"/>
    </row>
    <row r="39" spans="1:34" s="478" customFormat="1" ht="27" customHeight="1">
      <c r="A39" s="30"/>
      <c r="B39" s="801"/>
      <c r="C39" s="617" t="s">
        <v>1781</v>
      </c>
      <c r="D39" s="618" t="s">
        <v>1455</v>
      </c>
      <c r="E39" s="672">
        <v>100</v>
      </c>
      <c r="F39" s="672">
        <v>100</v>
      </c>
      <c r="G39" s="672">
        <v>95</v>
      </c>
      <c r="H39" s="672">
        <v>90</v>
      </c>
      <c r="I39" s="672">
        <v>90</v>
      </c>
      <c r="J39" s="672">
        <v>90</v>
      </c>
      <c r="K39" s="672">
        <v>100</v>
      </c>
      <c r="L39" s="672">
        <v>100</v>
      </c>
      <c r="M39" s="672">
        <v>100</v>
      </c>
      <c r="N39" s="672">
        <v>100</v>
      </c>
      <c r="O39" s="672">
        <v>100</v>
      </c>
      <c r="P39" s="672">
        <v>100</v>
      </c>
      <c r="Q39" s="672">
        <v>90</v>
      </c>
      <c r="R39" s="672">
        <v>100</v>
      </c>
      <c r="S39" s="672">
        <v>100</v>
      </c>
      <c r="T39" s="672">
        <v>90</v>
      </c>
      <c r="U39" s="672">
        <v>100</v>
      </c>
      <c r="V39" s="672">
        <v>95</v>
      </c>
      <c r="W39" s="672">
        <v>100</v>
      </c>
      <c r="X39" s="672">
        <v>90</v>
      </c>
      <c r="Y39" s="672">
        <v>90</v>
      </c>
      <c r="Z39" s="672">
        <v>100</v>
      </c>
      <c r="AA39" s="672">
        <v>100</v>
      </c>
      <c r="AB39" s="672">
        <v>95</v>
      </c>
      <c r="AC39" s="98"/>
      <c r="AD39" s="98"/>
      <c r="AE39" s="98"/>
      <c r="AF39" s="98"/>
      <c r="AG39" s="98"/>
      <c r="AH39" s="98"/>
    </row>
    <row r="40" spans="1:34" s="478" customFormat="1" ht="27" customHeight="1">
      <c r="A40" s="30"/>
      <c r="B40" s="801"/>
      <c r="C40" s="617" t="s">
        <v>1782</v>
      </c>
      <c r="D40" s="618" t="s">
        <v>1457</v>
      </c>
      <c r="E40" s="672">
        <v>100</v>
      </c>
      <c r="F40" s="672">
        <v>100</v>
      </c>
      <c r="G40" s="672">
        <v>95</v>
      </c>
      <c r="H40" s="672">
        <v>95</v>
      </c>
      <c r="I40" s="672">
        <v>100</v>
      </c>
      <c r="J40" s="672">
        <v>100</v>
      </c>
      <c r="K40" s="672">
        <v>100</v>
      </c>
      <c r="L40" s="672">
        <v>100</v>
      </c>
      <c r="M40" s="672">
        <v>90</v>
      </c>
      <c r="N40" s="672">
        <v>100</v>
      </c>
      <c r="O40" s="672">
        <v>95</v>
      </c>
      <c r="P40" s="672">
        <v>100</v>
      </c>
      <c r="Q40" s="672">
        <v>90</v>
      </c>
      <c r="R40" s="672">
        <v>100</v>
      </c>
      <c r="S40" s="672"/>
      <c r="T40" s="672">
        <v>100</v>
      </c>
      <c r="U40" s="672">
        <v>100</v>
      </c>
      <c r="V40" s="672">
        <v>100</v>
      </c>
      <c r="W40" s="672">
        <v>90</v>
      </c>
      <c r="X40" s="672">
        <v>90</v>
      </c>
      <c r="Y40" s="672">
        <v>100</v>
      </c>
      <c r="Z40" s="672">
        <v>95</v>
      </c>
      <c r="AA40" s="672">
        <v>100</v>
      </c>
      <c r="AB40" s="672">
        <v>80</v>
      </c>
      <c r="AC40" s="98"/>
      <c r="AD40" s="98"/>
      <c r="AE40" s="98"/>
      <c r="AF40" s="98"/>
      <c r="AG40" s="98"/>
      <c r="AH40" s="98"/>
    </row>
    <row r="41" spans="1:34" s="478" customFormat="1" ht="27" customHeight="1">
      <c r="A41" s="30"/>
      <c r="B41" s="801"/>
      <c r="C41" s="617" t="s">
        <v>1783</v>
      </c>
      <c r="D41" s="618" t="s">
        <v>1717</v>
      </c>
      <c r="E41" s="654">
        <v>100</v>
      </c>
      <c r="F41" s="654"/>
      <c r="G41" s="654">
        <v>90</v>
      </c>
      <c r="H41" s="654">
        <v>100</v>
      </c>
      <c r="I41" s="654">
        <v>100</v>
      </c>
      <c r="J41" s="654">
        <v>100</v>
      </c>
      <c r="K41" s="654">
        <v>100</v>
      </c>
      <c r="L41" s="654">
        <v>100</v>
      </c>
      <c r="M41" s="654">
        <v>90</v>
      </c>
      <c r="N41" s="654">
        <v>100</v>
      </c>
      <c r="O41" s="654">
        <v>100</v>
      </c>
      <c r="P41" s="654">
        <v>100</v>
      </c>
      <c r="Q41" s="654">
        <v>100</v>
      </c>
      <c r="R41" s="654">
        <v>100</v>
      </c>
      <c r="S41" s="654">
        <v>100</v>
      </c>
      <c r="T41" s="654">
        <v>100</v>
      </c>
      <c r="U41" s="654">
        <v>100</v>
      </c>
      <c r="V41" s="654">
        <v>90</v>
      </c>
      <c r="W41" s="654">
        <v>100</v>
      </c>
      <c r="X41" s="654">
        <v>80</v>
      </c>
      <c r="Y41" s="654">
        <v>90</v>
      </c>
      <c r="Z41" s="654">
        <v>100</v>
      </c>
      <c r="AA41" s="654">
        <v>100</v>
      </c>
      <c r="AB41" s="654">
        <v>90</v>
      </c>
      <c r="AC41" s="98"/>
      <c r="AD41" s="98"/>
      <c r="AE41" s="98"/>
      <c r="AF41" s="98"/>
      <c r="AG41" s="98"/>
      <c r="AH41" s="98"/>
    </row>
    <row r="42" spans="1:34" s="478" customFormat="1" ht="27" customHeight="1">
      <c r="A42" s="30"/>
      <c r="B42" s="801"/>
      <c r="C42" s="617" t="s">
        <v>1784</v>
      </c>
      <c r="D42" s="618" t="s">
        <v>1720</v>
      </c>
      <c r="E42" s="654">
        <v>95</v>
      </c>
      <c r="F42" s="654"/>
      <c r="G42" s="654">
        <v>95</v>
      </c>
      <c r="H42" s="654">
        <v>100</v>
      </c>
      <c r="I42" s="654">
        <v>100</v>
      </c>
      <c r="J42" s="654">
        <v>100</v>
      </c>
      <c r="K42" s="654">
        <v>100</v>
      </c>
      <c r="L42" s="654">
        <v>100</v>
      </c>
      <c r="M42" s="654">
        <v>95</v>
      </c>
      <c r="N42" s="654">
        <v>100</v>
      </c>
      <c r="O42" s="654">
        <v>100</v>
      </c>
      <c r="P42" s="654">
        <v>100</v>
      </c>
      <c r="Q42" s="654">
        <v>100</v>
      </c>
      <c r="R42" s="654">
        <v>100</v>
      </c>
      <c r="S42" s="654">
        <v>100</v>
      </c>
      <c r="T42" s="654">
        <v>100</v>
      </c>
      <c r="U42" s="654">
        <v>100</v>
      </c>
      <c r="V42" s="654">
        <v>100</v>
      </c>
      <c r="W42" s="654">
        <v>90</v>
      </c>
      <c r="X42" s="654">
        <v>100</v>
      </c>
      <c r="Y42" s="654">
        <v>100</v>
      </c>
      <c r="Z42" s="654">
        <v>100</v>
      </c>
      <c r="AA42" s="654">
        <v>100</v>
      </c>
      <c r="AB42" s="654">
        <v>95</v>
      </c>
      <c r="AC42" s="98"/>
      <c r="AD42" s="98"/>
      <c r="AE42" s="98"/>
      <c r="AF42" s="98"/>
      <c r="AG42" s="98"/>
      <c r="AH42" s="98"/>
    </row>
    <row r="43" spans="1:34" s="478" customFormat="1" ht="27" customHeight="1">
      <c r="A43" s="30"/>
      <c r="B43" s="801"/>
      <c r="C43" s="617" t="s">
        <v>1785</v>
      </c>
      <c r="D43" s="618" t="s">
        <v>1463</v>
      </c>
      <c r="E43" s="654">
        <v>90</v>
      </c>
      <c r="F43" s="654">
        <v>90</v>
      </c>
      <c r="G43" s="654">
        <v>100</v>
      </c>
      <c r="H43" s="654">
        <v>80</v>
      </c>
      <c r="I43" s="654">
        <v>90</v>
      </c>
      <c r="J43" s="654">
        <v>80</v>
      </c>
      <c r="K43" s="654">
        <v>90</v>
      </c>
      <c r="L43" s="654">
        <v>90</v>
      </c>
      <c r="M43" s="654">
        <v>90</v>
      </c>
      <c r="N43" s="654">
        <v>100</v>
      </c>
      <c r="O43" s="654">
        <v>100</v>
      </c>
      <c r="P43" s="654">
        <v>100</v>
      </c>
      <c r="Q43" s="654">
        <v>100</v>
      </c>
      <c r="R43" s="654">
        <v>100</v>
      </c>
      <c r="S43" s="654">
        <v>90</v>
      </c>
      <c r="T43" s="654">
        <v>100</v>
      </c>
      <c r="U43" s="654">
        <v>100</v>
      </c>
      <c r="V43" s="654">
        <v>90</v>
      </c>
      <c r="W43" s="654"/>
      <c r="X43" s="654">
        <v>90</v>
      </c>
      <c r="Y43" s="654">
        <v>90</v>
      </c>
      <c r="Z43" s="654"/>
      <c r="AA43" s="654">
        <v>100</v>
      </c>
      <c r="AB43" s="654">
        <v>100</v>
      </c>
      <c r="AC43" s="98"/>
      <c r="AD43" s="98"/>
      <c r="AE43" s="98"/>
      <c r="AF43" s="98"/>
      <c r="AG43" s="98"/>
      <c r="AH43" s="98"/>
    </row>
    <row r="44" spans="1:34" s="478" customFormat="1" ht="27" customHeight="1">
      <c r="A44" s="30"/>
      <c r="B44" s="801"/>
      <c r="C44" s="617" t="s">
        <v>1786</v>
      </c>
      <c r="D44" s="618" t="s">
        <v>1465</v>
      </c>
      <c r="E44" s="654"/>
      <c r="F44" s="654">
        <v>90</v>
      </c>
      <c r="G44" s="654">
        <v>100</v>
      </c>
      <c r="H44" s="654">
        <v>90</v>
      </c>
      <c r="I44" s="654">
        <v>90</v>
      </c>
      <c r="J44" s="654">
        <v>80</v>
      </c>
      <c r="K44" s="654">
        <v>100</v>
      </c>
      <c r="L44" s="654">
        <v>100</v>
      </c>
      <c r="M44" s="654">
        <v>90</v>
      </c>
      <c r="N44" s="654">
        <v>100</v>
      </c>
      <c r="O44" s="654">
        <v>90</v>
      </c>
      <c r="P44" s="654">
        <v>95</v>
      </c>
      <c r="Q44" s="654">
        <v>100</v>
      </c>
      <c r="R44" s="654">
        <v>100</v>
      </c>
      <c r="S44" s="654"/>
      <c r="T44" s="654">
        <v>80</v>
      </c>
      <c r="U44" s="654">
        <v>100</v>
      </c>
      <c r="V44" s="654">
        <v>100</v>
      </c>
      <c r="W44" s="654"/>
      <c r="X44" s="654">
        <v>80</v>
      </c>
      <c r="Y44" s="654">
        <v>100</v>
      </c>
      <c r="Z44" s="654"/>
      <c r="AA44" s="654">
        <v>60</v>
      </c>
      <c r="AB44" s="654">
        <v>100</v>
      </c>
      <c r="AC44" s="98"/>
      <c r="AD44" s="98"/>
      <c r="AE44" s="98"/>
      <c r="AF44" s="98"/>
      <c r="AG44" s="98"/>
      <c r="AH44" s="98"/>
    </row>
    <row r="45" spans="1:34" s="478" customFormat="1" ht="27" customHeight="1">
      <c r="A45" s="30"/>
      <c r="B45" s="801"/>
      <c r="C45" s="617" t="s">
        <v>1787</v>
      </c>
      <c r="D45" s="618" t="s">
        <v>1726</v>
      </c>
      <c r="E45" s="628">
        <v>100</v>
      </c>
      <c r="F45" s="628">
        <v>90</v>
      </c>
      <c r="G45" s="628">
        <v>90</v>
      </c>
      <c r="H45" s="628">
        <v>100</v>
      </c>
      <c r="I45" s="628">
        <v>100</v>
      </c>
      <c r="J45" s="628">
        <v>100</v>
      </c>
      <c r="K45" s="628">
        <v>100</v>
      </c>
      <c r="L45" s="628">
        <v>100</v>
      </c>
      <c r="M45" s="628">
        <v>100</v>
      </c>
      <c r="N45" s="628">
        <v>100</v>
      </c>
      <c r="O45" s="628">
        <v>100</v>
      </c>
      <c r="P45" s="628">
        <v>100</v>
      </c>
      <c r="Q45" s="628">
        <v>100</v>
      </c>
      <c r="R45" s="628">
        <v>100</v>
      </c>
      <c r="S45" s="628">
        <v>100</v>
      </c>
      <c r="T45" s="628">
        <v>95</v>
      </c>
      <c r="U45" s="628">
        <v>100</v>
      </c>
      <c r="V45" s="628">
        <v>90</v>
      </c>
      <c r="W45" s="628"/>
      <c r="X45" s="628">
        <v>90</v>
      </c>
      <c r="Y45" s="628">
        <v>100</v>
      </c>
      <c r="Z45" s="628">
        <v>100</v>
      </c>
      <c r="AA45" s="628">
        <v>100</v>
      </c>
      <c r="AB45" s="628">
        <v>100</v>
      </c>
      <c r="AC45" s="98"/>
      <c r="AD45" s="98"/>
      <c r="AE45" s="98"/>
      <c r="AF45" s="98"/>
      <c r="AG45" s="98"/>
      <c r="AH45" s="98"/>
    </row>
    <row r="46" spans="1:34" s="478" customFormat="1" ht="27" customHeight="1">
      <c r="A46" s="30"/>
      <c r="B46" s="801"/>
      <c r="C46" s="617" t="s">
        <v>1788</v>
      </c>
      <c r="D46" s="618" t="s">
        <v>1729</v>
      </c>
      <c r="E46" s="628">
        <v>100</v>
      </c>
      <c r="F46" s="628">
        <v>100</v>
      </c>
      <c r="G46" s="628">
        <v>90</v>
      </c>
      <c r="H46" s="628">
        <v>100</v>
      </c>
      <c r="I46" s="628">
        <v>100</v>
      </c>
      <c r="J46" s="628">
        <v>100</v>
      </c>
      <c r="K46" s="628">
        <v>100</v>
      </c>
      <c r="L46" s="628">
        <v>100</v>
      </c>
      <c r="M46" s="628">
        <v>100</v>
      </c>
      <c r="N46" s="628">
        <v>100</v>
      </c>
      <c r="O46" s="628">
        <v>100</v>
      </c>
      <c r="P46" s="628">
        <v>100</v>
      </c>
      <c r="Q46" s="628">
        <v>100</v>
      </c>
      <c r="R46" s="628">
        <v>95</v>
      </c>
      <c r="S46" s="628">
        <v>100</v>
      </c>
      <c r="T46" s="628">
        <v>100</v>
      </c>
      <c r="U46" s="628">
        <v>100</v>
      </c>
      <c r="V46" s="628">
        <v>100</v>
      </c>
      <c r="W46" s="628"/>
      <c r="X46" s="628">
        <v>95</v>
      </c>
      <c r="Y46" s="628">
        <v>100</v>
      </c>
      <c r="Z46" s="628">
        <v>100</v>
      </c>
      <c r="AA46" s="628">
        <v>100</v>
      </c>
      <c r="AB46" s="628">
        <v>100</v>
      </c>
      <c r="AC46" s="98"/>
      <c r="AD46" s="98"/>
      <c r="AE46" s="98"/>
      <c r="AF46" s="98"/>
      <c r="AG46" s="98"/>
      <c r="AH46" s="98"/>
    </row>
    <row r="47" spans="1:34" s="478" customFormat="1" ht="27" customHeight="1">
      <c r="A47" s="30"/>
      <c r="B47" s="801"/>
      <c r="C47" s="617" t="s">
        <v>1789</v>
      </c>
      <c r="D47" s="618" t="s">
        <v>1470</v>
      </c>
      <c r="E47" s="628">
        <v>100</v>
      </c>
      <c r="F47" s="628">
        <v>100</v>
      </c>
      <c r="G47" s="628">
        <v>100</v>
      </c>
      <c r="H47" s="628">
        <v>100</v>
      </c>
      <c r="I47" s="628"/>
      <c r="J47" s="628">
        <v>100</v>
      </c>
      <c r="K47" s="628">
        <v>100</v>
      </c>
      <c r="L47" s="628">
        <v>100</v>
      </c>
      <c r="M47" s="628">
        <v>100</v>
      </c>
      <c r="N47" s="628">
        <v>100</v>
      </c>
      <c r="O47" s="628">
        <v>100</v>
      </c>
      <c r="P47" s="628">
        <v>100</v>
      </c>
      <c r="Q47" s="628">
        <v>100</v>
      </c>
      <c r="R47" s="628">
        <v>100</v>
      </c>
      <c r="S47" s="628">
        <v>100</v>
      </c>
      <c r="T47" s="628">
        <v>100</v>
      </c>
      <c r="U47" s="628">
        <v>100</v>
      </c>
      <c r="V47" s="628">
        <v>90</v>
      </c>
      <c r="W47" s="628"/>
      <c r="X47" s="628">
        <v>90</v>
      </c>
      <c r="Y47" s="628">
        <v>100</v>
      </c>
      <c r="Z47" s="628">
        <v>90</v>
      </c>
      <c r="AA47" s="628">
        <v>100</v>
      </c>
      <c r="AB47" s="628">
        <v>95</v>
      </c>
      <c r="AC47" s="98"/>
      <c r="AD47" s="98"/>
      <c r="AE47" s="98"/>
      <c r="AF47" s="98"/>
      <c r="AG47" s="98"/>
      <c r="AH47" s="98"/>
    </row>
    <row r="48" spans="1:34" s="478" customFormat="1" ht="27" customHeight="1">
      <c r="A48" s="30"/>
      <c r="B48" s="801"/>
      <c r="C48" s="617" t="s">
        <v>1790</v>
      </c>
      <c r="D48" s="618" t="s">
        <v>1472</v>
      </c>
      <c r="E48" s="628">
        <v>100</v>
      </c>
      <c r="F48" s="628">
        <v>100</v>
      </c>
      <c r="G48" s="628">
        <v>95</v>
      </c>
      <c r="H48" s="628">
        <v>100</v>
      </c>
      <c r="I48" s="628"/>
      <c r="J48" s="628">
        <v>100</v>
      </c>
      <c r="K48" s="628">
        <v>100</v>
      </c>
      <c r="L48" s="628">
        <v>100</v>
      </c>
      <c r="M48" s="628">
        <v>95</v>
      </c>
      <c r="N48" s="628">
        <v>100</v>
      </c>
      <c r="O48" s="628">
        <v>100</v>
      </c>
      <c r="P48" s="628">
        <v>100</v>
      </c>
      <c r="Q48" s="628">
        <v>100</v>
      </c>
      <c r="R48" s="628">
        <v>100</v>
      </c>
      <c r="S48" s="628">
        <v>100</v>
      </c>
      <c r="T48" s="628">
        <v>95</v>
      </c>
      <c r="U48" s="628">
        <v>100</v>
      </c>
      <c r="V48" s="628">
        <v>90</v>
      </c>
      <c r="W48" s="628"/>
      <c r="X48" s="628">
        <v>80</v>
      </c>
      <c r="Y48" s="628">
        <v>100</v>
      </c>
      <c r="Z48" s="628">
        <v>100</v>
      </c>
      <c r="AA48" s="628">
        <v>100</v>
      </c>
      <c r="AB48" s="628">
        <v>80</v>
      </c>
      <c r="AC48" s="98"/>
      <c r="AD48" s="98"/>
      <c r="AE48" s="98"/>
      <c r="AF48" s="98"/>
      <c r="AG48" s="98"/>
      <c r="AH48" s="98"/>
    </row>
    <row r="49" spans="1:34" ht="27" customHeight="1">
      <c r="A49" s="30"/>
      <c r="B49" s="801"/>
      <c r="C49" s="617" t="s">
        <v>1791</v>
      </c>
      <c r="D49" s="618" t="s">
        <v>1735</v>
      </c>
      <c r="E49" s="682">
        <v>100</v>
      </c>
      <c r="F49" s="682">
        <v>100</v>
      </c>
      <c r="G49" s="682">
        <v>80</v>
      </c>
      <c r="H49" s="682">
        <v>100</v>
      </c>
      <c r="I49" s="682">
        <v>100</v>
      </c>
      <c r="J49" s="682">
        <v>100</v>
      </c>
      <c r="K49" s="682">
        <v>100</v>
      </c>
      <c r="L49" s="682">
        <v>100</v>
      </c>
      <c r="M49" s="682">
        <v>100</v>
      </c>
      <c r="N49" s="682">
        <v>100</v>
      </c>
      <c r="O49" s="682">
        <v>100</v>
      </c>
      <c r="P49" s="682">
        <v>100</v>
      </c>
      <c r="Q49" s="682">
        <v>100</v>
      </c>
      <c r="R49" s="682">
        <v>100</v>
      </c>
      <c r="S49" s="682">
        <v>100</v>
      </c>
      <c r="T49" s="682">
        <v>100</v>
      </c>
      <c r="U49" s="682">
        <v>100</v>
      </c>
      <c r="V49" s="682"/>
      <c r="W49" s="682">
        <v>60</v>
      </c>
      <c r="X49" s="682">
        <v>100</v>
      </c>
      <c r="Y49" s="682">
        <v>100</v>
      </c>
      <c r="Z49" s="682">
        <v>100</v>
      </c>
      <c r="AA49" s="682">
        <v>100</v>
      </c>
      <c r="AB49" s="682">
        <v>100</v>
      </c>
      <c r="AC49" s="98"/>
      <c r="AD49" s="98"/>
      <c r="AE49" s="98"/>
      <c r="AF49" s="98"/>
      <c r="AG49" s="98"/>
      <c r="AH49" s="98"/>
    </row>
    <row r="50" spans="1:34" ht="27" customHeight="1">
      <c r="A50" s="30"/>
      <c r="B50" s="801"/>
      <c r="C50" s="617" t="s">
        <v>1792</v>
      </c>
      <c r="D50" s="618" t="s">
        <v>1738</v>
      </c>
      <c r="E50" s="682">
        <v>100</v>
      </c>
      <c r="F50" s="682"/>
      <c r="G50" s="682">
        <v>100</v>
      </c>
      <c r="H50" s="682">
        <v>100</v>
      </c>
      <c r="I50" s="682">
        <v>100</v>
      </c>
      <c r="J50" s="682">
        <v>100</v>
      </c>
      <c r="K50" s="682">
        <v>100</v>
      </c>
      <c r="L50" s="682">
        <v>100</v>
      </c>
      <c r="M50" s="682">
        <v>100</v>
      </c>
      <c r="N50" s="682">
        <v>100</v>
      </c>
      <c r="O50" s="682">
        <v>100</v>
      </c>
      <c r="P50" s="682">
        <v>100</v>
      </c>
      <c r="Q50" s="682">
        <v>100</v>
      </c>
      <c r="R50" s="682">
        <v>100</v>
      </c>
      <c r="S50" s="682">
        <v>100</v>
      </c>
      <c r="T50" s="682">
        <v>100</v>
      </c>
      <c r="U50" s="682">
        <v>100</v>
      </c>
      <c r="V50" s="682">
        <v>80</v>
      </c>
      <c r="W50" s="682">
        <v>100</v>
      </c>
      <c r="X50" s="682">
        <v>100</v>
      </c>
      <c r="Y50" s="682">
        <v>100</v>
      </c>
      <c r="Z50" s="682">
        <v>100</v>
      </c>
      <c r="AA50" s="682">
        <v>100</v>
      </c>
      <c r="AB50" s="682">
        <v>80</v>
      </c>
      <c r="AC50" s="98"/>
      <c r="AD50" s="98"/>
      <c r="AE50" s="98"/>
      <c r="AF50" s="98"/>
      <c r="AG50" s="98"/>
      <c r="AH50" s="98"/>
    </row>
    <row r="51" spans="1:34" ht="27" customHeight="1">
      <c r="A51" s="30"/>
      <c r="B51" s="801"/>
      <c r="C51" s="617" t="s">
        <v>1793</v>
      </c>
      <c r="D51" s="618" t="s">
        <v>1478</v>
      </c>
      <c r="E51" s="682">
        <v>100</v>
      </c>
      <c r="F51" s="682">
        <v>95</v>
      </c>
      <c r="G51" s="682">
        <v>90</v>
      </c>
      <c r="H51" s="682">
        <v>100</v>
      </c>
      <c r="I51" s="682">
        <v>90</v>
      </c>
      <c r="J51" s="682">
        <v>100</v>
      </c>
      <c r="K51" s="682">
        <v>100</v>
      </c>
      <c r="L51" s="682">
        <v>100</v>
      </c>
      <c r="M51" s="682">
        <v>100</v>
      </c>
      <c r="N51" s="682">
        <v>100</v>
      </c>
      <c r="O51" s="682">
        <v>100</v>
      </c>
      <c r="P51" s="682">
        <v>90</v>
      </c>
      <c r="Q51" s="682">
        <v>100</v>
      </c>
      <c r="R51" s="682">
        <v>100</v>
      </c>
      <c r="S51" s="682">
        <v>90</v>
      </c>
      <c r="T51" s="682">
        <v>100</v>
      </c>
      <c r="U51" s="682">
        <v>100</v>
      </c>
      <c r="V51" s="682">
        <v>95</v>
      </c>
      <c r="W51" s="682"/>
      <c r="X51" s="682">
        <v>90</v>
      </c>
      <c r="Y51" s="682">
        <v>100</v>
      </c>
      <c r="Z51" s="682">
        <v>100</v>
      </c>
      <c r="AA51" s="682">
        <v>100</v>
      </c>
      <c r="AB51" s="682">
        <v>90</v>
      </c>
      <c r="AC51" s="98"/>
      <c r="AD51" s="98"/>
      <c r="AE51" s="98"/>
      <c r="AF51" s="98"/>
      <c r="AG51" s="98"/>
      <c r="AH51" s="98"/>
    </row>
    <row r="52" spans="1:34" ht="27" customHeight="1">
      <c r="A52" s="30"/>
      <c r="B52" s="801"/>
      <c r="C52" s="617" t="s">
        <v>1794</v>
      </c>
      <c r="D52" s="618" t="s">
        <v>1480</v>
      </c>
      <c r="E52" s="682">
        <v>100</v>
      </c>
      <c r="F52" s="682">
        <v>100</v>
      </c>
      <c r="G52" s="682">
        <v>100</v>
      </c>
      <c r="H52" s="682">
        <v>100</v>
      </c>
      <c r="I52" s="682">
        <v>90</v>
      </c>
      <c r="J52" s="682">
        <v>100</v>
      </c>
      <c r="K52" s="682">
        <v>100</v>
      </c>
      <c r="L52" s="682">
        <v>100</v>
      </c>
      <c r="M52" s="682">
        <v>80</v>
      </c>
      <c r="N52" s="682">
        <v>100</v>
      </c>
      <c r="O52" s="682">
        <v>90</v>
      </c>
      <c r="P52" s="682">
        <v>100</v>
      </c>
      <c r="Q52" s="682">
        <v>80</v>
      </c>
      <c r="R52" s="682">
        <v>70</v>
      </c>
      <c r="S52" s="682">
        <v>90</v>
      </c>
      <c r="T52" s="682">
        <v>100</v>
      </c>
      <c r="U52" s="682">
        <v>100</v>
      </c>
      <c r="V52" s="682">
        <v>100</v>
      </c>
      <c r="W52" s="682">
        <v>100</v>
      </c>
      <c r="X52" s="682">
        <v>80</v>
      </c>
      <c r="Y52" s="682">
        <v>100</v>
      </c>
      <c r="Z52" s="682">
        <v>90</v>
      </c>
      <c r="AA52" s="682">
        <v>100</v>
      </c>
      <c r="AB52" s="682">
        <v>95</v>
      </c>
      <c r="AC52" s="98"/>
      <c r="AD52" s="98"/>
      <c r="AE52" s="98"/>
      <c r="AF52" s="98"/>
      <c r="AG52" s="98"/>
      <c r="AH52" s="98"/>
    </row>
    <row r="53" spans="1:34" ht="27" hidden="1" customHeight="1">
      <c r="A53" s="30"/>
      <c r="B53" s="801"/>
      <c r="C53" s="74"/>
      <c r="D53" s="72"/>
      <c r="E53" s="98"/>
      <c r="F53" s="98"/>
      <c r="G53" s="98"/>
      <c r="H53" s="98"/>
      <c r="I53" s="98"/>
      <c r="J53" s="98"/>
      <c r="K53" s="98"/>
      <c r="L53" s="98"/>
      <c r="M53" s="98"/>
      <c r="N53" s="98"/>
      <c r="O53" s="98"/>
      <c r="P53" s="98"/>
      <c r="Q53" s="98"/>
      <c r="R53" s="98"/>
      <c r="S53" s="98"/>
      <c r="T53" s="98"/>
      <c r="U53" s="98"/>
      <c r="V53" s="98"/>
      <c r="W53" s="98"/>
      <c r="X53" s="98"/>
      <c r="Y53" s="98"/>
      <c r="Z53" s="98"/>
      <c r="AA53" s="98"/>
      <c r="AB53" s="98"/>
      <c r="AC53" s="98"/>
      <c r="AD53" s="98"/>
      <c r="AE53" s="98"/>
      <c r="AF53" s="98"/>
      <c r="AG53" s="98"/>
      <c r="AH53" s="98"/>
    </row>
    <row r="54" spans="1:34" ht="27" hidden="1" customHeight="1">
      <c r="A54" s="30"/>
      <c r="B54" s="802"/>
      <c r="C54" s="74"/>
      <c r="D54" s="72"/>
      <c r="E54" s="98"/>
      <c r="F54" s="98"/>
      <c r="G54" s="98"/>
      <c r="H54" s="98"/>
      <c r="I54" s="98"/>
      <c r="J54" s="98"/>
      <c r="K54" s="98"/>
      <c r="L54" s="98"/>
      <c r="M54" s="98"/>
      <c r="N54" s="98"/>
      <c r="O54" s="98"/>
      <c r="P54" s="98"/>
      <c r="Q54" s="98"/>
      <c r="R54" s="98"/>
      <c r="S54" s="98"/>
      <c r="T54" s="98"/>
      <c r="U54" s="98"/>
      <c r="V54" s="98"/>
      <c r="W54" s="98"/>
      <c r="X54" s="98"/>
      <c r="Y54" s="98"/>
      <c r="Z54" s="98"/>
      <c r="AA54" s="98"/>
      <c r="AB54" s="98"/>
      <c r="AC54" s="98"/>
      <c r="AD54" s="98"/>
      <c r="AE54" s="98"/>
      <c r="AF54" s="98"/>
      <c r="AG54" s="98"/>
      <c r="AH54" s="98"/>
    </row>
    <row r="55" spans="1:34" ht="27" customHeight="1">
      <c r="A55" s="30"/>
      <c r="B55" s="801">
        <v>3</v>
      </c>
      <c r="C55" s="795" t="s">
        <v>1795</v>
      </c>
      <c r="D55" s="796"/>
      <c r="E55" s="97">
        <f>IFERROR(AVERAGE(E56:E71),"")</f>
        <v>97.5</v>
      </c>
      <c r="F55" s="97">
        <f t="shared" ref="F55:AB55" si="4">IFERROR(AVERAGE(F56:F71),"")</f>
        <v>88.888888888888886</v>
      </c>
      <c r="G55" s="97">
        <f t="shared" si="4"/>
        <v>93.571428571428569</v>
      </c>
      <c r="H55" s="97">
        <f t="shared" si="4"/>
        <v>95.357142857142861</v>
      </c>
      <c r="I55" s="97">
        <f t="shared" si="4"/>
        <v>97.142857142857139</v>
      </c>
      <c r="J55" s="97">
        <f t="shared" si="4"/>
        <v>98.928571428571431</v>
      </c>
      <c r="K55" s="97">
        <f t="shared" si="4"/>
        <v>99.642857142857139</v>
      </c>
      <c r="L55" s="97">
        <f t="shared" si="4"/>
        <v>97.5</v>
      </c>
      <c r="M55" s="97">
        <f t="shared" si="4"/>
        <v>97.857142857142861</v>
      </c>
      <c r="N55" s="97">
        <f t="shared" si="4"/>
        <v>98.571428571428569</v>
      </c>
      <c r="O55" s="97">
        <f t="shared" si="4"/>
        <v>99.285714285714292</v>
      </c>
      <c r="P55" s="97">
        <f t="shared" si="4"/>
        <v>98.571428571428569</v>
      </c>
      <c r="Q55" s="97">
        <f t="shared" si="4"/>
        <v>97.857142857142861</v>
      </c>
      <c r="R55" s="97">
        <f t="shared" si="4"/>
        <v>96.785714285714292</v>
      </c>
      <c r="S55" s="97">
        <f t="shared" si="4"/>
        <v>91.538461538461533</v>
      </c>
      <c r="T55" s="97">
        <f t="shared" si="4"/>
        <v>98.214285714285708</v>
      </c>
      <c r="U55" s="97">
        <f t="shared" si="4"/>
        <v>98.928571428571431</v>
      </c>
      <c r="V55" s="97">
        <f t="shared" si="4"/>
        <v>94.285714285714292</v>
      </c>
      <c r="W55" s="97">
        <f t="shared" si="4"/>
        <v>93.928571428571431</v>
      </c>
      <c r="X55" s="97">
        <f t="shared" si="4"/>
        <v>92.857142857142861</v>
      </c>
      <c r="Y55" s="97">
        <f t="shared" si="4"/>
        <v>98.571428571428569</v>
      </c>
      <c r="Z55" s="97">
        <f t="shared" si="4"/>
        <v>91.785714285714292</v>
      </c>
      <c r="AA55" s="97">
        <f t="shared" si="4"/>
        <v>96.785714285714292</v>
      </c>
      <c r="AB55" s="97">
        <f t="shared" si="4"/>
        <v>94.642857142857139</v>
      </c>
      <c r="AC55" s="97" t="str">
        <f t="shared" ref="AC55:AH55" si="5">IFERROR(AVERAGE(AC56:AC71),"")</f>
        <v/>
      </c>
      <c r="AD55" s="97" t="str">
        <f t="shared" si="5"/>
        <v/>
      </c>
      <c r="AE55" s="97" t="str">
        <f t="shared" si="5"/>
        <v/>
      </c>
      <c r="AF55" s="97" t="str">
        <f t="shared" si="5"/>
        <v/>
      </c>
      <c r="AG55" s="97" t="str">
        <f t="shared" si="5"/>
        <v/>
      </c>
      <c r="AH55" s="97" t="str">
        <f t="shared" si="5"/>
        <v/>
      </c>
    </row>
    <row r="56" spans="1:34" ht="27" customHeight="1">
      <c r="A56" s="30"/>
      <c r="B56" s="794"/>
      <c r="C56" s="613" t="s">
        <v>1796</v>
      </c>
      <c r="D56" s="614" t="s">
        <v>1431</v>
      </c>
      <c r="E56" s="634">
        <v>90</v>
      </c>
      <c r="F56" s="634">
        <v>100</v>
      </c>
      <c r="G56" s="634">
        <v>100</v>
      </c>
      <c r="H56" s="634">
        <v>90</v>
      </c>
      <c r="I56" s="634">
        <v>100</v>
      </c>
      <c r="J56" s="634">
        <v>90</v>
      </c>
      <c r="K56" s="634">
        <v>100</v>
      </c>
      <c r="L56" s="634">
        <v>100</v>
      </c>
      <c r="M56" s="634">
        <v>100</v>
      </c>
      <c r="N56" s="634">
        <v>100</v>
      </c>
      <c r="O56" s="634">
        <v>100</v>
      </c>
      <c r="P56" s="634">
        <v>100</v>
      </c>
      <c r="Q56" s="634">
        <v>100</v>
      </c>
      <c r="R56" s="634">
        <v>100</v>
      </c>
      <c r="S56" s="634">
        <v>90</v>
      </c>
      <c r="T56" s="634">
        <v>100</v>
      </c>
      <c r="U56" s="634">
        <v>100</v>
      </c>
      <c r="V56" s="634">
        <v>100</v>
      </c>
      <c r="W56" s="634">
        <v>100</v>
      </c>
      <c r="X56" s="634">
        <v>100</v>
      </c>
      <c r="Y56" s="634">
        <v>100</v>
      </c>
      <c r="Z56" s="634">
        <v>100</v>
      </c>
      <c r="AA56" s="634">
        <v>100</v>
      </c>
      <c r="AB56" s="634">
        <v>90</v>
      </c>
      <c r="AC56" s="98"/>
      <c r="AD56" s="98"/>
      <c r="AE56" s="98"/>
      <c r="AF56" s="98"/>
      <c r="AG56" s="98"/>
      <c r="AH56" s="98"/>
    </row>
    <row r="57" spans="1:34" ht="27" customHeight="1">
      <c r="A57" s="30"/>
      <c r="B57" s="794"/>
      <c r="C57" s="615" t="s">
        <v>1797</v>
      </c>
      <c r="D57" s="616" t="s">
        <v>1433</v>
      </c>
      <c r="E57" s="635">
        <v>100</v>
      </c>
      <c r="F57" s="635">
        <v>100</v>
      </c>
      <c r="G57" s="635">
        <v>90</v>
      </c>
      <c r="H57" s="635">
        <v>100</v>
      </c>
      <c r="I57" s="635">
        <v>100</v>
      </c>
      <c r="J57" s="635">
        <v>100</v>
      </c>
      <c r="K57" s="635">
        <v>100</v>
      </c>
      <c r="L57" s="635">
        <v>100</v>
      </c>
      <c r="M57" s="635">
        <v>90</v>
      </c>
      <c r="N57" s="635">
        <v>100</v>
      </c>
      <c r="O57" s="635">
        <v>100</v>
      </c>
      <c r="P57" s="635">
        <v>100</v>
      </c>
      <c r="Q57" s="635">
        <v>100</v>
      </c>
      <c r="R57" s="635">
        <v>100</v>
      </c>
      <c r="S57" s="635">
        <v>80</v>
      </c>
      <c r="T57" s="635">
        <v>100</v>
      </c>
      <c r="U57" s="635">
        <v>100</v>
      </c>
      <c r="V57" s="635">
        <v>90</v>
      </c>
      <c r="W57" s="635">
        <v>90</v>
      </c>
      <c r="X57" s="635">
        <v>100</v>
      </c>
      <c r="Y57" s="635">
        <v>100</v>
      </c>
      <c r="Z57" s="635">
        <v>90</v>
      </c>
      <c r="AA57" s="635">
        <v>90</v>
      </c>
      <c r="AB57" s="635">
        <v>100</v>
      </c>
      <c r="AC57" s="98"/>
      <c r="AD57" s="98"/>
      <c r="AE57" s="98"/>
      <c r="AF57" s="98"/>
      <c r="AG57" s="98"/>
      <c r="AH57" s="98"/>
    </row>
    <row r="58" spans="1:34" s="478" customFormat="1" ht="33" customHeight="1">
      <c r="A58" s="30"/>
      <c r="B58" s="794"/>
      <c r="C58" s="615" t="s">
        <v>1798</v>
      </c>
      <c r="D58" s="616" t="s">
        <v>1441</v>
      </c>
      <c r="E58" s="640">
        <v>100</v>
      </c>
      <c r="F58" s="640">
        <v>90</v>
      </c>
      <c r="G58" s="640">
        <v>90</v>
      </c>
      <c r="H58" s="640">
        <v>100</v>
      </c>
      <c r="I58" s="640">
        <v>100</v>
      </c>
      <c r="J58" s="640">
        <v>100</v>
      </c>
      <c r="K58" s="640">
        <v>100</v>
      </c>
      <c r="L58" s="640">
        <v>100</v>
      </c>
      <c r="M58" s="640">
        <v>100</v>
      </c>
      <c r="N58" s="640">
        <v>100</v>
      </c>
      <c r="O58" s="640">
        <v>100</v>
      </c>
      <c r="P58" s="640">
        <v>100</v>
      </c>
      <c r="Q58" s="640">
        <v>100</v>
      </c>
      <c r="R58" s="640">
        <v>100</v>
      </c>
      <c r="S58" s="640">
        <v>80</v>
      </c>
      <c r="T58" s="640">
        <v>95</v>
      </c>
      <c r="U58" s="640">
        <v>100</v>
      </c>
      <c r="V58" s="640">
        <v>100</v>
      </c>
      <c r="W58" s="640">
        <v>100</v>
      </c>
      <c r="X58" s="640">
        <v>100</v>
      </c>
      <c r="Y58" s="640">
        <v>90</v>
      </c>
      <c r="Z58" s="640">
        <v>70</v>
      </c>
      <c r="AA58" s="640">
        <v>100</v>
      </c>
      <c r="AB58" s="640">
        <v>100</v>
      </c>
      <c r="AC58" s="98"/>
      <c r="AD58" s="98"/>
      <c r="AE58" s="98"/>
      <c r="AF58" s="98"/>
      <c r="AG58" s="98"/>
      <c r="AH58" s="98"/>
    </row>
    <row r="59" spans="1:34" s="478" customFormat="1" ht="27" customHeight="1">
      <c r="A59" s="30"/>
      <c r="B59" s="794"/>
      <c r="C59" s="615" t="s">
        <v>1799</v>
      </c>
      <c r="D59" s="616" t="s">
        <v>1699</v>
      </c>
      <c r="E59" s="666">
        <v>100</v>
      </c>
      <c r="F59" s="666">
        <v>80</v>
      </c>
      <c r="G59" s="666">
        <v>100</v>
      </c>
      <c r="H59" s="666">
        <v>80</v>
      </c>
      <c r="I59" s="666">
        <v>90</v>
      </c>
      <c r="J59" s="666">
        <v>100</v>
      </c>
      <c r="K59" s="666">
        <v>100</v>
      </c>
      <c r="L59" s="666">
        <v>80</v>
      </c>
      <c r="M59" s="666">
        <v>90</v>
      </c>
      <c r="N59" s="666">
        <v>90</v>
      </c>
      <c r="O59" s="666">
        <v>100</v>
      </c>
      <c r="P59" s="666">
        <v>90</v>
      </c>
      <c r="Q59" s="666">
        <v>90</v>
      </c>
      <c r="R59" s="666">
        <v>90</v>
      </c>
      <c r="S59" s="666">
        <v>85</v>
      </c>
      <c r="T59" s="666">
        <v>95</v>
      </c>
      <c r="U59" s="666">
        <v>100</v>
      </c>
      <c r="V59" s="666">
        <v>85</v>
      </c>
      <c r="W59" s="666">
        <v>75</v>
      </c>
      <c r="X59" s="666">
        <v>85</v>
      </c>
      <c r="Y59" s="666">
        <v>90</v>
      </c>
      <c r="Z59" s="666">
        <v>85</v>
      </c>
      <c r="AA59" s="666">
        <v>90</v>
      </c>
      <c r="AB59" s="666">
        <v>80</v>
      </c>
      <c r="AC59" s="98"/>
      <c r="AD59" s="98"/>
      <c r="AE59" s="98"/>
      <c r="AF59" s="98"/>
      <c r="AG59" s="98"/>
      <c r="AH59" s="98"/>
    </row>
    <row r="60" spans="1:34" s="478" customFormat="1" ht="27" customHeight="1">
      <c r="A60" s="30"/>
      <c r="B60" s="794"/>
      <c r="C60" s="615" t="s">
        <v>1800</v>
      </c>
      <c r="D60" s="616" t="s">
        <v>1404</v>
      </c>
      <c r="E60" s="666">
        <v>100</v>
      </c>
      <c r="F60" s="666">
        <v>40</v>
      </c>
      <c r="G60" s="666">
        <v>90</v>
      </c>
      <c r="H60" s="666">
        <v>90</v>
      </c>
      <c r="I60" s="666">
        <v>90</v>
      </c>
      <c r="J60" s="666">
        <v>100</v>
      </c>
      <c r="K60" s="666">
        <v>100</v>
      </c>
      <c r="L60" s="666">
        <v>100</v>
      </c>
      <c r="M60" s="666">
        <v>100</v>
      </c>
      <c r="N60" s="666">
        <v>100</v>
      </c>
      <c r="O60" s="666">
        <v>90</v>
      </c>
      <c r="P60" s="666">
        <v>100</v>
      </c>
      <c r="Q60" s="666">
        <v>90</v>
      </c>
      <c r="R60" s="666">
        <v>80</v>
      </c>
      <c r="S60" s="666">
        <v>100</v>
      </c>
      <c r="T60" s="666">
        <v>100</v>
      </c>
      <c r="U60" s="666">
        <v>100</v>
      </c>
      <c r="V60" s="666">
        <v>90</v>
      </c>
      <c r="W60" s="666">
        <v>100</v>
      </c>
      <c r="X60" s="666">
        <v>100</v>
      </c>
      <c r="Y60" s="666">
        <v>100</v>
      </c>
      <c r="Z60" s="666">
        <v>90</v>
      </c>
      <c r="AA60" s="666">
        <v>90</v>
      </c>
      <c r="AB60" s="666">
        <v>100</v>
      </c>
      <c r="AC60" s="98"/>
      <c r="AD60" s="98"/>
      <c r="AE60" s="98"/>
      <c r="AF60" s="98"/>
      <c r="AG60" s="98"/>
      <c r="AH60" s="98"/>
    </row>
    <row r="61" spans="1:34" s="478" customFormat="1" ht="36.75" customHeight="1">
      <c r="A61" s="30"/>
      <c r="B61" s="794"/>
      <c r="C61" s="615" t="s">
        <v>1801</v>
      </c>
      <c r="D61" s="616" t="s">
        <v>1406</v>
      </c>
      <c r="E61" s="666">
        <v>80</v>
      </c>
      <c r="F61" s="666">
        <v>90</v>
      </c>
      <c r="G61" s="666">
        <v>70</v>
      </c>
      <c r="H61" s="666">
        <v>75</v>
      </c>
      <c r="I61" s="666">
        <v>90</v>
      </c>
      <c r="J61" s="666">
        <v>95</v>
      </c>
      <c r="K61" s="666">
        <v>100</v>
      </c>
      <c r="L61" s="666">
        <v>95</v>
      </c>
      <c r="M61" s="666">
        <v>100</v>
      </c>
      <c r="N61" s="666">
        <v>90</v>
      </c>
      <c r="O61" s="666">
        <v>100</v>
      </c>
      <c r="P61" s="666">
        <v>100</v>
      </c>
      <c r="Q61" s="666">
        <v>100</v>
      </c>
      <c r="R61" s="666">
        <v>100</v>
      </c>
      <c r="S61" s="666">
        <v>100</v>
      </c>
      <c r="T61" s="666">
        <v>100</v>
      </c>
      <c r="U61" s="666">
        <v>95</v>
      </c>
      <c r="V61" s="666">
        <v>100</v>
      </c>
      <c r="W61" s="666">
        <v>100</v>
      </c>
      <c r="X61" s="666">
        <v>100</v>
      </c>
      <c r="Y61" s="666">
        <v>100</v>
      </c>
      <c r="Z61" s="666">
        <v>90</v>
      </c>
      <c r="AA61" s="666">
        <v>90</v>
      </c>
      <c r="AB61" s="666">
        <v>100</v>
      </c>
      <c r="AC61" s="98"/>
      <c r="AD61" s="98"/>
      <c r="AE61" s="98"/>
      <c r="AF61" s="98"/>
      <c r="AG61" s="98"/>
      <c r="AH61" s="98"/>
    </row>
    <row r="62" spans="1:34" s="478" customFormat="1" ht="33" customHeight="1">
      <c r="A62" s="30"/>
      <c r="B62" s="794"/>
      <c r="C62" s="615" t="s">
        <v>1802</v>
      </c>
      <c r="D62" s="616" t="s">
        <v>1687</v>
      </c>
      <c r="E62" s="643">
        <v>100</v>
      </c>
      <c r="F62" s="643"/>
      <c r="G62" s="643">
        <v>100</v>
      </c>
      <c r="H62" s="643">
        <v>100</v>
      </c>
      <c r="I62" s="643">
        <v>100</v>
      </c>
      <c r="J62" s="643">
        <v>100</v>
      </c>
      <c r="K62" s="643">
        <v>100</v>
      </c>
      <c r="L62" s="643">
        <v>100</v>
      </c>
      <c r="M62" s="643">
        <v>100</v>
      </c>
      <c r="N62" s="643">
        <v>100</v>
      </c>
      <c r="O62" s="643">
        <v>100</v>
      </c>
      <c r="P62" s="643">
        <v>90</v>
      </c>
      <c r="Q62" s="643">
        <v>100</v>
      </c>
      <c r="R62" s="643">
        <v>100</v>
      </c>
      <c r="S62" s="643">
        <v>90</v>
      </c>
      <c r="T62" s="643">
        <v>100</v>
      </c>
      <c r="U62" s="643">
        <v>100</v>
      </c>
      <c r="V62" s="643">
        <v>95</v>
      </c>
      <c r="W62" s="643">
        <v>100</v>
      </c>
      <c r="X62" s="643">
        <v>70</v>
      </c>
      <c r="Y62" s="643">
        <v>100</v>
      </c>
      <c r="Z62" s="643">
        <v>100</v>
      </c>
      <c r="AA62" s="643">
        <v>100</v>
      </c>
      <c r="AB62" s="643">
        <v>100</v>
      </c>
      <c r="AC62" s="98"/>
      <c r="AD62" s="98"/>
      <c r="AE62" s="98"/>
      <c r="AF62" s="98"/>
      <c r="AG62" s="98"/>
      <c r="AH62" s="98"/>
    </row>
    <row r="63" spans="1:34" s="478" customFormat="1" ht="36" customHeight="1">
      <c r="A63" s="30"/>
      <c r="B63" s="794"/>
      <c r="C63" s="617" t="s">
        <v>1803</v>
      </c>
      <c r="D63" s="618" t="s">
        <v>1706</v>
      </c>
      <c r="E63" s="640">
        <v>100</v>
      </c>
      <c r="F63" s="640"/>
      <c r="G63" s="640">
        <v>100</v>
      </c>
      <c r="H63" s="640">
        <v>100</v>
      </c>
      <c r="I63" s="640">
        <v>100</v>
      </c>
      <c r="J63" s="640">
        <v>100</v>
      </c>
      <c r="K63" s="640">
        <v>100</v>
      </c>
      <c r="L63" s="640">
        <v>100</v>
      </c>
      <c r="M63" s="640">
        <v>100</v>
      </c>
      <c r="N63" s="640">
        <v>100</v>
      </c>
      <c r="O63" s="640">
        <v>100</v>
      </c>
      <c r="P63" s="640">
        <v>100</v>
      </c>
      <c r="Q63" s="640">
        <v>100</v>
      </c>
      <c r="R63" s="640">
        <v>100</v>
      </c>
      <c r="S63" s="640">
        <v>90</v>
      </c>
      <c r="T63" s="640">
        <v>100</v>
      </c>
      <c r="U63" s="640">
        <v>90</v>
      </c>
      <c r="V63" s="640">
        <v>95</v>
      </c>
      <c r="W63" s="640">
        <v>100</v>
      </c>
      <c r="X63" s="640">
        <v>100</v>
      </c>
      <c r="Y63" s="640">
        <v>100</v>
      </c>
      <c r="Z63" s="640">
        <v>90</v>
      </c>
      <c r="AA63" s="640">
        <v>100</v>
      </c>
      <c r="AB63" s="640">
        <v>100</v>
      </c>
      <c r="AC63" s="98"/>
      <c r="AD63" s="98"/>
      <c r="AE63" s="98"/>
      <c r="AF63" s="98"/>
      <c r="AG63" s="98"/>
      <c r="AH63" s="98"/>
    </row>
    <row r="64" spans="1:34" s="478" customFormat="1" ht="27" customHeight="1">
      <c r="A64" s="30"/>
      <c r="B64" s="794"/>
      <c r="C64" s="617" t="s">
        <v>1804</v>
      </c>
      <c r="D64" s="618" t="s">
        <v>1419</v>
      </c>
      <c r="E64" s="640">
        <v>95</v>
      </c>
      <c r="F64" s="640"/>
      <c r="G64" s="640">
        <v>100</v>
      </c>
      <c r="H64" s="640">
        <v>100</v>
      </c>
      <c r="I64" s="640">
        <v>90</v>
      </c>
      <c r="J64" s="640">
        <v>100</v>
      </c>
      <c r="K64" s="640">
        <v>100</v>
      </c>
      <c r="L64" s="640">
        <v>100</v>
      </c>
      <c r="M64" s="640">
        <v>100</v>
      </c>
      <c r="N64" s="640">
        <v>100</v>
      </c>
      <c r="O64" s="640">
        <v>100</v>
      </c>
      <c r="P64" s="640">
        <v>100</v>
      </c>
      <c r="Q64" s="640">
        <v>100</v>
      </c>
      <c r="R64" s="640">
        <v>100</v>
      </c>
      <c r="S64" s="640">
        <v>100</v>
      </c>
      <c r="T64" s="640">
        <v>100</v>
      </c>
      <c r="U64" s="640">
        <v>100</v>
      </c>
      <c r="V64" s="640">
        <v>90</v>
      </c>
      <c r="W64" s="640">
        <v>100</v>
      </c>
      <c r="X64" s="640">
        <v>90</v>
      </c>
      <c r="Y64" s="640">
        <v>100</v>
      </c>
      <c r="Z64" s="640">
        <v>90</v>
      </c>
      <c r="AA64" s="640">
        <v>100</v>
      </c>
      <c r="AB64" s="640">
        <v>90</v>
      </c>
      <c r="AC64" s="98"/>
      <c r="AD64" s="98"/>
      <c r="AE64" s="98"/>
      <c r="AF64" s="98"/>
      <c r="AG64" s="98"/>
      <c r="AH64" s="98"/>
    </row>
    <row r="65" spans="1:34" ht="33" customHeight="1">
      <c r="A65" s="30"/>
      <c r="B65" s="794"/>
      <c r="C65" s="617" t="s">
        <v>1805</v>
      </c>
      <c r="D65" s="618" t="s">
        <v>1421</v>
      </c>
      <c r="E65" s="640">
        <v>100</v>
      </c>
      <c r="F65" s="640"/>
      <c r="G65" s="640">
        <v>95</v>
      </c>
      <c r="H65" s="640">
        <v>100</v>
      </c>
      <c r="I65" s="640">
        <v>100</v>
      </c>
      <c r="J65" s="640">
        <v>100</v>
      </c>
      <c r="K65" s="640">
        <v>100</v>
      </c>
      <c r="L65" s="640">
        <v>90</v>
      </c>
      <c r="M65" s="640">
        <v>90</v>
      </c>
      <c r="N65" s="640">
        <v>100</v>
      </c>
      <c r="O65" s="640">
        <v>100</v>
      </c>
      <c r="P65" s="640">
        <v>100</v>
      </c>
      <c r="Q65" s="640">
        <v>90</v>
      </c>
      <c r="R65" s="640">
        <v>85</v>
      </c>
      <c r="S65" s="640">
        <v>80</v>
      </c>
      <c r="T65" s="640">
        <v>100</v>
      </c>
      <c r="U65" s="640">
        <v>100</v>
      </c>
      <c r="V65" s="640">
        <v>100</v>
      </c>
      <c r="W65" s="640">
        <v>70</v>
      </c>
      <c r="X65" s="640">
        <v>90</v>
      </c>
      <c r="Y65" s="640">
        <v>100</v>
      </c>
      <c r="Z65" s="640">
        <v>100</v>
      </c>
      <c r="AA65" s="640">
        <v>100</v>
      </c>
      <c r="AB65" s="640">
        <v>90</v>
      </c>
      <c r="AC65" s="98"/>
      <c r="AD65" s="98"/>
      <c r="AE65" s="98"/>
      <c r="AF65" s="98"/>
      <c r="AG65" s="98"/>
      <c r="AH65" s="98"/>
    </row>
    <row r="66" spans="1:34" ht="31.5" customHeight="1">
      <c r="A66" s="30"/>
      <c r="B66" s="794"/>
      <c r="C66" s="617" t="s">
        <v>1806</v>
      </c>
      <c r="D66" s="618" t="s">
        <v>1628</v>
      </c>
      <c r="E66" s="636">
        <v>100</v>
      </c>
      <c r="F66" s="636"/>
      <c r="G66" s="636">
        <v>90</v>
      </c>
      <c r="H66" s="636">
        <v>100</v>
      </c>
      <c r="I66" s="636">
        <v>100</v>
      </c>
      <c r="J66" s="636">
        <v>100</v>
      </c>
      <c r="K66" s="636">
        <v>100</v>
      </c>
      <c r="L66" s="636">
        <v>100</v>
      </c>
      <c r="M66" s="636">
        <v>100</v>
      </c>
      <c r="N66" s="636">
        <v>100</v>
      </c>
      <c r="O66" s="636">
        <v>100</v>
      </c>
      <c r="P66" s="636">
        <v>100</v>
      </c>
      <c r="Q66" s="636">
        <v>100</v>
      </c>
      <c r="R66" s="636">
        <v>100</v>
      </c>
      <c r="S66" s="636"/>
      <c r="T66" s="636">
        <v>100</v>
      </c>
      <c r="U66" s="636">
        <v>100</v>
      </c>
      <c r="V66" s="636">
        <v>100</v>
      </c>
      <c r="W66" s="636">
        <v>100</v>
      </c>
      <c r="X66" s="636">
        <v>95</v>
      </c>
      <c r="Y66" s="636">
        <v>100</v>
      </c>
      <c r="Z66" s="636">
        <v>95</v>
      </c>
      <c r="AA66" s="636">
        <v>100</v>
      </c>
      <c r="AB66" s="636">
        <v>80</v>
      </c>
      <c r="AC66" s="98"/>
      <c r="AD66" s="98"/>
      <c r="AE66" s="98"/>
      <c r="AF66" s="98"/>
      <c r="AG66" s="98"/>
      <c r="AH66" s="98"/>
    </row>
    <row r="67" spans="1:34" ht="27" customHeight="1">
      <c r="A67" s="30"/>
      <c r="B67" s="794"/>
      <c r="C67" s="617" t="s">
        <v>1807</v>
      </c>
      <c r="D67" s="618" t="s">
        <v>1631</v>
      </c>
      <c r="E67" s="636">
        <v>100</v>
      </c>
      <c r="F67" s="636">
        <v>100</v>
      </c>
      <c r="G67" s="636">
        <v>100</v>
      </c>
      <c r="H67" s="636">
        <v>100</v>
      </c>
      <c r="I67" s="636">
        <v>100</v>
      </c>
      <c r="J67" s="636">
        <v>100</v>
      </c>
      <c r="K67" s="636">
        <v>100</v>
      </c>
      <c r="L67" s="636">
        <v>100</v>
      </c>
      <c r="M67" s="636">
        <v>100</v>
      </c>
      <c r="N67" s="636">
        <v>100</v>
      </c>
      <c r="O67" s="636">
        <v>100</v>
      </c>
      <c r="P67" s="636">
        <v>100</v>
      </c>
      <c r="Q67" s="636">
        <v>100</v>
      </c>
      <c r="R67" s="636">
        <v>100</v>
      </c>
      <c r="S67" s="636">
        <v>100</v>
      </c>
      <c r="T67" s="636">
        <v>100</v>
      </c>
      <c r="U67" s="636">
        <v>100</v>
      </c>
      <c r="V67" s="636">
        <v>90</v>
      </c>
      <c r="W67" s="636">
        <v>100</v>
      </c>
      <c r="X67" s="636">
        <v>80</v>
      </c>
      <c r="Y67" s="636">
        <v>100</v>
      </c>
      <c r="Z67" s="636">
        <v>100</v>
      </c>
      <c r="AA67" s="636">
        <v>100</v>
      </c>
      <c r="AB67" s="636">
        <v>100</v>
      </c>
      <c r="AC67" s="98"/>
      <c r="AD67" s="98"/>
      <c r="AE67" s="98"/>
      <c r="AF67" s="98"/>
      <c r="AG67" s="98"/>
      <c r="AH67" s="98"/>
    </row>
    <row r="68" spans="1:34" ht="27" customHeight="1">
      <c r="A68" s="30"/>
      <c r="B68" s="794"/>
      <c r="C68" s="617" t="s">
        <v>1808</v>
      </c>
      <c r="D68" s="618" t="s">
        <v>1502</v>
      </c>
      <c r="E68" s="636">
        <v>100</v>
      </c>
      <c r="F68" s="636">
        <v>100</v>
      </c>
      <c r="G68" s="636">
        <v>95</v>
      </c>
      <c r="H68" s="636">
        <v>100</v>
      </c>
      <c r="I68" s="636">
        <v>100</v>
      </c>
      <c r="J68" s="636">
        <v>100</v>
      </c>
      <c r="K68" s="636">
        <v>95</v>
      </c>
      <c r="L68" s="636">
        <v>100</v>
      </c>
      <c r="M68" s="636">
        <v>100</v>
      </c>
      <c r="N68" s="636">
        <v>100</v>
      </c>
      <c r="O68" s="636">
        <v>100</v>
      </c>
      <c r="P68" s="636">
        <v>100</v>
      </c>
      <c r="Q68" s="636">
        <v>100</v>
      </c>
      <c r="R68" s="636">
        <v>100</v>
      </c>
      <c r="S68" s="636">
        <v>100</v>
      </c>
      <c r="T68" s="636">
        <v>85</v>
      </c>
      <c r="U68" s="636">
        <v>100</v>
      </c>
      <c r="V68" s="636">
        <v>85</v>
      </c>
      <c r="W68" s="636">
        <v>80</v>
      </c>
      <c r="X68" s="636">
        <v>90</v>
      </c>
      <c r="Y68" s="636">
        <v>100</v>
      </c>
      <c r="Z68" s="636">
        <v>95</v>
      </c>
      <c r="AA68" s="636">
        <v>95</v>
      </c>
      <c r="AB68" s="636">
        <v>100</v>
      </c>
      <c r="AC68" s="98"/>
      <c r="AD68" s="98"/>
      <c r="AE68" s="98"/>
      <c r="AF68" s="98"/>
      <c r="AG68" s="98"/>
      <c r="AH68" s="98"/>
    </row>
    <row r="69" spans="1:34" ht="37.5" customHeight="1">
      <c r="A69" s="30"/>
      <c r="B69" s="794"/>
      <c r="C69" s="617" t="s">
        <v>1809</v>
      </c>
      <c r="D69" s="618" t="s">
        <v>1504</v>
      </c>
      <c r="E69" s="636">
        <v>100</v>
      </c>
      <c r="F69" s="636">
        <v>100</v>
      </c>
      <c r="G69" s="636">
        <v>90</v>
      </c>
      <c r="H69" s="636">
        <v>100</v>
      </c>
      <c r="I69" s="636">
        <v>100</v>
      </c>
      <c r="J69" s="636">
        <v>100</v>
      </c>
      <c r="K69" s="636">
        <v>100</v>
      </c>
      <c r="L69" s="636">
        <v>100</v>
      </c>
      <c r="M69" s="636">
        <v>100</v>
      </c>
      <c r="N69" s="636">
        <v>100</v>
      </c>
      <c r="O69" s="636">
        <v>100</v>
      </c>
      <c r="P69" s="636">
        <v>100</v>
      </c>
      <c r="Q69" s="636">
        <v>100</v>
      </c>
      <c r="R69" s="636">
        <v>100</v>
      </c>
      <c r="S69" s="636">
        <v>95</v>
      </c>
      <c r="T69" s="636">
        <v>100</v>
      </c>
      <c r="U69" s="636">
        <v>100</v>
      </c>
      <c r="V69" s="636">
        <v>100</v>
      </c>
      <c r="W69" s="636">
        <v>100</v>
      </c>
      <c r="X69" s="636">
        <v>100</v>
      </c>
      <c r="Y69" s="636">
        <v>100</v>
      </c>
      <c r="Z69" s="636">
        <v>90</v>
      </c>
      <c r="AA69" s="636">
        <v>100</v>
      </c>
      <c r="AB69" s="636">
        <v>95</v>
      </c>
      <c r="AC69" s="98"/>
      <c r="AD69" s="98"/>
      <c r="AE69" s="98"/>
      <c r="AF69" s="98"/>
      <c r="AG69" s="98"/>
      <c r="AH69" s="98"/>
    </row>
    <row r="70" spans="1:34" ht="27" hidden="1" customHeight="1">
      <c r="A70" s="30"/>
      <c r="B70" s="794"/>
      <c r="C70" s="74"/>
      <c r="D70" s="72"/>
      <c r="E70" s="98"/>
      <c r="F70" s="98"/>
      <c r="G70" s="98"/>
      <c r="H70" s="98"/>
      <c r="I70" s="98"/>
      <c r="J70" s="98"/>
      <c r="K70" s="98"/>
      <c r="L70" s="98"/>
      <c r="M70" s="98"/>
      <c r="N70" s="98"/>
      <c r="O70" s="98"/>
      <c r="P70" s="98"/>
      <c r="Q70" s="98"/>
      <c r="R70" s="98"/>
      <c r="S70" s="98"/>
      <c r="T70" s="98"/>
      <c r="U70" s="98"/>
      <c r="V70" s="98"/>
      <c r="W70" s="98"/>
      <c r="X70" s="98"/>
      <c r="Y70" s="98"/>
      <c r="Z70" s="98"/>
      <c r="AA70" s="98"/>
      <c r="AB70" s="98"/>
      <c r="AC70" s="98"/>
      <c r="AD70" s="98"/>
      <c r="AE70" s="98"/>
      <c r="AF70" s="98"/>
      <c r="AG70" s="98"/>
      <c r="AH70" s="98"/>
    </row>
    <row r="71" spans="1:34" ht="27" hidden="1" customHeight="1">
      <c r="A71" s="30"/>
      <c r="B71" s="802"/>
      <c r="C71" s="74"/>
      <c r="D71" s="72"/>
      <c r="E71" s="98"/>
      <c r="F71" s="98"/>
      <c r="G71" s="98"/>
      <c r="H71" s="98"/>
      <c r="I71" s="98"/>
      <c r="J71" s="98"/>
      <c r="K71" s="98"/>
      <c r="L71" s="98"/>
      <c r="M71" s="98"/>
      <c r="N71" s="98"/>
      <c r="O71" s="98"/>
      <c r="P71" s="98"/>
      <c r="Q71" s="98"/>
      <c r="R71" s="98"/>
      <c r="S71" s="98"/>
      <c r="T71" s="98"/>
      <c r="U71" s="98"/>
      <c r="V71" s="98"/>
      <c r="W71" s="98"/>
      <c r="X71" s="98"/>
      <c r="Y71" s="98"/>
      <c r="Z71" s="98"/>
      <c r="AA71" s="98"/>
      <c r="AB71" s="98"/>
      <c r="AC71" s="98"/>
      <c r="AD71" s="98"/>
      <c r="AE71" s="98"/>
      <c r="AF71" s="98"/>
      <c r="AG71" s="98"/>
      <c r="AH71" s="98"/>
    </row>
    <row r="72" spans="1:34" ht="27" customHeight="1">
      <c r="A72" s="30"/>
      <c r="B72" s="800">
        <v>4</v>
      </c>
      <c r="C72" s="795" t="s">
        <v>1810</v>
      </c>
      <c r="D72" s="796"/>
      <c r="E72" s="97">
        <f>IFERROR(AVERAGE(E73:E88),"")</f>
        <v>93.638888888888886</v>
      </c>
      <c r="F72" s="97">
        <f t="shared" ref="F72:AB72" si="6">IFERROR(AVERAGE(F73:F88),"")</f>
        <v>90.464285714285708</v>
      </c>
      <c r="G72" s="97">
        <f t="shared" si="6"/>
        <v>89.060606060606062</v>
      </c>
      <c r="H72" s="97">
        <f t="shared" si="6"/>
        <v>94.527777777777786</v>
      </c>
      <c r="I72" s="97">
        <f t="shared" si="6"/>
        <v>95.555555555555557</v>
      </c>
      <c r="J72" s="97">
        <f t="shared" si="6"/>
        <v>96.36904761904762</v>
      </c>
      <c r="K72" s="97">
        <f t="shared" si="6"/>
        <v>99.555555555555557</v>
      </c>
      <c r="L72" s="97">
        <f t="shared" si="6"/>
        <v>96.305555555555557</v>
      </c>
      <c r="M72" s="97">
        <f t="shared" si="6"/>
        <v>90.666666666666671</v>
      </c>
      <c r="N72" s="97">
        <f t="shared" si="6"/>
        <v>95.388888888888886</v>
      </c>
      <c r="O72" s="97">
        <f t="shared" si="6"/>
        <v>99.472222222222214</v>
      </c>
      <c r="P72" s="97">
        <f t="shared" si="6"/>
        <v>98.527777777777786</v>
      </c>
      <c r="Q72" s="97">
        <f t="shared" si="6"/>
        <v>97.472222222222214</v>
      </c>
      <c r="R72" s="97">
        <f t="shared" si="6"/>
        <v>95.694444444444443</v>
      </c>
      <c r="S72" s="97">
        <f t="shared" si="6"/>
        <v>83.972222222222214</v>
      </c>
      <c r="T72" s="97">
        <f t="shared" si="6"/>
        <v>96.694444444444443</v>
      </c>
      <c r="U72" s="97">
        <f t="shared" si="6"/>
        <v>98.277777777777786</v>
      </c>
      <c r="V72" s="97">
        <f t="shared" si="6"/>
        <v>93.944444444444443</v>
      </c>
      <c r="W72" s="97">
        <f t="shared" si="6"/>
        <v>93.861111111111114</v>
      </c>
      <c r="X72" s="97">
        <f t="shared" si="6"/>
        <v>95.055555555555557</v>
      </c>
      <c r="Y72" s="97">
        <f t="shared" si="6"/>
        <v>95.25</v>
      </c>
      <c r="Z72" s="97">
        <f t="shared" si="6"/>
        <v>93.611111111111114</v>
      </c>
      <c r="AA72" s="97">
        <f t="shared" si="6"/>
        <v>97.277777777777786</v>
      </c>
      <c r="AB72" s="97">
        <f t="shared" si="6"/>
        <v>93.18452380952381</v>
      </c>
      <c r="AC72" s="97" t="str">
        <f t="shared" ref="AC72:AH72" si="7">IFERROR(AVERAGE(AC73:AC85),"")</f>
        <v/>
      </c>
      <c r="AD72" s="97" t="str">
        <f t="shared" si="7"/>
        <v/>
      </c>
      <c r="AE72" s="97" t="str">
        <f t="shared" si="7"/>
        <v/>
      </c>
      <c r="AF72" s="97" t="str">
        <f t="shared" si="7"/>
        <v/>
      </c>
      <c r="AG72" s="97" t="str">
        <f t="shared" si="7"/>
        <v/>
      </c>
      <c r="AH72" s="97" t="str">
        <f t="shared" si="7"/>
        <v/>
      </c>
    </row>
    <row r="73" spans="1:34" ht="27" customHeight="1">
      <c r="A73" s="30"/>
      <c r="B73" s="801"/>
      <c r="C73" s="613" t="s">
        <v>1811</v>
      </c>
      <c r="D73" s="614" t="s">
        <v>1661</v>
      </c>
      <c r="E73" s="640">
        <v>100</v>
      </c>
      <c r="F73" s="640">
        <v>100</v>
      </c>
      <c r="G73" s="640">
        <v>100</v>
      </c>
      <c r="H73" s="640">
        <v>70</v>
      </c>
      <c r="I73" s="640">
        <v>100</v>
      </c>
      <c r="J73" s="640">
        <v>100</v>
      </c>
      <c r="K73" s="640">
        <v>100</v>
      </c>
      <c r="L73" s="640">
        <v>100</v>
      </c>
      <c r="M73" s="640">
        <v>50</v>
      </c>
      <c r="N73" s="640">
        <v>75</v>
      </c>
      <c r="O73" s="640">
        <v>100</v>
      </c>
      <c r="P73" s="640">
        <v>100</v>
      </c>
      <c r="Q73" s="640">
        <v>100</v>
      </c>
      <c r="R73" s="640">
        <v>100</v>
      </c>
      <c r="S73" s="640">
        <v>70</v>
      </c>
      <c r="T73" s="640">
        <v>100</v>
      </c>
      <c r="U73" s="640">
        <v>100</v>
      </c>
      <c r="V73" s="640">
        <v>60</v>
      </c>
      <c r="W73" s="640">
        <v>100</v>
      </c>
      <c r="X73" s="640">
        <v>90</v>
      </c>
      <c r="Y73" s="640">
        <v>100</v>
      </c>
      <c r="Z73" s="640">
        <v>100</v>
      </c>
      <c r="AA73" s="640">
        <v>100</v>
      </c>
      <c r="AB73" s="640">
        <v>100</v>
      </c>
      <c r="AC73" s="98"/>
      <c r="AD73" s="98"/>
      <c r="AE73" s="98"/>
      <c r="AF73" s="98"/>
      <c r="AG73" s="98"/>
      <c r="AH73" s="98"/>
    </row>
    <row r="74" spans="1:34" s="478" customFormat="1" ht="31.5" customHeight="1">
      <c r="A74" s="30"/>
      <c r="B74" s="801"/>
      <c r="C74" s="615" t="s">
        <v>1812</v>
      </c>
      <c r="D74" s="616" t="s">
        <v>1665</v>
      </c>
      <c r="E74" s="640">
        <v>100</v>
      </c>
      <c r="F74" s="640">
        <v>100</v>
      </c>
      <c r="G74" s="640">
        <v>95</v>
      </c>
      <c r="H74" s="640">
        <v>100</v>
      </c>
      <c r="I74" s="640">
        <v>100</v>
      </c>
      <c r="J74" s="640">
        <v>100</v>
      </c>
      <c r="K74" s="640">
        <v>100</v>
      </c>
      <c r="L74" s="640">
        <v>100</v>
      </c>
      <c r="M74" s="640">
        <v>100</v>
      </c>
      <c r="N74" s="640">
        <v>100</v>
      </c>
      <c r="O74" s="640">
        <v>100</v>
      </c>
      <c r="P74" s="640">
        <v>100</v>
      </c>
      <c r="Q74" s="640">
        <v>100</v>
      </c>
      <c r="R74" s="640">
        <v>100</v>
      </c>
      <c r="S74" s="640">
        <v>95</v>
      </c>
      <c r="T74" s="640">
        <v>100</v>
      </c>
      <c r="U74" s="640">
        <v>100</v>
      </c>
      <c r="V74" s="640">
        <v>100</v>
      </c>
      <c r="W74" s="640">
        <v>100</v>
      </c>
      <c r="X74" s="640">
        <v>100</v>
      </c>
      <c r="Y74" s="640">
        <v>100</v>
      </c>
      <c r="Z74" s="640">
        <v>100</v>
      </c>
      <c r="AA74" s="640">
        <v>100</v>
      </c>
      <c r="AB74" s="640">
        <v>100</v>
      </c>
      <c r="AC74" s="98"/>
      <c r="AD74" s="98"/>
      <c r="AE74" s="98"/>
      <c r="AF74" s="98"/>
      <c r="AG74" s="98"/>
      <c r="AH74" s="98"/>
    </row>
    <row r="75" spans="1:34" s="478" customFormat="1" ht="27" customHeight="1">
      <c r="A75" s="30"/>
      <c r="B75" s="801"/>
      <c r="C75" s="615" t="s">
        <v>1813</v>
      </c>
      <c r="D75" s="616" t="s">
        <v>1439</v>
      </c>
      <c r="E75" s="640">
        <v>70</v>
      </c>
      <c r="F75" s="640">
        <v>70</v>
      </c>
      <c r="G75" s="640">
        <v>65</v>
      </c>
      <c r="H75" s="640">
        <v>90</v>
      </c>
      <c r="I75" s="640">
        <v>90</v>
      </c>
      <c r="J75" s="640">
        <v>90</v>
      </c>
      <c r="K75" s="640">
        <v>100</v>
      </c>
      <c r="L75" s="640">
        <v>80</v>
      </c>
      <c r="M75" s="640">
        <v>90</v>
      </c>
      <c r="N75" s="640">
        <v>80</v>
      </c>
      <c r="O75" s="640">
        <v>100</v>
      </c>
      <c r="P75" s="640">
        <v>90</v>
      </c>
      <c r="Q75" s="640">
        <v>90</v>
      </c>
      <c r="R75" s="640">
        <v>90</v>
      </c>
      <c r="S75" s="640">
        <v>65</v>
      </c>
      <c r="T75" s="640">
        <v>100</v>
      </c>
      <c r="U75" s="640">
        <v>95</v>
      </c>
      <c r="V75" s="640">
        <v>90</v>
      </c>
      <c r="W75" s="640">
        <v>100</v>
      </c>
      <c r="X75" s="640">
        <v>90</v>
      </c>
      <c r="Y75" s="640">
        <v>90</v>
      </c>
      <c r="Z75" s="640">
        <v>90</v>
      </c>
      <c r="AA75" s="640">
        <v>80</v>
      </c>
      <c r="AB75" s="640">
        <v>90</v>
      </c>
      <c r="AC75" s="98"/>
      <c r="AD75" s="98"/>
      <c r="AE75" s="98"/>
      <c r="AF75" s="98"/>
      <c r="AG75" s="98"/>
      <c r="AH75" s="98"/>
    </row>
    <row r="76" spans="1:34" s="478" customFormat="1" ht="41.25" customHeight="1">
      <c r="A76" s="30"/>
      <c r="B76" s="801"/>
      <c r="C76" s="615" t="s">
        <v>1814</v>
      </c>
      <c r="D76" s="616" t="s">
        <v>1441</v>
      </c>
      <c r="E76" s="640">
        <v>100</v>
      </c>
      <c r="F76" s="640">
        <v>90</v>
      </c>
      <c r="G76" s="640">
        <v>90</v>
      </c>
      <c r="H76" s="640">
        <v>100</v>
      </c>
      <c r="I76" s="640">
        <v>100</v>
      </c>
      <c r="J76" s="640">
        <v>100</v>
      </c>
      <c r="K76" s="640">
        <v>100</v>
      </c>
      <c r="L76" s="640">
        <v>100</v>
      </c>
      <c r="M76" s="640">
        <v>100</v>
      </c>
      <c r="N76" s="640">
        <v>100</v>
      </c>
      <c r="O76" s="640">
        <v>100</v>
      </c>
      <c r="P76" s="640">
        <v>100</v>
      </c>
      <c r="Q76" s="640">
        <v>100</v>
      </c>
      <c r="R76" s="640">
        <v>100</v>
      </c>
      <c r="S76" s="640">
        <v>80</v>
      </c>
      <c r="T76" s="640">
        <v>95</v>
      </c>
      <c r="U76" s="640">
        <v>100</v>
      </c>
      <c r="V76" s="640">
        <v>100</v>
      </c>
      <c r="W76" s="640">
        <v>100</v>
      </c>
      <c r="X76" s="640">
        <v>100</v>
      </c>
      <c r="Y76" s="640">
        <v>90</v>
      </c>
      <c r="Z76" s="640">
        <v>70</v>
      </c>
      <c r="AA76" s="640">
        <v>100</v>
      </c>
      <c r="AB76" s="640">
        <v>100</v>
      </c>
      <c r="AC76" s="98"/>
      <c r="AD76" s="98"/>
      <c r="AE76" s="98"/>
      <c r="AF76" s="98"/>
      <c r="AG76" s="98"/>
      <c r="AH76" s="98"/>
    </row>
    <row r="77" spans="1:34" s="478" customFormat="1" ht="36.75" customHeight="1">
      <c r="A77" s="30"/>
      <c r="B77" s="801"/>
      <c r="C77" s="615" t="s">
        <v>1815</v>
      </c>
      <c r="D77" s="616" t="s">
        <v>1670</v>
      </c>
      <c r="E77" s="643">
        <v>95</v>
      </c>
      <c r="F77" s="643">
        <v>95</v>
      </c>
      <c r="G77" s="643">
        <v>90</v>
      </c>
      <c r="H77" s="643">
        <v>95</v>
      </c>
      <c r="I77" s="643">
        <v>90</v>
      </c>
      <c r="J77" s="643">
        <v>70</v>
      </c>
      <c r="K77" s="643">
        <v>100</v>
      </c>
      <c r="L77" s="643">
        <v>100</v>
      </c>
      <c r="M77" s="643">
        <v>100</v>
      </c>
      <c r="N77" s="643">
        <v>80</v>
      </c>
      <c r="O77" s="643">
        <v>100</v>
      </c>
      <c r="P77" s="643">
        <v>100</v>
      </c>
      <c r="Q77" s="643">
        <v>100</v>
      </c>
      <c r="R77" s="643">
        <v>100</v>
      </c>
      <c r="S77" s="643">
        <v>75</v>
      </c>
      <c r="T77" s="643">
        <v>95</v>
      </c>
      <c r="U77" s="643">
        <v>100</v>
      </c>
      <c r="V77" s="643">
        <v>100</v>
      </c>
      <c r="W77" s="643">
        <v>95</v>
      </c>
      <c r="X77" s="643">
        <v>75</v>
      </c>
      <c r="Y77" s="643">
        <v>75</v>
      </c>
      <c r="Z77" s="643">
        <v>95</v>
      </c>
      <c r="AA77" s="643">
        <v>100</v>
      </c>
      <c r="AB77" s="643"/>
      <c r="AC77" s="582"/>
      <c r="AD77" s="98"/>
      <c r="AE77" s="98"/>
      <c r="AF77" s="98"/>
      <c r="AG77" s="98"/>
      <c r="AH77" s="98"/>
    </row>
    <row r="78" spans="1:34" ht="27" customHeight="1">
      <c r="A78" s="30"/>
      <c r="B78" s="801"/>
      <c r="C78" s="615" t="s">
        <v>1816</v>
      </c>
      <c r="D78" s="616" t="s">
        <v>1673</v>
      </c>
      <c r="E78" s="643">
        <v>100</v>
      </c>
      <c r="F78" s="643">
        <v>95</v>
      </c>
      <c r="G78" s="643">
        <v>95</v>
      </c>
      <c r="H78" s="643">
        <v>85</v>
      </c>
      <c r="I78" s="643">
        <v>80</v>
      </c>
      <c r="J78" s="643">
        <v>95</v>
      </c>
      <c r="K78" s="643">
        <v>100</v>
      </c>
      <c r="L78" s="643">
        <v>75</v>
      </c>
      <c r="M78" s="643">
        <v>85</v>
      </c>
      <c r="N78" s="643">
        <v>100</v>
      </c>
      <c r="O78" s="643">
        <v>100</v>
      </c>
      <c r="P78" s="643">
        <v>90</v>
      </c>
      <c r="Q78" s="643">
        <v>90</v>
      </c>
      <c r="R78" s="643">
        <v>90</v>
      </c>
      <c r="S78" s="643">
        <v>85</v>
      </c>
      <c r="T78" s="643">
        <v>100</v>
      </c>
      <c r="U78" s="643">
        <v>100</v>
      </c>
      <c r="V78" s="643">
        <v>95</v>
      </c>
      <c r="W78" s="643">
        <v>100</v>
      </c>
      <c r="X78" s="643">
        <v>100</v>
      </c>
      <c r="Y78" s="643">
        <v>85</v>
      </c>
      <c r="Z78" s="643">
        <v>95</v>
      </c>
      <c r="AA78" s="643">
        <v>95</v>
      </c>
      <c r="AB78" s="643">
        <v>90</v>
      </c>
      <c r="AC78" s="98"/>
      <c r="AD78" s="98"/>
      <c r="AE78" s="98"/>
      <c r="AF78" s="98"/>
      <c r="AG78" s="98"/>
      <c r="AH78" s="98"/>
    </row>
    <row r="79" spans="1:34" ht="36" customHeight="1">
      <c r="A79" s="30"/>
      <c r="B79" s="801"/>
      <c r="C79" s="615" t="s">
        <v>1817</v>
      </c>
      <c r="D79" s="616" t="s">
        <v>1447</v>
      </c>
      <c r="E79" s="643">
        <v>90</v>
      </c>
      <c r="F79" s="643">
        <v>80</v>
      </c>
      <c r="G79" s="643">
        <v>85</v>
      </c>
      <c r="H79" s="643">
        <v>100</v>
      </c>
      <c r="I79" s="643">
        <v>100</v>
      </c>
      <c r="J79" s="643">
        <v>100</v>
      </c>
      <c r="K79" s="643">
        <v>100</v>
      </c>
      <c r="L79" s="643">
        <v>100</v>
      </c>
      <c r="M79" s="643">
        <v>90</v>
      </c>
      <c r="N79" s="643">
        <v>100</v>
      </c>
      <c r="O79" s="643">
        <v>100</v>
      </c>
      <c r="P79" s="643">
        <v>100</v>
      </c>
      <c r="Q79" s="643">
        <v>90</v>
      </c>
      <c r="R79" s="643">
        <v>90</v>
      </c>
      <c r="S79" s="643">
        <v>95</v>
      </c>
      <c r="T79" s="643">
        <v>100</v>
      </c>
      <c r="U79" s="643">
        <v>100</v>
      </c>
      <c r="V79" s="643">
        <v>95</v>
      </c>
      <c r="W79" s="643">
        <v>80</v>
      </c>
      <c r="X79" s="643">
        <v>90</v>
      </c>
      <c r="Y79" s="643">
        <v>100</v>
      </c>
      <c r="Z79" s="643">
        <v>95</v>
      </c>
      <c r="AA79" s="643">
        <v>90</v>
      </c>
      <c r="AB79" s="643">
        <v>100</v>
      </c>
      <c r="AC79" s="98"/>
      <c r="AD79" s="98"/>
      <c r="AE79" s="98"/>
      <c r="AF79" s="98"/>
      <c r="AG79" s="98"/>
      <c r="AH79" s="98"/>
    </row>
    <row r="80" spans="1:34" ht="27" customHeight="1">
      <c r="A80" s="30"/>
      <c r="B80" s="801"/>
      <c r="C80" s="615" t="s">
        <v>1818</v>
      </c>
      <c r="D80" s="616" t="s">
        <v>1449</v>
      </c>
      <c r="E80" s="643">
        <v>80</v>
      </c>
      <c r="F80" s="643">
        <v>80</v>
      </c>
      <c r="G80" s="643">
        <v>90</v>
      </c>
      <c r="H80" s="643">
        <v>85</v>
      </c>
      <c r="I80" s="643">
        <v>75</v>
      </c>
      <c r="J80" s="643">
        <v>100</v>
      </c>
      <c r="K80" s="643">
        <v>100</v>
      </c>
      <c r="L80" s="643">
        <v>100</v>
      </c>
      <c r="M80" s="643">
        <v>80</v>
      </c>
      <c r="N80" s="643">
        <v>100</v>
      </c>
      <c r="O80" s="643">
        <v>100</v>
      </c>
      <c r="P80" s="643">
        <v>100</v>
      </c>
      <c r="Q80" s="643">
        <v>100</v>
      </c>
      <c r="R80" s="643">
        <v>100</v>
      </c>
      <c r="S80" s="643">
        <v>80</v>
      </c>
      <c r="T80" s="643">
        <v>70</v>
      </c>
      <c r="U80" s="643">
        <v>80</v>
      </c>
      <c r="V80" s="643">
        <v>80</v>
      </c>
      <c r="W80" s="643">
        <v>90</v>
      </c>
      <c r="X80" s="643">
        <v>90</v>
      </c>
      <c r="Y80" s="643">
        <v>90</v>
      </c>
      <c r="Z80" s="643">
        <v>100</v>
      </c>
      <c r="AA80" s="643">
        <v>95</v>
      </c>
      <c r="AB80" s="643">
        <v>70</v>
      </c>
      <c r="AC80" s="98"/>
      <c r="AD80" s="98"/>
      <c r="AE80" s="98"/>
      <c r="AF80" s="98"/>
      <c r="AG80" s="98"/>
      <c r="AH80" s="98"/>
    </row>
    <row r="81" spans="1:34" ht="27" customHeight="1">
      <c r="A81" s="30"/>
      <c r="B81" s="801"/>
      <c r="C81" s="615" t="s">
        <v>1819</v>
      </c>
      <c r="D81" s="616" t="s">
        <v>1637</v>
      </c>
      <c r="E81" s="657">
        <v>95</v>
      </c>
      <c r="F81" s="657"/>
      <c r="G81" s="657">
        <v>100</v>
      </c>
      <c r="H81" s="657">
        <v>100</v>
      </c>
      <c r="I81" s="657">
        <v>100</v>
      </c>
      <c r="J81" s="657"/>
      <c r="K81" s="657">
        <v>100</v>
      </c>
      <c r="L81" s="657">
        <v>100</v>
      </c>
      <c r="M81" s="657">
        <v>100</v>
      </c>
      <c r="N81" s="657">
        <v>100</v>
      </c>
      <c r="O81" s="657">
        <v>100</v>
      </c>
      <c r="P81" s="657">
        <v>100</v>
      </c>
      <c r="Q81" s="657">
        <v>100</v>
      </c>
      <c r="R81" s="657">
        <v>100</v>
      </c>
      <c r="S81" s="657">
        <v>80</v>
      </c>
      <c r="T81" s="657">
        <v>100</v>
      </c>
      <c r="U81" s="657">
        <v>100</v>
      </c>
      <c r="V81" s="657">
        <v>100</v>
      </c>
      <c r="W81" s="657">
        <v>95</v>
      </c>
      <c r="X81" s="657">
        <v>100</v>
      </c>
      <c r="Y81" s="657">
        <v>100</v>
      </c>
      <c r="Z81" s="657">
        <v>100</v>
      </c>
      <c r="AA81" s="657">
        <v>100</v>
      </c>
      <c r="AB81" s="657">
        <v>90</v>
      </c>
      <c r="AC81" s="98"/>
      <c r="AD81" s="98"/>
      <c r="AE81" s="98"/>
      <c r="AF81" s="98"/>
      <c r="AG81" s="98"/>
      <c r="AH81" s="98"/>
    </row>
    <row r="82" spans="1:34" ht="27" customHeight="1">
      <c r="A82" s="30"/>
      <c r="B82" s="801"/>
      <c r="C82" s="615" t="s">
        <v>1820</v>
      </c>
      <c r="D82" s="616" t="s">
        <v>1640</v>
      </c>
      <c r="E82" s="657">
        <v>100</v>
      </c>
      <c r="F82" s="657">
        <v>100</v>
      </c>
      <c r="G82" s="657">
        <v>100</v>
      </c>
      <c r="H82" s="657">
        <v>100</v>
      </c>
      <c r="I82" s="657">
        <v>100</v>
      </c>
      <c r="J82" s="657">
        <v>100</v>
      </c>
      <c r="K82" s="657">
        <v>100</v>
      </c>
      <c r="L82" s="657">
        <v>100</v>
      </c>
      <c r="M82" s="657">
        <v>100</v>
      </c>
      <c r="N82" s="657">
        <v>100</v>
      </c>
      <c r="O82" s="657">
        <v>100</v>
      </c>
      <c r="P82" s="657">
        <v>100</v>
      </c>
      <c r="Q82" s="657">
        <v>100</v>
      </c>
      <c r="R82" s="657">
        <v>100</v>
      </c>
      <c r="S82" s="657">
        <v>100</v>
      </c>
      <c r="T82" s="657">
        <v>100</v>
      </c>
      <c r="U82" s="657">
        <v>100</v>
      </c>
      <c r="V82" s="657">
        <v>100</v>
      </c>
      <c r="W82" s="657">
        <v>100</v>
      </c>
      <c r="X82" s="657">
        <v>100</v>
      </c>
      <c r="Y82" s="657">
        <v>100</v>
      </c>
      <c r="Z82" s="657">
        <v>100</v>
      </c>
      <c r="AA82" s="657">
        <v>100</v>
      </c>
      <c r="AB82" s="657">
        <v>100</v>
      </c>
      <c r="AC82" s="98"/>
      <c r="AD82" s="98"/>
      <c r="AE82" s="98"/>
      <c r="AF82" s="98"/>
      <c r="AG82" s="98"/>
      <c r="AH82" s="98"/>
    </row>
    <row r="83" spans="1:34" ht="27" customHeight="1">
      <c r="A83" s="30"/>
      <c r="B83" s="801"/>
      <c r="C83" s="615" t="s">
        <v>1821</v>
      </c>
      <c r="D83" s="616" t="s">
        <v>1510</v>
      </c>
      <c r="E83" s="657">
        <v>100</v>
      </c>
      <c r="F83" s="657">
        <v>100</v>
      </c>
      <c r="G83" s="657">
        <v>100</v>
      </c>
      <c r="H83" s="657">
        <v>95</v>
      </c>
      <c r="I83" s="657">
        <v>100</v>
      </c>
      <c r="J83" s="657">
        <v>100</v>
      </c>
      <c r="K83" s="657">
        <v>100</v>
      </c>
      <c r="L83" s="657">
        <v>90</v>
      </c>
      <c r="M83" s="657">
        <v>90</v>
      </c>
      <c r="N83" s="657">
        <v>100</v>
      </c>
      <c r="O83" s="657">
        <v>95</v>
      </c>
      <c r="P83" s="657">
        <v>100</v>
      </c>
      <c r="Q83" s="657">
        <v>100</v>
      </c>
      <c r="R83" s="657">
        <v>100</v>
      </c>
      <c r="S83" s="657">
        <v>100</v>
      </c>
      <c r="T83" s="657">
        <v>100</v>
      </c>
      <c r="U83" s="657">
        <v>100</v>
      </c>
      <c r="V83" s="657">
        <v>100</v>
      </c>
      <c r="W83" s="657">
        <v>90</v>
      </c>
      <c r="X83" s="657">
        <v>100</v>
      </c>
      <c r="Y83" s="657">
        <v>100</v>
      </c>
      <c r="Z83" s="657">
        <v>90</v>
      </c>
      <c r="AA83" s="657">
        <v>100</v>
      </c>
      <c r="AB83" s="657">
        <v>90</v>
      </c>
      <c r="AC83" s="98"/>
      <c r="AD83" s="98"/>
      <c r="AE83" s="98"/>
      <c r="AF83" s="98"/>
      <c r="AG83" s="98"/>
      <c r="AH83" s="98"/>
    </row>
    <row r="84" spans="1:34" ht="36" customHeight="1">
      <c r="A84" s="30"/>
      <c r="B84" s="801"/>
      <c r="C84" s="615" t="s">
        <v>1822</v>
      </c>
      <c r="D84" s="616" t="s">
        <v>1512</v>
      </c>
      <c r="E84" s="657">
        <v>100</v>
      </c>
      <c r="F84" s="657">
        <v>100</v>
      </c>
      <c r="G84" s="657">
        <v>90</v>
      </c>
      <c r="H84" s="657">
        <v>100</v>
      </c>
      <c r="I84" s="657">
        <v>100</v>
      </c>
      <c r="J84" s="657">
        <v>100</v>
      </c>
      <c r="K84" s="657">
        <v>100</v>
      </c>
      <c r="L84" s="657">
        <v>100</v>
      </c>
      <c r="M84" s="657">
        <v>100</v>
      </c>
      <c r="N84" s="657">
        <v>100</v>
      </c>
      <c r="O84" s="657">
        <v>100</v>
      </c>
      <c r="P84" s="657">
        <v>100</v>
      </c>
      <c r="Q84" s="657">
        <v>100</v>
      </c>
      <c r="R84" s="657">
        <v>100</v>
      </c>
      <c r="S84" s="657">
        <v>100</v>
      </c>
      <c r="T84" s="657">
        <v>100</v>
      </c>
      <c r="U84" s="657">
        <v>100</v>
      </c>
      <c r="V84" s="657">
        <v>100</v>
      </c>
      <c r="W84" s="657">
        <v>90</v>
      </c>
      <c r="X84" s="657">
        <v>100</v>
      </c>
      <c r="Y84" s="657">
        <v>100</v>
      </c>
      <c r="Z84" s="657">
        <v>90</v>
      </c>
      <c r="AA84" s="657">
        <v>100</v>
      </c>
      <c r="AB84" s="657">
        <v>90</v>
      </c>
      <c r="AC84" s="98"/>
      <c r="AD84" s="98"/>
      <c r="AE84" s="98"/>
      <c r="AF84" s="98"/>
      <c r="AG84" s="98"/>
      <c r="AH84" s="98"/>
    </row>
    <row r="85" spans="1:34" ht="27" hidden="1" customHeight="1">
      <c r="A85" s="30"/>
      <c r="B85" s="802"/>
      <c r="C85" s="74"/>
      <c r="D85" s="72"/>
      <c r="E85" s="98"/>
      <c r="F85" s="98"/>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row>
    <row r="86" spans="1:34" ht="27" customHeight="1">
      <c r="A86" s="30"/>
      <c r="B86" s="800">
        <v>5</v>
      </c>
      <c r="C86" s="795" t="s">
        <v>1823</v>
      </c>
      <c r="D86" s="796"/>
      <c r="E86" s="97">
        <f>IFERROR(AVERAGE(E87:E102),"")</f>
        <v>94.583333333333329</v>
      </c>
      <c r="F86" s="97">
        <f t="shared" ref="F86:AB86" si="8">IFERROR(AVERAGE(F87:F102),"")</f>
        <v>91.5</v>
      </c>
      <c r="G86" s="97">
        <f t="shared" si="8"/>
        <v>90.909090909090907</v>
      </c>
      <c r="H86" s="97">
        <f t="shared" si="8"/>
        <v>97.916666666666671</v>
      </c>
      <c r="I86" s="97">
        <f t="shared" si="8"/>
        <v>98.333333333333329</v>
      </c>
      <c r="J86" s="97">
        <f t="shared" si="8"/>
        <v>99.166666666666671</v>
      </c>
      <c r="K86" s="97">
        <f t="shared" si="8"/>
        <v>98.333333333333329</v>
      </c>
      <c r="L86" s="97">
        <f t="shared" si="8"/>
        <v>99.583333333333329</v>
      </c>
      <c r="M86" s="97">
        <f t="shared" si="8"/>
        <v>95</v>
      </c>
      <c r="N86" s="97">
        <f t="shared" si="8"/>
        <v>95.833333333333329</v>
      </c>
      <c r="O86" s="97">
        <f t="shared" si="8"/>
        <v>97.083333333333329</v>
      </c>
      <c r="P86" s="97">
        <f t="shared" si="8"/>
        <v>97.916666666666671</v>
      </c>
      <c r="Q86" s="97">
        <f t="shared" si="8"/>
        <v>97.083333333333329</v>
      </c>
      <c r="R86" s="97">
        <f t="shared" si="8"/>
        <v>95.416666666666671</v>
      </c>
      <c r="S86" s="97">
        <f t="shared" si="8"/>
        <v>89.583333333333329</v>
      </c>
      <c r="T86" s="97">
        <f t="shared" si="8"/>
        <v>95.416666666666671</v>
      </c>
      <c r="U86" s="97">
        <f t="shared" si="8"/>
        <v>99.166666666666671</v>
      </c>
      <c r="V86" s="97">
        <f t="shared" si="8"/>
        <v>94.166666666666671</v>
      </c>
      <c r="W86" s="97">
        <f t="shared" si="8"/>
        <v>92.916666666666671</v>
      </c>
      <c r="X86" s="97">
        <f t="shared" si="8"/>
        <v>95.833333333333329</v>
      </c>
      <c r="Y86" s="97">
        <f t="shared" si="8"/>
        <v>98.75</v>
      </c>
      <c r="Z86" s="97">
        <f t="shared" si="8"/>
        <v>94.166666666666671</v>
      </c>
      <c r="AA86" s="97">
        <f t="shared" si="8"/>
        <v>99.166666666666671</v>
      </c>
      <c r="AB86" s="97">
        <f t="shared" si="8"/>
        <v>94.583333333333329</v>
      </c>
      <c r="AC86" s="97" t="str">
        <f t="shared" ref="AC86:AH86" si="9">IFERROR(AVERAGE(AC87:AC107),"")</f>
        <v/>
      </c>
      <c r="AD86" s="97" t="str">
        <f t="shared" si="9"/>
        <v/>
      </c>
      <c r="AE86" s="97" t="str">
        <f t="shared" si="9"/>
        <v/>
      </c>
      <c r="AF86" s="97" t="str">
        <f t="shared" si="9"/>
        <v/>
      </c>
      <c r="AG86" s="97" t="str">
        <f t="shared" si="9"/>
        <v/>
      </c>
      <c r="AH86" s="97" t="str">
        <f t="shared" si="9"/>
        <v/>
      </c>
    </row>
    <row r="87" spans="1:34" ht="27" customHeight="1">
      <c r="A87" s="30"/>
      <c r="B87" s="801"/>
      <c r="C87" s="621" t="s">
        <v>1760</v>
      </c>
      <c r="D87" s="622" t="s">
        <v>1694</v>
      </c>
      <c r="E87" s="660">
        <v>95</v>
      </c>
      <c r="F87" s="660">
        <v>85</v>
      </c>
      <c r="G87" s="660">
        <v>75</v>
      </c>
      <c r="H87" s="660">
        <v>100</v>
      </c>
      <c r="I87" s="660">
        <v>100</v>
      </c>
      <c r="J87" s="660">
        <v>100</v>
      </c>
      <c r="K87" s="660">
        <v>100</v>
      </c>
      <c r="L87" s="660">
        <v>100</v>
      </c>
      <c r="M87" s="660">
        <v>85</v>
      </c>
      <c r="N87" s="660">
        <v>100</v>
      </c>
      <c r="O87" s="660">
        <v>100</v>
      </c>
      <c r="P87" s="660">
        <v>100</v>
      </c>
      <c r="Q87" s="660">
        <v>100</v>
      </c>
      <c r="R87" s="660">
        <v>85</v>
      </c>
      <c r="S87" s="660">
        <v>80</v>
      </c>
      <c r="T87" s="660">
        <v>100</v>
      </c>
      <c r="U87" s="660">
        <v>100</v>
      </c>
      <c r="V87" s="660">
        <v>100</v>
      </c>
      <c r="W87" s="660">
        <v>90</v>
      </c>
      <c r="X87" s="660">
        <v>100</v>
      </c>
      <c r="Y87" s="660">
        <v>100</v>
      </c>
      <c r="Z87" s="660">
        <v>100</v>
      </c>
      <c r="AA87" s="660">
        <v>100</v>
      </c>
      <c r="AB87" s="660">
        <v>100</v>
      </c>
      <c r="AC87" s="98"/>
      <c r="AD87" s="98"/>
      <c r="AE87" s="98"/>
      <c r="AF87" s="98"/>
      <c r="AG87" s="98"/>
      <c r="AH87" s="98"/>
    </row>
    <row r="88" spans="1:34" s="478" customFormat="1" ht="27" customHeight="1">
      <c r="A88" s="30"/>
      <c r="B88" s="801"/>
      <c r="C88" s="621" t="s">
        <v>1761</v>
      </c>
      <c r="D88" s="622" t="s">
        <v>1396</v>
      </c>
      <c r="E88" s="660">
        <v>85</v>
      </c>
      <c r="F88" s="660">
        <v>80</v>
      </c>
      <c r="G88" s="660">
        <v>70</v>
      </c>
      <c r="H88" s="660">
        <v>100</v>
      </c>
      <c r="I88" s="660">
        <v>100</v>
      </c>
      <c r="J88" s="660">
        <v>95</v>
      </c>
      <c r="K88" s="660">
        <v>95</v>
      </c>
      <c r="L88" s="660">
        <v>100</v>
      </c>
      <c r="M88" s="660">
        <v>95</v>
      </c>
      <c r="N88" s="660">
        <v>100</v>
      </c>
      <c r="O88" s="660">
        <v>100</v>
      </c>
      <c r="P88" s="660">
        <v>100</v>
      </c>
      <c r="Q88" s="660">
        <v>95</v>
      </c>
      <c r="R88" s="660">
        <v>85</v>
      </c>
      <c r="S88" s="660">
        <v>65</v>
      </c>
      <c r="T88" s="660">
        <v>95</v>
      </c>
      <c r="U88" s="660">
        <v>100</v>
      </c>
      <c r="V88" s="660">
        <v>95</v>
      </c>
      <c r="W88" s="660">
        <v>85</v>
      </c>
      <c r="X88" s="660">
        <v>95</v>
      </c>
      <c r="Y88" s="660">
        <v>100</v>
      </c>
      <c r="Z88" s="660">
        <v>85</v>
      </c>
      <c r="AA88" s="660">
        <v>100</v>
      </c>
      <c r="AB88" s="660">
        <v>90</v>
      </c>
      <c r="AC88" s="98"/>
      <c r="AD88" s="98"/>
      <c r="AE88" s="98"/>
      <c r="AF88" s="98"/>
      <c r="AG88" s="98"/>
      <c r="AH88" s="98"/>
    </row>
    <row r="89" spans="1:34" s="478" customFormat="1" ht="27" customHeight="1">
      <c r="A89" s="30"/>
      <c r="B89" s="801"/>
      <c r="C89" s="621" t="s">
        <v>1762</v>
      </c>
      <c r="D89" s="622" t="s">
        <v>1398</v>
      </c>
      <c r="E89" s="660">
        <v>95</v>
      </c>
      <c r="F89" s="660">
        <v>90</v>
      </c>
      <c r="G89" s="660">
        <v>90</v>
      </c>
      <c r="H89" s="660">
        <v>90</v>
      </c>
      <c r="I89" s="660">
        <v>95</v>
      </c>
      <c r="J89" s="660">
        <v>100</v>
      </c>
      <c r="K89" s="660">
        <v>95</v>
      </c>
      <c r="L89" s="660">
        <v>100</v>
      </c>
      <c r="M89" s="660">
        <v>100</v>
      </c>
      <c r="N89" s="660">
        <v>90</v>
      </c>
      <c r="O89" s="660">
        <v>95</v>
      </c>
      <c r="P89" s="660">
        <v>80</v>
      </c>
      <c r="Q89" s="660">
        <v>95</v>
      </c>
      <c r="R89" s="660">
        <v>100</v>
      </c>
      <c r="S89" s="660">
        <v>90</v>
      </c>
      <c r="T89" s="660">
        <v>90</v>
      </c>
      <c r="U89" s="660">
        <v>95</v>
      </c>
      <c r="V89" s="660">
        <v>100</v>
      </c>
      <c r="W89" s="660">
        <v>60</v>
      </c>
      <c r="X89" s="660">
        <v>80</v>
      </c>
      <c r="Y89" s="660">
        <v>100</v>
      </c>
      <c r="Z89" s="660">
        <v>80</v>
      </c>
      <c r="AA89" s="660">
        <v>90</v>
      </c>
      <c r="AB89" s="660">
        <v>85</v>
      </c>
      <c r="AC89" s="98"/>
      <c r="AD89" s="98"/>
      <c r="AE89" s="98"/>
      <c r="AF89" s="98"/>
      <c r="AG89" s="98"/>
      <c r="AH89" s="98"/>
    </row>
    <row r="90" spans="1:34" s="478" customFormat="1" ht="27" customHeight="1">
      <c r="A90" s="30"/>
      <c r="B90" s="801"/>
      <c r="C90" s="621" t="s">
        <v>1763</v>
      </c>
      <c r="D90" s="622" t="s">
        <v>1702</v>
      </c>
      <c r="E90" s="666">
        <v>80</v>
      </c>
      <c r="F90" s="666">
        <v>95</v>
      </c>
      <c r="G90" s="666">
        <v>100</v>
      </c>
      <c r="H90" s="666">
        <v>100</v>
      </c>
      <c r="I90" s="666">
        <v>100</v>
      </c>
      <c r="J90" s="666">
        <v>100</v>
      </c>
      <c r="K90" s="666">
        <v>100</v>
      </c>
      <c r="L90" s="666">
        <v>100</v>
      </c>
      <c r="M90" s="666">
        <v>85</v>
      </c>
      <c r="N90" s="666">
        <v>90</v>
      </c>
      <c r="O90" s="666">
        <v>100</v>
      </c>
      <c r="P90" s="666">
        <v>95</v>
      </c>
      <c r="Q90" s="666">
        <v>100</v>
      </c>
      <c r="R90" s="666">
        <v>100</v>
      </c>
      <c r="S90" s="666">
        <v>90</v>
      </c>
      <c r="T90" s="666">
        <v>100</v>
      </c>
      <c r="U90" s="666">
        <v>100</v>
      </c>
      <c r="V90" s="666">
        <v>85</v>
      </c>
      <c r="W90" s="666">
        <v>100</v>
      </c>
      <c r="X90" s="666">
        <v>80</v>
      </c>
      <c r="Y90" s="666">
        <v>90</v>
      </c>
      <c r="Z90" s="666">
        <v>100</v>
      </c>
      <c r="AA90" s="666">
        <v>100</v>
      </c>
      <c r="AB90" s="666">
        <v>90</v>
      </c>
      <c r="AC90" s="98"/>
      <c r="AD90" s="98"/>
      <c r="AE90" s="98"/>
      <c r="AF90" s="98"/>
      <c r="AG90" s="98"/>
      <c r="AH90" s="98"/>
    </row>
    <row r="91" spans="1:34" s="478" customFormat="1" ht="27" customHeight="1">
      <c r="A91" s="30"/>
      <c r="B91" s="801"/>
      <c r="C91" s="621" t="s">
        <v>1764</v>
      </c>
      <c r="D91" s="622" t="s">
        <v>1613</v>
      </c>
      <c r="E91" s="628">
        <v>100</v>
      </c>
      <c r="F91" s="628"/>
      <c r="G91" s="628">
        <v>90</v>
      </c>
      <c r="H91" s="628">
        <v>100</v>
      </c>
      <c r="I91" s="628">
        <v>90</v>
      </c>
      <c r="J91" s="628">
        <v>100</v>
      </c>
      <c r="K91" s="628">
        <v>90</v>
      </c>
      <c r="L91" s="628">
        <v>100</v>
      </c>
      <c r="M91" s="628">
        <v>90</v>
      </c>
      <c r="N91" s="628">
        <v>80</v>
      </c>
      <c r="O91" s="628">
        <v>80</v>
      </c>
      <c r="P91" s="628">
        <v>100</v>
      </c>
      <c r="Q91" s="628">
        <v>90</v>
      </c>
      <c r="R91" s="628">
        <v>100</v>
      </c>
      <c r="S91" s="628">
        <v>80</v>
      </c>
      <c r="T91" s="628">
        <v>80</v>
      </c>
      <c r="U91" s="628">
        <v>100</v>
      </c>
      <c r="V91" s="628">
        <v>90</v>
      </c>
      <c r="W91" s="628">
        <v>100</v>
      </c>
      <c r="X91" s="628">
        <v>95</v>
      </c>
      <c r="Y91" s="628">
        <v>100</v>
      </c>
      <c r="Z91" s="628">
        <v>90</v>
      </c>
      <c r="AA91" s="628">
        <v>100</v>
      </c>
      <c r="AB91" s="628">
        <v>90</v>
      </c>
      <c r="AC91" s="98"/>
      <c r="AD91" s="98"/>
      <c r="AE91" s="98"/>
      <c r="AF91" s="98"/>
      <c r="AG91" s="98"/>
      <c r="AH91" s="98"/>
    </row>
    <row r="92" spans="1:34" s="478" customFormat="1" ht="27" customHeight="1">
      <c r="A92" s="30"/>
      <c r="B92" s="801"/>
      <c r="C92" s="621" t="s">
        <v>1765</v>
      </c>
      <c r="D92" s="622" t="s">
        <v>1766</v>
      </c>
      <c r="E92" s="628">
        <v>95</v>
      </c>
      <c r="F92" s="628">
        <v>90</v>
      </c>
      <c r="G92" s="628">
        <v>90</v>
      </c>
      <c r="H92" s="628">
        <v>100</v>
      </c>
      <c r="I92" s="628">
        <v>100</v>
      </c>
      <c r="J92" s="628">
        <v>100</v>
      </c>
      <c r="K92" s="628">
        <v>100</v>
      </c>
      <c r="L92" s="628">
        <v>100</v>
      </c>
      <c r="M92" s="628">
        <v>95</v>
      </c>
      <c r="N92" s="628">
        <v>100</v>
      </c>
      <c r="O92" s="628">
        <v>100</v>
      </c>
      <c r="P92" s="628">
        <v>100</v>
      </c>
      <c r="Q92" s="628">
        <v>100</v>
      </c>
      <c r="R92" s="628">
        <v>95</v>
      </c>
      <c r="S92" s="628">
        <v>95</v>
      </c>
      <c r="T92" s="628">
        <v>100</v>
      </c>
      <c r="U92" s="628">
        <v>100</v>
      </c>
      <c r="V92" s="628">
        <v>90</v>
      </c>
      <c r="W92" s="628">
        <v>100</v>
      </c>
      <c r="X92" s="628">
        <v>100</v>
      </c>
      <c r="Y92" s="628">
        <v>100</v>
      </c>
      <c r="Z92" s="628">
        <v>100</v>
      </c>
      <c r="AA92" s="628">
        <v>100</v>
      </c>
      <c r="AB92" s="628">
        <v>100</v>
      </c>
      <c r="AC92" s="98"/>
      <c r="AD92" s="98"/>
      <c r="AE92" s="98"/>
      <c r="AF92" s="98"/>
      <c r="AG92" s="98"/>
      <c r="AH92" s="98"/>
    </row>
    <row r="93" spans="1:34" s="478" customFormat="1" ht="27" customHeight="1">
      <c r="A93" s="30"/>
      <c r="B93" s="801"/>
      <c r="C93" s="621" t="s">
        <v>1767</v>
      </c>
      <c r="D93" s="622" t="s">
        <v>1486</v>
      </c>
      <c r="E93" s="628">
        <v>95</v>
      </c>
      <c r="F93" s="628">
        <v>90</v>
      </c>
      <c r="G93" s="628">
        <v>100</v>
      </c>
      <c r="H93" s="628">
        <v>95</v>
      </c>
      <c r="I93" s="628">
        <v>100</v>
      </c>
      <c r="J93" s="628">
        <v>95</v>
      </c>
      <c r="K93" s="628">
        <v>100</v>
      </c>
      <c r="L93" s="628">
        <v>100</v>
      </c>
      <c r="M93" s="628">
        <v>100</v>
      </c>
      <c r="N93" s="628">
        <v>100</v>
      </c>
      <c r="O93" s="628">
        <v>100</v>
      </c>
      <c r="P93" s="628">
        <v>100</v>
      </c>
      <c r="Q93" s="628">
        <v>100</v>
      </c>
      <c r="R93" s="628">
        <v>100</v>
      </c>
      <c r="S93" s="628">
        <v>90</v>
      </c>
      <c r="T93" s="628">
        <v>90</v>
      </c>
      <c r="U93" s="628">
        <v>95</v>
      </c>
      <c r="V93" s="628">
        <v>95</v>
      </c>
      <c r="W93" s="628">
        <v>95</v>
      </c>
      <c r="X93" s="628">
        <v>100</v>
      </c>
      <c r="Y93" s="628">
        <v>95</v>
      </c>
      <c r="Z93" s="628">
        <v>95</v>
      </c>
      <c r="AA93" s="628">
        <v>100</v>
      </c>
      <c r="AB93" s="628">
        <v>85</v>
      </c>
      <c r="AC93" s="98"/>
      <c r="AD93" s="98"/>
      <c r="AE93" s="98"/>
      <c r="AF93" s="98"/>
      <c r="AG93" s="98"/>
      <c r="AH93" s="98"/>
    </row>
    <row r="94" spans="1:34" s="478" customFormat="1" ht="27" customHeight="1">
      <c r="A94" s="30"/>
      <c r="B94" s="801"/>
      <c r="C94" s="621" t="s">
        <v>1768</v>
      </c>
      <c r="D94" s="622" t="s">
        <v>1488</v>
      </c>
      <c r="E94" s="628">
        <v>100</v>
      </c>
      <c r="F94" s="628"/>
      <c r="G94" s="628"/>
      <c r="H94" s="628">
        <v>100</v>
      </c>
      <c r="I94" s="628">
        <v>100</v>
      </c>
      <c r="J94" s="628">
        <v>100</v>
      </c>
      <c r="K94" s="628">
        <v>100</v>
      </c>
      <c r="L94" s="628">
        <v>100</v>
      </c>
      <c r="M94" s="628">
        <v>100</v>
      </c>
      <c r="N94" s="628">
        <v>100</v>
      </c>
      <c r="O94" s="628">
        <v>100</v>
      </c>
      <c r="P94" s="628">
        <v>100</v>
      </c>
      <c r="Q94" s="628">
        <v>100</v>
      </c>
      <c r="R94" s="628">
        <v>100</v>
      </c>
      <c r="S94" s="628">
        <v>100</v>
      </c>
      <c r="T94" s="628">
        <v>100</v>
      </c>
      <c r="U94" s="628">
        <v>100</v>
      </c>
      <c r="V94" s="628">
        <v>100</v>
      </c>
      <c r="W94" s="628">
        <v>100</v>
      </c>
      <c r="X94" s="628">
        <v>100</v>
      </c>
      <c r="Y94" s="628">
        <v>100</v>
      </c>
      <c r="Z94" s="628">
        <v>100</v>
      </c>
      <c r="AA94" s="628">
        <v>100</v>
      </c>
      <c r="AB94" s="628">
        <v>100</v>
      </c>
      <c r="AC94" s="98"/>
      <c r="AD94" s="98"/>
      <c r="AE94" s="98"/>
      <c r="AF94" s="98"/>
      <c r="AG94" s="98"/>
      <c r="AH94" s="98"/>
    </row>
    <row r="95" spans="1:34" s="478" customFormat="1" ht="27" customHeight="1">
      <c r="A95" s="30"/>
      <c r="B95" s="801"/>
      <c r="C95" s="621" t="s">
        <v>1769</v>
      </c>
      <c r="D95" s="622" t="s">
        <v>1620</v>
      </c>
      <c r="E95" s="651">
        <v>90</v>
      </c>
      <c r="F95" s="651">
        <v>95</v>
      </c>
      <c r="G95" s="651">
        <v>90</v>
      </c>
      <c r="H95" s="651">
        <v>100</v>
      </c>
      <c r="I95" s="651">
        <v>100</v>
      </c>
      <c r="J95" s="651">
        <v>100</v>
      </c>
      <c r="K95" s="651">
        <v>100</v>
      </c>
      <c r="L95" s="651">
        <v>95</v>
      </c>
      <c r="M95" s="651">
        <v>100</v>
      </c>
      <c r="N95" s="651">
        <v>100</v>
      </c>
      <c r="O95" s="651">
        <v>100</v>
      </c>
      <c r="P95" s="651">
        <v>100</v>
      </c>
      <c r="Q95" s="651">
        <v>100</v>
      </c>
      <c r="R95" s="651">
        <v>100</v>
      </c>
      <c r="S95" s="651">
        <v>100</v>
      </c>
      <c r="T95" s="651">
        <v>90</v>
      </c>
      <c r="U95" s="651">
        <v>100</v>
      </c>
      <c r="V95" s="651">
        <v>100</v>
      </c>
      <c r="W95" s="651">
        <v>85</v>
      </c>
      <c r="X95" s="651">
        <v>100</v>
      </c>
      <c r="Y95" s="651">
        <v>100</v>
      </c>
      <c r="Z95" s="651">
        <v>100</v>
      </c>
      <c r="AA95" s="651">
        <v>100</v>
      </c>
      <c r="AB95" s="651">
        <v>100</v>
      </c>
      <c r="AC95" s="98"/>
      <c r="AD95" s="98"/>
      <c r="AE95" s="98"/>
      <c r="AF95" s="98"/>
      <c r="AG95" s="98"/>
      <c r="AH95" s="98"/>
    </row>
    <row r="96" spans="1:34" s="478" customFormat="1" ht="27" customHeight="1">
      <c r="A96" s="30"/>
      <c r="B96" s="801"/>
      <c r="C96" s="621" t="s">
        <v>1770</v>
      </c>
      <c r="D96" s="622" t="s">
        <v>1623</v>
      </c>
      <c r="E96" s="651">
        <v>100</v>
      </c>
      <c r="F96" s="651">
        <v>100</v>
      </c>
      <c r="G96" s="651">
        <v>95</v>
      </c>
      <c r="H96" s="651">
        <v>100</v>
      </c>
      <c r="I96" s="651">
        <v>95</v>
      </c>
      <c r="J96" s="651">
        <v>100</v>
      </c>
      <c r="K96" s="651">
        <v>100</v>
      </c>
      <c r="L96" s="651">
        <v>100</v>
      </c>
      <c r="M96" s="651">
        <v>100</v>
      </c>
      <c r="N96" s="651">
        <v>90</v>
      </c>
      <c r="O96" s="651">
        <v>100</v>
      </c>
      <c r="P96" s="651">
        <v>100</v>
      </c>
      <c r="Q96" s="651">
        <v>95</v>
      </c>
      <c r="R96" s="651">
        <v>90</v>
      </c>
      <c r="S96" s="651">
        <v>95</v>
      </c>
      <c r="T96" s="651">
        <v>100</v>
      </c>
      <c r="U96" s="651">
        <v>100</v>
      </c>
      <c r="V96" s="651">
        <v>95</v>
      </c>
      <c r="W96" s="651">
        <v>100</v>
      </c>
      <c r="X96" s="651">
        <v>100</v>
      </c>
      <c r="Y96" s="651">
        <v>100</v>
      </c>
      <c r="Z96" s="651">
        <v>100</v>
      </c>
      <c r="AA96" s="651">
        <v>100</v>
      </c>
      <c r="AB96" s="651">
        <v>95</v>
      </c>
      <c r="AC96" s="98"/>
      <c r="AD96" s="98"/>
      <c r="AE96" s="98"/>
      <c r="AF96" s="98"/>
      <c r="AG96" s="98"/>
      <c r="AH96" s="98"/>
    </row>
    <row r="97" spans="1:34" s="478" customFormat="1" ht="27" customHeight="1">
      <c r="A97" s="30"/>
      <c r="B97" s="801"/>
      <c r="C97" s="621" t="s">
        <v>1771</v>
      </c>
      <c r="D97" s="622" t="s">
        <v>1494</v>
      </c>
      <c r="E97" s="651">
        <v>100</v>
      </c>
      <c r="F97" s="651">
        <v>90</v>
      </c>
      <c r="G97" s="651">
        <v>100</v>
      </c>
      <c r="H97" s="651">
        <v>100</v>
      </c>
      <c r="I97" s="651">
        <v>100</v>
      </c>
      <c r="J97" s="651">
        <v>100</v>
      </c>
      <c r="K97" s="651">
        <v>100</v>
      </c>
      <c r="L97" s="651">
        <v>100</v>
      </c>
      <c r="M97" s="651">
        <v>100</v>
      </c>
      <c r="N97" s="651">
        <v>100</v>
      </c>
      <c r="O97" s="651">
        <v>100</v>
      </c>
      <c r="P97" s="651">
        <v>100</v>
      </c>
      <c r="Q97" s="651">
        <v>90</v>
      </c>
      <c r="R97" s="651">
        <v>90</v>
      </c>
      <c r="S97" s="651">
        <v>90</v>
      </c>
      <c r="T97" s="651">
        <v>100</v>
      </c>
      <c r="U97" s="651">
        <v>100</v>
      </c>
      <c r="V97" s="651">
        <v>100</v>
      </c>
      <c r="W97" s="651">
        <v>100</v>
      </c>
      <c r="X97" s="651">
        <v>100</v>
      </c>
      <c r="Y97" s="651">
        <v>100</v>
      </c>
      <c r="Z97" s="651">
        <v>100</v>
      </c>
      <c r="AA97" s="651">
        <v>100</v>
      </c>
      <c r="AB97" s="651">
        <v>100</v>
      </c>
      <c r="AC97" s="98"/>
      <c r="AD97" s="98"/>
      <c r="AE97" s="98"/>
      <c r="AF97" s="98"/>
      <c r="AG97" s="98"/>
      <c r="AH97" s="98"/>
    </row>
    <row r="98" spans="1:34" s="478" customFormat="1" ht="27" customHeight="1">
      <c r="A98" s="30"/>
      <c r="B98" s="801"/>
      <c r="C98" s="621" t="s">
        <v>1772</v>
      </c>
      <c r="D98" s="622" t="s">
        <v>1496</v>
      </c>
      <c r="E98" s="651">
        <v>100</v>
      </c>
      <c r="F98" s="651">
        <v>100</v>
      </c>
      <c r="G98" s="651">
        <v>100</v>
      </c>
      <c r="H98" s="651">
        <v>90</v>
      </c>
      <c r="I98" s="651">
        <v>100</v>
      </c>
      <c r="J98" s="651">
        <v>100</v>
      </c>
      <c r="K98" s="651">
        <v>100</v>
      </c>
      <c r="L98" s="651">
        <v>100</v>
      </c>
      <c r="M98" s="651">
        <v>90</v>
      </c>
      <c r="N98" s="651">
        <v>100</v>
      </c>
      <c r="O98" s="651">
        <v>90</v>
      </c>
      <c r="P98" s="651">
        <v>100</v>
      </c>
      <c r="Q98" s="651">
        <v>100</v>
      </c>
      <c r="R98" s="651">
        <v>100</v>
      </c>
      <c r="S98" s="651">
        <v>100</v>
      </c>
      <c r="T98" s="651">
        <v>100</v>
      </c>
      <c r="U98" s="651">
        <v>100</v>
      </c>
      <c r="V98" s="651">
        <v>80</v>
      </c>
      <c r="W98" s="651">
        <v>100</v>
      </c>
      <c r="X98" s="651">
        <v>100</v>
      </c>
      <c r="Y98" s="651">
        <v>100</v>
      </c>
      <c r="Z98" s="651">
        <v>80</v>
      </c>
      <c r="AA98" s="651">
        <v>100</v>
      </c>
      <c r="AB98" s="651">
        <v>100</v>
      </c>
      <c r="AC98" s="98"/>
      <c r="AD98" s="98"/>
      <c r="AE98" s="98"/>
      <c r="AF98" s="98"/>
      <c r="AG98" s="98"/>
      <c r="AH98" s="98"/>
    </row>
    <row r="99" spans="1:34" s="478" customFormat="1" ht="27" hidden="1" customHeight="1">
      <c r="A99" s="30"/>
      <c r="B99" s="801"/>
      <c r="C99" s="74"/>
      <c r="D99" s="72"/>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row>
    <row r="100" spans="1:34" s="478" customFormat="1" ht="27" hidden="1" customHeight="1">
      <c r="A100" s="30"/>
      <c r="B100" s="801"/>
      <c r="C100" s="74"/>
      <c r="D100" s="72"/>
      <c r="E100" s="98"/>
      <c r="F100" s="98"/>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row>
    <row r="101" spans="1:34" s="478" customFormat="1" ht="27" hidden="1" customHeight="1">
      <c r="A101" s="30"/>
      <c r="B101" s="801"/>
      <c r="C101" s="74"/>
      <c r="D101" s="72"/>
      <c r="E101" s="98"/>
      <c r="F101" s="98"/>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row>
    <row r="102" spans="1:34" ht="27" hidden="1" customHeight="1">
      <c r="A102" s="30"/>
      <c r="B102" s="801"/>
      <c r="C102" s="74"/>
      <c r="D102" s="72"/>
      <c r="E102" s="98"/>
      <c r="F102" s="98"/>
      <c r="G102" s="98"/>
      <c r="H102" s="98"/>
      <c r="I102" s="98"/>
      <c r="J102" s="98"/>
      <c r="K102" s="98"/>
      <c r="L102" s="98"/>
      <c r="M102" s="98"/>
      <c r="N102" s="98"/>
      <c r="O102" s="98"/>
      <c r="P102" s="98"/>
      <c r="Q102" s="98"/>
      <c r="R102" s="98"/>
      <c r="S102" s="98"/>
      <c r="T102" s="98"/>
      <c r="U102" s="98"/>
      <c r="V102" s="98"/>
      <c r="W102" s="98"/>
      <c r="X102" s="98"/>
      <c r="Y102" s="98"/>
      <c r="Z102" s="98"/>
      <c r="AA102" s="98"/>
      <c r="AB102" s="98"/>
      <c r="AC102" s="98"/>
      <c r="AD102" s="98"/>
      <c r="AE102" s="98"/>
      <c r="AF102" s="98"/>
      <c r="AG102" s="98"/>
      <c r="AH102" s="98"/>
    </row>
    <row r="103" spans="1:34" ht="27" hidden="1" customHeight="1">
      <c r="A103" s="30"/>
      <c r="B103" s="801"/>
      <c r="C103" s="74"/>
      <c r="D103" s="72"/>
      <c r="E103" s="98"/>
      <c r="F103" s="98"/>
      <c r="G103" s="98"/>
      <c r="H103" s="98"/>
      <c r="I103" s="98"/>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row>
    <row r="104" spans="1:34" ht="27" hidden="1" customHeight="1">
      <c r="A104" s="30"/>
      <c r="B104" s="801"/>
      <c r="C104" s="74"/>
      <c r="D104" s="72"/>
      <c r="E104" s="98"/>
      <c r="F104" s="98"/>
      <c r="G104" s="98"/>
      <c r="H104" s="98"/>
      <c r="I104" s="98"/>
      <c r="J104" s="98"/>
      <c r="K104" s="98"/>
      <c r="L104" s="98"/>
      <c r="M104" s="98"/>
      <c r="N104" s="98"/>
      <c r="O104" s="98"/>
      <c r="P104" s="98"/>
      <c r="Q104" s="98"/>
      <c r="R104" s="98"/>
      <c r="S104" s="98"/>
      <c r="T104" s="98"/>
      <c r="U104" s="98"/>
      <c r="V104" s="98"/>
      <c r="W104" s="98"/>
      <c r="X104" s="98"/>
      <c r="Y104" s="98"/>
      <c r="Z104" s="98"/>
      <c r="AA104" s="98"/>
      <c r="AB104" s="98"/>
      <c r="AC104" s="98"/>
      <c r="AD104" s="98"/>
      <c r="AE104" s="98"/>
      <c r="AF104" s="98"/>
      <c r="AG104" s="98"/>
      <c r="AH104" s="98"/>
    </row>
    <row r="105" spans="1:34" ht="27" hidden="1" customHeight="1">
      <c r="A105" s="30"/>
      <c r="B105" s="801"/>
      <c r="C105" s="74"/>
      <c r="D105" s="72"/>
      <c r="E105" s="98"/>
      <c r="F105" s="98"/>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row>
    <row r="106" spans="1:34" ht="27" hidden="1" customHeight="1">
      <c r="A106" s="30"/>
      <c r="B106" s="801"/>
      <c r="C106" s="74"/>
      <c r="D106" s="72"/>
      <c r="E106" s="98"/>
      <c r="F106" s="98"/>
      <c r="G106" s="98"/>
      <c r="H106" s="98"/>
      <c r="I106" s="98"/>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row>
    <row r="107" spans="1:34" ht="27" hidden="1" customHeight="1">
      <c r="A107" s="30"/>
      <c r="B107" s="802"/>
      <c r="C107" s="74"/>
      <c r="D107" s="72"/>
      <c r="E107" s="98"/>
      <c r="F107" s="98"/>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row>
    <row r="108" spans="1:34" ht="27" customHeight="1">
      <c r="A108" s="30"/>
      <c r="B108" s="794">
        <v>6</v>
      </c>
      <c r="C108" s="811" t="s">
        <v>1824</v>
      </c>
      <c r="D108" s="812"/>
      <c r="E108" s="97">
        <f>IFERROR(AVERAGE(E109:E124),"")</f>
        <v>97.666666666666671</v>
      </c>
      <c r="F108" s="97">
        <f t="shared" ref="F108:AB108" si="10">IFERROR(AVERAGE(F109:F124),"")</f>
        <v>96.666666666666671</v>
      </c>
      <c r="G108" s="97">
        <f t="shared" si="10"/>
        <v>96.25</v>
      </c>
      <c r="H108" s="97">
        <f t="shared" si="10"/>
        <v>95.9375</v>
      </c>
      <c r="I108" s="97">
        <f t="shared" si="10"/>
        <v>97.857142857142861</v>
      </c>
      <c r="J108" s="97">
        <f t="shared" si="10"/>
        <v>96.875</v>
      </c>
      <c r="K108" s="97">
        <f t="shared" si="10"/>
        <v>98.75</v>
      </c>
      <c r="L108" s="97">
        <f t="shared" si="10"/>
        <v>96.5625</v>
      </c>
      <c r="M108" s="97">
        <f t="shared" si="10"/>
        <v>96.25</v>
      </c>
      <c r="N108" s="97">
        <f t="shared" si="10"/>
        <v>100</v>
      </c>
      <c r="O108" s="97">
        <f t="shared" si="10"/>
        <v>98.75</v>
      </c>
      <c r="P108" s="97">
        <f t="shared" si="10"/>
        <v>98.75</v>
      </c>
      <c r="Q108" s="97">
        <f t="shared" si="10"/>
        <v>98.4375</v>
      </c>
      <c r="R108" s="97">
        <f t="shared" si="10"/>
        <v>98.125</v>
      </c>
      <c r="S108" s="97">
        <f t="shared" si="10"/>
        <v>96.071428571428569</v>
      </c>
      <c r="T108" s="97">
        <f t="shared" si="10"/>
        <v>95.3125</v>
      </c>
      <c r="U108" s="97">
        <f t="shared" si="10"/>
        <v>99.375</v>
      </c>
      <c r="V108" s="97">
        <f t="shared" si="10"/>
        <v>95.3125</v>
      </c>
      <c r="W108" s="97">
        <f t="shared" si="10"/>
        <v>96</v>
      </c>
      <c r="X108" s="97">
        <f t="shared" si="10"/>
        <v>91.25</v>
      </c>
      <c r="Y108" s="97">
        <f t="shared" si="10"/>
        <v>97.5</v>
      </c>
      <c r="Z108" s="97">
        <f t="shared" si="10"/>
        <v>98.928571428571431</v>
      </c>
      <c r="AA108" s="97">
        <f t="shared" si="10"/>
        <v>97.5</v>
      </c>
      <c r="AB108" s="97">
        <f t="shared" si="10"/>
        <v>95</v>
      </c>
      <c r="AC108" s="97" t="str">
        <f t="shared" ref="AC108:AH108" si="11">IFERROR(AVERAGE(AC109:AC131),"")</f>
        <v/>
      </c>
      <c r="AD108" s="97" t="str">
        <f t="shared" si="11"/>
        <v/>
      </c>
      <c r="AE108" s="97" t="str">
        <f t="shared" si="11"/>
        <v/>
      </c>
      <c r="AF108" s="97" t="str">
        <f t="shared" si="11"/>
        <v/>
      </c>
      <c r="AG108" s="97" t="str">
        <f t="shared" si="11"/>
        <v/>
      </c>
      <c r="AH108" s="97" t="str">
        <f t="shared" si="11"/>
        <v/>
      </c>
    </row>
    <row r="109" spans="1:34" ht="27" customHeight="1">
      <c r="A109" s="30"/>
      <c r="B109" s="794"/>
      <c r="C109" s="623" t="s">
        <v>1774</v>
      </c>
      <c r="D109" s="624" t="s">
        <v>1678</v>
      </c>
      <c r="E109" s="644">
        <v>90</v>
      </c>
      <c r="F109" s="644">
        <v>100</v>
      </c>
      <c r="G109" s="644">
        <v>100</v>
      </c>
      <c r="H109" s="644">
        <v>80</v>
      </c>
      <c r="I109" s="644">
        <v>100</v>
      </c>
      <c r="J109" s="644">
        <v>100</v>
      </c>
      <c r="K109" s="644">
        <v>100</v>
      </c>
      <c r="L109" s="644">
        <v>80</v>
      </c>
      <c r="M109" s="644">
        <v>100</v>
      </c>
      <c r="N109" s="644">
        <v>100</v>
      </c>
      <c r="O109" s="644">
        <v>100</v>
      </c>
      <c r="P109" s="644">
        <v>100</v>
      </c>
      <c r="Q109" s="644">
        <v>100</v>
      </c>
      <c r="R109" s="644">
        <v>90</v>
      </c>
      <c r="S109" s="644">
        <v>100</v>
      </c>
      <c r="T109" s="644">
        <v>90</v>
      </c>
      <c r="U109" s="644">
        <v>100</v>
      </c>
      <c r="V109" s="644">
        <v>80</v>
      </c>
      <c r="W109" s="644">
        <v>100</v>
      </c>
      <c r="X109" s="644">
        <v>95</v>
      </c>
      <c r="Y109" s="644">
        <v>100</v>
      </c>
      <c r="Z109" s="644">
        <v>100</v>
      </c>
      <c r="AA109" s="644">
        <v>100</v>
      </c>
      <c r="AB109" s="644">
        <v>100</v>
      </c>
      <c r="AC109" s="98"/>
      <c r="AD109" s="98"/>
      <c r="AE109" s="98"/>
      <c r="AF109" s="98"/>
      <c r="AG109" s="98"/>
      <c r="AH109" s="98"/>
    </row>
    <row r="110" spans="1:34" s="478" customFormat="1" ht="27" customHeight="1">
      <c r="A110" s="30"/>
      <c r="B110" s="794"/>
      <c r="C110" s="625" t="s">
        <v>1775</v>
      </c>
      <c r="D110" s="616" t="s">
        <v>1681</v>
      </c>
      <c r="E110" s="644">
        <v>100</v>
      </c>
      <c r="F110" s="644">
        <v>90</v>
      </c>
      <c r="G110" s="644">
        <v>100</v>
      </c>
      <c r="H110" s="644">
        <v>100</v>
      </c>
      <c r="I110" s="644">
        <v>100</v>
      </c>
      <c r="J110" s="644">
        <v>100</v>
      </c>
      <c r="K110" s="644">
        <v>95</v>
      </c>
      <c r="L110" s="644">
        <v>100</v>
      </c>
      <c r="M110" s="644">
        <v>95</v>
      </c>
      <c r="N110" s="644">
        <v>100</v>
      </c>
      <c r="O110" s="644">
        <v>95</v>
      </c>
      <c r="P110" s="644">
        <v>100</v>
      </c>
      <c r="Q110" s="644">
        <v>95</v>
      </c>
      <c r="R110" s="644">
        <v>100</v>
      </c>
      <c r="S110" s="644">
        <v>90</v>
      </c>
      <c r="T110" s="644">
        <v>90</v>
      </c>
      <c r="U110" s="644">
        <v>90</v>
      </c>
      <c r="V110" s="644">
        <v>100</v>
      </c>
      <c r="W110" s="644">
        <v>100</v>
      </c>
      <c r="X110" s="644">
        <v>100</v>
      </c>
      <c r="Y110" s="644">
        <v>100</v>
      </c>
      <c r="Z110" s="644">
        <v>100</v>
      </c>
      <c r="AA110" s="644">
        <v>100</v>
      </c>
      <c r="AB110" s="644">
        <v>100</v>
      </c>
      <c r="AC110" s="98"/>
      <c r="AD110" s="98"/>
      <c r="AE110" s="98"/>
      <c r="AF110" s="98"/>
      <c r="AG110" s="98"/>
      <c r="AH110" s="98"/>
    </row>
    <row r="111" spans="1:34" s="478" customFormat="1" ht="27" customHeight="1">
      <c r="A111" s="30"/>
      <c r="B111" s="794"/>
      <c r="C111" s="615" t="s">
        <v>1776</v>
      </c>
      <c r="D111" s="616" t="s">
        <v>1412</v>
      </c>
      <c r="E111" s="644">
        <v>95</v>
      </c>
      <c r="F111" s="644"/>
      <c r="G111" s="644">
        <v>90</v>
      </c>
      <c r="H111" s="644">
        <v>100</v>
      </c>
      <c r="I111" s="644">
        <v>100</v>
      </c>
      <c r="J111" s="644">
        <v>100</v>
      </c>
      <c r="K111" s="644">
        <v>100</v>
      </c>
      <c r="L111" s="644">
        <v>85</v>
      </c>
      <c r="M111" s="644">
        <v>95</v>
      </c>
      <c r="N111" s="644">
        <v>100</v>
      </c>
      <c r="O111" s="644">
        <v>100</v>
      </c>
      <c r="P111" s="644">
        <v>95</v>
      </c>
      <c r="Q111" s="644">
        <v>100</v>
      </c>
      <c r="R111" s="644">
        <v>95</v>
      </c>
      <c r="S111" s="644">
        <v>95</v>
      </c>
      <c r="T111" s="644">
        <v>95</v>
      </c>
      <c r="U111" s="644">
        <v>100</v>
      </c>
      <c r="V111" s="644">
        <v>100</v>
      </c>
      <c r="W111" s="644">
        <v>90</v>
      </c>
      <c r="X111" s="644">
        <v>100</v>
      </c>
      <c r="Y111" s="644">
        <v>100</v>
      </c>
      <c r="Z111" s="644">
        <v>100</v>
      </c>
      <c r="AA111" s="644">
        <v>100</v>
      </c>
      <c r="AB111" s="644">
        <v>95</v>
      </c>
      <c r="AC111" s="98"/>
      <c r="AD111" s="98"/>
      <c r="AE111" s="98"/>
      <c r="AF111" s="98"/>
      <c r="AG111" s="98"/>
      <c r="AH111" s="98"/>
    </row>
    <row r="112" spans="1:34" s="478" customFormat="1" ht="27" customHeight="1">
      <c r="A112" s="30"/>
      <c r="B112" s="794"/>
      <c r="C112" s="617" t="s">
        <v>1777</v>
      </c>
      <c r="D112" s="618" t="s">
        <v>1413</v>
      </c>
      <c r="E112" s="644">
        <v>95</v>
      </c>
      <c r="F112" s="644"/>
      <c r="G112" s="644">
        <v>100</v>
      </c>
      <c r="H112" s="644">
        <v>100</v>
      </c>
      <c r="I112" s="644">
        <v>100</v>
      </c>
      <c r="J112" s="644">
        <v>100</v>
      </c>
      <c r="K112" s="644">
        <v>95</v>
      </c>
      <c r="L112" s="644">
        <v>100</v>
      </c>
      <c r="M112" s="644">
        <v>100</v>
      </c>
      <c r="N112" s="644">
        <v>100</v>
      </c>
      <c r="O112" s="644">
        <v>100</v>
      </c>
      <c r="P112" s="644">
        <v>90</v>
      </c>
      <c r="Q112" s="644">
        <v>100</v>
      </c>
      <c r="R112" s="644">
        <v>90</v>
      </c>
      <c r="S112" s="644">
        <v>70</v>
      </c>
      <c r="T112" s="644">
        <v>90</v>
      </c>
      <c r="U112" s="644">
        <v>100</v>
      </c>
      <c r="V112" s="644">
        <v>100</v>
      </c>
      <c r="W112" s="644">
        <v>90</v>
      </c>
      <c r="X112" s="644">
        <v>80</v>
      </c>
      <c r="Y112" s="644">
        <v>90</v>
      </c>
      <c r="Z112" s="644">
        <v>100</v>
      </c>
      <c r="AA112" s="644">
        <v>100</v>
      </c>
      <c r="AB112" s="644">
        <v>90</v>
      </c>
      <c r="AC112" s="98"/>
      <c r="AD112" s="98"/>
      <c r="AE112" s="98"/>
      <c r="AF112" s="98"/>
      <c r="AG112" s="98"/>
      <c r="AH112" s="98"/>
    </row>
    <row r="113" spans="1:34" s="478" customFormat="1" ht="27" customHeight="1">
      <c r="A113" s="30"/>
      <c r="B113" s="794"/>
      <c r="C113" s="620" t="s">
        <v>1778</v>
      </c>
      <c r="D113" s="618" t="s">
        <v>1711</v>
      </c>
      <c r="E113" s="672">
        <v>100</v>
      </c>
      <c r="F113" s="672">
        <v>100</v>
      </c>
      <c r="G113" s="672">
        <v>100</v>
      </c>
      <c r="H113" s="672">
        <v>100</v>
      </c>
      <c r="I113" s="672">
        <v>100</v>
      </c>
      <c r="J113" s="672">
        <v>100</v>
      </c>
      <c r="K113" s="672">
        <v>100</v>
      </c>
      <c r="L113" s="672">
        <v>90</v>
      </c>
      <c r="M113" s="672">
        <v>100</v>
      </c>
      <c r="N113" s="672">
        <v>100</v>
      </c>
      <c r="O113" s="672">
        <v>100</v>
      </c>
      <c r="P113" s="672">
        <v>100</v>
      </c>
      <c r="Q113" s="672">
        <v>100</v>
      </c>
      <c r="R113" s="672">
        <v>100</v>
      </c>
      <c r="S113" s="672">
        <v>100</v>
      </c>
      <c r="T113" s="672">
        <v>100</v>
      </c>
      <c r="U113" s="672">
        <v>100</v>
      </c>
      <c r="V113" s="672">
        <v>100</v>
      </c>
      <c r="W113" s="672">
        <v>100</v>
      </c>
      <c r="X113" s="672">
        <v>100</v>
      </c>
      <c r="Y113" s="672">
        <v>100</v>
      </c>
      <c r="Z113" s="672">
        <v>100</v>
      </c>
      <c r="AA113" s="672">
        <v>100</v>
      </c>
      <c r="AB113" s="672">
        <v>100</v>
      </c>
      <c r="AC113" s="98"/>
      <c r="AD113" s="98"/>
      <c r="AE113" s="98"/>
      <c r="AF113" s="98"/>
      <c r="AG113" s="98"/>
      <c r="AH113" s="98"/>
    </row>
    <row r="114" spans="1:34" s="478" customFormat="1" ht="27" customHeight="1">
      <c r="A114" s="30"/>
      <c r="B114" s="794"/>
      <c r="C114" s="617" t="s">
        <v>1779</v>
      </c>
      <c r="D114" s="618" t="s">
        <v>1780</v>
      </c>
      <c r="E114" s="98">
        <v>100</v>
      </c>
      <c r="F114" s="98">
        <v>100</v>
      </c>
      <c r="G114" s="98">
        <v>100</v>
      </c>
      <c r="H114" s="98">
        <v>100</v>
      </c>
      <c r="I114" s="98">
        <v>100</v>
      </c>
      <c r="J114" s="98">
        <v>100</v>
      </c>
      <c r="K114" s="98">
        <v>100</v>
      </c>
      <c r="L114" s="98">
        <v>100</v>
      </c>
      <c r="M114" s="98">
        <v>100</v>
      </c>
      <c r="N114" s="98">
        <v>100</v>
      </c>
      <c r="O114" s="98">
        <v>100</v>
      </c>
      <c r="P114" s="98">
        <v>100</v>
      </c>
      <c r="Q114" s="98">
        <v>100</v>
      </c>
      <c r="R114" s="98">
        <v>100</v>
      </c>
      <c r="S114" s="98">
        <v>100</v>
      </c>
      <c r="T114" s="98">
        <v>100</v>
      </c>
      <c r="U114" s="98">
        <v>100</v>
      </c>
      <c r="V114" s="98">
        <v>100</v>
      </c>
      <c r="W114" s="98">
        <v>100</v>
      </c>
      <c r="X114" s="98">
        <v>100</v>
      </c>
      <c r="Y114" s="98">
        <v>100</v>
      </c>
      <c r="Z114" s="98">
        <v>100</v>
      </c>
      <c r="AA114" s="98">
        <v>100</v>
      </c>
      <c r="AB114" s="98">
        <v>100</v>
      </c>
      <c r="AC114" s="98"/>
      <c r="AD114" s="98"/>
      <c r="AE114" s="98"/>
      <c r="AF114" s="98"/>
      <c r="AG114" s="98"/>
      <c r="AH114" s="98"/>
    </row>
    <row r="115" spans="1:34" s="478" customFormat="1" ht="27" customHeight="1">
      <c r="A115" s="30"/>
      <c r="B115" s="794"/>
      <c r="C115" s="617" t="s">
        <v>1781</v>
      </c>
      <c r="D115" s="618" t="s">
        <v>1455</v>
      </c>
      <c r="E115" s="672">
        <v>100</v>
      </c>
      <c r="F115" s="672">
        <v>100</v>
      </c>
      <c r="G115" s="672">
        <v>95</v>
      </c>
      <c r="H115" s="672">
        <v>90</v>
      </c>
      <c r="I115" s="672">
        <v>90</v>
      </c>
      <c r="J115" s="672">
        <v>90</v>
      </c>
      <c r="K115" s="672">
        <v>100</v>
      </c>
      <c r="L115" s="672">
        <v>100</v>
      </c>
      <c r="M115" s="672">
        <v>100</v>
      </c>
      <c r="N115" s="672">
        <v>100</v>
      </c>
      <c r="O115" s="672">
        <v>100</v>
      </c>
      <c r="P115" s="672">
        <v>100</v>
      </c>
      <c r="Q115" s="672">
        <v>90</v>
      </c>
      <c r="R115" s="672">
        <v>100</v>
      </c>
      <c r="S115" s="672">
        <v>100</v>
      </c>
      <c r="T115" s="672">
        <v>90</v>
      </c>
      <c r="U115" s="672">
        <v>100</v>
      </c>
      <c r="V115" s="672">
        <v>95</v>
      </c>
      <c r="W115" s="672">
        <v>100</v>
      </c>
      <c r="X115" s="672">
        <v>90</v>
      </c>
      <c r="Y115" s="672">
        <v>90</v>
      </c>
      <c r="Z115" s="672">
        <v>100</v>
      </c>
      <c r="AA115" s="672">
        <v>100</v>
      </c>
      <c r="AB115" s="672">
        <v>95</v>
      </c>
      <c r="AC115" s="98"/>
      <c r="AD115" s="98"/>
      <c r="AE115" s="98"/>
      <c r="AF115" s="98"/>
      <c r="AG115" s="98"/>
      <c r="AH115" s="98"/>
    </row>
    <row r="116" spans="1:34" s="478" customFormat="1" ht="27" customHeight="1">
      <c r="A116" s="30"/>
      <c r="B116" s="794"/>
      <c r="C116" s="617" t="s">
        <v>1782</v>
      </c>
      <c r="D116" s="618" t="s">
        <v>1457</v>
      </c>
      <c r="E116" s="672">
        <v>100</v>
      </c>
      <c r="F116" s="672">
        <v>100</v>
      </c>
      <c r="G116" s="672">
        <v>95</v>
      </c>
      <c r="H116" s="672">
        <v>95</v>
      </c>
      <c r="I116" s="672">
        <v>100</v>
      </c>
      <c r="J116" s="672">
        <v>100</v>
      </c>
      <c r="K116" s="672">
        <v>100</v>
      </c>
      <c r="L116" s="672">
        <v>100</v>
      </c>
      <c r="M116" s="672">
        <v>90</v>
      </c>
      <c r="N116" s="672">
        <v>100</v>
      </c>
      <c r="O116" s="672">
        <v>95</v>
      </c>
      <c r="P116" s="672">
        <v>100</v>
      </c>
      <c r="Q116" s="672">
        <v>90</v>
      </c>
      <c r="R116" s="672">
        <v>100</v>
      </c>
      <c r="S116" s="672"/>
      <c r="T116" s="672">
        <v>100</v>
      </c>
      <c r="U116" s="672">
        <v>100</v>
      </c>
      <c r="V116" s="672">
        <v>100</v>
      </c>
      <c r="W116" s="672">
        <v>90</v>
      </c>
      <c r="X116" s="672">
        <v>90</v>
      </c>
      <c r="Y116" s="672">
        <v>100</v>
      </c>
      <c r="Z116" s="672">
        <v>95</v>
      </c>
      <c r="AA116" s="672">
        <v>100</v>
      </c>
      <c r="AB116" s="672">
        <v>80</v>
      </c>
      <c r="AC116" s="98"/>
      <c r="AD116" s="98"/>
      <c r="AE116" s="98"/>
      <c r="AF116" s="98"/>
      <c r="AG116" s="98"/>
      <c r="AH116" s="98"/>
    </row>
    <row r="117" spans="1:34" s="478" customFormat="1" ht="27" customHeight="1">
      <c r="A117" s="30"/>
      <c r="B117" s="794"/>
      <c r="C117" s="617" t="s">
        <v>1783</v>
      </c>
      <c r="D117" s="618" t="s">
        <v>1717</v>
      </c>
      <c r="E117" s="654">
        <v>100</v>
      </c>
      <c r="F117" s="654"/>
      <c r="G117" s="654">
        <v>90</v>
      </c>
      <c r="H117" s="654">
        <v>100</v>
      </c>
      <c r="I117" s="654">
        <v>100</v>
      </c>
      <c r="J117" s="654">
        <v>100</v>
      </c>
      <c r="K117" s="654">
        <v>100</v>
      </c>
      <c r="L117" s="654">
        <v>100</v>
      </c>
      <c r="M117" s="654">
        <v>90</v>
      </c>
      <c r="N117" s="654">
        <v>100</v>
      </c>
      <c r="O117" s="654">
        <v>100</v>
      </c>
      <c r="P117" s="654">
        <v>100</v>
      </c>
      <c r="Q117" s="654">
        <v>100</v>
      </c>
      <c r="R117" s="654">
        <v>100</v>
      </c>
      <c r="S117" s="654">
        <v>100</v>
      </c>
      <c r="T117" s="654">
        <v>100</v>
      </c>
      <c r="U117" s="654">
        <v>100</v>
      </c>
      <c r="V117" s="654">
        <v>90</v>
      </c>
      <c r="W117" s="654">
        <v>100</v>
      </c>
      <c r="X117" s="654">
        <v>80</v>
      </c>
      <c r="Y117" s="654">
        <v>90</v>
      </c>
      <c r="Z117" s="654">
        <v>100</v>
      </c>
      <c r="AA117" s="654">
        <v>100</v>
      </c>
      <c r="AB117" s="654">
        <v>90</v>
      </c>
      <c r="AC117" s="98"/>
      <c r="AD117" s="98"/>
      <c r="AE117" s="98"/>
      <c r="AF117" s="98"/>
      <c r="AG117" s="98"/>
      <c r="AH117" s="98"/>
    </row>
    <row r="118" spans="1:34" s="478" customFormat="1" ht="27" customHeight="1">
      <c r="A118" s="30"/>
      <c r="B118" s="794"/>
      <c r="C118" s="617" t="s">
        <v>1784</v>
      </c>
      <c r="D118" s="618" t="s">
        <v>1720</v>
      </c>
      <c r="E118" s="654">
        <v>95</v>
      </c>
      <c r="F118" s="654"/>
      <c r="G118" s="654">
        <v>95</v>
      </c>
      <c r="H118" s="654">
        <v>100</v>
      </c>
      <c r="I118" s="654">
        <v>100</v>
      </c>
      <c r="J118" s="654">
        <v>100</v>
      </c>
      <c r="K118" s="654">
        <v>100</v>
      </c>
      <c r="L118" s="654">
        <v>100</v>
      </c>
      <c r="M118" s="654">
        <v>95</v>
      </c>
      <c r="N118" s="654">
        <v>100</v>
      </c>
      <c r="O118" s="654">
        <v>100</v>
      </c>
      <c r="P118" s="654">
        <v>100</v>
      </c>
      <c r="Q118" s="654">
        <v>100</v>
      </c>
      <c r="R118" s="654">
        <v>100</v>
      </c>
      <c r="S118" s="654">
        <v>100</v>
      </c>
      <c r="T118" s="654">
        <v>100</v>
      </c>
      <c r="U118" s="654">
        <v>100</v>
      </c>
      <c r="V118" s="654">
        <v>100</v>
      </c>
      <c r="W118" s="654">
        <v>90</v>
      </c>
      <c r="X118" s="654">
        <v>100</v>
      </c>
      <c r="Y118" s="654">
        <v>100</v>
      </c>
      <c r="Z118" s="654">
        <v>100</v>
      </c>
      <c r="AA118" s="654">
        <v>100</v>
      </c>
      <c r="AB118" s="654">
        <v>95</v>
      </c>
      <c r="AC118" s="98"/>
      <c r="AD118" s="98"/>
      <c r="AE118" s="98"/>
      <c r="AF118" s="98"/>
      <c r="AG118" s="98"/>
      <c r="AH118" s="98"/>
    </row>
    <row r="119" spans="1:34" s="478" customFormat="1" ht="27" customHeight="1">
      <c r="A119" s="30"/>
      <c r="B119" s="794"/>
      <c r="C119" s="617" t="s">
        <v>1785</v>
      </c>
      <c r="D119" s="618" t="s">
        <v>1463</v>
      </c>
      <c r="E119" s="654">
        <v>90</v>
      </c>
      <c r="F119" s="654">
        <v>90</v>
      </c>
      <c r="G119" s="654">
        <v>100</v>
      </c>
      <c r="H119" s="654">
        <v>80</v>
      </c>
      <c r="I119" s="654">
        <v>90</v>
      </c>
      <c r="J119" s="654">
        <v>80</v>
      </c>
      <c r="K119" s="654">
        <v>90</v>
      </c>
      <c r="L119" s="654">
        <v>90</v>
      </c>
      <c r="M119" s="654">
        <v>90</v>
      </c>
      <c r="N119" s="654">
        <v>100</v>
      </c>
      <c r="O119" s="654">
        <v>100</v>
      </c>
      <c r="P119" s="654">
        <v>100</v>
      </c>
      <c r="Q119" s="654">
        <v>100</v>
      </c>
      <c r="R119" s="654">
        <v>100</v>
      </c>
      <c r="S119" s="654">
        <v>90</v>
      </c>
      <c r="T119" s="654">
        <v>100</v>
      </c>
      <c r="U119" s="654">
        <v>100</v>
      </c>
      <c r="V119" s="654">
        <v>90</v>
      </c>
      <c r="W119" s="654"/>
      <c r="X119" s="654">
        <v>90</v>
      </c>
      <c r="Y119" s="654">
        <v>90</v>
      </c>
      <c r="Z119" s="654"/>
      <c r="AA119" s="654">
        <v>100</v>
      </c>
      <c r="AB119" s="654">
        <v>100</v>
      </c>
      <c r="AC119" s="98"/>
      <c r="AD119" s="98"/>
      <c r="AE119" s="98"/>
      <c r="AF119" s="98"/>
      <c r="AG119" s="98"/>
      <c r="AH119" s="98"/>
    </row>
    <row r="120" spans="1:34" s="478" customFormat="1" ht="34.5" customHeight="1">
      <c r="A120" s="30"/>
      <c r="B120" s="794"/>
      <c r="C120" s="617" t="s">
        <v>1786</v>
      </c>
      <c r="D120" s="618" t="s">
        <v>1465</v>
      </c>
      <c r="E120" s="654"/>
      <c r="F120" s="654">
        <v>90</v>
      </c>
      <c r="G120" s="654">
        <v>100</v>
      </c>
      <c r="H120" s="654">
        <v>90</v>
      </c>
      <c r="I120" s="654">
        <v>90</v>
      </c>
      <c r="J120" s="654">
        <v>80</v>
      </c>
      <c r="K120" s="654">
        <v>100</v>
      </c>
      <c r="L120" s="654">
        <v>100</v>
      </c>
      <c r="M120" s="654">
        <v>90</v>
      </c>
      <c r="N120" s="654">
        <v>100</v>
      </c>
      <c r="O120" s="654">
        <v>90</v>
      </c>
      <c r="P120" s="654">
        <v>95</v>
      </c>
      <c r="Q120" s="654">
        <v>100</v>
      </c>
      <c r="R120" s="654">
        <v>100</v>
      </c>
      <c r="S120" s="654"/>
      <c r="T120" s="654">
        <v>80</v>
      </c>
      <c r="U120" s="654">
        <v>100</v>
      </c>
      <c r="V120" s="654">
        <v>100</v>
      </c>
      <c r="W120" s="654"/>
      <c r="X120" s="654">
        <v>80</v>
      </c>
      <c r="Y120" s="654">
        <v>100</v>
      </c>
      <c r="Z120" s="654"/>
      <c r="AA120" s="654">
        <v>60</v>
      </c>
      <c r="AB120" s="654">
        <v>100</v>
      </c>
      <c r="AC120" s="98"/>
      <c r="AD120" s="98"/>
      <c r="AE120" s="98"/>
      <c r="AF120" s="98"/>
      <c r="AG120" s="98"/>
      <c r="AH120" s="98"/>
    </row>
    <row r="121" spans="1:34" s="478" customFormat="1" ht="36.75" customHeight="1">
      <c r="A121" s="30"/>
      <c r="B121" s="794"/>
      <c r="C121" s="617" t="s">
        <v>1787</v>
      </c>
      <c r="D121" s="618" t="s">
        <v>1726</v>
      </c>
      <c r="E121" s="628">
        <v>100</v>
      </c>
      <c r="F121" s="628">
        <v>90</v>
      </c>
      <c r="G121" s="628">
        <v>90</v>
      </c>
      <c r="H121" s="628">
        <v>100</v>
      </c>
      <c r="I121" s="628">
        <v>100</v>
      </c>
      <c r="J121" s="628">
        <v>100</v>
      </c>
      <c r="K121" s="628">
        <v>100</v>
      </c>
      <c r="L121" s="628">
        <v>100</v>
      </c>
      <c r="M121" s="628">
        <v>100</v>
      </c>
      <c r="N121" s="628">
        <v>100</v>
      </c>
      <c r="O121" s="628">
        <v>100</v>
      </c>
      <c r="P121" s="628">
        <v>100</v>
      </c>
      <c r="Q121" s="628">
        <v>100</v>
      </c>
      <c r="R121" s="628">
        <v>100</v>
      </c>
      <c r="S121" s="628">
        <v>100</v>
      </c>
      <c r="T121" s="628">
        <v>95</v>
      </c>
      <c r="U121" s="628">
        <v>100</v>
      </c>
      <c r="V121" s="628">
        <v>90</v>
      </c>
      <c r="W121" s="628"/>
      <c r="X121" s="628">
        <v>90</v>
      </c>
      <c r="Y121" s="628">
        <v>100</v>
      </c>
      <c r="Z121" s="628">
        <v>100</v>
      </c>
      <c r="AA121" s="628">
        <v>100</v>
      </c>
      <c r="AB121" s="628">
        <v>100</v>
      </c>
      <c r="AC121" s="98"/>
      <c r="AD121" s="98"/>
      <c r="AE121" s="98"/>
      <c r="AF121" s="98"/>
      <c r="AG121" s="98"/>
      <c r="AH121" s="98"/>
    </row>
    <row r="122" spans="1:34" s="478" customFormat="1" ht="40.5" customHeight="1">
      <c r="A122" s="30"/>
      <c r="B122" s="794"/>
      <c r="C122" s="617" t="s">
        <v>1788</v>
      </c>
      <c r="D122" s="618" t="s">
        <v>1729</v>
      </c>
      <c r="E122" s="628">
        <v>100</v>
      </c>
      <c r="F122" s="628">
        <v>100</v>
      </c>
      <c r="G122" s="628">
        <v>90</v>
      </c>
      <c r="H122" s="628">
        <v>100</v>
      </c>
      <c r="I122" s="628">
        <v>100</v>
      </c>
      <c r="J122" s="628">
        <v>100</v>
      </c>
      <c r="K122" s="628">
        <v>100</v>
      </c>
      <c r="L122" s="628">
        <v>100</v>
      </c>
      <c r="M122" s="628">
        <v>100</v>
      </c>
      <c r="N122" s="628">
        <v>100</v>
      </c>
      <c r="O122" s="628">
        <v>100</v>
      </c>
      <c r="P122" s="628">
        <v>100</v>
      </c>
      <c r="Q122" s="628">
        <v>100</v>
      </c>
      <c r="R122" s="628">
        <v>95</v>
      </c>
      <c r="S122" s="628">
        <v>100</v>
      </c>
      <c r="T122" s="628">
        <v>100</v>
      </c>
      <c r="U122" s="628">
        <v>100</v>
      </c>
      <c r="V122" s="628">
        <v>100</v>
      </c>
      <c r="W122" s="628"/>
      <c r="X122" s="628">
        <v>95</v>
      </c>
      <c r="Y122" s="628">
        <v>100</v>
      </c>
      <c r="Z122" s="628">
        <v>100</v>
      </c>
      <c r="AA122" s="628">
        <v>100</v>
      </c>
      <c r="AB122" s="628">
        <v>100</v>
      </c>
      <c r="AC122" s="98"/>
      <c r="AD122" s="98"/>
      <c r="AE122" s="98"/>
      <c r="AF122" s="98"/>
      <c r="AG122" s="98"/>
      <c r="AH122" s="98"/>
    </row>
    <row r="123" spans="1:34" s="478" customFormat="1" ht="39.75" customHeight="1">
      <c r="A123" s="30"/>
      <c r="B123" s="794"/>
      <c r="C123" s="617" t="s">
        <v>1789</v>
      </c>
      <c r="D123" s="618" t="s">
        <v>1470</v>
      </c>
      <c r="E123" s="628">
        <v>100</v>
      </c>
      <c r="F123" s="628">
        <v>100</v>
      </c>
      <c r="G123" s="628">
        <v>100</v>
      </c>
      <c r="H123" s="628">
        <v>100</v>
      </c>
      <c r="I123" s="628"/>
      <c r="J123" s="628">
        <v>100</v>
      </c>
      <c r="K123" s="628">
        <v>100</v>
      </c>
      <c r="L123" s="628">
        <v>100</v>
      </c>
      <c r="M123" s="628">
        <v>100</v>
      </c>
      <c r="N123" s="628">
        <v>100</v>
      </c>
      <c r="O123" s="628">
        <v>100</v>
      </c>
      <c r="P123" s="628">
        <v>100</v>
      </c>
      <c r="Q123" s="628">
        <v>100</v>
      </c>
      <c r="R123" s="628">
        <v>100</v>
      </c>
      <c r="S123" s="628">
        <v>100</v>
      </c>
      <c r="T123" s="628">
        <v>100</v>
      </c>
      <c r="U123" s="628">
        <v>100</v>
      </c>
      <c r="V123" s="628">
        <v>90</v>
      </c>
      <c r="W123" s="628"/>
      <c r="X123" s="628">
        <v>90</v>
      </c>
      <c r="Y123" s="628">
        <v>100</v>
      </c>
      <c r="Z123" s="628">
        <v>90</v>
      </c>
      <c r="AA123" s="628">
        <v>100</v>
      </c>
      <c r="AB123" s="628">
        <v>95</v>
      </c>
      <c r="AC123" s="98"/>
      <c r="AD123" s="98"/>
      <c r="AE123" s="98"/>
      <c r="AF123" s="98"/>
      <c r="AG123" s="98"/>
      <c r="AH123" s="98"/>
    </row>
    <row r="124" spans="1:34" s="478" customFormat="1" ht="39" customHeight="1">
      <c r="A124" s="30"/>
      <c r="B124" s="794"/>
      <c r="C124" s="617" t="s">
        <v>1790</v>
      </c>
      <c r="D124" s="618" t="s">
        <v>1472</v>
      </c>
      <c r="E124" s="628">
        <v>100</v>
      </c>
      <c r="F124" s="628">
        <v>100</v>
      </c>
      <c r="G124" s="628">
        <v>95</v>
      </c>
      <c r="H124" s="628">
        <v>100</v>
      </c>
      <c r="I124" s="628"/>
      <c r="J124" s="628">
        <v>100</v>
      </c>
      <c r="K124" s="628">
        <v>100</v>
      </c>
      <c r="L124" s="628">
        <v>100</v>
      </c>
      <c r="M124" s="628">
        <v>95</v>
      </c>
      <c r="N124" s="628">
        <v>100</v>
      </c>
      <c r="O124" s="628">
        <v>100</v>
      </c>
      <c r="P124" s="628">
        <v>100</v>
      </c>
      <c r="Q124" s="628">
        <v>100</v>
      </c>
      <c r="R124" s="628">
        <v>100</v>
      </c>
      <c r="S124" s="628">
        <v>100</v>
      </c>
      <c r="T124" s="628">
        <v>95</v>
      </c>
      <c r="U124" s="628">
        <v>100</v>
      </c>
      <c r="V124" s="628">
        <v>90</v>
      </c>
      <c r="W124" s="628"/>
      <c r="X124" s="628">
        <v>80</v>
      </c>
      <c r="Y124" s="628">
        <v>100</v>
      </c>
      <c r="Z124" s="628">
        <v>100</v>
      </c>
      <c r="AA124" s="628">
        <v>100</v>
      </c>
      <c r="AB124" s="628">
        <v>80</v>
      </c>
      <c r="AC124" s="98"/>
      <c r="AD124" s="98"/>
      <c r="AE124" s="98"/>
      <c r="AF124" s="98"/>
      <c r="AG124" s="98"/>
      <c r="AH124" s="98"/>
    </row>
    <row r="125" spans="1:34" ht="38.25" customHeight="1">
      <c r="A125" s="30"/>
      <c r="B125" s="794"/>
      <c r="C125" s="617" t="s">
        <v>1791</v>
      </c>
      <c r="D125" s="618" t="s">
        <v>1735</v>
      </c>
      <c r="E125" s="682">
        <v>100</v>
      </c>
      <c r="F125" s="682">
        <v>100</v>
      </c>
      <c r="G125" s="682">
        <v>80</v>
      </c>
      <c r="H125" s="682">
        <v>100</v>
      </c>
      <c r="I125" s="682">
        <v>100</v>
      </c>
      <c r="J125" s="682">
        <v>100</v>
      </c>
      <c r="K125" s="682">
        <v>100</v>
      </c>
      <c r="L125" s="682">
        <v>100</v>
      </c>
      <c r="M125" s="682">
        <v>100</v>
      </c>
      <c r="N125" s="682">
        <v>100</v>
      </c>
      <c r="O125" s="682">
        <v>100</v>
      </c>
      <c r="P125" s="682">
        <v>100</v>
      </c>
      <c r="Q125" s="682">
        <v>100</v>
      </c>
      <c r="R125" s="682">
        <v>100</v>
      </c>
      <c r="S125" s="682">
        <v>100</v>
      </c>
      <c r="T125" s="682">
        <v>100</v>
      </c>
      <c r="U125" s="682">
        <v>100</v>
      </c>
      <c r="V125" s="682"/>
      <c r="W125" s="682">
        <v>60</v>
      </c>
      <c r="X125" s="682">
        <v>100</v>
      </c>
      <c r="Y125" s="682">
        <v>100</v>
      </c>
      <c r="Z125" s="682">
        <v>100</v>
      </c>
      <c r="AA125" s="682">
        <v>100</v>
      </c>
      <c r="AB125" s="682">
        <v>100</v>
      </c>
      <c r="AC125" s="98"/>
      <c r="AD125" s="98"/>
      <c r="AE125" s="98"/>
      <c r="AF125" s="98"/>
      <c r="AG125" s="98"/>
      <c r="AH125" s="98"/>
    </row>
    <row r="126" spans="1:34" ht="27" customHeight="1">
      <c r="A126" s="30"/>
      <c r="B126" s="794"/>
      <c r="C126" s="617" t="s">
        <v>1792</v>
      </c>
      <c r="D126" s="618" t="s">
        <v>1738</v>
      </c>
      <c r="E126" s="682">
        <v>100</v>
      </c>
      <c r="F126" s="682"/>
      <c r="G126" s="682">
        <v>100</v>
      </c>
      <c r="H126" s="682">
        <v>100</v>
      </c>
      <c r="I126" s="682">
        <v>100</v>
      </c>
      <c r="J126" s="682">
        <v>100</v>
      </c>
      <c r="K126" s="682">
        <v>100</v>
      </c>
      <c r="L126" s="682">
        <v>100</v>
      </c>
      <c r="M126" s="682">
        <v>100</v>
      </c>
      <c r="N126" s="682">
        <v>100</v>
      </c>
      <c r="O126" s="682">
        <v>100</v>
      </c>
      <c r="P126" s="682">
        <v>100</v>
      </c>
      <c r="Q126" s="682">
        <v>100</v>
      </c>
      <c r="R126" s="682">
        <v>100</v>
      </c>
      <c r="S126" s="682">
        <v>100</v>
      </c>
      <c r="T126" s="682">
        <v>100</v>
      </c>
      <c r="U126" s="682">
        <v>100</v>
      </c>
      <c r="V126" s="682">
        <v>80</v>
      </c>
      <c r="W126" s="682">
        <v>100</v>
      </c>
      <c r="X126" s="682">
        <v>100</v>
      </c>
      <c r="Y126" s="682">
        <v>100</v>
      </c>
      <c r="Z126" s="682">
        <v>100</v>
      </c>
      <c r="AA126" s="682">
        <v>100</v>
      </c>
      <c r="AB126" s="682">
        <v>80</v>
      </c>
      <c r="AC126" s="98"/>
      <c r="AD126" s="98"/>
      <c r="AE126" s="98"/>
      <c r="AF126" s="98"/>
      <c r="AG126" s="98"/>
      <c r="AH126" s="98"/>
    </row>
    <row r="127" spans="1:34" ht="31.5" customHeight="1">
      <c r="A127" s="30"/>
      <c r="B127" s="794"/>
      <c r="C127" s="617" t="s">
        <v>1793</v>
      </c>
      <c r="D127" s="618" t="s">
        <v>1478</v>
      </c>
      <c r="E127" s="682">
        <v>100</v>
      </c>
      <c r="F127" s="682">
        <v>95</v>
      </c>
      <c r="G127" s="682">
        <v>90</v>
      </c>
      <c r="H127" s="682">
        <v>100</v>
      </c>
      <c r="I127" s="682">
        <v>90</v>
      </c>
      <c r="J127" s="682">
        <v>100</v>
      </c>
      <c r="K127" s="682">
        <v>100</v>
      </c>
      <c r="L127" s="682">
        <v>100</v>
      </c>
      <c r="M127" s="682">
        <v>100</v>
      </c>
      <c r="N127" s="682">
        <v>100</v>
      </c>
      <c r="O127" s="682">
        <v>100</v>
      </c>
      <c r="P127" s="682">
        <v>90</v>
      </c>
      <c r="Q127" s="682">
        <v>100</v>
      </c>
      <c r="R127" s="682">
        <v>100</v>
      </c>
      <c r="S127" s="682">
        <v>90</v>
      </c>
      <c r="T127" s="682">
        <v>100</v>
      </c>
      <c r="U127" s="682">
        <v>100</v>
      </c>
      <c r="V127" s="682">
        <v>95</v>
      </c>
      <c r="W127" s="682"/>
      <c r="X127" s="682">
        <v>90</v>
      </c>
      <c r="Y127" s="682">
        <v>100</v>
      </c>
      <c r="Z127" s="682">
        <v>100</v>
      </c>
      <c r="AA127" s="682">
        <v>100</v>
      </c>
      <c r="AB127" s="682">
        <v>90</v>
      </c>
      <c r="AC127" s="98"/>
      <c r="AD127" s="98"/>
      <c r="AE127" s="98"/>
      <c r="AF127" s="98"/>
      <c r="AG127" s="98"/>
      <c r="AH127" s="98"/>
    </row>
    <row r="128" spans="1:34" ht="27" customHeight="1">
      <c r="A128" s="30"/>
      <c r="B128" s="794"/>
      <c r="C128" s="617" t="s">
        <v>1794</v>
      </c>
      <c r="D128" s="618" t="s">
        <v>1480</v>
      </c>
      <c r="E128" s="682">
        <v>100</v>
      </c>
      <c r="F128" s="682">
        <v>100</v>
      </c>
      <c r="G128" s="682">
        <v>100</v>
      </c>
      <c r="H128" s="682">
        <v>100</v>
      </c>
      <c r="I128" s="682">
        <v>90</v>
      </c>
      <c r="J128" s="682">
        <v>100</v>
      </c>
      <c r="K128" s="682">
        <v>100</v>
      </c>
      <c r="L128" s="682">
        <v>100</v>
      </c>
      <c r="M128" s="682">
        <v>80</v>
      </c>
      <c r="N128" s="682">
        <v>100</v>
      </c>
      <c r="O128" s="682">
        <v>90</v>
      </c>
      <c r="P128" s="682">
        <v>100</v>
      </c>
      <c r="Q128" s="682">
        <v>80</v>
      </c>
      <c r="R128" s="682">
        <v>70</v>
      </c>
      <c r="S128" s="682">
        <v>90</v>
      </c>
      <c r="T128" s="682">
        <v>100</v>
      </c>
      <c r="U128" s="682">
        <v>100</v>
      </c>
      <c r="V128" s="682">
        <v>100</v>
      </c>
      <c r="W128" s="682">
        <v>100</v>
      </c>
      <c r="X128" s="682">
        <v>80</v>
      </c>
      <c r="Y128" s="682">
        <v>100</v>
      </c>
      <c r="Z128" s="682">
        <v>90</v>
      </c>
      <c r="AA128" s="682">
        <v>100</v>
      </c>
      <c r="AB128" s="682">
        <v>95</v>
      </c>
      <c r="AC128" s="98"/>
      <c r="AD128" s="98"/>
      <c r="AE128" s="98"/>
      <c r="AF128" s="98"/>
      <c r="AG128" s="98"/>
      <c r="AH128" s="98"/>
    </row>
    <row r="129" spans="1:34" ht="27" hidden="1" customHeight="1">
      <c r="A129" s="30"/>
      <c r="B129" s="794"/>
      <c r="C129" s="74"/>
      <c r="D129" s="72"/>
      <c r="E129" s="98"/>
      <c r="F129" s="98"/>
      <c r="G129" s="98"/>
      <c r="H129" s="98"/>
      <c r="I129" s="98"/>
      <c r="J129" s="98"/>
      <c r="K129" s="98"/>
      <c r="L129" s="98"/>
      <c r="M129" s="98"/>
      <c r="N129" s="98"/>
      <c r="O129" s="98"/>
      <c r="P129" s="98"/>
      <c r="Q129" s="98"/>
      <c r="R129" s="98"/>
      <c r="S129" s="98"/>
      <c r="T129" s="98"/>
      <c r="U129" s="98"/>
      <c r="V129" s="98"/>
      <c r="W129" s="98"/>
      <c r="X129" s="98"/>
      <c r="Y129" s="98"/>
      <c r="Z129" s="98"/>
      <c r="AA129" s="98"/>
      <c r="AB129" s="98"/>
      <c r="AC129" s="98"/>
      <c r="AD129" s="98"/>
      <c r="AE129" s="98"/>
      <c r="AF129" s="98"/>
      <c r="AG129" s="98"/>
      <c r="AH129" s="98"/>
    </row>
    <row r="130" spans="1:34" ht="27" hidden="1" customHeight="1">
      <c r="A130" s="30"/>
      <c r="B130" s="794"/>
      <c r="C130" s="74"/>
      <c r="D130" s="72"/>
      <c r="E130" s="98"/>
      <c r="F130" s="98"/>
      <c r="G130" s="98"/>
      <c r="H130" s="98"/>
      <c r="I130" s="98"/>
      <c r="J130" s="98"/>
      <c r="K130" s="98"/>
      <c r="L130" s="98"/>
      <c r="M130" s="98"/>
      <c r="N130" s="98"/>
      <c r="O130" s="98"/>
      <c r="P130" s="98"/>
      <c r="Q130" s="98"/>
      <c r="R130" s="98"/>
      <c r="S130" s="98"/>
      <c r="T130" s="98"/>
      <c r="U130" s="98"/>
      <c r="V130" s="98"/>
      <c r="W130" s="98"/>
      <c r="X130" s="98"/>
      <c r="Y130" s="98"/>
      <c r="Z130" s="98"/>
      <c r="AA130" s="98"/>
      <c r="AB130" s="98"/>
      <c r="AC130" s="98"/>
      <c r="AD130" s="98"/>
      <c r="AE130" s="98"/>
      <c r="AF130" s="98"/>
      <c r="AG130" s="98"/>
      <c r="AH130" s="98"/>
    </row>
    <row r="131" spans="1:34" ht="27" hidden="1" customHeight="1">
      <c r="A131" s="30"/>
      <c r="B131" s="794"/>
      <c r="C131" s="74"/>
      <c r="D131" s="72"/>
      <c r="E131" s="98"/>
      <c r="F131" s="98"/>
      <c r="G131" s="98"/>
      <c r="H131" s="98"/>
      <c r="I131" s="98"/>
      <c r="J131" s="98"/>
      <c r="K131" s="98"/>
      <c r="L131" s="98"/>
      <c r="M131" s="98"/>
      <c r="N131" s="98"/>
      <c r="O131" s="98"/>
      <c r="P131" s="98"/>
      <c r="Q131" s="98"/>
      <c r="R131" s="98"/>
      <c r="S131" s="98"/>
      <c r="T131" s="98"/>
      <c r="U131" s="98"/>
      <c r="V131" s="98"/>
      <c r="W131" s="98"/>
      <c r="X131" s="98"/>
      <c r="Y131" s="98"/>
      <c r="Z131" s="98"/>
      <c r="AA131" s="98"/>
      <c r="AB131" s="98"/>
      <c r="AC131" s="98"/>
      <c r="AD131" s="98"/>
      <c r="AE131" s="98"/>
      <c r="AF131" s="98"/>
      <c r="AG131" s="98"/>
      <c r="AH131" s="98"/>
    </row>
    <row r="132" spans="1:34" ht="27" customHeight="1">
      <c r="A132" s="30"/>
      <c r="B132" s="800">
        <v>7</v>
      </c>
      <c r="C132" s="795" t="s">
        <v>1825</v>
      </c>
      <c r="D132" s="796"/>
      <c r="E132" s="97">
        <f>IFERROR(AVERAGE(E133:E147),"")</f>
        <v>97.5</v>
      </c>
      <c r="F132" s="97">
        <f t="shared" ref="F132:AH132" si="12">IFERROR(AVERAGE(F133:F147),"")</f>
        <v>88.888888888888886</v>
      </c>
      <c r="G132" s="97">
        <f t="shared" si="12"/>
        <v>93.571428571428569</v>
      </c>
      <c r="H132" s="97">
        <f t="shared" si="12"/>
        <v>95.357142857142861</v>
      </c>
      <c r="I132" s="97">
        <f t="shared" si="12"/>
        <v>97.142857142857139</v>
      </c>
      <c r="J132" s="97">
        <f t="shared" si="12"/>
        <v>98.928571428571431</v>
      </c>
      <c r="K132" s="97">
        <f t="shared" si="12"/>
        <v>99.642857142857139</v>
      </c>
      <c r="L132" s="97">
        <f t="shared" si="12"/>
        <v>97.5</v>
      </c>
      <c r="M132" s="97">
        <f t="shared" si="12"/>
        <v>97.857142857142861</v>
      </c>
      <c r="N132" s="97">
        <f t="shared" si="12"/>
        <v>98.571428571428569</v>
      </c>
      <c r="O132" s="97">
        <f t="shared" si="12"/>
        <v>99.285714285714292</v>
      </c>
      <c r="P132" s="97">
        <f t="shared" si="12"/>
        <v>98.571428571428569</v>
      </c>
      <c r="Q132" s="97">
        <f t="shared" si="12"/>
        <v>97.857142857142861</v>
      </c>
      <c r="R132" s="97">
        <f t="shared" si="12"/>
        <v>96.785714285714292</v>
      </c>
      <c r="S132" s="97">
        <f t="shared" si="12"/>
        <v>91.538461538461533</v>
      </c>
      <c r="T132" s="97">
        <f t="shared" si="12"/>
        <v>98.214285714285708</v>
      </c>
      <c r="U132" s="97">
        <f t="shared" si="12"/>
        <v>98.928571428571431</v>
      </c>
      <c r="V132" s="97">
        <f t="shared" si="12"/>
        <v>94.285714285714292</v>
      </c>
      <c r="W132" s="97">
        <f t="shared" si="12"/>
        <v>93.928571428571431</v>
      </c>
      <c r="X132" s="97">
        <f t="shared" si="12"/>
        <v>92.857142857142861</v>
      </c>
      <c r="Y132" s="97">
        <f t="shared" si="12"/>
        <v>98.571428571428569</v>
      </c>
      <c r="Z132" s="97">
        <f t="shared" si="12"/>
        <v>91.785714285714292</v>
      </c>
      <c r="AA132" s="97">
        <f t="shared" si="12"/>
        <v>96.785714285714292</v>
      </c>
      <c r="AB132" s="97">
        <f t="shared" si="12"/>
        <v>94.642857142857139</v>
      </c>
      <c r="AC132" s="97" t="str">
        <f t="shared" si="12"/>
        <v/>
      </c>
      <c r="AD132" s="97" t="str">
        <f t="shared" si="12"/>
        <v/>
      </c>
      <c r="AE132" s="97" t="str">
        <f t="shared" si="12"/>
        <v/>
      </c>
      <c r="AF132" s="97" t="str">
        <f t="shared" si="12"/>
        <v/>
      </c>
      <c r="AG132" s="97" t="str">
        <f t="shared" si="12"/>
        <v/>
      </c>
      <c r="AH132" s="97" t="str">
        <f t="shared" si="12"/>
        <v/>
      </c>
    </row>
    <row r="133" spans="1:34" ht="36.75" customHeight="1">
      <c r="A133" s="30"/>
      <c r="B133" s="801"/>
      <c r="C133" s="613" t="s">
        <v>1796</v>
      </c>
      <c r="D133" s="614" t="s">
        <v>1431</v>
      </c>
      <c r="E133" s="634">
        <v>90</v>
      </c>
      <c r="F133" s="634">
        <v>100</v>
      </c>
      <c r="G133" s="634">
        <v>100</v>
      </c>
      <c r="H133" s="634">
        <v>90</v>
      </c>
      <c r="I133" s="634">
        <v>100</v>
      </c>
      <c r="J133" s="634">
        <v>90</v>
      </c>
      <c r="K133" s="634">
        <v>100</v>
      </c>
      <c r="L133" s="634">
        <v>100</v>
      </c>
      <c r="M133" s="634">
        <v>100</v>
      </c>
      <c r="N133" s="634">
        <v>100</v>
      </c>
      <c r="O133" s="634">
        <v>100</v>
      </c>
      <c r="P133" s="634">
        <v>100</v>
      </c>
      <c r="Q133" s="634">
        <v>100</v>
      </c>
      <c r="R133" s="634">
        <v>100</v>
      </c>
      <c r="S133" s="634">
        <v>90</v>
      </c>
      <c r="T133" s="634">
        <v>100</v>
      </c>
      <c r="U133" s="634">
        <v>100</v>
      </c>
      <c r="V133" s="634">
        <v>100</v>
      </c>
      <c r="W133" s="634">
        <v>100</v>
      </c>
      <c r="X133" s="634">
        <v>100</v>
      </c>
      <c r="Y133" s="634">
        <v>100</v>
      </c>
      <c r="Z133" s="634">
        <v>100</v>
      </c>
      <c r="AA133" s="634">
        <v>100</v>
      </c>
      <c r="AB133" s="634">
        <v>90</v>
      </c>
      <c r="AC133" s="98"/>
      <c r="AD133" s="98"/>
      <c r="AE133" s="98"/>
      <c r="AF133" s="98"/>
      <c r="AG133" s="98"/>
      <c r="AH133" s="98"/>
    </row>
    <row r="134" spans="1:34" s="478" customFormat="1" ht="27" customHeight="1">
      <c r="A134" s="30"/>
      <c r="B134" s="801"/>
      <c r="C134" s="615" t="s">
        <v>1797</v>
      </c>
      <c r="D134" s="616" t="s">
        <v>1433</v>
      </c>
      <c r="E134" s="635">
        <v>100</v>
      </c>
      <c r="F134" s="635">
        <v>100</v>
      </c>
      <c r="G134" s="635">
        <v>90</v>
      </c>
      <c r="H134" s="635">
        <v>100</v>
      </c>
      <c r="I134" s="635">
        <v>100</v>
      </c>
      <c r="J134" s="635">
        <v>100</v>
      </c>
      <c r="K134" s="635">
        <v>100</v>
      </c>
      <c r="L134" s="635">
        <v>100</v>
      </c>
      <c r="M134" s="635">
        <v>90</v>
      </c>
      <c r="N134" s="635">
        <v>100</v>
      </c>
      <c r="O134" s="635">
        <v>100</v>
      </c>
      <c r="P134" s="635">
        <v>100</v>
      </c>
      <c r="Q134" s="635">
        <v>100</v>
      </c>
      <c r="R134" s="635">
        <v>100</v>
      </c>
      <c r="S134" s="635">
        <v>80</v>
      </c>
      <c r="T134" s="635">
        <v>100</v>
      </c>
      <c r="U134" s="635">
        <v>100</v>
      </c>
      <c r="V134" s="635">
        <v>90</v>
      </c>
      <c r="W134" s="635">
        <v>90</v>
      </c>
      <c r="X134" s="635">
        <v>100</v>
      </c>
      <c r="Y134" s="635">
        <v>100</v>
      </c>
      <c r="Z134" s="635">
        <v>90</v>
      </c>
      <c r="AA134" s="635">
        <v>90</v>
      </c>
      <c r="AB134" s="635">
        <v>100</v>
      </c>
      <c r="AC134" s="98"/>
      <c r="AD134" s="98"/>
      <c r="AE134" s="98"/>
      <c r="AF134" s="98"/>
      <c r="AG134" s="98"/>
      <c r="AH134" s="98"/>
    </row>
    <row r="135" spans="1:34" s="478" customFormat="1" ht="36" customHeight="1">
      <c r="A135" s="30"/>
      <c r="B135" s="801"/>
      <c r="C135" s="615" t="s">
        <v>1798</v>
      </c>
      <c r="D135" s="616" t="s">
        <v>1441</v>
      </c>
      <c r="E135" s="640">
        <v>100</v>
      </c>
      <c r="F135" s="640">
        <v>90</v>
      </c>
      <c r="G135" s="640">
        <v>90</v>
      </c>
      <c r="H135" s="640">
        <v>100</v>
      </c>
      <c r="I135" s="640">
        <v>100</v>
      </c>
      <c r="J135" s="640">
        <v>100</v>
      </c>
      <c r="K135" s="640">
        <v>100</v>
      </c>
      <c r="L135" s="640">
        <v>100</v>
      </c>
      <c r="M135" s="640">
        <v>100</v>
      </c>
      <c r="N135" s="640">
        <v>100</v>
      </c>
      <c r="O135" s="640">
        <v>100</v>
      </c>
      <c r="P135" s="640">
        <v>100</v>
      </c>
      <c r="Q135" s="640">
        <v>100</v>
      </c>
      <c r="R135" s="640">
        <v>100</v>
      </c>
      <c r="S135" s="640">
        <v>80</v>
      </c>
      <c r="T135" s="640">
        <v>95</v>
      </c>
      <c r="U135" s="640">
        <v>100</v>
      </c>
      <c r="V135" s="640">
        <v>100</v>
      </c>
      <c r="W135" s="640">
        <v>100</v>
      </c>
      <c r="X135" s="640">
        <v>100</v>
      </c>
      <c r="Y135" s="640">
        <v>90</v>
      </c>
      <c r="Z135" s="640">
        <v>70</v>
      </c>
      <c r="AA135" s="640">
        <v>100</v>
      </c>
      <c r="AB135" s="640">
        <v>100</v>
      </c>
      <c r="AC135" s="98"/>
      <c r="AD135" s="98"/>
      <c r="AE135" s="98"/>
      <c r="AF135" s="98"/>
      <c r="AG135" s="98"/>
      <c r="AH135" s="98"/>
    </row>
    <row r="136" spans="1:34" s="478" customFormat="1" ht="27" customHeight="1">
      <c r="A136" s="30"/>
      <c r="B136" s="801"/>
      <c r="C136" s="615" t="s">
        <v>1799</v>
      </c>
      <c r="D136" s="616" t="s">
        <v>1699</v>
      </c>
      <c r="E136" s="666">
        <v>100</v>
      </c>
      <c r="F136" s="666">
        <v>80</v>
      </c>
      <c r="G136" s="666">
        <v>100</v>
      </c>
      <c r="H136" s="666">
        <v>80</v>
      </c>
      <c r="I136" s="666">
        <v>90</v>
      </c>
      <c r="J136" s="666">
        <v>100</v>
      </c>
      <c r="K136" s="666">
        <v>100</v>
      </c>
      <c r="L136" s="666">
        <v>80</v>
      </c>
      <c r="M136" s="666">
        <v>90</v>
      </c>
      <c r="N136" s="666">
        <v>90</v>
      </c>
      <c r="O136" s="666">
        <v>100</v>
      </c>
      <c r="P136" s="666">
        <v>90</v>
      </c>
      <c r="Q136" s="666">
        <v>90</v>
      </c>
      <c r="R136" s="666">
        <v>90</v>
      </c>
      <c r="S136" s="666">
        <v>85</v>
      </c>
      <c r="T136" s="666">
        <v>95</v>
      </c>
      <c r="U136" s="666">
        <v>100</v>
      </c>
      <c r="V136" s="666">
        <v>85</v>
      </c>
      <c r="W136" s="666">
        <v>75</v>
      </c>
      <c r="X136" s="666">
        <v>85</v>
      </c>
      <c r="Y136" s="666">
        <v>90</v>
      </c>
      <c r="Z136" s="666">
        <v>85</v>
      </c>
      <c r="AA136" s="666">
        <v>90</v>
      </c>
      <c r="AB136" s="666">
        <v>80</v>
      </c>
      <c r="AC136" s="98"/>
      <c r="AD136" s="98"/>
      <c r="AE136" s="98"/>
      <c r="AF136" s="98"/>
      <c r="AG136" s="98"/>
      <c r="AH136" s="98"/>
    </row>
    <row r="137" spans="1:34" s="478" customFormat="1" ht="27" customHeight="1">
      <c r="A137" s="30"/>
      <c r="B137" s="801"/>
      <c r="C137" s="615" t="s">
        <v>1800</v>
      </c>
      <c r="D137" s="616" t="s">
        <v>1404</v>
      </c>
      <c r="E137" s="666">
        <v>100</v>
      </c>
      <c r="F137" s="666">
        <v>40</v>
      </c>
      <c r="G137" s="666">
        <v>90</v>
      </c>
      <c r="H137" s="666">
        <v>90</v>
      </c>
      <c r="I137" s="666">
        <v>90</v>
      </c>
      <c r="J137" s="666">
        <v>100</v>
      </c>
      <c r="K137" s="666">
        <v>100</v>
      </c>
      <c r="L137" s="666">
        <v>100</v>
      </c>
      <c r="M137" s="666">
        <v>100</v>
      </c>
      <c r="N137" s="666">
        <v>100</v>
      </c>
      <c r="O137" s="666">
        <v>90</v>
      </c>
      <c r="P137" s="666">
        <v>100</v>
      </c>
      <c r="Q137" s="666">
        <v>90</v>
      </c>
      <c r="R137" s="666">
        <v>80</v>
      </c>
      <c r="S137" s="666">
        <v>100</v>
      </c>
      <c r="T137" s="666">
        <v>100</v>
      </c>
      <c r="U137" s="666">
        <v>100</v>
      </c>
      <c r="V137" s="666">
        <v>90</v>
      </c>
      <c r="W137" s="666">
        <v>100</v>
      </c>
      <c r="X137" s="666">
        <v>100</v>
      </c>
      <c r="Y137" s="666">
        <v>100</v>
      </c>
      <c r="Z137" s="666">
        <v>90</v>
      </c>
      <c r="AA137" s="666">
        <v>90</v>
      </c>
      <c r="AB137" s="666">
        <v>100</v>
      </c>
      <c r="AC137" s="98"/>
      <c r="AD137" s="98"/>
      <c r="AE137" s="98"/>
      <c r="AF137" s="98"/>
      <c r="AG137" s="98"/>
      <c r="AH137" s="98"/>
    </row>
    <row r="138" spans="1:34" s="478" customFormat="1" ht="37.5" customHeight="1">
      <c r="A138" s="30"/>
      <c r="B138" s="801"/>
      <c r="C138" s="615" t="s">
        <v>1801</v>
      </c>
      <c r="D138" s="616" t="s">
        <v>1406</v>
      </c>
      <c r="E138" s="666">
        <v>80</v>
      </c>
      <c r="F138" s="666">
        <v>90</v>
      </c>
      <c r="G138" s="666">
        <v>70</v>
      </c>
      <c r="H138" s="666">
        <v>75</v>
      </c>
      <c r="I138" s="666">
        <v>90</v>
      </c>
      <c r="J138" s="666">
        <v>95</v>
      </c>
      <c r="K138" s="666">
        <v>100</v>
      </c>
      <c r="L138" s="666">
        <v>95</v>
      </c>
      <c r="M138" s="666">
        <v>100</v>
      </c>
      <c r="N138" s="666">
        <v>90</v>
      </c>
      <c r="O138" s="666">
        <v>100</v>
      </c>
      <c r="P138" s="666">
        <v>100</v>
      </c>
      <c r="Q138" s="666">
        <v>100</v>
      </c>
      <c r="R138" s="666">
        <v>100</v>
      </c>
      <c r="S138" s="666">
        <v>100</v>
      </c>
      <c r="T138" s="666">
        <v>100</v>
      </c>
      <c r="U138" s="666">
        <v>95</v>
      </c>
      <c r="V138" s="666">
        <v>100</v>
      </c>
      <c r="W138" s="666">
        <v>100</v>
      </c>
      <c r="X138" s="666">
        <v>100</v>
      </c>
      <c r="Y138" s="666">
        <v>100</v>
      </c>
      <c r="Z138" s="666">
        <v>90</v>
      </c>
      <c r="AA138" s="666">
        <v>90</v>
      </c>
      <c r="AB138" s="666">
        <v>100</v>
      </c>
      <c r="AC138" s="98"/>
      <c r="AD138" s="98"/>
      <c r="AE138" s="98"/>
      <c r="AF138" s="98"/>
      <c r="AG138" s="98"/>
      <c r="AH138" s="98"/>
    </row>
    <row r="139" spans="1:34" s="478" customFormat="1" ht="32.25" customHeight="1">
      <c r="A139" s="30"/>
      <c r="B139" s="801"/>
      <c r="C139" s="615" t="s">
        <v>1802</v>
      </c>
      <c r="D139" s="616" t="s">
        <v>1687</v>
      </c>
      <c r="E139" s="643">
        <v>100</v>
      </c>
      <c r="F139" s="643"/>
      <c r="G139" s="643">
        <v>100</v>
      </c>
      <c r="H139" s="643">
        <v>100</v>
      </c>
      <c r="I139" s="643">
        <v>100</v>
      </c>
      <c r="J139" s="643">
        <v>100</v>
      </c>
      <c r="K139" s="643">
        <v>100</v>
      </c>
      <c r="L139" s="643">
        <v>100</v>
      </c>
      <c r="M139" s="643">
        <v>100</v>
      </c>
      <c r="N139" s="643">
        <v>100</v>
      </c>
      <c r="O139" s="643">
        <v>100</v>
      </c>
      <c r="P139" s="643">
        <v>90</v>
      </c>
      <c r="Q139" s="643">
        <v>100</v>
      </c>
      <c r="R139" s="643">
        <v>100</v>
      </c>
      <c r="S139" s="643">
        <v>90</v>
      </c>
      <c r="T139" s="643">
        <v>100</v>
      </c>
      <c r="U139" s="643">
        <v>100</v>
      </c>
      <c r="V139" s="643">
        <v>95</v>
      </c>
      <c r="W139" s="643">
        <v>100</v>
      </c>
      <c r="X139" s="643">
        <v>70</v>
      </c>
      <c r="Y139" s="643">
        <v>100</v>
      </c>
      <c r="Z139" s="643">
        <v>100</v>
      </c>
      <c r="AA139" s="643">
        <v>100</v>
      </c>
      <c r="AB139" s="643">
        <v>100</v>
      </c>
      <c r="AC139" s="98"/>
      <c r="AD139" s="98"/>
      <c r="AE139" s="98"/>
      <c r="AF139" s="98"/>
      <c r="AG139" s="98"/>
      <c r="AH139" s="98"/>
    </row>
    <row r="140" spans="1:34" s="478" customFormat="1" ht="33" customHeight="1">
      <c r="A140" s="30"/>
      <c r="B140" s="801"/>
      <c r="C140" s="617" t="s">
        <v>1803</v>
      </c>
      <c r="D140" s="618" t="s">
        <v>1706</v>
      </c>
      <c r="E140" s="640">
        <v>100</v>
      </c>
      <c r="F140" s="640"/>
      <c r="G140" s="640">
        <v>100</v>
      </c>
      <c r="H140" s="640">
        <v>100</v>
      </c>
      <c r="I140" s="640">
        <v>100</v>
      </c>
      <c r="J140" s="640">
        <v>100</v>
      </c>
      <c r="K140" s="640">
        <v>100</v>
      </c>
      <c r="L140" s="640">
        <v>100</v>
      </c>
      <c r="M140" s="640">
        <v>100</v>
      </c>
      <c r="N140" s="640">
        <v>100</v>
      </c>
      <c r="O140" s="640">
        <v>100</v>
      </c>
      <c r="P140" s="640">
        <v>100</v>
      </c>
      <c r="Q140" s="640">
        <v>100</v>
      </c>
      <c r="R140" s="640">
        <v>100</v>
      </c>
      <c r="S140" s="640">
        <v>90</v>
      </c>
      <c r="T140" s="640">
        <v>100</v>
      </c>
      <c r="U140" s="640">
        <v>90</v>
      </c>
      <c r="V140" s="640">
        <v>95</v>
      </c>
      <c r="W140" s="640">
        <v>100</v>
      </c>
      <c r="X140" s="640">
        <v>100</v>
      </c>
      <c r="Y140" s="640">
        <v>100</v>
      </c>
      <c r="Z140" s="640">
        <v>90</v>
      </c>
      <c r="AA140" s="640">
        <v>100</v>
      </c>
      <c r="AB140" s="640">
        <v>100</v>
      </c>
      <c r="AC140" s="98"/>
      <c r="AD140" s="98"/>
      <c r="AE140" s="98"/>
      <c r="AF140" s="98"/>
      <c r="AG140" s="98"/>
      <c r="AH140" s="98"/>
    </row>
    <row r="141" spans="1:34" s="478" customFormat="1" ht="27" customHeight="1">
      <c r="A141" s="30"/>
      <c r="B141" s="801"/>
      <c r="C141" s="617" t="s">
        <v>1804</v>
      </c>
      <c r="D141" s="618" t="s">
        <v>1419</v>
      </c>
      <c r="E141" s="640">
        <v>95</v>
      </c>
      <c r="F141" s="640"/>
      <c r="G141" s="640">
        <v>100</v>
      </c>
      <c r="H141" s="640">
        <v>100</v>
      </c>
      <c r="I141" s="640">
        <v>90</v>
      </c>
      <c r="J141" s="640">
        <v>100</v>
      </c>
      <c r="K141" s="640">
        <v>100</v>
      </c>
      <c r="L141" s="640">
        <v>100</v>
      </c>
      <c r="M141" s="640">
        <v>100</v>
      </c>
      <c r="N141" s="640">
        <v>100</v>
      </c>
      <c r="O141" s="640">
        <v>100</v>
      </c>
      <c r="P141" s="640">
        <v>100</v>
      </c>
      <c r="Q141" s="640">
        <v>100</v>
      </c>
      <c r="R141" s="640">
        <v>100</v>
      </c>
      <c r="S141" s="640">
        <v>100</v>
      </c>
      <c r="T141" s="640">
        <v>100</v>
      </c>
      <c r="U141" s="640">
        <v>100</v>
      </c>
      <c r="V141" s="640">
        <v>90</v>
      </c>
      <c r="W141" s="640">
        <v>100</v>
      </c>
      <c r="X141" s="640">
        <v>90</v>
      </c>
      <c r="Y141" s="640">
        <v>100</v>
      </c>
      <c r="Z141" s="640">
        <v>90</v>
      </c>
      <c r="AA141" s="640">
        <v>100</v>
      </c>
      <c r="AB141" s="640">
        <v>90</v>
      </c>
      <c r="AC141" s="98"/>
      <c r="AD141" s="98"/>
      <c r="AE141" s="98"/>
      <c r="AF141" s="98"/>
      <c r="AG141" s="98"/>
      <c r="AH141" s="98"/>
    </row>
    <row r="142" spans="1:34" ht="36" customHeight="1">
      <c r="A142" s="30"/>
      <c r="B142" s="801"/>
      <c r="C142" s="617" t="s">
        <v>1805</v>
      </c>
      <c r="D142" s="618" t="s">
        <v>1421</v>
      </c>
      <c r="E142" s="640">
        <v>100</v>
      </c>
      <c r="F142" s="640"/>
      <c r="G142" s="640">
        <v>95</v>
      </c>
      <c r="H142" s="640">
        <v>100</v>
      </c>
      <c r="I142" s="640">
        <v>100</v>
      </c>
      <c r="J142" s="640">
        <v>100</v>
      </c>
      <c r="K142" s="640">
        <v>100</v>
      </c>
      <c r="L142" s="640">
        <v>90</v>
      </c>
      <c r="M142" s="640">
        <v>90</v>
      </c>
      <c r="N142" s="640">
        <v>100</v>
      </c>
      <c r="O142" s="640">
        <v>100</v>
      </c>
      <c r="P142" s="640">
        <v>100</v>
      </c>
      <c r="Q142" s="640">
        <v>90</v>
      </c>
      <c r="R142" s="640">
        <v>85</v>
      </c>
      <c r="S142" s="640">
        <v>80</v>
      </c>
      <c r="T142" s="640">
        <v>100</v>
      </c>
      <c r="U142" s="640">
        <v>100</v>
      </c>
      <c r="V142" s="640">
        <v>100</v>
      </c>
      <c r="W142" s="640">
        <v>70</v>
      </c>
      <c r="X142" s="640">
        <v>90</v>
      </c>
      <c r="Y142" s="640">
        <v>100</v>
      </c>
      <c r="Z142" s="640">
        <v>100</v>
      </c>
      <c r="AA142" s="640">
        <v>100</v>
      </c>
      <c r="AB142" s="640">
        <v>90</v>
      </c>
      <c r="AC142" s="98"/>
      <c r="AD142" s="98"/>
      <c r="AE142" s="98"/>
      <c r="AF142" s="98"/>
      <c r="AG142" s="98"/>
      <c r="AH142" s="98"/>
    </row>
    <row r="143" spans="1:34" ht="27" customHeight="1">
      <c r="A143" s="30"/>
      <c r="B143" s="801"/>
      <c r="C143" s="617" t="s">
        <v>1806</v>
      </c>
      <c r="D143" s="618" t="s">
        <v>1628</v>
      </c>
      <c r="E143" s="636">
        <v>100</v>
      </c>
      <c r="F143" s="636"/>
      <c r="G143" s="636">
        <v>90</v>
      </c>
      <c r="H143" s="636">
        <v>100</v>
      </c>
      <c r="I143" s="636">
        <v>100</v>
      </c>
      <c r="J143" s="636">
        <v>100</v>
      </c>
      <c r="K143" s="636">
        <v>100</v>
      </c>
      <c r="L143" s="636">
        <v>100</v>
      </c>
      <c r="M143" s="636">
        <v>100</v>
      </c>
      <c r="N143" s="636">
        <v>100</v>
      </c>
      <c r="O143" s="636">
        <v>100</v>
      </c>
      <c r="P143" s="636">
        <v>100</v>
      </c>
      <c r="Q143" s="636">
        <v>100</v>
      </c>
      <c r="R143" s="636">
        <v>100</v>
      </c>
      <c r="S143" s="636"/>
      <c r="T143" s="636">
        <v>100</v>
      </c>
      <c r="U143" s="636">
        <v>100</v>
      </c>
      <c r="V143" s="636">
        <v>100</v>
      </c>
      <c r="W143" s="636">
        <v>100</v>
      </c>
      <c r="X143" s="636">
        <v>95</v>
      </c>
      <c r="Y143" s="636">
        <v>100</v>
      </c>
      <c r="Z143" s="636">
        <v>95</v>
      </c>
      <c r="AA143" s="636">
        <v>100</v>
      </c>
      <c r="AB143" s="636">
        <v>80</v>
      </c>
      <c r="AC143" s="98"/>
      <c r="AD143" s="98"/>
      <c r="AE143" s="98"/>
      <c r="AF143" s="98"/>
      <c r="AG143" s="98"/>
      <c r="AH143" s="98"/>
    </row>
    <row r="144" spans="1:34" ht="27" customHeight="1">
      <c r="A144" s="30"/>
      <c r="B144" s="801"/>
      <c r="C144" s="617" t="s">
        <v>1807</v>
      </c>
      <c r="D144" s="618" t="s">
        <v>1631</v>
      </c>
      <c r="E144" s="636">
        <v>100</v>
      </c>
      <c r="F144" s="636">
        <v>100</v>
      </c>
      <c r="G144" s="636">
        <v>100</v>
      </c>
      <c r="H144" s="636">
        <v>100</v>
      </c>
      <c r="I144" s="636">
        <v>100</v>
      </c>
      <c r="J144" s="636">
        <v>100</v>
      </c>
      <c r="K144" s="636">
        <v>100</v>
      </c>
      <c r="L144" s="636">
        <v>100</v>
      </c>
      <c r="M144" s="636">
        <v>100</v>
      </c>
      <c r="N144" s="636">
        <v>100</v>
      </c>
      <c r="O144" s="636">
        <v>100</v>
      </c>
      <c r="P144" s="636">
        <v>100</v>
      </c>
      <c r="Q144" s="636">
        <v>100</v>
      </c>
      <c r="R144" s="636">
        <v>100</v>
      </c>
      <c r="S144" s="636">
        <v>100</v>
      </c>
      <c r="T144" s="636">
        <v>100</v>
      </c>
      <c r="U144" s="636">
        <v>100</v>
      </c>
      <c r="V144" s="636">
        <v>90</v>
      </c>
      <c r="W144" s="636">
        <v>100</v>
      </c>
      <c r="X144" s="636">
        <v>80</v>
      </c>
      <c r="Y144" s="636">
        <v>100</v>
      </c>
      <c r="Z144" s="636">
        <v>100</v>
      </c>
      <c r="AA144" s="636">
        <v>100</v>
      </c>
      <c r="AB144" s="636">
        <v>100</v>
      </c>
      <c r="AC144" s="98"/>
      <c r="AD144" s="98"/>
      <c r="AE144" s="98"/>
      <c r="AF144" s="98"/>
      <c r="AG144" s="98"/>
      <c r="AH144" s="98"/>
    </row>
    <row r="145" spans="1:34" ht="27" customHeight="1">
      <c r="A145" s="30"/>
      <c r="B145" s="801"/>
      <c r="C145" s="617" t="s">
        <v>1808</v>
      </c>
      <c r="D145" s="618" t="s">
        <v>1502</v>
      </c>
      <c r="E145" s="636">
        <v>100</v>
      </c>
      <c r="F145" s="636">
        <v>100</v>
      </c>
      <c r="G145" s="636">
        <v>95</v>
      </c>
      <c r="H145" s="636">
        <v>100</v>
      </c>
      <c r="I145" s="636">
        <v>100</v>
      </c>
      <c r="J145" s="636">
        <v>100</v>
      </c>
      <c r="K145" s="636">
        <v>95</v>
      </c>
      <c r="L145" s="636">
        <v>100</v>
      </c>
      <c r="M145" s="636">
        <v>100</v>
      </c>
      <c r="N145" s="636">
        <v>100</v>
      </c>
      <c r="O145" s="636">
        <v>100</v>
      </c>
      <c r="P145" s="636">
        <v>100</v>
      </c>
      <c r="Q145" s="636">
        <v>100</v>
      </c>
      <c r="R145" s="636">
        <v>100</v>
      </c>
      <c r="S145" s="636">
        <v>100</v>
      </c>
      <c r="T145" s="636">
        <v>85</v>
      </c>
      <c r="U145" s="636">
        <v>100</v>
      </c>
      <c r="V145" s="636">
        <v>85</v>
      </c>
      <c r="W145" s="636">
        <v>80</v>
      </c>
      <c r="X145" s="636">
        <v>90</v>
      </c>
      <c r="Y145" s="636">
        <v>100</v>
      </c>
      <c r="Z145" s="636">
        <v>95</v>
      </c>
      <c r="AA145" s="636">
        <v>95</v>
      </c>
      <c r="AB145" s="636">
        <v>100</v>
      </c>
      <c r="AC145" s="98"/>
      <c r="AD145" s="98"/>
      <c r="AE145" s="98"/>
      <c r="AF145" s="98"/>
      <c r="AG145" s="98"/>
      <c r="AH145" s="98"/>
    </row>
    <row r="146" spans="1:34" ht="44.25" customHeight="1">
      <c r="A146" s="30"/>
      <c r="B146" s="801"/>
      <c r="C146" s="617" t="s">
        <v>1809</v>
      </c>
      <c r="D146" s="618" t="s">
        <v>1504</v>
      </c>
      <c r="E146" s="636">
        <v>100</v>
      </c>
      <c r="F146" s="636">
        <v>100</v>
      </c>
      <c r="G146" s="636">
        <v>90</v>
      </c>
      <c r="H146" s="636">
        <v>100</v>
      </c>
      <c r="I146" s="636">
        <v>100</v>
      </c>
      <c r="J146" s="636">
        <v>100</v>
      </c>
      <c r="K146" s="636">
        <v>100</v>
      </c>
      <c r="L146" s="636">
        <v>100</v>
      </c>
      <c r="M146" s="636">
        <v>100</v>
      </c>
      <c r="N146" s="636">
        <v>100</v>
      </c>
      <c r="O146" s="636">
        <v>100</v>
      </c>
      <c r="P146" s="636">
        <v>100</v>
      </c>
      <c r="Q146" s="636">
        <v>100</v>
      </c>
      <c r="R146" s="636">
        <v>100</v>
      </c>
      <c r="S146" s="636">
        <v>95</v>
      </c>
      <c r="T146" s="636">
        <v>100</v>
      </c>
      <c r="U146" s="636">
        <v>100</v>
      </c>
      <c r="V146" s="636">
        <v>100</v>
      </c>
      <c r="W146" s="636">
        <v>100</v>
      </c>
      <c r="X146" s="636">
        <v>100</v>
      </c>
      <c r="Y146" s="636">
        <v>100</v>
      </c>
      <c r="Z146" s="636">
        <v>90</v>
      </c>
      <c r="AA146" s="636">
        <v>100</v>
      </c>
      <c r="AB146" s="636">
        <v>95</v>
      </c>
      <c r="AC146" s="98"/>
      <c r="AD146" s="98"/>
      <c r="AE146" s="98"/>
      <c r="AF146" s="98"/>
      <c r="AG146" s="98"/>
      <c r="AH146" s="98"/>
    </row>
    <row r="147" spans="1:34" ht="27" hidden="1" customHeight="1">
      <c r="A147" s="30"/>
      <c r="B147" s="802"/>
      <c r="C147" s="74"/>
      <c r="D147" s="72"/>
      <c r="E147" s="98"/>
      <c r="F147" s="98"/>
      <c r="G147" s="98"/>
      <c r="H147" s="98"/>
      <c r="I147" s="98"/>
      <c r="J147" s="98"/>
      <c r="K147" s="98"/>
      <c r="L147" s="98"/>
      <c r="M147" s="98"/>
      <c r="N147" s="98"/>
      <c r="O147" s="98"/>
      <c r="P147" s="98"/>
      <c r="Q147" s="98"/>
      <c r="R147" s="98"/>
      <c r="S147" s="98"/>
      <c r="T147" s="98"/>
      <c r="U147" s="98"/>
      <c r="V147" s="98"/>
      <c r="W147" s="98"/>
      <c r="X147" s="98"/>
      <c r="Y147" s="98"/>
      <c r="Z147" s="98"/>
      <c r="AA147" s="98"/>
      <c r="AB147" s="98"/>
      <c r="AC147" s="98"/>
      <c r="AD147" s="98"/>
      <c r="AE147" s="98"/>
      <c r="AF147" s="98"/>
      <c r="AG147" s="98"/>
      <c r="AH147" s="98"/>
    </row>
    <row r="148" spans="1:34" ht="27" customHeight="1">
      <c r="A148" s="30"/>
      <c r="B148" s="800">
        <v>8</v>
      </c>
      <c r="C148" s="811" t="s">
        <v>1826</v>
      </c>
      <c r="D148" s="812"/>
      <c r="E148" s="97">
        <f>IFERROR(AVERAGE(E149:E164),"")</f>
        <v>94.166666666666671</v>
      </c>
      <c r="F148" s="97">
        <f t="shared" ref="F148:AH148" si="13">IFERROR(AVERAGE(F149:F164),"")</f>
        <v>91.818181818181813</v>
      </c>
      <c r="G148" s="97">
        <f t="shared" si="13"/>
        <v>91.666666666666671</v>
      </c>
      <c r="H148" s="97">
        <f t="shared" si="13"/>
        <v>93.333333333333329</v>
      </c>
      <c r="I148" s="97">
        <f t="shared" si="13"/>
        <v>94.583333333333329</v>
      </c>
      <c r="J148" s="97">
        <f t="shared" si="13"/>
        <v>95.909090909090907</v>
      </c>
      <c r="K148" s="97">
        <f t="shared" si="13"/>
        <v>100</v>
      </c>
      <c r="L148" s="97">
        <f t="shared" si="13"/>
        <v>95.416666666666671</v>
      </c>
      <c r="M148" s="97">
        <f t="shared" si="13"/>
        <v>90.416666666666671</v>
      </c>
      <c r="N148" s="97">
        <f t="shared" si="13"/>
        <v>94.583333333333329</v>
      </c>
      <c r="O148" s="97">
        <f t="shared" si="13"/>
        <v>99.583333333333329</v>
      </c>
      <c r="P148" s="97">
        <f t="shared" si="13"/>
        <v>98.333333333333329</v>
      </c>
      <c r="Q148" s="97">
        <f t="shared" si="13"/>
        <v>97.5</v>
      </c>
      <c r="R148" s="97">
        <f t="shared" si="13"/>
        <v>97.5</v>
      </c>
      <c r="S148" s="97">
        <f t="shared" si="13"/>
        <v>85.416666666666671</v>
      </c>
      <c r="T148" s="97">
        <f t="shared" si="13"/>
        <v>96.666666666666671</v>
      </c>
      <c r="U148" s="97">
        <f t="shared" si="13"/>
        <v>97.916666666666671</v>
      </c>
      <c r="V148" s="97">
        <f t="shared" si="13"/>
        <v>93.333333333333329</v>
      </c>
      <c r="W148" s="97">
        <f t="shared" si="13"/>
        <v>95</v>
      </c>
      <c r="X148" s="97">
        <f t="shared" si="13"/>
        <v>94.583333333333329</v>
      </c>
      <c r="Y148" s="97">
        <f t="shared" si="13"/>
        <v>94.166666666666671</v>
      </c>
      <c r="Z148" s="97">
        <f t="shared" si="13"/>
        <v>93.75</v>
      </c>
      <c r="AA148" s="97">
        <f t="shared" si="13"/>
        <v>96.666666666666671</v>
      </c>
      <c r="AB148" s="97">
        <f t="shared" si="13"/>
        <v>92.727272727272734</v>
      </c>
      <c r="AC148" s="97" t="str">
        <f t="shared" si="13"/>
        <v/>
      </c>
      <c r="AD148" s="97" t="str">
        <f t="shared" si="13"/>
        <v/>
      </c>
      <c r="AE148" s="97" t="str">
        <f t="shared" si="13"/>
        <v/>
      </c>
      <c r="AF148" s="97" t="str">
        <f t="shared" si="13"/>
        <v/>
      </c>
      <c r="AG148" s="97" t="str">
        <f t="shared" si="13"/>
        <v/>
      </c>
      <c r="AH148" s="97" t="str">
        <f t="shared" si="13"/>
        <v/>
      </c>
    </row>
    <row r="149" spans="1:34" ht="27" customHeight="1">
      <c r="A149" s="30"/>
      <c r="B149" s="801"/>
      <c r="C149" s="625" t="s">
        <v>1811</v>
      </c>
      <c r="D149" s="624" t="s">
        <v>1661</v>
      </c>
      <c r="E149" s="640">
        <v>100</v>
      </c>
      <c r="F149" s="640">
        <v>100</v>
      </c>
      <c r="G149" s="640">
        <v>100</v>
      </c>
      <c r="H149" s="640">
        <v>70</v>
      </c>
      <c r="I149" s="640">
        <v>100</v>
      </c>
      <c r="J149" s="640">
        <v>100</v>
      </c>
      <c r="K149" s="640">
        <v>100</v>
      </c>
      <c r="L149" s="640">
        <v>100</v>
      </c>
      <c r="M149" s="640">
        <v>50</v>
      </c>
      <c r="N149" s="640">
        <v>75</v>
      </c>
      <c r="O149" s="640">
        <v>100</v>
      </c>
      <c r="P149" s="640">
        <v>100</v>
      </c>
      <c r="Q149" s="640">
        <v>100</v>
      </c>
      <c r="R149" s="640">
        <v>100</v>
      </c>
      <c r="S149" s="640">
        <v>70</v>
      </c>
      <c r="T149" s="640">
        <v>100</v>
      </c>
      <c r="U149" s="640">
        <v>100</v>
      </c>
      <c r="V149" s="640">
        <v>60</v>
      </c>
      <c r="W149" s="640">
        <v>100</v>
      </c>
      <c r="X149" s="640">
        <v>90</v>
      </c>
      <c r="Y149" s="640">
        <v>100</v>
      </c>
      <c r="Z149" s="640">
        <v>100</v>
      </c>
      <c r="AA149" s="640">
        <v>100</v>
      </c>
      <c r="AB149" s="640">
        <v>100</v>
      </c>
      <c r="AC149" s="98"/>
      <c r="AD149" s="98"/>
      <c r="AE149" s="98"/>
      <c r="AF149" s="98"/>
      <c r="AG149" s="98"/>
      <c r="AH149" s="98"/>
    </row>
    <row r="150" spans="1:34" s="478" customFormat="1" ht="40.5" customHeight="1">
      <c r="A150" s="30"/>
      <c r="B150" s="801"/>
      <c r="C150" s="615" t="s">
        <v>1812</v>
      </c>
      <c r="D150" s="616" t="s">
        <v>1665</v>
      </c>
      <c r="E150" s="640">
        <v>100</v>
      </c>
      <c r="F150" s="640">
        <v>100</v>
      </c>
      <c r="G150" s="640">
        <v>95</v>
      </c>
      <c r="H150" s="640">
        <v>100</v>
      </c>
      <c r="I150" s="640">
        <v>100</v>
      </c>
      <c r="J150" s="640">
        <v>100</v>
      </c>
      <c r="K150" s="640">
        <v>100</v>
      </c>
      <c r="L150" s="640">
        <v>100</v>
      </c>
      <c r="M150" s="640">
        <v>100</v>
      </c>
      <c r="N150" s="640">
        <v>100</v>
      </c>
      <c r="O150" s="640">
        <v>100</v>
      </c>
      <c r="P150" s="640">
        <v>100</v>
      </c>
      <c r="Q150" s="640">
        <v>100</v>
      </c>
      <c r="R150" s="640">
        <v>100</v>
      </c>
      <c r="S150" s="640">
        <v>95</v>
      </c>
      <c r="T150" s="640">
        <v>100</v>
      </c>
      <c r="U150" s="640">
        <v>100</v>
      </c>
      <c r="V150" s="640">
        <v>100</v>
      </c>
      <c r="W150" s="640">
        <v>100</v>
      </c>
      <c r="X150" s="640">
        <v>100</v>
      </c>
      <c r="Y150" s="640">
        <v>100</v>
      </c>
      <c r="Z150" s="640">
        <v>100</v>
      </c>
      <c r="AA150" s="640">
        <v>100</v>
      </c>
      <c r="AB150" s="640">
        <v>100</v>
      </c>
      <c r="AC150" s="98"/>
      <c r="AD150" s="98"/>
      <c r="AE150" s="98"/>
      <c r="AF150" s="98"/>
      <c r="AG150" s="98"/>
      <c r="AH150" s="98"/>
    </row>
    <row r="151" spans="1:34" s="478" customFormat="1" ht="27" customHeight="1">
      <c r="A151" s="30"/>
      <c r="B151" s="801"/>
      <c r="C151" s="615" t="s">
        <v>1813</v>
      </c>
      <c r="D151" s="616" t="s">
        <v>1439</v>
      </c>
      <c r="E151" s="640">
        <v>70</v>
      </c>
      <c r="F151" s="640">
        <v>70</v>
      </c>
      <c r="G151" s="640">
        <v>65</v>
      </c>
      <c r="H151" s="640">
        <v>90</v>
      </c>
      <c r="I151" s="640">
        <v>90</v>
      </c>
      <c r="J151" s="640">
        <v>90</v>
      </c>
      <c r="K151" s="640">
        <v>100</v>
      </c>
      <c r="L151" s="640">
        <v>80</v>
      </c>
      <c r="M151" s="640">
        <v>90</v>
      </c>
      <c r="N151" s="640">
        <v>80</v>
      </c>
      <c r="O151" s="640">
        <v>100</v>
      </c>
      <c r="P151" s="640">
        <v>90</v>
      </c>
      <c r="Q151" s="640">
        <v>90</v>
      </c>
      <c r="R151" s="640">
        <v>90</v>
      </c>
      <c r="S151" s="640">
        <v>65</v>
      </c>
      <c r="T151" s="640">
        <v>100</v>
      </c>
      <c r="U151" s="640">
        <v>95</v>
      </c>
      <c r="V151" s="640">
        <v>90</v>
      </c>
      <c r="W151" s="640">
        <v>100</v>
      </c>
      <c r="X151" s="640">
        <v>90</v>
      </c>
      <c r="Y151" s="640">
        <v>90</v>
      </c>
      <c r="Z151" s="640">
        <v>90</v>
      </c>
      <c r="AA151" s="640">
        <v>80</v>
      </c>
      <c r="AB151" s="640">
        <v>90</v>
      </c>
      <c r="AC151" s="98"/>
      <c r="AD151" s="98"/>
      <c r="AE151" s="98"/>
      <c r="AF151" s="98"/>
      <c r="AG151" s="98"/>
      <c r="AH151" s="98"/>
    </row>
    <row r="152" spans="1:34" s="478" customFormat="1" ht="36.75" customHeight="1">
      <c r="A152" s="30"/>
      <c r="B152" s="801"/>
      <c r="C152" s="615" t="s">
        <v>1814</v>
      </c>
      <c r="D152" s="616" t="s">
        <v>1441</v>
      </c>
      <c r="E152" s="640">
        <v>100</v>
      </c>
      <c r="F152" s="640">
        <v>90</v>
      </c>
      <c r="G152" s="640">
        <v>90</v>
      </c>
      <c r="H152" s="640">
        <v>100</v>
      </c>
      <c r="I152" s="640">
        <v>100</v>
      </c>
      <c r="J152" s="640">
        <v>100</v>
      </c>
      <c r="K152" s="640">
        <v>100</v>
      </c>
      <c r="L152" s="640">
        <v>100</v>
      </c>
      <c r="M152" s="640">
        <v>100</v>
      </c>
      <c r="N152" s="640">
        <v>100</v>
      </c>
      <c r="O152" s="640">
        <v>100</v>
      </c>
      <c r="P152" s="640">
        <v>100</v>
      </c>
      <c r="Q152" s="640">
        <v>100</v>
      </c>
      <c r="R152" s="640">
        <v>100</v>
      </c>
      <c r="S152" s="640">
        <v>80</v>
      </c>
      <c r="T152" s="640">
        <v>95</v>
      </c>
      <c r="U152" s="640">
        <v>100</v>
      </c>
      <c r="V152" s="640">
        <v>100</v>
      </c>
      <c r="W152" s="640">
        <v>100</v>
      </c>
      <c r="X152" s="640">
        <v>100</v>
      </c>
      <c r="Y152" s="640">
        <v>90</v>
      </c>
      <c r="Z152" s="640">
        <v>70</v>
      </c>
      <c r="AA152" s="640">
        <v>100</v>
      </c>
      <c r="AB152" s="640">
        <v>100</v>
      </c>
      <c r="AC152" s="98"/>
      <c r="AD152" s="98"/>
      <c r="AE152" s="98"/>
      <c r="AF152" s="98"/>
      <c r="AG152" s="98"/>
      <c r="AH152" s="98"/>
    </row>
    <row r="153" spans="1:34" s="478" customFormat="1" ht="35.25" customHeight="1">
      <c r="A153" s="30"/>
      <c r="B153" s="801"/>
      <c r="C153" s="615" t="s">
        <v>1815</v>
      </c>
      <c r="D153" s="616" t="s">
        <v>1670</v>
      </c>
      <c r="E153" s="643">
        <v>95</v>
      </c>
      <c r="F153" s="643">
        <v>95</v>
      </c>
      <c r="G153" s="643">
        <v>90</v>
      </c>
      <c r="H153" s="643">
        <v>95</v>
      </c>
      <c r="I153" s="643">
        <v>90</v>
      </c>
      <c r="J153" s="643">
        <v>70</v>
      </c>
      <c r="K153" s="643">
        <v>100</v>
      </c>
      <c r="L153" s="643">
        <v>100</v>
      </c>
      <c r="M153" s="643">
        <v>100</v>
      </c>
      <c r="N153" s="643">
        <v>80</v>
      </c>
      <c r="O153" s="643">
        <v>100</v>
      </c>
      <c r="P153" s="643">
        <v>100</v>
      </c>
      <c r="Q153" s="643">
        <v>100</v>
      </c>
      <c r="R153" s="643">
        <v>100</v>
      </c>
      <c r="S153" s="643">
        <v>75</v>
      </c>
      <c r="T153" s="643">
        <v>95</v>
      </c>
      <c r="U153" s="643">
        <v>100</v>
      </c>
      <c r="V153" s="643">
        <v>100</v>
      </c>
      <c r="W153" s="643">
        <v>95</v>
      </c>
      <c r="X153" s="643">
        <v>75</v>
      </c>
      <c r="Y153" s="643">
        <v>75</v>
      </c>
      <c r="Z153" s="643">
        <v>95</v>
      </c>
      <c r="AA153" s="643">
        <v>100</v>
      </c>
      <c r="AB153" s="643"/>
      <c r="AC153" s="98"/>
      <c r="AD153" s="98"/>
      <c r="AE153" s="98"/>
      <c r="AF153" s="98"/>
      <c r="AG153" s="98"/>
      <c r="AH153" s="98"/>
    </row>
    <row r="154" spans="1:34" s="478" customFormat="1" ht="27" customHeight="1">
      <c r="A154" s="30"/>
      <c r="B154" s="801"/>
      <c r="C154" s="615" t="s">
        <v>1816</v>
      </c>
      <c r="D154" s="616" t="s">
        <v>1673</v>
      </c>
      <c r="E154" s="643">
        <v>100</v>
      </c>
      <c r="F154" s="643">
        <v>95</v>
      </c>
      <c r="G154" s="643">
        <v>95</v>
      </c>
      <c r="H154" s="643">
        <v>85</v>
      </c>
      <c r="I154" s="643">
        <v>80</v>
      </c>
      <c r="J154" s="643">
        <v>95</v>
      </c>
      <c r="K154" s="643">
        <v>100</v>
      </c>
      <c r="L154" s="643">
        <v>75</v>
      </c>
      <c r="M154" s="643">
        <v>85</v>
      </c>
      <c r="N154" s="643">
        <v>100</v>
      </c>
      <c r="O154" s="643">
        <v>100</v>
      </c>
      <c r="P154" s="643">
        <v>90</v>
      </c>
      <c r="Q154" s="643">
        <v>90</v>
      </c>
      <c r="R154" s="643">
        <v>90</v>
      </c>
      <c r="S154" s="643">
        <v>85</v>
      </c>
      <c r="T154" s="643">
        <v>100</v>
      </c>
      <c r="U154" s="643">
        <v>100</v>
      </c>
      <c r="V154" s="643">
        <v>95</v>
      </c>
      <c r="W154" s="643">
        <v>100</v>
      </c>
      <c r="X154" s="643">
        <v>100</v>
      </c>
      <c r="Y154" s="643">
        <v>85</v>
      </c>
      <c r="Z154" s="643">
        <v>95</v>
      </c>
      <c r="AA154" s="643">
        <v>95</v>
      </c>
      <c r="AB154" s="643">
        <v>90</v>
      </c>
      <c r="AC154" s="98"/>
      <c r="AD154" s="98"/>
      <c r="AE154" s="98"/>
      <c r="AF154" s="98"/>
      <c r="AG154" s="98"/>
      <c r="AH154" s="98"/>
    </row>
    <row r="155" spans="1:34" s="478" customFormat="1" ht="42" customHeight="1">
      <c r="A155" s="30"/>
      <c r="B155" s="801"/>
      <c r="C155" s="615" t="s">
        <v>1817</v>
      </c>
      <c r="D155" s="616" t="s">
        <v>1447</v>
      </c>
      <c r="E155" s="643">
        <v>90</v>
      </c>
      <c r="F155" s="643">
        <v>80</v>
      </c>
      <c r="G155" s="643">
        <v>85</v>
      </c>
      <c r="H155" s="643">
        <v>100</v>
      </c>
      <c r="I155" s="643">
        <v>100</v>
      </c>
      <c r="J155" s="643">
        <v>100</v>
      </c>
      <c r="K155" s="643">
        <v>100</v>
      </c>
      <c r="L155" s="643">
        <v>100</v>
      </c>
      <c r="M155" s="643">
        <v>90</v>
      </c>
      <c r="N155" s="643">
        <v>100</v>
      </c>
      <c r="O155" s="643">
        <v>100</v>
      </c>
      <c r="P155" s="643">
        <v>100</v>
      </c>
      <c r="Q155" s="643">
        <v>90</v>
      </c>
      <c r="R155" s="643">
        <v>90</v>
      </c>
      <c r="S155" s="643">
        <v>95</v>
      </c>
      <c r="T155" s="643">
        <v>100</v>
      </c>
      <c r="U155" s="643">
        <v>100</v>
      </c>
      <c r="V155" s="643">
        <v>95</v>
      </c>
      <c r="W155" s="643">
        <v>80</v>
      </c>
      <c r="X155" s="643">
        <v>90</v>
      </c>
      <c r="Y155" s="643">
        <v>100</v>
      </c>
      <c r="Z155" s="643">
        <v>95</v>
      </c>
      <c r="AA155" s="643">
        <v>90</v>
      </c>
      <c r="AB155" s="643">
        <v>100</v>
      </c>
      <c r="AC155" s="98"/>
      <c r="AD155" s="98"/>
      <c r="AE155" s="98"/>
      <c r="AF155" s="98"/>
      <c r="AG155" s="98"/>
      <c r="AH155" s="98"/>
    </row>
    <row r="156" spans="1:34" s="478" customFormat="1" ht="27" customHeight="1">
      <c r="A156" s="30"/>
      <c r="B156" s="801"/>
      <c r="C156" s="615" t="s">
        <v>1818</v>
      </c>
      <c r="D156" s="616" t="s">
        <v>1449</v>
      </c>
      <c r="E156" s="643">
        <v>80</v>
      </c>
      <c r="F156" s="643">
        <v>80</v>
      </c>
      <c r="G156" s="643">
        <v>90</v>
      </c>
      <c r="H156" s="643">
        <v>85</v>
      </c>
      <c r="I156" s="643">
        <v>75</v>
      </c>
      <c r="J156" s="643">
        <v>100</v>
      </c>
      <c r="K156" s="643">
        <v>100</v>
      </c>
      <c r="L156" s="643">
        <v>100</v>
      </c>
      <c r="M156" s="643">
        <v>80</v>
      </c>
      <c r="N156" s="643">
        <v>100</v>
      </c>
      <c r="O156" s="643">
        <v>100</v>
      </c>
      <c r="P156" s="643">
        <v>100</v>
      </c>
      <c r="Q156" s="643">
        <v>100</v>
      </c>
      <c r="R156" s="643">
        <v>100</v>
      </c>
      <c r="S156" s="643">
        <v>80</v>
      </c>
      <c r="T156" s="643">
        <v>70</v>
      </c>
      <c r="U156" s="643">
        <v>80</v>
      </c>
      <c r="V156" s="643">
        <v>80</v>
      </c>
      <c r="W156" s="643">
        <v>90</v>
      </c>
      <c r="X156" s="643">
        <v>90</v>
      </c>
      <c r="Y156" s="643">
        <v>90</v>
      </c>
      <c r="Z156" s="643">
        <v>100</v>
      </c>
      <c r="AA156" s="643">
        <v>95</v>
      </c>
      <c r="AB156" s="643">
        <v>70</v>
      </c>
      <c r="AC156" s="98"/>
      <c r="AD156" s="98"/>
      <c r="AE156" s="98"/>
      <c r="AF156" s="98"/>
      <c r="AG156" s="98"/>
      <c r="AH156" s="98"/>
    </row>
    <row r="157" spans="1:34" s="478" customFormat="1" ht="27" customHeight="1">
      <c r="A157" s="30"/>
      <c r="B157" s="801"/>
      <c r="C157" s="615" t="s">
        <v>1819</v>
      </c>
      <c r="D157" s="616" t="s">
        <v>1637</v>
      </c>
      <c r="E157" s="657">
        <v>95</v>
      </c>
      <c r="F157" s="657"/>
      <c r="G157" s="657">
        <v>100</v>
      </c>
      <c r="H157" s="657">
        <v>100</v>
      </c>
      <c r="I157" s="657">
        <v>100</v>
      </c>
      <c r="J157" s="657"/>
      <c r="K157" s="657">
        <v>100</v>
      </c>
      <c r="L157" s="657">
        <v>100</v>
      </c>
      <c r="M157" s="657">
        <v>100</v>
      </c>
      <c r="N157" s="657">
        <v>100</v>
      </c>
      <c r="O157" s="657">
        <v>100</v>
      </c>
      <c r="P157" s="657">
        <v>100</v>
      </c>
      <c r="Q157" s="657">
        <v>100</v>
      </c>
      <c r="R157" s="657">
        <v>100</v>
      </c>
      <c r="S157" s="657">
        <v>80</v>
      </c>
      <c r="T157" s="657">
        <v>100</v>
      </c>
      <c r="U157" s="657">
        <v>100</v>
      </c>
      <c r="V157" s="657">
        <v>100</v>
      </c>
      <c r="W157" s="657">
        <v>95</v>
      </c>
      <c r="X157" s="657">
        <v>100</v>
      </c>
      <c r="Y157" s="657">
        <v>100</v>
      </c>
      <c r="Z157" s="657">
        <v>100</v>
      </c>
      <c r="AA157" s="657">
        <v>100</v>
      </c>
      <c r="AB157" s="657">
        <v>90</v>
      </c>
      <c r="AC157" s="98"/>
      <c r="AD157" s="98"/>
      <c r="AE157" s="98"/>
      <c r="AF157" s="98"/>
      <c r="AG157" s="98"/>
      <c r="AH157" s="98"/>
    </row>
    <row r="158" spans="1:34" s="478" customFormat="1" ht="27" customHeight="1">
      <c r="A158" s="30"/>
      <c r="B158" s="801"/>
      <c r="C158" s="615" t="s">
        <v>1820</v>
      </c>
      <c r="D158" s="616" t="s">
        <v>1640</v>
      </c>
      <c r="E158" s="657">
        <v>100</v>
      </c>
      <c r="F158" s="657">
        <v>100</v>
      </c>
      <c r="G158" s="657">
        <v>100</v>
      </c>
      <c r="H158" s="657">
        <v>100</v>
      </c>
      <c r="I158" s="657">
        <v>100</v>
      </c>
      <c r="J158" s="657">
        <v>100</v>
      </c>
      <c r="K158" s="657">
        <v>100</v>
      </c>
      <c r="L158" s="657">
        <v>100</v>
      </c>
      <c r="M158" s="657">
        <v>100</v>
      </c>
      <c r="N158" s="657">
        <v>100</v>
      </c>
      <c r="O158" s="657">
        <v>100</v>
      </c>
      <c r="P158" s="657">
        <v>100</v>
      </c>
      <c r="Q158" s="657">
        <v>100</v>
      </c>
      <c r="R158" s="657">
        <v>100</v>
      </c>
      <c r="S158" s="657">
        <v>100</v>
      </c>
      <c r="T158" s="657">
        <v>100</v>
      </c>
      <c r="U158" s="657">
        <v>100</v>
      </c>
      <c r="V158" s="657">
        <v>100</v>
      </c>
      <c r="W158" s="657">
        <v>100</v>
      </c>
      <c r="X158" s="657">
        <v>100</v>
      </c>
      <c r="Y158" s="657">
        <v>100</v>
      </c>
      <c r="Z158" s="657">
        <v>100</v>
      </c>
      <c r="AA158" s="657">
        <v>100</v>
      </c>
      <c r="AB158" s="657">
        <v>100</v>
      </c>
      <c r="AC158" s="98"/>
      <c r="AD158" s="98"/>
      <c r="AE158" s="98"/>
      <c r="AF158" s="98"/>
      <c r="AG158" s="98"/>
      <c r="AH158" s="98"/>
    </row>
    <row r="159" spans="1:34" ht="27" customHeight="1">
      <c r="A159" s="30"/>
      <c r="B159" s="801"/>
      <c r="C159" s="615" t="s">
        <v>1827</v>
      </c>
      <c r="D159" s="616" t="s">
        <v>1510</v>
      </c>
      <c r="E159" s="657">
        <v>100</v>
      </c>
      <c r="F159" s="657">
        <v>100</v>
      </c>
      <c r="G159" s="657">
        <v>100</v>
      </c>
      <c r="H159" s="657">
        <v>95</v>
      </c>
      <c r="I159" s="657">
        <v>100</v>
      </c>
      <c r="J159" s="657">
        <v>100</v>
      </c>
      <c r="K159" s="657">
        <v>100</v>
      </c>
      <c r="L159" s="657">
        <v>90</v>
      </c>
      <c r="M159" s="657">
        <v>90</v>
      </c>
      <c r="N159" s="657">
        <v>100</v>
      </c>
      <c r="O159" s="657">
        <v>95</v>
      </c>
      <c r="P159" s="657">
        <v>100</v>
      </c>
      <c r="Q159" s="657">
        <v>100</v>
      </c>
      <c r="R159" s="657">
        <v>100</v>
      </c>
      <c r="S159" s="657">
        <v>100</v>
      </c>
      <c r="T159" s="657">
        <v>100</v>
      </c>
      <c r="U159" s="657">
        <v>100</v>
      </c>
      <c r="V159" s="657">
        <v>100</v>
      </c>
      <c r="W159" s="657">
        <v>90</v>
      </c>
      <c r="X159" s="657">
        <v>100</v>
      </c>
      <c r="Y159" s="657">
        <v>100</v>
      </c>
      <c r="Z159" s="657">
        <v>90</v>
      </c>
      <c r="AA159" s="657">
        <v>100</v>
      </c>
      <c r="AB159" s="657">
        <v>90</v>
      </c>
      <c r="AC159" s="98"/>
      <c r="AD159" s="98"/>
      <c r="AE159" s="98"/>
      <c r="AF159" s="98"/>
      <c r="AG159" s="98"/>
      <c r="AH159" s="98"/>
    </row>
    <row r="160" spans="1:34" ht="36.75" customHeight="1">
      <c r="A160" s="30"/>
      <c r="B160" s="801"/>
      <c r="C160" s="615" t="s">
        <v>1822</v>
      </c>
      <c r="D160" s="616" t="s">
        <v>1512</v>
      </c>
      <c r="E160" s="657">
        <v>100</v>
      </c>
      <c r="F160" s="657">
        <v>100</v>
      </c>
      <c r="G160" s="657">
        <v>90</v>
      </c>
      <c r="H160" s="657">
        <v>100</v>
      </c>
      <c r="I160" s="657">
        <v>100</v>
      </c>
      <c r="J160" s="657">
        <v>100</v>
      </c>
      <c r="K160" s="657">
        <v>100</v>
      </c>
      <c r="L160" s="657">
        <v>100</v>
      </c>
      <c r="M160" s="657">
        <v>100</v>
      </c>
      <c r="N160" s="657">
        <v>100</v>
      </c>
      <c r="O160" s="657">
        <v>100</v>
      </c>
      <c r="P160" s="657">
        <v>100</v>
      </c>
      <c r="Q160" s="657">
        <v>100</v>
      </c>
      <c r="R160" s="657">
        <v>100</v>
      </c>
      <c r="S160" s="657">
        <v>100</v>
      </c>
      <c r="T160" s="657">
        <v>100</v>
      </c>
      <c r="U160" s="657">
        <v>100</v>
      </c>
      <c r="V160" s="657">
        <v>100</v>
      </c>
      <c r="W160" s="657">
        <v>90</v>
      </c>
      <c r="X160" s="657">
        <v>100</v>
      </c>
      <c r="Y160" s="657">
        <v>100</v>
      </c>
      <c r="Z160" s="657">
        <v>90</v>
      </c>
      <c r="AA160" s="657">
        <v>100</v>
      </c>
      <c r="AB160" s="657">
        <v>90</v>
      </c>
      <c r="AC160" s="98"/>
      <c r="AD160" s="98"/>
      <c r="AE160" s="98"/>
      <c r="AF160" s="98"/>
      <c r="AG160" s="98"/>
      <c r="AH160" s="98"/>
    </row>
    <row r="161" spans="1:34" ht="27" hidden="1" customHeight="1">
      <c r="A161" s="30"/>
      <c r="B161" s="801"/>
      <c r="C161" s="74"/>
      <c r="D161" s="72"/>
      <c r="E161" s="98"/>
      <c r="F161" s="98"/>
      <c r="G161" s="98"/>
      <c r="H161" s="98"/>
      <c r="I161" s="98"/>
      <c r="J161" s="98"/>
      <c r="K161" s="98"/>
      <c r="L161" s="98"/>
      <c r="M161" s="98"/>
      <c r="N161" s="98"/>
      <c r="O161" s="98"/>
      <c r="P161" s="98"/>
      <c r="Q161" s="98"/>
      <c r="R161" s="98"/>
      <c r="S161" s="98"/>
      <c r="T161" s="98"/>
      <c r="U161" s="98"/>
      <c r="V161" s="98"/>
      <c r="W161" s="98"/>
      <c r="X161" s="98"/>
      <c r="Y161" s="98"/>
      <c r="Z161" s="98"/>
      <c r="AA161" s="98"/>
      <c r="AB161" s="98"/>
      <c r="AC161" s="98"/>
      <c r="AD161" s="98"/>
      <c r="AE161" s="98"/>
      <c r="AF161" s="98"/>
      <c r="AG161" s="98"/>
      <c r="AH161" s="98"/>
    </row>
    <row r="162" spans="1:34" ht="27" hidden="1" customHeight="1">
      <c r="A162" s="30"/>
      <c r="B162" s="801"/>
      <c r="C162" s="74"/>
      <c r="D162" s="72"/>
      <c r="E162" s="98"/>
      <c r="F162" s="98"/>
      <c r="G162" s="98"/>
      <c r="H162" s="98"/>
      <c r="I162" s="98"/>
      <c r="J162" s="98"/>
      <c r="K162" s="98"/>
      <c r="L162" s="98"/>
      <c r="M162" s="98"/>
      <c r="N162" s="98"/>
      <c r="O162" s="98"/>
      <c r="P162" s="98"/>
      <c r="Q162" s="98"/>
      <c r="R162" s="98"/>
      <c r="S162" s="98"/>
      <c r="T162" s="98"/>
      <c r="U162" s="98"/>
      <c r="V162" s="98"/>
      <c r="W162" s="98"/>
      <c r="X162" s="98"/>
      <c r="Y162" s="98"/>
      <c r="Z162" s="98"/>
      <c r="AA162" s="98"/>
      <c r="AB162" s="98"/>
      <c r="AC162" s="98"/>
      <c r="AD162" s="98"/>
      <c r="AE162" s="98"/>
      <c r="AF162" s="98"/>
      <c r="AG162" s="98"/>
      <c r="AH162" s="98"/>
    </row>
    <row r="163" spans="1:34" ht="27" hidden="1" customHeight="1">
      <c r="A163" s="30"/>
      <c r="B163" s="801"/>
      <c r="C163" s="74"/>
      <c r="D163" s="72"/>
      <c r="E163" s="98"/>
      <c r="F163" s="98"/>
      <c r="G163" s="98"/>
      <c r="H163" s="98"/>
      <c r="I163" s="98"/>
      <c r="J163" s="98"/>
      <c r="K163" s="98"/>
      <c r="L163" s="98"/>
      <c r="M163" s="98"/>
      <c r="N163" s="98"/>
      <c r="O163" s="98"/>
      <c r="P163" s="98"/>
      <c r="Q163" s="98"/>
      <c r="R163" s="98"/>
      <c r="S163" s="98"/>
      <c r="T163" s="98"/>
      <c r="U163" s="98"/>
      <c r="V163" s="98"/>
      <c r="W163" s="98"/>
      <c r="X163" s="98"/>
      <c r="Y163" s="98"/>
      <c r="Z163" s="98"/>
      <c r="AA163" s="98"/>
      <c r="AB163" s="98"/>
      <c r="AC163" s="98"/>
      <c r="AD163" s="98"/>
      <c r="AE163" s="98"/>
      <c r="AF163" s="98"/>
      <c r="AG163" s="98"/>
      <c r="AH163" s="98"/>
    </row>
    <row r="164" spans="1:34" ht="27" hidden="1" customHeight="1">
      <c r="A164" s="30"/>
      <c r="B164" s="802"/>
      <c r="C164" s="74"/>
      <c r="D164" s="72"/>
      <c r="E164" s="98"/>
      <c r="F164" s="98"/>
      <c r="G164" s="98"/>
      <c r="H164" s="98"/>
      <c r="I164" s="98"/>
      <c r="J164" s="98"/>
      <c r="K164" s="98"/>
      <c r="L164" s="98"/>
      <c r="M164" s="98"/>
      <c r="N164" s="98"/>
      <c r="O164" s="98"/>
      <c r="P164" s="98"/>
      <c r="Q164" s="98"/>
      <c r="R164" s="98"/>
      <c r="S164" s="98"/>
      <c r="T164" s="98"/>
      <c r="U164" s="98"/>
      <c r="V164" s="98"/>
      <c r="W164" s="98"/>
      <c r="X164" s="98"/>
      <c r="Y164" s="98"/>
      <c r="Z164" s="98"/>
      <c r="AA164" s="98"/>
      <c r="AB164" s="98"/>
      <c r="AC164" s="98"/>
      <c r="AD164" s="98"/>
      <c r="AE164" s="98"/>
      <c r="AF164" s="98"/>
      <c r="AG164" s="98"/>
      <c r="AH164" s="98"/>
    </row>
    <row r="165" spans="1:34" ht="27" hidden="1" customHeight="1">
      <c r="A165" s="30"/>
      <c r="B165" s="794">
        <v>9</v>
      </c>
      <c r="C165" s="795"/>
      <c r="D165" s="796"/>
      <c r="E165" s="97" t="str">
        <f>IFERROR(AVERAGE(E166:E172),"")</f>
        <v/>
      </c>
      <c r="F165" s="97" t="str">
        <f t="shared" ref="F165:AH165" si="14">IFERROR(AVERAGE(F166:F172),"")</f>
        <v/>
      </c>
      <c r="G165" s="97" t="str">
        <f t="shared" si="14"/>
        <v/>
      </c>
      <c r="H165" s="97" t="str">
        <f t="shared" si="14"/>
        <v/>
      </c>
      <c r="I165" s="97" t="str">
        <f t="shared" si="14"/>
        <v/>
      </c>
      <c r="J165" s="97" t="str">
        <f t="shared" si="14"/>
        <v/>
      </c>
      <c r="K165" s="97" t="str">
        <f t="shared" si="14"/>
        <v/>
      </c>
      <c r="L165" s="97" t="str">
        <f t="shared" si="14"/>
        <v/>
      </c>
      <c r="M165" s="97" t="str">
        <f t="shared" si="14"/>
        <v/>
      </c>
      <c r="N165" s="97" t="str">
        <f t="shared" si="14"/>
        <v/>
      </c>
      <c r="O165" s="97" t="str">
        <f t="shared" si="14"/>
        <v/>
      </c>
      <c r="P165" s="97" t="str">
        <f t="shared" si="14"/>
        <v/>
      </c>
      <c r="Q165" s="97" t="str">
        <f t="shared" si="14"/>
        <v/>
      </c>
      <c r="R165" s="97" t="str">
        <f t="shared" si="14"/>
        <v/>
      </c>
      <c r="S165" s="97" t="str">
        <f t="shared" si="14"/>
        <v/>
      </c>
      <c r="T165" s="97" t="str">
        <f t="shared" si="14"/>
        <v/>
      </c>
      <c r="U165" s="97" t="str">
        <f t="shared" si="14"/>
        <v/>
      </c>
      <c r="V165" s="97" t="str">
        <f t="shared" si="14"/>
        <v/>
      </c>
      <c r="W165" s="97" t="str">
        <f t="shared" si="14"/>
        <v/>
      </c>
      <c r="X165" s="97" t="str">
        <f t="shared" si="14"/>
        <v/>
      </c>
      <c r="Y165" s="97" t="str">
        <f t="shared" si="14"/>
        <v/>
      </c>
      <c r="Z165" s="97" t="str">
        <f t="shared" si="14"/>
        <v/>
      </c>
      <c r="AA165" s="97" t="str">
        <f t="shared" si="14"/>
        <v/>
      </c>
      <c r="AB165" s="97" t="str">
        <f t="shared" si="14"/>
        <v/>
      </c>
      <c r="AC165" s="97" t="str">
        <f t="shared" si="14"/>
        <v/>
      </c>
      <c r="AD165" s="97" t="str">
        <f t="shared" si="14"/>
        <v/>
      </c>
      <c r="AE165" s="97" t="str">
        <f t="shared" si="14"/>
        <v/>
      </c>
      <c r="AF165" s="97" t="str">
        <f t="shared" si="14"/>
        <v/>
      </c>
      <c r="AG165" s="97" t="str">
        <f t="shared" si="14"/>
        <v/>
      </c>
      <c r="AH165" s="97" t="str">
        <f t="shared" si="14"/>
        <v/>
      </c>
    </row>
    <row r="166" spans="1:34" ht="27" hidden="1" customHeight="1">
      <c r="A166" s="30"/>
      <c r="B166" s="794"/>
      <c r="C166" s="74" t="s">
        <v>201</v>
      </c>
      <c r="D166" s="72"/>
      <c r="E166" s="98"/>
      <c r="F166" s="98"/>
      <c r="G166" s="98"/>
      <c r="H166" s="98"/>
      <c r="I166" s="98"/>
      <c r="J166" s="98"/>
      <c r="K166" s="98"/>
      <c r="L166" s="98"/>
      <c r="M166" s="98"/>
      <c r="N166" s="98"/>
      <c r="O166" s="98"/>
      <c r="P166" s="98"/>
      <c r="Q166" s="98"/>
      <c r="R166" s="98"/>
      <c r="S166" s="98"/>
      <c r="T166" s="98"/>
      <c r="U166" s="98"/>
      <c r="V166" s="98"/>
      <c r="W166" s="98"/>
      <c r="X166" s="98"/>
      <c r="Y166" s="98"/>
      <c r="Z166" s="98"/>
      <c r="AA166" s="98"/>
      <c r="AB166" s="98"/>
      <c r="AC166" s="98"/>
      <c r="AD166" s="98"/>
      <c r="AE166" s="98"/>
      <c r="AF166" s="98"/>
      <c r="AG166" s="98"/>
      <c r="AH166" s="98"/>
    </row>
    <row r="167" spans="1:34" ht="27" hidden="1" customHeight="1">
      <c r="A167" s="30"/>
      <c r="B167" s="794"/>
      <c r="C167" s="74" t="s">
        <v>202</v>
      </c>
      <c r="D167" s="72"/>
      <c r="E167" s="98"/>
      <c r="F167" s="98"/>
      <c r="G167" s="98"/>
      <c r="H167" s="98"/>
      <c r="I167" s="98"/>
      <c r="J167" s="98"/>
      <c r="K167" s="98"/>
      <c r="L167" s="98"/>
      <c r="M167" s="98"/>
      <c r="N167" s="98"/>
      <c r="O167" s="98"/>
      <c r="P167" s="98"/>
      <c r="Q167" s="98"/>
      <c r="R167" s="98"/>
      <c r="S167" s="98"/>
      <c r="T167" s="98"/>
      <c r="U167" s="98"/>
      <c r="V167" s="98"/>
      <c r="W167" s="98"/>
      <c r="X167" s="98"/>
      <c r="Y167" s="98"/>
      <c r="Z167" s="98"/>
      <c r="AA167" s="98"/>
      <c r="AB167" s="98"/>
      <c r="AC167" s="98"/>
      <c r="AD167" s="98"/>
      <c r="AE167" s="98"/>
      <c r="AF167" s="98"/>
      <c r="AG167" s="98"/>
      <c r="AH167" s="98"/>
    </row>
    <row r="168" spans="1:34" ht="27" hidden="1" customHeight="1">
      <c r="A168" s="30"/>
      <c r="B168" s="794"/>
      <c r="C168" s="74" t="s">
        <v>203</v>
      </c>
      <c r="D168" s="72"/>
      <c r="E168" s="98"/>
      <c r="F168" s="98"/>
      <c r="G168" s="98"/>
      <c r="H168" s="98"/>
      <c r="I168" s="98"/>
      <c r="J168" s="98"/>
      <c r="K168" s="98"/>
      <c r="L168" s="98"/>
      <c r="M168" s="98"/>
      <c r="N168" s="98"/>
      <c r="O168" s="98"/>
      <c r="P168" s="98"/>
      <c r="Q168" s="98"/>
      <c r="R168" s="98"/>
      <c r="S168" s="98"/>
      <c r="T168" s="98"/>
      <c r="U168" s="98"/>
      <c r="V168" s="98"/>
      <c r="W168" s="98"/>
      <c r="X168" s="98"/>
      <c r="Y168" s="98"/>
      <c r="Z168" s="98"/>
      <c r="AA168" s="98"/>
      <c r="AB168" s="98"/>
      <c r="AC168" s="98"/>
      <c r="AD168" s="98"/>
      <c r="AE168" s="98"/>
      <c r="AF168" s="98"/>
      <c r="AG168" s="98"/>
      <c r="AH168" s="98"/>
    </row>
    <row r="169" spans="1:34" ht="27" hidden="1" customHeight="1">
      <c r="A169" s="30"/>
      <c r="B169" s="794"/>
      <c r="C169" s="74" t="s">
        <v>204</v>
      </c>
      <c r="D169" s="72"/>
      <c r="E169" s="98"/>
      <c r="F169" s="98"/>
      <c r="G169" s="98"/>
      <c r="H169" s="98"/>
      <c r="I169" s="98"/>
      <c r="J169" s="98"/>
      <c r="K169" s="98"/>
      <c r="L169" s="98"/>
      <c r="M169" s="98"/>
      <c r="N169" s="98"/>
      <c r="O169" s="98"/>
      <c r="P169" s="98"/>
      <c r="Q169" s="98"/>
      <c r="R169" s="98"/>
      <c r="S169" s="98"/>
      <c r="T169" s="98"/>
      <c r="U169" s="98"/>
      <c r="V169" s="98"/>
      <c r="W169" s="98"/>
      <c r="X169" s="98"/>
      <c r="Y169" s="98"/>
      <c r="Z169" s="98"/>
      <c r="AA169" s="98"/>
      <c r="AB169" s="98"/>
      <c r="AC169" s="98"/>
      <c r="AD169" s="98"/>
      <c r="AE169" s="98"/>
      <c r="AF169" s="98"/>
      <c r="AG169" s="98"/>
      <c r="AH169" s="98"/>
    </row>
    <row r="170" spans="1:34" ht="27" hidden="1" customHeight="1">
      <c r="A170" s="30"/>
      <c r="B170" s="794"/>
      <c r="C170" s="74" t="s">
        <v>205</v>
      </c>
      <c r="D170" s="72"/>
      <c r="E170" s="98"/>
      <c r="F170" s="98"/>
      <c r="G170" s="98"/>
      <c r="H170" s="98"/>
      <c r="I170" s="98"/>
      <c r="J170" s="98"/>
      <c r="K170" s="98"/>
      <c r="L170" s="98"/>
      <c r="M170" s="98"/>
      <c r="N170" s="98"/>
      <c r="O170" s="98"/>
      <c r="P170" s="98"/>
      <c r="Q170" s="98"/>
      <c r="R170" s="98"/>
      <c r="S170" s="98"/>
      <c r="T170" s="98"/>
      <c r="U170" s="98"/>
      <c r="V170" s="98"/>
      <c r="W170" s="98"/>
      <c r="X170" s="98"/>
      <c r="Y170" s="98"/>
      <c r="Z170" s="98"/>
      <c r="AA170" s="98"/>
      <c r="AB170" s="98"/>
      <c r="AC170" s="98"/>
      <c r="AD170" s="98"/>
      <c r="AE170" s="98"/>
      <c r="AF170" s="98"/>
      <c r="AG170" s="98"/>
      <c r="AH170" s="98"/>
    </row>
    <row r="171" spans="1:34" ht="27" hidden="1" customHeight="1">
      <c r="A171" s="30"/>
      <c r="B171" s="794"/>
      <c r="C171" s="74" t="s">
        <v>206</v>
      </c>
      <c r="D171" s="72"/>
      <c r="E171" s="98"/>
      <c r="F171" s="98"/>
      <c r="G171" s="98"/>
      <c r="H171" s="98"/>
      <c r="I171" s="98"/>
      <c r="J171" s="98"/>
      <c r="K171" s="98"/>
      <c r="L171" s="98"/>
      <c r="M171" s="98"/>
      <c r="N171" s="98"/>
      <c r="O171" s="98"/>
      <c r="P171" s="98"/>
      <c r="Q171" s="98"/>
      <c r="R171" s="98"/>
      <c r="S171" s="98"/>
      <c r="T171" s="98"/>
      <c r="U171" s="98"/>
      <c r="V171" s="98"/>
      <c r="W171" s="98"/>
      <c r="X171" s="98"/>
      <c r="Y171" s="98"/>
      <c r="Z171" s="98"/>
      <c r="AA171" s="98"/>
      <c r="AB171" s="98"/>
      <c r="AC171" s="98"/>
      <c r="AD171" s="98"/>
      <c r="AE171" s="98"/>
      <c r="AF171" s="98"/>
      <c r="AG171" s="98"/>
      <c r="AH171" s="98"/>
    </row>
    <row r="172" spans="1:34" ht="27" hidden="1" customHeight="1">
      <c r="A172" s="30"/>
      <c r="B172" s="794"/>
      <c r="C172" s="74" t="s">
        <v>207</v>
      </c>
      <c r="D172" s="72"/>
      <c r="E172" s="98"/>
      <c r="F172" s="98"/>
      <c r="G172" s="98"/>
      <c r="H172" s="98"/>
      <c r="I172" s="98"/>
      <c r="J172" s="98"/>
      <c r="K172" s="98"/>
      <c r="L172" s="98"/>
      <c r="M172" s="98"/>
      <c r="N172" s="98"/>
      <c r="O172" s="98"/>
      <c r="P172" s="98"/>
      <c r="Q172" s="98"/>
      <c r="R172" s="98"/>
      <c r="S172" s="98"/>
      <c r="T172" s="98"/>
      <c r="U172" s="98"/>
      <c r="V172" s="98"/>
      <c r="W172" s="98"/>
      <c r="X172" s="98"/>
      <c r="Y172" s="98"/>
      <c r="Z172" s="98"/>
      <c r="AA172" s="98"/>
      <c r="AB172" s="98"/>
      <c r="AC172" s="98"/>
      <c r="AD172" s="98"/>
      <c r="AE172" s="98"/>
      <c r="AF172" s="98"/>
      <c r="AG172" s="98"/>
      <c r="AH172" s="98"/>
    </row>
    <row r="173" spans="1:34" ht="27" hidden="1" customHeight="1">
      <c r="A173" s="30"/>
      <c r="B173" s="800">
        <v>10</v>
      </c>
      <c r="C173" s="795"/>
      <c r="D173" s="796"/>
      <c r="E173" s="97" t="str">
        <f>IFERROR(AVERAGE(E174:E180),"")</f>
        <v/>
      </c>
      <c r="F173" s="97" t="str">
        <f t="shared" ref="F173:AH173" si="15">IFERROR(AVERAGE(F174:F180),"")</f>
        <v/>
      </c>
      <c r="G173" s="97" t="str">
        <f t="shared" si="15"/>
        <v/>
      </c>
      <c r="H173" s="97" t="str">
        <f t="shared" si="15"/>
        <v/>
      </c>
      <c r="I173" s="97" t="str">
        <f t="shared" si="15"/>
        <v/>
      </c>
      <c r="J173" s="97" t="str">
        <f t="shared" si="15"/>
        <v/>
      </c>
      <c r="K173" s="97" t="str">
        <f t="shared" si="15"/>
        <v/>
      </c>
      <c r="L173" s="97" t="str">
        <f t="shared" si="15"/>
        <v/>
      </c>
      <c r="M173" s="97" t="str">
        <f t="shared" si="15"/>
        <v/>
      </c>
      <c r="N173" s="97" t="str">
        <f t="shared" si="15"/>
        <v/>
      </c>
      <c r="O173" s="97" t="str">
        <f t="shared" si="15"/>
        <v/>
      </c>
      <c r="P173" s="97" t="str">
        <f t="shared" si="15"/>
        <v/>
      </c>
      <c r="Q173" s="97" t="str">
        <f t="shared" si="15"/>
        <v/>
      </c>
      <c r="R173" s="97" t="str">
        <f t="shared" si="15"/>
        <v/>
      </c>
      <c r="S173" s="97" t="str">
        <f t="shared" si="15"/>
        <v/>
      </c>
      <c r="T173" s="97" t="str">
        <f t="shared" si="15"/>
        <v/>
      </c>
      <c r="U173" s="97" t="str">
        <f t="shared" si="15"/>
        <v/>
      </c>
      <c r="V173" s="97" t="str">
        <f t="shared" si="15"/>
        <v/>
      </c>
      <c r="W173" s="97" t="str">
        <f t="shared" si="15"/>
        <v/>
      </c>
      <c r="X173" s="97" t="str">
        <f t="shared" si="15"/>
        <v/>
      </c>
      <c r="Y173" s="97" t="str">
        <f t="shared" si="15"/>
        <v/>
      </c>
      <c r="Z173" s="97" t="str">
        <f t="shared" si="15"/>
        <v/>
      </c>
      <c r="AA173" s="97" t="str">
        <f t="shared" si="15"/>
        <v/>
      </c>
      <c r="AB173" s="97" t="str">
        <f t="shared" si="15"/>
        <v/>
      </c>
      <c r="AC173" s="97" t="str">
        <f t="shared" si="15"/>
        <v/>
      </c>
      <c r="AD173" s="97" t="str">
        <f t="shared" si="15"/>
        <v/>
      </c>
      <c r="AE173" s="97" t="str">
        <f t="shared" si="15"/>
        <v/>
      </c>
      <c r="AF173" s="97" t="str">
        <f t="shared" si="15"/>
        <v/>
      </c>
      <c r="AG173" s="97" t="str">
        <f t="shared" si="15"/>
        <v/>
      </c>
      <c r="AH173" s="97" t="str">
        <f t="shared" si="15"/>
        <v/>
      </c>
    </row>
    <row r="174" spans="1:34" ht="27" hidden="1" customHeight="1">
      <c r="A174" s="30"/>
      <c r="B174" s="801"/>
      <c r="C174" s="74" t="s">
        <v>208</v>
      </c>
      <c r="D174" s="72"/>
      <c r="E174" s="98"/>
      <c r="F174" s="98"/>
      <c r="G174" s="98"/>
      <c r="H174" s="98"/>
      <c r="I174" s="98"/>
      <c r="J174" s="98"/>
      <c r="K174" s="98"/>
      <c r="L174" s="98"/>
      <c r="M174" s="98"/>
      <c r="N174" s="98"/>
      <c r="O174" s="98"/>
      <c r="P174" s="98"/>
      <c r="Q174" s="98"/>
      <c r="R174" s="98"/>
      <c r="S174" s="98"/>
      <c r="T174" s="98"/>
      <c r="U174" s="98"/>
      <c r="V174" s="98"/>
      <c r="W174" s="98"/>
      <c r="X174" s="98"/>
      <c r="Y174" s="98"/>
      <c r="Z174" s="98"/>
      <c r="AA174" s="98"/>
      <c r="AB174" s="98"/>
      <c r="AC174" s="98"/>
      <c r="AD174" s="98"/>
      <c r="AE174" s="98"/>
      <c r="AF174" s="98"/>
      <c r="AG174" s="98"/>
      <c r="AH174" s="98"/>
    </row>
    <row r="175" spans="1:34" ht="27" hidden="1" customHeight="1">
      <c r="A175" s="30"/>
      <c r="B175" s="801"/>
      <c r="C175" s="74" t="s">
        <v>209</v>
      </c>
      <c r="D175" s="72"/>
      <c r="E175" s="98"/>
      <c r="F175" s="98"/>
      <c r="G175" s="98"/>
      <c r="H175" s="98"/>
      <c r="I175" s="98"/>
      <c r="J175" s="98"/>
      <c r="K175" s="98"/>
      <c r="L175" s="98"/>
      <c r="M175" s="98"/>
      <c r="N175" s="98"/>
      <c r="O175" s="98"/>
      <c r="P175" s="98"/>
      <c r="Q175" s="98"/>
      <c r="R175" s="98"/>
      <c r="S175" s="98"/>
      <c r="T175" s="98"/>
      <c r="U175" s="98"/>
      <c r="V175" s="98"/>
      <c r="W175" s="98"/>
      <c r="X175" s="98"/>
      <c r="Y175" s="98"/>
      <c r="Z175" s="98"/>
      <c r="AA175" s="98"/>
      <c r="AB175" s="98"/>
      <c r="AC175" s="98"/>
      <c r="AD175" s="98"/>
      <c r="AE175" s="98"/>
      <c r="AF175" s="98"/>
      <c r="AG175" s="98"/>
      <c r="AH175" s="98"/>
    </row>
    <row r="176" spans="1:34" ht="27" hidden="1" customHeight="1">
      <c r="A176" s="30"/>
      <c r="B176" s="801"/>
      <c r="C176" s="74" t="s">
        <v>210</v>
      </c>
      <c r="D176" s="72"/>
      <c r="E176" s="98"/>
      <c r="F176" s="98"/>
      <c r="G176" s="98"/>
      <c r="H176" s="98"/>
      <c r="I176" s="98"/>
      <c r="J176" s="98"/>
      <c r="K176" s="98"/>
      <c r="L176" s="98"/>
      <c r="M176" s="98"/>
      <c r="N176" s="98"/>
      <c r="O176" s="98"/>
      <c r="P176" s="98"/>
      <c r="Q176" s="98"/>
      <c r="R176" s="98"/>
      <c r="S176" s="98"/>
      <c r="T176" s="98"/>
      <c r="U176" s="98"/>
      <c r="V176" s="98"/>
      <c r="W176" s="98"/>
      <c r="X176" s="98"/>
      <c r="Y176" s="98"/>
      <c r="Z176" s="98"/>
      <c r="AA176" s="98"/>
      <c r="AB176" s="98"/>
      <c r="AC176" s="98"/>
      <c r="AD176" s="98"/>
      <c r="AE176" s="98"/>
      <c r="AF176" s="98"/>
      <c r="AG176" s="98"/>
      <c r="AH176" s="98"/>
    </row>
    <row r="177" spans="1:34" ht="27" hidden="1" customHeight="1">
      <c r="A177" s="30"/>
      <c r="B177" s="801"/>
      <c r="C177" s="74" t="s">
        <v>211</v>
      </c>
      <c r="D177" s="72"/>
      <c r="E177" s="98"/>
      <c r="F177" s="98"/>
      <c r="G177" s="98"/>
      <c r="H177" s="98"/>
      <c r="I177" s="98"/>
      <c r="J177" s="98"/>
      <c r="K177" s="98"/>
      <c r="L177" s="98"/>
      <c r="M177" s="98"/>
      <c r="N177" s="98"/>
      <c r="O177" s="98"/>
      <c r="P177" s="98"/>
      <c r="Q177" s="98"/>
      <c r="R177" s="98"/>
      <c r="S177" s="98"/>
      <c r="T177" s="98"/>
      <c r="U177" s="98"/>
      <c r="V177" s="98"/>
      <c r="W177" s="98"/>
      <c r="X177" s="98"/>
      <c r="Y177" s="98"/>
      <c r="Z177" s="98"/>
      <c r="AA177" s="98"/>
      <c r="AB177" s="98"/>
      <c r="AC177" s="98"/>
      <c r="AD177" s="98"/>
      <c r="AE177" s="98"/>
      <c r="AF177" s="98"/>
      <c r="AG177" s="98"/>
      <c r="AH177" s="98"/>
    </row>
    <row r="178" spans="1:34" ht="27" hidden="1" customHeight="1">
      <c r="A178" s="30"/>
      <c r="B178" s="801"/>
      <c r="C178" s="74" t="s">
        <v>212</v>
      </c>
      <c r="D178" s="72"/>
      <c r="E178" s="98"/>
      <c r="F178" s="98"/>
      <c r="G178" s="98"/>
      <c r="H178" s="98"/>
      <c r="I178" s="98"/>
      <c r="J178" s="98"/>
      <c r="K178" s="98"/>
      <c r="L178" s="98"/>
      <c r="M178" s="98"/>
      <c r="N178" s="98"/>
      <c r="O178" s="98"/>
      <c r="P178" s="98"/>
      <c r="Q178" s="98"/>
      <c r="R178" s="98"/>
      <c r="S178" s="98"/>
      <c r="T178" s="98"/>
      <c r="U178" s="98"/>
      <c r="V178" s="98"/>
      <c r="W178" s="98"/>
      <c r="X178" s="98"/>
      <c r="Y178" s="98"/>
      <c r="Z178" s="98"/>
      <c r="AA178" s="98"/>
      <c r="AB178" s="98"/>
      <c r="AC178" s="98"/>
      <c r="AD178" s="98"/>
      <c r="AE178" s="98"/>
      <c r="AF178" s="98"/>
      <c r="AG178" s="98"/>
      <c r="AH178" s="98"/>
    </row>
    <row r="179" spans="1:34" ht="27" hidden="1" customHeight="1">
      <c r="A179" s="30"/>
      <c r="B179" s="801"/>
      <c r="C179" s="74" t="s">
        <v>213</v>
      </c>
      <c r="D179" s="72"/>
      <c r="E179" s="98"/>
      <c r="F179" s="98"/>
      <c r="G179" s="98"/>
      <c r="H179" s="98"/>
      <c r="I179" s="98"/>
      <c r="J179" s="98"/>
      <c r="K179" s="98"/>
      <c r="L179" s="98"/>
      <c r="M179" s="98"/>
      <c r="N179" s="98"/>
      <c r="O179" s="98"/>
      <c r="P179" s="98"/>
      <c r="Q179" s="98"/>
      <c r="R179" s="98"/>
      <c r="S179" s="98"/>
      <c r="T179" s="98"/>
      <c r="U179" s="98"/>
      <c r="V179" s="98"/>
      <c r="W179" s="98"/>
      <c r="X179" s="98"/>
      <c r="Y179" s="98"/>
      <c r="Z179" s="98"/>
      <c r="AA179" s="98"/>
      <c r="AB179" s="98"/>
      <c r="AC179" s="98"/>
      <c r="AD179" s="98"/>
      <c r="AE179" s="98"/>
      <c r="AF179" s="98"/>
      <c r="AG179" s="98"/>
      <c r="AH179" s="98"/>
    </row>
    <row r="180" spans="1:34" ht="27" hidden="1" customHeight="1">
      <c r="A180" s="30"/>
      <c r="B180" s="802"/>
      <c r="C180" s="74" t="s">
        <v>214</v>
      </c>
      <c r="D180" s="72"/>
      <c r="E180" s="98"/>
      <c r="F180" s="98"/>
      <c r="G180" s="98"/>
      <c r="H180" s="98"/>
      <c r="I180" s="98"/>
      <c r="J180" s="98"/>
      <c r="K180" s="98"/>
      <c r="L180" s="98"/>
      <c r="M180" s="98"/>
      <c r="N180" s="98"/>
      <c r="O180" s="98"/>
      <c r="P180" s="98"/>
      <c r="Q180" s="98"/>
      <c r="R180" s="98"/>
      <c r="S180" s="98"/>
      <c r="T180" s="98"/>
      <c r="U180" s="98"/>
      <c r="V180" s="98"/>
      <c r="W180" s="98"/>
      <c r="X180" s="98"/>
      <c r="Y180" s="98"/>
      <c r="Z180" s="98"/>
      <c r="AA180" s="98"/>
      <c r="AB180" s="98"/>
      <c r="AC180" s="98"/>
      <c r="AD180" s="98"/>
      <c r="AE180" s="98"/>
      <c r="AF180" s="98"/>
      <c r="AG180" s="98"/>
      <c r="AH180" s="98"/>
    </row>
    <row r="181" spans="1:34" ht="27" hidden="1" customHeight="1">
      <c r="A181" s="30"/>
      <c r="B181" s="800">
        <v>11</v>
      </c>
      <c r="C181" s="795"/>
      <c r="D181" s="796"/>
      <c r="E181" s="97" t="str">
        <f>IFERROR(AVERAGE(E182:E188),"")</f>
        <v/>
      </c>
      <c r="F181" s="97" t="str">
        <f t="shared" ref="F181:AH181" si="16">IFERROR(AVERAGE(F182:F188),"")</f>
        <v/>
      </c>
      <c r="G181" s="97" t="str">
        <f t="shared" si="16"/>
        <v/>
      </c>
      <c r="H181" s="97" t="str">
        <f t="shared" si="16"/>
        <v/>
      </c>
      <c r="I181" s="97" t="str">
        <f t="shared" si="16"/>
        <v/>
      </c>
      <c r="J181" s="97" t="str">
        <f t="shared" si="16"/>
        <v/>
      </c>
      <c r="K181" s="97" t="str">
        <f t="shared" si="16"/>
        <v/>
      </c>
      <c r="L181" s="97" t="str">
        <f t="shared" si="16"/>
        <v/>
      </c>
      <c r="M181" s="97" t="str">
        <f t="shared" si="16"/>
        <v/>
      </c>
      <c r="N181" s="97" t="str">
        <f t="shared" si="16"/>
        <v/>
      </c>
      <c r="O181" s="97" t="str">
        <f t="shared" si="16"/>
        <v/>
      </c>
      <c r="P181" s="97" t="str">
        <f t="shared" si="16"/>
        <v/>
      </c>
      <c r="Q181" s="97" t="str">
        <f t="shared" si="16"/>
        <v/>
      </c>
      <c r="R181" s="97" t="str">
        <f t="shared" si="16"/>
        <v/>
      </c>
      <c r="S181" s="97" t="str">
        <f t="shared" si="16"/>
        <v/>
      </c>
      <c r="T181" s="97" t="str">
        <f t="shared" si="16"/>
        <v/>
      </c>
      <c r="U181" s="97" t="str">
        <f t="shared" si="16"/>
        <v/>
      </c>
      <c r="V181" s="97" t="str">
        <f t="shared" si="16"/>
        <v/>
      </c>
      <c r="W181" s="97" t="str">
        <f t="shared" si="16"/>
        <v/>
      </c>
      <c r="X181" s="97" t="str">
        <f t="shared" si="16"/>
        <v/>
      </c>
      <c r="Y181" s="97" t="str">
        <f t="shared" si="16"/>
        <v/>
      </c>
      <c r="Z181" s="97" t="str">
        <f t="shared" si="16"/>
        <v/>
      </c>
      <c r="AA181" s="97" t="str">
        <f t="shared" si="16"/>
        <v/>
      </c>
      <c r="AB181" s="97" t="str">
        <f t="shared" si="16"/>
        <v/>
      </c>
      <c r="AC181" s="97" t="str">
        <f t="shared" si="16"/>
        <v/>
      </c>
      <c r="AD181" s="97" t="str">
        <f t="shared" si="16"/>
        <v/>
      </c>
      <c r="AE181" s="97" t="str">
        <f t="shared" si="16"/>
        <v/>
      </c>
      <c r="AF181" s="97" t="str">
        <f t="shared" si="16"/>
        <v/>
      </c>
      <c r="AG181" s="97" t="str">
        <f t="shared" si="16"/>
        <v/>
      </c>
      <c r="AH181" s="97" t="str">
        <f t="shared" si="16"/>
        <v/>
      </c>
    </row>
    <row r="182" spans="1:34" ht="27" hidden="1" customHeight="1">
      <c r="A182" s="30"/>
      <c r="B182" s="801"/>
      <c r="C182" s="74" t="s">
        <v>215</v>
      </c>
      <c r="D182" s="72"/>
      <c r="E182" s="99"/>
      <c r="F182" s="99"/>
      <c r="G182" s="99"/>
      <c r="H182" s="99"/>
      <c r="I182" s="99"/>
      <c r="J182" s="99"/>
      <c r="K182" s="99"/>
      <c r="L182" s="99"/>
      <c r="M182" s="99"/>
      <c r="N182" s="99"/>
      <c r="O182" s="99"/>
      <c r="P182" s="99"/>
      <c r="Q182" s="99"/>
      <c r="R182" s="99"/>
      <c r="S182" s="99"/>
      <c r="T182" s="99"/>
      <c r="U182" s="99"/>
      <c r="V182" s="99"/>
      <c r="W182" s="99"/>
      <c r="X182" s="99"/>
      <c r="Y182" s="99"/>
      <c r="Z182" s="99"/>
      <c r="AA182" s="99"/>
      <c r="AB182" s="99"/>
      <c r="AC182" s="99"/>
      <c r="AD182" s="99"/>
      <c r="AE182" s="99"/>
      <c r="AF182" s="99"/>
      <c r="AG182" s="99"/>
      <c r="AH182" s="99"/>
    </row>
    <row r="183" spans="1:34" ht="27" hidden="1" customHeight="1">
      <c r="A183" s="30"/>
      <c r="B183" s="801"/>
      <c r="C183" s="74" t="s">
        <v>216</v>
      </c>
      <c r="D183" s="72"/>
      <c r="E183" s="98"/>
      <c r="F183" s="98"/>
      <c r="G183" s="98"/>
      <c r="H183" s="98"/>
      <c r="I183" s="98"/>
      <c r="J183" s="98"/>
      <c r="K183" s="98"/>
      <c r="L183" s="98"/>
      <c r="M183" s="98"/>
      <c r="N183" s="98"/>
      <c r="O183" s="98"/>
      <c r="P183" s="98"/>
      <c r="Q183" s="98"/>
      <c r="R183" s="98"/>
      <c r="S183" s="98"/>
      <c r="T183" s="98"/>
      <c r="U183" s="98"/>
      <c r="V183" s="98"/>
      <c r="W183" s="98"/>
      <c r="X183" s="98"/>
      <c r="Y183" s="98"/>
      <c r="Z183" s="98"/>
      <c r="AA183" s="98"/>
      <c r="AB183" s="98"/>
      <c r="AC183" s="98"/>
      <c r="AD183" s="98"/>
      <c r="AE183" s="98"/>
      <c r="AF183" s="98"/>
      <c r="AG183" s="98"/>
      <c r="AH183" s="98"/>
    </row>
    <row r="184" spans="1:34" ht="27" hidden="1" customHeight="1">
      <c r="A184" s="30"/>
      <c r="B184" s="801"/>
      <c r="C184" s="74" t="s">
        <v>217</v>
      </c>
      <c r="D184" s="72"/>
      <c r="E184" s="98"/>
      <c r="F184" s="98"/>
      <c r="G184" s="98"/>
      <c r="H184" s="98"/>
      <c r="I184" s="98"/>
      <c r="J184" s="98"/>
      <c r="K184" s="98"/>
      <c r="L184" s="98"/>
      <c r="M184" s="98"/>
      <c r="N184" s="98"/>
      <c r="O184" s="98"/>
      <c r="P184" s="98"/>
      <c r="Q184" s="98"/>
      <c r="R184" s="98"/>
      <c r="S184" s="98"/>
      <c r="T184" s="98"/>
      <c r="U184" s="98"/>
      <c r="V184" s="98"/>
      <c r="W184" s="98"/>
      <c r="X184" s="98"/>
      <c r="Y184" s="98"/>
      <c r="Z184" s="98"/>
      <c r="AA184" s="98"/>
      <c r="AB184" s="98"/>
      <c r="AC184" s="98"/>
      <c r="AD184" s="98"/>
      <c r="AE184" s="98"/>
      <c r="AF184" s="98"/>
      <c r="AG184" s="98"/>
      <c r="AH184" s="98"/>
    </row>
    <row r="185" spans="1:34" ht="27" hidden="1" customHeight="1">
      <c r="A185" s="30"/>
      <c r="B185" s="801"/>
      <c r="C185" s="74" t="s">
        <v>218</v>
      </c>
      <c r="D185" s="72"/>
      <c r="E185" s="98"/>
      <c r="F185" s="98"/>
      <c r="G185" s="98"/>
      <c r="H185" s="98"/>
      <c r="I185" s="98"/>
      <c r="J185" s="98"/>
      <c r="K185" s="98"/>
      <c r="L185" s="98"/>
      <c r="M185" s="98"/>
      <c r="N185" s="98"/>
      <c r="O185" s="98"/>
      <c r="P185" s="98"/>
      <c r="Q185" s="98"/>
      <c r="R185" s="98"/>
      <c r="S185" s="98"/>
      <c r="T185" s="98"/>
      <c r="U185" s="98"/>
      <c r="V185" s="98"/>
      <c r="W185" s="98"/>
      <c r="X185" s="98"/>
      <c r="Y185" s="98"/>
      <c r="Z185" s="98"/>
      <c r="AA185" s="98"/>
      <c r="AB185" s="98"/>
      <c r="AC185" s="98"/>
      <c r="AD185" s="98"/>
      <c r="AE185" s="98"/>
      <c r="AF185" s="98"/>
      <c r="AG185" s="98"/>
      <c r="AH185" s="98"/>
    </row>
    <row r="186" spans="1:34" ht="27" hidden="1" customHeight="1">
      <c r="A186" s="30"/>
      <c r="B186" s="801"/>
      <c r="C186" s="74" t="s">
        <v>219</v>
      </c>
      <c r="D186" s="72"/>
      <c r="E186" s="98"/>
      <c r="F186" s="98"/>
      <c r="G186" s="98"/>
      <c r="H186" s="98"/>
      <c r="I186" s="98"/>
      <c r="J186" s="98"/>
      <c r="K186" s="98"/>
      <c r="L186" s="98"/>
      <c r="M186" s="98"/>
      <c r="N186" s="98"/>
      <c r="O186" s="98"/>
      <c r="P186" s="98"/>
      <c r="Q186" s="98"/>
      <c r="R186" s="98"/>
      <c r="S186" s="98"/>
      <c r="T186" s="98"/>
      <c r="U186" s="98"/>
      <c r="V186" s="98"/>
      <c r="W186" s="98"/>
      <c r="X186" s="98"/>
      <c r="Y186" s="98"/>
      <c r="Z186" s="98"/>
      <c r="AA186" s="98"/>
      <c r="AB186" s="98"/>
      <c r="AC186" s="98"/>
      <c r="AD186" s="98"/>
      <c r="AE186" s="98"/>
      <c r="AF186" s="98"/>
      <c r="AG186" s="98"/>
      <c r="AH186" s="98"/>
    </row>
    <row r="187" spans="1:34" ht="27" hidden="1" customHeight="1">
      <c r="A187" s="30"/>
      <c r="B187" s="801"/>
      <c r="C187" s="74" t="s">
        <v>220</v>
      </c>
      <c r="D187" s="72"/>
      <c r="E187" s="98"/>
      <c r="F187" s="98"/>
      <c r="G187" s="98"/>
      <c r="H187" s="98"/>
      <c r="I187" s="98"/>
      <c r="J187" s="98"/>
      <c r="K187" s="98"/>
      <c r="L187" s="98"/>
      <c r="M187" s="98"/>
      <c r="N187" s="98"/>
      <c r="O187" s="98"/>
      <c r="P187" s="98"/>
      <c r="Q187" s="98"/>
      <c r="R187" s="98"/>
      <c r="S187" s="98"/>
      <c r="T187" s="98"/>
      <c r="U187" s="98"/>
      <c r="V187" s="98"/>
      <c r="W187" s="98"/>
      <c r="X187" s="98"/>
      <c r="Y187" s="98"/>
      <c r="Z187" s="98"/>
      <c r="AA187" s="98"/>
      <c r="AB187" s="98"/>
      <c r="AC187" s="98"/>
      <c r="AD187" s="98"/>
      <c r="AE187" s="98"/>
      <c r="AF187" s="98"/>
      <c r="AG187" s="98"/>
      <c r="AH187" s="98"/>
    </row>
    <row r="188" spans="1:34" ht="27" hidden="1" customHeight="1">
      <c r="A188" s="30"/>
      <c r="B188" s="802"/>
      <c r="C188" s="74" t="s">
        <v>221</v>
      </c>
      <c r="D188" s="72"/>
      <c r="E188" s="98"/>
      <c r="F188" s="98"/>
      <c r="G188" s="98"/>
      <c r="H188" s="98"/>
      <c r="I188" s="98"/>
      <c r="J188" s="98"/>
      <c r="K188" s="98"/>
      <c r="L188" s="98"/>
      <c r="M188" s="98"/>
      <c r="N188" s="98"/>
      <c r="O188" s="98"/>
      <c r="P188" s="98"/>
      <c r="Q188" s="98"/>
      <c r="R188" s="98"/>
      <c r="S188" s="98"/>
      <c r="T188" s="98"/>
      <c r="U188" s="98"/>
      <c r="V188" s="98"/>
      <c r="W188" s="98"/>
      <c r="X188" s="98"/>
      <c r="Y188" s="98"/>
      <c r="Z188" s="98"/>
      <c r="AA188" s="98"/>
      <c r="AB188" s="98"/>
      <c r="AC188" s="98"/>
      <c r="AD188" s="98"/>
      <c r="AE188" s="98"/>
      <c r="AF188" s="98"/>
      <c r="AG188" s="98"/>
      <c r="AH188" s="98"/>
    </row>
    <row r="189" spans="1:34" ht="27" hidden="1" customHeight="1">
      <c r="A189" s="30"/>
      <c r="B189" s="800">
        <v>12</v>
      </c>
      <c r="C189" s="795"/>
      <c r="D189" s="796"/>
      <c r="E189" s="97" t="str">
        <f>IFERROR(AVERAGE(E190:E196),"")</f>
        <v/>
      </c>
      <c r="F189" s="97" t="str">
        <f t="shared" ref="F189:AH189" si="17">IFERROR(AVERAGE(F190:F196),"")</f>
        <v/>
      </c>
      <c r="G189" s="97" t="str">
        <f t="shared" si="17"/>
        <v/>
      </c>
      <c r="H189" s="97" t="str">
        <f t="shared" si="17"/>
        <v/>
      </c>
      <c r="I189" s="97" t="str">
        <f t="shared" si="17"/>
        <v/>
      </c>
      <c r="J189" s="97" t="str">
        <f t="shared" si="17"/>
        <v/>
      </c>
      <c r="K189" s="97" t="str">
        <f t="shared" si="17"/>
        <v/>
      </c>
      <c r="L189" s="97" t="str">
        <f t="shared" si="17"/>
        <v/>
      </c>
      <c r="M189" s="97" t="str">
        <f t="shared" si="17"/>
        <v/>
      </c>
      <c r="N189" s="97" t="str">
        <f t="shared" si="17"/>
        <v/>
      </c>
      <c r="O189" s="97" t="str">
        <f t="shared" si="17"/>
        <v/>
      </c>
      <c r="P189" s="97" t="str">
        <f t="shared" si="17"/>
        <v/>
      </c>
      <c r="Q189" s="97" t="str">
        <f t="shared" si="17"/>
        <v/>
      </c>
      <c r="R189" s="97" t="str">
        <f t="shared" si="17"/>
        <v/>
      </c>
      <c r="S189" s="97" t="str">
        <f t="shared" si="17"/>
        <v/>
      </c>
      <c r="T189" s="97" t="str">
        <f t="shared" si="17"/>
        <v/>
      </c>
      <c r="U189" s="97" t="str">
        <f t="shared" si="17"/>
        <v/>
      </c>
      <c r="V189" s="97" t="str">
        <f t="shared" si="17"/>
        <v/>
      </c>
      <c r="W189" s="97" t="str">
        <f t="shared" si="17"/>
        <v/>
      </c>
      <c r="X189" s="97" t="str">
        <f t="shared" si="17"/>
        <v/>
      </c>
      <c r="Y189" s="97" t="str">
        <f t="shared" si="17"/>
        <v/>
      </c>
      <c r="Z189" s="97" t="str">
        <f t="shared" si="17"/>
        <v/>
      </c>
      <c r="AA189" s="97" t="str">
        <f t="shared" si="17"/>
        <v/>
      </c>
      <c r="AB189" s="97" t="str">
        <f t="shared" si="17"/>
        <v/>
      </c>
      <c r="AC189" s="97" t="str">
        <f t="shared" si="17"/>
        <v/>
      </c>
      <c r="AD189" s="97" t="str">
        <f t="shared" si="17"/>
        <v/>
      </c>
      <c r="AE189" s="97" t="str">
        <f t="shared" si="17"/>
        <v/>
      </c>
      <c r="AF189" s="97" t="str">
        <f t="shared" si="17"/>
        <v/>
      </c>
      <c r="AG189" s="97" t="str">
        <f t="shared" si="17"/>
        <v/>
      </c>
      <c r="AH189" s="97" t="str">
        <f t="shared" si="17"/>
        <v/>
      </c>
    </row>
    <row r="190" spans="1:34" ht="27" hidden="1" customHeight="1">
      <c r="A190" s="30"/>
      <c r="B190" s="801"/>
      <c r="C190" s="74" t="s">
        <v>222</v>
      </c>
      <c r="D190" s="72"/>
      <c r="E190" s="98"/>
      <c r="F190" s="98"/>
      <c r="G190" s="98"/>
      <c r="H190" s="98"/>
      <c r="I190" s="98"/>
      <c r="J190" s="98"/>
      <c r="K190" s="98"/>
      <c r="L190" s="98"/>
      <c r="M190" s="98"/>
      <c r="N190" s="98"/>
      <c r="O190" s="98"/>
      <c r="P190" s="98"/>
      <c r="Q190" s="98"/>
      <c r="R190" s="98"/>
      <c r="S190" s="98"/>
      <c r="T190" s="98"/>
      <c r="U190" s="98"/>
      <c r="V190" s="98"/>
      <c r="W190" s="98"/>
      <c r="X190" s="98"/>
      <c r="Y190" s="98"/>
      <c r="Z190" s="98"/>
      <c r="AA190" s="98"/>
      <c r="AB190" s="98"/>
      <c r="AC190" s="98"/>
      <c r="AD190" s="98"/>
      <c r="AE190" s="98"/>
      <c r="AF190" s="98"/>
      <c r="AG190" s="98"/>
      <c r="AH190" s="98"/>
    </row>
    <row r="191" spans="1:34" ht="27" hidden="1" customHeight="1">
      <c r="A191" s="30"/>
      <c r="B191" s="801"/>
      <c r="C191" s="74" t="s">
        <v>223</v>
      </c>
      <c r="D191" s="72"/>
      <c r="E191" s="98"/>
      <c r="F191" s="98"/>
      <c r="G191" s="98"/>
      <c r="H191" s="98"/>
      <c r="I191" s="98"/>
      <c r="J191" s="98"/>
      <c r="K191" s="98"/>
      <c r="L191" s="98"/>
      <c r="M191" s="98"/>
      <c r="N191" s="98"/>
      <c r="O191" s="98"/>
      <c r="P191" s="98"/>
      <c r="Q191" s="98"/>
      <c r="R191" s="98"/>
      <c r="S191" s="98"/>
      <c r="T191" s="98"/>
      <c r="U191" s="98"/>
      <c r="V191" s="98"/>
      <c r="W191" s="98"/>
      <c r="X191" s="98"/>
      <c r="Y191" s="98"/>
      <c r="Z191" s="98"/>
      <c r="AA191" s="98"/>
      <c r="AB191" s="98"/>
      <c r="AC191" s="98"/>
      <c r="AD191" s="98"/>
      <c r="AE191" s="98"/>
      <c r="AF191" s="98"/>
      <c r="AG191" s="98"/>
      <c r="AH191" s="98"/>
    </row>
    <row r="192" spans="1:34" ht="27" hidden="1" customHeight="1">
      <c r="A192" s="30"/>
      <c r="B192" s="801"/>
      <c r="C192" s="74" t="s">
        <v>224</v>
      </c>
      <c r="D192" s="72"/>
      <c r="E192" s="98"/>
      <c r="F192" s="98"/>
      <c r="G192" s="98"/>
      <c r="H192" s="98"/>
      <c r="I192" s="98"/>
      <c r="J192" s="98"/>
      <c r="K192" s="98"/>
      <c r="L192" s="98"/>
      <c r="M192" s="98"/>
      <c r="N192" s="98"/>
      <c r="O192" s="98"/>
      <c r="P192" s="98"/>
      <c r="Q192" s="98"/>
      <c r="R192" s="98"/>
      <c r="S192" s="98"/>
      <c r="T192" s="98"/>
      <c r="U192" s="98"/>
      <c r="V192" s="98"/>
      <c r="W192" s="98"/>
      <c r="X192" s="98"/>
      <c r="Y192" s="98"/>
      <c r="Z192" s="98"/>
      <c r="AA192" s="98"/>
      <c r="AB192" s="98"/>
      <c r="AC192" s="98"/>
      <c r="AD192" s="98"/>
      <c r="AE192" s="98"/>
      <c r="AF192" s="98"/>
      <c r="AG192" s="98"/>
      <c r="AH192" s="98"/>
    </row>
    <row r="193" spans="1:34" ht="27" hidden="1" customHeight="1">
      <c r="A193" s="30"/>
      <c r="B193" s="801"/>
      <c r="C193" s="74" t="s">
        <v>225</v>
      </c>
      <c r="D193" s="72"/>
      <c r="E193" s="98"/>
      <c r="F193" s="98"/>
      <c r="G193" s="98"/>
      <c r="H193" s="98"/>
      <c r="I193" s="98"/>
      <c r="J193" s="98"/>
      <c r="K193" s="98"/>
      <c r="L193" s="98"/>
      <c r="M193" s="98"/>
      <c r="N193" s="98"/>
      <c r="O193" s="98"/>
      <c r="P193" s="98"/>
      <c r="Q193" s="98"/>
      <c r="R193" s="98"/>
      <c r="S193" s="98"/>
      <c r="T193" s="98"/>
      <c r="U193" s="98"/>
      <c r="V193" s="98"/>
      <c r="W193" s="98"/>
      <c r="X193" s="98"/>
      <c r="Y193" s="98"/>
      <c r="Z193" s="98"/>
      <c r="AA193" s="98"/>
      <c r="AB193" s="98"/>
      <c r="AC193" s="98"/>
      <c r="AD193" s="98"/>
      <c r="AE193" s="98"/>
      <c r="AF193" s="98"/>
      <c r="AG193" s="98"/>
      <c r="AH193" s="98"/>
    </row>
    <row r="194" spans="1:34" ht="27" hidden="1" customHeight="1">
      <c r="A194" s="30"/>
      <c r="B194" s="801"/>
      <c r="C194" s="74" t="s">
        <v>226</v>
      </c>
      <c r="D194" s="72"/>
      <c r="E194" s="98"/>
      <c r="F194" s="98"/>
      <c r="G194" s="98"/>
      <c r="H194" s="98"/>
      <c r="I194" s="98"/>
      <c r="J194" s="98"/>
      <c r="K194" s="98"/>
      <c r="L194" s="98"/>
      <c r="M194" s="98"/>
      <c r="N194" s="98"/>
      <c r="O194" s="98"/>
      <c r="P194" s="98"/>
      <c r="Q194" s="98"/>
      <c r="R194" s="98"/>
      <c r="S194" s="98"/>
      <c r="T194" s="98"/>
      <c r="U194" s="98"/>
      <c r="V194" s="98"/>
      <c r="W194" s="98"/>
      <c r="X194" s="98"/>
      <c r="Y194" s="98"/>
      <c r="Z194" s="98"/>
      <c r="AA194" s="98"/>
      <c r="AB194" s="98"/>
      <c r="AC194" s="98"/>
      <c r="AD194" s="98"/>
      <c r="AE194" s="98"/>
      <c r="AF194" s="98"/>
      <c r="AG194" s="98"/>
      <c r="AH194" s="98"/>
    </row>
    <row r="195" spans="1:34" ht="27" hidden="1" customHeight="1">
      <c r="A195" s="30"/>
      <c r="B195" s="801"/>
      <c r="C195" s="74" t="s">
        <v>227</v>
      </c>
      <c r="D195" s="72"/>
      <c r="E195" s="98"/>
      <c r="F195" s="98"/>
      <c r="G195" s="98"/>
      <c r="H195" s="98"/>
      <c r="I195" s="98"/>
      <c r="J195" s="98"/>
      <c r="K195" s="98"/>
      <c r="L195" s="98"/>
      <c r="M195" s="98"/>
      <c r="N195" s="98"/>
      <c r="O195" s="98"/>
      <c r="P195" s="98"/>
      <c r="Q195" s="98"/>
      <c r="R195" s="98"/>
      <c r="S195" s="98"/>
      <c r="T195" s="98"/>
      <c r="U195" s="98"/>
      <c r="V195" s="98"/>
      <c r="W195" s="98"/>
      <c r="X195" s="98"/>
      <c r="Y195" s="98"/>
      <c r="Z195" s="98"/>
      <c r="AA195" s="98"/>
      <c r="AB195" s="98"/>
      <c r="AC195" s="98"/>
      <c r="AD195" s="98"/>
      <c r="AE195" s="98"/>
      <c r="AF195" s="98"/>
      <c r="AG195" s="98"/>
      <c r="AH195" s="98"/>
    </row>
    <row r="196" spans="1:34" ht="27" hidden="1" customHeight="1">
      <c r="A196" s="30"/>
      <c r="B196" s="802"/>
      <c r="C196" s="74" t="s">
        <v>228</v>
      </c>
      <c r="D196" s="72"/>
      <c r="E196" s="98"/>
      <c r="F196" s="98"/>
      <c r="G196" s="98"/>
      <c r="H196" s="98"/>
      <c r="I196" s="98"/>
      <c r="J196" s="98"/>
      <c r="K196" s="98"/>
      <c r="L196" s="98"/>
      <c r="M196" s="98"/>
      <c r="N196" s="98"/>
      <c r="O196" s="98"/>
      <c r="P196" s="98"/>
      <c r="Q196" s="98"/>
      <c r="R196" s="98"/>
      <c r="S196" s="98"/>
      <c r="T196" s="98"/>
      <c r="U196" s="98"/>
      <c r="V196" s="98"/>
      <c r="W196" s="98"/>
      <c r="X196" s="98"/>
      <c r="Y196" s="98"/>
      <c r="Z196" s="98"/>
      <c r="AA196" s="98"/>
      <c r="AB196" s="98"/>
      <c r="AC196" s="98"/>
      <c r="AD196" s="98"/>
      <c r="AE196" s="98"/>
      <c r="AF196" s="98"/>
      <c r="AG196" s="98"/>
      <c r="AH196" s="98"/>
    </row>
    <row r="197" spans="1:34" ht="27" hidden="1" customHeight="1">
      <c r="A197" s="30"/>
      <c r="B197" s="794">
        <v>13</v>
      </c>
      <c r="C197" s="795"/>
      <c r="D197" s="796"/>
      <c r="E197" s="97" t="str">
        <f>IFERROR(AVERAGE(E198:E204),"")</f>
        <v/>
      </c>
      <c r="F197" s="97" t="str">
        <f t="shared" ref="F197:AH197" si="18">IFERROR(AVERAGE(F198:F204),"")</f>
        <v/>
      </c>
      <c r="G197" s="97" t="str">
        <f t="shared" si="18"/>
        <v/>
      </c>
      <c r="H197" s="97" t="str">
        <f t="shared" si="18"/>
        <v/>
      </c>
      <c r="I197" s="97" t="str">
        <f t="shared" si="18"/>
        <v/>
      </c>
      <c r="J197" s="97" t="str">
        <f t="shared" si="18"/>
        <v/>
      </c>
      <c r="K197" s="97" t="str">
        <f t="shared" si="18"/>
        <v/>
      </c>
      <c r="L197" s="97" t="str">
        <f t="shared" si="18"/>
        <v/>
      </c>
      <c r="M197" s="97" t="str">
        <f t="shared" si="18"/>
        <v/>
      </c>
      <c r="N197" s="97" t="str">
        <f t="shared" si="18"/>
        <v/>
      </c>
      <c r="O197" s="97" t="str">
        <f t="shared" si="18"/>
        <v/>
      </c>
      <c r="P197" s="97" t="str">
        <f t="shared" si="18"/>
        <v/>
      </c>
      <c r="Q197" s="97" t="str">
        <f t="shared" si="18"/>
        <v/>
      </c>
      <c r="R197" s="97" t="str">
        <f t="shared" si="18"/>
        <v/>
      </c>
      <c r="S197" s="97" t="str">
        <f t="shared" si="18"/>
        <v/>
      </c>
      <c r="T197" s="97" t="str">
        <f t="shared" si="18"/>
        <v/>
      </c>
      <c r="U197" s="97" t="str">
        <f t="shared" si="18"/>
        <v/>
      </c>
      <c r="V197" s="97" t="str">
        <f t="shared" si="18"/>
        <v/>
      </c>
      <c r="W197" s="97" t="str">
        <f t="shared" si="18"/>
        <v/>
      </c>
      <c r="X197" s="97" t="str">
        <f t="shared" si="18"/>
        <v/>
      </c>
      <c r="Y197" s="97" t="str">
        <f t="shared" si="18"/>
        <v/>
      </c>
      <c r="Z197" s="97" t="str">
        <f t="shared" si="18"/>
        <v/>
      </c>
      <c r="AA197" s="97" t="str">
        <f t="shared" si="18"/>
        <v/>
      </c>
      <c r="AB197" s="97" t="str">
        <f t="shared" si="18"/>
        <v/>
      </c>
      <c r="AC197" s="97" t="str">
        <f t="shared" si="18"/>
        <v/>
      </c>
      <c r="AD197" s="97" t="str">
        <f t="shared" si="18"/>
        <v/>
      </c>
      <c r="AE197" s="97" t="str">
        <f t="shared" si="18"/>
        <v/>
      </c>
      <c r="AF197" s="97" t="str">
        <f t="shared" si="18"/>
        <v/>
      </c>
      <c r="AG197" s="97" t="str">
        <f t="shared" si="18"/>
        <v/>
      </c>
      <c r="AH197" s="97" t="str">
        <f t="shared" si="18"/>
        <v/>
      </c>
    </row>
    <row r="198" spans="1:34" ht="27" hidden="1" customHeight="1">
      <c r="A198" s="30"/>
      <c r="B198" s="794"/>
      <c r="C198" s="74" t="s">
        <v>229</v>
      </c>
      <c r="D198" s="72"/>
      <c r="E198" s="98"/>
      <c r="F198" s="98"/>
      <c r="G198" s="98"/>
      <c r="H198" s="98"/>
      <c r="I198" s="98"/>
      <c r="J198" s="98"/>
      <c r="K198" s="98"/>
      <c r="L198" s="98"/>
      <c r="M198" s="98"/>
      <c r="N198" s="98"/>
      <c r="O198" s="98"/>
      <c r="P198" s="98"/>
      <c r="Q198" s="98"/>
      <c r="R198" s="98"/>
      <c r="S198" s="98"/>
      <c r="T198" s="98"/>
      <c r="U198" s="98"/>
      <c r="V198" s="98"/>
      <c r="W198" s="98"/>
      <c r="X198" s="98"/>
      <c r="Y198" s="98"/>
      <c r="Z198" s="98"/>
      <c r="AA198" s="98"/>
      <c r="AB198" s="98"/>
      <c r="AC198" s="98"/>
      <c r="AD198" s="98"/>
      <c r="AE198" s="98"/>
      <c r="AF198" s="98"/>
      <c r="AG198" s="98"/>
      <c r="AH198" s="98"/>
    </row>
    <row r="199" spans="1:34" ht="27" hidden="1" customHeight="1">
      <c r="A199" s="30"/>
      <c r="B199" s="794"/>
      <c r="C199" s="74" t="s">
        <v>230</v>
      </c>
      <c r="D199" s="72"/>
      <c r="E199" s="98"/>
      <c r="F199" s="98"/>
      <c r="G199" s="98"/>
      <c r="H199" s="98"/>
      <c r="I199" s="98"/>
      <c r="J199" s="98"/>
      <c r="K199" s="98"/>
      <c r="L199" s="98"/>
      <c r="M199" s="98"/>
      <c r="N199" s="98"/>
      <c r="O199" s="98"/>
      <c r="P199" s="98"/>
      <c r="Q199" s="98"/>
      <c r="R199" s="98"/>
      <c r="S199" s="98"/>
      <c r="T199" s="98"/>
      <c r="U199" s="98"/>
      <c r="V199" s="98"/>
      <c r="W199" s="98"/>
      <c r="X199" s="98"/>
      <c r="Y199" s="98"/>
      <c r="Z199" s="98"/>
      <c r="AA199" s="98"/>
      <c r="AB199" s="98"/>
      <c r="AC199" s="98"/>
      <c r="AD199" s="98"/>
      <c r="AE199" s="98"/>
      <c r="AF199" s="98"/>
      <c r="AG199" s="98"/>
      <c r="AH199" s="98"/>
    </row>
    <row r="200" spans="1:34" ht="27" hidden="1" customHeight="1">
      <c r="A200" s="30"/>
      <c r="B200" s="794"/>
      <c r="C200" s="74" t="s">
        <v>231</v>
      </c>
      <c r="D200" s="72"/>
      <c r="E200" s="98"/>
      <c r="F200" s="98"/>
      <c r="G200" s="98"/>
      <c r="H200" s="98"/>
      <c r="I200" s="98"/>
      <c r="J200" s="98"/>
      <c r="K200" s="98"/>
      <c r="L200" s="98"/>
      <c r="M200" s="98"/>
      <c r="N200" s="98"/>
      <c r="O200" s="98"/>
      <c r="P200" s="98"/>
      <c r="Q200" s="98"/>
      <c r="R200" s="98"/>
      <c r="S200" s="98"/>
      <c r="T200" s="98"/>
      <c r="U200" s="98"/>
      <c r="V200" s="98"/>
      <c r="W200" s="98"/>
      <c r="X200" s="98"/>
      <c r="Y200" s="98"/>
      <c r="Z200" s="98"/>
      <c r="AA200" s="98"/>
      <c r="AB200" s="98"/>
      <c r="AC200" s="98"/>
      <c r="AD200" s="98"/>
      <c r="AE200" s="98"/>
      <c r="AF200" s="98"/>
      <c r="AG200" s="98"/>
      <c r="AH200" s="98"/>
    </row>
    <row r="201" spans="1:34" ht="27" hidden="1" customHeight="1">
      <c r="A201" s="30"/>
      <c r="B201" s="794"/>
      <c r="C201" s="74" t="s">
        <v>232</v>
      </c>
      <c r="D201" s="72"/>
      <c r="E201" s="98"/>
      <c r="F201" s="98"/>
      <c r="G201" s="98"/>
      <c r="H201" s="98"/>
      <c r="I201" s="98"/>
      <c r="J201" s="98"/>
      <c r="K201" s="98"/>
      <c r="L201" s="98"/>
      <c r="M201" s="98"/>
      <c r="N201" s="98"/>
      <c r="O201" s="98"/>
      <c r="P201" s="98"/>
      <c r="Q201" s="98"/>
      <c r="R201" s="98"/>
      <c r="S201" s="98"/>
      <c r="T201" s="98"/>
      <c r="U201" s="98"/>
      <c r="V201" s="98"/>
      <c r="W201" s="98"/>
      <c r="X201" s="98"/>
      <c r="Y201" s="98"/>
      <c r="Z201" s="98"/>
      <c r="AA201" s="98"/>
      <c r="AB201" s="98"/>
      <c r="AC201" s="98"/>
      <c r="AD201" s="98"/>
      <c r="AE201" s="98"/>
      <c r="AF201" s="98"/>
      <c r="AG201" s="98"/>
      <c r="AH201" s="98"/>
    </row>
    <row r="202" spans="1:34" ht="27" hidden="1" customHeight="1">
      <c r="A202" s="30"/>
      <c r="B202" s="794"/>
      <c r="C202" s="74" t="s">
        <v>233</v>
      </c>
      <c r="D202" s="72"/>
      <c r="E202" s="98"/>
      <c r="F202" s="98"/>
      <c r="G202" s="98"/>
      <c r="H202" s="98"/>
      <c r="I202" s="98"/>
      <c r="J202" s="98"/>
      <c r="K202" s="98"/>
      <c r="L202" s="98"/>
      <c r="M202" s="98"/>
      <c r="N202" s="98"/>
      <c r="O202" s="98"/>
      <c r="P202" s="98"/>
      <c r="Q202" s="98"/>
      <c r="R202" s="98"/>
      <c r="S202" s="98"/>
      <c r="T202" s="98"/>
      <c r="U202" s="98"/>
      <c r="V202" s="98"/>
      <c r="W202" s="98"/>
      <c r="X202" s="98"/>
      <c r="Y202" s="98"/>
      <c r="Z202" s="98"/>
      <c r="AA202" s="98"/>
      <c r="AB202" s="98"/>
      <c r="AC202" s="98"/>
      <c r="AD202" s="98"/>
      <c r="AE202" s="98"/>
      <c r="AF202" s="98"/>
      <c r="AG202" s="98"/>
      <c r="AH202" s="98"/>
    </row>
    <row r="203" spans="1:34" ht="27" hidden="1" customHeight="1">
      <c r="A203" s="30"/>
      <c r="B203" s="794"/>
      <c r="C203" s="74" t="s">
        <v>234</v>
      </c>
      <c r="D203" s="72"/>
      <c r="E203" s="98"/>
      <c r="F203" s="98"/>
      <c r="G203" s="98"/>
      <c r="H203" s="98"/>
      <c r="I203" s="98"/>
      <c r="J203" s="98"/>
      <c r="K203" s="98"/>
      <c r="L203" s="98"/>
      <c r="M203" s="98"/>
      <c r="N203" s="98"/>
      <c r="O203" s="98"/>
      <c r="P203" s="98"/>
      <c r="Q203" s="98"/>
      <c r="R203" s="98"/>
      <c r="S203" s="98"/>
      <c r="T203" s="98"/>
      <c r="U203" s="98"/>
      <c r="V203" s="98"/>
      <c r="W203" s="98"/>
      <c r="X203" s="98"/>
      <c r="Y203" s="98"/>
      <c r="Z203" s="98"/>
      <c r="AA203" s="98"/>
      <c r="AB203" s="98"/>
      <c r="AC203" s="98"/>
      <c r="AD203" s="98"/>
      <c r="AE203" s="98"/>
      <c r="AF203" s="98"/>
      <c r="AG203" s="98"/>
      <c r="AH203" s="98"/>
    </row>
    <row r="204" spans="1:34" ht="27" hidden="1" customHeight="1">
      <c r="A204" s="30"/>
      <c r="B204" s="794"/>
      <c r="C204" s="74" t="s">
        <v>235</v>
      </c>
      <c r="D204" s="72"/>
      <c r="E204" s="98"/>
      <c r="F204" s="98"/>
      <c r="G204" s="98"/>
      <c r="H204" s="98"/>
      <c r="I204" s="98"/>
      <c r="J204" s="98"/>
      <c r="K204" s="98"/>
      <c r="L204" s="98"/>
      <c r="M204" s="98"/>
      <c r="N204" s="98"/>
      <c r="O204" s="98"/>
      <c r="P204" s="98"/>
      <c r="Q204" s="98"/>
      <c r="R204" s="98"/>
      <c r="S204" s="98"/>
      <c r="T204" s="98"/>
      <c r="U204" s="98"/>
      <c r="V204" s="98"/>
      <c r="W204" s="98"/>
      <c r="X204" s="98"/>
      <c r="Y204" s="98"/>
      <c r="Z204" s="98"/>
      <c r="AA204" s="98"/>
      <c r="AB204" s="98"/>
      <c r="AC204" s="98"/>
      <c r="AD204" s="98"/>
      <c r="AE204" s="98"/>
      <c r="AF204" s="98"/>
      <c r="AG204" s="98"/>
      <c r="AH204" s="98"/>
    </row>
    <row r="205" spans="1:34" ht="27" customHeight="1">
      <c r="A205" s="30"/>
      <c r="B205" s="797" t="s">
        <v>143</v>
      </c>
      <c r="C205" s="798"/>
      <c r="D205" s="799"/>
      <c r="E205" s="100">
        <f t="shared" ref="E205:AH205" si="19">IFERROR(AVERAGE(E6,E32,E55,E72,E86,E108,E132,E148,E165,E173,E181,E189,E197),"")</f>
        <v>95.730902777777771</v>
      </c>
      <c r="F205" s="100">
        <f t="shared" si="19"/>
        <v>92.174197330447328</v>
      </c>
      <c r="G205" s="100">
        <f t="shared" si="19"/>
        <v>92.951569264069249</v>
      </c>
      <c r="H205" s="100">
        <f t="shared" si="19"/>
        <v>95.772445436507951</v>
      </c>
      <c r="I205" s="100">
        <f t="shared" si="19"/>
        <v>97.074652777777771</v>
      </c>
      <c r="J205" s="100">
        <f t="shared" si="19"/>
        <v>97.803368506493513</v>
      </c>
      <c r="K205" s="100">
        <f t="shared" si="19"/>
        <v>99.178075396825392</v>
      </c>
      <c r="L205" s="100">
        <f t="shared" si="19"/>
        <v>97.233506944444443</v>
      </c>
      <c r="M205" s="100">
        <f t="shared" si="19"/>
        <v>94.912202380952394</v>
      </c>
      <c r="N205" s="100">
        <f t="shared" si="19"/>
        <v>97.399801587301596</v>
      </c>
      <c r="O205" s="100">
        <f t="shared" si="19"/>
        <v>98.830977182539698</v>
      </c>
      <c r="P205" s="100">
        <f t="shared" si="19"/>
        <v>98.365079365079367</v>
      </c>
      <c r="Q205" s="100">
        <f t="shared" si="19"/>
        <v>97.768105158730165</v>
      </c>
      <c r="R205" s="100">
        <f t="shared" si="19"/>
        <v>96.757192460317469</v>
      </c>
      <c r="S205" s="100">
        <f t="shared" si="19"/>
        <v>90.719312805250297</v>
      </c>
      <c r="T205" s="100">
        <f t="shared" si="19"/>
        <v>96.432043650793645</v>
      </c>
      <c r="U205" s="100">
        <f t="shared" si="19"/>
        <v>98.917906746031747</v>
      </c>
      <c r="V205" s="100">
        <f t="shared" si="19"/>
        <v>94.376984126984141</v>
      </c>
      <c r="W205" s="100">
        <f t="shared" si="19"/>
        <v>94.266865079365076</v>
      </c>
      <c r="X205" s="100">
        <f t="shared" si="19"/>
        <v>93.351438492063508</v>
      </c>
      <c r="Y205" s="100">
        <f t="shared" si="19"/>
        <v>97.187127976190467</v>
      </c>
      <c r="Z205" s="100">
        <f t="shared" si="19"/>
        <v>94.783606150793659</v>
      </c>
      <c r="AA205" s="100">
        <f t="shared" si="19"/>
        <v>97.554067460317469</v>
      </c>
      <c r="AB205" s="100">
        <f t="shared" si="19"/>
        <v>94.11323051948051</v>
      </c>
      <c r="AC205" s="100" t="str">
        <f t="shared" si="19"/>
        <v/>
      </c>
      <c r="AD205" s="100" t="str">
        <f t="shared" si="19"/>
        <v/>
      </c>
      <c r="AE205" s="100" t="str">
        <f t="shared" si="19"/>
        <v/>
      </c>
      <c r="AF205" s="100" t="str">
        <f t="shared" si="19"/>
        <v/>
      </c>
      <c r="AG205" s="100" t="str">
        <f t="shared" si="19"/>
        <v/>
      </c>
      <c r="AH205" s="100" t="str">
        <f t="shared" si="19"/>
        <v/>
      </c>
    </row>
    <row r="206" spans="1:34" hidden="1">
      <c r="B206" s="31"/>
      <c r="C206" s="31"/>
      <c r="D206" s="32"/>
    </row>
    <row r="207" spans="1:34" hidden="1">
      <c r="B207" s="31"/>
      <c r="C207" s="31"/>
      <c r="D207" s="32"/>
    </row>
    <row r="208" spans="1:34" hidden="1">
      <c r="B208" s="31"/>
      <c r="C208" s="31"/>
      <c r="D208" s="32"/>
    </row>
    <row r="209" spans="2:4" hidden="1">
      <c r="B209" s="31"/>
      <c r="C209" s="31"/>
      <c r="D209" s="32"/>
    </row>
    <row r="210" spans="2:4" hidden="1">
      <c r="B210" s="31"/>
      <c r="C210" s="31"/>
      <c r="D210" s="32"/>
    </row>
    <row r="211" spans="2:4" hidden="1">
      <c r="B211" s="31"/>
      <c r="C211" s="31"/>
      <c r="D211" s="32"/>
    </row>
    <row r="212" spans="2:4" hidden="1">
      <c r="B212" s="31"/>
      <c r="C212" s="31"/>
      <c r="D212" s="32"/>
    </row>
    <row r="213" spans="2:4" hidden="1">
      <c r="B213" s="31"/>
      <c r="C213" s="31"/>
      <c r="D213" s="32"/>
    </row>
    <row r="214" spans="2:4" hidden="1">
      <c r="B214" s="31"/>
      <c r="C214" s="31"/>
      <c r="D214" s="32"/>
    </row>
    <row r="215" spans="2:4" hidden="1">
      <c r="B215" s="31"/>
      <c r="C215" s="31"/>
      <c r="D215" s="32"/>
    </row>
    <row r="216" spans="2:4" hidden="1">
      <c r="B216" s="31"/>
      <c r="C216" s="31"/>
      <c r="D216" s="32"/>
    </row>
    <row r="217" spans="2:4" hidden="1">
      <c r="B217" s="31"/>
      <c r="C217" s="31"/>
      <c r="D217" s="32"/>
    </row>
    <row r="218" spans="2:4" hidden="1">
      <c r="B218" s="31"/>
      <c r="C218" s="31"/>
      <c r="D218" s="32"/>
    </row>
    <row r="219" spans="2:4" hidden="1">
      <c r="B219" s="31"/>
      <c r="C219" s="31"/>
      <c r="D219" s="32"/>
    </row>
    <row r="220" spans="2:4" hidden="1">
      <c r="B220" s="31"/>
      <c r="C220" s="31"/>
      <c r="D220" s="32"/>
    </row>
    <row r="221" spans="2:4" hidden="1">
      <c r="B221" s="31"/>
      <c r="C221" s="31"/>
      <c r="D221" s="32"/>
    </row>
    <row r="222" spans="2:4" hidden="1">
      <c r="B222" s="31"/>
      <c r="C222" s="31"/>
      <c r="D222" s="32"/>
    </row>
    <row r="223" spans="2:4" hidden="1">
      <c r="B223" s="31"/>
      <c r="C223" s="31"/>
      <c r="D223" s="32"/>
    </row>
    <row r="224" spans="2:4" hidden="1">
      <c r="B224" s="31"/>
      <c r="C224" s="31"/>
      <c r="D224" s="32"/>
    </row>
    <row r="225" spans="2:4" hidden="1">
      <c r="B225" s="31"/>
      <c r="C225" s="31"/>
      <c r="D225" s="32"/>
    </row>
    <row r="226" spans="2:4" hidden="1">
      <c r="B226" s="31"/>
      <c r="C226" s="31"/>
      <c r="D226" s="32"/>
    </row>
    <row r="227" spans="2:4" hidden="1">
      <c r="B227" s="31"/>
      <c r="C227" s="31"/>
      <c r="D227" s="32"/>
    </row>
    <row r="228" spans="2:4" hidden="1">
      <c r="B228" s="31"/>
      <c r="C228" s="31"/>
      <c r="D228" s="32"/>
    </row>
    <row r="229" spans="2:4" hidden="1">
      <c r="B229" s="31"/>
      <c r="C229" s="31"/>
      <c r="D229" s="32"/>
    </row>
    <row r="230" spans="2:4" hidden="1">
      <c r="B230" s="31"/>
      <c r="C230" s="31"/>
      <c r="D230" s="32"/>
    </row>
    <row r="231" spans="2:4" hidden="1">
      <c r="B231" s="31"/>
      <c r="C231" s="31"/>
      <c r="D231" s="32"/>
    </row>
    <row r="232" spans="2:4" hidden="1">
      <c r="B232" s="31"/>
      <c r="C232" s="31"/>
      <c r="D232" s="32"/>
    </row>
    <row r="233" spans="2:4" hidden="1">
      <c r="B233" s="31"/>
      <c r="C233" s="31"/>
      <c r="D233" s="32"/>
    </row>
    <row r="234" spans="2:4" hidden="1">
      <c r="B234" s="31"/>
      <c r="C234" s="31"/>
      <c r="D234" s="32"/>
    </row>
    <row r="235" spans="2:4" hidden="1">
      <c r="B235" s="31"/>
      <c r="C235" s="31"/>
      <c r="D235" s="32"/>
    </row>
    <row r="236" spans="2:4" hidden="1">
      <c r="B236" s="31"/>
      <c r="C236" s="31"/>
      <c r="D236" s="32"/>
    </row>
    <row r="237" spans="2:4" hidden="1">
      <c r="B237" s="31"/>
      <c r="C237" s="31"/>
      <c r="D237" s="32"/>
    </row>
    <row r="238" spans="2:4" hidden="1">
      <c r="B238" s="31"/>
      <c r="C238" s="31"/>
      <c r="D238" s="32"/>
    </row>
    <row r="239" spans="2:4" hidden="1">
      <c r="B239" s="31"/>
      <c r="C239" s="31"/>
      <c r="D239" s="32"/>
    </row>
    <row r="240" spans="2:4" hidden="1">
      <c r="B240" s="31"/>
      <c r="C240" s="31"/>
      <c r="D240" s="32"/>
    </row>
    <row r="241" spans="2:4" hidden="1">
      <c r="B241" s="31"/>
      <c r="C241" s="31"/>
      <c r="D241" s="32"/>
    </row>
    <row r="242" spans="2:4" hidden="1">
      <c r="B242" s="31"/>
      <c r="C242" s="31"/>
      <c r="D242" s="32"/>
    </row>
    <row r="243" spans="2:4" hidden="1">
      <c r="B243" s="31"/>
      <c r="C243" s="31"/>
      <c r="D243" s="32"/>
    </row>
    <row r="244" spans="2:4" hidden="1">
      <c r="B244" s="31"/>
      <c r="C244" s="31"/>
      <c r="D244" s="32"/>
    </row>
    <row r="245" spans="2:4" hidden="1">
      <c r="B245" s="31"/>
      <c r="C245" s="31"/>
      <c r="D245" s="32"/>
    </row>
    <row r="246" spans="2:4" hidden="1">
      <c r="B246" s="31"/>
      <c r="C246" s="31"/>
      <c r="D246" s="32"/>
    </row>
    <row r="247" spans="2:4" hidden="1">
      <c r="B247" s="31"/>
      <c r="C247" s="31"/>
      <c r="D247" s="32"/>
    </row>
    <row r="248" spans="2:4" hidden="1">
      <c r="B248" s="31"/>
      <c r="C248" s="31"/>
      <c r="D248" s="32"/>
    </row>
    <row r="249" spans="2:4" hidden="1">
      <c r="B249" s="31"/>
      <c r="C249" s="31"/>
      <c r="D249" s="32"/>
    </row>
    <row r="250" spans="2:4" hidden="1">
      <c r="B250" s="31"/>
      <c r="C250" s="31"/>
      <c r="D250" s="32"/>
    </row>
    <row r="251" spans="2:4" hidden="1">
      <c r="B251" s="31"/>
      <c r="C251" s="31"/>
      <c r="D251" s="32"/>
    </row>
    <row r="252" spans="2:4" hidden="1">
      <c r="B252" s="31"/>
      <c r="C252" s="31"/>
      <c r="D252" s="32"/>
    </row>
    <row r="253" spans="2:4" hidden="1">
      <c r="B253" s="31"/>
      <c r="C253" s="31"/>
      <c r="D253" s="32"/>
    </row>
    <row r="254" spans="2:4" hidden="1">
      <c r="B254" s="31"/>
      <c r="C254" s="31"/>
      <c r="D254" s="32"/>
    </row>
    <row r="255" spans="2:4" hidden="1">
      <c r="B255" s="31"/>
      <c r="C255" s="31"/>
      <c r="D255" s="32"/>
    </row>
    <row r="256" spans="2:4" hidden="1">
      <c r="B256" s="31"/>
      <c r="C256" s="31"/>
      <c r="D256" s="32"/>
    </row>
    <row r="257" spans="2:4" hidden="1">
      <c r="B257" s="31"/>
      <c r="C257" s="31"/>
      <c r="D257" s="32"/>
    </row>
    <row r="258" spans="2:4" hidden="1">
      <c r="B258" s="31"/>
      <c r="C258" s="31"/>
      <c r="D258" s="32"/>
    </row>
    <row r="259" spans="2:4" hidden="1">
      <c r="B259" s="31"/>
      <c r="C259" s="31"/>
      <c r="D259" s="32"/>
    </row>
    <row r="260" spans="2:4" hidden="1">
      <c r="B260" s="31"/>
      <c r="C260" s="31"/>
      <c r="D260" s="32"/>
    </row>
    <row r="261" spans="2:4" hidden="1">
      <c r="B261" s="31"/>
      <c r="C261" s="31"/>
      <c r="D261" s="32"/>
    </row>
    <row r="262" spans="2:4" hidden="1">
      <c r="B262" s="31"/>
      <c r="C262" s="31"/>
      <c r="D262" s="32"/>
    </row>
    <row r="263" spans="2:4" hidden="1">
      <c r="B263" s="31"/>
      <c r="C263" s="31"/>
      <c r="D263" s="32"/>
    </row>
    <row r="264" spans="2:4" hidden="1">
      <c r="B264" s="31"/>
      <c r="C264" s="31"/>
      <c r="D264" s="32"/>
    </row>
    <row r="265" spans="2:4" hidden="1">
      <c r="B265" s="31"/>
      <c r="C265" s="31"/>
      <c r="D265" s="32"/>
    </row>
  </sheetData>
  <mergeCells count="33">
    <mergeCell ref="A1:AH2"/>
    <mergeCell ref="B3:D3"/>
    <mergeCell ref="B4:B5"/>
    <mergeCell ref="C4:C5"/>
    <mergeCell ref="D4:D5"/>
    <mergeCell ref="E4:AH4"/>
    <mergeCell ref="B6:B31"/>
    <mergeCell ref="C6:D6"/>
    <mergeCell ref="B32:B54"/>
    <mergeCell ref="C32:D32"/>
    <mergeCell ref="B55:B71"/>
    <mergeCell ref="C55:D55"/>
    <mergeCell ref="B72:B85"/>
    <mergeCell ref="C72:D72"/>
    <mergeCell ref="B86:B107"/>
    <mergeCell ref="C86:D86"/>
    <mergeCell ref="B108:B131"/>
    <mergeCell ref="C108:D108"/>
    <mergeCell ref="B132:B147"/>
    <mergeCell ref="C132:D132"/>
    <mergeCell ref="B148:B164"/>
    <mergeCell ref="C148:D148"/>
    <mergeCell ref="B165:B172"/>
    <mergeCell ref="C165:D165"/>
    <mergeCell ref="B197:B204"/>
    <mergeCell ref="C197:D197"/>
    <mergeCell ref="B205:D205"/>
    <mergeCell ref="B173:B180"/>
    <mergeCell ref="C173:D173"/>
    <mergeCell ref="B181:B188"/>
    <mergeCell ref="C181:D181"/>
    <mergeCell ref="B189:B196"/>
    <mergeCell ref="C189:D189"/>
  </mergeCells>
  <pageMargins left="0.7" right="0.7" top="0.75" bottom="0.75" header="0.3" footer="0.3"/>
  <pageSetup paperSize="9" orientation="portrait" horizontalDpi="4294967293"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8"/>
  <dimension ref="A1:AW413"/>
  <sheetViews>
    <sheetView showGridLines="0" zoomScale="78" zoomScaleNormal="78" workbookViewId="0">
      <pane ySplit="4" topLeftCell="A86" activePane="bottomLeft" state="frozen"/>
      <selection activeCell="K33" sqref="K33"/>
      <selection pane="bottomLeft" activeCell="I178" sqref="I178"/>
    </sheetView>
  </sheetViews>
  <sheetFormatPr defaultColWidth="0" defaultRowHeight="15" customHeight="1" zeroHeight="1"/>
  <cols>
    <col min="1" max="1" width="1" style="597" customWidth="1"/>
    <col min="2" max="2" width="3.7109375" style="609" customWidth="1"/>
    <col min="3" max="3" width="46.140625" style="609" customWidth="1"/>
    <col min="4" max="4" width="17.85546875" style="597" customWidth="1"/>
    <col min="5" max="11" width="5.7109375" style="597" customWidth="1"/>
    <col min="12" max="12" width="6.85546875" style="597" customWidth="1"/>
    <col min="13" max="19" width="5.7109375" style="597" customWidth="1"/>
    <col min="20" max="20" width="8.7109375" style="597" customWidth="1"/>
    <col min="21" max="22" width="5.7109375" style="597" customWidth="1"/>
    <col min="23" max="23" width="7.42578125" style="597" customWidth="1"/>
    <col min="24" max="27" width="5.7109375" style="597" customWidth="1"/>
    <col min="28" max="28" width="7.85546875" style="597" customWidth="1"/>
    <col min="29" max="34" width="5.7109375" style="597" customWidth="1"/>
    <col min="35" max="49" width="5.7109375" style="597" hidden="1" customWidth="1"/>
    <col min="50" max="16384" width="9.140625" style="597" hidden="1"/>
  </cols>
  <sheetData>
    <row r="1" spans="1:35" ht="15" customHeight="1">
      <c r="A1" s="845" t="s">
        <v>237</v>
      </c>
      <c r="B1" s="845"/>
      <c r="C1" s="845"/>
      <c r="D1" s="845"/>
      <c r="E1" s="845"/>
      <c r="F1" s="845"/>
      <c r="G1" s="845"/>
      <c r="H1" s="845"/>
      <c r="I1" s="845"/>
      <c r="J1" s="845"/>
      <c r="K1" s="845"/>
      <c r="L1" s="845"/>
      <c r="M1" s="845"/>
      <c r="N1" s="845"/>
      <c r="O1" s="845"/>
      <c r="P1" s="845"/>
      <c r="Q1" s="845"/>
      <c r="R1" s="845"/>
      <c r="S1" s="845"/>
      <c r="T1" s="845"/>
      <c r="U1" s="845"/>
      <c r="V1" s="845"/>
      <c r="W1" s="845"/>
      <c r="X1" s="845"/>
      <c r="Y1" s="845"/>
      <c r="Z1" s="845"/>
      <c r="AA1" s="845"/>
      <c r="AB1" s="845"/>
      <c r="AC1" s="845"/>
      <c r="AD1" s="845"/>
      <c r="AE1" s="845"/>
      <c r="AF1" s="845"/>
      <c r="AG1" s="845"/>
      <c r="AH1" s="845"/>
    </row>
    <row r="2" spans="1:35" ht="15" customHeight="1">
      <c r="A2" s="845"/>
      <c r="B2" s="845"/>
      <c r="C2" s="845"/>
      <c r="D2" s="845"/>
      <c r="E2" s="845"/>
      <c r="F2" s="845"/>
      <c r="G2" s="845"/>
      <c r="H2" s="845"/>
      <c r="I2" s="845"/>
      <c r="J2" s="845"/>
      <c r="K2" s="845"/>
      <c r="L2" s="845"/>
      <c r="M2" s="845"/>
      <c r="N2" s="845"/>
      <c r="O2" s="845"/>
      <c r="P2" s="845"/>
      <c r="Q2" s="845"/>
      <c r="R2" s="845"/>
      <c r="S2" s="845"/>
      <c r="T2" s="845"/>
      <c r="U2" s="845"/>
      <c r="V2" s="845"/>
      <c r="W2" s="845"/>
      <c r="X2" s="845"/>
      <c r="Y2" s="845"/>
      <c r="Z2" s="845"/>
      <c r="AA2" s="845"/>
      <c r="AB2" s="845"/>
      <c r="AC2" s="845"/>
      <c r="AD2" s="845"/>
      <c r="AE2" s="845"/>
      <c r="AF2" s="845"/>
      <c r="AG2" s="845"/>
      <c r="AH2" s="845"/>
    </row>
    <row r="3" spans="1:35" ht="15" customHeight="1">
      <c r="B3" s="846" t="s">
        <v>5</v>
      </c>
      <c r="C3" s="846" t="s">
        <v>125</v>
      </c>
      <c r="D3" s="847" t="s">
        <v>126</v>
      </c>
      <c r="E3" s="848" t="s">
        <v>57</v>
      </c>
      <c r="F3" s="848"/>
      <c r="G3" s="848"/>
      <c r="H3" s="848"/>
      <c r="I3" s="848"/>
      <c r="J3" s="848"/>
      <c r="K3" s="848"/>
      <c r="L3" s="848"/>
      <c r="M3" s="848"/>
      <c r="N3" s="848"/>
      <c r="O3" s="848"/>
      <c r="P3" s="848"/>
      <c r="Q3" s="848"/>
      <c r="R3" s="848"/>
      <c r="S3" s="848"/>
      <c r="T3" s="848"/>
      <c r="U3" s="848"/>
      <c r="V3" s="848"/>
      <c r="W3" s="848"/>
      <c r="X3" s="848"/>
      <c r="Y3" s="848"/>
      <c r="Z3" s="848"/>
      <c r="AA3" s="848"/>
      <c r="AB3" s="848"/>
      <c r="AC3" s="848"/>
      <c r="AD3" s="848"/>
      <c r="AE3" s="848"/>
      <c r="AF3" s="848"/>
      <c r="AG3" s="848"/>
      <c r="AH3" s="848"/>
    </row>
    <row r="4" spans="1:35" ht="12.75" customHeight="1">
      <c r="B4" s="846"/>
      <c r="C4" s="846"/>
      <c r="D4" s="847"/>
      <c r="E4" s="598" t="str">
        <f>DATASISWA!$F$8</f>
        <v>Dita</v>
      </c>
      <c r="F4" s="598" t="str">
        <f>DATASISWA!$F$9</f>
        <v>Annisa</v>
      </c>
      <c r="G4" s="598" t="str">
        <f>DATASISWA!$F$10</f>
        <v>Kiki</v>
      </c>
      <c r="H4" s="598" t="str">
        <f>DATASISWA!$F$11</f>
        <v>Lily</v>
      </c>
      <c r="I4" s="598" t="str">
        <f>DATASISWA!$F$12</f>
        <v>Rere</v>
      </c>
      <c r="J4" s="598" t="str">
        <f>DATASISWA!$F$13</f>
        <v>Fadhil</v>
      </c>
      <c r="K4" s="598" t="str">
        <f>DATASISWA!$F$14</f>
        <v>Yuefa</v>
      </c>
      <c r="L4" s="598" t="str">
        <f>DATASISWA!$F$15</f>
        <v>Ria</v>
      </c>
      <c r="M4" s="598" t="str">
        <f>DATASISWA!$F$16</f>
        <v>Tiara</v>
      </c>
      <c r="N4" s="598" t="str">
        <f>DATASISWA!$F$17</f>
        <v>Alvind</v>
      </c>
      <c r="O4" s="598" t="str">
        <f>DATASISWA!$F$18</f>
        <v>Icha</v>
      </c>
      <c r="P4" s="598" t="str">
        <f>DATASISWA!$F$19</f>
        <v>Qonita</v>
      </c>
      <c r="Q4" s="598" t="str">
        <f>DATASISWA!$F$20</f>
        <v>Anya</v>
      </c>
      <c r="R4" s="598" t="str">
        <f>DATASISWA!$F$21</f>
        <v>Radit</v>
      </c>
      <c r="S4" s="598" t="str">
        <f>DATASISWA!$F$22</f>
        <v>angel</v>
      </c>
      <c r="T4" s="598">
        <f>DATASISWA!$F$23</f>
        <v>0</v>
      </c>
      <c r="U4" s="598">
        <f>DATASISWA!$F$24</f>
        <v>0</v>
      </c>
      <c r="V4" s="598">
        <f>DATASISWA!$F$25</f>
        <v>0</v>
      </c>
      <c r="W4" s="598">
        <f>DATASISWA!$F$26</f>
        <v>0</v>
      </c>
      <c r="X4" s="598">
        <f>DATASISWA!$F$27</f>
        <v>0</v>
      </c>
      <c r="Y4" s="598">
        <f>DATASISWA!$F$28</f>
        <v>0</v>
      </c>
      <c r="Z4" s="598">
        <f>DATASISWA!$F$29</f>
        <v>0</v>
      </c>
      <c r="AA4" s="598">
        <f>DATASISWA!$F$30</f>
        <v>0</v>
      </c>
      <c r="AB4" s="598">
        <f>DATASISWA!$F$31</f>
        <v>0</v>
      </c>
      <c r="AC4" s="598">
        <f>DATASISWA!$F$32</f>
        <v>0</v>
      </c>
      <c r="AD4" s="598">
        <f>DATASISWA!$F$33</f>
        <v>0</v>
      </c>
      <c r="AE4" s="598">
        <f>DATASISWA!$F$34</f>
        <v>0</v>
      </c>
      <c r="AF4" s="598">
        <f>DATASISWA!$F$35</f>
        <v>0</v>
      </c>
      <c r="AG4" s="598">
        <f>DATASISWA!$F$36</f>
        <v>0</v>
      </c>
      <c r="AH4" s="598">
        <f>DATASISWA!$F$37</f>
        <v>0</v>
      </c>
    </row>
    <row r="5" spans="1:35" ht="27" hidden="1" customHeight="1">
      <c r="A5" s="599"/>
      <c r="B5" s="843" t="s">
        <v>238</v>
      </c>
      <c r="C5" s="844"/>
      <c r="D5" s="844"/>
      <c r="E5" s="844"/>
      <c r="F5" s="844"/>
      <c r="G5" s="844"/>
      <c r="H5" s="844"/>
      <c r="I5" s="844"/>
      <c r="J5" s="844"/>
      <c r="K5" s="844"/>
      <c r="L5" s="844"/>
      <c r="M5" s="844"/>
      <c r="N5" s="844"/>
      <c r="O5" s="844"/>
      <c r="P5" s="844"/>
      <c r="Q5" s="844"/>
      <c r="R5" s="844"/>
      <c r="S5" s="844"/>
      <c r="T5" s="844"/>
      <c r="U5" s="844"/>
      <c r="V5" s="844"/>
      <c r="W5" s="844"/>
      <c r="X5" s="844"/>
      <c r="Y5" s="844"/>
      <c r="Z5" s="844"/>
      <c r="AA5" s="844"/>
      <c r="AB5" s="844"/>
      <c r="AC5" s="844"/>
      <c r="AD5" s="844"/>
      <c r="AE5" s="844"/>
      <c r="AF5" s="844"/>
      <c r="AG5" s="844"/>
      <c r="AH5" s="844"/>
      <c r="AI5" s="600"/>
    </row>
    <row r="6" spans="1:35" ht="51" customHeight="1">
      <c r="A6" s="599"/>
      <c r="B6" s="828">
        <v>1</v>
      </c>
      <c r="C6" s="826" t="s">
        <v>1741</v>
      </c>
      <c r="D6" s="827"/>
      <c r="E6" s="579">
        <f t="shared" ref="E6:AH6" si="0">IF(SUM(E7:E64)&gt;0,AVERAGE(E7:E64),IF(SUM(E7:E64)=0,"",))</f>
        <v>96.875</v>
      </c>
      <c r="F6" s="579">
        <f t="shared" si="0"/>
        <v>95.833333333333329</v>
      </c>
      <c r="G6" s="579">
        <f t="shared" si="0"/>
        <v>93.333333333333329</v>
      </c>
      <c r="H6" s="579">
        <f t="shared" si="0"/>
        <v>98.541666666666671</v>
      </c>
      <c r="I6" s="579">
        <f t="shared" si="0"/>
        <v>97.916666666666671</v>
      </c>
      <c r="J6" s="579">
        <f t="shared" si="0"/>
        <v>98.260869565217391</v>
      </c>
      <c r="K6" s="579">
        <f t="shared" si="0"/>
        <v>97.708333333333329</v>
      </c>
      <c r="L6" s="579">
        <f t="shared" si="0"/>
        <v>97.083333333333329</v>
      </c>
      <c r="M6" s="579">
        <f t="shared" si="0"/>
        <v>94.375</v>
      </c>
      <c r="N6" s="579">
        <f t="shared" si="0"/>
        <v>98.125</v>
      </c>
      <c r="O6" s="579">
        <f t="shared" si="0"/>
        <v>97.291666666666671</v>
      </c>
      <c r="P6" s="579">
        <f t="shared" si="0"/>
        <v>97.5</v>
      </c>
      <c r="Q6" s="579">
        <f t="shared" si="0"/>
        <v>97.291666666666671</v>
      </c>
      <c r="R6" s="579">
        <f t="shared" si="0"/>
        <v>98.055555555555557</v>
      </c>
      <c r="S6" s="579">
        <f t="shared" si="0"/>
        <v>91.904761904761898</v>
      </c>
      <c r="T6" s="579">
        <f t="shared" si="0"/>
        <v>95.208333333333329</v>
      </c>
      <c r="U6" s="579">
        <f t="shared" si="0"/>
        <v>98.958333333333329</v>
      </c>
      <c r="V6" s="579">
        <f t="shared" si="0"/>
        <v>94.583333333333329</v>
      </c>
      <c r="W6" s="579">
        <f t="shared" si="0"/>
        <v>94.375</v>
      </c>
      <c r="X6" s="579">
        <f t="shared" si="0"/>
        <v>95.416666666666671</v>
      </c>
      <c r="Y6" s="579">
        <f t="shared" si="0"/>
        <v>97.916666666666671</v>
      </c>
      <c r="Z6" s="579">
        <f t="shared" si="0"/>
        <v>94.166666666666671</v>
      </c>
      <c r="AA6" s="579">
        <f t="shared" si="0"/>
        <v>98.541666666666671</v>
      </c>
      <c r="AB6" s="579">
        <f t="shared" si="0"/>
        <v>92.5</v>
      </c>
      <c r="AC6" s="579" t="str">
        <f t="shared" si="0"/>
        <v/>
      </c>
      <c r="AD6" s="579" t="str">
        <f t="shared" si="0"/>
        <v/>
      </c>
      <c r="AE6" s="579" t="str">
        <f t="shared" si="0"/>
        <v/>
      </c>
      <c r="AF6" s="579" t="str">
        <f t="shared" si="0"/>
        <v/>
      </c>
      <c r="AG6" s="579" t="str">
        <f t="shared" si="0"/>
        <v/>
      </c>
      <c r="AH6" s="579" t="str">
        <f t="shared" si="0"/>
        <v/>
      </c>
    </row>
    <row r="7" spans="1:35" ht="45" customHeight="1">
      <c r="A7" s="599"/>
      <c r="B7" s="829"/>
      <c r="C7" s="626" t="s">
        <v>1611</v>
      </c>
      <c r="D7" s="627" t="s">
        <v>1482</v>
      </c>
      <c r="E7" s="628">
        <v>100</v>
      </c>
      <c r="F7" s="628">
        <v>100</v>
      </c>
      <c r="G7" s="628"/>
      <c r="H7" s="628">
        <v>100</v>
      </c>
      <c r="I7" s="628">
        <v>100</v>
      </c>
      <c r="J7" s="628">
        <v>100</v>
      </c>
      <c r="K7" s="628">
        <v>100</v>
      </c>
      <c r="L7" s="628">
        <v>100</v>
      </c>
      <c r="M7" s="628">
        <v>95</v>
      </c>
      <c r="N7" s="628">
        <v>100</v>
      </c>
      <c r="O7" s="628">
        <v>90</v>
      </c>
      <c r="P7" s="628">
        <v>100</v>
      </c>
      <c r="Q7" s="628">
        <v>100</v>
      </c>
      <c r="R7" s="628">
        <v>100</v>
      </c>
      <c r="S7" s="628">
        <v>90</v>
      </c>
      <c r="T7" s="628">
        <v>100</v>
      </c>
      <c r="U7" s="628">
        <v>100</v>
      </c>
      <c r="V7" s="628">
        <v>100</v>
      </c>
      <c r="W7" s="628">
        <v>100</v>
      </c>
      <c r="X7" s="628">
        <v>100</v>
      </c>
      <c r="Y7" s="628">
        <v>100</v>
      </c>
      <c r="Z7" s="628">
        <v>100</v>
      </c>
      <c r="AA7" s="628">
        <v>100</v>
      </c>
      <c r="AB7" s="628">
        <v>100</v>
      </c>
      <c r="AC7" s="582"/>
      <c r="AD7" s="582"/>
      <c r="AE7" s="582"/>
      <c r="AF7" s="582"/>
      <c r="AG7" s="582"/>
      <c r="AH7" s="582"/>
    </row>
    <row r="8" spans="1:35" ht="36" customHeight="1">
      <c r="A8" s="599"/>
      <c r="B8" s="829"/>
      <c r="C8" s="626" t="s">
        <v>1612</v>
      </c>
      <c r="D8" s="627" t="s">
        <v>1613</v>
      </c>
      <c r="E8" s="628">
        <v>100</v>
      </c>
      <c r="F8" s="628"/>
      <c r="G8" s="628">
        <v>90</v>
      </c>
      <c r="H8" s="628">
        <v>100</v>
      </c>
      <c r="I8" s="628">
        <v>90</v>
      </c>
      <c r="J8" s="628">
        <v>100</v>
      </c>
      <c r="K8" s="628">
        <v>90</v>
      </c>
      <c r="L8" s="628">
        <v>100</v>
      </c>
      <c r="M8" s="628">
        <v>90</v>
      </c>
      <c r="N8" s="628">
        <v>80</v>
      </c>
      <c r="O8" s="628">
        <v>80</v>
      </c>
      <c r="P8" s="628">
        <v>100</v>
      </c>
      <c r="Q8" s="628">
        <v>90</v>
      </c>
      <c r="R8" s="628">
        <v>100</v>
      </c>
      <c r="S8" s="628">
        <v>80</v>
      </c>
      <c r="T8" s="628">
        <v>80</v>
      </c>
      <c r="U8" s="628">
        <v>100</v>
      </c>
      <c r="V8" s="628">
        <v>90</v>
      </c>
      <c r="W8" s="628">
        <v>100</v>
      </c>
      <c r="X8" s="628">
        <v>95</v>
      </c>
      <c r="Y8" s="628">
        <v>100</v>
      </c>
      <c r="Z8" s="628">
        <v>90</v>
      </c>
      <c r="AA8" s="628">
        <v>100</v>
      </c>
      <c r="AB8" s="628">
        <v>90</v>
      </c>
      <c r="AC8" s="582"/>
      <c r="AD8" s="582"/>
      <c r="AE8" s="582"/>
      <c r="AF8" s="582"/>
      <c r="AG8" s="582"/>
      <c r="AH8" s="582"/>
    </row>
    <row r="9" spans="1:35" ht="33" customHeight="1">
      <c r="A9" s="599"/>
      <c r="B9" s="829"/>
      <c r="C9" s="626" t="s">
        <v>1614</v>
      </c>
      <c r="D9" s="627" t="s">
        <v>1484</v>
      </c>
      <c r="E9" s="628">
        <v>90</v>
      </c>
      <c r="F9" s="628">
        <v>70</v>
      </c>
      <c r="G9" s="628">
        <v>80</v>
      </c>
      <c r="H9" s="628">
        <v>100</v>
      </c>
      <c r="I9" s="628">
        <v>90</v>
      </c>
      <c r="J9" s="628">
        <v>80</v>
      </c>
      <c r="K9" s="628">
        <v>90</v>
      </c>
      <c r="L9" s="628">
        <v>80</v>
      </c>
      <c r="M9" s="628">
        <v>70</v>
      </c>
      <c r="N9" s="628">
        <v>100</v>
      </c>
      <c r="O9" s="628">
        <v>90</v>
      </c>
      <c r="P9" s="628">
        <v>70</v>
      </c>
      <c r="Q9" s="628">
        <v>85</v>
      </c>
      <c r="R9" s="628">
        <v>90</v>
      </c>
      <c r="S9" s="628">
        <v>60</v>
      </c>
      <c r="T9" s="628">
        <v>90</v>
      </c>
      <c r="U9" s="628">
        <v>100</v>
      </c>
      <c r="V9" s="628">
        <v>70</v>
      </c>
      <c r="W9" s="628">
        <v>70</v>
      </c>
      <c r="X9" s="628">
        <v>90</v>
      </c>
      <c r="Y9" s="628">
        <v>80</v>
      </c>
      <c r="Z9" s="628">
        <v>95</v>
      </c>
      <c r="AA9" s="628">
        <v>90</v>
      </c>
      <c r="AB9" s="628">
        <v>80</v>
      </c>
      <c r="AC9" s="582"/>
      <c r="AD9" s="582"/>
      <c r="AE9" s="582"/>
      <c r="AF9" s="582"/>
      <c r="AG9" s="582"/>
      <c r="AH9" s="582"/>
    </row>
    <row r="10" spans="1:35" ht="33.75" customHeight="1">
      <c r="A10" s="599"/>
      <c r="B10" s="829"/>
      <c r="C10" s="626" t="s">
        <v>1615</v>
      </c>
      <c r="D10" s="627" t="s">
        <v>1616</v>
      </c>
      <c r="E10" s="628">
        <v>95</v>
      </c>
      <c r="F10" s="628">
        <v>90</v>
      </c>
      <c r="G10" s="628">
        <v>90</v>
      </c>
      <c r="H10" s="628">
        <v>100</v>
      </c>
      <c r="I10" s="628">
        <v>100</v>
      </c>
      <c r="J10" s="628">
        <v>100</v>
      </c>
      <c r="K10" s="628">
        <v>100</v>
      </c>
      <c r="L10" s="628">
        <v>100</v>
      </c>
      <c r="M10" s="628">
        <v>95</v>
      </c>
      <c r="N10" s="628">
        <v>100</v>
      </c>
      <c r="O10" s="628">
        <v>100</v>
      </c>
      <c r="P10" s="628">
        <v>100</v>
      </c>
      <c r="Q10" s="628">
        <v>100</v>
      </c>
      <c r="R10" s="628">
        <v>95</v>
      </c>
      <c r="S10" s="628">
        <v>95</v>
      </c>
      <c r="T10" s="628">
        <v>100</v>
      </c>
      <c r="U10" s="628">
        <v>100</v>
      </c>
      <c r="V10" s="628">
        <v>90</v>
      </c>
      <c r="W10" s="628">
        <v>100</v>
      </c>
      <c r="X10" s="628">
        <v>100</v>
      </c>
      <c r="Y10" s="628">
        <v>100</v>
      </c>
      <c r="Z10" s="628">
        <v>100</v>
      </c>
      <c r="AA10" s="628">
        <v>100</v>
      </c>
      <c r="AB10" s="628">
        <v>100</v>
      </c>
      <c r="AC10" s="582"/>
      <c r="AD10" s="582"/>
      <c r="AE10" s="582"/>
      <c r="AF10" s="582"/>
      <c r="AG10" s="582"/>
      <c r="AH10" s="582"/>
    </row>
    <row r="11" spans="1:35" ht="27" customHeight="1">
      <c r="A11" s="599"/>
      <c r="B11" s="829"/>
      <c r="C11" s="626" t="s">
        <v>1617</v>
      </c>
      <c r="D11" s="627" t="s">
        <v>1486</v>
      </c>
      <c r="E11" s="628">
        <v>95</v>
      </c>
      <c r="F11" s="628">
        <v>90</v>
      </c>
      <c r="G11" s="628">
        <v>100</v>
      </c>
      <c r="H11" s="628">
        <v>95</v>
      </c>
      <c r="I11" s="628">
        <v>100</v>
      </c>
      <c r="J11" s="628">
        <v>95</v>
      </c>
      <c r="K11" s="628">
        <v>100</v>
      </c>
      <c r="L11" s="628">
        <v>100</v>
      </c>
      <c r="M11" s="628">
        <v>100</v>
      </c>
      <c r="N11" s="628">
        <v>100</v>
      </c>
      <c r="O11" s="628">
        <v>100</v>
      </c>
      <c r="P11" s="628">
        <v>100</v>
      </c>
      <c r="Q11" s="628">
        <v>100</v>
      </c>
      <c r="R11" s="628">
        <v>100</v>
      </c>
      <c r="S11" s="628">
        <v>90</v>
      </c>
      <c r="T11" s="628">
        <v>90</v>
      </c>
      <c r="U11" s="628">
        <v>95</v>
      </c>
      <c r="V11" s="628">
        <v>95</v>
      </c>
      <c r="W11" s="628">
        <v>95</v>
      </c>
      <c r="X11" s="628">
        <v>100</v>
      </c>
      <c r="Y11" s="628">
        <v>95</v>
      </c>
      <c r="Z11" s="628">
        <v>95</v>
      </c>
      <c r="AA11" s="628">
        <v>100</v>
      </c>
      <c r="AB11" s="628">
        <v>85</v>
      </c>
      <c r="AC11" s="582"/>
      <c r="AD11" s="582"/>
      <c r="AE11" s="582"/>
      <c r="AF11" s="582"/>
      <c r="AG11" s="582"/>
      <c r="AH11" s="582"/>
    </row>
    <row r="12" spans="1:35" ht="27" customHeight="1">
      <c r="A12" s="599"/>
      <c r="B12" s="829"/>
      <c r="C12" s="626" t="s">
        <v>1618</v>
      </c>
      <c r="D12" s="627" t="s">
        <v>1488</v>
      </c>
      <c r="E12" s="628">
        <v>100</v>
      </c>
      <c r="F12" s="628"/>
      <c r="G12" s="628"/>
      <c r="H12" s="628">
        <v>100</v>
      </c>
      <c r="I12" s="628">
        <v>100</v>
      </c>
      <c r="J12" s="628">
        <v>100</v>
      </c>
      <c r="K12" s="628">
        <v>100</v>
      </c>
      <c r="L12" s="628">
        <v>100</v>
      </c>
      <c r="M12" s="628">
        <v>100</v>
      </c>
      <c r="N12" s="628">
        <v>100</v>
      </c>
      <c r="O12" s="628">
        <v>100</v>
      </c>
      <c r="P12" s="628">
        <v>100</v>
      </c>
      <c r="Q12" s="628">
        <v>100</v>
      </c>
      <c r="R12" s="628">
        <v>100</v>
      </c>
      <c r="S12" s="628">
        <v>100</v>
      </c>
      <c r="T12" s="628">
        <v>100</v>
      </c>
      <c r="U12" s="628">
        <v>100</v>
      </c>
      <c r="V12" s="628">
        <v>100</v>
      </c>
      <c r="W12" s="628">
        <v>100</v>
      </c>
      <c r="X12" s="628">
        <v>100</v>
      </c>
      <c r="Y12" s="628">
        <v>100</v>
      </c>
      <c r="Z12" s="628">
        <v>100</v>
      </c>
      <c r="AA12" s="628">
        <v>100</v>
      </c>
      <c r="AB12" s="628">
        <v>100</v>
      </c>
      <c r="AC12" s="582"/>
      <c r="AD12" s="582"/>
      <c r="AE12" s="582"/>
      <c r="AF12" s="582"/>
      <c r="AG12" s="582"/>
      <c r="AH12" s="582"/>
    </row>
    <row r="13" spans="1:35" ht="27" customHeight="1">
      <c r="A13" s="599"/>
      <c r="B13" s="829"/>
      <c r="C13" s="649" t="s">
        <v>1551</v>
      </c>
      <c r="D13" s="650" t="s">
        <v>1490</v>
      </c>
      <c r="E13" s="651">
        <v>95</v>
      </c>
      <c r="F13" s="651">
        <v>100</v>
      </c>
      <c r="G13" s="651"/>
      <c r="H13" s="651">
        <v>100</v>
      </c>
      <c r="I13" s="651">
        <v>95</v>
      </c>
      <c r="J13" s="651">
        <v>100</v>
      </c>
      <c r="K13" s="651">
        <v>95</v>
      </c>
      <c r="L13" s="651">
        <v>100</v>
      </c>
      <c r="M13" s="651">
        <v>85</v>
      </c>
      <c r="N13" s="651">
        <v>100</v>
      </c>
      <c r="O13" s="651">
        <v>100</v>
      </c>
      <c r="P13" s="651">
        <v>85</v>
      </c>
      <c r="Q13" s="651">
        <v>95</v>
      </c>
      <c r="R13" s="651">
        <v>100</v>
      </c>
      <c r="S13" s="651">
        <v>85</v>
      </c>
      <c r="T13" s="651">
        <v>90</v>
      </c>
      <c r="U13" s="651">
        <v>100</v>
      </c>
      <c r="V13" s="651">
        <v>100</v>
      </c>
      <c r="W13" s="651">
        <v>100</v>
      </c>
      <c r="X13" s="651">
        <v>90</v>
      </c>
      <c r="Y13" s="651">
        <v>100</v>
      </c>
      <c r="Z13" s="651">
        <v>100</v>
      </c>
      <c r="AA13" s="651">
        <v>100</v>
      </c>
      <c r="AB13" s="651">
        <v>100</v>
      </c>
      <c r="AC13" s="582"/>
      <c r="AD13" s="582"/>
      <c r="AE13" s="582"/>
      <c r="AF13" s="582"/>
      <c r="AG13" s="582"/>
      <c r="AH13" s="582"/>
    </row>
    <row r="14" spans="1:35" ht="27" customHeight="1">
      <c r="A14" s="599"/>
      <c r="B14" s="829"/>
      <c r="C14" s="649" t="s">
        <v>1619</v>
      </c>
      <c r="D14" s="650" t="s">
        <v>1620</v>
      </c>
      <c r="E14" s="651">
        <v>90</v>
      </c>
      <c r="F14" s="651">
        <v>95</v>
      </c>
      <c r="G14" s="651">
        <v>90</v>
      </c>
      <c r="H14" s="651">
        <v>100</v>
      </c>
      <c r="I14" s="651">
        <v>100</v>
      </c>
      <c r="J14" s="651">
        <v>100</v>
      </c>
      <c r="K14" s="651">
        <v>100</v>
      </c>
      <c r="L14" s="651">
        <v>95</v>
      </c>
      <c r="M14" s="651">
        <v>100</v>
      </c>
      <c r="N14" s="651">
        <v>100</v>
      </c>
      <c r="O14" s="651">
        <v>100</v>
      </c>
      <c r="P14" s="651">
        <v>100</v>
      </c>
      <c r="Q14" s="651">
        <v>100</v>
      </c>
      <c r="R14" s="651">
        <v>100</v>
      </c>
      <c r="S14" s="651">
        <v>100</v>
      </c>
      <c r="T14" s="651">
        <v>90</v>
      </c>
      <c r="U14" s="651">
        <v>100</v>
      </c>
      <c r="V14" s="651">
        <v>100</v>
      </c>
      <c r="W14" s="651">
        <v>85</v>
      </c>
      <c r="X14" s="651">
        <v>100</v>
      </c>
      <c r="Y14" s="651">
        <v>100</v>
      </c>
      <c r="Z14" s="651">
        <v>100</v>
      </c>
      <c r="AA14" s="651">
        <v>100</v>
      </c>
      <c r="AB14" s="651">
        <v>100</v>
      </c>
      <c r="AC14" s="582"/>
      <c r="AD14" s="582"/>
      <c r="AE14" s="582"/>
      <c r="AF14" s="582"/>
      <c r="AG14" s="582"/>
      <c r="AH14" s="582"/>
    </row>
    <row r="15" spans="1:35" ht="27" customHeight="1">
      <c r="A15" s="599"/>
      <c r="B15" s="829"/>
      <c r="C15" s="649" t="s">
        <v>1621</v>
      </c>
      <c r="D15" s="650" t="s">
        <v>1492</v>
      </c>
      <c r="E15" s="651">
        <v>90</v>
      </c>
      <c r="F15" s="651">
        <v>90</v>
      </c>
      <c r="G15" s="651">
        <v>90</v>
      </c>
      <c r="H15" s="651">
        <v>100</v>
      </c>
      <c r="I15" s="651">
        <v>100</v>
      </c>
      <c r="J15" s="651">
        <v>90</v>
      </c>
      <c r="K15" s="651">
        <v>90</v>
      </c>
      <c r="L15" s="651">
        <v>90</v>
      </c>
      <c r="M15" s="651">
        <v>90</v>
      </c>
      <c r="N15" s="651">
        <v>100</v>
      </c>
      <c r="O15" s="651">
        <v>100</v>
      </c>
      <c r="P15" s="651">
        <v>100</v>
      </c>
      <c r="Q15" s="651">
        <v>100</v>
      </c>
      <c r="R15" s="651">
        <v>90</v>
      </c>
      <c r="S15" s="651">
        <v>100</v>
      </c>
      <c r="T15" s="651">
        <v>80</v>
      </c>
      <c r="U15" s="651">
        <v>90</v>
      </c>
      <c r="V15" s="651">
        <v>100</v>
      </c>
      <c r="W15" s="651">
        <v>90</v>
      </c>
      <c r="X15" s="651">
        <v>70</v>
      </c>
      <c r="Y15" s="651">
        <v>90</v>
      </c>
      <c r="Z15" s="651">
        <v>90</v>
      </c>
      <c r="AA15" s="651">
        <v>90</v>
      </c>
      <c r="AB15" s="651">
        <v>80</v>
      </c>
      <c r="AC15" s="582"/>
      <c r="AD15" s="582"/>
      <c r="AE15" s="582"/>
      <c r="AF15" s="582"/>
      <c r="AG15" s="582"/>
      <c r="AH15" s="582"/>
    </row>
    <row r="16" spans="1:35" ht="38.25" customHeight="1">
      <c r="A16" s="599"/>
      <c r="B16" s="829"/>
      <c r="C16" s="649" t="s">
        <v>1622</v>
      </c>
      <c r="D16" s="650" t="s">
        <v>1623</v>
      </c>
      <c r="E16" s="651">
        <v>100</v>
      </c>
      <c r="F16" s="651">
        <v>100</v>
      </c>
      <c r="G16" s="651">
        <v>95</v>
      </c>
      <c r="H16" s="651">
        <v>100</v>
      </c>
      <c r="I16" s="651">
        <v>95</v>
      </c>
      <c r="J16" s="651">
        <v>100</v>
      </c>
      <c r="K16" s="651">
        <v>100</v>
      </c>
      <c r="L16" s="651">
        <v>100</v>
      </c>
      <c r="M16" s="651">
        <v>100</v>
      </c>
      <c r="N16" s="651">
        <v>90</v>
      </c>
      <c r="O16" s="651">
        <v>100</v>
      </c>
      <c r="P16" s="651">
        <v>100</v>
      </c>
      <c r="Q16" s="651">
        <v>95</v>
      </c>
      <c r="R16" s="651">
        <v>90</v>
      </c>
      <c r="S16" s="651">
        <v>95</v>
      </c>
      <c r="T16" s="651">
        <v>100</v>
      </c>
      <c r="U16" s="651">
        <v>100</v>
      </c>
      <c r="V16" s="651">
        <v>95</v>
      </c>
      <c r="W16" s="651">
        <v>100</v>
      </c>
      <c r="X16" s="651">
        <v>100</v>
      </c>
      <c r="Y16" s="651">
        <v>100</v>
      </c>
      <c r="Z16" s="651">
        <v>100</v>
      </c>
      <c r="AA16" s="651">
        <v>100</v>
      </c>
      <c r="AB16" s="651">
        <v>95</v>
      </c>
      <c r="AC16" s="582"/>
      <c r="AD16" s="582"/>
      <c r="AE16" s="582"/>
      <c r="AF16" s="582"/>
      <c r="AG16" s="582"/>
      <c r="AH16" s="582"/>
    </row>
    <row r="17" spans="1:34" ht="27" customHeight="1">
      <c r="A17" s="599"/>
      <c r="B17" s="829"/>
      <c r="C17" s="649" t="s">
        <v>1624</v>
      </c>
      <c r="D17" s="650" t="s">
        <v>1494</v>
      </c>
      <c r="E17" s="651">
        <v>100</v>
      </c>
      <c r="F17" s="651">
        <v>90</v>
      </c>
      <c r="G17" s="651">
        <v>100</v>
      </c>
      <c r="H17" s="651">
        <v>100</v>
      </c>
      <c r="I17" s="651">
        <v>100</v>
      </c>
      <c r="J17" s="651">
        <v>100</v>
      </c>
      <c r="K17" s="651">
        <v>100</v>
      </c>
      <c r="L17" s="651">
        <v>100</v>
      </c>
      <c r="M17" s="651">
        <v>100</v>
      </c>
      <c r="N17" s="651">
        <v>100</v>
      </c>
      <c r="O17" s="651">
        <v>100</v>
      </c>
      <c r="P17" s="651">
        <v>100</v>
      </c>
      <c r="Q17" s="651">
        <v>90</v>
      </c>
      <c r="R17" s="651"/>
      <c r="S17" s="651">
        <v>90</v>
      </c>
      <c r="T17" s="651">
        <v>100</v>
      </c>
      <c r="U17" s="651">
        <v>100</v>
      </c>
      <c r="V17" s="651">
        <v>100</v>
      </c>
      <c r="W17" s="651">
        <v>100</v>
      </c>
      <c r="X17" s="651">
        <v>100</v>
      </c>
      <c r="Y17" s="651">
        <v>100</v>
      </c>
      <c r="Z17" s="651">
        <v>100</v>
      </c>
      <c r="AA17" s="651">
        <v>100</v>
      </c>
      <c r="AB17" s="651">
        <v>100</v>
      </c>
      <c r="AC17" s="582"/>
      <c r="AD17" s="582"/>
      <c r="AE17" s="582"/>
      <c r="AF17" s="582"/>
      <c r="AG17" s="582"/>
      <c r="AH17" s="582"/>
    </row>
    <row r="18" spans="1:34" ht="27" customHeight="1">
      <c r="A18" s="599"/>
      <c r="B18" s="829"/>
      <c r="C18" s="649" t="s">
        <v>1625</v>
      </c>
      <c r="D18" s="650" t="s">
        <v>1496</v>
      </c>
      <c r="E18" s="651">
        <v>100</v>
      </c>
      <c r="F18" s="651">
        <v>100</v>
      </c>
      <c r="G18" s="651">
        <v>100</v>
      </c>
      <c r="H18" s="651">
        <v>90</v>
      </c>
      <c r="I18" s="651">
        <v>100</v>
      </c>
      <c r="J18" s="651">
        <v>100</v>
      </c>
      <c r="K18" s="651">
        <v>100</v>
      </c>
      <c r="L18" s="651">
        <v>100</v>
      </c>
      <c r="M18" s="651">
        <v>90</v>
      </c>
      <c r="N18" s="651">
        <v>100</v>
      </c>
      <c r="O18" s="651">
        <v>90</v>
      </c>
      <c r="P18" s="651">
        <v>100</v>
      </c>
      <c r="Q18" s="651">
        <v>100</v>
      </c>
      <c r="R18" s="651">
        <v>100</v>
      </c>
      <c r="S18" s="651">
        <v>100</v>
      </c>
      <c r="T18" s="651">
        <v>100</v>
      </c>
      <c r="U18" s="651">
        <v>100</v>
      </c>
      <c r="V18" s="651">
        <v>80</v>
      </c>
      <c r="W18" s="651">
        <v>100</v>
      </c>
      <c r="X18" s="651">
        <v>100</v>
      </c>
      <c r="Y18" s="651">
        <v>100</v>
      </c>
      <c r="Z18" s="651">
        <v>80</v>
      </c>
      <c r="AA18" s="651">
        <v>100</v>
      </c>
      <c r="AB18" s="651">
        <v>100</v>
      </c>
      <c r="AC18" s="582"/>
      <c r="AD18" s="582"/>
      <c r="AE18" s="582"/>
      <c r="AF18" s="582"/>
      <c r="AG18" s="582"/>
      <c r="AH18" s="582"/>
    </row>
    <row r="19" spans="1:34" ht="27" customHeight="1">
      <c r="A19" s="599"/>
      <c r="B19" s="829"/>
      <c r="C19" s="652" t="s">
        <v>1626</v>
      </c>
      <c r="D19" s="653" t="s">
        <v>1498</v>
      </c>
      <c r="E19" s="636">
        <v>90</v>
      </c>
      <c r="F19" s="636"/>
      <c r="G19" s="636">
        <v>90</v>
      </c>
      <c r="H19" s="636">
        <v>90</v>
      </c>
      <c r="I19" s="636">
        <v>100</v>
      </c>
      <c r="J19" s="636">
        <v>100</v>
      </c>
      <c r="K19" s="636">
        <v>100</v>
      </c>
      <c r="L19" s="636">
        <v>80</v>
      </c>
      <c r="M19" s="636">
        <v>95</v>
      </c>
      <c r="N19" s="636">
        <v>100</v>
      </c>
      <c r="O19" s="636">
        <v>100</v>
      </c>
      <c r="P19" s="636">
        <v>100</v>
      </c>
      <c r="Q19" s="636">
        <v>100</v>
      </c>
      <c r="R19" s="636">
        <v>100</v>
      </c>
      <c r="S19" s="636"/>
      <c r="T19" s="636">
        <v>90</v>
      </c>
      <c r="U19" s="636">
        <v>90</v>
      </c>
      <c r="V19" s="636">
        <v>100</v>
      </c>
      <c r="W19" s="636">
        <v>100</v>
      </c>
      <c r="X19" s="636">
        <v>100</v>
      </c>
      <c r="Y19" s="636">
        <v>90</v>
      </c>
      <c r="Z19" s="636">
        <v>90</v>
      </c>
      <c r="AA19" s="636">
        <v>90</v>
      </c>
      <c r="AB19" s="636">
        <v>90</v>
      </c>
      <c r="AC19" s="582"/>
      <c r="AD19" s="582"/>
      <c r="AE19" s="582"/>
      <c r="AF19" s="582"/>
      <c r="AG19" s="582"/>
      <c r="AH19" s="582"/>
    </row>
    <row r="20" spans="1:34" ht="35.25" customHeight="1">
      <c r="A20" s="599"/>
      <c r="B20" s="829"/>
      <c r="C20" s="652" t="s">
        <v>1627</v>
      </c>
      <c r="D20" s="653" t="s">
        <v>1628</v>
      </c>
      <c r="E20" s="636">
        <v>100</v>
      </c>
      <c r="F20" s="636"/>
      <c r="G20" s="636">
        <v>90</v>
      </c>
      <c r="H20" s="636">
        <v>100</v>
      </c>
      <c r="I20" s="636">
        <v>100</v>
      </c>
      <c r="J20" s="636">
        <v>100</v>
      </c>
      <c r="K20" s="636">
        <v>100</v>
      </c>
      <c r="L20" s="636">
        <v>100</v>
      </c>
      <c r="M20" s="636">
        <v>100</v>
      </c>
      <c r="N20" s="636">
        <v>100</v>
      </c>
      <c r="O20" s="636">
        <v>100</v>
      </c>
      <c r="P20" s="636">
        <v>100</v>
      </c>
      <c r="Q20" s="636">
        <v>100</v>
      </c>
      <c r="R20" s="636">
        <v>100</v>
      </c>
      <c r="S20" s="636"/>
      <c r="T20" s="636">
        <v>100</v>
      </c>
      <c r="U20" s="636">
        <v>100</v>
      </c>
      <c r="V20" s="636">
        <v>100</v>
      </c>
      <c r="W20" s="636">
        <v>100</v>
      </c>
      <c r="X20" s="636">
        <v>95</v>
      </c>
      <c r="Y20" s="636">
        <v>100</v>
      </c>
      <c r="Z20" s="636">
        <v>95</v>
      </c>
      <c r="AA20" s="636">
        <v>100</v>
      </c>
      <c r="AB20" s="636">
        <v>80</v>
      </c>
      <c r="AC20" s="582"/>
      <c r="AD20" s="582"/>
      <c r="AE20" s="582"/>
      <c r="AF20" s="582"/>
      <c r="AG20" s="582"/>
      <c r="AH20" s="582"/>
    </row>
    <row r="21" spans="1:34" ht="35.25" customHeight="1">
      <c r="A21" s="599"/>
      <c r="B21" s="829"/>
      <c r="C21" s="652" t="s">
        <v>1629</v>
      </c>
      <c r="D21" s="653" t="s">
        <v>1500</v>
      </c>
      <c r="E21" s="636">
        <v>90</v>
      </c>
      <c r="F21" s="636">
        <v>100</v>
      </c>
      <c r="G21" s="636">
        <v>100</v>
      </c>
      <c r="H21" s="636">
        <v>100</v>
      </c>
      <c r="I21" s="636">
        <v>100</v>
      </c>
      <c r="J21" s="636">
        <v>100</v>
      </c>
      <c r="K21" s="636">
        <v>95</v>
      </c>
      <c r="L21" s="636">
        <v>100</v>
      </c>
      <c r="M21" s="636">
        <v>100</v>
      </c>
      <c r="N21" s="636">
        <v>100</v>
      </c>
      <c r="O21" s="636">
        <v>100</v>
      </c>
      <c r="P21" s="636">
        <v>100</v>
      </c>
      <c r="Q21" s="636">
        <v>95</v>
      </c>
      <c r="R21" s="636">
        <v>100</v>
      </c>
      <c r="S21" s="636"/>
      <c r="T21" s="636">
        <v>90</v>
      </c>
      <c r="U21" s="636">
        <v>100</v>
      </c>
      <c r="V21" s="636">
        <v>85</v>
      </c>
      <c r="W21" s="636">
        <v>80</v>
      </c>
      <c r="X21" s="636">
        <v>80</v>
      </c>
      <c r="Y21" s="636">
        <v>95</v>
      </c>
      <c r="Z21" s="636">
        <v>95</v>
      </c>
      <c r="AA21" s="636">
        <v>100</v>
      </c>
      <c r="AB21" s="636">
        <v>100</v>
      </c>
      <c r="AC21" s="582"/>
      <c r="AD21" s="582"/>
      <c r="AE21" s="582"/>
      <c r="AF21" s="582"/>
      <c r="AG21" s="582"/>
      <c r="AH21" s="582"/>
    </row>
    <row r="22" spans="1:34" ht="34.5" customHeight="1">
      <c r="A22" s="599"/>
      <c r="B22" s="829"/>
      <c r="C22" s="652" t="s">
        <v>1630</v>
      </c>
      <c r="D22" s="653" t="s">
        <v>1631</v>
      </c>
      <c r="E22" s="636">
        <v>100</v>
      </c>
      <c r="F22" s="636">
        <v>100</v>
      </c>
      <c r="G22" s="636">
        <v>100</v>
      </c>
      <c r="H22" s="636">
        <v>100</v>
      </c>
      <c r="I22" s="636">
        <v>100</v>
      </c>
      <c r="J22" s="636">
        <v>100</v>
      </c>
      <c r="K22" s="636">
        <v>100</v>
      </c>
      <c r="L22" s="636">
        <v>100</v>
      </c>
      <c r="M22" s="636">
        <v>100</v>
      </c>
      <c r="N22" s="636">
        <v>100</v>
      </c>
      <c r="O22" s="636">
        <v>100</v>
      </c>
      <c r="P22" s="636">
        <v>100</v>
      </c>
      <c r="Q22" s="636">
        <v>100</v>
      </c>
      <c r="R22" s="636">
        <v>100</v>
      </c>
      <c r="S22" s="636">
        <v>100</v>
      </c>
      <c r="T22" s="636">
        <v>100</v>
      </c>
      <c r="U22" s="636">
        <v>100</v>
      </c>
      <c r="V22" s="636">
        <v>90</v>
      </c>
      <c r="W22" s="636">
        <v>100</v>
      </c>
      <c r="X22" s="636">
        <v>80</v>
      </c>
      <c r="Y22" s="636">
        <v>100</v>
      </c>
      <c r="Z22" s="636">
        <v>100</v>
      </c>
      <c r="AA22" s="636">
        <v>100</v>
      </c>
      <c r="AB22" s="636">
        <v>100</v>
      </c>
      <c r="AC22" s="582"/>
      <c r="AD22" s="582"/>
      <c r="AE22" s="582"/>
      <c r="AF22" s="582"/>
      <c r="AG22" s="582"/>
      <c r="AH22" s="582"/>
    </row>
    <row r="23" spans="1:34" ht="33.75" customHeight="1">
      <c r="A23" s="599"/>
      <c r="B23" s="829"/>
      <c r="C23" s="652" t="s">
        <v>1552</v>
      </c>
      <c r="D23" s="653" t="s">
        <v>1502</v>
      </c>
      <c r="E23" s="636">
        <v>100</v>
      </c>
      <c r="F23" s="636">
        <v>100</v>
      </c>
      <c r="G23" s="636">
        <v>95</v>
      </c>
      <c r="H23" s="636">
        <v>100</v>
      </c>
      <c r="I23" s="636">
        <v>100</v>
      </c>
      <c r="J23" s="636">
        <v>100</v>
      </c>
      <c r="K23" s="636">
        <v>95</v>
      </c>
      <c r="L23" s="636">
        <v>100</v>
      </c>
      <c r="M23" s="636">
        <v>100</v>
      </c>
      <c r="N23" s="636">
        <v>100</v>
      </c>
      <c r="O23" s="636">
        <v>100</v>
      </c>
      <c r="P23" s="636">
        <v>100</v>
      </c>
      <c r="Q23" s="636">
        <v>100</v>
      </c>
      <c r="R23" s="636">
        <v>100</v>
      </c>
      <c r="S23" s="636">
        <v>100</v>
      </c>
      <c r="T23" s="636">
        <v>85</v>
      </c>
      <c r="U23" s="636">
        <v>100</v>
      </c>
      <c r="V23" s="636">
        <v>85</v>
      </c>
      <c r="W23" s="636">
        <v>80</v>
      </c>
      <c r="X23" s="636">
        <v>90</v>
      </c>
      <c r="Y23" s="636">
        <v>100</v>
      </c>
      <c r="Z23" s="636">
        <v>95</v>
      </c>
      <c r="AA23" s="636">
        <v>95</v>
      </c>
      <c r="AB23" s="636">
        <v>100</v>
      </c>
      <c r="AC23" s="582"/>
      <c r="AD23" s="582"/>
      <c r="AE23" s="582"/>
      <c r="AF23" s="582"/>
      <c r="AG23" s="582"/>
      <c r="AH23" s="582"/>
    </row>
    <row r="24" spans="1:34" ht="30" customHeight="1">
      <c r="A24" s="599"/>
      <c r="B24" s="829"/>
      <c r="C24" s="652" t="s">
        <v>1633</v>
      </c>
      <c r="D24" s="653" t="s">
        <v>1634</v>
      </c>
      <c r="E24" s="636">
        <v>100</v>
      </c>
      <c r="F24" s="636">
        <v>100</v>
      </c>
      <c r="G24" s="636">
        <v>90</v>
      </c>
      <c r="H24" s="636">
        <v>100</v>
      </c>
      <c r="I24" s="636">
        <v>100</v>
      </c>
      <c r="J24" s="636">
        <v>100</v>
      </c>
      <c r="K24" s="636">
        <v>100</v>
      </c>
      <c r="L24" s="636">
        <v>100</v>
      </c>
      <c r="M24" s="636">
        <v>100</v>
      </c>
      <c r="N24" s="636">
        <v>100</v>
      </c>
      <c r="O24" s="636">
        <v>100</v>
      </c>
      <c r="P24" s="636">
        <v>100</v>
      </c>
      <c r="Q24" s="636">
        <v>100</v>
      </c>
      <c r="R24" s="636">
        <v>100</v>
      </c>
      <c r="S24" s="636">
        <v>95</v>
      </c>
      <c r="T24" s="636">
        <v>100</v>
      </c>
      <c r="U24" s="636">
        <v>100</v>
      </c>
      <c r="V24" s="636">
        <v>100</v>
      </c>
      <c r="W24" s="636">
        <v>100</v>
      </c>
      <c r="X24" s="636">
        <v>100</v>
      </c>
      <c r="Y24" s="636">
        <v>100</v>
      </c>
      <c r="Z24" s="636">
        <v>90</v>
      </c>
      <c r="AA24" s="636">
        <v>100</v>
      </c>
      <c r="AB24" s="636">
        <v>95</v>
      </c>
      <c r="AC24" s="582"/>
      <c r="AD24" s="582"/>
      <c r="AE24" s="582"/>
      <c r="AF24" s="582"/>
      <c r="AG24" s="582"/>
      <c r="AH24" s="582"/>
    </row>
    <row r="25" spans="1:34" ht="31.5" customHeight="1">
      <c r="A25" s="599"/>
      <c r="B25" s="829"/>
      <c r="C25" s="655" t="s">
        <v>1635</v>
      </c>
      <c r="D25" s="656" t="s">
        <v>1506</v>
      </c>
      <c r="E25" s="657">
        <v>100</v>
      </c>
      <c r="F25" s="657">
        <v>100</v>
      </c>
      <c r="G25" s="657">
        <v>90</v>
      </c>
      <c r="H25" s="657">
        <v>100</v>
      </c>
      <c r="I25" s="657">
        <v>90</v>
      </c>
      <c r="J25" s="657">
        <v>100</v>
      </c>
      <c r="K25" s="657">
        <v>100</v>
      </c>
      <c r="L25" s="657">
        <v>100</v>
      </c>
      <c r="M25" s="657">
        <v>90</v>
      </c>
      <c r="N25" s="657">
        <v>90</v>
      </c>
      <c r="O25" s="657">
        <v>100</v>
      </c>
      <c r="P25" s="657">
        <v>90</v>
      </c>
      <c r="Q25" s="657">
        <v>100</v>
      </c>
      <c r="R25" s="657"/>
      <c r="S25" s="657">
        <v>100</v>
      </c>
      <c r="T25" s="657">
        <v>100</v>
      </c>
      <c r="U25" s="657">
        <v>100</v>
      </c>
      <c r="V25" s="657">
        <v>100</v>
      </c>
      <c r="W25" s="657">
        <v>90</v>
      </c>
      <c r="X25" s="657">
        <v>100</v>
      </c>
      <c r="Y25" s="657">
        <v>100</v>
      </c>
      <c r="Z25" s="657">
        <v>100</v>
      </c>
      <c r="AA25" s="657">
        <v>100</v>
      </c>
      <c r="AB25" s="657">
        <v>80</v>
      </c>
      <c r="AC25" s="582"/>
      <c r="AD25" s="582"/>
      <c r="AE25" s="582"/>
      <c r="AF25" s="582"/>
      <c r="AG25" s="582"/>
      <c r="AH25" s="582"/>
    </row>
    <row r="26" spans="1:34" ht="37.5" customHeight="1">
      <c r="A26" s="599"/>
      <c r="B26" s="829"/>
      <c r="C26" s="655" t="s">
        <v>1636</v>
      </c>
      <c r="D26" s="656" t="s">
        <v>1637</v>
      </c>
      <c r="E26" s="657">
        <v>95</v>
      </c>
      <c r="F26" s="657"/>
      <c r="G26" s="657">
        <v>100</v>
      </c>
      <c r="H26" s="657">
        <v>100</v>
      </c>
      <c r="I26" s="657">
        <v>100</v>
      </c>
      <c r="J26" s="657"/>
      <c r="K26" s="657">
        <v>100</v>
      </c>
      <c r="L26" s="657">
        <v>100</v>
      </c>
      <c r="M26" s="657">
        <v>100</v>
      </c>
      <c r="N26" s="657">
        <v>100</v>
      </c>
      <c r="O26" s="657">
        <v>100</v>
      </c>
      <c r="P26" s="657">
        <v>100</v>
      </c>
      <c r="Q26" s="657">
        <v>100</v>
      </c>
      <c r="R26" s="657"/>
      <c r="S26" s="657">
        <v>80</v>
      </c>
      <c r="T26" s="657">
        <v>100</v>
      </c>
      <c r="U26" s="657">
        <v>100</v>
      </c>
      <c r="V26" s="657">
        <v>100</v>
      </c>
      <c r="W26" s="657">
        <v>95</v>
      </c>
      <c r="X26" s="657">
        <v>100</v>
      </c>
      <c r="Y26" s="657">
        <v>100</v>
      </c>
      <c r="Z26" s="657">
        <v>100</v>
      </c>
      <c r="AA26" s="657">
        <v>100</v>
      </c>
      <c r="AB26" s="657">
        <v>90</v>
      </c>
      <c r="AC26" s="582"/>
      <c r="AD26" s="582"/>
      <c r="AE26" s="582"/>
      <c r="AF26" s="582"/>
      <c r="AG26" s="582"/>
      <c r="AH26" s="582"/>
    </row>
    <row r="27" spans="1:34" ht="27" customHeight="1">
      <c r="A27" s="599"/>
      <c r="B27" s="829"/>
      <c r="C27" s="655" t="s">
        <v>1638</v>
      </c>
      <c r="D27" s="656" t="s">
        <v>1508</v>
      </c>
      <c r="E27" s="657">
        <v>95</v>
      </c>
      <c r="F27" s="657"/>
      <c r="G27" s="657">
        <v>80</v>
      </c>
      <c r="H27" s="657">
        <v>95</v>
      </c>
      <c r="I27" s="657">
        <v>90</v>
      </c>
      <c r="J27" s="657">
        <v>95</v>
      </c>
      <c r="K27" s="657">
        <v>90</v>
      </c>
      <c r="L27" s="657">
        <v>95</v>
      </c>
      <c r="M27" s="657">
        <v>75</v>
      </c>
      <c r="N27" s="657">
        <v>95</v>
      </c>
      <c r="O27" s="657">
        <v>90</v>
      </c>
      <c r="P27" s="657">
        <v>95</v>
      </c>
      <c r="Q27" s="657">
        <v>85</v>
      </c>
      <c r="R27" s="657"/>
      <c r="S27" s="657">
        <v>70</v>
      </c>
      <c r="T27" s="657">
        <v>100</v>
      </c>
      <c r="U27" s="657">
        <v>100</v>
      </c>
      <c r="V27" s="657">
        <v>90</v>
      </c>
      <c r="W27" s="657">
        <v>100</v>
      </c>
      <c r="X27" s="657">
        <v>100</v>
      </c>
      <c r="Y27" s="657">
        <v>100</v>
      </c>
      <c r="Z27" s="657">
        <v>65</v>
      </c>
      <c r="AA27" s="657">
        <v>100</v>
      </c>
      <c r="AB27" s="657">
        <v>75</v>
      </c>
      <c r="AC27" s="582"/>
      <c r="AD27" s="582"/>
      <c r="AE27" s="582"/>
      <c r="AF27" s="582"/>
      <c r="AG27" s="582"/>
      <c r="AH27" s="582"/>
    </row>
    <row r="28" spans="1:34" ht="27" customHeight="1">
      <c r="A28" s="599"/>
      <c r="B28" s="829"/>
      <c r="C28" s="655" t="s">
        <v>1639</v>
      </c>
      <c r="D28" s="656" t="s">
        <v>1640</v>
      </c>
      <c r="E28" s="657">
        <v>100</v>
      </c>
      <c r="F28" s="657">
        <v>100</v>
      </c>
      <c r="G28" s="657">
        <v>100</v>
      </c>
      <c r="H28" s="657">
        <v>100</v>
      </c>
      <c r="I28" s="657">
        <v>100</v>
      </c>
      <c r="J28" s="657">
        <v>100</v>
      </c>
      <c r="K28" s="657">
        <v>100</v>
      </c>
      <c r="L28" s="657">
        <v>100</v>
      </c>
      <c r="M28" s="657">
        <v>100</v>
      </c>
      <c r="N28" s="657">
        <v>100</v>
      </c>
      <c r="O28" s="657">
        <v>100</v>
      </c>
      <c r="P28" s="657">
        <v>100</v>
      </c>
      <c r="Q28" s="657">
        <v>100</v>
      </c>
      <c r="R28" s="657"/>
      <c r="S28" s="657">
        <v>100</v>
      </c>
      <c r="T28" s="657">
        <v>100</v>
      </c>
      <c r="U28" s="657">
        <v>100</v>
      </c>
      <c r="V28" s="657">
        <v>100</v>
      </c>
      <c r="W28" s="657">
        <v>100</v>
      </c>
      <c r="X28" s="657">
        <v>100</v>
      </c>
      <c r="Y28" s="657">
        <v>100</v>
      </c>
      <c r="Z28" s="657">
        <v>100</v>
      </c>
      <c r="AA28" s="657">
        <v>100</v>
      </c>
      <c r="AB28" s="657">
        <v>100</v>
      </c>
      <c r="AC28" s="582"/>
      <c r="AD28" s="582"/>
      <c r="AE28" s="582"/>
      <c r="AF28" s="582"/>
      <c r="AG28" s="582"/>
      <c r="AH28" s="582"/>
    </row>
    <row r="29" spans="1:34" ht="33.75" customHeight="1">
      <c r="A29" s="599"/>
      <c r="B29" s="829"/>
      <c r="C29" s="655" t="s">
        <v>1641</v>
      </c>
      <c r="D29" s="656" t="s">
        <v>1510</v>
      </c>
      <c r="E29" s="657">
        <v>100</v>
      </c>
      <c r="F29" s="657">
        <v>100</v>
      </c>
      <c r="G29" s="657">
        <v>100</v>
      </c>
      <c r="H29" s="657">
        <v>95</v>
      </c>
      <c r="I29" s="657">
        <v>100</v>
      </c>
      <c r="J29" s="657">
        <v>100</v>
      </c>
      <c r="K29" s="657">
        <v>100</v>
      </c>
      <c r="L29" s="657">
        <v>90</v>
      </c>
      <c r="M29" s="657">
        <v>90</v>
      </c>
      <c r="N29" s="657">
        <v>100</v>
      </c>
      <c r="O29" s="657">
        <v>95</v>
      </c>
      <c r="P29" s="657">
        <v>100</v>
      </c>
      <c r="Q29" s="657">
        <v>100</v>
      </c>
      <c r="R29" s="657"/>
      <c r="S29" s="657">
        <v>100</v>
      </c>
      <c r="T29" s="657">
        <v>100</v>
      </c>
      <c r="U29" s="657">
        <v>100</v>
      </c>
      <c r="V29" s="657">
        <v>100</v>
      </c>
      <c r="W29" s="657">
        <v>90</v>
      </c>
      <c r="X29" s="657">
        <v>100</v>
      </c>
      <c r="Y29" s="657">
        <v>100</v>
      </c>
      <c r="Z29" s="657">
        <v>90</v>
      </c>
      <c r="AA29" s="657">
        <v>100</v>
      </c>
      <c r="AB29" s="657">
        <v>90</v>
      </c>
      <c r="AC29" s="582"/>
      <c r="AD29" s="582"/>
      <c r="AE29" s="582"/>
      <c r="AF29" s="582"/>
      <c r="AG29" s="582"/>
      <c r="AH29" s="582"/>
    </row>
    <row r="30" spans="1:34" ht="30.75" customHeight="1">
      <c r="A30" s="599"/>
      <c r="B30" s="829"/>
      <c r="C30" s="655" t="s">
        <v>1553</v>
      </c>
      <c r="D30" s="656" t="s">
        <v>1512</v>
      </c>
      <c r="E30" s="657">
        <v>100</v>
      </c>
      <c r="F30" s="657">
        <v>100</v>
      </c>
      <c r="G30" s="657">
        <v>90</v>
      </c>
      <c r="H30" s="657">
        <v>100</v>
      </c>
      <c r="I30" s="657">
        <v>100</v>
      </c>
      <c r="J30" s="657">
        <v>100</v>
      </c>
      <c r="K30" s="657">
        <v>100</v>
      </c>
      <c r="L30" s="657">
        <v>100</v>
      </c>
      <c r="M30" s="657">
        <v>100</v>
      </c>
      <c r="N30" s="657">
        <v>100</v>
      </c>
      <c r="O30" s="657">
        <v>100</v>
      </c>
      <c r="P30" s="657">
        <v>100</v>
      </c>
      <c r="Q30" s="657">
        <v>100</v>
      </c>
      <c r="R30" s="657">
        <v>100</v>
      </c>
      <c r="S30" s="657">
        <v>100</v>
      </c>
      <c r="T30" s="657">
        <v>100</v>
      </c>
      <c r="U30" s="657">
        <v>100</v>
      </c>
      <c r="V30" s="657">
        <v>100</v>
      </c>
      <c r="W30" s="657">
        <v>90</v>
      </c>
      <c r="X30" s="657">
        <v>100</v>
      </c>
      <c r="Y30" s="657">
        <v>100</v>
      </c>
      <c r="Z30" s="657">
        <v>90</v>
      </c>
      <c r="AA30" s="657">
        <v>100</v>
      </c>
      <c r="AB30" s="657">
        <v>90</v>
      </c>
      <c r="AC30" s="582"/>
      <c r="AD30" s="582"/>
      <c r="AE30" s="582"/>
      <c r="AF30" s="582"/>
      <c r="AG30" s="582"/>
      <c r="AH30" s="582"/>
    </row>
    <row r="31" spans="1:34" ht="27" hidden="1" customHeight="1">
      <c r="A31" s="599"/>
      <c r="B31" s="829"/>
      <c r="C31" s="583"/>
      <c r="D31" s="581"/>
      <c r="E31" s="582"/>
      <c r="F31" s="582"/>
      <c r="G31" s="582"/>
      <c r="H31" s="582"/>
      <c r="I31" s="582"/>
      <c r="J31" s="582"/>
      <c r="K31" s="582"/>
      <c r="L31" s="582"/>
      <c r="M31" s="582"/>
      <c r="N31" s="582"/>
      <c r="O31" s="582"/>
      <c r="P31" s="582"/>
      <c r="Q31" s="582"/>
      <c r="R31" s="582"/>
      <c r="S31" s="582"/>
      <c r="T31" s="582"/>
      <c r="U31" s="582"/>
      <c r="V31" s="582"/>
      <c r="W31" s="582"/>
      <c r="X31" s="582"/>
      <c r="Y31" s="582"/>
      <c r="Z31" s="582"/>
      <c r="AA31" s="582"/>
      <c r="AB31" s="582"/>
      <c r="AC31" s="582"/>
      <c r="AD31" s="582"/>
      <c r="AE31" s="582"/>
      <c r="AF31" s="582"/>
      <c r="AG31" s="582"/>
      <c r="AH31" s="582"/>
    </row>
    <row r="32" spans="1:34" ht="27" hidden="1" customHeight="1">
      <c r="A32" s="599"/>
      <c r="B32" s="829"/>
      <c r="C32" s="583"/>
      <c r="D32" s="581"/>
      <c r="E32" s="582"/>
      <c r="F32" s="582"/>
      <c r="G32" s="582"/>
      <c r="H32" s="582"/>
      <c r="I32" s="582"/>
      <c r="J32" s="582"/>
      <c r="K32" s="582"/>
      <c r="L32" s="582"/>
      <c r="M32" s="582"/>
      <c r="N32" s="582"/>
      <c r="O32" s="582"/>
      <c r="P32" s="582"/>
      <c r="Q32" s="582"/>
      <c r="R32" s="582"/>
      <c r="S32" s="582"/>
      <c r="T32" s="582"/>
      <c r="U32" s="582"/>
      <c r="V32" s="582"/>
      <c r="W32" s="582"/>
      <c r="X32" s="582"/>
      <c r="Y32" s="582"/>
      <c r="Z32" s="582"/>
      <c r="AA32" s="582"/>
      <c r="AB32" s="582"/>
      <c r="AC32" s="582"/>
      <c r="AD32" s="582"/>
      <c r="AE32" s="582"/>
      <c r="AF32" s="582"/>
      <c r="AG32" s="582"/>
      <c r="AH32" s="582"/>
    </row>
    <row r="33" spans="1:34" ht="27" hidden="1" customHeight="1">
      <c r="A33" s="599"/>
      <c r="B33" s="829"/>
      <c r="C33" s="583"/>
      <c r="D33" s="581"/>
      <c r="E33" s="582"/>
      <c r="F33" s="582"/>
      <c r="G33" s="582"/>
      <c r="H33" s="582"/>
      <c r="I33" s="582"/>
      <c r="J33" s="582"/>
      <c r="K33" s="582"/>
      <c r="L33" s="582"/>
      <c r="M33" s="582"/>
      <c r="N33" s="582"/>
      <c r="O33" s="582"/>
      <c r="P33" s="582"/>
      <c r="Q33" s="582"/>
      <c r="R33" s="582"/>
      <c r="S33" s="582"/>
      <c r="T33" s="582"/>
      <c r="U33" s="582"/>
      <c r="V33" s="582"/>
      <c r="W33" s="582"/>
      <c r="X33" s="582"/>
      <c r="Y33" s="582"/>
      <c r="Z33" s="582"/>
      <c r="AA33" s="582"/>
      <c r="AB33" s="582"/>
      <c r="AC33" s="582"/>
      <c r="AD33" s="582"/>
      <c r="AE33" s="582"/>
      <c r="AF33" s="582"/>
      <c r="AG33" s="582"/>
      <c r="AH33" s="582"/>
    </row>
    <row r="34" spans="1:34" ht="27" hidden="1" customHeight="1">
      <c r="A34" s="599"/>
      <c r="B34" s="829"/>
      <c r="C34" s="583"/>
      <c r="D34" s="581"/>
      <c r="E34" s="582"/>
      <c r="F34" s="582"/>
      <c r="G34" s="582"/>
      <c r="H34" s="582"/>
      <c r="I34" s="582"/>
      <c r="J34" s="582"/>
      <c r="K34" s="582"/>
      <c r="L34" s="582"/>
      <c r="M34" s="582"/>
      <c r="N34" s="582"/>
      <c r="O34" s="582"/>
      <c r="P34" s="582"/>
      <c r="Q34" s="582"/>
      <c r="R34" s="582"/>
      <c r="S34" s="582"/>
      <c r="T34" s="582"/>
      <c r="U34" s="582"/>
      <c r="V34" s="582"/>
      <c r="W34" s="582"/>
      <c r="X34" s="582"/>
      <c r="Y34" s="582"/>
      <c r="Z34" s="582"/>
      <c r="AA34" s="582"/>
      <c r="AB34" s="582"/>
      <c r="AC34" s="582"/>
      <c r="AD34" s="582"/>
      <c r="AE34" s="582"/>
      <c r="AF34" s="582"/>
      <c r="AG34" s="582"/>
      <c r="AH34" s="582"/>
    </row>
    <row r="35" spans="1:34" ht="27" hidden="1" customHeight="1">
      <c r="A35" s="599"/>
      <c r="B35" s="829"/>
      <c r="C35" s="583"/>
      <c r="D35" s="581"/>
      <c r="E35" s="582"/>
      <c r="F35" s="582"/>
      <c r="G35" s="582"/>
      <c r="H35" s="582"/>
      <c r="I35" s="582"/>
      <c r="J35" s="582"/>
      <c r="K35" s="582"/>
      <c r="L35" s="582"/>
      <c r="M35" s="582"/>
      <c r="N35" s="582"/>
      <c r="O35" s="582"/>
      <c r="P35" s="582"/>
      <c r="Q35" s="582"/>
      <c r="R35" s="582"/>
      <c r="S35" s="582"/>
      <c r="T35" s="582"/>
      <c r="U35" s="582"/>
      <c r="V35" s="582"/>
      <c r="W35" s="582"/>
      <c r="X35" s="582"/>
      <c r="Y35" s="582"/>
      <c r="Z35" s="582"/>
      <c r="AA35" s="582"/>
      <c r="AB35" s="582"/>
      <c r="AC35" s="582"/>
      <c r="AD35" s="582"/>
      <c r="AE35" s="582"/>
      <c r="AF35" s="582"/>
      <c r="AG35" s="582"/>
      <c r="AH35" s="582"/>
    </row>
    <row r="36" spans="1:34" ht="27" hidden="1" customHeight="1">
      <c r="A36" s="599"/>
      <c r="B36" s="829"/>
      <c r="C36" s="583"/>
      <c r="D36" s="581"/>
      <c r="E36" s="582"/>
      <c r="F36" s="582"/>
      <c r="G36" s="582"/>
      <c r="H36" s="582"/>
      <c r="I36" s="582"/>
      <c r="J36" s="582"/>
      <c r="K36" s="582"/>
      <c r="L36" s="582"/>
      <c r="M36" s="582"/>
      <c r="N36" s="582"/>
      <c r="O36" s="582"/>
      <c r="P36" s="582"/>
      <c r="Q36" s="582"/>
      <c r="R36" s="582"/>
      <c r="S36" s="582"/>
      <c r="T36" s="582"/>
      <c r="U36" s="582"/>
      <c r="V36" s="582"/>
      <c r="W36" s="582"/>
      <c r="X36" s="582"/>
      <c r="Y36" s="582"/>
      <c r="Z36" s="582"/>
      <c r="AA36" s="582"/>
      <c r="AB36" s="582"/>
      <c r="AC36" s="582"/>
      <c r="AD36" s="582"/>
      <c r="AE36" s="582"/>
      <c r="AF36" s="582"/>
      <c r="AG36" s="582"/>
      <c r="AH36" s="582"/>
    </row>
    <row r="37" spans="1:34" ht="27" hidden="1" customHeight="1">
      <c r="A37" s="599"/>
      <c r="B37" s="829"/>
      <c r="C37" s="583"/>
      <c r="D37" s="581"/>
      <c r="E37" s="582"/>
      <c r="F37" s="582"/>
      <c r="G37" s="582"/>
      <c r="H37" s="582"/>
      <c r="I37" s="582"/>
      <c r="J37" s="582"/>
      <c r="K37" s="582"/>
      <c r="L37" s="582"/>
      <c r="M37" s="582"/>
      <c r="N37" s="582"/>
      <c r="O37" s="582"/>
      <c r="P37" s="582"/>
      <c r="Q37" s="582"/>
      <c r="R37" s="582"/>
      <c r="S37" s="582"/>
      <c r="T37" s="582"/>
      <c r="U37" s="582"/>
      <c r="V37" s="582"/>
      <c r="W37" s="582"/>
      <c r="X37" s="582"/>
      <c r="Y37" s="582"/>
      <c r="Z37" s="582"/>
      <c r="AA37" s="582"/>
      <c r="AB37" s="582"/>
      <c r="AC37" s="582"/>
      <c r="AD37" s="582"/>
      <c r="AE37" s="582"/>
      <c r="AF37" s="582"/>
      <c r="AG37" s="582"/>
      <c r="AH37" s="582"/>
    </row>
    <row r="38" spans="1:34" ht="27" hidden="1" customHeight="1">
      <c r="A38" s="599"/>
      <c r="B38" s="829"/>
      <c r="C38" s="583"/>
      <c r="D38" s="581"/>
      <c r="E38" s="582"/>
      <c r="F38" s="582"/>
      <c r="G38" s="582"/>
      <c r="H38" s="582"/>
      <c r="I38" s="582"/>
      <c r="J38" s="582"/>
      <c r="K38" s="582"/>
      <c r="L38" s="582"/>
      <c r="M38" s="582"/>
      <c r="N38" s="582"/>
      <c r="O38" s="582"/>
      <c r="P38" s="582"/>
      <c r="Q38" s="582"/>
      <c r="R38" s="582"/>
      <c r="S38" s="582"/>
      <c r="T38" s="582"/>
      <c r="U38" s="582"/>
      <c r="V38" s="582"/>
      <c r="W38" s="582"/>
      <c r="X38" s="582"/>
      <c r="Y38" s="582"/>
      <c r="Z38" s="582"/>
      <c r="AA38" s="582"/>
      <c r="AB38" s="582"/>
      <c r="AC38" s="582"/>
      <c r="AD38" s="582"/>
      <c r="AE38" s="582"/>
      <c r="AF38" s="582"/>
      <c r="AG38" s="582"/>
      <c r="AH38" s="582"/>
    </row>
    <row r="39" spans="1:34" ht="27" hidden="1" customHeight="1">
      <c r="A39" s="599"/>
      <c r="B39" s="829"/>
      <c r="C39" s="583"/>
      <c r="D39" s="581"/>
      <c r="E39" s="582"/>
      <c r="F39" s="582"/>
      <c r="G39" s="582"/>
      <c r="H39" s="582"/>
      <c r="I39" s="582"/>
      <c r="J39" s="582"/>
      <c r="K39" s="582"/>
      <c r="L39" s="582"/>
      <c r="M39" s="582"/>
      <c r="N39" s="582"/>
      <c r="O39" s="582"/>
      <c r="P39" s="582"/>
      <c r="Q39" s="582"/>
      <c r="R39" s="582"/>
      <c r="S39" s="582"/>
      <c r="T39" s="582"/>
      <c r="U39" s="582"/>
      <c r="V39" s="582"/>
      <c r="W39" s="582"/>
      <c r="X39" s="582"/>
      <c r="Y39" s="582"/>
      <c r="Z39" s="582"/>
      <c r="AA39" s="582"/>
      <c r="AB39" s="582"/>
      <c r="AC39" s="582"/>
      <c r="AD39" s="582"/>
      <c r="AE39" s="582"/>
      <c r="AF39" s="582"/>
      <c r="AG39" s="582"/>
      <c r="AH39" s="582"/>
    </row>
    <row r="40" spans="1:34" ht="27" hidden="1" customHeight="1">
      <c r="A40" s="599"/>
      <c r="B40" s="829"/>
      <c r="C40" s="583"/>
      <c r="D40" s="581"/>
      <c r="E40" s="582"/>
      <c r="F40" s="582"/>
      <c r="G40" s="582"/>
      <c r="H40" s="582"/>
      <c r="I40" s="582"/>
      <c r="J40" s="582"/>
      <c r="K40" s="582"/>
      <c r="L40" s="582"/>
      <c r="M40" s="582"/>
      <c r="N40" s="582"/>
      <c r="O40" s="582"/>
      <c r="P40" s="582"/>
      <c r="Q40" s="582"/>
      <c r="R40" s="582"/>
      <c r="S40" s="582"/>
      <c r="T40" s="582"/>
      <c r="U40" s="582"/>
      <c r="V40" s="582"/>
      <c r="W40" s="582"/>
      <c r="X40" s="582"/>
      <c r="Y40" s="582"/>
      <c r="Z40" s="582"/>
      <c r="AA40" s="582"/>
      <c r="AB40" s="582"/>
      <c r="AC40" s="582"/>
      <c r="AD40" s="582"/>
      <c r="AE40" s="582"/>
      <c r="AF40" s="582"/>
      <c r="AG40" s="582"/>
      <c r="AH40" s="582"/>
    </row>
    <row r="41" spans="1:34" ht="27" hidden="1" customHeight="1">
      <c r="A41" s="599"/>
      <c r="B41" s="829"/>
      <c r="C41" s="583"/>
      <c r="D41" s="581"/>
      <c r="E41" s="582"/>
      <c r="F41" s="582"/>
      <c r="G41" s="582"/>
      <c r="H41" s="582"/>
      <c r="I41" s="582"/>
      <c r="J41" s="582"/>
      <c r="K41" s="582"/>
      <c r="L41" s="582"/>
      <c r="M41" s="582"/>
      <c r="N41" s="582"/>
      <c r="O41" s="582"/>
      <c r="P41" s="582"/>
      <c r="Q41" s="582"/>
      <c r="R41" s="582"/>
      <c r="S41" s="582"/>
      <c r="T41" s="582"/>
      <c r="U41" s="582"/>
      <c r="V41" s="582"/>
      <c r="W41" s="582"/>
      <c r="X41" s="582"/>
      <c r="Y41" s="582"/>
      <c r="Z41" s="582"/>
      <c r="AA41" s="582"/>
      <c r="AB41" s="582"/>
      <c r="AC41" s="582"/>
      <c r="AD41" s="582"/>
      <c r="AE41" s="582"/>
      <c r="AF41" s="582"/>
      <c r="AG41" s="582"/>
      <c r="AH41" s="582"/>
    </row>
    <row r="42" spans="1:34" ht="27" hidden="1" customHeight="1">
      <c r="A42" s="599"/>
      <c r="B42" s="829"/>
      <c r="C42" s="583"/>
      <c r="D42" s="581"/>
      <c r="E42" s="582"/>
      <c r="F42" s="582"/>
      <c r="G42" s="582"/>
      <c r="H42" s="582"/>
      <c r="I42" s="582"/>
      <c r="J42" s="582"/>
      <c r="K42" s="582"/>
      <c r="L42" s="582"/>
      <c r="M42" s="582"/>
      <c r="N42" s="582"/>
      <c r="O42" s="582"/>
      <c r="P42" s="582"/>
      <c r="Q42" s="582"/>
      <c r="R42" s="582"/>
      <c r="S42" s="582"/>
      <c r="T42" s="582"/>
      <c r="U42" s="582"/>
      <c r="V42" s="582"/>
      <c r="W42" s="582"/>
      <c r="X42" s="582"/>
      <c r="Y42" s="582"/>
      <c r="Z42" s="582"/>
      <c r="AA42" s="582"/>
      <c r="AB42" s="582"/>
      <c r="AC42" s="582"/>
      <c r="AD42" s="582"/>
      <c r="AE42" s="582"/>
      <c r="AF42" s="582"/>
      <c r="AG42" s="582"/>
      <c r="AH42" s="582"/>
    </row>
    <row r="43" spans="1:34" ht="27" hidden="1" customHeight="1">
      <c r="A43" s="599"/>
      <c r="B43" s="829"/>
      <c r="C43" s="583"/>
      <c r="D43" s="581"/>
      <c r="E43" s="582"/>
      <c r="F43" s="582"/>
      <c r="G43" s="582"/>
      <c r="H43" s="582"/>
      <c r="I43" s="582"/>
      <c r="J43" s="582"/>
      <c r="K43" s="582"/>
      <c r="L43" s="582"/>
      <c r="M43" s="582"/>
      <c r="N43" s="582"/>
      <c r="O43" s="582"/>
      <c r="P43" s="582"/>
      <c r="Q43" s="582"/>
      <c r="R43" s="582"/>
      <c r="S43" s="582"/>
      <c r="T43" s="582"/>
      <c r="U43" s="582"/>
      <c r="V43" s="582"/>
      <c r="W43" s="582"/>
      <c r="X43" s="582"/>
      <c r="Y43" s="582"/>
      <c r="Z43" s="582"/>
      <c r="AA43" s="582"/>
      <c r="AB43" s="582"/>
      <c r="AC43" s="582"/>
      <c r="AD43" s="582"/>
      <c r="AE43" s="582"/>
      <c r="AF43" s="582"/>
      <c r="AG43" s="582"/>
      <c r="AH43" s="582"/>
    </row>
    <row r="44" spans="1:34" ht="27" hidden="1" customHeight="1">
      <c r="A44" s="599"/>
      <c r="B44" s="829"/>
      <c r="C44" s="583"/>
      <c r="D44" s="581"/>
      <c r="E44" s="582"/>
      <c r="F44" s="582"/>
      <c r="G44" s="582"/>
      <c r="H44" s="582"/>
      <c r="I44" s="582"/>
      <c r="J44" s="582"/>
      <c r="K44" s="582"/>
      <c r="L44" s="582"/>
      <c r="M44" s="582"/>
      <c r="N44" s="582"/>
      <c r="O44" s="582"/>
      <c r="P44" s="582"/>
      <c r="Q44" s="582"/>
      <c r="R44" s="582"/>
      <c r="S44" s="582"/>
      <c r="T44" s="582"/>
      <c r="U44" s="582"/>
      <c r="V44" s="582"/>
      <c r="W44" s="582"/>
      <c r="X44" s="582"/>
      <c r="Y44" s="582"/>
      <c r="Z44" s="582"/>
      <c r="AA44" s="582"/>
      <c r="AB44" s="582"/>
      <c r="AC44" s="582"/>
      <c r="AD44" s="582"/>
      <c r="AE44" s="582"/>
      <c r="AF44" s="582"/>
      <c r="AG44" s="582"/>
      <c r="AH44" s="582"/>
    </row>
    <row r="45" spans="1:34" ht="27" hidden="1" customHeight="1">
      <c r="A45" s="599"/>
      <c r="B45" s="829"/>
      <c r="C45" s="583"/>
      <c r="D45" s="581"/>
      <c r="E45" s="582"/>
      <c r="F45" s="582"/>
      <c r="G45" s="582"/>
      <c r="H45" s="582"/>
      <c r="I45" s="582"/>
      <c r="J45" s="582"/>
      <c r="K45" s="582"/>
      <c r="L45" s="582"/>
      <c r="M45" s="582"/>
      <c r="N45" s="582"/>
      <c r="O45" s="582"/>
      <c r="P45" s="582"/>
      <c r="Q45" s="582"/>
      <c r="R45" s="582"/>
      <c r="S45" s="582"/>
      <c r="T45" s="582"/>
      <c r="U45" s="582"/>
      <c r="V45" s="582"/>
      <c r="W45" s="582"/>
      <c r="X45" s="582"/>
      <c r="Y45" s="582"/>
      <c r="Z45" s="582"/>
      <c r="AA45" s="582"/>
      <c r="AB45" s="582"/>
      <c r="AC45" s="582"/>
      <c r="AD45" s="582"/>
      <c r="AE45" s="582"/>
      <c r="AF45" s="582"/>
      <c r="AG45" s="582"/>
      <c r="AH45" s="582"/>
    </row>
    <row r="46" spans="1:34" ht="27" hidden="1" customHeight="1">
      <c r="A46" s="599"/>
      <c r="B46" s="829"/>
      <c r="C46" s="583"/>
      <c r="D46" s="581"/>
      <c r="E46" s="582"/>
      <c r="F46" s="582"/>
      <c r="G46" s="582"/>
      <c r="H46" s="582"/>
      <c r="I46" s="582"/>
      <c r="J46" s="582"/>
      <c r="K46" s="582"/>
      <c r="L46" s="582"/>
      <c r="M46" s="582"/>
      <c r="N46" s="582"/>
      <c r="O46" s="582"/>
      <c r="P46" s="582"/>
      <c r="Q46" s="582"/>
      <c r="R46" s="582"/>
      <c r="S46" s="582"/>
      <c r="T46" s="582"/>
      <c r="U46" s="582"/>
      <c r="V46" s="582"/>
      <c r="W46" s="582"/>
      <c r="X46" s="582"/>
      <c r="Y46" s="582"/>
      <c r="Z46" s="582"/>
      <c r="AA46" s="582"/>
      <c r="AB46" s="582"/>
      <c r="AC46" s="582"/>
      <c r="AD46" s="582"/>
      <c r="AE46" s="582"/>
      <c r="AF46" s="582"/>
      <c r="AG46" s="582"/>
      <c r="AH46" s="582"/>
    </row>
    <row r="47" spans="1:34" ht="27" hidden="1" customHeight="1">
      <c r="A47" s="599"/>
      <c r="B47" s="829"/>
      <c r="C47" s="583"/>
      <c r="D47" s="581"/>
      <c r="E47" s="582"/>
      <c r="F47" s="582"/>
      <c r="G47" s="582"/>
      <c r="H47" s="582"/>
      <c r="I47" s="582"/>
      <c r="J47" s="582"/>
      <c r="K47" s="582"/>
      <c r="L47" s="582"/>
      <c r="M47" s="582"/>
      <c r="N47" s="582"/>
      <c r="O47" s="582"/>
      <c r="P47" s="582"/>
      <c r="Q47" s="582"/>
      <c r="R47" s="582"/>
      <c r="S47" s="582"/>
      <c r="T47" s="582"/>
      <c r="U47" s="582"/>
      <c r="V47" s="582"/>
      <c r="W47" s="582"/>
      <c r="X47" s="582"/>
      <c r="Y47" s="582"/>
      <c r="Z47" s="582"/>
      <c r="AA47" s="582"/>
      <c r="AB47" s="582"/>
      <c r="AC47" s="582"/>
      <c r="AD47" s="582"/>
      <c r="AE47" s="582"/>
      <c r="AF47" s="582"/>
      <c r="AG47" s="582"/>
      <c r="AH47" s="582"/>
    </row>
    <row r="48" spans="1:34" ht="27" hidden="1" customHeight="1">
      <c r="A48" s="599"/>
      <c r="B48" s="829"/>
      <c r="C48" s="583"/>
      <c r="D48" s="581"/>
      <c r="E48" s="582"/>
      <c r="F48" s="582"/>
      <c r="G48" s="582"/>
      <c r="H48" s="582"/>
      <c r="I48" s="582"/>
      <c r="J48" s="582"/>
      <c r="K48" s="582"/>
      <c r="L48" s="582"/>
      <c r="M48" s="582"/>
      <c r="N48" s="582"/>
      <c r="O48" s="582"/>
      <c r="P48" s="582"/>
      <c r="Q48" s="582"/>
      <c r="R48" s="582"/>
      <c r="S48" s="582"/>
      <c r="T48" s="582"/>
      <c r="U48" s="582"/>
      <c r="V48" s="582"/>
      <c r="W48" s="582"/>
      <c r="X48" s="582"/>
      <c r="Y48" s="582"/>
      <c r="Z48" s="582"/>
      <c r="AA48" s="582"/>
      <c r="AB48" s="582"/>
      <c r="AC48" s="582"/>
      <c r="AD48" s="582"/>
      <c r="AE48" s="582"/>
      <c r="AF48" s="582"/>
      <c r="AG48" s="582"/>
      <c r="AH48" s="582"/>
    </row>
    <row r="49" spans="1:34" ht="27" hidden="1" customHeight="1">
      <c r="A49" s="599"/>
      <c r="B49" s="829"/>
      <c r="C49" s="583"/>
      <c r="D49" s="581"/>
      <c r="E49" s="582"/>
      <c r="F49" s="582"/>
      <c r="G49" s="582"/>
      <c r="H49" s="582"/>
      <c r="I49" s="582"/>
      <c r="J49" s="582"/>
      <c r="K49" s="582"/>
      <c r="L49" s="582"/>
      <c r="M49" s="582"/>
      <c r="N49" s="582"/>
      <c r="O49" s="582"/>
      <c r="P49" s="582"/>
      <c r="Q49" s="582"/>
      <c r="R49" s="582"/>
      <c r="S49" s="582"/>
      <c r="T49" s="582"/>
      <c r="U49" s="582"/>
      <c r="V49" s="582"/>
      <c r="W49" s="582"/>
      <c r="X49" s="582"/>
      <c r="Y49" s="582"/>
      <c r="Z49" s="582"/>
      <c r="AA49" s="582"/>
      <c r="AB49" s="582"/>
      <c r="AC49" s="582"/>
      <c r="AD49" s="582"/>
      <c r="AE49" s="582"/>
      <c r="AF49" s="582"/>
      <c r="AG49" s="582"/>
      <c r="AH49" s="582"/>
    </row>
    <row r="50" spans="1:34" ht="27" hidden="1" customHeight="1">
      <c r="A50" s="599"/>
      <c r="B50" s="829"/>
      <c r="C50" s="583"/>
      <c r="D50" s="581"/>
      <c r="E50" s="582"/>
      <c r="F50" s="582"/>
      <c r="G50" s="582"/>
      <c r="H50" s="582"/>
      <c r="I50" s="582"/>
      <c r="J50" s="582"/>
      <c r="K50" s="582"/>
      <c r="L50" s="582"/>
      <c r="M50" s="582"/>
      <c r="N50" s="582"/>
      <c r="O50" s="582"/>
      <c r="P50" s="582"/>
      <c r="Q50" s="582"/>
      <c r="R50" s="582"/>
      <c r="S50" s="582"/>
      <c r="T50" s="582"/>
      <c r="U50" s="582"/>
      <c r="V50" s="582"/>
      <c r="W50" s="582"/>
      <c r="X50" s="582"/>
      <c r="Y50" s="582"/>
      <c r="Z50" s="582"/>
      <c r="AA50" s="582"/>
      <c r="AB50" s="582"/>
      <c r="AC50" s="582"/>
      <c r="AD50" s="582"/>
      <c r="AE50" s="582"/>
      <c r="AF50" s="582"/>
      <c r="AG50" s="582"/>
      <c r="AH50" s="582"/>
    </row>
    <row r="51" spans="1:34" ht="27" hidden="1" customHeight="1">
      <c r="A51" s="599"/>
      <c r="B51" s="829"/>
      <c r="C51" s="583"/>
      <c r="D51" s="581"/>
      <c r="E51" s="582"/>
      <c r="F51" s="582"/>
      <c r="G51" s="582"/>
      <c r="H51" s="582"/>
      <c r="I51" s="582"/>
      <c r="J51" s="582"/>
      <c r="K51" s="582"/>
      <c r="L51" s="582"/>
      <c r="M51" s="582"/>
      <c r="N51" s="582"/>
      <c r="O51" s="582"/>
      <c r="P51" s="582"/>
      <c r="Q51" s="582"/>
      <c r="R51" s="582"/>
      <c r="S51" s="582"/>
      <c r="T51" s="582"/>
      <c r="U51" s="582"/>
      <c r="V51" s="582"/>
      <c r="W51" s="582"/>
      <c r="X51" s="582"/>
      <c r="Y51" s="582"/>
      <c r="Z51" s="582"/>
      <c r="AA51" s="582"/>
      <c r="AB51" s="582"/>
      <c r="AC51" s="582"/>
      <c r="AD51" s="582"/>
      <c r="AE51" s="582"/>
      <c r="AF51" s="582"/>
      <c r="AG51" s="582"/>
      <c r="AH51" s="582"/>
    </row>
    <row r="52" spans="1:34" ht="27" hidden="1" customHeight="1">
      <c r="A52" s="599"/>
      <c r="B52" s="829"/>
      <c r="C52" s="583"/>
      <c r="D52" s="581"/>
      <c r="E52" s="582"/>
      <c r="F52" s="582"/>
      <c r="G52" s="582"/>
      <c r="H52" s="582"/>
      <c r="I52" s="582"/>
      <c r="J52" s="582"/>
      <c r="K52" s="582"/>
      <c r="L52" s="582"/>
      <c r="M52" s="582"/>
      <c r="N52" s="582"/>
      <c r="O52" s="582"/>
      <c r="P52" s="582"/>
      <c r="Q52" s="582"/>
      <c r="R52" s="582"/>
      <c r="S52" s="582"/>
      <c r="T52" s="582"/>
      <c r="U52" s="582"/>
      <c r="V52" s="582"/>
      <c r="W52" s="582"/>
      <c r="X52" s="582"/>
      <c r="Y52" s="582"/>
      <c r="Z52" s="582"/>
      <c r="AA52" s="582"/>
      <c r="AB52" s="582"/>
      <c r="AC52" s="582"/>
      <c r="AD52" s="582"/>
      <c r="AE52" s="582"/>
      <c r="AF52" s="582"/>
      <c r="AG52" s="582"/>
      <c r="AH52" s="582"/>
    </row>
    <row r="53" spans="1:34" ht="27" hidden="1" customHeight="1">
      <c r="A53" s="599"/>
      <c r="B53" s="829"/>
      <c r="C53" s="583"/>
      <c r="D53" s="581"/>
      <c r="E53" s="582"/>
      <c r="F53" s="582"/>
      <c r="G53" s="582"/>
      <c r="H53" s="582"/>
      <c r="I53" s="582"/>
      <c r="J53" s="582"/>
      <c r="K53" s="582"/>
      <c r="L53" s="582"/>
      <c r="M53" s="582"/>
      <c r="N53" s="582"/>
      <c r="O53" s="582"/>
      <c r="P53" s="582"/>
      <c r="Q53" s="582"/>
      <c r="R53" s="582"/>
      <c r="S53" s="582"/>
      <c r="T53" s="582"/>
      <c r="U53" s="582"/>
      <c r="V53" s="582"/>
      <c r="W53" s="582"/>
      <c r="X53" s="582"/>
      <c r="Y53" s="582"/>
      <c r="Z53" s="582"/>
      <c r="AA53" s="582"/>
      <c r="AB53" s="582"/>
      <c r="AC53" s="582"/>
      <c r="AD53" s="582"/>
      <c r="AE53" s="582"/>
      <c r="AF53" s="582"/>
      <c r="AG53" s="582"/>
      <c r="AH53" s="582"/>
    </row>
    <row r="54" spans="1:34" ht="27" hidden="1" customHeight="1">
      <c r="A54" s="599"/>
      <c r="B54" s="829"/>
      <c r="C54" s="583"/>
      <c r="D54" s="581"/>
      <c r="E54" s="582"/>
      <c r="F54" s="582"/>
      <c r="G54" s="582"/>
      <c r="H54" s="582"/>
      <c r="I54" s="582"/>
      <c r="J54" s="582"/>
      <c r="K54" s="582"/>
      <c r="L54" s="582"/>
      <c r="M54" s="582"/>
      <c r="N54" s="582"/>
      <c r="O54" s="582"/>
      <c r="P54" s="582"/>
      <c r="Q54" s="582"/>
      <c r="R54" s="582"/>
      <c r="S54" s="582"/>
      <c r="T54" s="582"/>
      <c r="U54" s="582"/>
      <c r="V54" s="582"/>
      <c r="W54" s="582"/>
      <c r="X54" s="582"/>
      <c r="Y54" s="582"/>
      <c r="Z54" s="582"/>
      <c r="AA54" s="582"/>
      <c r="AB54" s="582"/>
      <c r="AC54" s="582"/>
      <c r="AD54" s="582"/>
      <c r="AE54" s="582"/>
      <c r="AF54" s="582"/>
      <c r="AG54" s="582"/>
      <c r="AH54" s="582"/>
    </row>
    <row r="55" spans="1:34" ht="27" hidden="1" customHeight="1">
      <c r="A55" s="599"/>
      <c r="B55" s="829"/>
      <c r="C55" s="583"/>
      <c r="D55" s="581"/>
      <c r="E55" s="582"/>
      <c r="F55" s="582"/>
      <c r="G55" s="582"/>
      <c r="H55" s="582"/>
      <c r="I55" s="582"/>
      <c r="J55" s="582"/>
      <c r="K55" s="582"/>
      <c r="L55" s="582"/>
      <c r="M55" s="582"/>
      <c r="N55" s="582"/>
      <c r="O55" s="582"/>
      <c r="P55" s="582"/>
      <c r="Q55" s="582"/>
      <c r="R55" s="582"/>
      <c r="S55" s="582"/>
      <c r="T55" s="582"/>
      <c r="U55" s="582"/>
      <c r="V55" s="582"/>
      <c r="W55" s="582"/>
      <c r="X55" s="582"/>
      <c r="Y55" s="582"/>
      <c r="Z55" s="582"/>
      <c r="AA55" s="582"/>
      <c r="AB55" s="582"/>
      <c r="AC55" s="582"/>
      <c r="AD55" s="582"/>
      <c r="AE55" s="582"/>
      <c r="AF55" s="582"/>
      <c r="AG55" s="582"/>
      <c r="AH55" s="582"/>
    </row>
    <row r="56" spans="1:34" ht="27" hidden="1" customHeight="1">
      <c r="A56" s="599"/>
      <c r="B56" s="829"/>
      <c r="C56" s="583"/>
      <c r="D56" s="581"/>
      <c r="E56" s="582"/>
      <c r="F56" s="582"/>
      <c r="G56" s="582"/>
      <c r="H56" s="582"/>
      <c r="I56" s="582"/>
      <c r="J56" s="582"/>
      <c r="K56" s="582"/>
      <c r="L56" s="582"/>
      <c r="M56" s="582"/>
      <c r="N56" s="582"/>
      <c r="O56" s="582"/>
      <c r="P56" s="582"/>
      <c r="Q56" s="582"/>
      <c r="R56" s="582"/>
      <c r="S56" s="582"/>
      <c r="T56" s="582"/>
      <c r="U56" s="582"/>
      <c r="V56" s="582"/>
      <c r="W56" s="582"/>
      <c r="X56" s="582"/>
      <c r="Y56" s="582"/>
      <c r="Z56" s="582"/>
      <c r="AA56" s="582"/>
      <c r="AB56" s="582"/>
      <c r="AC56" s="582"/>
      <c r="AD56" s="582"/>
      <c r="AE56" s="582"/>
      <c r="AF56" s="582"/>
      <c r="AG56" s="582"/>
      <c r="AH56" s="582"/>
    </row>
    <row r="57" spans="1:34" ht="27" hidden="1" customHeight="1">
      <c r="A57" s="599"/>
      <c r="B57" s="829"/>
      <c r="C57" s="583"/>
      <c r="D57" s="581"/>
      <c r="E57" s="582"/>
      <c r="F57" s="582"/>
      <c r="G57" s="582"/>
      <c r="H57" s="582"/>
      <c r="I57" s="582"/>
      <c r="J57" s="582"/>
      <c r="K57" s="582"/>
      <c r="L57" s="582"/>
      <c r="M57" s="582"/>
      <c r="N57" s="582"/>
      <c r="O57" s="582"/>
      <c r="P57" s="582"/>
      <c r="Q57" s="582"/>
      <c r="R57" s="582"/>
      <c r="S57" s="582"/>
      <c r="T57" s="582"/>
      <c r="U57" s="582"/>
      <c r="V57" s="582"/>
      <c r="W57" s="582"/>
      <c r="X57" s="582"/>
      <c r="Y57" s="582"/>
      <c r="Z57" s="582"/>
      <c r="AA57" s="582"/>
      <c r="AB57" s="582"/>
      <c r="AC57" s="582"/>
      <c r="AD57" s="582"/>
      <c r="AE57" s="582"/>
      <c r="AF57" s="582"/>
      <c r="AG57" s="582"/>
      <c r="AH57" s="582"/>
    </row>
    <row r="58" spans="1:34" ht="27" hidden="1" customHeight="1">
      <c r="A58" s="599"/>
      <c r="B58" s="829"/>
      <c r="C58" s="583"/>
      <c r="D58" s="581"/>
      <c r="E58" s="582"/>
      <c r="F58" s="582"/>
      <c r="G58" s="582"/>
      <c r="H58" s="582"/>
      <c r="I58" s="582"/>
      <c r="J58" s="582"/>
      <c r="K58" s="582"/>
      <c r="L58" s="582"/>
      <c r="M58" s="582"/>
      <c r="N58" s="582"/>
      <c r="O58" s="582"/>
      <c r="P58" s="582"/>
      <c r="Q58" s="582"/>
      <c r="R58" s="582"/>
      <c r="S58" s="582"/>
      <c r="T58" s="582"/>
      <c r="U58" s="582"/>
      <c r="V58" s="582"/>
      <c r="W58" s="582"/>
      <c r="X58" s="582"/>
      <c r="Y58" s="582"/>
      <c r="Z58" s="582"/>
      <c r="AA58" s="582"/>
      <c r="AB58" s="582"/>
      <c r="AC58" s="582"/>
      <c r="AD58" s="582"/>
      <c r="AE58" s="582"/>
      <c r="AF58" s="582"/>
      <c r="AG58" s="582"/>
      <c r="AH58" s="582"/>
    </row>
    <row r="59" spans="1:34" ht="27" hidden="1" customHeight="1">
      <c r="A59" s="599"/>
      <c r="B59" s="829"/>
      <c r="C59" s="580"/>
      <c r="D59" s="581"/>
      <c r="E59" s="582"/>
      <c r="F59" s="582"/>
      <c r="G59" s="582"/>
      <c r="H59" s="582"/>
      <c r="I59" s="582"/>
      <c r="J59" s="582"/>
      <c r="K59" s="582"/>
      <c r="L59" s="582"/>
      <c r="M59" s="582"/>
      <c r="N59" s="582"/>
      <c r="O59" s="582"/>
      <c r="P59" s="582"/>
      <c r="Q59" s="582"/>
      <c r="R59" s="582"/>
      <c r="S59" s="582"/>
      <c r="T59" s="582"/>
      <c r="U59" s="582"/>
      <c r="V59" s="582"/>
      <c r="W59" s="582"/>
      <c r="X59" s="582"/>
      <c r="Y59" s="582"/>
      <c r="Z59" s="582"/>
      <c r="AA59" s="582"/>
      <c r="AB59" s="582"/>
      <c r="AC59" s="582"/>
      <c r="AD59" s="582"/>
      <c r="AE59" s="582"/>
      <c r="AF59" s="582"/>
      <c r="AG59" s="582"/>
      <c r="AH59" s="582"/>
    </row>
    <row r="60" spans="1:34" ht="27" hidden="1" customHeight="1">
      <c r="A60" s="599"/>
      <c r="B60" s="829"/>
      <c r="C60" s="580"/>
      <c r="D60" s="581"/>
      <c r="E60" s="582"/>
      <c r="F60" s="582"/>
      <c r="G60" s="582"/>
      <c r="H60" s="582"/>
      <c r="I60" s="582"/>
      <c r="J60" s="582"/>
      <c r="K60" s="582"/>
      <c r="L60" s="582"/>
      <c r="M60" s="582"/>
      <c r="N60" s="582"/>
      <c r="O60" s="582"/>
      <c r="P60" s="582"/>
      <c r="Q60" s="582"/>
      <c r="R60" s="582"/>
      <c r="S60" s="582"/>
      <c r="T60" s="582"/>
      <c r="U60" s="582"/>
      <c r="V60" s="582"/>
      <c r="W60" s="582"/>
      <c r="X60" s="582"/>
      <c r="Y60" s="582"/>
      <c r="Z60" s="582"/>
      <c r="AA60" s="582"/>
      <c r="AB60" s="582"/>
      <c r="AC60" s="582"/>
      <c r="AD60" s="582"/>
      <c r="AE60" s="582"/>
      <c r="AF60" s="582"/>
      <c r="AG60" s="582"/>
      <c r="AH60" s="582"/>
    </row>
    <row r="61" spans="1:34" ht="27" hidden="1" customHeight="1">
      <c r="A61" s="599"/>
      <c r="B61" s="829"/>
      <c r="C61" s="580"/>
      <c r="D61" s="581"/>
      <c r="E61" s="582"/>
      <c r="F61" s="582"/>
      <c r="G61" s="582"/>
      <c r="H61" s="582"/>
      <c r="I61" s="582"/>
      <c r="J61" s="582"/>
      <c r="K61" s="582"/>
      <c r="L61" s="582"/>
      <c r="M61" s="582"/>
      <c r="N61" s="582"/>
      <c r="O61" s="582"/>
      <c r="P61" s="582"/>
      <c r="Q61" s="582"/>
      <c r="R61" s="582"/>
      <c r="S61" s="582"/>
      <c r="T61" s="582"/>
      <c r="U61" s="582"/>
      <c r="V61" s="582"/>
      <c r="W61" s="582"/>
      <c r="X61" s="582"/>
      <c r="Y61" s="582"/>
      <c r="Z61" s="582"/>
      <c r="AA61" s="582"/>
      <c r="AB61" s="582"/>
      <c r="AC61" s="582"/>
      <c r="AD61" s="582"/>
      <c r="AE61" s="582"/>
      <c r="AF61" s="582"/>
      <c r="AG61" s="582"/>
      <c r="AH61" s="582"/>
    </row>
    <row r="62" spans="1:34" ht="27" hidden="1" customHeight="1">
      <c r="A62" s="599"/>
      <c r="B62" s="829"/>
      <c r="C62" s="580"/>
      <c r="D62" s="581"/>
      <c r="E62" s="582"/>
      <c r="F62" s="582"/>
      <c r="G62" s="582"/>
      <c r="H62" s="582"/>
      <c r="I62" s="582"/>
      <c r="J62" s="582"/>
      <c r="K62" s="582"/>
      <c r="L62" s="582"/>
      <c r="M62" s="582"/>
      <c r="N62" s="582"/>
      <c r="O62" s="582"/>
      <c r="P62" s="582"/>
      <c r="Q62" s="582"/>
      <c r="R62" s="582"/>
      <c r="S62" s="582"/>
      <c r="T62" s="582"/>
      <c r="U62" s="582"/>
      <c r="V62" s="582"/>
      <c r="W62" s="582"/>
      <c r="X62" s="582"/>
      <c r="Y62" s="582"/>
      <c r="Z62" s="582"/>
      <c r="AA62" s="582"/>
      <c r="AB62" s="582"/>
      <c r="AC62" s="582"/>
      <c r="AD62" s="582"/>
      <c r="AE62" s="582"/>
      <c r="AF62" s="582"/>
      <c r="AG62" s="582"/>
      <c r="AH62" s="582"/>
    </row>
    <row r="63" spans="1:34" ht="27" hidden="1" customHeight="1">
      <c r="A63" s="599"/>
      <c r="B63" s="829"/>
      <c r="C63" s="580"/>
      <c r="D63" s="581"/>
      <c r="E63" s="582"/>
      <c r="F63" s="582"/>
      <c r="G63" s="582"/>
      <c r="H63" s="582"/>
      <c r="I63" s="582"/>
      <c r="J63" s="582"/>
      <c r="K63" s="582"/>
      <c r="L63" s="582"/>
      <c r="M63" s="582"/>
      <c r="N63" s="582"/>
      <c r="O63" s="582"/>
      <c r="P63" s="582"/>
      <c r="Q63" s="582"/>
      <c r="R63" s="582"/>
      <c r="S63" s="582"/>
      <c r="T63" s="582"/>
      <c r="U63" s="582"/>
      <c r="V63" s="582"/>
      <c r="W63" s="582"/>
      <c r="X63" s="582"/>
      <c r="Y63" s="582"/>
      <c r="Z63" s="582"/>
      <c r="AA63" s="582"/>
      <c r="AB63" s="582"/>
      <c r="AC63" s="582"/>
      <c r="AD63" s="582"/>
      <c r="AE63" s="582"/>
      <c r="AF63" s="582"/>
      <c r="AG63" s="582"/>
      <c r="AH63" s="582"/>
    </row>
    <row r="64" spans="1:34" ht="27" hidden="1" customHeight="1">
      <c r="A64" s="599"/>
      <c r="B64" s="830"/>
      <c r="C64" s="611"/>
      <c r="D64" s="612"/>
      <c r="E64" s="582"/>
      <c r="F64" s="582"/>
      <c r="G64" s="582"/>
      <c r="H64" s="582"/>
      <c r="I64" s="582"/>
      <c r="J64" s="582"/>
      <c r="K64" s="582"/>
      <c r="L64" s="582"/>
      <c r="M64" s="582"/>
      <c r="N64" s="582"/>
      <c r="O64" s="582"/>
      <c r="P64" s="582"/>
      <c r="Q64" s="582"/>
      <c r="R64" s="582"/>
      <c r="S64" s="582"/>
      <c r="T64" s="582"/>
      <c r="U64" s="582"/>
      <c r="V64" s="582"/>
      <c r="W64" s="582"/>
      <c r="X64" s="582"/>
      <c r="Y64" s="582"/>
      <c r="Z64" s="582"/>
      <c r="AA64" s="582"/>
      <c r="AB64" s="582"/>
      <c r="AC64" s="582"/>
      <c r="AD64" s="582"/>
      <c r="AE64" s="582"/>
      <c r="AF64" s="582"/>
      <c r="AG64" s="582"/>
      <c r="AH64" s="582"/>
    </row>
    <row r="65" spans="1:34" ht="84" customHeight="1">
      <c r="A65" s="599"/>
      <c r="B65" s="828">
        <v>2</v>
      </c>
      <c r="C65" s="842" t="s">
        <v>1742</v>
      </c>
      <c r="D65" s="842"/>
      <c r="E65" s="610">
        <f>IF(SUM(E66:E112)&gt;0,AVERAGE(E66:E112),IF(SUM(E66:E112)=0,"",))</f>
        <v>93.541666666666671</v>
      </c>
      <c r="F65" s="579">
        <f t="shared" ref="F65:AH65" si="1">IF(SUM(F66:F112)&gt;0,AVERAGE(F66:F112),IF(SUM(F66:F112)=0,"",))</f>
        <v>92.916666666666671</v>
      </c>
      <c r="G65" s="579">
        <f t="shared" si="1"/>
        <v>91.416666666666671</v>
      </c>
      <c r="H65" s="579">
        <f t="shared" si="1"/>
        <v>94.375</v>
      </c>
      <c r="I65" s="579">
        <f t="shared" si="1"/>
        <v>96.041666666666671</v>
      </c>
      <c r="J65" s="579">
        <f t="shared" si="1"/>
        <v>97.291666666666671</v>
      </c>
      <c r="K65" s="579">
        <f t="shared" si="1"/>
        <v>98.541666666666671</v>
      </c>
      <c r="L65" s="579">
        <f t="shared" si="1"/>
        <v>95.208333333333329</v>
      </c>
      <c r="M65" s="579">
        <f t="shared" si="1"/>
        <v>92.083333333333329</v>
      </c>
      <c r="N65" s="579">
        <f t="shared" si="1"/>
        <v>95.416666666666671</v>
      </c>
      <c r="O65" s="579">
        <f t="shared" si="1"/>
        <v>98.958333333333329</v>
      </c>
      <c r="P65" s="579">
        <f t="shared" si="1"/>
        <v>97.916666666666671</v>
      </c>
      <c r="Q65" s="579">
        <f t="shared" si="1"/>
        <v>96.458333333333329</v>
      </c>
      <c r="R65" s="579">
        <f t="shared" si="1"/>
        <v>94.130434782608702</v>
      </c>
      <c r="S65" s="579">
        <f t="shared" si="1"/>
        <v>88.541666666666671</v>
      </c>
      <c r="T65" s="579">
        <f t="shared" si="1"/>
        <v>94.166666666666671</v>
      </c>
      <c r="U65" s="579">
        <f t="shared" si="1"/>
        <v>98.958333333333329</v>
      </c>
      <c r="V65" s="579">
        <f t="shared" si="1"/>
        <v>92.5</v>
      </c>
      <c r="W65" s="579">
        <f t="shared" si="1"/>
        <v>92.875</v>
      </c>
      <c r="X65" s="579">
        <f t="shared" si="1"/>
        <v>92.5</v>
      </c>
      <c r="Y65" s="579">
        <f t="shared" si="1"/>
        <v>95</v>
      </c>
      <c r="Z65" s="579">
        <f t="shared" si="1"/>
        <v>93.125</v>
      </c>
      <c r="AA65" s="579">
        <f t="shared" si="1"/>
        <v>96.666666666666671</v>
      </c>
      <c r="AB65" s="579">
        <f t="shared" si="1"/>
        <v>93.695652173913047</v>
      </c>
      <c r="AC65" s="579" t="str">
        <f t="shared" si="1"/>
        <v/>
      </c>
      <c r="AD65" s="579" t="str">
        <f t="shared" si="1"/>
        <v/>
      </c>
      <c r="AE65" s="579" t="str">
        <f t="shared" si="1"/>
        <v/>
      </c>
      <c r="AF65" s="579" t="str">
        <f t="shared" si="1"/>
        <v/>
      </c>
      <c r="AG65" s="579" t="str">
        <f t="shared" si="1"/>
        <v/>
      </c>
      <c r="AH65" s="579" t="str">
        <f t="shared" si="1"/>
        <v/>
      </c>
    </row>
    <row r="66" spans="1:34" ht="30.75" customHeight="1">
      <c r="A66" s="599"/>
      <c r="B66" s="829"/>
      <c r="C66" s="629" t="s">
        <v>1642</v>
      </c>
      <c r="D66" s="630" t="s">
        <v>1388</v>
      </c>
      <c r="E66" s="631">
        <v>80</v>
      </c>
      <c r="F66" s="631">
        <v>100</v>
      </c>
      <c r="G66" s="631">
        <v>89</v>
      </c>
      <c r="H66" s="631">
        <v>100</v>
      </c>
      <c r="I66" s="631">
        <v>100</v>
      </c>
      <c r="J66" s="631">
        <v>90</v>
      </c>
      <c r="K66" s="631">
        <v>100</v>
      </c>
      <c r="L66" s="631">
        <v>100</v>
      </c>
      <c r="M66" s="631">
        <v>90</v>
      </c>
      <c r="N66" s="631">
        <v>100</v>
      </c>
      <c r="O66" s="631">
        <v>100</v>
      </c>
      <c r="P66" s="631">
        <v>100</v>
      </c>
      <c r="Q66" s="631">
        <v>100</v>
      </c>
      <c r="R66" s="631">
        <v>85</v>
      </c>
      <c r="S66" s="631">
        <v>90</v>
      </c>
      <c r="T66" s="631">
        <v>95</v>
      </c>
      <c r="U66" s="631">
        <v>100</v>
      </c>
      <c r="V66" s="631">
        <v>100</v>
      </c>
      <c r="W66" s="631">
        <v>94</v>
      </c>
      <c r="X66" s="631">
        <v>90</v>
      </c>
      <c r="Y66" s="631">
        <v>100</v>
      </c>
      <c r="Z66" s="631">
        <v>90</v>
      </c>
      <c r="AA66" s="631">
        <v>100</v>
      </c>
      <c r="AB66" s="631">
        <v>100</v>
      </c>
      <c r="AC66" s="582"/>
      <c r="AD66" s="582"/>
      <c r="AE66" s="582"/>
      <c r="AF66" s="582"/>
      <c r="AG66" s="582"/>
      <c r="AH66" s="582"/>
    </row>
    <row r="67" spans="1:34" ht="30.75" customHeight="1">
      <c r="A67" s="599"/>
      <c r="B67" s="829"/>
      <c r="C67" s="629" t="s">
        <v>1643</v>
      </c>
      <c r="D67" s="630" t="s">
        <v>1644</v>
      </c>
      <c r="E67" s="631">
        <v>90</v>
      </c>
      <c r="F67" s="631">
        <v>100</v>
      </c>
      <c r="G67" s="631">
        <v>100</v>
      </c>
      <c r="H67" s="631">
        <v>100</v>
      </c>
      <c r="I67" s="631">
        <v>100</v>
      </c>
      <c r="J67" s="631">
        <v>100</v>
      </c>
      <c r="K67" s="631">
        <v>100</v>
      </c>
      <c r="L67" s="631">
        <v>100</v>
      </c>
      <c r="M67" s="631">
        <v>95</v>
      </c>
      <c r="N67" s="631">
        <v>100</v>
      </c>
      <c r="O67" s="631">
        <v>100</v>
      </c>
      <c r="P67" s="631">
        <v>100</v>
      </c>
      <c r="Q67" s="631">
        <v>100</v>
      </c>
      <c r="R67" s="631">
        <v>90</v>
      </c>
      <c r="S67" s="631">
        <v>100</v>
      </c>
      <c r="T67" s="631">
        <v>90</v>
      </c>
      <c r="U67" s="631">
        <v>100</v>
      </c>
      <c r="V67" s="631">
        <v>100</v>
      </c>
      <c r="W67" s="631">
        <v>100</v>
      </c>
      <c r="X67" s="631">
        <v>85</v>
      </c>
      <c r="Y67" s="631">
        <v>100</v>
      </c>
      <c r="Z67" s="631">
        <v>100</v>
      </c>
      <c r="AA67" s="631">
        <v>100</v>
      </c>
      <c r="AB67" s="631">
        <v>100</v>
      </c>
      <c r="AC67" s="582"/>
      <c r="AD67" s="582"/>
      <c r="AE67" s="582"/>
      <c r="AF67" s="582"/>
      <c r="AG67" s="582"/>
      <c r="AH67" s="582"/>
    </row>
    <row r="68" spans="1:34" ht="33.75" customHeight="1">
      <c r="A68" s="599"/>
      <c r="B68" s="829"/>
      <c r="C68" s="629" t="s">
        <v>1645</v>
      </c>
      <c r="D68" s="630" t="s">
        <v>1390</v>
      </c>
      <c r="E68" s="631">
        <v>100</v>
      </c>
      <c r="F68" s="631">
        <v>100</v>
      </c>
      <c r="G68" s="631">
        <v>100</v>
      </c>
      <c r="H68" s="631">
        <v>100</v>
      </c>
      <c r="I68" s="631">
        <v>100</v>
      </c>
      <c r="J68" s="631">
        <v>100</v>
      </c>
      <c r="K68" s="631">
        <v>100</v>
      </c>
      <c r="L68" s="631">
        <v>100</v>
      </c>
      <c r="M68" s="631">
        <v>100</v>
      </c>
      <c r="N68" s="631">
        <v>100</v>
      </c>
      <c r="O68" s="631">
        <v>100</v>
      </c>
      <c r="P68" s="631">
        <v>100</v>
      </c>
      <c r="Q68" s="631">
        <v>100</v>
      </c>
      <c r="R68" s="631">
        <v>95</v>
      </c>
      <c r="S68" s="631">
        <v>95</v>
      </c>
      <c r="T68" s="631">
        <v>100</v>
      </c>
      <c r="U68" s="631">
        <v>100</v>
      </c>
      <c r="V68" s="631">
        <v>70</v>
      </c>
      <c r="W68" s="631">
        <v>90</v>
      </c>
      <c r="X68" s="631">
        <v>90</v>
      </c>
      <c r="Y68" s="631">
        <v>100</v>
      </c>
      <c r="Z68" s="631">
        <v>100</v>
      </c>
      <c r="AA68" s="631">
        <v>100</v>
      </c>
      <c r="AB68" s="631">
        <v>100</v>
      </c>
      <c r="AC68" s="582"/>
      <c r="AD68" s="582"/>
      <c r="AE68" s="582"/>
      <c r="AF68" s="582"/>
      <c r="AG68" s="582"/>
      <c r="AH68" s="582"/>
    </row>
    <row r="69" spans="1:34" ht="27" customHeight="1">
      <c r="A69" s="599"/>
      <c r="B69" s="829"/>
      <c r="C69" s="629" t="s">
        <v>1646</v>
      </c>
      <c r="D69" s="630" t="s">
        <v>1647</v>
      </c>
      <c r="E69" s="631">
        <v>100</v>
      </c>
      <c r="F69" s="631">
        <v>100</v>
      </c>
      <c r="G69" s="631">
        <v>100</v>
      </c>
      <c r="H69" s="631">
        <v>100</v>
      </c>
      <c r="I69" s="631">
        <v>100</v>
      </c>
      <c r="J69" s="631">
        <v>100</v>
      </c>
      <c r="K69" s="631">
        <v>100</v>
      </c>
      <c r="L69" s="631">
        <v>100</v>
      </c>
      <c r="M69" s="631">
        <v>100</v>
      </c>
      <c r="N69" s="631">
        <v>100</v>
      </c>
      <c r="O69" s="631">
        <v>100</v>
      </c>
      <c r="P69" s="631">
        <v>100</v>
      </c>
      <c r="Q69" s="631">
        <v>100</v>
      </c>
      <c r="R69" s="631">
        <v>100</v>
      </c>
      <c r="S69" s="631">
        <v>100</v>
      </c>
      <c r="T69" s="631">
        <v>100</v>
      </c>
      <c r="U69" s="631">
        <v>100</v>
      </c>
      <c r="V69" s="631">
        <v>100</v>
      </c>
      <c r="W69" s="631">
        <v>100</v>
      </c>
      <c r="X69" s="631">
        <v>90</v>
      </c>
      <c r="Y69" s="631">
        <v>100</v>
      </c>
      <c r="Z69" s="631">
        <v>100</v>
      </c>
      <c r="AA69" s="631">
        <v>100</v>
      </c>
      <c r="AB69" s="631">
        <v>100</v>
      </c>
      <c r="AC69" s="582"/>
      <c r="AD69" s="582"/>
      <c r="AE69" s="582"/>
      <c r="AF69" s="582"/>
      <c r="AG69" s="582"/>
      <c r="AH69" s="582"/>
    </row>
    <row r="70" spans="1:34" ht="27" customHeight="1">
      <c r="A70" s="599"/>
      <c r="B70" s="829"/>
      <c r="C70" s="629" t="s">
        <v>1648</v>
      </c>
      <c r="D70" s="630" t="s">
        <v>1423</v>
      </c>
      <c r="E70" s="631">
        <v>100</v>
      </c>
      <c r="F70" s="631">
        <v>100</v>
      </c>
      <c r="G70" s="631">
        <v>90</v>
      </c>
      <c r="H70" s="631">
        <v>100</v>
      </c>
      <c r="I70" s="631">
        <v>95</v>
      </c>
      <c r="J70" s="631">
        <v>100</v>
      </c>
      <c r="K70" s="631">
        <v>100</v>
      </c>
      <c r="L70" s="631">
        <v>100</v>
      </c>
      <c r="M70" s="631">
        <v>100</v>
      </c>
      <c r="N70" s="631">
        <v>100</v>
      </c>
      <c r="O70" s="631">
        <v>100</v>
      </c>
      <c r="P70" s="631">
        <v>100</v>
      </c>
      <c r="Q70" s="631">
        <v>90</v>
      </c>
      <c r="R70" s="631">
        <v>90</v>
      </c>
      <c r="S70" s="631">
        <v>100</v>
      </c>
      <c r="T70" s="631">
        <v>100</v>
      </c>
      <c r="U70" s="631">
        <v>100</v>
      </c>
      <c r="V70" s="631">
        <v>90</v>
      </c>
      <c r="W70" s="631">
        <v>100</v>
      </c>
      <c r="X70" s="631">
        <v>100</v>
      </c>
      <c r="Y70" s="631">
        <v>90</v>
      </c>
      <c r="Z70" s="631">
        <v>95</v>
      </c>
      <c r="AA70" s="631">
        <v>100</v>
      </c>
      <c r="AB70" s="631">
        <v>85</v>
      </c>
      <c r="AC70" s="582"/>
      <c r="AD70" s="582"/>
      <c r="AE70" s="582"/>
      <c r="AF70" s="582"/>
      <c r="AG70" s="582"/>
      <c r="AH70" s="582"/>
    </row>
    <row r="71" spans="1:34" ht="37.5" customHeight="1">
      <c r="A71" s="599"/>
      <c r="B71" s="829"/>
      <c r="C71" s="629" t="s">
        <v>1649</v>
      </c>
      <c r="D71" s="630" t="s">
        <v>1425</v>
      </c>
      <c r="E71" s="631">
        <v>85</v>
      </c>
      <c r="F71" s="631">
        <v>95</v>
      </c>
      <c r="G71" s="631">
        <v>90</v>
      </c>
      <c r="H71" s="631">
        <v>100</v>
      </c>
      <c r="I71" s="631">
        <v>100</v>
      </c>
      <c r="J71" s="631">
        <v>100</v>
      </c>
      <c r="K71" s="631">
        <v>100</v>
      </c>
      <c r="L71" s="631">
        <v>100</v>
      </c>
      <c r="M71" s="631">
        <v>100</v>
      </c>
      <c r="N71" s="631">
        <v>100</v>
      </c>
      <c r="O71" s="631">
        <v>100</v>
      </c>
      <c r="P71" s="631">
        <v>100</v>
      </c>
      <c r="Q71" s="631">
        <v>100</v>
      </c>
      <c r="R71" s="631">
        <v>95</v>
      </c>
      <c r="S71" s="631">
        <v>100</v>
      </c>
      <c r="T71" s="631">
        <v>100</v>
      </c>
      <c r="U71" s="631">
        <v>100</v>
      </c>
      <c r="V71" s="631">
        <v>95</v>
      </c>
      <c r="W71" s="631">
        <v>90</v>
      </c>
      <c r="X71" s="631">
        <v>100</v>
      </c>
      <c r="Y71" s="631">
        <v>100</v>
      </c>
      <c r="Z71" s="631">
        <v>95</v>
      </c>
      <c r="AA71" s="631">
        <v>100</v>
      </c>
      <c r="AB71" s="631">
        <v>95</v>
      </c>
      <c r="AC71" s="582"/>
      <c r="AD71" s="582"/>
      <c r="AE71" s="582"/>
      <c r="AF71" s="582"/>
      <c r="AG71" s="582"/>
      <c r="AH71" s="582"/>
    </row>
    <row r="72" spans="1:34" ht="27" customHeight="1">
      <c r="A72" s="599"/>
      <c r="B72" s="829"/>
      <c r="C72" s="632" t="s">
        <v>1650</v>
      </c>
      <c r="D72" s="633" t="s">
        <v>1427</v>
      </c>
      <c r="E72" s="634">
        <v>100</v>
      </c>
      <c r="F72" s="634">
        <v>90</v>
      </c>
      <c r="G72" s="634">
        <v>85</v>
      </c>
      <c r="H72" s="634">
        <v>100</v>
      </c>
      <c r="I72" s="634">
        <v>95</v>
      </c>
      <c r="J72" s="634">
        <v>100</v>
      </c>
      <c r="K72" s="634">
        <v>100</v>
      </c>
      <c r="L72" s="634">
        <v>70</v>
      </c>
      <c r="M72" s="634">
        <v>70</v>
      </c>
      <c r="N72" s="634">
        <v>70</v>
      </c>
      <c r="O72" s="634">
        <v>100</v>
      </c>
      <c r="P72" s="634">
        <v>90</v>
      </c>
      <c r="Q72" s="634">
        <v>90</v>
      </c>
      <c r="R72" s="634">
        <v>70</v>
      </c>
      <c r="S72" s="634">
        <v>70</v>
      </c>
      <c r="T72" s="634">
        <v>70</v>
      </c>
      <c r="U72" s="634">
        <v>100</v>
      </c>
      <c r="V72" s="634">
        <v>95</v>
      </c>
      <c r="W72" s="634">
        <v>90</v>
      </c>
      <c r="X72" s="634">
        <v>70</v>
      </c>
      <c r="Y72" s="634">
        <v>100</v>
      </c>
      <c r="Z72" s="634">
        <v>95</v>
      </c>
      <c r="AA72" s="634">
        <v>95</v>
      </c>
      <c r="AB72" s="634">
        <v>85</v>
      </c>
      <c r="AC72" s="582"/>
      <c r="AD72" s="582"/>
      <c r="AE72" s="582"/>
      <c r="AF72" s="582"/>
      <c r="AG72" s="582"/>
      <c r="AH72" s="582"/>
    </row>
    <row r="73" spans="1:34" ht="33.75" customHeight="1">
      <c r="A73" s="599"/>
      <c r="B73" s="829"/>
      <c r="C73" s="632" t="s">
        <v>1651</v>
      </c>
      <c r="D73" s="633" t="s">
        <v>1652</v>
      </c>
      <c r="E73" s="634">
        <v>95</v>
      </c>
      <c r="F73" s="634">
        <v>100</v>
      </c>
      <c r="G73" s="634">
        <v>95</v>
      </c>
      <c r="H73" s="634">
        <v>90</v>
      </c>
      <c r="I73" s="634">
        <v>100</v>
      </c>
      <c r="J73" s="634">
        <v>100</v>
      </c>
      <c r="K73" s="634">
        <v>100</v>
      </c>
      <c r="L73" s="634">
        <v>95</v>
      </c>
      <c r="M73" s="634">
        <v>85</v>
      </c>
      <c r="N73" s="634">
        <v>100</v>
      </c>
      <c r="O73" s="634">
        <v>100</v>
      </c>
      <c r="P73" s="634">
        <v>100</v>
      </c>
      <c r="Q73" s="634">
        <v>95</v>
      </c>
      <c r="R73" s="634">
        <v>100</v>
      </c>
      <c r="S73" s="634">
        <v>95</v>
      </c>
      <c r="T73" s="634">
        <v>95</v>
      </c>
      <c r="U73" s="634">
        <v>100</v>
      </c>
      <c r="V73" s="634">
        <v>100</v>
      </c>
      <c r="W73" s="634">
        <v>95</v>
      </c>
      <c r="X73" s="634">
        <v>80</v>
      </c>
      <c r="Y73" s="634">
        <v>100</v>
      </c>
      <c r="Z73" s="634">
        <v>60</v>
      </c>
      <c r="AA73" s="634">
        <v>95</v>
      </c>
      <c r="AB73" s="634">
        <v>85</v>
      </c>
      <c r="AC73" s="582"/>
      <c r="AD73" s="582"/>
      <c r="AE73" s="582"/>
      <c r="AF73" s="582"/>
      <c r="AG73" s="582"/>
      <c r="AH73" s="582"/>
    </row>
    <row r="74" spans="1:34" ht="37.5" customHeight="1">
      <c r="A74" s="599"/>
      <c r="B74" s="829"/>
      <c r="C74" s="632" t="s">
        <v>1653</v>
      </c>
      <c r="D74" s="633" t="s">
        <v>1654</v>
      </c>
      <c r="E74" s="634">
        <v>100</v>
      </c>
      <c r="F74" s="634">
        <v>90</v>
      </c>
      <c r="G74" s="634">
        <v>90</v>
      </c>
      <c r="H74" s="634">
        <v>90</v>
      </c>
      <c r="I74" s="634">
        <v>100</v>
      </c>
      <c r="J74" s="634">
        <v>100</v>
      </c>
      <c r="K74" s="634">
        <v>90</v>
      </c>
      <c r="L74" s="634">
        <v>90</v>
      </c>
      <c r="M74" s="634">
        <v>100</v>
      </c>
      <c r="N74" s="634">
        <v>100</v>
      </c>
      <c r="O74" s="634">
        <v>100</v>
      </c>
      <c r="P74" s="634">
        <v>100</v>
      </c>
      <c r="Q74" s="634">
        <v>100</v>
      </c>
      <c r="R74" s="634">
        <v>100</v>
      </c>
      <c r="S74" s="634">
        <v>100</v>
      </c>
      <c r="T74" s="634">
        <v>100</v>
      </c>
      <c r="U74" s="634">
        <v>100</v>
      </c>
      <c r="V74" s="634">
        <v>100</v>
      </c>
      <c r="W74" s="634">
        <v>100</v>
      </c>
      <c r="X74" s="634">
        <v>90</v>
      </c>
      <c r="Y74" s="634">
        <v>90</v>
      </c>
      <c r="Z74" s="634">
        <v>90</v>
      </c>
      <c r="AA74" s="634">
        <v>100</v>
      </c>
      <c r="AB74" s="634">
        <v>100</v>
      </c>
      <c r="AC74" s="582"/>
      <c r="AD74" s="582"/>
      <c r="AE74" s="582"/>
      <c r="AF74" s="582"/>
      <c r="AG74" s="582"/>
      <c r="AH74" s="582"/>
    </row>
    <row r="75" spans="1:34" ht="36" customHeight="1">
      <c r="A75" s="599"/>
      <c r="B75" s="829"/>
      <c r="C75" s="632" t="s">
        <v>1655</v>
      </c>
      <c r="D75" s="633" t="s">
        <v>1656</v>
      </c>
      <c r="E75" s="634">
        <v>100</v>
      </c>
      <c r="F75" s="634">
        <v>100</v>
      </c>
      <c r="G75" s="634">
        <v>90</v>
      </c>
      <c r="H75" s="634">
        <v>100</v>
      </c>
      <c r="I75" s="634">
        <v>100</v>
      </c>
      <c r="J75" s="634">
        <v>100</v>
      </c>
      <c r="K75" s="634">
        <v>100</v>
      </c>
      <c r="L75" s="634">
        <v>100</v>
      </c>
      <c r="M75" s="634">
        <v>100</v>
      </c>
      <c r="N75" s="634">
        <v>100</v>
      </c>
      <c r="O75" s="634">
        <v>100</v>
      </c>
      <c r="P75" s="634">
        <v>100</v>
      </c>
      <c r="Q75" s="634">
        <v>95</v>
      </c>
      <c r="R75" s="634">
        <v>100</v>
      </c>
      <c r="S75" s="634">
        <v>95</v>
      </c>
      <c r="T75" s="634">
        <v>100</v>
      </c>
      <c r="U75" s="634">
        <v>100</v>
      </c>
      <c r="V75" s="634">
        <v>100</v>
      </c>
      <c r="W75" s="634">
        <v>70</v>
      </c>
      <c r="X75" s="634">
        <v>100</v>
      </c>
      <c r="Y75" s="634">
        <v>100</v>
      </c>
      <c r="Z75" s="634">
        <v>100</v>
      </c>
      <c r="AA75" s="634">
        <v>100</v>
      </c>
      <c r="AB75" s="634">
        <v>95</v>
      </c>
      <c r="AC75" s="582"/>
      <c r="AD75" s="582"/>
      <c r="AE75" s="582"/>
      <c r="AF75" s="582"/>
      <c r="AG75" s="582"/>
      <c r="AH75" s="582"/>
    </row>
    <row r="76" spans="1:34" ht="27" customHeight="1">
      <c r="A76" s="599"/>
      <c r="B76" s="829"/>
      <c r="C76" s="632" t="s">
        <v>1657</v>
      </c>
      <c r="D76" s="633" t="s">
        <v>1431</v>
      </c>
      <c r="E76" s="634">
        <v>90</v>
      </c>
      <c r="F76" s="634">
        <v>100</v>
      </c>
      <c r="G76" s="634">
        <v>100</v>
      </c>
      <c r="H76" s="634">
        <v>90</v>
      </c>
      <c r="I76" s="634">
        <v>100</v>
      </c>
      <c r="J76" s="634">
        <v>90</v>
      </c>
      <c r="K76" s="634">
        <v>100</v>
      </c>
      <c r="L76" s="634">
        <v>100</v>
      </c>
      <c r="M76" s="634">
        <v>100</v>
      </c>
      <c r="N76" s="634">
        <v>100</v>
      </c>
      <c r="O76" s="634">
        <v>100</v>
      </c>
      <c r="P76" s="634">
        <v>100</v>
      </c>
      <c r="Q76" s="634">
        <v>100</v>
      </c>
      <c r="R76" s="634">
        <v>100</v>
      </c>
      <c r="S76" s="634">
        <v>90</v>
      </c>
      <c r="T76" s="634">
        <v>100</v>
      </c>
      <c r="U76" s="634">
        <v>100</v>
      </c>
      <c r="V76" s="634">
        <v>100</v>
      </c>
      <c r="W76" s="634">
        <v>100</v>
      </c>
      <c r="X76" s="634">
        <v>100</v>
      </c>
      <c r="Y76" s="634">
        <v>100</v>
      </c>
      <c r="Z76" s="634">
        <v>100</v>
      </c>
      <c r="AA76" s="634">
        <v>100</v>
      </c>
      <c r="AB76" s="634">
        <v>90</v>
      </c>
      <c r="AC76" s="582"/>
      <c r="AD76" s="582"/>
      <c r="AE76" s="582"/>
      <c r="AF76" s="582"/>
      <c r="AG76" s="582"/>
      <c r="AH76" s="582"/>
    </row>
    <row r="77" spans="1:34" ht="34.5" customHeight="1">
      <c r="A77" s="599"/>
      <c r="B77" s="829"/>
      <c r="C77" s="632" t="s">
        <v>1658</v>
      </c>
      <c r="D77" s="633" t="s">
        <v>1433</v>
      </c>
      <c r="E77" s="635">
        <v>100</v>
      </c>
      <c r="F77" s="635">
        <v>100</v>
      </c>
      <c r="G77" s="635">
        <v>90</v>
      </c>
      <c r="H77" s="635">
        <v>100</v>
      </c>
      <c r="I77" s="635">
        <v>100</v>
      </c>
      <c r="J77" s="635">
        <v>100</v>
      </c>
      <c r="K77" s="635">
        <v>100</v>
      </c>
      <c r="L77" s="635">
        <v>100</v>
      </c>
      <c r="M77" s="635">
        <v>90</v>
      </c>
      <c r="N77" s="635">
        <v>100</v>
      </c>
      <c r="O77" s="635">
        <v>100</v>
      </c>
      <c r="P77" s="635">
        <v>100</v>
      </c>
      <c r="Q77" s="635">
        <v>100</v>
      </c>
      <c r="R77" s="635">
        <v>100</v>
      </c>
      <c r="S77" s="635">
        <v>80</v>
      </c>
      <c r="T77" s="635">
        <v>100</v>
      </c>
      <c r="U77" s="635">
        <v>100</v>
      </c>
      <c r="V77" s="635">
        <v>90</v>
      </c>
      <c r="W77" s="635">
        <v>90</v>
      </c>
      <c r="X77" s="635">
        <v>100</v>
      </c>
      <c r="Y77" s="635">
        <v>100</v>
      </c>
      <c r="Z77" s="635">
        <v>90</v>
      </c>
      <c r="AA77" s="635">
        <v>90</v>
      </c>
      <c r="AB77" s="635">
        <v>100</v>
      </c>
      <c r="AC77" s="582"/>
      <c r="AD77" s="582"/>
      <c r="AE77" s="582"/>
      <c r="AF77" s="582"/>
      <c r="AG77" s="582"/>
      <c r="AH77" s="582"/>
    </row>
    <row r="78" spans="1:34" ht="27" customHeight="1">
      <c r="A78" s="599"/>
      <c r="B78" s="829"/>
      <c r="C78" s="638" t="s">
        <v>1659</v>
      </c>
      <c r="D78" s="639" t="s">
        <v>1514</v>
      </c>
      <c r="E78" s="640">
        <v>90</v>
      </c>
      <c r="F78" s="640">
        <v>75</v>
      </c>
      <c r="G78" s="640">
        <v>95</v>
      </c>
      <c r="H78" s="640">
        <v>70</v>
      </c>
      <c r="I78" s="640">
        <v>90</v>
      </c>
      <c r="J78" s="640">
        <v>100</v>
      </c>
      <c r="K78" s="640">
        <v>80</v>
      </c>
      <c r="L78" s="640">
        <v>75</v>
      </c>
      <c r="M78" s="640">
        <v>100</v>
      </c>
      <c r="N78" s="640">
        <v>90</v>
      </c>
      <c r="O78" s="640">
        <v>90</v>
      </c>
      <c r="P78" s="640">
        <v>90</v>
      </c>
      <c r="Q78" s="640">
        <v>75</v>
      </c>
      <c r="R78" s="640">
        <v>90</v>
      </c>
      <c r="S78" s="640">
        <v>100</v>
      </c>
      <c r="T78" s="640">
        <v>100</v>
      </c>
      <c r="U78" s="640">
        <v>100</v>
      </c>
      <c r="V78" s="640">
        <v>80</v>
      </c>
      <c r="W78" s="640">
        <v>70</v>
      </c>
      <c r="X78" s="640">
        <v>90</v>
      </c>
      <c r="Y78" s="640">
        <v>80</v>
      </c>
      <c r="Z78" s="640">
        <v>100</v>
      </c>
      <c r="AA78" s="640">
        <v>80</v>
      </c>
      <c r="AB78" s="640">
        <v>80</v>
      </c>
      <c r="AC78" s="582"/>
      <c r="AD78" s="582"/>
      <c r="AE78" s="582"/>
      <c r="AF78" s="582"/>
      <c r="AG78" s="582"/>
      <c r="AH78" s="582"/>
    </row>
    <row r="79" spans="1:34" ht="32.25" customHeight="1">
      <c r="A79" s="599"/>
      <c r="B79" s="829"/>
      <c r="C79" s="638" t="s">
        <v>1660</v>
      </c>
      <c r="D79" s="639" t="s">
        <v>1661</v>
      </c>
      <c r="E79" s="640">
        <v>100</v>
      </c>
      <c r="F79" s="640">
        <v>100</v>
      </c>
      <c r="G79" s="640">
        <v>100</v>
      </c>
      <c r="H79" s="640">
        <v>70</v>
      </c>
      <c r="I79" s="640">
        <v>100</v>
      </c>
      <c r="J79" s="640">
        <v>100</v>
      </c>
      <c r="K79" s="640">
        <v>100</v>
      </c>
      <c r="L79" s="640">
        <v>100</v>
      </c>
      <c r="M79" s="640">
        <v>50</v>
      </c>
      <c r="N79" s="640">
        <v>75</v>
      </c>
      <c r="O79" s="640">
        <v>100</v>
      </c>
      <c r="P79" s="640">
        <v>100</v>
      </c>
      <c r="Q79" s="640">
        <v>100</v>
      </c>
      <c r="R79" s="640">
        <v>100</v>
      </c>
      <c r="S79" s="640">
        <v>70</v>
      </c>
      <c r="T79" s="640">
        <v>100</v>
      </c>
      <c r="U79" s="640">
        <v>100</v>
      </c>
      <c r="V79" s="640">
        <v>60</v>
      </c>
      <c r="W79" s="640">
        <v>100</v>
      </c>
      <c r="X79" s="640">
        <v>90</v>
      </c>
      <c r="Y79" s="640">
        <v>100</v>
      </c>
      <c r="Z79" s="640">
        <v>100</v>
      </c>
      <c r="AA79" s="640">
        <v>100</v>
      </c>
      <c r="AB79" s="640">
        <v>100</v>
      </c>
      <c r="AC79" s="582"/>
      <c r="AD79" s="582"/>
      <c r="AE79" s="582"/>
      <c r="AF79" s="582"/>
      <c r="AG79" s="582"/>
      <c r="AH79" s="582"/>
    </row>
    <row r="80" spans="1:34" ht="33.75" customHeight="1">
      <c r="A80" s="599"/>
      <c r="B80" s="829"/>
      <c r="C80" s="638" t="s">
        <v>1662</v>
      </c>
      <c r="D80" s="639" t="s">
        <v>1663</v>
      </c>
      <c r="E80" s="640">
        <v>100</v>
      </c>
      <c r="F80" s="640">
        <v>95</v>
      </c>
      <c r="G80" s="640">
        <v>100</v>
      </c>
      <c r="H80" s="640">
        <v>100</v>
      </c>
      <c r="I80" s="640">
        <v>100</v>
      </c>
      <c r="J80" s="640">
        <v>100</v>
      </c>
      <c r="K80" s="640">
        <v>100</v>
      </c>
      <c r="L80" s="640">
        <v>100</v>
      </c>
      <c r="M80" s="640">
        <v>100</v>
      </c>
      <c r="N80" s="640">
        <v>100</v>
      </c>
      <c r="O80" s="640">
        <v>100</v>
      </c>
      <c r="P80" s="640">
        <v>100</v>
      </c>
      <c r="Q80" s="640">
        <v>100</v>
      </c>
      <c r="R80" s="640">
        <v>95</v>
      </c>
      <c r="S80" s="640">
        <v>95</v>
      </c>
      <c r="T80" s="640">
        <v>95</v>
      </c>
      <c r="U80" s="640">
        <v>100</v>
      </c>
      <c r="V80" s="640">
        <v>100</v>
      </c>
      <c r="W80" s="640">
        <v>100</v>
      </c>
      <c r="X80" s="640">
        <v>100</v>
      </c>
      <c r="Y80" s="640">
        <v>100</v>
      </c>
      <c r="Z80" s="640">
        <v>100</v>
      </c>
      <c r="AA80" s="640">
        <v>100</v>
      </c>
      <c r="AB80" s="640">
        <v>100</v>
      </c>
      <c r="AC80" s="582"/>
      <c r="AD80" s="582"/>
      <c r="AE80" s="582"/>
      <c r="AF80" s="582"/>
      <c r="AG80" s="582"/>
      <c r="AH80" s="582"/>
    </row>
    <row r="81" spans="1:34" ht="27" customHeight="1">
      <c r="A81" s="599"/>
      <c r="B81" s="829"/>
      <c r="C81" s="638" t="s">
        <v>1664</v>
      </c>
      <c r="D81" s="639" t="s">
        <v>1665</v>
      </c>
      <c r="E81" s="640">
        <v>100</v>
      </c>
      <c r="F81" s="640">
        <v>100</v>
      </c>
      <c r="G81" s="640">
        <v>95</v>
      </c>
      <c r="H81" s="640">
        <v>100</v>
      </c>
      <c r="I81" s="640">
        <v>100</v>
      </c>
      <c r="J81" s="640">
        <v>100</v>
      </c>
      <c r="K81" s="640">
        <v>100</v>
      </c>
      <c r="L81" s="640">
        <v>100</v>
      </c>
      <c r="M81" s="640">
        <v>100</v>
      </c>
      <c r="N81" s="640">
        <v>100</v>
      </c>
      <c r="O81" s="640">
        <v>100</v>
      </c>
      <c r="P81" s="640">
        <v>100</v>
      </c>
      <c r="Q81" s="640">
        <v>100</v>
      </c>
      <c r="R81" s="640">
        <v>100</v>
      </c>
      <c r="S81" s="640">
        <v>95</v>
      </c>
      <c r="T81" s="640">
        <v>100</v>
      </c>
      <c r="U81" s="640">
        <v>100</v>
      </c>
      <c r="V81" s="640">
        <v>100</v>
      </c>
      <c r="W81" s="640">
        <v>100</v>
      </c>
      <c r="X81" s="640">
        <v>100</v>
      </c>
      <c r="Y81" s="640">
        <v>100</v>
      </c>
      <c r="Z81" s="640">
        <v>100</v>
      </c>
      <c r="AA81" s="640">
        <v>100</v>
      </c>
      <c r="AB81" s="640">
        <v>100</v>
      </c>
      <c r="AC81" s="582"/>
      <c r="AD81" s="582"/>
      <c r="AE81" s="582"/>
      <c r="AF81" s="582"/>
      <c r="AG81" s="582"/>
      <c r="AH81" s="582"/>
    </row>
    <row r="82" spans="1:34" ht="27" customHeight="1">
      <c r="A82" s="599"/>
      <c r="B82" s="829"/>
      <c r="C82" s="638" t="s">
        <v>1666</v>
      </c>
      <c r="D82" s="639" t="s">
        <v>1439</v>
      </c>
      <c r="E82" s="640">
        <v>70</v>
      </c>
      <c r="F82" s="640">
        <v>70</v>
      </c>
      <c r="G82" s="640">
        <v>65</v>
      </c>
      <c r="H82" s="640">
        <v>90</v>
      </c>
      <c r="I82" s="640">
        <v>90</v>
      </c>
      <c r="J82" s="640">
        <v>90</v>
      </c>
      <c r="K82" s="640">
        <v>100</v>
      </c>
      <c r="L82" s="640">
        <v>80</v>
      </c>
      <c r="M82" s="640">
        <v>90</v>
      </c>
      <c r="N82" s="640">
        <v>80</v>
      </c>
      <c r="O82" s="640">
        <v>100</v>
      </c>
      <c r="P82" s="640">
        <v>90</v>
      </c>
      <c r="Q82" s="640">
        <v>90</v>
      </c>
      <c r="R82" s="640">
        <v>90</v>
      </c>
      <c r="S82" s="640">
        <v>65</v>
      </c>
      <c r="T82" s="640">
        <v>100</v>
      </c>
      <c r="U82" s="640">
        <v>95</v>
      </c>
      <c r="V82" s="640">
        <v>90</v>
      </c>
      <c r="W82" s="640">
        <v>100</v>
      </c>
      <c r="X82" s="640">
        <v>90</v>
      </c>
      <c r="Y82" s="640">
        <v>90</v>
      </c>
      <c r="Z82" s="640">
        <v>90</v>
      </c>
      <c r="AA82" s="640">
        <v>80</v>
      </c>
      <c r="AB82" s="640">
        <v>90</v>
      </c>
      <c r="AC82" s="582"/>
      <c r="AD82" s="582"/>
      <c r="AE82" s="582"/>
      <c r="AF82" s="582"/>
      <c r="AG82" s="582"/>
      <c r="AH82" s="582"/>
    </row>
    <row r="83" spans="1:34" ht="27" customHeight="1">
      <c r="A83" s="599"/>
      <c r="B83" s="829"/>
      <c r="C83" s="638" t="s">
        <v>1667</v>
      </c>
      <c r="D83" s="639" t="s">
        <v>1441</v>
      </c>
      <c r="E83" s="640">
        <v>100</v>
      </c>
      <c r="F83" s="640">
        <v>90</v>
      </c>
      <c r="G83" s="640">
        <v>90</v>
      </c>
      <c r="H83" s="640">
        <v>100</v>
      </c>
      <c r="I83" s="640">
        <v>100</v>
      </c>
      <c r="J83" s="640">
        <v>100</v>
      </c>
      <c r="K83" s="640">
        <v>100</v>
      </c>
      <c r="L83" s="640">
        <v>100</v>
      </c>
      <c r="M83" s="640">
        <v>100</v>
      </c>
      <c r="N83" s="640">
        <v>100</v>
      </c>
      <c r="O83" s="640">
        <v>100</v>
      </c>
      <c r="P83" s="640">
        <v>100</v>
      </c>
      <c r="Q83" s="640">
        <v>100</v>
      </c>
      <c r="R83" s="640">
        <v>100</v>
      </c>
      <c r="S83" s="640">
        <v>80</v>
      </c>
      <c r="T83" s="640">
        <v>95</v>
      </c>
      <c r="U83" s="640">
        <v>100</v>
      </c>
      <c r="V83" s="640">
        <v>100</v>
      </c>
      <c r="W83" s="640">
        <v>100</v>
      </c>
      <c r="X83" s="640">
        <v>100</v>
      </c>
      <c r="Y83" s="640">
        <v>90</v>
      </c>
      <c r="Z83" s="640">
        <v>70</v>
      </c>
      <c r="AA83" s="640">
        <v>100</v>
      </c>
      <c r="AB83" s="640">
        <v>100</v>
      </c>
      <c r="AC83" s="582"/>
      <c r="AD83" s="582"/>
      <c r="AE83" s="582"/>
      <c r="AF83" s="582"/>
      <c r="AG83" s="582"/>
      <c r="AH83" s="582"/>
    </row>
    <row r="84" spans="1:34" ht="27" customHeight="1">
      <c r="A84" s="599"/>
      <c r="B84" s="829"/>
      <c r="C84" s="641" t="s">
        <v>1668</v>
      </c>
      <c r="D84" s="642" t="s">
        <v>1443</v>
      </c>
      <c r="E84" s="643">
        <v>90</v>
      </c>
      <c r="F84" s="643">
        <v>90</v>
      </c>
      <c r="G84" s="643">
        <v>80</v>
      </c>
      <c r="H84" s="643">
        <v>100</v>
      </c>
      <c r="I84" s="643">
        <v>95</v>
      </c>
      <c r="J84" s="643">
        <v>100</v>
      </c>
      <c r="K84" s="643">
        <v>100</v>
      </c>
      <c r="L84" s="643">
        <v>100</v>
      </c>
      <c r="M84" s="643">
        <v>90</v>
      </c>
      <c r="N84" s="643">
        <v>95</v>
      </c>
      <c r="O84" s="643">
        <v>100</v>
      </c>
      <c r="P84" s="643">
        <v>90</v>
      </c>
      <c r="Q84" s="643">
        <v>100</v>
      </c>
      <c r="R84" s="643">
        <v>85</v>
      </c>
      <c r="S84" s="643">
        <v>95</v>
      </c>
      <c r="T84" s="643">
        <v>75</v>
      </c>
      <c r="U84" s="643">
        <v>100</v>
      </c>
      <c r="V84" s="643">
        <v>80</v>
      </c>
      <c r="W84" s="643">
        <v>75</v>
      </c>
      <c r="X84" s="643">
        <v>100</v>
      </c>
      <c r="Y84" s="643">
        <v>90</v>
      </c>
      <c r="Z84" s="643">
        <v>85</v>
      </c>
      <c r="AA84" s="643">
        <v>100</v>
      </c>
      <c r="AB84" s="643">
        <v>90</v>
      </c>
      <c r="AC84" s="582"/>
      <c r="AD84" s="582"/>
      <c r="AE84" s="582"/>
      <c r="AF84" s="582"/>
      <c r="AG84" s="582"/>
      <c r="AH84" s="582"/>
    </row>
    <row r="85" spans="1:34" ht="33.75" customHeight="1">
      <c r="A85" s="599"/>
      <c r="B85" s="829"/>
      <c r="C85" s="641" t="s">
        <v>1669</v>
      </c>
      <c r="D85" s="642" t="s">
        <v>1670</v>
      </c>
      <c r="E85" s="643">
        <v>95</v>
      </c>
      <c r="F85" s="643">
        <v>95</v>
      </c>
      <c r="G85" s="643">
        <v>90</v>
      </c>
      <c r="H85" s="643">
        <v>95</v>
      </c>
      <c r="I85" s="643">
        <v>90</v>
      </c>
      <c r="J85" s="643">
        <v>70</v>
      </c>
      <c r="K85" s="643">
        <v>100</v>
      </c>
      <c r="L85" s="643">
        <v>100</v>
      </c>
      <c r="M85" s="643">
        <v>100</v>
      </c>
      <c r="N85" s="643">
        <v>80</v>
      </c>
      <c r="O85" s="643">
        <v>100</v>
      </c>
      <c r="P85" s="643">
        <v>100</v>
      </c>
      <c r="Q85" s="643">
        <v>100</v>
      </c>
      <c r="R85" s="643">
        <v>100</v>
      </c>
      <c r="S85" s="643">
        <v>75</v>
      </c>
      <c r="T85" s="643">
        <v>95</v>
      </c>
      <c r="U85" s="643">
        <v>100</v>
      </c>
      <c r="V85" s="643">
        <v>100</v>
      </c>
      <c r="W85" s="643">
        <v>95</v>
      </c>
      <c r="X85" s="643">
        <v>75</v>
      </c>
      <c r="Y85" s="643">
        <v>75</v>
      </c>
      <c r="Z85" s="643">
        <v>95</v>
      </c>
      <c r="AA85" s="643">
        <v>100</v>
      </c>
      <c r="AB85" s="643"/>
      <c r="AC85" s="582"/>
      <c r="AD85" s="582"/>
      <c r="AE85" s="582"/>
      <c r="AF85" s="582"/>
      <c r="AG85" s="582"/>
      <c r="AH85" s="582"/>
    </row>
    <row r="86" spans="1:34" ht="39.75" customHeight="1">
      <c r="A86" s="599"/>
      <c r="B86" s="829"/>
      <c r="C86" s="641" t="s">
        <v>1671</v>
      </c>
      <c r="D86" s="642" t="s">
        <v>1445</v>
      </c>
      <c r="E86" s="643">
        <v>90</v>
      </c>
      <c r="F86" s="643">
        <v>85</v>
      </c>
      <c r="G86" s="643">
        <v>90</v>
      </c>
      <c r="H86" s="643">
        <v>100</v>
      </c>
      <c r="I86" s="643">
        <v>95</v>
      </c>
      <c r="J86" s="643">
        <v>100</v>
      </c>
      <c r="K86" s="643">
        <v>95</v>
      </c>
      <c r="L86" s="643">
        <v>100</v>
      </c>
      <c r="M86" s="643">
        <v>95</v>
      </c>
      <c r="N86" s="643">
        <v>100</v>
      </c>
      <c r="O86" s="643">
        <v>85</v>
      </c>
      <c r="P86" s="643">
        <v>100</v>
      </c>
      <c r="Q86" s="643">
        <v>100</v>
      </c>
      <c r="R86" s="643"/>
      <c r="S86" s="643">
        <v>75</v>
      </c>
      <c r="T86" s="643">
        <v>80</v>
      </c>
      <c r="U86" s="643">
        <v>100</v>
      </c>
      <c r="V86" s="643">
        <v>100</v>
      </c>
      <c r="W86" s="643">
        <v>100</v>
      </c>
      <c r="X86" s="643">
        <v>100</v>
      </c>
      <c r="Y86" s="643">
        <v>100</v>
      </c>
      <c r="Z86" s="643">
        <v>90</v>
      </c>
      <c r="AA86" s="643">
        <v>100</v>
      </c>
      <c r="AB86" s="643">
        <v>100</v>
      </c>
      <c r="AC86" s="582"/>
      <c r="AD86" s="582"/>
      <c r="AE86" s="582"/>
      <c r="AF86" s="582"/>
      <c r="AG86" s="582"/>
      <c r="AH86" s="582"/>
    </row>
    <row r="87" spans="1:34" ht="32.25" customHeight="1">
      <c r="A87" s="599"/>
      <c r="B87" s="829"/>
      <c r="C87" s="641" t="s">
        <v>1672</v>
      </c>
      <c r="D87" s="642" t="s">
        <v>1673</v>
      </c>
      <c r="E87" s="643">
        <v>100</v>
      </c>
      <c r="F87" s="643">
        <v>95</v>
      </c>
      <c r="G87" s="643">
        <v>95</v>
      </c>
      <c r="H87" s="643">
        <v>85</v>
      </c>
      <c r="I87" s="643">
        <v>80</v>
      </c>
      <c r="J87" s="643">
        <v>95</v>
      </c>
      <c r="K87" s="643">
        <v>100</v>
      </c>
      <c r="L87" s="643">
        <v>75</v>
      </c>
      <c r="M87" s="643">
        <v>85</v>
      </c>
      <c r="N87" s="643">
        <v>100</v>
      </c>
      <c r="O87" s="643">
        <v>100</v>
      </c>
      <c r="P87" s="643">
        <v>90</v>
      </c>
      <c r="Q87" s="643">
        <v>90</v>
      </c>
      <c r="R87" s="643">
        <v>90</v>
      </c>
      <c r="S87" s="643">
        <v>85</v>
      </c>
      <c r="T87" s="643">
        <v>100</v>
      </c>
      <c r="U87" s="643">
        <v>100</v>
      </c>
      <c r="V87" s="643">
        <v>95</v>
      </c>
      <c r="W87" s="643">
        <v>100</v>
      </c>
      <c r="X87" s="643">
        <v>100</v>
      </c>
      <c r="Y87" s="643">
        <v>85</v>
      </c>
      <c r="Z87" s="643">
        <v>95</v>
      </c>
      <c r="AA87" s="643">
        <v>95</v>
      </c>
      <c r="AB87" s="643">
        <v>90</v>
      </c>
      <c r="AC87" s="582"/>
      <c r="AD87" s="582"/>
      <c r="AE87" s="582"/>
      <c r="AF87" s="582"/>
      <c r="AG87" s="582"/>
      <c r="AH87" s="582"/>
    </row>
    <row r="88" spans="1:34" ht="37.5" customHeight="1">
      <c r="A88" s="599"/>
      <c r="B88" s="829"/>
      <c r="C88" s="641" t="s">
        <v>1674</v>
      </c>
      <c r="D88" s="642" t="s">
        <v>1447</v>
      </c>
      <c r="E88" s="643">
        <v>90</v>
      </c>
      <c r="F88" s="643">
        <v>80</v>
      </c>
      <c r="G88" s="643">
        <v>85</v>
      </c>
      <c r="H88" s="643">
        <v>100</v>
      </c>
      <c r="I88" s="643">
        <v>100</v>
      </c>
      <c r="J88" s="643">
        <v>100</v>
      </c>
      <c r="K88" s="643">
        <v>100</v>
      </c>
      <c r="L88" s="643">
        <v>100</v>
      </c>
      <c r="M88" s="643">
        <v>90</v>
      </c>
      <c r="N88" s="643">
        <v>100</v>
      </c>
      <c r="O88" s="643">
        <v>100</v>
      </c>
      <c r="P88" s="643">
        <v>100</v>
      </c>
      <c r="Q88" s="643">
        <v>90</v>
      </c>
      <c r="R88" s="643">
        <v>90</v>
      </c>
      <c r="S88" s="643">
        <v>95</v>
      </c>
      <c r="T88" s="643">
        <v>100</v>
      </c>
      <c r="U88" s="643">
        <v>100</v>
      </c>
      <c r="V88" s="643">
        <v>95</v>
      </c>
      <c r="W88" s="643">
        <v>80</v>
      </c>
      <c r="X88" s="643">
        <v>90</v>
      </c>
      <c r="Y88" s="643">
        <v>100</v>
      </c>
      <c r="Z88" s="643">
        <v>95</v>
      </c>
      <c r="AA88" s="643">
        <v>90</v>
      </c>
      <c r="AB88" s="643">
        <v>100</v>
      </c>
      <c r="AC88" s="582"/>
      <c r="AD88" s="582"/>
      <c r="AE88" s="582"/>
      <c r="AF88" s="582"/>
      <c r="AG88" s="582"/>
      <c r="AH88" s="582"/>
    </row>
    <row r="89" spans="1:34" ht="27" customHeight="1">
      <c r="A89" s="599"/>
      <c r="B89" s="829"/>
      <c r="C89" s="641" t="s">
        <v>1675</v>
      </c>
      <c r="D89" s="642" t="s">
        <v>1449</v>
      </c>
      <c r="E89" s="643">
        <v>80</v>
      </c>
      <c r="F89" s="643">
        <v>80</v>
      </c>
      <c r="G89" s="643">
        <v>90</v>
      </c>
      <c r="H89" s="643">
        <v>85</v>
      </c>
      <c r="I89" s="643">
        <v>75</v>
      </c>
      <c r="J89" s="643">
        <v>100</v>
      </c>
      <c r="K89" s="643">
        <v>100</v>
      </c>
      <c r="L89" s="643">
        <v>100</v>
      </c>
      <c r="M89" s="643">
        <v>80</v>
      </c>
      <c r="N89" s="643">
        <v>100</v>
      </c>
      <c r="O89" s="643">
        <v>100</v>
      </c>
      <c r="P89" s="643">
        <v>100</v>
      </c>
      <c r="Q89" s="643">
        <v>100</v>
      </c>
      <c r="R89" s="643">
        <v>100</v>
      </c>
      <c r="S89" s="643">
        <v>80</v>
      </c>
      <c r="T89" s="643">
        <v>70</v>
      </c>
      <c r="U89" s="643">
        <v>80</v>
      </c>
      <c r="V89" s="643">
        <v>80</v>
      </c>
      <c r="W89" s="643">
        <v>90</v>
      </c>
      <c r="X89" s="643">
        <v>90</v>
      </c>
      <c r="Y89" s="643">
        <v>90</v>
      </c>
      <c r="Z89" s="643">
        <v>100</v>
      </c>
      <c r="AA89" s="643">
        <v>95</v>
      </c>
      <c r="AB89" s="643">
        <v>70</v>
      </c>
      <c r="AC89" s="582"/>
      <c r="AD89" s="582"/>
      <c r="AE89" s="582"/>
      <c r="AF89" s="582"/>
      <c r="AG89" s="582"/>
      <c r="AH89" s="582"/>
    </row>
    <row r="90" spans="1:34" ht="27" hidden="1" customHeight="1">
      <c r="A90" s="599"/>
      <c r="B90" s="829"/>
      <c r="C90" s="578"/>
      <c r="D90" s="581"/>
      <c r="E90" s="582"/>
      <c r="F90" s="582"/>
      <c r="G90" s="582"/>
      <c r="H90" s="582"/>
      <c r="I90" s="582"/>
      <c r="J90" s="582"/>
      <c r="K90" s="582"/>
      <c r="L90" s="582"/>
      <c r="M90" s="582"/>
      <c r="N90" s="582"/>
      <c r="O90" s="582"/>
      <c r="P90" s="582"/>
      <c r="Q90" s="582"/>
      <c r="R90" s="582"/>
      <c r="S90" s="582"/>
      <c r="T90" s="582"/>
      <c r="U90" s="582"/>
      <c r="V90" s="582"/>
      <c r="W90" s="582"/>
      <c r="X90" s="582"/>
      <c r="Y90" s="582"/>
      <c r="Z90" s="582"/>
      <c r="AA90" s="582"/>
      <c r="AB90" s="582"/>
      <c r="AC90" s="582"/>
      <c r="AD90" s="582"/>
      <c r="AE90" s="582"/>
      <c r="AF90" s="582"/>
      <c r="AG90" s="582"/>
      <c r="AH90" s="582"/>
    </row>
    <row r="91" spans="1:34" ht="27" hidden="1" customHeight="1">
      <c r="A91" s="599"/>
      <c r="B91" s="829"/>
      <c r="C91" s="578"/>
      <c r="D91" s="581"/>
      <c r="E91" s="582"/>
      <c r="F91" s="582"/>
      <c r="G91" s="582"/>
      <c r="H91" s="582"/>
      <c r="I91" s="582"/>
      <c r="J91" s="582"/>
      <c r="K91" s="582"/>
      <c r="L91" s="582"/>
      <c r="M91" s="582"/>
      <c r="N91" s="582"/>
      <c r="O91" s="582"/>
      <c r="P91" s="582"/>
      <c r="Q91" s="582"/>
      <c r="R91" s="582"/>
      <c r="S91" s="582"/>
      <c r="T91" s="582"/>
      <c r="U91" s="582"/>
      <c r="V91" s="582"/>
      <c r="W91" s="582"/>
      <c r="X91" s="582"/>
      <c r="Y91" s="582"/>
      <c r="Z91" s="582"/>
      <c r="AA91" s="582"/>
      <c r="AB91" s="582"/>
      <c r="AC91" s="582"/>
      <c r="AD91" s="582"/>
      <c r="AE91" s="582"/>
      <c r="AF91" s="582"/>
      <c r="AG91" s="582"/>
      <c r="AH91" s="582"/>
    </row>
    <row r="92" spans="1:34" ht="27" hidden="1" customHeight="1">
      <c r="A92" s="599"/>
      <c r="B92" s="829"/>
      <c r="C92" s="578"/>
      <c r="D92" s="581"/>
      <c r="E92" s="582"/>
      <c r="F92" s="582"/>
      <c r="G92" s="582"/>
      <c r="H92" s="582"/>
      <c r="I92" s="582"/>
      <c r="J92" s="582"/>
      <c r="K92" s="582"/>
      <c r="L92" s="582"/>
      <c r="M92" s="582"/>
      <c r="N92" s="582"/>
      <c r="O92" s="582"/>
      <c r="P92" s="582"/>
      <c r="Q92" s="582"/>
      <c r="R92" s="582"/>
      <c r="S92" s="582"/>
      <c r="T92" s="582"/>
      <c r="U92" s="582"/>
      <c r="V92" s="582"/>
      <c r="W92" s="582"/>
      <c r="X92" s="582"/>
      <c r="Y92" s="582"/>
      <c r="Z92" s="582"/>
      <c r="AA92" s="582"/>
      <c r="AB92" s="582"/>
      <c r="AC92" s="582"/>
      <c r="AD92" s="582"/>
      <c r="AE92" s="582"/>
      <c r="AF92" s="582"/>
      <c r="AG92" s="582"/>
      <c r="AH92" s="582"/>
    </row>
    <row r="93" spans="1:34" ht="27" hidden="1" customHeight="1">
      <c r="A93" s="599"/>
      <c r="B93" s="829"/>
      <c r="C93" s="578"/>
      <c r="D93" s="581"/>
      <c r="E93" s="582"/>
      <c r="F93" s="582"/>
      <c r="G93" s="582"/>
      <c r="H93" s="582"/>
      <c r="I93" s="582"/>
      <c r="J93" s="582"/>
      <c r="K93" s="582"/>
      <c r="L93" s="582"/>
      <c r="M93" s="582"/>
      <c r="N93" s="582"/>
      <c r="O93" s="582"/>
      <c r="P93" s="582"/>
      <c r="Q93" s="582"/>
      <c r="R93" s="582"/>
      <c r="S93" s="582"/>
      <c r="T93" s="582"/>
      <c r="U93" s="582"/>
      <c r="V93" s="582"/>
      <c r="W93" s="582"/>
      <c r="X93" s="582"/>
      <c r="Y93" s="582"/>
      <c r="Z93" s="582"/>
      <c r="AA93" s="582"/>
      <c r="AB93" s="582"/>
      <c r="AC93" s="582"/>
      <c r="AD93" s="582"/>
      <c r="AE93" s="582"/>
      <c r="AF93" s="582"/>
      <c r="AG93" s="582"/>
      <c r="AH93" s="582"/>
    </row>
    <row r="94" spans="1:34" ht="27" hidden="1" customHeight="1">
      <c r="A94" s="599"/>
      <c r="B94" s="829"/>
      <c r="C94" s="588"/>
      <c r="D94" s="581"/>
      <c r="E94" s="582"/>
      <c r="F94" s="582"/>
      <c r="G94" s="582"/>
      <c r="H94" s="582"/>
      <c r="I94" s="582"/>
      <c r="J94" s="582"/>
      <c r="K94" s="582"/>
      <c r="L94" s="582"/>
      <c r="M94" s="582"/>
      <c r="N94" s="582"/>
      <c r="O94" s="582"/>
      <c r="P94" s="582"/>
      <c r="Q94" s="582"/>
      <c r="R94" s="582"/>
      <c r="S94" s="582"/>
      <c r="T94" s="582"/>
      <c r="U94" s="582"/>
      <c r="V94" s="582"/>
      <c r="W94" s="582"/>
      <c r="X94" s="582"/>
      <c r="Y94" s="582"/>
      <c r="Z94" s="582"/>
      <c r="AA94" s="582"/>
      <c r="AB94" s="582"/>
      <c r="AC94" s="582"/>
      <c r="AD94" s="582"/>
      <c r="AE94" s="582"/>
      <c r="AF94" s="582"/>
      <c r="AG94" s="582"/>
      <c r="AH94" s="582"/>
    </row>
    <row r="95" spans="1:34" ht="27" hidden="1" customHeight="1">
      <c r="A95" s="599"/>
      <c r="B95" s="829"/>
      <c r="C95" s="588"/>
      <c r="D95" s="581"/>
      <c r="E95" s="582"/>
      <c r="F95" s="582"/>
      <c r="G95" s="582"/>
      <c r="H95" s="582"/>
      <c r="I95" s="582"/>
      <c r="J95" s="582"/>
      <c r="K95" s="582"/>
      <c r="L95" s="582"/>
      <c r="M95" s="582"/>
      <c r="N95" s="582"/>
      <c r="O95" s="582"/>
      <c r="P95" s="582"/>
      <c r="Q95" s="582"/>
      <c r="R95" s="582"/>
      <c r="S95" s="582"/>
      <c r="T95" s="582"/>
      <c r="U95" s="582"/>
      <c r="V95" s="582"/>
      <c r="W95" s="582"/>
      <c r="X95" s="582"/>
      <c r="Y95" s="582"/>
      <c r="Z95" s="582"/>
      <c r="AA95" s="582"/>
      <c r="AB95" s="582"/>
      <c r="AC95" s="582"/>
      <c r="AD95" s="582"/>
      <c r="AE95" s="582"/>
      <c r="AF95" s="582"/>
      <c r="AG95" s="582"/>
      <c r="AH95" s="582"/>
    </row>
    <row r="96" spans="1:34" ht="27" hidden="1" customHeight="1">
      <c r="A96" s="599"/>
      <c r="B96" s="829"/>
      <c r="C96" s="588"/>
      <c r="D96" s="581"/>
      <c r="E96" s="582"/>
      <c r="F96" s="582"/>
      <c r="G96" s="582"/>
      <c r="H96" s="582"/>
      <c r="I96" s="582"/>
      <c r="J96" s="582"/>
      <c r="K96" s="582"/>
      <c r="L96" s="582"/>
      <c r="M96" s="582"/>
      <c r="N96" s="582"/>
      <c r="O96" s="582"/>
      <c r="P96" s="582"/>
      <c r="Q96" s="582"/>
      <c r="R96" s="582"/>
      <c r="S96" s="582"/>
      <c r="T96" s="582"/>
      <c r="U96" s="582"/>
      <c r="V96" s="582"/>
      <c r="W96" s="582"/>
      <c r="X96" s="582"/>
      <c r="Y96" s="582"/>
      <c r="Z96" s="582"/>
      <c r="AA96" s="582"/>
      <c r="AB96" s="582"/>
      <c r="AC96" s="582"/>
      <c r="AD96" s="582"/>
      <c r="AE96" s="582"/>
      <c r="AF96" s="582"/>
      <c r="AG96" s="582"/>
      <c r="AH96" s="582"/>
    </row>
    <row r="97" spans="1:34" ht="27" hidden="1" customHeight="1">
      <c r="A97" s="599"/>
      <c r="B97" s="829"/>
      <c r="C97" s="588"/>
      <c r="D97" s="581"/>
      <c r="E97" s="582"/>
      <c r="F97" s="582"/>
      <c r="G97" s="582"/>
      <c r="H97" s="582"/>
      <c r="I97" s="582"/>
      <c r="J97" s="582"/>
      <c r="K97" s="582"/>
      <c r="L97" s="582"/>
      <c r="M97" s="582"/>
      <c r="N97" s="582"/>
      <c r="O97" s="582"/>
      <c r="P97" s="582"/>
      <c r="Q97" s="582"/>
      <c r="R97" s="582"/>
      <c r="S97" s="582"/>
      <c r="T97" s="582"/>
      <c r="U97" s="582"/>
      <c r="V97" s="582"/>
      <c r="W97" s="582"/>
      <c r="X97" s="582"/>
      <c r="Y97" s="582"/>
      <c r="Z97" s="582"/>
      <c r="AA97" s="582"/>
      <c r="AB97" s="582"/>
      <c r="AC97" s="582"/>
      <c r="AD97" s="582"/>
      <c r="AE97" s="582"/>
      <c r="AF97" s="582"/>
      <c r="AG97" s="582"/>
      <c r="AH97" s="582"/>
    </row>
    <row r="98" spans="1:34" ht="27" hidden="1" customHeight="1">
      <c r="A98" s="599"/>
      <c r="B98" s="829"/>
      <c r="C98" s="588"/>
      <c r="D98" s="581"/>
      <c r="E98" s="582"/>
      <c r="F98" s="582"/>
      <c r="G98" s="582"/>
      <c r="H98" s="582"/>
      <c r="I98" s="582"/>
      <c r="J98" s="582"/>
      <c r="K98" s="582"/>
      <c r="L98" s="582"/>
      <c r="M98" s="582"/>
      <c r="N98" s="582"/>
      <c r="O98" s="582"/>
      <c r="P98" s="582"/>
      <c r="Q98" s="582"/>
      <c r="R98" s="582"/>
      <c r="S98" s="582"/>
      <c r="T98" s="582"/>
      <c r="U98" s="582"/>
      <c r="V98" s="582"/>
      <c r="W98" s="582"/>
      <c r="X98" s="582"/>
      <c r="Y98" s="582"/>
      <c r="Z98" s="582"/>
      <c r="AA98" s="582"/>
      <c r="AB98" s="582"/>
      <c r="AC98" s="582"/>
      <c r="AD98" s="582"/>
      <c r="AE98" s="582"/>
      <c r="AF98" s="582"/>
      <c r="AG98" s="582"/>
      <c r="AH98" s="582"/>
    </row>
    <row r="99" spans="1:34" ht="27" hidden="1" customHeight="1">
      <c r="A99" s="599"/>
      <c r="B99" s="829"/>
      <c r="C99" s="588"/>
      <c r="D99" s="581"/>
      <c r="E99" s="582"/>
      <c r="F99" s="582"/>
      <c r="G99" s="582"/>
      <c r="H99" s="582"/>
      <c r="I99" s="582"/>
      <c r="J99" s="582"/>
      <c r="K99" s="582"/>
      <c r="L99" s="582"/>
      <c r="M99" s="582"/>
      <c r="N99" s="582"/>
      <c r="O99" s="582"/>
      <c r="P99" s="582"/>
      <c r="Q99" s="582"/>
      <c r="R99" s="582"/>
      <c r="S99" s="582"/>
      <c r="T99" s="582"/>
      <c r="U99" s="582"/>
      <c r="V99" s="582"/>
      <c r="W99" s="582"/>
      <c r="X99" s="582"/>
      <c r="Y99" s="582"/>
      <c r="Z99" s="582"/>
      <c r="AA99" s="582"/>
      <c r="AB99" s="582"/>
      <c r="AC99" s="582"/>
      <c r="AD99" s="582"/>
      <c r="AE99" s="582"/>
      <c r="AF99" s="582"/>
      <c r="AG99" s="582"/>
      <c r="AH99" s="582"/>
    </row>
    <row r="100" spans="1:34" ht="27" hidden="1" customHeight="1">
      <c r="A100" s="599"/>
      <c r="B100" s="829"/>
      <c r="C100" s="588"/>
      <c r="D100" s="581"/>
      <c r="E100" s="582"/>
      <c r="F100" s="582"/>
      <c r="G100" s="582"/>
      <c r="H100" s="582"/>
      <c r="I100" s="582"/>
      <c r="J100" s="582"/>
      <c r="K100" s="582"/>
      <c r="L100" s="582"/>
      <c r="M100" s="582"/>
      <c r="N100" s="582"/>
      <c r="O100" s="582"/>
      <c r="P100" s="582"/>
      <c r="Q100" s="582"/>
      <c r="R100" s="582"/>
      <c r="S100" s="582"/>
      <c r="T100" s="582"/>
      <c r="U100" s="582"/>
      <c r="V100" s="582"/>
      <c r="W100" s="582"/>
      <c r="X100" s="582"/>
      <c r="Y100" s="582"/>
      <c r="Z100" s="582"/>
      <c r="AA100" s="582"/>
      <c r="AB100" s="582"/>
      <c r="AC100" s="582"/>
      <c r="AD100" s="582"/>
      <c r="AE100" s="582"/>
      <c r="AF100" s="582"/>
      <c r="AG100" s="582"/>
      <c r="AH100" s="582"/>
    </row>
    <row r="101" spans="1:34" ht="27" hidden="1" customHeight="1">
      <c r="A101" s="599"/>
      <c r="B101" s="829"/>
      <c r="C101" s="588"/>
      <c r="D101" s="581"/>
      <c r="E101" s="582"/>
      <c r="F101" s="582"/>
      <c r="G101" s="582"/>
      <c r="H101" s="582"/>
      <c r="I101" s="582"/>
      <c r="J101" s="582"/>
      <c r="K101" s="582"/>
      <c r="L101" s="582"/>
      <c r="M101" s="582"/>
      <c r="N101" s="582"/>
      <c r="O101" s="582"/>
      <c r="P101" s="582"/>
      <c r="Q101" s="582"/>
      <c r="R101" s="582"/>
      <c r="S101" s="582"/>
      <c r="T101" s="582"/>
      <c r="U101" s="582"/>
      <c r="V101" s="582"/>
      <c r="W101" s="582"/>
      <c r="X101" s="582"/>
      <c r="Y101" s="582"/>
      <c r="Z101" s="582"/>
      <c r="AA101" s="582"/>
      <c r="AB101" s="582"/>
      <c r="AC101" s="582"/>
      <c r="AD101" s="582"/>
      <c r="AE101" s="582"/>
      <c r="AF101" s="582"/>
      <c r="AG101" s="582"/>
      <c r="AH101" s="582"/>
    </row>
    <row r="102" spans="1:34" ht="27" hidden="1" customHeight="1">
      <c r="A102" s="599"/>
      <c r="B102" s="829"/>
      <c r="C102" s="580"/>
      <c r="D102" s="581"/>
      <c r="E102" s="582"/>
      <c r="F102" s="582"/>
      <c r="G102" s="582"/>
      <c r="H102" s="582"/>
      <c r="I102" s="582"/>
      <c r="J102" s="582"/>
      <c r="K102" s="582"/>
      <c r="L102" s="582"/>
      <c r="M102" s="582"/>
      <c r="N102" s="582"/>
      <c r="O102" s="582"/>
      <c r="P102" s="582"/>
      <c r="Q102" s="582"/>
      <c r="R102" s="582"/>
      <c r="S102" s="582"/>
      <c r="T102" s="582"/>
      <c r="U102" s="582"/>
      <c r="V102" s="582"/>
      <c r="W102" s="582"/>
      <c r="X102" s="582"/>
      <c r="Y102" s="582"/>
      <c r="Z102" s="582"/>
      <c r="AA102" s="582"/>
      <c r="AB102" s="582"/>
      <c r="AC102" s="582"/>
      <c r="AD102" s="582"/>
      <c r="AE102" s="582"/>
      <c r="AF102" s="582"/>
      <c r="AG102" s="582"/>
      <c r="AH102" s="582"/>
    </row>
    <row r="103" spans="1:34" ht="27" hidden="1" customHeight="1">
      <c r="A103" s="599"/>
      <c r="B103" s="829"/>
      <c r="C103" s="580"/>
      <c r="D103" s="581"/>
      <c r="E103" s="582"/>
      <c r="F103" s="582"/>
      <c r="G103" s="582"/>
      <c r="H103" s="582"/>
      <c r="I103" s="582"/>
      <c r="J103" s="582"/>
      <c r="K103" s="582"/>
      <c r="L103" s="582"/>
      <c r="M103" s="582"/>
      <c r="N103" s="582"/>
      <c r="O103" s="582"/>
      <c r="P103" s="582"/>
      <c r="Q103" s="582"/>
      <c r="R103" s="582"/>
      <c r="S103" s="582"/>
      <c r="T103" s="582"/>
      <c r="U103" s="582"/>
      <c r="V103" s="582"/>
      <c r="W103" s="582"/>
      <c r="X103" s="582"/>
      <c r="Y103" s="582"/>
      <c r="Z103" s="582"/>
      <c r="AA103" s="582"/>
      <c r="AB103" s="582"/>
      <c r="AC103" s="582"/>
      <c r="AD103" s="582"/>
      <c r="AE103" s="582"/>
      <c r="AF103" s="582"/>
      <c r="AG103" s="582"/>
      <c r="AH103" s="582"/>
    </row>
    <row r="104" spans="1:34" ht="27" hidden="1" customHeight="1">
      <c r="A104" s="599"/>
      <c r="B104" s="829"/>
      <c r="C104" s="580"/>
      <c r="D104" s="581"/>
      <c r="E104" s="582"/>
      <c r="F104" s="582"/>
      <c r="G104" s="582"/>
      <c r="H104" s="582"/>
      <c r="I104" s="582"/>
      <c r="J104" s="582"/>
      <c r="K104" s="582"/>
      <c r="L104" s="582"/>
      <c r="M104" s="582"/>
      <c r="N104" s="582"/>
      <c r="O104" s="582"/>
      <c r="P104" s="582"/>
      <c r="Q104" s="582"/>
      <c r="R104" s="582"/>
      <c r="S104" s="582"/>
      <c r="T104" s="582"/>
      <c r="U104" s="582"/>
      <c r="V104" s="582"/>
      <c r="W104" s="582"/>
      <c r="X104" s="582"/>
      <c r="Y104" s="582"/>
      <c r="Z104" s="582"/>
      <c r="AA104" s="582"/>
      <c r="AB104" s="582"/>
      <c r="AC104" s="582"/>
      <c r="AD104" s="582"/>
      <c r="AE104" s="582"/>
      <c r="AF104" s="582"/>
      <c r="AG104" s="582"/>
      <c r="AH104" s="582"/>
    </row>
    <row r="105" spans="1:34" ht="27" hidden="1" customHeight="1">
      <c r="A105" s="599"/>
      <c r="B105" s="829"/>
      <c r="C105" s="580"/>
      <c r="D105" s="581"/>
      <c r="E105" s="582"/>
      <c r="F105" s="582"/>
      <c r="G105" s="582"/>
      <c r="H105" s="582"/>
      <c r="I105" s="582"/>
      <c r="J105" s="582"/>
      <c r="K105" s="582"/>
      <c r="L105" s="582"/>
      <c r="M105" s="582"/>
      <c r="N105" s="582"/>
      <c r="O105" s="582"/>
      <c r="P105" s="582"/>
      <c r="Q105" s="582"/>
      <c r="R105" s="582"/>
      <c r="S105" s="582"/>
      <c r="T105" s="582"/>
      <c r="U105" s="582"/>
      <c r="V105" s="582"/>
      <c r="W105" s="582"/>
      <c r="X105" s="582"/>
      <c r="Y105" s="582"/>
      <c r="Z105" s="582"/>
      <c r="AA105" s="582"/>
      <c r="AB105" s="582"/>
      <c r="AC105" s="582"/>
      <c r="AD105" s="582"/>
      <c r="AE105" s="582"/>
      <c r="AF105" s="582"/>
      <c r="AG105" s="582"/>
      <c r="AH105" s="582"/>
    </row>
    <row r="106" spans="1:34" ht="27" hidden="1" customHeight="1">
      <c r="A106" s="599"/>
      <c r="B106" s="829"/>
      <c r="C106" s="580"/>
      <c r="D106" s="581"/>
      <c r="E106" s="582"/>
      <c r="F106" s="582"/>
      <c r="G106" s="582"/>
      <c r="H106" s="582"/>
      <c r="I106" s="582"/>
      <c r="J106" s="582"/>
      <c r="K106" s="582"/>
      <c r="L106" s="582"/>
      <c r="M106" s="582"/>
      <c r="N106" s="582"/>
      <c r="O106" s="582"/>
      <c r="P106" s="582"/>
      <c r="Q106" s="582"/>
      <c r="R106" s="582"/>
      <c r="S106" s="582"/>
      <c r="T106" s="582"/>
      <c r="U106" s="582"/>
      <c r="V106" s="582"/>
      <c r="W106" s="582"/>
      <c r="X106" s="582"/>
      <c r="Y106" s="582"/>
      <c r="Z106" s="582"/>
      <c r="AA106" s="582"/>
      <c r="AB106" s="582"/>
      <c r="AC106" s="582"/>
      <c r="AD106" s="582"/>
      <c r="AE106" s="582"/>
      <c r="AF106" s="582"/>
      <c r="AG106" s="582"/>
      <c r="AH106" s="582"/>
    </row>
    <row r="107" spans="1:34" ht="27" hidden="1" customHeight="1">
      <c r="A107" s="599"/>
      <c r="B107" s="829"/>
      <c r="C107" s="580"/>
      <c r="D107" s="581"/>
      <c r="E107" s="582"/>
      <c r="F107" s="582"/>
      <c r="G107" s="582"/>
      <c r="H107" s="582"/>
      <c r="I107" s="582"/>
      <c r="J107" s="582"/>
      <c r="K107" s="582"/>
      <c r="L107" s="582"/>
      <c r="M107" s="582"/>
      <c r="N107" s="582"/>
      <c r="O107" s="582"/>
      <c r="P107" s="582"/>
      <c r="Q107" s="582"/>
      <c r="R107" s="582"/>
      <c r="S107" s="582"/>
      <c r="T107" s="582"/>
      <c r="U107" s="582"/>
      <c r="V107" s="582"/>
      <c r="W107" s="582"/>
      <c r="X107" s="582"/>
      <c r="Y107" s="582"/>
      <c r="Z107" s="582"/>
      <c r="AA107" s="582"/>
      <c r="AB107" s="582"/>
      <c r="AC107" s="582"/>
      <c r="AD107" s="582"/>
      <c r="AE107" s="582"/>
      <c r="AF107" s="582"/>
      <c r="AG107" s="582"/>
      <c r="AH107" s="582"/>
    </row>
    <row r="108" spans="1:34" ht="27" hidden="1" customHeight="1">
      <c r="A108" s="599"/>
      <c r="B108" s="829"/>
      <c r="C108" s="580"/>
      <c r="D108" s="581"/>
      <c r="E108" s="582"/>
      <c r="F108" s="582"/>
      <c r="G108" s="582"/>
      <c r="H108" s="582"/>
      <c r="I108" s="582"/>
      <c r="J108" s="582"/>
      <c r="K108" s="582"/>
      <c r="L108" s="582"/>
      <c r="M108" s="582"/>
      <c r="N108" s="582"/>
      <c r="O108" s="582"/>
      <c r="P108" s="582"/>
      <c r="Q108" s="582"/>
      <c r="R108" s="582"/>
      <c r="S108" s="582"/>
      <c r="T108" s="582"/>
      <c r="U108" s="582"/>
      <c r="V108" s="582"/>
      <c r="W108" s="582"/>
      <c r="X108" s="582"/>
      <c r="Y108" s="582"/>
      <c r="Z108" s="582"/>
      <c r="AA108" s="582"/>
      <c r="AB108" s="582"/>
      <c r="AC108" s="582"/>
      <c r="AD108" s="582"/>
      <c r="AE108" s="582"/>
      <c r="AF108" s="582"/>
      <c r="AG108" s="582"/>
      <c r="AH108" s="582"/>
    </row>
    <row r="109" spans="1:34" ht="27" hidden="1" customHeight="1">
      <c r="A109" s="599"/>
      <c r="B109" s="829"/>
      <c r="C109" s="580"/>
      <c r="D109" s="581"/>
      <c r="E109" s="582"/>
      <c r="F109" s="582"/>
      <c r="G109" s="582"/>
      <c r="H109" s="582"/>
      <c r="I109" s="582"/>
      <c r="J109" s="582"/>
      <c r="K109" s="582"/>
      <c r="L109" s="582"/>
      <c r="M109" s="582"/>
      <c r="N109" s="582"/>
      <c r="O109" s="582"/>
      <c r="P109" s="582"/>
      <c r="Q109" s="582"/>
      <c r="R109" s="582"/>
      <c r="S109" s="582"/>
      <c r="T109" s="582"/>
      <c r="U109" s="582"/>
      <c r="V109" s="582"/>
      <c r="W109" s="582"/>
      <c r="X109" s="582"/>
      <c r="Y109" s="582"/>
      <c r="Z109" s="582"/>
      <c r="AA109" s="582"/>
      <c r="AB109" s="582"/>
      <c r="AC109" s="582"/>
      <c r="AD109" s="582"/>
      <c r="AE109" s="582"/>
      <c r="AF109" s="582"/>
      <c r="AG109" s="582"/>
      <c r="AH109" s="582"/>
    </row>
    <row r="110" spans="1:34" ht="27" hidden="1" customHeight="1">
      <c r="A110" s="599"/>
      <c r="B110" s="829"/>
      <c r="C110" s="580"/>
      <c r="D110" s="581"/>
      <c r="E110" s="582"/>
      <c r="F110" s="582"/>
      <c r="G110" s="582"/>
      <c r="H110" s="582"/>
      <c r="I110" s="582"/>
      <c r="J110" s="582"/>
      <c r="K110" s="582"/>
      <c r="L110" s="582"/>
      <c r="M110" s="582"/>
      <c r="N110" s="582"/>
      <c r="O110" s="582"/>
      <c r="P110" s="582"/>
      <c r="Q110" s="582"/>
      <c r="R110" s="582"/>
      <c r="S110" s="582"/>
      <c r="T110" s="582"/>
      <c r="U110" s="582"/>
      <c r="V110" s="582"/>
      <c r="W110" s="582"/>
      <c r="X110" s="582"/>
      <c r="Y110" s="582"/>
      <c r="Z110" s="582"/>
      <c r="AA110" s="582"/>
      <c r="AB110" s="582"/>
      <c r="AC110" s="582"/>
      <c r="AD110" s="582"/>
      <c r="AE110" s="582"/>
      <c r="AF110" s="582"/>
      <c r="AG110" s="582"/>
      <c r="AH110" s="582"/>
    </row>
    <row r="111" spans="1:34" ht="27" hidden="1" customHeight="1">
      <c r="A111" s="599"/>
      <c r="B111" s="829"/>
      <c r="C111" s="580"/>
      <c r="D111" s="581"/>
      <c r="E111" s="582"/>
      <c r="F111" s="582"/>
      <c r="G111" s="582"/>
      <c r="H111" s="582"/>
      <c r="I111" s="582"/>
      <c r="J111" s="582"/>
      <c r="K111" s="582"/>
      <c r="L111" s="582"/>
      <c r="M111" s="582"/>
      <c r="N111" s="582"/>
      <c r="O111" s="582"/>
      <c r="P111" s="582"/>
      <c r="Q111" s="582"/>
      <c r="R111" s="582"/>
      <c r="S111" s="582"/>
      <c r="T111" s="582"/>
      <c r="U111" s="582"/>
      <c r="V111" s="582"/>
      <c r="W111" s="582"/>
      <c r="X111" s="582"/>
      <c r="Y111" s="582"/>
      <c r="Z111" s="582"/>
      <c r="AA111" s="582"/>
      <c r="AB111" s="582"/>
      <c r="AC111" s="582"/>
      <c r="AD111" s="582"/>
      <c r="AE111" s="582"/>
      <c r="AF111" s="582"/>
      <c r="AG111" s="582"/>
      <c r="AH111" s="582"/>
    </row>
    <row r="112" spans="1:34" ht="27" hidden="1" customHeight="1">
      <c r="A112" s="599"/>
      <c r="B112" s="830"/>
      <c r="C112" s="580"/>
      <c r="D112" s="581"/>
      <c r="E112" s="582"/>
      <c r="F112" s="582"/>
      <c r="G112" s="582"/>
      <c r="H112" s="582"/>
      <c r="I112" s="582"/>
      <c r="J112" s="582"/>
      <c r="K112" s="582"/>
      <c r="L112" s="582"/>
      <c r="M112" s="582"/>
      <c r="N112" s="582"/>
      <c r="O112" s="582"/>
      <c r="P112" s="582"/>
      <c r="Q112" s="582"/>
      <c r="R112" s="582"/>
      <c r="S112" s="582"/>
      <c r="T112" s="582"/>
      <c r="U112" s="582"/>
      <c r="V112" s="582"/>
      <c r="W112" s="582"/>
      <c r="X112" s="582"/>
      <c r="Y112" s="582"/>
      <c r="Z112" s="582"/>
      <c r="AA112" s="582"/>
      <c r="AB112" s="582"/>
      <c r="AC112" s="582"/>
      <c r="AD112" s="582"/>
      <c r="AE112" s="582"/>
      <c r="AF112" s="582"/>
      <c r="AG112" s="582"/>
      <c r="AH112" s="582"/>
    </row>
    <row r="113" spans="1:34" ht="37.5" customHeight="1" thickBot="1">
      <c r="A113" s="599"/>
      <c r="B113" s="828">
        <v>3</v>
      </c>
      <c r="C113" s="834" t="s">
        <v>1743</v>
      </c>
      <c r="D113" s="835"/>
      <c r="E113" s="579">
        <f t="shared" ref="E113:AH113" si="2">IF(SUM(E114:E132)&gt;0,AVERAGE(E114:E132),IF(SUM(E114:E132)=0,"",))</f>
        <v>93.888888888888886</v>
      </c>
      <c r="F113" s="579">
        <f t="shared" si="2"/>
        <v>90</v>
      </c>
      <c r="G113" s="579">
        <f t="shared" si="2"/>
        <v>94.444444444444443</v>
      </c>
      <c r="H113" s="579">
        <f t="shared" si="2"/>
        <v>95.555555555555557</v>
      </c>
      <c r="I113" s="579">
        <f t="shared" si="2"/>
        <v>98.888888888888886</v>
      </c>
      <c r="J113" s="579">
        <f t="shared" si="2"/>
        <v>99.444444444444443</v>
      </c>
      <c r="K113" s="579">
        <f t="shared" si="2"/>
        <v>97.222222222222229</v>
      </c>
      <c r="L113" s="579">
        <f t="shared" si="2"/>
        <v>95</v>
      </c>
      <c r="M113" s="579">
        <f t="shared" si="2"/>
        <v>96.666666666666671</v>
      </c>
      <c r="N113" s="579">
        <f t="shared" si="2"/>
        <v>97.777777777777771</v>
      </c>
      <c r="O113" s="579">
        <f t="shared" si="2"/>
        <v>98.888888888888886</v>
      </c>
      <c r="P113" s="579">
        <f t="shared" si="2"/>
        <v>95.555555555555557</v>
      </c>
      <c r="Q113" s="579">
        <f t="shared" si="2"/>
        <v>98.333333333333329</v>
      </c>
      <c r="R113" s="579">
        <f t="shared" si="2"/>
        <v>95.555555555555557</v>
      </c>
      <c r="S113" s="579">
        <f t="shared" si="2"/>
        <v>87.777777777777771</v>
      </c>
      <c r="T113" s="579">
        <f t="shared" si="2"/>
        <v>93.333333333333329</v>
      </c>
      <c r="U113" s="579">
        <f t="shared" si="2"/>
        <v>97.777777777777771</v>
      </c>
      <c r="V113" s="579">
        <f t="shared" si="2"/>
        <v>92.777777777777771</v>
      </c>
      <c r="W113" s="579">
        <f t="shared" si="2"/>
        <v>95.555555555555557</v>
      </c>
      <c r="X113" s="579">
        <f t="shared" si="2"/>
        <v>90.555555555555557</v>
      </c>
      <c r="Y113" s="579">
        <f t="shared" si="2"/>
        <v>97.777777777777771</v>
      </c>
      <c r="Z113" s="579">
        <f t="shared" si="2"/>
        <v>96.111111111111114</v>
      </c>
      <c r="AA113" s="579">
        <f t="shared" si="2"/>
        <v>98.888888888888886</v>
      </c>
      <c r="AB113" s="579">
        <f t="shared" si="2"/>
        <v>95</v>
      </c>
      <c r="AC113" s="579" t="str">
        <f t="shared" si="2"/>
        <v/>
      </c>
      <c r="AD113" s="579" t="str">
        <f t="shared" si="2"/>
        <v/>
      </c>
      <c r="AE113" s="579" t="str">
        <f t="shared" si="2"/>
        <v/>
      </c>
      <c r="AF113" s="579" t="str">
        <f t="shared" si="2"/>
        <v/>
      </c>
      <c r="AG113" s="579" t="str">
        <f t="shared" si="2"/>
        <v/>
      </c>
      <c r="AH113" s="579" t="str">
        <f t="shared" si="2"/>
        <v/>
      </c>
    </row>
    <row r="114" spans="1:34" ht="27" customHeight="1" thickTop="1">
      <c r="A114" s="599"/>
      <c r="B114" s="829"/>
      <c r="C114" s="645" t="s">
        <v>1676</v>
      </c>
      <c r="D114" s="646" t="s">
        <v>1408</v>
      </c>
      <c r="E114" s="644">
        <v>95</v>
      </c>
      <c r="F114" s="644">
        <v>80</v>
      </c>
      <c r="G114" s="644">
        <v>90</v>
      </c>
      <c r="H114" s="644">
        <v>90</v>
      </c>
      <c r="I114" s="644">
        <v>100</v>
      </c>
      <c r="J114" s="644">
        <v>100</v>
      </c>
      <c r="K114" s="644">
        <v>100</v>
      </c>
      <c r="L114" s="644">
        <v>100</v>
      </c>
      <c r="M114" s="644">
        <v>100</v>
      </c>
      <c r="N114" s="644">
        <v>90</v>
      </c>
      <c r="O114" s="644">
        <v>95</v>
      </c>
      <c r="P114" s="644">
        <v>90</v>
      </c>
      <c r="Q114" s="644">
        <v>90</v>
      </c>
      <c r="R114" s="644">
        <v>100</v>
      </c>
      <c r="S114" s="644">
        <v>100</v>
      </c>
      <c r="T114" s="644">
        <v>90</v>
      </c>
      <c r="U114" s="644">
        <v>100</v>
      </c>
      <c r="V114" s="644">
        <v>90</v>
      </c>
      <c r="W114" s="644">
        <v>90</v>
      </c>
      <c r="X114" s="644">
        <v>90</v>
      </c>
      <c r="Y114" s="644">
        <v>100</v>
      </c>
      <c r="Z114" s="644">
        <v>100</v>
      </c>
      <c r="AA114" s="644">
        <v>100</v>
      </c>
      <c r="AB114" s="644">
        <v>95</v>
      </c>
      <c r="AC114" s="582"/>
      <c r="AD114" s="582"/>
      <c r="AE114" s="582"/>
      <c r="AF114" s="582"/>
      <c r="AG114" s="582"/>
      <c r="AH114" s="582"/>
    </row>
    <row r="115" spans="1:34" ht="27" customHeight="1">
      <c r="A115" s="599"/>
      <c r="B115" s="829"/>
      <c r="C115" s="647" t="s">
        <v>1677</v>
      </c>
      <c r="D115" s="648" t="s">
        <v>1678</v>
      </c>
      <c r="E115" s="644">
        <v>90</v>
      </c>
      <c r="F115" s="644">
        <v>100</v>
      </c>
      <c r="G115" s="644">
        <v>100</v>
      </c>
      <c r="H115" s="644">
        <v>80</v>
      </c>
      <c r="I115" s="644">
        <v>100</v>
      </c>
      <c r="J115" s="644">
        <v>100</v>
      </c>
      <c r="K115" s="644">
        <v>100</v>
      </c>
      <c r="L115" s="644">
        <v>80</v>
      </c>
      <c r="M115" s="644">
        <v>100</v>
      </c>
      <c r="N115" s="644">
        <v>100</v>
      </c>
      <c r="O115" s="644">
        <v>100</v>
      </c>
      <c r="P115" s="644">
        <v>100</v>
      </c>
      <c r="Q115" s="644">
        <v>100</v>
      </c>
      <c r="R115" s="644">
        <v>90</v>
      </c>
      <c r="S115" s="644">
        <v>100</v>
      </c>
      <c r="T115" s="644">
        <v>90</v>
      </c>
      <c r="U115" s="644">
        <v>100</v>
      </c>
      <c r="V115" s="644">
        <v>80</v>
      </c>
      <c r="W115" s="644">
        <v>100</v>
      </c>
      <c r="X115" s="644">
        <v>95</v>
      </c>
      <c r="Y115" s="644">
        <v>100</v>
      </c>
      <c r="Z115" s="644">
        <v>100</v>
      </c>
      <c r="AA115" s="644">
        <v>100</v>
      </c>
      <c r="AB115" s="644">
        <v>100</v>
      </c>
      <c r="AC115" s="582"/>
      <c r="AD115" s="582"/>
      <c r="AE115" s="582"/>
      <c r="AF115" s="582"/>
      <c r="AG115" s="582"/>
      <c r="AH115" s="582"/>
    </row>
    <row r="116" spans="1:34" ht="27" customHeight="1">
      <c r="A116" s="599"/>
      <c r="B116" s="829"/>
      <c r="C116" s="647" t="s">
        <v>1679</v>
      </c>
      <c r="D116" s="648" t="s">
        <v>1410</v>
      </c>
      <c r="E116" s="644">
        <v>90</v>
      </c>
      <c r="F116" s="644">
        <v>90</v>
      </c>
      <c r="G116" s="644">
        <v>90</v>
      </c>
      <c r="H116" s="644">
        <v>100</v>
      </c>
      <c r="I116" s="644">
        <v>90</v>
      </c>
      <c r="J116" s="644">
        <v>95</v>
      </c>
      <c r="K116" s="644">
        <v>95</v>
      </c>
      <c r="L116" s="644">
        <v>100</v>
      </c>
      <c r="M116" s="644">
        <v>100</v>
      </c>
      <c r="N116" s="644">
        <v>100</v>
      </c>
      <c r="O116" s="644">
        <v>100</v>
      </c>
      <c r="P116" s="644">
        <v>95</v>
      </c>
      <c r="Q116" s="644">
        <v>100</v>
      </c>
      <c r="R116" s="644">
        <v>100</v>
      </c>
      <c r="S116" s="644">
        <v>70</v>
      </c>
      <c r="T116" s="644">
        <v>95</v>
      </c>
      <c r="U116" s="644">
        <v>100</v>
      </c>
      <c r="V116" s="644">
        <v>100</v>
      </c>
      <c r="W116" s="644">
        <v>90</v>
      </c>
      <c r="X116" s="644">
        <v>100</v>
      </c>
      <c r="Y116" s="644">
        <v>90</v>
      </c>
      <c r="Z116" s="644">
        <v>75</v>
      </c>
      <c r="AA116" s="644">
        <v>100</v>
      </c>
      <c r="AB116" s="644">
        <v>95</v>
      </c>
      <c r="AC116" s="582"/>
      <c r="AD116" s="582"/>
      <c r="AE116" s="582"/>
      <c r="AF116" s="582"/>
      <c r="AG116" s="582"/>
      <c r="AH116" s="582"/>
    </row>
    <row r="117" spans="1:34" ht="38.25" customHeight="1">
      <c r="A117" s="599"/>
      <c r="B117" s="829"/>
      <c r="C117" s="647" t="s">
        <v>1680</v>
      </c>
      <c r="D117" s="648" t="s">
        <v>1681</v>
      </c>
      <c r="E117" s="644">
        <v>100</v>
      </c>
      <c r="F117" s="644">
        <v>90</v>
      </c>
      <c r="G117" s="644">
        <v>100</v>
      </c>
      <c r="H117" s="644">
        <v>100</v>
      </c>
      <c r="I117" s="644">
        <v>100</v>
      </c>
      <c r="J117" s="644">
        <v>100</v>
      </c>
      <c r="K117" s="644">
        <v>95</v>
      </c>
      <c r="L117" s="644">
        <v>100</v>
      </c>
      <c r="M117" s="644">
        <v>95</v>
      </c>
      <c r="N117" s="644">
        <v>100</v>
      </c>
      <c r="O117" s="644">
        <v>95</v>
      </c>
      <c r="P117" s="644">
        <v>100</v>
      </c>
      <c r="Q117" s="644">
        <v>95</v>
      </c>
      <c r="R117" s="644">
        <v>100</v>
      </c>
      <c r="S117" s="644">
        <v>90</v>
      </c>
      <c r="T117" s="644">
        <v>90</v>
      </c>
      <c r="U117" s="644">
        <v>90</v>
      </c>
      <c r="V117" s="644">
        <v>100</v>
      </c>
      <c r="W117" s="644">
        <v>100</v>
      </c>
      <c r="X117" s="644">
        <v>100</v>
      </c>
      <c r="Y117" s="644">
        <v>100</v>
      </c>
      <c r="Z117" s="644">
        <v>100</v>
      </c>
      <c r="AA117" s="644">
        <v>100</v>
      </c>
      <c r="AB117" s="644">
        <v>100</v>
      </c>
      <c r="AC117" s="582"/>
      <c r="AD117" s="582"/>
      <c r="AE117" s="582"/>
      <c r="AF117" s="582"/>
      <c r="AG117" s="582"/>
      <c r="AH117" s="582"/>
    </row>
    <row r="118" spans="1:34" ht="34.5" customHeight="1">
      <c r="A118" s="599"/>
      <c r="B118" s="829"/>
      <c r="C118" s="647" t="s">
        <v>1682</v>
      </c>
      <c r="D118" s="648" t="s">
        <v>1412</v>
      </c>
      <c r="E118" s="644">
        <v>95</v>
      </c>
      <c r="F118" s="644"/>
      <c r="G118" s="644">
        <v>90</v>
      </c>
      <c r="H118" s="644">
        <v>100</v>
      </c>
      <c r="I118" s="644">
        <v>100</v>
      </c>
      <c r="J118" s="644">
        <v>100</v>
      </c>
      <c r="K118" s="644">
        <v>100</v>
      </c>
      <c r="L118" s="644">
        <v>85</v>
      </c>
      <c r="M118" s="644">
        <v>95</v>
      </c>
      <c r="N118" s="644">
        <v>100</v>
      </c>
      <c r="O118" s="644">
        <v>100</v>
      </c>
      <c r="P118" s="644">
        <v>95</v>
      </c>
      <c r="Q118" s="644">
        <v>100</v>
      </c>
      <c r="R118" s="644">
        <v>95</v>
      </c>
      <c r="S118" s="644">
        <v>95</v>
      </c>
      <c r="T118" s="644">
        <v>95</v>
      </c>
      <c r="U118" s="644">
        <v>100</v>
      </c>
      <c r="V118" s="644">
        <v>100</v>
      </c>
      <c r="W118" s="644">
        <v>90</v>
      </c>
      <c r="X118" s="644">
        <v>100</v>
      </c>
      <c r="Y118" s="644">
        <v>100</v>
      </c>
      <c r="Z118" s="644">
        <v>100</v>
      </c>
      <c r="AA118" s="644">
        <v>100</v>
      </c>
      <c r="AB118" s="644">
        <v>95</v>
      </c>
      <c r="AC118" s="582"/>
      <c r="AD118" s="582"/>
      <c r="AE118" s="582"/>
      <c r="AF118" s="582"/>
      <c r="AG118" s="582"/>
      <c r="AH118" s="582"/>
    </row>
    <row r="119" spans="1:34" ht="27" customHeight="1">
      <c r="A119" s="599"/>
      <c r="B119" s="829"/>
      <c r="C119" s="647" t="s">
        <v>1751</v>
      </c>
      <c r="D119" s="648" t="s">
        <v>1413</v>
      </c>
      <c r="E119" s="644">
        <v>95</v>
      </c>
      <c r="F119" s="644"/>
      <c r="G119" s="644">
        <v>100</v>
      </c>
      <c r="H119" s="644">
        <v>100</v>
      </c>
      <c r="I119" s="644">
        <v>100</v>
      </c>
      <c r="J119" s="644">
        <v>100</v>
      </c>
      <c r="K119" s="644">
        <v>95</v>
      </c>
      <c r="L119" s="644">
        <v>100</v>
      </c>
      <c r="M119" s="644">
        <v>100</v>
      </c>
      <c r="N119" s="644">
        <v>100</v>
      </c>
      <c r="O119" s="644">
        <v>100</v>
      </c>
      <c r="P119" s="644">
        <v>90</v>
      </c>
      <c r="Q119" s="644">
        <v>100</v>
      </c>
      <c r="R119" s="644">
        <v>90</v>
      </c>
      <c r="S119" s="644">
        <v>70</v>
      </c>
      <c r="T119" s="644">
        <v>90</v>
      </c>
      <c r="U119" s="644">
        <v>100</v>
      </c>
      <c r="V119" s="644">
        <v>100</v>
      </c>
      <c r="W119" s="644">
        <v>90</v>
      </c>
      <c r="X119" s="644">
        <v>80</v>
      </c>
      <c r="Y119" s="644">
        <v>90</v>
      </c>
      <c r="Z119" s="644">
        <v>100</v>
      </c>
      <c r="AA119" s="644">
        <v>100</v>
      </c>
      <c r="AB119" s="644">
        <v>90</v>
      </c>
      <c r="AC119" s="582"/>
      <c r="AD119" s="582"/>
      <c r="AE119" s="582"/>
      <c r="AF119" s="582"/>
      <c r="AG119" s="582"/>
      <c r="AH119" s="582"/>
    </row>
    <row r="120" spans="1:34" ht="27" customHeight="1">
      <c r="A120" s="599"/>
      <c r="B120" s="829"/>
      <c r="C120" s="641" t="s">
        <v>1684</v>
      </c>
      <c r="D120" s="642" t="s">
        <v>1685</v>
      </c>
      <c r="E120" s="643">
        <v>100</v>
      </c>
      <c r="F120" s="643"/>
      <c r="G120" s="643">
        <v>100</v>
      </c>
      <c r="H120" s="643">
        <v>100</v>
      </c>
      <c r="I120" s="643">
        <v>100</v>
      </c>
      <c r="J120" s="643">
        <v>100</v>
      </c>
      <c r="K120" s="643">
        <v>100</v>
      </c>
      <c r="L120" s="643">
        <v>90</v>
      </c>
      <c r="M120" s="643">
        <v>90</v>
      </c>
      <c r="N120" s="643">
        <v>100</v>
      </c>
      <c r="O120" s="643">
        <v>100</v>
      </c>
      <c r="P120" s="643">
        <v>100</v>
      </c>
      <c r="Q120" s="643">
        <v>100</v>
      </c>
      <c r="R120" s="643">
        <v>95</v>
      </c>
      <c r="S120" s="643">
        <v>85</v>
      </c>
      <c r="T120" s="643">
        <v>100</v>
      </c>
      <c r="U120" s="643">
        <v>100</v>
      </c>
      <c r="V120" s="643">
        <v>90</v>
      </c>
      <c r="W120" s="643">
        <v>100</v>
      </c>
      <c r="X120" s="643">
        <v>100</v>
      </c>
      <c r="Y120" s="643">
        <v>100</v>
      </c>
      <c r="Z120" s="643">
        <v>90</v>
      </c>
      <c r="AA120" s="643">
        <v>100</v>
      </c>
      <c r="AB120" s="643">
        <v>100</v>
      </c>
      <c r="AC120" s="582"/>
      <c r="AD120" s="582"/>
      <c r="AE120" s="582"/>
      <c r="AF120" s="582"/>
      <c r="AG120" s="582"/>
      <c r="AH120" s="582"/>
    </row>
    <row r="121" spans="1:34" ht="33" customHeight="1">
      <c r="A121" s="599"/>
      <c r="B121" s="829"/>
      <c r="C121" s="641" t="s">
        <v>1686</v>
      </c>
      <c r="D121" s="642" t="s">
        <v>1687</v>
      </c>
      <c r="E121" s="643">
        <v>100</v>
      </c>
      <c r="F121" s="643"/>
      <c r="G121" s="643">
        <v>100</v>
      </c>
      <c r="H121" s="643">
        <v>100</v>
      </c>
      <c r="I121" s="643">
        <v>100</v>
      </c>
      <c r="J121" s="643">
        <v>100</v>
      </c>
      <c r="K121" s="643">
        <v>100</v>
      </c>
      <c r="L121" s="643">
        <v>100</v>
      </c>
      <c r="M121" s="643">
        <v>100</v>
      </c>
      <c r="N121" s="643">
        <v>100</v>
      </c>
      <c r="O121" s="643">
        <v>100</v>
      </c>
      <c r="P121" s="643">
        <v>90</v>
      </c>
      <c r="Q121" s="643">
        <v>100</v>
      </c>
      <c r="R121" s="643">
        <v>100</v>
      </c>
      <c r="S121" s="643">
        <v>90</v>
      </c>
      <c r="T121" s="643">
        <v>100</v>
      </c>
      <c r="U121" s="643">
        <v>100</v>
      </c>
      <c r="V121" s="643">
        <v>95</v>
      </c>
      <c r="W121" s="643">
        <v>100</v>
      </c>
      <c r="X121" s="643">
        <v>70</v>
      </c>
      <c r="Y121" s="643">
        <v>100</v>
      </c>
      <c r="Z121" s="643">
        <v>100</v>
      </c>
      <c r="AA121" s="643">
        <v>100</v>
      </c>
      <c r="AB121" s="643">
        <v>100</v>
      </c>
      <c r="AC121" s="582"/>
      <c r="AD121" s="582"/>
      <c r="AE121" s="582"/>
      <c r="AF121" s="582"/>
      <c r="AG121" s="582"/>
      <c r="AH121" s="582"/>
    </row>
    <row r="122" spans="1:34" ht="27" customHeight="1">
      <c r="A122" s="599"/>
      <c r="B122" s="829"/>
      <c r="C122" s="641" t="s">
        <v>1688</v>
      </c>
      <c r="D122" s="642" t="s">
        <v>1417</v>
      </c>
      <c r="E122" s="643">
        <v>80</v>
      </c>
      <c r="F122" s="643"/>
      <c r="G122" s="643">
        <v>80</v>
      </c>
      <c r="H122" s="643">
        <v>90</v>
      </c>
      <c r="I122" s="643">
        <v>100</v>
      </c>
      <c r="J122" s="643">
        <v>100</v>
      </c>
      <c r="K122" s="643">
        <v>90</v>
      </c>
      <c r="L122" s="643">
        <v>100</v>
      </c>
      <c r="M122" s="643">
        <v>90</v>
      </c>
      <c r="N122" s="643">
        <v>90</v>
      </c>
      <c r="O122" s="643">
        <v>100</v>
      </c>
      <c r="P122" s="643">
        <v>100</v>
      </c>
      <c r="Q122" s="643">
        <v>100</v>
      </c>
      <c r="R122" s="643">
        <v>90</v>
      </c>
      <c r="S122" s="643">
        <v>90</v>
      </c>
      <c r="T122" s="643">
        <v>90</v>
      </c>
      <c r="U122" s="643">
        <v>90</v>
      </c>
      <c r="V122" s="643">
        <v>80</v>
      </c>
      <c r="W122" s="643">
        <v>100</v>
      </c>
      <c r="X122" s="643">
        <v>80</v>
      </c>
      <c r="Y122" s="643">
        <v>100</v>
      </c>
      <c r="Z122" s="643">
        <v>100</v>
      </c>
      <c r="AA122" s="643">
        <v>90</v>
      </c>
      <c r="AB122" s="643">
        <v>80</v>
      </c>
      <c r="AC122" s="582"/>
      <c r="AD122" s="582"/>
      <c r="AE122" s="582"/>
      <c r="AF122" s="582"/>
      <c r="AG122" s="582"/>
      <c r="AH122" s="582"/>
    </row>
    <row r="123" spans="1:34" ht="27" hidden="1" customHeight="1">
      <c r="A123" s="599"/>
      <c r="B123" s="829"/>
      <c r="C123" s="588"/>
      <c r="D123" s="581"/>
      <c r="E123" s="582"/>
      <c r="F123" s="582"/>
      <c r="G123" s="582"/>
      <c r="H123" s="582"/>
      <c r="I123" s="582"/>
      <c r="J123" s="582"/>
      <c r="K123" s="582"/>
      <c r="L123" s="582"/>
      <c r="M123" s="582"/>
      <c r="N123" s="582"/>
      <c r="O123" s="582"/>
      <c r="P123" s="582"/>
      <c r="Q123" s="582"/>
      <c r="R123" s="582"/>
      <c r="S123" s="582"/>
      <c r="T123" s="582"/>
      <c r="U123" s="582"/>
      <c r="V123" s="582"/>
      <c r="W123" s="582"/>
      <c r="X123" s="582"/>
      <c r="Y123" s="582"/>
      <c r="Z123" s="582"/>
      <c r="AA123" s="582"/>
      <c r="AB123" s="582"/>
      <c r="AC123" s="582"/>
      <c r="AD123" s="582"/>
      <c r="AE123" s="582"/>
      <c r="AF123" s="582"/>
      <c r="AG123" s="582"/>
      <c r="AH123" s="582"/>
    </row>
    <row r="124" spans="1:34" ht="27" hidden="1" customHeight="1">
      <c r="A124" s="599"/>
      <c r="B124" s="829"/>
      <c r="C124" s="588"/>
      <c r="D124" s="581"/>
      <c r="E124" s="582"/>
      <c r="F124" s="582"/>
      <c r="G124" s="582"/>
      <c r="H124" s="582"/>
      <c r="I124" s="582"/>
      <c r="J124" s="582"/>
      <c r="K124" s="582"/>
      <c r="L124" s="582"/>
      <c r="M124" s="582"/>
      <c r="N124" s="582"/>
      <c r="O124" s="582"/>
      <c r="P124" s="582"/>
      <c r="Q124" s="582"/>
      <c r="R124" s="582"/>
      <c r="S124" s="582"/>
      <c r="T124" s="582"/>
      <c r="U124" s="582"/>
      <c r="V124" s="582"/>
      <c r="W124" s="582"/>
      <c r="X124" s="582"/>
      <c r="Y124" s="582"/>
      <c r="Z124" s="582"/>
      <c r="AA124" s="582"/>
      <c r="AB124" s="582"/>
      <c r="AC124" s="582"/>
      <c r="AD124" s="582"/>
      <c r="AE124" s="582"/>
      <c r="AF124" s="582"/>
      <c r="AG124" s="582"/>
      <c r="AH124" s="582"/>
    </row>
    <row r="125" spans="1:34" ht="27" hidden="1" customHeight="1">
      <c r="A125" s="599"/>
      <c r="B125" s="829"/>
      <c r="C125" s="588"/>
      <c r="D125" s="581"/>
      <c r="E125" s="582"/>
      <c r="F125" s="582"/>
      <c r="G125" s="582"/>
      <c r="H125" s="582"/>
      <c r="I125" s="582"/>
      <c r="J125" s="582"/>
      <c r="K125" s="582"/>
      <c r="L125" s="582"/>
      <c r="M125" s="582"/>
      <c r="N125" s="582"/>
      <c r="O125" s="582"/>
      <c r="P125" s="582"/>
      <c r="Q125" s="582"/>
      <c r="R125" s="582"/>
      <c r="S125" s="582"/>
      <c r="T125" s="582"/>
      <c r="U125" s="582"/>
      <c r="V125" s="582"/>
      <c r="W125" s="582"/>
      <c r="X125" s="582"/>
      <c r="Y125" s="582"/>
      <c r="Z125" s="582"/>
      <c r="AA125" s="582"/>
      <c r="AB125" s="582"/>
      <c r="AC125" s="582"/>
      <c r="AD125" s="582"/>
      <c r="AE125" s="582"/>
      <c r="AF125" s="582"/>
      <c r="AG125" s="582"/>
      <c r="AH125" s="582"/>
    </row>
    <row r="126" spans="1:34" ht="27" hidden="1" customHeight="1">
      <c r="A126" s="599"/>
      <c r="B126" s="829"/>
      <c r="C126" s="588"/>
      <c r="D126" s="581"/>
      <c r="E126" s="582"/>
      <c r="F126" s="582"/>
      <c r="G126" s="582"/>
      <c r="H126" s="582"/>
      <c r="I126" s="582"/>
      <c r="J126" s="582"/>
      <c r="K126" s="582"/>
      <c r="L126" s="582"/>
      <c r="M126" s="582"/>
      <c r="N126" s="582"/>
      <c r="O126" s="582"/>
      <c r="P126" s="582"/>
      <c r="Q126" s="582"/>
      <c r="R126" s="582"/>
      <c r="S126" s="582"/>
      <c r="T126" s="582"/>
      <c r="U126" s="582"/>
      <c r="V126" s="582"/>
      <c r="W126" s="582"/>
      <c r="X126" s="582"/>
      <c r="Y126" s="582"/>
      <c r="Z126" s="582"/>
      <c r="AA126" s="582"/>
      <c r="AB126" s="582"/>
      <c r="AC126" s="582"/>
      <c r="AD126" s="582"/>
      <c r="AE126" s="582"/>
      <c r="AF126" s="582"/>
      <c r="AG126" s="582"/>
      <c r="AH126" s="582"/>
    </row>
    <row r="127" spans="1:34" ht="27" hidden="1" customHeight="1">
      <c r="A127" s="599"/>
      <c r="B127" s="829"/>
      <c r="C127" s="588"/>
      <c r="D127" s="581"/>
      <c r="E127" s="582"/>
      <c r="F127" s="582"/>
      <c r="G127" s="582"/>
      <c r="H127" s="582"/>
      <c r="I127" s="582"/>
      <c r="J127" s="582"/>
      <c r="K127" s="582"/>
      <c r="L127" s="582"/>
      <c r="M127" s="582"/>
      <c r="N127" s="582"/>
      <c r="O127" s="582"/>
      <c r="P127" s="582"/>
      <c r="Q127" s="582"/>
      <c r="R127" s="582"/>
      <c r="S127" s="582"/>
      <c r="T127" s="582"/>
      <c r="U127" s="582"/>
      <c r="V127" s="582"/>
      <c r="W127" s="582"/>
      <c r="X127" s="582"/>
      <c r="Y127" s="582"/>
      <c r="Z127" s="582"/>
      <c r="AA127" s="582"/>
      <c r="AB127" s="582"/>
      <c r="AC127" s="582"/>
      <c r="AD127" s="582"/>
      <c r="AE127" s="582"/>
      <c r="AF127" s="582"/>
      <c r="AG127" s="582"/>
      <c r="AH127" s="582"/>
    </row>
    <row r="128" spans="1:34" ht="27" hidden="1" customHeight="1">
      <c r="A128" s="599"/>
      <c r="B128" s="829"/>
      <c r="C128" s="588"/>
      <c r="D128" s="581"/>
      <c r="E128" s="582"/>
      <c r="F128" s="582"/>
      <c r="G128" s="582"/>
      <c r="H128" s="582"/>
      <c r="I128" s="582"/>
      <c r="J128" s="582"/>
      <c r="K128" s="582"/>
      <c r="L128" s="582"/>
      <c r="M128" s="582"/>
      <c r="N128" s="582"/>
      <c r="O128" s="582"/>
      <c r="P128" s="582"/>
      <c r="Q128" s="582"/>
      <c r="R128" s="582"/>
      <c r="S128" s="582"/>
      <c r="T128" s="582"/>
      <c r="U128" s="582"/>
      <c r="V128" s="582"/>
      <c r="W128" s="582"/>
      <c r="X128" s="582"/>
      <c r="Y128" s="582"/>
      <c r="Z128" s="582"/>
      <c r="AA128" s="582"/>
      <c r="AB128" s="582"/>
      <c r="AC128" s="582"/>
      <c r="AD128" s="582"/>
      <c r="AE128" s="582"/>
      <c r="AF128" s="582"/>
      <c r="AG128" s="582"/>
      <c r="AH128" s="582"/>
    </row>
    <row r="129" spans="1:34" ht="27" hidden="1" customHeight="1">
      <c r="A129" s="599"/>
      <c r="B129" s="829"/>
      <c r="C129" s="588"/>
      <c r="D129" s="581"/>
      <c r="E129" s="582"/>
      <c r="F129" s="582"/>
      <c r="G129" s="582"/>
      <c r="H129" s="582"/>
      <c r="I129" s="582"/>
      <c r="J129" s="582"/>
      <c r="K129" s="582"/>
      <c r="L129" s="582"/>
      <c r="M129" s="582"/>
      <c r="N129" s="582"/>
      <c r="O129" s="582"/>
      <c r="P129" s="582"/>
      <c r="Q129" s="582"/>
      <c r="R129" s="582"/>
      <c r="S129" s="582"/>
      <c r="T129" s="582"/>
      <c r="U129" s="582"/>
      <c r="V129" s="582"/>
      <c r="W129" s="582"/>
      <c r="X129" s="582"/>
      <c r="Y129" s="582"/>
      <c r="Z129" s="582"/>
      <c r="AA129" s="582"/>
      <c r="AB129" s="582"/>
      <c r="AC129" s="582"/>
      <c r="AD129" s="582"/>
      <c r="AE129" s="582"/>
      <c r="AF129" s="582"/>
      <c r="AG129" s="582"/>
      <c r="AH129" s="582"/>
    </row>
    <row r="130" spans="1:34" ht="27" hidden="1" customHeight="1">
      <c r="A130" s="599"/>
      <c r="B130" s="829"/>
      <c r="C130" s="580" t="s">
        <v>163</v>
      </c>
      <c r="D130" s="581"/>
      <c r="E130" s="582"/>
      <c r="F130" s="582"/>
      <c r="G130" s="582"/>
      <c r="H130" s="582"/>
      <c r="I130" s="582"/>
      <c r="J130" s="582"/>
      <c r="K130" s="582"/>
      <c r="L130" s="582"/>
      <c r="M130" s="582"/>
      <c r="N130" s="582"/>
      <c r="O130" s="582"/>
      <c r="P130" s="582"/>
      <c r="Q130" s="582"/>
      <c r="R130" s="582"/>
      <c r="S130" s="582"/>
      <c r="T130" s="582"/>
      <c r="U130" s="582"/>
      <c r="V130" s="582"/>
      <c r="W130" s="582"/>
      <c r="X130" s="582"/>
      <c r="Y130" s="582"/>
      <c r="Z130" s="582"/>
      <c r="AA130" s="582"/>
      <c r="AB130" s="582"/>
      <c r="AC130" s="582"/>
      <c r="AD130" s="582"/>
      <c r="AE130" s="582"/>
      <c r="AF130" s="582"/>
      <c r="AG130" s="582"/>
      <c r="AH130" s="582"/>
    </row>
    <row r="131" spans="1:34" ht="27" hidden="1" customHeight="1">
      <c r="A131" s="599"/>
      <c r="B131" s="830"/>
      <c r="C131" s="580" t="s">
        <v>164</v>
      </c>
      <c r="D131" s="581"/>
      <c r="E131" s="582"/>
      <c r="F131" s="582"/>
      <c r="G131" s="582"/>
      <c r="H131" s="582"/>
      <c r="I131" s="582"/>
      <c r="J131" s="582"/>
      <c r="K131" s="582"/>
      <c r="L131" s="582"/>
      <c r="M131" s="582"/>
      <c r="N131" s="582"/>
      <c r="O131" s="582"/>
      <c r="P131" s="582"/>
      <c r="Q131" s="582"/>
      <c r="R131" s="582"/>
      <c r="S131" s="582"/>
      <c r="T131" s="582"/>
      <c r="U131" s="582"/>
      <c r="V131" s="582"/>
      <c r="W131" s="582"/>
      <c r="X131" s="582"/>
      <c r="Y131" s="582"/>
      <c r="Z131" s="582"/>
      <c r="AA131" s="582"/>
      <c r="AB131" s="582"/>
      <c r="AC131" s="582"/>
      <c r="AD131" s="582"/>
      <c r="AE131" s="582"/>
      <c r="AF131" s="582"/>
      <c r="AG131" s="582"/>
      <c r="AH131" s="582"/>
    </row>
    <row r="132" spans="1:34" ht="27" hidden="1" customHeight="1">
      <c r="A132" s="599"/>
      <c r="B132" s="831" t="s">
        <v>239</v>
      </c>
      <c r="C132" s="832"/>
      <c r="D132" s="832"/>
      <c r="E132" s="832"/>
      <c r="F132" s="832"/>
      <c r="G132" s="832"/>
      <c r="H132" s="832"/>
      <c r="I132" s="832"/>
      <c r="J132" s="832"/>
      <c r="K132" s="832"/>
      <c r="L132" s="832"/>
      <c r="M132" s="832"/>
      <c r="N132" s="832"/>
      <c r="O132" s="832"/>
      <c r="P132" s="832"/>
      <c r="Q132" s="832"/>
      <c r="R132" s="832"/>
      <c r="S132" s="832"/>
      <c r="T132" s="832"/>
      <c r="U132" s="832"/>
      <c r="V132" s="832"/>
      <c r="W132" s="832"/>
      <c r="X132" s="832"/>
      <c r="Y132" s="832"/>
      <c r="Z132" s="832"/>
      <c r="AA132" s="832"/>
      <c r="AB132" s="832"/>
      <c r="AC132" s="832"/>
      <c r="AD132" s="832"/>
      <c r="AE132" s="832"/>
      <c r="AF132" s="832"/>
      <c r="AG132" s="832"/>
      <c r="AH132" s="833"/>
    </row>
    <row r="133" spans="1:34" ht="37.5" customHeight="1" thickBot="1">
      <c r="A133" s="599"/>
      <c r="B133" s="828">
        <v>4</v>
      </c>
      <c r="C133" s="839" t="s">
        <v>1744</v>
      </c>
      <c r="D133" s="840"/>
      <c r="E133" s="579">
        <f>IF(SUM(E134:E160)&gt;0,AVERAGE(E134:E160),IF(SUM(E134:E160)=0,"",))</f>
        <v>94.666666666666671</v>
      </c>
      <c r="F133" s="579">
        <f t="shared" ref="F133:AH133" si="3">IF(SUM(F134:F160)&gt;0,AVERAGE(F134:F160),IF(SUM(F134:F160)=0,"",))</f>
        <v>83.333333333333329</v>
      </c>
      <c r="G133" s="579">
        <f t="shared" si="3"/>
        <v>88.666666666666671</v>
      </c>
      <c r="H133" s="579">
        <f t="shared" si="3"/>
        <v>92.333333333333329</v>
      </c>
      <c r="I133" s="579">
        <f t="shared" si="3"/>
        <v>95</v>
      </c>
      <c r="J133" s="579">
        <f t="shared" si="3"/>
        <v>99.333333333333329</v>
      </c>
      <c r="K133" s="579">
        <f t="shared" si="3"/>
        <v>98.666666666666671</v>
      </c>
      <c r="L133" s="579">
        <f t="shared" si="3"/>
        <v>97.666666666666671</v>
      </c>
      <c r="M133" s="579">
        <f t="shared" si="3"/>
        <v>94.333333333333329</v>
      </c>
      <c r="N133" s="579">
        <f t="shared" si="3"/>
        <v>96.666666666666671</v>
      </c>
      <c r="O133" s="579">
        <f t="shared" si="3"/>
        <v>98.333333333333329</v>
      </c>
      <c r="P133" s="579">
        <f t="shared" si="3"/>
        <v>97</v>
      </c>
      <c r="Q133" s="579">
        <f t="shared" si="3"/>
        <v>95.333333333333329</v>
      </c>
      <c r="R133" s="579">
        <f t="shared" si="3"/>
        <v>93.666666666666671</v>
      </c>
      <c r="S133" s="579">
        <f t="shared" si="3"/>
        <v>88.333333333333329</v>
      </c>
      <c r="T133" s="579">
        <f t="shared" si="3"/>
        <v>97.666666666666671</v>
      </c>
      <c r="U133" s="579">
        <f t="shared" si="3"/>
        <v>98</v>
      </c>
      <c r="V133" s="579">
        <f t="shared" si="3"/>
        <v>94.666666666666671</v>
      </c>
      <c r="W133" s="579">
        <f t="shared" si="3"/>
        <v>90.666666666666671</v>
      </c>
      <c r="X133" s="579">
        <f t="shared" si="3"/>
        <v>93.333333333333329</v>
      </c>
      <c r="Y133" s="579">
        <f t="shared" si="3"/>
        <v>97</v>
      </c>
      <c r="Z133" s="579">
        <f t="shared" si="3"/>
        <v>93.333333333333329</v>
      </c>
      <c r="AA133" s="579">
        <f t="shared" si="3"/>
        <v>96.666666666666671</v>
      </c>
      <c r="AB133" s="579">
        <f t="shared" si="3"/>
        <v>94.666666666666671</v>
      </c>
      <c r="AC133" s="579" t="str">
        <f t="shared" si="3"/>
        <v/>
      </c>
      <c r="AD133" s="579" t="str">
        <f t="shared" si="3"/>
        <v/>
      </c>
      <c r="AE133" s="579" t="str">
        <f t="shared" si="3"/>
        <v/>
      </c>
      <c r="AF133" s="579" t="str">
        <f t="shared" si="3"/>
        <v/>
      </c>
      <c r="AG133" s="579" t="str">
        <f t="shared" si="3"/>
        <v/>
      </c>
      <c r="AH133" s="579" t="str">
        <f t="shared" si="3"/>
        <v/>
      </c>
    </row>
    <row r="134" spans="1:34" ht="27" customHeight="1" thickTop="1">
      <c r="A134" s="599"/>
      <c r="B134" s="829"/>
      <c r="C134" s="658" t="s">
        <v>1689</v>
      </c>
      <c r="D134" s="659" t="s">
        <v>1527</v>
      </c>
      <c r="E134" s="660">
        <v>100</v>
      </c>
      <c r="F134" s="660">
        <v>95</v>
      </c>
      <c r="G134" s="660">
        <v>100</v>
      </c>
      <c r="H134" s="660">
        <v>90</v>
      </c>
      <c r="I134" s="660">
        <v>100</v>
      </c>
      <c r="J134" s="660">
        <v>100</v>
      </c>
      <c r="K134" s="660">
        <v>100</v>
      </c>
      <c r="L134" s="660">
        <v>100</v>
      </c>
      <c r="M134" s="660">
        <v>100</v>
      </c>
      <c r="N134" s="660">
        <v>100</v>
      </c>
      <c r="O134" s="660">
        <v>100</v>
      </c>
      <c r="P134" s="660">
        <v>100</v>
      </c>
      <c r="Q134" s="660">
        <v>100</v>
      </c>
      <c r="R134" s="660">
        <v>100</v>
      </c>
      <c r="S134" s="660">
        <v>100</v>
      </c>
      <c r="T134" s="660">
        <v>100</v>
      </c>
      <c r="U134" s="660">
        <v>100</v>
      </c>
      <c r="V134" s="660">
        <v>100</v>
      </c>
      <c r="W134" s="660">
        <v>100</v>
      </c>
      <c r="X134" s="660">
        <v>100</v>
      </c>
      <c r="Y134" s="660">
        <v>100</v>
      </c>
      <c r="Z134" s="660">
        <v>100</v>
      </c>
      <c r="AA134" s="660">
        <v>100</v>
      </c>
      <c r="AB134" s="660">
        <v>100</v>
      </c>
      <c r="AC134" s="582"/>
      <c r="AD134" s="582"/>
      <c r="AE134" s="582"/>
      <c r="AF134" s="582"/>
      <c r="AG134" s="582"/>
      <c r="AH134" s="582"/>
    </row>
    <row r="135" spans="1:34" ht="27" customHeight="1">
      <c r="A135" s="599"/>
      <c r="B135" s="829"/>
      <c r="C135" s="661" t="s">
        <v>1690</v>
      </c>
      <c r="D135" s="662" t="s">
        <v>1691</v>
      </c>
      <c r="E135" s="660">
        <v>100</v>
      </c>
      <c r="F135" s="660">
        <v>100</v>
      </c>
      <c r="G135" s="660">
        <v>100</v>
      </c>
      <c r="H135" s="660">
        <v>100</v>
      </c>
      <c r="I135" s="660">
        <v>100</v>
      </c>
      <c r="J135" s="660">
        <v>100</v>
      </c>
      <c r="K135" s="660">
        <v>100</v>
      </c>
      <c r="L135" s="660">
        <v>100</v>
      </c>
      <c r="M135" s="660">
        <v>100</v>
      </c>
      <c r="N135" s="660">
        <v>100</v>
      </c>
      <c r="O135" s="660">
        <v>100</v>
      </c>
      <c r="P135" s="660">
        <v>100</v>
      </c>
      <c r="Q135" s="660">
        <v>100</v>
      </c>
      <c r="R135" s="660">
        <v>100</v>
      </c>
      <c r="S135" s="660">
        <v>100</v>
      </c>
      <c r="T135" s="660">
        <v>100</v>
      </c>
      <c r="U135" s="660">
        <v>100</v>
      </c>
      <c r="V135" s="660">
        <v>100</v>
      </c>
      <c r="W135" s="660">
        <v>100</v>
      </c>
      <c r="X135" s="660">
        <v>100</v>
      </c>
      <c r="Y135" s="660">
        <v>100</v>
      </c>
      <c r="Z135" s="660">
        <v>100</v>
      </c>
      <c r="AA135" s="660">
        <v>100</v>
      </c>
      <c r="AB135" s="660">
        <v>100</v>
      </c>
      <c r="AC135" s="582"/>
      <c r="AD135" s="582"/>
      <c r="AE135" s="582"/>
      <c r="AF135" s="582"/>
      <c r="AG135" s="582"/>
      <c r="AH135" s="582"/>
    </row>
    <row r="136" spans="1:34" ht="27" customHeight="1">
      <c r="A136" s="599"/>
      <c r="B136" s="829"/>
      <c r="C136" s="661" t="s">
        <v>1692</v>
      </c>
      <c r="D136" s="662" t="s">
        <v>1394</v>
      </c>
      <c r="E136" s="660">
        <v>100</v>
      </c>
      <c r="F136" s="660">
        <v>80</v>
      </c>
      <c r="G136" s="660">
        <v>90</v>
      </c>
      <c r="H136" s="660">
        <v>100</v>
      </c>
      <c r="I136" s="660">
        <v>100</v>
      </c>
      <c r="J136" s="660">
        <v>100</v>
      </c>
      <c r="K136" s="660">
        <v>100</v>
      </c>
      <c r="L136" s="660">
        <v>100</v>
      </c>
      <c r="M136" s="660">
        <v>90</v>
      </c>
      <c r="N136" s="660">
        <v>100</v>
      </c>
      <c r="O136" s="660">
        <v>100</v>
      </c>
      <c r="P136" s="660">
        <v>100</v>
      </c>
      <c r="Q136" s="660">
        <v>90</v>
      </c>
      <c r="R136" s="660">
        <v>90</v>
      </c>
      <c r="S136" s="660">
        <v>80</v>
      </c>
      <c r="T136" s="660">
        <v>90</v>
      </c>
      <c r="U136" s="660">
        <v>100</v>
      </c>
      <c r="V136" s="660">
        <v>100</v>
      </c>
      <c r="W136" s="660">
        <v>90</v>
      </c>
      <c r="X136" s="660">
        <v>90</v>
      </c>
      <c r="Y136" s="660">
        <v>95</v>
      </c>
      <c r="Z136" s="660">
        <v>90</v>
      </c>
      <c r="AA136" s="660">
        <v>100</v>
      </c>
      <c r="AB136" s="660">
        <v>95</v>
      </c>
      <c r="AC136" s="582"/>
      <c r="AD136" s="582"/>
      <c r="AE136" s="582"/>
      <c r="AF136" s="582"/>
      <c r="AG136" s="582"/>
      <c r="AH136" s="582"/>
    </row>
    <row r="137" spans="1:34" ht="27" customHeight="1">
      <c r="A137" s="599"/>
      <c r="B137" s="829"/>
      <c r="C137" s="661" t="s">
        <v>1693</v>
      </c>
      <c r="D137" s="662" t="s">
        <v>1694</v>
      </c>
      <c r="E137" s="660">
        <v>95</v>
      </c>
      <c r="F137" s="660">
        <v>85</v>
      </c>
      <c r="G137" s="660">
        <v>75</v>
      </c>
      <c r="H137" s="660">
        <v>100</v>
      </c>
      <c r="I137" s="660">
        <v>100</v>
      </c>
      <c r="J137" s="660">
        <v>100</v>
      </c>
      <c r="K137" s="660">
        <v>100</v>
      </c>
      <c r="L137" s="660">
        <v>100</v>
      </c>
      <c r="M137" s="660">
        <v>85</v>
      </c>
      <c r="N137" s="660">
        <v>100</v>
      </c>
      <c r="O137" s="660">
        <v>100</v>
      </c>
      <c r="P137" s="660">
        <v>100</v>
      </c>
      <c r="Q137" s="660">
        <v>100</v>
      </c>
      <c r="R137" s="660">
        <v>85</v>
      </c>
      <c r="S137" s="660">
        <v>80</v>
      </c>
      <c r="T137" s="660">
        <v>100</v>
      </c>
      <c r="U137" s="660">
        <v>100</v>
      </c>
      <c r="V137" s="660">
        <v>100</v>
      </c>
      <c r="W137" s="660">
        <v>90</v>
      </c>
      <c r="X137" s="660">
        <v>100</v>
      </c>
      <c r="Y137" s="660">
        <v>100</v>
      </c>
      <c r="Z137" s="660">
        <v>100</v>
      </c>
      <c r="AA137" s="660">
        <v>100</v>
      </c>
      <c r="AB137" s="660">
        <v>100</v>
      </c>
      <c r="AC137" s="582"/>
      <c r="AD137" s="582"/>
      <c r="AE137" s="582"/>
      <c r="AF137" s="582"/>
      <c r="AG137" s="582"/>
      <c r="AH137" s="582"/>
    </row>
    <row r="138" spans="1:34" ht="27" customHeight="1">
      <c r="A138" s="599"/>
      <c r="B138" s="829"/>
      <c r="C138" s="661" t="s">
        <v>1695</v>
      </c>
      <c r="D138" s="662" t="s">
        <v>1396</v>
      </c>
      <c r="E138" s="660">
        <v>85</v>
      </c>
      <c r="F138" s="660">
        <v>80</v>
      </c>
      <c r="G138" s="660">
        <v>70</v>
      </c>
      <c r="H138" s="660">
        <v>100</v>
      </c>
      <c r="I138" s="660">
        <v>100</v>
      </c>
      <c r="J138" s="660">
        <v>95</v>
      </c>
      <c r="K138" s="660">
        <v>95</v>
      </c>
      <c r="L138" s="660">
        <v>100</v>
      </c>
      <c r="M138" s="660">
        <v>95</v>
      </c>
      <c r="N138" s="660">
        <v>100</v>
      </c>
      <c r="O138" s="660">
        <v>100</v>
      </c>
      <c r="P138" s="660">
        <v>100</v>
      </c>
      <c r="Q138" s="660">
        <v>95</v>
      </c>
      <c r="R138" s="660">
        <v>85</v>
      </c>
      <c r="S138" s="660">
        <v>65</v>
      </c>
      <c r="T138" s="660">
        <v>95</v>
      </c>
      <c r="U138" s="660">
        <v>100</v>
      </c>
      <c r="V138" s="660">
        <v>95</v>
      </c>
      <c r="W138" s="660">
        <v>85</v>
      </c>
      <c r="X138" s="660">
        <v>95</v>
      </c>
      <c r="Y138" s="660">
        <v>100</v>
      </c>
      <c r="Z138" s="660">
        <v>85</v>
      </c>
      <c r="AA138" s="660">
        <v>100</v>
      </c>
      <c r="AB138" s="660">
        <v>90</v>
      </c>
      <c r="AC138" s="582"/>
      <c r="AD138" s="582"/>
      <c r="AE138" s="582"/>
      <c r="AF138" s="582"/>
      <c r="AG138" s="582"/>
      <c r="AH138" s="582"/>
    </row>
    <row r="139" spans="1:34" ht="27" customHeight="1">
      <c r="A139" s="599"/>
      <c r="B139" s="829"/>
      <c r="C139" s="663" t="s">
        <v>1696</v>
      </c>
      <c r="D139" s="662" t="s">
        <v>1398</v>
      </c>
      <c r="E139" s="660">
        <v>95</v>
      </c>
      <c r="F139" s="660">
        <v>90</v>
      </c>
      <c r="G139" s="660">
        <v>90</v>
      </c>
      <c r="H139" s="660">
        <v>90</v>
      </c>
      <c r="I139" s="660">
        <v>95</v>
      </c>
      <c r="J139" s="660">
        <v>100</v>
      </c>
      <c r="K139" s="660">
        <v>95</v>
      </c>
      <c r="L139" s="660">
        <v>100</v>
      </c>
      <c r="M139" s="660">
        <v>100</v>
      </c>
      <c r="N139" s="660">
        <v>90</v>
      </c>
      <c r="O139" s="660">
        <v>95</v>
      </c>
      <c r="P139" s="660">
        <v>80</v>
      </c>
      <c r="Q139" s="660">
        <v>95</v>
      </c>
      <c r="R139" s="660">
        <v>100</v>
      </c>
      <c r="S139" s="660">
        <v>90</v>
      </c>
      <c r="T139" s="660">
        <v>90</v>
      </c>
      <c r="U139" s="660">
        <v>95</v>
      </c>
      <c r="V139" s="660">
        <v>100</v>
      </c>
      <c r="W139" s="660">
        <v>60</v>
      </c>
      <c r="X139" s="660">
        <v>80</v>
      </c>
      <c r="Y139" s="660">
        <v>100</v>
      </c>
      <c r="Z139" s="660">
        <v>80</v>
      </c>
      <c r="AA139" s="660">
        <v>90</v>
      </c>
      <c r="AB139" s="660">
        <v>85</v>
      </c>
      <c r="AC139" s="582"/>
      <c r="AD139" s="582"/>
      <c r="AE139" s="582"/>
      <c r="AF139" s="582"/>
      <c r="AG139" s="582"/>
      <c r="AH139" s="582"/>
    </row>
    <row r="140" spans="1:34" ht="27" customHeight="1">
      <c r="A140" s="599"/>
      <c r="B140" s="829"/>
      <c r="C140" s="664" t="s">
        <v>1697</v>
      </c>
      <c r="D140" s="665" t="s">
        <v>1400</v>
      </c>
      <c r="E140" s="666">
        <v>90</v>
      </c>
      <c r="F140" s="666">
        <v>75</v>
      </c>
      <c r="G140" s="666">
        <v>70</v>
      </c>
      <c r="H140" s="666">
        <v>90</v>
      </c>
      <c r="I140" s="666">
        <v>90</v>
      </c>
      <c r="J140" s="666">
        <v>100</v>
      </c>
      <c r="K140" s="666">
        <v>90</v>
      </c>
      <c r="L140" s="666">
        <v>100</v>
      </c>
      <c r="M140" s="666">
        <v>90</v>
      </c>
      <c r="N140" s="666">
        <v>100</v>
      </c>
      <c r="O140" s="666">
        <v>100</v>
      </c>
      <c r="P140" s="666">
        <v>90</v>
      </c>
      <c r="Q140" s="666">
        <v>90</v>
      </c>
      <c r="R140" s="666">
        <v>90</v>
      </c>
      <c r="S140" s="666">
        <v>80</v>
      </c>
      <c r="T140" s="666">
        <v>100</v>
      </c>
      <c r="U140" s="666">
        <v>100</v>
      </c>
      <c r="V140" s="666">
        <v>90</v>
      </c>
      <c r="W140" s="666">
        <v>100</v>
      </c>
      <c r="X140" s="666">
        <v>90</v>
      </c>
      <c r="Y140" s="666">
        <v>90</v>
      </c>
      <c r="Z140" s="666">
        <v>100</v>
      </c>
      <c r="AA140" s="666">
        <v>90</v>
      </c>
      <c r="AB140" s="666">
        <v>100</v>
      </c>
      <c r="AC140" s="582"/>
      <c r="AD140" s="582"/>
      <c r="AE140" s="582"/>
      <c r="AF140" s="582"/>
      <c r="AG140" s="582"/>
      <c r="AH140" s="582"/>
    </row>
    <row r="141" spans="1:34" ht="27" customHeight="1">
      <c r="A141" s="599"/>
      <c r="B141" s="829"/>
      <c r="C141" s="664" t="s">
        <v>1698</v>
      </c>
      <c r="D141" s="665" t="s">
        <v>1699</v>
      </c>
      <c r="E141" s="666">
        <v>100</v>
      </c>
      <c r="F141" s="666">
        <v>80</v>
      </c>
      <c r="G141" s="666">
        <v>100</v>
      </c>
      <c r="H141" s="666">
        <v>80</v>
      </c>
      <c r="I141" s="666">
        <v>90</v>
      </c>
      <c r="J141" s="666">
        <v>100</v>
      </c>
      <c r="K141" s="666">
        <v>100</v>
      </c>
      <c r="L141" s="666">
        <v>80</v>
      </c>
      <c r="M141" s="666">
        <v>90</v>
      </c>
      <c r="N141" s="666">
        <v>90</v>
      </c>
      <c r="O141" s="666">
        <v>100</v>
      </c>
      <c r="P141" s="666">
        <v>90</v>
      </c>
      <c r="Q141" s="666">
        <v>90</v>
      </c>
      <c r="R141" s="666">
        <v>90</v>
      </c>
      <c r="S141" s="666">
        <v>85</v>
      </c>
      <c r="T141" s="666">
        <v>95</v>
      </c>
      <c r="U141" s="666">
        <v>100</v>
      </c>
      <c r="V141" s="666">
        <v>85</v>
      </c>
      <c r="W141" s="666">
        <v>75</v>
      </c>
      <c r="X141" s="666">
        <v>85</v>
      </c>
      <c r="Y141" s="666">
        <v>90</v>
      </c>
      <c r="Z141" s="666">
        <v>85</v>
      </c>
      <c r="AA141" s="666">
        <v>90</v>
      </c>
      <c r="AB141" s="666">
        <v>80</v>
      </c>
      <c r="AC141" s="582"/>
      <c r="AD141" s="582"/>
      <c r="AE141" s="582"/>
      <c r="AF141" s="582"/>
      <c r="AG141" s="582"/>
      <c r="AH141" s="582"/>
    </row>
    <row r="142" spans="1:34" ht="27" customHeight="1">
      <c r="A142" s="599"/>
      <c r="B142" s="829"/>
      <c r="C142" s="664" t="s">
        <v>1700</v>
      </c>
      <c r="D142" s="665" t="s">
        <v>1402</v>
      </c>
      <c r="E142" s="666">
        <v>100</v>
      </c>
      <c r="F142" s="666">
        <v>90</v>
      </c>
      <c r="G142" s="666">
        <v>80</v>
      </c>
      <c r="H142" s="666">
        <v>70</v>
      </c>
      <c r="I142" s="666">
        <v>80</v>
      </c>
      <c r="J142" s="666">
        <v>100</v>
      </c>
      <c r="K142" s="666">
        <v>100</v>
      </c>
      <c r="L142" s="666">
        <v>100</v>
      </c>
      <c r="M142" s="666">
        <v>90</v>
      </c>
      <c r="N142" s="666">
        <v>90</v>
      </c>
      <c r="O142" s="666">
        <v>90</v>
      </c>
      <c r="P142" s="666">
        <v>100</v>
      </c>
      <c r="Q142" s="666">
        <v>90</v>
      </c>
      <c r="R142" s="666">
        <v>100</v>
      </c>
      <c r="S142" s="666">
        <v>85</v>
      </c>
      <c r="T142" s="666">
        <v>95</v>
      </c>
      <c r="U142" s="666">
        <v>90</v>
      </c>
      <c r="V142" s="666">
        <v>90</v>
      </c>
      <c r="W142" s="666">
        <v>90</v>
      </c>
      <c r="X142" s="666">
        <v>100</v>
      </c>
      <c r="Y142" s="666">
        <v>90</v>
      </c>
      <c r="Z142" s="666">
        <v>100</v>
      </c>
      <c r="AA142" s="666">
        <v>100</v>
      </c>
      <c r="AB142" s="666">
        <v>100</v>
      </c>
      <c r="AC142" s="582"/>
      <c r="AD142" s="582"/>
      <c r="AE142" s="582"/>
      <c r="AF142" s="582"/>
      <c r="AG142" s="582"/>
      <c r="AH142" s="582"/>
    </row>
    <row r="143" spans="1:34" ht="27" customHeight="1">
      <c r="A143" s="599"/>
      <c r="B143" s="829"/>
      <c r="C143" s="664" t="s">
        <v>1701</v>
      </c>
      <c r="D143" s="665" t="s">
        <v>1702</v>
      </c>
      <c r="E143" s="666">
        <v>80</v>
      </c>
      <c r="F143" s="666">
        <v>95</v>
      </c>
      <c r="G143" s="666">
        <v>100</v>
      </c>
      <c r="H143" s="666">
        <v>100</v>
      </c>
      <c r="I143" s="666">
        <v>100</v>
      </c>
      <c r="J143" s="666">
        <v>100</v>
      </c>
      <c r="K143" s="666">
        <v>100</v>
      </c>
      <c r="L143" s="666">
        <v>100</v>
      </c>
      <c r="M143" s="666">
        <v>85</v>
      </c>
      <c r="N143" s="666">
        <v>90</v>
      </c>
      <c r="O143" s="666">
        <v>100</v>
      </c>
      <c r="P143" s="666">
        <v>95</v>
      </c>
      <c r="Q143" s="666">
        <v>100</v>
      </c>
      <c r="R143" s="666">
        <v>100</v>
      </c>
      <c r="S143" s="666">
        <v>90</v>
      </c>
      <c r="T143" s="666">
        <v>100</v>
      </c>
      <c r="U143" s="666">
        <v>100</v>
      </c>
      <c r="V143" s="666">
        <v>85</v>
      </c>
      <c r="W143" s="666">
        <v>100</v>
      </c>
      <c r="X143" s="666">
        <v>80</v>
      </c>
      <c r="Y143" s="666">
        <v>90</v>
      </c>
      <c r="Z143" s="666">
        <v>100</v>
      </c>
      <c r="AA143" s="666">
        <v>100</v>
      </c>
      <c r="AB143" s="666">
        <v>90</v>
      </c>
      <c r="AC143" s="582"/>
      <c r="AD143" s="582"/>
      <c r="AE143" s="582"/>
      <c r="AF143" s="582"/>
      <c r="AG143" s="582"/>
      <c r="AH143" s="582"/>
    </row>
    <row r="144" spans="1:34" ht="27" customHeight="1">
      <c r="A144" s="599"/>
      <c r="B144" s="829"/>
      <c r="C144" s="664" t="s">
        <v>1703</v>
      </c>
      <c r="D144" s="665" t="s">
        <v>1404</v>
      </c>
      <c r="E144" s="666">
        <v>100</v>
      </c>
      <c r="F144" s="666">
        <v>40</v>
      </c>
      <c r="G144" s="666">
        <v>90</v>
      </c>
      <c r="H144" s="666">
        <v>90</v>
      </c>
      <c r="I144" s="666">
        <v>90</v>
      </c>
      <c r="J144" s="666">
        <v>100</v>
      </c>
      <c r="K144" s="666">
        <v>100</v>
      </c>
      <c r="L144" s="666">
        <v>100</v>
      </c>
      <c r="M144" s="666">
        <v>100</v>
      </c>
      <c r="N144" s="666">
        <v>100</v>
      </c>
      <c r="O144" s="666">
        <v>90</v>
      </c>
      <c r="P144" s="666">
        <v>100</v>
      </c>
      <c r="Q144" s="666">
        <v>90</v>
      </c>
      <c r="R144" s="666">
        <v>80</v>
      </c>
      <c r="S144" s="666">
        <v>100</v>
      </c>
      <c r="T144" s="666">
        <v>100</v>
      </c>
      <c r="U144" s="666">
        <v>100</v>
      </c>
      <c r="V144" s="666">
        <v>90</v>
      </c>
      <c r="W144" s="666">
        <v>100</v>
      </c>
      <c r="X144" s="666">
        <v>100</v>
      </c>
      <c r="Y144" s="666">
        <v>100</v>
      </c>
      <c r="Z144" s="666">
        <v>90</v>
      </c>
      <c r="AA144" s="666">
        <v>90</v>
      </c>
      <c r="AB144" s="666">
        <v>100</v>
      </c>
      <c r="AC144" s="582"/>
      <c r="AD144" s="582"/>
      <c r="AE144" s="582"/>
      <c r="AF144" s="582"/>
      <c r="AG144" s="582"/>
      <c r="AH144" s="582"/>
    </row>
    <row r="145" spans="1:34" ht="27" customHeight="1">
      <c r="A145" s="599"/>
      <c r="B145" s="829"/>
      <c r="C145" s="664" t="s">
        <v>1704</v>
      </c>
      <c r="D145" s="665" t="s">
        <v>1406</v>
      </c>
      <c r="E145" s="666">
        <v>80</v>
      </c>
      <c r="F145" s="666">
        <v>90</v>
      </c>
      <c r="G145" s="666">
        <v>70</v>
      </c>
      <c r="H145" s="666">
        <v>75</v>
      </c>
      <c r="I145" s="666">
        <v>90</v>
      </c>
      <c r="J145" s="666">
        <v>95</v>
      </c>
      <c r="K145" s="666">
        <v>100</v>
      </c>
      <c r="L145" s="666">
        <v>95</v>
      </c>
      <c r="M145" s="666">
        <v>100</v>
      </c>
      <c r="N145" s="666">
        <v>90</v>
      </c>
      <c r="O145" s="666">
        <v>100</v>
      </c>
      <c r="P145" s="666">
        <v>100</v>
      </c>
      <c r="Q145" s="666">
        <v>100</v>
      </c>
      <c r="R145" s="666">
        <v>100</v>
      </c>
      <c r="S145" s="666">
        <v>100</v>
      </c>
      <c r="T145" s="666">
        <v>100</v>
      </c>
      <c r="U145" s="666">
        <v>95</v>
      </c>
      <c r="V145" s="666">
        <v>100</v>
      </c>
      <c r="W145" s="666">
        <v>100</v>
      </c>
      <c r="X145" s="666">
        <v>100</v>
      </c>
      <c r="Y145" s="666">
        <v>100</v>
      </c>
      <c r="Z145" s="666">
        <v>90</v>
      </c>
      <c r="AA145" s="666">
        <v>90</v>
      </c>
      <c r="AB145" s="666">
        <v>100</v>
      </c>
      <c r="AC145" s="582"/>
      <c r="AD145" s="582"/>
      <c r="AE145" s="582"/>
      <c r="AF145" s="582"/>
      <c r="AG145" s="582"/>
      <c r="AH145" s="582"/>
    </row>
    <row r="146" spans="1:34" ht="27" customHeight="1">
      <c r="A146" s="599"/>
      <c r="B146" s="829"/>
      <c r="C146" s="638" t="s">
        <v>1705</v>
      </c>
      <c r="D146" s="639" t="s">
        <v>1706</v>
      </c>
      <c r="E146" s="640">
        <v>100</v>
      </c>
      <c r="F146" s="640"/>
      <c r="G146" s="640">
        <v>100</v>
      </c>
      <c r="H146" s="640">
        <v>100</v>
      </c>
      <c r="I146" s="640">
        <v>100</v>
      </c>
      <c r="J146" s="640">
        <v>100</v>
      </c>
      <c r="K146" s="640">
        <v>100</v>
      </c>
      <c r="L146" s="640">
        <v>100</v>
      </c>
      <c r="M146" s="640">
        <v>100</v>
      </c>
      <c r="N146" s="640">
        <v>100</v>
      </c>
      <c r="O146" s="640">
        <v>100</v>
      </c>
      <c r="P146" s="640">
        <v>100</v>
      </c>
      <c r="Q146" s="640">
        <v>100</v>
      </c>
      <c r="R146" s="640">
        <v>100</v>
      </c>
      <c r="S146" s="640">
        <v>90</v>
      </c>
      <c r="T146" s="640">
        <v>100</v>
      </c>
      <c r="U146" s="640">
        <v>90</v>
      </c>
      <c r="V146" s="640">
        <v>95</v>
      </c>
      <c r="W146" s="640">
        <v>100</v>
      </c>
      <c r="X146" s="640">
        <v>100</v>
      </c>
      <c r="Y146" s="640">
        <v>100</v>
      </c>
      <c r="Z146" s="640">
        <v>90</v>
      </c>
      <c r="AA146" s="640">
        <v>100</v>
      </c>
      <c r="AB146" s="640">
        <v>100</v>
      </c>
      <c r="AC146" s="669"/>
      <c r="AD146" s="582"/>
      <c r="AE146" s="582"/>
      <c r="AF146" s="582"/>
      <c r="AG146" s="582"/>
      <c r="AH146" s="582"/>
    </row>
    <row r="147" spans="1:34" ht="27" customHeight="1">
      <c r="A147" s="599"/>
      <c r="B147" s="829"/>
      <c r="C147" s="638" t="s">
        <v>1707</v>
      </c>
      <c r="D147" s="639" t="s">
        <v>1419</v>
      </c>
      <c r="E147" s="640">
        <v>95</v>
      </c>
      <c r="F147" s="640"/>
      <c r="G147" s="640">
        <v>100</v>
      </c>
      <c r="H147" s="640">
        <v>100</v>
      </c>
      <c r="I147" s="640">
        <v>90</v>
      </c>
      <c r="J147" s="640">
        <v>100</v>
      </c>
      <c r="K147" s="640">
        <v>100</v>
      </c>
      <c r="L147" s="640">
        <v>100</v>
      </c>
      <c r="M147" s="640">
        <v>100</v>
      </c>
      <c r="N147" s="640">
        <v>100</v>
      </c>
      <c r="O147" s="640">
        <v>100</v>
      </c>
      <c r="P147" s="640">
        <v>100</v>
      </c>
      <c r="Q147" s="640">
        <v>100</v>
      </c>
      <c r="R147" s="640">
        <v>100</v>
      </c>
      <c r="S147" s="640">
        <v>100</v>
      </c>
      <c r="T147" s="640">
        <v>100</v>
      </c>
      <c r="U147" s="640">
        <v>100</v>
      </c>
      <c r="V147" s="640">
        <v>90</v>
      </c>
      <c r="W147" s="640">
        <v>100</v>
      </c>
      <c r="X147" s="640">
        <v>90</v>
      </c>
      <c r="Y147" s="640">
        <v>100</v>
      </c>
      <c r="Z147" s="640">
        <v>90</v>
      </c>
      <c r="AA147" s="640">
        <v>100</v>
      </c>
      <c r="AB147" s="640">
        <v>90</v>
      </c>
      <c r="AC147" s="669"/>
      <c r="AD147" s="582"/>
      <c r="AE147" s="582"/>
      <c r="AF147" s="582"/>
      <c r="AG147" s="582"/>
      <c r="AH147" s="582"/>
    </row>
    <row r="148" spans="1:34" ht="34.5" customHeight="1" thickBot="1">
      <c r="A148" s="599"/>
      <c r="B148" s="829"/>
      <c r="C148" s="667" t="s">
        <v>1708</v>
      </c>
      <c r="D148" s="668" t="s">
        <v>1421</v>
      </c>
      <c r="E148" s="640">
        <v>100</v>
      </c>
      <c r="F148" s="640"/>
      <c r="G148" s="640">
        <v>95</v>
      </c>
      <c r="H148" s="640">
        <v>100</v>
      </c>
      <c r="I148" s="640">
        <v>100</v>
      </c>
      <c r="J148" s="640">
        <v>100</v>
      </c>
      <c r="K148" s="640">
        <v>100</v>
      </c>
      <c r="L148" s="640">
        <v>90</v>
      </c>
      <c r="M148" s="640">
        <v>90</v>
      </c>
      <c r="N148" s="640">
        <v>100</v>
      </c>
      <c r="O148" s="640">
        <v>100</v>
      </c>
      <c r="P148" s="640">
        <v>100</v>
      </c>
      <c r="Q148" s="640">
        <v>90</v>
      </c>
      <c r="R148" s="640">
        <v>85</v>
      </c>
      <c r="S148" s="640">
        <v>80</v>
      </c>
      <c r="T148" s="640">
        <v>100</v>
      </c>
      <c r="U148" s="640">
        <v>100</v>
      </c>
      <c r="V148" s="640">
        <v>100</v>
      </c>
      <c r="W148" s="640">
        <v>70</v>
      </c>
      <c r="X148" s="640">
        <v>90</v>
      </c>
      <c r="Y148" s="640">
        <v>100</v>
      </c>
      <c r="Z148" s="640">
        <v>100</v>
      </c>
      <c r="AA148" s="640">
        <v>100</v>
      </c>
      <c r="AB148" s="640">
        <v>90</v>
      </c>
      <c r="AC148" s="669"/>
      <c r="AD148" s="582"/>
      <c r="AE148" s="582"/>
      <c r="AF148" s="582"/>
      <c r="AG148" s="582"/>
      <c r="AH148" s="582"/>
    </row>
    <row r="149" spans="1:34" ht="33.75" hidden="1" customHeight="1" thickTop="1">
      <c r="A149" s="599"/>
      <c r="B149" s="829"/>
      <c r="C149" s="580"/>
      <c r="D149" s="581"/>
      <c r="E149" s="582"/>
      <c r="F149" s="582"/>
      <c r="G149" s="582"/>
      <c r="H149" s="582"/>
      <c r="I149" s="582"/>
      <c r="J149" s="582"/>
      <c r="K149" s="582"/>
      <c r="L149" s="582"/>
      <c r="M149" s="582"/>
      <c r="N149" s="582"/>
      <c r="O149" s="582"/>
      <c r="P149" s="582"/>
      <c r="Q149" s="582"/>
      <c r="R149" s="582"/>
      <c r="S149" s="582"/>
      <c r="T149" s="582"/>
      <c r="U149" s="582"/>
      <c r="V149" s="582"/>
      <c r="W149" s="582"/>
      <c r="X149" s="582"/>
      <c r="Y149" s="582"/>
      <c r="Z149" s="582"/>
      <c r="AA149" s="582"/>
      <c r="AB149" s="582"/>
      <c r="AC149" s="582"/>
      <c r="AD149" s="582"/>
      <c r="AE149" s="582"/>
      <c r="AF149" s="582"/>
      <c r="AG149" s="582"/>
      <c r="AH149" s="582"/>
    </row>
    <row r="150" spans="1:34" ht="27" hidden="1" customHeight="1">
      <c r="A150" s="599"/>
      <c r="B150" s="829"/>
      <c r="C150" s="580"/>
      <c r="D150" s="581"/>
      <c r="E150" s="582"/>
      <c r="F150" s="582"/>
      <c r="G150" s="582"/>
      <c r="H150" s="582"/>
      <c r="I150" s="582"/>
      <c r="J150" s="582"/>
      <c r="K150" s="582"/>
      <c r="L150" s="582"/>
      <c r="M150" s="582"/>
      <c r="N150" s="582"/>
      <c r="O150" s="582"/>
      <c r="P150" s="582"/>
      <c r="Q150" s="582"/>
      <c r="R150" s="582"/>
      <c r="S150" s="582"/>
      <c r="T150" s="582"/>
      <c r="U150" s="582"/>
      <c r="V150" s="582"/>
      <c r="W150" s="582"/>
      <c r="X150" s="582"/>
      <c r="Y150" s="582"/>
      <c r="Z150" s="582"/>
      <c r="AA150" s="582"/>
      <c r="AB150" s="582"/>
      <c r="AC150" s="582"/>
      <c r="AD150" s="582"/>
      <c r="AE150" s="582"/>
      <c r="AF150" s="582"/>
      <c r="AG150" s="582"/>
      <c r="AH150" s="582"/>
    </row>
    <row r="151" spans="1:34" ht="27" hidden="1" customHeight="1">
      <c r="A151" s="599"/>
      <c r="B151" s="829"/>
      <c r="C151" s="580"/>
      <c r="D151" s="581"/>
      <c r="E151" s="582"/>
      <c r="F151" s="582"/>
      <c r="G151" s="582"/>
      <c r="H151" s="582"/>
      <c r="I151" s="582"/>
      <c r="J151" s="582"/>
      <c r="K151" s="582"/>
      <c r="L151" s="582"/>
      <c r="M151" s="582"/>
      <c r="N151" s="582"/>
      <c r="O151" s="582"/>
      <c r="P151" s="582"/>
      <c r="Q151" s="582"/>
      <c r="R151" s="582"/>
      <c r="S151" s="582"/>
      <c r="T151" s="582"/>
      <c r="U151" s="582"/>
      <c r="V151" s="582"/>
      <c r="W151" s="582"/>
      <c r="X151" s="582"/>
      <c r="Y151" s="582"/>
      <c r="Z151" s="582"/>
      <c r="AA151" s="582"/>
      <c r="AB151" s="582"/>
      <c r="AC151" s="582"/>
      <c r="AD151" s="582"/>
      <c r="AE151" s="582"/>
      <c r="AF151" s="582"/>
      <c r="AG151" s="582"/>
      <c r="AH151" s="582"/>
    </row>
    <row r="152" spans="1:34" ht="27" hidden="1" customHeight="1">
      <c r="A152" s="599"/>
      <c r="B152" s="829"/>
      <c r="C152" s="580"/>
      <c r="D152" s="581"/>
      <c r="E152" s="582"/>
      <c r="F152" s="582"/>
      <c r="G152" s="582"/>
      <c r="H152" s="582"/>
      <c r="I152" s="582"/>
      <c r="J152" s="582"/>
      <c r="K152" s="582"/>
      <c r="L152" s="582"/>
      <c r="M152" s="582"/>
      <c r="N152" s="582"/>
      <c r="O152" s="582"/>
      <c r="P152" s="582"/>
      <c r="Q152" s="582"/>
      <c r="R152" s="582"/>
      <c r="S152" s="582"/>
      <c r="T152" s="582"/>
      <c r="U152" s="582"/>
      <c r="V152" s="582"/>
      <c r="W152" s="582"/>
      <c r="X152" s="582"/>
      <c r="Y152" s="582"/>
      <c r="Z152" s="582"/>
      <c r="AA152" s="582"/>
      <c r="AB152" s="582"/>
      <c r="AC152" s="582"/>
      <c r="AD152" s="582"/>
      <c r="AE152" s="582"/>
      <c r="AF152" s="582"/>
      <c r="AG152" s="582"/>
      <c r="AH152" s="582"/>
    </row>
    <row r="153" spans="1:34" ht="27" hidden="1" customHeight="1">
      <c r="A153" s="599"/>
      <c r="B153" s="829"/>
      <c r="C153" s="580"/>
      <c r="D153" s="581"/>
      <c r="E153" s="582"/>
      <c r="F153" s="582"/>
      <c r="G153" s="582"/>
      <c r="H153" s="582"/>
      <c r="I153" s="582"/>
      <c r="J153" s="582"/>
      <c r="K153" s="582"/>
      <c r="L153" s="582"/>
      <c r="M153" s="582"/>
      <c r="N153" s="582"/>
      <c r="O153" s="582"/>
      <c r="P153" s="582"/>
      <c r="Q153" s="582"/>
      <c r="R153" s="582"/>
      <c r="S153" s="582"/>
      <c r="T153" s="582"/>
      <c r="U153" s="582"/>
      <c r="V153" s="582"/>
      <c r="W153" s="582"/>
      <c r="X153" s="582"/>
      <c r="Y153" s="582"/>
      <c r="Z153" s="582"/>
      <c r="AA153" s="582"/>
      <c r="AB153" s="582"/>
      <c r="AC153" s="582"/>
      <c r="AD153" s="582"/>
      <c r="AE153" s="582"/>
      <c r="AF153" s="582"/>
      <c r="AG153" s="582"/>
      <c r="AH153" s="582"/>
    </row>
    <row r="154" spans="1:34" ht="27" hidden="1" customHeight="1">
      <c r="A154" s="599"/>
      <c r="B154" s="829"/>
      <c r="C154" s="580"/>
      <c r="D154" s="581"/>
      <c r="E154" s="582"/>
      <c r="F154" s="582"/>
      <c r="G154" s="582"/>
      <c r="H154" s="582"/>
      <c r="I154" s="582"/>
      <c r="J154" s="582"/>
      <c r="K154" s="582"/>
      <c r="L154" s="582"/>
      <c r="M154" s="582"/>
      <c r="N154" s="582"/>
      <c r="O154" s="582"/>
      <c r="P154" s="582"/>
      <c r="Q154" s="582"/>
      <c r="R154" s="582"/>
      <c r="S154" s="582"/>
      <c r="T154" s="582"/>
      <c r="U154" s="582"/>
      <c r="V154" s="582"/>
      <c r="W154" s="582"/>
      <c r="X154" s="582"/>
      <c r="Y154" s="582"/>
      <c r="Z154" s="582"/>
      <c r="AA154" s="582"/>
      <c r="AB154" s="582"/>
      <c r="AC154" s="582"/>
      <c r="AD154" s="582"/>
      <c r="AE154" s="582"/>
      <c r="AF154" s="582"/>
      <c r="AG154" s="582"/>
      <c r="AH154" s="582"/>
    </row>
    <row r="155" spans="1:34" ht="27" hidden="1" customHeight="1">
      <c r="A155" s="599"/>
      <c r="B155" s="829"/>
      <c r="C155" s="580"/>
      <c r="D155" s="581"/>
      <c r="E155" s="582"/>
      <c r="F155" s="582"/>
      <c r="G155" s="582"/>
      <c r="H155" s="582"/>
      <c r="I155" s="582"/>
      <c r="J155" s="582"/>
      <c r="K155" s="582"/>
      <c r="L155" s="582"/>
      <c r="M155" s="582"/>
      <c r="N155" s="582"/>
      <c r="O155" s="582"/>
      <c r="P155" s="582"/>
      <c r="Q155" s="582"/>
      <c r="R155" s="582"/>
      <c r="S155" s="582"/>
      <c r="T155" s="582"/>
      <c r="U155" s="582"/>
      <c r="V155" s="582"/>
      <c r="W155" s="582"/>
      <c r="X155" s="582"/>
      <c r="Y155" s="582"/>
      <c r="Z155" s="582"/>
      <c r="AA155" s="582"/>
      <c r="AB155" s="582"/>
      <c r="AC155" s="582"/>
      <c r="AD155" s="582"/>
      <c r="AE155" s="582"/>
      <c r="AF155" s="582"/>
      <c r="AG155" s="582"/>
      <c r="AH155" s="582"/>
    </row>
    <row r="156" spans="1:34" ht="27" hidden="1" customHeight="1">
      <c r="A156" s="599"/>
      <c r="B156" s="829"/>
      <c r="C156" s="580"/>
      <c r="D156" s="581"/>
      <c r="E156" s="582"/>
      <c r="F156" s="582"/>
      <c r="G156" s="582"/>
      <c r="H156" s="582"/>
      <c r="I156" s="582"/>
      <c r="J156" s="582"/>
      <c r="K156" s="582"/>
      <c r="L156" s="582"/>
      <c r="M156" s="582"/>
      <c r="N156" s="582"/>
      <c r="O156" s="582"/>
      <c r="P156" s="582"/>
      <c r="Q156" s="582"/>
      <c r="R156" s="582"/>
      <c r="S156" s="582"/>
      <c r="T156" s="582"/>
      <c r="U156" s="582"/>
      <c r="V156" s="582"/>
      <c r="W156" s="582"/>
      <c r="X156" s="582"/>
      <c r="Y156" s="582"/>
      <c r="Z156" s="582"/>
      <c r="AA156" s="582"/>
      <c r="AB156" s="582"/>
      <c r="AC156" s="582"/>
      <c r="AD156" s="582"/>
      <c r="AE156" s="582"/>
      <c r="AF156" s="582"/>
      <c r="AG156" s="582"/>
      <c r="AH156" s="582"/>
    </row>
    <row r="157" spans="1:34" ht="27" hidden="1" customHeight="1">
      <c r="A157" s="599"/>
      <c r="B157" s="829"/>
      <c r="C157" s="580"/>
      <c r="D157" s="581"/>
      <c r="E157" s="582"/>
      <c r="F157" s="582"/>
      <c r="G157" s="582"/>
      <c r="H157" s="582"/>
      <c r="I157" s="582"/>
      <c r="J157" s="582"/>
      <c r="K157" s="582"/>
      <c r="L157" s="582"/>
      <c r="M157" s="582"/>
      <c r="N157" s="582"/>
      <c r="O157" s="582"/>
      <c r="P157" s="582"/>
      <c r="Q157" s="582"/>
      <c r="R157" s="582"/>
      <c r="S157" s="582"/>
      <c r="T157" s="582"/>
      <c r="U157" s="582"/>
      <c r="V157" s="582"/>
      <c r="W157" s="582"/>
      <c r="X157" s="582"/>
      <c r="Y157" s="582"/>
      <c r="Z157" s="582"/>
      <c r="AA157" s="582"/>
      <c r="AB157" s="582"/>
      <c r="AC157" s="582"/>
      <c r="AD157" s="582"/>
      <c r="AE157" s="582"/>
      <c r="AF157" s="582"/>
      <c r="AG157" s="582"/>
      <c r="AH157" s="582"/>
    </row>
    <row r="158" spans="1:34" ht="27" hidden="1" customHeight="1">
      <c r="A158" s="599"/>
      <c r="B158" s="829"/>
      <c r="C158" s="580"/>
      <c r="D158" s="581"/>
      <c r="E158" s="582"/>
      <c r="F158" s="582"/>
      <c r="G158" s="582"/>
      <c r="H158" s="582"/>
      <c r="I158" s="582"/>
      <c r="J158" s="582"/>
      <c r="K158" s="582"/>
      <c r="L158" s="582"/>
      <c r="M158" s="582"/>
      <c r="N158" s="582"/>
      <c r="O158" s="582"/>
      <c r="P158" s="582"/>
      <c r="Q158" s="582"/>
      <c r="R158" s="582"/>
      <c r="S158" s="582"/>
      <c r="T158" s="582"/>
      <c r="U158" s="582"/>
      <c r="V158" s="582"/>
      <c r="W158" s="582"/>
      <c r="X158" s="582"/>
      <c r="Y158" s="582"/>
      <c r="Z158" s="582"/>
      <c r="AA158" s="582"/>
      <c r="AB158" s="582"/>
      <c r="AC158" s="582"/>
      <c r="AD158" s="582"/>
      <c r="AE158" s="582"/>
      <c r="AF158" s="582"/>
      <c r="AG158" s="582"/>
      <c r="AH158" s="582"/>
    </row>
    <row r="159" spans="1:34" ht="27" hidden="1" customHeight="1">
      <c r="A159" s="599"/>
      <c r="B159" s="829"/>
      <c r="C159" s="580"/>
      <c r="D159" s="581"/>
      <c r="E159" s="582"/>
      <c r="F159" s="582"/>
      <c r="G159" s="582"/>
      <c r="H159" s="582"/>
      <c r="I159" s="582"/>
      <c r="J159" s="582"/>
      <c r="K159" s="582"/>
      <c r="L159" s="582"/>
      <c r="M159" s="582"/>
      <c r="N159" s="582"/>
      <c r="O159" s="582"/>
      <c r="P159" s="582"/>
      <c r="Q159" s="582"/>
      <c r="R159" s="582"/>
      <c r="S159" s="582"/>
      <c r="T159" s="582"/>
      <c r="U159" s="582"/>
      <c r="V159" s="582"/>
      <c r="W159" s="582"/>
      <c r="X159" s="582"/>
      <c r="Y159" s="582"/>
      <c r="Z159" s="582"/>
      <c r="AA159" s="582"/>
      <c r="AB159" s="582"/>
      <c r="AC159" s="582"/>
      <c r="AD159" s="582"/>
      <c r="AE159" s="582"/>
      <c r="AF159" s="582"/>
      <c r="AG159" s="582"/>
      <c r="AH159" s="582"/>
    </row>
    <row r="160" spans="1:34" ht="27" hidden="1" customHeight="1">
      <c r="A160" s="599"/>
      <c r="B160" s="830"/>
      <c r="C160" s="580"/>
      <c r="D160" s="581"/>
      <c r="E160" s="582"/>
      <c r="F160" s="582"/>
      <c r="G160" s="582"/>
      <c r="H160" s="582"/>
      <c r="I160" s="582"/>
      <c r="J160" s="582"/>
      <c r="K160" s="582"/>
      <c r="L160" s="582"/>
      <c r="M160" s="582"/>
      <c r="N160" s="582"/>
      <c r="O160" s="582"/>
      <c r="P160" s="582"/>
      <c r="Q160" s="582"/>
      <c r="R160" s="582"/>
      <c r="S160" s="582"/>
      <c r="T160" s="582"/>
      <c r="U160" s="582"/>
      <c r="V160" s="582"/>
      <c r="W160" s="582"/>
      <c r="X160" s="582"/>
      <c r="Y160" s="582"/>
      <c r="Z160" s="582"/>
      <c r="AA160" s="582"/>
      <c r="AB160" s="582"/>
      <c r="AC160" s="582"/>
      <c r="AD160" s="582"/>
      <c r="AE160" s="582"/>
      <c r="AF160" s="582"/>
      <c r="AG160" s="582"/>
      <c r="AH160" s="582"/>
    </row>
    <row r="161" spans="1:34" ht="42.75" customHeight="1" thickTop="1">
      <c r="A161" s="599"/>
      <c r="B161" s="828">
        <v>5</v>
      </c>
      <c r="C161" s="834" t="s">
        <v>1745</v>
      </c>
      <c r="D161" s="835"/>
      <c r="E161" s="579">
        <f>IF(SUM(E162:E191)&gt;0,AVERAGE(E162:E191),IF(SUM(E162:E191)=0,"",))</f>
        <v>97.272727272727266</v>
      </c>
      <c r="F161" s="579">
        <f t="shared" ref="F161:AG161" si="4">IF(SUM(F162:F191)&gt;0,AVERAGE(F162:F191),IF(SUM(F162:F191)=0,"",))</f>
        <v>95.882352941176464</v>
      </c>
      <c r="G161" s="579">
        <f t="shared" si="4"/>
        <v>94.130434782608702</v>
      </c>
      <c r="H161" s="579">
        <f t="shared" si="4"/>
        <v>96.086956521739125</v>
      </c>
      <c r="I161" s="579">
        <f t="shared" si="4"/>
        <v>95.434782608695656</v>
      </c>
      <c r="J161" s="579">
        <f t="shared" si="4"/>
        <v>97.173913043478265</v>
      </c>
      <c r="K161" s="579">
        <f t="shared" si="4"/>
        <v>98.695652173913047</v>
      </c>
      <c r="L161" s="579">
        <f t="shared" si="4"/>
        <v>99.130434782608702</v>
      </c>
      <c r="M161" s="579">
        <f t="shared" si="4"/>
        <v>95.652173913043484</v>
      </c>
      <c r="N161" s="579">
        <f t="shared" si="4"/>
        <v>98.913043478260875</v>
      </c>
      <c r="O161" s="579">
        <f t="shared" si="4"/>
        <v>98.260869565217391</v>
      </c>
      <c r="P161" s="579">
        <f t="shared" si="4"/>
        <v>97.608695652173907</v>
      </c>
      <c r="Q161" s="579">
        <f t="shared" si="4"/>
        <v>96.521739130434781</v>
      </c>
      <c r="R161" s="579">
        <f t="shared" si="4"/>
        <v>96.521739130434781</v>
      </c>
      <c r="S161" s="579">
        <f t="shared" si="4"/>
        <v>96.428571428571431</v>
      </c>
      <c r="T161" s="579">
        <f t="shared" si="4"/>
        <v>96.956521739130437</v>
      </c>
      <c r="U161" s="579">
        <f t="shared" si="4"/>
        <v>99.347826086956516</v>
      </c>
      <c r="V161" s="579">
        <f>IF(SUM(V162:V191)&gt;0,AVERAGE(V162:V191),IF(SUM(V162:V191)=0,"",))</f>
        <v>95.476190476190482</v>
      </c>
      <c r="W161" s="579">
        <f t="shared" si="4"/>
        <v>94</v>
      </c>
      <c r="X161" s="579">
        <f t="shared" si="4"/>
        <v>89.347826086956516</v>
      </c>
      <c r="Y161" s="579">
        <f t="shared" si="4"/>
        <v>97.391304347826093</v>
      </c>
      <c r="Z161" s="579">
        <f t="shared" si="4"/>
        <v>97.857142857142861</v>
      </c>
      <c r="AA161" s="579">
        <f t="shared" si="4"/>
        <v>98.260869565217391</v>
      </c>
      <c r="AB161" s="579">
        <f t="shared" si="4"/>
        <v>93.478260869565219</v>
      </c>
      <c r="AC161" s="579" t="str">
        <f t="shared" si="4"/>
        <v/>
      </c>
      <c r="AD161" s="579" t="str">
        <f t="shared" si="4"/>
        <v/>
      </c>
      <c r="AE161" s="579" t="str">
        <f t="shared" si="4"/>
        <v/>
      </c>
      <c r="AF161" s="579" t="str">
        <f t="shared" si="4"/>
        <v/>
      </c>
      <c r="AG161" s="579" t="str">
        <f t="shared" si="4"/>
        <v/>
      </c>
      <c r="AH161" s="579" t="str">
        <f>IF(SUM(AH162:AH191)&gt;0,AVERAGE(AH162:AH191),IF(SUM(AH162:AH191)=0,"",))</f>
        <v/>
      </c>
    </row>
    <row r="162" spans="1:34" ht="27" customHeight="1">
      <c r="A162" s="599"/>
      <c r="B162" s="829"/>
      <c r="C162" s="670" t="s">
        <v>1709</v>
      </c>
      <c r="D162" s="671" t="s">
        <v>1451</v>
      </c>
      <c r="E162" s="672">
        <v>100</v>
      </c>
      <c r="F162" s="672">
        <v>95</v>
      </c>
      <c r="G162" s="672">
        <v>90</v>
      </c>
      <c r="H162" s="672">
        <v>95</v>
      </c>
      <c r="I162" s="672">
        <v>90</v>
      </c>
      <c r="J162" s="672">
        <v>100</v>
      </c>
      <c r="K162" s="672">
        <v>100</v>
      </c>
      <c r="L162" s="672">
        <v>100</v>
      </c>
      <c r="M162" s="672">
        <v>100</v>
      </c>
      <c r="N162" s="672">
        <v>100</v>
      </c>
      <c r="O162" s="672">
        <v>100</v>
      </c>
      <c r="P162" s="672">
        <v>100</v>
      </c>
      <c r="Q162" s="672">
        <v>100</v>
      </c>
      <c r="R162" s="672">
        <v>100</v>
      </c>
      <c r="S162" s="672">
        <v>100</v>
      </c>
      <c r="T162" s="672">
        <v>90</v>
      </c>
      <c r="U162" s="672">
        <v>100</v>
      </c>
      <c r="V162" s="672">
        <v>100</v>
      </c>
      <c r="W162" s="672">
        <v>100</v>
      </c>
      <c r="X162" s="672">
        <v>85</v>
      </c>
      <c r="Y162" s="672">
        <v>95</v>
      </c>
      <c r="Z162" s="672">
        <v>100</v>
      </c>
      <c r="AA162" s="672">
        <v>100</v>
      </c>
      <c r="AB162" s="672">
        <v>100</v>
      </c>
      <c r="AC162" s="582"/>
      <c r="AD162" s="582"/>
      <c r="AE162" s="582"/>
      <c r="AF162" s="582"/>
      <c r="AG162" s="582"/>
      <c r="AH162" s="582"/>
    </row>
    <row r="163" spans="1:34" ht="27" customHeight="1">
      <c r="A163" s="599"/>
      <c r="B163" s="829"/>
      <c r="C163" s="673" t="s">
        <v>1710</v>
      </c>
      <c r="D163" s="671" t="s">
        <v>1711</v>
      </c>
      <c r="E163" s="672">
        <v>100</v>
      </c>
      <c r="F163" s="672">
        <v>100</v>
      </c>
      <c r="G163" s="672">
        <v>100</v>
      </c>
      <c r="H163" s="672">
        <v>100</v>
      </c>
      <c r="I163" s="672">
        <v>100</v>
      </c>
      <c r="J163" s="672">
        <v>100</v>
      </c>
      <c r="K163" s="672">
        <v>100</v>
      </c>
      <c r="L163" s="672">
        <v>90</v>
      </c>
      <c r="M163" s="672">
        <v>100</v>
      </c>
      <c r="N163" s="672">
        <v>100</v>
      </c>
      <c r="O163" s="672">
        <v>100</v>
      </c>
      <c r="P163" s="672">
        <v>100</v>
      </c>
      <c r="Q163" s="672">
        <v>100</v>
      </c>
      <c r="R163" s="672">
        <v>100</v>
      </c>
      <c r="S163" s="672">
        <v>100</v>
      </c>
      <c r="T163" s="672">
        <v>100</v>
      </c>
      <c r="U163" s="672">
        <v>100</v>
      </c>
      <c r="V163" s="672">
        <v>100</v>
      </c>
      <c r="W163" s="672">
        <v>100</v>
      </c>
      <c r="X163" s="672">
        <v>100</v>
      </c>
      <c r="Y163" s="672">
        <v>100</v>
      </c>
      <c r="Z163" s="672">
        <v>100</v>
      </c>
      <c r="AA163" s="672">
        <v>100</v>
      </c>
      <c r="AB163" s="672">
        <v>100</v>
      </c>
      <c r="AC163" s="582"/>
      <c r="AD163" s="582"/>
      <c r="AE163" s="582"/>
      <c r="AF163" s="582"/>
      <c r="AG163" s="582"/>
      <c r="AH163" s="582"/>
    </row>
    <row r="164" spans="1:34" ht="27" customHeight="1">
      <c r="A164" s="599"/>
      <c r="B164" s="829"/>
      <c r="C164" s="674" t="s">
        <v>1712</v>
      </c>
      <c r="D164" s="671" t="s">
        <v>1453</v>
      </c>
      <c r="E164" s="672">
        <v>100</v>
      </c>
      <c r="F164" s="672">
        <v>100</v>
      </c>
      <c r="G164" s="672">
        <v>90</v>
      </c>
      <c r="H164" s="672">
        <v>90</v>
      </c>
      <c r="I164" s="672">
        <v>100</v>
      </c>
      <c r="J164" s="672">
        <v>100</v>
      </c>
      <c r="K164" s="672">
        <v>100</v>
      </c>
      <c r="L164" s="672">
        <v>100</v>
      </c>
      <c r="M164" s="672">
        <v>100</v>
      </c>
      <c r="N164" s="672">
        <v>100</v>
      </c>
      <c r="O164" s="672">
        <v>100</v>
      </c>
      <c r="P164" s="672">
        <v>90</v>
      </c>
      <c r="Q164" s="672">
        <v>100</v>
      </c>
      <c r="R164" s="672">
        <v>100</v>
      </c>
      <c r="S164" s="672">
        <v>90</v>
      </c>
      <c r="T164" s="672">
        <v>100</v>
      </c>
      <c r="U164" s="672">
        <v>100</v>
      </c>
      <c r="V164" s="672">
        <v>100</v>
      </c>
      <c r="W164" s="672">
        <v>100</v>
      </c>
      <c r="X164" s="672">
        <v>100</v>
      </c>
      <c r="Y164" s="672">
        <v>80</v>
      </c>
      <c r="Z164" s="672">
        <v>100</v>
      </c>
      <c r="AA164" s="672">
        <v>100</v>
      </c>
      <c r="AB164" s="672">
        <v>100</v>
      </c>
      <c r="AC164" s="582"/>
      <c r="AD164" s="582"/>
      <c r="AE164" s="582"/>
      <c r="AF164" s="582"/>
      <c r="AG164" s="582"/>
      <c r="AH164" s="582"/>
    </row>
    <row r="165" spans="1:34" ht="27" customHeight="1">
      <c r="A165" s="599"/>
      <c r="B165" s="829"/>
      <c r="C165" s="670" t="s">
        <v>1713</v>
      </c>
      <c r="D165" s="671" t="s">
        <v>1455</v>
      </c>
      <c r="E165" s="672">
        <v>100</v>
      </c>
      <c r="F165" s="672">
        <v>100</v>
      </c>
      <c r="G165" s="672">
        <v>95</v>
      </c>
      <c r="H165" s="672">
        <v>90</v>
      </c>
      <c r="I165" s="672">
        <v>90</v>
      </c>
      <c r="J165" s="672">
        <v>90</v>
      </c>
      <c r="K165" s="672">
        <v>100</v>
      </c>
      <c r="L165" s="672">
        <v>100</v>
      </c>
      <c r="M165" s="672">
        <v>100</v>
      </c>
      <c r="N165" s="672">
        <v>100</v>
      </c>
      <c r="O165" s="672">
        <v>100</v>
      </c>
      <c r="P165" s="672">
        <v>100</v>
      </c>
      <c r="Q165" s="672">
        <v>90</v>
      </c>
      <c r="R165" s="672">
        <v>100</v>
      </c>
      <c r="S165" s="672">
        <v>100</v>
      </c>
      <c r="T165" s="672">
        <v>90</v>
      </c>
      <c r="U165" s="672">
        <v>100</v>
      </c>
      <c r="V165" s="672">
        <v>95</v>
      </c>
      <c r="W165" s="672">
        <v>100</v>
      </c>
      <c r="X165" s="672">
        <v>90</v>
      </c>
      <c r="Y165" s="672">
        <v>90</v>
      </c>
      <c r="Z165" s="672">
        <v>100</v>
      </c>
      <c r="AA165" s="672">
        <v>100</v>
      </c>
      <c r="AB165" s="672">
        <v>95</v>
      </c>
      <c r="AC165" s="582"/>
      <c r="AD165" s="582"/>
      <c r="AE165" s="582"/>
      <c r="AF165" s="582"/>
      <c r="AG165" s="582"/>
      <c r="AH165" s="582"/>
    </row>
    <row r="166" spans="1:34" ht="27" customHeight="1">
      <c r="A166" s="599"/>
      <c r="B166" s="829"/>
      <c r="C166" s="675" t="s">
        <v>1714</v>
      </c>
      <c r="D166" s="671" t="s">
        <v>1457</v>
      </c>
      <c r="E166" s="672">
        <v>100</v>
      </c>
      <c r="F166" s="672">
        <v>100</v>
      </c>
      <c r="G166" s="672">
        <v>95</v>
      </c>
      <c r="H166" s="672">
        <v>95</v>
      </c>
      <c r="I166" s="672">
        <v>100</v>
      </c>
      <c r="J166" s="672">
        <v>100</v>
      </c>
      <c r="K166" s="672">
        <v>100</v>
      </c>
      <c r="L166" s="672">
        <v>100</v>
      </c>
      <c r="M166" s="672">
        <v>90</v>
      </c>
      <c r="N166" s="672">
        <v>100</v>
      </c>
      <c r="O166" s="672">
        <v>95</v>
      </c>
      <c r="P166" s="672">
        <v>100</v>
      </c>
      <c r="Q166" s="672">
        <v>90</v>
      </c>
      <c r="R166" s="672">
        <v>100</v>
      </c>
      <c r="S166" s="672"/>
      <c r="T166" s="672">
        <v>100</v>
      </c>
      <c r="U166" s="672">
        <v>100</v>
      </c>
      <c r="V166" s="672">
        <v>100</v>
      </c>
      <c r="W166" s="672">
        <v>90</v>
      </c>
      <c r="X166" s="672">
        <v>90</v>
      </c>
      <c r="Y166" s="672">
        <v>100</v>
      </c>
      <c r="Z166" s="672">
        <v>95</v>
      </c>
      <c r="AA166" s="672">
        <v>100</v>
      </c>
      <c r="AB166" s="672">
        <v>80</v>
      </c>
      <c r="AC166" s="582"/>
      <c r="AD166" s="582"/>
      <c r="AE166" s="582"/>
      <c r="AF166" s="582"/>
      <c r="AG166" s="582"/>
      <c r="AH166" s="582"/>
    </row>
    <row r="167" spans="1:34" ht="36.75" customHeight="1">
      <c r="A167" s="599"/>
      <c r="B167" s="829"/>
      <c r="C167" s="676" t="s">
        <v>1715</v>
      </c>
      <c r="D167" s="677" t="s">
        <v>1459</v>
      </c>
      <c r="E167" s="654">
        <v>95</v>
      </c>
      <c r="F167" s="654"/>
      <c r="G167" s="654">
        <v>90</v>
      </c>
      <c r="H167" s="654">
        <v>90</v>
      </c>
      <c r="I167" s="654">
        <v>95</v>
      </c>
      <c r="J167" s="654">
        <v>95</v>
      </c>
      <c r="K167" s="654">
        <v>100</v>
      </c>
      <c r="L167" s="654">
        <v>100</v>
      </c>
      <c r="M167" s="654">
        <v>95</v>
      </c>
      <c r="N167" s="654">
        <v>100</v>
      </c>
      <c r="O167" s="654">
        <v>100</v>
      </c>
      <c r="P167" s="654">
        <v>100</v>
      </c>
      <c r="Q167" s="654">
        <v>85</v>
      </c>
      <c r="R167" s="654">
        <v>100</v>
      </c>
      <c r="S167" s="654">
        <v>90</v>
      </c>
      <c r="T167" s="654">
        <v>100</v>
      </c>
      <c r="U167" s="654">
        <v>100</v>
      </c>
      <c r="V167" s="654">
        <v>90</v>
      </c>
      <c r="W167" s="654">
        <v>100</v>
      </c>
      <c r="X167" s="654">
        <v>70</v>
      </c>
      <c r="Y167" s="654">
        <v>95</v>
      </c>
      <c r="Z167" s="654">
        <v>100</v>
      </c>
      <c r="AA167" s="654">
        <v>100</v>
      </c>
      <c r="AB167" s="654">
        <v>90</v>
      </c>
      <c r="AC167" s="582"/>
      <c r="AD167" s="582"/>
      <c r="AE167" s="582"/>
      <c r="AF167" s="582"/>
      <c r="AG167" s="582"/>
      <c r="AH167" s="582"/>
    </row>
    <row r="168" spans="1:34" ht="27" customHeight="1">
      <c r="A168" s="599"/>
      <c r="B168" s="829"/>
      <c r="C168" s="678" t="s">
        <v>1716</v>
      </c>
      <c r="D168" s="677" t="s">
        <v>1717</v>
      </c>
      <c r="E168" s="654">
        <v>100</v>
      </c>
      <c r="F168" s="654"/>
      <c r="G168" s="654">
        <v>90</v>
      </c>
      <c r="H168" s="654">
        <v>100</v>
      </c>
      <c r="I168" s="654">
        <v>100</v>
      </c>
      <c r="J168" s="654">
        <v>100</v>
      </c>
      <c r="K168" s="654">
        <v>100</v>
      </c>
      <c r="L168" s="654">
        <v>100</v>
      </c>
      <c r="M168" s="654">
        <v>90</v>
      </c>
      <c r="N168" s="654">
        <v>100</v>
      </c>
      <c r="O168" s="654">
        <v>100</v>
      </c>
      <c r="P168" s="654">
        <v>100</v>
      </c>
      <c r="Q168" s="654">
        <v>100</v>
      </c>
      <c r="R168" s="654">
        <v>100</v>
      </c>
      <c r="S168" s="654">
        <v>100</v>
      </c>
      <c r="T168" s="654">
        <v>100</v>
      </c>
      <c r="U168" s="654">
        <v>100</v>
      </c>
      <c r="V168" s="654">
        <v>90</v>
      </c>
      <c r="W168" s="654">
        <v>100</v>
      </c>
      <c r="X168" s="654">
        <v>80</v>
      </c>
      <c r="Y168" s="654">
        <v>90</v>
      </c>
      <c r="Z168" s="654">
        <v>100</v>
      </c>
      <c r="AA168" s="654">
        <v>100</v>
      </c>
      <c r="AB168" s="654">
        <v>90</v>
      </c>
      <c r="AC168" s="582"/>
      <c r="AD168" s="582"/>
      <c r="AE168" s="582"/>
      <c r="AF168" s="582"/>
      <c r="AG168" s="582"/>
      <c r="AH168" s="582"/>
    </row>
    <row r="169" spans="1:34" ht="39" customHeight="1">
      <c r="A169" s="599"/>
      <c r="B169" s="829"/>
      <c r="C169" s="676" t="s">
        <v>1718</v>
      </c>
      <c r="D169" s="677" t="s">
        <v>1541</v>
      </c>
      <c r="E169" s="654">
        <v>100</v>
      </c>
      <c r="F169" s="654"/>
      <c r="G169" s="654">
        <v>100</v>
      </c>
      <c r="H169" s="654">
        <v>100</v>
      </c>
      <c r="I169" s="654">
        <v>90</v>
      </c>
      <c r="J169" s="654">
        <v>100</v>
      </c>
      <c r="K169" s="654">
        <v>100</v>
      </c>
      <c r="L169" s="654">
        <v>100</v>
      </c>
      <c r="M169" s="654">
        <v>100</v>
      </c>
      <c r="N169" s="654">
        <v>90</v>
      </c>
      <c r="O169" s="654">
        <v>100</v>
      </c>
      <c r="P169" s="654">
        <v>100</v>
      </c>
      <c r="Q169" s="654">
        <v>100</v>
      </c>
      <c r="R169" s="654">
        <v>100</v>
      </c>
      <c r="S169" s="654">
        <v>90</v>
      </c>
      <c r="T169" s="654">
        <v>100</v>
      </c>
      <c r="U169" s="654">
        <v>100</v>
      </c>
      <c r="V169" s="654">
        <v>95</v>
      </c>
      <c r="W169" s="654">
        <v>90</v>
      </c>
      <c r="X169" s="654">
        <v>80</v>
      </c>
      <c r="Y169" s="654">
        <v>100</v>
      </c>
      <c r="Z169" s="654">
        <v>100</v>
      </c>
      <c r="AA169" s="654">
        <v>100</v>
      </c>
      <c r="AB169" s="654">
        <v>100</v>
      </c>
      <c r="AC169" s="582"/>
      <c r="AD169" s="582"/>
      <c r="AE169" s="582"/>
      <c r="AF169" s="582"/>
      <c r="AG169" s="582"/>
      <c r="AH169" s="582"/>
    </row>
    <row r="170" spans="1:34" ht="27" customHeight="1">
      <c r="A170" s="599"/>
      <c r="B170" s="829"/>
      <c r="C170" s="678" t="s">
        <v>1719</v>
      </c>
      <c r="D170" s="677" t="s">
        <v>1720</v>
      </c>
      <c r="E170" s="654">
        <v>95</v>
      </c>
      <c r="F170" s="654"/>
      <c r="G170" s="654">
        <v>95</v>
      </c>
      <c r="H170" s="654">
        <v>100</v>
      </c>
      <c r="I170" s="654">
        <v>100</v>
      </c>
      <c r="J170" s="654">
        <v>100</v>
      </c>
      <c r="K170" s="654">
        <v>100</v>
      </c>
      <c r="L170" s="654">
        <v>100</v>
      </c>
      <c r="M170" s="654">
        <v>95</v>
      </c>
      <c r="N170" s="654">
        <v>100</v>
      </c>
      <c r="O170" s="654">
        <v>100</v>
      </c>
      <c r="P170" s="654">
        <v>100</v>
      </c>
      <c r="Q170" s="654">
        <v>100</v>
      </c>
      <c r="R170" s="654">
        <v>100</v>
      </c>
      <c r="S170" s="654">
        <v>100</v>
      </c>
      <c r="T170" s="654">
        <v>100</v>
      </c>
      <c r="U170" s="654">
        <v>100</v>
      </c>
      <c r="V170" s="654">
        <v>100</v>
      </c>
      <c r="W170" s="654">
        <v>90</v>
      </c>
      <c r="X170" s="654">
        <v>100</v>
      </c>
      <c r="Y170" s="654">
        <v>100</v>
      </c>
      <c r="Z170" s="654">
        <v>100</v>
      </c>
      <c r="AA170" s="654">
        <v>100</v>
      </c>
      <c r="AB170" s="654">
        <v>95</v>
      </c>
      <c r="AC170" s="582"/>
      <c r="AD170" s="582"/>
      <c r="AE170" s="582"/>
      <c r="AF170" s="582"/>
      <c r="AG170" s="582"/>
      <c r="AH170" s="582"/>
    </row>
    <row r="171" spans="1:34" ht="33.75" customHeight="1">
      <c r="A171" s="599"/>
      <c r="B171" s="829"/>
      <c r="C171" s="676" t="s">
        <v>1721</v>
      </c>
      <c r="D171" s="677" t="s">
        <v>1463</v>
      </c>
      <c r="E171" s="654">
        <v>90</v>
      </c>
      <c r="F171" s="654">
        <v>90</v>
      </c>
      <c r="G171" s="654">
        <v>100</v>
      </c>
      <c r="H171" s="654">
        <v>80</v>
      </c>
      <c r="I171" s="654">
        <v>90</v>
      </c>
      <c r="J171" s="654">
        <v>80</v>
      </c>
      <c r="K171" s="654">
        <v>90</v>
      </c>
      <c r="L171" s="654">
        <v>90</v>
      </c>
      <c r="M171" s="654">
        <v>90</v>
      </c>
      <c r="N171" s="654">
        <v>100</v>
      </c>
      <c r="O171" s="654">
        <v>100</v>
      </c>
      <c r="P171" s="654">
        <v>100</v>
      </c>
      <c r="Q171" s="654">
        <v>100</v>
      </c>
      <c r="R171" s="654">
        <v>100</v>
      </c>
      <c r="S171" s="654">
        <v>90</v>
      </c>
      <c r="T171" s="654">
        <v>100</v>
      </c>
      <c r="U171" s="654">
        <v>100</v>
      </c>
      <c r="V171" s="654">
        <v>90</v>
      </c>
      <c r="W171" s="654"/>
      <c r="X171" s="654">
        <v>90</v>
      </c>
      <c r="Y171" s="654">
        <v>90</v>
      </c>
      <c r="Z171" s="654"/>
      <c r="AA171" s="654">
        <v>100</v>
      </c>
      <c r="AB171" s="654">
        <v>100</v>
      </c>
      <c r="AC171" s="582"/>
      <c r="AD171" s="582"/>
      <c r="AE171" s="582"/>
      <c r="AF171" s="582"/>
      <c r="AG171" s="582"/>
      <c r="AH171" s="582"/>
    </row>
    <row r="172" spans="1:34" ht="35.25" customHeight="1">
      <c r="A172" s="599"/>
      <c r="B172" s="829"/>
      <c r="C172" s="678" t="s">
        <v>1722</v>
      </c>
      <c r="D172" s="677" t="s">
        <v>1723</v>
      </c>
      <c r="E172" s="654"/>
      <c r="F172" s="654">
        <v>90</v>
      </c>
      <c r="G172" s="654">
        <v>100</v>
      </c>
      <c r="H172" s="654">
        <v>90</v>
      </c>
      <c r="I172" s="654">
        <v>90</v>
      </c>
      <c r="J172" s="654">
        <v>80</v>
      </c>
      <c r="K172" s="654">
        <v>100</v>
      </c>
      <c r="L172" s="654">
        <v>100</v>
      </c>
      <c r="M172" s="654">
        <v>90</v>
      </c>
      <c r="N172" s="654">
        <v>100</v>
      </c>
      <c r="O172" s="654">
        <v>90</v>
      </c>
      <c r="P172" s="654">
        <v>95</v>
      </c>
      <c r="Q172" s="654">
        <v>100</v>
      </c>
      <c r="R172" s="654">
        <v>100</v>
      </c>
      <c r="S172" s="654"/>
      <c r="T172" s="654">
        <v>80</v>
      </c>
      <c r="U172" s="654">
        <v>100</v>
      </c>
      <c r="V172" s="654">
        <v>100</v>
      </c>
      <c r="W172" s="654"/>
      <c r="X172" s="654">
        <v>80</v>
      </c>
      <c r="Y172" s="654">
        <v>100</v>
      </c>
      <c r="Z172" s="654"/>
      <c r="AA172" s="654">
        <v>60</v>
      </c>
      <c r="AB172" s="654">
        <v>100</v>
      </c>
      <c r="AC172" s="582"/>
      <c r="AD172" s="582"/>
      <c r="AE172" s="582"/>
      <c r="AF172" s="582"/>
      <c r="AG172" s="582"/>
      <c r="AH172" s="582"/>
    </row>
    <row r="173" spans="1:34" ht="34.5" customHeight="1">
      <c r="A173" s="599"/>
      <c r="B173" s="829"/>
      <c r="C173" s="679" t="s">
        <v>1724</v>
      </c>
      <c r="D173" s="637" t="s">
        <v>1467</v>
      </c>
      <c r="E173" s="628">
        <v>100</v>
      </c>
      <c r="F173" s="628">
        <v>90</v>
      </c>
      <c r="G173" s="628">
        <v>95</v>
      </c>
      <c r="H173" s="628">
        <v>100</v>
      </c>
      <c r="I173" s="628">
        <v>100</v>
      </c>
      <c r="J173" s="628">
        <v>100</v>
      </c>
      <c r="K173" s="628">
        <v>100</v>
      </c>
      <c r="L173" s="628">
        <v>100</v>
      </c>
      <c r="M173" s="628">
        <v>95</v>
      </c>
      <c r="N173" s="628">
        <v>100</v>
      </c>
      <c r="O173" s="628">
        <v>95</v>
      </c>
      <c r="P173" s="628">
        <v>100</v>
      </c>
      <c r="Q173" s="628">
        <v>95</v>
      </c>
      <c r="R173" s="628">
        <v>90</v>
      </c>
      <c r="S173" s="628">
        <v>95</v>
      </c>
      <c r="T173" s="628">
        <v>100</v>
      </c>
      <c r="U173" s="628">
        <v>100</v>
      </c>
      <c r="V173" s="628">
        <v>100</v>
      </c>
      <c r="W173" s="628"/>
      <c r="X173" s="628">
        <v>95</v>
      </c>
      <c r="Y173" s="628">
        <v>100</v>
      </c>
      <c r="Z173" s="628">
        <v>90</v>
      </c>
      <c r="AA173" s="628">
        <v>100</v>
      </c>
      <c r="AB173" s="628">
        <v>100</v>
      </c>
      <c r="AC173" s="582"/>
      <c r="AD173" s="582"/>
      <c r="AE173" s="582"/>
      <c r="AF173" s="582"/>
      <c r="AG173" s="582"/>
      <c r="AH173" s="582"/>
    </row>
    <row r="174" spans="1:34" ht="39.75" customHeight="1">
      <c r="A174" s="599"/>
      <c r="B174" s="829"/>
      <c r="C174" s="680" t="s">
        <v>1725</v>
      </c>
      <c r="D174" s="637" t="s">
        <v>1726</v>
      </c>
      <c r="E174" s="628">
        <v>100</v>
      </c>
      <c r="F174" s="628">
        <v>90</v>
      </c>
      <c r="G174" s="628">
        <v>90</v>
      </c>
      <c r="H174" s="628">
        <v>100</v>
      </c>
      <c r="I174" s="628">
        <v>100</v>
      </c>
      <c r="J174" s="628">
        <v>100</v>
      </c>
      <c r="K174" s="628">
        <v>100</v>
      </c>
      <c r="L174" s="628">
        <v>100</v>
      </c>
      <c r="M174" s="628">
        <v>100</v>
      </c>
      <c r="N174" s="628">
        <v>100</v>
      </c>
      <c r="O174" s="628">
        <v>100</v>
      </c>
      <c r="P174" s="628">
        <v>100</v>
      </c>
      <c r="Q174" s="628">
        <v>100</v>
      </c>
      <c r="R174" s="628">
        <v>100</v>
      </c>
      <c r="S174" s="628">
        <v>100</v>
      </c>
      <c r="T174" s="628">
        <v>95</v>
      </c>
      <c r="U174" s="628">
        <v>100</v>
      </c>
      <c r="V174" s="628">
        <v>90</v>
      </c>
      <c r="W174" s="628"/>
      <c r="X174" s="628">
        <v>90</v>
      </c>
      <c r="Y174" s="628">
        <v>100</v>
      </c>
      <c r="Z174" s="628">
        <v>100</v>
      </c>
      <c r="AA174" s="628">
        <v>100</v>
      </c>
      <c r="AB174" s="628">
        <v>100</v>
      </c>
      <c r="AC174" s="582"/>
      <c r="AD174" s="582"/>
      <c r="AE174" s="582"/>
      <c r="AF174" s="582"/>
      <c r="AG174" s="582"/>
      <c r="AH174" s="582"/>
    </row>
    <row r="175" spans="1:34" ht="40.5" customHeight="1">
      <c r="A175" s="599"/>
      <c r="B175" s="829"/>
      <c r="C175" s="679" t="s">
        <v>1727</v>
      </c>
      <c r="D175" s="637" t="s">
        <v>1523</v>
      </c>
      <c r="E175" s="628">
        <v>100</v>
      </c>
      <c r="F175" s="628">
        <v>90</v>
      </c>
      <c r="G175" s="628">
        <v>90</v>
      </c>
      <c r="H175" s="628">
        <v>90</v>
      </c>
      <c r="I175" s="628">
        <v>100</v>
      </c>
      <c r="J175" s="628">
        <v>100</v>
      </c>
      <c r="K175" s="628">
        <v>100</v>
      </c>
      <c r="L175" s="628">
        <v>100</v>
      </c>
      <c r="M175" s="628">
        <v>100</v>
      </c>
      <c r="N175" s="628">
        <v>100</v>
      </c>
      <c r="O175" s="628">
        <v>100</v>
      </c>
      <c r="P175" s="628">
        <v>100</v>
      </c>
      <c r="Q175" s="628">
        <v>100</v>
      </c>
      <c r="R175" s="628">
        <v>100</v>
      </c>
      <c r="S175" s="628">
        <v>100</v>
      </c>
      <c r="T175" s="628">
        <v>100</v>
      </c>
      <c r="U175" s="628">
        <v>90</v>
      </c>
      <c r="V175" s="628">
        <v>100</v>
      </c>
      <c r="W175" s="628">
        <v>100</v>
      </c>
      <c r="X175" s="628">
        <v>100</v>
      </c>
      <c r="Y175" s="628">
        <v>100</v>
      </c>
      <c r="Z175" s="628">
        <v>100</v>
      </c>
      <c r="AA175" s="628">
        <v>100</v>
      </c>
      <c r="AB175" s="628">
        <v>100</v>
      </c>
      <c r="AC175" s="582"/>
      <c r="AD175" s="582"/>
      <c r="AE175" s="582"/>
      <c r="AF175" s="582"/>
      <c r="AG175" s="582"/>
      <c r="AH175" s="582"/>
    </row>
    <row r="176" spans="1:34" ht="29.25" customHeight="1">
      <c r="A176" s="599"/>
      <c r="B176" s="829"/>
      <c r="C176" s="680" t="s">
        <v>1728</v>
      </c>
      <c r="D176" s="637" t="s">
        <v>1729</v>
      </c>
      <c r="E176" s="628">
        <v>100</v>
      </c>
      <c r="F176" s="628">
        <v>100</v>
      </c>
      <c r="G176" s="628">
        <v>90</v>
      </c>
      <c r="H176" s="628">
        <v>100</v>
      </c>
      <c r="I176" s="628">
        <v>100</v>
      </c>
      <c r="J176" s="628">
        <v>100</v>
      </c>
      <c r="K176" s="628">
        <v>100</v>
      </c>
      <c r="L176" s="628">
        <v>100</v>
      </c>
      <c r="M176" s="628">
        <v>100</v>
      </c>
      <c r="N176" s="628">
        <v>100</v>
      </c>
      <c r="O176" s="628">
        <v>100</v>
      </c>
      <c r="P176" s="628">
        <v>100</v>
      </c>
      <c r="Q176" s="628">
        <v>100</v>
      </c>
      <c r="R176" s="628">
        <v>95</v>
      </c>
      <c r="S176" s="628">
        <v>100</v>
      </c>
      <c r="T176" s="628">
        <v>100</v>
      </c>
      <c r="U176" s="628">
        <v>100</v>
      </c>
      <c r="V176" s="628">
        <v>100</v>
      </c>
      <c r="W176" s="628"/>
      <c r="X176" s="628">
        <v>95</v>
      </c>
      <c r="Y176" s="628">
        <v>100</v>
      </c>
      <c r="Z176" s="628">
        <v>100</v>
      </c>
      <c r="AA176" s="628">
        <v>100</v>
      </c>
      <c r="AB176" s="628">
        <v>100</v>
      </c>
      <c r="AC176" s="582"/>
      <c r="AD176" s="582"/>
      <c r="AE176" s="582"/>
      <c r="AF176" s="582"/>
      <c r="AG176" s="582"/>
      <c r="AH176" s="582"/>
    </row>
    <row r="177" spans="1:34" ht="30.75" customHeight="1">
      <c r="A177" s="599"/>
      <c r="B177" s="829"/>
      <c r="C177" s="679" t="s">
        <v>1730</v>
      </c>
      <c r="D177" s="637" t="s">
        <v>1470</v>
      </c>
      <c r="E177" s="628">
        <v>100</v>
      </c>
      <c r="F177" s="628">
        <v>100</v>
      </c>
      <c r="G177" s="628">
        <v>100</v>
      </c>
      <c r="H177" s="628">
        <v>100</v>
      </c>
      <c r="I177" s="628">
        <v>90</v>
      </c>
      <c r="J177" s="628">
        <v>100</v>
      </c>
      <c r="K177" s="628">
        <v>100</v>
      </c>
      <c r="L177" s="628">
        <v>100</v>
      </c>
      <c r="M177" s="628">
        <v>100</v>
      </c>
      <c r="N177" s="628">
        <v>100</v>
      </c>
      <c r="O177" s="628">
        <v>100</v>
      </c>
      <c r="P177" s="628">
        <v>100</v>
      </c>
      <c r="Q177" s="628">
        <v>100</v>
      </c>
      <c r="R177" s="628">
        <v>100</v>
      </c>
      <c r="S177" s="628">
        <v>100</v>
      </c>
      <c r="T177" s="628">
        <v>100</v>
      </c>
      <c r="U177" s="628">
        <v>100</v>
      </c>
      <c r="V177" s="628">
        <v>90</v>
      </c>
      <c r="W177" s="628"/>
      <c r="X177" s="628">
        <v>90</v>
      </c>
      <c r="Y177" s="628">
        <v>100</v>
      </c>
      <c r="Z177" s="628">
        <v>90</v>
      </c>
      <c r="AA177" s="628">
        <v>100</v>
      </c>
      <c r="AB177" s="628">
        <v>95</v>
      </c>
      <c r="AC177" s="582"/>
      <c r="AD177" s="582"/>
      <c r="AE177" s="582"/>
      <c r="AF177" s="582"/>
      <c r="AG177" s="582"/>
      <c r="AH177" s="582"/>
    </row>
    <row r="178" spans="1:34" ht="42" customHeight="1">
      <c r="A178" s="599"/>
      <c r="B178" s="829"/>
      <c r="C178" s="680" t="s">
        <v>1731</v>
      </c>
      <c r="D178" s="637" t="s">
        <v>1732</v>
      </c>
      <c r="E178" s="628">
        <v>100</v>
      </c>
      <c r="F178" s="628">
        <v>100</v>
      </c>
      <c r="G178" s="628">
        <v>95</v>
      </c>
      <c r="H178" s="628">
        <v>100</v>
      </c>
      <c r="I178" s="628">
        <v>100</v>
      </c>
      <c r="J178" s="628">
        <v>100</v>
      </c>
      <c r="K178" s="628">
        <v>100</v>
      </c>
      <c r="L178" s="628">
        <v>100</v>
      </c>
      <c r="M178" s="628">
        <v>95</v>
      </c>
      <c r="N178" s="628">
        <v>100</v>
      </c>
      <c r="O178" s="628">
        <v>100</v>
      </c>
      <c r="P178" s="628">
        <v>100</v>
      </c>
      <c r="Q178" s="628">
        <v>100</v>
      </c>
      <c r="R178" s="628">
        <v>100</v>
      </c>
      <c r="S178" s="628">
        <v>100</v>
      </c>
      <c r="T178" s="628">
        <v>95</v>
      </c>
      <c r="U178" s="628">
        <v>100</v>
      </c>
      <c r="V178" s="628">
        <v>90</v>
      </c>
      <c r="W178" s="628"/>
      <c r="X178" s="628">
        <v>80</v>
      </c>
      <c r="Y178" s="628">
        <v>100</v>
      </c>
      <c r="Z178" s="628">
        <v>100</v>
      </c>
      <c r="AA178" s="628">
        <v>100</v>
      </c>
      <c r="AB178" s="628">
        <v>80</v>
      </c>
      <c r="AC178" s="582"/>
      <c r="AD178" s="582"/>
      <c r="AE178" s="582"/>
      <c r="AF178" s="582"/>
      <c r="AG178" s="582"/>
      <c r="AH178" s="582"/>
    </row>
    <row r="179" spans="1:34" ht="46.5" customHeight="1">
      <c r="A179" s="599"/>
      <c r="B179" s="829"/>
      <c r="C179" s="681" t="s">
        <v>1733</v>
      </c>
      <c r="D179" s="630" t="s">
        <v>1549</v>
      </c>
      <c r="E179" s="682">
        <v>80</v>
      </c>
      <c r="F179" s="682">
        <v>90</v>
      </c>
      <c r="G179" s="682">
        <v>100</v>
      </c>
      <c r="H179" s="682">
        <v>90</v>
      </c>
      <c r="I179" s="682">
        <v>90</v>
      </c>
      <c r="J179" s="682">
        <v>100</v>
      </c>
      <c r="K179" s="682">
        <v>90</v>
      </c>
      <c r="L179" s="682">
        <v>100</v>
      </c>
      <c r="M179" s="682">
        <v>80</v>
      </c>
      <c r="N179" s="682">
        <v>90</v>
      </c>
      <c r="O179" s="682">
        <v>90</v>
      </c>
      <c r="P179" s="682">
        <v>80</v>
      </c>
      <c r="Q179" s="682">
        <v>80</v>
      </c>
      <c r="R179" s="682">
        <v>70</v>
      </c>
      <c r="S179" s="682">
        <v>100</v>
      </c>
      <c r="T179" s="682">
        <v>90</v>
      </c>
      <c r="U179" s="682">
        <v>100</v>
      </c>
      <c r="V179" s="682"/>
      <c r="W179" s="682">
        <v>90</v>
      </c>
      <c r="X179" s="682">
        <v>80</v>
      </c>
      <c r="Y179" s="682">
        <v>100</v>
      </c>
      <c r="Z179" s="682">
        <v>100</v>
      </c>
      <c r="AA179" s="682">
        <v>100</v>
      </c>
      <c r="AB179" s="682">
        <v>70</v>
      </c>
      <c r="AC179" s="582"/>
      <c r="AD179" s="582"/>
      <c r="AE179" s="582"/>
      <c r="AF179" s="582"/>
      <c r="AG179" s="582"/>
      <c r="AH179" s="582"/>
    </row>
    <row r="180" spans="1:34" ht="37.5" customHeight="1">
      <c r="A180" s="599"/>
      <c r="B180" s="829"/>
      <c r="C180" s="683" t="s">
        <v>1734</v>
      </c>
      <c r="D180" s="630" t="s">
        <v>1735</v>
      </c>
      <c r="E180" s="682">
        <v>100</v>
      </c>
      <c r="F180" s="682">
        <v>100</v>
      </c>
      <c r="G180" s="682">
        <v>80</v>
      </c>
      <c r="H180" s="682">
        <v>100</v>
      </c>
      <c r="I180" s="682">
        <v>100</v>
      </c>
      <c r="J180" s="682">
        <v>100</v>
      </c>
      <c r="K180" s="682">
        <v>100</v>
      </c>
      <c r="L180" s="682">
        <v>100</v>
      </c>
      <c r="M180" s="682">
        <v>100</v>
      </c>
      <c r="N180" s="682">
        <v>100</v>
      </c>
      <c r="O180" s="682">
        <v>100</v>
      </c>
      <c r="P180" s="682">
        <v>100</v>
      </c>
      <c r="Q180" s="682">
        <v>100</v>
      </c>
      <c r="R180" s="682">
        <v>100</v>
      </c>
      <c r="S180" s="682">
        <v>100</v>
      </c>
      <c r="T180" s="682">
        <v>100</v>
      </c>
      <c r="U180" s="682">
        <v>100</v>
      </c>
      <c r="V180" s="682"/>
      <c r="W180" s="682">
        <v>60</v>
      </c>
      <c r="X180" s="682">
        <v>100</v>
      </c>
      <c r="Y180" s="682">
        <v>100</v>
      </c>
      <c r="Z180" s="682">
        <v>100</v>
      </c>
      <c r="AA180" s="682">
        <v>100</v>
      </c>
      <c r="AB180" s="682">
        <v>100</v>
      </c>
      <c r="AC180" s="582"/>
      <c r="AD180" s="582"/>
      <c r="AE180" s="582"/>
      <c r="AF180" s="582"/>
      <c r="AG180" s="582"/>
      <c r="AH180" s="582"/>
    </row>
    <row r="181" spans="1:34" ht="36" customHeight="1">
      <c r="A181" s="599"/>
      <c r="B181" s="829"/>
      <c r="C181" s="681" t="s">
        <v>1736</v>
      </c>
      <c r="D181" s="630" t="s">
        <v>1476</v>
      </c>
      <c r="E181" s="682">
        <v>80</v>
      </c>
      <c r="F181" s="682"/>
      <c r="G181" s="682">
        <v>90</v>
      </c>
      <c r="H181" s="682">
        <v>100</v>
      </c>
      <c r="I181" s="682">
        <v>90</v>
      </c>
      <c r="J181" s="682">
        <v>90</v>
      </c>
      <c r="K181" s="682">
        <v>90</v>
      </c>
      <c r="L181" s="682">
        <v>100</v>
      </c>
      <c r="M181" s="682">
        <v>100</v>
      </c>
      <c r="N181" s="682">
        <v>95</v>
      </c>
      <c r="O181" s="682">
        <v>100</v>
      </c>
      <c r="P181" s="682">
        <v>90</v>
      </c>
      <c r="Q181" s="682">
        <v>100</v>
      </c>
      <c r="R181" s="682">
        <v>95</v>
      </c>
      <c r="S181" s="682">
        <v>90</v>
      </c>
      <c r="T181" s="682">
        <v>90</v>
      </c>
      <c r="U181" s="682">
        <v>95</v>
      </c>
      <c r="V181" s="682">
        <v>100</v>
      </c>
      <c r="W181" s="682">
        <v>90</v>
      </c>
      <c r="X181" s="682">
        <v>90</v>
      </c>
      <c r="Y181" s="682">
        <v>100</v>
      </c>
      <c r="Z181" s="682">
        <v>90</v>
      </c>
      <c r="AA181" s="682">
        <v>100</v>
      </c>
      <c r="AB181" s="682">
        <v>90</v>
      </c>
      <c r="AC181" s="582"/>
      <c r="AD181" s="582"/>
      <c r="AE181" s="582"/>
      <c r="AF181" s="582"/>
      <c r="AG181" s="582"/>
      <c r="AH181" s="582"/>
    </row>
    <row r="182" spans="1:34" ht="38.25" customHeight="1">
      <c r="A182" s="599"/>
      <c r="B182" s="829"/>
      <c r="C182" s="683" t="s">
        <v>1737</v>
      </c>
      <c r="D182" s="630" t="s">
        <v>1738</v>
      </c>
      <c r="E182" s="682">
        <v>100</v>
      </c>
      <c r="F182" s="682"/>
      <c r="G182" s="682">
        <v>100</v>
      </c>
      <c r="H182" s="682">
        <v>100</v>
      </c>
      <c r="I182" s="682">
        <v>100</v>
      </c>
      <c r="J182" s="682">
        <v>100</v>
      </c>
      <c r="K182" s="682">
        <v>100</v>
      </c>
      <c r="L182" s="682">
        <v>100</v>
      </c>
      <c r="M182" s="682">
        <v>100</v>
      </c>
      <c r="N182" s="682">
        <v>100</v>
      </c>
      <c r="O182" s="682">
        <v>100</v>
      </c>
      <c r="P182" s="682">
        <v>100</v>
      </c>
      <c r="Q182" s="682">
        <v>100</v>
      </c>
      <c r="R182" s="682">
        <v>100</v>
      </c>
      <c r="S182" s="682">
        <v>100</v>
      </c>
      <c r="T182" s="682">
        <v>100</v>
      </c>
      <c r="U182" s="682">
        <v>100</v>
      </c>
      <c r="V182" s="682">
        <v>80</v>
      </c>
      <c r="W182" s="682">
        <v>100</v>
      </c>
      <c r="X182" s="682">
        <v>100</v>
      </c>
      <c r="Y182" s="682">
        <v>100</v>
      </c>
      <c r="Z182" s="682">
        <v>100</v>
      </c>
      <c r="AA182" s="682">
        <v>100</v>
      </c>
      <c r="AB182" s="682">
        <v>80</v>
      </c>
      <c r="AC182" s="582"/>
      <c r="AD182" s="582"/>
      <c r="AE182" s="582"/>
      <c r="AF182" s="582"/>
      <c r="AG182" s="582"/>
      <c r="AH182" s="582"/>
    </row>
    <row r="183" spans="1:34" ht="33.75" customHeight="1">
      <c r="A183" s="599"/>
      <c r="B183" s="829"/>
      <c r="C183" s="681" t="s">
        <v>1739</v>
      </c>
      <c r="D183" s="630" t="s">
        <v>1478</v>
      </c>
      <c r="E183" s="682">
        <v>100</v>
      </c>
      <c r="F183" s="682">
        <v>95</v>
      </c>
      <c r="G183" s="682">
        <v>90</v>
      </c>
      <c r="H183" s="682">
        <v>100</v>
      </c>
      <c r="I183" s="682">
        <v>90</v>
      </c>
      <c r="J183" s="682">
        <v>100</v>
      </c>
      <c r="K183" s="682">
        <v>100</v>
      </c>
      <c r="L183" s="682">
        <v>100</v>
      </c>
      <c r="M183" s="682">
        <v>100</v>
      </c>
      <c r="N183" s="682">
        <v>100</v>
      </c>
      <c r="O183" s="682">
        <v>100</v>
      </c>
      <c r="P183" s="682">
        <v>90</v>
      </c>
      <c r="Q183" s="682">
        <v>100</v>
      </c>
      <c r="R183" s="682">
        <v>100</v>
      </c>
      <c r="S183" s="682">
        <v>90</v>
      </c>
      <c r="T183" s="682">
        <v>100</v>
      </c>
      <c r="U183" s="682">
        <v>100</v>
      </c>
      <c r="V183" s="682">
        <v>95</v>
      </c>
      <c r="W183" s="682"/>
      <c r="X183" s="682">
        <v>90</v>
      </c>
      <c r="Y183" s="682">
        <v>100</v>
      </c>
      <c r="Z183" s="682">
        <v>100</v>
      </c>
      <c r="AA183" s="682">
        <v>100</v>
      </c>
      <c r="AB183" s="682">
        <v>90</v>
      </c>
      <c r="AC183" s="582"/>
      <c r="AD183" s="582"/>
      <c r="AE183" s="582"/>
      <c r="AF183" s="582"/>
      <c r="AG183" s="582"/>
      <c r="AH183" s="582"/>
    </row>
    <row r="184" spans="1:34" ht="37.5" customHeight="1">
      <c r="A184" s="599"/>
      <c r="B184" s="829"/>
      <c r="C184" s="681" t="s">
        <v>1740</v>
      </c>
      <c r="D184" s="630" t="s">
        <v>1480</v>
      </c>
      <c r="E184" s="682">
        <v>100</v>
      </c>
      <c r="F184" s="682">
        <v>100</v>
      </c>
      <c r="G184" s="682">
        <v>100</v>
      </c>
      <c r="H184" s="682">
        <v>100</v>
      </c>
      <c r="I184" s="682">
        <v>90</v>
      </c>
      <c r="J184" s="682">
        <v>100</v>
      </c>
      <c r="K184" s="682">
        <v>100</v>
      </c>
      <c r="L184" s="682">
        <v>100</v>
      </c>
      <c r="M184" s="682">
        <v>80</v>
      </c>
      <c r="N184" s="682">
        <v>100</v>
      </c>
      <c r="O184" s="682">
        <v>90</v>
      </c>
      <c r="P184" s="682">
        <v>100</v>
      </c>
      <c r="Q184" s="682">
        <v>80</v>
      </c>
      <c r="R184" s="682">
        <v>70</v>
      </c>
      <c r="S184" s="682">
        <v>90</v>
      </c>
      <c r="T184" s="682">
        <v>100</v>
      </c>
      <c r="U184" s="682">
        <v>100</v>
      </c>
      <c r="V184" s="682">
        <v>100</v>
      </c>
      <c r="W184" s="682">
        <v>100</v>
      </c>
      <c r="X184" s="682">
        <v>80</v>
      </c>
      <c r="Y184" s="682">
        <v>100</v>
      </c>
      <c r="Z184" s="682">
        <v>90</v>
      </c>
      <c r="AA184" s="682">
        <v>100</v>
      </c>
      <c r="AB184" s="682">
        <v>95</v>
      </c>
      <c r="AC184" s="582"/>
      <c r="AD184" s="582"/>
      <c r="AE184" s="582"/>
      <c r="AF184" s="582"/>
      <c r="AG184" s="582"/>
      <c r="AH184" s="582"/>
    </row>
    <row r="185" spans="1:34" ht="27" hidden="1" customHeight="1">
      <c r="A185" s="599"/>
      <c r="B185" s="829"/>
      <c r="C185" s="580"/>
      <c r="D185" s="581"/>
      <c r="E185" s="582"/>
      <c r="F185" s="582"/>
      <c r="G185" s="582"/>
      <c r="H185" s="582"/>
      <c r="I185" s="582"/>
      <c r="J185" s="582"/>
      <c r="K185" s="582"/>
      <c r="L185" s="582"/>
      <c r="M185" s="582"/>
      <c r="N185" s="582"/>
      <c r="O185" s="582"/>
      <c r="P185" s="582"/>
      <c r="Q185" s="582"/>
      <c r="R185" s="582"/>
      <c r="S185" s="582"/>
      <c r="T185" s="582"/>
      <c r="U185" s="582"/>
      <c r="V185" s="582"/>
      <c r="W185" s="582"/>
      <c r="X185" s="582"/>
      <c r="Y185" s="582"/>
      <c r="Z185" s="582"/>
      <c r="AA185" s="582"/>
      <c r="AB185" s="582"/>
      <c r="AC185" s="582"/>
      <c r="AD185" s="582"/>
      <c r="AE185" s="582"/>
      <c r="AF185" s="582"/>
      <c r="AG185" s="582"/>
      <c r="AH185" s="582"/>
    </row>
    <row r="186" spans="1:34" ht="27" hidden="1" customHeight="1">
      <c r="A186" s="599"/>
      <c r="B186" s="829"/>
      <c r="C186" s="580"/>
      <c r="D186" s="581"/>
      <c r="E186" s="582"/>
      <c r="F186" s="582"/>
      <c r="G186" s="582"/>
      <c r="H186" s="582"/>
      <c r="I186" s="582"/>
      <c r="J186" s="582"/>
      <c r="K186" s="582"/>
      <c r="L186" s="582"/>
      <c r="M186" s="582"/>
      <c r="N186" s="582"/>
      <c r="O186" s="582"/>
      <c r="P186" s="582"/>
      <c r="Q186" s="582"/>
      <c r="R186" s="582"/>
      <c r="S186" s="582"/>
      <c r="T186" s="582"/>
      <c r="U186" s="582"/>
      <c r="V186" s="582"/>
      <c r="W186" s="582"/>
      <c r="X186" s="582"/>
      <c r="Y186" s="582"/>
      <c r="Z186" s="582"/>
      <c r="AA186" s="582"/>
      <c r="AB186" s="582"/>
      <c r="AC186" s="582"/>
      <c r="AD186" s="582"/>
      <c r="AE186" s="582"/>
      <c r="AF186" s="582"/>
      <c r="AG186" s="582"/>
      <c r="AH186" s="582"/>
    </row>
    <row r="187" spans="1:34" ht="27" hidden="1" customHeight="1">
      <c r="A187" s="599"/>
      <c r="B187" s="829"/>
      <c r="C187" s="580"/>
      <c r="D187" s="581"/>
      <c r="E187" s="582"/>
      <c r="F187" s="582"/>
      <c r="G187" s="582"/>
      <c r="H187" s="582"/>
      <c r="I187" s="582"/>
      <c r="J187" s="582"/>
      <c r="K187" s="582"/>
      <c r="L187" s="582"/>
      <c r="M187" s="582"/>
      <c r="N187" s="582"/>
      <c r="O187" s="582"/>
      <c r="P187" s="582"/>
      <c r="Q187" s="582"/>
      <c r="R187" s="582"/>
      <c r="S187" s="582"/>
      <c r="T187" s="582"/>
      <c r="U187" s="582"/>
      <c r="V187" s="582"/>
      <c r="W187" s="582"/>
      <c r="X187" s="582"/>
      <c r="Y187" s="582"/>
      <c r="Z187" s="582"/>
      <c r="AA187" s="582"/>
      <c r="AB187" s="582"/>
      <c r="AC187" s="582"/>
      <c r="AD187" s="582"/>
      <c r="AE187" s="582"/>
      <c r="AF187" s="582"/>
      <c r="AG187" s="582"/>
      <c r="AH187" s="582"/>
    </row>
    <row r="188" spans="1:34" ht="27" hidden="1" customHeight="1">
      <c r="A188" s="599"/>
      <c r="B188" s="829"/>
      <c r="C188" s="580"/>
      <c r="D188" s="581"/>
      <c r="E188" s="582"/>
      <c r="F188" s="582"/>
      <c r="G188" s="582"/>
      <c r="H188" s="582"/>
      <c r="I188" s="582"/>
      <c r="J188" s="582"/>
      <c r="K188" s="582"/>
      <c r="L188" s="582"/>
      <c r="M188" s="582"/>
      <c r="N188" s="582"/>
      <c r="O188" s="582"/>
      <c r="P188" s="582"/>
      <c r="Q188" s="582"/>
      <c r="R188" s="582"/>
      <c r="S188" s="582"/>
      <c r="T188" s="582"/>
      <c r="U188" s="582"/>
      <c r="V188" s="582"/>
      <c r="W188" s="582"/>
      <c r="X188" s="582"/>
      <c r="Y188" s="582"/>
      <c r="Z188" s="582"/>
      <c r="AA188" s="582"/>
      <c r="AB188" s="582"/>
      <c r="AC188" s="582"/>
      <c r="AD188" s="582"/>
      <c r="AE188" s="582"/>
      <c r="AF188" s="582"/>
      <c r="AG188" s="582"/>
      <c r="AH188" s="582"/>
    </row>
    <row r="189" spans="1:34" ht="27" hidden="1" customHeight="1">
      <c r="A189" s="599"/>
      <c r="B189" s="829"/>
      <c r="C189" s="580"/>
      <c r="D189" s="581"/>
      <c r="E189" s="582"/>
      <c r="F189" s="582"/>
      <c r="G189" s="582"/>
      <c r="H189" s="582"/>
      <c r="I189" s="582"/>
      <c r="J189" s="582"/>
      <c r="K189" s="582"/>
      <c r="L189" s="582"/>
      <c r="M189" s="582"/>
      <c r="N189" s="582"/>
      <c r="O189" s="582"/>
      <c r="P189" s="582"/>
      <c r="Q189" s="582"/>
      <c r="R189" s="582"/>
      <c r="S189" s="582"/>
      <c r="T189" s="582"/>
      <c r="U189" s="582"/>
      <c r="V189" s="582"/>
      <c r="W189" s="582"/>
      <c r="X189" s="582"/>
      <c r="Y189" s="582"/>
      <c r="Z189" s="582"/>
      <c r="AA189" s="582"/>
      <c r="AB189" s="582"/>
      <c r="AC189" s="582"/>
      <c r="AD189" s="582"/>
      <c r="AE189" s="582"/>
      <c r="AF189" s="582"/>
      <c r="AG189" s="582"/>
      <c r="AH189" s="582"/>
    </row>
    <row r="190" spans="1:34" ht="27" hidden="1" customHeight="1">
      <c r="A190" s="599"/>
      <c r="B190" s="829"/>
      <c r="C190" s="580"/>
      <c r="D190" s="581"/>
      <c r="E190" s="582"/>
      <c r="F190" s="582"/>
      <c r="G190" s="582"/>
      <c r="H190" s="582"/>
      <c r="I190" s="582"/>
      <c r="J190" s="582"/>
      <c r="K190" s="582"/>
      <c r="L190" s="582"/>
      <c r="M190" s="582"/>
      <c r="N190" s="582"/>
      <c r="O190" s="582"/>
      <c r="P190" s="582"/>
      <c r="Q190" s="582"/>
      <c r="R190" s="582"/>
      <c r="S190" s="582"/>
      <c r="T190" s="582"/>
      <c r="U190" s="582"/>
      <c r="V190" s="582"/>
      <c r="W190" s="582"/>
      <c r="X190" s="582"/>
      <c r="Y190" s="582"/>
      <c r="Z190" s="582"/>
      <c r="AA190" s="582"/>
      <c r="AB190" s="582"/>
      <c r="AC190" s="582"/>
      <c r="AD190" s="582"/>
      <c r="AE190" s="582"/>
      <c r="AF190" s="582"/>
      <c r="AG190" s="582"/>
      <c r="AH190" s="582"/>
    </row>
    <row r="191" spans="1:34" ht="27" hidden="1" customHeight="1">
      <c r="A191" s="599"/>
      <c r="B191" s="830"/>
      <c r="C191" s="580"/>
      <c r="D191" s="581"/>
      <c r="E191" s="582"/>
      <c r="F191" s="582"/>
      <c r="G191" s="582"/>
      <c r="H191" s="582"/>
      <c r="I191" s="582"/>
      <c r="J191" s="582"/>
      <c r="K191" s="582"/>
      <c r="L191" s="582"/>
      <c r="M191" s="582"/>
      <c r="N191" s="582"/>
      <c r="O191" s="582"/>
      <c r="P191" s="582"/>
      <c r="Q191" s="582"/>
      <c r="R191" s="582"/>
      <c r="S191" s="582"/>
      <c r="T191" s="582"/>
      <c r="U191" s="582"/>
      <c r="V191" s="582"/>
      <c r="W191" s="582"/>
      <c r="X191" s="582"/>
      <c r="Y191" s="582"/>
      <c r="Z191" s="582"/>
      <c r="AA191" s="582"/>
      <c r="AB191" s="582"/>
      <c r="AC191" s="582"/>
      <c r="AD191" s="582"/>
      <c r="AE191" s="582"/>
      <c r="AF191" s="582"/>
      <c r="AG191" s="582"/>
      <c r="AH191" s="582"/>
    </row>
    <row r="192" spans="1:34" ht="46.5" customHeight="1">
      <c r="A192" s="599"/>
      <c r="B192" s="841">
        <v>6</v>
      </c>
      <c r="C192" s="834" t="s">
        <v>1746</v>
      </c>
      <c r="D192" s="835"/>
      <c r="E192" s="579">
        <f>IF(SUM(E193:E227)&gt;0,AVERAGE(E193:E227),IF(SUM(E193:E227)=0,"",))</f>
        <v>96.739130434782609</v>
      </c>
      <c r="F192" s="579">
        <f t="shared" ref="F192:AH192" si="5">IF(SUM(F193:F227)&gt;0,AVERAGE(F193:F227),IF(SUM(F193:F227)=0,"",))</f>
        <v>95.588235294117652</v>
      </c>
      <c r="G192" s="579">
        <f t="shared" si="5"/>
        <v>93.333333333333329</v>
      </c>
      <c r="H192" s="579">
        <f t="shared" si="5"/>
        <v>98.478260869565219</v>
      </c>
      <c r="I192" s="579">
        <f t="shared" si="5"/>
        <v>97.826086956521735</v>
      </c>
      <c r="J192" s="579">
        <f t="shared" si="5"/>
        <v>98.181818181818187</v>
      </c>
      <c r="K192" s="579">
        <f t="shared" si="5"/>
        <v>97.608695652173907</v>
      </c>
      <c r="L192" s="579">
        <f t="shared" si="5"/>
        <v>96.956521739130437</v>
      </c>
      <c r="M192" s="579">
        <f t="shared" si="5"/>
        <v>94.347826086956516</v>
      </c>
      <c r="N192" s="579">
        <f t="shared" si="5"/>
        <v>98.043478260869563</v>
      </c>
      <c r="O192" s="579">
        <f t="shared" si="5"/>
        <v>97.608695652173907</v>
      </c>
      <c r="P192" s="579">
        <f t="shared" si="5"/>
        <v>97.391304347826093</v>
      </c>
      <c r="Q192" s="579">
        <f t="shared" si="5"/>
        <v>97.173913043478265</v>
      </c>
      <c r="R192" s="579">
        <f t="shared" si="5"/>
        <v>97.941176470588232</v>
      </c>
      <c r="S192" s="579">
        <f t="shared" si="5"/>
        <v>92</v>
      </c>
      <c r="T192" s="579">
        <f t="shared" si="5"/>
        <v>95</v>
      </c>
      <c r="U192" s="579">
        <f t="shared" si="5"/>
        <v>98.913043478260875</v>
      </c>
      <c r="V192" s="579">
        <f t="shared" si="5"/>
        <v>94.347826086956516</v>
      </c>
      <c r="W192" s="579">
        <f t="shared" si="5"/>
        <v>94.130434782608702</v>
      </c>
      <c r="X192" s="579">
        <f t="shared" si="5"/>
        <v>95.217391304347828</v>
      </c>
      <c r="Y192" s="579">
        <f t="shared" si="5"/>
        <v>97.826086956521735</v>
      </c>
      <c r="Z192" s="579">
        <f t="shared" si="5"/>
        <v>93.913043478260875</v>
      </c>
      <c r="AA192" s="579">
        <f t="shared" si="5"/>
        <v>98.478260869565219</v>
      </c>
      <c r="AB192" s="579">
        <f t="shared" si="5"/>
        <v>92.173913043478265</v>
      </c>
      <c r="AC192" s="579" t="str">
        <f t="shared" si="5"/>
        <v/>
      </c>
      <c r="AD192" s="579" t="str">
        <f t="shared" si="5"/>
        <v/>
      </c>
      <c r="AE192" s="579" t="str">
        <f t="shared" si="5"/>
        <v/>
      </c>
      <c r="AF192" s="579" t="str">
        <f t="shared" si="5"/>
        <v/>
      </c>
      <c r="AG192" s="579" t="str">
        <f t="shared" si="5"/>
        <v/>
      </c>
      <c r="AH192" s="579" t="str">
        <f t="shared" si="5"/>
        <v/>
      </c>
    </row>
    <row r="193" spans="1:34" ht="35.25" customHeight="1">
      <c r="A193" s="599"/>
      <c r="B193" s="841"/>
      <c r="C193" s="684" t="s">
        <v>1612</v>
      </c>
      <c r="D193" s="685" t="s">
        <v>1613</v>
      </c>
      <c r="E193" s="628">
        <v>100</v>
      </c>
      <c r="F193" s="628"/>
      <c r="G193" s="628">
        <v>90</v>
      </c>
      <c r="H193" s="628">
        <v>100</v>
      </c>
      <c r="I193" s="628">
        <v>90</v>
      </c>
      <c r="J193" s="628">
        <v>100</v>
      </c>
      <c r="K193" s="628">
        <v>90</v>
      </c>
      <c r="L193" s="628">
        <v>100</v>
      </c>
      <c r="M193" s="628">
        <v>90</v>
      </c>
      <c r="N193" s="628">
        <v>80</v>
      </c>
      <c r="O193" s="628">
        <v>80</v>
      </c>
      <c r="P193" s="628">
        <v>100</v>
      </c>
      <c r="Q193" s="628">
        <v>90</v>
      </c>
      <c r="R193" s="628">
        <v>100</v>
      </c>
      <c r="S193" s="628">
        <v>80</v>
      </c>
      <c r="T193" s="628">
        <v>80</v>
      </c>
      <c r="U193" s="628">
        <v>100</v>
      </c>
      <c r="V193" s="628">
        <v>90</v>
      </c>
      <c r="W193" s="628">
        <v>100</v>
      </c>
      <c r="X193" s="628">
        <v>95</v>
      </c>
      <c r="Y193" s="628">
        <v>100</v>
      </c>
      <c r="Z193" s="628">
        <v>90</v>
      </c>
      <c r="AA193" s="628">
        <v>100</v>
      </c>
      <c r="AB193" s="628">
        <v>90</v>
      </c>
      <c r="AC193" s="582"/>
      <c r="AD193" s="582"/>
      <c r="AE193" s="582"/>
      <c r="AF193" s="582"/>
      <c r="AG193" s="582"/>
      <c r="AH193" s="582"/>
    </row>
    <row r="194" spans="1:34" ht="33.75" customHeight="1">
      <c r="A194" s="599"/>
      <c r="B194" s="841"/>
      <c r="C194" s="684" t="s">
        <v>1614</v>
      </c>
      <c r="D194" s="685" t="s">
        <v>1484</v>
      </c>
      <c r="E194" s="628">
        <v>90</v>
      </c>
      <c r="F194" s="628">
        <v>70</v>
      </c>
      <c r="G194" s="628">
        <v>80</v>
      </c>
      <c r="H194" s="628">
        <v>100</v>
      </c>
      <c r="I194" s="628">
        <v>90</v>
      </c>
      <c r="J194" s="628">
        <v>80</v>
      </c>
      <c r="K194" s="628">
        <v>90</v>
      </c>
      <c r="L194" s="628">
        <v>80</v>
      </c>
      <c r="M194" s="628">
        <v>70</v>
      </c>
      <c r="N194" s="628">
        <v>100</v>
      </c>
      <c r="O194" s="628">
        <v>90</v>
      </c>
      <c r="P194" s="628">
        <v>70</v>
      </c>
      <c r="Q194" s="628">
        <v>85</v>
      </c>
      <c r="R194" s="628">
        <v>90</v>
      </c>
      <c r="S194" s="628">
        <v>60</v>
      </c>
      <c r="T194" s="628">
        <v>90</v>
      </c>
      <c r="U194" s="628">
        <v>100</v>
      </c>
      <c r="V194" s="628">
        <v>70</v>
      </c>
      <c r="W194" s="628">
        <v>70</v>
      </c>
      <c r="X194" s="628">
        <v>90</v>
      </c>
      <c r="Y194" s="628">
        <v>80</v>
      </c>
      <c r="Z194" s="628">
        <v>95</v>
      </c>
      <c r="AA194" s="628">
        <v>90</v>
      </c>
      <c r="AB194" s="628">
        <v>80</v>
      </c>
      <c r="AC194" s="582"/>
      <c r="AD194" s="582"/>
      <c r="AE194" s="582"/>
      <c r="AF194" s="582"/>
      <c r="AG194" s="582"/>
      <c r="AH194" s="582"/>
    </row>
    <row r="195" spans="1:34" ht="34.5" customHeight="1">
      <c r="A195" s="599"/>
      <c r="B195" s="841"/>
      <c r="C195" s="684" t="s">
        <v>1615</v>
      </c>
      <c r="D195" s="685" t="s">
        <v>1616</v>
      </c>
      <c r="E195" s="628">
        <v>95</v>
      </c>
      <c r="F195" s="628">
        <v>90</v>
      </c>
      <c r="G195" s="628">
        <v>90</v>
      </c>
      <c r="H195" s="628">
        <v>100</v>
      </c>
      <c r="I195" s="628">
        <v>100</v>
      </c>
      <c r="J195" s="628">
        <v>100</v>
      </c>
      <c r="K195" s="628">
        <v>100</v>
      </c>
      <c r="L195" s="628">
        <v>100</v>
      </c>
      <c r="M195" s="628">
        <v>95</v>
      </c>
      <c r="N195" s="628">
        <v>100</v>
      </c>
      <c r="O195" s="628">
        <v>100</v>
      </c>
      <c r="P195" s="628">
        <v>100</v>
      </c>
      <c r="Q195" s="628">
        <v>100</v>
      </c>
      <c r="R195" s="628">
        <v>95</v>
      </c>
      <c r="S195" s="628">
        <v>95</v>
      </c>
      <c r="T195" s="628">
        <v>100</v>
      </c>
      <c r="U195" s="628">
        <v>100</v>
      </c>
      <c r="V195" s="628">
        <v>90</v>
      </c>
      <c r="W195" s="628">
        <v>100</v>
      </c>
      <c r="X195" s="628">
        <v>100</v>
      </c>
      <c r="Y195" s="628">
        <v>100</v>
      </c>
      <c r="Z195" s="628">
        <v>100</v>
      </c>
      <c r="AA195" s="628">
        <v>100</v>
      </c>
      <c r="AB195" s="628">
        <v>100</v>
      </c>
      <c r="AC195" s="582"/>
      <c r="AD195" s="582"/>
      <c r="AE195" s="582"/>
      <c r="AF195" s="582"/>
      <c r="AG195" s="582"/>
      <c r="AH195" s="582"/>
    </row>
    <row r="196" spans="1:34" ht="27" customHeight="1">
      <c r="A196" s="599"/>
      <c r="B196" s="841"/>
      <c r="C196" s="684" t="s">
        <v>1617</v>
      </c>
      <c r="D196" s="685" t="s">
        <v>1486</v>
      </c>
      <c r="E196" s="628">
        <v>95</v>
      </c>
      <c r="F196" s="628">
        <v>90</v>
      </c>
      <c r="G196" s="628">
        <v>100</v>
      </c>
      <c r="H196" s="628">
        <v>95</v>
      </c>
      <c r="I196" s="628">
        <v>100</v>
      </c>
      <c r="J196" s="628">
        <v>95</v>
      </c>
      <c r="K196" s="628">
        <v>100</v>
      </c>
      <c r="L196" s="628">
        <v>100</v>
      </c>
      <c r="M196" s="628">
        <v>100</v>
      </c>
      <c r="N196" s="628">
        <v>100</v>
      </c>
      <c r="O196" s="628">
        <v>100</v>
      </c>
      <c r="P196" s="628">
        <v>100</v>
      </c>
      <c r="Q196" s="628">
        <v>100</v>
      </c>
      <c r="R196" s="628">
        <v>100</v>
      </c>
      <c r="S196" s="628">
        <v>90</v>
      </c>
      <c r="T196" s="628">
        <v>90</v>
      </c>
      <c r="U196" s="628">
        <v>95</v>
      </c>
      <c r="V196" s="628">
        <v>95</v>
      </c>
      <c r="W196" s="628">
        <v>95</v>
      </c>
      <c r="X196" s="628">
        <v>100</v>
      </c>
      <c r="Y196" s="628">
        <v>95</v>
      </c>
      <c r="Z196" s="628">
        <v>95</v>
      </c>
      <c r="AA196" s="628">
        <v>100</v>
      </c>
      <c r="AB196" s="628">
        <v>85</v>
      </c>
      <c r="AC196" s="582"/>
      <c r="AD196" s="582"/>
      <c r="AE196" s="582"/>
      <c r="AF196" s="582"/>
      <c r="AG196" s="582"/>
      <c r="AH196" s="582"/>
    </row>
    <row r="197" spans="1:34" ht="32.25" customHeight="1">
      <c r="A197" s="599"/>
      <c r="B197" s="841"/>
      <c r="C197" s="684" t="s">
        <v>1618</v>
      </c>
      <c r="D197" s="685" t="s">
        <v>1488</v>
      </c>
      <c r="E197" s="628">
        <v>100</v>
      </c>
      <c r="F197" s="628"/>
      <c r="G197" s="628"/>
      <c r="H197" s="628">
        <v>100</v>
      </c>
      <c r="I197" s="628">
        <v>100</v>
      </c>
      <c r="J197" s="628">
        <v>100</v>
      </c>
      <c r="K197" s="628">
        <v>100</v>
      </c>
      <c r="L197" s="628">
        <v>100</v>
      </c>
      <c r="M197" s="628">
        <v>100</v>
      </c>
      <c r="N197" s="628">
        <v>100</v>
      </c>
      <c r="O197" s="628">
        <v>100</v>
      </c>
      <c r="P197" s="628">
        <v>100</v>
      </c>
      <c r="Q197" s="628">
        <v>100</v>
      </c>
      <c r="R197" s="628">
        <v>100</v>
      </c>
      <c r="S197" s="628">
        <v>100</v>
      </c>
      <c r="T197" s="628">
        <v>100</v>
      </c>
      <c r="U197" s="628">
        <v>100</v>
      </c>
      <c r="V197" s="628">
        <v>100</v>
      </c>
      <c r="W197" s="628">
        <v>100</v>
      </c>
      <c r="X197" s="628">
        <v>100</v>
      </c>
      <c r="Y197" s="628">
        <v>100</v>
      </c>
      <c r="Z197" s="628">
        <v>100</v>
      </c>
      <c r="AA197" s="628">
        <v>100</v>
      </c>
      <c r="AB197" s="628">
        <v>100</v>
      </c>
      <c r="AC197" s="582"/>
      <c r="AD197" s="582"/>
      <c r="AE197" s="582"/>
      <c r="AF197" s="582"/>
      <c r="AG197" s="582"/>
      <c r="AH197" s="582"/>
    </row>
    <row r="198" spans="1:34" ht="27" customHeight="1">
      <c r="A198" s="599"/>
      <c r="B198" s="841"/>
      <c r="C198" s="686" t="s">
        <v>1551</v>
      </c>
      <c r="D198" s="687" t="s">
        <v>1490</v>
      </c>
      <c r="E198" s="651">
        <v>95</v>
      </c>
      <c r="F198" s="651">
        <v>100</v>
      </c>
      <c r="G198" s="651"/>
      <c r="H198" s="651">
        <v>100</v>
      </c>
      <c r="I198" s="651">
        <v>95</v>
      </c>
      <c r="J198" s="651">
        <v>100</v>
      </c>
      <c r="K198" s="651">
        <v>95</v>
      </c>
      <c r="L198" s="651">
        <v>100</v>
      </c>
      <c r="M198" s="651">
        <v>85</v>
      </c>
      <c r="N198" s="651">
        <v>100</v>
      </c>
      <c r="O198" s="651">
        <v>100</v>
      </c>
      <c r="P198" s="651">
        <v>85</v>
      </c>
      <c r="Q198" s="651">
        <v>95</v>
      </c>
      <c r="R198" s="651">
        <v>100</v>
      </c>
      <c r="S198" s="651">
        <v>85</v>
      </c>
      <c r="T198" s="651">
        <v>90</v>
      </c>
      <c r="U198" s="651">
        <v>100</v>
      </c>
      <c r="V198" s="651">
        <v>100</v>
      </c>
      <c r="W198" s="651">
        <v>100</v>
      </c>
      <c r="X198" s="651">
        <v>90</v>
      </c>
      <c r="Y198" s="651">
        <v>100</v>
      </c>
      <c r="Z198" s="651">
        <v>100</v>
      </c>
      <c r="AA198" s="651">
        <v>100</v>
      </c>
      <c r="AB198" s="651">
        <v>100</v>
      </c>
      <c r="AC198" s="582"/>
      <c r="AD198" s="582"/>
      <c r="AE198" s="582"/>
      <c r="AF198" s="582"/>
      <c r="AG198" s="582"/>
      <c r="AH198" s="582"/>
    </row>
    <row r="199" spans="1:34" ht="37.5" customHeight="1">
      <c r="A199" s="599"/>
      <c r="B199" s="841"/>
      <c r="C199" s="686" t="s">
        <v>1619</v>
      </c>
      <c r="D199" s="687" t="s">
        <v>1620</v>
      </c>
      <c r="E199" s="651">
        <v>90</v>
      </c>
      <c r="F199" s="651">
        <v>95</v>
      </c>
      <c r="G199" s="651">
        <v>90</v>
      </c>
      <c r="H199" s="651">
        <v>100</v>
      </c>
      <c r="I199" s="651">
        <v>100</v>
      </c>
      <c r="J199" s="651">
        <v>100</v>
      </c>
      <c r="K199" s="651">
        <v>100</v>
      </c>
      <c r="L199" s="651">
        <v>95</v>
      </c>
      <c r="M199" s="651">
        <v>100</v>
      </c>
      <c r="N199" s="651">
        <v>100</v>
      </c>
      <c r="O199" s="651">
        <v>100</v>
      </c>
      <c r="P199" s="651">
        <v>100</v>
      </c>
      <c r="Q199" s="651">
        <v>100</v>
      </c>
      <c r="R199" s="651">
        <v>100</v>
      </c>
      <c r="S199" s="651">
        <v>100</v>
      </c>
      <c r="T199" s="651">
        <v>90</v>
      </c>
      <c r="U199" s="651">
        <v>100</v>
      </c>
      <c r="V199" s="651">
        <v>100</v>
      </c>
      <c r="W199" s="651">
        <v>85</v>
      </c>
      <c r="X199" s="651">
        <v>100</v>
      </c>
      <c r="Y199" s="651">
        <v>100</v>
      </c>
      <c r="Z199" s="651">
        <v>100</v>
      </c>
      <c r="AA199" s="651">
        <v>100</v>
      </c>
      <c r="AB199" s="651">
        <v>100</v>
      </c>
      <c r="AC199" s="582"/>
      <c r="AD199" s="582"/>
      <c r="AE199" s="582"/>
      <c r="AF199" s="582"/>
      <c r="AG199" s="582"/>
      <c r="AH199" s="582"/>
    </row>
    <row r="200" spans="1:34" ht="34.5" customHeight="1">
      <c r="A200" s="599"/>
      <c r="B200" s="841"/>
      <c r="C200" s="686" t="s">
        <v>1621</v>
      </c>
      <c r="D200" s="687" t="s">
        <v>1492</v>
      </c>
      <c r="E200" s="651">
        <v>90</v>
      </c>
      <c r="F200" s="651">
        <v>90</v>
      </c>
      <c r="G200" s="651">
        <v>90</v>
      </c>
      <c r="H200" s="651">
        <v>100</v>
      </c>
      <c r="I200" s="651">
        <v>100</v>
      </c>
      <c r="J200" s="651">
        <v>90</v>
      </c>
      <c r="K200" s="651">
        <v>90</v>
      </c>
      <c r="L200" s="651">
        <v>90</v>
      </c>
      <c r="M200" s="651">
        <v>90</v>
      </c>
      <c r="N200" s="651">
        <v>100</v>
      </c>
      <c r="O200" s="651">
        <v>100</v>
      </c>
      <c r="P200" s="651">
        <v>100</v>
      </c>
      <c r="Q200" s="651">
        <v>100</v>
      </c>
      <c r="R200" s="651">
        <v>90</v>
      </c>
      <c r="S200" s="651">
        <v>100</v>
      </c>
      <c r="T200" s="651">
        <v>80</v>
      </c>
      <c r="U200" s="651">
        <v>90</v>
      </c>
      <c r="V200" s="651">
        <v>100</v>
      </c>
      <c r="W200" s="651">
        <v>90</v>
      </c>
      <c r="X200" s="651">
        <v>70</v>
      </c>
      <c r="Y200" s="651">
        <v>90</v>
      </c>
      <c r="Z200" s="651">
        <v>90</v>
      </c>
      <c r="AA200" s="651">
        <v>90</v>
      </c>
      <c r="AB200" s="651">
        <v>80</v>
      </c>
      <c r="AC200" s="582"/>
      <c r="AD200" s="582"/>
      <c r="AE200" s="582"/>
      <c r="AF200" s="582"/>
      <c r="AG200" s="582"/>
      <c r="AH200" s="582"/>
    </row>
    <row r="201" spans="1:34" ht="33.75" customHeight="1">
      <c r="A201" s="599"/>
      <c r="B201" s="841"/>
      <c r="C201" s="686" t="s">
        <v>1622</v>
      </c>
      <c r="D201" s="687" t="s">
        <v>1623</v>
      </c>
      <c r="E201" s="651">
        <v>100</v>
      </c>
      <c r="F201" s="651">
        <v>100</v>
      </c>
      <c r="G201" s="651">
        <v>95</v>
      </c>
      <c r="H201" s="651">
        <v>100</v>
      </c>
      <c r="I201" s="651">
        <v>95</v>
      </c>
      <c r="J201" s="651">
        <v>100</v>
      </c>
      <c r="K201" s="651">
        <v>100</v>
      </c>
      <c r="L201" s="651">
        <v>100</v>
      </c>
      <c r="M201" s="651">
        <v>100</v>
      </c>
      <c r="N201" s="651">
        <v>90</v>
      </c>
      <c r="O201" s="651">
        <v>100</v>
      </c>
      <c r="P201" s="651">
        <v>100</v>
      </c>
      <c r="Q201" s="651">
        <v>95</v>
      </c>
      <c r="R201" s="651">
        <v>90</v>
      </c>
      <c r="S201" s="651">
        <v>95</v>
      </c>
      <c r="T201" s="651">
        <v>100</v>
      </c>
      <c r="U201" s="651">
        <v>100</v>
      </c>
      <c r="V201" s="651">
        <v>95</v>
      </c>
      <c r="W201" s="651">
        <v>100</v>
      </c>
      <c r="X201" s="651">
        <v>100</v>
      </c>
      <c r="Y201" s="651">
        <v>100</v>
      </c>
      <c r="Z201" s="651">
        <v>100</v>
      </c>
      <c r="AA201" s="651">
        <v>100</v>
      </c>
      <c r="AB201" s="651">
        <v>95</v>
      </c>
      <c r="AC201" s="582"/>
      <c r="AD201" s="582"/>
      <c r="AE201" s="582"/>
      <c r="AF201" s="582"/>
      <c r="AG201" s="582"/>
      <c r="AH201" s="582"/>
    </row>
    <row r="202" spans="1:34" ht="34.5" customHeight="1">
      <c r="A202" s="599"/>
      <c r="B202" s="841"/>
      <c r="C202" s="686" t="s">
        <v>1624</v>
      </c>
      <c r="D202" s="687" t="s">
        <v>1494</v>
      </c>
      <c r="E202" s="651">
        <v>100</v>
      </c>
      <c r="F202" s="651">
        <v>90</v>
      </c>
      <c r="G202" s="651">
        <v>100</v>
      </c>
      <c r="H202" s="651">
        <v>100</v>
      </c>
      <c r="I202" s="651">
        <v>100</v>
      </c>
      <c r="J202" s="651">
        <v>100</v>
      </c>
      <c r="K202" s="651">
        <v>100</v>
      </c>
      <c r="L202" s="651">
        <v>100</v>
      </c>
      <c r="M202" s="651">
        <v>100</v>
      </c>
      <c r="N202" s="651">
        <v>100</v>
      </c>
      <c r="O202" s="651">
        <v>100</v>
      </c>
      <c r="P202" s="651">
        <v>100</v>
      </c>
      <c r="Q202" s="651">
        <v>90</v>
      </c>
      <c r="R202" s="651"/>
      <c r="S202" s="651">
        <v>90</v>
      </c>
      <c r="T202" s="651">
        <v>100</v>
      </c>
      <c r="U202" s="651">
        <v>100</v>
      </c>
      <c r="V202" s="651">
        <v>100</v>
      </c>
      <c r="W202" s="651">
        <v>100</v>
      </c>
      <c r="X202" s="651">
        <v>100</v>
      </c>
      <c r="Y202" s="651">
        <v>100</v>
      </c>
      <c r="Z202" s="651">
        <v>100</v>
      </c>
      <c r="AA202" s="651">
        <v>100</v>
      </c>
      <c r="AB202" s="651">
        <v>100</v>
      </c>
      <c r="AC202" s="582"/>
      <c r="AD202" s="582"/>
      <c r="AE202" s="582"/>
      <c r="AF202" s="582"/>
      <c r="AG202" s="582"/>
      <c r="AH202" s="582"/>
    </row>
    <row r="203" spans="1:34" ht="33.75" customHeight="1">
      <c r="A203" s="599"/>
      <c r="B203" s="841"/>
      <c r="C203" s="686" t="s">
        <v>1625</v>
      </c>
      <c r="D203" s="687" t="s">
        <v>1496</v>
      </c>
      <c r="E203" s="651">
        <v>100</v>
      </c>
      <c r="F203" s="651">
        <v>100</v>
      </c>
      <c r="G203" s="651">
        <v>100</v>
      </c>
      <c r="H203" s="651">
        <v>90</v>
      </c>
      <c r="I203" s="651">
        <v>100</v>
      </c>
      <c r="J203" s="651">
        <v>100</v>
      </c>
      <c r="K203" s="651">
        <v>100</v>
      </c>
      <c r="L203" s="651">
        <v>100</v>
      </c>
      <c r="M203" s="651">
        <v>90</v>
      </c>
      <c r="N203" s="651">
        <v>100</v>
      </c>
      <c r="O203" s="651">
        <v>90</v>
      </c>
      <c r="P203" s="651">
        <v>100</v>
      </c>
      <c r="Q203" s="651">
        <v>100</v>
      </c>
      <c r="R203" s="651">
        <v>100</v>
      </c>
      <c r="S203" s="651">
        <v>100</v>
      </c>
      <c r="T203" s="651">
        <v>100</v>
      </c>
      <c r="U203" s="651">
        <v>100</v>
      </c>
      <c r="V203" s="651">
        <v>80</v>
      </c>
      <c r="W203" s="651">
        <v>100</v>
      </c>
      <c r="X203" s="651">
        <v>100</v>
      </c>
      <c r="Y203" s="651">
        <v>100</v>
      </c>
      <c r="Z203" s="651">
        <v>80</v>
      </c>
      <c r="AA203" s="651">
        <v>100</v>
      </c>
      <c r="AB203" s="651">
        <v>100</v>
      </c>
      <c r="AC203" s="582"/>
      <c r="AD203" s="582"/>
      <c r="AE203" s="582"/>
      <c r="AF203" s="582"/>
      <c r="AG203" s="582"/>
      <c r="AH203" s="582"/>
    </row>
    <row r="204" spans="1:34" ht="27" customHeight="1">
      <c r="A204" s="599"/>
      <c r="B204" s="841"/>
      <c r="C204" s="688" t="s">
        <v>1626</v>
      </c>
      <c r="D204" s="689" t="s">
        <v>1498</v>
      </c>
      <c r="E204" s="636">
        <v>90</v>
      </c>
      <c r="F204" s="636"/>
      <c r="G204" s="636">
        <v>90</v>
      </c>
      <c r="H204" s="636">
        <v>90</v>
      </c>
      <c r="I204" s="636">
        <v>100</v>
      </c>
      <c r="J204" s="636">
        <v>100</v>
      </c>
      <c r="K204" s="636">
        <v>100</v>
      </c>
      <c r="L204" s="636">
        <v>80</v>
      </c>
      <c r="M204" s="636">
        <v>95</v>
      </c>
      <c r="N204" s="636">
        <v>100</v>
      </c>
      <c r="O204" s="636">
        <v>100</v>
      </c>
      <c r="P204" s="636">
        <v>100</v>
      </c>
      <c r="Q204" s="636">
        <v>100</v>
      </c>
      <c r="R204" s="636">
        <v>100</v>
      </c>
      <c r="S204" s="636"/>
      <c r="T204" s="636">
        <v>90</v>
      </c>
      <c r="U204" s="636">
        <v>90</v>
      </c>
      <c r="V204" s="636">
        <v>100</v>
      </c>
      <c r="W204" s="636">
        <v>100</v>
      </c>
      <c r="X204" s="636">
        <v>100</v>
      </c>
      <c r="Y204" s="636">
        <v>90</v>
      </c>
      <c r="Z204" s="636">
        <v>90</v>
      </c>
      <c r="AA204" s="636">
        <v>90</v>
      </c>
      <c r="AB204" s="636">
        <v>90</v>
      </c>
      <c r="AC204" s="582"/>
      <c r="AD204" s="582"/>
      <c r="AE204" s="582"/>
      <c r="AF204" s="582"/>
      <c r="AG204" s="582"/>
      <c r="AH204" s="582"/>
    </row>
    <row r="205" spans="1:34" ht="33" customHeight="1">
      <c r="A205" s="599"/>
      <c r="B205" s="841"/>
      <c r="C205" s="688" t="s">
        <v>1627</v>
      </c>
      <c r="D205" s="689" t="s">
        <v>1628</v>
      </c>
      <c r="E205" s="636">
        <v>100</v>
      </c>
      <c r="F205" s="636"/>
      <c r="G205" s="636">
        <v>90</v>
      </c>
      <c r="H205" s="636">
        <v>100</v>
      </c>
      <c r="I205" s="636">
        <v>100</v>
      </c>
      <c r="J205" s="636">
        <v>100</v>
      </c>
      <c r="K205" s="636">
        <v>100</v>
      </c>
      <c r="L205" s="636">
        <v>100</v>
      </c>
      <c r="M205" s="636">
        <v>100</v>
      </c>
      <c r="N205" s="636">
        <v>100</v>
      </c>
      <c r="O205" s="636">
        <v>100</v>
      </c>
      <c r="P205" s="636">
        <v>100</v>
      </c>
      <c r="Q205" s="636">
        <v>100</v>
      </c>
      <c r="R205" s="636">
        <v>100</v>
      </c>
      <c r="S205" s="636"/>
      <c r="T205" s="636">
        <v>100</v>
      </c>
      <c r="U205" s="636">
        <v>100</v>
      </c>
      <c r="V205" s="636">
        <v>100</v>
      </c>
      <c r="W205" s="636">
        <v>100</v>
      </c>
      <c r="X205" s="636">
        <v>95</v>
      </c>
      <c r="Y205" s="636">
        <v>100</v>
      </c>
      <c r="Z205" s="636">
        <v>95</v>
      </c>
      <c r="AA205" s="636">
        <v>100</v>
      </c>
      <c r="AB205" s="636">
        <v>80</v>
      </c>
      <c r="AC205" s="582"/>
      <c r="AD205" s="582"/>
      <c r="AE205" s="582"/>
      <c r="AF205" s="582"/>
      <c r="AG205" s="582"/>
      <c r="AH205" s="582"/>
    </row>
    <row r="206" spans="1:34" ht="44.25" customHeight="1">
      <c r="A206" s="599"/>
      <c r="B206" s="841"/>
      <c r="C206" s="688" t="s">
        <v>1629</v>
      </c>
      <c r="D206" s="689" t="s">
        <v>1500</v>
      </c>
      <c r="E206" s="636">
        <v>90</v>
      </c>
      <c r="F206" s="636">
        <v>100</v>
      </c>
      <c r="G206" s="636">
        <v>100</v>
      </c>
      <c r="H206" s="636">
        <v>100</v>
      </c>
      <c r="I206" s="636">
        <v>100</v>
      </c>
      <c r="J206" s="636">
        <v>100</v>
      </c>
      <c r="K206" s="636">
        <v>95</v>
      </c>
      <c r="L206" s="636">
        <v>100</v>
      </c>
      <c r="M206" s="636">
        <v>100</v>
      </c>
      <c r="N206" s="636">
        <v>100</v>
      </c>
      <c r="O206" s="636">
        <v>100</v>
      </c>
      <c r="P206" s="636">
        <v>100</v>
      </c>
      <c r="Q206" s="636">
        <v>95</v>
      </c>
      <c r="R206" s="636">
        <v>100</v>
      </c>
      <c r="S206" s="636"/>
      <c r="T206" s="636">
        <v>90</v>
      </c>
      <c r="U206" s="636">
        <v>100</v>
      </c>
      <c r="V206" s="636">
        <v>85</v>
      </c>
      <c r="W206" s="636">
        <v>80</v>
      </c>
      <c r="X206" s="636">
        <v>80</v>
      </c>
      <c r="Y206" s="636">
        <v>95</v>
      </c>
      <c r="Z206" s="636">
        <v>95</v>
      </c>
      <c r="AA206" s="636">
        <v>100</v>
      </c>
      <c r="AB206" s="636">
        <v>100</v>
      </c>
      <c r="AC206" s="582"/>
      <c r="AD206" s="582"/>
      <c r="AE206" s="582"/>
      <c r="AF206" s="582"/>
      <c r="AG206" s="582"/>
      <c r="AH206" s="582"/>
    </row>
    <row r="207" spans="1:34" ht="39" customHeight="1">
      <c r="A207" s="599"/>
      <c r="B207" s="841"/>
      <c r="C207" s="688" t="s">
        <v>1630</v>
      </c>
      <c r="D207" s="689" t="s">
        <v>1631</v>
      </c>
      <c r="E207" s="636">
        <v>100</v>
      </c>
      <c r="F207" s="636">
        <v>100</v>
      </c>
      <c r="G207" s="636">
        <v>100</v>
      </c>
      <c r="H207" s="636">
        <v>100</v>
      </c>
      <c r="I207" s="636">
        <v>100</v>
      </c>
      <c r="J207" s="636">
        <v>100</v>
      </c>
      <c r="K207" s="636">
        <v>100</v>
      </c>
      <c r="L207" s="636">
        <v>100</v>
      </c>
      <c r="M207" s="636">
        <v>100</v>
      </c>
      <c r="N207" s="636">
        <v>100</v>
      </c>
      <c r="O207" s="636">
        <v>100</v>
      </c>
      <c r="P207" s="636">
        <v>100</v>
      </c>
      <c r="Q207" s="636">
        <v>100</v>
      </c>
      <c r="R207" s="636">
        <v>100</v>
      </c>
      <c r="S207" s="636">
        <v>100</v>
      </c>
      <c r="T207" s="636">
        <v>100</v>
      </c>
      <c r="U207" s="636">
        <v>100</v>
      </c>
      <c r="V207" s="636">
        <v>90</v>
      </c>
      <c r="W207" s="636">
        <v>100</v>
      </c>
      <c r="X207" s="636">
        <v>80</v>
      </c>
      <c r="Y207" s="636">
        <v>100</v>
      </c>
      <c r="Z207" s="636">
        <v>100</v>
      </c>
      <c r="AA207" s="636">
        <v>100</v>
      </c>
      <c r="AB207" s="636">
        <v>100</v>
      </c>
      <c r="AC207" s="582"/>
      <c r="AD207" s="582"/>
      <c r="AE207" s="582"/>
      <c r="AF207" s="582"/>
      <c r="AG207" s="582"/>
      <c r="AH207" s="582"/>
    </row>
    <row r="208" spans="1:34" ht="36" customHeight="1">
      <c r="A208" s="599"/>
      <c r="B208" s="841"/>
      <c r="C208" s="688" t="s">
        <v>1632</v>
      </c>
      <c r="D208" s="689" t="s">
        <v>1502</v>
      </c>
      <c r="E208" s="636">
        <v>100</v>
      </c>
      <c r="F208" s="636">
        <v>100</v>
      </c>
      <c r="G208" s="636">
        <v>95</v>
      </c>
      <c r="H208" s="636">
        <v>100</v>
      </c>
      <c r="I208" s="636">
        <v>100</v>
      </c>
      <c r="J208" s="636">
        <v>100</v>
      </c>
      <c r="K208" s="636">
        <v>95</v>
      </c>
      <c r="L208" s="636">
        <v>100</v>
      </c>
      <c r="M208" s="636">
        <v>100</v>
      </c>
      <c r="N208" s="636">
        <v>100</v>
      </c>
      <c r="O208" s="636">
        <v>100</v>
      </c>
      <c r="P208" s="636">
        <v>100</v>
      </c>
      <c r="Q208" s="636">
        <v>100</v>
      </c>
      <c r="R208" s="636">
        <v>100</v>
      </c>
      <c r="S208" s="636">
        <v>100</v>
      </c>
      <c r="T208" s="636">
        <v>85</v>
      </c>
      <c r="U208" s="636">
        <v>100</v>
      </c>
      <c r="V208" s="636">
        <v>85</v>
      </c>
      <c r="W208" s="636">
        <v>80</v>
      </c>
      <c r="X208" s="636">
        <v>90</v>
      </c>
      <c r="Y208" s="636">
        <v>100</v>
      </c>
      <c r="Z208" s="636">
        <v>95</v>
      </c>
      <c r="AA208" s="636">
        <v>95</v>
      </c>
      <c r="AB208" s="636">
        <v>100</v>
      </c>
      <c r="AC208" s="582"/>
      <c r="AD208" s="582"/>
      <c r="AE208" s="582"/>
      <c r="AF208" s="582"/>
      <c r="AG208" s="582"/>
      <c r="AH208" s="582"/>
    </row>
    <row r="209" spans="1:34" ht="27" customHeight="1">
      <c r="A209" s="599"/>
      <c r="B209" s="841"/>
      <c r="C209" s="688" t="s">
        <v>1633</v>
      </c>
      <c r="D209" s="689" t="s">
        <v>1634</v>
      </c>
      <c r="E209" s="636">
        <v>100</v>
      </c>
      <c r="F209" s="636">
        <v>100</v>
      </c>
      <c r="G209" s="636">
        <v>90</v>
      </c>
      <c r="H209" s="636">
        <v>100</v>
      </c>
      <c r="I209" s="636">
        <v>100</v>
      </c>
      <c r="J209" s="636">
        <v>100</v>
      </c>
      <c r="K209" s="636">
        <v>100</v>
      </c>
      <c r="L209" s="636">
        <v>100</v>
      </c>
      <c r="M209" s="636">
        <v>100</v>
      </c>
      <c r="N209" s="636">
        <v>100</v>
      </c>
      <c r="O209" s="636">
        <v>100</v>
      </c>
      <c r="P209" s="636">
        <v>100</v>
      </c>
      <c r="Q209" s="636">
        <v>100</v>
      </c>
      <c r="R209" s="636">
        <v>100</v>
      </c>
      <c r="S209" s="636">
        <v>95</v>
      </c>
      <c r="T209" s="636">
        <v>100</v>
      </c>
      <c r="U209" s="636">
        <v>100</v>
      </c>
      <c r="V209" s="636">
        <v>100</v>
      </c>
      <c r="W209" s="636">
        <v>100</v>
      </c>
      <c r="X209" s="636">
        <v>100</v>
      </c>
      <c r="Y209" s="636">
        <v>100</v>
      </c>
      <c r="Z209" s="636">
        <v>90</v>
      </c>
      <c r="AA209" s="636">
        <v>100</v>
      </c>
      <c r="AB209" s="636">
        <v>95</v>
      </c>
      <c r="AC209" s="582"/>
      <c r="AD209" s="582"/>
      <c r="AE209" s="582"/>
      <c r="AF209" s="582"/>
      <c r="AG209" s="582"/>
      <c r="AH209" s="582"/>
    </row>
    <row r="210" spans="1:34" ht="34.5" customHeight="1">
      <c r="A210" s="599"/>
      <c r="B210" s="841"/>
      <c r="C210" s="690" t="s">
        <v>1635</v>
      </c>
      <c r="D210" s="691" t="s">
        <v>1506</v>
      </c>
      <c r="E210" s="657">
        <v>100</v>
      </c>
      <c r="F210" s="657">
        <v>100</v>
      </c>
      <c r="G210" s="657">
        <v>90</v>
      </c>
      <c r="H210" s="657">
        <v>100</v>
      </c>
      <c r="I210" s="657">
        <v>90</v>
      </c>
      <c r="J210" s="657">
        <v>100</v>
      </c>
      <c r="K210" s="657">
        <v>100</v>
      </c>
      <c r="L210" s="657">
        <v>100</v>
      </c>
      <c r="M210" s="657">
        <v>90</v>
      </c>
      <c r="N210" s="657">
        <v>90</v>
      </c>
      <c r="O210" s="657">
        <v>100</v>
      </c>
      <c r="P210" s="657">
        <v>90</v>
      </c>
      <c r="Q210" s="657">
        <v>100</v>
      </c>
      <c r="R210" s="657"/>
      <c r="S210" s="657">
        <v>100</v>
      </c>
      <c r="T210" s="657">
        <v>100</v>
      </c>
      <c r="U210" s="657">
        <v>100</v>
      </c>
      <c r="V210" s="657">
        <v>100</v>
      </c>
      <c r="W210" s="657">
        <v>90</v>
      </c>
      <c r="X210" s="657">
        <v>100</v>
      </c>
      <c r="Y210" s="657">
        <v>100</v>
      </c>
      <c r="Z210" s="657">
        <v>100</v>
      </c>
      <c r="AA210" s="657">
        <v>100</v>
      </c>
      <c r="AB210" s="657">
        <v>80</v>
      </c>
      <c r="AC210" s="582"/>
      <c r="AD210" s="582"/>
      <c r="AE210" s="582"/>
      <c r="AF210" s="582"/>
      <c r="AG210" s="582"/>
      <c r="AH210" s="582"/>
    </row>
    <row r="211" spans="1:34" ht="45.75" customHeight="1">
      <c r="A211" s="599"/>
      <c r="B211" s="841"/>
      <c r="C211" s="690" t="s">
        <v>1636</v>
      </c>
      <c r="D211" s="691" t="s">
        <v>1637</v>
      </c>
      <c r="E211" s="657">
        <v>95</v>
      </c>
      <c r="F211" s="657"/>
      <c r="G211" s="657">
        <v>100</v>
      </c>
      <c r="H211" s="657">
        <v>100</v>
      </c>
      <c r="I211" s="657">
        <v>100</v>
      </c>
      <c r="J211" s="657"/>
      <c r="K211" s="657">
        <v>100</v>
      </c>
      <c r="L211" s="657">
        <v>100</v>
      </c>
      <c r="M211" s="657">
        <v>100</v>
      </c>
      <c r="N211" s="657">
        <v>100</v>
      </c>
      <c r="O211" s="657">
        <v>100</v>
      </c>
      <c r="P211" s="657">
        <v>100</v>
      </c>
      <c r="Q211" s="657">
        <v>100</v>
      </c>
      <c r="R211" s="657"/>
      <c r="S211" s="657">
        <v>80</v>
      </c>
      <c r="T211" s="657">
        <v>100</v>
      </c>
      <c r="U211" s="657">
        <v>100</v>
      </c>
      <c r="V211" s="657">
        <v>100</v>
      </c>
      <c r="W211" s="657">
        <v>95</v>
      </c>
      <c r="X211" s="657">
        <v>100</v>
      </c>
      <c r="Y211" s="657">
        <v>100</v>
      </c>
      <c r="Z211" s="657">
        <v>100</v>
      </c>
      <c r="AA211" s="657">
        <v>100</v>
      </c>
      <c r="AB211" s="657">
        <v>90</v>
      </c>
      <c r="AC211" s="582"/>
      <c r="AD211" s="582"/>
      <c r="AE211" s="582"/>
      <c r="AF211" s="582"/>
      <c r="AG211" s="582"/>
      <c r="AH211" s="582"/>
    </row>
    <row r="212" spans="1:34" ht="33.75" customHeight="1">
      <c r="A212" s="599"/>
      <c r="B212" s="841"/>
      <c r="C212" s="690" t="s">
        <v>1638</v>
      </c>
      <c r="D212" s="691" t="s">
        <v>1508</v>
      </c>
      <c r="E212" s="657">
        <v>95</v>
      </c>
      <c r="F212" s="657"/>
      <c r="G212" s="657">
        <v>80</v>
      </c>
      <c r="H212" s="657">
        <v>95</v>
      </c>
      <c r="I212" s="657">
        <v>90</v>
      </c>
      <c r="J212" s="657">
        <v>95</v>
      </c>
      <c r="K212" s="657">
        <v>90</v>
      </c>
      <c r="L212" s="657">
        <v>95</v>
      </c>
      <c r="M212" s="657">
        <v>75</v>
      </c>
      <c r="N212" s="657">
        <v>95</v>
      </c>
      <c r="O212" s="657">
        <v>90</v>
      </c>
      <c r="P212" s="657">
        <v>95</v>
      </c>
      <c r="Q212" s="657">
        <v>85</v>
      </c>
      <c r="R212" s="657"/>
      <c r="S212" s="657">
        <v>70</v>
      </c>
      <c r="T212" s="657">
        <v>100</v>
      </c>
      <c r="U212" s="657">
        <v>100</v>
      </c>
      <c r="V212" s="657">
        <v>90</v>
      </c>
      <c r="W212" s="657">
        <v>100</v>
      </c>
      <c r="X212" s="657">
        <v>100</v>
      </c>
      <c r="Y212" s="657">
        <v>100</v>
      </c>
      <c r="Z212" s="657">
        <v>65</v>
      </c>
      <c r="AA212" s="657">
        <v>100</v>
      </c>
      <c r="AB212" s="657">
        <v>75</v>
      </c>
      <c r="AC212" s="582"/>
      <c r="AD212" s="582"/>
      <c r="AE212" s="582"/>
      <c r="AF212" s="582"/>
      <c r="AG212" s="582"/>
      <c r="AH212" s="582"/>
    </row>
    <row r="213" spans="1:34" ht="27" customHeight="1">
      <c r="A213" s="599"/>
      <c r="B213" s="841"/>
      <c r="C213" s="690" t="s">
        <v>1639</v>
      </c>
      <c r="D213" s="691" t="s">
        <v>1640</v>
      </c>
      <c r="E213" s="657">
        <v>100</v>
      </c>
      <c r="F213" s="657">
        <v>100</v>
      </c>
      <c r="G213" s="657">
        <v>100</v>
      </c>
      <c r="H213" s="657">
        <v>100</v>
      </c>
      <c r="I213" s="657">
        <v>100</v>
      </c>
      <c r="J213" s="657">
        <v>100</v>
      </c>
      <c r="K213" s="657">
        <v>100</v>
      </c>
      <c r="L213" s="657">
        <v>100</v>
      </c>
      <c r="M213" s="657">
        <v>100</v>
      </c>
      <c r="N213" s="657">
        <v>100</v>
      </c>
      <c r="O213" s="657">
        <v>100</v>
      </c>
      <c r="P213" s="657">
        <v>100</v>
      </c>
      <c r="Q213" s="657">
        <v>100</v>
      </c>
      <c r="R213" s="657"/>
      <c r="S213" s="657">
        <v>100</v>
      </c>
      <c r="T213" s="657">
        <v>100</v>
      </c>
      <c r="U213" s="657">
        <v>100</v>
      </c>
      <c r="V213" s="657">
        <v>100</v>
      </c>
      <c r="W213" s="657">
        <v>100</v>
      </c>
      <c r="X213" s="657">
        <v>100</v>
      </c>
      <c r="Y213" s="657">
        <v>100</v>
      </c>
      <c r="Z213" s="657">
        <v>100</v>
      </c>
      <c r="AA213" s="657">
        <v>100</v>
      </c>
      <c r="AB213" s="657">
        <v>100</v>
      </c>
      <c r="AC213" s="582"/>
      <c r="AD213" s="582"/>
      <c r="AE213" s="582"/>
      <c r="AF213" s="582"/>
      <c r="AG213" s="582"/>
      <c r="AH213" s="582"/>
    </row>
    <row r="214" spans="1:34" ht="36" customHeight="1">
      <c r="A214" s="599"/>
      <c r="B214" s="841"/>
      <c r="C214" s="690" t="s">
        <v>1641</v>
      </c>
      <c r="D214" s="691" t="s">
        <v>1510</v>
      </c>
      <c r="E214" s="657">
        <v>100</v>
      </c>
      <c r="F214" s="657">
        <v>100</v>
      </c>
      <c r="G214" s="657">
        <v>100</v>
      </c>
      <c r="H214" s="657">
        <v>95</v>
      </c>
      <c r="I214" s="657">
        <v>100</v>
      </c>
      <c r="J214" s="657">
        <v>100</v>
      </c>
      <c r="K214" s="657">
        <v>100</v>
      </c>
      <c r="L214" s="657">
        <v>90</v>
      </c>
      <c r="M214" s="657">
        <v>90</v>
      </c>
      <c r="N214" s="657">
        <v>100</v>
      </c>
      <c r="O214" s="657">
        <v>95</v>
      </c>
      <c r="P214" s="657">
        <v>100</v>
      </c>
      <c r="Q214" s="657">
        <v>100</v>
      </c>
      <c r="R214" s="657"/>
      <c r="S214" s="657">
        <v>100</v>
      </c>
      <c r="T214" s="657">
        <v>100</v>
      </c>
      <c r="U214" s="657">
        <v>100</v>
      </c>
      <c r="V214" s="657">
        <v>100</v>
      </c>
      <c r="W214" s="657">
        <v>90</v>
      </c>
      <c r="X214" s="657">
        <v>100</v>
      </c>
      <c r="Y214" s="657">
        <v>100</v>
      </c>
      <c r="Z214" s="657">
        <v>90</v>
      </c>
      <c r="AA214" s="657">
        <v>100</v>
      </c>
      <c r="AB214" s="657">
        <v>90</v>
      </c>
      <c r="AC214" s="582"/>
      <c r="AD214" s="582"/>
      <c r="AE214" s="582"/>
      <c r="AF214" s="582"/>
      <c r="AG214" s="582"/>
      <c r="AH214" s="582"/>
    </row>
    <row r="215" spans="1:34" ht="35.25" customHeight="1">
      <c r="A215" s="599"/>
      <c r="B215" s="841"/>
      <c r="C215" s="690" t="s">
        <v>1553</v>
      </c>
      <c r="D215" s="691" t="s">
        <v>1512</v>
      </c>
      <c r="E215" s="657">
        <v>100</v>
      </c>
      <c r="F215" s="657">
        <v>100</v>
      </c>
      <c r="G215" s="657">
        <v>90</v>
      </c>
      <c r="H215" s="657">
        <v>100</v>
      </c>
      <c r="I215" s="657">
        <v>100</v>
      </c>
      <c r="J215" s="657">
        <v>100</v>
      </c>
      <c r="K215" s="657">
        <v>100</v>
      </c>
      <c r="L215" s="657">
        <v>100</v>
      </c>
      <c r="M215" s="657">
        <v>100</v>
      </c>
      <c r="N215" s="657">
        <v>100</v>
      </c>
      <c r="O215" s="657">
        <v>100</v>
      </c>
      <c r="P215" s="657">
        <v>100</v>
      </c>
      <c r="Q215" s="657">
        <v>100</v>
      </c>
      <c r="R215" s="657">
        <v>100</v>
      </c>
      <c r="S215" s="657">
        <v>100</v>
      </c>
      <c r="T215" s="657">
        <v>100</v>
      </c>
      <c r="U215" s="657">
        <v>100</v>
      </c>
      <c r="V215" s="657">
        <v>100</v>
      </c>
      <c r="W215" s="657">
        <v>90</v>
      </c>
      <c r="X215" s="657">
        <v>100</v>
      </c>
      <c r="Y215" s="657">
        <v>100</v>
      </c>
      <c r="Z215" s="657">
        <v>90</v>
      </c>
      <c r="AA215" s="657">
        <v>100</v>
      </c>
      <c r="AB215" s="657">
        <v>90</v>
      </c>
      <c r="AC215" s="582"/>
      <c r="AD215" s="582"/>
      <c r="AE215" s="582"/>
      <c r="AF215" s="582"/>
      <c r="AG215" s="582"/>
      <c r="AH215" s="582"/>
    </row>
    <row r="216" spans="1:34" ht="27" hidden="1" customHeight="1">
      <c r="A216" s="599"/>
      <c r="B216" s="841"/>
      <c r="C216" s="596"/>
      <c r="D216" s="581"/>
      <c r="E216" s="582"/>
      <c r="F216" s="582"/>
      <c r="G216" s="582"/>
      <c r="H216" s="582"/>
      <c r="I216" s="582"/>
      <c r="J216" s="582"/>
      <c r="K216" s="582"/>
      <c r="L216" s="582"/>
      <c r="M216" s="582"/>
      <c r="N216" s="582"/>
      <c r="O216" s="582"/>
      <c r="P216" s="582"/>
      <c r="Q216" s="582"/>
      <c r="R216" s="582"/>
      <c r="S216" s="582"/>
      <c r="T216" s="582"/>
      <c r="U216" s="582"/>
      <c r="V216" s="582"/>
      <c r="W216" s="582"/>
      <c r="X216" s="582"/>
      <c r="Y216" s="582"/>
      <c r="Z216" s="582"/>
      <c r="AA216" s="582"/>
      <c r="AB216" s="582"/>
      <c r="AC216" s="582"/>
      <c r="AD216" s="582"/>
      <c r="AE216" s="582"/>
      <c r="AF216" s="582"/>
      <c r="AG216" s="582"/>
      <c r="AH216" s="582"/>
    </row>
    <row r="217" spans="1:34" ht="27" hidden="1" customHeight="1">
      <c r="A217" s="599"/>
      <c r="B217" s="841"/>
      <c r="C217" s="596"/>
      <c r="D217" s="581"/>
      <c r="E217" s="582"/>
      <c r="F217" s="582"/>
      <c r="G217" s="582"/>
      <c r="H217" s="582"/>
      <c r="I217" s="582"/>
      <c r="J217" s="582"/>
      <c r="K217" s="582"/>
      <c r="L217" s="582"/>
      <c r="M217" s="582"/>
      <c r="N217" s="582"/>
      <c r="O217" s="582"/>
      <c r="P217" s="582"/>
      <c r="Q217" s="582"/>
      <c r="R217" s="582"/>
      <c r="S217" s="582"/>
      <c r="T217" s="582"/>
      <c r="U217" s="582"/>
      <c r="V217" s="582"/>
      <c r="W217" s="582"/>
      <c r="X217" s="582"/>
      <c r="Y217" s="582"/>
      <c r="Z217" s="582"/>
      <c r="AA217" s="582"/>
      <c r="AB217" s="582"/>
      <c r="AC217" s="582"/>
      <c r="AD217" s="582"/>
      <c r="AE217" s="582"/>
      <c r="AF217" s="582"/>
      <c r="AG217" s="582"/>
      <c r="AH217" s="582"/>
    </row>
    <row r="218" spans="1:34" ht="27" hidden="1" customHeight="1">
      <c r="A218" s="599"/>
      <c r="B218" s="841"/>
      <c r="C218" s="596"/>
      <c r="D218" s="581"/>
      <c r="E218" s="582"/>
      <c r="F218" s="582"/>
      <c r="G218" s="582"/>
      <c r="H218" s="582"/>
      <c r="I218" s="582"/>
      <c r="J218" s="582"/>
      <c r="K218" s="582"/>
      <c r="L218" s="582"/>
      <c r="M218" s="582"/>
      <c r="N218" s="582"/>
      <c r="O218" s="582"/>
      <c r="P218" s="582"/>
      <c r="Q218" s="582"/>
      <c r="R218" s="582"/>
      <c r="S218" s="582"/>
      <c r="T218" s="582"/>
      <c r="U218" s="582"/>
      <c r="V218" s="582"/>
      <c r="W218" s="582"/>
      <c r="X218" s="582"/>
      <c r="Y218" s="582"/>
      <c r="Z218" s="582"/>
      <c r="AA218" s="582"/>
      <c r="AB218" s="582"/>
      <c r="AC218" s="582"/>
      <c r="AD218" s="582"/>
      <c r="AE218" s="582"/>
      <c r="AF218" s="582"/>
      <c r="AG218" s="582"/>
      <c r="AH218" s="582"/>
    </row>
    <row r="219" spans="1:34" ht="27" hidden="1" customHeight="1">
      <c r="A219" s="599"/>
      <c r="B219" s="841"/>
      <c r="C219" s="596"/>
      <c r="D219" s="581"/>
      <c r="E219" s="582"/>
      <c r="F219" s="582"/>
      <c r="G219" s="582"/>
      <c r="H219" s="582"/>
      <c r="I219" s="582"/>
      <c r="J219" s="582"/>
      <c r="K219" s="582"/>
      <c r="L219" s="582"/>
      <c r="M219" s="582"/>
      <c r="N219" s="582"/>
      <c r="O219" s="582"/>
      <c r="P219" s="582"/>
      <c r="Q219" s="582"/>
      <c r="R219" s="582"/>
      <c r="S219" s="582"/>
      <c r="T219" s="582"/>
      <c r="U219" s="582"/>
      <c r="V219" s="582"/>
      <c r="W219" s="582"/>
      <c r="X219" s="582"/>
      <c r="Y219" s="582"/>
      <c r="Z219" s="582"/>
      <c r="AA219" s="582"/>
      <c r="AB219" s="582"/>
      <c r="AC219" s="582"/>
      <c r="AD219" s="582"/>
      <c r="AE219" s="582"/>
      <c r="AF219" s="582"/>
      <c r="AG219" s="582"/>
      <c r="AH219" s="582"/>
    </row>
    <row r="220" spans="1:34" ht="27" hidden="1" customHeight="1">
      <c r="A220" s="599"/>
      <c r="B220" s="841"/>
      <c r="C220" s="596"/>
      <c r="D220" s="581"/>
      <c r="E220" s="582"/>
      <c r="F220" s="582"/>
      <c r="G220" s="582"/>
      <c r="H220" s="582"/>
      <c r="I220" s="582"/>
      <c r="J220" s="582"/>
      <c r="K220" s="582"/>
      <c r="L220" s="582"/>
      <c r="M220" s="582"/>
      <c r="N220" s="582"/>
      <c r="O220" s="582"/>
      <c r="P220" s="582"/>
      <c r="Q220" s="582"/>
      <c r="R220" s="582"/>
      <c r="S220" s="582"/>
      <c r="T220" s="582"/>
      <c r="U220" s="582"/>
      <c r="V220" s="582"/>
      <c r="W220" s="582"/>
      <c r="X220" s="582"/>
      <c r="Y220" s="582"/>
      <c r="Z220" s="582"/>
      <c r="AA220" s="582"/>
      <c r="AB220" s="582"/>
      <c r="AC220" s="582"/>
      <c r="AD220" s="582"/>
      <c r="AE220" s="582"/>
      <c r="AF220" s="582"/>
      <c r="AG220" s="582"/>
      <c r="AH220" s="582"/>
    </row>
    <row r="221" spans="1:34" ht="27" hidden="1" customHeight="1">
      <c r="A221" s="599"/>
      <c r="B221" s="841"/>
      <c r="C221" s="596"/>
      <c r="D221" s="581"/>
      <c r="E221" s="582"/>
      <c r="F221" s="582"/>
      <c r="G221" s="582"/>
      <c r="H221" s="582"/>
      <c r="I221" s="582"/>
      <c r="J221" s="582"/>
      <c r="K221" s="582"/>
      <c r="L221" s="582"/>
      <c r="M221" s="582"/>
      <c r="N221" s="582"/>
      <c r="O221" s="582"/>
      <c r="P221" s="582"/>
      <c r="Q221" s="582"/>
      <c r="R221" s="582"/>
      <c r="S221" s="582"/>
      <c r="T221" s="582"/>
      <c r="U221" s="582"/>
      <c r="V221" s="582"/>
      <c r="W221" s="582"/>
      <c r="X221" s="582"/>
      <c r="Y221" s="582"/>
      <c r="Z221" s="582"/>
      <c r="AA221" s="582"/>
      <c r="AB221" s="582"/>
      <c r="AC221" s="582"/>
      <c r="AD221" s="582"/>
      <c r="AE221" s="582"/>
      <c r="AF221" s="582"/>
      <c r="AG221" s="582"/>
      <c r="AH221" s="582"/>
    </row>
    <row r="222" spans="1:34" ht="27" hidden="1" customHeight="1">
      <c r="A222" s="599"/>
      <c r="B222" s="841"/>
      <c r="C222" s="596"/>
      <c r="D222" s="581"/>
      <c r="E222" s="582"/>
      <c r="F222" s="582"/>
      <c r="G222" s="582"/>
      <c r="H222" s="582"/>
      <c r="I222" s="582"/>
      <c r="J222" s="582"/>
      <c r="K222" s="582"/>
      <c r="L222" s="582"/>
      <c r="M222" s="582"/>
      <c r="N222" s="582"/>
      <c r="O222" s="582"/>
      <c r="P222" s="582"/>
      <c r="Q222" s="582"/>
      <c r="R222" s="582"/>
      <c r="S222" s="582"/>
      <c r="T222" s="582"/>
      <c r="U222" s="582"/>
      <c r="V222" s="582"/>
      <c r="W222" s="582"/>
      <c r="X222" s="582"/>
      <c r="Y222" s="582"/>
      <c r="Z222" s="582"/>
      <c r="AA222" s="582"/>
      <c r="AB222" s="582"/>
      <c r="AC222" s="582"/>
      <c r="AD222" s="582"/>
      <c r="AE222" s="582"/>
      <c r="AF222" s="582"/>
      <c r="AG222" s="582"/>
      <c r="AH222" s="582"/>
    </row>
    <row r="223" spans="1:34" ht="27" hidden="1" customHeight="1">
      <c r="A223" s="599"/>
      <c r="B223" s="841"/>
      <c r="C223" s="580"/>
      <c r="D223" s="581"/>
      <c r="E223" s="582"/>
      <c r="F223" s="582"/>
      <c r="G223" s="582"/>
      <c r="H223" s="582"/>
      <c r="I223" s="582"/>
      <c r="J223" s="582"/>
      <c r="K223" s="582"/>
      <c r="L223" s="582"/>
      <c r="M223" s="582"/>
      <c r="N223" s="582"/>
      <c r="O223" s="582"/>
      <c r="P223" s="582"/>
      <c r="Q223" s="582"/>
      <c r="R223" s="582"/>
      <c r="S223" s="582"/>
      <c r="T223" s="582"/>
      <c r="U223" s="582"/>
      <c r="V223" s="582"/>
      <c r="W223" s="582"/>
      <c r="X223" s="582"/>
      <c r="Y223" s="582"/>
      <c r="Z223" s="582"/>
      <c r="AA223" s="582"/>
      <c r="AB223" s="582"/>
      <c r="AC223" s="582"/>
      <c r="AD223" s="582"/>
      <c r="AE223" s="582"/>
      <c r="AF223" s="582"/>
      <c r="AG223" s="582"/>
      <c r="AH223" s="582"/>
    </row>
    <row r="224" spans="1:34" ht="27" hidden="1" customHeight="1">
      <c r="A224" s="599"/>
      <c r="B224" s="841"/>
      <c r="C224" s="580"/>
      <c r="D224" s="581"/>
      <c r="E224" s="582"/>
      <c r="F224" s="582"/>
      <c r="G224" s="582"/>
      <c r="H224" s="582"/>
      <c r="I224" s="582"/>
      <c r="J224" s="582"/>
      <c r="K224" s="582"/>
      <c r="L224" s="582"/>
      <c r="M224" s="582"/>
      <c r="N224" s="582"/>
      <c r="O224" s="582"/>
      <c r="P224" s="582"/>
      <c r="Q224" s="582"/>
      <c r="R224" s="582"/>
      <c r="S224" s="582"/>
      <c r="T224" s="582"/>
      <c r="U224" s="582"/>
      <c r="V224" s="582"/>
      <c r="W224" s="582"/>
      <c r="X224" s="582"/>
      <c r="Y224" s="582"/>
      <c r="Z224" s="582"/>
      <c r="AA224" s="582"/>
      <c r="AB224" s="582"/>
      <c r="AC224" s="582"/>
      <c r="AD224" s="582"/>
      <c r="AE224" s="582"/>
      <c r="AF224" s="582"/>
      <c r="AG224" s="582"/>
      <c r="AH224" s="582"/>
    </row>
    <row r="225" spans="1:34" ht="27" hidden="1" customHeight="1">
      <c r="A225" s="599"/>
      <c r="B225" s="841"/>
      <c r="C225" s="580"/>
      <c r="D225" s="581"/>
      <c r="E225" s="582"/>
      <c r="F225" s="582"/>
      <c r="G225" s="582"/>
      <c r="H225" s="582"/>
      <c r="I225" s="582"/>
      <c r="J225" s="582"/>
      <c r="K225" s="582"/>
      <c r="L225" s="582"/>
      <c r="M225" s="582"/>
      <c r="N225" s="582"/>
      <c r="O225" s="582"/>
      <c r="P225" s="582"/>
      <c r="Q225" s="582"/>
      <c r="R225" s="582"/>
      <c r="S225" s="582"/>
      <c r="T225" s="582"/>
      <c r="U225" s="582"/>
      <c r="V225" s="582"/>
      <c r="W225" s="582"/>
      <c r="X225" s="582"/>
      <c r="Y225" s="582"/>
      <c r="Z225" s="582"/>
      <c r="AA225" s="582"/>
      <c r="AB225" s="582"/>
      <c r="AC225" s="582"/>
      <c r="AD225" s="582"/>
      <c r="AE225" s="582"/>
      <c r="AF225" s="582"/>
      <c r="AG225" s="582"/>
      <c r="AH225" s="582"/>
    </row>
    <row r="226" spans="1:34" ht="27" hidden="1" customHeight="1">
      <c r="A226" s="599"/>
      <c r="B226" s="841"/>
      <c r="C226" s="580"/>
      <c r="D226" s="581"/>
      <c r="E226" s="582"/>
      <c r="F226" s="582"/>
      <c r="G226" s="582"/>
      <c r="H226" s="582"/>
      <c r="I226" s="582"/>
      <c r="J226" s="582"/>
      <c r="K226" s="582"/>
      <c r="L226" s="582"/>
      <c r="M226" s="582"/>
      <c r="N226" s="582"/>
      <c r="O226" s="582"/>
      <c r="P226" s="582"/>
      <c r="Q226" s="582"/>
      <c r="R226" s="582"/>
      <c r="S226" s="582"/>
      <c r="T226" s="582"/>
      <c r="U226" s="582"/>
      <c r="V226" s="582"/>
      <c r="W226" s="582"/>
      <c r="X226" s="582"/>
      <c r="Y226" s="582"/>
      <c r="Z226" s="582"/>
      <c r="AA226" s="582"/>
      <c r="AB226" s="582"/>
      <c r="AC226" s="582"/>
      <c r="AD226" s="582"/>
      <c r="AE226" s="582"/>
      <c r="AF226" s="582"/>
      <c r="AG226" s="582"/>
      <c r="AH226" s="582"/>
    </row>
    <row r="227" spans="1:34" ht="27" hidden="1" customHeight="1">
      <c r="A227" s="599"/>
      <c r="B227" s="841"/>
      <c r="C227" s="580"/>
      <c r="D227" s="581"/>
      <c r="E227" s="582"/>
      <c r="F227" s="582"/>
      <c r="G227" s="582"/>
      <c r="H227" s="582"/>
      <c r="I227" s="582"/>
      <c r="J227" s="582"/>
      <c r="K227" s="582"/>
      <c r="L227" s="582"/>
      <c r="M227" s="582"/>
      <c r="N227" s="582"/>
      <c r="O227" s="582"/>
      <c r="P227" s="582"/>
      <c r="Q227" s="582"/>
      <c r="R227" s="582"/>
      <c r="S227" s="582"/>
      <c r="T227" s="582"/>
      <c r="U227" s="582"/>
      <c r="V227" s="582"/>
      <c r="W227" s="582"/>
      <c r="X227" s="582"/>
      <c r="Y227" s="582"/>
      <c r="Z227" s="582"/>
      <c r="AA227" s="582"/>
      <c r="AB227" s="582"/>
      <c r="AC227" s="582"/>
      <c r="AD227" s="582"/>
      <c r="AE227" s="582"/>
      <c r="AF227" s="582"/>
      <c r="AG227" s="582"/>
      <c r="AH227" s="582"/>
    </row>
    <row r="228" spans="1:34" ht="70.5" customHeight="1" thickBot="1">
      <c r="A228" s="601"/>
      <c r="B228" s="828">
        <v>7</v>
      </c>
      <c r="C228" s="834" t="s">
        <v>1747</v>
      </c>
      <c r="D228" s="835"/>
      <c r="E228" s="579">
        <f>IF(SUM(E229:E255)&gt;0,AVERAGE(E229:E255),IF(SUM(E229:E255)=0,"",))</f>
        <v>93.541666666666671</v>
      </c>
      <c r="F228" s="579">
        <f t="shared" ref="F228:AH228" si="6">IF(SUM(F229:F255)&gt;0,AVERAGE(F229:F255),IF(SUM(F229:F255)=0,"",))</f>
        <v>92.916666666666671</v>
      </c>
      <c r="G228" s="579">
        <f t="shared" si="6"/>
        <v>91.416666666666671</v>
      </c>
      <c r="H228" s="579">
        <f t="shared" si="6"/>
        <v>94.375</v>
      </c>
      <c r="I228" s="579">
        <f t="shared" si="6"/>
        <v>96.041666666666671</v>
      </c>
      <c r="J228" s="579">
        <f t="shared" si="6"/>
        <v>97.291666666666671</v>
      </c>
      <c r="K228" s="579">
        <f t="shared" si="6"/>
        <v>98.541666666666671</v>
      </c>
      <c r="L228" s="579">
        <f t="shared" si="6"/>
        <v>95.208333333333329</v>
      </c>
      <c r="M228" s="579">
        <f t="shared" si="6"/>
        <v>92.083333333333329</v>
      </c>
      <c r="N228" s="579">
        <f t="shared" si="6"/>
        <v>95.416666666666671</v>
      </c>
      <c r="O228" s="579">
        <f t="shared" si="6"/>
        <v>98.958333333333329</v>
      </c>
      <c r="P228" s="579">
        <f t="shared" si="6"/>
        <v>97.916666666666671</v>
      </c>
      <c r="Q228" s="579">
        <f t="shared" si="6"/>
        <v>96.458333333333329</v>
      </c>
      <c r="R228" s="579">
        <f t="shared" si="6"/>
        <v>94.130434782608702</v>
      </c>
      <c r="S228" s="579">
        <f t="shared" si="6"/>
        <v>88.541666666666671</v>
      </c>
      <c r="T228" s="579">
        <f t="shared" si="6"/>
        <v>94.166666666666671</v>
      </c>
      <c r="U228" s="579">
        <f t="shared" si="6"/>
        <v>98.958333333333329</v>
      </c>
      <c r="V228" s="579">
        <f t="shared" si="6"/>
        <v>92.5</v>
      </c>
      <c r="W228" s="579">
        <f t="shared" si="6"/>
        <v>92.875</v>
      </c>
      <c r="X228" s="579">
        <f t="shared" si="6"/>
        <v>92.5</v>
      </c>
      <c r="Y228" s="579">
        <f t="shared" si="6"/>
        <v>95</v>
      </c>
      <c r="Z228" s="579">
        <f t="shared" si="6"/>
        <v>93.125</v>
      </c>
      <c r="AA228" s="579">
        <f t="shared" si="6"/>
        <v>96.666666666666671</v>
      </c>
      <c r="AB228" s="579">
        <f t="shared" si="6"/>
        <v>93.695652173913047</v>
      </c>
      <c r="AC228" s="579" t="str">
        <f t="shared" si="6"/>
        <v/>
      </c>
      <c r="AD228" s="579" t="str">
        <f t="shared" si="6"/>
        <v/>
      </c>
      <c r="AE228" s="579" t="str">
        <f t="shared" si="6"/>
        <v/>
      </c>
      <c r="AF228" s="579" t="str">
        <f t="shared" si="6"/>
        <v/>
      </c>
      <c r="AG228" s="579" t="str">
        <f t="shared" si="6"/>
        <v/>
      </c>
      <c r="AH228" s="579" t="str">
        <f t="shared" si="6"/>
        <v/>
      </c>
    </row>
    <row r="229" spans="1:34" ht="39.75" customHeight="1" thickTop="1">
      <c r="A229" s="601"/>
      <c r="B229" s="829"/>
      <c r="C229" s="584" t="s">
        <v>1642</v>
      </c>
      <c r="D229" s="585" t="s">
        <v>1388</v>
      </c>
      <c r="E229" s="631">
        <v>80</v>
      </c>
      <c r="F229" s="631">
        <v>100</v>
      </c>
      <c r="G229" s="631">
        <v>89</v>
      </c>
      <c r="H229" s="631">
        <v>100</v>
      </c>
      <c r="I229" s="631">
        <v>100</v>
      </c>
      <c r="J229" s="631">
        <v>90</v>
      </c>
      <c r="K229" s="631">
        <v>100</v>
      </c>
      <c r="L229" s="631">
        <v>100</v>
      </c>
      <c r="M229" s="631">
        <v>90</v>
      </c>
      <c r="N229" s="631">
        <v>100</v>
      </c>
      <c r="O229" s="631">
        <v>100</v>
      </c>
      <c r="P229" s="631">
        <v>100</v>
      </c>
      <c r="Q229" s="631">
        <v>100</v>
      </c>
      <c r="R229" s="631">
        <v>85</v>
      </c>
      <c r="S229" s="631">
        <v>90</v>
      </c>
      <c r="T229" s="631">
        <v>95</v>
      </c>
      <c r="U229" s="631">
        <v>100</v>
      </c>
      <c r="V229" s="631">
        <v>100</v>
      </c>
      <c r="W229" s="631">
        <v>94</v>
      </c>
      <c r="X229" s="631">
        <v>90</v>
      </c>
      <c r="Y229" s="631">
        <v>100</v>
      </c>
      <c r="Z229" s="631">
        <v>90</v>
      </c>
      <c r="AA229" s="631">
        <v>100</v>
      </c>
      <c r="AB229" s="631">
        <v>100</v>
      </c>
      <c r="AC229" s="582"/>
      <c r="AD229" s="582"/>
      <c r="AE229" s="582"/>
      <c r="AF229" s="582"/>
      <c r="AG229" s="582"/>
      <c r="AH229" s="582"/>
    </row>
    <row r="230" spans="1:34" ht="35.25" customHeight="1">
      <c r="A230" s="601"/>
      <c r="B230" s="829"/>
      <c r="C230" s="586" t="s">
        <v>1643</v>
      </c>
      <c r="D230" s="587" t="s">
        <v>1644</v>
      </c>
      <c r="E230" s="631">
        <v>90</v>
      </c>
      <c r="F230" s="631">
        <v>100</v>
      </c>
      <c r="G230" s="631">
        <v>100</v>
      </c>
      <c r="H230" s="631">
        <v>100</v>
      </c>
      <c r="I230" s="631">
        <v>100</v>
      </c>
      <c r="J230" s="631">
        <v>100</v>
      </c>
      <c r="K230" s="631">
        <v>100</v>
      </c>
      <c r="L230" s="631">
        <v>100</v>
      </c>
      <c r="M230" s="631">
        <v>95</v>
      </c>
      <c r="N230" s="631">
        <v>100</v>
      </c>
      <c r="O230" s="631">
        <v>100</v>
      </c>
      <c r="P230" s="631">
        <v>100</v>
      </c>
      <c r="Q230" s="631">
        <v>100</v>
      </c>
      <c r="R230" s="631">
        <v>90</v>
      </c>
      <c r="S230" s="631">
        <v>100</v>
      </c>
      <c r="T230" s="631">
        <v>90</v>
      </c>
      <c r="U230" s="631">
        <v>100</v>
      </c>
      <c r="V230" s="631">
        <v>100</v>
      </c>
      <c r="W230" s="631">
        <v>100</v>
      </c>
      <c r="X230" s="631">
        <v>85</v>
      </c>
      <c r="Y230" s="631">
        <v>100</v>
      </c>
      <c r="Z230" s="631">
        <v>100</v>
      </c>
      <c r="AA230" s="631">
        <v>100</v>
      </c>
      <c r="AB230" s="631">
        <v>100</v>
      </c>
      <c r="AC230" s="582"/>
      <c r="AD230" s="582"/>
      <c r="AE230" s="582"/>
      <c r="AF230" s="582"/>
      <c r="AG230" s="582"/>
      <c r="AH230" s="582"/>
    </row>
    <row r="231" spans="1:34" ht="33.75" customHeight="1">
      <c r="A231" s="601"/>
      <c r="B231" s="829"/>
      <c r="C231" s="586" t="s">
        <v>1645</v>
      </c>
      <c r="D231" s="587" t="s">
        <v>1390</v>
      </c>
      <c r="E231" s="631">
        <v>100</v>
      </c>
      <c r="F231" s="631">
        <v>100</v>
      </c>
      <c r="G231" s="631">
        <v>100</v>
      </c>
      <c r="H231" s="631">
        <v>100</v>
      </c>
      <c r="I231" s="631">
        <v>100</v>
      </c>
      <c r="J231" s="631">
        <v>100</v>
      </c>
      <c r="K231" s="631">
        <v>100</v>
      </c>
      <c r="L231" s="631">
        <v>100</v>
      </c>
      <c r="M231" s="631">
        <v>100</v>
      </c>
      <c r="N231" s="631">
        <v>100</v>
      </c>
      <c r="O231" s="631">
        <v>100</v>
      </c>
      <c r="P231" s="631">
        <v>100</v>
      </c>
      <c r="Q231" s="631">
        <v>100</v>
      </c>
      <c r="R231" s="631">
        <v>95</v>
      </c>
      <c r="S231" s="631">
        <v>95</v>
      </c>
      <c r="T231" s="631">
        <v>100</v>
      </c>
      <c r="U231" s="631">
        <v>100</v>
      </c>
      <c r="V231" s="631">
        <v>70</v>
      </c>
      <c r="W231" s="631">
        <v>90</v>
      </c>
      <c r="X231" s="631">
        <v>90</v>
      </c>
      <c r="Y231" s="631">
        <v>100</v>
      </c>
      <c r="Z231" s="631">
        <v>100</v>
      </c>
      <c r="AA231" s="631">
        <v>100</v>
      </c>
      <c r="AB231" s="631">
        <v>100</v>
      </c>
      <c r="AC231" s="582"/>
      <c r="AD231" s="582"/>
      <c r="AE231" s="582"/>
      <c r="AF231" s="582"/>
      <c r="AG231" s="582"/>
      <c r="AH231" s="582"/>
    </row>
    <row r="232" spans="1:34" ht="27" customHeight="1">
      <c r="A232" s="601"/>
      <c r="B232" s="829"/>
      <c r="C232" s="586" t="s">
        <v>1646</v>
      </c>
      <c r="D232" s="587" t="s">
        <v>1647</v>
      </c>
      <c r="E232" s="631">
        <v>100</v>
      </c>
      <c r="F232" s="631">
        <v>100</v>
      </c>
      <c r="G232" s="631">
        <v>100</v>
      </c>
      <c r="H232" s="631">
        <v>100</v>
      </c>
      <c r="I232" s="631">
        <v>100</v>
      </c>
      <c r="J232" s="631">
        <v>100</v>
      </c>
      <c r="K232" s="631">
        <v>100</v>
      </c>
      <c r="L232" s="631">
        <v>100</v>
      </c>
      <c r="M232" s="631">
        <v>100</v>
      </c>
      <c r="N232" s="631">
        <v>100</v>
      </c>
      <c r="O232" s="631">
        <v>100</v>
      </c>
      <c r="P232" s="631">
        <v>100</v>
      </c>
      <c r="Q232" s="631">
        <v>100</v>
      </c>
      <c r="R232" s="631">
        <v>100</v>
      </c>
      <c r="S232" s="631">
        <v>100</v>
      </c>
      <c r="T232" s="631">
        <v>100</v>
      </c>
      <c r="U232" s="631">
        <v>100</v>
      </c>
      <c r="V232" s="631">
        <v>100</v>
      </c>
      <c r="W232" s="631">
        <v>100</v>
      </c>
      <c r="X232" s="631">
        <v>90</v>
      </c>
      <c r="Y232" s="631">
        <v>100</v>
      </c>
      <c r="Z232" s="631">
        <v>100</v>
      </c>
      <c r="AA232" s="631">
        <v>100</v>
      </c>
      <c r="AB232" s="631">
        <v>100</v>
      </c>
      <c r="AC232" s="582"/>
      <c r="AD232" s="582"/>
      <c r="AE232" s="582"/>
      <c r="AF232" s="582"/>
      <c r="AG232" s="582"/>
      <c r="AH232" s="582"/>
    </row>
    <row r="233" spans="1:34" ht="27" customHeight="1">
      <c r="A233" s="601"/>
      <c r="B233" s="829"/>
      <c r="C233" s="586" t="s">
        <v>1648</v>
      </c>
      <c r="D233" s="587" t="s">
        <v>1423</v>
      </c>
      <c r="E233" s="631">
        <v>100</v>
      </c>
      <c r="F233" s="631">
        <v>100</v>
      </c>
      <c r="G233" s="631">
        <v>90</v>
      </c>
      <c r="H233" s="631">
        <v>100</v>
      </c>
      <c r="I233" s="631">
        <v>95</v>
      </c>
      <c r="J233" s="631">
        <v>100</v>
      </c>
      <c r="K233" s="631">
        <v>100</v>
      </c>
      <c r="L233" s="631">
        <v>100</v>
      </c>
      <c r="M233" s="631">
        <v>100</v>
      </c>
      <c r="N233" s="631">
        <v>100</v>
      </c>
      <c r="O233" s="631">
        <v>100</v>
      </c>
      <c r="P233" s="631">
        <v>100</v>
      </c>
      <c r="Q233" s="631">
        <v>90</v>
      </c>
      <c r="R233" s="631">
        <v>90</v>
      </c>
      <c r="S233" s="631">
        <v>100</v>
      </c>
      <c r="T233" s="631">
        <v>100</v>
      </c>
      <c r="U233" s="631">
        <v>100</v>
      </c>
      <c r="V233" s="631">
        <v>90</v>
      </c>
      <c r="W233" s="631">
        <v>100</v>
      </c>
      <c r="X233" s="631">
        <v>100</v>
      </c>
      <c r="Y233" s="631">
        <v>90</v>
      </c>
      <c r="Z233" s="631">
        <v>95</v>
      </c>
      <c r="AA233" s="631">
        <v>100</v>
      </c>
      <c r="AB233" s="631">
        <v>85</v>
      </c>
      <c r="AC233" s="582"/>
      <c r="AD233" s="582"/>
      <c r="AE233" s="582"/>
      <c r="AF233" s="582"/>
      <c r="AG233" s="582"/>
      <c r="AH233" s="582"/>
    </row>
    <row r="234" spans="1:34" ht="37.5" customHeight="1">
      <c r="A234" s="601"/>
      <c r="B234" s="829"/>
      <c r="C234" s="586" t="s">
        <v>1649</v>
      </c>
      <c r="D234" s="587" t="s">
        <v>1425</v>
      </c>
      <c r="E234" s="631">
        <v>85</v>
      </c>
      <c r="F234" s="631">
        <v>95</v>
      </c>
      <c r="G234" s="631">
        <v>90</v>
      </c>
      <c r="H234" s="631">
        <v>100</v>
      </c>
      <c r="I234" s="631">
        <v>100</v>
      </c>
      <c r="J234" s="631">
        <v>100</v>
      </c>
      <c r="K234" s="631">
        <v>100</v>
      </c>
      <c r="L234" s="631">
        <v>100</v>
      </c>
      <c r="M234" s="631">
        <v>100</v>
      </c>
      <c r="N234" s="631">
        <v>100</v>
      </c>
      <c r="O234" s="631">
        <v>100</v>
      </c>
      <c r="P234" s="631">
        <v>100</v>
      </c>
      <c r="Q234" s="631">
        <v>100</v>
      </c>
      <c r="R234" s="631">
        <v>95</v>
      </c>
      <c r="S234" s="631">
        <v>100</v>
      </c>
      <c r="T234" s="631">
        <v>100</v>
      </c>
      <c r="U234" s="631">
        <v>100</v>
      </c>
      <c r="V234" s="631">
        <v>95</v>
      </c>
      <c r="W234" s="631">
        <v>90</v>
      </c>
      <c r="X234" s="631">
        <v>100</v>
      </c>
      <c r="Y234" s="631">
        <v>100</v>
      </c>
      <c r="Z234" s="631">
        <v>95</v>
      </c>
      <c r="AA234" s="631">
        <v>100</v>
      </c>
      <c r="AB234" s="631">
        <v>95</v>
      </c>
      <c r="AC234" s="582"/>
      <c r="AD234" s="582"/>
      <c r="AE234" s="582"/>
      <c r="AF234" s="582"/>
      <c r="AG234" s="582"/>
      <c r="AH234" s="582"/>
    </row>
    <row r="235" spans="1:34" ht="27" customHeight="1">
      <c r="A235" s="601"/>
      <c r="B235" s="829"/>
      <c r="C235" s="586" t="s">
        <v>1650</v>
      </c>
      <c r="D235" s="587" t="s">
        <v>1427</v>
      </c>
      <c r="E235" s="634">
        <v>100</v>
      </c>
      <c r="F235" s="634">
        <v>90</v>
      </c>
      <c r="G235" s="634">
        <v>85</v>
      </c>
      <c r="H235" s="634">
        <v>100</v>
      </c>
      <c r="I235" s="634">
        <v>95</v>
      </c>
      <c r="J235" s="634">
        <v>100</v>
      </c>
      <c r="K235" s="634">
        <v>100</v>
      </c>
      <c r="L235" s="634">
        <v>70</v>
      </c>
      <c r="M235" s="634">
        <v>70</v>
      </c>
      <c r="N235" s="634">
        <v>70</v>
      </c>
      <c r="O235" s="634">
        <v>100</v>
      </c>
      <c r="P235" s="634">
        <v>90</v>
      </c>
      <c r="Q235" s="634">
        <v>90</v>
      </c>
      <c r="R235" s="634">
        <v>70</v>
      </c>
      <c r="S235" s="634">
        <v>70</v>
      </c>
      <c r="T235" s="634">
        <v>70</v>
      </c>
      <c r="U235" s="634">
        <v>100</v>
      </c>
      <c r="V235" s="634">
        <v>95</v>
      </c>
      <c r="W235" s="634">
        <v>90</v>
      </c>
      <c r="X235" s="634">
        <v>70</v>
      </c>
      <c r="Y235" s="634">
        <v>100</v>
      </c>
      <c r="Z235" s="634">
        <v>95</v>
      </c>
      <c r="AA235" s="634">
        <v>95</v>
      </c>
      <c r="AB235" s="634">
        <v>85</v>
      </c>
      <c r="AC235" s="582"/>
      <c r="AD235" s="582"/>
      <c r="AE235" s="582"/>
      <c r="AF235" s="582"/>
      <c r="AG235" s="582"/>
      <c r="AH235" s="582"/>
    </row>
    <row r="236" spans="1:34" ht="36" customHeight="1">
      <c r="A236" s="601"/>
      <c r="B236" s="829"/>
      <c r="C236" s="586" t="s">
        <v>1651</v>
      </c>
      <c r="D236" s="587" t="s">
        <v>1652</v>
      </c>
      <c r="E236" s="634">
        <v>95</v>
      </c>
      <c r="F236" s="634">
        <v>100</v>
      </c>
      <c r="G236" s="634">
        <v>95</v>
      </c>
      <c r="H236" s="634">
        <v>90</v>
      </c>
      <c r="I236" s="634">
        <v>100</v>
      </c>
      <c r="J236" s="634">
        <v>100</v>
      </c>
      <c r="K236" s="634">
        <v>100</v>
      </c>
      <c r="L236" s="634">
        <v>95</v>
      </c>
      <c r="M236" s="634">
        <v>85</v>
      </c>
      <c r="N236" s="634">
        <v>100</v>
      </c>
      <c r="O236" s="634">
        <v>100</v>
      </c>
      <c r="P236" s="634">
        <v>100</v>
      </c>
      <c r="Q236" s="634">
        <v>95</v>
      </c>
      <c r="R236" s="634">
        <v>100</v>
      </c>
      <c r="S236" s="634">
        <v>95</v>
      </c>
      <c r="T236" s="634">
        <v>95</v>
      </c>
      <c r="U236" s="634">
        <v>100</v>
      </c>
      <c r="V236" s="634">
        <v>100</v>
      </c>
      <c r="W236" s="634">
        <v>95</v>
      </c>
      <c r="X236" s="634">
        <v>80</v>
      </c>
      <c r="Y236" s="634">
        <v>100</v>
      </c>
      <c r="Z236" s="634">
        <v>60</v>
      </c>
      <c r="AA236" s="634">
        <v>95</v>
      </c>
      <c r="AB236" s="634">
        <v>85</v>
      </c>
      <c r="AC236" s="582"/>
      <c r="AD236" s="582"/>
      <c r="AE236" s="582"/>
      <c r="AF236" s="582"/>
      <c r="AG236" s="582"/>
      <c r="AH236" s="582"/>
    </row>
    <row r="237" spans="1:34" ht="36.75" customHeight="1">
      <c r="A237" s="601"/>
      <c r="B237" s="829"/>
      <c r="C237" s="586" t="s">
        <v>1653</v>
      </c>
      <c r="D237" s="587" t="s">
        <v>1654</v>
      </c>
      <c r="E237" s="634">
        <v>100</v>
      </c>
      <c r="F237" s="634">
        <v>90</v>
      </c>
      <c r="G237" s="634">
        <v>90</v>
      </c>
      <c r="H237" s="634">
        <v>90</v>
      </c>
      <c r="I237" s="634">
        <v>100</v>
      </c>
      <c r="J237" s="634">
        <v>100</v>
      </c>
      <c r="K237" s="634">
        <v>90</v>
      </c>
      <c r="L237" s="634">
        <v>90</v>
      </c>
      <c r="M237" s="634">
        <v>100</v>
      </c>
      <c r="N237" s="634">
        <v>100</v>
      </c>
      <c r="O237" s="634">
        <v>100</v>
      </c>
      <c r="P237" s="634">
        <v>100</v>
      </c>
      <c r="Q237" s="634">
        <v>100</v>
      </c>
      <c r="R237" s="634">
        <v>100</v>
      </c>
      <c r="S237" s="634">
        <v>100</v>
      </c>
      <c r="T237" s="634">
        <v>100</v>
      </c>
      <c r="U237" s="634">
        <v>100</v>
      </c>
      <c r="V237" s="634">
        <v>100</v>
      </c>
      <c r="W237" s="634">
        <v>100</v>
      </c>
      <c r="X237" s="634">
        <v>90</v>
      </c>
      <c r="Y237" s="634">
        <v>90</v>
      </c>
      <c r="Z237" s="634">
        <v>90</v>
      </c>
      <c r="AA237" s="634">
        <v>100</v>
      </c>
      <c r="AB237" s="634">
        <v>100</v>
      </c>
      <c r="AC237" s="582"/>
      <c r="AD237" s="582"/>
      <c r="AE237" s="582"/>
      <c r="AF237" s="582"/>
      <c r="AG237" s="582"/>
      <c r="AH237" s="582"/>
    </row>
    <row r="238" spans="1:34" ht="33" customHeight="1">
      <c r="A238" s="601"/>
      <c r="B238" s="829"/>
      <c r="C238" s="586" t="s">
        <v>1655</v>
      </c>
      <c r="D238" s="587" t="s">
        <v>1656</v>
      </c>
      <c r="E238" s="634">
        <v>100</v>
      </c>
      <c r="F238" s="634">
        <v>100</v>
      </c>
      <c r="G238" s="634">
        <v>90</v>
      </c>
      <c r="H238" s="634">
        <v>100</v>
      </c>
      <c r="I238" s="634">
        <v>100</v>
      </c>
      <c r="J238" s="634">
        <v>100</v>
      </c>
      <c r="K238" s="634">
        <v>100</v>
      </c>
      <c r="L238" s="634">
        <v>100</v>
      </c>
      <c r="M238" s="634">
        <v>100</v>
      </c>
      <c r="N238" s="634">
        <v>100</v>
      </c>
      <c r="O238" s="634">
        <v>100</v>
      </c>
      <c r="P238" s="634">
        <v>100</v>
      </c>
      <c r="Q238" s="634">
        <v>95</v>
      </c>
      <c r="R238" s="634">
        <v>100</v>
      </c>
      <c r="S238" s="634">
        <v>95</v>
      </c>
      <c r="T238" s="634">
        <v>100</v>
      </c>
      <c r="U238" s="634">
        <v>100</v>
      </c>
      <c r="V238" s="634">
        <v>100</v>
      </c>
      <c r="W238" s="634">
        <v>70</v>
      </c>
      <c r="X238" s="634">
        <v>100</v>
      </c>
      <c r="Y238" s="634">
        <v>100</v>
      </c>
      <c r="Z238" s="634">
        <v>100</v>
      </c>
      <c r="AA238" s="634">
        <v>100</v>
      </c>
      <c r="AB238" s="634">
        <v>95</v>
      </c>
      <c r="AC238" s="582"/>
      <c r="AD238" s="582"/>
      <c r="AE238" s="582"/>
      <c r="AF238" s="582"/>
      <c r="AG238" s="582"/>
      <c r="AH238" s="582"/>
    </row>
    <row r="239" spans="1:34" ht="27" customHeight="1">
      <c r="A239" s="601"/>
      <c r="B239" s="829"/>
      <c r="C239" s="586" t="s">
        <v>1657</v>
      </c>
      <c r="D239" s="587" t="s">
        <v>1431</v>
      </c>
      <c r="E239" s="634">
        <v>90</v>
      </c>
      <c r="F239" s="634">
        <v>100</v>
      </c>
      <c r="G239" s="634">
        <v>100</v>
      </c>
      <c r="H239" s="634">
        <v>90</v>
      </c>
      <c r="I239" s="634">
        <v>100</v>
      </c>
      <c r="J239" s="634">
        <v>90</v>
      </c>
      <c r="K239" s="634">
        <v>100</v>
      </c>
      <c r="L239" s="634">
        <v>100</v>
      </c>
      <c r="M239" s="634">
        <v>100</v>
      </c>
      <c r="N239" s="634">
        <v>100</v>
      </c>
      <c r="O239" s="634">
        <v>100</v>
      </c>
      <c r="P239" s="634">
        <v>100</v>
      </c>
      <c r="Q239" s="634">
        <v>100</v>
      </c>
      <c r="R239" s="634">
        <v>100</v>
      </c>
      <c r="S239" s="634">
        <v>90</v>
      </c>
      <c r="T239" s="634">
        <v>100</v>
      </c>
      <c r="U239" s="634">
        <v>100</v>
      </c>
      <c r="V239" s="634">
        <v>100</v>
      </c>
      <c r="W239" s="634">
        <v>100</v>
      </c>
      <c r="X239" s="634">
        <v>100</v>
      </c>
      <c r="Y239" s="634">
        <v>100</v>
      </c>
      <c r="Z239" s="634">
        <v>100</v>
      </c>
      <c r="AA239" s="634">
        <v>100</v>
      </c>
      <c r="AB239" s="634">
        <v>90</v>
      </c>
      <c r="AC239" s="582"/>
      <c r="AD239" s="582"/>
      <c r="AE239" s="582"/>
      <c r="AF239" s="582"/>
      <c r="AG239" s="582"/>
      <c r="AH239" s="582"/>
    </row>
    <row r="240" spans="1:34" ht="33.75" customHeight="1">
      <c r="A240" s="601"/>
      <c r="B240" s="829"/>
      <c r="C240" s="586" t="s">
        <v>1658</v>
      </c>
      <c r="D240" s="587" t="s">
        <v>1425</v>
      </c>
      <c r="E240" s="635">
        <v>100</v>
      </c>
      <c r="F240" s="635">
        <v>100</v>
      </c>
      <c r="G240" s="635">
        <v>90</v>
      </c>
      <c r="H240" s="635">
        <v>100</v>
      </c>
      <c r="I240" s="635">
        <v>100</v>
      </c>
      <c r="J240" s="635">
        <v>100</v>
      </c>
      <c r="K240" s="635">
        <v>100</v>
      </c>
      <c r="L240" s="635">
        <v>100</v>
      </c>
      <c r="M240" s="635">
        <v>90</v>
      </c>
      <c r="N240" s="635">
        <v>100</v>
      </c>
      <c r="O240" s="635">
        <v>100</v>
      </c>
      <c r="P240" s="635">
        <v>100</v>
      </c>
      <c r="Q240" s="635">
        <v>100</v>
      </c>
      <c r="R240" s="635">
        <v>100</v>
      </c>
      <c r="S240" s="635">
        <v>80</v>
      </c>
      <c r="T240" s="635">
        <v>100</v>
      </c>
      <c r="U240" s="635">
        <v>100</v>
      </c>
      <c r="V240" s="635">
        <v>90</v>
      </c>
      <c r="W240" s="635">
        <v>90</v>
      </c>
      <c r="X240" s="635">
        <v>100</v>
      </c>
      <c r="Y240" s="635">
        <v>100</v>
      </c>
      <c r="Z240" s="635">
        <v>90</v>
      </c>
      <c r="AA240" s="635">
        <v>90</v>
      </c>
      <c r="AB240" s="635">
        <v>100</v>
      </c>
      <c r="AC240" s="582"/>
      <c r="AD240" s="582"/>
      <c r="AE240" s="582"/>
      <c r="AF240" s="582"/>
      <c r="AG240" s="582"/>
      <c r="AH240" s="582"/>
    </row>
    <row r="241" spans="1:34" ht="27" customHeight="1">
      <c r="A241" s="601"/>
      <c r="B241" s="829"/>
      <c r="C241" s="586" t="s">
        <v>1659</v>
      </c>
      <c r="D241" s="587" t="s">
        <v>1514</v>
      </c>
      <c r="E241" s="640">
        <v>90</v>
      </c>
      <c r="F241" s="640">
        <v>75</v>
      </c>
      <c r="G241" s="640">
        <v>95</v>
      </c>
      <c r="H241" s="640">
        <v>70</v>
      </c>
      <c r="I241" s="640">
        <v>90</v>
      </c>
      <c r="J241" s="640">
        <v>100</v>
      </c>
      <c r="K241" s="640">
        <v>80</v>
      </c>
      <c r="L241" s="640">
        <v>75</v>
      </c>
      <c r="M241" s="640">
        <v>100</v>
      </c>
      <c r="N241" s="640">
        <v>90</v>
      </c>
      <c r="O241" s="640">
        <v>90</v>
      </c>
      <c r="P241" s="640">
        <v>90</v>
      </c>
      <c r="Q241" s="640">
        <v>75</v>
      </c>
      <c r="R241" s="640">
        <v>90</v>
      </c>
      <c r="S241" s="640">
        <v>100</v>
      </c>
      <c r="T241" s="640">
        <v>100</v>
      </c>
      <c r="U241" s="640">
        <v>100</v>
      </c>
      <c r="V241" s="640">
        <v>80</v>
      </c>
      <c r="W241" s="640">
        <v>70</v>
      </c>
      <c r="X241" s="640">
        <v>90</v>
      </c>
      <c r="Y241" s="640">
        <v>80</v>
      </c>
      <c r="Z241" s="640">
        <v>100</v>
      </c>
      <c r="AA241" s="640">
        <v>80</v>
      </c>
      <c r="AB241" s="640">
        <v>80</v>
      </c>
      <c r="AC241" s="582"/>
      <c r="AD241" s="582"/>
      <c r="AE241" s="582"/>
      <c r="AF241" s="582"/>
      <c r="AG241" s="582"/>
      <c r="AH241" s="582"/>
    </row>
    <row r="242" spans="1:34" ht="38.25" customHeight="1">
      <c r="A242" s="601"/>
      <c r="B242" s="829"/>
      <c r="C242" s="586" t="s">
        <v>1660</v>
      </c>
      <c r="D242" s="587" t="s">
        <v>1661</v>
      </c>
      <c r="E242" s="640">
        <v>100</v>
      </c>
      <c r="F242" s="640">
        <v>100</v>
      </c>
      <c r="G242" s="640">
        <v>100</v>
      </c>
      <c r="H242" s="640">
        <v>70</v>
      </c>
      <c r="I242" s="640">
        <v>100</v>
      </c>
      <c r="J242" s="640">
        <v>100</v>
      </c>
      <c r="K242" s="640">
        <v>100</v>
      </c>
      <c r="L242" s="640">
        <v>100</v>
      </c>
      <c r="M242" s="640">
        <v>50</v>
      </c>
      <c r="N242" s="640">
        <v>75</v>
      </c>
      <c r="O242" s="640">
        <v>100</v>
      </c>
      <c r="P242" s="640">
        <v>100</v>
      </c>
      <c r="Q242" s="640">
        <v>100</v>
      </c>
      <c r="R242" s="640">
        <v>100</v>
      </c>
      <c r="S242" s="640">
        <v>70</v>
      </c>
      <c r="T242" s="640">
        <v>100</v>
      </c>
      <c r="U242" s="640">
        <v>100</v>
      </c>
      <c r="V242" s="640">
        <v>60</v>
      </c>
      <c r="W242" s="640">
        <v>100</v>
      </c>
      <c r="X242" s="640">
        <v>90</v>
      </c>
      <c r="Y242" s="640">
        <v>100</v>
      </c>
      <c r="Z242" s="640">
        <v>100</v>
      </c>
      <c r="AA242" s="640">
        <v>100</v>
      </c>
      <c r="AB242" s="640">
        <v>100</v>
      </c>
      <c r="AC242" s="582"/>
      <c r="AD242" s="582"/>
      <c r="AE242" s="582"/>
      <c r="AF242" s="582"/>
      <c r="AG242" s="582"/>
      <c r="AH242" s="582"/>
    </row>
    <row r="243" spans="1:34" ht="36.75" customHeight="1">
      <c r="A243" s="601"/>
      <c r="B243" s="829"/>
      <c r="C243" s="586" t="s">
        <v>1662</v>
      </c>
      <c r="D243" s="587" t="s">
        <v>1663</v>
      </c>
      <c r="E243" s="640">
        <v>100</v>
      </c>
      <c r="F243" s="640">
        <v>95</v>
      </c>
      <c r="G243" s="640">
        <v>100</v>
      </c>
      <c r="H243" s="640">
        <v>100</v>
      </c>
      <c r="I243" s="640">
        <v>100</v>
      </c>
      <c r="J243" s="640">
        <v>100</v>
      </c>
      <c r="K243" s="640">
        <v>100</v>
      </c>
      <c r="L243" s="640">
        <v>100</v>
      </c>
      <c r="M243" s="640">
        <v>100</v>
      </c>
      <c r="N243" s="640">
        <v>100</v>
      </c>
      <c r="O243" s="640">
        <v>100</v>
      </c>
      <c r="P243" s="640">
        <v>100</v>
      </c>
      <c r="Q243" s="640">
        <v>100</v>
      </c>
      <c r="R243" s="640">
        <v>95</v>
      </c>
      <c r="S243" s="640">
        <v>95</v>
      </c>
      <c r="T243" s="640">
        <v>95</v>
      </c>
      <c r="U243" s="640">
        <v>100</v>
      </c>
      <c r="V243" s="640">
        <v>100</v>
      </c>
      <c r="W243" s="640">
        <v>100</v>
      </c>
      <c r="X243" s="640">
        <v>100</v>
      </c>
      <c r="Y243" s="640">
        <v>100</v>
      </c>
      <c r="Z243" s="640">
        <v>100</v>
      </c>
      <c r="AA243" s="640">
        <v>100</v>
      </c>
      <c r="AB243" s="640">
        <v>100</v>
      </c>
      <c r="AC243" s="582"/>
      <c r="AD243" s="582"/>
      <c r="AE243" s="582"/>
      <c r="AF243" s="582"/>
      <c r="AG243" s="582"/>
      <c r="AH243" s="582"/>
    </row>
    <row r="244" spans="1:34" ht="42.75" customHeight="1">
      <c r="A244" s="601"/>
      <c r="B244" s="829"/>
      <c r="C244" s="586" t="s">
        <v>1664</v>
      </c>
      <c r="D244" s="587" t="s">
        <v>1665</v>
      </c>
      <c r="E244" s="640">
        <v>100</v>
      </c>
      <c r="F244" s="640">
        <v>100</v>
      </c>
      <c r="G244" s="640">
        <v>95</v>
      </c>
      <c r="H244" s="640">
        <v>100</v>
      </c>
      <c r="I244" s="640">
        <v>100</v>
      </c>
      <c r="J244" s="640">
        <v>100</v>
      </c>
      <c r="K244" s="640">
        <v>100</v>
      </c>
      <c r="L244" s="640">
        <v>100</v>
      </c>
      <c r="M244" s="640">
        <v>100</v>
      </c>
      <c r="N244" s="640">
        <v>100</v>
      </c>
      <c r="O244" s="640">
        <v>100</v>
      </c>
      <c r="P244" s="640">
        <v>100</v>
      </c>
      <c r="Q244" s="640">
        <v>100</v>
      </c>
      <c r="R244" s="640">
        <v>100</v>
      </c>
      <c r="S244" s="640">
        <v>95</v>
      </c>
      <c r="T244" s="640">
        <v>100</v>
      </c>
      <c r="U244" s="640">
        <v>100</v>
      </c>
      <c r="V244" s="640">
        <v>100</v>
      </c>
      <c r="W244" s="640">
        <v>100</v>
      </c>
      <c r="X244" s="640">
        <v>100</v>
      </c>
      <c r="Y244" s="640">
        <v>100</v>
      </c>
      <c r="Z244" s="640">
        <v>100</v>
      </c>
      <c r="AA244" s="640">
        <v>100</v>
      </c>
      <c r="AB244" s="640">
        <v>100</v>
      </c>
      <c r="AC244" s="582"/>
      <c r="AD244" s="582"/>
      <c r="AE244" s="582"/>
      <c r="AF244" s="582"/>
      <c r="AG244" s="582"/>
      <c r="AH244" s="582"/>
    </row>
    <row r="245" spans="1:34" ht="27" customHeight="1">
      <c r="A245" s="601"/>
      <c r="B245" s="829"/>
      <c r="C245" s="586" t="s">
        <v>1666</v>
      </c>
      <c r="D245" s="587" t="s">
        <v>1439</v>
      </c>
      <c r="E245" s="640">
        <v>70</v>
      </c>
      <c r="F245" s="640">
        <v>70</v>
      </c>
      <c r="G245" s="640">
        <v>65</v>
      </c>
      <c r="H245" s="640">
        <v>90</v>
      </c>
      <c r="I245" s="640">
        <v>90</v>
      </c>
      <c r="J245" s="640">
        <v>90</v>
      </c>
      <c r="K245" s="640">
        <v>100</v>
      </c>
      <c r="L245" s="640">
        <v>80</v>
      </c>
      <c r="M245" s="640">
        <v>90</v>
      </c>
      <c r="N245" s="640">
        <v>80</v>
      </c>
      <c r="O245" s="640">
        <v>100</v>
      </c>
      <c r="P245" s="640">
        <v>90</v>
      </c>
      <c r="Q245" s="640">
        <v>90</v>
      </c>
      <c r="R245" s="640">
        <v>90</v>
      </c>
      <c r="S245" s="640">
        <v>65</v>
      </c>
      <c r="T245" s="640">
        <v>100</v>
      </c>
      <c r="U245" s="640">
        <v>95</v>
      </c>
      <c r="V245" s="640">
        <v>90</v>
      </c>
      <c r="W245" s="640">
        <v>100</v>
      </c>
      <c r="X245" s="640">
        <v>90</v>
      </c>
      <c r="Y245" s="640">
        <v>90</v>
      </c>
      <c r="Z245" s="640">
        <v>90</v>
      </c>
      <c r="AA245" s="640">
        <v>80</v>
      </c>
      <c r="AB245" s="640">
        <v>90</v>
      </c>
      <c r="AC245" s="582"/>
      <c r="AD245" s="582"/>
      <c r="AE245" s="582"/>
      <c r="AF245" s="582"/>
      <c r="AG245" s="582"/>
      <c r="AH245" s="582"/>
    </row>
    <row r="246" spans="1:34" ht="34.5" customHeight="1">
      <c r="A246" s="601"/>
      <c r="B246" s="829"/>
      <c r="C246" s="586" t="s">
        <v>1667</v>
      </c>
      <c r="D246" s="587" t="s">
        <v>1441</v>
      </c>
      <c r="E246" s="640">
        <v>100</v>
      </c>
      <c r="F246" s="640">
        <v>90</v>
      </c>
      <c r="G246" s="640">
        <v>90</v>
      </c>
      <c r="H246" s="640">
        <v>100</v>
      </c>
      <c r="I246" s="640">
        <v>100</v>
      </c>
      <c r="J246" s="640">
        <v>100</v>
      </c>
      <c r="K246" s="640">
        <v>100</v>
      </c>
      <c r="L246" s="640">
        <v>100</v>
      </c>
      <c r="M246" s="640">
        <v>100</v>
      </c>
      <c r="N246" s="640">
        <v>100</v>
      </c>
      <c r="O246" s="640">
        <v>100</v>
      </c>
      <c r="P246" s="640">
        <v>100</v>
      </c>
      <c r="Q246" s="640">
        <v>100</v>
      </c>
      <c r="R246" s="640">
        <v>100</v>
      </c>
      <c r="S246" s="640">
        <v>80</v>
      </c>
      <c r="T246" s="640">
        <v>95</v>
      </c>
      <c r="U246" s="640">
        <v>100</v>
      </c>
      <c r="V246" s="640">
        <v>100</v>
      </c>
      <c r="W246" s="640">
        <v>100</v>
      </c>
      <c r="X246" s="640">
        <v>100</v>
      </c>
      <c r="Y246" s="640">
        <v>90</v>
      </c>
      <c r="Z246" s="640">
        <v>70</v>
      </c>
      <c r="AA246" s="640">
        <v>100</v>
      </c>
      <c r="AB246" s="640">
        <v>100</v>
      </c>
      <c r="AC246" s="582"/>
      <c r="AD246" s="582"/>
      <c r="AE246" s="582"/>
      <c r="AF246" s="582"/>
      <c r="AG246" s="582"/>
      <c r="AH246" s="582"/>
    </row>
    <row r="247" spans="1:34" ht="42" customHeight="1">
      <c r="A247" s="601"/>
      <c r="B247" s="829"/>
      <c r="C247" s="586" t="s">
        <v>1668</v>
      </c>
      <c r="D247" s="587" t="s">
        <v>1443</v>
      </c>
      <c r="E247" s="643">
        <v>90</v>
      </c>
      <c r="F247" s="643">
        <v>90</v>
      </c>
      <c r="G247" s="643">
        <v>80</v>
      </c>
      <c r="H247" s="643">
        <v>100</v>
      </c>
      <c r="I247" s="643">
        <v>95</v>
      </c>
      <c r="J247" s="643">
        <v>100</v>
      </c>
      <c r="K247" s="643">
        <v>100</v>
      </c>
      <c r="L247" s="643">
        <v>100</v>
      </c>
      <c r="M247" s="643">
        <v>90</v>
      </c>
      <c r="N247" s="643">
        <v>95</v>
      </c>
      <c r="O247" s="643">
        <v>100</v>
      </c>
      <c r="P247" s="643">
        <v>90</v>
      </c>
      <c r="Q247" s="643">
        <v>100</v>
      </c>
      <c r="R247" s="643">
        <v>85</v>
      </c>
      <c r="S247" s="643">
        <v>95</v>
      </c>
      <c r="T247" s="643">
        <v>75</v>
      </c>
      <c r="U247" s="643">
        <v>100</v>
      </c>
      <c r="V247" s="643">
        <v>80</v>
      </c>
      <c r="W247" s="643">
        <v>75</v>
      </c>
      <c r="X247" s="643">
        <v>100</v>
      </c>
      <c r="Y247" s="643">
        <v>90</v>
      </c>
      <c r="Z247" s="643">
        <v>85</v>
      </c>
      <c r="AA247" s="643">
        <v>100</v>
      </c>
      <c r="AB247" s="643">
        <v>90</v>
      </c>
      <c r="AC247" s="582"/>
      <c r="AD247" s="582"/>
      <c r="AE247" s="582"/>
      <c r="AF247" s="582"/>
      <c r="AG247" s="582"/>
      <c r="AH247" s="582"/>
    </row>
    <row r="248" spans="1:34" ht="36" customHeight="1">
      <c r="A248" s="601"/>
      <c r="B248" s="829"/>
      <c r="C248" s="586" t="s">
        <v>1669</v>
      </c>
      <c r="D248" s="587" t="s">
        <v>1670</v>
      </c>
      <c r="E248" s="643">
        <v>95</v>
      </c>
      <c r="F248" s="643">
        <v>95</v>
      </c>
      <c r="G248" s="643">
        <v>90</v>
      </c>
      <c r="H248" s="643">
        <v>95</v>
      </c>
      <c r="I248" s="643">
        <v>90</v>
      </c>
      <c r="J248" s="643">
        <v>70</v>
      </c>
      <c r="K248" s="643">
        <v>100</v>
      </c>
      <c r="L248" s="643">
        <v>100</v>
      </c>
      <c r="M248" s="643">
        <v>100</v>
      </c>
      <c r="N248" s="643">
        <v>80</v>
      </c>
      <c r="O248" s="643">
        <v>100</v>
      </c>
      <c r="P248" s="643">
        <v>100</v>
      </c>
      <c r="Q248" s="643">
        <v>100</v>
      </c>
      <c r="R248" s="643">
        <v>100</v>
      </c>
      <c r="S248" s="643">
        <v>75</v>
      </c>
      <c r="T248" s="643">
        <v>95</v>
      </c>
      <c r="U248" s="643">
        <v>100</v>
      </c>
      <c r="V248" s="643">
        <v>100</v>
      </c>
      <c r="W248" s="643">
        <v>95</v>
      </c>
      <c r="X248" s="643">
        <v>75</v>
      </c>
      <c r="Y248" s="643">
        <v>75</v>
      </c>
      <c r="Z248" s="643">
        <v>95</v>
      </c>
      <c r="AA248" s="643">
        <v>100</v>
      </c>
      <c r="AB248" s="643"/>
      <c r="AC248" s="582"/>
      <c r="AD248" s="582"/>
      <c r="AE248" s="582"/>
      <c r="AF248" s="582"/>
      <c r="AG248" s="582"/>
      <c r="AH248" s="582"/>
    </row>
    <row r="249" spans="1:34" ht="35.25" customHeight="1">
      <c r="A249" s="601"/>
      <c r="B249" s="829"/>
      <c r="C249" s="586" t="s">
        <v>1671</v>
      </c>
      <c r="D249" s="587" t="s">
        <v>1445</v>
      </c>
      <c r="E249" s="643">
        <v>90</v>
      </c>
      <c r="F249" s="643">
        <v>85</v>
      </c>
      <c r="G249" s="643">
        <v>90</v>
      </c>
      <c r="H249" s="643">
        <v>100</v>
      </c>
      <c r="I249" s="643">
        <v>95</v>
      </c>
      <c r="J249" s="643">
        <v>100</v>
      </c>
      <c r="K249" s="643">
        <v>95</v>
      </c>
      <c r="L249" s="643">
        <v>100</v>
      </c>
      <c r="M249" s="643">
        <v>95</v>
      </c>
      <c r="N249" s="643">
        <v>100</v>
      </c>
      <c r="O249" s="643">
        <v>85</v>
      </c>
      <c r="P249" s="643">
        <v>100</v>
      </c>
      <c r="Q249" s="643">
        <v>100</v>
      </c>
      <c r="R249" s="643"/>
      <c r="S249" s="643">
        <v>75</v>
      </c>
      <c r="T249" s="643">
        <v>80</v>
      </c>
      <c r="U249" s="643">
        <v>100</v>
      </c>
      <c r="V249" s="643">
        <v>100</v>
      </c>
      <c r="W249" s="643">
        <v>100</v>
      </c>
      <c r="X249" s="643">
        <v>100</v>
      </c>
      <c r="Y249" s="643">
        <v>100</v>
      </c>
      <c r="Z249" s="643">
        <v>90</v>
      </c>
      <c r="AA249" s="643">
        <v>100</v>
      </c>
      <c r="AB249" s="643">
        <v>100</v>
      </c>
      <c r="AC249" s="582"/>
      <c r="AD249" s="582"/>
      <c r="AE249" s="582"/>
      <c r="AF249" s="582"/>
      <c r="AG249" s="582"/>
      <c r="AH249" s="582"/>
    </row>
    <row r="250" spans="1:34" ht="36.75" customHeight="1">
      <c r="A250" s="601"/>
      <c r="B250" s="829"/>
      <c r="C250" s="586" t="s">
        <v>1672</v>
      </c>
      <c r="D250" s="587" t="s">
        <v>1673</v>
      </c>
      <c r="E250" s="643">
        <v>100</v>
      </c>
      <c r="F250" s="643">
        <v>95</v>
      </c>
      <c r="G250" s="643">
        <v>95</v>
      </c>
      <c r="H250" s="643">
        <v>85</v>
      </c>
      <c r="I250" s="643">
        <v>80</v>
      </c>
      <c r="J250" s="643">
        <v>95</v>
      </c>
      <c r="K250" s="643">
        <v>100</v>
      </c>
      <c r="L250" s="643">
        <v>75</v>
      </c>
      <c r="M250" s="643">
        <v>85</v>
      </c>
      <c r="N250" s="643">
        <v>100</v>
      </c>
      <c r="O250" s="643">
        <v>100</v>
      </c>
      <c r="P250" s="643">
        <v>90</v>
      </c>
      <c r="Q250" s="643">
        <v>90</v>
      </c>
      <c r="R250" s="643">
        <v>90</v>
      </c>
      <c r="S250" s="643">
        <v>85</v>
      </c>
      <c r="T250" s="643">
        <v>100</v>
      </c>
      <c r="U250" s="643">
        <v>100</v>
      </c>
      <c r="V250" s="643">
        <v>95</v>
      </c>
      <c r="W250" s="643">
        <v>100</v>
      </c>
      <c r="X250" s="643">
        <v>100</v>
      </c>
      <c r="Y250" s="643">
        <v>85</v>
      </c>
      <c r="Z250" s="643">
        <v>95</v>
      </c>
      <c r="AA250" s="643">
        <v>95</v>
      </c>
      <c r="AB250" s="643">
        <v>90</v>
      </c>
      <c r="AC250" s="582"/>
      <c r="AD250" s="582"/>
      <c r="AE250" s="582"/>
      <c r="AF250" s="582"/>
      <c r="AG250" s="582"/>
      <c r="AH250" s="582"/>
    </row>
    <row r="251" spans="1:34" ht="35.25" customHeight="1">
      <c r="A251" s="601"/>
      <c r="B251" s="829"/>
      <c r="C251" s="586" t="s">
        <v>1674</v>
      </c>
      <c r="D251" s="587" t="s">
        <v>1447</v>
      </c>
      <c r="E251" s="643">
        <v>90</v>
      </c>
      <c r="F251" s="643">
        <v>80</v>
      </c>
      <c r="G251" s="643">
        <v>85</v>
      </c>
      <c r="H251" s="643">
        <v>100</v>
      </c>
      <c r="I251" s="643">
        <v>100</v>
      </c>
      <c r="J251" s="643">
        <v>100</v>
      </c>
      <c r="K251" s="643">
        <v>100</v>
      </c>
      <c r="L251" s="643">
        <v>100</v>
      </c>
      <c r="M251" s="643">
        <v>90</v>
      </c>
      <c r="N251" s="643">
        <v>100</v>
      </c>
      <c r="O251" s="643">
        <v>100</v>
      </c>
      <c r="P251" s="643">
        <v>100</v>
      </c>
      <c r="Q251" s="643">
        <v>90</v>
      </c>
      <c r="R251" s="643">
        <v>90</v>
      </c>
      <c r="S251" s="643">
        <v>95</v>
      </c>
      <c r="T251" s="643">
        <v>100</v>
      </c>
      <c r="U251" s="643">
        <v>100</v>
      </c>
      <c r="V251" s="643">
        <v>95</v>
      </c>
      <c r="W251" s="643">
        <v>80</v>
      </c>
      <c r="X251" s="643">
        <v>90</v>
      </c>
      <c r="Y251" s="643">
        <v>100</v>
      </c>
      <c r="Z251" s="643">
        <v>95</v>
      </c>
      <c r="AA251" s="643">
        <v>90</v>
      </c>
      <c r="AB251" s="643">
        <v>100</v>
      </c>
      <c r="AC251" s="582"/>
      <c r="AD251" s="582"/>
      <c r="AE251" s="582"/>
      <c r="AF251" s="582"/>
      <c r="AG251" s="582"/>
      <c r="AH251" s="582"/>
    </row>
    <row r="252" spans="1:34" ht="27" customHeight="1">
      <c r="A252" s="601"/>
      <c r="B252" s="829"/>
      <c r="C252" s="586" t="s">
        <v>1675</v>
      </c>
      <c r="D252" s="587" t="s">
        <v>1449</v>
      </c>
      <c r="E252" s="643">
        <v>80</v>
      </c>
      <c r="F252" s="643">
        <v>80</v>
      </c>
      <c r="G252" s="643">
        <v>90</v>
      </c>
      <c r="H252" s="643">
        <v>85</v>
      </c>
      <c r="I252" s="643">
        <v>75</v>
      </c>
      <c r="J252" s="643">
        <v>100</v>
      </c>
      <c r="K252" s="643">
        <v>100</v>
      </c>
      <c r="L252" s="643">
        <v>100</v>
      </c>
      <c r="M252" s="643">
        <v>80</v>
      </c>
      <c r="N252" s="643">
        <v>100</v>
      </c>
      <c r="O252" s="643">
        <v>100</v>
      </c>
      <c r="P252" s="643">
        <v>100</v>
      </c>
      <c r="Q252" s="643">
        <v>100</v>
      </c>
      <c r="R252" s="643">
        <v>100</v>
      </c>
      <c r="S252" s="643">
        <v>80</v>
      </c>
      <c r="T252" s="643">
        <v>70</v>
      </c>
      <c r="U252" s="643">
        <v>80</v>
      </c>
      <c r="V252" s="643">
        <v>80</v>
      </c>
      <c r="W252" s="643">
        <v>90</v>
      </c>
      <c r="X252" s="643">
        <v>90</v>
      </c>
      <c r="Y252" s="643">
        <v>90</v>
      </c>
      <c r="Z252" s="643">
        <v>100</v>
      </c>
      <c r="AA252" s="643">
        <v>95</v>
      </c>
      <c r="AB252" s="643">
        <v>70</v>
      </c>
      <c r="AC252" s="582"/>
      <c r="AD252" s="582"/>
      <c r="AE252" s="582"/>
      <c r="AF252" s="582"/>
      <c r="AG252" s="582"/>
      <c r="AH252" s="582"/>
    </row>
    <row r="253" spans="1:34" ht="27" hidden="1" customHeight="1">
      <c r="A253" s="601"/>
      <c r="B253" s="829"/>
      <c r="C253" s="588"/>
      <c r="D253" s="581"/>
      <c r="E253" s="582"/>
      <c r="F253" s="582"/>
      <c r="G253" s="582"/>
      <c r="H253" s="582"/>
      <c r="I253" s="582"/>
      <c r="J253" s="582"/>
      <c r="K253" s="582"/>
      <c r="L253" s="582"/>
      <c r="M253" s="582"/>
      <c r="N253" s="582"/>
      <c r="O253" s="582"/>
      <c r="P253" s="582"/>
      <c r="Q253" s="582"/>
      <c r="R253" s="582"/>
      <c r="S253" s="582"/>
      <c r="T253" s="582"/>
      <c r="U253" s="582"/>
      <c r="V253" s="582"/>
      <c r="W253" s="582"/>
      <c r="X253" s="582"/>
      <c r="Y253" s="582"/>
      <c r="Z253" s="582"/>
      <c r="AA253" s="582"/>
      <c r="AB253" s="582"/>
      <c r="AC253" s="582"/>
      <c r="AD253" s="582"/>
      <c r="AE253" s="582"/>
      <c r="AF253" s="582"/>
      <c r="AG253" s="582"/>
      <c r="AH253" s="582"/>
    </row>
    <row r="254" spans="1:34" ht="27" hidden="1" customHeight="1">
      <c r="A254" s="601"/>
      <c r="B254" s="830"/>
      <c r="C254" s="588"/>
      <c r="D254" s="581"/>
      <c r="E254" s="582"/>
      <c r="F254" s="582"/>
      <c r="G254" s="582"/>
      <c r="H254" s="582"/>
      <c r="I254" s="582"/>
      <c r="J254" s="582"/>
      <c r="K254" s="582"/>
      <c r="L254" s="582"/>
      <c r="M254" s="582"/>
      <c r="N254" s="582"/>
      <c r="O254" s="582"/>
      <c r="P254" s="582"/>
      <c r="Q254" s="582"/>
      <c r="R254" s="582"/>
      <c r="S254" s="582"/>
      <c r="T254" s="582"/>
      <c r="U254" s="582"/>
      <c r="V254" s="582"/>
      <c r="W254" s="582"/>
      <c r="X254" s="582"/>
      <c r="Y254" s="582"/>
      <c r="Z254" s="582"/>
      <c r="AA254" s="582"/>
      <c r="AB254" s="582"/>
      <c r="AC254" s="582"/>
      <c r="AD254" s="582"/>
      <c r="AE254" s="582"/>
      <c r="AF254" s="582"/>
      <c r="AG254" s="582"/>
      <c r="AH254" s="582"/>
    </row>
    <row r="255" spans="1:34" ht="27" hidden="1" customHeight="1">
      <c r="A255" s="599"/>
      <c r="B255" s="836" t="s">
        <v>240</v>
      </c>
      <c r="C255" s="837"/>
      <c r="D255" s="837"/>
      <c r="E255" s="837"/>
      <c r="F255" s="837"/>
      <c r="G255" s="837"/>
      <c r="H255" s="837"/>
      <c r="I255" s="837"/>
      <c r="J255" s="837"/>
      <c r="K255" s="837"/>
      <c r="L255" s="837"/>
      <c r="M255" s="837"/>
      <c r="N255" s="837"/>
      <c r="O255" s="837"/>
      <c r="P255" s="837"/>
      <c r="Q255" s="837"/>
      <c r="R255" s="837"/>
      <c r="S255" s="837"/>
      <c r="T255" s="837"/>
      <c r="U255" s="837"/>
      <c r="V255" s="837"/>
      <c r="W255" s="837"/>
      <c r="X255" s="837"/>
      <c r="Y255" s="837"/>
      <c r="Z255" s="837"/>
      <c r="AA255" s="837"/>
      <c r="AB255" s="837"/>
      <c r="AC255" s="837"/>
      <c r="AD255" s="837"/>
      <c r="AE255" s="837"/>
      <c r="AF255" s="837"/>
      <c r="AG255" s="837"/>
      <c r="AH255" s="838"/>
    </row>
    <row r="256" spans="1:34" ht="54.75" customHeight="1" thickBot="1">
      <c r="A256" s="599"/>
      <c r="B256" s="828">
        <v>8</v>
      </c>
      <c r="C256" s="834" t="s">
        <v>1748</v>
      </c>
      <c r="D256" s="835"/>
      <c r="E256" s="579">
        <f t="shared" ref="E256:AH256" si="7">IF(SUM(E257:E276)&gt;0,AVERAGE(E257:E276),IF(SUM(E257:E276)=0,"",))</f>
        <v>93.888888888888886</v>
      </c>
      <c r="F256" s="579">
        <f t="shared" si="7"/>
        <v>90</v>
      </c>
      <c r="G256" s="579">
        <f t="shared" si="7"/>
        <v>94.444444444444443</v>
      </c>
      <c r="H256" s="579">
        <f t="shared" si="7"/>
        <v>95.555555555555557</v>
      </c>
      <c r="I256" s="579">
        <f t="shared" si="7"/>
        <v>98.888888888888886</v>
      </c>
      <c r="J256" s="579">
        <f t="shared" si="7"/>
        <v>99.444444444444443</v>
      </c>
      <c r="K256" s="579">
        <f t="shared" si="7"/>
        <v>97.222222222222229</v>
      </c>
      <c r="L256" s="579">
        <f t="shared" si="7"/>
        <v>95</v>
      </c>
      <c r="M256" s="579">
        <f t="shared" si="7"/>
        <v>96.666666666666671</v>
      </c>
      <c r="N256" s="579">
        <f t="shared" si="7"/>
        <v>97.777777777777771</v>
      </c>
      <c r="O256" s="579">
        <f t="shared" si="7"/>
        <v>98.888888888888886</v>
      </c>
      <c r="P256" s="579">
        <f t="shared" si="7"/>
        <v>95.555555555555557</v>
      </c>
      <c r="Q256" s="579">
        <f t="shared" si="7"/>
        <v>98.333333333333329</v>
      </c>
      <c r="R256" s="579">
        <f t="shared" si="7"/>
        <v>95.555555555555557</v>
      </c>
      <c r="S256" s="579">
        <f t="shared" si="7"/>
        <v>87.777777777777771</v>
      </c>
      <c r="T256" s="579">
        <f t="shared" si="7"/>
        <v>93.333333333333329</v>
      </c>
      <c r="U256" s="579">
        <f t="shared" si="7"/>
        <v>97.777777777777771</v>
      </c>
      <c r="V256" s="579">
        <f t="shared" si="7"/>
        <v>92.777777777777771</v>
      </c>
      <c r="W256" s="579">
        <f t="shared" si="7"/>
        <v>95.555555555555557</v>
      </c>
      <c r="X256" s="579">
        <f t="shared" si="7"/>
        <v>90.555555555555557</v>
      </c>
      <c r="Y256" s="579">
        <f t="shared" si="7"/>
        <v>97.777777777777771</v>
      </c>
      <c r="Z256" s="579">
        <f t="shared" si="7"/>
        <v>96.111111111111114</v>
      </c>
      <c r="AA256" s="579">
        <f t="shared" si="7"/>
        <v>98.888888888888886</v>
      </c>
      <c r="AB256" s="579">
        <f t="shared" si="7"/>
        <v>95</v>
      </c>
      <c r="AC256" s="579" t="str">
        <f t="shared" si="7"/>
        <v/>
      </c>
      <c r="AD256" s="579" t="str">
        <f t="shared" si="7"/>
        <v/>
      </c>
      <c r="AE256" s="579" t="str">
        <f t="shared" si="7"/>
        <v/>
      </c>
      <c r="AF256" s="579" t="str">
        <f t="shared" si="7"/>
        <v/>
      </c>
      <c r="AG256" s="579" t="str">
        <f t="shared" si="7"/>
        <v/>
      </c>
      <c r="AH256" s="579" t="str">
        <f t="shared" si="7"/>
        <v/>
      </c>
    </row>
    <row r="257" spans="1:34" ht="33" customHeight="1" thickTop="1">
      <c r="A257" s="599"/>
      <c r="B257" s="829"/>
      <c r="C257" s="584" t="s">
        <v>1676</v>
      </c>
      <c r="D257" s="585" t="s">
        <v>1408</v>
      </c>
      <c r="E257" s="644">
        <v>95</v>
      </c>
      <c r="F257" s="644">
        <v>80</v>
      </c>
      <c r="G257" s="644">
        <v>90</v>
      </c>
      <c r="H257" s="644">
        <v>90</v>
      </c>
      <c r="I257" s="644">
        <v>100</v>
      </c>
      <c r="J257" s="644">
        <v>100</v>
      </c>
      <c r="K257" s="644">
        <v>100</v>
      </c>
      <c r="L257" s="644">
        <v>100</v>
      </c>
      <c r="M257" s="644">
        <v>100</v>
      </c>
      <c r="N257" s="644">
        <v>90</v>
      </c>
      <c r="O257" s="644">
        <v>95</v>
      </c>
      <c r="P257" s="644">
        <v>90</v>
      </c>
      <c r="Q257" s="644">
        <v>90</v>
      </c>
      <c r="R257" s="644">
        <v>100</v>
      </c>
      <c r="S257" s="644">
        <v>100</v>
      </c>
      <c r="T257" s="644">
        <v>90</v>
      </c>
      <c r="U257" s="644">
        <v>100</v>
      </c>
      <c r="V257" s="644">
        <v>90</v>
      </c>
      <c r="W257" s="644">
        <v>90</v>
      </c>
      <c r="X257" s="644">
        <v>90</v>
      </c>
      <c r="Y257" s="644">
        <v>100</v>
      </c>
      <c r="Z257" s="644">
        <v>100</v>
      </c>
      <c r="AA257" s="644">
        <v>100</v>
      </c>
      <c r="AB257" s="644">
        <v>95</v>
      </c>
      <c r="AC257" s="582"/>
      <c r="AD257" s="582"/>
      <c r="AE257" s="582"/>
      <c r="AF257" s="582"/>
      <c r="AG257" s="582"/>
      <c r="AH257" s="582"/>
    </row>
    <row r="258" spans="1:34" ht="27" customHeight="1">
      <c r="A258" s="599"/>
      <c r="B258" s="829"/>
      <c r="C258" s="586" t="s">
        <v>1677</v>
      </c>
      <c r="D258" s="587" t="s">
        <v>1678</v>
      </c>
      <c r="E258" s="644">
        <v>90</v>
      </c>
      <c r="F258" s="644">
        <v>100</v>
      </c>
      <c r="G258" s="644">
        <v>100</v>
      </c>
      <c r="H258" s="644">
        <v>80</v>
      </c>
      <c r="I258" s="644">
        <v>100</v>
      </c>
      <c r="J258" s="644">
        <v>100</v>
      </c>
      <c r="K258" s="644">
        <v>100</v>
      </c>
      <c r="L258" s="644">
        <v>80</v>
      </c>
      <c r="M258" s="644">
        <v>100</v>
      </c>
      <c r="N258" s="644">
        <v>100</v>
      </c>
      <c r="O258" s="644">
        <v>100</v>
      </c>
      <c r="P258" s="644">
        <v>100</v>
      </c>
      <c r="Q258" s="644">
        <v>100</v>
      </c>
      <c r="R258" s="644">
        <v>90</v>
      </c>
      <c r="S258" s="644">
        <v>100</v>
      </c>
      <c r="T258" s="644">
        <v>90</v>
      </c>
      <c r="U258" s="644">
        <v>100</v>
      </c>
      <c r="V258" s="644">
        <v>80</v>
      </c>
      <c r="W258" s="644">
        <v>100</v>
      </c>
      <c r="X258" s="644">
        <v>95</v>
      </c>
      <c r="Y258" s="644">
        <v>100</v>
      </c>
      <c r="Z258" s="644">
        <v>100</v>
      </c>
      <c r="AA258" s="644">
        <v>100</v>
      </c>
      <c r="AB258" s="644">
        <v>100</v>
      </c>
      <c r="AC258" s="582"/>
      <c r="AD258" s="582"/>
      <c r="AE258" s="582"/>
      <c r="AF258" s="582"/>
      <c r="AG258" s="582"/>
      <c r="AH258" s="582"/>
    </row>
    <row r="259" spans="1:34" ht="27" customHeight="1">
      <c r="A259" s="599"/>
      <c r="B259" s="829"/>
      <c r="C259" s="586" t="s">
        <v>1679</v>
      </c>
      <c r="D259" s="587" t="s">
        <v>1410</v>
      </c>
      <c r="E259" s="644">
        <v>90</v>
      </c>
      <c r="F259" s="644">
        <v>90</v>
      </c>
      <c r="G259" s="644">
        <v>90</v>
      </c>
      <c r="H259" s="644">
        <v>100</v>
      </c>
      <c r="I259" s="644">
        <v>90</v>
      </c>
      <c r="J259" s="644">
        <v>95</v>
      </c>
      <c r="K259" s="644">
        <v>95</v>
      </c>
      <c r="L259" s="644">
        <v>100</v>
      </c>
      <c r="M259" s="644">
        <v>100</v>
      </c>
      <c r="N259" s="644">
        <v>100</v>
      </c>
      <c r="O259" s="644">
        <v>100</v>
      </c>
      <c r="P259" s="644">
        <v>95</v>
      </c>
      <c r="Q259" s="644">
        <v>100</v>
      </c>
      <c r="R259" s="644">
        <v>100</v>
      </c>
      <c r="S259" s="644">
        <v>70</v>
      </c>
      <c r="T259" s="644">
        <v>95</v>
      </c>
      <c r="U259" s="644">
        <v>100</v>
      </c>
      <c r="V259" s="644">
        <v>100</v>
      </c>
      <c r="W259" s="644">
        <v>90</v>
      </c>
      <c r="X259" s="644">
        <v>100</v>
      </c>
      <c r="Y259" s="644">
        <v>90</v>
      </c>
      <c r="Z259" s="644">
        <v>75</v>
      </c>
      <c r="AA259" s="644">
        <v>100</v>
      </c>
      <c r="AB259" s="644">
        <v>95</v>
      </c>
      <c r="AC259" s="582"/>
      <c r="AD259" s="582"/>
      <c r="AE259" s="582"/>
      <c r="AF259" s="582"/>
      <c r="AG259" s="582"/>
      <c r="AH259" s="582"/>
    </row>
    <row r="260" spans="1:34" ht="33" customHeight="1">
      <c r="A260" s="599"/>
      <c r="B260" s="829"/>
      <c r="C260" s="586" t="s">
        <v>1680</v>
      </c>
      <c r="D260" s="587" t="s">
        <v>1681</v>
      </c>
      <c r="E260" s="644">
        <v>100</v>
      </c>
      <c r="F260" s="644">
        <v>90</v>
      </c>
      <c r="G260" s="644">
        <v>100</v>
      </c>
      <c r="H260" s="644">
        <v>100</v>
      </c>
      <c r="I260" s="644">
        <v>100</v>
      </c>
      <c r="J260" s="644">
        <v>100</v>
      </c>
      <c r="K260" s="644">
        <v>95</v>
      </c>
      <c r="L260" s="644">
        <v>100</v>
      </c>
      <c r="M260" s="644">
        <v>95</v>
      </c>
      <c r="N260" s="644">
        <v>100</v>
      </c>
      <c r="O260" s="644">
        <v>95</v>
      </c>
      <c r="P260" s="644">
        <v>100</v>
      </c>
      <c r="Q260" s="644">
        <v>95</v>
      </c>
      <c r="R260" s="644">
        <v>100</v>
      </c>
      <c r="S260" s="644">
        <v>90</v>
      </c>
      <c r="T260" s="644">
        <v>90</v>
      </c>
      <c r="U260" s="644">
        <v>90</v>
      </c>
      <c r="V260" s="644">
        <v>100</v>
      </c>
      <c r="W260" s="644">
        <v>100</v>
      </c>
      <c r="X260" s="644">
        <v>100</v>
      </c>
      <c r="Y260" s="644">
        <v>100</v>
      </c>
      <c r="Z260" s="644">
        <v>100</v>
      </c>
      <c r="AA260" s="644">
        <v>100</v>
      </c>
      <c r="AB260" s="644">
        <v>100</v>
      </c>
      <c r="AC260" s="582"/>
      <c r="AD260" s="582"/>
      <c r="AE260" s="582"/>
      <c r="AF260" s="582"/>
      <c r="AG260" s="582"/>
      <c r="AH260" s="582"/>
    </row>
    <row r="261" spans="1:34" ht="43.5" customHeight="1">
      <c r="A261" s="599"/>
      <c r="B261" s="829"/>
      <c r="C261" s="586" t="s">
        <v>1682</v>
      </c>
      <c r="D261" s="587" t="s">
        <v>1412</v>
      </c>
      <c r="E261" s="644">
        <v>95</v>
      </c>
      <c r="F261" s="644"/>
      <c r="G261" s="644">
        <v>90</v>
      </c>
      <c r="H261" s="644">
        <v>100</v>
      </c>
      <c r="I261" s="644">
        <v>100</v>
      </c>
      <c r="J261" s="644">
        <v>100</v>
      </c>
      <c r="K261" s="644">
        <v>100</v>
      </c>
      <c r="L261" s="644">
        <v>85</v>
      </c>
      <c r="M261" s="644">
        <v>95</v>
      </c>
      <c r="N261" s="644">
        <v>100</v>
      </c>
      <c r="O261" s="644">
        <v>100</v>
      </c>
      <c r="P261" s="644">
        <v>95</v>
      </c>
      <c r="Q261" s="644">
        <v>100</v>
      </c>
      <c r="R261" s="644">
        <v>95</v>
      </c>
      <c r="S261" s="644">
        <v>95</v>
      </c>
      <c r="T261" s="644">
        <v>95</v>
      </c>
      <c r="U261" s="644">
        <v>100</v>
      </c>
      <c r="V261" s="644">
        <v>100</v>
      </c>
      <c r="W261" s="644">
        <v>90</v>
      </c>
      <c r="X261" s="644">
        <v>100</v>
      </c>
      <c r="Y261" s="644">
        <v>100</v>
      </c>
      <c r="Z261" s="644">
        <v>100</v>
      </c>
      <c r="AA261" s="644">
        <v>100</v>
      </c>
      <c r="AB261" s="644">
        <v>95</v>
      </c>
      <c r="AC261" s="582"/>
      <c r="AD261" s="582"/>
      <c r="AE261" s="582"/>
      <c r="AF261" s="582"/>
      <c r="AG261" s="582"/>
      <c r="AH261" s="582"/>
    </row>
    <row r="262" spans="1:34" ht="27" customHeight="1">
      <c r="A262" s="599"/>
      <c r="B262" s="829"/>
      <c r="C262" s="586" t="s">
        <v>1683</v>
      </c>
      <c r="D262" s="587" t="s">
        <v>1413</v>
      </c>
      <c r="E262" s="644">
        <v>95</v>
      </c>
      <c r="F262" s="644"/>
      <c r="G262" s="644">
        <v>100</v>
      </c>
      <c r="H262" s="644">
        <v>100</v>
      </c>
      <c r="I262" s="644">
        <v>100</v>
      </c>
      <c r="J262" s="644">
        <v>100</v>
      </c>
      <c r="K262" s="644">
        <v>95</v>
      </c>
      <c r="L262" s="644">
        <v>100</v>
      </c>
      <c r="M262" s="644">
        <v>100</v>
      </c>
      <c r="N262" s="644">
        <v>100</v>
      </c>
      <c r="O262" s="644">
        <v>100</v>
      </c>
      <c r="P262" s="644">
        <v>90</v>
      </c>
      <c r="Q262" s="644">
        <v>100</v>
      </c>
      <c r="R262" s="644">
        <v>90</v>
      </c>
      <c r="S262" s="644">
        <v>70</v>
      </c>
      <c r="T262" s="644">
        <v>90</v>
      </c>
      <c r="U262" s="644">
        <v>100</v>
      </c>
      <c r="V262" s="644">
        <v>100</v>
      </c>
      <c r="W262" s="644">
        <v>90</v>
      </c>
      <c r="X262" s="644">
        <v>80</v>
      </c>
      <c r="Y262" s="644">
        <v>90</v>
      </c>
      <c r="Z262" s="644">
        <v>100</v>
      </c>
      <c r="AA262" s="644">
        <v>100</v>
      </c>
      <c r="AB262" s="644">
        <v>90</v>
      </c>
      <c r="AC262" s="582"/>
      <c r="AD262" s="582"/>
      <c r="AE262" s="582"/>
      <c r="AF262" s="582"/>
      <c r="AG262" s="582"/>
      <c r="AH262" s="582"/>
    </row>
    <row r="263" spans="1:34" ht="27" customHeight="1">
      <c r="A263" s="599"/>
      <c r="B263" s="829"/>
      <c r="C263" s="586" t="s">
        <v>1684</v>
      </c>
      <c r="D263" s="587" t="s">
        <v>1685</v>
      </c>
      <c r="E263" s="643">
        <v>100</v>
      </c>
      <c r="F263" s="643"/>
      <c r="G263" s="643">
        <v>100</v>
      </c>
      <c r="H263" s="643">
        <v>100</v>
      </c>
      <c r="I263" s="643">
        <v>100</v>
      </c>
      <c r="J263" s="643">
        <v>100</v>
      </c>
      <c r="K263" s="643">
        <v>100</v>
      </c>
      <c r="L263" s="643">
        <v>90</v>
      </c>
      <c r="M263" s="643">
        <v>90</v>
      </c>
      <c r="N263" s="643">
        <v>100</v>
      </c>
      <c r="O263" s="643">
        <v>100</v>
      </c>
      <c r="P263" s="643">
        <v>100</v>
      </c>
      <c r="Q263" s="643">
        <v>100</v>
      </c>
      <c r="R263" s="643">
        <v>95</v>
      </c>
      <c r="S263" s="643">
        <v>85</v>
      </c>
      <c r="T263" s="643">
        <v>100</v>
      </c>
      <c r="U263" s="643">
        <v>100</v>
      </c>
      <c r="V263" s="643">
        <v>90</v>
      </c>
      <c r="W263" s="643">
        <v>100</v>
      </c>
      <c r="X263" s="643">
        <v>100</v>
      </c>
      <c r="Y263" s="643">
        <v>100</v>
      </c>
      <c r="Z263" s="643">
        <v>90</v>
      </c>
      <c r="AA263" s="643">
        <v>100</v>
      </c>
      <c r="AB263" s="643">
        <v>100</v>
      </c>
      <c r="AC263" s="582"/>
      <c r="AD263" s="582"/>
      <c r="AE263" s="582"/>
      <c r="AF263" s="582"/>
      <c r="AG263" s="582"/>
      <c r="AH263" s="582"/>
    </row>
    <row r="264" spans="1:34" ht="27" customHeight="1">
      <c r="A264" s="599"/>
      <c r="B264" s="829"/>
      <c r="C264" s="586" t="s">
        <v>1686</v>
      </c>
      <c r="D264" s="587" t="s">
        <v>1687</v>
      </c>
      <c r="E264" s="643">
        <v>100</v>
      </c>
      <c r="F264" s="643"/>
      <c r="G264" s="643">
        <v>100</v>
      </c>
      <c r="H264" s="643">
        <v>100</v>
      </c>
      <c r="I264" s="643">
        <v>100</v>
      </c>
      <c r="J264" s="643">
        <v>100</v>
      </c>
      <c r="K264" s="643">
        <v>100</v>
      </c>
      <c r="L264" s="643">
        <v>100</v>
      </c>
      <c r="M264" s="643">
        <v>100</v>
      </c>
      <c r="N264" s="643">
        <v>100</v>
      </c>
      <c r="O264" s="643">
        <v>100</v>
      </c>
      <c r="P264" s="643">
        <v>90</v>
      </c>
      <c r="Q264" s="643">
        <v>100</v>
      </c>
      <c r="R264" s="643">
        <v>100</v>
      </c>
      <c r="S264" s="643">
        <v>90</v>
      </c>
      <c r="T264" s="643">
        <v>100</v>
      </c>
      <c r="U264" s="643">
        <v>100</v>
      </c>
      <c r="V264" s="643">
        <v>95</v>
      </c>
      <c r="W264" s="643">
        <v>100</v>
      </c>
      <c r="X264" s="643">
        <v>70</v>
      </c>
      <c r="Y264" s="643">
        <v>100</v>
      </c>
      <c r="Z264" s="643">
        <v>100</v>
      </c>
      <c r="AA264" s="643">
        <v>100</v>
      </c>
      <c r="AB264" s="643">
        <v>100</v>
      </c>
      <c r="AC264" s="582"/>
      <c r="AD264" s="582"/>
      <c r="AE264" s="582"/>
      <c r="AF264" s="582"/>
      <c r="AG264" s="582"/>
      <c r="AH264" s="582"/>
    </row>
    <row r="265" spans="1:34" ht="27" customHeight="1">
      <c r="A265" s="599"/>
      <c r="B265" s="829"/>
      <c r="C265" s="586" t="s">
        <v>1688</v>
      </c>
      <c r="D265" s="587" t="s">
        <v>1417</v>
      </c>
      <c r="E265" s="643">
        <v>80</v>
      </c>
      <c r="F265" s="643"/>
      <c r="G265" s="643">
        <v>80</v>
      </c>
      <c r="H265" s="643">
        <v>90</v>
      </c>
      <c r="I265" s="643">
        <v>100</v>
      </c>
      <c r="J265" s="643">
        <v>100</v>
      </c>
      <c r="K265" s="643">
        <v>90</v>
      </c>
      <c r="L265" s="643">
        <v>100</v>
      </c>
      <c r="M265" s="643">
        <v>90</v>
      </c>
      <c r="N265" s="643">
        <v>90</v>
      </c>
      <c r="O265" s="643">
        <v>100</v>
      </c>
      <c r="P265" s="643">
        <v>100</v>
      </c>
      <c r="Q265" s="643">
        <v>100</v>
      </c>
      <c r="R265" s="643">
        <v>90</v>
      </c>
      <c r="S265" s="643">
        <v>90</v>
      </c>
      <c r="T265" s="643">
        <v>90</v>
      </c>
      <c r="U265" s="643">
        <v>90</v>
      </c>
      <c r="V265" s="643">
        <v>80</v>
      </c>
      <c r="W265" s="643">
        <v>100</v>
      </c>
      <c r="X265" s="643">
        <v>80</v>
      </c>
      <c r="Y265" s="643">
        <v>100</v>
      </c>
      <c r="Z265" s="643">
        <v>100</v>
      </c>
      <c r="AA265" s="643">
        <v>90</v>
      </c>
      <c r="AB265" s="643">
        <v>80</v>
      </c>
      <c r="AC265" s="582"/>
      <c r="AD265" s="582"/>
      <c r="AE265" s="582"/>
      <c r="AF265" s="582"/>
      <c r="AG265" s="582"/>
      <c r="AH265" s="582"/>
    </row>
    <row r="266" spans="1:34" ht="27" hidden="1" customHeight="1">
      <c r="A266" s="599"/>
      <c r="B266" s="829"/>
      <c r="C266" s="580"/>
      <c r="D266" s="581"/>
      <c r="E266" s="582"/>
      <c r="F266" s="582"/>
      <c r="G266" s="582"/>
      <c r="H266" s="582"/>
      <c r="I266" s="582"/>
      <c r="J266" s="582"/>
      <c r="K266" s="582"/>
      <c r="L266" s="582"/>
      <c r="M266" s="582"/>
      <c r="N266" s="582"/>
      <c r="O266" s="582"/>
      <c r="P266" s="582"/>
      <c r="Q266" s="582"/>
      <c r="R266" s="582"/>
      <c r="S266" s="582"/>
      <c r="T266" s="582"/>
      <c r="U266" s="582"/>
      <c r="V266" s="582"/>
      <c r="W266" s="582"/>
      <c r="X266" s="582"/>
      <c r="Y266" s="582"/>
      <c r="Z266" s="582"/>
      <c r="AA266" s="582"/>
      <c r="AB266" s="582"/>
      <c r="AC266" s="582"/>
      <c r="AD266" s="582"/>
      <c r="AE266" s="582"/>
      <c r="AF266" s="582"/>
      <c r="AG266" s="582"/>
      <c r="AH266" s="582"/>
    </row>
    <row r="267" spans="1:34" ht="27" hidden="1" customHeight="1">
      <c r="A267" s="599"/>
      <c r="B267" s="829"/>
      <c r="C267" s="580"/>
      <c r="D267" s="581"/>
      <c r="E267" s="582"/>
      <c r="F267" s="582"/>
      <c r="G267" s="582"/>
      <c r="H267" s="582"/>
      <c r="I267" s="582"/>
      <c r="J267" s="582"/>
      <c r="K267" s="582"/>
      <c r="L267" s="582"/>
      <c r="M267" s="582"/>
      <c r="N267" s="582"/>
      <c r="O267" s="582"/>
      <c r="P267" s="582"/>
      <c r="Q267" s="582"/>
      <c r="R267" s="582"/>
      <c r="S267" s="582"/>
      <c r="T267" s="582"/>
      <c r="U267" s="582"/>
      <c r="V267" s="582"/>
      <c r="W267" s="582"/>
      <c r="X267" s="582"/>
      <c r="Y267" s="582"/>
      <c r="Z267" s="582"/>
      <c r="AA267" s="582"/>
      <c r="AB267" s="582"/>
      <c r="AC267" s="582"/>
      <c r="AD267" s="582"/>
      <c r="AE267" s="582"/>
      <c r="AF267" s="582"/>
      <c r="AG267" s="582"/>
      <c r="AH267" s="582"/>
    </row>
    <row r="268" spans="1:34" ht="27" hidden="1" customHeight="1">
      <c r="A268" s="599"/>
      <c r="B268" s="829"/>
      <c r="C268" s="580"/>
      <c r="D268" s="581"/>
      <c r="E268" s="582"/>
      <c r="F268" s="582"/>
      <c r="G268" s="582"/>
      <c r="H268" s="582"/>
      <c r="I268" s="582"/>
      <c r="J268" s="582"/>
      <c r="K268" s="582"/>
      <c r="L268" s="582"/>
      <c r="M268" s="582"/>
      <c r="N268" s="582"/>
      <c r="O268" s="582"/>
      <c r="P268" s="582"/>
      <c r="Q268" s="582"/>
      <c r="R268" s="582"/>
      <c r="S268" s="582"/>
      <c r="T268" s="582"/>
      <c r="U268" s="582"/>
      <c r="V268" s="582"/>
      <c r="W268" s="582"/>
      <c r="X268" s="582"/>
      <c r="Y268" s="582"/>
      <c r="Z268" s="582"/>
      <c r="AA268" s="582"/>
      <c r="AB268" s="582"/>
      <c r="AC268" s="582"/>
      <c r="AD268" s="582"/>
      <c r="AE268" s="582"/>
      <c r="AF268" s="582"/>
      <c r="AG268" s="582"/>
      <c r="AH268" s="582"/>
    </row>
    <row r="269" spans="1:34" ht="27" hidden="1" customHeight="1">
      <c r="A269" s="599"/>
      <c r="B269" s="829"/>
      <c r="C269" s="580"/>
      <c r="D269" s="581"/>
      <c r="E269" s="582"/>
      <c r="F269" s="582"/>
      <c r="G269" s="582"/>
      <c r="H269" s="582"/>
      <c r="I269" s="582"/>
      <c r="J269" s="582"/>
      <c r="K269" s="582"/>
      <c r="L269" s="582"/>
      <c r="M269" s="582"/>
      <c r="N269" s="582"/>
      <c r="O269" s="582"/>
      <c r="P269" s="582"/>
      <c r="Q269" s="582"/>
      <c r="R269" s="582"/>
      <c r="S269" s="582"/>
      <c r="T269" s="582"/>
      <c r="U269" s="582"/>
      <c r="V269" s="582"/>
      <c r="W269" s="582"/>
      <c r="X269" s="582"/>
      <c r="Y269" s="582"/>
      <c r="Z269" s="582"/>
      <c r="AA269" s="582"/>
      <c r="AB269" s="582"/>
      <c r="AC269" s="582"/>
      <c r="AD269" s="582"/>
      <c r="AE269" s="582"/>
      <c r="AF269" s="582"/>
      <c r="AG269" s="582"/>
      <c r="AH269" s="582"/>
    </row>
    <row r="270" spans="1:34" ht="27" hidden="1" customHeight="1">
      <c r="A270" s="599"/>
      <c r="B270" s="829"/>
      <c r="C270" s="580"/>
      <c r="D270" s="581"/>
      <c r="E270" s="582"/>
      <c r="F270" s="582"/>
      <c r="G270" s="582"/>
      <c r="H270" s="582"/>
      <c r="I270" s="582"/>
      <c r="J270" s="582"/>
      <c r="K270" s="582"/>
      <c r="L270" s="582"/>
      <c r="M270" s="582"/>
      <c r="N270" s="582"/>
      <c r="O270" s="582"/>
      <c r="P270" s="582"/>
      <c r="Q270" s="582"/>
      <c r="R270" s="582"/>
      <c r="S270" s="582"/>
      <c r="T270" s="582"/>
      <c r="U270" s="582"/>
      <c r="V270" s="582"/>
      <c r="W270" s="582"/>
      <c r="X270" s="582"/>
      <c r="Y270" s="582"/>
      <c r="Z270" s="582"/>
      <c r="AA270" s="582"/>
      <c r="AB270" s="582"/>
      <c r="AC270" s="582"/>
      <c r="AD270" s="582"/>
      <c r="AE270" s="582"/>
      <c r="AF270" s="582"/>
      <c r="AG270" s="582"/>
      <c r="AH270" s="582"/>
    </row>
    <row r="271" spans="1:34" ht="27" hidden="1" customHeight="1">
      <c r="A271" s="599"/>
      <c r="B271" s="829"/>
      <c r="C271" s="580"/>
      <c r="D271" s="581"/>
      <c r="E271" s="582"/>
      <c r="F271" s="582"/>
      <c r="G271" s="582"/>
      <c r="H271" s="582"/>
      <c r="I271" s="582"/>
      <c r="J271" s="582"/>
      <c r="K271" s="582"/>
      <c r="L271" s="582"/>
      <c r="M271" s="582"/>
      <c r="N271" s="582"/>
      <c r="O271" s="582"/>
      <c r="P271" s="582"/>
      <c r="Q271" s="582"/>
      <c r="R271" s="582"/>
      <c r="S271" s="582"/>
      <c r="T271" s="582"/>
      <c r="U271" s="582"/>
      <c r="V271" s="582"/>
      <c r="W271" s="582"/>
      <c r="X271" s="582"/>
      <c r="Y271" s="582"/>
      <c r="Z271" s="582"/>
      <c r="AA271" s="582"/>
      <c r="AB271" s="582"/>
      <c r="AC271" s="582"/>
      <c r="AD271" s="582"/>
      <c r="AE271" s="582"/>
      <c r="AF271" s="582"/>
      <c r="AG271" s="582"/>
      <c r="AH271" s="582"/>
    </row>
    <row r="272" spans="1:34" ht="27" hidden="1" customHeight="1">
      <c r="A272" s="599"/>
      <c r="B272" s="829"/>
      <c r="C272" s="580"/>
      <c r="D272" s="581"/>
      <c r="E272" s="582"/>
      <c r="F272" s="582"/>
      <c r="G272" s="582"/>
      <c r="H272" s="582"/>
      <c r="I272" s="582"/>
      <c r="J272" s="582"/>
      <c r="K272" s="582"/>
      <c r="L272" s="582"/>
      <c r="M272" s="582"/>
      <c r="N272" s="582"/>
      <c r="O272" s="582"/>
      <c r="P272" s="582"/>
      <c r="Q272" s="582"/>
      <c r="R272" s="582"/>
      <c r="S272" s="582"/>
      <c r="T272" s="582"/>
      <c r="U272" s="582"/>
      <c r="V272" s="582"/>
      <c r="W272" s="582"/>
      <c r="X272" s="582"/>
      <c r="Y272" s="582"/>
      <c r="Z272" s="582"/>
      <c r="AA272" s="582"/>
      <c r="AB272" s="582"/>
      <c r="AC272" s="582"/>
      <c r="AD272" s="582"/>
      <c r="AE272" s="582"/>
      <c r="AF272" s="582"/>
      <c r="AG272" s="582"/>
      <c r="AH272" s="582"/>
    </row>
    <row r="273" spans="1:34" ht="27" hidden="1" customHeight="1">
      <c r="A273" s="599"/>
      <c r="B273" s="829"/>
      <c r="C273" s="580"/>
      <c r="D273" s="581"/>
      <c r="E273" s="582"/>
      <c r="F273" s="582"/>
      <c r="G273" s="582"/>
      <c r="H273" s="582"/>
      <c r="I273" s="582"/>
      <c r="J273" s="582"/>
      <c r="K273" s="582"/>
      <c r="L273" s="582"/>
      <c r="M273" s="582"/>
      <c r="N273" s="582"/>
      <c r="O273" s="582"/>
      <c r="P273" s="582"/>
      <c r="Q273" s="582"/>
      <c r="R273" s="582"/>
      <c r="S273" s="582"/>
      <c r="T273" s="582"/>
      <c r="U273" s="582"/>
      <c r="V273" s="582"/>
      <c r="W273" s="582"/>
      <c r="X273" s="582"/>
      <c r="Y273" s="582"/>
      <c r="Z273" s="582"/>
      <c r="AA273" s="582"/>
      <c r="AB273" s="582"/>
      <c r="AC273" s="582"/>
      <c r="AD273" s="582"/>
      <c r="AE273" s="582"/>
      <c r="AF273" s="582"/>
      <c r="AG273" s="582"/>
      <c r="AH273" s="582"/>
    </row>
    <row r="274" spans="1:34" ht="27" hidden="1" customHeight="1">
      <c r="A274" s="599"/>
      <c r="B274" s="829"/>
      <c r="C274" s="580"/>
      <c r="D274" s="581"/>
      <c r="E274" s="582"/>
      <c r="F274" s="582"/>
      <c r="G274" s="582"/>
      <c r="H274" s="582"/>
      <c r="I274" s="582"/>
      <c r="J274" s="582"/>
      <c r="K274" s="582"/>
      <c r="L274" s="582"/>
      <c r="M274" s="582"/>
      <c r="N274" s="582"/>
      <c r="O274" s="582"/>
      <c r="P274" s="582"/>
      <c r="Q274" s="582"/>
      <c r="R274" s="582"/>
      <c r="S274" s="582"/>
      <c r="T274" s="582"/>
      <c r="U274" s="582"/>
      <c r="V274" s="582"/>
      <c r="W274" s="582"/>
      <c r="X274" s="582"/>
      <c r="Y274" s="582"/>
      <c r="Z274" s="582"/>
      <c r="AA274" s="582"/>
      <c r="AB274" s="582"/>
      <c r="AC274" s="582"/>
      <c r="AD274" s="582"/>
      <c r="AE274" s="582"/>
      <c r="AF274" s="582"/>
      <c r="AG274" s="582"/>
      <c r="AH274" s="582"/>
    </row>
    <row r="275" spans="1:34" ht="27" hidden="1" customHeight="1">
      <c r="A275" s="599"/>
      <c r="B275" s="829"/>
      <c r="C275" s="580"/>
      <c r="D275" s="581"/>
      <c r="E275" s="582"/>
      <c r="F275" s="582"/>
      <c r="G275" s="582"/>
      <c r="H275" s="582"/>
      <c r="I275" s="582"/>
      <c r="J275" s="582"/>
      <c r="K275" s="582"/>
      <c r="L275" s="582"/>
      <c r="M275" s="582"/>
      <c r="N275" s="582"/>
      <c r="O275" s="582"/>
      <c r="P275" s="582"/>
      <c r="Q275" s="582"/>
      <c r="R275" s="582"/>
      <c r="S275" s="582"/>
      <c r="T275" s="582"/>
      <c r="U275" s="582"/>
      <c r="V275" s="582"/>
      <c r="W275" s="582"/>
      <c r="X275" s="582"/>
      <c r="Y275" s="582"/>
      <c r="Z275" s="582"/>
      <c r="AA275" s="582"/>
      <c r="AB275" s="582"/>
      <c r="AC275" s="582"/>
      <c r="AD275" s="582"/>
      <c r="AE275" s="582"/>
      <c r="AF275" s="582"/>
      <c r="AG275" s="582"/>
      <c r="AH275" s="582"/>
    </row>
    <row r="276" spans="1:34" ht="27" hidden="1" customHeight="1">
      <c r="A276" s="599"/>
      <c r="B276" s="830"/>
      <c r="C276" s="580"/>
      <c r="D276" s="581"/>
      <c r="E276" s="582"/>
      <c r="F276" s="582"/>
      <c r="G276" s="582"/>
      <c r="H276" s="582"/>
      <c r="I276" s="582"/>
      <c r="J276" s="582"/>
      <c r="K276" s="582"/>
      <c r="L276" s="582"/>
      <c r="M276" s="582"/>
      <c r="N276" s="582"/>
      <c r="O276" s="582"/>
      <c r="P276" s="582"/>
      <c r="Q276" s="582"/>
      <c r="R276" s="582"/>
      <c r="S276" s="582"/>
      <c r="T276" s="582"/>
      <c r="U276" s="582"/>
      <c r="V276" s="582"/>
      <c r="W276" s="582"/>
      <c r="X276" s="582"/>
      <c r="Y276" s="582"/>
      <c r="Z276" s="582"/>
      <c r="AA276" s="582"/>
      <c r="AB276" s="582"/>
      <c r="AC276" s="582"/>
      <c r="AD276" s="582"/>
      <c r="AE276" s="582"/>
      <c r="AF276" s="582"/>
      <c r="AG276" s="582"/>
      <c r="AH276" s="582"/>
    </row>
    <row r="277" spans="1:34" ht="33" customHeight="1" thickBot="1">
      <c r="A277" s="599"/>
      <c r="B277" s="828">
        <v>9</v>
      </c>
      <c r="C277" s="834" t="s">
        <v>1749</v>
      </c>
      <c r="D277" s="835"/>
      <c r="E277" s="579">
        <f>IF(SUM(E278:E304)&gt;0,AVERAGE(E278:E304),IF(SUM(E278:E304)=0,"",))</f>
        <v>94.666666666666671</v>
      </c>
      <c r="F277" s="579">
        <f t="shared" ref="F277:AH277" si="8">IF(SUM(F278:F304)&gt;0,AVERAGE(F278:F304),IF(SUM(F278:F304)=0,"",))</f>
        <v>83.333333333333329</v>
      </c>
      <c r="G277" s="579">
        <f t="shared" si="8"/>
        <v>88.666666666666671</v>
      </c>
      <c r="H277" s="579">
        <f t="shared" si="8"/>
        <v>92.333333333333329</v>
      </c>
      <c r="I277" s="579">
        <f t="shared" si="8"/>
        <v>95</v>
      </c>
      <c r="J277" s="579">
        <f t="shared" si="8"/>
        <v>99.333333333333329</v>
      </c>
      <c r="K277" s="579">
        <f t="shared" si="8"/>
        <v>98.666666666666671</v>
      </c>
      <c r="L277" s="579">
        <f t="shared" si="8"/>
        <v>97.666666666666671</v>
      </c>
      <c r="M277" s="579">
        <f t="shared" si="8"/>
        <v>94.333333333333329</v>
      </c>
      <c r="N277" s="579">
        <f t="shared" si="8"/>
        <v>96.666666666666671</v>
      </c>
      <c r="O277" s="579">
        <f t="shared" si="8"/>
        <v>98.333333333333329</v>
      </c>
      <c r="P277" s="579">
        <f t="shared" si="8"/>
        <v>97</v>
      </c>
      <c r="Q277" s="579">
        <f t="shared" si="8"/>
        <v>95.333333333333329</v>
      </c>
      <c r="R277" s="579">
        <f t="shared" si="8"/>
        <v>93.666666666666671</v>
      </c>
      <c r="S277" s="579">
        <f t="shared" si="8"/>
        <v>88.333333333333329</v>
      </c>
      <c r="T277" s="579">
        <f t="shared" si="8"/>
        <v>97.666666666666671</v>
      </c>
      <c r="U277" s="579">
        <f t="shared" si="8"/>
        <v>98</v>
      </c>
      <c r="V277" s="579">
        <f t="shared" si="8"/>
        <v>94.666666666666671</v>
      </c>
      <c r="W277" s="579">
        <f t="shared" si="8"/>
        <v>90.666666666666671</v>
      </c>
      <c r="X277" s="579">
        <f t="shared" si="8"/>
        <v>93.333333333333329</v>
      </c>
      <c r="Y277" s="579">
        <f t="shared" si="8"/>
        <v>97</v>
      </c>
      <c r="Z277" s="579">
        <f t="shared" si="8"/>
        <v>93.333333333333329</v>
      </c>
      <c r="AA277" s="579">
        <f t="shared" si="8"/>
        <v>96.666666666666671</v>
      </c>
      <c r="AB277" s="579">
        <f t="shared" si="8"/>
        <v>94.666666666666671</v>
      </c>
      <c r="AC277" s="579" t="str">
        <f t="shared" si="8"/>
        <v/>
      </c>
      <c r="AD277" s="579" t="str">
        <f t="shared" si="8"/>
        <v/>
      </c>
      <c r="AE277" s="579" t="str">
        <f t="shared" si="8"/>
        <v/>
      </c>
      <c r="AF277" s="579" t="str">
        <f t="shared" si="8"/>
        <v/>
      </c>
      <c r="AG277" s="579" t="str">
        <f t="shared" si="8"/>
        <v/>
      </c>
      <c r="AH277" s="579" t="str">
        <f t="shared" si="8"/>
        <v/>
      </c>
    </row>
    <row r="278" spans="1:34" ht="27" customHeight="1" thickTop="1">
      <c r="A278" s="599"/>
      <c r="B278" s="829"/>
      <c r="C278" s="584" t="s">
        <v>1689</v>
      </c>
      <c r="D278" s="585" t="s">
        <v>1527</v>
      </c>
      <c r="E278" s="660">
        <v>100</v>
      </c>
      <c r="F278" s="660">
        <v>95</v>
      </c>
      <c r="G278" s="660">
        <v>100</v>
      </c>
      <c r="H278" s="660">
        <v>90</v>
      </c>
      <c r="I278" s="660">
        <v>100</v>
      </c>
      <c r="J278" s="660">
        <v>100</v>
      </c>
      <c r="K278" s="660">
        <v>100</v>
      </c>
      <c r="L278" s="660">
        <v>100</v>
      </c>
      <c r="M278" s="660">
        <v>100</v>
      </c>
      <c r="N278" s="660">
        <v>100</v>
      </c>
      <c r="O278" s="660">
        <v>100</v>
      </c>
      <c r="P278" s="660">
        <v>100</v>
      </c>
      <c r="Q278" s="660">
        <v>100</v>
      </c>
      <c r="R278" s="660">
        <v>100</v>
      </c>
      <c r="S278" s="660">
        <v>100</v>
      </c>
      <c r="T278" s="660">
        <v>100</v>
      </c>
      <c r="U278" s="660">
        <v>100</v>
      </c>
      <c r="V278" s="660">
        <v>100</v>
      </c>
      <c r="W278" s="660">
        <v>100</v>
      </c>
      <c r="X278" s="660">
        <v>100</v>
      </c>
      <c r="Y278" s="660">
        <v>100</v>
      </c>
      <c r="Z278" s="660">
        <v>100</v>
      </c>
      <c r="AA278" s="660">
        <v>100</v>
      </c>
      <c r="AB278" s="660">
        <v>100</v>
      </c>
      <c r="AC278" s="582"/>
      <c r="AD278" s="582"/>
      <c r="AE278" s="582"/>
      <c r="AF278" s="582"/>
      <c r="AG278" s="582"/>
      <c r="AH278" s="582"/>
    </row>
    <row r="279" spans="1:34" ht="27" customHeight="1">
      <c r="A279" s="599"/>
      <c r="B279" s="829"/>
      <c r="C279" s="586" t="s">
        <v>1690</v>
      </c>
      <c r="D279" s="587" t="s">
        <v>1691</v>
      </c>
      <c r="E279" s="660">
        <v>100</v>
      </c>
      <c r="F279" s="660">
        <v>100</v>
      </c>
      <c r="G279" s="660">
        <v>100</v>
      </c>
      <c r="H279" s="660">
        <v>100</v>
      </c>
      <c r="I279" s="660">
        <v>100</v>
      </c>
      <c r="J279" s="660">
        <v>100</v>
      </c>
      <c r="K279" s="660">
        <v>100</v>
      </c>
      <c r="L279" s="660">
        <v>100</v>
      </c>
      <c r="M279" s="660">
        <v>100</v>
      </c>
      <c r="N279" s="660">
        <v>100</v>
      </c>
      <c r="O279" s="660">
        <v>100</v>
      </c>
      <c r="P279" s="660">
        <v>100</v>
      </c>
      <c r="Q279" s="660">
        <v>100</v>
      </c>
      <c r="R279" s="660">
        <v>100</v>
      </c>
      <c r="S279" s="660">
        <v>100</v>
      </c>
      <c r="T279" s="660">
        <v>100</v>
      </c>
      <c r="U279" s="660">
        <v>100</v>
      </c>
      <c r="V279" s="660">
        <v>100</v>
      </c>
      <c r="W279" s="660">
        <v>100</v>
      </c>
      <c r="X279" s="660">
        <v>100</v>
      </c>
      <c r="Y279" s="660">
        <v>100</v>
      </c>
      <c r="Z279" s="660">
        <v>100</v>
      </c>
      <c r="AA279" s="660">
        <v>100</v>
      </c>
      <c r="AB279" s="660">
        <v>100</v>
      </c>
      <c r="AC279" s="582"/>
      <c r="AD279" s="582"/>
      <c r="AE279" s="582"/>
      <c r="AF279" s="582"/>
      <c r="AG279" s="582"/>
      <c r="AH279" s="582"/>
    </row>
    <row r="280" spans="1:34" ht="27" customHeight="1">
      <c r="A280" s="599"/>
      <c r="B280" s="829"/>
      <c r="C280" s="586" t="s">
        <v>1692</v>
      </c>
      <c r="D280" s="587" t="s">
        <v>1394</v>
      </c>
      <c r="E280" s="660">
        <v>100</v>
      </c>
      <c r="F280" s="660">
        <v>80</v>
      </c>
      <c r="G280" s="660">
        <v>90</v>
      </c>
      <c r="H280" s="660">
        <v>100</v>
      </c>
      <c r="I280" s="660">
        <v>100</v>
      </c>
      <c r="J280" s="660">
        <v>100</v>
      </c>
      <c r="K280" s="660">
        <v>100</v>
      </c>
      <c r="L280" s="660">
        <v>100</v>
      </c>
      <c r="M280" s="660">
        <v>90</v>
      </c>
      <c r="N280" s="660">
        <v>100</v>
      </c>
      <c r="O280" s="660">
        <v>100</v>
      </c>
      <c r="P280" s="660">
        <v>100</v>
      </c>
      <c r="Q280" s="660">
        <v>90</v>
      </c>
      <c r="R280" s="660">
        <v>90</v>
      </c>
      <c r="S280" s="660">
        <v>80</v>
      </c>
      <c r="T280" s="660">
        <v>90</v>
      </c>
      <c r="U280" s="660">
        <v>100</v>
      </c>
      <c r="V280" s="660">
        <v>100</v>
      </c>
      <c r="W280" s="660">
        <v>90</v>
      </c>
      <c r="X280" s="660">
        <v>90</v>
      </c>
      <c r="Y280" s="660">
        <v>95</v>
      </c>
      <c r="Z280" s="660">
        <v>90</v>
      </c>
      <c r="AA280" s="660">
        <v>100</v>
      </c>
      <c r="AB280" s="660">
        <v>95</v>
      </c>
      <c r="AC280" s="582"/>
      <c r="AD280" s="582"/>
      <c r="AE280" s="582"/>
      <c r="AF280" s="582"/>
      <c r="AG280" s="582"/>
      <c r="AH280" s="582"/>
    </row>
    <row r="281" spans="1:34" ht="27" customHeight="1">
      <c r="A281" s="599"/>
      <c r="B281" s="829"/>
      <c r="C281" s="586" t="s">
        <v>1693</v>
      </c>
      <c r="D281" s="587" t="s">
        <v>1694</v>
      </c>
      <c r="E281" s="660">
        <v>95</v>
      </c>
      <c r="F281" s="660">
        <v>85</v>
      </c>
      <c r="G281" s="660">
        <v>75</v>
      </c>
      <c r="H281" s="660">
        <v>100</v>
      </c>
      <c r="I281" s="660">
        <v>100</v>
      </c>
      <c r="J281" s="660">
        <v>100</v>
      </c>
      <c r="K281" s="660">
        <v>100</v>
      </c>
      <c r="L281" s="660">
        <v>100</v>
      </c>
      <c r="M281" s="660">
        <v>85</v>
      </c>
      <c r="N281" s="660">
        <v>100</v>
      </c>
      <c r="O281" s="660">
        <v>100</v>
      </c>
      <c r="P281" s="660">
        <v>100</v>
      </c>
      <c r="Q281" s="660">
        <v>100</v>
      </c>
      <c r="R281" s="660">
        <v>85</v>
      </c>
      <c r="S281" s="660">
        <v>80</v>
      </c>
      <c r="T281" s="660">
        <v>100</v>
      </c>
      <c r="U281" s="660">
        <v>100</v>
      </c>
      <c r="V281" s="660">
        <v>100</v>
      </c>
      <c r="W281" s="660">
        <v>90</v>
      </c>
      <c r="X281" s="660">
        <v>100</v>
      </c>
      <c r="Y281" s="660">
        <v>100</v>
      </c>
      <c r="Z281" s="660">
        <v>100</v>
      </c>
      <c r="AA281" s="660">
        <v>100</v>
      </c>
      <c r="AB281" s="660">
        <v>100</v>
      </c>
      <c r="AC281" s="582"/>
      <c r="AD281" s="582"/>
      <c r="AE281" s="582"/>
      <c r="AF281" s="582"/>
      <c r="AG281" s="582"/>
      <c r="AH281" s="582"/>
    </row>
    <row r="282" spans="1:34" ht="27" customHeight="1">
      <c r="A282" s="599"/>
      <c r="B282" s="829"/>
      <c r="C282" s="586" t="s">
        <v>1695</v>
      </c>
      <c r="D282" s="587" t="s">
        <v>1396</v>
      </c>
      <c r="E282" s="660">
        <v>85</v>
      </c>
      <c r="F282" s="660">
        <v>80</v>
      </c>
      <c r="G282" s="660">
        <v>70</v>
      </c>
      <c r="H282" s="660">
        <v>100</v>
      </c>
      <c r="I282" s="660">
        <v>100</v>
      </c>
      <c r="J282" s="660">
        <v>95</v>
      </c>
      <c r="K282" s="660">
        <v>95</v>
      </c>
      <c r="L282" s="660">
        <v>100</v>
      </c>
      <c r="M282" s="660">
        <v>95</v>
      </c>
      <c r="N282" s="660">
        <v>100</v>
      </c>
      <c r="O282" s="660">
        <v>100</v>
      </c>
      <c r="P282" s="660">
        <v>100</v>
      </c>
      <c r="Q282" s="660">
        <v>95</v>
      </c>
      <c r="R282" s="660">
        <v>85</v>
      </c>
      <c r="S282" s="660">
        <v>65</v>
      </c>
      <c r="T282" s="660">
        <v>95</v>
      </c>
      <c r="U282" s="660">
        <v>100</v>
      </c>
      <c r="V282" s="660">
        <v>95</v>
      </c>
      <c r="W282" s="660">
        <v>85</v>
      </c>
      <c r="X282" s="660">
        <v>95</v>
      </c>
      <c r="Y282" s="660">
        <v>100</v>
      </c>
      <c r="Z282" s="660">
        <v>85</v>
      </c>
      <c r="AA282" s="660">
        <v>100</v>
      </c>
      <c r="AB282" s="660">
        <v>90</v>
      </c>
      <c r="AC282" s="582"/>
      <c r="AD282" s="582"/>
      <c r="AE282" s="582"/>
      <c r="AF282" s="582"/>
      <c r="AG282" s="582"/>
      <c r="AH282" s="582"/>
    </row>
    <row r="283" spans="1:34" ht="27" customHeight="1">
      <c r="A283" s="599"/>
      <c r="B283" s="829"/>
      <c r="C283" s="589" t="s">
        <v>1696</v>
      </c>
      <c r="D283" s="587" t="s">
        <v>1398</v>
      </c>
      <c r="E283" s="660">
        <v>95</v>
      </c>
      <c r="F283" s="660">
        <v>90</v>
      </c>
      <c r="G283" s="660">
        <v>90</v>
      </c>
      <c r="H283" s="660">
        <v>90</v>
      </c>
      <c r="I283" s="660">
        <v>95</v>
      </c>
      <c r="J283" s="660">
        <v>100</v>
      </c>
      <c r="K283" s="660">
        <v>95</v>
      </c>
      <c r="L283" s="660">
        <v>100</v>
      </c>
      <c r="M283" s="660">
        <v>100</v>
      </c>
      <c r="N283" s="660">
        <v>90</v>
      </c>
      <c r="O283" s="660">
        <v>95</v>
      </c>
      <c r="P283" s="660">
        <v>80</v>
      </c>
      <c r="Q283" s="660">
        <v>95</v>
      </c>
      <c r="R283" s="660">
        <v>100</v>
      </c>
      <c r="S283" s="660">
        <v>90</v>
      </c>
      <c r="T283" s="660">
        <v>90</v>
      </c>
      <c r="U283" s="660">
        <v>95</v>
      </c>
      <c r="V283" s="660">
        <v>100</v>
      </c>
      <c r="W283" s="660">
        <v>60</v>
      </c>
      <c r="X283" s="660">
        <v>80</v>
      </c>
      <c r="Y283" s="660">
        <v>100</v>
      </c>
      <c r="Z283" s="660">
        <v>80</v>
      </c>
      <c r="AA283" s="660">
        <v>90</v>
      </c>
      <c r="AB283" s="660">
        <v>85</v>
      </c>
      <c r="AC283" s="582"/>
      <c r="AD283" s="582"/>
      <c r="AE283" s="582"/>
      <c r="AF283" s="582"/>
      <c r="AG283" s="582"/>
      <c r="AH283" s="582"/>
    </row>
    <row r="284" spans="1:34" ht="27" customHeight="1">
      <c r="A284" s="599"/>
      <c r="B284" s="829"/>
      <c r="C284" s="586" t="s">
        <v>1697</v>
      </c>
      <c r="D284" s="587" t="s">
        <v>1400</v>
      </c>
      <c r="E284" s="666">
        <v>90</v>
      </c>
      <c r="F284" s="666">
        <v>75</v>
      </c>
      <c r="G284" s="666">
        <v>70</v>
      </c>
      <c r="H284" s="666">
        <v>90</v>
      </c>
      <c r="I284" s="666">
        <v>90</v>
      </c>
      <c r="J284" s="666">
        <v>100</v>
      </c>
      <c r="K284" s="666">
        <v>90</v>
      </c>
      <c r="L284" s="666">
        <v>100</v>
      </c>
      <c r="M284" s="666">
        <v>90</v>
      </c>
      <c r="N284" s="666">
        <v>100</v>
      </c>
      <c r="O284" s="666">
        <v>100</v>
      </c>
      <c r="P284" s="666">
        <v>90</v>
      </c>
      <c r="Q284" s="666">
        <v>90</v>
      </c>
      <c r="R284" s="666">
        <v>90</v>
      </c>
      <c r="S284" s="666">
        <v>80</v>
      </c>
      <c r="T284" s="666">
        <v>100</v>
      </c>
      <c r="U284" s="666">
        <v>100</v>
      </c>
      <c r="V284" s="666">
        <v>90</v>
      </c>
      <c r="W284" s="666">
        <v>100</v>
      </c>
      <c r="X284" s="666">
        <v>90</v>
      </c>
      <c r="Y284" s="666">
        <v>90</v>
      </c>
      <c r="Z284" s="666">
        <v>100</v>
      </c>
      <c r="AA284" s="666">
        <v>90</v>
      </c>
      <c r="AB284" s="666">
        <v>100</v>
      </c>
      <c r="AC284" s="582"/>
      <c r="AD284" s="582"/>
      <c r="AE284" s="582"/>
      <c r="AF284" s="582"/>
      <c r="AG284" s="582"/>
      <c r="AH284" s="582"/>
    </row>
    <row r="285" spans="1:34" ht="27" customHeight="1">
      <c r="A285" s="599"/>
      <c r="B285" s="829"/>
      <c r="C285" s="586" t="s">
        <v>1698</v>
      </c>
      <c r="D285" s="587" t="s">
        <v>1699</v>
      </c>
      <c r="E285" s="666">
        <v>100</v>
      </c>
      <c r="F285" s="666">
        <v>80</v>
      </c>
      <c r="G285" s="666">
        <v>100</v>
      </c>
      <c r="H285" s="666">
        <v>80</v>
      </c>
      <c r="I285" s="666">
        <v>90</v>
      </c>
      <c r="J285" s="666">
        <v>100</v>
      </c>
      <c r="K285" s="666">
        <v>100</v>
      </c>
      <c r="L285" s="666">
        <v>80</v>
      </c>
      <c r="M285" s="666">
        <v>90</v>
      </c>
      <c r="N285" s="666">
        <v>90</v>
      </c>
      <c r="O285" s="666">
        <v>100</v>
      </c>
      <c r="P285" s="666">
        <v>90</v>
      </c>
      <c r="Q285" s="666">
        <v>90</v>
      </c>
      <c r="R285" s="666">
        <v>90</v>
      </c>
      <c r="S285" s="666">
        <v>85</v>
      </c>
      <c r="T285" s="666">
        <v>95</v>
      </c>
      <c r="U285" s="666">
        <v>100</v>
      </c>
      <c r="V285" s="666">
        <v>85</v>
      </c>
      <c r="W285" s="666">
        <v>75</v>
      </c>
      <c r="X285" s="666">
        <v>85</v>
      </c>
      <c r="Y285" s="666">
        <v>90</v>
      </c>
      <c r="Z285" s="666">
        <v>85</v>
      </c>
      <c r="AA285" s="666">
        <v>90</v>
      </c>
      <c r="AB285" s="666">
        <v>80</v>
      </c>
      <c r="AC285" s="582"/>
      <c r="AD285" s="582"/>
      <c r="AE285" s="582"/>
      <c r="AF285" s="582"/>
      <c r="AG285" s="582"/>
      <c r="AH285" s="582"/>
    </row>
    <row r="286" spans="1:34" ht="27" customHeight="1">
      <c r="A286" s="599"/>
      <c r="B286" s="829"/>
      <c r="C286" s="586" t="s">
        <v>1700</v>
      </c>
      <c r="D286" s="587" t="s">
        <v>1402</v>
      </c>
      <c r="E286" s="666">
        <v>100</v>
      </c>
      <c r="F286" s="666">
        <v>90</v>
      </c>
      <c r="G286" s="666">
        <v>80</v>
      </c>
      <c r="H286" s="666">
        <v>70</v>
      </c>
      <c r="I286" s="666">
        <v>80</v>
      </c>
      <c r="J286" s="666">
        <v>100</v>
      </c>
      <c r="K286" s="666">
        <v>100</v>
      </c>
      <c r="L286" s="666">
        <v>100</v>
      </c>
      <c r="M286" s="666">
        <v>90</v>
      </c>
      <c r="N286" s="666">
        <v>90</v>
      </c>
      <c r="O286" s="666">
        <v>90</v>
      </c>
      <c r="P286" s="666">
        <v>100</v>
      </c>
      <c r="Q286" s="666">
        <v>90</v>
      </c>
      <c r="R286" s="666">
        <v>100</v>
      </c>
      <c r="S286" s="666">
        <v>85</v>
      </c>
      <c r="T286" s="666">
        <v>95</v>
      </c>
      <c r="U286" s="666">
        <v>90</v>
      </c>
      <c r="V286" s="666">
        <v>90</v>
      </c>
      <c r="W286" s="666">
        <v>90</v>
      </c>
      <c r="X286" s="666">
        <v>100</v>
      </c>
      <c r="Y286" s="666">
        <v>90</v>
      </c>
      <c r="Z286" s="666">
        <v>100</v>
      </c>
      <c r="AA286" s="666">
        <v>100</v>
      </c>
      <c r="AB286" s="666">
        <v>100</v>
      </c>
      <c r="AC286" s="582"/>
      <c r="AD286" s="582"/>
      <c r="AE286" s="582"/>
      <c r="AF286" s="582"/>
      <c r="AG286" s="582"/>
      <c r="AH286" s="582"/>
    </row>
    <row r="287" spans="1:34" ht="27" customHeight="1">
      <c r="A287" s="599"/>
      <c r="B287" s="829"/>
      <c r="C287" s="586" t="s">
        <v>1701</v>
      </c>
      <c r="D287" s="587" t="s">
        <v>1702</v>
      </c>
      <c r="E287" s="666">
        <v>80</v>
      </c>
      <c r="F287" s="666">
        <v>95</v>
      </c>
      <c r="G287" s="666">
        <v>100</v>
      </c>
      <c r="H287" s="666">
        <v>100</v>
      </c>
      <c r="I287" s="666">
        <v>100</v>
      </c>
      <c r="J287" s="666">
        <v>100</v>
      </c>
      <c r="K287" s="666">
        <v>100</v>
      </c>
      <c r="L287" s="666">
        <v>100</v>
      </c>
      <c r="M287" s="666">
        <v>85</v>
      </c>
      <c r="N287" s="666">
        <v>90</v>
      </c>
      <c r="O287" s="666">
        <v>100</v>
      </c>
      <c r="P287" s="666">
        <v>95</v>
      </c>
      <c r="Q287" s="666">
        <v>100</v>
      </c>
      <c r="R287" s="666">
        <v>100</v>
      </c>
      <c r="S287" s="666">
        <v>90</v>
      </c>
      <c r="T287" s="666">
        <v>100</v>
      </c>
      <c r="U287" s="666">
        <v>100</v>
      </c>
      <c r="V287" s="666">
        <v>85</v>
      </c>
      <c r="W287" s="666">
        <v>100</v>
      </c>
      <c r="X287" s="666">
        <v>80</v>
      </c>
      <c r="Y287" s="666">
        <v>90</v>
      </c>
      <c r="Z287" s="666">
        <v>100</v>
      </c>
      <c r="AA287" s="666">
        <v>100</v>
      </c>
      <c r="AB287" s="666">
        <v>90</v>
      </c>
      <c r="AC287" s="582"/>
      <c r="AD287" s="582"/>
      <c r="AE287" s="582"/>
      <c r="AF287" s="582"/>
      <c r="AG287" s="582"/>
      <c r="AH287" s="582"/>
    </row>
    <row r="288" spans="1:34" ht="27" customHeight="1">
      <c r="A288" s="599"/>
      <c r="B288" s="829"/>
      <c r="C288" s="586" t="s">
        <v>1703</v>
      </c>
      <c r="D288" s="587" t="s">
        <v>1404</v>
      </c>
      <c r="E288" s="666">
        <v>100</v>
      </c>
      <c r="F288" s="666">
        <v>40</v>
      </c>
      <c r="G288" s="666">
        <v>90</v>
      </c>
      <c r="H288" s="666">
        <v>90</v>
      </c>
      <c r="I288" s="666">
        <v>90</v>
      </c>
      <c r="J288" s="666">
        <v>100</v>
      </c>
      <c r="K288" s="666">
        <v>100</v>
      </c>
      <c r="L288" s="666">
        <v>100</v>
      </c>
      <c r="M288" s="666">
        <v>100</v>
      </c>
      <c r="N288" s="666">
        <v>100</v>
      </c>
      <c r="O288" s="666">
        <v>90</v>
      </c>
      <c r="P288" s="666">
        <v>100</v>
      </c>
      <c r="Q288" s="666">
        <v>90</v>
      </c>
      <c r="R288" s="666">
        <v>80</v>
      </c>
      <c r="S288" s="666">
        <v>100</v>
      </c>
      <c r="T288" s="666">
        <v>100</v>
      </c>
      <c r="U288" s="666">
        <v>100</v>
      </c>
      <c r="V288" s="666">
        <v>90</v>
      </c>
      <c r="W288" s="666">
        <v>100</v>
      </c>
      <c r="X288" s="666">
        <v>100</v>
      </c>
      <c r="Y288" s="666">
        <v>100</v>
      </c>
      <c r="Z288" s="666">
        <v>90</v>
      </c>
      <c r="AA288" s="666">
        <v>90</v>
      </c>
      <c r="AB288" s="666">
        <v>100</v>
      </c>
      <c r="AC288" s="582"/>
      <c r="AD288" s="582"/>
      <c r="AE288" s="582"/>
      <c r="AF288" s="582"/>
      <c r="AG288" s="582"/>
      <c r="AH288" s="582"/>
    </row>
    <row r="289" spans="1:34" ht="27" customHeight="1">
      <c r="A289" s="599"/>
      <c r="B289" s="829"/>
      <c r="C289" s="586" t="s">
        <v>1704</v>
      </c>
      <c r="D289" s="587" t="s">
        <v>1406</v>
      </c>
      <c r="E289" s="666">
        <v>80</v>
      </c>
      <c r="F289" s="666">
        <v>90</v>
      </c>
      <c r="G289" s="666">
        <v>70</v>
      </c>
      <c r="H289" s="666">
        <v>75</v>
      </c>
      <c r="I289" s="666">
        <v>90</v>
      </c>
      <c r="J289" s="666">
        <v>95</v>
      </c>
      <c r="K289" s="666">
        <v>100</v>
      </c>
      <c r="L289" s="666">
        <v>95</v>
      </c>
      <c r="M289" s="666">
        <v>100</v>
      </c>
      <c r="N289" s="666">
        <v>90</v>
      </c>
      <c r="O289" s="666">
        <v>100</v>
      </c>
      <c r="P289" s="666">
        <v>100</v>
      </c>
      <c r="Q289" s="666">
        <v>100</v>
      </c>
      <c r="R289" s="666">
        <v>100</v>
      </c>
      <c r="S289" s="666">
        <v>100</v>
      </c>
      <c r="T289" s="666">
        <v>100</v>
      </c>
      <c r="U289" s="666">
        <v>95</v>
      </c>
      <c r="V289" s="666">
        <v>100</v>
      </c>
      <c r="W289" s="666">
        <v>100</v>
      </c>
      <c r="X289" s="666">
        <v>100</v>
      </c>
      <c r="Y289" s="666">
        <v>100</v>
      </c>
      <c r="Z289" s="666">
        <v>90</v>
      </c>
      <c r="AA289" s="666">
        <v>90</v>
      </c>
      <c r="AB289" s="666">
        <v>100</v>
      </c>
      <c r="AC289" s="582"/>
      <c r="AD289" s="582"/>
      <c r="AE289" s="582"/>
      <c r="AF289" s="582"/>
      <c r="AG289" s="582"/>
      <c r="AH289" s="582"/>
    </row>
    <row r="290" spans="1:34" ht="27" customHeight="1">
      <c r="A290" s="599"/>
      <c r="B290" s="829"/>
      <c r="C290" s="586" t="s">
        <v>1705</v>
      </c>
      <c r="D290" s="587" t="s">
        <v>1706</v>
      </c>
      <c r="E290" s="640">
        <v>100</v>
      </c>
      <c r="F290" s="640"/>
      <c r="G290" s="640">
        <v>100</v>
      </c>
      <c r="H290" s="640">
        <v>100</v>
      </c>
      <c r="I290" s="640">
        <v>100</v>
      </c>
      <c r="J290" s="640">
        <v>100</v>
      </c>
      <c r="K290" s="640">
        <v>100</v>
      </c>
      <c r="L290" s="640">
        <v>100</v>
      </c>
      <c r="M290" s="640">
        <v>100</v>
      </c>
      <c r="N290" s="640">
        <v>100</v>
      </c>
      <c r="O290" s="640">
        <v>100</v>
      </c>
      <c r="P290" s="640">
        <v>100</v>
      </c>
      <c r="Q290" s="640">
        <v>100</v>
      </c>
      <c r="R290" s="640">
        <v>100</v>
      </c>
      <c r="S290" s="640">
        <v>90</v>
      </c>
      <c r="T290" s="640">
        <v>100</v>
      </c>
      <c r="U290" s="640">
        <v>90</v>
      </c>
      <c r="V290" s="640">
        <v>95</v>
      </c>
      <c r="W290" s="640">
        <v>100</v>
      </c>
      <c r="X290" s="640">
        <v>100</v>
      </c>
      <c r="Y290" s="640">
        <v>100</v>
      </c>
      <c r="Z290" s="640">
        <v>90</v>
      </c>
      <c r="AA290" s="640">
        <v>100</v>
      </c>
      <c r="AB290" s="640">
        <v>100</v>
      </c>
      <c r="AC290" s="582"/>
      <c r="AD290" s="582"/>
      <c r="AE290" s="582"/>
      <c r="AF290" s="582"/>
      <c r="AG290" s="582"/>
      <c r="AH290" s="582"/>
    </row>
    <row r="291" spans="1:34" ht="27" customHeight="1">
      <c r="A291" s="599"/>
      <c r="B291" s="829"/>
      <c r="C291" s="586" t="s">
        <v>1707</v>
      </c>
      <c r="D291" s="587" t="s">
        <v>1419</v>
      </c>
      <c r="E291" s="640">
        <v>95</v>
      </c>
      <c r="F291" s="640"/>
      <c r="G291" s="640">
        <v>100</v>
      </c>
      <c r="H291" s="640">
        <v>100</v>
      </c>
      <c r="I291" s="640">
        <v>90</v>
      </c>
      <c r="J291" s="640">
        <v>100</v>
      </c>
      <c r="K291" s="640">
        <v>100</v>
      </c>
      <c r="L291" s="640">
        <v>100</v>
      </c>
      <c r="M291" s="640">
        <v>100</v>
      </c>
      <c r="N291" s="640">
        <v>100</v>
      </c>
      <c r="O291" s="640">
        <v>100</v>
      </c>
      <c r="P291" s="640">
        <v>100</v>
      </c>
      <c r="Q291" s="640">
        <v>100</v>
      </c>
      <c r="R291" s="640">
        <v>100</v>
      </c>
      <c r="S291" s="640">
        <v>100</v>
      </c>
      <c r="T291" s="640">
        <v>100</v>
      </c>
      <c r="U291" s="640">
        <v>100</v>
      </c>
      <c r="V291" s="640">
        <v>90</v>
      </c>
      <c r="W291" s="640">
        <v>100</v>
      </c>
      <c r="X291" s="640">
        <v>90</v>
      </c>
      <c r="Y291" s="640">
        <v>100</v>
      </c>
      <c r="Z291" s="640">
        <v>90</v>
      </c>
      <c r="AA291" s="640">
        <v>100</v>
      </c>
      <c r="AB291" s="640">
        <v>90</v>
      </c>
      <c r="AC291" s="582"/>
      <c r="AD291" s="582"/>
      <c r="AE291" s="582"/>
      <c r="AF291" s="582"/>
      <c r="AG291" s="582"/>
      <c r="AH291" s="582"/>
    </row>
    <row r="292" spans="1:34" ht="27" customHeight="1" thickBot="1">
      <c r="A292" s="599"/>
      <c r="B292" s="829"/>
      <c r="C292" s="590" t="s">
        <v>1708</v>
      </c>
      <c r="D292" s="591" t="s">
        <v>1421</v>
      </c>
      <c r="E292" s="640">
        <v>100</v>
      </c>
      <c r="F292" s="640"/>
      <c r="G292" s="640">
        <v>95</v>
      </c>
      <c r="H292" s="640">
        <v>100</v>
      </c>
      <c r="I292" s="640">
        <v>100</v>
      </c>
      <c r="J292" s="640">
        <v>100</v>
      </c>
      <c r="K292" s="640">
        <v>100</v>
      </c>
      <c r="L292" s="640">
        <v>90</v>
      </c>
      <c r="M292" s="640">
        <v>90</v>
      </c>
      <c r="N292" s="640">
        <v>100</v>
      </c>
      <c r="O292" s="640">
        <v>100</v>
      </c>
      <c r="P292" s="640">
        <v>100</v>
      </c>
      <c r="Q292" s="640">
        <v>90</v>
      </c>
      <c r="R292" s="640">
        <v>85</v>
      </c>
      <c r="S292" s="640">
        <v>80</v>
      </c>
      <c r="T292" s="640">
        <v>100</v>
      </c>
      <c r="U292" s="640">
        <v>100</v>
      </c>
      <c r="V292" s="640">
        <v>100</v>
      </c>
      <c r="W292" s="640">
        <v>70</v>
      </c>
      <c r="X292" s="640">
        <v>90</v>
      </c>
      <c r="Y292" s="640">
        <v>100</v>
      </c>
      <c r="Z292" s="640">
        <v>100</v>
      </c>
      <c r="AA292" s="640">
        <v>100</v>
      </c>
      <c r="AB292" s="640">
        <v>90</v>
      </c>
      <c r="AC292" s="582"/>
      <c r="AD292" s="582"/>
      <c r="AE292" s="582"/>
      <c r="AF292" s="582"/>
      <c r="AG292" s="582"/>
      <c r="AH292" s="582"/>
    </row>
    <row r="293" spans="1:34" ht="27" hidden="1" customHeight="1" thickTop="1">
      <c r="A293" s="599"/>
      <c r="B293" s="829"/>
      <c r="C293" s="580"/>
      <c r="D293" s="581"/>
      <c r="E293" s="582"/>
      <c r="F293" s="582"/>
      <c r="G293" s="582"/>
      <c r="H293" s="582"/>
      <c r="I293" s="582"/>
      <c r="J293" s="582"/>
      <c r="K293" s="582"/>
      <c r="L293" s="582"/>
      <c r="M293" s="582"/>
      <c r="N293" s="582"/>
      <c r="O293" s="582"/>
      <c r="P293" s="582"/>
      <c r="Q293" s="582"/>
      <c r="R293" s="582"/>
      <c r="S293" s="582"/>
      <c r="T293" s="582"/>
      <c r="U293" s="582"/>
      <c r="V293" s="582"/>
      <c r="W293" s="582"/>
      <c r="X293" s="582"/>
      <c r="Y293" s="582"/>
      <c r="Z293" s="582"/>
      <c r="AA293" s="582"/>
      <c r="AB293" s="582"/>
      <c r="AC293" s="582"/>
      <c r="AD293" s="582"/>
      <c r="AE293" s="582"/>
      <c r="AF293" s="582"/>
      <c r="AG293" s="582"/>
      <c r="AH293" s="582"/>
    </row>
    <row r="294" spans="1:34" ht="27" hidden="1" customHeight="1">
      <c r="A294" s="599"/>
      <c r="B294" s="829"/>
      <c r="C294" s="580"/>
      <c r="D294" s="581"/>
      <c r="E294" s="582"/>
      <c r="F294" s="582"/>
      <c r="G294" s="582"/>
      <c r="H294" s="582"/>
      <c r="I294" s="582"/>
      <c r="J294" s="582"/>
      <c r="K294" s="582"/>
      <c r="L294" s="582"/>
      <c r="M294" s="582"/>
      <c r="N294" s="582"/>
      <c r="O294" s="582"/>
      <c r="P294" s="582"/>
      <c r="Q294" s="582"/>
      <c r="R294" s="582"/>
      <c r="S294" s="582"/>
      <c r="T294" s="582"/>
      <c r="U294" s="582"/>
      <c r="V294" s="582"/>
      <c r="W294" s="582"/>
      <c r="X294" s="582"/>
      <c r="Y294" s="582"/>
      <c r="Z294" s="582"/>
      <c r="AA294" s="582"/>
      <c r="AB294" s="582"/>
      <c r="AC294" s="582"/>
      <c r="AD294" s="582"/>
      <c r="AE294" s="582"/>
      <c r="AF294" s="582"/>
      <c r="AG294" s="582"/>
      <c r="AH294" s="582"/>
    </row>
    <row r="295" spans="1:34" ht="27" hidden="1" customHeight="1">
      <c r="A295" s="599"/>
      <c r="B295" s="829"/>
      <c r="C295" s="580"/>
      <c r="D295" s="581"/>
      <c r="E295" s="582"/>
      <c r="F295" s="582"/>
      <c r="G295" s="582"/>
      <c r="H295" s="582"/>
      <c r="I295" s="582"/>
      <c r="J295" s="582"/>
      <c r="K295" s="582"/>
      <c r="L295" s="582"/>
      <c r="M295" s="582"/>
      <c r="N295" s="582"/>
      <c r="O295" s="582"/>
      <c r="P295" s="582"/>
      <c r="Q295" s="582"/>
      <c r="R295" s="582"/>
      <c r="S295" s="582"/>
      <c r="T295" s="582"/>
      <c r="U295" s="582"/>
      <c r="V295" s="582"/>
      <c r="W295" s="582"/>
      <c r="X295" s="582"/>
      <c r="Y295" s="582"/>
      <c r="Z295" s="582"/>
      <c r="AA295" s="582"/>
      <c r="AB295" s="582"/>
      <c r="AC295" s="582"/>
      <c r="AD295" s="582"/>
      <c r="AE295" s="582"/>
      <c r="AF295" s="582"/>
      <c r="AG295" s="582"/>
      <c r="AH295" s="582"/>
    </row>
    <row r="296" spans="1:34" ht="27" hidden="1" customHeight="1">
      <c r="A296" s="599"/>
      <c r="B296" s="829"/>
      <c r="C296" s="580"/>
      <c r="D296" s="581"/>
      <c r="E296" s="582"/>
      <c r="F296" s="582"/>
      <c r="G296" s="582"/>
      <c r="H296" s="582"/>
      <c r="I296" s="582"/>
      <c r="J296" s="582"/>
      <c r="K296" s="582"/>
      <c r="L296" s="582"/>
      <c r="M296" s="582"/>
      <c r="N296" s="582"/>
      <c r="O296" s="582"/>
      <c r="P296" s="582"/>
      <c r="Q296" s="582"/>
      <c r="R296" s="582"/>
      <c r="S296" s="582"/>
      <c r="T296" s="582"/>
      <c r="U296" s="582"/>
      <c r="V296" s="582"/>
      <c r="W296" s="582"/>
      <c r="X296" s="582"/>
      <c r="Y296" s="582"/>
      <c r="Z296" s="582"/>
      <c r="AA296" s="582"/>
      <c r="AB296" s="582"/>
      <c r="AC296" s="582"/>
      <c r="AD296" s="582"/>
      <c r="AE296" s="582"/>
      <c r="AF296" s="582"/>
      <c r="AG296" s="582"/>
      <c r="AH296" s="582"/>
    </row>
    <row r="297" spans="1:34" ht="27" hidden="1" customHeight="1">
      <c r="A297" s="599"/>
      <c r="B297" s="829"/>
      <c r="C297" s="580"/>
      <c r="D297" s="581"/>
      <c r="E297" s="582"/>
      <c r="F297" s="582"/>
      <c r="G297" s="582"/>
      <c r="H297" s="582"/>
      <c r="I297" s="582"/>
      <c r="J297" s="582"/>
      <c r="K297" s="582"/>
      <c r="L297" s="582"/>
      <c r="M297" s="582"/>
      <c r="N297" s="582"/>
      <c r="O297" s="582"/>
      <c r="P297" s="582"/>
      <c r="Q297" s="582"/>
      <c r="R297" s="582"/>
      <c r="S297" s="582"/>
      <c r="T297" s="582"/>
      <c r="U297" s="582"/>
      <c r="V297" s="582"/>
      <c r="W297" s="582"/>
      <c r="X297" s="582"/>
      <c r="Y297" s="582"/>
      <c r="Z297" s="582"/>
      <c r="AA297" s="582"/>
      <c r="AB297" s="582"/>
      <c r="AC297" s="582"/>
      <c r="AD297" s="582"/>
      <c r="AE297" s="582"/>
      <c r="AF297" s="582"/>
      <c r="AG297" s="582"/>
      <c r="AH297" s="582"/>
    </row>
    <row r="298" spans="1:34" ht="27" hidden="1" customHeight="1">
      <c r="A298" s="599"/>
      <c r="B298" s="829"/>
      <c r="C298" s="580"/>
      <c r="D298" s="581"/>
      <c r="E298" s="582"/>
      <c r="F298" s="582"/>
      <c r="G298" s="582"/>
      <c r="H298" s="582"/>
      <c r="I298" s="582"/>
      <c r="J298" s="582"/>
      <c r="K298" s="582"/>
      <c r="L298" s="582"/>
      <c r="M298" s="582"/>
      <c r="N298" s="582"/>
      <c r="O298" s="582"/>
      <c r="P298" s="582"/>
      <c r="Q298" s="582"/>
      <c r="R298" s="582"/>
      <c r="S298" s="582"/>
      <c r="T298" s="582"/>
      <c r="U298" s="582"/>
      <c r="V298" s="582"/>
      <c r="W298" s="582"/>
      <c r="X298" s="582"/>
      <c r="Y298" s="582"/>
      <c r="Z298" s="582"/>
      <c r="AA298" s="582"/>
      <c r="AB298" s="582"/>
      <c r="AC298" s="582"/>
      <c r="AD298" s="582"/>
      <c r="AE298" s="582"/>
      <c r="AF298" s="582"/>
      <c r="AG298" s="582"/>
      <c r="AH298" s="582"/>
    </row>
    <row r="299" spans="1:34" ht="27" hidden="1" customHeight="1">
      <c r="A299" s="599"/>
      <c r="B299" s="829"/>
      <c r="C299" s="580"/>
      <c r="D299" s="581"/>
      <c r="E299" s="582"/>
      <c r="F299" s="582"/>
      <c r="G299" s="582"/>
      <c r="H299" s="582"/>
      <c r="I299" s="582"/>
      <c r="J299" s="582"/>
      <c r="K299" s="582"/>
      <c r="L299" s="582"/>
      <c r="M299" s="582"/>
      <c r="N299" s="582"/>
      <c r="O299" s="582"/>
      <c r="P299" s="582"/>
      <c r="Q299" s="582"/>
      <c r="R299" s="582"/>
      <c r="S299" s="582"/>
      <c r="T299" s="582"/>
      <c r="U299" s="582"/>
      <c r="V299" s="582"/>
      <c r="W299" s="582"/>
      <c r="X299" s="582"/>
      <c r="Y299" s="582"/>
      <c r="Z299" s="582"/>
      <c r="AA299" s="582"/>
      <c r="AB299" s="582"/>
      <c r="AC299" s="582"/>
      <c r="AD299" s="582"/>
      <c r="AE299" s="582"/>
      <c r="AF299" s="582"/>
      <c r="AG299" s="582"/>
      <c r="AH299" s="582"/>
    </row>
    <row r="300" spans="1:34" ht="27" hidden="1" customHeight="1">
      <c r="A300" s="599"/>
      <c r="B300" s="829"/>
      <c r="C300" s="580"/>
      <c r="D300" s="581"/>
      <c r="E300" s="582"/>
      <c r="F300" s="582"/>
      <c r="G300" s="582"/>
      <c r="H300" s="582"/>
      <c r="I300" s="582"/>
      <c r="J300" s="582"/>
      <c r="K300" s="582"/>
      <c r="L300" s="582"/>
      <c r="M300" s="582"/>
      <c r="N300" s="582"/>
      <c r="O300" s="582"/>
      <c r="P300" s="582"/>
      <c r="Q300" s="582"/>
      <c r="R300" s="582"/>
      <c r="S300" s="582"/>
      <c r="T300" s="582"/>
      <c r="U300" s="582"/>
      <c r="V300" s="582"/>
      <c r="W300" s="582"/>
      <c r="X300" s="582"/>
      <c r="Y300" s="582"/>
      <c r="Z300" s="582"/>
      <c r="AA300" s="582"/>
      <c r="AB300" s="582"/>
      <c r="AC300" s="582"/>
      <c r="AD300" s="582"/>
      <c r="AE300" s="582"/>
      <c r="AF300" s="582"/>
      <c r="AG300" s="582"/>
      <c r="AH300" s="582"/>
    </row>
    <row r="301" spans="1:34" ht="27" hidden="1" customHeight="1">
      <c r="A301" s="599"/>
      <c r="B301" s="829"/>
      <c r="C301" s="580"/>
      <c r="D301" s="581"/>
      <c r="E301" s="582"/>
      <c r="F301" s="582"/>
      <c r="G301" s="582"/>
      <c r="H301" s="582"/>
      <c r="I301" s="582"/>
      <c r="J301" s="582"/>
      <c r="K301" s="582"/>
      <c r="L301" s="582"/>
      <c r="M301" s="582"/>
      <c r="N301" s="582"/>
      <c r="O301" s="582"/>
      <c r="P301" s="582"/>
      <c r="Q301" s="582"/>
      <c r="R301" s="582"/>
      <c r="S301" s="582"/>
      <c r="T301" s="582"/>
      <c r="U301" s="582"/>
      <c r="V301" s="582"/>
      <c r="W301" s="582"/>
      <c r="X301" s="582"/>
      <c r="Y301" s="582"/>
      <c r="Z301" s="582"/>
      <c r="AA301" s="582"/>
      <c r="AB301" s="582"/>
      <c r="AC301" s="582"/>
      <c r="AD301" s="582"/>
      <c r="AE301" s="582"/>
      <c r="AF301" s="582"/>
      <c r="AG301" s="582"/>
      <c r="AH301" s="582"/>
    </row>
    <row r="302" spans="1:34" ht="27" hidden="1" customHeight="1">
      <c r="A302" s="599"/>
      <c r="B302" s="829"/>
      <c r="C302" s="580"/>
      <c r="D302" s="581"/>
      <c r="E302" s="582"/>
      <c r="F302" s="582"/>
      <c r="G302" s="582"/>
      <c r="H302" s="582"/>
      <c r="I302" s="582"/>
      <c r="J302" s="582"/>
      <c r="K302" s="582"/>
      <c r="L302" s="582"/>
      <c r="M302" s="582"/>
      <c r="N302" s="582"/>
      <c r="O302" s="582"/>
      <c r="P302" s="582"/>
      <c r="Q302" s="582"/>
      <c r="R302" s="582"/>
      <c r="S302" s="582"/>
      <c r="T302" s="582"/>
      <c r="U302" s="582"/>
      <c r="V302" s="582"/>
      <c r="W302" s="582"/>
      <c r="X302" s="582"/>
      <c r="Y302" s="582"/>
      <c r="Z302" s="582"/>
      <c r="AA302" s="582"/>
      <c r="AB302" s="582"/>
      <c r="AC302" s="582"/>
      <c r="AD302" s="582"/>
      <c r="AE302" s="582"/>
      <c r="AF302" s="582"/>
      <c r="AG302" s="582"/>
      <c r="AH302" s="582"/>
    </row>
    <row r="303" spans="1:34" ht="27" hidden="1" customHeight="1">
      <c r="A303" s="599"/>
      <c r="B303" s="829"/>
      <c r="C303" s="580"/>
      <c r="D303" s="581"/>
      <c r="E303" s="582"/>
      <c r="F303" s="582"/>
      <c r="G303" s="582"/>
      <c r="H303" s="582"/>
      <c r="I303" s="582"/>
      <c r="J303" s="582"/>
      <c r="K303" s="582"/>
      <c r="L303" s="582"/>
      <c r="M303" s="582"/>
      <c r="N303" s="582"/>
      <c r="O303" s="582"/>
      <c r="P303" s="582"/>
      <c r="Q303" s="582"/>
      <c r="R303" s="582"/>
      <c r="S303" s="582"/>
      <c r="T303" s="582"/>
      <c r="U303" s="582"/>
      <c r="V303" s="582"/>
      <c r="W303" s="582"/>
      <c r="X303" s="582"/>
      <c r="Y303" s="582"/>
      <c r="Z303" s="582"/>
      <c r="AA303" s="582"/>
      <c r="AB303" s="582"/>
      <c r="AC303" s="582"/>
      <c r="AD303" s="582"/>
      <c r="AE303" s="582"/>
      <c r="AF303" s="582"/>
      <c r="AG303" s="582"/>
      <c r="AH303" s="582"/>
    </row>
    <row r="304" spans="1:34" ht="27" hidden="1" customHeight="1">
      <c r="A304" s="599"/>
      <c r="B304" s="815" t="s">
        <v>241</v>
      </c>
      <c r="C304" s="816"/>
      <c r="D304" s="816"/>
      <c r="E304" s="816"/>
      <c r="F304" s="816"/>
      <c r="G304" s="816"/>
      <c r="H304" s="816"/>
      <c r="I304" s="816"/>
      <c r="J304" s="816"/>
      <c r="K304" s="816"/>
      <c r="L304" s="816"/>
      <c r="M304" s="816"/>
      <c r="N304" s="816"/>
      <c r="O304" s="816"/>
      <c r="P304" s="816"/>
      <c r="Q304" s="816"/>
      <c r="R304" s="816"/>
      <c r="S304" s="816"/>
      <c r="T304" s="816"/>
      <c r="U304" s="816"/>
      <c r="V304" s="816"/>
      <c r="W304" s="816"/>
      <c r="X304" s="816"/>
      <c r="Y304" s="816"/>
      <c r="Z304" s="816"/>
      <c r="AA304" s="816"/>
      <c r="AB304" s="816"/>
      <c r="AC304" s="816"/>
      <c r="AD304" s="816"/>
      <c r="AE304" s="816"/>
      <c r="AF304" s="816"/>
      <c r="AG304" s="816"/>
      <c r="AH304" s="817"/>
    </row>
    <row r="305" spans="1:34" ht="61.5" customHeight="1" thickTop="1">
      <c r="A305" s="599"/>
      <c r="B305" s="828">
        <v>10</v>
      </c>
      <c r="C305" s="834" t="s">
        <v>1750</v>
      </c>
      <c r="D305" s="835"/>
      <c r="E305" s="579">
        <f>IF(SUM(E306:E328)&gt;0,AVERAGE(E306:E328),IF(SUM(E306:E328)=0,"",))</f>
        <v>97.272727272727266</v>
      </c>
      <c r="F305" s="579">
        <f t="shared" ref="F305:AH305" si="9">IF(SUM(F306:F328)&gt;0,AVERAGE(F306:F328),IF(SUM(F306:F328)=0,"",))</f>
        <v>95.882352941176464</v>
      </c>
      <c r="G305" s="579">
        <f t="shared" si="9"/>
        <v>94.130434782608702</v>
      </c>
      <c r="H305" s="579">
        <f t="shared" si="9"/>
        <v>96.086956521739125</v>
      </c>
      <c r="I305" s="579">
        <f t="shared" si="9"/>
        <v>95.476190476190482</v>
      </c>
      <c r="J305" s="579">
        <f t="shared" si="9"/>
        <v>97.173913043478265</v>
      </c>
      <c r="K305" s="579">
        <f t="shared" si="9"/>
        <v>98.695652173913047</v>
      </c>
      <c r="L305" s="579">
        <f t="shared" si="9"/>
        <v>99.130434782608702</v>
      </c>
      <c r="M305" s="579">
        <f t="shared" si="9"/>
        <v>95.652173913043484</v>
      </c>
      <c r="N305" s="579">
        <f t="shared" si="9"/>
        <v>98.913043478260875</v>
      </c>
      <c r="O305" s="579">
        <f t="shared" si="9"/>
        <v>98.260869565217391</v>
      </c>
      <c r="P305" s="579">
        <f t="shared" si="9"/>
        <v>97.608695652173907</v>
      </c>
      <c r="Q305" s="579">
        <f t="shared" si="9"/>
        <v>96.521739130434781</v>
      </c>
      <c r="R305" s="579">
        <f t="shared" si="9"/>
        <v>96.521739130434781</v>
      </c>
      <c r="S305" s="579">
        <f t="shared" si="9"/>
        <v>96.428571428571431</v>
      </c>
      <c r="T305" s="579">
        <f t="shared" si="9"/>
        <v>96.956521739130437</v>
      </c>
      <c r="U305" s="579">
        <f t="shared" si="9"/>
        <v>99.347826086956516</v>
      </c>
      <c r="V305" s="579">
        <f t="shared" si="9"/>
        <v>95.476190476190482</v>
      </c>
      <c r="W305" s="579">
        <f t="shared" si="9"/>
        <v>94</v>
      </c>
      <c r="X305" s="579">
        <f t="shared" si="9"/>
        <v>89.347826086956516</v>
      </c>
      <c r="Y305" s="579">
        <f t="shared" si="9"/>
        <v>97.391304347826093</v>
      </c>
      <c r="Z305" s="579">
        <f t="shared" si="9"/>
        <v>97.857142857142861</v>
      </c>
      <c r="AA305" s="579">
        <f t="shared" si="9"/>
        <v>98.260869565217391</v>
      </c>
      <c r="AB305" s="579">
        <f t="shared" si="9"/>
        <v>93.478260869565219</v>
      </c>
      <c r="AC305" s="579" t="str">
        <f t="shared" si="9"/>
        <v/>
      </c>
      <c r="AD305" s="579" t="str">
        <f t="shared" si="9"/>
        <v/>
      </c>
      <c r="AE305" s="579" t="str">
        <f t="shared" si="9"/>
        <v/>
      </c>
      <c r="AF305" s="579" t="str">
        <f t="shared" si="9"/>
        <v/>
      </c>
      <c r="AG305" s="579" t="str">
        <f t="shared" si="9"/>
        <v/>
      </c>
      <c r="AH305" s="579" t="str">
        <f t="shared" si="9"/>
        <v/>
      </c>
    </row>
    <row r="306" spans="1:34" ht="27" customHeight="1">
      <c r="A306" s="599"/>
      <c r="B306" s="829"/>
      <c r="C306" s="592" t="s">
        <v>1709</v>
      </c>
      <c r="D306" s="587" t="s">
        <v>1451</v>
      </c>
      <c r="E306" s="672">
        <v>100</v>
      </c>
      <c r="F306" s="672">
        <v>95</v>
      </c>
      <c r="G306" s="672">
        <v>90</v>
      </c>
      <c r="H306" s="672">
        <v>95</v>
      </c>
      <c r="I306" s="672">
        <v>90</v>
      </c>
      <c r="J306" s="672">
        <v>100</v>
      </c>
      <c r="K306" s="672">
        <v>100</v>
      </c>
      <c r="L306" s="672">
        <v>100</v>
      </c>
      <c r="M306" s="672">
        <v>100</v>
      </c>
      <c r="N306" s="672">
        <v>100</v>
      </c>
      <c r="O306" s="672">
        <v>100</v>
      </c>
      <c r="P306" s="672">
        <v>100</v>
      </c>
      <c r="Q306" s="672">
        <v>100</v>
      </c>
      <c r="R306" s="672">
        <v>100</v>
      </c>
      <c r="S306" s="672">
        <v>100</v>
      </c>
      <c r="T306" s="672">
        <v>90</v>
      </c>
      <c r="U306" s="672">
        <v>100</v>
      </c>
      <c r="V306" s="672">
        <v>100</v>
      </c>
      <c r="W306" s="672">
        <v>100</v>
      </c>
      <c r="X306" s="672">
        <v>85</v>
      </c>
      <c r="Y306" s="672">
        <v>95</v>
      </c>
      <c r="Z306" s="672">
        <v>100</v>
      </c>
      <c r="AA306" s="672">
        <v>100</v>
      </c>
      <c r="AB306" s="672">
        <v>100</v>
      </c>
      <c r="AC306" s="582"/>
      <c r="AD306" s="582"/>
      <c r="AE306" s="582"/>
      <c r="AF306" s="582"/>
      <c r="AG306" s="582"/>
      <c r="AH306" s="582"/>
    </row>
    <row r="307" spans="1:34" ht="27" customHeight="1">
      <c r="A307" s="599"/>
      <c r="B307" s="829"/>
      <c r="C307" s="593" t="s">
        <v>1710</v>
      </c>
      <c r="D307" s="587" t="s">
        <v>1711</v>
      </c>
      <c r="E307" s="672">
        <v>100</v>
      </c>
      <c r="F307" s="672">
        <v>100</v>
      </c>
      <c r="G307" s="672">
        <v>100</v>
      </c>
      <c r="H307" s="672">
        <v>100</v>
      </c>
      <c r="I307" s="672">
        <v>100</v>
      </c>
      <c r="J307" s="672">
        <v>100</v>
      </c>
      <c r="K307" s="672">
        <v>100</v>
      </c>
      <c r="L307" s="672">
        <v>90</v>
      </c>
      <c r="M307" s="672">
        <v>100</v>
      </c>
      <c r="N307" s="672">
        <v>100</v>
      </c>
      <c r="O307" s="672">
        <v>100</v>
      </c>
      <c r="P307" s="672">
        <v>100</v>
      </c>
      <c r="Q307" s="672">
        <v>100</v>
      </c>
      <c r="R307" s="672">
        <v>100</v>
      </c>
      <c r="S307" s="672">
        <v>100</v>
      </c>
      <c r="T307" s="672">
        <v>100</v>
      </c>
      <c r="U307" s="672">
        <v>100</v>
      </c>
      <c r="V307" s="672">
        <v>100</v>
      </c>
      <c r="W307" s="672">
        <v>100</v>
      </c>
      <c r="X307" s="672">
        <v>100</v>
      </c>
      <c r="Y307" s="672">
        <v>100</v>
      </c>
      <c r="Z307" s="672">
        <v>100</v>
      </c>
      <c r="AA307" s="672">
        <v>100</v>
      </c>
      <c r="AB307" s="672">
        <v>100</v>
      </c>
      <c r="AC307" s="582"/>
      <c r="AD307" s="582"/>
      <c r="AE307" s="582"/>
      <c r="AF307" s="582"/>
      <c r="AG307" s="582"/>
      <c r="AH307" s="582"/>
    </row>
    <row r="308" spans="1:34" ht="27" customHeight="1">
      <c r="A308" s="599"/>
      <c r="B308" s="829"/>
      <c r="C308" s="594" t="s">
        <v>1712</v>
      </c>
      <c r="D308" s="587" t="s">
        <v>1453</v>
      </c>
      <c r="E308" s="672">
        <v>100</v>
      </c>
      <c r="F308" s="672">
        <v>100</v>
      </c>
      <c r="G308" s="672">
        <v>90</v>
      </c>
      <c r="H308" s="672">
        <v>90</v>
      </c>
      <c r="I308" s="672">
        <v>100</v>
      </c>
      <c r="J308" s="672">
        <v>100</v>
      </c>
      <c r="K308" s="672">
        <v>100</v>
      </c>
      <c r="L308" s="672">
        <v>100</v>
      </c>
      <c r="M308" s="672">
        <v>100</v>
      </c>
      <c r="N308" s="672">
        <v>100</v>
      </c>
      <c r="O308" s="672">
        <v>100</v>
      </c>
      <c r="P308" s="672">
        <v>90</v>
      </c>
      <c r="Q308" s="672">
        <v>100</v>
      </c>
      <c r="R308" s="672">
        <v>100</v>
      </c>
      <c r="S308" s="672">
        <v>90</v>
      </c>
      <c r="T308" s="672">
        <v>100</v>
      </c>
      <c r="U308" s="672">
        <v>100</v>
      </c>
      <c r="V308" s="672">
        <v>100</v>
      </c>
      <c r="W308" s="672">
        <v>100</v>
      </c>
      <c r="X308" s="672">
        <v>100</v>
      </c>
      <c r="Y308" s="672">
        <v>80</v>
      </c>
      <c r="Z308" s="672">
        <v>100</v>
      </c>
      <c r="AA308" s="672">
        <v>100</v>
      </c>
      <c r="AB308" s="672">
        <v>100</v>
      </c>
      <c r="AC308" s="582"/>
      <c r="AD308" s="582"/>
      <c r="AE308" s="582"/>
      <c r="AF308" s="582"/>
      <c r="AG308" s="582"/>
      <c r="AH308" s="582"/>
    </row>
    <row r="309" spans="1:34" ht="27" customHeight="1">
      <c r="A309" s="599"/>
      <c r="B309" s="829"/>
      <c r="C309" s="592" t="s">
        <v>1713</v>
      </c>
      <c r="D309" s="587" t="s">
        <v>1455</v>
      </c>
      <c r="E309" s="672">
        <v>100</v>
      </c>
      <c r="F309" s="672">
        <v>100</v>
      </c>
      <c r="G309" s="672">
        <v>95</v>
      </c>
      <c r="H309" s="672">
        <v>90</v>
      </c>
      <c r="I309" s="672">
        <v>90</v>
      </c>
      <c r="J309" s="672">
        <v>90</v>
      </c>
      <c r="K309" s="672">
        <v>100</v>
      </c>
      <c r="L309" s="672">
        <v>100</v>
      </c>
      <c r="M309" s="672">
        <v>100</v>
      </c>
      <c r="N309" s="672">
        <v>100</v>
      </c>
      <c r="O309" s="672">
        <v>100</v>
      </c>
      <c r="P309" s="672">
        <v>100</v>
      </c>
      <c r="Q309" s="672">
        <v>90</v>
      </c>
      <c r="R309" s="672">
        <v>100</v>
      </c>
      <c r="S309" s="672">
        <v>100</v>
      </c>
      <c r="T309" s="672">
        <v>90</v>
      </c>
      <c r="U309" s="672">
        <v>100</v>
      </c>
      <c r="V309" s="672">
        <v>95</v>
      </c>
      <c r="W309" s="672">
        <v>100</v>
      </c>
      <c r="X309" s="672">
        <v>90</v>
      </c>
      <c r="Y309" s="672">
        <v>90</v>
      </c>
      <c r="Z309" s="672">
        <v>100</v>
      </c>
      <c r="AA309" s="672">
        <v>100</v>
      </c>
      <c r="AB309" s="672">
        <v>95</v>
      </c>
      <c r="AC309" s="582"/>
      <c r="AD309" s="582"/>
      <c r="AE309" s="582"/>
      <c r="AF309" s="582"/>
      <c r="AG309" s="582"/>
      <c r="AH309" s="582"/>
    </row>
    <row r="310" spans="1:34" ht="27" customHeight="1">
      <c r="A310" s="599"/>
      <c r="B310" s="829"/>
      <c r="C310" s="595" t="s">
        <v>1714</v>
      </c>
      <c r="D310" s="587" t="s">
        <v>1457</v>
      </c>
      <c r="E310" s="672">
        <v>100</v>
      </c>
      <c r="F310" s="672">
        <v>100</v>
      </c>
      <c r="G310" s="672">
        <v>95</v>
      </c>
      <c r="H310" s="672">
        <v>95</v>
      </c>
      <c r="I310" s="672">
        <v>100</v>
      </c>
      <c r="J310" s="672">
        <v>100</v>
      </c>
      <c r="K310" s="672">
        <v>100</v>
      </c>
      <c r="L310" s="672">
        <v>100</v>
      </c>
      <c r="M310" s="672">
        <v>90</v>
      </c>
      <c r="N310" s="672">
        <v>100</v>
      </c>
      <c r="O310" s="672">
        <v>95</v>
      </c>
      <c r="P310" s="672">
        <v>100</v>
      </c>
      <c r="Q310" s="672">
        <v>90</v>
      </c>
      <c r="R310" s="672">
        <v>100</v>
      </c>
      <c r="S310" s="672"/>
      <c r="T310" s="672">
        <v>100</v>
      </c>
      <c r="U310" s="672">
        <v>100</v>
      </c>
      <c r="V310" s="672">
        <v>100</v>
      </c>
      <c r="W310" s="672">
        <v>90</v>
      </c>
      <c r="X310" s="672">
        <v>90</v>
      </c>
      <c r="Y310" s="672">
        <v>100</v>
      </c>
      <c r="Z310" s="672">
        <v>95</v>
      </c>
      <c r="AA310" s="672">
        <v>100</v>
      </c>
      <c r="AB310" s="672">
        <v>80</v>
      </c>
      <c r="AC310" s="582"/>
      <c r="AD310" s="582"/>
      <c r="AE310" s="582"/>
      <c r="AF310" s="582"/>
      <c r="AG310" s="582"/>
      <c r="AH310" s="582"/>
    </row>
    <row r="311" spans="1:34" ht="27" customHeight="1">
      <c r="A311" s="599"/>
      <c r="B311" s="829"/>
      <c r="C311" s="595" t="s">
        <v>1715</v>
      </c>
      <c r="D311" s="587" t="s">
        <v>1459</v>
      </c>
      <c r="E311" s="654">
        <v>95</v>
      </c>
      <c r="F311" s="654"/>
      <c r="G311" s="654">
        <v>90</v>
      </c>
      <c r="H311" s="654">
        <v>90</v>
      </c>
      <c r="I311" s="654">
        <v>95</v>
      </c>
      <c r="J311" s="654">
        <v>95</v>
      </c>
      <c r="K311" s="654">
        <v>100</v>
      </c>
      <c r="L311" s="654">
        <v>100</v>
      </c>
      <c r="M311" s="654">
        <v>95</v>
      </c>
      <c r="N311" s="654">
        <v>100</v>
      </c>
      <c r="O311" s="654">
        <v>100</v>
      </c>
      <c r="P311" s="654">
        <v>100</v>
      </c>
      <c r="Q311" s="654">
        <v>85</v>
      </c>
      <c r="R311" s="654">
        <v>100</v>
      </c>
      <c r="S311" s="654">
        <v>90</v>
      </c>
      <c r="T311" s="654">
        <v>100</v>
      </c>
      <c r="U311" s="654">
        <v>100</v>
      </c>
      <c r="V311" s="654">
        <v>90</v>
      </c>
      <c r="W311" s="654">
        <v>100</v>
      </c>
      <c r="X311" s="654">
        <v>70</v>
      </c>
      <c r="Y311" s="654">
        <v>95</v>
      </c>
      <c r="Z311" s="654">
        <v>100</v>
      </c>
      <c r="AA311" s="654">
        <v>100</v>
      </c>
      <c r="AB311" s="654">
        <v>90</v>
      </c>
      <c r="AC311" s="582"/>
      <c r="AD311" s="582"/>
      <c r="AE311" s="582"/>
      <c r="AF311" s="582"/>
      <c r="AG311" s="582"/>
      <c r="AH311" s="582"/>
    </row>
    <row r="312" spans="1:34" ht="27" customHeight="1">
      <c r="A312" s="599"/>
      <c r="B312" s="829"/>
      <c r="C312" s="592" t="s">
        <v>1716</v>
      </c>
      <c r="D312" s="587" t="s">
        <v>1717</v>
      </c>
      <c r="E312" s="654">
        <v>100</v>
      </c>
      <c r="F312" s="654"/>
      <c r="G312" s="654">
        <v>90</v>
      </c>
      <c r="H312" s="654">
        <v>100</v>
      </c>
      <c r="I312" s="654">
        <v>100</v>
      </c>
      <c r="J312" s="654">
        <v>100</v>
      </c>
      <c r="K312" s="654">
        <v>100</v>
      </c>
      <c r="L312" s="654">
        <v>100</v>
      </c>
      <c r="M312" s="654">
        <v>90</v>
      </c>
      <c r="N312" s="654">
        <v>100</v>
      </c>
      <c r="O312" s="654">
        <v>100</v>
      </c>
      <c r="P312" s="654">
        <v>100</v>
      </c>
      <c r="Q312" s="654">
        <v>100</v>
      </c>
      <c r="R312" s="654">
        <v>100</v>
      </c>
      <c r="S312" s="654">
        <v>100</v>
      </c>
      <c r="T312" s="654">
        <v>100</v>
      </c>
      <c r="U312" s="654">
        <v>100</v>
      </c>
      <c r="V312" s="654">
        <v>90</v>
      </c>
      <c r="W312" s="654">
        <v>100</v>
      </c>
      <c r="X312" s="654">
        <v>80</v>
      </c>
      <c r="Y312" s="654">
        <v>90</v>
      </c>
      <c r="Z312" s="654">
        <v>100</v>
      </c>
      <c r="AA312" s="654">
        <v>100</v>
      </c>
      <c r="AB312" s="654">
        <v>90</v>
      </c>
      <c r="AC312" s="582"/>
      <c r="AD312" s="582"/>
      <c r="AE312" s="582"/>
      <c r="AF312" s="582"/>
      <c r="AG312" s="582"/>
      <c r="AH312" s="582"/>
    </row>
    <row r="313" spans="1:34" ht="32.25" customHeight="1">
      <c r="A313" s="599"/>
      <c r="B313" s="829"/>
      <c r="C313" s="595" t="s">
        <v>1718</v>
      </c>
      <c r="D313" s="587" t="s">
        <v>1541</v>
      </c>
      <c r="E313" s="654">
        <v>100</v>
      </c>
      <c r="F313" s="654"/>
      <c r="G313" s="654">
        <v>100</v>
      </c>
      <c r="H313" s="654">
        <v>100</v>
      </c>
      <c r="I313" s="654">
        <v>90</v>
      </c>
      <c r="J313" s="654">
        <v>100</v>
      </c>
      <c r="K313" s="654">
        <v>100</v>
      </c>
      <c r="L313" s="654">
        <v>100</v>
      </c>
      <c r="M313" s="654">
        <v>100</v>
      </c>
      <c r="N313" s="654">
        <v>90</v>
      </c>
      <c r="O313" s="654">
        <v>100</v>
      </c>
      <c r="P313" s="654">
        <v>100</v>
      </c>
      <c r="Q313" s="654">
        <v>100</v>
      </c>
      <c r="R313" s="654">
        <v>100</v>
      </c>
      <c r="S313" s="654">
        <v>90</v>
      </c>
      <c r="T313" s="654">
        <v>100</v>
      </c>
      <c r="U313" s="654">
        <v>100</v>
      </c>
      <c r="V313" s="654">
        <v>95</v>
      </c>
      <c r="W313" s="654">
        <v>90</v>
      </c>
      <c r="X313" s="654">
        <v>80</v>
      </c>
      <c r="Y313" s="654">
        <v>100</v>
      </c>
      <c r="Z313" s="654">
        <v>100</v>
      </c>
      <c r="AA313" s="654">
        <v>100</v>
      </c>
      <c r="AB313" s="654">
        <v>100</v>
      </c>
      <c r="AC313" s="582"/>
      <c r="AD313" s="582"/>
      <c r="AE313" s="582"/>
      <c r="AF313" s="582"/>
      <c r="AG313" s="582"/>
      <c r="AH313" s="582"/>
    </row>
    <row r="314" spans="1:34" ht="27" customHeight="1">
      <c r="A314" s="599"/>
      <c r="B314" s="829"/>
      <c r="C314" s="592" t="s">
        <v>1719</v>
      </c>
      <c r="D314" s="587" t="s">
        <v>1720</v>
      </c>
      <c r="E314" s="654">
        <v>95</v>
      </c>
      <c r="F314" s="654"/>
      <c r="G314" s="654">
        <v>95</v>
      </c>
      <c r="H314" s="654">
        <v>100</v>
      </c>
      <c r="I314" s="654">
        <v>100</v>
      </c>
      <c r="J314" s="654">
        <v>100</v>
      </c>
      <c r="K314" s="654">
        <v>100</v>
      </c>
      <c r="L314" s="654">
        <v>100</v>
      </c>
      <c r="M314" s="654">
        <v>95</v>
      </c>
      <c r="N314" s="654">
        <v>100</v>
      </c>
      <c r="O314" s="654">
        <v>100</v>
      </c>
      <c r="P314" s="654">
        <v>100</v>
      </c>
      <c r="Q314" s="654">
        <v>100</v>
      </c>
      <c r="R314" s="654">
        <v>100</v>
      </c>
      <c r="S314" s="654">
        <v>100</v>
      </c>
      <c r="T314" s="654">
        <v>100</v>
      </c>
      <c r="U314" s="654">
        <v>100</v>
      </c>
      <c r="V314" s="654">
        <v>100</v>
      </c>
      <c r="W314" s="654">
        <v>90</v>
      </c>
      <c r="X314" s="654">
        <v>100</v>
      </c>
      <c r="Y314" s="654">
        <v>100</v>
      </c>
      <c r="Z314" s="654">
        <v>100</v>
      </c>
      <c r="AA314" s="654">
        <v>100</v>
      </c>
      <c r="AB314" s="654">
        <v>95</v>
      </c>
      <c r="AC314" s="582"/>
      <c r="AD314" s="582"/>
      <c r="AE314" s="582"/>
      <c r="AF314" s="582"/>
      <c r="AG314" s="582"/>
      <c r="AH314" s="582"/>
    </row>
    <row r="315" spans="1:34" ht="36" customHeight="1">
      <c r="A315" s="599"/>
      <c r="B315" s="829"/>
      <c r="C315" s="595" t="s">
        <v>1721</v>
      </c>
      <c r="D315" s="587" t="s">
        <v>1463</v>
      </c>
      <c r="E315" s="654">
        <v>90</v>
      </c>
      <c r="F315" s="654">
        <v>90</v>
      </c>
      <c r="G315" s="654">
        <v>100</v>
      </c>
      <c r="H315" s="654">
        <v>80</v>
      </c>
      <c r="I315" s="654">
        <v>90</v>
      </c>
      <c r="J315" s="654">
        <v>80</v>
      </c>
      <c r="K315" s="654">
        <v>90</v>
      </c>
      <c r="L315" s="654">
        <v>90</v>
      </c>
      <c r="M315" s="654">
        <v>90</v>
      </c>
      <c r="N315" s="654">
        <v>100</v>
      </c>
      <c r="O315" s="654">
        <v>100</v>
      </c>
      <c r="P315" s="654">
        <v>100</v>
      </c>
      <c r="Q315" s="654">
        <v>100</v>
      </c>
      <c r="R315" s="654">
        <v>100</v>
      </c>
      <c r="S315" s="654">
        <v>90</v>
      </c>
      <c r="T315" s="654">
        <v>100</v>
      </c>
      <c r="U315" s="654">
        <v>100</v>
      </c>
      <c r="V315" s="654">
        <v>90</v>
      </c>
      <c r="W315" s="654"/>
      <c r="X315" s="654">
        <v>90</v>
      </c>
      <c r="Y315" s="654">
        <v>90</v>
      </c>
      <c r="Z315" s="654"/>
      <c r="AA315" s="654">
        <v>100</v>
      </c>
      <c r="AB315" s="654">
        <v>100</v>
      </c>
      <c r="AC315" s="582"/>
      <c r="AD315" s="582"/>
      <c r="AE315" s="582"/>
      <c r="AF315" s="582"/>
      <c r="AG315" s="582"/>
      <c r="AH315" s="582"/>
    </row>
    <row r="316" spans="1:34" ht="40.5" customHeight="1">
      <c r="A316" s="599"/>
      <c r="B316" s="829"/>
      <c r="C316" s="592" t="s">
        <v>1722</v>
      </c>
      <c r="D316" s="587" t="s">
        <v>1723</v>
      </c>
      <c r="E316" s="654"/>
      <c r="F316" s="654">
        <v>90</v>
      </c>
      <c r="G316" s="654">
        <v>100</v>
      </c>
      <c r="H316" s="654">
        <v>90</v>
      </c>
      <c r="I316" s="654">
        <v>90</v>
      </c>
      <c r="J316" s="654">
        <v>80</v>
      </c>
      <c r="K316" s="654">
        <v>100</v>
      </c>
      <c r="L316" s="654">
        <v>100</v>
      </c>
      <c r="M316" s="654">
        <v>90</v>
      </c>
      <c r="N316" s="654">
        <v>100</v>
      </c>
      <c r="O316" s="654">
        <v>90</v>
      </c>
      <c r="P316" s="654">
        <v>95</v>
      </c>
      <c r="Q316" s="654">
        <v>100</v>
      </c>
      <c r="R316" s="654">
        <v>100</v>
      </c>
      <c r="S316" s="654"/>
      <c r="T316" s="654">
        <v>80</v>
      </c>
      <c r="U316" s="654">
        <v>100</v>
      </c>
      <c r="V316" s="654">
        <v>100</v>
      </c>
      <c r="W316" s="654"/>
      <c r="X316" s="654">
        <v>80</v>
      </c>
      <c r="Y316" s="654">
        <v>100</v>
      </c>
      <c r="Z316" s="654"/>
      <c r="AA316" s="654">
        <v>60</v>
      </c>
      <c r="AB316" s="654">
        <v>100</v>
      </c>
      <c r="AC316" s="582"/>
      <c r="AD316" s="582"/>
      <c r="AE316" s="582"/>
      <c r="AF316" s="582"/>
      <c r="AG316" s="582"/>
      <c r="AH316" s="582"/>
    </row>
    <row r="317" spans="1:34" ht="42.75" customHeight="1">
      <c r="A317" s="599"/>
      <c r="B317" s="829"/>
      <c r="C317" s="595" t="s">
        <v>1724</v>
      </c>
      <c r="D317" s="587" t="s">
        <v>1467</v>
      </c>
      <c r="E317" s="628">
        <v>100</v>
      </c>
      <c r="F317" s="628">
        <v>90</v>
      </c>
      <c r="G317" s="628">
        <v>95</v>
      </c>
      <c r="H317" s="628">
        <v>100</v>
      </c>
      <c r="I317" s="628">
        <v>100</v>
      </c>
      <c r="J317" s="628">
        <v>100</v>
      </c>
      <c r="K317" s="628">
        <v>100</v>
      </c>
      <c r="L317" s="628">
        <v>100</v>
      </c>
      <c r="M317" s="628">
        <v>95</v>
      </c>
      <c r="N317" s="628">
        <v>100</v>
      </c>
      <c r="O317" s="628">
        <v>95</v>
      </c>
      <c r="P317" s="628">
        <v>100</v>
      </c>
      <c r="Q317" s="628">
        <v>95</v>
      </c>
      <c r="R317" s="628">
        <v>90</v>
      </c>
      <c r="S317" s="628">
        <v>95</v>
      </c>
      <c r="T317" s="628">
        <v>100</v>
      </c>
      <c r="U317" s="628">
        <v>100</v>
      </c>
      <c r="V317" s="628">
        <v>100</v>
      </c>
      <c r="W317" s="628"/>
      <c r="X317" s="628">
        <v>95</v>
      </c>
      <c r="Y317" s="628">
        <v>100</v>
      </c>
      <c r="Z317" s="628">
        <v>90</v>
      </c>
      <c r="AA317" s="628">
        <v>100</v>
      </c>
      <c r="AB317" s="628">
        <v>100</v>
      </c>
      <c r="AC317" s="582"/>
      <c r="AD317" s="582"/>
      <c r="AE317" s="582"/>
      <c r="AF317" s="582"/>
      <c r="AG317" s="582"/>
      <c r="AH317" s="582"/>
    </row>
    <row r="318" spans="1:34" ht="33.75" customHeight="1">
      <c r="A318" s="599"/>
      <c r="B318" s="829"/>
      <c r="C318" s="592" t="s">
        <v>1725</v>
      </c>
      <c r="D318" s="587" t="s">
        <v>1726</v>
      </c>
      <c r="E318" s="628">
        <v>100</v>
      </c>
      <c r="F318" s="628">
        <v>90</v>
      </c>
      <c r="G318" s="628">
        <v>90</v>
      </c>
      <c r="H318" s="628">
        <v>100</v>
      </c>
      <c r="I318" s="628">
        <v>100</v>
      </c>
      <c r="J318" s="628">
        <v>100</v>
      </c>
      <c r="K318" s="628">
        <v>100</v>
      </c>
      <c r="L318" s="628">
        <v>100</v>
      </c>
      <c r="M318" s="628">
        <v>100</v>
      </c>
      <c r="N318" s="628">
        <v>100</v>
      </c>
      <c r="O318" s="628">
        <v>100</v>
      </c>
      <c r="P318" s="628">
        <v>100</v>
      </c>
      <c r="Q318" s="628">
        <v>100</v>
      </c>
      <c r="R318" s="628">
        <v>100</v>
      </c>
      <c r="S318" s="628">
        <v>100</v>
      </c>
      <c r="T318" s="628">
        <v>95</v>
      </c>
      <c r="U318" s="628">
        <v>100</v>
      </c>
      <c r="V318" s="628">
        <v>90</v>
      </c>
      <c r="W318" s="628"/>
      <c r="X318" s="628">
        <v>90</v>
      </c>
      <c r="Y318" s="628">
        <v>100</v>
      </c>
      <c r="Z318" s="628">
        <v>100</v>
      </c>
      <c r="AA318" s="628">
        <v>100</v>
      </c>
      <c r="AB318" s="628">
        <v>100</v>
      </c>
      <c r="AC318" s="582"/>
      <c r="AD318" s="582"/>
      <c r="AE318" s="582"/>
      <c r="AF318" s="582"/>
      <c r="AG318" s="582"/>
      <c r="AH318" s="582"/>
    </row>
    <row r="319" spans="1:34" ht="39" customHeight="1">
      <c r="A319" s="599"/>
      <c r="B319" s="829"/>
      <c r="C319" s="595" t="s">
        <v>1727</v>
      </c>
      <c r="D319" s="587" t="s">
        <v>1523</v>
      </c>
      <c r="E319" s="628">
        <v>100</v>
      </c>
      <c r="F319" s="628">
        <v>90</v>
      </c>
      <c r="G319" s="628">
        <v>90</v>
      </c>
      <c r="H319" s="628">
        <v>90</v>
      </c>
      <c r="I319" s="628">
        <v>100</v>
      </c>
      <c r="J319" s="628">
        <v>100</v>
      </c>
      <c r="K319" s="628">
        <v>100</v>
      </c>
      <c r="L319" s="628">
        <v>100</v>
      </c>
      <c r="M319" s="628">
        <v>100</v>
      </c>
      <c r="N319" s="628">
        <v>100</v>
      </c>
      <c r="O319" s="628">
        <v>100</v>
      </c>
      <c r="P319" s="628">
        <v>100</v>
      </c>
      <c r="Q319" s="628">
        <v>100</v>
      </c>
      <c r="R319" s="628">
        <v>100</v>
      </c>
      <c r="S319" s="628">
        <v>100</v>
      </c>
      <c r="T319" s="628">
        <v>100</v>
      </c>
      <c r="U319" s="628">
        <v>90</v>
      </c>
      <c r="V319" s="628">
        <v>100</v>
      </c>
      <c r="W319" s="628">
        <v>100</v>
      </c>
      <c r="X319" s="628">
        <v>100</v>
      </c>
      <c r="Y319" s="628">
        <v>100</v>
      </c>
      <c r="Z319" s="628">
        <v>100</v>
      </c>
      <c r="AA319" s="628">
        <v>100</v>
      </c>
      <c r="AB319" s="628">
        <v>100</v>
      </c>
      <c r="AC319" s="582"/>
      <c r="AD319" s="582"/>
      <c r="AE319" s="582"/>
      <c r="AF319" s="582"/>
      <c r="AG319" s="582"/>
      <c r="AH319" s="582"/>
    </row>
    <row r="320" spans="1:34" ht="36.75" customHeight="1">
      <c r="A320" s="599"/>
      <c r="B320" s="829"/>
      <c r="C320" s="592" t="s">
        <v>1728</v>
      </c>
      <c r="D320" s="587" t="s">
        <v>1729</v>
      </c>
      <c r="E320" s="628">
        <v>100</v>
      </c>
      <c r="F320" s="628">
        <v>100</v>
      </c>
      <c r="G320" s="628">
        <v>90</v>
      </c>
      <c r="H320" s="628">
        <v>100</v>
      </c>
      <c r="I320" s="628">
        <v>100</v>
      </c>
      <c r="J320" s="628">
        <v>100</v>
      </c>
      <c r="K320" s="628">
        <v>100</v>
      </c>
      <c r="L320" s="628">
        <v>100</v>
      </c>
      <c r="M320" s="628">
        <v>100</v>
      </c>
      <c r="N320" s="628">
        <v>100</v>
      </c>
      <c r="O320" s="628">
        <v>100</v>
      </c>
      <c r="P320" s="628">
        <v>100</v>
      </c>
      <c r="Q320" s="628">
        <v>100</v>
      </c>
      <c r="R320" s="628">
        <v>95</v>
      </c>
      <c r="S320" s="628">
        <v>100</v>
      </c>
      <c r="T320" s="628">
        <v>100</v>
      </c>
      <c r="U320" s="628">
        <v>100</v>
      </c>
      <c r="V320" s="628">
        <v>100</v>
      </c>
      <c r="W320" s="628"/>
      <c r="X320" s="628">
        <v>95</v>
      </c>
      <c r="Y320" s="628">
        <v>100</v>
      </c>
      <c r="Z320" s="628">
        <v>100</v>
      </c>
      <c r="AA320" s="628">
        <v>100</v>
      </c>
      <c r="AB320" s="628">
        <v>100</v>
      </c>
      <c r="AC320" s="582"/>
      <c r="AD320" s="582"/>
      <c r="AE320" s="582"/>
      <c r="AF320" s="582"/>
      <c r="AG320" s="582"/>
      <c r="AH320" s="582"/>
    </row>
    <row r="321" spans="1:34" ht="42" customHeight="1">
      <c r="A321" s="599"/>
      <c r="B321" s="829"/>
      <c r="C321" s="595" t="s">
        <v>1730</v>
      </c>
      <c r="D321" s="587" t="s">
        <v>1470</v>
      </c>
      <c r="E321" s="628">
        <v>100</v>
      </c>
      <c r="F321" s="628">
        <v>100</v>
      </c>
      <c r="G321" s="628">
        <v>100</v>
      </c>
      <c r="H321" s="628">
        <v>100</v>
      </c>
      <c r="I321" s="628"/>
      <c r="J321" s="628">
        <v>100</v>
      </c>
      <c r="K321" s="628">
        <v>100</v>
      </c>
      <c r="L321" s="628">
        <v>100</v>
      </c>
      <c r="M321" s="628">
        <v>100</v>
      </c>
      <c r="N321" s="628">
        <v>100</v>
      </c>
      <c r="O321" s="628">
        <v>100</v>
      </c>
      <c r="P321" s="628">
        <v>100</v>
      </c>
      <c r="Q321" s="628">
        <v>100</v>
      </c>
      <c r="R321" s="628">
        <v>100</v>
      </c>
      <c r="S321" s="628">
        <v>100</v>
      </c>
      <c r="T321" s="628">
        <v>100</v>
      </c>
      <c r="U321" s="628">
        <v>100</v>
      </c>
      <c r="V321" s="628">
        <v>90</v>
      </c>
      <c r="W321" s="628"/>
      <c r="X321" s="628">
        <v>90</v>
      </c>
      <c r="Y321" s="628">
        <v>100</v>
      </c>
      <c r="Z321" s="628">
        <v>90</v>
      </c>
      <c r="AA321" s="628">
        <v>100</v>
      </c>
      <c r="AB321" s="628">
        <v>95</v>
      </c>
      <c r="AC321" s="582"/>
      <c r="AD321" s="582"/>
      <c r="AE321" s="582"/>
      <c r="AF321" s="582"/>
      <c r="AG321" s="582"/>
      <c r="AH321" s="582"/>
    </row>
    <row r="322" spans="1:34" ht="42.75" customHeight="1">
      <c r="A322" s="599"/>
      <c r="B322" s="829"/>
      <c r="C322" s="592" t="s">
        <v>1731</v>
      </c>
      <c r="D322" s="587" t="s">
        <v>1732</v>
      </c>
      <c r="E322" s="628">
        <v>100</v>
      </c>
      <c r="F322" s="628">
        <v>100</v>
      </c>
      <c r="G322" s="628">
        <v>95</v>
      </c>
      <c r="H322" s="628">
        <v>100</v>
      </c>
      <c r="I322" s="628"/>
      <c r="J322" s="628">
        <v>100</v>
      </c>
      <c r="K322" s="628">
        <v>100</v>
      </c>
      <c r="L322" s="628">
        <v>100</v>
      </c>
      <c r="M322" s="628">
        <v>95</v>
      </c>
      <c r="N322" s="628">
        <v>100</v>
      </c>
      <c r="O322" s="628">
        <v>100</v>
      </c>
      <c r="P322" s="628">
        <v>100</v>
      </c>
      <c r="Q322" s="628">
        <v>100</v>
      </c>
      <c r="R322" s="628">
        <v>100</v>
      </c>
      <c r="S322" s="628">
        <v>100</v>
      </c>
      <c r="T322" s="628">
        <v>95</v>
      </c>
      <c r="U322" s="628">
        <v>100</v>
      </c>
      <c r="V322" s="628">
        <v>90</v>
      </c>
      <c r="W322" s="628"/>
      <c r="X322" s="628">
        <v>80</v>
      </c>
      <c r="Y322" s="628">
        <v>100</v>
      </c>
      <c r="Z322" s="628">
        <v>100</v>
      </c>
      <c r="AA322" s="628">
        <v>100</v>
      </c>
      <c r="AB322" s="628">
        <v>80</v>
      </c>
      <c r="AC322" s="582"/>
      <c r="AD322" s="582"/>
      <c r="AE322" s="582"/>
      <c r="AF322" s="582"/>
      <c r="AG322" s="582"/>
      <c r="AH322" s="582"/>
    </row>
    <row r="323" spans="1:34" ht="43.5" customHeight="1">
      <c r="A323" s="599"/>
      <c r="B323" s="829"/>
      <c r="C323" s="595" t="s">
        <v>1733</v>
      </c>
      <c r="D323" s="587" t="s">
        <v>1549</v>
      </c>
      <c r="E323" s="682">
        <v>80</v>
      </c>
      <c r="F323" s="682">
        <v>90</v>
      </c>
      <c r="G323" s="682">
        <v>100</v>
      </c>
      <c r="H323" s="682">
        <v>90</v>
      </c>
      <c r="I323" s="682">
        <v>90</v>
      </c>
      <c r="J323" s="682">
        <v>100</v>
      </c>
      <c r="K323" s="682">
        <v>90</v>
      </c>
      <c r="L323" s="682">
        <v>100</v>
      </c>
      <c r="M323" s="682">
        <v>80</v>
      </c>
      <c r="N323" s="682">
        <v>90</v>
      </c>
      <c r="O323" s="682">
        <v>90</v>
      </c>
      <c r="P323" s="682">
        <v>80</v>
      </c>
      <c r="Q323" s="682">
        <v>80</v>
      </c>
      <c r="R323" s="682">
        <v>70</v>
      </c>
      <c r="S323" s="682">
        <v>100</v>
      </c>
      <c r="T323" s="682">
        <v>90</v>
      </c>
      <c r="U323" s="682">
        <v>100</v>
      </c>
      <c r="V323" s="682"/>
      <c r="W323" s="682">
        <v>90</v>
      </c>
      <c r="X323" s="682">
        <v>80</v>
      </c>
      <c r="Y323" s="682">
        <v>100</v>
      </c>
      <c r="Z323" s="682">
        <v>100</v>
      </c>
      <c r="AA323" s="682">
        <v>100</v>
      </c>
      <c r="AB323" s="682">
        <v>70</v>
      </c>
      <c r="AC323" s="582"/>
      <c r="AD323" s="582"/>
      <c r="AE323" s="582"/>
      <c r="AF323" s="582"/>
      <c r="AG323" s="582"/>
      <c r="AH323" s="582"/>
    </row>
    <row r="324" spans="1:34" ht="39" customHeight="1">
      <c r="A324" s="599"/>
      <c r="B324" s="829"/>
      <c r="C324" s="592" t="s">
        <v>1734</v>
      </c>
      <c r="D324" s="587" t="s">
        <v>1735</v>
      </c>
      <c r="E324" s="682">
        <v>100</v>
      </c>
      <c r="F324" s="682">
        <v>100</v>
      </c>
      <c r="G324" s="682">
        <v>80</v>
      </c>
      <c r="H324" s="682">
        <v>100</v>
      </c>
      <c r="I324" s="682">
        <v>100</v>
      </c>
      <c r="J324" s="682">
        <v>100</v>
      </c>
      <c r="K324" s="682">
        <v>100</v>
      </c>
      <c r="L324" s="682">
        <v>100</v>
      </c>
      <c r="M324" s="682">
        <v>100</v>
      </c>
      <c r="N324" s="682">
        <v>100</v>
      </c>
      <c r="O324" s="682">
        <v>100</v>
      </c>
      <c r="P324" s="682">
        <v>100</v>
      </c>
      <c r="Q324" s="682">
        <v>100</v>
      </c>
      <c r="R324" s="682">
        <v>100</v>
      </c>
      <c r="S324" s="682">
        <v>100</v>
      </c>
      <c r="T324" s="682">
        <v>100</v>
      </c>
      <c r="U324" s="682">
        <v>100</v>
      </c>
      <c r="V324" s="682"/>
      <c r="W324" s="682">
        <v>60</v>
      </c>
      <c r="X324" s="682">
        <v>100</v>
      </c>
      <c r="Y324" s="682">
        <v>100</v>
      </c>
      <c r="Z324" s="682">
        <v>100</v>
      </c>
      <c r="AA324" s="682">
        <v>100</v>
      </c>
      <c r="AB324" s="682">
        <v>100</v>
      </c>
      <c r="AC324" s="582"/>
      <c r="AD324" s="582"/>
      <c r="AE324" s="582"/>
      <c r="AF324" s="582"/>
      <c r="AG324" s="582"/>
      <c r="AH324" s="582"/>
    </row>
    <row r="325" spans="1:34" ht="38.25" customHeight="1">
      <c r="A325" s="599"/>
      <c r="B325" s="829"/>
      <c r="C325" s="595" t="s">
        <v>1736</v>
      </c>
      <c r="D325" s="587" t="s">
        <v>1476</v>
      </c>
      <c r="E325" s="682">
        <v>80</v>
      </c>
      <c r="F325" s="682"/>
      <c r="G325" s="682">
        <v>90</v>
      </c>
      <c r="H325" s="682">
        <v>100</v>
      </c>
      <c r="I325" s="682">
        <v>90</v>
      </c>
      <c r="J325" s="682">
        <v>90</v>
      </c>
      <c r="K325" s="682">
        <v>90</v>
      </c>
      <c r="L325" s="682">
        <v>100</v>
      </c>
      <c r="M325" s="682">
        <v>100</v>
      </c>
      <c r="N325" s="682">
        <v>95</v>
      </c>
      <c r="O325" s="682">
        <v>100</v>
      </c>
      <c r="P325" s="682">
        <v>90</v>
      </c>
      <c r="Q325" s="682">
        <v>100</v>
      </c>
      <c r="R325" s="682">
        <v>95</v>
      </c>
      <c r="S325" s="682">
        <v>90</v>
      </c>
      <c r="T325" s="682">
        <v>90</v>
      </c>
      <c r="U325" s="682">
        <v>95</v>
      </c>
      <c r="V325" s="682">
        <v>100</v>
      </c>
      <c r="W325" s="682">
        <v>90</v>
      </c>
      <c r="X325" s="682">
        <v>90</v>
      </c>
      <c r="Y325" s="682">
        <v>100</v>
      </c>
      <c r="Z325" s="682">
        <v>90</v>
      </c>
      <c r="AA325" s="682">
        <v>100</v>
      </c>
      <c r="AB325" s="682">
        <v>90</v>
      </c>
      <c r="AC325" s="582"/>
      <c r="AD325" s="582"/>
      <c r="AE325" s="582"/>
      <c r="AF325" s="582"/>
      <c r="AG325" s="582"/>
      <c r="AH325" s="582"/>
    </row>
    <row r="326" spans="1:34" ht="33.75" customHeight="1">
      <c r="A326" s="599"/>
      <c r="B326" s="829"/>
      <c r="C326" s="592" t="s">
        <v>1737</v>
      </c>
      <c r="D326" s="587" t="s">
        <v>1738</v>
      </c>
      <c r="E326" s="682">
        <v>100</v>
      </c>
      <c r="F326" s="682"/>
      <c r="G326" s="682">
        <v>100</v>
      </c>
      <c r="H326" s="682">
        <v>100</v>
      </c>
      <c r="I326" s="682">
        <v>100</v>
      </c>
      <c r="J326" s="682">
        <v>100</v>
      </c>
      <c r="K326" s="682">
        <v>100</v>
      </c>
      <c r="L326" s="682">
        <v>100</v>
      </c>
      <c r="M326" s="682">
        <v>100</v>
      </c>
      <c r="N326" s="682">
        <v>100</v>
      </c>
      <c r="O326" s="682">
        <v>100</v>
      </c>
      <c r="P326" s="682">
        <v>100</v>
      </c>
      <c r="Q326" s="682">
        <v>100</v>
      </c>
      <c r="R326" s="682">
        <v>100</v>
      </c>
      <c r="S326" s="682">
        <v>100</v>
      </c>
      <c r="T326" s="682">
        <v>100</v>
      </c>
      <c r="U326" s="682">
        <v>100</v>
      </c>
      <c r="V326" s="682">
        <v>80</v>
      </c>
      <c r="W326" s="682">
        <v>100</v>
      </c>
      <c r="X326" s="682">
        <v>100</v>
      </c>
      <c r="Y326" s="682">
        <v>100</v>
      </c>
      <c r="Z326" s="682">
        <v>100</v>
      </c>
      <c r="AA326" s="682">
        <v>100</v>
      </c>
      <c r="AB326" s="682">
        <v>80</v>
      </c>
      <c r="AC326" s="582"/>
      <c r="AD326" s="582"/>
      <c r="AE326" s="582"/>
      <c r="AF326" s="582"/>
      <c r="AG326" s="582"/>
      <c r="AH326" s="582"/>
    </row>
    <row r="327" spans="1:34" ht="33.75" customHeight="1">
      <c r="A327" s="599"/>
      <c r="B327" s="829"/>
      <c r="C327" s="595" t="s">
        <v>1739</v>
      </c>
      <c r="D327" s="587" t="s">
        <v>1478</v>
      </c>
      <c r="E327" s="682">
        <v>100</v>
      </c>
      <c r="F327" s="682">
        <v>95</v>
      </c>
      <c r="G327" s="682">
        <v>90</v>
      </c>
      <c r="H327" s="682">
        <v>100</v>
      </c>
      <c r="I327" s="682">
        <v>90</v>
      </c>
      <c r="J327" s="682">
        <v>100</v>
      </c>
      <c r="K327" s="682">
        <v>100</v>
      </c>
      <c r="L327" s="682">
        <v>100</v>
      </c>
      <c r="M327" s="682">
        <v>100</v>
      </c>
      <c r="N327" s="682">
        <v>100</v>
      </c>
      <c r="O327" s="682">
        <v>100</v>
      </c>
      <c r="P327" s="682">
        <v>90</v>
      </c>
      <c r="Q327" s="682">
        <v>100</v>
      </c>
      <c r="R327" s="682">
        <v>100</v>
      </c>
      <c r="S327" s="682">
        <v>90</v>
      </c>
      <c r="T327" s="682">
        <v>100</v>
      </c>
      <c r="U327" s="682">
        <v>100</v>
      </c>
      <c r="V327" s="682">
        <v>95</v>
      </c>
      <c r="W327" s="682"/>
      <c r="X327" s="682">
        <v>90</v>
      </c>
      <c r="Y327" s="682">
        <v>100</v>
      </c>
      <c r="Z327" s="682">
        <v>100</v>
      </c>
      <c r="AA327" s="682">
        <v>100</v>
      </c>
      <c r="AB327" s="682">
        <v>90</v>
      </c>
      <c r="AC327" s="582"/>
      <c r="AD327" s="582"/>
      <c r="AE327" s="582"/>
      <c r="AF327" s="582"/>
      <c r="AG327" s="582"/>
      <c r="AH327" s="582"/>
    </row>
    <row r="328" spans="1:34" ht="27" customHeight="1">
      <c r="A328" s="599"/>
      <c r="B328" s="830"/>
      <c r="C328" s="595" t="s">
        <v>1740</v>
      </c>
      <c r="D328" s="587" t="s">
        <v>1480</v>
      </c>
      <c r="E328" s="682">
        <v>100</v>
      </c>
      <c r="F328" s="682">
        <v>100</v>
      </c>
      <c r="G328" s="682">
        <v>100</v>
      </c>
      <c r="H328" s="682">
        <v>100</v>
      </c>
      <c r="I328" s="682">
        <v>90</v>
      </c>
      <c r="J328" s="682">
        <v>100</v>
      </c>
      <c r="K328" s="682">
        <v>100</v>
      </c>
      <c r="L328" s="682">
        <v>100</v>
      </c>
      <c r="M328" s="682">
        <v>80</v>
      </c>
      <c r="N328" s="682">
        <v>100</v>
      </c>
      <c r="O328" s="682">
        <v>90</v>
      </c>
      <c r="P328" s="682">
        <v>100</v>
      </c>
      <c r="Q328" s="682">
        <v>80</v>
      </c>
      <c r="R328" s="682">
        <v>70</v>
      </c>
      <c r="S328" s="682">
        <v>90</v>
      </c>
      <c r="T328" s="682">
        <v>100</v>
      </c>
      <c r="U328" s="682">
        <v>100</v>
      </c>
      <c r="V328" s="682">
        <v>100</v>
      </c>
      <c r="W328" s="682">
        <v>100</v>
      </c>
      <c r="X328" s="682">
        <v>80</v>
      </c>
      <c r="Y328" s="682">
        <v>100</v>
      </c>
      <c r="Z328" s="682">
        <v>90</v>
      </c>
      <c r="AA328" s="682">
        <v>100</v>
      </c>
      <c r="AB328" s="682">
        <v>95</v>
      </c>
      <c r="AC328" s="582"/>
      <c r="AD328" s="582"/>
      <c r="AE328" s="582"/>
      <c r="AF328" s="582"/>
      <c r="AG328" s="582"/>
      <c r="AH328" s="582"/>
    </row>
    <row r="329" spans="1:34" ht="27" hidden="1" customHeight="1">
      <c r="A329" s="599"/>
      <c r="B329" s="818">
        <v>11</v>
      </c>
      <c r="C329" s="821"/>
      <c r="D329" s="822"/>
      <c r="E329" s="602" t="str">
        <f>IF(SUM(E330:E336)&gt;0,AVERAGE(E330:E336),IF(SUM(E330:E336)=0,"",))</f>
        <v/>
      </c>
      <c r="F329" s="602" t="str">
        <f t="shared" ref="F329:AG329" si="10">IF(SUM(F330:F336)&gt;0,AVERAGE(F330:F336),IF(SUM(F330:F336)=0,"",))</f>
        <v/>
      </c>
      <c r="G329" s="602" t="str">
        <f t="shared" si="10"/>
        <v/>
      </c>
      <c r="H329" s="602" t="str">
        <f t="shared" si="10"/>
        <v/>
      </c>
      <c r="I329" s="602" t="str">
        <f t="shared" si="10"/>
        <v/>
      </c>
      <c r="J329" s="602" t="str">
        <f t="shared" si="10"/>
        <v/>
      </c>
      <c r="K329" s="602" t="str">
        <f t="shared" si="10"/>
        <v/>
      </c>
      <c r="L329" s="602" t="str">
        <f t="shared" si="10"/>
        <v/>
      </c>
      <c r="M329" s="602" t="str">
        <f t="shared" si="10"/>
        <v/>
      </c>
      <c r="N329" s="602" t="str">
        <f t="shared" si="10"/>
        <v/>
      </c>
      <c r="O329" s="602" t="str">
        <f t="shared" si="10"/>
        <v/>
      </c>
      <c r="P329" s="602" t="str">
        <f t="shared" si="10"/>
        <v/>
      </c>
      <c r="Q329" s="602" t="str">
        <f t="shared" si="10"/>
        <v/>
      </c>
      <c r="R329" s="602" t="str">
        <f t="shared" si="10"/>
        <v/>
      </c>
      <c r="S329" s="602" t="str">
        <f t="shared" si="10"/>
        <v/>
      </c>
      <c r="T329" s="602" t="str">
        <f t="shared" si="10"/>
        <v/>
      </c>
      <c r="U329" s="602" t="str">
        <f t="shared" si="10"/>
        <v/>
      </c>
      <c r="V329" s="602" t="str">
        <f t="shared" si="10"/>
        <v/>
      </c>
      <c r="W329" s="602" t="str">
        <f t="shared" si="10"/>
        <v/>
      </c>
      <c r="X329" s="602" t="str">
        <f t="shared" si="10"/>
        <v/>
      </c>
      <c r="Y329" s="602" t="str">
        <f t="shared" si="10"/>
        <v/>
      </c>
      <c r="Z329" s="602" t="str">
        <f t="shared" si="10"/>
        <v/>
      </c>
      <c r="AA329" s="602" t="str">
        <f t="shared" si="10"/>
        <v/>
      </c>
      <c r="AB329" s="602" t="str">
        <f t="shared" si="10"/>
        <v/>
      </c>
      <c r="AC329" s="602" t="str">
        <f t="shared" si="10"/>
        <v/>
      </c>
      <c r="AD329" s="602" t="str">
        <f t="shared" si="10"/>
        <v/>
      </c>
      <c r="AE329" s="602" t="str">
        <f t="shared" si="10"/>
        <v/>
      </c>
      <c r="AF329" s="602" t="str">
        <f t="shared" si="10"/>
        <v/>
      </c>
      <c r="AG329" s="602" t="str">
        <f t="shared" si="10"/>
        <v/>
      </c>
      <c r="AH329" s="602" t="str">
        <f>IF(SUM(AH330:AH336)&gt;0,AVERAGE(AH330:AH336),IF(SUM(AH330:AH336)=0,"",))</f>
        <v/>
      </c>
    </row>
    <row r="330" spans="1:34" ht="27" hidden="1" customHeight="1">
      <c r="A330" s="599"/>
      <c r="B330" s="819"/>
      <c r="C330" s="603"/>
      <c r="D330" s="604"/>
      <c r="E330" s="605"/>
      <c r="F330" s="605"/>
      <c r="G330" s="605"/>
      <c r="H330" s="605"/>
      <c r="I330" s="605"/>
      <c r="J330" s="605"/>
      <c r="K330" s="605"/>
      <c r="L330" s="605"/>
      <c r="M330" s="605"/>
      <c r="N330" s="605"/>
      <c r="O330" s="605"/>
      <c r="P330" s="605"/>
      <c r="Q330" s="605"/>
      <c r="R330" s="605"/>
      <c r="S330" s="605"/>
      <c r="T330" s="605"/>
      <c r="U330" s="605"/>
      <c r="V330" s="605"/>
      <c r="W330" s="605"/>
      <c r="X330" s="605"/>
      <c r="Y330" s="605"/>
      <c r="Z330" s="605"/>
      <c r="AA330" s="605"/>
      <c r="AB330" s="606"/>
      <c r="AC330" s="606"/>
      <c r="AD330" s="606"/>
      <c r="AE330" s="606"/>
      <c r="AF330" s="606"/>
      <c r="AG330" s="606"/>
      <c r="AH330" s="606"/>
    </row>
    <row r="331" spans="1:34" ht="27" hidden="1" customHeight="1">
      <c r="A331" s="599"/>
      <c r="B331" s="819"/>
      <c r="C331" s="603" t="s">
        <v>216</v>
      </c>
      <c r="D331" s="604"/>
      <c r="E331" s="605"/>
      <c r="F331" s="605"/>
      <c r="G331" s="605"/>
      <c r="H331" s="605"/>
      <c r="I331" s="605"/>
      <c r="J331" s="605"/>
      <c r="K331" s="605"/>
      <c r="L331" s="605"/>
      <c r="M331" s="605"/>
      <c r="N331" s="605"/>
      <c r="O331" s="605"/>
      <c r="P331" s="605"/>
      <c r="Q331" s="605"/>
      <c r="R331" s="605"/>
      <c r="S331" s="605"/>
      <c r="T331" s="605"/>
      <c r="U331" s="605"/>
      <c r="V331" s="605"/>
      <c r="W331" s="605"/>
      <c r="X331" s="605"/>
      <c r="Y331" s="605"/>
      <c r="Z331" s="605"/>
      <c r="AA331" s="605"/>
      <c r="AB331" s="605"/>
      <c r="AC331" s="605"/>
      <c r="AD331" s="605"/>
      <c r="AE331" s="605"/>
      <c r="AF331" s="605"/>
      <c r="AG331" s="605"/>
      <c r="AH331" s="605"/>
    </row>
    <row r="332" spans="1:34" ht="27" hidden="1" customHeight="1">
      <c r="A332" s="599"/>
      <c r="B332" s="819"/>
      <c r="C332" s="603" t="s">
        <v>217</v>
      </c>
      <c r="D332" s="604"/>
      <c r="E332" s="605"/>
      <c r="F332" s="605"/>
      <c r="G332" s="605"/>
      <c r="H332" s="605"/>
      <c r="I332" s="605"/>
      <c r="J332" s="605"/>
      <c r="K332" s="605"/>
      <c r="L332" s="605"/>
      <c r="M332" s="605"/>
      <c r="N332" s="605"/>
      <c r="O332" s="605"/>
      <c r="P332" s="605"/>
      <c r="Q332" s="605"/>
      <c r="R332" s="605"/>
      <c r="S332" s="605"/>
      <c r="T332" s="605"/>
      <c r="U332" s="605"/>
      <c r="V332" s="605"/>
      <c r="W332" s="605"/>
      <c r="X332" s="605"/>
      <c r="Y332" s="605"/>
      <c r="Z332" s="605"/>
      <c r="AA332" s="605"/>
      <c r="AB332" s="605"/>
      <c r="AC332" s="605"/>
      <c r="AD332" s="605"/>
      <c r="AE332" s="605"/>
      <c r="AF332" s="605"/>
      <c r="AG332" s="605"/>
      <c r="AH332" s="605"/>
    </row>
    <row r="333" spans="1:34" ht="27" hidden="1" customHeight="1">
      <c r="A333" s="599"/>
      <c r="B333" s="819"/>
      <c r="C333" s="603" t="s">
        <v>218</v>
      </c>
      <c r="D333" s="604"/>
      <c r="E333" s="605"/>
      <c r="F333" s="605"/>
      <c r="G333" s="605"/>
      <c r="H333" s="605"/>
      <c r="I333" s="605"/>
      <c r="J333" s="605"/>
      <c r="K333" s="605"/>
      <c r="L333" s="605"/>
      <c r="M333" s="605"/>
      <c r="N333" s="605"/>
      <c r="O333" s="605"/>
      <c r="P333" s="605"/>
      <c r="Q333" s="605"/>
      <c r="R333" s="605"/>
      <c r="S333" s="605"/>
      <c r="T333" s="605"/>
      <c r="U333" s="605"/>
      <c r="V333" s="605"/>
      <c r="W333" s="605"/>
      <c r="X333" s="605"/>
      <c r="Y333" s="605"/>
      <c r="Z333" s="605"/>
      <c r="AA333" s="605"/>
      <c r="AB333" s="605"/>
      <c r="AC333" s="605"/>
      <c r="AD333" s="605"/>
      <c r="AE333" s="605"/>
      <c r="AF333" s="605"/>
      <c r="AG333" s="605"/>
      <c r="AH333" s="605"/>
    </row>
    <row r="334" spans="1:34" ht="27" hidden="1" customHeight="1">
      <c r="A334" s="599"/>
      <c r="B334" s="819"/>
      <c r="C334" s="603" t="s">
        <v>219</v>
      </c>
      <c r="D334" s="604"/>
      <c r="E334" s="605"/>
      <c r="F334" s="605"/>
      <c r="G334" s="605"/>
      <c r="H334" s="605"/>
      <c r="I334" s="605"/>
      <c r="J334" s="605"/>
      <c r="K334" s="605"/>
      <c r="L334" s="605"/>
      <c r="M334" s="605"/>
      <c r="N334" s="605"/>
      <c r="O334" s="605"/>
      <c r="P334" s="605"/>
      <c r="Q334" s="605"/>
      <c r="R334" s="605"/>
      <c r="S334" s="605"/>
      <c r="T334" s="605"/>
      <c r="U334" s="605"/>
      <c r="V334" s="605"/>
      <c r="W334" s="605"/>
      <c r="X334" s="605"/>
      <c r="Y334" s="605"/>
      <c r="Z334" s="605"/>
      <c r="AA334" s="605"/>
      <c r="AB334" s="605"/>
      <c r="AC334" s="605"/>
      <c r="AD334" s="605"/>
      <c r="AE334" s="605"/>
      <c r="AF334" s="605"/>
      <c r="AG334" s="605"/>
      <c r="AH334" s="605"/>
    </row>
    <row r="335" spans="1:34" ht="27" hidden="1" customHeight="1">
      <c r="A335" s="599"/>
      <c r="B335" s="819"/>
      <c r="C335" s="603" t="s">
        <v>220</v>
      </c>
      <c r="D335" s="604"/>
      <c r="E335" s="605"/>
      <c r="F335" s="605"/>
      <c r="G335" s="605"/>
      <c r="H335" s="605"/>
      <c r="I335" s="605"/>
      <c r="J335" s="605"/>
      <c r="K335" s="605"/>
      <c r="L335" s="605"/>
      <c r="M335" s="605"/>
      <c r="N335" s="605"/>
      <c r="O335" s="605"/>
      <c r="P335" s="605"/>
      <c r="Q335" s="605"/>
      <c r="R335" s="605"/>
      <c r="S335" s="605"/>
      <c r="T335" s="605"/>
      <c r="U335" s="605"/>
      <c r="V335" s="605"/>
      <c r="W335" s="605"/>
      <c r="X335" s="605"/>
      <c r="Y335" s="605"/>
      <c r="Z335" s="605"/>
      <c r="AA335" s="605"/>
      <c r="AB335" s="605"/>
      <c r="AC335" s="605"/>
      <c r="AD335" s="605"/>
      <c r="AE335" s="605"/>
      <c r="AF335" s="605"/>
      <c r="AG335" s="605"/>
      <c r="AH335" s="605"/>
    </row>
    <row r="336" spans="1:34" ht="27" hidden="1" customHeight="1">
      <c r="A336" s="599"/>
      <c r="B336" s="820"/>
      <c r="C336" s="603" t="s">
        <v>221</v>
      </c>
      <c r="D336" s="604"/>
      <c r="E336" s="605"/>
      <c r="F336" s="605"/>
      <c r="G336" s="605"/>
      <c r="H336" s="605"/>
      <c r="I336" s="605"/>
      <c r="J336" s="605"/>
      <c r="K336" s="605"/>
      <c r="L336" s="605"/>
      <c r="M336" s="605"/>
      <c r="N336" s="605"/>
      <c r="O336" s="605"/>
      <c r="P336" s="605"/>
      <c r="Q336" s="605"/>
      <c r="R336" s="605"/>
      <c r="S336" s="605"/>
      <c r="T336" s="605"/>
      <c r="U336" s="605"/>
      <c r="V336" s="605"/>
      <c r="W336" s="605"/>
      <c r="X336" s="605"/>
      <c r="Y336" s="605"/>
      <c r="Z336" s="605"/>
      <c r="AA336" s="605"/>
      <c r="AB336" s="605"/>
      <c r="AC336" s="605"/>
      <c r="AD336" s="605"/>
      <c r="AE336" s="605"/>
      <c r="AF336" s="605"/>
      <c r="AG336" s="605"/>
      <c r="AH336" s="605"/>
    </row>
    <row r="337" spans="1:34" ht="27" hidden="1" customHeight="1">
      <c r="A337" s="599"/>
      <c r="B337" s="818">
        <v>12</v>
      </c>
      <c r="C337" s="821"/>
      <c r="D337" s="822"/>
      <c r="E337" s="602" t="str">
        <f>IF(SUM(E338:E344)&gt;0,AVERAGE(E338:E344),IF(SUM(E338:E344)=0,"",))</f>
        <v/>
      </c>
      <c r="F337" s="602" t="str">
        <f t="shared" ref="F337:AG337" si="11">IF(SUM(F338:F344)&gt;0,AVERAGE(F338:F344),IF(SUM(F338:F344)=0,"",))</f>
        <v/>
      </c>
      <c r="G337" s="602" t="str">
        <f t="shared" si="11"/>
        <v/>
      </c>
      <c r="H337" s="602" t="str">
        <f t="shared" si="11"/>
        <v/>
      </c>
      <c r="I337" s="602" t="str">
        <f t="shared" si="11"/>
        <v/>
      </c>
      <c r="J337" s="602" t="str">
        <f t="shared" si="11"/>
        <v/>
      </c>
      <c r="K337" s="602" t="str">
        <f t="shared" si="11"/>
        <v/>
      </c>
      <c r="L337" s="602" t="str">
        <f t="shared" si="11"/>
        <v/>
      </c>
      <c r="M337" s="602" t="str">
        <f t="shared" si="11"/>
        <v/>
      </c>
      <c r="N337" s="602" t="str">
        <f t="shared" si="11"/>
        <v/>
      </c>
      <c r="O337" s="602" t="str">
        <f t="shared" si="11"/>
        <v/>
      </c>
      <c r="P337" s="602" t="str">
        <f t="shared" si="11"/>
        <v/>
      </c>
      <c r="Q337" s="602" t="str">
        <f t="shared" si="11"/>
        <v/>
      </c>
      <c r="R337" s="602" t="str">
        <f t="shared" si="11"/>
        <v/>
      </c>
      <c r="S337" s="602" t="str">
        <f t="shared" si="11"/>
        <v/>
      </c>
      <c r="T337" s="602" t="str">
        <f t="shared" si="11"/>
        <v/>
      </c>
      <c r="U337" s="602" t="str">
        <f t="shared" si="11"/>
        <v/>
      </c>
      <c r="V337" s="602" t="str">
        <f t="shared" si="11"/>
        <v/>
      </c>
      <c r="W337" s="602" t="str">
        <f t="shared" si="11"/>
        <v/>
      </c>
      <c r="X337" s="602" t="str">
        <f t="shared" si="11"/>
        <v/>
      </c>
      <c r="Y337" s="602" t="str">
        <f t="shared" si="11"/>
        <v/>
      </c>
      <c r="Z337" s="602" t="str">
        <f t="shared" si="11"/>
        <v/>
      </c>
      <c r="AA337" s="602" t="str">
        <f t="shared" si="11"/>
        <v/>
      </c>
      <c r="AB337" s="602" t="str">
        <f t="shared" si="11"/>
        <v/>
      </c>
      <c r="AC337" s="602" t="str">
        <f t="shared" si="11"/>
        <v/>
      </c>
      <c r="AD337" s="602" t="str">
        <f t="shared" si="11"/>
        <v/>
      </c>
      <c r="AE337" s="602" t="str">
        <f t="shared" si="11"/>
        <v/>
      </c>
      <c r="AF337" s="602" t="str">
        <f t="shared" si="11"/>
        <v/>
      </c>
      <c r="AG337" s="602" t="str">
        <f t="shared" si="11"/>
        <v/>
      </c>
      <c r="AH337" s="602" t="str">
        <f>IF(SUM(AH338:AH344)&gt;0,AVERAGE(AH338:AH344),IF(SUM(AH338:AH344)=0,"",))</f>
        <v/>
      </c>
    </row>
    <row r="338" spans="1:34" ht="27" hidden="1" customHeight="1">
      <c r="A338" s="599"/>
      <c r="B338" s="819"/>
      <c r="C338" s="603"/>
      <c r="D338" s="604"/>
      <c r="E338" s="605"/>
      <c r="F338" s="605"/>
      <c r="G338" s="605"/>
      <c r="H338" s="605"/>
      <c r="I338" s="605"/>
      <c r="J338" s="605"/>
      <c r="K338" s="605"/>
      <c r="L338" s="605"/>
      <c r="M338" s="605"/>
      <c r="N338" s="605"/>
      <c r="O338" s="605"/>
      <c r="P338" s="605"/>
      <c r="Q338" s="605"/>
      <c r="R338" s="605"/>
      <c r="S338" s="605"/>
      <c r="T338" s="605"/>
      <c r="U338" s="605"/>
      <c r="V338" s="605"/>
      <c r="W338" s="605"/>
      <c r="X338" s="605"/>
      <c r="Y338" s="605"/>
      <c r="Z338" s="605"/>
      <c r="AA338" s="605"/>
      <c r="AB338" s="605"/>
      <c r="AC338" s="605"/>
      <c r="AD338" s="605"/>
      <c r="AE338" s="605"/>
      <c r="AF338" s="605"/>
      <c r="AG338" s="605"/>
      <c r="AH338" s="605"/>
    </row>
    <row r="339" spans="1:34" ht="27" hidden="1" customHeight="1">
      <c r="A339" s="599"/>
      <c r="B339" s="819"/>
      <c r="C339" s="603"/>
      <c r="D339" s="604"/>
      <c r="E339" s="605"/>
      <c r="F339" s="605"/>
      <c r="G339" s="605"/>
      <c r="H339" s="605"/>
      <c r="I339" s="605"/>
      <c r="J339" s="605"/>
      <c r="K339" s="605"/>
      <c r="L339" s="605"/>
      <c r="M339" s="605"/>
      <c r="N339" s="605"/>
      <c r="O339" s="605"/>
      <c r="P339" s="605"/>
      <c r="Q339" s="605"/>
      <c r="R339" s="605"/>
      <c r="S339" s="605"/>
      <c r="T339" s="605"/>
      <c r="U339" s="605"/>
      <c r="V339" s="605"/>
      <c r="W339" s="605"/>
      <c r="X339" s="605"/>
      <c r="Y339" s="605"/>
      <c r="Z339" s="605"/>
      <c r="AA339" s="605"/>
      <c r="AB339" s="605"/>
      <c r="AC339" s="605"/>
      <c r="AD339" s="605"/>
      <c r="AE339" s="605"/>
      <c r="AF339" s="605"/>
      <c r="AG339" s="605"/>
      <c r="AH339" s="605"/>
    </row>
    <row r="340" spans="1:34" ht="27" hidden="1" customHeight="1">
      <c r="A340" s="599"/>
      <c r="B340" s="819"/>
      <c r="C340" s="603"/>
      <c r="D340" s="604"/>
      <c r="E340" s="605"/>
      <c r="F340" s="605"/>
      <c r="G340" s="605"/>
      <c r="H340" s="605"/>
      <c r="I340" s="605"/>
      <c r="J340" s="605"/>
      <c r="K340" s="605"/>
      <c r="L340" s="605"/>
      <c r="M340" s="605"/>
      <c r="N340" s="605"/>
      <c r="O340" s="605"/>
      <c r="P340" s="605"/>
      <c r="Q340" s="605"/>
      <c r="R340" s="605"/>
      <c r="S340" s="605"/>
      <c r="T340" s="605"/>
      <c r="U340" s="605"/>
      <c r="V340" s="605"/>
      <c r="W340" s="605"/>
      <c r="X340" s="605"/>
      <c r="Y340" s="605"/>
      <c r="Z340" s="605"/>
      <c r="AA340" s="605"/>
      <c r="AB340" s="605"/>
      <c r="AC340" s="605"/>
      <c r="AD340" s="605"/>
      <c r="AE340" s="605"/>
      <c r="AF340" s="605"/>
      <c r="AG340" s="605"/>
      <c r="AH340" s="605"/>
    </row>
    <row r="341" spans="1:34" ht="27" hidden="1" customHeight="1">
      <c r="A341" s="599"/>
      <c r="B341" s="819"/>
      <c r="C341" s="603" t="s">
        <v>225</v>
      </c>
      <c r="D341" s="604"/>
      <c r="E341" s="605"/>
      <c r="F341" s="605"/>
      <c r="G341" s="605"/>
      <c r="H341" s="605"/>
      <c r="I341" s="605"/>
      <c r="J341" s="605"/>
      <c r="K341" s="605"/>
      <c r="L341" s="605"/>
      <c r="M341" s="605"/>
      <c r="N341" s="605"/>
      <c r="O341" s="605"/>
      <c r="P341" s="605"/>
      <c r="Q341" s="605"/>
      <c r="R341" s="605"/>
      <c r="S341" s="605"/>
      <c r="T341" s="605"/>
      <c r="U341" s="605"/>
      <c r="V341" s="605"/>
      <c r="W341" s="605"/>
      <c r="X341" s="605"/>
      <c r="Y341" s="605"/>
      <c r="Z341" s="605"/>
      <c r="AA341" s="605"/>
      <c r="AB341" s="605"/>
      <c r="AC341" s="605"/>
      <c r="AD341" s="605"/>
      <c r="AE341" s="605"/>
      <c r="AF341" s="605"/>
      <c r="AG341" s="605"/>
      <c r="AH341" s="605"/>
    </row>
    <row r="342" spans="1:34" ht="27" hidden="1" customHeight="1">
      <c r="A342" s="599"/>
      <c r="B342" s="819"/>
      <c r="C342" s="603" t="s">
        <v>226</v>
      </c>
      <c r="D342" s="604"/>
      <c r="E342" s="605"/>
      <c r="F342" s="605"/>
      <c r="G342" s="605"/>
      <c r="H342" s="605"/>
      <c r="I342" s="605"/>
      <c r="J342" s="605"/>
      <c r="K342" s="605"/>
      <c r="L342" s="605"/>
      <c r="M342" s="605"/>
      <c r="N342" s="605"/>
      <c r="O342" s="605"/>
      <c r="P342" s="605"/>
      <c r="Q342" s="605"/>
      <c r="R342" s="605"/>
      <c r="S342" s="605"/>
      <c r="T342" s="605"/>
      <c r="U342" s="605"/>
      <c r="V342" s="605"/>
      <c r="W342" s="605"/>
      <c r="X342" s="605"/>
      <c r="Y342" s="605"/>
      <c r="Z342" s="605"/>
      <c r="AA342" s="605"/>
      <c r="AB342" s="605"/>
      <c r="AC342" s="605"/>
      <c r="AD342" s="605"/>
      <c r="AE342" s="605"/>
      <c r="AF342" s="605"/>
      <c r="AG342" s="605"/>
      <c r="AH342" s="605"/>
    </row>
    <row r="343" spans="1:34" ht="27" hidden="1" customHeight="1">
      <c r="A343" s="599"/>
      <c r="B343" s="819"/>
      <c r="C343" s="603" t="s">
        <v>227</v>
      </c>
      <c r="D343" s="604"/>
      <c r="E343" s="605"/>
      <c r="F343" s="605"/>
      <c r="G343" s="605"/>
      <c r="H343" s="605"/>
      <c r="I343" s="605"/>
      <c r="J343" s="605"/>
      <c r="K343" s="605"/>
      <c r="L343" s="605"/>
      <c r="M343" s="605"/>
      <c r="N343" s="605"/>
      <c r="O343" s="605"/>
      <c r="P343" s="605"/>
      <c r="Q343" s="605"/>
      <c r="R343" s="605"/>
      <c r="S343" s="605"/>
      <c r="T343" s="605"/>
      <c r="U343" s="605"/>
      <c r="V343" s="605"/>
      <c r="W343" s="605"/>
      <c r="X343" s="605"/>
      <c r="Y343" s="605"/>
      <c r="Z343" s="605"/>
      <c r="AA343" s="605"/>
      <c r="AB343" s="605"/>
      <c r="AC343" s="605"/>
      <c r="AD343" s="605"/>
      <c r="AE343" s="605"/>
      <c r="AF343" s="605"/>
      <c r="AG343" s="605"/>
      <c r="AH343" s="605"/>
    </row>
    <row r="344" spans="1:34" ht="27" hidden="1" customHeight="1">
      <c r="A344" s="599"/>
      <c r="B344" s="820"/>
      <c r="C344" s="603" t="s">
        <v>228</v>
      </c>
      <c r="D344" s="604"/>
      <c r="E344" s="605"/>
      <c r="F344" s="605"/>
      <c r="G344" s="605"/>
      <c r="H344" s="605"/>
      <c r="I344" s="605"/>
      <c r="J344" s="605"/>
      <c r="K344" s="605"/>
      <c r="L344" s="605"/>
      <c r="M344" s="605"/>
      <c r="N344" s="605"/>
      <c r="O344" s="605"/>
      <c r="P344" s="605"/>
      <c r="Q344" s="605"/>
      <c r="R344" s="605"/>
      <c r="S344" s="605"/>
      <c r="T344" s="605"/>
      <c r="U344" s="605"/>
      <c r="V344" s="605"/>
      <c r="W344" s="605"/>
      <c r="X344" s="605"/>
      <c r="Y344" s="605"/>
      <c r="Z344" s="605"/>
      <c r="AA344" s="605"/>
      <c r="AB344" s="605"/>
      <c r="AC344" s="605"/>
      <c r="AD344" s="605"/>
      <c r="AE344" s="605"/>
      <c r="AF344" s="605"/>
      <c r="AG344" s="605"/>
      <c r="AH344" s="605"/>
    </row>
    <row r="345" spans="1:34" ht="27" hidden="1" customHeight="1">
      <c r="A345" s="599"/>
      <c r="B345" s="818">
        <v>13</v>
      </c>
      <c r="C345" s="821"/>
      <c r="D345" s="822"/>
      <c r="E345" s="602" t="str">
        <f>IF(SUM(E346:E352)&gt;0,AVERAGE(E346:E352),IF(SUM(E346:E352)=0,"",))</f>
        <v/>
      </c>
      <c r="F345" s="602" t="str">
        <f t="shared" ref="F345:AH345" si="12">IF(SUM(F346:F352)&gt;0,AVERAGE(F346:F352),IF(SUM(F346:F352)=0,"",))</f>
        <v/>
      </c>
      <c r="G345" s="602" t="str">
        <f t="shared" si="12"/>
        <v/>
      </c>
      <c r="H345" s="602" t="str">
        <f t="shared" si="12"/>
        <v/>
      </c>
      <c r="I345" s="602" t="str">
        <f t="shared" si="12"/>
        <v/>
      </c>
      <c r="J345" s="602" t="str">
        <f t="shared" si="12"/>
        <v/>
      </c>
      <c r="K345" s="602" t="str">
        <f t="shared" si="12"/>
        <v/>
      </c>
      <c r="L345" s="602" t="str">
        <f t="shared" si="12"/>
        <v/>
      </c>
      <c r="M345" s="602" t="str">
        <f t="shared" si="12"/>
        <v/>
      </c>
      <c r="N345" s="602" t="str">
        <f t="shared" si="12"/>
        <v/>
      </c>
      <c r="O345" s="602" t="str">
        <f t="shared" si="12"/>
        <v/>
      </c>
      <c r="P345" s="602" t="str">
        <f t="shared" si="12"/>
        <v/>
      </c>
      <c r="Q345" s="602" t="str">
        <f t="shared" si="12"/>
        <v/>
      </c>
      <c r="R345" s="602" t="str">
        <f t="shared" si="12"/>
        <v/>
      </c>
      <c r="S345" s="602" t="str">
        <f t="shared" si="12"/>
        <v/>
      </c>
      <c r="T345" s="602" t="str">
        <f t="shared" si="12"/>
        <v/>
      </c>
      <c r="U345" s="602" t="str">
        <f t="shared" si="12"/>
        <v/>
      </c>
      <c r="V345" s="602" t="str">
        <f t="shared" si="12"/>
        <v/>
      </c>
      <c r="W345" s="602" t="str">
        <f t="shared" si="12"/>
        <v/>
      </c>
      <c r="X345" s="602" t="str">
        <f t="shared" si="12"/>
        <v/>
      </c>
      <c r="Y345" s="602" t="str">
        <f t="shared" si="12"/>
        <v/>
      </c>
      <c r="Z345" s="602" t="str">
        <f t="shared" si="12"/>
        <v/>
      </c>
      <c r="AA345" s="602" t="str">
        <f t="shared" si="12"/>
        <v/>
      </c>
      <c r="AB345" s="602" t="str">
        <f t="shared" si="12"/>
        <v/>
      </c>
      <c r="AC345" s="602" t="str">
        <f t="shared" si="12"/>
        <v/>
      </c>
      <c r="AD345" s="602" t="str">
        <f t="shared" si="12"/>
        <v/>
      </c>
      <c r="AE345" s="602" t="str">
        <f t="shared" si="12"/>
        <v/>
      </c>
      <c r="AF345" s="602" t="str">
        <f t="shared" si="12"/>
        <v/>
      </c>
      <c r="AG345" s="602" t="str">
        <f t="shared" si="12"/>
        <v/>
      </c>
      <c r="AH345" s="602" t="str">
        <f t="shared" si="12"/>
        <v/>
      </c>
    </row>
    <row r="346" spans="1:34" ht="27" hidden="1" customHeight="1">
      <c r="A346" s="599"/>
      <c r="B346" s="819"/>
      <c r="C346" s="603"/>
      <c r="D346" s="604"/>
      <c r="E346" s="605"/>
      <c r="F346" s="605"/>
      <c r="G346" s="605"/>
      <c r="H346" s="605"/>
      <c r="I346" s="605"/>
      <c r="J346" s="605"/>
      <c r="K346" s="605"/>
      <c r="L346" s="605"/>
      <c r="M346" s="605"/>
      <c r="N346" s="605"/>
      <c r="O346" s="605"/>
      <c r="P346" s="605"/>
      <c r="Q346" s="605"/>
      <c r="R346" s="605"/>
      <c r="S346" s="605"/>
      <c r="T346" s="605"/>
      <c r="U346" s="605"/>
      <c r="V346" s="605"/>
      <c r="W346" s="605"/>
      <c r="X346" s="605"/>
      <c r="Y346" s="605"/>
      <c r="Z346" s="605"/>
      <c r="AA346" s="605"/>
      <c r="AB346" s="605"/>
      <c r="AC346" s="605"/>
      <c r="AD346" s="605"/>
      <c r="AE346" s="605"/>
      <c r="AF346" s="605"/>
      <c r="AG346" s="605"/>
      <c r="AH346" s="605"/>
    </row>
    <row r="347" spans="1:34" ht="27" hidden="1" customHeight="1">
      <c r="A347" s="599"/>
      <c r="B347" s="819"/>
      <c r="C347" s="603"/>
      <c r="D347" s="604"/>
      <c r="E347" s="605"/>
      <c r="F347" s="605"/>
      <c r="G347" s="605"/>
      <c r="H347" s="605"/>
      <c r="I347" s="605"/>
      <c r="J347" s="605"/>
      <c r="K347" s="605"/>
      <c r="L347" s="605"/>
      <c r="M347" s="605"/>
      <c r="N347" s="605"/>
      <c r="O347" s="605"/>
      <c r="P347" s="605"/>
      <c r="Q347" s="605"/>
      <c r="R347" s="605"/>
      <c r="S347" s="605"/>
      <c r="T347" s="605"/>
      <c r="U347" s="605"/>
      <c r="V347" s="605"/>
      <c r="W347" s="605"/>
      <c r="X347" s="605"/>
      <c r="Y347" s="605"/>
      <c r="Z347" s="605"/>
      <c r="AA347" s="605"/>
      <c r="AB347" s="605"/>
      <c r="AC347" s="605"/>
      <c r="AD347" s="605"/>
      <c r="AE347" s="605"/>
      <c r="AF347" s="605"/>
      <c r="AG347" s="605"/>
      <c r="AH347" s="605"/>
    </row>
    <row r="348" spans="1:34" ht="27" hidden="1" customHeight="1">
      <c r="A348" s="599"/>
      <c r="B348" s="819"/>
      <c r="C348" s="603" t="s">
        <v>231</v>
      </c>
      <c r="D348" s="604"/>
      <c r="E348" s="605"/>
      <c r="F348" s="605"/>
      <c r="G348" s="605"/>
      <c r="H348" s="605"/>
      <c r="I348" s="605"/>
      <c r="J348" s="605"/>
      <c r="K348" s="605"/>
      <c r="L348" s="605"/>
      <c r="M348" s="605"/>
      <c r="N348" s="605"/>
      <c r="O348" s="605"/>
      <c r="P348" s="605"/>
      <c r="Q348" s="605"/>
      <c r="R348" s="605"/>
      <c r="S348" s="605"/>
      <c r="T348" s="605"/>
      <c r="U348" s="605"/>
      <c r="V348" s="605"/>
      <c r="W348" s="605"/>
      <c r="X348" s="605"/>
      <c r="Y348" s="605"/>
      <c r="Z348" s="605"/>
      <c r="AA348" s="605"/>
      <c r="AB348" s="605"/>
      <c r="AC348" s="605"/>
      <c r="AD348" s="605"/>
      <c r="AE348" s="605"/>
      <c r="AF348" s="605"/>
      <c r="AG348" s="605"/>
      <c r="AH348" s="605"/>
    </row>
    <row r="349" spans="1:34" ht="27" hidden="1" customHeight="1">
      <c r="A349" s="599"/>
      <c r="B349" s="819"/>
      <c r="C349" s="603" t="s">
        <v>232</v>
      </c>
      <c r="D349" s="604"/>
      <c r="E349" s="605"/>
      <c r="F349" s="605"/>
      <c r="G349" s="605"/>
      <c r="H349" s="605"/>
      <c r="I349" s="605"/>
      <c r="J349" s="605"/>
      <c r="K349" s="605"/>
      <c r="L349" s="605"/>
      <c r="M349" s="605"/>
      <c r="N349" s="605"/>
      <c r="O349" s="605"/>
      <c r="P349" s="605"/>
      <c r="Q349" s="605"/>
      <c r="R349" s="605"/>
      <c r="S349" s="605"/>
      <c r="T349" s="605"/>
      <c r="U349" s="605"/>
      <c r="V349" s="605"/>
      <c r="W349" s="605"/>
      <c r="X349" s="605"/>
      <c r="Y349" s="605"/>
      <c r="Z349" s="605"/>
      <c r="AA349" s="605"/>
      <c r="AB349" s="605"/>
      <c r="AC349" s="605"/>
      <c r="AD349" s="605"/>
      <c r="AE349" s="605"/>
      <c r="AF349" s="605"/>
      <c r="AG349" s="605"/>
      <c r="AH349" s="605"/>
    </row>
    <row r="350" spans="1:34" ht="27" hidden="1" customHeight="1">
      <c r="A350" s="599"/>
      <c r="B350" s="819"/>
      <c r="C350" s="603" t="s">
        <v>233</v>
      </c>
      <c r="D350" s="604"/>
      <c r="E350" s="605"/>
      <c r="F350" s="605"/>
      <c r="G350" s="605"/>
      <c r="H350" s="605"/>
      <c r="I350" s="605"/>
      <c r="J350" s="605"/>
      <c r="K350" s="605"/>
      <c r="L350" s="605"/>
      <c r="M350" s="605"/>
      <c r="N350" s="605"/>
      <c r="O350" s="605"/>
      <c r="P350" s="605"/>
      <c r="Q350" s="605"/>
      <c r="R350" s="605"/>
      <c r="S350" s="605"/>
      <c r="T350" s="605"/>
      <c r="U350" s="605"/>
      <c r="V350" s="605"/>
      <c r="W350" s="605"/>
      <c r="X350" s="605"/>
      <c r="Y350" s="605"/>
      <c r="Z350" s="605"/>
      <c r="AA350" s="605"/>
      <c r="AB350" s="605"/>
      <c r="AC350" s="605"/>
      <c r="AD350" s="605"/>
      <c r="AE350" s="605"/>
      <c r="AF350" s="605"/>
      <c r="AG350" s="605"/>
      <c r="AH350" s="605"/>
    </row>
    <row r="351" spans="1:34" ht="27" hidden="1" customHeight="1">
      <c r="A351" s="599"/>
      <c r="B351" s="819"/>
      <c r="C351" s="603" t="s">
        <v>234</v>
      </c>
      <c r="D351" s="604"/>
      <c r="E351" s="605"/>
      <c r="F351" s="605"/>
      <c r="G351" s="605"/>
      <c r="H351" s="605"/>
      <c r="I351" s="605"/>
      <c r="J351" s="605"/>
      <c r="K351" s="605"/>
      <c r="L351" s="605"/>
      <c r="M351" s="605"/>
      <c r="N351" s="605"/>
      <c r="O351" s="605"/>
      <c r="P351" s="605"/>
      <c r="Q351" s="605"/>
      <c r="R351" s="605"/>
      <c r="S351" s="605"/>
      <c r="T351" s="605"/>
      <c r="U351" s="605"/>
      <c r="V351" s="605"/>
      <c r="W351" s="605"/>
      <c r="X351" s="605"/>
      <c r="Y351" s="605"/>
      <c r="Z351" s="605"/>
      <c r="AA351" s="605"/>
      <c r="AB351" s="605"/>
      <c r="AC351" s="605"/>
      <c r="AD351" s="605"/>
      <c r="AE351" s="605"/>
      <c r="AF351" s="605"/>
      <c r="AG351" s="605"/>
      <c r="AH351" s="605"/>
    </row>
    <row r="352" spans="1:34" ht="27" hidden="1" customHeight="1">
      <c r="A352" s="599"/>
      <c r="B352" s="820"/>
      <c r="C352" s="603" t="s">
        <v>235</v>
      </c>
      <c r="D352" s="604"/>
      <c r="E352" s="605"/>
      <c r="F352" s="605"/>
      <c r="G352" s="605"/>
      <c r="H352" s="605"/>
      <c r="I352" s="605"/>
      <c r="J352" s="605"/>
      <c r="K352" s="605"/>
      <c r="L352" s="605"/>
      <c r="M352" s="605"/>
      <c r="N352" s="605"/>
      <c r="O352" s="605"/>
      <c r="P352" s="605"/>
      <c r="Q352" s="605"/>
      <c r="R352" s="605"/>
      <c r="S352" s="605"/>
      <c r="T352" s="605"/>
      <c r="U352" s="605"/>
      <c r="V352" s="605"/>
      <c r="W352" s="605"/>
      <c r="X352" s="605"/>
      <c r="Y352" s="605"/>
      <c r="Z352" s="605"/>
      <c r="AA352" s="605"/>
      <c r="AB352" s="605"/>
      <c r="AC352" s="605"/>
      <c r="AD352" s="605"/>
      <c r="AE352" s="605"/>
      <c r="AF352" s="605"/>
      <c r="AG352" s="605"/>
      <c r="AH352" s="605"/>
    </row>
    <row r="353" spans="1:34" ht="27" customHeight="1">
      <c r="A353" s="599"/>
      <c r="B353" s="823" t="s">
        <v>143</v>
      </c>
      <c r="C353" s="824"/>
      <c r="D353" s="825"/>
      <c r="E353" s="607">
        <f t="shared" ref="E353:AH353" si="13">IF(SUM(E5,E65,E113,E133,E161,E192,E228,E256,E277,E305,E329,E337,E345)&gt;0,AVERAGE(E5,E65,E113,E133,E161,E192,E228,E256,E277,E305,E329,E337,E345),IF(SUM(E5,E65,E113,E133,E161,E192,E228,E256,E277,E305,E329,E337,E345)=0,"",))</f>
        <v>95.053225491631281</v>
      </c>
      <c r="F353" s="607">
        <f t="shared" si="13"/>
        <v>91.094771241830074</v>
      </c>
      <c r="G353" s="607">
        <f t="shared" si="13"/>
        <v>92.294417606011805</v>
      </c>
      <c r="H353" s="607">
        <f t="shared" si="13"/>
        <v>95.01999463231347</v>
      </c>
      <c r="I353" s="607">
        <f t="shared" si="13"/>
        <v>96.510907905835438</v>
      </c>
      <c r="J353" s="607">
        <f t="shared" si="13"/>
        <v>98.296503684184856</v>
      </c>
      <c r="K353" s="607">
        <f t="shared" si="13"/>
        <v>98.20679012345677</v>
      </c>
      <c r="L353" s="607">
        <f t="shared" si="13"/>
        <v>96.774154589371989</v>
      </c>
      <c r="M353" s="607">
        <f t="shared" si="13"/>
        <v>94.646537842190014</v>
      </c>
      <c r="N353" s="607">
        <f t="shared" si="13"/>
        <v>97.287976382179266</v>
      </c>
      <c r="O353" s="607">
        <f t="shared" si="13"/>
        <v>98.499060654857757</v>
      </c>
      <c r="P353" s="607">
        <f t="shared" si="13"/>
        <v>97.061460010735374</v>
      </c>
      <c r="Q353" s="607">
        <f t="shared" si="13"/>
        <v>96.718599033816432</v>
      </c>
      <c r="R353" s="607">
        <f t="shared" si="13"/>
        <v>95.298885415679948</v>
      </c>
      <c r="S353" s="607">
        <f t="shared" si="13"/>
        <v>90.462522045855394</v>
      </c>
      <c r="T353" s="607">
        <f t="shared" si="13"/>
        <v>95.471819645732694</v>
      </c>
      <c r="U353" s="607">
        <f t="shared" si="13"/>
        <v>98.564546430488463</v>
      </c>
      <c r="V353" s="607">
        <f t="shared" si="13"/>
        <v>93.909899547580707</v>
      </c>
      <c r="W353" s="607">
        <f t="shared" si="13"/>
        <v>93.369431025228124</v>
      </c>
      <c r="X353" s="607">
        <f t="shared" si="13"/>
        <v>91.854535695115402</v>
      </c>
      <c r="Y353" s="607">
        <f t="shared" si="13"/>
        <v>96.907139023081058</v>
      </c>
      <c r="Z353" s="607">
        <f t="shared" si="13"/>
        <v>94.974024231270619</v>
      </c>
      <c r="AA353" s="607">
        <f t="shared" si="13"/>
        <v>97.716049382716037</v>
      </c>
      <c r="AB353" s="607">
        <f t="shared" si="13"/>
        <v>93.983896940418674</v>
      </c>
      <c r="AC353" s="607" t="str">
        <f t="shared" si="13"/>
        <v/>
      </c>
      <c r="AD353" s="607" t="str">
        <f t="shared" si="13"/>
        <v/>
      </c>
      <c r="AE353" s="607" t="str">
        <f t="shared" si="13"/>
        <v/>
      </c>
      <c r="AF353" s="607" t="str">
        <f t="shared" si="13"/>
        <v/>
      </c>
      <c r="AG353" s="607" t="str">
        <f t="shared" si="13"/>
        <v/>
      </c>
      <c r="AH353" s="607" t="str">
        <f t="shared" si="13"/>
        <v/>
      </c>
    </row>
    <row r="354" spans="1:34" hidden="1">
      <c r="B354" s="608"/>
      <c r="C354" s="608"/>
      <c r="D354" s="601"/>
    </row>
    <row r="355" spans="1:34" hidden="1">
      <c r="B355" s="608"/>
      <c r="C355" s="608"/>
      <c r="D355" s="601"/>
    </row>
    <row r="356" spans="1:34" hidden="1">
      <c r="B356" s="608"/>
      <c r="C356" s="608"/>
      <c r="D356" s="601"/>
    </row>
    <row r="357" spans="1:34" hidden="1">
      <c r="B357" s="608"/>
      <c r="C357" s="608"/>
      <c r="D357" s="601"/>
    </row>
    <row r="358" spans="1:34" hidden="1">
      <c r="B358" s="608"/>
      <c r="C358" s="608"/>
      <c r="D358" s="601"/>
    </row>
    <row r="359" spans="1:34" hidden="1">
      <c r="B359" s="608"/>
      <c r="C359" s="608"/>
      <c r="D359" s="601"/>
    </row>
    <row r="360" spans="1:34" hidden="1">
      <c r="B360" s="608"/>
      <c r="C360" s="608"/>
      <c r="D360" s="601"/>
    </row>
    <row r="361" spans="1:34" hidden="1">
      <c r="B361" s="608"/>
      <c r="C361" s="608"/>
      <c r="D361" s="601"/>
    </row>
    <row r="362" spans="1:34" hidden="1">
      <c r="B362" s="608"/>
      <c r="C362" s="608"/>
      <c r="D362" s="601"/>
    </row>
    <row r="363" spans="1:34" hidden="1">
      <c r="B363" s="608"/>
      <c r="C363" s="608"/>
      <c r="D363" s="601"/>
    </row>
    <row r="364" spans="1:34" hidden="1">
      <c r="B364" s="608"/>
      <c r="C364" s="608"/>
      <c r="D364" s="601"/>
    </row>
    <row r="365" spans="1:34" hidden="1">
      <c r="B365" s="608"/>
      <c r="C365" s="608"/>
      <c r="D365" s="601"/>
    </row>
    <row r="366" spans="1:34" hidden="1">
      <c r="B366" s="608"/>
      <c r="C366" s="608"/>
      <c r="D366" s="601"/>
    </row>
    <row r="367" spans="1:34" hidden="1">
      <c r="B367" s="608"/>
      <c r="C367" s="608"/>
      <c r="D367" s="601"/>
    </row>
    <row r="368" spans="1:34" hidden="1">
      <c r="B368" s="608"/>
      <c r="C368" s="608"/>
      <c r="D368" s="601"/>
    </row>
    <row r="369" spans="2:4" hidden="1">
      <c r="B369" s="608"/>
      <c r="C369" s="608"/>
      <c r="D369" s="601"/>
    </row>
    <row r="370" spans="2:4" hidden="1">
      <c r="B370" s="608"/>
      <c r="C370" s="608"/>
      <c r="D370" s="601"/>
    </row>
    <row r="371" spans="2:4" hidden="1">
      <c r="B371" s="608"/>
      <c r="C371" s="608"/>
      <c r="D371" s="601"/>
    </row>
    <row r="372" spans="2:4" hidden="1">
      <c r="B372" s="608"/>
      <c r="C372" s="608"/>
      <c r="D372" s="601"/>
    </row>
    <row r="373" spans="2:4" hidden="1">
      <c r="B373" s="608"/>
      <c r="C373" s="608"/>
      <c r="D373" s="601"/>
    </row>
    <row r="374" spans="2:4" hidden="1">
      <c r="B374" s="608"/>
      <c r="C374" s="608"/>
      <c r="D374" s="601"/>
    </row>
    <row r="375" spans="2:4" hidden="1">
      <c r="B375" s="608"/>
      <c r="C375" s="608"/>
      <c r="D375" s="601"/>
    </row>
    <row r="376" spans="2:4" hidden="1">
      <c r="B376" s="608"/>
      <c r="C376" s="608"/>
      <c r="D376" s="601"/>
    </row>
    <row r="377" spans="2:4" hidden="1">
      <c r="B377" s="608"/>
      <c r="C377" s="608"/>
      <c r="D377" s="601"/>
    </row>
    <row r="378" spans="2:4" hidden="1">
      <c r="B378" s="608"/>
      <c r="C378" s="608"/>
      <c r="D378" s="601"/>
    </row>
    <row r="379" spans="2:4" hidden="1">
      <c r="B379" s="608"/>
      <c r="C379" s="608"/>
      <c r="D379" s="601"/>
    </row>
    <row r="380" spans="2:4" hidden="1">
      <c r="B380" s="608"/>
      <c r="C380" s="608"/>
      <c r="D380" s="601"/>
    </row>
    <row r="381" spans="2:4" hidden="1">
      <c r="B381" s="608"/>
      <c r="C381" s="608"/>
      <c r="D381" s="601"/>
    </row>
    <row r="382" spans="2:4" hidden="1">
      <c r="B382" s="608"/>
      <c r="C382" s="608"/>
      <c r="D382" s="601"/>
    </row>
    <row r="383" spans="2:4" hidden="1">
      <c r="B383" s="608"/>
      <c r="C383" s="608"/>
      <c r="D383" s="601"/>
    </row>
    <row r="384" spans="2:4" hidden="1">
      <c r="B384" s="608"/>
      <c r="C384" s="608"/>
      <c r="D384" s="601"/>
    </row>
    <row r="385" spans="2:4" hidden="1">
      <c r="B385" s="608"/>
      <c r="C385" s="608"/>
      <c r="D385" s="601"/>
    </row>
    <row r="386" spans="2:4" hidden="1">
      <c r="B386" s="608"/>
      <c r="C386" s="608"/>
      <c r="D386" s="601"/>
    </row>
    <row r="387" spans="2:4" hidden="1">
      <c r="B387" s="608"/>
      <c r="C387" s="608"/>
      <c r="D387" s="601"/>
    </row>
    <row r="388" spans="2:4" hidden="1">
      <c r="B388" s="608"/>
      <c r="C388" s="608"/>
      <c r="D388" s="601"/>
    </row>
    <row r="389" spans="2:4" hidden="1">
      <c r="B389" s="608"/>
      <c r="C389" s="608"/>
      <c r="D389" s="601"/>
    </row>
    <row r="390" spans="2:4" hidden="1">
      <c r="B390" s="608"/>
      <c r="C390" s="608"/>
      <c r="D390" s="601"/>
    </row>
    <row r="391" spans="2:4" hidden="1">
      <c r="B391" s="608"/>
      <c r="C391" s="608"/>
      <c r="D391" s="601"/>
    </row>
    <row r="392" spans="2:4" hidden="1">
      <c r="B392" s="608"/>
      <c r="C392" s="608"/>
      <c r="D392" s="601"/>
    </row>
    <row r="393" spans="2:4" hidden="1">
      <c r="B393" s="608"/>
      <c r="C393" s="608"/>
      <c r="D393" s="601"/>
    </row>
    <row r="394" spans="2:4" hidden="1">
      <c r="B394" s="608"/>
      <c r="C394" s="608"/>
      <c r="D394" s="601"/>
    </row>
    <row r="395" spans="2:4" hidden="1">
      <c r="B395" s="608"/>
      <c r="C395" s="608"/>
      <c r="D395" s="601"/>
    </row>
    <row r="396" spans="2:4" hidden="1">
      <c r="B396" s="608"/>
      <c r="C396" s="608"/>
      <c r="D396" s="601"/>
    </row>
    <row r="397" spans="2:4" hidden="1">
      <c r="B397" s="608"/>
      <c r="C397" s="608"/>
      <c r="D397" s="601"/>
    </row>
    <row r="398" spans="2:4" hidden="1">
      <c r="B398" s="608"/>
      <c r="C398" s="608"/>
      <c r="D398" s="601"/>
    </row>
    <row r="399" spans="2:4" hidden="1">
      <c r="B399" s="608"/>
      <c r="C399" s="608"/>
      <c r="D399" s="601"/>
    </row>
    <row r="400" spans="2:4" hidden="1">
      <c r="B400" s="608"/>
      <c r="C400" s="608"/>
      <c r="D400" s="601"/>
    </row>
    <row r="401" spans="2:4" hidden="1">
      <c r="B401" s="608"/>
      <c r="C401" s="608"/>
      <c r="D401" s="601"/>
    </row>
    <row r="402" spans="2:4" hidden="1">
      <c r="B402" s="608"/>
      <c r="C402" s="608"/>
      <c r="D402" s="601"/>
    </row>
    <row r="403" spans="2:4" hidden="1">
      <c r="B403" s="608"/>
      <c r="C403" s="608"/>
      <c r="D403" s="601"/>
    </row>
    <row r="404" spans="2:4" hidden="1">
      <c r="B404" s="608"/>
      <c r="C404" s="608"/>
      <c r="D404" s="601"/>
    </row>
    <row r="405" spans="2:4" hidden="1">
      <c r="B405" s="608"/>
      <c r="C405" s="608"/>
      <c r="D405" s="601"/>
    </row>
    <row r="406" spans="2:4" hidden="1">
      <c r="B406" s="608"/>
      <c r="C406" s="608"/>
      <c r="D406" s="601"/>
    </row>
    <row r="407" spans="2:4" hidden="1">
      <c r="B407" s="608"/>
      <c r="C407" s="608"/>
      <c r="D407" s="601"/>
    </row>
    <row r="408" spans="2:4" hidden="1">
      <c r="B408" s="608"/>
      <c r="C408" s="608"/>
      <c r="D408" s="601"/>
    </row>
    <row r="409" spans="2:4" hidden="1">
      <c r="B409" s="608"/>
      <c r="C409" s="608"/>
      <c r="D409" s="601"/>
    </row>
    <row r="410" spans="2:4" hidden="1">
      <c r="B410" s="608"/>
      <c r="C410" s="608"/>
      <c r="D410" s="601"/>
    </row>
    <row r="411" spans="2:4" hidden="1">
      <c r="B411" s="608"/>
      <c r="C411" s="608"/>
      <c r="D411" s="601"/>
    </row>
    <row r="412" spans="2:4" hidden="1">
      <c r="B412" s="608"/>
      <c r="C412" s="608"/>
      <c r="D412" s="601"/>
    </row>
    <row r="413" spans="2:4" hidden="1">
      <c r="B413" s="608"/>
      <c r="C413" s="608"/>
      <c r="D413" s="601"/>
    </row>
  </sheetData>
  <mergeCells count="36">
    <mergeCell ref="B65:B112"/>
    <mergeCell ref="C65:D65"/>
    <mergeCell ref="C113:D113"/>
    <mergeCell ref="B5:AH5"/>
    <mergeCell ref="A1:AH2"/>
    <mergeCell ref="B3:B4"/>
    <mergeCell ref="C3:C4"/>
    <mergeCell ref="D3:D4"/>
    <mergeCell ref="E3:AH3"/>
    <mergeCell ref="B133:B160"/>
    <mergeCell ref="C133:D133"/>
    <mergeCell ref="B161:B191"/>
    <mergeCell ref="C161:D161"/>
    <mergeCell ref="B192:B227"/>
    <mergeCell ref="C192:D192"/>
    <mergeCell ref="C256:D256"/>
    <mergeCell ref="C277:D277"/>
    <mergeCell ref="B255:AH255"/>
    <mergeCell ref="B228:B254"/>
    <mergeCell ref="B277:B303"/>
    <mergeCell ref="B304:AH304"/>
    <mergeCell ref="B345:B352"/>
    <mergeCell ref="C345:D345"/>
    <mergeCell ref="B353:D353"/>
    <mergeCell ref="C6:D6"/>
    <mergeCell ref="B6:B64"/>
    <mergeCell ref="B113:B131"/>
    <mergeCell ref="B132:AH132"/>
    <mergeCell ref="B305:B328"/>
    <mergeCell ref="C305:D305"/>
    <mergeCell ref="B329:B336"/>
    <mergeCell ref="C329:D329"/>
    <mergeCell ref="B337:B344"/>
    <mergeCell ref="C337:D337"/>
    <mergeCell ref="C228:D228"/>
    <mergeCell ref="B256:B276"/>
  </mergeCells>
  <pageMargins left="0.7" right="0.7" top="0.75" bottom="0.75" header="0.3" footer="0.3"/>
  <pageSetup paperSize="9" orientation="portrait" horizontalDpi="4294967293"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9"/>
  <dimension ref="A1:AW181"/>
  <sheetViews>
    <sheetView showGridLines="0" zoomScale="83" zoomScaleNormal="83" workbookViewId="0">
      <pane ySplit="5" topLeftCell="A61" activePane="bottomLeft" state="frozen"/>
      <selection activeCell="K33" sqref="K33"/>
      <selection pane="bottomLeft" activeCell="J69" sqref="J69"/>
    </sheetView>
  </sheetViews>
  <sheetFormatPr defaultColWidth="0" defaultRowHeight="15" customHeight="1" zeroHeight="1"/>
  <cols>
    <col min="1" max="1" width="1" style="29" customWidth="1"/>
    <col min="2" max="2" width="3.7109375" style="33" customWidth="1"/>
    <col min="3" max="3" width="46.140625" style="33" customWidth="1"/>
    <col min="4" max="4" width="10.28515625" style="29" customWidth="1"/>
    <col min="5" max="34" width="5.7109375" style="29" customWidth="1"/>
    <col min="35" max="49" width="5.7109375" hidden="1" customWidth="1"/>
    <col min="50" max="16384" width="9.140625" hidden="1"/>
  </cols>
  <sheetData>
    <row r="1" spans="1:34" ht="15" customHeight="1">
      <c r="A1" s="803" t="s">
        <v>242</v>
      </c>
      <c r="B1" s="803"/>
      <c r="C1" s="803"/>
      <c r="D1" s="803"/>
      <c r="E1" s="803"/>
      <c r="F1" s="803"/>
      <c r="G1" s="803"/>
      <c r="H1" s="803"/>
      <c r="I1" s="803"/>
      <c r="J1" s="803"/>
      <c r="K1" s="803"/>
      <c r="L1" s="803"/>
      <c r="M1" s="803"/>
      <c r="N1" s="803"/>
      <c r="O1" s="803"/>
      <c r="P1" s="803"/>
      <c r="Q1" s="803"/>
      <c r="R1" s="803"/>
      <c r="S1" s="803"/>
      <c r="T1" s="803"/>
      <c r="U1" s="803"/>
      <c r="V1" s="803"/>
      <c r="W1" s="803"/>
      <c r="X1" s="803"/>
      <c r="Y1" s="803"/>
      <c r="Z1" s="803"/>
      <c r="AA1" s="803"/>
      <c r="AB1" s="803"/>
      <c r="AC1" s="803"/>
      <c r="AD1" s="803"/>
      <c r="AE1" s="803"/>
      <c r="AF1" s="803"/>
      <c r="AG1" s="803"/>
      <c r="AH1" s="803"/>
    </row>
    <row r="2" spans="1:34" ht="15" customHeight="1">
      <c r="A2" s="803"/>
      <c r="B2" s="803"/>
      <c r="C2" s="803"/>
      <c r="D2" s="803"/>
      <c r="E2" s="803"/>
      <c r="F2" s="803"/>
      <c r="G2" s="803"/>
      <c r="H2" s="803"/>
      <c r="I2" s="803"/>
      <c r="J2" s="803"/>
      <c r="K2" s="803"/>
      <c r="L2" s="803"/>
      <c r="M2" s="803"/>
      <c r="N2" s="803"/>
      <c r="O2" s="803"/>
      <c r="P2" s="803"/>
      <c r="Q2" s="803"/>
      <c r="R2" s="803"/>
      <c r="S2" s="803"/>
      <c r="T2" s="803"/>
      <c r="U2" s="803"/>
      <c r="V2" s="803"/>
      <c r="W2" s="803"/>
      <c r="X2" s="803"/>
      <c r="Y2" s="803"/>
      <c r="Z2" s="803"/>
      <c r="AA2" s="803"/>
      <c r="AB2" s="803"/>
      <c r="AC2" s="803"/>
      <c r="AD2" s="803"/>
      <c r="AE2" s="803"/>
      <c r="AF2" s="803"/>
      <c r="AG2" s="803"/>
      <c r="AH2" s="803"/>
    </row>
    <row r="3" spans="1:34" ht="15" customHeight="1">
      <c r="B3" s="804"/>
      <c r="C3" s="804"/>
      <c r="D3" s="80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row>
    <row r="4" spans="1:34" ht="15" customHeight="1">
      <c r="B4" s="805" t="s">
        <v>5</v>
      </c>
      <c r="C4" s="805" t="s">
        <v>125</v>
      </c>
      <c r="D4" s="806" t="s">
        <v>126</v>
      </c>
      <c r="E4" s="807" t="s">
        <v>57</v>
      </c>
      <c r="F4" s="807"/>
      <c r="G4" s="807"/>
      <c r="H4" s="807"/>
      <c r="I4" s="807"/>
      <c r="J4" s="807"/>
      <c r="K4" s="807"/>
      <c r="L4" s="807"/>
      <c r="M4" s="807"/>
      <c r="N4" s="807"/>
      <c r="O4" s="807"/>
      <c r="P4" s="807"/>
      <c r="Q4" s="807"/>
      <c r="R4" s="807"/>
      <c r="S4" s="807"/>
      <c r="T4" s="807"/>
      <c r="U4" s="807"/>
      <c r="V4" s="807"/>
      <c r="W4" s="807"/>
      <c r="X4" s="807"/>
      <c r="Y4" s="807"/>
      <c r="Z4" s="807"/>
      <c r="AA4" s="807"/>
      <c r="AB4" s="807"/>
      <c r="AC4" s="807"/>
      <c r="AD4" s="807"/>
      <c r="AE4" s="807"/>
      <c r="AF4" s="807"/>
      <c r="AG4" s="807"/>
      <c r="AH4" s="807"/>
    </row>
    <row r="5" spans="1:34" ht="12.75" customHeight="1">
      <c r="B5" s="805"/>
      <c r="C5" s="805"/>
      <c r="D5" s="806"/>
      <c r="E5" s="35" t="str">
        <f>DATASISWA!$F$8</f>
        <v>Dita</v>
      </c>
      <c r="F5" s="35" t="str">
        <f>DATASISWA!$F$9</f>
        <v>Annisa</v>
      </c>
      <c r="G5" s="35" t="str">
        <f>DATASISWA!$F$10</f>
        <v>Kiki</v>
      </c>
      <c r="H5" s="35" t="str">
        <f>DATASISWA!$F$11</f>
        <v>Lily</v>
      </c>
      <c r="I5" s="35" t="str">
        <f>DATASISWA!$F$12</f>
        <v>Rere</v>
      </c>
      <c r="J5" s="35" t="str">
        <f>DATASISWA!$F$13</f>
        <v>Fadhil</v>
      </c>
      <c r="K5" s="35" t="str">
        <f>DATASISWA!$F$14</f>
        <v>Yuefa</v>
      </c>
      <c r="L5" s="35" t="str">
        <f>DATASISWA!$F$15</f>
        <v>Ria</v>
      </c>
      <c r="M5" s="35" t="str">
        <f>DATASISWA!$F$16</f>
        <v>Tiara</v>
      </c>
      <c r="N5" s="35" t="str">
        <f>DATASISWA!$F$17</f>
        <v>Alvind</v>
      </c>
      <c r="O5" s="35" t="str">
        <f>DATASISWA!$F$18</f>
        <v>Icha</v>
      </c>
      <c r="P5" s="35" t="str">
        <f>DATASISWA!$F$19</f>
        <v>Qonita</v>
      </c>
      <c r="Q5" s="35" t="str">
        <f>DATASISWA!$F$20</f>
        <v>Anya</v>
      </c>
      <c r="R5" s="35" t="str">
        <f>DATASISWA!$F$21</f>
        <v>Radit</v>
      </c>
      <c r="S5" s="35" t="str">
        <f>DATASISWA!$F$22</f>
        <v>angel</v>
      </c>
      <c r="T5" s="35">
        <f>DATASISWA!$F$23</f>
        <v>0</v>
      </c>
      <c r="U5" s="35">
        <f>DATASISWA!$F$24</f>
        <v>0</v>
      </c>
      <c r="V5" s="35">
        <f>DATASISWA!$F$25</f>
        <v>0</v>
      </c>
      <c r="W5" s="35">
        <f>DATASISWA!$F$26</f>
        <v>0</v>
      </c>
      <c r="X5" s="35">
        <f>DATASISWA!$F$27</f>
        <v>0</v>
      </c>
      <c r="Y5" s="35">
        <f>DATASISWA!$F$28</f>
        <v>0</v>
      </c>
      <c r="Z5" s="35">
        <f>DATASISWA!$F$29</f>
        <v>0</v>
      </c>
      <c r="AA5" s="35">
        <f>DATASISWA!$F$30</f>
        <v>0</v>
      </c>
      <c r="AB5" s="35">
        <f>DATASISWA!$F$31</f>
        <v>0</v>
      </c>
      <c r="AC5" s="35">
        <f>DATASISWA!$F$32</f>
        <v>0</v>
      </c>
      <c r="AD5" s="35">
        <f>DATASISWA!$F$33</f>
        <v>0</v>
      </c>
      <c r="AE5" s="35">
        <f>DATASISWA!$F$34</f>
        <v>0</v>
      </c>
      <c r="AF5" s="35">
        <f>DATASISWA!$F$35</f>
        <v>0</v>
      </c>
      <c r="AG5" s="35">
        <f>DATASISWA!$F$36</f>
        <v>0</v>
      </c>
      <c r="AH5" s="35">
        <f>DATASISWA!$F$37</f>
        <v>0</v>
      </c>
    </row>
    <row r="6" spans="1:34" ht="27" customHeight="1" thickBot="1">
      <c r="A6" s="30"/>
      <c r="B6" s="800">
        <v>1</v>
      </c>
      <c r="C6" s="809"/>
      <c r="D6" s="810"/>
      <c r="E6" s="97" t="str">
        <f>IFERROR(AVERAGE(E7:E16),"")</f>
        <v/>
      </c>
      <c r="F6" s="97" t="str">
        <f t="shared" ref="F6:AA6" si="0">IFERROR(AVERAGE(F7:F16),"")</f>
        <v/>
      </c>
      <c r="G6" s="97" t="str">
        <f t="shared" si="0"/>
        <v/>
      </c>
      <c r="H6" s="97" t="str">
        <f t="shared" si="0"/>
        <v/>
      </c>
      <c r="I6" s="97" t="str">
        <f t="shared" si="0"/>
        <v/>
      </c>
      <c r="J6" s="97" t="str">
        <f t="shared" si="0"/>
        <v/>
      </c>
      <c r="K6" s="97" t="str">
        <f t="shared" si="0"/>
        <v/>
      </c>
      <c r="L6" s="97" t="str">
        <f t="shared" si="0"/>
        <v/>
      </c>
      <c r="M6" s="97" t="str">
        <f t="shared" si="0"/>
        <v/>
      </c>
      <c r="N6" s="97" t="str">
        <f t="shared" si="0"/>
        <v/>
      </c>
      <c r="O6" s="97" t="str">
        <f t="shared" si="0"/>
        <v/>
      </c>
      <c r="P6" s="97" t="str">
        <f t="shared" si="0"/>
        <v/>
      </c>
      <c r="Q6" s="97" t="str">
        <f t="shared" si="0"/>
        <v/>
      </c>
      <c r="R6" s="97" t="str">
        <f t="shared" si="0"/>
        <v/>
      </c>
      <c r="S6" s="97" t="str">
        <f t="shared" si="0"/>
        <v/>
      </c>
      <c r="T6" s="97" t="str">
        <f t="shared" si="0"/>
        <v/>
      </c>
      <c r="U6" s="97" t="str">
        <f t="shared" si="0"/>
        <v/>
      </c>
      <c r="V6" s="97" t="str">
        <f t="shared" si="0"/>
        <v/>
      </c>
      <c r="W6" s="97" t="str">
        <f t="shared" si="0"/>
        <v/>
      </c>
      <c r="X6" s="97" t="str">
        <f t="shared" si="0"/>
        <v/>
      </c>
      <c r="Y6" s="97" t="str">
        <f t="shared" si="0"/>
        <v/>
      </c>
      <c r="Z6" s="97" t="str">
        <f t="shared" si="0"/>
        <v/>
      </c>
      <c r="AA6" s="97" t="str">
        <f t="shared" si="0"/>
        <v/>
      </c>
      <c r="AB6" s="97" t="str">
        <f t="shared" ref="AB6:AH6" si="1">IFERROR(AVERAGE(AB7:AB16),"")</f>
        <v/>
      </c>
      <c r="AC6" s="97" t="str">
        <f t="shared" si="1"/>
        <v/>
      </c>
      <c r="AD6" s="97" t="str">
        <f t="shared" si="1"/>
        <v/>
      </c>
      <c r="AE6" s="97" t="str">
        <f t="shared" si="1"/>
        <v/>
      </c>
      <c r="AF6" s="97" t="str">
        <f t="shared" si="1"/>
        <v/>
      </c>
      <c r="AG6" s="97" t="str">
        <f t="shared" si="1"/>
        <v/>
      </c>
      <c r="AH6" s="97" t="str">
        <f t="shared" si="1"/>
        <v/>
      </c>
    </row>
    <row r="7" spans="1:34" ht="27" customHeight="1">
      <c r="A7" s="30"/>
      <c r="B7" s="801"/>
      <c r="C7" s="849"/>
      <c r="D7" s="72"/>
      <c r="E7" s="98"/>
      <c r="F7" s="98"/>
      <c r="G7" s="98"/>
      <c r="H7" s="98"/>
      <c r="I7" s="98"/>
      <c r="J7" s="98"/>
      <c r="K7" s="98"/>
      <c r="L7" s="98"/>
      <c r="M7" s="98"/>
      <c r="N7" s="98"/>
      <c r="O7" s="98"/>
      <c r="P7" s="98"/>
      <c r="Q7" s="98"/>
      <c r="R7" s="98"/>
      <c r="S7" s="98"/>
      <c r="T7" s="98"/>
      <c r="U7" s="98"/>
      <c r="V7" s="98"/>
      <c r="W7" s="98"/>
      <c r="X7" s="98"/>
      <c r="Y7" s="98"/>
      <c r="Z7" s="98"/>
      <c r="AA7" s="98"/>
      <c r="AB7" s="98"/>
      <c r="AC7" s="98"/>
      <c r="AD7" s="98"/>
      <c r="AE7" s="98"/>
      <c r="AF7" s="98"/>
      <c r="AG7" s="98"/>
      <c r="AH7" s="98"/>
    </row>
    <row r="8" spans="1:34" ht="27" customHeight="1">
      <c r="A8" s="30"/>
      <c r="B8" s="801"/>
      <c r="C8" s="856"/>
      <c r="D8" s="72"/>
      <c r="E8" s="98"/>
      <c r="F8" s="98"/>
      <c r="G8" s="98"/>
      <c r="H8" s="98"/>
      <c r="I8" s="98"/>
      <c r="J8" s="98"/>
      <c r="K8" s="98"/>
      <c r="L8" s="98"/>
      <c r="M8" s="98"/>
      <c r="N8" s="98"/>
      <c r="O8" s="98"/>
      <c r="P8" s="98"/>
      <c r="Q8" s="98"/>
      <c r="R8" s="98"/>
      <c r="S8" s="98"/>
      <c r="T8" s="98"/>
      <c r="U8" s="98"/>
      <c r="V8" s="98"/>
      <c r="W8" s="98"/>
      <c r="X8" s="98"/>
      <c r="Y8" s="98"/>
      <c r="Z8" s="98"/>
      <c r="AA8" s="98"/>
      <c r="AB8" s="98"/>
      <c r="AC8" s="98"/>
      <c r="AD8" s="98"/>
      <c r="AE8" s="98"/>
      <c r="AF8" s="98"/>
      <c r="AG8" s="98"/>
      <c r="AH8" s="98"/>
    </row>
    <row r="9" spans="1:34" ht="27" customHeight="1">
      <c r="A9" s="30"/>
      <c r="B9" s="801"/>
      <c r="C9" s="851"/>
      <c r="D9" s="72"/>
      <c r="E9" s="98"/>
      <c r="F9" s="98"/>
      <c r="G9" s="98"/>
      <c r="H9" s="98"/>
      <c r="I9" s="98"/>
      <c r="J9" s="98"/>
      <c r="K9" s="98"/>
      <c r="L9" s="98"/>
      <c r="M9" s="98"/>
      <c r="N9" s="98"/>
      <c r="O9" s="98"/>
      <c r="P9" s="98"/>
      <c r="Q9" s="98"/>
      <c r="R9" s="98"/>
      <c r="S9" s="98"/>
      <c r="T9" s="98"/>
      <c r="U9" s="98"/>
      <c r="V9" s="98"/>
      <c r="W9" s="98"/>
      <c r="X9" s="98"/>
      <c r="Y9" s="98"/>
      <c r="Z9" s="98"/>
      <c r="AA9" s="98"/>
      <c r="AB9" s="98"/>
      <c r="AC9" s="98"/>
      <c r="AD9" s="98"/>
      <c r="AE9" s="98"/>
      <c r="AF9" s="98"/>
      <c r="AG9" s="98"/>
      <c r="AH9" s="98"/>
    </row>
    <row r="10" spans="1:34" ht="27" customHeight="1">
      <c r="A10" s="30"/>
      <c r="B10" s="801"/>
      <c r="C10" s="856"/>
      <c r="D10" s="72"/>
      <c r="E10" s="98"/>
      <c r="F10" s="98"/>
      <c r="G10" s="98"/>
      <c r="H10" s="98"/>
      <c r="I10" s="98"/>
      <c r="J10" s="98"/>
      <c r="K10" s="98"/>
      <c r="L10" s="98"/>
      <c r="M10" s="98"/>
      <c r="N10" s="98"/>
      <c r="O10" s="98"/>
      <c r="P10" s="98"/>
      <c r="Q10" s="98"/>
      <c r="R10" s="98"/>
      <c r="S10" s="98"/>
      <c r="T10" s="98"/>
      <c r="U10" s="98"/>
      <c r="V10" s="98"/>
      <c r="W10" s="98"/>
      <c r="X10" s="98"/>
      <c r="Y10" s="98"/>
      <c r="Z10" s="98"/>
      <c r="AA10" s="98"/>
      <c r="AB10" s="98"/>
      <c r="AC10" s="98"/>
      <c r="AD10" s="98"/>
      <c r="AE10" s="98"/>
      <c r="AF10" s="98"/>
      <c r="AG10" s="98"/>
      <c r="AH10" s="98"/>
    </row>
    <row r="11" spans="1:34" ht="27" customHeight="1">
      <c r="A11" s="30"/>
      <c r="B11" s="801"/>
      <c r="C11" s="851"/>
      <c r="D11" s="72"/>
      <c r="E11" s="98"/>
      <c r="F11" s="98"/>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row>
    <row r="12" spans="1:34" ht="27" customHeight="1">
      <c r="A12" s="30"/>
      <c r="B12" s="801"/>
      <c r="C12" s="856"/>
      <c r="D12" s="72"/>
      <c r="E12" s="98"/>
      <c r="F12" s="98"/>
      <c r="G12" s="98"/>
      <c r="H12" s="98"/>
      <c r="I12" s="98"/>
      <c r="J12" s="98"/>
      <c r="K12" s="98"/>
      <c r="L12" s="98"/>
      <c r="M12" s="98"/>
      <c r="N12" s="98"/>
      <c r="O12" s="98"/>
      <c r="P12" s="98"/>
      <c r="Q12" s="98"/>
      <c r="R12" s="98"/>
      <c r="S12" s="98"/>
      <c r="T12" s="98"/>
      <c r="U12" s="98"/>
      <c r="V12" s="98"/>
      <c r="W12" s="98"/>
      <c r="X12" s="98"/>
      <c r="Y12" s="98"/>
      <c r="Z12" s="98"/>
      <c r="AA12" s="98"/>
      <c r="AB12" s="98"/>
      <c r="AC12" s="98"/>
      <c r="AD12" s="98"/>
      <c r="AE12" s="98"/>
      <c r="AF12" s="98"/>
      <c r="AG12" s="98"/>
      <c r="AH12" s="98"/>
    </row>
    <row r="13" spans="1:34" ht="27" customHeight="1">
      <c r="A13" s="30"/>
      <c r="B13" s="801"/>
      <c r="C13" s="851"/>
      <c r="D13" s="72"/>
      <c r="E13" s="98"/>
      <c r="F13" s="98"/>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row>
    <row r="14" spans="1:34" ht="27" customHeight="1">
      <c r="A14" s="30"/>
      <c r="B14" s="801"/>
      <c r="C14" s="856"/>
      <c r="D14" s="72"/>
      <c r="E14" s="98"/>
      <c r="F14" s="98"/>
      <c r="G14" s="98"/>
      <c r="H14" s="98"/>
      <c r="I14" s="98"/>
      <c r="J14" s="98"/>
      <c r="K14" s="98"/>
      <c r="L14" s="98"/>
      <c r="M14" s="98"/>
      <c r="N14" s="98"/>
      <c r="O14" s="98"/>
      <c r="P14" s="98"/>
      <c r="Q14" s="98"/>
      <c r="R14" s="98"/>
      <c r="S14" s="98"/>
      <c r="T14" s="98"/>
      <c r="U14" s="98"/>
      <c r="V14" s="98"/>
      <c r="W14" s="98"/>
      <c r="X14" s="98"/>
      <c r="Y14" s="98"/>
      <c r="Z14" s="98"/>
      <c r="AA14" s="98"/>
      <c r="AB14" s="98"/>
      <c r="AC14" s="98"/>
      <c r="AD14" s="98"/>
      <c r="AE14" s="98"/>
      <c r="AF14" s="98"/>
      <c r="AG14" s="98"/>
      <c r="AH14" s="98"/>
    </row>
    <row r="15" spans="1:34" ht="27" hidden="1" customHeight="1">
      <c r="A15" s="30"/>
      <c r="B15" s="801"/>
      <c r="C15" s="74"/>
      <c r="D15" s="72"/>
      <c r="E15" s="98"/>
      <c r="F15" s="98"/>
      <c r="G15" s="98"/>
      <c r="H15" s="98"/>
      <c r="I15" s="98"/>
      <c r="J15" s="98"/>
      <c r="K15" s="98"/>
      <c r="L15" s="98"/>
      <c r="M15" s="98"/>
      <c r="N15" s="98"/>
      <c r="O15" s="98"/>
      <c r="P15" s="98"/>
      <c r="Q15" s="98"/>
      <c r="R15" s="98"/>
      <c r="S15" s="98"/>
      <c r="T15" s="98"/>
      <c r="U15" s="98"/>
      <c r="V15" s="98"/>
      <c r="W15" s="98"/>
      <c r="X15" s="98"/>
      <c r="Y15" s="98"/>
      <c r="Z15" s="98"/>
      <c r="AA15" s="98"/>
      <c r="AB15" s="98"/>
      <c r="AC15" s="98"/>
      <c r="AD15" s="98"/>
      <c r="AE15" s="98"/>
      <c r="AF15" s="98"/>
      <c r="AG15" s="98"/>
      <c r="AH15" s="98"/>
    </row>
    <row r="16" spans="1:34" ht="27" hidden="1" customHeight="1">
      <c r="A16" s="30"/>
      <c r="B16" s="802"/>
      <c r="C16" s="74"/>
      <c r="D16" s="72"/>
      <c r="E16" s="98"/>
      <c r="F16" s="98"/>
      <c r="G16" s="98"/>
      <c r="H16" s="98"/>
      <c r="I16" s="98"/>
      <c r="J16" s="98"/>
      <c r="K16" s="98"/>
      <c r="L16" s="98"/>
      <c r="M16" s="98"/>
      <c r="N16" s="98"/>
      <c r="O16" s="98"/>
      <c r="P16" s="98"/>
      <c r="Q16" s="98"/>
      <c r="R16" s="98"/>
      <c r="S16" s="98"/>
      <c r="T16" s="98"/>
      <c r="U16" s="98"/>
      <c r="V16" s="98"/>
      <c r="W16" s="98"/>
      <c r="X16" s="98"/>
      <c r="Y16" s="98"/>
      <c r="Z16" s="98"/>
      <c r="AA16" s="98"/>
      <c r="AB16" s="98"/>
      <c r="AC16" s="98"/>
      <c r="AD16" s="98"/>
      <c r="AE16" s="98"/>
      <c r="AF16" s="98"/>
      <c r="AG16" s="98"/>
      <c r="AH16" s="98"/>
    </row>
    <row r="17" spans="1:34" ht="27" customHeight="1">
      <c r="A17" s="30"/>
      <c r="B17" s="800">
        <v>2</v>
      </c>
      <c r="C17" s="795"/>
      <c r="D17" s="796"/>
      <c r="E17" s="97" t="str">
        <f>IFERROR(AVERAGE(E18:E28),"")</f>
        <v/>
      </c>
      <c r="F17" s="97" t="str">
        <f t="shared" ref="F17:AA17" si="2">IFERROR(AVERAGE(F18:F28),"")</f>
        <v/>
      </c>
      <c r="G17" s="97" t="str">
        <f t="shared" si="2"/>
        <v/>
      </c>
      <c r="H17" s="97" t="str">
        <f t="shared" si="2"/>
        <v/>
      </c>
      <c r="I17" s="97" t="str">
        <f t="shared" si="2"/>
        <v/>
      </c>
      <c r="J17" s="97" t="str">
        <f t="shared" si="2"/>
        <v/>
      </c>
      <c r="K17" s="97" t="str">
        <f t="shared" si="2"/>
        <v/>
      </c>
      <c r="L17" s="97" t="str">
        <f t="shared" si="2"/>
        <v/>
      </c>
      <c r="M17" s="97" t="str">
        <f t="shared" si="2"/>
        <v/>
      </c>
      <c r="N17" s="97" t="str">
        <f t="shared" si="2"/>
        <v/>
      </c>
      <c r="O17" s="97" t="str">
        <f t="shared" si="2"/>
        <v/>
      </c>
      <c r="P17" s="97" t="str">
        <f t="shared" si="2"/>
        <v/>
      </c>
      <c r="Q17" s="97" t="str">
        <f t="shared" si="2"/>
        <v/>
      </c>
      <c r="R17" s="97" t="str">
        <f t="shared" si="2"/>
        <v/>
      </c>
      <c r="S17" s="97" t="str">
        <f t="shared" si="2"/>
        <v/>
      </c>
      <c r="T17" s="97" t="str">
        <f t="shared" si="2"/>
        <v/>
      </c>
      <c r="U17" s="97" t="str">
        <f t="shared" si="2"/>
        <v/>
      </c>
      <c r="V17" s="97" t="str">
        <f t="shared" si="2"/>
        <v/>
      </c>
      <c r="W17" s="97" t="str">
        <f t="shared" si="2"/>
        <v/>
      </c>
      <c r="X17" s="97" t="str">
        <f t="shared" si="2"/>
        <v/>
      </c>
      <c r="Y17" s="97" t="str">
        <f t="shared" si="2"/>
        <v/>
      </c>
      <c r="Z17" s="97" t="str">
        <f t="shared" si="2"/>
        <v/>
      </c>
      <c r="AA17" s="97" t="str">
        <f t="shared" si="2"/>
        <v/>
      </c>
      <c r="AB17" s="97" t="str">
        <f t="shared" ref="AB17:AH17" si="3">IFERROR(AVERAGE(AB18:AB28),"")</f>
        <v/>
      </c>
      <c r="AC17" s="97" t="str">
        <f t="shared" si="3"/>
        <v/>
      </c>
      <c r="AD17" s="97" t="str">
        <f t="shared" si="3"/>
        <v/>
      </c>
      <c r="AE17" s="97" t="str">
        <f t="shared" si="3"/>
        <v/>
      </c>
      <c r="AF17" s="97" t="str">
        <f t="shared" si="3"/>
        <v/>
      </c>
      <c r="AG17" s="97" t="str">
        <f t="shared" si="3"/>
        <v/>
      </c>
      <c r="AH17" s="97" t="str">
        <f t="shared" si="3"/>
        <v/>
      </c>
    </row>
    <row r="18" spans="1:34" ht="27" customHeight="1">
      <c r="A18" s="30"/>
      <c r="B18" s="801"/>
      <c r="C18" s="410"/>
      <c r="D18" s="72"/>
      <c r="E18" s="98"/>
      <c r="F18" s="98"/>
      <c r="G18" s="98"/>
      <c r="H18" s="98"/>
      <c r="I18" s="98"/>
      <c r="J18" s="98"/>
      <c r="K18" s="98"/>
      <c r="L18" s="98"/>
      <c r="M18" s="98"/>
      <c r="N18" s="98"/>
      <c r="O18" s="98"/>
      <c r="P18" s="98"/>
      <c r="Q18" s="98"/>
      <c r="R18" s="98"/>
      <c r="S18" s="98"/>
      <c r="T18" s="98"/>
      <c r="U18" s="98"/>
      <c r="V18" s="98"/>
      <c r="W18" s="98"/>
      <c r="X18" s="98"/>
      <c r="Y18" s="98"/>
      <c r="Z18" s="98"/>
      <c r="AA18" s="98"/>
      <c r="AB18" s="98"/>
      <c r="AC18" s="98"/>
      <c r="AD18" s="98"/>
      <c r="AE18" s="98"/>
      <c r="AF18" s="98"/>
      <c r="AG18" s="98"/>
      <c r="AH18" s="98"/>
    </row>
    <row r="19" spans="1:34" ht="27" customHeight="1">
      <c r="A19" s="30"/>
      <c r="B19" s="801"/>
      <c r="C19" s="428"/>
      <c r="D19" s="72"/>
      <c r="E19" s="98"/>
      <c r="F19" s="98"/>
      <c r="G19" s="98"/>
      <c r="H19" s="98"/>
      <c r="I19" s="98"/>
      <c r="J19" s="98"/>
      <c r="K19" s="98"/>
      <c r="L19" s="98"/>
      <c r="M19" s="98"/>
      <c r="N19" s="98"/>
      <c r="O19" s="98"/>
      <c r="P19" s="98"/>
      <c r="Q19" s="98"/>
      <c r="R19" s="98"/>
      <c r="S19" s="98"/>
      <c r="T19" s="98"/>
      <c r="U19" s="98"/>
      <c r="V19" s="98"/>
      <c r="W19" s="98"/>
      <c r="X19" s="98"/>
      <c r="Y19" s="98"/>
      <c r="Z19" s="98"/>
      <c r="AA19" s="98"/>
      <c r="AB19" s="98"/>
      <c r="AC19" s="98"/>
      <c r="AD19" s="98"/>
      <c r="AE19" s="98"/>
      <c r="AF19" s="98"/>
      <c r="AG19" s="98"/>
      <c r="AH19" s="98"/>
    </row>
    <row r="20" spans="1:34" ht="27" customHeight="1">
      <c r="A20" s="30"/>
      <c r="B20" s="801"/>
      <c r="C20" s="428"/>
      <c r="D20" s="72"/>
      <c r="E20" s="98"/>
      <c r="F20" s="98"/>
      <c r="G20" s="98"/>
      <c r="H20" s="98"/>
      <c r="I20" s="98"/>
      <c r="J20" s="98"/>
      <c r="K20" s="98"/>
      <c r="L20" s="98"/>
      <c r="M20" s="98"/>
      <c r="N20" s="98"/>
      <c r="O20" s="98"/>
      <c r="P20" s="98"/>
      <c r="Q20" s="98"/>
      <c r="R20" s="98"/>
      <c r="S20" s="98"/>
      <c r="T20" s="98"/>
      <c r="U20" s="98"/>
      <c r="V20" s="98"/>
      <c r="W20" s="98"/>
      <c r="X20" s="98"/>
      <c r="Y20" s="98"/>
      <c r="Z20" s="98"/>
      <c r="AA20" s="98"/>
      <c r="AB20" s="98"/>
      <c r="AC20" s="98"/>
      <c r="AD20" s="98"/>
      <c r="AE20" s="98"/>
      <c r="AF20" s="98"/>
      <c r="AG20" s="98"/>
      <c r="AH20" s="98"/>
    </row>
    <row r="21" spans="1:34" ht="27" customHeight="1">
      <c r="A21" s="30"/>
      <c r="B21" s="801"/>
      <c r="C21" s="409"/>
      <c r="D21" s="72"/>
      <c r="E21" s="98"/>
      <c r="F21" s="98"/>
      <c r="G21" s="98"/>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row>
    <row r="22" spans="1:34" ht="27" hidden="1" customHeight="1">
      <c r="A22" s="30"/>
      <c r="B22" s="801"/>
      <c r="C22" s="74"/>
      <c r="D22" s="72"/>
      <c r="E22" s="98"/>
      <c r="F22" s="98"/>
      <c r="G22" s="98"/>
      <c r="H22" s="98"/>
      <c r="I22" s="98"/>
      <c r="J22" s="98"/>
      <c r="K22" s="98"/>
      <c r="L22" s="98"/>
      <c r="M22" s="98"/>
      <c r="N22" s="98"/>
      <c r="O22" s="98"/>
      <c r="P22" s="98"/>
      <c r="Q22" s="98"/>
      <c r="R22" s="98"/>
      <c r="S22" s="98"/>
      <c r="T22" s="98"/>
      <c r="U22" s="98"/>
      <c r="V22" s="98"/>
      <c r="W22" s="98"/>
      <c r="X22" s="98"/>
      <c r="Y22" s="98"/>
      <c r="Z22" s="98"/>
      <c r="AA22" s="98"/>
      <c r="AB22" s="98"/>
      <c r="AC22" s="98"/>
      <c r="AD22" s="98"/>
      <c r="AE22" s="98"/>
      <c r="AF22" s="98"/>
      <c r="AG22" s="98"/>
      <c r="AH22" s="98"/>
    </row>
    <row r="23" spans="1:34" ht="27" hidden="1" customHeight="1">
      <c r="A23" s="30"/>
      <c r="B23" s="801"/>
      <c r="C23" s="74"/>
      <c r="D23" s="72"/>
      <c r="E23" s="98"/>
      <c r="F23" s="98"/>
      <c r="G23" s="98"/>
      <c r="H23" s="98"/>
      <c r="I23" s="98"/>
      <c r="J23" s="98"/>
      <c r="K23" s="98"/>
      <c r="L23" s="98"/>
      <c r="M23" s="98"/>
      <c r="N23" s="98"/>
      <c r="O23" s="98"/>
      <c r="P23" s="98"/>
      <c r="Q23" s="98"/>
      <c r="R23" s="98"/>
      <c r="S23" s="98"/>
      <c r="T23" s="98"/>
      <c r="U23" s="98"/>
      <c r="V23" s="98"/>
      <c r="W23" s="98"/>
      <c r="X23" s="98"/>
      <c r="Y23" s="98"/>
      <c r="Z23" s="98"/>
      <c r="AA23" s="98"/>
      <c r="AB23" s="98"/>
      <c r="AC23" s="98"/>
      <c r="AD23" s="98"/>
      <c r="AE23" s="98"/>
      <c r="AF23" s="98"/>
      <c r="AG23" s="98"/>
      <c r="AH23" s="98"/>
    </row>
    <row r="24" spans="1:34" ht="27" hidden="1" customHeight="1">
      <c r="A24" s="30"/>
      <c r="B24" s="801"/>
      <c r="C24" s="74"/>
      <c r="D24" s="72"/>
      <c r="E24" s="98"/>
      <c r="F24" s="98"/>
      <c r="G24" s="98"/>
      <c r="H24" s="98"/>
      <c r="I24" s="98"/>
      <c r="J24" s="98"/>
      <c r="K24" s="98"/>
      <c r="L24" s="98"/>
      <c r="M24" s="98"/>
      <c r="N24" s="98"/>
      <c r="O24" s="98"/>
      <c r="P24" s="98"/>
      <c r="Q24" s="98"/>
      <c r="R24" s="98"/>
      <c r="S24" s="98"/>
      <c r="T24" s="98"/>
      <c r="U24" s="98"/>
      <c r="V24" s="98"/>
      <c r="W24" s="98"/>
      <c r="X24" s="98"/>
      <c r="Y24" s="98"/>
      <c r="Z24" s="98"/>
      <c r="AA24" s="98"/>
      <c r="AB24" s="98"/>
      <c r="AC24" s="98"/>
      <c r="AD24" s="98"/>
      <c r="AE24" s="98"/>
      <c r="AF24" s="98"/>
      <c r="AG24" s="98"/>
      <c r="AH24" s="98"/>
    </row>
    <row r="25" spans="1:34" ht="27" hidden="1" customHeight="1">
      <c r="A25" s="30"/>
      <c r="B25" s="801"/>
      <c r="C25" s="74"/>
      <c r="D25" s="72"/>
      <c r="E25" s="98"/>
      <c r="F25" s="98"/>
      <c r="G25" s="98"/>
      <c r="H25" s="98"/>
      <c r="I25" s="98"/>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row>
    <row r="26" spans="1:34" ht="27" hidden="1" customHeight="1">
      <c r="A26" s="30"/>
      <c r="B26" s="801"/>
      <c r="C26" s="74"/>
      <c r="D26" s="72"/>
      <c r="E26" s="98"/>
      <c r="F26" s="98"/>
      <c r="G26" s="98"/>
      <c r="H26" s="98"/>
      <c r="I26" s="98"/>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row>
    <row r="27" spans="1:34" ht="27" hidden="1" customHeight="1">
      <c r="A27" s="30"/>
      <c r="B27" s="801"/>
      <c r="C27" s="74"/>
      <c r="D27" s="72"/>
      <c r="E27" s="98"/>
      <c r="F27" s="98"/>
      <c r="G27" s="98"/>
      <c r="H27" s="98"/>
      <c r="I27" s="98"/>
      <c r="J27" s="98"/>
      <c r="K27" s="98"/>
      <c r="L27" s="98"/>
      <c r="M27" s="98"/>
      <c r="N27" s="98"/>
      <c r="O27" s="98"/>
      <c r="P27" s="98"/>
      <c r="Q27" s="98"/>
      <c r="R27" s="98"/>
      <c r="S27" s="98"/>
      <c r="T27" s="98"/>
      <c r="U27" s="98"/>
      <c r="V27" s="98"/>
      <c r="W27" s="98"/>
      <c r="X27" s="98"/>
      <c r="Y27" s="98"/>
      <c r="Z27" s="98"/>
      <c r="AA27" s="98"/>
      <c r="AB27" s="98"/>
      <c r="AC27" s="98"/>
      <c r="AD27" s="98"/>
      <c r="AE27" s="98"/>
      <c r="AF27" s="98"/>
      <c r="AG27" s="98"/>
      <c r="AH27" s="98"/>
    </row>
    <row r="28" spans="1:34" ht="27" hidden="1" customHeight="1">
      <c r="A28" s="30"/>
      <c r="B28" s="802"/>
      <c r="C28" s="74"/>
      <c r="D28" s="72"/>
      <c r="E28" s="98"/>
      <c r="F28" s="98"/>
      <c r="G28" s="98"/>
      <c r="H28" s="98"/>
      <c r="I28" s="98"/>
      <c r="J28" s="98"/>
      <c r="K28" s="98"/>
      <c r="L28" s="98"/>
      <c r="M28" s="98"/>
      <c r="N28" s="98"/>
      <c r="O28" s="98"/>
      <c r="P28" s="98"/>
      <c r="Q28" s="98"/>
      <c r="R28" s="98"/>
      <c r="S28" s="98"/>
      <c r="T28" s="98"/>
      <c r="U28" s="98"/>
      <c r="V28" s="98"/>
      <c r="W28" s="98"/>
      <c r="X28" s="98"/>
      <c r="Y28" s="98"/>
      <c r="Z28" s="98"/>
      <c r="AA28" s="98"/>
      <c r="AB28" s="98"/>
      <c r="AC28" s="98"/>
      <c r="AD28" s="98"/>
      <c r="AE28" s="98"/>
      <c r="AF28" s="98"/>
      <c r="AG28" s="98"/>
      <c r="AH28" s="98"/>
    </row>
    <row r="29" spans="1:34" ht="27" customHeight="1">
      <c r="A29" s="30"/>
      <c r="B29" s="800">
        <v>3</v>
      </c>
      <c r="C29" s="795"/>
      <c r="D29" s="796"/>
      <c r="E29" s="97" t="str">
        <f>IFERROR(AVERAGE(E30:E36),"")</f>
        <v/>
      </c>
      <c r="F29" s="97" t="str">
        <f t="shared" ref="F29:AA29" si="4">IFERROR(AVERAGE(F30:F36),"")</f>
        <v/>
      </c>
      <c r="G29" s="97" t="str">
        <f t="shared" si="4"/>
        <v/>
      </c>
      <c r="H29" s="97" t="str">
        <f t="shared" si="4"/>
        <v/>
      </c>
      <c r="I29" s="97" t="str">
        <f t="shared" si="4"/>
        <v/>
      </c>
      <c r="J29" s="97" t="str">
        <f t="shared" si="4"/>
        <v/>
      </c>
      <c r="K29" s="97" t="str">
        <f t="shared" si="4"/>
        <v/>
      </c>
      <c r="L29" s="97" t="str">
        <f t="shared" si="4"/>
        <v/>
      </c>
      <c r="M29" s="97" t="str">
        <f t="shared" si="4"/>
        <v/>
      </c>
      <c r="N29" s="97" t="str">
        <f t="shared" si="4"/>
        <v/>
      </c>
      <c r="O29" s="97" t="str">
        <f t="shared" si="4"/>
        <v/>
      </c>
      <c r="P29" s="97" t="str">
        <f t="shared" si="4"/>
        <v/>
      </c>
      <c r="Q29" s="97" t="str">
        <f t="shared" si="4"/>
        <v/>
      </c>
      <c r="R29" s="97" t="str">
        <f t="shared" si="4"/>
        <v/>
      </c>
      <c r="S29" s="97" t="str">
        <f t="shared" si="4"/>
        <v/>
      </c>
      <c r="T29" s="97" t="str">
        <f t="shared" si="4"/>
        <v/>
      </c>
      <c r="U29" s="97" t="str">
        <f t="shared" si="4"/>
        <v/>
      </c>
      <c r="V29" s="97" t="str">
        <f t="shared" si="4"/>
        <v/>
      </c>
      <c r="W29" s="97" t="str">
        <f t="shared" si="4"/>
        <v/>
      </c>
      <c r="X29" s="97" t="str">
        <f t="shared" si="4"/>
        <v/>
      </c>
      <c r="Y29" s="97" t="str">
        <f t="shared" si="4"/>
        <v/>
      </c>
      <c r="Z29" s="97" t="str">
        <f t="shared" si="4"/>
        <v/>
      </c>
      <c r="AA29" s="97" t="str">
        <f t="shared" si="4"/>
        <v/>
      </c>
      <c r="AB29" s="97" t="str">
        <f t="shared" ref="AB29:AH29" si="5">IFERROR(AVERAGE(AB30:AB36),"")</f>
        <v/>
      </c>
      <c r="AC29" s="97" t="str">
        <f t="shared" si="5"/>
        <v/>
      </c>
      <c r="AD29" s="97" t="str">
        <f t="shared" si="5"/>
        <v/>
      </c>
      <c r="AE29" s="97" t="str">
        <f t="shared" si="5"/>
        <v/>
      </c>
      <c r="AF29" s="97" t="str">
        <f t="shared" si="5"/>
        <v/>
      </c>
      <c r="AG29" s="97" t="str">
        <f t="shared" si="5"/>
        <v/>
      </c>
      <c r="AH29" s="97" t="str">
        <f t="shared" si="5"/>
        <v/>
      </c>
    </row>
    <row r="30" spans="1:34" ht="27" customHeight="1">
      <c r="A30" s="30"/>
      <c r="B30" s="801"/>
      <c r="C30" s="410"/>
      <c r="D30" s="72"/>
      <c r="E30" s="98"/>
      <c r="F30" s="98"/>
      <c r="G30" s="98"/>
      <c r="H30" s="98"/>
      <c r="I30" s="98"/>
      <c r="J30" s="98"/>
      <c r="K30" s="98"/>
      <c r="L30" s="98"/>
      <c r="M30" s="98"/>
      <c r="N30" s="98"/>
      <c r="O30" s="98"/>
      <c r="P30" s="98"/>
      <c r="Q30" s="98"/>
      <c r="R30" s="98"/>
      <c r="S30" s="98"/>
      <c r="T30" s="98"/>
      <c r="U30" s="98"/>
      <c r="V30" s="98"/>
      <c r="W30" s="98"/>
      <c r="X30" s="98"/>
      <c r="Y30" s="98"/>
      <c r="Z30" s="98"/>
      <c r="AA30" s="98"/>
      <c r="AB30" s="98"/>
      <c r="AC30" s="98"/>
      <c r="AD30" s="98"/>
      <c r="AE30" s="98"/>
      <c r="AF30" s="98"/>
      <c r="AG30" s="98"/>
      <c r="AH30" s="98"/>
    </row>
    <row r="31" spans="1:34" ht="27" customHeight="1">
      <c r="A31" s="30"/>
      <c r="B31" s="801"/>
      <c r="C31" s="409"/>
      <c r="D31" s="72"/>
      <c r="E31" s="98"/>
      <c r="F31" s="98"/>
      <c r="G31" s="98"/>
      <c r="H31" s="98"/>
      <c r="I31" s="98"/>
      <c r="J31" s="98"/>
      <c r="K31" s="98"/>
      <c r="L31" s="98"/>
      <c r="M31" s="98"/>
      <c r="N31" s="98"/>
      <c r="O31" s="98"/>
      <c r="P31" s="98"/>
      <c r="Q31" s="98"/>
      <c r="R31" s="98"/>
      <c r="S31" s="98"/>
      <c r="T31" s="98"/>
      <c r="U31" s="98"/>
      <c r="V31" s="98"/>
      <c r="W31" s="98"/>
      <c r="X31" s="98"/>
      <c r="Y31" s="98"/>
      <c r="Z31" s="98"/>
      <c r="AA31" s="98"/>
      <c r="AB31" s="98"/>
      <c r="AC31" s="98"/>
      <c r="AD31" s="98"/>
      <c r="AE31" s="98"/>
      <c r="AF31" s="98"/>
      <c r="AG31" s="98"/>
      <c r="AH31" s="98"/>
    </row>
    <row r="32" spans="1:34" ht="27" customHeight="1">
      <c r="A32" s="30"/>
      <c r="B32" s="801"/>
      <c r="C32" s="409"/>
      <c r="D32" s="72"/>
      <c r="E32" s="98"/>
      <c r="F32" s="98"/>
      <c r="G32" s="98"/>
      <c r="H32" s="98"/>
      <c r="I32" s="98"/>
      <c r="J32" s="98"/>
      <c r="K32" s="98"/>
      <c r="L32" s="98"/>
      <c r="M32" s="98"/>
      <c r="N32" s="98"/>
      <c r="O32" s="98"/>
      <c r="P32" s="98"/>
      <c r="Q32" s="98"/>
      <c r="R32" s="98"/>
      <c r="S32" s="98"/>
      <c r="T32" s="98"/>
      <c r="U32" s="98"/>
      <c r="V32" s="98"/>
      <c r="W32" s="98"/>
      <c r="X32" s="98"/>
      <c r="Y32" s="98"/>
      <c r="Z32" s="98"/>
      <c r="AA32" s="98"/>
      <c r="AB32" s="98"/>
      <c r="AC32" s="98"/>
      <c r="AD32" s="98"/>
      <c r="AE32" s="98"/>
      <c r="AF32" s="98"/>
      <c r="AG32" s="98"/>
      <c r="AH32" s="98"/>
    </row>
    <row r="33" spans="1:34" ht="27" customHeight="1">
      <c r="A33" s="30"/>
      <c r="B33" s="801"/>
      <c r="C33" s="409"/>
      <c r="D33" s="72"/>
      <c r="E33" s="98"/>
      <c r="F33" s="98"/>
      <c r="G33" s="98"/>
      <c r="H33" s="98"/>
      <c r="I33" s="98"/>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row>
    <row r="34" spans="1:34" ht="27" hidden="1" customHeight="1">
      <c r="A34" s="30"/>
      <c r="B34" s="801"/>
      <c r="C34" s="74"/>
      <c r="D34" s="72"/>
      <c r="E34" s="98"/>
      <c r="F34" s="98"/>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row>
    <row r="35" spans="1:34" ht="27" hidden="1" customHeight="1">
      <c r="A35" s="30"/>
      <c r="B35" s="801"/>
      <c r="C35" s="74"/>
      <c r="D35" s="72"/>
      <c r="E35" s="98"/>
      <c r="F35" s="98"/>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row>
    <row r="36" spans="1:34" ht="27" hidden="1" customHeight="1">
      <c r="A36" s="30"/>
      <c r="B36" s="802"/>
      <c r="C36" s="74"/>
      <c r="D36" s="72"/>
      <c r="E36" s="98"/>
      <c r="F36" s="98"/>
      <c r="G36" s="98"/>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row>
    <row r="37" spans="1:34" ht="27" customHeight="1">
      <c r="A37" s="30"/>
      <c r="B37" s="800">
        <v>4</v>
      </c>
      <c r="C37" s="795"/>
      <c r="D37" s="796"/>
      <c r="E37" s="97" t="str">
        <f>IFERROR(AVERAGE(E38:E44),"")</f>
        <v/>
      </c>
      <c r="F37" s="97" t="str">
        <f t="shared" ref="F37:AA37" si="6">IFERROR(AVERAGE(F38:F44),"")</f>
        <v/>
      </c>
      <c r="G37" s="97" t="str">
        <f t="shared" si="6"/>
        <v/>
      </c>
      <c r="H37" s="97" t="str">
        <f t="shared" si="6"/>
        <v/>
      </c>
      <c r="I37" s="97" t="str">
        <f t="shared" si="6"/>
        <v/>
      </c>
      <c r="J37" s="97" t="str">
        <f t="shared" si="6"/>
        <v/>
      </c>
      <c r="K37" s="97" t="str">
        <f t="shared" si="6"/>
        <v/>
      </c>
      <c r="L37" s="97" t="str">
        <f t="shared" si="6"/>
        <v/>
      </c>
      <c r="M37" s="97" t="str">
        <f t="shared" si="6"/>
        <v/>
      </c>
      <c r="N37" s="97" t="str">
        <f t="shared" si="6"/>
        <v/>
      </c>
      <c r="O37" s="97" t="str">
        <f t="shared" si="6"/>
        <v/>
      </c>
      <c r="P37" s="97" t="str">
        <f t="shared" si="6"/>
        <v/>
      </c>
      <c r="Q37" s="97" t="str">
        <f t="shared" si="6"/>
        <v/>
      </c>
      <c r="R37" s="97" t="str">
        <f t="shared" si="6"/>
        <v/>
      </c>
      <c r="S37" s="97" t="str">
        <f t="shared" si="6"/>
        <v/>
      </c>
      <c r="T37" s="97" t="str">
        <f t="shared" si="6"/>
        <v/>
      </c>
      <c r="U37" s="97" t="str">
        <f t="shared" si="6"/>
        <v/>
      </c>
      <c r="V37" s="97" t="str">
        <f t="shared" si="6"/>
        <v/>
      </c>
      <c r="W37" s="97" t="str">
        <f t="shared" si="6"/>
        <v/>
      </c>
      <c r="X37" s="97" t="str">
        <f t="shared" si="6"/>
        <v/>
      </c>
      <c r="Y37" s="97" t="str">
        <f t="shared" si="6"/>
        <v/>
      </c>
      <c r="Z37" s="97" t="str">
        <f t="shared" si="6"/>
        <v/>
      </c>
      <c r="AA37" s="97" t="str">
        <f t="shared" si="6"/>
        <v/>
      </c>
      <c r="AB37" s="97" t="str">
        <f t="shared" ref="AB37:AH37" si="7">IFERROR(AVERAGE(AB38:AB44),"")</f>
        <v/>
      </c>
      <c r="AC37" s="97" t="str">
        <f t="shared" si="7"/>
        <v/>
      </c>
      <c r="AD37" s="97" t="str">
        <f t="shared" si="7"/>
        <v/>
      </c>
      <c r="AE37" s="97" t="str">
        <f t="shared" si="7"/>
        <v/>
      </c>
      <c r="AF37" s="97" t="str">
        <f t="shared" si="7"/>
        <v/>
      </c>
      <c r="AG37" s="97" t="str">
        <f t="shared" si="7"/>
        <v/>
      </c>
      <c r="AH37" s="97" t="str">
        <f t="shared" si="7"/>
        <v/>
      </c>
    </row>
    <row r="38" spans="1:34" ht="27" customHeight="1">
      <c r="A38" s="30"/>
      <c r="B38" s="801"/>
      <c r="C38" s="428"/>
      <c r="D38" s="72"/>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row>
    <row r="39" spans="1:34" ht="27" customHeight="1">
      <c r="A39" s="30"/>
      <c r="B39" s="801"/>
      <c r="C39" s="428"/>
      <c r="D39" s="72"/>
      <c r="E39" s="98"/>
      <c r="F39" s="98"/>
      <c r="G39" s="98"/>
      <c r="H39" s="98"/>
      <c r="I39" s="98"/>
      <c r="J39" s="98"/>
      <c r="K39" s="98"/>
      <c r="L39" s="98"/>
      <c r="M39" s="98"/>
      <c r="N39" s="98"/>
      <c r="O39" s="98"/>
      <c r="P39" s="98"/>
      <c r="Q39" s="98"/>
      <c r="R39" s="98"/>
      <c r="S39" s="98"/>
      <c r="T39" s="98"/>
      <c r="U39" s="98"/>
      <c r="V39" s="98"/>
      <c r="W39" s="98"/>
      <c r="X39" s="98"/>
      <c r="Y39" s="98"/>
      <c r="Z39" s="98"/>
      <c r="AA39" s="98"/>
      <c r="AB39" s="98"/>
      <c r="AC39" s="98"/>
      <c r="AD39" s="98"/>
      <c r="AE39" s="98"/>
      <c r="AF39" s="98"/>
      <c r="AG39" s="98"/>
      <c r="AH39" s="98"/>
    </row>
    <row r="40" spans="1:34" ht="27" customHeight="1">
      <c r="A40" s="30"/>
      <c r="B40" s="801"/>
      <c r="C40" s="428"/>
      <c r="D40" s="72"/>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row>
    <row r="41" spans="1:34" ht="27" customHeight="1">
      <c r="A41" s="30"/>
      <c r="B41" s="801"/>
      <c r="C41" s="428"/>
      <c r="D41" s="72"/>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row>
    <row r="42" spans="1:34" ht="27" hidden="1" customHeight="1">
      <c r="A42" s="30"/>
      <c r="B42" s="801"/>
      <c r="C42" s="74"/>
      <c r="D42" s="72"/>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row>
    <row r="43" spans="1:34" ht="27" hidden="1" customHeight="1">
      <c r="A43" s="30"/>
      <c r="B43" s="801"/>
      <c r="C43" s="74"/>
      <c r="D43" s="72"/>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row>
    <row r="44" spans="1:34" ht="27" hidden="1" customHeight="1">
      <c r="A44" s="30"/>
      <c r="B44" s="802"/>
      <c r="C44" s="74"/>
      <c r="D44" s="72"/>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row>
    <row r="45" spans="1:34" ht="27" customHeight="1">
      <c r="A45" s="30"/>
      <c r="B45" s="800">
        <v>5</v>
      </c>
      <c r="C45" s="795"/>
      <c r="D45" s="796"/>
      <c r="E45" s="97" t="str">
        <f>IFERROR(AVERAGE(E46:E52),"")</f>
        <v/>
      </c>
      <c r="F45" s="97" t="str">
        <f t="shared" ref="F45:AH45" si="8">IFERROR(AVERAGE(F46:F52),"")</f>
        <v/>
      </c>
      <c r="G45" s="97" t="str">
        <f t="shared" si="8"/>
        <v/>
      </c>
      <c r="H45" s="97" t="str">
        <f t="shared" si="8"/>
        <v/>
      </c>
      <c r="I45" s="97" t="str">
        <f t="shared" si="8"/>
        <v/>
      </c>
      <c r="J45" s="97" t="str">
        <f t="shared" si="8"/>
        <v/>
      </c>
      <c r="K45" s="97" t="str">
        <f t="shared" si="8"/>
        <v/>
      </c>
      <c r="L45" s="97" t="str">
        <f t="shared" si="8"/>
        <v/>
      </c>
      <c r="M45" s="97" t="str">
        <f t="shared" si="8"/>
        <v/>
      </c>
      <c r="N45" s="97" t="str">
        <f t="shared" si="8"/>
        <v/>
      </c>
      <c r="O45" s="97" t="str">
        <f t="shared" si="8"/>
        <v/>
      </c>
      <c r="P45" s="97" t="str">
        <f t="shared" si="8"/>
        <v/>
      </c>
      <c r="Q45" s="97" t="str">
        <f t="shared" si="8"/>
        <v/>
      </c>
      <c r="R45" s="97" t="str">
        <f t="shared" si="8"/>
        <v/>
      </c>
      <c r="S45" s="97" t="str">
        <f t="shared" si="8"/>
        <v/>
      </c>
      <c r="T45" s="97" t="str">
        <f t="shared" si="8"/>
        <v/>
      </c>
      <c r="U45" s="97" t="str">
        <f t="shared" si="8"/>
        <v/>
      </c>
      <c r="V45" s="97" t="str">
        <f t="shared" si="8"/>
        <v/>
      </c>
      <c r="W45" s="97" t="str">
        <f t="shared" si="8"/>
        <v/>
      </c>
      <c r="X45" s="97" t="str">
        <f t="shared" si="8"/>
        <v/>
      </c>
      <c r="Y45" s="97" t="str">
        <f t="shared" si="8"/>
        <v/>
      </c>
      <c r="Z45" s="97" t="str">
        <f t="shared" si="8"/>
        <v/>
      </c>
      <c r="AA45" s="97" t="str">
        <f t="shared" si="8"/>
        <v/>
      </c>
      <c r="AB45" s="97" t="str">
        <f t="shared" si="8"/>
        <v/>
      </c>
      <c r="AC45" s="97" t="str">
        <f t="shared" si="8"/>
        <v/>
      </c>
      <c r="AD45" s="97" t="str">
        <f t="shared" si="8"/>
        <v/>
      </c>
      <c r="AE45" s="97" t="str">
        <f t="shared" si="8"/>
        <v/>
      </c>
      <c r="AF45" s="97" t="str">
        <f t="shared" si="8"/>
        <v/>
      </c>
      <c r="AG45" s="97" t="str">
        <f t="shared" si="8"/>
        <v/>
      </c>
      <c r="AH45" s="97" t="str">
        <f t="shared" si="8"/>
        <v/>
      </c>
    </row>
    <row r="46" spans="1:34" ht="27" customHeight="1">
      <c r="A46" s="30"/>
      <c r="B46" s="801"/>
      <c r="C46" s="410"/>
      <c r="D46" s="72"/>
      <c r="E46" s="98"/>
      <c r="F46" s="98"/>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row>
    <row r="47" spans="1:34" ht="27" customHeight="1">
      <c r="A47" s="30"/>
      <c r="B47" s="801"/>
      <c r="C47" s="428"/>
      <c r="D47" s="72"/>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row>
    <row r="48" spans="1:34" ht="27" customHeight="1">
      <c r="A48" s="30"/>
      <c r="B48" s="801"/>
      <c r="C48" s="428"/>
      <c r="D48" s="72"/>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row>
    <row r="49" spans="1:34" ht="27" customHeight="1">
      <c r="A49" s="30"/>
      <c r="B49" s="801"/>
      <c r="C49" s="409"/>
      <c r="D49" s="72"/>
      <c r="E49" s="98"/>
      <c r="F49" s="98"/>
      <c r="G49" s="98"/>
      <c r="H49" s="98"/>
      <c r="I49" s="98"/>
      <c r="J49" s="98"/>
      <c r="K49" s="98"/>
      <c r="L49" s="98"/>
      <c r="M49" s="98"/>
      <c r="N49" s="98"/>
      <c r="O49" s="98"/>
      <c r="P49" s="98"/>
      <c r="Q49" s="98"/>
      <c r="R49" s="98"/>
      <c r="S49" s="98"/>
      <c r="T49" s="98"/>
      <c r="U49" s="98"/>
      <c r="V49" s="98"/>
      <c r="W49" s="98"/>
      <c r="X49" s="98"/>
      <c r="Y49" s="98"/>
      <c r="Z49" s="98"/>
      <c r="AA49" s="98"/>
      <c r="AB49" s="98"/>
      <c r="AC49" s="98"/>
      <c r="AD49" s="98"/>
      <c r="AE49" s="98"/>
      <c r="AF49" s="98"/>
      <c r="AG49" s="98"/>
      <c r="AH49" s="98"/>
    </row>
    <row r="50" spans="1:34" ht="27" hidden="1" customHeight="1">
      <c r="A50" s="30"/>
      <c r="B50" s="801"/>
      <c r="C50" s="74"/>
      <c r="D50" s="72"/>
      <c r="E50" s="98"/>
      <c r="F50" s="98"/>
      <c r="G50" s="98"/>
      <c r="H50" s="98"/>
      <c r="I50" s="98"/>
      <c r="J50" s="98"/>
      <c r="K50" s="98"/>
      <c r="L50" s="98"/>
      <c r="M50" s="98"/>
      <c r="N50" s="98"/>
      <c r="O50" s="98"/>
      <c r="P50" s="98"/>
      <c r="Q50" s="98"/>
      <c r="R50" s="98"/>
      <c r="S50" s="98"/>
      <c r="T50" s="98"/>
      <c r="U50" s="98"/>
      <c r="V50" s="98"/>
      <c r="W50" s="98"/>
      <c r="X50" s="98"/>
      <c r="Y50" s="98"/>
      <c r="Z50" s="98"/>
      <c r="AA50" s="98"/>
      <c r="AB50" s="98"/>
      <c r="AC50" s="98"/>
      <c r="AD50" s="98"/>
      <c r="AE50" s="98"/>
      <c r="AF50" s="98"/>
      <c r="AG50" s="98"/>
      <c r="AH50" s="98"/>
    </row>
    <row r="51" spans="1:34" ht="27" hidden="1" customHeight="1">
      <c r="A51" s="30"/>
      <c r="B51" s="801"/>
      <c r="C51" s="74"/>
      <c r="D51" s="72"/>
      <c r="E51" s="98"/>
      <c r="F51" s="98"/>
      <c r="G51" s="98"/>
      <c r="H51" s="98"/>
      <c r="I51" s="98"/>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row>
    <row r="52" spans="1:34" ht="27" hidden="1" customHeight="1">
      <c r="A52" s="30"/>
      <c r="B52" s="802"/>
      <c r="C52" s="74"/>
      <c r="D52" s="72"/>
      <c r="E52" s="98"/>
      <c r="F52" s="98"/>
      <c r="G52" s="98"/>
      <c r="H52" s="98"/>
      <c r="I52" s="98"/>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row>
    <row r="53" spans="1:34" ht="27" customHeight="1" thickBot="1">
      <c r="A53" s="30"/>
      <c r="B53" s="794">
        <v>6</v>
      </c>
      <c r="C53" s="795"/>
      <c r="D53" s="796"/>
      <c r="E53" s="97" t="str">
        <f>IFERROR(AVERAGE(E54:E64),"")</f>
        <v/>
      </c>
      <c r="F53" s="97" t="str">
        <f t="shared" ref="F53:AH53" si="9">IFERROR(AVERAGE(F54:F64),"")</f>
        <v/>
      </c>
      <c r="G53" s="97" t="str">
        <f t="shared" si="9"/>
        <v/>
      </c>
      <c r="H53" s="97" t="str">
        <f t="shared" si="9"/>
        <v/>
      </c>
      <c r="I53" s="97" t="str">
        <f t="shared" si="9"/>
        <v/>
      </c>
      <c r="J53" s="97" t="str">
        <f t="shared" si="9"/>
        <v/>
      </c>
      <c r="K53" s="97" t="str">
        <f t="shared" si="9"/>
        <v/>
      </c>
      <c r="L53" s="97" t="str">
        <f t="shared" si="9"/>
        <v/>
      </c>
      <c r="M53" s="97" t="str">
        <f t="shared" si="9"/>
        <v/>
      </c>
      <c r="N53" s="97" t="str">
        <f t="shared" si="9"/>
        <v/>
      </c>
      <c r="O53" s="97" t="str">
        <f t="shared" si="9"/>
        <v/>
      </c>
      <c r="P53" s="97" t="str">
        <f t="shared" si="9"/>
        <v/>
      </c>
      <c r="Q53" s="97" t="str">
        <f t="shared" si="9"/>
        <v/>
      </c>
      <c r="R53" s="97" t="str">
        <f t="shared" si="9"/>
        <v/>
      </c>
      <c r="S53" s="97" t="str">
        <f t="shared" si="9"/>
        <v/>
      </c>
      <c r="T53" s="97" t="str">
        <f t="shared" si="9"/>
        <v/>
      </c>
      <c r="U53" s="97" t="str">
        <f t="shared" si="9"/>
        <v/>
      </c>
      <c r="V53" s="97" t="str">
        <f t="shared" si="9"/>
        <v/>
      </c>
      <c r="W53" s="97" t="str">
        <f t="shared" si="9"/>
        <v/>
      </c>
      <c r="X53" s="97" t="str">
        <f t="shared" si="9"/>
        <v/>
      </c>
      <c r="Y53" s="97" t="str">
        <f t="shared" si="9"/>
        <v/>
      </c>
      <c r="Z53" s="97" t="str">
        <f t="shared" si="9"/>
        <v/>
      </c>
      <c r="AA53" s="97" t="str">
        <f t="shared" si="9"/>
        <v/>
      </c>
      <c r="AB53" s="97" t="str">
        <f t="shared" si="9"/>
        <v/>
      </c>
      <c r="AC53" s="97" t="str">
        <f t="shared" si="9"/>
        <v/>
      </c>
      <c r="AD53" s="97" t="str">
        <f t="shared" si="9"/>
        <v/>
      </c>
      <c r="AE53" s="97" t="str">
        <f t="shared" si="9"/>
        <v/>
      </c>
      <c r="AF53" s="97" t="str">
        <f t="shared" si="9"/>
        <v/>
      </c>
      <c r="AG53" s="97" t="str">
        <f t="shared" si="9"/>
        <v/>
      </c>
      <c r="AH53" s="97" t="str">
        <f t="shared" si="9"/>
        <v/>
      </c>
    </row>
    <row r="54" spans="1:34" ht="27" customHeight="1">
      <c r="A54" s="30"/>
      <c r="B54" s="794"/>
      <c r="C54" s="849"/>
      <c r="D54" s="72"/>
      <c r="E54" s="98"/>
      <c r="F54" s="98"/>
      <c r="G54" s="98"/>
      <c r="H54" s="98"/>
      <c r="I54" s="98"/>
      <c r="J54" s="98"/>
      <c r="K54" s="98"/>
      <c r="L54" s="98"/>
      <c r="M54" s="98"/>
      <c r="N54" s="98"/>
      <c r="O54" s="98"/>
      <c r="P54" s="98"/>
      <c r="Q54" s="98"/>
      <c r="R54" s="98"/>
      <c r="S54" s="98"/>
      <c r="T54" s="98"/>
      <c r="U54" s="98"/>
      <c r="V54" s="98"/>
      <c r="W54" s="98"/>
      <c r="X54" s="98"/>
      <c r="Y54" s="98"/>
      <c r="Z54" s="98"/>
      <c r="AA54" s="98"/>
      <c r="AB54" s="98"/>
      <c r="AC54" s="98"/>
      <c r="AD54" s="98"/>
      <c r="AE54" s="98"/>
      <c r="AF54" s="98"/>
      <c r="AG54" s="98"/>
      <c r="AH54" s="98"/>
    </row>
    <row r="55" spans="1:34" ht="27" customHeight="1">
      <c r="A55" s="30"/>
      <c r="B55" s="794"/>
      <c r="C55" s="850"/>
      <c r="D55" s="72"/>
      <c r="E55" s="98"/>
      <c r="F55" s="98"/>
      <c r="G55" s="98"/>
      <c r="H55" s="98"/>
      <c r="I55" s="98"/>
      <c r="J55" s="98"/>
      <c r="K55" s="98"/>
      <c r="L55" s="98"/>
      <c r="M55" s="98"/>
      <c r="N55" s="98"/>
      <c r="O55" s="98"/>
      <c r="P55" s="98"/>
      <c r="Q55" s="98"/>
      <c r="R55" s="98"/>
      <c r="S55" s="98"/>
      <c r="T55" s="98"/>
      <c r="U55" s="98"/>
      <c r="V55" s="98"/>
      <c r="W55" s="98"/>
      <c r="X55" s="98"/>
      <c r="Y55" s="98"/>
      <c r="Z55" s="98"/>
      <c r="AA55" s="98"/>
      <c r="AB55" s="98"/>
      <c r="AC55" s="98"/>
      <c r="AD55" s="98"/>
      <c r="AE55" s="98"/>
      <c r="AF55" s="98"/>
      <c r="AG55" s="98"/>
      <c r="AH55" s="98"/>
    </row>
    <row r="56" spans="1:34" ht="27" customHeight="1">
      <c r="A56" s="30"/>
      <c r="B56" s="794"/>
      <c r="C56" s="429"/>
      <c r="D56" s="72"/>
      <c r="E56" s="98"/>
      <c r="F56" s="98"/>
      <c r="G56" s="98"/>
      <c r="H56" s="98"/>
      <c r="I56" s="98"/>
      <c r="J56" s="98"/>
      <c r="K56" s="98"/>
      <c r="L56" s="98"/>
      <c r="M56" s="98"/>
      <c r="N56" s="98"/>
      <c r="O56" s="98"/>
      <c r="P56" s="98"/>
      <c r="Q56" s="98"/>
      <c r="R56" s="98"/>
      <c r="S56" s="98"/>
      <c r="T56" s="98"/>
      <c r="U56" s="98"/>
      <c r="V56" s="98"/>
      <c r="W56" s="98"/>
      <c r="X56" s="98"/>
      <c r="Y56" s="98"/>
      <c r="Z56" s="98"/>
      <c r="AA56" s="98"/>
      <c r="AB56" s="98"/>
      <c r="AC56" s="98"/>
      <c r="AD56" s="98"/>
      <c r="AE56" s="98"/>
      <c r="AF56" s="98"/>
      <c r="AG56" s="98"/>
      <c r="AH56" s="98"/>
    </row>
    <row r="57" spans="1:34" ht="27" customHeight="1">
      <c r="A57" s="30"/>
      <c r="B57" s="794"/>
      <c r="C57" s="851"/>
      <c r="D57" s="72"/>
      <c r="E57" s="98"/>
      <c r="F57" s="98"/>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row>
    <row r="58" spans="1:34" ht="27" customHeight="1">
      <c r="A58" s="30"/>
      <c r="B58" s="794"/>
      <c r="C58" s="852"/>
      <c r="D58" s="72"/>
      <c r="E58" s="98"/>
      <c r="F58" s="98"/>
      <c r="G58" s="98"/>
      <c r="H58" s="98"/>
      <c r="I58" s="98"/>
      <c r="J58" s="98"/>
      <c r="K58" s="98"/>
      <c r="L58" s="98"/>
      <c r="M58" s="98"/>
      <c r="N58" s="98"/>
      <c r="O58" s="98"/>
      <c r="P58" s="98"/>
      <c r="Q58" s="98"/>
      <c r="R58" s="98"/>
      <c r="S58" s="98"/>
      <c r="T58" s="98"/>
      <c r="U58" s="98"/>
      <c r="V58" s="98"/>
      <c r="W58" s="98"/>
      <c r="X58" s="98"/>
      <c r="Y58" s="98"/>
      <c r="Z58" s="98"/>
      <c r="AA58" s="98"/>
      <c r="AB58" s="98"/>
      <c r="AC58" s="98"/>
      <c r="AD58" s="98"/>
      <c r="AE58" s="98"/>
      <c r="AF58" s="98"/>
      <c r="AG58" s="98"/>
      <c r="AH58" s="98"/>
    </row>
    <row r="59" spans="1:34" ht="27" customHeight="1">
      <c r="A59" s="30"/>
      <c r="B59" s="794"/>
      <c r="C59" s="410"/>
      <c r="D59" s="72"/>
      <c r="E59" s="98"/>
      <c r="F59" s="98"/>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F59" s="98"/>
      <c r="AG59" s="98"/>
      <c r="AH59" s="98"/>
    </row>
    <row r="60" spans="1:34" ht="27" customHeight="1">
      <c r="A60" s="30"/>
      <c r="B60" s="794"/>
      <c r="C60" s="853"/>
      <c r="D60" s="72"/>
      <c r="E60" s="98"/>
      <c r="F60" s="98"/>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F60" s="98"/>
      <c r="AG60" s="98"/>
      <c r="AH60" s="98"/>
    </row>
    <row r="61" spans="1:34" ht="27" customHeight="1">
      <c r="A61" s="30"/>
      <c r="B61" s="794"/>
      <c r="C61" s="854"/>
      <c r="D61" s="72"/>
      <c r="E61" s="98"/>
      <c r="F61" s="98"/>
      <c r="G61" s="98"/>
      <c r="H61" s="98"/>
      <c r="I61" s="98"/>
      <c r="J61" s="98"/>
      <c r="K61" s="98"/>
      <c r="L61" s="98"/>
      <c r="M61" s="98"/>
      <c r="N61" s="98"/>
      <c r="O61" s="98"/>
      <c r="P61" s="98"/>
      <c r="Q61" s="98"/>
      <c r="R61" s="98"/>
      <c r="S61" s="98"/>
      <c r="T61" s="98"/>
      <c r="U61" s="98"/>
      <c r="V61" s="98"/>
      <c r="W61" s="98"/>
      <c r="X61" s="98"/>
      <c r="Y61" s="98"/>
      <c r="Z61" s="98"/>
      <c r="AA61" s="98"/>
      <c r="AB61" s="98"/>
      <c r="AC61" s="98"/>
      <c r="AD61" s="98"/>
      <c r="AE61" s="98"/>
      <c r="AF61" s="98"/>
      <c r="AG61" s="98"/>
      <c r="AH61" s="98"/>
    </row>
    <row r="62" spans="1:34" ht="27" customHeight="1">
      <c r="A62" s="30"/>
      <c r="B62" s="794"/>
      <c r="C62" s="854"/>
      <c r="D62" s="72"/>
      <c r="E62" s="98"/>
      <c r="F62" s="98"/>
      <c r="G62" s="98"/>
      <c r="H62" s="98"/>
      <c r="I62" s="98"/>
      <c r="J62" s="98"/>
      <c r="K62" s="98"/>
      <c r="L62" s="98"/>
      <c r="M62" s="98"/>
      <c r="N62" s="98"/>
      <c r="O62" s="98"/>
      <c r="P62" s="98"/>
      <c r="Q62" s="98"/>
      <c r="R62" s="98"/>
      <c r="S62" s="98"/>
      <c r="T62" s="98"/>
      <c r="U62" s="98"/>
      <c r="V62" s="98"/>
      <c r="W62" s="98"/>
      <c r="X62" s="98"/>
      <c r="Y62" s="98"/>
      <c r="Z62" s="98"/>
      <c r="AA62" s="98"/>
      <c r="AB62" s="98"/>
      <c r="AC62" s="98"/>
      <c r="AD62" s="98"/>
      <c r="AE62" s="98"/>
      <c r="AF62" s="98"/>
      <c r="AG62" s="98"/>
      <c r="AH62" s="98"/>
    </row>
    <row r="63" spans="1:34" ht="27" customHeight="1" thickBot="1">
      <c r="A63" s="30"/>
      <c r="B63" s="794"/>
      <c r="C63" s="855"/>
      <c r="D63" s="72"/>
      <c r="E63" s="98"/>
      <c r="F63" s="98"/>
      <c r="G63" s="98"/>
      <c r="H63" s="98"/>
      <c r="I63" s="98"/>
      <c r="J63" s="98"/>
      <c r="K63" s="98"/>
      <c r="L63" s="98"/>
      <c r="M63" s="98"/>
      <c r="N63" s="98"/>
      <c r="O63" s="98"/>
      <c r="P63" s="98"/>
      <c r="Q63" s="98"/>
      <c r="R63" s="98"/>
      <c r="S63" s="98"/>
      <c r="T63" s="98"/>
      <c r="U63" s="98"/>
      <c r="V63" s="98"/>
      <c r="W63" s="98"/>
      <c r="X63" s="98"/>
      <c r="Y63" s="98"/>
      <c r="Z63" s="98"/>
      <c r="AA63" s="98"/>
      <c r="AB63" s="98"/>
      <c r="AC63" s="98"/>
      <c r="AD63" s="98"/>
      <c r="AE63" s="98"/>
      <c r="AF63" s="98"/>
      <c r="AG63" s="98"/>
      <c r="AH63" s="98"/>
    </row>
    <row r="64" spans="1:34" ht="27" hidden="1" customHeight="1">
      <c r="A64" s="30"/>
      <c r="B64" s="794"/>
      <c r="C64" s="74"/>
      <c r="D64" s="72"/>
      <c r="E64" s="98"/>
      <c r="F64" s="98"/>
      <c r="G64" s="98"/>
      <c r="H64" s="98"/>
      <c r="I64" s="98"/>
      <c r="J64" s="98"/>
      <c r="K64" s="98"/>
      <c r="L64" s="98"/>
      <c r="M64" s="98"/>
      <c r="N64" s="98"/>
      <c r="O64" s="98"/>
      <c r="P64" s="98"/>
      <c r="Q64" s="98"/>
      <c r="R64" s="98"/>
      <c r="S64" s="98"/>
      <c r="T64" s="98"/>
      <c r="U64" s="98"/>
      <c r="V64" s="98"/>
      <c r="W64" s="98"/>
      <c r="X64" s="98"/>
      <c r="Y64" s="98"/>
      <c r="Z64" s="98"/>
      <c r="AA64" s="98"/>
      <c r="AB64" s="98"/>
      <c r="AC64" s="98"/>
      <c r="AD64" s="98"/>
      <c r="AE64" s="98"/>
      <c r="AF64" s="98"/>
      <c r="AG64" s="98"/>
      <c r="AH64" s="98"/>
    </row>
    <row r="65" spans="1:34" ht="27" customHeight="1">
      <c r="A65" s="30"/>
      <c r="B65" s="800">
        <v>7</v>
      </c>
      <c r="C65" s="795"/>
      <c r="D65" s="796"/>
      <c r="E65" s="97" t="str">
        <f>IFERROR(AVERAGE(E66:E72),"")</f>
        <v/>
      </c>
      <c r="F65" s="97" t="str">
        <f t="shared" ref="F65:AH65" si="10">IFERROR(AVERAGE(F66:F72),"")</f>
        <v/>
      </c>
      <c r="G65" s="97" t="str">
        <f t="shared" si="10"/>
        <v/>
      </c>
      <c r="H65" s="97" t="str">
        <f t="shared" si="10"/>
        <v/>
      </c>
      <c r="I65" s="97" t="str">
        <f t="shared" si="10"/>
        <v/>
      </c>
      <c r="J65" s="97" t="str">
        <f t="shared" si="10"/>
        <v/>
      </c>
      <c r="K65" s="97" t="str">
        <f t="shared" si="10"/>
        <v/>
      </c>
      <c r="L65" s="97" t="str">
        <f t="shared" si="10"/>
        <v/>
      </c>
      <c r="M65" s="97" t="str">
        <f t="shared" si="10"/>
        <v/>
      </c>
      <c r="N65" s="97" t="str">
        <f t="shared" si="10"/>
        <v/>
      </c>
      <c r="O65" s="97" t="str">
        <f t="shared" si="10"/>
        <v/>
      </c>
      <c r="P65" s="97" t="str">
        <f t="shared" si="10"/>
        <v/>
      </c>
      <c r="Q65" s="97" t="str">
        <f t="shared" si="10"/>
        <v/>
      </c>
      <c r="R65" s="97" t="str">
        <f t="shared" si="10"/>
        <v/>
      </c>
      <c r="S65" s="97" t="str">
        <f t="shared" si="10"/>
        <v/>
      </c>
      <c r="T65" s="97" t="str">
        <f t="shared" si="10"/>
        <v/>
      </c>
      <c r="U65" s="97" t="str">
        <f t="shared" si="10"/>
        <v/>
      </c>
      <c r="V65" s="97" t="str">
        <f t="shared" si="10"/>
        <v/>
      </c>
      <c r="W65" s="97" t="str">
        <f t="shared" si="10"/>
        <v/>
      </c>
      <c r="X65" s="97" t="str">
        <f t="shared" si="10"/>
        <v/>
      </c>
      <c r="Y65" s="97" t="str">
        <f t="shared" si="10"/>
        <v/>
      </c>
      <c r="Z65" s="97" t="str">
        <f t="shared" si="10"/>
        <v/>
      </c>
      <c r="AA65" s="97" t="str">
        <f t="shared" si="10"/>
        <v/>
      </c>
      <c r="AB65" s="97" t="str">
        <f t="shared" si="10"/>
        <v/>
      </c>
      <c r="AC65" s="97" t="str">
        <f t="shared" si="10"/>
        <v/>
      </c>
      <c r="AD65" s="97" t="str">
        <f t="shared" si="10"/>
        <v/>
      </c>
      <c r="AE65" s="97" t="str">
        <f t="shared" si="10"/>
        <v/>
      </c>
      <c r="AF65" s="97" t="str">
        <f t="shared" si="10"/>
        <v/>
      </c>
      <c r="AG65" s="97" t="str">
        <f t="shared" si="10"/>
        <v/>
      </c>
      <c r="AH65" s="97" t="str">
        <f t="shared" si="10"/>
        <v/>
      </c>
    </row>
    <row r="66" spans="1:34" ht="27" customHeight="1">
      <c r="A66" s="30"/>
      <c r="B66" s="801"/>
      <c r="C66" s="410"/>
      <c r="D66" s="72"/>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row>
    <row r="67" spans="1:34" ht="27" customHeight="1">
      <c r="A67" s="30"/>
      <c r="B67" s="801"/>
      <c r="C67" s="409"/>
      <c r="D67" s="72"/>
      <c r="E67" s="98"/>
      <c r="F67" s="98"/>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row>
    <row r="68" spans="1:34" ht="27" customHeight="1">
      <c r="A68" s="30"/>
      <c r="B68" s="801"/>
      <c r="C68" s="409"/>
      <c r="D68" s="72"/>
      <c r="E68" s="98"/>
      <c r="F68" s="98"/>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row>
    <row r="69" spans="1:34" ht="27" customHeight="1">
      <c r="A69" s="30"/>
      <c r="B69" s="801"/>
      <c r="C69" s="409"/>
      <c r="D69" s="72"/>
      <c r="E69" s="98"/>
      <c r="F69" s="98"/>
      <c r="G69" s="98"/>
      <c r="H69" s="98"/>
      <c r="I69" s="98"/>
      <c r="J69" s="98"/>
      <c r="K69" s="98"/>
      <c r="L69" s="98"/>
      <c r="M69" s="98"/>
      <c r="N69" s="98"/>
      <c r="O69" s="98"/>
      <c r="P69" s="98"/>
      <c r="Q69" s="98"/>
      <c r="R69" s="98"/>
      <c r="S69" s="98"/>
      <c r="T69" s="98"/>
      <c r="U69" s="98"/>
      <c r="V69" s="98"/>
      <c r="W69" s="98"/>
      <c r="X69" s="98"/>
      <c r="Y69" s="98"/>
      <c r="Z69" s="98"/>
      <c r="AA69" s="98"/>
      <c r="AB69" s="98"/>
      <c r="AC69" s="98"/>
      <c r="AD69" s="98"/>
      <c r="AE69" s="98"/>
      <c r="AF69" s="98"/>
      <c r="AG69" s="98"/>
      <c r="AH69" s="98"/>
    </row>
    <row r="70" spans="1:34" ht="27" hidden="1" customHeight="1">
      <c r="A70" s="30"/>
      <c r="B70" s="801"/>
      <c r="C70" s="74"/>
      <c r="D70" s="72"/>
      <c r="E70" s="98"/>
      <c r="F70" s="98"/>
      <c r="G70" s="98"/>
      <c r="H70" s="98"/>
      <c r="I70" s="98"/>
      <c r="J70" s="98"/>
      <c r="K70" s="98"/>
      <c r="L70" s="98"/>
      <c r="M70" s="98"/>
      <c r="N70" s="98"/>
      <c r="O70" s="98"/>
      <c r="P70" s="98"/>
      <c r="Q70" s="98"/>
      <c r="R70" s="98"/>
      <c r="S70" s="98"/>
      <c r="T70" s="98"/>
      <c r="U70" s="98"/>
      <c r="V70" s="98"/>
      <c r="W70" s="98"/>
      <c r="X70" s="98"/>
      <c r="Y70" s="98"/>
      <c r="Z70" s="98"/>
      <c r="AA70" s="98"/>
      <c r="AB70" s="98"/>
      <c r="AC70" s="98"/>
      <c r="AD70" s="98"/>
      <c r="AE70" s="98"/>
      <c r="AF70" s="98"/>
      <c r="AG70" s="98"/>
      <c r="AH70" s="98"/>
    </row>
    <row r="71" spans="1:34" ht="27" hidden="1" customHeight="1">
      <c r="A71" s="30"/>
      <c r="B71" s="801"/>
      <c r="C71" s="74"/>
      <c r="D71" s="72"/>
      <c r="E71" s="98"/>
      <c r="F71" s="98"/>
      <c r="G71" s="98"/>
      <c r="H71" s="98"/>
      <c r="I71" s="98"/>
      <c r="J71" s="98"/>
      <c r="K71" s="98"/>
      <c r="L71" s="98"/>
      <c r="M71" s="98"/>
      <c r="N71" s="98"/>
      <c r="O71" s="98"/>
      <c r="P71" s="98"/>
      <c r="Q71" s="98"/>
      <c r="R71" s="98"/>
      <c r="S71" s="98"/>
      <c r="T71" s="98"/>
      <c r="U71" s="98"/>
      <c r="V71" s="98"/>
      <c r="W71" s="98"/>
      <c r="X71" s="98"/>
      <c r="Y71" s="98"/>
      <c r="Z71" s="98"/>
      <c r="AA71" s="98"/>
      <c r="AB71" s="98"/>
      <c r="AC71" s="98"/>
      <c r="AD71" s="98"/>
      <c r="AE71" s="98"/>
      <c r="AF71" s="98"/>
      <c r="AG71" s="98"/>
      <c r="AH71" s="98"/>
    </row>
    <row r="72" spans="1:34" ht="27" hidden="1" customHeight="1">
      <c r="A72" s="30"/>
      <c r="B72" s="802"/>
      <c r="C72" s="74"/>
      <c r="D72" s="72"/>
      <c r="E72" s="98"/>
      <c r="F72" s="98"/>
      <c r="G72" s="98"/>
      <c r="H72" s="98"/>
      <c r="I72" s="98"/>
      <c r="J72" s="98"/>
      <c r="K72" s="98"/>
      <c r="L72" s="98"/>
      <c r="M72" s="98"/>
      <c r="N72" s="98"/>
      <c r="O72" s="98"/>
      <c r="P72" s="98"/>
      <c r="Q72" s="98"/>
      <c r="R72" s="98"/>
      <c r="S72" s="98"/>
      <c r="T72" s="98"/>
      <c r="U72" s="98"/>
      <c r="V72" s="98"/>
      <c r="W72" s="98"/>
      <c r="X72" s="98"/>
      <c r="Y72" s="98"/>
      <c r="Z72" s="98"/>
      <c r="AA72" s="98"/>
      <c r="AB72" s="98"/>
      <c r="AC72" s="98"/>
      <c r="AD72" s="98"/>
      <c r="AE72" s="98"/>
      <c r="AF72" s="98"/>
      <c r="AG72" s="98"/>
      <c r="AH72" s="98"/>
    </row>
    <row r="73" spans="1:34" ht="27" customHeight="1">
      <c r="A73" s="30"/>
      <c r="B73" s="800">
        <v>8</v>
      </c>
      <c r="C73" s="795"/>
      <c r="D73" s="796"/>
      <c r="E73" s="97" t="str">
        <f>IFERROR(AVERAGE(E74:E80),"")</f>
        <v/>
      </c>
      <c r="F73" s="97" t="str">
        <f t="shared" ref="F73:AH73" si="11">IFERROR(AVERAGE(F74:F80),"")</f>
        <v/>
      </c>
      <c r="G73" s="97" t="str">
        <f t="shared" si="11"/>
        <v/>
      </c>
      <c r="H73" s="97" t="str">
        <f t="shared" si="11"/>
        <v/>
      </c>
      <c r="I73" s="97" t="str">
        <f t="shared" si="11"/>
        <v/>
      </c>
      <c r="J73" s="97" t="str">
        <f t="shared" si="11"/>
        <v/>
      </c>
      <c r="K73" s="97" t="str">
        <f t="shared" si="11"/>
        <v/>
      </c>
      <c r="L73" s="97" t="str">
        <f t="shared" si="11"/>
        <v/>
      </c>
      <c r="M73" s="97" t="str">
        <f t="shared" si="11"/>
        <v/>
      </c>
      <c r="N73" s="97" t="str">
        <f t="shared" si="11"/>
        <v/>
      </c>
      <c r="O73" s="97" t="str">
        <f t="shared" si="11"/>
        <v/>
      </c>
      <c r="P73" s="97" t="str">
        <f t="shared" si="11"/>
        <v/>
      </c>
      <c r="Q73" s="97" t="str">
        <f t="shared" si="11"/>
        <v/>
      </c>
      <c r="R73" s="97" t="str">
        <f t="shared" si="11"/>
        <v/>
      </c>
      <c r="S73" s="97" t="str">
        <f t="shared" si="11"/>
        <v/>
      </c>
      <c r="T73" s="97" t="str">
        <f t="shared" si="11"/>
        <v/>
      </c>
      <c r="U73" s="97" t="str">
        <f t="shared" si="11"/>
        <v/>
      </c>
      <c r="V73" s="97" t="str">
        <f t="shared" si="11"/>
        <v/>
      </c>
      <c r="W73" s="97" t="str">
        <f t="shared" si="11"/>
        <v/>
      </c>
      <c r="X73" s="97" t="str">
        <f t="shared" si="11"/>
        <v/>
      </c>
      <c r="Y73" s="97" t="str">
        <f t="shared" si="11"/>
        <v/>
      </c>
      <c r="Z73" s="97" t="str">
        <f t="shared" si="11"/>
        <v/>
      </c>
      <c r="AA73" s="97" t="str">
        <f t="shared" si="11"/>
        <v/>
      </c>
      <c r="AB73" s="97" t="str">
        <f t="shared" si="11"/>
        <v/>
      </c>
      <c r="AC73" s="97" t="str">
        <f t="shared" si="11"/>
        <v/>
      </c>
      <c r="AD73" s="97" t="str">
        <f t="shared" si="11"/>
        <v/>
      </c>
      <c r="AE73" s="97" t="str">
        <f t="shared" si="11"/>
        <v/>
      </c>
      <c r="AF73" s="97" t="str">
        <f t="shared" si="11"/>
        <v/>
      </c>
      <c r="AG73" s="97" t="str">
        <f t="shared" si="11"/>
        <v/>
      </c>
      <c r="AH73" s="97" t="str">
        <f t="shared" si="11"/>
        <v/>
      </c>
    </row>
    <row r="74" spans="1:34" ht="27" customHeight="1">
      <c r="A74" s="30"/>
      <c r="B74" s="801"/>
      <c r="C74" s="428"/>
      <c r="D74" s="72"/>
      <c r="E74" s="98"/>
      <c r="F74" s="98"/>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row>
    <row r="75" spans="1:34" ht="27" customHeight="1">
      <c r="A75" s="30"/>
      <c r="B75" s="801"/>
      <c r="C75" s="428"/>
      <c r="D75" s="72"/>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row>
    <row r="76" spans="1:34" ht="27" customHeight="1">
      <c r="A76" s="30"/>
      <c r="B76" s="801"/>
      <c r="C76" s="428"/>
      <c r="D76" s="72"/>
      <c r="E76" s="98"/>
      <c r="F76" s="98"/>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row>
    <row r="77" spans="1:34" ht="27" customHeight="1">
      <c r="A77" s="30"/>
      <c r="B77" s="801"/>
      <c r="C77" s="428"/>
      <c r="D77" s="72"/>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row>
    <row r="78" spans="1:34" ht="27" hidden="1" customHeight="1">
      <c r="A78" s="30"/>
      <c r="B78" s="801"/>
      <c r="C78" s="74" t="s">
        <v>198</v>
      </c>
      <c r="D78" s="72"/>
      <c r="E78" s="98"/>
      <c r="F78" s="98"/>
      <c r="G78" s="98"/>
      <c r="H78" s="98"/>
      <c r="I78" s="98"/>
      <c r="J78" s="98"/>
      <c r="K78" s="98"/>
      <c r="L78" s="98"/>
      <c r="M78" s="98"/>
      <c r="N78" s="98"/>
      <c r="O78" s="98"/>
      <c r="P78" s="98"/>
      <c r="Q78" s="98"/>
      <c r="R78" s="98"/>
      <c r="S78" s="98"/>
      <c r="T78" s="98"/>
      <c r="U78" s="98"/>
      <c r="V78" s="98"/>
      <c r="W78" s="98"/>
      <c r="X78" s="98"/>
      <c r="Y78" s="98"/>
      <c r="Z78" s="98"/>
      <c r="AA78" s="98"/>
      <c r="AB78" s="98"/>
      <c r="AC78" s="98"/>
      <c r="AD78" s="98"/>
      <c r="AE78" s="98"/>
      <c r="AF78" s="98"/>
      <c r="AG78" s="98"/>
      <c r="AH78" s="98"/>
    </row>
    <row r="79" spans="1:34" ht="27" hidden="1" customHeight="1">
      <c r="A79" s="30"/>
      <c r="B79" s="801"/>
      <c r="C79" s="74" t="s">
        <v>199</v>
      </c>
      <c r="D79" s="72"/>
      <c r="E79" s="98"/>
      <c r="F79" s="98"/>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row>
    <row r="80" spans="1:34" ht="27" hidden="1" customHeight="1">
      <c r="A80" s="30"/>
      <c r="B80" s="802"/>
      <c r="C80" s="74" t="s">
        <v>200</v>
      </c>
      <c r="D80" s="72"/>
      <c r="E80" s="98"/>
      <c r="F80" s="98"/>
      <c r="G80" s="98"/>
      <c r="H80" s="98"/>
      <c r="I80" s="98"/>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row>
    <row r="81" spans="1:34" ht="27" hidden="1" customHeight="1">
      <c r="A81" s="30"/>
      <c r="B81" s="794">
        <v>9</v>
      </c>
      <c r="C81" s="795"/>
      <c r="D81" s="796"/>
      <c r="E81" s="97" t="str">
        <f>IFERROR(AVERAGE(E82:E88),"")</f>
        <v/>
      </c>
      <c r="F81" s="97" t="str">
        <f t="shared" ref="F81:AH81" si="12">IFERROR(AVERAGE(F82:F88),"")</f>
        <v/>
      </c>
      <c r="G81" s="97" t="str">
        <f t="shared" si="12"/>
        <v/>
      </c>
      <c r="H81" s="97" t="str">
        <f t="shared" si="12"/>
        <v/>
      </c>
      <c r="I81" s="97" t="str">
        <f t="shared" si="12"/>
        <v/>
      </c>
      <c r="J81" s="97" t="str">
        <f t="shared" si="12"/>
        <v/>
      </c>
      <c r="K81" s="97" t="str">
        <f t="shared" si="12"/>
        <v/>
      </c>
      <c r="L81" s="97" t="str">
        <f t="shared" si="12"/>
        <v/>
      </c>
      <c r="M81" s="97" t="str">
        <f t="shared" si="12"/>
        <v/>
      </c>
      <c r="N81" s="97" t="str">
        <f t="shared" si="12"/>
        <v/>
      </c>
      <c r="O81" s="97" t="str">
        <f t="shared" si="12"/>
        <v/>
      </c>
      <c r="P81" s="97" t="str">
        <f t="shared" si="12"/>
        <v/>
      </c>
      <c r="Q81" s="97" t="str">
        <f t="shared" si="12"/>
        <v/>
      </c>
      <c r="R81" s="97" t="str">
        <f t="shared" si="12"/>
        <v/>
      </c>
      <c r="S81" s="97" t="str">
        <f t="shared" si="12"/>
        <v/>
      </c>
      <c r="T81" s="97" t="str">
        <f t="shared" si="12"/>
        <v/>
      </c>
      <c r="U81" s="97" t="str">
        <f t="shared" si="12"/>
        <v/>
      </c>
      <c r="V81" s="97" t="str">
        <f t="shared" si="12"/>
        <v/>
      </c>
      <c r="W81" s="97" t="str">
        <f t="shared" si="12"/>
        <v/>
      </c>
      <c r="X81" s="97" t="str">
        <f t="shared" si="12"/>
        <v/>
      </c>
      <c r="Y81" s="97" t="str">
        <f t="shared" si="12"/>
        <v/>
      </c>
      <c r="Z81" s="97" t="str">
        <f t="shared" si="12"/>
        <v/>
      </c>
      <c r="AA81" s="97" t="str">
        <f t="shared" si="12"/>
        <v/>
      </c>
      <c r="AB81" s="97" t="str">
        <f t="shared" si="12"/>
        <v/>
      </c>
      <c r="AC81" s="97" t="str">
        <f t="shared" si="12"/>
        <v/>
      </c>
      <c r="AD81" s="97" t="str">
        <f t="shared" si="12"/>
        <v/>
      </c>
      <c r="AE81" s="97" t="str">
        <f t="shared" si="12"/>
        <v/>
      </c>
      <c r="AF81" s="97" t="str">
        <f t="shared" si="12"/>
        <v/>
      </c>
      <c r="AG81" s="97" t="str">
        <f t="shared" si="12"/>
        <v/>
      </c>
      <c r="AH81" s="97" t="str">
        <f t="shared" si="12"/>
        <v/>
      </c>
    </row>
    <row r="82" spans="1:34" ht="27" hidden="1" customHeight="1">
      <c r="A82" s="30"/>
      <c r="B82" s="794"/>
      <c r="C82" s="74" t="s">
        <v>201</v>
      </c>
      <c r="D82" s="72"/>
      <c r="E82" s="98"/>
      <c r="F82" s="98"/>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row>
    <row r="83" spans="1:34" ht="27" hidden="1" customHeight="1">
      <c r="A83" s="30"/>
      <c r="B83" s="794"/>
      <c r="C83" s="74" t="s">
        <v>202</v>
      </c>
      <c r="D83" s="72"/>
      <c r="E83" s="98"/>
      <c r="F83" s="98"/>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row>
    <row r="84" spans="1:34" ht="27" hidden="1" customHeight="1">
      <c r="A84" s="30"/>
      <c r="B84" s="794"/>
      <c r="C84" s="74" t="s">
        <v>203</v>
      </c>
      <c r="D84" s="72"/>
      <c r="E84" s="98"/>
      <c r="F84" s="98"/>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row>
    <row r="85" spans="1:34" ht="27" hidden="1" customHeight="1">
      <c r="A85" s="30"/>
      <c r="B85" s="794"/>
      <c r="C85" s="74" t="s">
        <v>204</v>
      </c>
      <c r="D85" s="72"/>
      <c r="E85" s="98"/>
      <c r="F85" s="98"/>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row>
    <row r="86" spans="1:34" ht="27" hidden="1" customHeight="1">
      <c r="A86" s="30"/>
      <c r="B86" s="794"/>
      <c r="C86" s="74" t="s">
        <v>205</v>
      </c>
      <c r="D86" s="72"/>
      <c r="E86" s="98"/>
      <c r="F86" s="98"/>
      <c r="G86" s="98"/>
      <c r="H86" s="98"/>
      <c r="I86" s="98"/>
      <c r="J86" s="98"/>
      <c r="K86" s="98"/>
      <c r="L86" s="98"/>
      <c r="M86" s="98"/>
      <c r="N86" s="98"/>
      <c r="O86" s="98"/>
      <c r="P86" s="98"/>
      <c r="Q86" s="98"/>
      <c r="R86" s="98"/>
      <c r="S86" s="98"/>
      <c r="T86" s="98"/>
      <c r="U86" s="98"/>
      <c r="V86" s="98"/>
      <c r="W86" s="98"/>
      <c r="X86" s="98"/>
      <c r="Y86" s="98"/>
      <c r="Z86" s="98"/>
      <c r="AA86" s="98"/>
      <c r="AB86" s="98"/>
      <c r="AC86" s="98"/>
      <c r="AD86" s="98"/>
      <c r="AE86" s="98"/>
      <c r="AF86" s="98"/>
      <c r="AG86" s="98"/>
      <c r="AH86" s="98"/>
    </row>
    <row r="87" spans="1:34" ht="27" hidden="1" customHeight="1">
      <c r="A87" s="30"/>
      <c r="B87" s="794"/>
      <c r="C87" s="74" t="s">
        <v>206</v>
      </c>
      <c r="D87" s="72"/>
      <c r="E87" s="98"/>
      <c r="F87" s="98"/>
      <c r="G87" s="98"/>
      <c r="H87" s="98"/>
      <c r="I87" s="98"/>
      <c r="J87" s="98"/>
      <c r="K87" s="98"/>
      <c r="L87" s="98"/>
      <c r="M87" s="98"/>
      <c r="N87" s="98"/>
      <c r="O87" s="98"/>
      <c r="P87" s="98"/>
      <c r="Q87" s="98"/>
      <c r="R87" s="98"/>
      <c r="S87" s="98"/>
      <c r="T87" s="98"/>
      <c r="U87" s="98"/>
      <c r="V87" s="98"/>
      <c r="W87" s="98"/>
      <c r="X87" s="98"/>
      <c r="Y87" s="98"/>
      <c r="Z87" s="98"/>
      <c r="AA87" s="98"/>
      <c r="AB87" s="98"/>
      <c r="AC87" s="98"/>
      <c r="AD87" s="98"/>
      <c r="AE87" s="98"/>
      <c r="AF87" s="98"/>
      <c r="AG87" s="98"/>
      <c r="AH87" s="98"/>
    </row>
    <row r="88" spans="1:34" ht="27" hidden="1" customHeight="1">
      <c r="A88" s="30"/>
      <c r="B88" s="794"/>
      <c r="C88" s="74" t="s">
        <v>207</v>
      </c>
      <c r="D88" s="72"/>
      <c r="E88" s="98"/>
      <c r="F88" s="98"/>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row>
    <row r="89" spans="1:34" ht="27" hidden="1" customHeight="1">
      <c r="A89" s="30"/>
      <c r="B89" s="800">
        <v>10</v>
      </c>
      <c r="C89" s="795"/>
      <c r="D89" s="796"/>
      <c r="E89" s="97" t="str">
        <f>IFERROR(AVERAGE(E90:E96),"")</f>
        <v/>
      </c>
      <c r="F89" s="97" t="str">
        <f t="shared" ref="F89:AH89" si="13">IFERROR(AVERAGE(F90:F96),"")</f>
        <v/>
      </c>
      <c r="G89" s="97" t="str">
        <f t="shared" si="13"/>
        <v/>
      </c>
      <c r="H89" s="97" t="str">
        <f t="shared" si="13"/>
        <v/>
      </c>
      <c r="I89" s="97" t="str">
        <f t="shared" si="13"/>
        <v/>
      </c>
      <c r="J89" s="97" t="str">
        <f t="shared" si="13"/>
        <v/>
      </c>
      <c r="K89" s="97" t="str">
        <f t="shared" si="13"/>
        <v/>
      </c>
      <c r="L89" s="97" t="str">
        <f t="shared" si="13"/>
        <v/>
      </c>
      <c r="M89" s="97" t="str">
        <f t="shared" si="13"/>
        <v/>
      </c>
      <c r="N89" s="97" t="str">
        <f t="shared" si="13"/>
        <v/>
      </c>
      <c r="O89" s="97" t="str">
        <f t="shared" si="13"/>
        <v/>
      </c>
      <c r="P89" s="97" t="str">
        <f t="shared" si="13"/>
        <v/>
      </c>
      <c r="Q89" s="97" t="str">
        <f t="shared" si="13"/>
        <v/>
      </c>
      <c r="R89" s="97" t="str">
        <f t="shared" si="13"/>
        <v/>
      </c>
      <c r="S89" s="97" t="str">
        <f t="shared" si="13"/>
        <v/>
      </c>
      <c r="T89" s="97" t="str">
        <f t="shared" si="13"/>
        <v/>
      </c>
      <c r="U89" s="97" t="str">
        <f t="shared" si="13"/>
        <v/>
      </c>
      <c r="V89" s="97" t="str">
        <f t="shared" si="13"/>
        <v/>
      </c>
      <c r="W89" s="97" t="str">
        <f t="shared" si="13"/>
        <v/>
      </c>
      <c r="X89" s="97" t="str">
        <f t="shared" si="13"/>
        <v/>
      </c>
      <c r="Y89" s="97" t="str">
        <f t="shared" si="13"/>
        <v/>
      </c>
      <c r="Z89" s="97" t="str">
        <f t="shared" si="13"/>
        <v/>
      </c>
      <c r="AA89" s="97" t="str">
        <f t="shared" si="13"/>
        <v/>
      </c>
      <c r="AB89" s="97" t="str">
        <f t="shared" si="13"/>
        <v/>
      </c>
      <c r="AC89" s="97" t="str">
        <f t="shared" si="13"/>
        <v/>
      </c>
      <c r="AD89" s="97" t="str">
        <f t="shared" si="13"/>
        <v/>
      </c>
      <c r="AE89" s="97" t="str">
        <f t="shared" si="13"/>
        <v/>
      </c>
      <c r="AF89" s="97" t="str">
        <f t="shared" si="13"/>
        <v/>
      </c>
      <c r="AG89" s="97" t="str">
        <f t="shared" si="13"/>
        <v/>
      </c>
      <c r="AH89" s="97" t="str">
        <f t="shared" si="13"/>
        <v/>
      </c>
    </row>
    <row r="90" spans="1:34" ht="27" hidden="1" customHeight="1">
      <c r="A90" s="30"/>
      <c r="B90" s="801"/>
      <c r="C90" s="74" t="s">
        <v>208</v>
      </c>
      <c r="D90" s="72"/>
      <c r="E90" s="98"/>
      <c r="F90" s="98"/>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row>
    <row r="91" spans="1:34" ht="27" hidden="1" customHeight="1">
      <c r="A91" s="30"/>
      <c r="B91" s="801"/>
      <c r="C91" s="74" t="s">
        <v>209</v>
      </c>
      <c r="D91" s="72"/>
      <c r="E91" s="98"/>
      <c r="F91" s="98"/>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row>
    <row r="92" spans="1:34" ht="27" hidden="1" customHeight="1">
      <c r="A92" s="30"/>
      <c r="B92" s="801"/>
      <c r="C92" s="74" t="s">
        <v>210</v>
      </c>
      <c r="D92" s="72"/>
      <c r="E92" s="98"/>
      <c r="F92" s="98"/>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row>
    <row r="93" spans="1:34" ht="27" hidden="1" customHeight="1">
      <c r="A93" s="30"/>
      <c r="B93" s="801"/>
      <c r="C93" s="74" t="s">
        <v>211</v>
      </c>
      <c r="D93" s="72"/>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row>
    <row r="94" spans="1:34" ht="27" hidden="1" customHeight="1">
      <c r="A94" s="30"/>
      <c r="B94" s="801"/>
      <c r="C94" s="74" t="s">
        <v>212</v>
      </c>
      <c r="D94" s="72"/>
      <c r="E94" s="98"/>
      <c r="F94" s="98"/>
      <c r="G94" s="98"/>
      <c r="H94" s="98"/>
      <c r="I94" s="98"/>
      <c r="J94" s="98"/>
      <c r="K94" s="98"/>
      <c r="L94" s="98"/>
      <c r="M94" s="98"/>
      <c r="N94" s="98"/>
      <c r="O94" s="98"/>
      <c r="P94" s="98"/>
      <c r="Q94" s="98"/>
      <c r="R94" s="98"/>
      <c r="S94" s="98"/>
      <c r="T94" s="98"/>
      <c r="U94" s="98"/>
      <c r="V94" s="98"/>
      <c r="W94" s="98"/>
      <c r="X94" s="98"/>
      <c r="Y94" s="98"/>
      <c r="Z94" s="98"/>
      <c r="AA94" s="98"/>
      <c r="AB94" s="98"/>
      <c r="AC94" s="98"/>
      <c r="AD94" s="98"/>
      <c r="AE94" s="98"/>
      <c r="AF94" s="98"/>
      <c r="AG94" s="98"/>
      <c r="AH94" s="98"/>
    </row>
    <row r="95" spans="1:34" ht="27" hidden="1" customHeight="1">
      <c r="A95" s="30"/>
      <c r="B95" s="801"/>
      <c r="C95" s="74" t="s">
        <v>213</v>
      </c>
      <c r="D95" s="72"/>
      <c r="E95" s="98"/>
      <c r="F95" s="98"/>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row>
    <row r="96" spans="1:34" ht="27" hidden="1" customHeight="1">
      <c r="A96" s="30"/>
      <c r="B96" s="802"/>
      <c r="C96" s="74" t="s">
        <v>214</v>
      </c>
      <c r="D96" s="72"/>
      <c r="E96" s="98"/>
      <c r="F96" s="98"/>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row>
    <row r="97" spans="1:34" ht="27" hidden="1" customHeight="1">
      <c r="A97" s="30"/>
      <c r="B97" s="800">
        <v>11</v>
      </c>
      <c r="C97" s="795"/>
      <c r="D97" s="796"/>
      <c r="E97" s="97" t="str">
        <f>IFERROR(AVERAGE(E98:E104),"")</f>
        <v/>
      </c>
      <c r="F97" s="97" t="str">
        <f t="shared" ref="F97:AH97" si="14">IFERROR(AVERAGE(F98:F104),"")</f>
        <v/>
      </c>
      <c r="G97" s="97" t="str">
        <f t="shared" si="14"/>
        <v/>
      </c>
      <c r="H97" s="97" t="str">
        <f t="shared" si="14"/>
        <v/>
      </c>
      <c r="I97" s="97" t="str">
        <f t="shared" si="14"/>
        <v/>
      </c>
      <c r="J97" s="97" t="str">
        <f t="shared" si="14"/>
        <v/>
      </c>
      <c r="K97" s="97" t="str">
        <f t="shared" si="14"/>
        <v/>
      </c>
      <c r="L97" s="97" t="str">
        <f t="shared" si="14"/>
        <v/>
      </c>
      <c r="M97" s="97" t="str">
        <f t="shared" si="14"/>
        <v/>
      </c>
      <c r="N97" s="97" t="str">
        <f t="shared" si="14"/>
        <v/>
      </c>
      <c r="O97" s="97" t="str">
        <f t="shared" si="14"/>
        <v/>
      </c>
      <c r="P97" s="97" t="str">
        <f t="shared" si="14"/>
        <v/>
      </c>
      <c r="Q97" s="97" t="str">
        <f t="shared" si="14"/>
        <v/>
      </c>
      <c r="R97" s="97" t="str">
        <f t="shared" si="14"/>
        <v/>
      </c>
      <c r="S97" s="97" t="str">
        <f t="shared" si="14"/>
        <v/>
      </c>
      <c r="T97" s="97" t="str">
        <f t="shared" si="14"/>
        <v/>
      </c>
      <c r="U97" s="97" t="str">
        <f t="shared" si="14"/>
        <v/>
      </c>
      <c r="V97" s="97" t="str">
        <f t="shared" si="14"/>
        <v/>
      </c>
      <c r="W97" s="97" t="str">
        <f t="shared" si="14"/>
        <v/>
      </c>
      <c r="X97" s="97" t="str">
        <f t="shared" si="14"/>
        <v/>
      </c>
      <c r="Y97" s="97" t="str">
        <f t="shared" si="14"/>
        <v/>
      </c>
      <c r="Z97" s="97" t="str">
        <f t="shared" si="14"/>
        <v/>
      </c>
      <c r="AA97" s="97" t="str">
        <f t="shared" si="14"/>
        <v/>
      </c>
      <c r="AB97" s="97" t="str">
        <f t="shared" si="14"/>
        <v/>
      </c>
      <c r="AC97" s="97" t="str">
        <f t="shared" si="14"/>
        <v/>
      </c>
      <c r="AD97" s="97" t="str">
        <f t="shared" si="14"/>
        <v/>
      </c>
      <c r="AE97" s="97" t="str">
        <f t="shared" si="14"/>
        <v/>
      </c>
      <c r="AF97" s="97" t="str">
        <f t="shared" si="14"/>
        <v/>
      </c>
      <c r="AG97" s="97" t="str">
        <f t="shared" si="14"/>
        <v/>
      </c>
      <c r="AH97" s="97" t="str">
        <f t="shared" si="14"/>
        <v/>
      </c>
    </row>
    <row r="98" spans="1:34" ht="27" hidden="1" customHeight="1">
      <c r="A98" s="30"/>
      <c r="B98" s="801"/>
      <c r="C98" s="74" t="s">
        <v>215</v>
      </c>
      <c r="D98" s="72"/>
      <c r="E98" s="99"/>
      <c r="F98" s="99"/>
      <c r="G98" s="99"/>
      <c r="H98" s="99"/>
      <c r="I98" s="99"/>
      <c r="J98" s="99"/>
      <c r="K98" s="99"/>
      <c r="L98" s="99"/>
      <c r="M98" s="99"/>
      <c r="N98" s="99"/>
      <c r="O98" s="99"/>
      <c r="P98" s="99"/>
      <c r="Q98" s="99"/>
      <c r="R98" s="99"/>
      <c r="S98" s="99"/>
      <c r="T98" s="99"/>
      <c r="U98" s="99"/>
      <c r="V98" s="99"/>
      <c r="W98" s="99"/>
      <c r="X98" s="99"/>
      <c r="Y98" s="99"/>
      <c r="Z98" s="99"/>
      <c r="AA98" s="99"/>
      <c r="AB98" s="99"/>
      <c r="AC98" s="99"/>
      <c r="AD98" s="99"/>
      <c r="AE98" s="99"/>
      <c r="AF98" s="99"/>
      <c r="AG98" s="99"/>
      <c r="AH98" s="99"/>
    </row>
    <row r="99" spans="1:34" ht="27" hidden="1" customHeight="1">
      <c r="A99" s="30"/>
      <c r="B99" s="801"/>
      <c r="C99" s="74" t="s">
        <v>216</v>
      </c>
      <c r="D99" s="72"/>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row>
    <row r="100" spans="1:34" ht="27" hidden="1" customHeight="1">
      <c r="A100" s="30"/>
      <c r="B100" s="801"/>
      <c r="C100" s="74" t="s">
        <v>217</v>
      </c>
      <c r="D100" s="72"/>
      <c r="E100" s="98"/>
      <c r="F100" s="98"/>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row>
    <row r="101" spans="1:34" ht="27" hidden="1" customHeight="1">
      <c r="A101" s="30"/>
      <c r="B101" s="801"/>
      <c r="C101" s="74" t="s">
        <v>218</v>
      </c>
      <c r="D101" s="72"/>
      <c r="E101" s="98"/>
      <c r="F101" s="98"/>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row>
    <row r="102" spans="1:34" ht="27" hidden="1" customHeight="1">
      <c r="A102" s="30"/>
      <c r="B102" s="801"/>
      <c r="C102" s="74" t="s">
        <v>219</v>
      </c>
      <c r="D102" s="72"/>
      <c r="E102" s="98"/>
      <c r="F102" s="98"/>
      <c r="G102" s="98"/>
      <c r="H102" s="98"/>
      <c r="I102" s="98"/>
      <c r="J102" s="98"/>
      <c r="K102" s="98"/>
      <c r="L102" s="98"/>
      <c r="M102" s="98"/>
      <c r="N102" s="98"/>
      <c r="O102" s="98"/>
      <c r="P102" s="98"/>
      <c r="Q102" s="98"/>
      <c r="R102" s="98"/>
      <c r="S102" s="98"/>
      <c r="T102" s="98"/>
      <c r="U102" s="98"/>
      <c r="V102" s="98"/>
      <c r="W102" s="98"/>
      <c r="X102" s="98"/>
      <c r="Y102" s="98"/>
      <c r="Z102" s="98"/>
      <c r="AA102" s="98"/>
      <c r="AB102" s="98"/>
      <c r="AC102" s="98"/>
      <c r="AD102" s="98"/>
      <c r="AE102" s="98"/>
      <c r="AF102" s="98"/>
      <c r="AG102" s="98"/>
      <c r="AH102" s="98"/>
    </row>
    <row r="103" spans="1:34" ht="27" hidden="1" customHeight="1">
      <c r="A103" s="30"/>
      <c r="B103" s="801"/>
      <c r="C103" s="74" t="s">
        <v>220</v>
      </c>
      <c r="D103" s="72"/>
      <c r="E103" s="98"/>
      <c r="F103" s="98"/>
      <c r="G103" s="98"/>
      <c r="H103" s="98"/>
      <c r="I103" s="98"/>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row>
    <row r="104" spans="1:34" ht="27" hidden="1" customHeight="1">
      <c r="A104" s="30"/>
      <c r="B104" s="802"/>
      <c r="C104" s="74" t="s">
        <v>221</v>
      </c>
      <c r="D104" s="72"/>
      <c r="E104" s="98"/>
      <c r="F104" s="98"/>
      <c r="G104" s="98"/>
      <c r="H104" s="98"/>
      <c r="I104" s="98"/>
      <c r="J104" s="98"/>
      <c r="K104" s="98"/>
      <c r="L104" s="98"/>
      <c r="M104" s="98"/>
      <c r="N104" s="98"/>
      <c r="O104" s="98"/>
      <c r="P104" s="98"/>
      <c r="Q104" s="98"/>
      <c r="R104" s="98"/>
      <c r="S104" s="98"/>
      <c r="T104" s="98"/>
      <c r="U104" s="98"/>
      <c r="V104" s="98"/>
      <c r="W104" s="98"/>
      <c r="X104" s="98"/>
      <c r="Y104" s="98"/>
      <c r="Z104" s="98"/>
      <c r="AA104" s="98"/>
      <c r="AB104" s="98"/>
      <c r="AC104" s="98"/>
      <c r="AD104" s="98"/>
      <c r="AE104" s="98"/>
      <c r="AF104" s="98"/>
      <c r="AG104" s="98"/>
      <c r="AH104" s="98"/>
    </row>
    <row r="105" spans="1:34" ht="27" hidden="1" customHeight="1">
      <c r="A105" s="30"/>
      <c r="B105" s="800">
        <v>12</v>
      </c>
      <c r="C105" s="795"/>
      <c r="D105" s="796"/>
      <c r="E105" s="97" t="str">
        <f>IFERROR(AVERAGE(E106:E112),"")</f>
        <v/>
      </c>
      <c r="F105" s="97" t="str">
        <f t="shared" ref="F105:AH105" si="15">IFERROR(AVERAGE(F106:F112),"")</f>
        <v/>
      </c>
      <c r="G105" s="97" t="str">
        <f t="shared" si="15"/>
        <v/>
      </c>
      <c r="H105" s="97" t="str">
        <f t="shared" si="15"/>
        <v/>
      </c>
      <c r="I105" s="97" t="str">
        <f t="shared" si="15"/>
        <v/>
      </c>
      <c r="J105" s="97" t="str">
        <f t="shared" si="15"/>
        <v/>
      </c>
      <c r="K105" s="97" t="str">
        <f t="shared" si="15"/>
        <v/>
      </c>
      <c r="L105" s="97" t="str">
        <f t="shared" si="15"/>
        <v/>
      </c>
      <c r="M105" s="97" t="str">
        <f t="shared" si="15"/>
        <v/>
      </c>
      <c r="N105" s="97" t="str">
        <f t="shared" si="15"/>
        <v/>
      </c>
      <c r="O105" s="97" t="str">
        <f t="shared" si="15"/>
        <v/>
      </c>
      <c r="P105" s="97" t="str">
        <f t="shared" si="15"/>
        <v/>
      </c>
      <c r="Q105" s="97" t="str">
        <f t="shared" si="15"/>
        <v/>
      </c>
      <c r="R105" s="97" t="str">
        <f t="shared" si="15"/>
        <v/>
      </c>
      <c r="S105" s="97" t="str">
        <f t="shared" si="15"/>
        <v/>
      </c>
      <c r="T105" s="97" t="str">
        <f t="shared" si="15"/>
        <v/>
      </c>
      <c r="U105" s="97" t="str">
        <f t="shared" si="15"/>
        <v/>
      </c>
      <c r="V105" s="97" t="str">
        <f t="shared" si="15"/>
        <v/>
      </c>
      <c r="W105" s="97" t="str">
        <f t="shared" si="15"/>
        <v/>
      </c>
      <c r="X105" s="97" t="str">
        <f t="shared" si="15"/>
        <v/>
      </c>
      <c r="Y105" s="97" t="str">
        <f t="shared" si="15"/>
        <v/>
      </c>
      <c r="Z105" s="97" t="str">
        <f t="shared" si="15"/>
        <v/>
      </c>
      <c r="AA105" s="97" t="str">
        <f t="shared" si="15"/>
        <v/>
      </c>
      <c r="AB105" s="97" t="str">
        <f t="shared" si="15"/>
        <v/>
      </c>
      <c r="AC105" s="97" t="str">
        <f t="shared" si="15"/>
        <v/>
      </c>
      <c r="AD105" s="97" t="str">
        <f t="shared" si="15"/>
        <v/>
      </c>
      <c r="AE105" s="97" t="str">
        <f t="shared" si="15"/>
        <v/>
      </c>
      <c r="AF105" s="97" t="str">
        <f t="shared" si="15"/>
        <v/>
      </c>
      <c r="AG105" s="97" t="str">
        <f t="shared" si="15"/>
        <v/>
      </c>
      <c r="AH105" s="97" t="str">
        <f t="shared" si="15"/>
        <v/>
      </c>
    </row>
    <row r="106" spans="1:34" ht="27" hidden="1" customHeight="1">
      <c r="A106" s="30"/>
      <c r="B106" s="801"/>
      <c r="C106" s="74" t="s">
        <v>222</v>
      </c>
      <c r="D106" s="72"/>
      <c r="E106" s="98"/>
      <c r="F106" s="98"/>
      <c r="G106" s="98"/>
      <c r="H106" s="98"/>
      <c r="I106" s="98"/>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row>
    <row r="107" spans="1:34" ht="27" hidden="1" customHeight="1">
      <c r="A107" s="30"/>
      <c r="B107" s="801"/>
      <c r="C107" s="74" t="s">
        <v>223</v>
      </c>
      <c r="D107" s="72"/>
      <c r="E107" s="98"/>
      <c r="F107" s="98"/>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row>
    <row r="108" spans="1:34" ht="27" hidden="1" customHeight="1">
      <c r="A108" s="30"/>
      <c r="B108" s="801"/>
      <c r="C108" s="74" t="s">
        <v>224</v>
      </c>
      <c r="D108" s="72"/>
      <c r="E108" s="98"/>
      <c r="F108" s="98"/>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row>
    <row r="109" spans="1:34" ht="27" hidden="1" customHeight="1">
      <c r="A109" s="30"/>
      <c r="B109" s="801"/>
      <c r="C109" s="74" t="s">
        <v>225</v>
      </c>
      <c r="D109" s="72"/>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row>
    <row r="110" spans="1:34" ht="27" hidden="1" customHeight="1">
      <c r="A110" s="30"/>
      <c r="B110" s="801"/>
      <c r="C110" s="74" t="s">
        <v>226</v>
      </c>
      <c r="D110" s="72"/>
      <c r="E110" s="98"/>
      <c r="F110" s="98"/>
      <c r="G110" s="98"/>
      <c r="H110" s="98"/>
      <c r="I110" s="98"/>
      <c r="J110" s="98"/>
      <c r="K110" s="98"/>
      <c r="L110" s="98"/>
      <c r="M110" s="98"/>
      <c r="N110" s="98"/>
      <c r="O110" s="98"/>
      <c r="P110" s="98"/>
      <c r="Q110" s="98"/>
      <c r="R110" s="98"/>
      <c r="S110" s="98"/>
      <c r="T110" s="98"/>
      <c r="U110" s="98"/>
      <c r="V110" s="98"/>
      <c r="W110" s="98"/>
      <c r="X110" s="98"/>
      <c r="Y110" s="98"/>
      <c r="Z110" s="98"/>
      <c r="AA110" s="98"/>
      <c r="AB110" s="98"/>
      <c r="AC110" s="98"/>
      <c r="AD110" s="98"/>
      <c r="AE110" s="98"/>
      <c r="AF110" s="98"/>
      <c r="AG110" s="98"/>
      <c r="AH110" s="98"/>
    </row>
    <row r="111" spans="1:34" ht="27" hidden="1" customHeight="1">
      <c r="A111" s="30"/>
      <c r="B111" s="801"/>
      <c r="C111" s="74" t="s">
        <v>227</v>
      </c>
      <c r="D111" s="72"/>
      <c r="E111" s="98"/>
      <c r="F111" s="98"/>
      <c r="G111" s="98"/>
      <c r="H111" s="98"/>
      <c r="I111" s="98"/>
      <c r="J111" s="98"/>
      <c r="K111" s="98"/>
      <c r="L111" s="98"/>
      <c r="M111" s="98"/>
      <c r="N111" s="98"/>
      <c r="O111" s="98"/>
      <c r="P111" s="98"/>
      <c r="Q111" s="98"/>
      <c r="R111" s="98"/>
      <c r="S111" s="98"/>
      <c r="T111" s="98"/>
      <c r="U111" s="98"/>
      <c r="V111" s="98"/>
      <c r="W111" s="98"/>
      <c r="X111" s="98"/>
      <c r="Y111" s="98"/>
      <c r="Z111" s="98"/>
      <c r="AA111" s="98"/>
      <c r="AB111" s="98"/>
      <c r="AC111" s="98"/>
      <c r="AD111" s="98"/>
      <c r="AE111" s="98"/>
      <c r="AF111" s="98"/>
      <c r="AG111" s="98"/>
      <c r="AH111" s="98"/>
    </row>
    <row r="112" spans="1:34" ht="27" hidden="1" customHeight="1">
      <c r="A112" s="30"/>
      <c r="B112" s="802"/>
      <c r="C112" s="74" t="s">
        <v>228</v>
      </c>
      <c r="D112" s="72"/>
      <c r="E112" s="98"/>
      <c r="F112" s="98"/>
      <c r="G112" s="98"/>
      <c r="H112" s="98"/>
      <c r="I112" s="98"/>
      <c r="J112" s="98"/>
      <c r="K112" s="98"/>
      <c r="L112" s="98"/>
      <c r="M112" s="98"/>
      <c r="N112" s="98"/>
      <c r="O112" s="98"/>
      <c r="P112" s="98"/>
      <c r="Q112" s="98"/>
      <c r="R112" s="98"/>
      <c r="S112" s="98"/>
      <c r="T112" s="98"/>
      <c r="U112" s="98"/>
      <c r="V112" s="98"/>
      <c r="W112" s="98"/>
      <c r="X112" s="98"/>
      <c r="Y112" s="98"/>
      <c r="Z112" s="98"/>
      <c r="AA112" s="98"/>
      <c r="AB112" s="98"/>
      <c r="AC112" s="98"/>
      <c r="AD112" s="98"/>
      <c r="AE112" s="98"/>
      <c r="AF112" s="98"/>
      <c r="AG112" s="98"/>
      <c r="AH112" s="98"/>
    </row>
    <row r="113" spans="1:34" ht="27" hidden="1" customHeight="1">
      <c r="A113" s="30"/>
      <c r="B113" s="794">
        <v>13</v>
      </c>
      <c r="C113" s="795"/>
      <c r="D113" s="796"/>
      <c r="E113" s="97" t="str">
        <f>IFERROR(AVERAGE(E114:E120),"")</f>
        <v/>
      </c>
      <c r="F113" s="97" t="str">
        <f t="shared" ref="F113:AH113" si="16">IFERROR(AVERAGE(F114:F120),"")</f>
        <v/>
      </c>
      <c r="G113" s="97" t="str">
        <f t="shared" si="16"/>
        <v/>
      </c>
      <c r="H113" s="97" t="str">
        <f t="shared" si="16"/>
        <v/>
      </c>
      <c r="I113" s="97" t="str">
        <f t="shared" si="16"/>
        <v/>
      </c>
      <c r="J113" s="97" t="str">
        <f t="shared" si="16"/>
        <v/>
      </c>
      <c r="K113" s="97" t="str">
        <f t="shared" si="16"/>
        <v/>
      </c>
      <c r="L113" s="97" t="str">
        <f t="shared" si="16"/>
        <v/>
      </c>
      <c r="M113" s="97" t="str">
        <f t="shared" si="16"/>
        <v/>
      </c>
      <c r="N113" s="97" t="str">
        <f t="shared" si="16"/>
        <v/>
      </c>
      <c r="O113" s="97" t="str">
        <f t="shared" si="16"/>
        <v/>
      </c>
      <c r="P113" s="97" t="str">
        <f t="shared" si="16"/>
        <v/>
      </c>
      <c r="Q113" s="97" t="str">
        <f t="shared" si="16"/>
        <v/>
      </c>
      <c r="R113" s="97" t="str">
        <f t="shared" si="16"/>
        <v/>
      </c>
      <c r="S113" s="97" t="str">
        <f t="shared" si="16"/>
        <v/>
      </c>
      <c r="T113" s="97" t="str">
        <f t="shared" si="16"/>
        <v/>
      </c>
      <c r="U113" s="97" t="str">
        <f t="shared" si="16"/>
        <v/>
      </c>
      <c r="V113" s="97" t="str">
        <f t="shared" si="16"/>
        <v/>
      </c>
      <c r="W113" s="97" t="str">
        <f t="shared" si="16"/>
        <v/>
      </c>
      <c r="X113" s="97" t="str">
        <f t="shared" si="16"/>
        <v/>
      </c>
      <c r="Y113" s="97" t="str">
        <f t="shared" si="16"/>
        <v/>
      </c>
      <c r="Z113" s="97" t="str">
        <f t="shared" si="16"/>
        <v/>
      </c>
      <c r="AA113" s="97" t="str">
        <f t="shared" si="16"/>
        <v/>
      </c>
      <c r="AB113" s="97" t="str">
        <f t="shared" si="16"/>
        <v/>
      </c>
      <c r="AC113" s="97" t="str">
        <f t="shared" si="16"/>
        <v/>
      </c>
      <c r="AD113" s="97" t="str">
        <f t="shared" si="16"/>
        <v/>
      </c>
      <c r="AE113" s="97" t="str">
        <f t="shared" si="16"/>
        <v/>
      </c>
      <c r="AF113" s="97" t="str">
        <f t="shared" si="16"/>
        <v/>
      </c>
      <c r="AG113" s="97" t="str">
        <f t="shared" si="16"/>
        <v/>
      </c>
      <c r="AH113" s="97" t="str">
        <f t="shared" si="16"/>
        <v/>
      </c>
    </row>
    <row r="114" spans="1:34" ht="27" hidden="1" customHeight="1">
      <c r="A114" s="30"/>
      <c r="B114" s="794"/>
      <c r="C114" s="74" t="s">
        <v>229</v>
      </c>
      <c r="D114" s="72"/>
      <c r="E114" s="98"/>
      <c r="F114" s="98"/>
      <c r="G114" s="98"/>
      <c r="H114" s="98"/>
      <c r="I114" s="98"/>
      <c r="J114" s="98"/>
      <c r="K114" s="98"/>
      <c r="L114" s="98"/>
      <c r="M114" s="98"/>
      <c r="N114" s="98"/>
      <c r="O114" s="98"/>
      <c r="P114" s="98"/>
      <c r="Q114" s="98"/>
      <c r="R114" s="98"/>
      <c r="S114" s="98"/>
      <c r="T114" s="98"/>
      <c r="U114" s="98"/>
      <c r="V114" s="98"/>
      <c r="W114" s="98"/>
      <c r="X114" s="98"/>
      <c r="Y114" s="98"/>
      <c r="Z114" s="98"/>
      <c r="AA114" s="98"/>
      <c r="AB114" s="98"/>
      <c r="AC114" s="98"/>
      <c r="AD114" s="98"/>
      <c r="AE114" s="98"/>
      <c r="AF114" s="98"/>
      <c r="AG114" s="98"/>
      <c r="AH114" s="98"/>
    </row>
    <row r="115" spans="1:34" ht="27" hidden="1" customHeight="1">
      <c r="A115" s="30"/>
      <c r="B115" s="794"/>
      <c r="C115" s="74" t="s">
        <v>230</v>
      </c>
      <c r="D115" s="72"/>
      <c r="E115" s="98"/>
      <c r="F115" s="98"/>
      <c r="G115" s="98"/>
      <c r="H115" s="98"/>
      <c r="I115" s="98"/>
      <c r="J115" s="98"/>
      <c r="K115" s="98"/>
      <c r="L115" s="98"/>
      <c r="M115" s="98"/>
      <c r="N115" s="98"/>
      <c r="O115" s="98"/>
      <c r="P115" s="98"/>
      <c r="Q115" s="98"/>
      <c r="R115" s="98"/>
      <c r="S115" s="98"/>
      <c r="T115" s="98"/>
      <c r="U115" s="98"/>
      <c r="V115" s="98"/>
      <c r="W115" s="98"/>
      <c r="X115" s="98"/>
      <c r="Y115" s="98"/>
      <c r="Z115" s="98"/>
      <c r="AA115" s="98"/>
      <c r="AB115" s="98"/>
      <c r="AC115" s="98"/>
      <c r="AD115" s="98"/>
      <c r="AE115" s="98"/>
      <c r="AF115" s="98"/>
      <c r="AG115" s="98"/>
      <c r="AH115" s="98"/>
    </row>
    <row r="116" spans="1:34" ht="27" hidden="1" customHeight="1">
      <c r="A116" s="30"/>
      <c r="B116" s="794"/>
      <c r="C116" s="74" t="s">
        <v>231</v>
      </c>
      <c r="D116" s="72"/>
      <c r="E116" s="98"/>
      <c r="F116" s="98"/>
      <c r="G116" s="98"/>
      <c r="H116" s="98"/>
      <c r="I116" s="98"/>
      <c r="J116" s="98"/>
      <c r="K116" s="98"/>
      <c r="L116" s="98"/>
      <c r="M116" s="98"/>
      <c r="N116" s="98"/>
      <c r="O116" s="98"/>
      <c r="P116" s="98"/>
      <c r="Q116" s="98"/>
      <c r="R116" s="98"/>
      <c r="S116" s="98"/>
      <c r="T116" s="98"/>
      <c r="U116" s="98"/>
      <c r="V116" s="98"/>
      <c r="W116" s="98"/>
      <c r="X116" s="98"/>
      <c r="Y116" s="98"/>
      <c r="Z116" s="98"/>
      <c r="AA116" s="98"/>
      <c r="AB116" s="98"/>
      <c r="AC116" s="98"/>
      <c r="AD116" s="98"/>
      <c r="AE116" s="98"/>
      <c r="AF116" s="98"/>
      <c r="AG116" s="98"/>
      <c r="AH116" s="98"/>
    </row>
    <row r="117" spans="1:34" ht="27" hidden="1" customHeight="1">
      <c r="A117" s="30"/>
      <c r="B117" s="794"/>
      <c r="C117" s="74" t="s">
        <v>232</v>
      </c>
      <c r="D117" s="72"/>
      <c r="E117" s="98"/>
      <c r="F117" s="98"/>
      <c r="G117" s="98"/>
      <c r="H117" s="98"/>
      <c r="I117" s="98"/>
      <c r="J117" s="98"/>
      <c r="K117" s="98"/>
      <c r="L117" s="98"/>
      <c r="M117" s="98"/>
      <c r="N117" s="98"/>
      <c r="O117" s="98"/>
      <c r="P117" s="98"/>
      <c r="Q117" s="98"/>
      <c r="R117" s="98"/>
      <c r="S117" s="98"/>
      <c r="T117" s="98"/>
      <c r="U117" s="98"/>
      <c r="V117" s="98"/>
      <c r="W117" s="98"/>
      <c r="X117" s="98"/>
      <c r="Y117" s="98"/>
      <c r="Z117" s="98"/>
      <c r="AA117" s="98"/>
      <c r="AB117" s="98"/>
      <c r="AC117" s="98"/>
      <c r="AD117" s="98"/>
      <c r="AE117" s="98"/>
      <c r="AF117" s="98"/>
      <c r="AG117" s="98"/>
      <c r="AH117" s="98"/>
    </row>
    <row r="118" spans="1:34" ht="27" hidden="1" customHeight="1">
      <c r="A118" s="30"/>
      <c r="B118" s="794"/>
      <c r="C118" s="74" t="s">
        <v>233</v>
      </c>
      <c r="D118" s="72"/>
      <c r="E118" s="98"/>
      <c r="F118" s="98"/>
      <c r="G118" s="98"/>
      <c r="H118" s="98"/>
      <c r="I118" s="98"/>
      <c r="J118" s="98"/>
      <c r="K118" s="98"/>
      <c r="L118" s="98"/>
      <c r="M118" s="98"/>
      <c r="N118" s="98"/>
      <c r="O118" s="98"/>
      <c r="P118" s="98"/>
      <c r="Q118" s="98"/>
      <c r="R118" s="98"/>
      <c r="S118" s="98"/>
      <c r="T118" s="98"/>
      <c r="U118" s="98"/>
      <c r="V118" s="98"/>
      <c r="W118" s="98"/>
      <c r="X118" s="98"/>
      <c r="Y118" s="98"/>
      <c r="Z118" s="98"/>
      <c r="AA118" s="98"/>
      <c r="AB118" s="98"/>
      <c r="AC118" s="98"/>
      <c r="AD118" s="98"/>
      <c r="AE118" s="98"/>
      <c r="AF118" s="98"/>
      <c r="AG118" s="98"/>
      <c r="AH118" s="98"/>
    </row>
    <row r="119" spans="1:34" ht="27" hidden="1" customHeight="1">
      <c r="A119" s="30"/>
      <c r="B119" s="794"/>
      <c r="C119" s="74" t="s">
        <v>234</v>
      </c>
      <c r="D119" s="72"/>
      <c r="E119" s="98"/>
      <c r="F119" s="98"/>
      <c r="G119" s="98"/>
      <c r="H119" s="98"/>
      <c r="I119" s="98"/>
      <c r="J119" s="98"/>
      <c r="K119" s="98"/>
      <c r="L119" s="98"/>
      <c r="M119" s="98"/>
      <c r="N119" s="98"/>
      <c r="O119" s="98"/>
      <c r="P119" s="98"/>
      <c r="Q119" s="98"/>
      <c r="R119" s="98"/>
      <c r="S119" s="98"/>
      <c r="T119" s="98"/>
      <c r="U119" s="98"/>
      <c r="V119" s="98"/>
      <c r="W119" s="98"/>
      <c r="X119" s="98"/>
      <c r="Y119" s="98"/>
      <c r="Z119" s="98"/>
      <c r="AA119" s="98"/>
      <c r="AB119" s="98"/>
      <c r="AC119" s="98"/>
      <c r="AD119" s="98"/>
      <c r="AE119" s="98"/>
      <c r="AF119" s="98"/>
      <c r="AG119" s="98"/>
      <c r="AH119" s="98"/>
    </row>
    <row r="120" spans="1:34" ht="27" hidden="1" customHeight="1">
      <c r="A120" s="30"/>
      <c r="B120" s="794"/>
      <c r="C120" s="74" t="s">
        <v>235</v>
      </c>
      <c r="D120" s="72"/>
      <c r="E120" s="98"/>
      <c r="F120" s="98"/>
      <c r="G120" s="98"/>
      <c r="H120" s="98"/>
      <c r="I120" s="98"/>
      <c r="J120" s="98"/>
      <c r="K120" s="98"/>
      <c r="L120" s="98"/>
      <c r="M120" s="98"/>
      <c r="N120" s="98"/>
      <c r="O120" s="98"/>
      <c r="P120" s="98"/>
      <c r="Q120" s="98"/>
      <c r="R120" s="98"/>
      <c r="S120" s="98"/>
      <c r="T120" s="98"/>
      <c r="U120" s="98"/>
      <c r="V120" s="98"/>
      <c r="W120" s="98"/>
      <c r="X120" s="98"/>
      <c r="Y120" s="98"/>
      <c r="Z120" s="98"/>
      <c r="AA120" s="98"/>
      <c r="AB120" s="98"/>
      <c r="AC120" s="98"/>
      <c r="AD120" s="98"/>
      <c r="AE120" s="98"/>
      <c r="AF120" s="98"/>
      <c r="AG120" s="98"/>
      <c r="AH120" s="98"/>
    </row>
    <row r="121" spans="1:34" ht="27" customHeight="1">
      <c r="A121" s="30"/>
      <c r="B121" s="797" t="s">
        <v>143</v>
      </c>
      <c r="C121" s="798"/>
      <c r="D121" s="799"/>
      <c r="E121" s="100" t="str">
        <f>IFERROR(AVERAGE(E6,E17,E29,E37,E45,E53,E65,E73,E81,E89,E97,E105,E113),"")</f>
        <v/>
      </c>
      <c r="F121" s="100" t="str">
        <f t="shared" ref="F121:AH121" si="17">IFERROR(AVERAGE(F6,F17,F29,F37,F45,F53,F65,F73,F81,F89,F97,F105,F113),"")</f>
        <v/>
      </c>
      <c r="G121" s="100" t="str">
        <f t="shared" si="17"/>
        <v/>
      </c>
      <c r="H121" s="100" t="str">
        <f t="shared" si="17"/>
        <v/>
      </c>
      <c r="I121" s="100" t="str">
        <f t="shared" si="17"/>
        <v/>
      </c>
      <c r="J121" s="100" t="str">
        <f t="shared" si="17"/>
        <v/>
      </c>
      <c r="K121" s="100" t="str">
        <f t="shared" si="17"/>
        <v/>
      </c>
      <c r="L121" s="100" t="str">
        <f t="shared" si="17"/>
        <v/>
      </c>
      <c r="M121" s="100" t="str">
        <f t="shared" si="17"/>
        <v/>
      </c>
      <c r="N121" s="100" t="str">
        <f t="shared" si="17"/>
        <v/>
      </c>
      <c r="O121" s="100" t="str">
        <f t="shared" si="17"/>
        <v/>
      </c>
      <c r="P121" s="100" t="str">
        <f t="shared" si="17"/>
        <v/>
      </c>
      <c r="Q121" s="100" t="str">
        <f t="shared" si="17"/>
        <v/>
      </c>
      <c r="R121" s="100" t="str">
        <f t="shared" si="17"/>
        <v/>
      </c>
      <c r="S121" s="100" t="str">
        <f t="shared" si="17"/>
        <v/>
      </c>
      <c r="T121" s="100" t="str">
        <f t="shared" si="17"/>
        <v/>
      </c>
      <c r="U121" s="100" t="str">
        <f t="shared" si="17"/>
        <v/>
      </c>
      <c r="V121" s="100" t="str">
        <f t="shared" si="17"/>
        <v/>
      </c>
      <c r="W121" s="100" t="str">
        <f t="shared" si="17"/>
        <v/>
      </c>
      <c r="X121" s="100" t="str">
        <f t="shared" si="17"/>
        <v/>
      </c>
      <c r="Y121" s="100" t="str">
        <f t="shared" si="17"/>
        <v/>
      </c>
      <c r="Z121" s="100" t="str">
        <f t="shared" si="17"/>
        <v/>
      </c>
      <c r="AA121" s="100" t="str">
        <f t="shared" si="17"/>
        <v/>
      </c>
      <c r="AB121" s="100" t="str">
        <f t="shared" si="17"/>
        <v/>
      </c>
      <c r="AC121" s="100" t="str">
        <f t="shared" si="17"/>
        <v/>
      </c>
      <c r="AD121" s="100" t="str">
        <f t="shared" si="17"/>
        <v/>
      </c>
      <c r="AE121" s="100" t="str">
        <f t="shared" si="17"/>
        <v/>
      </c>
      <c r="AF121" s="100" t="str">
        <f t="shared" si="17"/>
        <v/>
      </c>
      <c r="AG121" s="100" t="str">
        <f t="shared" si="17"/>
        <v/>
      </c>
      <c r="AH121" s="100" t="str">
        <f t="shared" si="17"/>
        <v/>
      </c>
    </row>
    <row r="122" spans="1:34" hidden="1">
      <c r="B122" s="31"/>
      <c r="C122" s="31"/>
      <c r="D122" s="32"/>
    </row>
    <row r="123" spans="1:34" hidden="1">
      <c r="B123" s="31"/>
      <c r="C123" s="31"/>
      <c r="D123" s="32"/>
    </row>
    <row r="124" spans="1:34" hidden="1">
      <c r="B124" s="31"/>
      <c r="C124" s="31"/>
      <c r="D124" s="32"/>
    </row>
    <row r="125" spans="1:34" hidden="1">
      <c r="B125" s="31"/>
      <c r="C125" s="31"/>
      <c r="D125" s="32"/>
    </row>
    <row r="126" spans="1:34" hidden="1">
      <c r="B126" s="31"/>
      <c r="C126" s="31"/>
      <c r="D126" s="32"/>
    </row>
    <row r="127" spans="1:34" hidden="1">
      <c r="B127" s="31"/>
      <c r="C127" s="31"/>
      <c r="D127" s="32"/>
    </row>
    <row r="128" spans="1:34" hidden="1">
      <c r="B128" s="31"/>
      <c r="C128" s="31"/>
      <c r="D128" s="32"/>
    </row>
    <row r="129" spans="2:4" hidden="1">
      <c r="B129" s="31"/>
      <c r="C129" s="31"/>
      <c r="D129" s="32"/>
    </row>
    <row r="130" spans="2:4" hidden="1">
      <c r="B130" s="31"/>
      <c r="C130" s="31"/>
      <c r="D130" s="32"/>
    </row>
    <row r="131" spans="2:4" hidden="1">
      <c r="B131" s="31"/>
      <c r="C131" s="31"/>
      <c r="D131" s="32"/>
    </row>
    <row r="132" spans="2:4" hidden="1">
      <c r="B132" s="31"/>
      <c r="C132" s="31"/>
      <c r="D132" s="32"/>
    </row>
    <row r="133" spans="2:4" hidden="1">
      <c r="B133" s="31"/>
      <c r="C133" s="31"/>
      <c r="D133" s="32"/>
    </row>
    <row r="134" spans="2:4" hidden="1">
      <c r="B134" s="31"/>
      <c r="C134" s="31"/>
      <c r="D134" s="32"/>
    </row>
    <row r="135" spans="2:4" hidden="1">
      <c r="B135" s="31"/>
      <c r="C135" s="31"/>
      <c r="D135" s="32"/>
    </row>
    <row r="136" spans="2:4" hidden="1">
      <c r="B136" s="31"/>
      <c r="C136" s="31"/>
      <c r="D136" s="32"/>
    </row>
    <row r="137" spans="2:4" hidden="1">
      <c r="B137" s="31"/>
      <c r="C137" s="31"/>
      <c r="D137" s="32"/>
    </row>
    <row r="138" spans="2:4" hidden="1">
      <c r="B138" s="31"/>
      <c r="C138" s="31"/>
      <c r="D138" s="32"/>
    </row>
    <row r="139" spans="2:4" hidden="1">
      <c r="B139" s="31"/>
      <c r="C139" s="31"/>
      <c r="D139" s="32"/>
    </row>
    <row r="140" spans="2:4" hidden="1">
      <c r="B140" s="31"/>
      <c r="C140" s="31"/>
      <c r="D140" s="32"/>
    </row>
    <row r="141" spans="2:4" hidden="1">
      <c r="B141" s="31"/>
      <c r="C141" s="31"/>
      <c r="D141" s="32"/>
    </row>
    <row r="142" spans="2:4" hidden="1">
      <c r="B142" s="31"/>
      <c r="C142" s="31"/>
      <c r="D142" s="32"/>
    </row>
    <row r="143" spans="2:4" hidden="1">
      <c r="B143" s="31"/>
      <c r="C143" s="31"/>
      <c r="D143" s="32"/>
    </row>
    <row r="144" spans="2:4" hidden="1">
      <c r="B144" s="31"/>
      <c r="C144" s="31"/>
      <c r="D144" s="32"/>
    </row>
    <row r="145" spans="2:4" hidden="1">
      <c r="B145" s="31"/>
      <c r="C145" s="31"/>
      <c r="D145" s="32"/>
    </row>
    <row r="146" spans="2:4" hidden="1">
      <c r="B146" s="31"/>
      <c r="C146" s="31"/>
      <c r="D146" s="32"/>
    </row>
    <row r="147" spans="2:4" hidden="1">
      <c r="B147" s="31"/>
      <c r="C147" s="31"/>
      <c r="D147" s="32"/>
    </row>
    <row r="148" spans="2:4" hidden="1">
      <c r="B148" s="31"/>
      <c r="C148" s="31"/>
      <c r="D148" s="32"/>
    </row>
    <row r="149" spans="2:4" hidden="1">
      <c r="B149" s="31"/>
      <c r="C149" s="31"/>
      <c r="D149" s="32"/>
    </row>
    <row r="150" spans="2:4" hidden="1">
      <c r="B150" s="31"/>
      <c r="C150" s="31"/>
      <c r="D150" s="32"/>
    </row>
    <row r="151" spans="2:4" hidden="1">
      <c r="B151" s="31"/>
      <c r="C151" s="31"/>
      <c r="D151" s="32"/>
    </row>
    <row r="152" spans="2:4" hidden="1">
      <c r="B152" s="31"/>
      <c r="C152" s="31"/>
      <c r="D152" s="32"/>
    </row>
    <row r="153" spans="2:4" hidden="1">
      <c r="B153" s="31"/>
      <c r="C153" s="31"/>
      <c r="D153" s="32"/>
    </row>
    <row r="154" spans="2:4" hidden="1">
      <c r="B154" s="31"/>
      <c r="C154" s="31"/>
      <c r="D154" s="32"/>
    </row>
    <row r="155" spans="2:4" hidden="1">
      <c r="B155" s="31"/>
      <c r="C155" s="31"/>
      <c r="D155" s="32"/>
    </row>
    <row r="156" spans="2:4" hidden="1">
      <c r="B156" s="31"/>
      <c r="C156" s="31"/>
      <c r="D156" s="32"/>
    </row>
    <row r="157" spans="2:4" hidden="1">
      <c r="B157" s="31"/>
      <c r="C157" s="31"/>
      <c r="D157" s="32"/>
    </row>
    <row r="158" spans="2:4" hidden="1">
      <c r="B158" s="31"/>
      <c r="C158" s="31"/>
      <c r="D158" s="32"/>
    </row>
    <row r="159" spans="2:4" hidden="1">
      <c r="B159" s="31"/>
      <c r="C159" s="31"/>
      <c r="D159" s="32"/>
    </row>
    <row r="160" spans="2:4" hidden="1">
      <c r="B160" s="31"/>
      <c r="C160" s="31"/>
      <c r="D160" s="32"/>
    </row>
    <row r="161" spans="2:4" hidden="1">
      <c r="B161" s="31"/>
      <c r="C161" s="31"/>
      <c r="D161" s="32"/>
    </row>
    <row r="162" spans="2:4" hidden="1">
      <c r="B162" s="31"/>
      <c r="C162" s="31"/>
      <c r="D162" s="32"/>
    </row>
    <row r="163" spans="2:4" hidden="1">
      <c r="B163" s="31"/>
      <c r="C163" s="31"/>
      <c r="D163" s="32"/>
    </row>
    <row r="164" spans="2:4" hidden="1">
      <c r="B164" s="31"/>
      <c r="C164" s="31"/>
      <c r="D164" s="32"/>
    </row>
    <row r="165" spans="2:4" hidden="1">
      <c r="B165" s="31"/>
      <c r="C165" s="31"/>
      <c r="D165" s="32"/>
    </row>
    <row r="166" spans="2:4" hidden="1">
      <c r="B166" s="31"/>
      <c r="C166" s="31"/>
      <c r="D166" s="32"/>
    </row>
    <row r="167" spans="2:4" hidden="1">
      <c r="B167" s="31"/>
      <c r="C167" s="31"/>
      <c r="D167" s="32"/>
    </row>
    <row r="168" spans="2:4" hidden="1">
      <c r="B168" s="31"/>
      <c r="C168" s="31"/>
      <c r="D168" s="32"/>
    </row>
    <row r="169" spans="2:4" hidden="1">
      <c r="B169" s="31"/>
      <c r="C169" s="31"/>
      <c r="D169" s="32"/>
    </row>
    <row r="170" spans="2:4" hidden="1">
      <c r="B170" s="31"/>
      <c r="C170" s="31"/>
      <c r="D170" s="32"/>
    </row>
    <row r="171" spans="2:4" hidden="1">
      <c r="B171" s="31"/>
      <c r="C171" s="31"/>
      <c r="D171" s="32"/>
    </row>
    <row r="172" spans="2:4" hidden="1">
      <c r="B172" s="31"/>
      <c r="C172" s="31"/>
      <c r="D172" s="32"/>
    </row>
    <row r="173" spans="2:4" hidden="1">
      <c r="B173" s="31"/>
      <c r="C173" s="31"/>
      <c r="D173" s="32"/>
    </row>
    <row r="174" spans="2:4" hidden="1">
      <c r="B174" s="31"/>
      <c r="C174" s="31"/>
      <c r="D174" s="32"/>
    </row>
    <row r="175" spans="2:4" hidden="1">
      <c r="B175" s="31"/>
      <c r="C175" s="31"/>
      <c r="D175" s="32"/>
    </row>
    <row r="176" spans="2:4" hidden="1">
      <c r="B176" s="31"/>
      <c r="C176" s="31"/>
      <c r="D176" s="32"/>
    </row>
    <row r="177" spans="2:4" hidden="1">
      <c r="B177" s="31"/>
      <c r="C177" s="31"/>
      <c r="D177" s="32"/>
    </row>
    <row r="178" spans="2:4" hidden="1">
      <c r="B178" s="31"/>
      <c r="C178" s="31"/>
      <c r="D178" s="32"/>
    </row>
    <row r="179" spans="2:4" hidden="1">
      <c r="B179" s="31"/>
      <c r="C179" s="31"/>
      <c r="D179" s="32"/>
    </row>
    <row r="180" spans="2:4" hidden="1">
      <c r="B180" s="31"/>
      <c r="C180" s="31"/>
      <c r="D180" s="32"/>
    </row>
    <row r="181" spans="2:4" hidden="1">
      <c r="B181" s="31"/>
      <c r="C181" s="31"/>
      <c r="D181" s="32"/>
    </row>
  </sheetData>
  <mergeCells count="41">
    <mergeCell ref="A1:AH2"/>
    <mergeCell ref="B3:D3"/>
    <mergeCell ref="B4:B5"/>
    <mergeCell ref="C4:C5"/>
    <mergeCell ref="D4:D5"/>
    <mergeCell ref="E4:AH4"/>
    <mergeCell ref="B6:B16"/>
    <mergeCell ref="C6:D6"/>
    <mergeCell ref="B17:B28"/>
    <mergeCell ref="C17:D17"/>
    <mergeCell ref="B29:B36"/>
    <mergeCell ref="C29:D29"/>
    <mergeCell ref="C7:C8"/>
    <mergeCell ref="C9:C10"/>
    <mergeCell ref="C11:C12"/>
    <mergeCell ref="C13:C14"/>
    <mergeCell ref="B37:B44"/>
    <mergeCell ref="C37:D37"/>
    <mergeCell ref="B45:B52"/>
    <mergeCell ref="C45:D45"/>
    <mergeCell ref="B53:B64"/>
    <mergeCell ref="C53:D53"/>
    <mergeCell ref="C54:C55"/>
    <mergeCell ref="C57:C58"/>
    <mergeCell ref="C60:C61"/>
    <mergeCell ref="C62:C63"/>
    <mergeCell ref="B65:B72"/>
    <mergeCell ref="C65:D65"/>
    <mergeCell ref="B73:B80"/>
    <mergeCell ref="C73:D73"/>
    <mergeCell ref="B81:B88"/>
    <mergeCell ref="C81:D81"/>
    <mergeCell ref="B113:B120"/>
    <mergeCell ref="C113:D113"/>
    <mergeCell ref="B121:D121"/>
    <mergeCell ref="B89:B96"/>
    <mergeCell ref="C89:D89"/>
    <mergeCell ref="B97:B104"/>
    <mergeCell ref="C97:D97"/>
    <mergeCell ref="B105:B112"/>
    <mergeCell ref="C105:D105"/>
  </mergeCells>
  <pageMargins left="0.7" right="0.7" top="0.75" bottom="0.75" header="0.3" footer="0.3"/>
  <pageSetup paperSize="9" orientation="portrait" horizontalDpi="4294967293" verticalDpi="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dimension ref="A1:AW268"/>
  <sheetViews>
    <sheetView showGridLines="0" zoomScale="81" zoomScaleNormal="81" workbookViewId="0">
      <pane ySplit="5" topLeftCell="A116" activePane="bottomLeft" state="frozen"/>
      <selection activeCell="K33" sqref="K33"/>
      <selection pane="bottomLeft" activeCell="E6" sqref="E6:AB208"/>
    </sheetView>
  </sheetViews>
  <sheetFormatPr defaultColWidth="0" defaultRowHeight="0" customHeight="1" zeroHeight="1"/>
  <cols>
    <col min="1" max="1" width="1" style="29" customWidth="1"/>
    <col min="2" max="2" width="3.7109375" style="33" customWidth="1"/>
    <col min="3" max="3" width="46.140625" style="33" customWidth="1"/>
    <col min="4" max="4" width="12" style="29" customWidth="1"/>
    <col min="5" max="19" width="5.7109375" style="29" customWidth="1"/>
    <col min="20" max="20" width="6.7109375" style="29" customWidth="1"/>
    <col min="21" max="22" width="5.7109375" style="29" customWidth="1"/>
    <col min="23" max="23" width="6.85546875" style="29" customWidth="1"/>
    <col min="24" max="27" width="5.7109375" style="29" customWidth="1"/>
    <col min="28" max="28" width="7.5703125" style="29" customWidth="1"/>
    <col min="29" max="34" width="5.7109375" style="29" customWidth="1"/>
    <col min="35" max="49" width="5.7109375" hidden="1" customWidth="1"/>
    <col min="50" max="16384" width="9.140625" hidden="1"/>
  </cols>
  <sheetData>
    <row r="1" spans="1:34" ht="15" customHeight="1">
      <c r="A1" s="803" t="s">
        <v>243</v>
      </c>
      <c r="B1" s="803"/>
      <c r="C1" s="803"/>
      <c r="D1" s="803"/>
      <c r="E1" s="803"/>
      <c r="F1" s="803"/>
      <c r="G1" s="803"/>
      <c r="H1" s="803"/>
      <c r="I1" s="803"/>
      <c r="J1" s="803"/>
      <c r="K1" s="803"/>
      <c r="L1" s="803"/>
      <c r="M1" s="803"/>
      <c r="N1" s="803"/>
      <c r="O1" s="803"/>
      <c r="P1" s="803"/>
      <c r="Q1" s="803"/>
      <c r="R1" s="803"/>
      <c r="S1" s="803"/>
      <c r="T1" s="803"/>
      <c r="U1" s="803"/>
      <c r="V1" s="803"/>
      <c r="W1" s="803"/>
      <c r="X1" s="803"/>
      <c r="Y1" s="803"/>
      <c r="Z1" s="803"/>
      <c r="AA1" s="803"/>
      <c r="AB1" s="803"/>
      <c r="AC1" s="803"/>
      <c r="AD1" s="803"/>
      <c r="AE1" s="803"/>
      <c r="AF1" s="803"/>
      <c r="AG1" s="803"/>
      <c r="AH1" s="803"/>
    </row>
    <row r="2" spans="1:34" ht="15" customHeight="1">
      <c r="A2" s="803"/>
      <c r="B2" s="803"/>
      <c r="C2" s="803"/>
      <c r="D2" s="803"/>
      <c r="E2" s="803"/>
      <c r="F2" s="803"/>
      <c r="G2" s="803"/>
      <c r="H2" s="803"/>
      <c r="I2" s="803"/>
      <c r="J2" s="803"/>
      <c r="K2" s="803"/>
      <c r="L2" s="803"/>
      <c r="M2" s="803"/>
      <c r="N2" s="803"/>
      <c r="O2" s="803"/>
      <c r="P2" s="803"/>
      <c r="Q2" s="803"/>
      <c r="R2" s="803"/>
      <c r="S2" s="803"/>
      <c r="T2" s="803"/>
      <c r="U2" s="803"/>
      <c r="V2" s="803"/>
      <c r="W2" s="803"/>
      <c r="X2" s="803"/>
      <c r="Y2" s="803"/>
      <c r="Z2" s="803"/>
      <c r="AA2" s="803"/>
      <c r="AB2" s="803"/>
      <c r="AC2" s="803"/>
      <c r="AD2" s="803"/>
      <c r="AE2" s="803"/>
      <c r="AF2" s="803"/>
      <c r="AG2" s="803"/>
      <c r="AH2" s="803"/>
    </row>
    <row r="3" spans="1:34" ht="15" customHeight="1">
      <c r="B3" s="804"/>
      <c r="C3" s="804"/>
      <c r="D3" s="80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row>
    <row r="4" spans="1:34" ht="15" customHeight="1">
      <c r="B4" s="805" t="s">
        <v>5</v>
      </c>
      <c r="C4" s="805" t="s">
        <v>125</v>
      </c>
      <c r="D4" s="806" t="s">
        <v>126</v>
      </c>
      <c r="E4" s="807" t="s">
        <v>57</v>
      </c>
      <c r="F4" s="807"/>
      <c r="G4" s="807"/>
      <c r="H4" s="807"/>
      <c r="I4" s="807"/>
      <c r="J4" s="807"/>
      <c r="K4" s="807"/>
      <c r="L4" s="807"/>
      <c r="M4" s="807"/>
      <c r="N4" s="807"/>
      <c r="O4" s="807"/>
      <c r="P4" s="807"/>
      <c r="Q4" s="807"/>
      <c r="R4" s="807"/>
      <c r="S4" s="807"/>
      <c r="T4" s="807"/>
      <c r="U4" s="807"/>
      <c r="V4" s="807"/>
      <c r="W4" s="807"/>
      <c r="X4" s="807"/>
      <c r="Y4" s="807"/>
      <c r="Z4" s="807"/>
      <c r="AA4" s="807"/>
      <c r="AB4" s="807"/>
      <c r="AC4" s="807"/>
      <c r="AD4" s="807"/>
      <c r="AE4" s="807"/>
      <c r="AF4" s="807"/>
      <c r="AG4" s="807"/>
      <c r="AH4" s="807"/>
    </row>
    <row r="5" spans="1:34" ht="12.75" customHeight="1">
      <c r="B5" s="805"/>
      <c r="C5" s="805"/>
      <c r="D5" s="806"/>
      <c r="E5" s="35" t="str">
        <f>DATASISWA!$F$8</f>
        <v>Dita</v>
      </c>
      <c r="F5" s="35" t="str">
        <f>DATASISWA!$F$9</f>
        <v>Annisa</v>
      </c>
      <c r="G5" s="35" t="str">
        <f>DATASISWA!$F$10</f>
        <v>Kiki</v>
      </c>
      <c r="H5" s="35" t="str">
        <f>DATASISWA!$F$11</f>
        <v>Lily</v>
      </c>
      <c r="I5" s="35" t="str">
        <f>DATASISWA!$F$12</f>
        <v>Rere</v>
      </c>
      <c r="J5" s="35" t="str">
        <f>DATASISWA!$F$13</f>
        <v>Fadhil</v>
      </c>
      <c r="K5" s="35" t="str">
        <f>DATASISWA!$F$14</f>
        <v>Yuefa</v>
      </c>
      <c r="L5" s="35" t="str">
        <f>DATASISWA!$F$15</f>
        <v>Ria</v>
      </c>
      <c r="M5" s="35" t="str">
        <f>DATASISWA!$F$16</f>
        <v>Tiara</v>
      </c>
      <c r="N5" s="35" t="str">
        <f>DATASISWA!$F$17</f>
        <v>Alvind</v>
      </c>
      <c r="O5" s="35" t="str">
        <f>DATASISWA!$F$18</f>
        <v>Icha</v>
      </c>
      <c r="P5" s="35" t="str">
        <f>DATASISWA!$F$19</f>
        <v>Qonita</v>
      </c>
      <c r="Q5" s="35" t="str">
        <f>DATASISWA!$F$20</f>
        <v>Anya</v>
      </c>
      <c r="R5" s="35" t="str">
        <f>DATASISWA!$F$21</f>
        <v>Radit</v>
      </c>
      <c r="S5" s="35" t="str">
        <f>DATASISWA!$F$22</f>
        <v>angel</v>
      </c>
      <c r="T5" s="35">
        <f>DATASISWA!$F$23</f>
        <v>0</v>
      </c>
      <c r="U5" s="35">
        <f>DATASISWA!$F$24</f>
        <v>0</v>
      </c>
      <c r="V5" s="35">
        <f>DATASISWA!$F$25</f>
        <v>0</v>
      </c>
      <c r="W5" s="35">
        <f>DATASISWA!$F$26</f>
        <v>0</v>
      </c>
      <c r="X5" s="35">
        <f>DATASISWA!$F$27</f>
        <v>0</v>
      </c>
      <c r="Y5" s="35">
        <f>DATASISWA!$F$28</f>
        <v>0</v>
      </c>
      <c r="Z5" s="35">
        <f>DATASISWA!$F$29</f>
        <v>0</v>
      </c>
      <c r="AA5" s="35">
        <f>DATASISWA!$F$30</f>
        <v>0</v>
      </c>
      <c r="AB5" s="35">
        <f>DATASISWA!$F$31</f>
        <v>0</v>
      </c>
      <c r="AC5" s="35">
        <f>DATASISWA!$F$32</f>
        <v>0</v>
      </c>
      <c r="AD5" s="35">
        <f>DATASISWA!$F$33</f>
        <v>0</v>
      </c>
      <c r="AE5" s="35">
        <f>DATASISWA!$F$34</f>
        <v>0</v>
      </c>
      <c r="AF5" s="35">
        <f>DATASISWA!$F$35</f>
        <v>0</v>
      </c>
      <c r="AG5" s="35">
        <f>DATASISWA!$F$36</f>
        <v>0</v>
      </c>
      <c r="AH5" s="35">
        <f>DATASISWA!$F$37</f>
        <v>0</v>
      </c>
    </row>
    <row r="6" spans="1:34" ht="27" customHeight="1" thickBot="1">
      <c r="A6" s="30"/>
      <c r="B6" s="800">
        <v>1</v>
      </c>
      <c r="C6" s="809" t="s">
        <v>1828</v>
      </c>
      <c r="D6" s="810"/>
      <c r="E6" s="97">
        <f>IFERROR(AVERAGE(E10:E21),"")</f>
        <v>93</v>
      </c>
      <c r="F6" s="97">
        <f t="shared" ref="F6:AB6" si="0">IFERROR(AVERAGE(F10:F21),"")</f>
        <v>84</v>
      </c>
      <c r="G6" s="97">
        <f t="shared" si="0"/>
        <v>84.9</v>
      </c>
      <c r="H6" s="97">
        <f t="shared" si="0"/>
        <v>90.5</v>
      </c>
      <c r="I6" s="97">
        <f t="shared" si="0"/>
        <v>94.5</v>
      </c>
      <c r="J6" s="97">
        <f t="shared" si="0"/>
        <v>98</v>
      </c>
      <c r="K6" s="97">
        <f t="shared" si="0"/>
        <v>98</v>
      </c>
      <c r="L6" s="97">
        <f t="shared" si="0"/>
        <v>99.5</v>
      </c>
      <c r="M6" s="97">
        <f t="shared" si="0"/>
        <v>95.5</v>
      </c>
      <c r="N6" s="97">
        <f t="shared" si="0"/>
        <v>97</v>
      </c>
      <c r="O6" s="97">
        <f t="shared" si="0"/>
        <v>97.5</v>
      </c>
      <c r="P6" s="97">
        <f t="shared" si="0"/>
        <v>97</v>
      </c>
      <c r="Q6" s="97">
        <f t="shared" si="0"/>
        <v>95</v>
      </c>
      <c r="R6" s="97">
        <f t="shared" si="0"/>
        <v>92.5</v>
      </c>
      <c r="S6" s="97">
        <f t="shared" si="0"/>
        <v>88.5</v>
      </c>
      <c r="T6" s="97">
        <f t="shared" si="0"/>
        <v>96.5</v>
      </c>
      <c r="U6" s="97">
        <f t="shared" si="0"/>
        <v>98</v>
      </c>
      <c r="V6" s="97">
        <f t="shared" si="0"/>
        <v>93.5</v>
      </c>
      <c r="W6" s="97">
        <f t="shared" si="0"/>
        <v>90.9</v>
      </c>
      <c r="X6" s="97">
        <f t="shared" si="0"/>
        <v>93.5</v>
      </c>
      <c r="Y6" s="97">
        <f t="shared" si="0"/>
        <v>97.5</v>
      </c>
      <c r="Z6" s="97">
        <f t="shared" si="0"/>
        <v>92.5</v>
      </c>
      <c r="AA6" s="97">
        <f t="shared" si="0"/>
        <v>96</v>
      </c>
      <c r="AB6" s="97">
        <f t="shared" si="0"/>
        <v>97</v>
      </c>
      <c r="AC6" s="97" t="str">
        <f t="shared" ref="AC6:AH6" si="1">IFERROR(AVERAGE(AC10:AC21),"")</f>
        <v/>
      </c>
      <c r="AD6" s="97" t="str">
        <f t="shared" si="1"/>
        <v/>
      </c>
      <c r="AE6" s="97" t="str">
        <f t="shared" si="1"/>
        <v/>
      </c>
      <c r="AF6" s="97" t="str">
        <f t="shared" si="1"/>
        <v/>
      </c>
      <c r="AG6" s="97" t="str">
        <f t="shared" si="1"/>
        <v/>
      </c>
      <c r="AH6" s="97" t="str">
        <f t="shared" si="1"/>
        <v/>
      </c>
    </row>
    <row r="7" spans="1:34" s="474" customFormat="1" ht="27" hidden="1" customHeight="1">
      <c r="A7" s="30"/>
      <c r="B7" s="801"/>
      <c r="C7" s="475"/>
      <c r="D7" s="473"/>
      <c r="E7" s="97"/>
      <c r="F7" s="97"/>
      <c r="G7" s="97"/>
      <c r="H7" s="97"/>
      <c r="I7" s="97"/>
      <c r="J7" s="97"/>
      <c r="K7" s="97"/>
      <c r="L7" s="97"/>
      <c r="M7" s="97"/>
      <c r="N7" s="97"/>
      <c r="O7" s="97"/>
      <c r="P7" s="97"/>
      <c r="Q7" s="97"/>
      <c r="R7" s="97"/>
      <c r="S7" s="97"/>
      <c r="T7" s="97"/>
      <c r="U7" s="97"/>
      <c r="V7" s="97"/>
      <c r="W7" s="97"/>
      <c r="X7" s="97"/>
      <c r="Y7" s="97"/>
      <c r="Z7" s="97"/>
      <c r="AA7" s="97"/>
      <c r="AB7" s="97"/>
      <c r="AC7" s="97"/>
      <c r="AD7" s="97"/>
      <c r="AE7" s="97"/>
      <c r="AF7" s="97"/>
      <c r="AG7" s="97"/>
      <c r="AH7" s="97"/>
    </row>
    <row r="8" spans="1:34" s="474" customFormat="1" ht="27" hidden="1" customHeight="1">
      <c r="A8" s="30"/>
      <c r="B8" s="801"/>
      <c r="C8" s="475"/>
      <c r="D8" s="473"/>
      <c r="E8" s="97"/>
      <c r="F8" s="97"/>
      <c r="G8" s="97"/>
      <c r="H8" s="97"/>
      <c r="I8" s="97"/>
      <c r="J8" s="97"/>
      <c r="K8" s="97"/>
      <c r="L8" s="97"/>
      <c r="M8" s="97"/>
      <c r="N8" s="97"/>
      <c r="O8" s="97"/>
      <c r="P8" s="97"/>
      <c r="Q8" s="97"/>
      <c r="R8" s="97"/>
      <c r="S8" s="97"/>
      <c r="T8" s="97"/>
      <c r="U8" s="97"/>
      <c r="V8" s="97"/>
      <c r="W8" s="97"/>
      <c r="X8" s="97"/>
      <c r="Y8" s="97"/>
      <c r="Z8" s="97"/>
      <c r="AA8" s="97"/>
      <c r="AB8" s="97"/>
      <c r="AC8" s="97"/>
      <c r="AD8" s="97"/>
      <c r="AE8" s="97"/>
      <c r="AF8" s="97"/>
      <c r="AG8" s="97"/>
      <c r="AH8" s="97"/>
    </row>
    <row r="9" spans="1:34" s="474" customFormat="1" ht="27" hidden="1" customHeight="1" thickBot="1">
      <c r="A9" s="30"/>
      <c r="B9" s="801"/>
      <c r="C9" s="475"/>
      <c r="D9" s="473"/>
      <c r="E9" s="97"/>
      <c r="F9" s="97"/>
      <c r="G9" s="97"/>
      <c r="H9" s="97"/>
      <c r="I9" s="97"/>
      <c r="J9" s="97"/>
      <c r="K9" s="97"/>
      <c r="L9" s="97"/>
      <c r="M9" s="97"/>
      <c r="N9" s="97"/>
      <c r="O9" s="97"/>
      <c r="P9" s="97"/>
      <c r="Q9" s="97"/>
      <c r="R9" s="97"/>
      <c r="S9" s="97"/>
      <c r="T9" s="97"/>
      <c r="U9" s="97"/>
      <c r="V9" s="97"/>
      <c r="W9" s="97"/>
      <c r="X9" s="97"/>
      <c r="Y9" s="97"/>
      <c r="Z9" s="97"/>
      <c r="AA9" s="97"/>
      <c r="AB9" s="97"/>
      <c r="AC9" s="97"/>
      <c r="AD9" s="97"/>
      <c r="AE9" s="97"/>
      <c r="AF9" s="97"/>
      <c r="AG9" s="97"/>
      <c r="AH9" s="97"/>
    </row>
    <row r="10" spans="1:34" ht="31.5" customHeight="1" thickTop="1">
      <c r="A10" s="30"/>
      <c r="B10" s="801"/>
      <c r="C10" s="479" t="s">
        <v>1387</v>
      </c>
      <c r="D10" s="480" t="s">
        <v>1388</v>
      </c>
      <c r="E10" s="631">
        <v>80</v>
      </c>
      <c r="F10" s="631">
        <v>100</v>
      </c>
      <c r="G10" s="631">
        <v>89</v>
      </c>
      <c r="H10" s="631">
        <v>100</v>
      </c>
      <c r="I10" s="631">
        <v>100</v>
      </c>
      <c r="J10" s="631">
        <v>90</v>
      </c>
      <c r="K10" s="631">
        <v>100</v>
      </c>
      <c r="L10" s="631">
        <v>100</v>
      </c>
      <c r="M10" s="631">
        <v>90</v>
      </c>
      <c r="N10" s="631">
        <v>100</v>
      </c>
      <c r="O10" s="631">
        <v>100</v>
      </c>
      <c r="P10" s="631">
        <v>100</v>
      </c>
      <c r="Q10" s="631">
        <v>100</v>
      </c>
      <c r="R10" s="631">
        <v>85</v>
      </c>
      <c r="S10" s="631">
        <v>90</v>
      </c>
      <c r="T10" s="631">
        <v>95</v>
      </c>
      <c r="U10" s="631">
        <v>100</v>
      </c>
      <c r="V10" s="631">
        <v>100</v>
      </c>
      <c r="W10" s="631">
        <v>94</v>
      </c>
      <c r="X10" s="631">
        <v>90</v>
      </c>
      <c r="Y10" s="631">
        <v>100</v>
      </c>
      <c r="Z10" s="631">
        <v>90</v>
      </c>
      <c r="AA10" s="631">
        <v>100</v>
      </c>
      <c r="AB10" s="631">
        <v>100</v>
      </c>
      <c r="AC10" s="98"/>
      <c r="AD10" s="98"/>
      <c r="AE10" s="98"/>
      <c r="AF10" s="98"/>
      <c r="AG10" s="98"/>
      <c r="AH10" s="98"/>
    </row>
    <row r="11" spans="1:34" s="476" customFormat="1" ht="31.5" customHeight="1">
      <c r="A11" s="30"/>
      <c r="B11" s="801"/>
      <c r="C11" s="481" t="s">
        <v>1389</v>
      </c>
      <c r="D11" s="482" t="s">
        <v>1390</v>
      </c>
      <c r="E11" s="631">
        <v>100</v>
      </c>
      <c r="F11" s="631">
        <v>100</v>
      </c>
      <c r="G11" s="631">
        <v>100</v>
      </c>
      <c r="H11" s="631">
        <v>100</v>
      </c>
      <c r="I11" s="631">
        <v>100</v>
      </c>
      <c r="J11" s="631">
        <v>100</v>
      </c>
      <c r="K11" s="631">
        <v>100</v>
      </c>
      <c r="L11" s="631">
        <v>100</v>
      </c>
      <c r="M11" s="631">
        <v>100</v>
      </c>
      <c r="N11" s="631">
        <v>100</v>
      </c>
      <c r="O11" s="631">
        <v>100</v>
      </c>
      <c r="P11" s="631">
        <v>100</v>
      </c>
      <c r="Q11" s="631">
        <v>100</v>
      </c>
      <c r="R11" s="631">
        <v>95</v>
      </c>
      <c r="S11" s="631">
        <v>95</v>
      </c>
      <c r="T11" s="631">
        <v>100</v>
      </c>
      <c r="U11" s="631">
        <v>100</v>
      </c>
      <c r="V11" s="631">
        <v>70</v>
      </c>
      <c r="W11" s="631">
        <v>90</v>
      </c>
      <c r="X11" s="631">
        <v>90</v>
      </c>
      <c r="Y11" s="631">
        <v>100</v>
      </c>
      <c r="Z11" s="631">
        <v>100</v>
      </c>
      <c r="AA11" s="631">
        <v>100</v>
      </c>
      <c r="AB11" s="631">
        <v>100</v>
      </c>
      <c r="AC11" s="98"/>
      <c r="AD11" s="98"/>
      <c r="AE11" s="98"/>
      <c r="AF11" s="98"/>
      <c r="AG11" s="98"/>
      <c r="AH11" s="98"/>
    </row>
    <row r="12" spans="1:34" s="476" customFormat="1" ht="33" customHeight="1">
      <c r="A12" s="30"/>
      <c r="B12" s="801"/>
      <c r="C12" s="481" t="s">
        <v>1391</v>
      </c>
      <c r="D12" s="482" t="s">
        <v>1392</v>
      </c>
      <c r="E12" s="660">
        <v>100</v>
      </c>
      <c r="F12" s="660">
        <v>95</v>
      </c>
      <c r="G12" s="660">
        <v>100</v>
      </c>
      <c r="H12" s="660">
        <v>90</v>
      </c>
      <c r="I12" s="660">
        <v>100</v>
      </c>
      <c r="J12" s="660">
        <v>100</v>
      </c>
      <c r="K12" s="660">
        <v>100</v>
      </c>
      <c r="L12" s="660">
        <v>100</v>
      </c>
      <c r="M12" s="660">
        <v>100</v>
      </c>
      <c r="N12" s="660">
        <v>100</v>
      </c>
      <c r="O12" s="660">
        <v>100</v>
      </c>
      <c r="P12" s="660">
        <v>100</v>
      </c>
      <c r="Q12" s="660">
        <v>100</v>
      </c>
      <c r="R12" s="660">
        <v>100</v>
      </c>
      <c r="S12" s="660">
        <v>100</v>
      </c>
      <c r="T12" s="660">
        <v>100</v>
      </c>
      <c r="U12" s="660">
        <v>100</v>
      </c>
      <c r="V12" s="660">
        <v>100</v>
      </c>
      <c r="W12" s="660">
        <v>100</v>
      </c>
      <c r="X12" s="660">
        <v>100</v>
      </c>
      <c r="Y12" s="660">
        <v>100</v>
      </c>
      <c r="Z12" s="660">
        <v>100</v>
      </c>
      <c r="AA12" s="660">
        <v>100</v>
      </c>
      <c r="AB12" s="660">
        <v>100</v>
      </c>
      <c r="AC12" s="98"/>
      <c r="AD12" s="98"/>
      <c r="AE12" s="98"/>
      <c r="AF12" s="98"/>
      <c r="AG12" s="98"/>
      <c r="AH12" s="98"/>
    </row>
    <row r="13" spans="1:34" s="476" customFormat="1" ht="32.25" customHeight="1">
      <c r="A13" s="30"/>
      <c r="B13" s="801"/>
      <c r="C13" s="481" t="s">
        <v>1393</v>
      </c>
      <c r="D13" s="482" t="s">
        <v>1394</v>
      </c>
      <c r="E13" s="660">
        <v>100</v>
      </c>
      <c r="F13" s="660">
        <v>80</v>
      </c>
      <c r="G13" s="660">
        <v>90</v>
      </c>
      <c r="H13" s="660">
        <v>100</v>
      </c>
      <c r="I13" s="660">
        <v>100</v>
      </c>
      <c r="J13" s="660">
        <v>100</v>
      </c>
      <c r="K13" s="660">
        <v>100</v>
      </c>
      <c r="L13" s="660">
        <v>100</v>
      </c>
      <c r="M13" s="660">
        <v>90</v>
      </c>
      <c r="N13" s="660">
        <v>100</v>
      </c>
      <c r="O13" s="660">
        <v>100</v>
      </c>
      <c r="P13" s="660">
        <v>100</v>
      </c>
      <c r="Q13" s="660">
        <v>90</v>
      </c>
      <c r="R13" s="660">
        <v>90</v>
      </c>
      <c r="S13" s="660">
        <v>80</v>
      </c>
      <c r="T13" s="660">
        <v>90</v>
      </c>
      <c r="U13" s="660">
        <v>100</v>
      </c>
      <c r="V13" s="660">
        <v>100</v>
      </c>
      <c r="W13" s="660">
        <v>90</v>
      </c>
      <c r="X13" s="660">
        <v>90</v>
      </c>
      <c r="Y13" s="660">
        <v>95</v>
      </c>
      <c r="Z13" s="660">
        <v>90</v>
      </c>
      <c r="AA13" s="660">
        <v>100</v>
      </c>
      <c r="AB13" s="660">
        <v>95</v>
      </c>
      <c r="AC13" s="98"/>
      <c r="AD13" s="98"/>
      <c r="AE13" s="98"/>
      <c r="AF13" s="98"/>
      <c r="AG13" s="98"/>
      <c r="AH13" s="98"/>
    </row>
    <row r="14" spans="1:34" s="476" customFormat="1" ht="36" customHeight="1">
      <c r="A14" s="30"/>
      <c r="B14" s="801"/>
      <c r="C14" s="481" t="s">
        <v>1395</v>
      </c>
      <c r="D14" s="482" t="s">
        <v>1396</v>
      </c>
      <c r="E14" s="660">
        <v>85</v>
      </c>
      <c r="F14" s="660">
        <v>80</v>
      </c>
      <c r="G14" s="660">
        <v>70</v>
      </c>
      <c r="H14" s="660">
        <v>100</v>
      </c>
      <c r="I14" s="660">
        <v>100</v>
      </c>
      <c r="J14" s="660">
        <v>95</v>
      </c>
      <c r="K14" s="660">
        <v>95</v>
      </c>
      <c r="L14" s="660">
        <v>100</v>
      </c>
      <c r="M14" s="660">
        <v>95</v>
      </c>
      <c r="N14" s="660">
        <v>100</v>
      </c>
      <c r="O14" s="660">
        <v>100</v>
      </c>
      <c r="P14" s="660">
        <v>100</v>
      </c>
      <c r="Q14" s="660">
        <v>95</v>
      </c>
      <c r="R14" s="660">
        <v>85</v>
      </c>
      <c r="S14" s="660">
        <v>65</v>
      </c>
      <c r="T14" s="660">
        <v>95</v>
      </c>
      <c r="U14" s="660">
        <v>100</v>
      </c>
      <c r="V14" s="660">
        <v>95</v>
      </c>
      <c r="W14" s="660">
        <v>85</v>
      </c>
      <c r="X14" s="660">
        <v>95</v>
      </c>
      <c r="Y14" s="660">
        <v>100</v>
      </c>
      <c r="Z14" s="660">
        <v>85</v>
      </c>
      <c r="AA14" s="660">
        <v>100</v>
      </c>
      <c r="AB14" s="660">
        <v>90</v>
      </c>
      <c r="AC14" s="98"/>
      <c r="AD14" s="98"/>
      <c r="AE14" s="98"/>
      <c r="AF14" s="98"/>
      <c r="AG14" s="98"/>
      <c r="AH14" s="98"/>
    </row>
    <row r="15" spans="1:34" ht="34.5" customHeight="1">
      <c r="A15" s="30"/>
      <c r="B15" s="801"/>
      <c r="C15" s="481" t="s">
        <v>1397</v>
      </c>
      <c r="D15" s="482" t="s">
        <v>1398</v>
      </c>
      <c r="E15" s="660">
        <v>95</v>
      </c>
      <c r="F15" s="660">
        <v>90</v>
      </c>
      <c r="G15" s="660">
        <v>90</v>
      </c>
      <c r="H15" s="660">
        <v>90</v>
      </c>
      <c r="I15" s="660">
        <v>95</v>
      </c>
      <c r="J15" s="660">
        <v>100</v>
      </c>
      <c r="K15" s="660">
        <v>95</v>
      </c>
      <c r="L15" s="660">
        <v>100</v>
      </c>
      <c r="M15" s="660">
        <v>100</v>
      </c>
      <c r="N15" s="660">
        <v>90</v>
      </c>
      <c r="O15" s="660">
        <v>95</v>
      </c>
      <c r="P15" s="660">
        <v>80</v>
      </c>
      <c r="Q15" s="660">
        <v>95</v>
      </c>
      <c r="R15" s="660">
        <v>100</v>
      </c>
      <c r="S15" s="660">
        <v>90</v>
      </c>
      <c r="T15" s="660">
        <v>90</v>
      </c>
      <c r="U15" s="660">
        <v>95</v>
      </c>
      <c r="V15" s="660">
        <v>100</v>
      </c>
      <c r="W15" s="660">
        <v>60</v>
      </c>
      <c r="X15" s="660">
        <v>80</v>
      </c>
      <c r="Y15" s="660">
        <v>100</v>
      </c>
      <c r="Z15" s="660">
        <v>80</v>
      </c>
      <c r="AA15" s="660">
        <v>90</v>
      </c>
      <c r="AB15" s="660">
        <v>85</v>
      </c>
      <c r="AC15" s="98"/>
      <c r="AD15" s="98"/>
      <c r="AE15" s="98"/>
      <c r="AF15" s="98"/>
      <c r="AG15" s="98"/>
      <c r="AH15" s="98"/>
    </row>
    <row r="16" spans="1:34" ht="42" customHeight="1">
      <c r="A16" s="30"/>
      <c r="B16" s="801"/>
      <c r="C16" s="483" t="s">
        <v>1399</v>
      </c>
      <c r="D16" s="484" t="s">
        <v>1400</v>
      </c>
      <c r="E16" s="666">
        <v>90</v>
      </c>
      <c r="F16" s="666">
        <v>75</v>
      </c>
      <c r="G16" s="666">
        <v>70</v>
      </c>
      <c r="H16" s="666">
        <v>90</v>
      </c>
      <c r="I16" s="666">
        <v>90</v>
      </c>
      <c r="J16" s="666">
        <v>100</v>
      </c>
      <c r="K16" s="666">
        <v>90</v>
      </c>
      <c r="L16" s="666">
        <v>100</v>
      </c>
      <c r="M16" s="666">
        <v>90</v>
      </c>
      <c r="N16" s="666">
        <v>100</v>
      </c>
      <c r="O16" s="666">
        <v>100</v>
      </c>
      <c r="P16" s="666">
        <v>90</v>
      </c>
      <c r="Q16" s="666">
        <v>90</v>
      </c>
      <c r="R16" s="666">
        <v>90</v>
      </c>
      <c r="S16" s="666">
        <v>80</v>
      </c>
      <c r="T16" s="666">
        <v>100</v>
      </c>
      <c r="U16" s="666">
        <v>100</v>
      </c>
      <c r="V16" s="666">
        <v>90</v>
      </c>
      <c r="W16" s="666">
        <v>100</v>
      </c>
      <c r="X16" s="666">
        <v>90</v>
      </c>
      <c r="Y16" s="666">
        <v>90</v>
      </c>
      <c r="Z16" s="666">
        <v>100</v>
      </c>
      <c r="AA16" s="666">
        <v>90</v>
      </c>
      <c r="AB16" s="666">
        <v>100</v>
      </c>
      <c r="AC16" s="98"/>
      <c r="AD16" s="98"/>
      <c r="AE16" s="98"/>
      <c r="AF16" s="98"/>
      <c r="AG16" s="98"/>
      <c r="AH16" s="98"/>
    </row>
    <row r="17" spans="1:34" ht="30" customHeight="1">
      <c r="A17" s="30"/>
      <c r="B17" s="801"/>
      <c r="C17" s="483" t="s">
        <v>1401</v>
      </c>
      <c r="D17" s="484" t="s">
        <v>1402</v>
      </c>
      <c r="E17" s="666">
        <v>100</v>
      </c>
      <c r="F17" s="666">
        <v>90</v>
      </c>
      <c r="G17" s="666">
        <v>80</v>
      </c>
      <c r="H17" s="666">
        <v>70</v>
      </c>
      <c r="I17" s="666">
        <v>80</v>
      </c>
      <c r="J17" s="666">
        <v>100</v>
      </c>
      <c r="K17" s="666">
        <v>100</v>
      </c>
      <c r="L17" s="666">
        <v>100</v>
      </c>
      <c r="M17" s="666">
        <v>90</v>
      </c>
      <c r="N17" s="666">
        <v>90</v>
      </c>
      <c r="O17" s="666">
        <v>90</v>
      </c>
      <c r="P17" s="666">
        <v>100</v>
      </c>
      <c r="Q17" s="666">
        <v>90</v>
      </c>
      <c r="R17" s="666">
        <v>100</v>
      </c>
      <c r="S17" s="666">
        <v>85</v>
      </c>
      <c r="T17" s="666">
        <v>95</v>
      </c>
      <c r="U17" s="666">
        <v>90</v>
      </c>
      <c r="V17" s="666">
        <v>90</v>
      </c>
      <c r="W17" s="666">
        <v>90</v>
      </c>
      <c r="X17" s="666">
        <v>100</v>
      </c>
      <c r="Y17" s="666">
        <v>90</v>
      </c>
      <c r="Z17" s="666">
        <v>100</v>
      </c>
      <c r="AA17" s="666">
        <v>100</v>
      </c>
      <c r="AB17" s="666">
        <v>100</v>
      </c>
      <c r="AC17" s="98"/>
      <c r="AD17" s="98"/>
      <c r="AE17" s="98"/>
      <c r="AF17" s="98"/>
      <c r="AG17" s="98"/>
      <c r="AH17" s="98"/>
    </row>
    <row r="18" spans="1:34" ht="32.25" customHeight="1">
      <c r="A18" s="30"/>
      <c r="B18" s="801"/>
      <c r="C18" s="483" t="s">
        <v>1403</v>
      </c>
      <c r="D18" s="484" t="s">
        <v>1404</v>
      </c>
      <c r="E18" s="666">
        <v>100</v>
      </c>
      <c r="F18" s="666">
        <v>40</v>
      </c>
      <c r="G18" s="666">
        <v>90</v>
      </c>
      <c r="H18" s="666">
        <v>90</v>
      </c>
      <c r="I18" s="666">
        <v>90</v>
      </c>
      <c r="J18" s="666">
        <v>100</v>
      </c>
      <c r="K18" s="666">
        <v>100</v>
      </c>
      <c r="L18" s="666">
        <v>100</v>
      </c>
      <c r="M18" s="666">
        <v>100</v>
      </c>
      <c r="N18" s="666">
        <v>100</v>
      </c>
      <c r="O18" s="666">
        <v>90</v>
      </c>
      <c r="P18" s="666">
        <v>100</v>
      </c>
      <c r="Q18" s="666">
        <v>90</v>
      </c>
      <c r="R18" s="666">
        <v>80</v>
      </c>
      <c r="S18" s="666">
        <v>100</v>
      </c>
      <c r="T18" s="666">
        <v>100</v>
      </c>
      <c r="U18" s="666">
        <v>100</v>
      </c>
      <c r="V18" s="666">
        <v>90</v>
      </c>
      <c r="W18" s="666">
        <v>100</v>
      </c>
      <c r="X18" s="666">
        <v>100</v>
      </c>
      <c r="Y18" s="666">
        <v>100</v>
      </c>
      <c r="Z18" s="666">
        <v>90</v>
      </c>
      <c r="AA18" s="666">
        <v>90</v>
      </c>
      <c r="AB18" s="666">
        <v>100</v>
      </c>
      <c r="AC18" s="98"/>
      <c r="AD18" s="98"/>
      <c r="AE18" s="98"/>
      <c r="AF18" s="98"/>
      <c r="AG18" s="98"/>
      <c r="AH18" s="98"/>
    </row>
    <row r="19" spans="1:34" ht="36.75" customHeight="1">
      <c r="A19" s="30"/>
      <c r="B19" s="801"/>
      <c r="C19" s="483" t="s">
        <v>1405</v>
      </c>
      <c r="D19" s="484" t="s">
        <v>1406</v>
      </c>
      <c r="E19" s="666">
        <v>80</v>
      </c>
      <c r="F19" s="666">
        <v>90</v>
      </c>
      <c r="G19" s="666">
        <v>70</v>
      </c>
      <c r="H19" s="666">
        <v>75</v>
      </c>
      <c r="I19" s="666">
        <v>90</v>
      </c>
      <c r="J19" s="666">
        <v>95</v>
      </c>
      <c r="K19" s="666">
        <v>100</v>
      </c>
      <c r="L19" s="666">
        <v>95</v>
      </c>
      <c r="M19" s="666">
        <v>100</v>
      </c>
      <c r="N19" s="666">
        <v>90</v>
      </c>
      <c r="O19" s="666">
        <v>100</v>
      </c>
      <c r="P19" s="666">
        <v>100</v>
      </c>
      <c r="Q19" s="666">
        <v>100</v>
      </c>
      <c r="R19" s="666">
        <v>100</v>
      </c>
      <c r="S19" s="666">
        <v>100</v>
      </c>
      <c r="T19" s="666">
        <v>100</v>
      </c>
      <c r="U19" s="666">
        <v>95</v>
      </c>
      <c r="V19" s="666">
        <v>100</v>
      </c>
      <c r="W19" s="666">
        <v>100</v>
      </c>
      <c r="X19" s="666">
        <v>100</v>
      </c>
      <c r="Y19" s="666">
        <v>100</v>
      </c>
      <c r="Z19" s="666">
        <v>90</v>
      </c>
      <c r="AA19" s="666">
        <v>90</v>
      </c>
      <c r="AB19" s="666">
        <v>100</v>
      </c>
      <c r="AC19" s="98"/>
      <c r="AD19" s="98"/>
      <c r="AE19" s="98"/>
      <c r="AF19" s="98"/>
      <c r="AG19" s="98"/>
      <c r="AH19" s="98"/>
    </row>
    <row r="20" spans="1:34" ht="27" customHeight="1">
      <c r="A20" s="30"/>
      <c r="B20" s="801"/>
      <c r="C20" s="414"/>
      <c r="D20" s="72"/>
      <c r="E20" s="98"/>
      <c r="F20" s="98"/>
      <c r="G20" s="98"/>
      <c r="H20" s="98"/>
      <c r="I20" s="98"/>
      <c r="J20" s="98"/>
      <c r="K20" s="98"/>
      <c r="L20" s="98"/>
      <c r="M20" s="98"/>
      <c r="N20" s="98"/>
      <c r="O20" s="98"/>
      <c r="P20" s="98"/>
      <c r="Q20" s="98"/>
      <c r="R20" s="98"/>
      <c r="S20" s="98"/>
      <c r="T20" s="98"/>
      <c r="U20" s="98"/>
      <c r="V20" s="98"/>
      <c r="W20" s="98"/>
      <c r="X20" s="98"/>
      <c r="Y20" s="98"/>
      <c r="Z20" s="98"/>
      <c r="AA20" s="98"/>
      <c r="AB20" s="98"/>
      <c r="AC20" s="98"/>
      <c r="AD20" s="98"/>
      <c r="AE20" s="98"/>
      <c r="AF20" s="98"/>
      <c r="AG20" s="98"/>
      <c r="AH20" s="98"/>
    </row>
    <row r="21" spans="1:34" ht="27" hidden="1" customHeight="1">
      <c r="A21" s="30"/>
      <c r="B21" s="802"/>
      <c r="C21" s="409"/>
      <c r="D21" s="72"/>
      <c r="E21" s="98"/>
      <c r="F21" s="98"/>
      <c r="G21" s="98"/>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row>
    <row r="22" spans="1:34" ht="27" customHeight="1" thickBot="1">
      <c r="A22" s="30"/>
      <c r="B22" s="800">
        <v>2</v>
      </c>
      <c r="C22" s="811" t="s">
        <v>1829</v>
      </c>
      <c r="D22" s="812"/>
      <c r="E22" s="97">
        <f>IFERROR(AVERAGE(E23:E34),"")</f>
        <v>93.75</v>
      </c>
      <c r="F22" s="97">
        <f t="shared" ref="F22:AB22" si="2">IFERROR(AVERAGE(F23:F34),"")</f>
        <v>85</v>
      </c>
      <c r="G22" s="97">
        <f t="shared" si="2"/>
        <v>93.125</v>
      </c>
      <c r="H22" s="97">
        <f t="shared" si="2"/>
        <v>97.5</v>
      </c>
      <c r="I22" s="97">
        <f t="shared" si="2"/>
        <v>97.5</v>
      </c>
      <c r="J22" s="97">
        <f t="shared" si="2"/>
        <v>99.375</v>
      </c>
      <c r="K22" s="97">
        <f t="shared" si="2"/>
        <v>97.5</v>
      </c>
      <c r="L22" s="97">
        <f t="shared" si="2"/>
        <v>95.625</v>
      </c>
      <c r="M22" s="97">
        <f t="shared" si="2"/>
        <v>95.625</v>
      </c>
      <c r="N22" s="97">
        <f t="shared" si="2"/>
        <v>97.5</v>
      </c>
      <c r="O22" s="97">
        <f t="shared" si="2"/>
        <v>99.375</v>
      </c>
      <c r="P22" s="97">
        <f t="shared" si="2"/>
        <v>96.25</v>
      </c>
      <c r="Q22" s="97">
        <f t="shared" si="2"/>
        <v>97.5</v>
      </c>
      <c r="R22" s="97">
        <f t="shared" si="2"/>
        <v>94.375</v>
      </c>
      <c r="S22" s="97">
        <f t="shared" si="2"/>
        <v>86.25</v>
      </c>
      <c r="T22" s="97">
        <f t="shared" si="2"/>
        <v>95</v>
      </c>
      <c r="U22" s="97">
        <f t="shared" si="2"/>
        <v>98.75</v>
      </c>
      <c r="V22" s="97">
        <f t="shared" si="2"/>
        <v>93.75</v>
      </c>
      <c r="W22" s="97">
        <f t="shared" si="2"/>
        <v>91.25</v>
      </c>
      <c r="X22" s="97">
        <f t="shared" si="2"/>
        <v>91.25</v>
      </c>
      <c r="Y22" s="97">
        <f t="shared" si="2"/>
        <v>97.5</v>
      </c>
      <c r="Z22" s="97">
        <f t="shared" si="2"/>
        <v>94.375</v>
      </c>
      <c r="AA22" s="97">
        <f t="shared" si="2"/>
        <v>98.75</v>
      </c>
      <c r="AB22" s="97">
        <f t="shared" si="2"/>
        <v>91.875</v>
      </c>
      <c r="AC22" s="97" t="str">
        <f t="shared" ref="AC22:AH22" si="3">IFERROR(AVERAGE(AC23:AC34),"")</f>
        <v/>
      </c>
      <c r="AD22" s="97" t="str">
        <f t="shared" si="3"/>
        <v/>
      </c>
      <c r="AE22" s="97" t="str">
        <f t="shared" si="3"/>
        <v/>
      </c>
      <c r="AF22" s="97" t="str">
        <f t="shared" si="3"/>
        <v/>
      </c>
      <c r="AG22" s="97" t="str">
        <f t="shared" si="3"/>
        <v/>
      </c>
      <c r="AH22" s="97" t="str">
        <f t="shared" si="3"/>
        <v/>
      </c>
    </row>
    <row r="23" spans="1:34" ht="34.5" customHeight="1" thickTop="1">
      <c r="A23" s="30"/>
      <c r="B23" s="801"/>
      <c r="C23" s="485" t="s">
        <v>1407</v>
      </c>
      <c r="D23" s="486" t="s">
        <v>1408</v>
      </c>
      <c r="E23" s="644">
        <v>95</v>
      </c>
      <c r="F23" s="644">
        <v>80</v>
      </c>
      <c r="G23" s="644">
        <v>90</v>
      </c>
      <c r="H23" s="644">
        <v>90</v>
      </c>
      <c r="I23" s="644">
        <v>100</v>
      </c>
      <c r="J23" s="644">
        <v>100</v>
      </c>
      <c r="K23" s="644">
        <v>100</v>
      </c>
      <c r="L23" s="644">
        <v>100</v>
      </c>
      <c r="M23" s="644">
        <v>100</v>
      </c>
      <c r="N23" s="644">
        <v>90</v>
      </c>
      <c r="O23" s="644">
        <v>95</v>
      </c>
      <c r="P23" s="644">
        <v>90</v>
      </c>
      <c r="Q23" s="644">
        <v>90</v>
      </c>
      <c r="R23" s="644">
        <v>100</v>
      </c>
      <c r="S23" s="644">
        <v>100</v>
      </c>
      <c r="T23" s="644">
        <v>90</v>
      </c>
      <c r="U23" s="644">
        <v>100</v>
      </c>
      <c r="V23" s="644">
        <v>90</v>
      </c>
      <c r="W23" s="644">
        <v>90</v>
      </c>
      <c r="X23" s="644">
        <v>90</v>
      </c>
      <c r="Y23" s="644">
        <v>100</v>
      </c>
      <c r="Z23" s="644">
        <v>100</v>
      </c>
      <c r="AA23" s="644">
        <v>100</v>
      </c>
      <c r="AB23" s="644">
        <v>95</v>
      </c>
      <c r="AC23" s="98"/>
      <c r="AD23" s="98"/>
      <c r="AE23" s="98"/>
      <c r="AF23" s="98"/>
      <c r="AG23" s="98"/>
      <c r="AH23" s="98"/>
    </row>
    <row r="24" spans="1:34" s="476" customFormat="1" ht="34.5" customHeight="1">
      <c r="A24" s="30"/>
      <c r="B24" s="801"/>
      <c r="C24" s="487" t="s">
        <v>1409</v>
      </c>
      <c r="D24" s="488" t="s">
        <v>1410</v>
      </c>
      <c r="E24" s="644">
        <v>90</v>
      </c>
      <c r="F24" s="644">
        <v>90</v>
      </c>
      <c r="G24" s="644">
        <v>90</v>
      </c>
      <c r="H24" s="644">
        <v>100</v>
      </c>
      <c r="I24" s="644">
        <v>90</v>
      </c>
      <c r="J24" s="644">
        <v>95</v>
      </c>
      <c r="K24" s="644">
        <v>95</v>
      </c>
      <c r="L24" s="644">
        <v>100</v>
      </c>
      <c r="M24" s="644">
        <v>100</v>
      </c>
      <c r="N24" s="644">
        <v>100</v>
      </c>
      <c r="O24" s="644">
        <v>100</v>
      </c>
      <c r="P24" s="644">
        <v>95</v>
      </c>
      <c r="Q24" s="644">
        <v>100</v>
      </c>
      <c r="R24" s="644">
        <v>100</v>
      </c>
      <c r="S24" s="644">
        <v>70</v>
      </c>
      <c r="T24" s="644">
        <v>95</v>
      </c>
      <c r="U24" s="644">
        <v>100</v>
      </c>
      <c r="V24" s="644">
        <v>100</v>
      </c>
      <c r="W24" s="644">
        <v>90</v>
      </c>
      <c r="X24" s="644">
        <v>100</v>
      </c>
      <c r="Y24" s="644">
        <v>90</v>
      </c>
      <c r="Z24" s="644">
        <v>75</v>
      </c>
      <c r="AA24" s="644">
        <v>100</v>
      </c>
      <c r="AB24" s="644">
        <v>95</v>
      </c>
      <c r="AC24" s="98"/>
      <c r="AD24" s="98"/>
      <c r="AE24" s="98"/>
      <c r="AF24" s="98"/>
      <c r="AG24" s="98"/>
      <c r="AH24" s="98"/>
    </row>
    <row r="25" spans="1:34" s="476" customFormat="1" ht="36" customHeight="1">
      <c r="A25" s="30"/>
      <c r="B25" s="801"/>
      <c r="C25" s="487" t="s">
        <v>1411</v>
      </c>
      <c r="D25" s="488" t="s">
        <v>1412</v>
      </c>
      <c r="E25" s="644">
        <v>95</v>
      </c>
      <c r="F25" s="644"/>
      <c r="G25" s="644">
        <v>90</v>
      </c>
      <c r="H25" s="644">
        <v>100</v>
      </c>
      <c r="I25" s="644">
        <v>100</v>
      </c>
      <c r="J25" s="644">
        <v>100</v>
      </c>
      <c r="K25" s="644">
        <v>100</v>
      </c>
      <c r="L25" s="644">
        <v>85</v>
      </c>
      <c r="M25" s="644">
        <v>95</v>
      </c>
      <c r="N25" s="644">
        <v>100</v>
      </c>
      <c r="O25" s="644">
        <v>100</v>
      </c>
      <c r="P25" s="644">
        <v>95</v>
      </c>
      <c r="Q25" s="644">
        <v>100</v>
      </c>
      <c r="R25" s="644">
        <v>95</v>
      </c>
      <c r="S25" s="644">
        <v>95</v>
      </c>
      <c r="T25" s="644">
        <v>95</v>
      </c>
      <c r="U25" s="644">
        <v>100</v>
      </c>
      <c r="V25" s="644">
        <v>100</v>
      </c>
      <c r="W25" s="644">
        <v>90</v>
      </c>
      <c r="X25" s="644">
        <v>100</v>
      </c>
      <c r="Y25" s="644">
        <v>100</v>
      </c>
      <c r="Z25" s="644">
        <v>100</v>
      </c>
      <c r="AA25" s="644">
        <v>100</v>
      </c>
      <c r="AB25" s="644">
        <v>95</v>
      </c>
      <c r="AC25" s="98"/>
      <c r="AD25" s="98"/>
      <c r="AE25" s="98"/>
      <c r="AF25" s="98"/>
      <c r="AG25" s="98"/>
      <c r="AH25" s="98"/>
    </row>
    <row r="26" spans="1:34" s="476" customFormat="1" ht="35.25" customHeight="1">
      <c r="A26" s="30"/>
      <c r="B26" s="801"/>
      <c r="C26" s="489" t="s">
        <v>1411</v>
      </c>
      <c r="D26" s="490" t="s">
        <v>1413</v>
      </c>
      <c r="E26" s="644">
        <v>95</v>
      </c>
      <c r="F26" s="644"/>
      <c r="G26" s="644">
        <v>100</v>
      </c>
      <c r="H26" s="644">
        <v>100</v>
      </c>
      <c r="I26" s="644">
        <v>100</v>
      </c>
      <c r="J26" s="644">
        <v>100</v>
      </c>
      <c r="K26" s="644">
        <v>95</v>
      </c>
      <c r="L26" s="644">
        <v>100</v>
      </c>
      <c r="M26" s="644">
        <v>100</v>
      </c>
      <c r="N26" s="644">
        <v>100</v>
      </c>
      <c r="O26" s="644">
        <v>100</v>
      </c>
      <c r="P26" s="644">
        <v>90</v>
      </c>
      <c r="Q26" s="644">
        <v>100</v>
      </c>
      <c r="R26" s="644">
        <v>90</v>
      </c>
      <c r="S26" s="644">
        <v>70</v>
      </c>
      <c r="T26" s="644">
        <v>90</v>
      </c>
      <c r="U26" s="644">
        <v>100</v>
      </c>
      <c r="V26" s="644">
        <v>100</v>
      </c>
      <c r="W26" s="644">
        <v>90</v>
      </c>
      <c r="X26" s="644">
        <v>80</v>
      </c>
      <c r="Y26" s="644">
        <v>90</v>
      </c>
      <c r="Z26" s="644">
        <v>100</v>
      </c>
      <c r="AA26" s="644">
        <v>100</v>
      </c>
      <c r="AB26" s="644">
        <v>90</v>
      </c>
      <c r="AC26" s="98"/>
      <c r="AD26" s="98"/>
      <c r="AE26" s="98"/>
      <c r="AF26" s="98"/>
      <c r="AG26" s="98"/>
      <c r="AH26" s="98"/>
    </row>
    <row r="27" spans="1:34" s="476" customFormat="1" ht="27" customHeight="1">
      <c r="A27" s="30"/>
      <c r="B27" s="801"/>
      <c r="C27" s="491" t="s">
        <v>1414</v>
      </c>
      <c r="D27" s="490" t="s">
        <v>1415</v>
      </c>
      <c r="E27" s="643">
        <v>100</v>
      </c>
      <c r="F27" s="643"/>
      <c r="G27" s="643">
        <v>100</v>
      </c>
      <c r="H27" s="643">
        <v>100</v>
      </c>
      <c r="I27" s="643">
        <v>100</v>
      </c>
      <c r="J27" s="643">
        <v>100</v>
      </c>
      <c r="K27" s="643">
        <v>100</v>
      </c>
      <c r="L27" s="643">
        <v>90</v>
      </c>
      <c r="M27" s="643">
        <v>90</v>
      </c>
      <c r="N27" s="643">
        <v>100</v>
      </c>
      <c r="O27" s="643">
        <v>100</v>
      </c>
      <c r="P27" s="643">
        <v>100</v>
      </c>
      <c r="Q27" s="643">
        <v>100</v>
      </c>
      <c r="R27" s="643">
        <v>95</v>
      </c>
      <c r="S27" s="643">
        <v>85</v>
      </c>
      <c r="T27" s="643">
        <v>100</v>
      </c>
      <c r="U27" s="643">
        <v>100</v>
      </c>
      <c r="V27" s="643">
        <v>90</v>
      </c>
      <c r="W27" s="643">
        <v>100</v>
      </c>
      <c r="X27" s="643">
        <v>100</v>
      </c>
      <c r="Y27" s="643">
        <v>100</v>
      </c>
      <c r="Z27" s="643">
        <v>90</v>
      </c>
      <c r="AA27" s="643">
        <v>100</v>
      </c>
      <c r="AB27" s="643">
        <v>100</v>
      </c>
      <c r="AC27" s="98"/>
      <c r="AD27" s="98"/>
      <c r="AE27" s="98"/>
      <c r="AF27" s="98"/>
      <c r="AG27" s="98"/>
      <c r="AH27" s="98"/>
    </row>
    <row r="28" spans="1:34" s="476" customFormat="1" ht="27" customHeight="1">
      <c r="A28" s="30"/>
      <c r="B28" s="801"/>
      <c r="C28" s="489" t="s">
        <v>1416</v>
      </c>
      <c r="D28" s="490" t="s">
        <v>1417</v>
      </c>
      <c r="E28" s="643">
        <v>80</v>
      </c>
      <c r="F28" s="643"/>
      <c r="G28" s="643">
        <v>80</v>
      </c>
      <c r="H28" s="643">
        <v>90</v>
      </c>
      <c r="I28" s="643">
        <v>100</v>
      </c>
      <c r="J28" s="643">
        <v>100</v>
      </c>
      <c r="K28" s="643">
        <v>90</v>
      </c>
      <c r="L28" s="643">
        <v>100</v>
      </c>
      <c r="M28" s="643">
        <v>90</v>
      </c>
      <c r="N28" s="643">
        <v>90</v>
      </c>
      <c r="O28" s="643">
        <v>100</v>
      </c>
      <c r="P28" s="643">
        <v>100</v>
      </c>
      <c r="Q28" s="643">
        <v>100</v>
      </c>
      <c r="R28" s="643">
        <v>90</v>
      </c>
      <c r="S28" s="643">
        <v>90</v>
      </c>
      <c r="T28" s="643">
        <v>90</v>
      </c>
      <c r="U28" s="643">
        <v>90</v>
      </c>
      <c r="V28" s="643">
        <v>80</v>
      </c>
      <c r="W28" s="643">
        <v>100</v>
      </c>
      <c r="X28" s="643">
        <v>80</v>
      </c>
      <c r="Y28" s="643">
        <v>100</v>
      </c>
      <c r="Z28" s="643">
        <v>100</v>
      </c>
      <c r="AA28" s="643">
        <v>90</v>
      </c>
      <c r="AB28" s="643">
        <v>80</v>
      </c>
      <c r="AC28" s="98"/>
      <c r="AD28" s="98"/>
      <c r="AE28" s="98"/>
      <c r="AF28" s="98"/>
      <c r="AG28" s="98"/>
      <c r="AH28" s="98"/>
    </row>
    <row r="29" spans="1:34" ht="27" customHeight="1">
      <c r="A29" s="30"/>
      <c r="B29" s="801"/>
      <c r="C29" s="489" t="s">
        <v>1418</v>
      </c>
      <c r="D29" s="490" t="s">
        <v>1419</v>
      </c>
      <c r="E29" s="640">
        <v>95</v>
      </c>
      <c r="F29" s="640"/>
      <c r="G29" s="640">
        <v>100</v>
      </c>
      <c r="H29" s="640">
        <v>100</v>
      </c>
      <c r="I29" s="640">
        <v>90</v>
      </c>
      <c r="J29" s="640">
        <v>100</v>
      </c>
      <c r="K29" s="640">
        <v>100</v>
      </c>
      <c r="L29" s="640">
        <v>100</v>
      </c>
      <c r="M29" s="640">
        <v>100</v>
      </c>
      <c r="N29" s="640">
        <v>100</v>
      </c>
      <c r="O29" s="640">
        <v>100</v>
      </c>
      <c r="P29" s="640">
        <v>100</v>
      </c>
      <c r="Q29" s="640">
        <v>100</v>
      </c>
      <c r="R29" s="640">
        <v>100</v>
      </c>
      <c r="S29" s="640">
        <v>100</v>
      </c>
      <c r="T29" s="640">
        <v>100</v>
      </c>
      <c r="U29" s="640">
        <v>100</v>
      </c>
      <c r="V29" s="640">
        <v>90</v>
      </c>
      <c r="W29" s="640">
        <v>100</v>
      </c>
      <c r="X29" s="640">
        <v>90</v>
      </c>
      <c r="Y29" s="640">
        <v>100</v>
      </c>
      <c r="Z29" s="640">
        <v>90</v>
      </c>
      <c r="AA29" s="640">
        <v>100</v>
      </c>
      <c r="AB29" s="640">
        <v>90</v>
      </c>
      <c r="AC29" s="98"/>
      <c r="AD29" s="98"/>
      <c r="AE29" s="98"/>
      <c r="AF29" s="98"/>
      <c r="AG29" s="98"/>
      <c r="AH29" s="98"/>
    </row>
    <row r="30" spans="1:34" ht="27" customHeight="1">
      <c r="A30" s="30"/>
      <c r="B30" s="801"/>
      <c r="C30" s="489" t="s">
        <v>1420</v>
      </c>
      <c r="D30" s="490" t="s">
        <v>1421</v>
      </c>
      <c r="E30" s="640">
        <v>100</v>
      </c>
      <c r="F30" s="640"/>
      <c r="G30" s="640">
        <v>95</v>
      </c>
      <c r="H30" s="640">
        <v>100</v>
      </c>
      <c r="I30" s="640">
        <v>100</v>
      </c>
      <c r="J30" s="640">
        <v>100</v>
      </c>
      <c r="K30" s="640">
        <v>100</v>
      </c>
      <c r="L30" s="640">
        <v>90</v>
      </c>
      <c r="M30" s="640">
        <v>90</v>
      </c>
      <c r="N30" s="640">
        <v>100</v>
      </c>
      <c r="O30" s="640">
        <v>100</v>
      </c>
      <c r="P30" s="640">
        <v>100</v>
      </c>
      <c r="Q30" s="640">
        <v>90</v>
      </c>
      <c r="R30" s="640">
        <v>85</v>
      </c>
      <c r="S30" s="640">
        <v>80</v>
      </c>
      <c r="T30" s="640">
        <v>100</v>
      </c>
      <c r="U30" s="640">
        <v>100</v>
      </c>
      <c r="V30" s="640">
        <v>100</v>
      </c>
      <c r="W30" s="640">
        <v>70</v>
      </c>
      <c r="X30" s="640">
        <v>90</v>
      </c>
      <c r="Y30" s="640">
        <v>100</v>
      </c>
      <c r="Z30" s="640">
        <v>100</v>
      </c>
      <c r="AA30" s="640">
        <v>100</v>
      </c>
      <c r="AB30" s="640">
        <v>90</v>
      </c>
      <c r="AC30" s="98"/>
      <c r="AD30" s="98"/>
      <c r="AE30" s="98"/>
      <c r="AF30" s="98"/>
      <c r="AG30" s="98"/>
      <c r="AH30" s="98"/>
    </row>
    <row r="31" spans="1:34" ht="27" customHeight="1" thickBot="1">
      <c r="A31" s="30"/>
      <c r="B31" s="801"/>
      <c r="C31" s="492"/>
      <c r="D31" s="493"/>
      <c r="E31" s="98"/>
      <c r="F31" s="98"/>
      <c r="G31" s="98"/>
      <c r="H31" s="98"/>
      <c r="I31" s="98"/>
      <c r="J31" s="98"/>
      <c r="K31" s="98"/>
      <c r="L31" s="98"/>
      <c r="M31" s="98"/>
      <c r="N31" s="98"/>
      <c r="O31" s="98"/>
      <c r="P31" s="98"/>
      <c r="Q31" s="98"/>
      <c r="R31" s="98"/>
      <c r="S31" s="98"/>
      <c r="T31" s="98"/>
      <c r="U31" s="98"/>
      <c r="V31" s="98"/>
      <c r="W31" s="98"/>
      <c r="X31" s="98"/>
      <c r="Y31" s="98"/>
      <c r="Z31" s="98"/>
      <c r="AA31" s="98"/>
      <c r="AB31" s="98"/>
      <c r="AC31" s="98"/>
      <c r="AD31" s="98"/>
      <c r="AE31" s="98"/>
      <c r="AF31" s="98"/>
      <c r="AG31" s="98"/>
      <c r="AH31" s="98"/>
    </row>
    <row r="32" spans="1:34" ht="27" hidden="1" customHeight="1">
      <c r="A32" s="30"/>
      <c r="B32" s="801"/>
      <c r="C32" s="74"/>
      <c r="D32" s="72"/>
      <c r="E32" s="98"/>
      <c r="F32" s="98"/>
      <c r="G32" s="98"/>
      <c r="H32" s="98"/>
      <c r="I32" s="98"/>
      <c r="J32" s="98"/>
      <c r="K32" s="98"/>
      <c r="L32" s="98"/>
      <c r="M32" s="98"/>
      <c r="N32" s="98"/>
      <c r="O32" s="98"/>
      <c r="P32" s="98"/>
      <c r="Q32" s="98"/>
      <c r="R32" s="98"/>
      <c r="S32" s="98"/>
      <c r="T32" s="98"/>
      <c r="U32" s="98"/>
      <c r="V32" s="98"/>
      <c r="W32" s="98"/>
      <c r="X32" s="98"/>
      <c r="Y32" s="98"/>
      <c r="Z32" s="98"/>
      <c r="AA32" s="98"/>
      <c r="AB32" s="98"/>
      <c r="AC32" s="98"/>
      <c r="AD32" s="98"/>
      <c r="AE32" s="98"/>
      <c r="AF32" s="98"/>
      <c r="AG32" s="98"/>
      <c r="AH32" s="98"/>
    </row>
    <row r="33" spans="1:34" ht="27" hidden="1" customHeight="1">
      <c r="A33" s="30"/>
      <c r="B33" s="801"/>
      <c r="C33" s="74"/>
      <c r="D33" s="72"/>
      <c r="E33" s="98"/>
      <c r="F33" s="98"/>
      <c r="G33" s="98"/>
      <c r="H33" s="98"/>
      <c r="I33" s="98"/>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row>
    <row r="34" spans="1:34" ht="27" hidden="1" customHeight="1">
      <c r="A34" s="30"/>
      <c r="B34" s="802"/>
      <c r="C34" s="74"/>
      <c r="D34" s="72"/>
      <c r="E34" s="98"/>
      <c r="F34" s="98"/>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row>
    <row r="35" spans="1:34" ht="27" customHeight="1" thickTop="1" thickBot="1">
      <c r="A35" s="30"/>
      <c r="B35" s="800">
        <v>3</v>
      </c>
      <c r="C35" s="795" t="s">
        <v>1830</v>
      </c>
      <c r="D35" s="796"/>
      <c r="E35" s="97">
        <f>IFERROR(AVERAGE(E36:E68),"")</f>
        <v>94.137931034482762</v>
      </c>
      <c r="F35" s="97">
        <f t="shared" ref="F35:AB35" si="4">IFERROR(AVERAGE(F36:F68),"")</f>
        <v>91.851851851851848</v>
      </c>
      <c r="G35" s="97">
        <f t="shared" si="4"/>
        <v>92</v>
      </c>
      <c r="H35" s="97">
        <f t="shared" si="4"/>
        <v>94.5</v>
      </c>
      <c r="I35" s="97">
        <f t="shared" si="4"/>
        <v>94.333333333333329</v>
      </c>
      <c r="J35" s="97">
        <f t="shared" si="4"/>
        <v>97.166666666666671</v>
      </c>
      <c r="K35" s="97">
        <f t="shared" si="4"/>
        <v>97.833333333333329</v>
      </c>
      <c r="L35" s="97">
        <f t="shared" si="4"/>
        <v>96.833333333333329</v>
      </c>
      <c r="M35" s="97">
        <f t="shared" si="4"/>
        <v>94</v>
      </c>
      <c r="N35" s="97">
        <f t="shared" si="4"/>
        <v>97</v>
      </c>
      <c r="O35" s="97">
        <f t="shared" si="4"/>
        <v>97.833333333333329</v>
      </c>
      <c r="P35" s="97">
        <f t="shared" si="4"/>
        <v>96.833333333333329</v>
      </c>
      <c r="Q35" s="97">
        <f t="shared" si="4"/>
        <v>95.166666666666671</v>
      </c>
      <c r="R35" s="97">
        <f t="shared" si="4"/>
        <v>94.137931034482762</v>
      </c>
      <c r="S35" s="97">
        <f t="shared" si="4"/>
        <v>91.071428571428569</v>
      </c>
      <c r="T35" s="97">
        <f t="shared" si="4"/>
        <v>94</v>
      </c>
      <c r="U35" s="97">
        <f t="shared" si="4"/>
        <v>98.666666666666671</v>
      </c>
      <c r="V35" s="97">
        <f t="shared" si="4"/>
        <v>94.482758620689651</v>
      </c>
      <c r="W35" s="97">
        <f t="shared" si="4"/>
        <v>93.541666666666671</v>
      </c>
      <c r="X35" s="97">
        <f t="shared" si="4"/>
        <v>90.333333333333329</v>
      </c>
      <c r="Y35" s="97">
        <f t="shared" si="4"/>
        <v>95.666666666666671</v>
      </c>
      <c r="Z35" s="97">
        <f t="shared" si="4"/>
        <v>94.642857142857139</v>
      </c>
      <c r="AA35" s="97">
        <f t="shared" si="4"/>
        <v>96.333333333333329</v>
      </c>
      <c r="AB35" s="97">
        <f t="shared" si="4"/>
        <v>92.333333333333329</v>
      </c>
      <c r="AC35" s="97" t="str">
        <f t="shared" ref="AC35:AH35" si="5">IFERROR(AVERAGE(AC36:AC68),"")</f>
        <v/>
      </c>
      <c r="AD35" s="97" t="str">
        <f t="shared" si="5"/>
        <v/>
      </c>
      <c r="AE35" s="97" t="str">
        <f t="shared" si="5"/>
        <v/>
      </c>
      <c r="AF35" s="97" t="str">
        <f t="shared" si="5"/>
        <v/>
      </c>
      <c r="AG35" s="97" t="str">
        <f t="shared" si="5"/>
        <v/>
      </c>
      <c r="AH35" s="97" t="str">
        <f t="shared" si="5"/>
        <v/>
      </c>
    </row>
    <row r="36" spans="1:34" ht="36" customHeight="1" thickTop="1">
      <c r="A36" s="30"/>
      <c r="B36" s="801"/>
      <c r="C36" s="494" t="s">
        <v>1422</v>
      </c>
      <c r="D36" s="495" t="s">
        <v>1423</v>
      </c>
      <c r="E36" s="631">
        <v>100</v>
      </c>
      <c r="F36" s="631">
        <v>100</v>
      </c>
      <c r="G36" s="631">
        <v>90</v>
      </c>
      <c r="H36" s="631">
        <v>100</v>
      </c>
      <c r="I36" s="631">
        <v>95</v>
      </c>
      <c r="J36" s="631">
        <v>100</v>
      </c>
      <c r="K36" s="631">
        <v>100</v>
      </c>
      <c r="L36" s="631">
        <v>100</v>
      </c>
      <c r="M36" s="631">
        <v>100</v>
      </c>
      <c r="N36" s="631">
        <v>100</v>
      </c>
      <c r="O36" s="631">
        <v>100</v>
      </c>
      <c r="P36" s="631">
        <v>100</v>
      </c>
      <c r="Q36" s="631">
        <v>90</v>
      </c>
      <c r="R36" s="631">
        <v>90</v>
      </c>
      <c r="S36" s="631">
        <v>100</v>
      </c>
      <c r="T36" s="631">
        <v>100</v>
      </c>
      <c r="U36" s="631">
        <v>100</v>
      </c>
      <c r="V36" s="631">
        <v>90</v>
      </c>
      <c r="W36" s="631">
        <v>100</v>
      </c>
      <c r="X36" s="631">
        <v>100</v>
      </c>
      <c r="Y36" s="631">
        <v>90</v>
      </c>
      <c r="Z36" s="631">
        <v>95</v>
      </c>
      <c r="AA36" s="631">
        <v>100</v>
      </c>
      <c r="AB36" s="631">
        <v>85</v>
      </c>
      <c r="AC36" s="98"/>
      <c r="AD36" s="98"/>
      <c r="AE36" s="98"/>
      <c r="AF36" s="98"/>
      <c r="AG36" s="98"/>
      <c r="AH36" s="98"/>
    </row>
    <row r="37" spans="1:34" s="476" customFormat="1" ht="34.5" customHeight="1">
      <c r="A37" s="30"/>
      <c r="B37" s="801"/>
      <c r="C37" s="496" t="s">
        <v>1424</v>
      </c>
      <c r="D37" s="497" t="s">
        <v>1425</v>
      </c>
      <c r="E37" s="631">
        <v>85</v>
      </c>
      <c r="F37" s="631">
        <v>95</v>
      </c>
      <c r="G37" s="631">
        <v>90</v>
      </c>
      <c r="H37" s="631">
        <v>100</v>
      </c>
      <c r="I37" s="631">
        <v>100</v>
      </c>
      <c r="J37" s="631">
        <v>100</v>
      </c>
      <c r="K37" s="631">
        <v>100</v>
      </c>
      <c r="L37" s="631">
        <v>100</v>
      </c>
      <c r="M37" s="631">
        <v>100</v>
      </c>
      <c r="N37" s="631">
        <v>100</v>
      </c>
      <c r="O37" s="631">
        <v>100</v>
      </c>
      <c r="P37" s="631">
        <v>100</v>
      </c>
      <c r="Q37" s="631">
        <v>100</v>
      </c>
      <c r="R37" s="631">
        <v>95</v>
      </c>
      <c r="S37" s="631">
        <v>100</v>
      </c>
      <c r="T37" s="631">
        <v>100</v>
      </c>
      <c r="U37" s="631">
        <v>100</v>
      </c>
      <c r="V37" s="631">
        <v>95</v>
      </c>
      <c r="W37" s="631">
        <v>90</v>
      </c>
      <c r="X37" s="631">
        <v>100</v>
      </c>
      <c r="Y37" s="631">
        <v>100</v>
      </c>
      <c r="Z37" s="631">
        <v>95</v>
      </c>
      <c r="AA37" s="631">
        <v>100</v>
      </c>
      <c r="AB37" s="631">
        <v>95</v>
      </c>
      <c r="AC37" s="98"/>
      <c r="AD37" s="98"/>
      <c r="AE37" s="98"/>
      <c r="AF37" s="98"/>
      <c r="AG37" s="98"/>
      <c r="AH37" s="98"/>
    </row>
    <row r="38" spans="1:34" s="476" customFormat="1" ht="36" customHeight="1">
      <c r="A38" s="30"/>
      <c r="B38" s="801"/>
      <c r="C38" s="496" t="s">
        <v>1426</v>
      </c>
      <c r="D38" s="497" t="s">
        <v>1427</v>
      </c>
      <c r="E38" s="634">
        <v>100</v>
      </c>
      <c r="F38" s="634">
        <v>90</v>
      </c>
      <c r="G38" s="634">
        <v>85</v>
      </c>
      <c r="H38" s="634">
        <v>100</v>
      </c>
      <c r="I38" s="634">
        <v>95</v>
      </c>
      <c r="J38" s="634">
        <v>100</v>
      </c>
      <c r="K38" s="634">
        <v>100</v>
      </c>
      <c r="L38" s="634">
        <v>70</v>
      </c>
      <c r="M38" s="634">
        <v>70</v>
      </c>
      <c r="N38" s="634">
        <v>70</v>
      </c>
      <c r="O38" s="634">
        <v>100</v>
      </c>
      <c r="P38" s="634">
        <v>90</v>
      </c>
      <c r="Q38" s="634">
        <v>90</v>
      </c>
      <c r="R38" s="634">
        <v>70</v>
      </c>
      <c r="S38" s="634">
        <v>70</v>
      </c>
      <c r="T38" s="634">
        <v>70</v>
      </c>
      <c r="U38" s="634">
        <v>100</v>
      </c>
      <c r="V38" s="634">
        <v>95</v>
      </c>
      <c r="W38" s="634">
        <v>90</v>
      </c>
      <c r="X38" s="634">
        <v>70</v>
      </c>
      <c r="Y38" s="634">
        <v>100</v>
      </c>
      <c r="Z38" s="634">
        <v>95</v>
      </c>
      <c r="AA38" s="634">
        <v>95</v>
      </c>
      <c r="AB38" s="634">
        <v>85</v>
      </c>
      <c r="AC38" s="98"/>
      <c r="AD38" s="98"/>
      <c r="AE38" s="98"/>
      <c r="AF38" s="98"/>
      <c r="AG38" s="98"/>
      <c r="AH38" s="98"/>
    </row>
    <row r="39" spans="1:34" s="476" customFormat="1" ht="27" customHeight="1">
      <c r="A39" s="30"/>
      <c r="B39" s="801"/>
      <c r="C39" s="496" t="s">
        <v>1428</v>
      </c>
      <c r="D39" s="497" t="s">
        <v>1429</v>
      </c>
      <c r="E39" s="634">
        <v>100</v>
      </c>
      <c r="F39" s="634">
        <v>90</v>
      </c>
      <c r="G39" s="634">
        <v>90</v>
      </c>
      <c r="H39" s="634">
        <v>90</v>
      </c>
      <c r="I39" s="634">
        <v>100</v>
      </c>
      <c r="J39" s="634">
        <v>100</v>
      </c>
      <c r="K39" s="634">
        <v>90</v>
      </c>
      <c r="L39" s="634">
        <v>90</v>
      </c>
      <c r="M39" s="634">
        <v>100</v>
      </c>
      <c r="N39" s="634">
        <v>100</v>
      </c>
      <c r="O39" s="634">
        <v>100</v>
      </c>
      <c r="P39" s="634">
        <v>100</v>
      </c>
      <c r="Q39" s="634">
        <v>100</v>
      </c>
      <c r="R39" s="634">
        <v>100</v>
      </c>
      <c r="S39" s="634">
        <v>100</v>
      </c>
      <c r="T39" s="634">
        <v>100</v>
      </c>
      <c r="U39" s="634">
        <v>100</v>
      </c>
      <c r="V39" s="634">
        <v>100</v>
      </c>
      <c r="W39" s="634">
        <v>100</v>
      </c>
      <c r="X39" s="634">
        <v>90</v>
      </c>
      <c r="Y39" s="634">
        <v>90</v>
      </c>
      <c r="Z39" s="634">
        <v>90</v>
      </c>
      <c r="AA39" s="634">
        <v>100</v>
      </c>
      <c r="AB39" s="634">
        <v>100</v>
      </c>
      <c r="AC39" s="98"/>
      <c r="AD39" s="98"/>
      <c r="AE39" s="98"/>
      <c r="AF39" s="98"/>
      <c r="AG39" s="98"/>
      <c r="AH39" s="98"/>
    </row>
    <row r="40" spans="1:34" s="476" customFormat="1" ht="27" customHeight="1">
      <c r="A40" s="30"/>
      <c r="B40" s="801"/>
      <c r="C40" s="496" t="s">
        <v>1430</v>
      </c>
      <c r="D40" s="497" t="s">
        <v>1431</v>
      </c>
      <c r="E40" s="634">
        <v>90</v>
      </c>
      <c r="F40" s="634">
        <v>100</v>
      </c>
      <c r="G40" s="634">
        <v>100</v>
      </c>
      <c r="H40" s="634">
        <v>90</v>
      </c>
      <c r="I40" s="634">
        <v>100</v>
      </c>
      <c r="J40" s="634">
        <v>90</v>
      </c>
      <c r="K40" s="634">
        <v>100</v>
      </c>
      <c r="L40" s="634">
        <v>100</v>
      </c>
      <c r="M40" s="634">
        <v>100</v>
      </c>
      <c r="N40" s="634">
        <v>100</v>
      </c>
      <c r="O40" s="634">
        <v>100</v>
      </c>
      <c r="P40" s="634">
        <v>100</v>
      </c>
      <c r="Q40" s="634">
        <v>100</v>
      </c>
      <c r="R40" s="634">
        <v>100</v>
      </c>
      <c r="S40" s="634">
        <v>90</v>
      </c>
      <c r="T40" s="634">
        <v>100</v>
      </c>
      <c r="U40" s="634">
        <v>100</v>
      </c>
      <c r="V40" s="634">
        <v>100</v>
      </c>
      <c r="W40" s="634">
        <v>100</v>
      </c>
      <c r="X40" s="634">
        <v>100</v>
      </c>
      <c r="Y40" s="634">
        <v>100</v>
      </c>
      <c r="Z40" s="634">
        <v>100</v>
      </c>
      <c r="AA40" s="634">
        <v>100</v>
      </c>
      <c r="AB40" s="634">
        <v>90</v>
      </c>
      <c r="AC40" s="98"/>
      <c r="AD40" s="98"/>
      <c r="AE40" s="98"/>
      <c r="AF40" s="98"/>
      <c r="AG40" s="98"/>
      <c r="AH40" s="98"/>
    </row>
    <row r="41" spans="1:34" s="476" customFormat="1" ht="27" customHeight="1">
      <c r="A41" s="30"/>
      <c r="B41" s="801"/>
      <c r="C41" s="496" t="s">
        <v>1432</v>
      </c>
      <c r="D41" s="497" t="s">
        <v>1433</v>
      </c>
      <c r="E41" s="635">
        <v>100</v>
      </c>
      <c r="F41" s="635">
        <v>100</v>
      </c>
      <c r="G41" s="635">
        <v>90</v>
      </c>
      <c r="H41" s="635">
        <v>100</v>
      </c>
      <c r="I41" s="635">
        <v>100</v>
      </c>
      <c r="J41" s="635">
        <v>100</v>
      </c>
      <c r="K41" s="635">
        <v>100</v>
      </c>
      <c r="L41" s="635">
        <v>100</v>
      </c>
      <c r="M41" s="635">
        <v>90</v>
      </c>
      <c r="N41" s="635">
        <v>100</v>
      </c>
      <c r="O41" s="635">
        <v>100</v>
      </c>
      <c r="P41" s="635">
        <v>100</v>
      </c>
      <c r="Q41" s="635">
        <v>100</v>
      </c>
      <c r="R41" s="635">
        <v>100</v>
      </c>
      <c r="S41" s="635">
        <v>80</v>
      </c>
      <c r="T41" s="635">
        <v>100</v>
      </c>
      <c r="U41" s="635">
        <v>100</v>
      </c>
      <c r="V41" s="635">
        <v>90</v>
      </c>
      <c r="W41" s="635">
        <v>90</v>
      </c>
      <c r="X41" s="635">
        <v>100</v>
      </c>
      <c r="Y41" s="635">
        <v>100</v>
      </c>
      <c r="Z41" s="635">
        <v>90</v>
      </c>
      <c r="AA41" s="635">
        <v>90</v>
      </c>
      <c r="AB41" s="635">
        <v>100</v>
      </c>
      <c r="AC41" s="98"/>
      <c r="AD41" s="98"/>
      <c r="AE41" s="98"/>
      <c r="AF41" s="98"/>
      <c r="AG41" s="98"/>
      <c r="AH41" s="98"/>
    </row>
    <row r="42" spans="1:34" s="476" customFormat="1" ht="27" customHeight="1">
      <c r="A42" s="30"/>
      <c r="B42" s="801"/>
      <c r="C42" s="496" t="s">
        <v>1434</v>
      </c>
      <c r="D42" s="497" t="s">
        <v>1435</v>
      </c>
      <c r="E42" s="640">
        <v>90</v>
      </c>
      <c r="F42" s="640">
        <v>75</v>
      </c>
      <c r="G42" s="640">
        <v>95</v>
      </c>
      <c r="H42" s="640">
        <v>70</v>
      </c>
      <c r="I42" s="640">
        <v>90</v>
      </c>
      <c r="J42" s="640">
        <v>100</v>
      </c>
      <c r="K42" s="640">
        <v>80</v>
      </c>
      <c r="L42" s="640">
        <v>75</v>
      </c>
      <c r="M42" s="640">
        <v>100</v>
      </c>
      <c r="N42" s="640">
        <v>90</v>
      </c>
      <c r="O42" s="640">
        <v>90</v>
      </c>
      <c r="P42" s="640">
        <v>90</v>
      </c>
      <c r="Q42" s="640">
        <v>75</v>
      </c>
      <c r="R42" s="640">
        <v>90</v>
      </c>
      <c r="S42" s="640">
        <v>100</v>
      </c>
      <c r="T42" s="640">
        <v>100</v>
      </c>
      <c r="U42" s="640">
        <v>100</v>
      </c>
      <c r="V42" s="640">
        <v>80</v>
      </c>
      <c r="W42" s="640">
        <v>70</v>
      </c>
      <c r="X42" s="640">
        <v>90</v>
      </c>
      <c r="Y42" s="640">
        <v>80</v>
      </c>
      <c r="Z42" s="640">
        <v>100</v>
      </c>
      <c r="AA42" s="640">
        <v>80</v>
      </c>
      <c r="AB42" s="640">
        <v>80</v>
      </c>
      <c r="AC42" s="98"/>
      <c r="AD42" s="98"/>
      <c r="AE42" s="98"/>
      <c r="AF42" s="98"/>
      <c r="AG42" s="98"/>
      <c r="AH42" s="98"/>
    </row>
    <row r="43" spans="1:34" s="476" customFormat="1" ht="27" customHeight="1">
      <c r="A43" s="30"/>
      <c r="B43" s="801"/>
      <c r="C43" s="498" t="s">
        <v>1436</v>
      </c>
      <c r="D43" s="499" t="s">
        <v>1437</v>
      </c>
      <c r="E43" s="640">
        <v>100</v>
      </c>
      <c r="F43" s="640">
        <v>95</v>
      </c>
      <c r="G43" s="640">
        <v>100</v>
      </c>
      <c r="H43" s="640">
        <v>100</v>
      </c>
      <c r="I43" s="640">
        <v>100</v>
      </c>
      <c r="J43" s="640">
        <v>100</v>
      </c>
      <c r="K43" s="640">
        <v>100</v>
      </c>
      <c r="L43" s="640">
        <v>100</v>
      </c>
      <c r="M43" s="640">
        <v>100</v>
      </c>
      <c r="N43" s="640">
        <v>100</v>
      </c>
      <c r="O43" s="640">
        <v>100</v>
      </c>
      <c r="P43" s="640">
        <v>100</v>
      </c>
      <c r="Q43" s="640">
        <v>100</v>
      </c>
      <c r="R43" s="640">
        <v>95</v>
      </c>
      <c r="S43" s="640">
        <v>95</v>
      </c>
      <c r="T43" s="640">
        <v>95</v>
      </c>
      <c r="U43" s="640">
        <v>100</v>
      </c>
      <c r="V43" s="640">
        <v>100</v>
      </c>
      <c r="W43" s="640">
        <v>100</v>
      </c>
      <c r="X43" s="640">
        <v>100</v>
      </c>
      <c r="Y43" s="640">
        <v>100</v>
      </c>
      <c r="Z43" s="640">
        <v>100</v>
      </c>
      <c r="AA43" s="640">
        <v>100</v>
      </c>
      <c r="AB43" s="640">
        <v>100</v>
      </c>
      <c r="AC43" s="98"/>
      <c r="AD43" s="98"/>
      <c r="AE43" s="98"/>
      <c r="AF43" s="98"/>
      <c r="AG43" s="98"/>
      <c r="AH43" s="98"/>
    </row>
    <row r="44" spans="1:34" s="476" customFormat="1" ht="27" customHeight="1">
      <c r="A44" s="30"/>
      <c r="B44" s="801"/>
      <c r="C44" s="498" t="s">
        <v>1438</v>
      </c>
      <c r="D44" s="499" t="s">
        <v>1439</v>
      </c>
      <c r="E44" s="640">
        <v>70</v>
      </c>
      <c r="F44" s="640">
        <v>70</v>
      </c>
      <c r="G44" s="640">
        <v>65</v>
      </c>
      <c r="H44" s="640">
        <v>90</v>
      </c>
      <c r="I44" s="640">
        <v>90</v>
      </c>
      <c r="J44" s="640">
        <v>90</v>
      </c>
      <c r="K44" s="640">
        <v>100</v>
      </c>
      <c r="L44" s="640">
        <v>80</v>
      </c>
      <c r="M44" s="640">
        <v>90</v>
      </c>
      <c r="N44" s="640">
        <v>80</v>
      </c>
      <c r="O44" s="640">
        <v>100</v>
      </c>
      <c r="P44" s="640">
        <v>90</v>
      </c>
      <c r="Q44" s="640">
        <v>90</v>
      </c>
      <c r="R44" s="640">
        <v>90</v>
      </c>
      <c r="S44" s="640">
        <v>65</v>
      </c>
      <c r="T44" s="640">
        <v>100</v>
      </c>
      <c r="U44" s="640">
        <v>95</v>
      </c>
      <c r="V44" s="640">
        <v>90</v>
      </c>
      <c r="W44" s="640">
        <v>100</v>
      </c>
      <c r="X44" s="640">
        <v>90</v>
      </c>
      <c r="Y44" s="640">
        <v>90</v>
      </c>
      <c r="Z44" s="640">
        <v>90</v>
      </c>
      <c r="AA44" s="640">
        <v>80</v>
      </c>
      <c r="AB44" s="640">
        <v>90</v>
      </c>
      <c r="AC44" s="98"/>
      <c r="AD44" s="98"/>
      <c r="AE44" s="98"/>
      <c r="AF44" s="98"/>
      <c r="AG44" s="98"/>
      <c r="AH44" s="98"/>
    </row>
    <row r="45" spans="1:34" s="476" customFormat="1" ht="31.5" customHeight="1">
      <c r="A45" s="30"/>
      <c r="B45" s="801"/>
      <c r="C45" s="498" t="s">
        <v>1440</v>
      </c>
      <c r="D45" s="499" t="s">
        <v>1441</v>
      </c>
      <c r="E45" s="640">
        <v>100</v>
      </c>
      <c r="F45" s="640">
        <v>90</v>
      </c>
      <c r="G45" s="640">
        <v>90</v>
      </c>
      <c r="H45" s="640">
        <v>100</v>
      </c>
      <c r="I45" s="640">
        <v>100</v>
      </c>
      <c r="J45" s="640">
        <v>100</v>
      </c>
      <c r="K45" s="640">
        <v>100</v>
      </c>
      <c r="L45" s="640">
        <v>100</v>
      </c>
      <c r="M45" s="640">
        <v>100</v>
      </c>
      <c r="N45" s="640">
        <v>100</v>
      </c>
      <c r="O45" s="640">
        <v>100</v>
      </c>
      <c r="P45" s="640">
        <v>100</v>
      </c>
      <c r="Q45" s="640">
        <v>100</v>
      </c>
      <c r="R45" s="640">
        <v>100</v>
      </c>
      <c r="S45" s="640">
        <v>80</v>
      </c>
      <c r="T45" s="640">
        <v>95</v>
      </c>
      <c r="U45" s="640">
        <v>100</v>
      </c>
      <c r="V45" s="640">
        <v>100</v>
      </c>
      <c r="W45" s="640">
        <v>100</v>
      </c>
      <c r="X45" s="640">
        <v>100</v>
      </c>
      <c r="Y45" s="640">
        <v>90</v>
      </c>
      <c r="Z45" s="640">
        <v>70</v>
      </c>
      <c r="AA45" s="640">
        <v>100</v>
      </c>
      <c r="AB45" s="640">
        <v>100</v>
      </c>
      <c r="AC45" s="98"/>
      <c r="AD45" s="98"/>
      <c r="AE45" s="98"/>
      <c r="AF45" s="98"/>
      <c r="AG45" s="98"/>
      <c r="AH45" s="98"/>
    </row>
    <row r="46" spans="1:34" s="476" customFormat="1" ht="27" customHeight="1">
      <c r="A46" s="30"/>
      <c r="B46" s="801"/>
      <c r="C46" s="498" t="s">
        <v>1442</v>
      </c>
      <c r="D46" s="499" t="s">
        <v>1443</v>
      </c>
      <c r="E46" s="643">
        <v>90</v>
      </c>
      <c r="F46" s="643">
        <v>90</v>
      </c>
      <c r="G46" s="643">
        <v>80</v>
      </c>
      <c r="H46" s="643">
        <v>100</v>
      </c>
      <c r="I46" s="643">
        <v>95</v>
      </c>
      <c r="J46" s="643">
        <v>100</v>
      </c>
      <c r="K46" s="643">
        <v>100</v>
      </c>
      <c r="L46" s="643">
        <v>100</v>
      </c>
      <c r="M46" s="643">
        <v>90</v>
      </c>
      <c r="N46" s="643">
        <v>95</v>
      </c>
      <c r="O46" s="643">
        <v>100</v>
      </c>
      <c r="P46" s="643">
        <v>90</v>
      </c>
      <c r="Q46" s="643">
        <v>100</v>
      </c>
      <c r="R46" s="643">
        <v>85</v>
      </c>
      <c r="S46" s="643">
        <v>95</v>
      </c>
      <c r="T46" s="643">
        <v>75</v>
      </c>
      <c r="U46" s="643">
        <v>100</v>
      </c>
      <c r="V46" s="643">
        <v>80</v>
      </c>
      <c r="W46" s="643">
        <v>75</v>
      </c>
      <c r="X46" s="643">
        <v>100</v>
      </c>
      <c r="Y46" s="643">
        <v>90</v>
      </c>
      <c r="Z46" s="643">
        <v>85</v>
      </c>
      <c r="AA46" s="643">
        <v>100</v>
      </c>
      <c r="AB46" s="643">
        <v>90</v>
      </c>
      <c r="AC46" s="98"/>
      <c r="AD46" s="98"/>
      <c r="AE46" s="98"/>
      <c r="AF46" s="98"/>
      <c r="AG46" s="98"/>
      <c r="AH46" s="98"/>
    </row>
    <row r="47" spans="1:34" s="476" customFormat="1" ht="27" customHeight="1">
      <c r="A47" s="30"/>
      <c r="B47" s="801"/>
      <c r="C47" s="498" t="s">
        <v>1444</v>
      </c>
      <c r="D47" s="499" t="s">
        <v>1445</v>
      </c>
      <c r="E47" s="643">
        <v>90</v>
      </c>
      <c r="F47" s="643">
        <v>85</v>
      </c>
      <c r="G47" s="643">
        <v>90</v>
      </c>
      <c r="H47" s="643">
        <v>100</v>
      </c>
      <c r="I47" s="643">
        <v>95</v>
      </c>
      <c r="J47" s="643">
        <v>100</v>
      </c>
      <c r="K47" s="643">
        <v>95</v>
      </c>
      <c r="L47" s="643">
        <v>100</v>
      </c>
      <c r="M47" s="643">
        <v>95</v>
      </c>
      <c r="N47" s="643">
        <v>100</v>
      </c>
      <c r="O47" s="643">
        <v>85</v>
      </c>
      <c r="P47" s="643">
        <v>100</v>
      </c>
      <c r="Q47" s="643">
        <v>100</v>
      </c>
      <c r="R47" s="643"/>
      <c r="S47" s="643">
        <v>75</v>
      </c>
      <c r="T47" s="643">
        <v>80</v>
      </c>
      <c r="U47" s="643">
        <v>100</v>
      </c>
      <c r="V47" s="643">
        <v>100</v>
      </c>
      <c r="W47" s="643">
        <v>100</v>
      </c>
      <c r="X47" s="643">
        <v>100</v>
      </c>
      <c r="Y47" s="643">
        <v>100</v>
      </c>
      <c r="Z47" s="643">
        <v>90</v>
      </c>
      <c r="AA47" s="643">
        <v>100</v>
      </c>
      <c r="AB47" s="643">
        <v>100</v>
      </c>
      <c r="AC47" s="98"/>
      <c r="AD47" s="98"/>
      <c r="AE47" s="98"/>
      <c r="AF47" s="98"/>
      <c r="AG47" s="98"/>
      <c r="AH47" s="98"/>
    </row>
    <row r="48" spans="1:34" s="476" customFormat="1" ht="27" customHeight="1">
      <c r="A48" s="30"/>
      <c r="B48" s="801"/>
      <c r="C48" s="498" t="s">
        <v>1446</v>
      </c>
      <c r="D48" s="499" t="s">
        <v>1447</v>
      </c>
      <c r="E48" s="643">
        <v>90</v>
      </c>
      <c r="F48" s="643">
        <v>80</v>
      </c>
      <c r="G48" s="643">
        <v>85</v>
      </c>
      <c r="H48" s="643">
        <v>100</v>
      </c>
      <c r="I48" s="643">
        <v>100</v>
      </c>
      <c r="J48" s="643">
        <v>100</v>
      </c>
      <c r="K48" s="643">
        <v>100</v>
      </c>
      <c r="L48" s="643">
        <v>100</v>
      </c>
      <c r="M48" s="643">
        <v>90</v>
      </c>
      <c r="N48" s="643">
        <v>100</v>
      </c>
      <c r="O48" s="643">
        <v>100</v>
      </c>
      <c r="P48" s="643">
        <v>100</v>
      </c>
      <c r="Q48" s="643">
        <v>90</v>
      </c>
      <c r="R48" s="643">
        <v>90</v>
      </c>
      <c r="S48" s="643">
        <v>95</v>
      </c>
      <c r="T48" s="643">
        <v>100</v>
      </c>
      <c r="U48" s="643">
        <v>100</v>
      </c>
      <c r="V48" s="643">
        <v>95</v>
      </c>
      <c r="W48" s="643">
        <v>80</v>
      </c>
      <c r="X48" s="643">
        <v>90</v>
      </c>
      <c r="Y48" s="643">
        <v>100</v>
      </c>
      <c r="Z48" s="643">
        <v>95</v>
      </c>
      <c r="AA48" s="643">
        <v>90</v>
      </c>
      <c r="AB48" s="643">
        <v>100</v>
      </c>
      <c r="AC48" s="98"/>
      <c r="AD48" s="98"/>
      <c r="AE48" s="98"/>
      <c r="AF48" s="98"/>
      <c r="AG48" s="98"/>
      <c r="AH48" s="98"/>
    </row>
    <row r="49" spans="1:34" s="476" customFormat="1" ht="40.5" customHeight="1">
      <c r="A49" s="30"/>
      <c r="B49" s="801"/>
      <c r="C49" s="498" t="s">
        <v>1448</v>
      </c>
      <c r="D49" s="499" t="s">
        <v>1449</v>
      </c>
      <c r="E49" s="643">
        <v>80</v>
      </c>
      <c r="F49" s="643">
        <v>80</v>
      </c>
      <c r="G49" s="643">
        <v>90</v>
      </c>
      <c r="H49" s="643">
        <v>85</v>
      </c>
      <c r="I49" s="643">
        <v>75</v>
      </c>
      <c r="J49" s="643">
        <v>100</v>
      </c>
      <c r="K49" s="643">
        <v>100</v>
      </c>
      <c r="L49" s="643">
        <v>100</v>
      </c>
      <c r="M49" s="643">
        <v>80</v>
      </c>
      <c r="N49" s="643">
        <v>100</v>
      </c>
      <c r="O49" s="643">
        <v>100</v>
      </c>
      <c r="P49" s="643">
        <v>100</v>
      </c>
      <c r="Q49" s="643">
        <v>100</v>
      </c>
      <c r="R49" s="643">
        <v>100</v>
      </c>
      <c r="S49" s="643">
        <v>80</v>
      </c>
      <c r="T49" s="643">
        <v>70</v>
      </c>
      <c r="U49" s="643">
        <v>80</v>
      </c>
      <c r="V49" s="643">
        <v>80</v>
      </c>
      <c r="W49" s="643">
        <v>90</v>
      </c>
      <c r="X49" s="643">
        <v>90</v>
      </c>
      <c r="Y49" s="643">
        <v>90</v>
      </c>
      <c r="Z49" s="643">
        <v>100</v>
      </c>
      <c r="AA49" s="643">
        <v>95</v>
      </c>
      <c r="AB49" s="643">
        <v>70</v>
      </c>
      <c r="AC49" s="98"/>
      <c r="AD49" s="98"/>
      <c r="AE49" s="98"/>
      <c r="AF49" s="98"/>
      <c r="AG49" s="98"/>
      <c r="AH49" s="98"/>
    </row>
    <row r="50" spans="1:34" s="476" customFormat="1" ht="36.75" customHeight="1">
      <c r="A50" s="30"/>
      <c r="B50" s="801"/>
      <c r="C50" s="498" t="s">
        <v>1450</v>
      </c>
      <c r="D50" s="499" t="s">
        <v>1451</v>
      </c>
      <c r="E50" s="672">
        <v>100</v>
      </c>
      <c r="F50" s="672">
        <v>95</v>
      </c>
      <c r="G50" s="672">
        <v>90</v>
      </c>
      <c r="H50" s="672">
        <v>95</v>
      </c>
      <c r="I50" s="672">
        <v>90</v>
      </c>
      <c r="J50" s="672">
        <v>100</v>
      </c>
      <c r="K50" s="672">
        <v>100</v>
      </c>
      <c r="L50" s="672">
        <v>100</v>
      </c>
      <c r="M50" s="672">
        <v>100</v>
      </c>
      <c r="N50" s="672">
        <v>100</v>
      </c>
      <c r="O50" s="672">
        <v>100</v>
      </c>
      <c r="P50" s="672">
        <v>100</v>
      </c>
      <c r="Q50" s="672">
        <v>100</v>
      </c>
      <c r="R50" s="672">
        <v>100</v>
      </c>
      <c r="S50" s="672">
        <v>100</v>
      </c>
      <c r="T50" s="672">
        <v>90</v>
      </c>
      <c r="U50" s="672">
        <v>100</v>
      </c>
      <c r="V50" s="672">
        <v>100</v>
      </c>
      <c r="W50" s="672">
        <v>100</v>
      </c>
      <c r="X50" s="672">
        <v>85</v>
      </c>
      <c r="Y50" s="672">
        <v>95</v>
      </c>
      <c r="Z50" s="672">
        <v>100</v>
      </c>
      <c r="AA50" s="672">
        <v>100</v>
      </c>
      <c r="AB50" s="672">
        <v>100</v>
      </c>
      <c r="AC50" s="98"/>
      <c r="AD50" s="98"/>
      <c r="AE50" s="98"/>
      <c r="AF50" s="98"/>
      <c r="AG50" s="98"/>
      <c r="AH50" s="98"/>
    </row>
    <row r="51" spans="1:34" s="476" customFormat="1" ht="36" customHeight="1">
      <c r="A51" s="30"/>
      <c r="B51" s="801"/>
      <c r="C51" s="498" t="s">
        <v>1452</v>
      </c>
      <c r="D51" s="499" t="s">
        <v>1453</v>
      </c>
      <c r="E51" s="672">
        <v>100</v>
      </c>
      <c r="F51" s="672">
        <v>100</v>
      </c>
      <c r="G51" s="672">
        <v>90</v>
      </c>
      <c r="H51" s="672">
        <v>90</v>
      </c>
      <c r="I51" s="672">
        <v>100</v>
      </c>
      <c r="J51" s="672">
        <v>100</v>
      </c>
      <c r="K51" s="672">
        <v>100</v>
      </c>
      <c r="L51" s="672">
        <v>100</v>
      </c>
      <c r="M51" s="672">
        <v>100</v>
      </c>
      <c r="N51" s="672">
        <v>100</v>
      </c>
      <c r="O51" s="672">
        <v>100</v>
      </c>
      <c r="P51" s="672">
        <v>90</v>
      </c>
      <c r="Q51" s="672">
        <v>100</v>
      </c>
      <c r="R51" s="672">
        <v>100</v>
      </c>
      <c r="S51" s="672">
        <v>90</v>
      </c>
      <c r="T51" s="672">
        <v>100</v>
      </c>
      <c r="U51" s="672">
        <v>100</v>
      </c>
      <c r="V51" s="672">
        <v>100</v>
      </c>
      <c r="W51" s="672">
        <v>100</v>
      </c>
      <c r="X51" s="672">
        <v>100</v>
      </c>
      <c r="Y51" s="672">
        <v>80</v>
      </c>
      <c r="Z51" s="672">
        <v>100</v>
      </c>
      <c r="AA51" s="672">
        <v>100</v>
      </c>
      <c r="AB51" s="672">
        <v>100</v>
      </c>
      <c r="AC51" s="98"/>
      <c r="AD51" s="98"/>
      <c r="AE51" s="98"/>
      <c r="AF51" s="98"/>
      <c r="AG51" s="98"/>
      <c r="AH51" s="98"/>
    </row>
    <row r="52" spans="1:34" s="476" customFormat="1" ht="42" customHeight="1">
      <c r="A52" s="30"/>
      <c r="B52" s="801"/>
      <c r="C52" s="498" t="s">
        <v>1454</v>
      </c>
      <c r="D52" s="499" t="s">
        <v>1455</v>
      </c>
      <c r="E52" s="672">
        <v>100</v>
      </c>
      <c r="F52" s="672">
        <v>100</v>
      </c>
      <c r="G52" s="672">
        <v>95</v>
      </c>
      <c r="H52" s="672">
        <v>90</v>
      </c>
      <c r="I52" s="672">
        <v>90</v>
      </c>
      <c r="J52" s="672">
        <v>90</v>
      </c>
      <c r="K52" s="672">
        <v>100</v>
      </c>
      <c r="L52" s="672">
        <v>100</v>
      </c>
      <c r="M52" s="672">
        <v>100</v>
      </c>
      <c r="N52" s="672">
        <v>100</v>
      </c>
      <c r="O52" s="672">
        <v>100</v>
      </c>
      <c r="P52" s="672">
        <v>100</v>
      </c>
      <c r="Q52" s="672">
        <v>90</v>
      </c>
      <c r="R52" s="672">
        <v>100</v>
      </c>
      <c r="S52" s="672">
        <v>100</v>
      </c>
      <c r="T52" s="672">
        <v>90</v>
      </c>
      <c r="U52" s="672">
        <v>100</v>
      </c>
      <c r="V52" s="672">
        <v>95</v>
      </c>
      <c r="W52" s="672">
        <v>100</v>
      </c>
      <c r="X52" s="672">
        <v>90</v>
      </c>
      <c r="Y52" s="672">
        <v>90</v>
      </c>
      <c r="Z52" s="672">
        <v>100</v>
      </c>
      <c r="AA52" s="672">
        <v>100</v>
      </c>
      <c r="AB52" s="672">
        <v>95</v>
      </c>
      <c r="AC52" s="98"/>
      <c r="AD52" s="98"/>
      <c r="AE52" s="98"/>
      <c r="AF52" s="98"/>
      <c r="AG52" s="98"/>
      <c r="AH52" s="98"/>
    </row>
    <row r="53" spans="1:34" s="476" customFormat="1" ht="44.25" customHeight="1">
      <c r="A53" s="30"/>
      <c r="B53" s="801"/>
      <c r="C53" s="498" t="s">
        <v>1456</v>
      </c>
      <c r="D53" s="499" t="s">
        <v>1457</v>
      </c>
      <c r="E53" s="672">
        <v>100</v>
      </c>
      <c r="F53" s="672">
        <v>100</v>
      </c>
      <c r="G53" s="672">
        <v>95</v>
      </c>
      <c r="H53" s="672">
        <v>95</v>
      </c>
      <c r="I53" s="672">
        <v>100</v>
      </c>
      <c r="J53" s="672">
        <v>100</v>
      </c>
      <c r="K53" s="672">
        <v>100</v>
      </c>
      <c r="L53" s="672">
        <v>100</v>
      </c>
      <c r="M53" s="672">
        <v>90</v>
      </c>
      <c r="N53" s="672">
        <v>100</v>
      </c>
      <c r="O53" s="672">
        <v>95</v>
      </c>
      <c r="P53" s="672">
        <v>100</v>
      </c>
      <c r="Q53" s="672">
        <v>90</v>
      </c>
      <c r="R53" s="672">
        <v>100</v>
      </c>
      <c r="S53" s="672"/>
      <c r="T53" s="672">
        <v>100</v>
      </c>
      <c r="U53" s="672">
        <v>100</v>
      </c>
      <c r="V53" s="672">
        <v>100</v>
      </c>
      <c r="W53" s="672">
        <v>90</v>
      </c>
      <c r="X53" s="672">
        <v>90</v>
      </c>
      <c r="Y53" s="672">
        <v>100</v>
      </c>
      <c r="Z53" s="672">
        <v>95</v>
      </c>
      <c r="AA53" s="672">
        <v>100</v>
      </c>
      <c r="AB53" s="672">
        <v>80</v>
      </c>
      <c r="AC53" s="98"/>
      <c r="AD53" s="98"/>
      <c r="AE53" s="98"/>
      <c r="AF53" s="98"/>
      <c r="AG53" s="98"/>
      <c r="AH53" s="98"/>
    </row>
    <row r="54" spans="1:34" s="476" customFormat="1" ht="40.5" customHeight="1">
      <c r="A54" s="30"/>
      <c r="B54" s="801"/>
      <c r="C54" s="498" t="s">
        <v>1458</v>
      </c>
      <c r="D54" s="499" t="s">
        <v>1459</v>
      </c>
      <c r="E54" s="654">
        <v>95</v>
      </c>
      <c r="F54" s="654"/>
      <c r="G54" s="654">
        <v>90</v>
      </c>
      <c r="H54" s="654">
        <v>90</v>
      </c>
      <c r="I54" s="654">
        <v>95</v>
      </c>
      <c r="J54" s="654">
        <v>95</v>
      </c>
      <c r="K54" s="654">
        <v>100</v>
      </c>
      <c r="L54" s="654">
        <v>100</v>
      </c>
      <c r="M54" s="654">
        <v>95</v>
      </c>
      <c r="N54" s="654">
        <v>100</v>
      </c>
      <c r="O54" s="654">
        <v>100</v>
      </c>
      <c r="P54" s="654">
        <v>100</v>
      </c>
      <c r="Q54" s="654">
        <v>85</v>
      </c>
      <c r="R54" s="654">
        <v>100</v>
      </c>
      <c r="S54" s="654">
        <v>90</v>
      </c>
      <c r="T54" s="654">
        <v>100</v>
      </c>
      <c r="U54" s="654">
        <v>100</v>
      </c>
      <c r="V54" s="654">
        <v>90</v>
      </c>
      <c r="W54" s="654">
        <v>100</v>
      </c>
      <c r="X54" s="654">
        <v>70</v>
      </c>
      <c r="Y54" s="654">
        <v>95</v>
      </c>
      <c r="Z54" s="654">
        <v>100</v>
      </c>
      <c r="AA54" s="654">
        <v>100</v>
      </c>
      <c r="AB54" s="654">
        <v>90</v>
      </c>
      <c r="AC54" s="98"/>
      <c r="AD54" s="98"/>
      <c r="AE54" s="98"/>
      <c r="AF54" s="98"/>
      <c r="AG54" s="98"/>
      <c r="AH54" s="98"/>
    </row>
    <row r="55" spans="1:34" s="476" customFormat="1" ht="36" customHeight="1">
      <c r="A55" s="30"/>
      <c r="B55" s="801"/>
      <c r="C55" s="498" t="s">
        <v>1460</v>
      </c>
      <c r="D55" s="499" t="s">
        <v>1461</v>
      </c>
      <c r="E55" s="654">
        <v>100</v>
      </c>
      <c r="F55" s="654"/>
      <c r="G55" s="654">
        <v>100</v>
      </c>
      <c r="H55" s="654">
        <v>100</v>
      </c>
      <c r="I55" s="654">
        <v>90</v>
      </c>
      <c r="J55" s="654">
        <v>100</v>
      </c>
      <c r="K55" s="654">
        <v>100</v>
      </c>
      <c r="L55" s="654">
        <v>100</v>
      </c>
      <c r="M55" s="654">
        <v>100</v>
      </c>
      <c r="N55" s="654">
        <v>90</v>
      </c>
      <c r="O55" s="654">
        <v>100</v>
      </c>
      <c r="P55" s="654">
        <v>100</v>
      </c>
      <c r="Q55" s="654">
        <v>100</v>
      </c>
      <c r="R55" s="654">
        <v>100</v>
      </c>
      <c r="S55" s="654">
        <v>90</v>
      </c>
      <c r="T55" s="654">
        <v>100</v>
      </c>
      <c r="U55" s="654">
        <v>100</v>
      </c>
      <c r="V55" s="654">
        <v>95</v>
      </c>
      <c r="W55" s="654">
        <v>90</v>
      </c>
      <c r="X55" s="654">
        <v>80</v>
      </c>
      <c r="Y55" s="654">
        <v>100</v>
      </c>
      <c r="Z55" s="654">
        <v>100</v>
      </c>
      <c r="AA55" s="654">
        <v>100</v>
      </c>
      <c r="AB55" s="654">
        <v>100</v>
      </c>
      <c r="AC55" s="98"/>
      <c r="AD55" s="98"/>
      <c r="AE55" s="98"/>
      <c r="AF55" s="98"/>
      <c r="AG55" s="98"/>
      <c r="AH55" s="98"/>
    </row>
    <row r="56" spans="1:34" s="476" customFormat="1" ht="31.5" customHeight="1">
      <c r="A56" s="30"/>
      <c r="B56" s="801"/>
      <c r="C56" s="498" t="s">
        <v>1462</v>
      </c>
      <c r="D56" s="499" t="s">
        <v>1463</v>
      </c>
      <c r="E56" s="654">
        <v>90</v>
      </c>
      <c r="F56" s="654">
        <v>90</v>
      </c>
      <c r="G56" s="654">
        <v>100</v>
      </c>
      <c r="H56" s="654">
        <v>80</v>
      </c>
      <c r="I56" s="654">
        <v>90</v>
      </c>
      <c r="J56" s="654">
        <v>80</v>
      </c>
      <c r="K56" s="654">
        <v>90</v>
      </c>
      <c r="L56" s="654">
        <v>90</v>
      </c>
      <c r="M56" s="654">
        <v>90</v>
      </c>
      <c r="N56" s="654">
        <v>100</v>
      </c>
      <c r="O56" s="654">
        <v>100</v>
      </c>
      <c r="P56" s="654">
        <v>100</v>
      </c>
      <c r="Q56" s="654">
        <v>100</v>
      </c>
      <c r="R56" s="654">
        <v>100</v>
      </c>
      <c r="S56" s="654">
        <v>90</v>
      </c>
      <c r="T56" s="654">
        <v>100</v>
      </c>
      <c r="U56" s="654">
        <v>100</v>
      </c>
      <c r="V56" s="654">
        <v>90</v>
      </c>
      <c r="W56" s="654"/>
      <c r="X56" s="654">
        <v>90</v>
      </c>
      <c r="Y56" s="654">
        <v>90</v>
      </c>
      <c r="Z56" s="654"/>
      <c r="AA56" s="654">
        <v>100</v>
      </c>
      <c r="AB56" s="654">
        <v>100</v>
      </c>
      <c r="AC56" s="98"/>
      <c r="AD56" s="98"/>
      <c r="AE56" s="98"/>
      <c r="AF56" s="98"/>
      <c r="AG56" s="98"/>
      <c r="AH56" s="98"/>
    </row>
    <row r="57" spans="1:34" s="476" customFormat="1" ht="39" customHeight="1">
      <c r="A57" s="30"/>
      <c r="B57" s="801"/>
      <c r="C57" s="498" t="s">
        <v>1464</v>
      </c>
      <c r="D57" s="499" t="s">
        <v>1465</v>
      </c>
      <c r="E57" s="654"/>
      <c r="F57" s="654">
        <v>90</v>
      </c>
      <c r="G57" s="654">
        <v>100</v>
      </c>
      <c r="H57" s="654">
        <v>90</v>
      </c>
      <c r="I57" s="654">
        <v>90</v>
      </c>
      <c r="J57" s="654">
        <v>80</v>
      </c>
      <c r="K57" s="654">
        <v>100</v>
      </c>
      <c r="L57" s="654">
        <v>100</v>
      </c>
      <c r="M57" s="654">
        <v>90</v>
      </c>
      <c r="N57" s="654">
        <v>100</v>
      </c>
      <c r="O57" s="654">
        <v>90</v>
      </c>
      <c r="P57" s="654">
        <v>95</v>
      </c>
      <c r="Q57" s="654">
        <v>100</v>
      </c>
      <c r="R57" s="654">
        <v>100</v>
      </c>
      <c r="S57" s="654"/>
      <c r="T57" s="654">
        <v>80</v>
      </c>
      <c r="U57" s="654">
        <v>100</v>
      </c>
      <c r="V57" s="654">
        <v>100</v>
      </c>
      <c r="W57" s="654"/>
      <c r="X57" s="654">
        <v>80</v>
      </c>
      <c r="Y57" s="654">
        <v>100</v>
      </c>
      <c r="Z57" s="654"/>
      <c r="AA57" s="654">
        <v>60</v>
      </c>
      <c r="AB57" s="654">
        <v>100</v>
      </c>
      <c r="AC57" s="98"/>
      <c r="AD57" s="98"/>
      <c r="AE57" s="98"/>
      <c r="AF57" s="98"/>
      <c r="AG57" s="98"/>
      <c r="AH57" s="98"/>
    </row>
    <row r="58" spans="1:34" s="476" customFormat="1" ht="39" customHeight="1">
      <c r="A58" s="30"/>
      <c r="B58" s="801"/>
      <c r="C58" s="498" t="s">
        <v>1466</v>
      </c>
      <c r="D58" s="499" t="s">
        <v>1467</v>
      </c>
      <c r="E58" s="628">
        <v>100</v>
      </c>
      <c r="F58" s="628">
        <v>90</v>
      </c>
      <c r="G58" s="628">
        <v>95</v>
      </c>
      <c r="H58" s="628">
        <v>100</v>
      </c>
      <c r="I58" s="628">
        <v>100</v>
      </c>
      <c r="J58" s="628">
        <v>100</v>
      </c>
      <c r="K58" s="628">
        <v>100</v>
      </c>
      <c r="L58" s="628">
        <v>100</v>
      </c>
      <c r="M58" s="628">
        <v>95</v>
      </c>
      <c r="N58" s="628">
        <v>100</v>
      </c>
      <c r="O58" s="628">
        <v>95</v>
      </c>
      <c r="P58" s="628">
        <v>100</v>
      </c>
      <c r="Q58" s="628">
        <v>95</v>
      </c>
      <c r="R58" s="628">
        <v>90</v>
      </c>
      <c r="S58" s="628">
        <v>95</v>
      </c>
      <c r="T58" s="628">
        <v>100</v>
      </c>
      <c r="U58" s="628">
        <v>100</v>
      </c>
      <c r="V58" s="628">
        <v>100</v>
      </c>
      <c r="W58" s="628"/>
      <c r="X58" s="628">
        <v>95</v>
      </c>
      <c r="Y58" s="628">
        <v>100</v>
      </c>
      <c r="Z58" s="628">
        <v>90</v>
      </c>
      <c r="AA58" s="628">
        <v>100</v>
      </c>
      <c r="AB58" s="628">
        <v>100</v>
      </c>
      <c r="AC58" s="98"/>
      <c r="AD58" s="98"/>
      <c r="AE58" s="98"/>
      <c r="AF58" s="98"/>
      <c r="AG58" s="98"/>
      <c r="AH58" s="98"/>
    </row>
    <row r="59" spans="1:34" s="476" customFormat="1" ht="34.5" customHeight="1">
      <c r="A59" s="30"/>
      <c r="B59" s="801"/>
      <c r="C59" s="498" t="s">
        <v>1468</v>
      </c>
      <c r="D59" s="499" t="s">
        <v>1469</v>
      </c>
      <c r="E59" s="628">
        <v>100</v>
      </c>
      <c r="F59" s="628">
        <v>90</v>
      </c>
      <c r="G59" s="628">
        <v>90</v>
      </c>
      <c r="H59" s="628">
        <v>90</v>
      </c>
      <c r="I59" s="628">
        <v>100</v>
      </c>
      <c r="J59" s="628">
        <v>100</v>
      </c>
      <c r="K59" s="628">
        <v>100</v>
      </c>
      <c r="L59" s="628">
        <v>100</v>
      </c>
      <c r="M59" s="628">
        <v>100</v>
      </c>
      <c r="N59" s="628">
        <v>100</v>
      </c>
      <c r="O59" s="628">
        <v>100</v>
      </c>
      <c r="P59" s="628">
        <v>100</v>
      </c>
      <c r="Q59" s="628">
        <v>100</v>
      </c>
      <c r="R59" s="628">
        <v>100</v>
      </c>
      <c r="S59" s="628">
        <v>100</v>
      </c>
      <c r="T59" s="628">
        <v>100</v>
      </c>
      <c r="U59" s="628">
        <v>90</v>
      </c>
      <c r="V59" s="628">
        <v>100</v>
      </c>
      <c r="W59" s="628">
        <v>100</v>
      </c>
      <c r="X59" s="628">
        <v>100</v>
      </c>
      <c r="Y59" s="628">
        <v>100</v>
      </c>
      <c r="Z59" s="628">
        <v>100</v>
      </c>
      <c r="AA59" s="628">
        <v>100</v>
      </c>
      <c r="AB59" s="628">
        <v>100</v>
      </c>
      <c r="AC59" s="98"/>
      <c r="AD59" s="98"/>
      <c r="AE59" s="98"/>
      <c r="AF59" s="98"/>
      <c r="AG59" s="98"/>
      <c r="AH59" s="98"/>
    </row>
    <row r="60" spans="1:34" s="476" customFormat="1" ht="27" customHeight="1">
      <c r="A60" s="30"/>
      <c r="B60" s="801"/>
      <c r="C60" s="498"/>
      <c r="D60" s="499" t="s">
        <v>1470</v>
      </c>
      <c r="E60" s="628">
        <v>100</v>
      </c>
      <c r="F60" s="628">
        <v>100</v>
      </c>
      <c r="G60" s="628">
        <v>100</v>
      </c>
      <c r="H60" s="628">
        <v>100</v>
      </c>
      <c r="I60" s="628">
        <v>90</v>
      </c>
      <c r="J60" s="628">
        <v>100</v>
      </c>
      <c r="K60" s="628">
        <v>100</v>
      </c>
      <c r="L60" s="628">
        <v>100</v>
      </c>
      <c r="M60" s="628">
        <v>100</v>
      </c>
      <c r="N60" s="628">
        <v>100</v>
      </c>
      <c r="O60" s="628">
        <v>100</v>
      </c>
      <c r="P60" s="628">
        <v>100</v>
      </c>
      <c r="Q60" s="628">
        <v>100</v>
      </c>
      <c r="R60" s="628">
        <v>100</v>
      </c>
      <c r="S60" s="628">
        <v>100</v>
      </c>
      <c r="T60" s="628">
        <v>100</v>
      </c>
      <c r="U60" s="628">
        <v>100</v>
      </c>
      <c r="V60" s="628">
        <v>90</v>
      </c>
      <c r="W60" s="628"/>
      <c r="X60" s="628">
        <v>90</v>
      </c>
      <c r="Y60" s="628">
        <v>100</v>
      </c>
      <c r="Z60" s="628">
        <v>90</v>
      </c>
      <c r="AA60" s="628">
        <v>100</v>
      </c>
      <c r="AB60" s="628">
        <v>95</v>
      </c>
      <c r="AC60" s="98"/>
      <c r="AD60" s="98"/>
      <c r="AE60" s="98"/>
      <c r="AF60" s="98"/>
      <c r="AG60" s="98"/>
      <c r="AH60" s="98"/>
    </row>
    <row r="61" spans="1:34" s="476" customFormat="1" ht="36" customHeight="1">
      <c r="A61" s="30"/>
      <c r="B61" s="801"/>
      <c r="C61" s="498" t="s">
        <v>1471</v>
      </c>
      <c r="D61" s="499" t="s">
        <v>1472</v>
      </c>
      <c r="E61" s="628">
        <v>100</v>
      </c>
      <c r="F61" s="628">
        <v>100</v>
      </c>
      <c r="G61" s="628">
        <v>95</v>
      </c>
      <c r="H61" s="628">
        <v>100</v>
      </c>
      <c r="I61" s="628">
        <v>100</v>
      </c>
      <c r="J61" s="628">
        <v>100</v>
      </c>
      <c r="K61" s="628">
        <v>100</v>
      </c>
      <c r="L61" s="628">
        <v>100</v>
      </c>
      <c r="M61" s="628">
        <v>95</v>
      </c>
      <c r="N61" s="628">
        <v>100</v>
      </c>
      <c r="O61" s="628">
        <v>100</v>
      </c>
      <c r="P61" s="628">
        <v>100</v>
      </c>
      <c r="Q61" s="628">
        <v>100</v>
      </c>
      <c r="R61" s="628">
        <v>100</v>
      </c>
      <c r="S61" s="628">
        <v>100</v>
      </c>
      <c r="T61" s="628">
        <v>95</v>
      </c>
      <c r="U61" s="628">
        <v>100</v>
      </c>
      <c r="V61" s="628">
        <v>90</v>
      </c>
      <c r="W61" s="628"/>
      <c r="X61" s="628">
        <v>80</v>
      </c>
      <c r="Y61" s="628">
        <v>100</v>
      </c>
      <c r="Z61" s="628">
        <v>100</v>
      </c>
      <c r="AA61" s="628">
        <v>100</v>
      </c>
      <c r="AB61" s="628">
        <v>80</v>
      </c>
      <c r="AC61" s="98"/>
      <c r="AD61" s="98"/>
      <c r="AE61" s="98"/>
      <c r="AF61" s="98"/>
      <c r="AG61" s="98"/>
      <c r="AH61" s="98"/>
    </row>
    <row r="62" spans="1:34" s="476" customFormat="1" ht="34.5" customHeight="1">
      <c r="A62" s="30"/>
      <c r="B62" s="801"/>
      <c r="C62" s="498" t="s">
        <v>1473</v>
      </c>
      <c r="D62" s="499" t="s">
        <v>1474</v>
      </c>
      <c r="E62" s="682">
        <v>80</v>
      </c>
      <c r="F62" s="682">
        <v>90</v>
      </c>
      <c r="G62" s="682">
        <v>100</v>
      </c>
      <c r="H62" s="682">
        <v>90</v>
      </c>
      <c r="I62" s="682">
        <v>90</v>
      </c>
      <c r="J62" s="682">
        <v>100</v>
      </c>
      <c r="K62" s="682">
        <v>90</v>
      </c>
      <c r="L62" s="682">
        <v>100</v>
      </c>
      <c r="M62" s="682">
        <v>80</v>
      </c>
      <c r="N62" s="682">
        <v>90</v>
      </c>
      <c r="O62" s="682">
        <v>90</v>
      </c>
      <c r="P62" s="682">
        <v>80</v>
      </c>
      <c r="Q62" s="682">
        <v>80</v>
      </c>
      <c r="R62" s="682">
        <v>70</v>
      </c>
      <c r="S62" s="682">
        <v>100</v>
      </c>
      <c r="T62" s="682">
        <v>90</v>
      </c>
      <c r="U62" s="682">
        <v>100</v>
      </c>
      <c r="V62" s="682"/>
      <c r="W62" s="682">
        <v>90</v>
      </c>
      <c r="X62" s="682">
        <v>80</v>
      </c>
      <c r="Y62" s="682">
        <v>100</v>
      </c>
      <c r="Z62" s="682">
        <v>100</v>
      </c>
      <c r="AA62" s="682">
        <v>100</v>
      </c>
      <c r="AB62" s="682">
        <v>70</v>
      </c>
      <c r="AC62" s="98"/>
      <c r="AD62" s="98"/>
      <c r="AE62" s="98"/>
      <c r="AF62" s="98"/>
      <c r="AG62" s="98"/>
      <c r="AH62" s="98"/>
    </row>
    <row r="63" spans="1:34" ht="31.5" customHeight="1">
      <c r="A63" s="30"/>
      <c r="B63" s="801"/>
      <c r="C63" s="498" t="s">
        <v>1475</v>
      </c>
      <c r="D63" s="499" t="s">
        <v>1476</v>
      </c>
      <c r="E63" s="682">
        <v>80</v>
      </c>
      <c r="F63" s="682"/>
      <c r="G63" s="682">
        <v>90</v>
      </c>
      <c r="H63" s="682">
        <v>100</v>
      </c>
      <c r="I63" s="682">
        <v>90</v>
      </c>
      <c r="J63" s="682">
        <v>90</v>
      </c>
      <c r="K63" s="682">
        <v>90</v>
      </c>
      <c r="L63" s="682">
        <v>100</v>
      </c>
      <c r="M63" s="682">
        <v>100</v>
      </c>
      <c r="N63" s="682">
        <v>95</v>
      </c>
      <c r="O63" s="682">
        <v>100</v>
      </c>
      <c r="P63" s="682">
        <v>90</v>
      </c>
      <c r="Q63" s="682">
        <v>100</v>
      </c>
      <c r="R63" s="682">
        <v>95</v>
      </c>
      <c r="S63" s="682">
        <v>90</v>
      </c>
      <c r="T63" s="682">
        <v>90</v>
      </c>
      <c r="U63" s="682">
        <v>95</v>
      </c>
      <c r="V63" s="682">
        <v>100</v>
      </c>
      <c r="W63" s="682">
        <v>90</v>
      </c>
      <c r="X63" s="682">
        <v>90</v>
      </c>
      <c r="Y63" s="682">
        <v>100</v>
      </c>
      <c r="Z63" s="682">
        <v>90</v>
      </c>
      <c r="AA63" s="682">
        <v>100</v>
      </c>
      <c r="AB63" s="682">
        <v>90</v>
      </c>
      <c r="AC63" s="98"/>
      <c r="AD63" s="98"/>
      <c r="AE63" s="98"/>
      <c r="AF63" s="98"/>
      <c r="AG63" s="98"/>
      <c r="AH63" s="98"/>
    </row>
    <row r="64" spans="1:34" ht="36.75" customHeight="1">
      <c r="A64" s="30"/>
      <c r="B64" s="801"/>
      <c r="C64" s="498" t="s">
        <v>1477</v>
      </c>
      <c r="D64" s="499" t="s">
        <v>1478</v>
      </c>
      <c r="E64" s="682">
        <v>100</v>
      </c>
      <c r="F64" s="682">
        <v>95</v>
      </c>
      <c r="G64" s="682">
        <v>90</v>
      </c>
      <c r="H64" s="682">
        <v>100</v>
      </c>
      <c r="I64" s="682">
        <v>90</v>
      </c>
      <c r="J64" s="682">
        <v>100</v>
      </c>
      <c r="K64" s="682">
        <v>100</v>
      </c>
      <c r="L64" s="682">
        <v>100</v>
      </c>
      <c r="M64" s="682">
        <v>100</v>
      </c>
      <c r="N64" s="682">
        <v>100</v>
      </c>
      <c r="O64" s="682">
        <v>100</v>
      </c>
      <c r="P64" s="682">
        <v>90</v>
      </c>
      <c r="Q64" s="682">
        <v>100</v>
      </c>
      <c r="R64" s="682">
        <v>100</v>
      </c>
      <c r="S64" s="682">
        <v>90</v>
      </c>
      <c r="T64" s="682">
        <v>100</v>
      </c>
      <c r="U64" s="682">
        <v>100</v>
      </c>
      <c r="V64" s="682">
        <v>95</v>
      </c>
      <c r="W64" s="682"/>
      <c r="X64" s="682">
        <v>90</v>
      </c>
      <c r="Y64" s="682">
        <v>100</v>
      </c>
      <c r="Z64" s="682">
        <v>100</v>
      </c>
      <c r="AA64" s="682">
        <v>100</v>
      </c>
      <c r="AB64" s="682">
        <v>90</v>
      </c>
      <c r="AC64" s="98"/>
      <c r="AD64" s="98"/>
      <c r="AE64" s="98"/>
      <c r="AF64" s="98"/>
      <c r="AG64" s="98"/>
      <c r="AH64" s="98"/>
    </row>
    <row r="65" spans="1:34" ht="36.75" customHeight="1">
      <c r="A65" s="30"/>
      <c r="B65" s="801"/>
      <c r="C65" s="498" t="s">
        <v>1479</v>
      </c>
      <c r="D65" s="499" t="s">
        <v>1480</v>
      </c>
      <c r="E65" s="682">
        <v>100</v>
      </c>
      <c r="F65" s="682">
        <v>100</v>
      </c>
      <c r="G65" s="682">
        <v>100</v>
      </c>
      <c r="H65" s="682">
        <v>100</v>
      </c>
      <c r="I65" s="682">
        <v>90</v>
      </c>
      <c r="J65" s="682">
        <v>100</v>
      </c>
      <c r="K65" s="682">
        <v>100</v>
      </c>
      <c r="L65" s="682">
        <v>100</v>
      </c>
      <c r="M65" s="682">
        <v>80</v>
      </c>
      <c r="N65" s="682">
        <v>100</v>
      </c>
      <c r="O65" s="682">
        <v>90</v>
      </c>
      <c r="P65" s="682">
        <v>100</v>
      </c>
      <c r="Q65" s="682">
        <v>80</v>
      </c>
      <c r="R65" s="682">
        <v>70</v>
      </c>
      <c r="S65" s="682">
        <v>90</v>
      </c>
      <c r="T65" s="682">
        <v>100</v>
      </c>
      <c r="U65" s="682">
        <v>100</v>
      </c>
      <c r="V65" s="682">
        <v>100</v>
      </c>
      <c r="W65" s="682">
        <v>100</v>
      </c>
      <c r="X65" s="682">
        <v>80</v>
      </c>
      <c r="Y65" s="682">
        <v>100</v>
      </c>
      <c r="Z65" s="682">
        <v>90</v>
      </c>
      <c r="AA65" s="682">
        <v>100</v>
      </c>
      <c r="AB65" s="682">
        <v>95</v>
      </c>
      <c r="AC65" s="98"/>
      <c r="AD65" s="98"/>
      <c r="AE65" s="98"/>
      <c r="AF65" s="98"/>
      <c r="AG65" s="98"/>
      <c r="AH65" s="98"/>
    </row>
    <row r="66" spans="1:34" ht="27" customHeight="1">
      <c r="A66" s="30"/>
      <c r="B66" s="801"/>
      <c r="C66" s="410"/>
      <c r="D66" s="72"/>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row>
    <row r="67" spans="1:34" ht="27" hidden="1" customHeight="1">
      <c r="A67" s="30"/>
      <c r="B67" s="801"/>
      <c r="C67" s="74"/>
      <c r="D67" s="72"/>
      <c r="E67" s="98"/>
      <c r="F67" s="98"/>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row>
    <row r="68" spans="1:34" ht="27" hidden="1" customHeight="1">
      <c r="A68" s="30"/>
      <c r="B68" s="802"/>
      <c r="C68" s="74"/>
      <c r="D68" s="72"/>
      <c r="E68" s="98"/>
      <c r="F68" s="98"/>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row>
    <row r="69" spans="1:34" ht="27" customHeight="1" thickBot="1">
      <c r="A69" s="30"/>
      <c r="B69" s="800">
        <v>4</v>
      </c>
      <c r="C69" s="811" t="s">
        <v>1831</v>
      </c>
      <c r="D69" s="812"/>
      <c r="E69" s="97">
        <f>IFERROR(AVERAGE(E70:E86),"")</f>
        <v>96.5625</v>
      </c>
      <c r="F69" s="97">
        <f t="shared" ref="F69:AB69" si="6">IFERROR(AVERAGE(F70:F86),"")</f>
        <v>95.384615384615387</v>
      </c>
      <c r="G69" s="97">
        <f t="shared" si="6"/>
        <v>92.692307692307693</v>
      </c>
      <c r="H69" s="97">
        <f t="shared" si="6"/>
        <v>97.8125</v>
      </c>
      <c r="I69" s="97">
        <f t="shared" si="6"/>
        <v>97.8125</v>
      </c>
      <c r="J69" s="97">
        <f t="shared" si="6"/>
        <v>97.5</v>
      </c>
      <c r="K69" s="97">
        <f t="shared" si="6"/>
        <v>97.1875</v>
      </c>
      <c r="L69" s="97">
        <f t="shared" si="6"/>
        <v>95.9375</v>
      </c>
      <c r="M69" s="97">
        <f t="shared" si="6"/>
        <v>92.5</v>
      </c>
      <c r="N69" s="97">
        <f t="shared" si="6"/>
        <v>99.0625</v>
      </c>
      <c r="O69" s="97">
        <f t="shared" si="6"/>
        <v>97.1875</v>
      </c>
      <c r="P69" s="97">
        <f t="shared" si="6"/>
        <v>96.25</v>
      </c>
      <c r="Q69" s="97">
        <f t="shared" si="6"/>
        <v>96.875</v>
      </c>
      <c r="R69" s="97">
        <f t="shared" si="6"/>
        <v>98.333333333333329</v>
      </c>
      <c r="S69" s="97">
        <f t="shared" si="6"/>
        <v>91.428571428571431</v>
      </c>
      <c r="T69" s="97">
        <f t="shared" si="6"/>
        <v>94.6875</v>
      </c>
      <c r="U69" s="97">
        <f t="shared" si="6"/>
        <v>98.4375</v>
      </c>
      <c r="V69" s="97">
        <f t="shared" si="6"/>
        <v>94.0625</v>
      </c>
      <c r="W69" s="97">
        <f t="shared" si="6"/>
        <v>92.8125</v>
      </c>
      <c r="X69" s="97">
        <f t="shared" si="6"/>
        <v>95</v>
      </c>
      <c r="Y69" s="97">
        <f t="shared" si="6"/>
        <v>96.875</v>
      </c>
      <c r="Z69" s="97">
        <f t="shared" si="6"/>
        <v>92.1875</v>
      </c>
      <c r="AA69" s="97">
        <f t="shared" si="6"/>
        <v>97.8125</v>
      </c>
      <c r="AB69" s="97">
        <f t="shared" si="6"/>
        <v>91.5625</v>
      </c>
      <c r="AC69" s="97" t="str">
        <f t="shared" ref="AC69:AH69" si="7">IFERROR(AVERAGE(AC70:AC86),"")</f>
        <v/>
      </c>
      <c r="AD69" s="97" t="str">
        <f t="shared" si="7"/>
        <v/>
      </c>
      <c r="AE69" s="97" t="str">
        <f t="shared" si="7"/>
        <v/>
      </c>
      <c r="AF69" s="97" t="str">
        <f t="shared" si="7"/>
        <v/>
      </c>
      <c r="AG69" s="97" t="str">
        <f t="shared" si="7"/>
        <v/>
      </c>
      <c r="AH69" s="97" t="str">
        <f t="shared" si="7"/>
        <v/>
      </c>
    </row>
    <row r="70" spans="1:34" ht="27" customHeight="1" thickTop="1">
      <c r="A70" s="30"/>
      <c r="B70" s="801"/>
      <c r="C70" s="500" t="s">
        <v>1481</v>
      </c>
      <c r="D70" s="501" t="s">
        <v>1482</v>
      </c>
      <c r="E70" s="628">
        <v>100</v>
      </c>
      <c r="F70" s="628">
        <v>100</v>
      </c>
      <c r="G70" s="628"/>
      <c r="H70" s="628">
        <v>100</v>
      </c>
      <c r="I70" s="628">
        <v>100</v>
      </c>
      <c r="J70" s="628">
        <v>100</v>
      </c>
      <c r="K70" s="628">
        <v>100</v>
      </c>
      <c r="L70" s="628">
        <v>100</v>
      </c>
      <c r="M70" s="628">
        <v>95</v>
      </c>
      <c r="N70" s="628">
        <v>100</v>
      </c>
      <c r="O70" s="628">
        <v>90</v>
      </c>
      <c r="P70" s="628">
        <v>100</v>
      </c>
      <c r="Q70" s="628">
        <v>100</v>
      </c>
      <c r="R70" s="628">
        <v>100</v>
      </c>
      <c r="S70" s="628">
        <v>90</v>
      </c>
      <c r="T70" s="628">
        <v>100</v>
      </c>
      <c r="U70" s="628">
        <v>100</v>
      </c>
      <c r="V70" s="628">
        <v>100</v>
      </c>
      <c r="W70" s="628">
        <v>100</v>
      </c>
      <c r="X70" s="628">
        <v>100</v>
      </c>
      <c r="Y70" s="628">
        <v>100</v>
      </c>
      <c r="Z70" s="628">
        <v>100</v>
      </c>
      <c r="AA70" s="628">
        <v>100</v>
      </c>
      <c r="AB70" s="628">
        <v>100</v>
      </c>
      <c r="AC70" s="98"/>
      <c r="AD70" s="98"/>
      <c r="AE70" s="98"/>
      <c r="AF70" s="98"/>
      <c r="AG70" s="98"/>
      <c r="AH70" s="98"/>
    </row>
    <row r="71" spans="1:34" s="476" customFormat="1" ht="35.25" customHeight="1">
      <c r="A71" s="30"/>
      <c r="B71" s="801"/>
      <c r="C71" s="502" t="s">
        <v>1483</v>
      </c>
      <c r="D71" s="503" t="s">
        <v>1484</v>
      </c>
      <c r="E71" s="628">
        <v>90</v>
      </c>
      <c r="F71" s="628">
        <v>70</v>
      </c>
      <c r="G71" s="628">
        <v>80</v>
      </c>
      <c r="H71" s="628">
        <v>100</v>
      </c>
      <c r="I71" s="628">
        <v>90</v>
      </c>
      <c r="J71" s="628">
        <v>80</v>
      </c>
      <c r="K71" s="628">
        <v>90</v>
      </c>
      <c r="L71" s="628">
        <v>80</v>
      </c>
      <c r="M71" s="628">
        <v>70</v>
      </c>
      <c r="N71" s="628">
        <v>100</v>
      </c>
      <c r="O71" s="628">
        <v>90</v>
      </c>
      <c r="P71" s="628">
        <v>70</v>
      </c>
      <c r="Q71" s="628">
        <v>85</v>
      </c>
      <c r="R71" s="628">
        <v>90</v>
      </c>
      <c r="S71" s="628">
        <v>60</v>
      </c>
      <c r="T71" s="628">
        <v>90</v>
      </c>
      <c r="U71" s="628">
        <v>100</v>
      </c>
      <c r="V71" s="628">
        <v>70</v>
      </c>
      <c r="W71" s="628">
        <v>70</v>
      </c>
      <c r="X71" s="628">
        <v>90</v>
      </c>
      <c r="Y71" s="628">
        <v>80</v>
      </c>
      <c r="Z71" s="628">
        <v>95</v>
      </c>
      <c r="AA71" s="628">
        <v>90</v>
      </c>
      <c r="AB71" s="628">
        <v>80</v>
      </c>
      <c r="AC71" s="98"/>
      <c r="AD71" s="98"/>
      <c r="AE71" s="98"/>
      <c r="AF71" s="98"/>
      <c r="AG71" s="98"/>
      <c r="AH71" s="98"/>
    </row>
    <row r="72" spans="1:34" s="476" customFormat="1" ht="27" customHeight="1">
      <c r="A72" s="30"/>
      <c r="B72" s="801"/>
      <c r="C72" s="502" t="s">
        <v>1485</v>
      </c>
      <c r="D72" s="503" t="s">
        <v>1486</v>
      </c>
      <c r="E72" s="628">
        <v>95</v>
      </c>
      <c r="F72" s="628">
        <v>90</v>
      </c>
      <c r="G72" s="628">
        <v>100</v>
      </c>
      <c r="H72" s="628">
        <v>95</v>
      </c>
      <c r="I72" s="628">
        <v>100</v>
      </c>
      <c r="J72" s="628">
        <v>95</v>
      </c>
      <c r="K72" s="628">
        <v>100</v>
      </c>
      <c r="L72" s="628">
        <v>100</v>
      </c>
      <c r="M72" s="628">
        <v>100</v>
      </c>
      <c r="N72" s="628">
        <v>100</v>
      </c>
      <c r="O72" s="628">
        <v>100</v>
      </c>
      <c r="P72" s="628">
        <v>100</v>
      </c>
      <c r="Q72" s="628">
        <v>100</v>
      </c>
      <c r="R72" s="628">
        <v>100</v>
      </c>
      <c r="S72" s="628">
        <v>90</v>
      </c>
      <c r="T72" s="628">
        <v>90</v>
      </c>
      <c r="U72" s="628">
        <v>95</v>
      </c>
      <c r="V72" s="628">
        <v>95</v>
      </c>
      <c r="W72" s="628">
        <v>95</v>
      </c>
      <c r="X72" s="628">
        <v>100</v>
      </c>
      <c r="Y72" s="628">
        <v>95</v>
      </c>
      <c r="Z72" s="628">
        <v>95</v>
      </c>
      <c r="AA72" s="628">
        <v>100</v>
      </c>
      <c r="AB72" s="628">
        <v>85</v>
      </c>
      <c r="AC72" s="98"/>
      <c r="AD72" s="98"/>
      <c r="AE72" s="98"/>
      <c r="AF72" s="98"/>
      <c r="AG72" s="98"/>
      <c r="AH72" s="98"/>
    </row>
    <row r="73" spans="1:34" s="476" customFormat="1" ht="27" customHeight="1">
      <c r="A73" s="30"/>
      <c r="B73" s="801"/>
      <c r="C73" s="502" t="s">
        <v>1487</v>
      </c>
      <c r="D73" s="503" t="s">
        <v>1488</v>
      </c>
      <c r="E73" s="628">
        <v>100</v>
      </c>
      <c r="F73" s="628"/>
      <c r="G73" s="628"/>
      <c r="H73" s="628">
        <v>100</v>
      </c>
      <c r="I73" s="628">
        <v>100</v>
      </c>
      <c r="J73" s="628">
        <v>100</v>
      </c>
      <c r="K73" s="628">
        <v>100</v>
      </c>
      <c r="L73" s="628">
        <v>100</v>
      </c>
      <c r="M73" s="628">
        <v>100</v>
      </c>
      <c r="N73" s="628">
        <v>100</v>
      </c>
      <c r="O73" s="628">
        <v>100</v>
      </c>
      <c r="P73" s="628">
        <v>100</v>
      </c>
      <c r="Q73" s="628">
        <v>100</v>
      </c>
      <c r="R73" s="628">
        <v>100</v>
      </c>
      <c r="S73" s="628">
        <v>100</v>
      </c>
      <c r="T73" s="628">
        <v>100</v>
      </c>
      <c r="U73" s="628">
        <v>100</v>
      </c>
      <c r="V73" s="628">
        <v>100</v>
      </c>
      <c r="W73" s="628">
        <v>100</v>
      </c>
      <c r="X73" s="628">
        <v>100</v>
      </c>
      <c r="Y73" s="628">
        <v>100</v>
      </c>
      <c r="Z73" s="628">
        <v>100</v>
      </c>
      <c r="AA73" s="628">
        <v>100</v>
      </c>
      <c r="AB73" s="628">
        <v>100</v>
      </c>
      <c r="AC73" s="98"/>
      <c r="AD73" s="98"/>
      <c r="AE73" s="98"/>
      <c r="AF73" s="98"/>
      <c r="AG73" s="98"/>
      <c r="AH73" s="98"/>
    </row>
    <row r="74" spans="1:34" s="476" customFormat="1" ht="36.75" customHeight="1">
      <c r="A74" s="30"/>
      <c r="B74" s="801"/>
      <c r="C74" s="502" t="s">
        <v>1489</v>
      </c>
      <c r="D74" s="503" t="s">
        <v>1490</v>
      </c>
      <c r="E74" s="651">
        <v>95</v>
      </c>
      <c r="F74" s="651">
        <v>100</v>
      </c>
      <c r="G74" s="651"/>
      <c r="H74" s="651">
        <v>100</v>
      </c>
      <c r="I74" s="651">
        <v>95</v>
      </c>
      <c r="J74" s="651">
        <v>100</v>
      </c>
      <c r="K74" s="651">
        <v>95</v>
      </c>
      <c r="L74" s="651">
        <v>100</v>
      </c>
      <c r="M74" s="651">
        <v>85</v>
      </c>
      <c r="N74" s="651">
        <v>100</v>
      </c>
      <c r="O74" s="651">
        <v>100</v>
      </c>
      <c r="P74" s="651">
        <v>85</v>
      </c>
      <c r="Q74" s="651">
        <v>95</v>
      </c>
      <c r="R74" s="651">
        <v>100</v>
      </c>
      <c r="S74" s="651">
        <v>85</v>
      </c>
      <c r="T74" s="651">
        <v>90</v>
      </c>
      <c r="U74" s="651">
        <v>100</v>
      </c>
      <c r="V74" s="651">
        <v>100</v>
      </c>
      <c r="W74" s="651">
        <v>100</v>
      </c>
      <c r="X74" s="651">
        <v>90</v>
      </c>
      <c r="Y74" s="651">
        <v>100</v>
      </c>
      <c r="Z74" s="651">
        <v>100</v>
      </c>
      <c r="AA74" s="651">
        <v>100</v>
      </c>
      <c r="AB74" s="651">
        <v>100</v>
      </c>
      <c r="AC74" s="98"/>
      <c r="AD74" s="98"/>
      <c r="AE74" s="98"/>
      <c r="AF74" s="98"/>
      <c r="AG74" s="98"/>
      <c r="AH74" s="98"/>
    </row>
    <row r="75" spans="1:34" s="476" customFormat="1" ht="34.5" customHeight="1">
      <c r="A75" s="30"/>
      <c r="B75" s="801"/>
      <c r="C75" s="502" t="s">
        <v>1491</v>
      </c>
      <c r="D75" s="503" t="s">
        <v>1492</v>
      </c>
      <c r="E75" s="651">
        <v>90</v>
      </c>
      <c r="F75" s="651">
        <v>90</v>
      </c>
      <c r="G75" s="651">
        <v>90</v>
      </c>
      <c r="H75" s="651">
        <v>100</v>
      </c>
      <c r="I75" s="651">
        <v>100</v>
      </c>
      <c r="J75" s="651">
        <v>90</v>
      </c>
      <c r="K75" s="651">
        <v>90</v>
      </c>
      <c r="L75" s="651">
        <v>90</v>
      </c>
      <c r="M75" s="651">
        <v>90</v>
      </c>
      <c r="N75" s="651">
        <v>100</v>
      </c>
      <c r="O75" s="651">
        <v>100</v>
      </c>
      <c r="P75" s="651">
        <v>100</v>
      </c>
      <c r="Q75" s="651">
        <v>100</v>
      </c>
      <c r="R75" s="651">
        <v>90</v>
      </c>
      <c r="S75" s="651">
        <v>100</v>
      </c>
      <c r="T75" s="651">
        <v>80</v>
      </c>
      <c r="U75" s="651">
        <v>90</v>
      </c>
      <c r="V75" s="651">
        <v>100</v>
      </c>
      <c r="W75" s="651">
        <v>90</v>
      </c>
      <c r="X75" s="651">
        <v>70</v>
      </c>
      <c r="Y75" s="651">
        <v>90</v>
      </c>
      <c r="Z75" s="651">
        <v>90</v>
      </c>
      <c r="AA75" s="651">
        <v>90</v>
      </c>
      <c r="AB75" s="651">
        <v>80</v>
      </c>
      <c r="AC75" s="98"/>
      <c r="AD75" s="98"/>
      <c r="AE75" s="98"/>
      <c r="AF75" s="98"/>
      <c r="AG75" s="98"/>
      <c r="AH75" s="98"/>
    </row>
    <row r="76" spans="1:34" s="476" customFormat="1" ht="27" customHeight="1">
      <c r="A76" s="30"/>
      <c r="B76" s="801"/>
      <c r="C76" s="502" t="s">
        <v>1493</v>
      </c>
      <c r="D76" s="503" t="s">
        <v>1494</v>
      </c>
      <c r="E76" s="651">
        <v>100</v>
      </c>
      <c r="F76" s="651">
        <v>90</v>
      </c>
      <c r="G76" s="651">
        <v>100</v>
      </c>
      <c r="H76" s="651">
        <v>100</v>
      </c>
      <c r="I76" s="651">
        <v>100</v>
      </c>
      <c r="J76" s="651">
        <v>100</v>
      </c>
      <c r="K76" s="651">
        <v>100</v>
      </c>
      <c r="L76" s="651">
        <v>100</v>
      </c>
      <c r="M76" s="651">
        <v>100</v>
      </c>
      <c r="N76" s="651">
        <v>100</v>
      </c>
      <c r="O76" s="651">
        <v>100</v>
      </c>
      <c r="P76" s="651">
        <v>100</v>
      </c>
      <c r="Q76" s="651">
        <v>90</v>
      </c>
      <c r="R76" s="651"/>
      <c r="S76" s="651">
        <v>90</v>
      </c>
      <c r="T76" s="651">
        <v>100</v>
      </c>
      <c r="U76" s="651">
        <v>100</v>
      </c>
      <c r="V76" s="651">
        <v>100</v>
      </c>
      <c r="W76" s="651">
        <v>100</v>
      </c>
      <c r="X76" s="651">
        <v>100</v>
      </c>
      <c r="Y76" s="651">
        <v>100</v>
      </c>
      <c r="Z76" s="651">
        <v>100</v>
      </c>
      <c r="AA76" s="651">
        <v>100</v>
      </c>
      <c r="AB76" s="651">
        <v>100</v>
      </c>
      <c r="AC76" s="98"/>
      <c r="AD76" s="98"/>
      <c r="AE76" s="98"/>
      <c r="AF76" s="98"/>
      <c r="AG76" s="98"/>
      <c r="AH76" s="98"/>
    </row>
    <row r="77" spans="1:34" s="476" customFormat="1" ht="27" customHeight="1">
      <c r="A77" s="30"/>
      <c r="B77" s="801"/>
      <c r="C77" s="502" t="s">
        <v>1495</v>
      </c>
      <c r="D77" s="503" t="s">
        <v>1496</v>
      </c>
      <c r="E77" s="651">
        <v>100</v>
      </c>
      <c r="F77" s="651">
        <v>100</v>
      </c>
      <c r="G77" s="651">
        <v>100</v>
      </c>
      <c r="H77" s="651">
        <v>90</v>
      </c>
      <c r="I77" s="651">
        <v>100</v>
      </c>
      <c r="J77" s="651">
        <v>100</v>
      </c>
      <c r="K77" s="651">
        <v>100</v>
      </c>
      <c r="L77" s="651">
        <v>100</v>
      </c>
      <c r="M77" s="651">
        <v>90</v>
      </c>
      <c r="N77" s="651">
        <v>100</v>
      </c>
      <c r="O77" s="651">
        <v>90</v>
      </c>
      <c r="P77" s="651">
        <v>100</v>
      </c>
      <c r="Q77" s="651">
        <v>100</v>
      </c>
      <c r="R77" s="651">
        <v>100</v>
      </c>
      <c r="S77" s="651">
        <v>100</v>
      </c>
      <c r="T77" s="651">
        <v>100</v>
      </c>
      <c r="U77" s="651">
        <v>100</v>
      </c>
      <c r="V77" s="651">
        <v>80</v>
      </c>
      <c r="W77" s="651">
        <v>100</v>
      </c>
      <c r="X77" s="651">
        <v>100</v>
      </c>
      <c r="Y77" s="651">
        <v>100</v>
      </c>
      <c r="Z77" s="651">
        <v>80</v>
      </c>
      <c r="AA77" s="651">
        <v>100</v>
      </c>
      <c r="AB77" s="651">
        <v>100</v>
      </c>
      <c r="AC77" s="98"/>
      <c r="AD77" s="98"/>
      <c r="AE77" s="98"/>
      <c r="AF77" s="98"/>
      <c r="AG77" s="98"/>
      <c r="AH77" s="98"/>
    </row>
    <row r="78" spans="1:34" s="476" customFormat="1" ht="27" customHeight="1">
      <c r="A78" s="30"/>
      <c r="B78" s="801"/>
      <c r="C78" s="502" t="s">
        <v>1497</v>
      </c>
      <c r="D78" s="503" t="s">
        <v>1498</v>
      </c>
      <c r="E78" s="636">
        <v>90</v>
      </c>
      <c r="F78" s="636"/>
      <c r="G78" s="636">
        <v>90</v>
      </c>
      <c r="H78" s="636">
        <v>90</v>
      </c>
      <c r="I78" s="636">
        <v>100</v>
      </c>
      <c r="J78" s="636">
        <v>100</v>
      </c>
      <c r="K78" s="636">
        <v>100</v>
      </c>
      <c r="L78" s="636">
        <v>80</v>
      </c>
      <c r="M78" s="636">
        <v>95</v>
      </c>
      <c r="N78" s="636">
        <v>100</v>
      </c>
      <c r="O78" s="636">
        <v>100</v>
      </c>
      <c r="P78" s="636">
        <v>100</v>
      </c>
      <c r="Q78" s="636">
        <v>100</v>
      </c>
      <c r="R78" s="636">
        <v>100</v>
      </c>
      <c r="S78" s="636"/>
      <c r="T78" s="636">
        <v>90</v>
      </c>
      <c r="U78" s="636">
        <v>90</v>
      </c>
      <c r="V78" s="636">
        <v>100</v>
      </c>
      <c r="W78" s="636">
        <v>100</v>
      </c>
      <c r="X78" s="636">
        <v>100</v>
      </c>
      <c r="Y78" s="636">
        <v>90</v>
      </c>
      <c r="Z78" s="636">
        <v>90</v>
      </c>
      <c r="AA78" s="636">
        <v>90</v>
      </c>
      <c r="AB78" s="636">
        <v>90</v>
      </c>
      <c r="AC78" s="98"/>
      <c r="AD78" s="98"/>
      <c r="AE78" s="98"/>
      <c r="AF78" s="98"/>
      <c r="AG78" s="98"/>
      <c r="AH78" s="98"/>
    </row>
    <row r="79" spans="1:34" s="476" customFormat="1" ht="27" customHeight="1">
      <c r="A79" s="30"/>
      <c r="B79" s="801"/>
      <c r="C79" s="502" t="s">
        <v>1499</v>
      </c>
      <c r="D79" s="503" t="s">
        <v>1500</v>
      </c>
      <c r="E79" s="636">
        <v>90</v>
      </c>
      <c r="F79" s="636">
        <v>100</v>
      </c>
      <c r="G79" s="636">
        <v>100</v>
      </c>
      <c r="H79" s="636">
        <v>100</v>
      </c>
      <c r="I79" s="636">
        <v>100</v>
      </c>
      <c r="J79" s="636">
        <v>100</v>
      </c>
      <c r="K79" s="636">
        <v>95</v>
      </c>
      <c r="L79" s="636">
        <v>100</v>
      </c>
      <c r="M79" s="636">
        <v>100</v>
      </c>
      <c r="N79" s="636">
        <v>100</v>
      </c>
      <c r="O79" s="636">
        <v>100</v>
      </c>
      <c r="P79" s="636">
        <v>100</v>
      </c>
      <c r="Q79" s="636">
        <v>95</v>
      </c>
      <c r="R79" s="636">
        <v>100</v>
      </c>
      <c r="S79" s="636"/>
      <c r="T79" s="636">
        <v>90</v>
      </c>
      <c r="U79" s="636">
        <v>100</v>
      </c>
      <c r="V79" s="636">
        <v>85</v>
      </c>
      <c r="W79" s="636">
        <v>80</v>
      </c>
      <c r="X79" s="636">
        <v>80</v>
      </c>
      <c r="Y79" s="636">
        <v>95</v>
      </c>
      <c r="Z79" s="636">
        <v>95</v>
      </c>
      <c r="AA79" s="636">
        <v>100</v>
      </c>
      <c r="AB79" s="636">
        <v>100</v>
      </c>
      <c r="AC79" s="98"/>
      <c r="AD79" s="98"/>
      <c r="AE79" s="98"/>
      <c r="AF79" s="98"/>
      <c r="AG79" s="98"/>
      <c r="AH79" s="98"/>
    </row>
    <row r="80" spans="1:34" s="476" customFormat="1" ht="27" customHeight="1">
      <c r="A80" s="30"/>
      <c r="B80" s="801"/>
      <c r="C80" s="502" t="s">
        <v>1501</v>
      </c>
      <c r="D80" s="503" t="s">
        <v>1502</v>
      </c>
      <c r="E80" s="636">
        <v>100</v>
      </c>
      <c r="F80" s="636">
        <v>100</v>
      </c>
      <c r="G80" s="636">
        <v>95</v>
      </c>
      <c r="H80" s="636">
        <v>100</v>
      </c>
      <c r="I80" s="636">
        <v>100</v>
      </c>
      <c r="J80" s="636">
        <v>100</v>
      </c>
      <c r="K80" s="636">
        <v>95</v>
      </c>
      <c r="L80" s="636">
        <v>100</v>
      </c>
      <c r="M80" s="636">
        <v>100</v>
      </c>
      <c r="N80" s="636">
        <v>100</v>
      </c>
      <c r="O80" s="636">
        <v>100</v>
      </c>
      <c r="P80" s="636">
        <v>100</v>
      </c>
      <c r="Q80" s="636">
        <v>100</v>
      </c>
      <c r="R80" s="636">
        <v>100</v>
      </c>
      <c r="S80" s="636">
        <v>100</v>
      </c>
      <c r="T80" s="636">
        <v>85</v>
      </c>
      <c r="U80" s="636">
        <v>100</v>
      </c>
      <c r="V80" s="636">
        <v>85</v>
      </c>
      <c r="W80" s="636">
        <v>80</v>
      </c>
      <c r="X80" s="636">
        <v>90</v>
      </c>
      <c r="Y80" s="636">
        <v>100</v>
      </c>
      <c r="Z80" s="636">
        <v>95</v>
      </c>
      <c r="AA80" s="636">
        <v>95</v>
      </c>
      <c r="AB80" s="636">
        <v>100</v>
      </c>
      <c r="AC80" s="98"/>
      <c r="AD80" s="98"/>
      <c r="AE80" s="98"/>
      <c r="AF80" s="98"/>
      <c r="AG80" s="98"/>
      <c r="AH80" s="98"/>
    </row>
    <row r="81" spans="1:34" ht="27" customHeight="1">
      <c r="A81" s="30"/>
      <c r="B81" s="801"/>
      <c r="C81" s="502" t="s">
        <v>1503</v>
      </c>
      <c r="D81" s="503" t="s">
        <v>1504</v>
      </c>
      <c r="E81" s="636">
        <v>100</v>
      </c>
      <c r="F81" s="636">
        <v>100</v>
      </c>
      <c r="G81" s="636">
        <v>90</v>
      </c>
      <c r="H81" s="636">
        <v>100</v>
      </c>
      <c r="I81" s="636">
        <v>100</v>
      </c>
      <c r="J81" s="636">
        <v>100</v>
      </c>
      <c r="K81" s="636">
        <v>100</v>
      </c>
      <c r="L81" s="636">
        <v>100</v>
      </c>
      <c r="M81" s="636">
        <v>100</v>
      </c>
      <c r="N81" s="636">
        <v>100</v>
      </c>
      <c r="O81" s="636">
        <v>100</v>
      </c>
      <c r="P81" s="636">
        <v>100</v>
      </c>
      <c r="Q81" s="636">
        <v>100</v>
      </c>
      <c r="R81" s="636">
        <v>100</v>
      </c>
      <c r="S81" s="636">
        <v>95</v>
      </c>
      <c r="T81" s="636">
        <v>100</v>
      </c>
      <c r="U81" s="636">
        <v>100</v>
      </c>
      <c r="V81" s="636">
        <v>100</v>
      </c>
      <c r="W81" s="636">
        <v>100</v>
      </c>
      <c r="X81" s="636">
        <v>100</v>
      </c>
      <c r="Y81" s="636">
        <v>100</v>
      </c>
      <c r="Z81" s="636">
        <v>90</v>
      </c>
      <c r="AA81" s="636">
        <v>100</v>
      </c>
      <c r="AB81" s="636">
        <v>95</v>
      </c>
      <c r="AC81" s="98"/>
      <c r="AD81" s="98"/>
      <c r="AE81" s="98"/>
      <c r="AF81" s="98"/>
      <c r="AG81" s="98"/>
      <c r="AH81" s="98"/>
    </row>
    <row r="82" spans="1:34" ht="27" customHeight="1">
      <c r="A82" s="30"/>
      <c r="B82" s="801"/>
      <c r="C82" s="502" t="s">
        <v>1505</v>
      </c>
      <c r="D82" s="503" t="s">
        <v>1506</v>
      </c>
      <c r="E82" s="657">
        <v>100</v>
      </c>
      <c r="F82" s="657">
        <v>100</v>
      </c>
      <c r="G82" s="657">
        <v>90</v>
      </c>
      <c r="H82" s="657">
        <v>100</v>
      </c>
      <c r="I82" s="657">
        <v>90</v>
      </c>
      <c r="J82" s="657">
        <v>100</v>
      </c>
      <c r="K82" s="657">
        <v>100</v>
      </c>
      <c r="L82" s="657">
        <v>100</v>
      </c>
      <c r="M82" s="657">
        <v>90</v>
      </c>
      <c r="N82" s="657">
        <v>90</v>
      </c>
      <c r="O82" s="657">
        <v>100</v>
      </c>
      <c r="P82" s="657">
        <v>90</v>
      </c>
      <c r="Q82" s="657">
        <v>100</v>
      </c>
      <c r="R82" s="657"/>
      <c r="S82" s="657">
        <v>100</v>
      </c>
      <c r="T82" s="657">
        <v>100</v>
      </c>
      <c r="U82" s="657">
        <v>100</v>
      </c>
      <c r="V82" s="657">
        <v>100</v>
      </c>
      <c r="W82" s="657">
        <v>90</v>
      </c>
      <c r="X82" s="657">
        <v>100</v>
      </c>
      <c r="Y82" s="657">
        <v>100</v>
      </c>
      <c r="Z82" s="657">
        <v>100</v>
      </c>
      <c r="AA82" s="657">
        <v>100</v>
      </c>
      <c r="AB82" s="657">
        <v>80</v>
      </c>
      <c r="AC82" s="98"/>
      <c r="AD82" s="98"/>
      <c r="AE82" s="98"/>
      <c r="AF82" s="98"/>
      <c r="AG82" s="98"/>
      <c r="AH82" s="98"/>
    </row>
    <row r="83" spans="1:34" ht="27" customHeight="1">
      <c r="A83" s="30"/>
      <c r="B83" s="801"/>
      <c r="C83" s="502" t="s">
        <v>1507</v>
      </c>
      <c r="D83" s="503" t="s">
        <v>1508</v>
      </c>
      <c r="E83" s="657">
        <v>95</v>
      </c>
      <c r="F83" s="657"/>
      <c r="G83" s="657">
        <v>80</v>
      </c>
      <c r="H83" s="657">
        <v>95</v>
      </c>
      <c r="I83" s="657">
        <v>90</v>
      </c>
      <c r="J83" s="657">
        <v>95</v>
      </c>
      <c r="K83" s="657">
        <v>90</v>
      </c>
      <c r="L83" s="657">
        <v>95</v>
      </c>
      <c r="M83" s="657">
        <v>75</v>
      </c>
      <c r="N83" s="657">
        <v>95</v>
      </c>
      <c r="O83" s="657">
        <v>90</v>
      </c>
      <c r="P83" s="657">
        <v>95</v>
      </c>
      <c r="Q83" s="657">
        <v>85</v>
      </c>
      <c r="R83" s="657"/>
      <c r="S83" s="657">
        <v>70</v>
      </c>
      <c r="T83" s="657">
        <v>100</v>
      </c>
      <c r="U83" s="657">
        <v>100</v>
      </c>
      <c r="V83" s="657">
        <v>90</v>
      </c>
      <c r="W83" s="657">
        <v>100</v>
      </c>
      <c r="X83" s="657">
        <v>100</v>
      </c>
      <c r="Y83" s="657">
        <v>100</v>
      </c>
      <c r="Z83" s="657">
        <v>65</v>
      </c>
      <c r="AA83" s="657">
        <v>100</v>
      </c>
      <c r="AB83" s="657">
        <v>75</v>
      </c>
      <c r="AC83" s="98"/>
      <c r="AD83" s="98"/>
      <c r="AE83" s="98"/>
      <c r="AF83" s="98"/>
      <c r="AG83" s="98"/>
      <c r="AH83" s="98"/>
    </row>
    <row r="84" spans="1:34" ht="27" customHeight="1">
      <c r="A84" s="30"/>
      <c r="B84" s="801"/>
      <c r="C84" s="502" t="s">
        <v>1509</v>
      </c>
      <c r="D84" s="503" t="s">
        <v>1510</v>
      </c>
      <c r="E84" s="657">
        <v>100</v>
      </c>
      <c r="F84" s="657">
        <v>100</v>
      </c>
      <c r="G84" s="657">
        <v>100</v>
      </c>
      <c r="H84" s="657">
        <v>95</v>
      </c>
      <c r="I84" s="657">
        <v>100</v>
      </c>
      <c r="J84" s="657">
        <v>100</v>
      </c>
      <c r="K84" s="657">
        <v>100</v>
      </c>
      <c r="L84" s="657">
        <v>90</v>
      </c>
      <c r="M84" s="657">
        <v>90</v>
      </c>
      <c r="N84" s="657">
        <v>100</v>
      </c>
      <c r="O84" s="657">
        <v>95</v>
      </c>
      <c r="P84" s="657">
        <v>100</v>
      </c>
      <c r="Q84" s="657">
        <v>100</v>
      </c>
      <c r="R84" s="657"/>
      <c r="S84" s="657">
        <v>100</v>
      </c>
      <c r="T84" s="657">
        <v>100</v>
      </c>
      <c r="U84" s="657">
        <v>100</v>
      </c>
      <c r="V84" s="657">
        <v>100</v>
      </c>
      <c r="W84" s="657">
        <v>90</v>
      </c>
      <c r="X84" s="657">
        <v>100</v>
      </c>
      <c r="Y84" s="657">
        <v>100</v>
      </c>
      <c r="Z84" s="657">
        <v>90</v>
      </c>
      <c r="AA84" s="657">
        <v>100</v>
      </c>
      <c r="AB84" s="657">
        <v>90</v>
      </c>
      <c r="AC84" s="98"/>
      <c r="AD84" s="98"/>
      <c r="AE84" s="98"/>
      <c r="AF84" s="98"/>
      <c r="AG84" s="98"/>
      <c r="AH84" s="98"/>
    </row>
    <row r="85" spans="1:34" ht="27" customHeight="1">
      <c r="A85" s="30"/>
      <c r="B85" s="801"/>
      <c r="C85" s="502" t="s">
        <v>1511</v>
      </c>
      <c r="D85" s="503" t="s">
        <v>1512</v>
      </c>
      <c r="E85" s="657">
        <v>100</v>
      </c>
      <c r="F85" s="657">
        <v>100</v>
      </c>
      <c r="G85" s="657">
        <v>90</v>
      </c>
      <c r="H85" s="657">
        <v>100</v>
      </c>
      <c r="I85" s="657">
        <v>100</v>
      </c>
      <c r="J85" s="657">
        <v>100</v>
      </c>
      <c r="K85" s="657">
        <v>100</v>
      </c>
      <c r="L85" s="657">
        <v>100</v>
      </c>
      <c r="M85" s="657">
        <v>100</v>
      </c>
      <c r="N85" s="657">
        <v>100</v>
      </c>
      <c r="O85" s="657">
        <v>100</v>
      </c>
      <c r="P85" s="657">
        <v>100</v>
      </c>
      <c r="Q85" s="657">
        <v>100</v>
      </c>
      <c r="R85" s="657">
        <v>100</v>
      </c>
      <c r="S85" s="657">
        <v>100</v>
      </c>
      <c r="T85" s="657">
        <v>100</v>
      </c>
      <c r="U85" s="657">
        <v>100</v>
      </c>
      <c r="V85" s="657">
        <v>100</v>
      </c>
      <c r="W85" s="657">
        <v>90</v>
      </c>
      <c r="X85" s="657">
        <v>100</v>
      </c>
      <c r="Y85" s="657">
        <v>100</v>
      </c>
      <c r="Z85" s="657">
        <v>90</v>
      </c>
      <c r="AA85" s="657">
        <v>100</v>
      </c>
      <c r="AB85" s="657">
        <v>90</v>
      </c>
      <c r="AC85" s="98"/>
      <c r="AD85" s="98"/>
      <c r="AE85" s="98"/>
      <c r="AF85" s="98"/>
      <c r="AG85" s="98"/>
      <c r="AH85" s="98"/>
    </row>
    <row r="86" spans="1:34" ht="27" customHeight="1">
      <c r="A86" s="30"/>
      <c r="B86" s="802"/>
      <c r="C86" s="74"/>
      <c r="D86" s="72"/>
      <c r="E86" s="98"/>
      <c r="F86" s="98"/>
      <c r="G86" s="98"/>
      <c r="H86" s="98"/>
      <c r="I86" s="98"/>
      <c r="J86" s="98"/>
      <c r="K86" s="98"/>
      <c r="L86" s="98"/>
      <c r="M86" s="98"/>
      <c r="N86" s="98"/>
      <c r="O86" s="98"/>
      <c r="P86" s="98"/>
      <c r="Q86" s="98"/>
      <c r="R86" s="98"/>
      <c r="S86" s="98"/>
      <c r="T86" s="98"/>
      <c r="U86" s="98"/>
      <c r="V86" s="98"/>
      <c r="W86" s="98"/>
      <c r="X86" s="98"/>
      <c r="Y86" s="98"/>
      <c r="Z86" s="98"/>
      <c r="AA86" s="98"/>
      <c r="AB86" s="98"/>
      <c r="AC86" s="98"/>
      <c r="AD86" s="98"/>
      <c r="AE86" s="98"/>
      <c r="AF86" s="98"/>
      <c r="AG86" s="98"/>
      <c r="AH86" s="98"/>
    </row>
    <row r="87" spans="1:34" ht="27" customHeight="1" thickBot="1">
      <c r="A87" s="30"/>
      <c r="B87" s="800">
        <v>5</v>
      </c>
      <c r="C87" s="795" t="s">
        <v>1832</v>
      </c>
      <c r="D87" s="796"/>
      <c r="E87" s="97">
        <f>IFERROR(AVERAGE(E88:E98),"")</f>
        <v>93</v>
      </c>
      <c r="F87" s="97">
        <f t="shared" ref="F87:AB87" si="8">IFERROR(AVERAGE(F88:F98),"")</f>
        <v>84</v>
      </c>
      <c r="G87" s="97">
        <f t="shared" si="8"/>
        <v>84.9</v>
      </c>
      <c r="H87" s="97">
        <f t="shared" si="8"/>
        <v>90.5</v>
      </c>
      <c r="I87" s="97">
        <f t="shared" si="8"/>
        <v>94.5</v>
      </c>
      <c r="J87" s="97">
        <f t="shared" si="8"/>
        <v>98</v>
      </c>
      <c r="K87" s="97">
        <f t="shared" si="8"/>
        <v>98</v>
      </c>
      <c r="L87" s="97">
        <f t="shared" si="8"/>
        <v>99.5</v>
      </c>
      <c r="M87" s="97">
        <f t="shared" si="8"/>
        <v>95.5</v>
      </c>
      <c r="N87" s="97">
        <f t="shared" si="8"/>
        <v>97</v>
      </c>
      <c r="O87" s="97">
        <f t="shared" si="8"/>
        <v>97.5</v>
      </c>
      <c r="P87" s="97">
        <f t="shared" si="8"/>
        <v>97</v>
      </c>
      <c r="Q87" s="97">
        <f t="shared" si="8"/>
        <v>95</v>
      </c>
      <c r="R87" s="97">
        <f t="shared" si="8"/>
        <v>92.5</v>
      </c>
      <c r="S87" s="97">
        <f t="shared" si="8"/>
        <v>88.5</v>
      </c>
      <c r="T87" s="97">
        <f t="shared" si="8"/>
        <v>96.5</v>
      </c>
      <c r="U87" s="97">
        <f t="shared" si="8"/>
        <v>98</v>
      </c>
      <c r="V87" s="97">
        <f t="shared" si="8"/>
        <v>93.5</v>
      </c>
      <c r="W87" s="97">
        <f t="shared" si="8"/>
        <v>90.9</v>
      </c>
      <c r="X87" s="97">
        <f t="shared" si="8"/>
        <v>93.5</v>
      </c>
      <c r="Y87" s="97">
        <f t="shared" si="8"/>
        <v>97.5</v>
      </c>
      <c r="Z87" s="97">
        <f t="shared" si="8"/>
        <v>92.5</v>
      </c>
      <c r="AA87" s="97">
        <f t="shared" si="8"/>
        <v>96</v>
      </c>
      <c r="AB87" s="97">
        <f t="shared" si="8"/>
        <v>97</v>
      </c>
      <c r="AC87" s="97" t="str">
        <f t="shared" ref="AC87:AH87" si="9">IFERROR(AVERAGE(AC88:AC98),"")</f>
        <v/>
      </c>
      <c r="AD87" s="97" t="str">
        <f t="shared" si="9"/>
        <v/>
      </c>
      <c r="AE87" s="97" t="str">
        <f t="shared" si="9"/>
        <v/>
      </c>
      <c r="AF87" s="97" t="str">
        <f t="shared" si="9"/>
        <v/>
      </c>
      <c r="AG87" s="97" t="str">
        <f t="shared" si="9"/>
        <v/>
      </c>
      <c r="AH87" s="97" t="str">
        <f t="shared" si="9"/>
        <v/>
      </c>
    </row>
    <row r="88" spans="1:34" ht="37.5" customHeight="1" thickTop="1">
      <c r="A88" s="30"/>
      <c r="B88" s="801"/>
      <c r="C88" s="479" t="s">
        <v>1387</v>
      </c>
      <c r="D88" s="480" t="s">
        <v>1388</v>
      </c>
      <c r="E88" s="631">
        <v>80</v>
      </c>
      <c r="F88" s="631">
        <v>100</v>
      </c>
      <c r="G88" s="631">
        <v>89</v>
      </c>
      <c r="H88" s="631">
        <v>100</v>
      </c>
      <c r="I88" s="631">
        <v>100</v>
      </c>
      <c r="J88" s="631">
        <v>90</v>
      </c>
      <c r="K88" s="631">
        <v>100</v>
      </c>
      <c r="L88" s="631">
        <v>100</v>
      </c>
      <c r="M88" s="631">
        <v>90</v>
      </c>
      <c r="N88" s="631">
        <v>100</v>
      </c>
      <c r="O88" s="631">
        <v>100</v>
      </c>
      <c r="P88" s="631">
        <v>100</v>
      </c>
      <c r="Q88" s="631">
        <v>100</v>
      </c>
      <c r="R88" s="631">
        <v>85</v>
      </c>
      <c r="S88" s="631">
        <v>90</v>
      </c>
      <c r="T88" s="631">
        <v>95</v>
      </c>
      <c r="U88" s="631">
        <v>100</v>
      </c>
      <c r="V88" s="631">
        <v>100</v>
      </c>
      <c r="W88" s="631">
        <v>94</v>
      </c>
      <c r="X88" s="631">
        <v>90</v>
      </c>
      <c r="Y88" s="631">
        <v>100</v>
      </c>
      <c r="Z88" s="631">
        <v>90</v>
      </c>
      <c r="AA88" s="631">
        <v>100</v>
      </c>
      <c r="AB88" s="631">
        <v>100</v>
      </c>
      <c r="AC88" s="98"/>
      <c r="AD88" s="98"/>
      <c r="AE88" s="98"/>
      <c r="AF88" s="98"/>
      <c r="AG88" s="98"/>
      <c r="AH88" s="98"/>
    </row>
    <row r="89" spans="1:34" ht="39" customHeight="1">
      <c r="A89" s="30"/>
      <c r="B89" s="801"/>
      <c r="C89" s="481" t="s">
        <v>1389</v>
      </c>
      <c r="D89" s="482" t="s">
        <v>1390</v>
      </c>
      <c r="E89" s="631">
        <v>100</v>
      </c>
      <c r="F89" s="631">
        <v>100</v>
      </c>
      <c r="G89" s="631">
        <v>100</v>
      </c>
      <c r="H89" s="631">
        <v>100</v>
      </c>
      <c r="I89" s="631">
        <v>100</v>
      </c>
      <c r="J89" s="631">
        <v>100</v>
      </c>
      <c r="K89" s="631">
        <v>100</v>
      </c>
      <c r="L89" s="631">
        <v>100</v>
      </c>
      <c r="M89" s="631">
        <v>100</v>
      </c>
      <c r="N89" s="631">
        <v>100</v>
      </c>
      <c r="O89" s="631">
        <v>100</v>
      </c>
      <c r="P89" s="631">
        <v>100</v>
      </c>
      <c r="Q89" s="631">
        <v>100</v>
      </c>
      <c r="R89" s="631">
        <v>95</v>
      </c>
      <c r="S89" s="631">
        <v>95</v>
      </c>
      <c r="T89" s="631">
        <v>100</v>
      </c>
      <c r="U89" s="631">
        <v>100</v>
      </c>
      <c r="V89" s="631">
        <v>70</v>
      </c>
      <c r="W89" s="631">
        <v>90</v>
      </c>
      <c r="X89" s="631">
        <v>90</v>
      </c>
      <c r="Y89" s="631">
        <v>100</v>
      </c>
      <c r="Z89" s="631">
        <v>100</v>
      </c>
      <c r="AA89" s="631">
        <v>100</v>
      </c>
      <c r="AB89" s="631">
        <v>100</v>
      </c>
      <c r="AC89" s="98"/>
      <c r="AD89" s="98"/>
      <c r="AE89" s="98"/>
      <c r="AF89" s="98"/>
      <c r="AG89" s="98"/>
      <c r="AH89" s="98"/>
    </row>
    <row r="90" spans="1:34" s="477" customFormat="1" ht="34.5" customHeight="1">
      <c r="A90" s="30"/>
      <c r="B90" s="801"/>
      <c r="C90" s="481" t="s">
        <v>1391</v>
      </c>
      <c r="D90" s="482" t="s">
        <v>1392</v>
      </c>
      <c r="E90" s="660">
        <v>100</v>
      </c>
      <c r="F90" s="660">
        <v>95</v>
      </c>
      <c r="G90" s="660">
        <v>100</v>
      </c>
      <c r="H90" s="660">
        <v>90</v>
      </c>
      <c r="I90" s="660">
        <v>100</v>
      </c>
      <c r="J90" s="660">
        <v>100</v>
      </c>
      <c r="K90" s="660">
        <v>100</v>
      </c>
      <c r="L90" s="660">
        <v>100</v>
      </c>
      <c r="M90" s="660">
        <v>100</v>
      </c>
      <c r="N90" s="660">
        <v>100</v>
      </c>
      <c r="O90" s="660">
        <v>100</v>
      </c>
      <c r="P90" s="660">
        <v>100</v>
      </c>
      <c r="Q90" s="660">
        <v>100</v>
      </c>
      <c r="R90" s="660">
        <v>100</v>
      </c>
      <c r="S90" s="660">
        <v>100</v>
      </c>
      <c r="T90" s="660">
        <v>100</v>
      </c>
      <c r="U90" s="660">
        <v>100</v>
      </c>
      <c r="V90" s="660">
        <v>100</v>
      </c>
      <c r="W90" s="660">
        <v>100</v>
      </c>
      <c r="X90" s="660">
        <v>100</v>
      </c>
      <c r="Y90" s="660">
        <v>100</v>
      </c>
      <c r="Z90" s="660">
        <v>100</v>
      </c>
      <c r="AA90" s="660">
        <v>100</v>
      </c>
      <c r="AB90" s="660">
        <v>100</v>
      </c>
      <c r="AC90" s="98"/>
      <c r="AD90" s="98"/>
      <c r="AE90" s="98"/>
      <c r="AF90" s="98"/>
      <c r="AG90" s="98"/>
      <c r="AH90" s="98"/>
    </row>
    <row r="91" spans="1:34" s="477" customFormat="1" ht="44.25" customHeight="1">
      <c r="A91" s="30"/>
      <c r="B91" s="801"/>
      <c r="C91" s="481" t="s">
        <v>1393</v>
      </c>
      <c r="D91" s="482" t="s">
        <v>1394</v>
      </c>
      <c r="E91" s="660">
        <v>100</v>
      </c>
      <c r="F91" s="660">
        <v>80</v>
      </c>
      <c r="G91" s="660">
        <v>90</v>
      </c>
      <c r="H91" s="660">
        <v>100</v>
      </c>
      <c r="I91" s="660">
        <v>100</v>
      </c>
      <c r="J91" s="660">
        <v>100</v>
      </c>
      <c r="K91" s="660">
        <v>100</v>
      </c>
      <c r="L91" s="660">
        <v>100</v>
      </c>
      <c r="M91" s="660">
        <v>90</v>
      </c>
      <c r="N91" s="660">
        <v>100</v>
      </c>
      <c r="O91" s="660">
        <v>100</v>
      </c>
      <c r="P91" s="660">
        <v>100</v>
      </c>
      <c r="Q91" s="660">
        <v>90</v>
      </c>
      <c r="R91" s="660">
        <v>90</v>
      </c>
      <c r="S91" s="660">
        <v>80</v>
      </c>
      <c r="T91" s="660">
        <v>90</v>
      </c>
      <c r="U91" s="660">
        <v>100</v>
      </c>
      <c r="V91" s="660">
        <v>100</v>
      </c>
      <c r="W91" s="660">
        <v>90</v>
      </c>
      <c r="X91" s="660">
        <v>90</v>
      </c>
      <c r="Y91" s="660">
        <v>95</v>
      </c>
      <c r="Z91" s="660">
        <v>90</v>
      </c>
      <c r="AA91" s="660">
        <v>100</v>
      </c>
      <c r="AB91" s="660">
        <v>95</v>
      </c>
      <c r="AC91" s="98"/>
      <c r="AD91" s="98"/>
      <c r="AE91" s="98"/>
      <c r="AF91" s="98"/>
      <c r="AG91" s="98"/>
      <c r="AH91" s="98"/>
    </row>
    <row r="92" spans="1:34" s="477" customFormat="1" ht="33" customHeight="1">
      <c r="A92" s="30"/>
      <c r="B92" s="801"/>
      <c r="C92" s="481" t="s">
        <v>1395</v>
      </c>
      <c r="D92" s="482" t="s">
        <v>1396</v>
      </c>
      <c r="E92" s="660">
        <v>85</v>
      </c>
      <c r="F92" s="660">
        <v>80</v>
      </c>
      <c r="G92" s="660">
        <v>70</v>
      </c>
      <c r="H92" s="660">
        <v>100</v>
      </c>
      <c r="I92" s="660">
        <v>100</v>
      </c>
      <c r="J92" s="660">
        <v>95</v>
      </c>
      <c r="K92" s="660">
        <v>95</v>
      </c>
      <c r="L92" s="660">
        <v>100</v>
      </c>
      <c r="M92" s="660">
        <v>95</v>
      </c>
      <c r="N92" s="660">
        <v>100</v>
      </c>
      <c r="O92" s="660">
        <v>100</v>
      </c>
      <c r="P92" s="660">
        <v>100</v>
      </c>
      <c r="Q92" s="660">
        <v>95</v>
      </c>
      <c r="R92" s="660">
        <v>85</v>
      </c>
      <c r="S92" s="660">
        <v>65</v>
      </c>
      <c r="T92" s="660">
        <v>95</v>
      </c>
      <c r="U92" s="660">
        <v>100</v>
      </c>
      <c r="V92" s="660">
        <v>95</v>
      </c>
      <c r="W92" s="660">
        <v>85</v>
      </c>
      <c r="X92" s="660">
        <v>95</v>
      </c>
      <c r="Y92" s="660">
        <v>100</v>
      </c>
      <c r="Z92" s="660">
        <v>85</v>
      </c>
      <c r="AA92" s="660">
        <v>100</v>
      </c>
      <c r="AB92" s="660">
        <v>90</v>
      </c>
      <c r="AC92" s="98"/>
      <c r="AD92" s="98"/>
      <c r="AE92" s="98"/>
      <c r="AF92" s="98"/>
      <c r="AG92" s="98"/>
      <c r="AH92" s="98"/>
    </row>
    <row r="93" spans="1:34" s="477" customFormat="1" ht="36" customHeight="1">
      <c r="A93" s="30"/>
      <c r="B93" s="801"/>
      <c r="C93" s="481" t="s">
        <v>1397</v>
      </c>
      <c r="D93" s="482" t="s">
        <v>1398</v>
      </c>
      <c r="E93" s="660">
        <v>95</v>
      </c>
      <c r="F93" s="660">
        <v>90</v>
      </c>
      <c r="G93" s="660">
        <v>90</v>
      </c>
      <c r="H93" s="660">
        <v>90</v>
      </c>
      <c r="I93" s="660">
        <v>95</v>
      </c>
      <c r="J93" s="660">
        <v>100</v>
      </c>
      <c r="K93" s="660">
        <v>95</v>
      </c>
      <c r="L93" s="660">
        <v>100</v>
      </c>
      <c r="M93" s="660">
        <v>100</v>
      </c>
      <c r="N93" s="660">
        <v>90</v>
      </c>
      <c r="O93" s="660">
        <v>95</v>
      </c>
      <c r="P93" s="660">
        <v>80</v>
      </c>
      <c r="Q93" s="660">
        <v>95</v>
      </c>
      <c r="R93" s="660">
        <v>100</v>
      </c>
      <c r="S93" s="660">
        <v>90</v>
      </c>
      <c r="T93" s="660">
        <v>90</v>
      </c>
      <c r="U93" s="660">
        <v>95</v>
      </c>
      <c r="V93" s="660">
        <v>100</v>
      </c>
      <c r="W93" s="660">
        <v>60</v>
      </c>
      <c r="X93" s="660">
        <v>80</v>
      </c>
      <c r="Y93" s="660">
        <v>100</v>
      </c>
      <c r="Z93" s="660">
        <v>80</v>
      </c>
      <c r="AA93" s="660">
        <v>90</v>
      </c>
      <c r="AB93" s="660">
        <v>85</v>
      </c>
      <c r="AC93" s="98"/>
      <c r="AD93" s="98"/>
      <c r="AE93" s="98"/>
      <c r="AF93" s="98"/>
      <c r="AG93" s="98"/>
      <c r="AH93" s="98"/>
    </row>
    <row r="94" spans="1:34" ht="36.75" customHeight="1">
      <c r="A94" s="30"/>
      <c r="B94" s="801"/>
      <c r="C94" s="483" t="s">
        <v>1399</v>
      </c>
      <c r="D94" s="484" t="s">
        <v>1400</v>
      </c>
      <c r="E94" s="666">
        <v>90</v>
      </c>
      <c r="F94" s="666">
        <v>75</v>
      </c>
      <c r="G94" s="666">
        <v>70</v>
      </c>
      <c r="H94" s="666">
        <v>90</v>
      </c>
      <c r="I94" s="666">
        <v>90</v>
      </c>
      <c r="J94" s="666">
        <v>100</v>
      </c>
      <c r="K94" s="666">
        <v>90</v>
      </c>
      <c r="L94" s="666">
        <v>100</v>
      </c>
      <c r="M94" s="666">
        <v>90</v>
      </c>
      <c r="N94" s="666">
        <v>100</v>
      </c>
      <c r="O94" s="666">
        <v>100</v>
      </c>
      <c r="P94" s="666">
        <v>90</v>
      </c>
      <c r="Q94" s="666">
        <v>90</v>
      </c>
      <c r="R94" s="666">
        <v>90</v>
      </c>
      <c r="S94" s="666">
        <v>80</v>
      </c>
      <c r="T94" s="666">
        <v>100</v>
      </c>
      <c r="U94" s="666">
        <v>100</v>
      </c>
      <c r="V94" s="666">
        <v>90</v>
      </c>
      <c r="W94" s="666">
        <v>100</v>
      </c>
      <c r="X94" s="666">
        <v>90</v>
      </c>
      <c r="Y94" s="666">
        <v>90</v>
      </c>
      <c r="Z94" s="666">
        <v>100</v>
      </c>
      <c r="AA94" s="666">
        <v>90</v>
      </c>
      <c r="AB94" s="666">
        <v>100</v>
      </c>
      <c r="AC94" s="98"/>
      <c r="AD94" s="98"/>
      <c r="AE94" s="98"/>
      <c r="AF94" s="98"/>
      <c r="AG94" s="98"/>
      <c r="AH94" s="98"/>
    </row>
    <row r="95" spans="1:34" ht="39" customHeight="1">
      <c r="A95" s="30"/>
      <c r="B95" s="801"/>
      <c r="C95" s="483" t="s">
        <v>1401</v>
      </c>
      <c r="D95" s="484" t="s">
        <v>1402</v>
      </c>
      <c r="E95" s="666">
        <v>100</v>
      </c>
      <c r="F95" s="666">
        <v>90</v>
      </c>
      <c r="G95" s="666">
        <v>80</v>
      </c>
      <c r="H95" s="666">
        <v>70</v>
      </c>
      <c r="I95" s="666">
        <v>80</v>
      </c>
      <c r="J95" s="666">
        <v>100</v>
      </c>
      <c r="K95" s="666">
        <v>100</v>
      </c>
      <c r="L95" s="666">
        <v>100</v>
      </c>
      <c r="M95" s="666">
        <v>90</v>
      </c>
      <c r="N95" s="666">
        <v>90</v>
      </c>
      <c r="O95" s="666">
        <v>90</v>
      </c>
      <c r="P95" s="666">
        <v>100</v>
      </c>
      <c r="Q95" s="666">
        <v>90</v>
      </c>
      <c r="R95" s="666">
        <v>100</v>
      </c>
      <c r="S95" s="666">
        <v>85</v>
      </c>
      <c r="T95" s="666">
        <v>95</v>
      </c>
      <c r="U95" s="666">
        <v>90</v>
      </c>
      <c r="V95" s="666">
        <v>90</v>
      </c>
      <c r="W95" s="666">
        <v>90</v>
      </c>
      <c r="X95" s="666">
        <v>100</v>
      </c>
      <c r="Y95" s="666">
        <v>90</v>
      </c>
      <c r="Z95" s="666">
        <v>100</v>
      </c>
      <c r="AA95" s="666">
        <v>100</v>
      </c>
      <c r="AB95" s="666">
        <v>100</v>
      </c>
      <c r="AC95" s="98"/>
      <c r="AD95" s="98"/>
      <c r="AE95" s="98"/>
      <c r="AF95" s="98"/>
      <c r="AG95" s="98"/>
      <c r="AH95" s="98"/>
    </row>
    <row r="96" spans="1:34" ht="37.5" customHeight="1">
      <c r="A96" s="30"/>
      <c r="B96" s="801"/>
      <c r="C96" s="483" t="s">
        <v>1403</v>
      </c>
      <c r="D96" s="484" t="s">
        <v>1404</v>
      </c>
      <c r="E96" s="666">
        <v>100</v>
      </c>
      <c r="F96" s="666">
        <v>40</v>
      </c>
      <c r="G96" s="666">
        <v>90</v>
      </c>
      <c r="H96" s="666">
        <v>90</v>
      </c>
      <c r="I96" s="666">
        <v>90</v>
      </c>
      <c r="J96" s="666">
        <v>100</v>
      </c>
      <c r="K96" s="666">
        <v>100</v>
      </c>
      <c r="L96" s="666">
        <v>100</v>
      </c>
      <c r="M96" s="666">
        <v>100</v>
      </c>
      <c r="N96" s="666">
        <v>100</v>
      </c>
      <c r="O96" s="666">
        <v>90</v>
      </c>
      <c r="P96" s="666">
        <v>100</v>
      </c>
      <c r="Q96" s="666">
        <v>90</v>
      </c>
      <c r="R96" s="666">
        <v>80</v>
      </c>
      <c r="S96" s="666">
        <v>100</v>
      </c>
      <c r="T96" s="666">
        <v>100</v>
      </c>
      <c r="U96" s="666">
        <v>100</v>
      </c>
      <c r="V96" s="666">
        <v>90</v>
      </c>
      <c r="W96" s="666">
        <v>100</v>
      </c>
      <c r="X96" s="666">
        <v>100</v>
      </c>
      <c r="Y96" s="666">
        <v>100</v>
      </c>
      <c r="Z96" s="666">
        <v>90</v>
      </c>
      <c r="AA96" s="666">
        <v>90</v>
      </c>
      <c r="AB96" s="666">
        <v>100</v>
      </c>
      <c r="AC96" s="98"/>
      <c r="AD96" s="98"/>
      <c r="AE96" s="98"/>
      <c r="AF96" s="98"/>
      <c r="AG96" s="98"/>
      <c r="AH96" s="98"/>
    </row>
    <row r="97" spans="1:34" ht="40.5" customHeight="1">
      <c r="A97" s="30"/>
      <c r="B97" s="801"/>
      <c r="C97" s="483" t="s">
        <v>1405</v>
      </c>
      <c r="D97" s="484" t="s">
        <v>1406</v>
      </c>
      <c r="E97" s="666">
        <v>80</v>
      </c>
      <c r="F97" s="666">
        <v>90</v>
      </c>
      <c r="G97" s="666">
        <v>70</v>
      </c>
      <c r="H97" s="666">
        <v>75</v>
      </c>
      <c r="I97" s="666">
        <v>90</v>
      </c>
      <c r="J97" s="666">
        <v>95</v>
      </c>
      <c r="K97" s="666">
        <v>100</v>
      </c>
      <c r="L97" s="666">
        <v>95</v>
      </c>
      <c r="M97" s="666">
        <v>100</v>
      </c>
      <c r="N97" s="666">
        <v>90</v>
      </c>
      <c r="O97" s="666">
        <v>100</v>
      </c>
      <c r="P97" s="666">
        <v>100</v>
      </c>
      <c r="Q97" s="666">
        <v>100</v>
      </c>
      <c r="R97" s="666">
        <v>100</v>
      </c>
      <c r="S97" s="666">
        <v>100</v>
      </c>
      <c r="T97" s="666">
        <v>100</v>
      </c>
      <c r="U97" s="666">
        <v>95</v>
      </c>
      <c r="V97" s="666">
        <v>100</v>
      </c>
      <c r="W97" s="666">
        <v>100</v>
      </c>
      <c r="X97" s="666">
        <v>100</v>
      </c>
      <c r="Y97" s="666">
        <v>100</v>
      </c>
      <c r="Z97" s="666">
        <v>90</v>
      </c>
      <c r="AA97" s="666">
        <v>90</v>
      </c>
      <c r="AB97" s="666">
        <v>100</v>
      </c>
      <c r="AC97" s="98"/>
      <c r="AD97" s="98"/>
      <c r="AE97" s="98"/>
      <c r="AF97" s="98"/>
      <c r="AG97" s="98"/>
      <c r="AH97" s="98"/>
    </row>
    <row r="98" spans="1:34" ht="27" customHeight="1">
      <c r="A98" s="30"/>
      <c r="B98" s="802"/>
      <c r="C98" s="74"/>
      <c r="D98" s="72"/>
      <c r="E98" s="98"/>
      <c r="F98" s="98"/>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row>
    <row r="99" spans="1:34" ht="27" customHeight="1" thickBot="1">
      <c r="A99" s="30"/>
      <c r="B99" s="794">
        <v>6</v>
      </c>
      <c r="C99" s="811" t="s">
        <v>1833</v>
      </c>
      <c r="D99" s="812"/>
      <c r="E99" s="97">
        <f>IFERROR(AVERAGE(E100:E112),"")</f>
        <v>93.75</v>
      </c>
      <c r="F99" s="97">
        <f t="shared" ref="F99:AB99" si="10">IFERROR(AVERAGE(F100:F112),"")</f>
        <v>85</v>
      </c>
      <c r="G99" s="97">
        <f t="shared" si="10"/>
        <v>93.125</v>
      </c>
      <c r="H99" s="97">
        <f t="shared" si="10"/>
        <v>97.5</v>
      </c>
      <c r="I99" s="97">
        <f t="shared" si="10"/>
        <v>97.5</v>
      </c>
      <c r="J99" s="97">
        <f t="shared" si="10"/>
        <v>99.375</v>
      </c>
      <c r="K99" s="97">
        <f t="shared" si="10"/>
        <v>97.5</v>
      </c>
      <c r="L99" s="97">
        <f t="shared" si="10"/>
        <v>95.625</v>
      </c>
      <c r="M99" s="97">
        <f t="shared" si="10"/>
        <v>95.625</v>
      </c>
      <c r="N99" s="97">
        <f t="shared" si="10"/>
        <v>97.5</v>
      </c>
      <c r="O99" s="97">
        <f t="shared" si="10"/>
        <v>99.375</v>
      </c>
      <c r="P99" s="97">
        <f t="shared" si="10"/>
        <v>96.25</v>
      </c>
      <c r="Q99" s="97">
        <f t="shared" si="10"/>
        <v>97.5</v>
      </c>
      <c r="R99" s="97">
        <f t="shared" si="10"/>
        <v>94.375</v>
      </c>
      <c r="S99" s="97">
        <f t="shared" si="10"/>
        <v>86.25</v>
      </c>
      <c r="T99" s="97">
        <f t="shared" si="10"/>
        <v>95</v>
      </c>
      <c r="U99" s="97">
        <f t="shared" si="10"/>
        <v>98.75</v>
      </c>
      <c r="V99" s="97">
        <f t="shared" si="10"/>
        <v>93.75</v>
      </c>
      <c r="W99" s="97">
        <f t="shared" si="10"/>
        <v>91.25</v>
      </c>
      <c r="X99" s="97">
        <f t="shared" si="10"/>
        <v>91.25</v>
      </c>
      <c r="Y99" s="97">
        <f t="shared" si="10"/>
        <v>97.5</v>
      </c>
      <c r="Z99" s="97">
        <f t="shared" si="10"/>
        <v>94.375</v>
      </c>
      <c r="AA99" s="97">
        <f t="shared" si="10"/>
        <v>98.75</v>
      </c>
      <c r="AB99" s="97">
        <f t="shared" si="10"/>
        <v>91.875</v>
      </c>
      <c r="AC99" s="97" t="str">
        <f t="shared" ref="AC99:AH99" si="11">IFERROR(AVERAGE(AC100:AC112),"")</f>
        <v/>
      </c>
      <c r="AD99" s="97" t="str">
        <f t="shared" si="11"/>
        <v/>
      </c>
      <c r="AE99" s="97" t="str">
        <f t="shared" si="11"/>
        <v/>
      </c>
      <c r="AF99" s="97" t="str">
        <f t="shared" si="11"/>
        <v/>
      </c>
      <c r="AG99" s="97" t="str">
        <f t="shared" si="11"/>
        <v/>
      </c>
      <c r="AH99" s="97" t="str">
        <f t="shared" si="11"/>
        <v/>
      </c>
    </row>
    <row r="100" spans="1:34" ht="45" customHeight="1" thickTop="1">
      <c r="A100" s="30"/>
      <c r="B100" s="794"/>
      <c r="C100" s="485" t="s">
        <v>1407</v>
      </c>
      <c r="D100" s="486" t="s">
        <v>1408</v>
      </c>
      <c r="E100" s="644">
        <v>95</v>
      </c>
      <c r="F100" s="644">
        <v>80</v>
      </c>
      <c r="G100" s="644">
        <v>90</v>
      </c>
      <c r="H100" s="644">
        <v>90</v>
      </c>
      <c r="I100" s="644">
        <v>100</v>
      </c>
      <c r="J100" s="644">
        <v>100</v>
      </c>
      <c r="K100" s="644">
        <v>100</v>
      </c>
      <c r="L100" s="644">
        <v>100</v>
      </c>
      <c r="M100" s="644">
        <v>100</v>
      </c>
      <c r="N100" s="644">
        <v>90</v>
      </c>
      <c r="O100" s="644">
        <v>95</v>
      </c>
      <c r="P100" s="644">
        <v>90</v>
      </c>
      <c r="Q100" s="644">
        <v>90</v>
      </c>
      <c r="R100" s="644">
        <v>100</v>
      </c>
      <c r="S100" s="644">
        <v>100</v>
      </c>
      <c r="T100" s="644">
        <v>90</v>
      </c>
      <c r="U100" s="644">
        <v>100</v>
      </c>
      <c r="V100" s="644">
        <v>90</v>
      </c>
      <c r="W100" s="644">
        <v>90</v>
      </c>
      <c r="X100" s="644">
        <v>90</v>
      </c>
      <c r="Y100" s="644">
        <v>100</v>
      </c>
      <c r="Z100" s="644">
        <v>100</v>
      </c>
      <c r="AA100" s="644">
        <v>100</v>
      </c>
      <c r="AB100" s="644">
        <v>95</v>
      </c>
      <c r="AC100" s="98"/>
      <c r="AD100" s="98"/>
      <c r="AE100" s="98"/>
      <c r="AF100" s="98"/>
      <c r="AG100" s="98"/>
      <c r="AH100" s="98"/>
    </row>
    <row r="101" spans="1:34" s="477" customFormat="1" ht="36.75" customHeight="1">
      <c r="A101" s="30"/>
      <c r="B101" s="794"/>
      <c r="C101" s="487" t="s">
        <v>1409</v>
      </c>
      <c r="D101" s="488" t="s">
        <v>1410</v>
      </c>
      <c r="E101" s="644">
        <v>90</v>
      </c>
      <c r="F101" s="644">
        <v>90</v>
      </c>
      <c r="G101" s="644">
        <v>90</v>
      </c>
      <c r="H101" s="644">
        <v>100</v>
      </c>
      <c r="I101" s="644">
        <v>90</v>
      </c>
      <c r="J101" s="644">
        <v>95</v>
      </c>
      <c r="K101" s="644">
        <v>95</v>
      </c>
      <c r="L101" s="644">
        <v>100</v>
      </c>
      <c r="M101" s="644">
        <v>100</v>
      </c>
      <c r="N101" s="644">
        <v>100</v>
      </c>
      <c r="O101" s="644">
        <v>100</v>
      </c>
      <c r="P101" s="644">
        <v>95</v>
      </c>
      <c r="Q101" s="644">
        <v>100</v>
      </c>
      <c r="R101" s="644">
        <v>100</v>
      </c>
      <c r="S101" s="644">
        <v>70</v>
      </c>
      <c r="T101" s="644">
        <v>95</v>
      </c>
      <c r="U101" s="644">
        <v>100</v>
      </c>
      <c r="V101" s="644">
        <v>100</v>
      </c>
      <c r="W101" s="644">
        <v>90</v>
      </c>
      <c r="X101" s="644">
        <v>100</v>
      </c>
      <c r="Y101" s="644">
        <v>90</v>
      </c>
      <c r="Z101" s="644">
        <v>75</v>
      </c>
      <c r="AA101" s="644">
        <v>100</v>
      </c>
      <c r="AB101" s="644">
        <v>95</v>
      </c>
      <c r="AC101" s="98"/>
      <c r="AD101" s="98"/>
      <c r="AE101" s="98"/>
      <c r="AF101" s="98"/>
      <c r="AG101" s="98"/>
      <c r="AH101" s="98"/>
    </row>
    <row r="102" spans="1:34" s="477" customFormat="1" ht="39.75" customHeight="1">
      <c r="A102" s="30"/>
      <c r="B102" s="794"/>
      <c r="C102" s="487" t="s">
        <v>1411</v>
      </c>
      <c r="D102" s="488" t="s">
        <v>1412</v>
      </c>
      <c r="E102" s="644">
        <v>95</v>
      </c>
      <c r="F102" s="644"/>
      <c r="G102" s="644">
        <v>90</v>
      </c>
      <c r="H102" s="644">
        <v>100</v>
      </c>
      <c r="I102" s="644">
        <v>100</v>
      </c>
      <c r="J102" s="644">
        <v>100</v>
      </c>
      <c r="K102" s="644">
        <v>100</v>
      </c>
      <c r="L102" s="644">
        <v>85</v>
      </c>
      <c r="M102" s="644">
        <v>95</v>
      </c>
      <c r="N102" s="644">
        <v>100</v>
      </c>
      <c r="O102" s="644">
        <v>100</v>
      </c>
      <c r="P102" s="644">
        <v>95</v>
      </c>
      <c r="Q102" s="644">
        <v>100</v>
      </c>
      <c r="R102" s="644">
        <v>95</v>
      </c>
      <c r="S102" s="644">
        <v>95</v>
      </c>
      <c r="T102" s="644">
        <v>95</v>
      </c>
      <c r="U102" s="644">
        <v>100</v>
      </c>
      <c r="V102" s="644">
        <v>100</v>
      </c>
      <c r="W102" s="644">
        <v>90</v>
      </c>
      <c r="X102" s="644">
        <v>100</v>
      </c>
      <c r="Y102" s="644">
        <v>100</v>
      </c>
      <c r="Z102" s="644">
        <v>100</v>
      </c>
      <c r="AA102" s="644">
        <v>100</v>
      </c>
      <c r="AB102" s="644">
        <v>95</v>
      </c>
      <c r="AC102" s="98"/>
      <c r="AD102" s="98"/>
      <c r="AE102" s="98"/>
      <c r="AF102" s="98"/>
      <c r="AG102" s="98"/>
      <c r="AH102" s="98"/>
    </row>
    <row r="103" spans="1:34" s="477" customFormat="1" ht="36" customHeight="1">
      <c r="A103" s="30"/>
      <c r="B103" s="794"/>
      <c r="C103" s="489" t="s">
        <v>1411</v>
      </c>
      <c r="D103" s="490" t="s">
        <v>1413</v>
      </c>
      <c r="E103" s="644">
        <v>95</v>
      </c>
      <c r="F103" s="644"/>
      <c r="G103" s="644">
        <v>100</v>
      </c>
      <c r="H103" s="644">
        <v>100</v>
      </c>
      <c r="I103" s="644">
        <v>100</v>
      </c>
      <c r="J103" s="644">
        <v>100</v>
      </c>
      <c r="K103" s="644">
        <v>95</v>
      </c>
      <c r="L103" s="644">
        <v>100</v>
      </c>
      <c r="M103" s="644">
        <v>100</v>
      </c>
      <c r="N103" s="644">
        <v>100</v>
      </c>
      <c r="O103" s="644">
        <v>100</v>
      </c>
      <c r="P103" s="644">
        <v>90</v>
      </c>
      <c r="Q103" s="644">
        <v>100</v>
      </c>
      <c r="R103" s="644">
        <v>90</v>
      </c>
      <c r="S103" s="644">
        <v>70</v>
      </c>
      <c r="T103" s="644">
        <v>90</v>
      </c>
      <c r="U103" s="644">
        <v>100</v>
      </c>
      <c r="V103" s="644">
        <v>100</v>
      </c>
      <c r="W103" s="644">
        <v>90</v>
      </c>
      <c r="X103" s="644">
        <v>80</v>
      </c>
      <c r="Y103" s="644">
        <v>90</v>
      </c>
      <c r="Z103" s="644">
        <v>100</v>
      </c>
      <c r="AA103" s="644">
        <v>100</v>
      </c>
      <c r="AB103" s="644">
        <v>90</v>
      </c>
      <c r="AC103" s="98"/>
      <c r="AD103" s="98"/>
      <c r="AE103" s="98"/>
      <c r="AF103" s="98"/>
      <c r="AG103" s="98"/>
      <c r="AH103" s="98"/>
    </row>
    <row r="104" spans="1:34" s="477" customFormat="1" ht="27" customHeight="1">
      <c r="A104" s="30"/>
      <c r="B104" s="794"/>
      <c r="C104" s="491" t="s">
        <v>1414</v>
      </c>
      <c r="D104" s="490" t="s">
        <v>1415</v>
      </c>
      <c r="E104" s="643">
        <v>100</v>
      </c>
      <c r="F104" s="643"/>
      <c r="G104" s="643">
        <v>100</v>
      </c>
      <c r="H104" s="643">
        <v>100</v>
      </c>
      <c r="I104" s="643">
        <v>100</v>
      </c>
      <c r="J104" s="643">
        <v>100</v>
      </c>
      <c r="K104" s="643">
        <v>100</v>
      </c>
      <c r="L104" s="643">
        <v>90</v>
      </c>
      <c r="M104" s="643">
        <v>90</v>
      </c>
      <c r="N104" s="643">
        <v>100</v>
      </c>
      <c r="O104" s="643">
        <v>100</v>
      </c>
      <c r="P104" s="643">
        <v>100</v>
      </c>
      <c r="Q104" s="643">
        <v>100</v>
      </c>
      <c r="R104" s="643">
        <v>95</v>
      </c>
      <c r="S104" s="643">
        <v>85</v>
      </c>
      <c r="T104" s="643">
        <v>100</v>
      </c>
      <c r="U104" s="643">
        <v>100</v>
      </c>
      <c r="V104" s="643">
        <v>90</v>
      </c>
      <c r="W104" s="643">
        <v>100</v>
      </c>
      <c r="X104" s="643">
        <v>100</v>
      </c>
      <c r="Y104" s="643">
        <v>100</v>
      </c>
      <c r="Z104" s="643">
        <v>90</v>
      </c>
      <c r="AA104" s="643">
        <v>100</v>
      </c>
      <c r="AB104" s="643">
        <v>100</v>
      </c>
      <c r="AC104" s="98"/>
      <c r="AD104" s="98"/>
      <c r="AE104" s="98"/>
      <c r="AF104" s="98"/>
      <c r="AG104" s="98"/>
      <c r="AH104" s="98"/>
    </row>
    <row r="105" spans="1:34" ht="27" customHeight="1">
      <c r="A105" s="30"/>
      <c r="B105" s="794"/>
      <c r="C105" s="489" t="s">
        <v>1416</v>
      </c>
      <c r="D105" s="490" t="s">
        <v>1417</v>
      </c>
      <c r="E105" s="643">
        <v>80</v>
      </c>
      <c r="F105" s="643"/>
      <c r="G105" s="643">
        <v>80</v>
      </c>
      <c r="H105" s="643">
        <v>90</v>
      </c>
      <c r="I105" s="643">
        <v>100</v>
      </c>
      <c r="J105" s="643">
        <v>100</v>
      </c>
      <c r="K105" s="643">
        <v>90</v>
      </c>
      <c r="L105" s="643">
        <v>100</v>
      </c>
      <c r="M105" s="643">
        <v>90</v>
      </c>
      <c r="N105" s="643">
        <v>90</v>
      </c>
      <c r="O105" s="643">
        <v>100</v>
      </c>
      <c r="P105" s="643">
        <v>100</v>
      </c>
      <c r="Q105" s="643">
        <v>100</v>
      </c>
      <c r="R105" s="643">
        <v>90</v>
      </c>
      <c r="S105" s="643">
        <v>90</v>
      </c>
      <c r="T105" s="643">
        <v>90</v>
      </c>
      <c r="U105" s="643">
        <v>90</v>
      </c>
      <c r="V105" s="643">
        <v>80</v>
      </c>
      <c r="W105" s="643">
        <v>100</v>
      </c>
      <c r="X105" s="643">
        <v>80</v>
      </c>
      <c r="Y105" s="643">
        <v>100</v>
      </c>
      <c r="Z105" s="643">
        <v>100</v>
      </c>
      <c r="AA105" s="643">
        <v>90</v>
      </c>
      <c r="AB105" s="643">
        <v>80</v>
      </c>
      <c r="AC105" s="98"/>
      <c r="AD105" s="98"/>
      <c r="AE105" s="98"/>
      <c r="AF105" s="98"/>
      <c r="AG105" s="98"/>
      <c r="AH105" s="98"/>
    </row>
    <row r="106" spans="1:34" ht="27" customHeight="1">
      <c r="A106" s="30"/>
      <c r="B106" s="794"/>
      <c r="C106" s="489" t="s">
        <v>1418</v>
      </c>
      <c r="D106" s="490" t="s">
        <v>1419</v>
      </c>
      <c r="E106" s="640">
        <v>95</v>
      </c>
      <c r="F106" s="640"/>
      <c r="G106" s="640">
        <v>100</v>
      </c>
      <c r="H106" s="640">
        <v>100</v>
      </c>
      <c r="I106" s="640">
        <v>90</v>
      </c>
      <c r="J106" s="640">
        <v>100</v>
      </c>
      <c r="K106" s="640">
        <v>100</v>
      </c>
      <c r="L106" s="640">
        <v>100</v>
      </c>
      <c r="M106" s="640">
        <v>100</v>
      </c>
      <c r="N106" s="640">
        <v>100</v>
      </c>
      <c r="O106" s="640">
        <v>100</v>
      </c>
      <c r="P106" s="640">
        <v>100</v>
      </c>
      <c r="Q106" s="640">
        <v>100</v>
      </c>
      <c r="R106" s="640">
        <v>100</v>
      </c>
      <c r="S106" s="640">
        <v>100</v>
      </c>
      <c r="T106" s="640">
        <v>100</v>
      </c>
      <c r="U106" s="640">
        <v>100</v>
      </c>
      <c r="V106" s="640">
        <v>90</v>
      </c>
      <c r="W106" s="640">
        <v>100</v>
      </c>
      <c r="X106" s="640">
        <v>90</v>
      </c>
      <c r="Y106" s="640">
        <v>100</v>
      </c>
      <c r="Z106" s="640">
        <v>90</v>
      </c>
      <c r="AA106" s="640">
        <v>100</v>
      </c>
      <c r="AB106" s="640">
        <v>90</v>
      </c>
      <c r="AC106" s="98"/>
      <c r="AD106" s="98"/>
      <c r="AE106" s="98"/>
      <c r="AF106" s="98"/>
      <c r="AG106" s="98"/>
      <c r="AH106" s="98"/>
    </row>
    <row r="107" spans="1:34" s="476" customFormat="1" ht="27" customHeight="1">
      <c r="A107" s="30"/>
      <c r="B107" s="794"/>
      <c r="C107" s="489" t="s">
        <v>1420</v>
      </c>
      <c r="D107" s="490" t="s">
        <v>1421</v>
      </c>
      <c r="E107" s="640">
        <v>100</v>
      </c>
      <c r="F107" s="640"/>
      <c r="G107" s="640">
        <v>95</v>
      </c>
      <c r="H107" s="640">
        <v>100</v>
      </c>
      <c r="I107" s="640">
        <v>100</v>
      </c>
      <c r="J107" s="640">
        <v>100</v>
      </c>
      <c r="K107" s="640">
        <v>100</v>
      </c>
      <c r="L107" s="640">
        <v>90</v>
      </c>
      <c r="M107" s="640">
        <v>90</v>
      </c>
      <c r="N107" s="640">
        <v>100</v>
      </c>
      <c r="O107" s="640">
        <v>100</v>
      </c>
      <c r="P107" s="640">
        <v>100</v>
      </c>
      <c r="Q107" s="640">
        <v>90</v>
      </c>
      <c r="R107" s="640">
        <v>85</v>
      </c>
      <c r="S107" s="640">
        <v>80</v>
      </c>
      <c r="T107" s="640">
        <v>100</v>
      </c>
      <c r="U107" s="640">
        <v>100</v>
      </c>
      <c r="V107" s="640">
        <v>100</v>
      </c>
      <c r="W107" s="640">
        <v>70</v>
      </c>
      <c r="X107" s="640">
        <v>90</v>
      </c>
      <c r="Y107" s="640">
        <v>100</v>
      </c>
      <c r="Z107" s="640">
        <v>100</v>
      </c>
      <c r="AA107" s="640">
        <v>100</v>
      </c>
      <c r="AB107" s="640">
        <v>90</v>
      </c>
      <c r="AC107" s="98"/>
      <c r="AD107" s="98"/>
      <c r="AE107" s="98"/>
      <c r="AF107" s="98"/>
      <c r="AG107" s="98"/>
      <c r="AH107" s="98"/>
    </row>
    <row r="108" spans="1:34" s="476" customFormat="1" ht="27" customHeight="1">
      <c r="A108" s="30"/>
      <c r="B108" s="794"/>
      <c r="C108" s="411"/>
      <c r="D108" s="72"/>
      <c r="E108" s="98"/>
      <c r="F108" s="98"/>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row>
    <row r="109" spans="1:34" ht="27" hidden="1" customHeight="1">
      <c r="A109" s="30"/>
      <c r="B109" s="794"/>
      <c r="C109" s="74"/>
      <c r="D109" s="72"/>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row>
    <row r="110" spans="1:34" ht="27" hidden="1" customHeight="1">
      <c r="A110" s="30"/>
      <c r="B110" s="794"/>
      <c r="C110" s="74"/>
      <c r="D110" s="72"/>
      <c r="E110" s="98"/>
      <c r="F110" s="98"/>
      <c r="G110" s="98"/>
      <c r="H110" s="98"/>
      <c r="I110" s="98"/>
      <c r="J110" s="98"/>
      <c r="K110" s="98"/>
      <c r="L110" s="98"/>
      <c r="M110" s="98"/>
      <c r="N110" s="98"/>
      <c r="O110" s="98"/>
      <c r="P110" s="98"/>
      <c r="Q110" s="98"/>
      <c r="R110" s="98"/>
      <c r="S110" s="98"/>
      <c r="T110" s="98"/>
      <c r="U110" s="98"/>
      <c r="V110" s="98"/>
      <c r="W110" s="98"/>
      <c r="X110" s="98"/>
      <c r="Y110" s="98"/>
      <c r="Z110" s="98"/>
      <c r="AA110" s="98"/>
      <c r="AB110" s="98"/>
      <c r="AC110" s="98"/>
      <c r="AD110" s="98"/>
      <c r="AE110" s="98"/>
      <c r="AF110" s="98"/>
      <c r="AG110" s="98"/>
      <c r="AH110" s="98"/>
    </row>
    <row r="111" spans="1:34" ht="27" hidden="1" customHeight="1">
      <c r="A111" s="30"/>
      <c r="B111" s="794"/>
      <c r="C111" s="74"/>
      <c r="D111" s="72"/>
      <c r="E111" s="98"/>
      <c r="F111" s="98"/>
      <c r="G111" s="98"/>
      <c r="H111" s="98"/>
      <c r="I111" s="98"/>
      <c r="J111" s="98"/>
      <c r="K111" s="98"/>
      <c r="L111" s="98"/>
      <c r="M111" s="98"/>
      <c r="N111" s="98"/>
      <c r="O111" s="98"/>
      <c r="P111" s="98"/>
      <c r="Q111" s="98"/>
      <c r="R111" s="98"/>
      <c r="S111" s="98"/>
      <c r="T111" s="98"/>
      <c r="U111" s="98"/>
      <c r="V111" s="98"/>
      <c r="W111" s="98"/>
      <c r="X111" s="98"/>
      <c r="Y111" s="98"/>
      <c r="Z111" s="98"/>
      <c r="AA111" s="98"/>
      <c r="AB111" s="98"/>
      <c r="AC111" s="98"/>
      <c r="AD111" s="98"/>
      <c r="AE111" s="98"/>
      <c r="AF111" s="98"/>
      <c r="AG111" s="98"/>
      <c r="AH111" s="98"/>
    </row>
    <row r="112" spans="1:34" ht="27" hidden="1" customHeight="1">
      <c r="A112" s="30"/>
      <c r="B112" s="794"/>
      <c r="C112" s="74"/>
      <c r="D112" s="72"/>
      <c r="E112" s="98"/>
      <c r="F112" s="98"/>
      <c r="G112" s="98"/>
      <c r="H112" s="98"/>
      <c r="I112" s="98"/>
      <c r="J112" s="98"/>
      <c r="K112" s="98"/>
      <c r="L112" s="98"/>
      <c r="M112" s="98"/>
      <c r="N112" s="98"/>
      <c r="O112" s="98"/>
      <c r="P112" s="98"/>
      <c r="Q112" s="98"/>
      <c r="R112" s="98"/>
      <c r="S112" s="98"/>
      <c r="T112" s="98"/>
      <c r="U112" s="98"/>
      <c r="V112" s="98"/>
      <c r="W112" s="98"/>
      <c r="X112" s="98"/>
      <c r="Y112" s="98"/>
      <c r="Z112" s="98"/>
      <c r="AA112" s="98"/>
      <c r="AB112" s="98"/>
      <c r="AC112" s="98"/>
      <c r="AD112" s="98"/>
      <c r="AE112" s="98"/>
      <c r="AF112" s="98"/>
      <c r="AG112" s="98"/>
      <c r="AH112" s="98"/>
    </row>
    <row r="113" spans="1:34" ht="27" customHeight="1" thickBot="1">
      <c r="A113" s="30"/>
      <c r="B113" s="800">
        <v>7</v>
      </c>
      <c r="C113" s="795" t="s">
        <v>1834</v>
      </c>
      <c r="D113" s="796"/>
      <c r="E113" s="97">
        <f>IFERROR(AVERAGE(E114:E144),"")</f>
        <v>94.137931034482762</v>
      </c>
      <c r="F113" s="97">
        <f t="shared" ref="F113:AB113" si="12">IFERROR(AVERAGE(F114:F144),"")</f>
        <v>91.851851851851848</v>
      </c>
      <c r="G113" s="97">
        <f t="shared" si="12"/>
        <v>92</v>
      </c>
      <c r="H113" s="97">
        <f t="shared" si="12"/>
        <v>94.5</v>
      </c>
      <c r="I113" s="97">
        <f t="shared" si="12"/>
        <v>94.333333333333329</v>
      </c>
      <c r="J113" s="97">
        <f t="shared" si="12"/>
        <v>97.166666666666671</v>
      </c>
      <c r="K113" s="97">
        <f t="shared" si="12"/>
        <v>97.833333333333329</v>
      </c>
      <c r="L113" s="97">
        <f t="shared" si="12"/>
        <v>96.833333333333329</v>
      </c>
      <c r="M113" s="97">
        <f t="shared" si="12"/>
        <v>94</v>
      </c>
      <c r="N113" s="97">
        <f t="shared" si="12"/>
        <v>97</v>
      </c>
      <c r="O113" s="97">
        <f t="shared" si="12"/>
        <v>97.833333333333329</v>
      </c>
      <c r="P113" s="97">
        <f t="shared" si="12"/>
        <v>96.833333333333329</v>
      </c>
      <c r="Q113" s="97">
        <f t="shared" si="12"/>
        <v>95.166666666666671</v>
      </c>
      <c r="R113" s="97">
        <f t="shared" si="12"/>
        <v>94.137931034482762</v>
      </c>
      <c r="S113" s="97">
        <f t="shared" si="12"/>
        <v>91.071428571428569</v>
      </c>
      <c r="T113" s="97">
        <f t="shared" si="12"/>
        <v>94</v>
      </c>
      <c r="U113" s="97">
        <f t="shared" si="12"/>
        <v>98.666666666666671</v>
      </c>
      <c r="V113" s="97">
        <f t="shared" si="12"/>
        <v>94.482758620689651</v>
      </c>
      <c r="W113" s="97">
        <f t="shared" si="12"/>
        <v>93.541666666666671</v>
      </c>
      <c r="X113" s="97">
        <f t="shared" si="12"/>
        <v>90.333333333333329</v>
      </c>
      <c r="Y113" s="97">
        <f t="shared" si="12"/>
        <v>95.666666666666671</v>
      </c>
      <c r="Z113" s="97">
        <f t="shared" si="12"/>
        <v>94.642857142857139</v>
      </c>
      <c r="AA113" s="97">
        <f t="shared" si="12"/>
        <v>96.333333333333329</v>
      </c>
      <c r="AB113" s="97">
        <f t="shared" si="12"/>
        <v>92.333333333333329</v>
      </c>
      <c r="AC113" s="97" t="str">
        <f t="shared" ref="AC113:AH113" si="13">IFERROR(AVERAGE(AC114:AC144),"")</f>
        <v/>
      </c>
      <c r="AD113" s="97" t="str">
        <f t="shared" si="13"/>
        <v/>
      </c>
      <c r="AE113" s="97" t="str">
        <f t="shared" si="13"/>
        <v/>
      </c>
      <c r="AF113" s="97" t="str">
        <f t="shared" si="13"/>
        <v/>
      </c>
      <c r="AG113" s="97" t="str">
        <f t="shared" si="13"/>
        <v/>
      </c>
      <c r="AH113" s="97" t="str">
        <f t="shared" si="13"/>
        <v/>
      </c>
    </row>
    <row r="114" spans="1:34" ht="41.25" customHeight="1" thickTop="1">
      <c r="A114" s="30"/>
      <c r="B114" s="801"/>
      <c r="C114" s="494" t="s">
        <v>1422</v>
      </c>
      <c r="D114" s="495" t="s">
        <v>1423</v>
      </c>
      <c r="E114" s="631">
        <v>100</v>
      </c>
      <c r="F114" s="631">
        <v>100</v>
      </c>
      <c r="G114" s="631">
        <v>90</v>
      </c>
      <c r="H114" s="631">
        <v>100</v>
      </c>
      <c r="I114" s="631">
        <v>95</v>
      </c>
      <c r="J114" s="631">
        <v>100</v>
      </c>
      <c r="K114" s="631">
        <v>100</v>
      </c>
      <c r="L114" s="631">
        <v>100</v>
      </c>
      <c r="M114" s="631">
        <v>100</v>
      </c>
      <c r="N114" s="631">
        <v>100</v>
      </c>
      <c r="O114" s="631">
        <v>100</v>
      </c>
      <c r="P114" s="631">
        <v>100</v>
      </c>
      <c r="Q114" s="631">
        <v>90</v>
      </c>
      <c r="R114" s="631">
        <v>90</v>
      </c>
      <c r="S114" s="631">
        <v>100</v>
      </c>
      <c r="T114" s="631">
        <v>100</v>
      </c>
      <c r="U114" s="631">
        <v>100</v>
      </c>
      <c r="V114" s="631">
        <v>90</v>
      </c>
      <c r="W114" s="631">
        <v>100</v>
      </c>
      <c r="X114" s="631">
        <v>100</v>
      </c>
      <c r="Y114" s="631">
        <v>90</v>
      </c>
      <c r="Z114" s="631">
        <v>95</v>
      </c>
      <c r="AA114" s="631">
        <v>100</v>
      </c>
      <c r="AB114" s="631">
        <v>85</v>
      </c>
      <c r="AC114" s="98"/>
      <c r="AD114" s="98"/>
      <c r="AE114" s="98"/>
      <c r="AF114" s="98"/>
      <c r="AG114" s="98"/>
      <c r="AH114" s="98"/>
    </row>
    <row r="115" spans="1:34" ht="36" customHeight="1">
      <c r="A115" s="30"/>
      <c r="B115" s="801"/>
      <c r="C115" s="496" t="s">
        <v>1424</v>
      </c>
      <c r="D115" s="497" t="s">
        <v>1425</v>
      </c>
      <c r="E115" s="631">
        <v>85</v>
      </c>
      <c r="F115" s="631">
        <v>95</v>
      </c>
      <c r="G115" s="631">
        <v>90</v>
      </c>
      <c r="H115" s="631">
        <v>100</v>
      </c>
      <c r="I115" s="631">
        <v>100</v>
      </c>
      <c r="J115" s="631">
        <v>100</v>
      </c>
      <c r="K115" s="631">
        <v>100</v>
      </c>
      <c r="L115" s="631">
        <v>100</v>
      </c>
      <c r="M115" s="631">
        <v>100</v>
      </c>
      <c r="N115" s="631">
        <v>100</v>
      </c>
      <c r="O115" s="631">
        <v>100</v>
      </c>
      <c r="P115" s="631">
        <v>100</v>
      </c>
      <c r="Q115" s="631">
        <v>100</v>
      </c>
      <c r="R115" s="631">
        <v>95</v>
      </c>
      <c r="S115" s="631">
        <v>100</v>
      </c>
      <c r="T115" s="631">
        <v>100</v>
      </c>
      <c r="U115" s="631">
        <v>100</v>
      </c>
      <c r="V115" s="631">
        <v>95</v>
      </c>
      <c r="W115" s="631">
        <v>90</v>
      </c>
      <c r="X115" s="631">
        <v>100</v>
      </c>
      <c r="Y115" s="631">
        <v>100</v>
      </c>
      <c r="Z115" s="631">
        <v>95</v>
      </c>
      <c r="AA115" s="631">
        <v>100</v>
      </c>
      <c r="AB115" s="631">
        <v>95</v>
      </c>
      <c r="AC115" s="98"/>
      <c r="AD115" s="98"/>
      <c r="AE115" s="98"/>
      <c r="AF115" s="98"/>
      <c r="AG115" s="98"/>
      <c r="AH115" s="98"/>
    </row>
    <row r="116" spans="1:34" ht="39" customHeight="1">
      <c r="A116" s="30"/>
      <c r="B116" s="801"/>
      <c r="C116" s="496" t="s">
        <v>1426</v>
      </c>
      <c r="D116" s="497" t="s">
        <v>1427</v>
      </c>
      <c r="E116" s="634">
        <v>100</v>
      </c>
      <c r="F116" s="634">
        <v>90</v>
      </c>
      <c r="G116" s="634">
        <v>85</v>
      </c>
      <c r="H116" s="634">
        <v>100</v>
      </c>
      <c r="I116" s="634">
        <v>95</v>
      </c>
      <c r="J116" s="634">
        <v>100</v>
      </c>
      <c r="K116" s="634">
        <v>100</v>
      </c>
      <c r="L116" s="634">
        <v>70</v>
      </c>
      <c r="M116" s="634">
        <v>70</v>
      </c>
      <c r="N116" s="634">
        <v>70</v>
      </c>
      <c r="O116" s="634">
        <v>100</v>
      </c>
      <c r="P116" s="634">
        <v>90</v>
      </c>
      <c r="Q116" s="634">
        <v>90</v>
      </c>
      <c r="R116" s="634">
        <v>70</v>
      </c>
      <c r="S116" s="634">
        <v>70</v>
      </c>
      <c r="T116" s="634">
        <v>70</v>
      </c>
      <c r="U116" s="634">
        <v>100</v>
      </c>
      <c r="V116" s="634">
        <v>95</v>
      </c>
      <c r="W116" s="634">
        <v>90</v>
      </c>
      <c r="X116" s="634">
        <v>70</v>
      </c>
      <c r="Y116" s="634">
        <v>100</v>
      </c>
      <c r="Z116" s="634">
        <v>95</v>
      </c>
      <c r="AA116" s="634">
        <v>95</v>
      </c>
      <c r="AB116" s="634">
        <v>85</v>
      </c>
      <c r="AC116" s="98"/>
      <c r="AD116" s="98"/>
      <c r="AE116" s="98"/>
      <c r="AF116" s="98"/>
      <c r="AG116" s="98"/>
      <c r="AH116" s="98"/>
    </row>
    <row r="117" spans="1:34" s="476" customFormat="1" ht="27" customHeight="1">
      <c r="A117" s="30"/>
      <c r="B117" s="801"/>
      <c r="C117" s="496" t="s">
        <v>1428</v>
      </c>
      <c r="D117" s="497" t="s">
        <v>1429</v>
      </c>
      <c r="E117" s="634">
        <v>100</v>
      </c>
      <c r="F117" s="634">
        <v>90</v>
      </c>
      <c r="G117" s="634">
        <v>90</v>
      </c>
      <c r="H117" s="634">
        <v>90</v>
      </c>
      <c r="I117" s="634">
        <v>100</v>
      </c>
      <c r="J117" s="634">
        <v>100</v>
      </c>
      <c r="K117" s="634">
        <v>90</v>
      </c>
      <c r="L117" s="634">
        <v>90</v>
      </c>
      <c r="M117" s="634">
        <v>100</v>
      </c>
      <c r="N117" s="634">
        <v>100</v>
      </c>
      <c r="O117" s="634">
        <v>100</v>
      </c>
      <c r="P117" s="634">
        <v>100</v>
      </c>
      <c r="Q117" s="634">
        <v>100</v>
      </c>
      <c r="R117" s="634">
        <v>100</v>
      </c>
      <c r="S117" s="634">
        <v>100</v>
      </c>
      <c r="T117" s="634">
        <v>100</v>
      </c>
      <c r="U117" s="634">
        <v>100</v>
      </c>
      <c r="V117" s="634">
        <v>100</v>
      </c>
      <c r="W117" s="634">
        <v>100</v>
      </c>
      <c r="X117" s="634">
        <v>90</v>
      </c>
      <c r="Y117" s="634">
        <v>90</v>
      </c>
      <c r="Z117" s="634">
        <v>90</v>
      </c>
      <c r="AA117" s="634">
        <v>100</v>
      </c>
      <c r="AB117" s="634">
        <v>100</v>
      </c>
      <c r="AC117" s="98"/>
      <c r="AD117" s="98"/>
      <c r="AE117" s="98"/>
      <c r="AF117" s="98"/>
      <c r="AG117" s="98"/>
      <c r="AH117" s="98"/>
    </row>
    <row r="118" spans="1:34" s="476" customFormat="1" ht="27" customHeight="1">
      <c r="A118" s="30"/>
      <c r="B118" s="801"/>
      <c r="C118" s="496" t="s">
        <v>1430</v>
      </c>
      <c r="D118" s="497" t="s">
        <v>1431</v>
      </c>
      <c r="E118" s="634">
        <v>90</v>
      </c>
      <c r="F118" s="634">
        <v>100</v>
      </c>
      <c r="G118" s="634">
        <v>100</v>
      </c>
      <c r="H118" s="634">
        <v>90</v>
      </c>
      <c r="I118" s="634">
        <v>100</v>
      </c>
      <c r="J118" s="634">
        <v>90</v>
      </c>
      <c r="K118" s="634">
        <v>100</v>
      </c>
      <c r="L118" s="634">
        <v>100</v>
      </c>
      <c r="M118" s="634">
        <v>100</v>
      </c>
      <c r="N118" s="634">
        <v>100</v>
      </c>
      <c r="O118" s="634">
        <v>100</v>
      </c>
      <c r="P118" s="634">
        <v>100</v>
      </c>
      <c r="Q118" s="634">
        <v>100</v>
      </c>
      <c r="R118" s="634">
        <v>100</v>
      </c>
      <c r="S118" s="634">
        <v>90</v>
      </c>
      <c r="T118" s="634">
        <v>100</v>
      </c>
      <c r="U118" s="634">
        <v>100</v>
      </c>
      <c r="V118" s="634">
        <v>100</v>
      </c>
      <c r="W118" s="634">
        <v>100</v>
      </c>
      <c r="X118" s="634">
        <v>100</v>
      </c>
      <c r="Y118" s="634">
        <v>100</v>
      </c>
      <c r="Z118" s="634">
        <v>100</v>
      </c>
      <c r="AA118" s="634">
        <v>100</v>
      </c>
      <c r="AB118" s="634">
        <v>90</v>
      </c>
      <c r="AC118" s="98"/>
      <c r="AD118" s="98"/>
      <c r="AE118" s="98"/>
      <c r="AF118" s="98"/>
      <c r="AG118" s="98"/>
      <c r="AH118" s="98"/>
    </row>
    <row r="119" spans="1:34" s="476" customFormat="1" ht="27" customHeight="1">
      <c r="A119" s="30"/>
      <c r="B119" s="801"/>
      <c r="C119" s="496" t="s">
        <v>1432</v>
      </c>
      <c r="D119" s="497" t="s">
        <v>1433</v>
      </c>
      <c r="E119" s="635">
        <v>100</v>
      </c>
      <c r="F119" s="635">
        <v>100</v>
      </c>
      <c r="G119" s="635">
        <v>90</v>
      </c>
      <c r="H119" s="635">
        <v>100</v>
      </c>
      <c r="I119" s="635">
        <v>100</v>
      </c>
      <c r="J119" s="635">
        <v>100</v>
      </c>
      <c r="K119" s="635">
        <v>100</v>
      </c>
      <c r="L119" s="635">
        <v>100</v>
      </c>
      <c r="M119" s="635">
        <v>90</v>
      </c>
      <c r="N119" s="635">
        <v>100</v>
      </c>
      <c r="O119" s="635">
        <v>100</v>
      </c>
      <c r="P119" s="635">
        <v>100</v>
      </c>
      <c r="Q119" s="635">
        <v>100</v>
      </c>
      <c r="R119" s="635">
        <v>100</v>
      </c>
      <c r="S119" s="635">
        <v>80</v>
      </c>
      <c r="T119" s="635">
        <v>100</v>
      </c>
      <c r="U119" s="635">
        <v>100</v>
      </c>
      <c r="V119" s="635">
        <v>90</v>
      </c>
      <c r="W119" s="635">
        <v>90</v>
      </c>
      <c r="X119" s="635">
        <v>100</v>
      </c>
      <c r="Y119" s="635">
        <v>100</v>
      </c>
      <c r="Z119" s="635">
        <v>90</v>
      </c>
      <c r="AA119" s="635">
        <v>90</v>
      </c>
      <c r="AB119" s="635">
        <v>100</v>
      </c>
      <c r="AC119" s="98"/>
      <c r="AD119" s="98"/>
      <c r="AE119" s="98"/>
      <c r="AF119" s="98"/>
      <c r="AG119" s="98"/>
      <c r="AH119" s="98"/>
    </row>
    <row r="120" spans="1:34" s="476" customFormat="1" ht="27" customHeight="1">
      <c r="A120" s="30"/>
      <c r="B120" s="801"/>
      <c r="C120" s="496" t="s">
        <v>1434</v>
      </c>
      <c r="D120" s="497" t="s">
        <v>1435</v>
      </c>
      <c r="E120" s="640">
        <v>90</v>
      </c>
      <c r="F120" s="640">
        <v>75</v>
      </c>
      <c r="G120" s="640">
        <v>95</v>
      </c>
      <c r="H120" s="640">
        <v>70</v>
      </c>
      <c r="I120" s="640">
        <v>90</v>
      </c>
      <c r="J120" s="640">
        <v>100</v>
      </c>
      <c r="K120" s="640">
        <v>80</v>
      </c>
      <c r="L120" s="640">
        <v>75</v>
      </c>
      <c r="M120" s="640">
        <v>100</v>
      </c>
      <c r="N120" s="640">
        <v>90</v>
      </c>
      <c r="O120" s="640">
        <v>90</v>
      </c>
      <c r="P120" s="640">
        <v>90</v>
      </c>
      <c r="Q120" s="640">
        <v>75</v>
      </c>
      <c r="R120" s="640">
        <v>90</v>
      </c>
      <c r="S120" s="640">
        <v>100</v>
      </c>
      <c r="T120" s="640">
        <v>100</v>
      </c>
      <c r="U120" s="640">
        <v>100</v>
      </c>
      <c r="V120" s="640">
        <v>80</v>
      </c>
      <c r="W120" s="640">
        <v>70</v>
      </c>
      <c r="X120" s="640">
        <v>90</v>
      </c>
      <c r="Y120" s="640">
        <v>80</v>
      </c>
      <c r="Z120" s="640">
        <v>100</v>
      </c>
      <c r="AA120" s="640">
        <v>80</v>
      </c>
      <c r="AB120" s="640">
        <v>80</v>
      </c>
      <c r="AC120" s="98"/>
      <c r="AD120" s="98"/>
      <c r="AE120" s="98"/>
      <c r="AF120" s="98"/>
      <c r="AG120" s="98"/>
      <c r="AH120" s="98"/>
    </row>
    <row r="121" spans="1:34" s="476" customFormat="1" ht="27" customHeight="1">
      <c r="A121" s="30"/>
      <c r="B121" s="801"/>
      <c r="C121" s="498" t="s">
        <v>1436</v>
      </c>
      <c r="D121" s="499" t="s">
        <v>1437</v>
      </c>
      <c r="E121" s="640">
        <v>100</v>
      </c>
      <c r="F121" s="640">
        <v>95</v>
      </c>
      <c r="G121" s="640">
        <v>100</v>
      </c>
      <c r="H121" s="640">
        <v>100</v>
      </c>
      <c r="I121" s="640">
        <v>100</v>
      </c>
      <c r="J121" s="640">
        <v>100</v>
      </c>
      <c r="K121" s="640">
        <v>100</v>
      </c>
      <c r="L121" s="640">
        <v>100</v>
      </c>
      <c r="M121" s="640">
        <v>100</v>
      </c>
      <c r="N121" s="640">
        <v>100</v>
      </c>
      <c r="O121" s="640">
        <v>100</v>
      </c>
      <c r="P121" s="640">
        <v>100</v>
      </c>
      <c r="Q121" s="640">
        <v>100</v>
      </c>
      <c r="R121" s="640">
        <v>95</v>
      </c>
      <c r="S121" s="640">
        <v>95</v>
      </c>
      <c r="T121" s="640">
        <v>95</v>
      </c>
      <c r="U121" s="640">
        <v>100</v>
      </c>
      <c r="V121" s="640">
        <v>100</v>
      </c>
      <c r="W121" s="640">
        <v>100</v>
      </c>
      <c r="X121" s="640">
        <v>100</v>
      </c>
      <c r="Y121" s="640">
        <v>100</v>
      </c>
      <c r="Z121" s="640">
        <v>100</v>
      </c>
      <c r="AA121" s="640">
        <v>100</v>
      </c>
      <c r="AB121" s="640">
        <v>100</v>
      </c>
      <c r="AC121" s="98"/>
      <c r="AD121" s="98"/>
      <c r="AE121" s="98"/>
      <c r="AF121" s="98"/>
      <c r="AG121" s="98"/>
      <c r="AH121" s="98"/>
    </row>
    <row r="122" spans="1:34" s="476" customFormat="1" ht="27" customHeight="1">
      <c r="A122" s="30"/>
      <c r="B122" s="801"/>
      <c r="C122" s="498" t="s">
        <v>1438</v>
      </c>
      <c r="D122" s="499" t="s">
        <v>1439</v>
      </c>
      <c r="E122" s="640">
        <v>70</v>
      </c>
      <c r="F122" s="640">
        <v>70</v>
      </c>
      <c r="G122" s="640">
        <v>65</v>
      </c>
      <c r="H122" s="640">
        <v>90</v>
      </c>
      <c r="I122" s="640">
        <v>90</v>
      </c>
      <c r="J122" s="640">
        <v>90</v>
      </c>
      <c r="K122" s="640">
        <v>100</v>
      </c>
      <c r="L122" s="640">
        <v>80</v>
      </c>
      <c r="M122" s="640">
        <v>90</v>
      </c>
      <c r="N122" s="640">
        <v>80</v>
      </c>
      <c r="O122" s="640">
        <v>100</v>
      </c>
      <c r="P122" s="640">
        <v>90</v>
      </c>
      <c r="Q122" s="640">
        <v>90</v>
      </c>
      <c r="R122" s="640">
        <v>90</v>
      </c>
      <c r="S122" s="640">
        <v>65</v>
      </c>
      <c r="T122" s="640">
        <v>100</v>
      </c>
      <c r="U122" s="640">
        <v>95</v>
      </c>
      <c r="V122" s="640">
        <v>90</v>
      </c>
      <c r="W122" s="640">
        <v>100</v>
      </c>
      <c r="X122" s="640">
        <v>90</v>
      </c>
      <c r="Y122" s="640">
        <v>90</v>
      </c>
      <c r="Z122" s="640">
        <v>90</v>
      </c>
      <c r="AA122" s="640">
        <v>80</v>
      </c>
      <c r="AB122" s="640">
        <v>90</v>
      </c>
      <c r="AC122" s="98"/>
      <c r="AD122" s="98"/>
      <c r="AE122" s="98"/>
      <c r="AF122" s="98"/>
      <c r="AG122" s="98"/>
      <c r="AH122" s="98"/>
    </row>
    <row r="123" spans="1:34" s="476" customFormat="1" ht="42" customHeight="1">
      <c r="A123" s="30"/>
      <c r="B123" s="801"/>
      <c r="C123" s="498" t="s">
        <v>1440</v>
      </c>
      <c r="D123" s="499" t="s">
        <v>1441</v>
      </c>
      <c r="E123" s="640">
        <v>100</v>
      </c>
      <c r="F123" s="640">
        <v>90</v>
      </c>
      <c r="G123" s="640">
        <v>90</v>
      </c>
      <c r="H123" s="640">
        <v>100</v>
      </c>
      <c r="I123" s="640">
        <v>100</v>
      </c>
      <c r="J123" s="640">
        <v>100</v>
      </c>
      <c r="K123" s="640">
        <v>100</v>
      </c>
      <c r="L123" s="640">
        <v>100</v>
      </c>
      <c r="M123" s="640">
        <v>100</v>
      </c>
      <c r="N123" s="640">
        <v>100</v>
      </c>
      <c r="O123" s="640">
        <v>100</v>
      </c>
      <c r="P123" s="640">
        <v>100</v>
      </c>
      <c r="Q123" s="640">
        <v>100</v>
      </c>
      <c r="R123" s="640">
        <v>100</v>
      </c>
      <c r="S123" s="640">
        <v>80</v>
      </c>
      <c r="T123" s="640">
        <v>95</v>
      </c>
      <c r="U123" s="640">
        <v>100</v>
      </c>
      <c r="V123" s="640">
        <v>100</v>
      </c>
      <c r="W123" s="640">
        <v>100</v>
      </c>
      <c r="X123" s="640">
        <v>100</v>
      </c>
      <c r="Y123" s="640">
        <v>90</v>
      </c>
      <c r="Z123" s="640">
        <v>70</v>
      </c>
      <c r="AA123" s="640">
        <v>100</v>
      </c>
      <c r="AB123" s="640">
        <v>100</v>
      </c>
      <c r="AC123" s="98"/>
      <c r="AD123" s="98"/>
      <c r="AE123" s="98"/>
      <c r="AF123" s="98"/>
      <c r="AG123" s="98"/>
      <c r="AH123" s="98"/>
    </row>
    <row r="124" spans="1:34" s="476" customFormat="1" ht="27" customHeight="1">
      <c r="A124" s="30"/>
      <c r="B124" s="801"/>
      <c r="C124" s="498" t="s">
        <v>1442</v>
      </c>
      <c r="D124" s="499" t="s">
        <v>1443</v>
      </c>
      <c r="E124" s="643">
        <v>90</v>
      </c>
      <c r="F124" s="643">
        <v>90</v>
      </c>
      <c r="G124" s="643">
        <v>80</v>
      </c>
      <c r="H124" s="643">
        <v>100</v>
      </c>
      <c r="I124" s="643">
        <v>95</v>
      </c>
      <c r="J124" s="643">
        <v>100</v>
      </c>
      <c r="K124" s="643">
        <v>100</v>
      </c>
      <c r="L124" s="643">
        <v>100</v>
      </c>
      <c r="M124" s="643">
        <v>90</v>
      </c>
      <c r="N124" s="643">
        <v>95</v>
      </c>
      <c r="O124" s="643">
        <v>100</v>
      </c>
      <c r="P124" s="643">
        <v>90</v>
      </c>
      <c r="Q124" s="643">
        <v>100</v>
      </c>
      <c r="R124" s="643">
        <v>85</v>
      </c>
      <c r="S124" s="643">
        <v>95</v>
      </c>
      <c r="T124" s="643">
        <v>75</v>
      </c>
      <c r="U124" s="643">
        <v>100</v>
      </c>
      <c r="V124" s="643">
        <v>80</v>
      </c>
      <c r="W124" s="643">
        <v>75</v>
      </c>
      <c r="X124" s="643">
        <v>100</v>
      </c>
      <c r="Y124" s="643">
        <v>90</v>
      </c>
      <c r="Z124" s="643">
        <v>85</v>
      </c>
      <c r="AA124" s="643">
        <v>100</v>
      </c>
      <c r="AB124" s="643">
        <v>90</v>
      </c>
      <c r="AC124" s="98"/>
      <c r="AD124" s="98"/>
      <c r="AE124" s="98"/>
      <c r="AF124" s="98"/>
      <c r="AG124" s="98"/>
      <c r="AH124" s="98"/>
    </row>
    <row r="125" spans="1:34" s="476" customFormat="1" ht="27" customHeight="1">
      <c r="A125" s="30"/>
      <c r="B125" s="801"/>
      <c r="C125" s="498" t="s">
        <v>1444</v>
      </c>
      <c r="D125" s="499" t="s">
        <v>1445</v>
      </c>
      <c r="E125" s="643">
        <v>90</v>
      </c>
      <c r="F125" s="643">
        <v>85</v>
      </c>
      <c r="G125" s="643">
        <v>90</v>
      </c>
      <c r="H125" s="643">
        <v>100</v>
      </c>
      <c r="I125" s="643">
        <v>95</v>
      </c>
      <c r="J125" s="643">
        <v>100</v>
      </c>
      <c r="K125" s="643">
        <v>95</v>
      </c>
      <c r="L125" s="643">
        <v>100</v>
      </c>
      <c r="M125" s="643">
        <v>95</v>
      </c>
      <c r="N125" s="643">
        <v>100</v>
      </c>
      <c r="O125" s="643">
        <v>85</v>
      </c>
      <c r="P125" s="643">
        <v>100</v>
      </c>
      <c r="Q125" s="643">
        <v>100</v>
      </c>
      <c r="R125" s="643"/>
      <c r="S125" s="643">
        <v>75</v>
      </c>
      <c r="T125" s="643">
        <v>80</v>
      </c>
      <c r="U125" s="643">
        <v>100</v>
      </c>
      <c r="V125" s="643">
        <v>100</v>
      </c>
      <c r="W125" s="643">
        <v>100</v>
      </c>
      <c r="X125" s="643">
        <v>100</v>
      </c>
      <c r="Y125" s="643">
        <v>100</v>
      </c>
      <c r="Z125" s="643">
        <v>90</v>
      </c>
      <c r="AA125" s="643">
        <v>100</v>
      </c>
      <c r="AB125" s="643">
        <v>100</v>
      </c>
      <c r="AC125" s="98"/>
      <c r="AD125" s="98"/>
      <c r="AE125" s="98"/>
      <c r="AF125" s="98"/>
      <c r="AG125" s="98"/>
      <c r="AH125" s="98"/>
    </row>
    <row r="126" spans="1:34" s="476" customFormat="1" ht="27" customHeight="1">
      <c r="A126" s="30"/>
      <c r="B126" s="801"/>
      <c r="C126" s="498" t="s">
        <v>1446</v>
      </c>
      <c r="D126" s="499" t="s">
        <v>1447</v>
      </c>
      <c r="E126" s="643">
        <v>90</v>
      </c>
      <c r="F126" s="643">
        <v>80</v>
      </c>
      <c r="G126" s="643">
        <v>85</v>
      </c>
      <c r="H126" s="643">
        <v>100</v>
      </c>
      <c r="I126" s="643">
        <v>100</v>
      </c>
      <c r="J126" s="643">
        <v>100</v>
      </c>
      <c r="K126" s="643">
        <v>100</v>
      </c>
      <c r="L126" s="643">
        <v>100</v>
      </c>
      <c r="M126" s="643">
        <v>90</v>
      </c>
      <c r="N126" s="643">
        <v>100</v>
      </c>
      <c r="O126" s="643">
        <v>100</v>
      </c>
      <c r="P126" s="643">
        <v>100</v>
      </c>
      <c r="Q126" s="643">
        <v>90</v>
      </c>
      <c r="R126" s="643">
        <v>90</v>
      </c>
      <c r="S126" s="643">
        <v>95</v>
      </c>
      <c r="T126" s="643">
        <v>100</v>
      </c>
      <c r="U126" s="643">
        <v>100</v>
      </c>
      <c r="V126" s="643">
        <v>95</v>
      </c>
      <c r="W126" s="643">
        <v>80</v>
      </c>
      <c r="X126" s="643">
        <v>90</v>
      </c>
      <c r="Y126" s="643">
        <v>100</v>
      </c>
      <c r="Z126" s="643">
        <v>95</v>
      </c>
      <c r="AA126" s="643">
        <v>90</v>
      </c>
      <c r="AB126" s="643">
        <v>100</v>
      </c>
      <c r="AC126" s="98"/>
      <c r="AD126" s="98"/>
      <c r="AE126" s="98"/>
      <c r="AF126" s="98"/>
      <c r="AG126" s="98"/>
      <c r="AH126" s="98"/>
    </row>
    <row r="127" spans="1:34" s="476" customFormat="1" ht="41.25" customHeight="1">
      <c r="A127" s="30"/>
      <c r="B127" s="801"/>
      <c r="C127" s="498" t="s">
        <v>1448</v>
      </c>
      <c r="D127" s="499" t="s">
        <v>1449</v>
      </c>
      <c r="E127" s="643">
        <v>80</v>
      </c>
      <c r="F127" s="643">
        <v>80</v>
      </c>
      <c r="G127" s="643">
        <v>90</v>
      </c>
      <c r="H127" s="643">
        <v>85</v>
      </c>
      <c r="I127" s="643">
        <v>75</v>
      </c>
      <c r="J127" s="643">
        <v>100</v>
      </c>
      <c r="K127" s="643">
        <v>100</v>
      </c>
      <c r="L127" s="643">
        <v>100</v>
      </c>
      <c r="M127" s="643">
        <v>80</v>
      </c>
      <c r="N127" s="643">
        <v>100</v>
      </c>
      <c r="O127" s="643">
        <v>100</v>
      </c>
      <c r="P127" s="643">
        <v>100</v>
      </c>
      <c r="Q127" s="643">
        <v>100</v>
      </c>
      <c r="R127" s="643">
        <v>100</v>
      </c>
      <c r="S127" s="643">
        <v>80</v>
      </c>
      <c r="T127" s="643">
        <v>70</v>
      </c>
      <c r="U127" s="643">
        <v>80</v>
      </c>
      <c r="V127" s="643">
        <v>80</v>
      </c>
      <c r="W127" s="643">
        <v>90</v>
      </c>
      <c r="X127" s="643">
        <v>90</v>
      </c>
      <c r="Y127" s="643">
        <v>90</v>
      </c>
      <c r="Z127" s="643">
        <v>100</v>
      </c>
      <c r="AA127" s="643">
        <v>95</v>
      </c>
      <c r="AB127" s="643">
        <v>70</v>
      </c>
      <c r="AC127" s="98"/>
      <c r="AD127" s="98"/>
      <c r="AE127" s="98"/>
      <c r="AF127" s="98"/>
      <c r="AG127" s="98"/>
      <c r="AH127" s="98"/>
    </row>
    <row r="128" spans="1:34" s="476" customFormat="1" ht="37.5" customHeight="1">
      <c r="A128" s="30"/>
      <c r="B128" s="801"/>
      <c r="C128" s="498" t="s">
        <v>1450</v>
      </c>
      <c r="D128" s="499" t="s">
        <v>1451</v>
      </c>
      <c r="E128" s="672">
        <v>100</v>
      </c>
      <c r="F128" s="672">
        <v>95</v>
      </c>
      <c r="G128" s="672">
        <v>90</v>
      </c>
      <c r="H128" s="672">
        <v>95</v>
      </c>
      <c r="I128" s="672">
        <v>90</v>
      </c>
      <c r="J128" s="672">
        <v>100</v>
      </c>
      <c r="K128" s="672">
        <v>100</v>
      </c>
      <c r="L128" s="672">
        <v>100</v>
      </c>
      <c r="M128" s="672">
        <v>100</v>
      </c>
      <c r="N128" s="672">
        <v>100</v>
      </c>
      <c r="O128" s="672">
        <v>100</v>
      </c>
      <c r="P128" s="672">
        <v>100</v>
      </c>
      <c r="Q128" s="672">
        <v>100</v>
      </c>
      <c r="R128" s="672">
        <v>100</v>
      </c>
      <c r="S128" s="672">
        <v>100</v>
      </c>
      <c r="T128" s="672">
        <v>90</v>
      </c>
      <c r="U128" s="672">
        <v>100</v>
      </c>
      <c r="V128" s="672">
        <v>100</v>
      </c>
      <c r="W128" s="672">
        <v>100</v>
      </c>
      <c r="X128" s="672">
        <v>85</v>
      </c>
      <c r="Y128" s="672">
        <v>95</v>
      </c>
      <c r="Z128" s="672">
        <v>100</v>
      </c>
      <c r="AA128" s="672">
        <v>100</v>
      </c>
      <c r="AB128" s="672">
        <v>100</v>
      </c>
      <c r="AC128" s="98"/>
      <c r="AD128" s="98"/>
      <c r="AE128" s="98"/>
      <c r="AF128" s="98"/>
      <c r="AG128" s="98"/>
      <c r="AH128" s="98"/>
    </row>
    <row r="129" spans="1:34" s="476" customFormat="1" ht="41.25" customHeight="1">
      <c r="A129" s="30"/>
      <c r="B129" s="801"/>
      <c r="C129" s="498" t="s">
        <v>1452</v>
      </c>
      <c r="D129" s="499" t="s">
        <v>1453</v>
      </c>
      <c r="E129" s="672">
        <v>100</v>
      </c>
      <c r="F129" s="672">
        <v>100</v>
      </c>
      <c r="G129" s="672">
        <v>90</v>
      </c>
      <c r="H129" s="672">
        <v>90</v>
      </c>
      <c r="I129" s="672">
        <v>100</v>
      </c>
      <c r="J129" s="672">
        <v>100</v>
      </c>
      <c r="K129" s="672">
        <v>100</v>
      </c>
      <c r="L129" s="672">
        <v>100</v>
      </c>
      <c r="M129" s="672">
        <v>100</v>
      </c>
      <c r="N129" s="672">
        <v>100</v>
      </c>
      <c r="O129" s="672">
        <v>100</v>
      </c>
      <c r="P129" s="672">
        <v>90</v>
      </c>
      <c r="Q129" s="672">
        <v>100</v>
      </c>
      <c r="R129" s="672">
        <v>100</v>
      </c>
      <c r="S129" s="672">
        <v>90</v>
      </c>
      <c r="T129" s="672">
        <v>100</v>
      </c>
      <c r="U129" s="672">
        <v>100</v>
      </c>
      <c r="V129" s="672">
        <v>100</v>
      </c>
      <c r="W129" s="672">
        <v>100</v>
      </c>
      <c r="X129" s="672">
        <v>100</v>
      </c>
      <c r="Y129" s="672">
        <v>80</v>
      </c>
      <c r="Z129" s="672">
        <v>100</v>
      </c>
      <c r="AA129" s="672">
        <v>100</v>
      </c>
      <c r="AB129" s="672">
        <v>100</v>
      </c>
      <c r="AC129" s="98"/>
      <c r="AD129" s="98"/>
      <c r="AE129" s="98"/>
      <c r="AF129" s="98"/>
      <c r="AG129" s="98"/>
      <c r="AH129" s="98"/>
    </row>
    <row r="130" spans="1:34" s="476" customFormat="1" ht="40.5" customHeight="1">
      <c r="A130" s="30"/>
      <c r="B130" s="801"/>
      <c r="C130" s="498" t="s">
        <v>1454</v>
      </c>
      <c r="D130" s="499" t="s">
        <v>1455</v>
      </c>
      <c r="E130" s="672">
        <v>100</v>
      </c>
      <c r="F130" s="672">
        <v>100</v>
      </c>
      <c r="G130" s="672">
        <v>95</v>
      </c>
      <c r="H130" s="672">
        <v>90</v>
      </c>
      <c r="I130" s="672">
        <v>90</v>
      </c>
      <c r="J130" s="672">
        <v>90</v>
      </c>
      <c r="K130" s="672">
        <v>100</v>
      </c>
      <c r="L130" s="672">
        <v>100</v>
      </c>
      <c r="M130" s="672">
        <v>100</v>
      </c>
      <c r="N130" s="672">
        <v>100</v>
      </c>
      <c r="O130" s="672">
        <v>100</v>
      </c>
      <c r="P130" s="672">
        <v>100</v>
      </c>
      <c r="Q130" s="672">
        <v>90</v>
      </c>
      <c r="R130" s="672">
        <v>100</v>
      </c>
      <c r="S130" s="672">
        <v>100</v>
      </c>
      <c r="T130" s="672">
        <v>90</v>
      </c>
      <c r="U130" s="672">
        <v>100</v>
      </c>
      <c r="V130" s="672">
        <v>95</v>
      </c>
      <c r="W130" s="672">
        <v>100</v>
      </c>
      <c r="X130" s="672">
        <v>90</v>
      </c>
      <c r="Y130" s="672">
        <v>90</v>
      </c>
      <c r="Z130" s="672">
        <v>100</v>
      </c>
      <c r="AA130" s="672">
        <v>100</v>
      </c>
      <c r="AB130" s="672">
        <v>95</v>
      </c>
      <c r="AC130" s="98"/>
      <c r="AD130" s="98"/>
      <c r="AE130" s="98"/>
      <c r="AF130" s="98"/>
      <c r="AG130" s="98"/>
      <c r="AH130" s="98"/>
    </row>
    <row r="131" spans="1:34" s="476" customFormat="1" ht="36" customHeight="1">
      <c r="A131" s="30"/>
      <c r="B131" s="801"/>
      <c r="C131" s="498" t="s">
        <v>1456</v>
      </c>
      <c r="D131" s="499" t="s">
        <v>1457</v>
      </c>
      <c r="E131" s="672">
        <v>100</v>
      </c>
      <c r="F131" s="672">
        <v>100</v>
      </c>
      <c r="G131" s="672">
        <v>95</v>
      </c>
      <c r="H131" s="672">
        <v>95</v>
      </c>
      <c r="I131" s="672">
        <v>100</v>
      </c>
      <c r="J131" s="672">
        <v>100</v>
      </c>
      <c r="K131" s="672">
        <v>100</v>
      </c>
      <c r="L131" s="672">
        <v>100</v>
      </c>
      <c r="M131" s="672">
        <v>90</v>
      </c>
      <c r="N131" s="672">
        <v>100</v>
      </c>
      <c r="O131" s="672">
        <v>95</v>
      </c>
      <c r="P131" s="672">
        <v>100</v>
      </c>
      <c r="Q131" s="672">
        <v>90</v>
      </c>
      <c r="R131" s="672">
        <v>100</v>
      </c>
      <c r="S131" s="672"/>
      <c r="T131" s="672">
        <v>100</v>
      </c>
      <c r="U131" s="672">
        <v>100</v>
      </c>
      <c r="V131" s="672">
        <v>100</v>
      </c>
      <c r="W131" s="672">
        <v>90</v>
      </c>
      <c r="X131" s="672">
        <v>90</v>
      </c>
      <c r="Y131" s="672">
        <v>100</v>
      </c>
      <c r="Z131" s="672">
        <v>95</v>
      </c>
      <c r="AA131" s="672">
        <v>100</v>
      </c>
      <c r="AB131" s="672">
        <v>80</v>
      </c>
      <c r="AC131" s="98"/>
      <c r="AD131" s="98"/>
      <c r="AE131" s="98"/>
      <c r="AF131" s="98"/>
      <c r="AG131" s="98"/>
      <c r="AH131" s="98"/>
    </row>
    <row r="132" spans="1:34" s="476" customFormat="1" ht="35.25" customHeight="1">
      <c r="A132" s="30"/>
      <c r="B132" s="801"/>
      <c r="C132" s="498" t="s">
        <v>1458</v>
      </c>
      <c r="D132" s="499" t="s">
        <v>1459</v>
      </c>
      <c r="E132" s="654">
        <v>95</v>
      </c>
      <c r="F132" s="654"/>
      <c r="G132" s="654">
        <v>90</v>
      </c>
      <c r="H132" s="654">
        <v>90</v>
      </c>
      <c r="I132" s="654">
        <v>95</v>
      </c>
      <c r="J132" s="654">
        <v>95</v>
      </c>
      <c r="K132" s="654">
        <v>100</v>
      </c>
      <c r="L132" s="654">
        <v>100</v>
      </c>
      <c r="M132" s="654">
        <v>95</v>
      </c>
      <c r="N132" s="654">
        <v>100</v>
      </c>
      <c r="O132" s="654">
        <v>100</v>
      </c>
      <c r="P132" s="654">
        <v>100</v>
      </c>
      <c r="Q132" s="654">
        <v>85</v>
      </c>
      <c r="R132" s="654">
        <v>100</v>
      </c>
      <c r="S132" s="654">
        <v>90</v>
      </c>
      <c r="T132" s="654">
        <v>100</v>
      </c>
      <c r="U132" s="654">
        <v>100</v>
      </c>
      <c r="V132" s="654">
        <v>90</v>
      </c>
      <c r="W132" s="654">
        <v>100</v>
      </c>
      <c r="X132" s="654">
        <v>70</v>
      </c>
      <c r="Y132" s="654">
        <v>95</v>
      </c>
      <c r="Z132" s="654">
        <v>100</v>
      </c>
      <c r="AA132" s="654">
        <v>100</v>
      </c>
      <c r="AB132" s="654">
        <v>90</v>
      </c>
      <c r="AC132" s="98"/>
      <c r="AD132" s="98"/>
      <c r="AE132" s="98"/>
      <c r="AF132" s="98"/>
      <c r="AG132" s="98"/>
      <c r="AH132" s="98"/>
    </row>
    <row r="133" spans="1:34" s="476" customFormat="1" ht="39.75" customHeight="1">
      <c r="A133" s="30"/>
      <c r="B133" s="801"/>
      <c r="C133" s="498" t="s">
        <v>1460</v>
      </c>
      <c r="D133" s="499" t="s">
        <v>1461</v>
      </c>
      <c r="E133" s="654">
        <v>100</v>
      </c>
      <c r="F133" s="654"/>
      <c r="G133" s="654">
        <v>100</v>
      </c>
      <c r="H133" s="654">
        <v>100</v>
      </c>
      <c r="I133" s="654">
        <v>90</v>
      </c>
      <c r="J133" s="654">
        <v>100</v>
      </c>
      <c r="K133" s="654">
        <v>100</v>
      </c>
      <c r="L133" s="654">
        <v>100</v>
      </c>
      <c r="M133" s="654">
        <v>100</v>
      </c>
      <c r="N133" s="654">
        <v>90</v>
      </c>
      <c r="O133" s="654">
        <v>100</v>
      </c>
      <c r="P133" s="654">
        <v>100</v>
      </c>
      <c r="Q133" s="654">
        <v>100</v>
      </c>
      <c r="R133" s="654">
        <v>100</v>
      </c>
      <c r="S133" s="654">
        <v>90</v>
      </c>
      <c r="T133" s="654">
        <v>100</v>
      </c>
      <c r="U133" s="654">
        <v>100</v>
      </c>
      <c r="V133" s="654">
        <v>95</v>
      </c>
      <c r="W133" s="654">
        <v>90</v>
      </c>
      <c r="X133" s="654">
        <v>80</v>
      </c>
      <c r="Y133" s="654">
        <v>100</v>
      </c>
      <c r="Z133" s="654">
        <v>100</v>
      </c>
      <c r="AA133" s="654">
        <v>100</v>
      </c>
      <c r="AB133" s="654">
        <v>100</v>
      </c>
      <c r="AC133" s="98"/>
      <c r="AD133" s="98"/>
      <c r="AE133" s="98"/>
      <c r="AF133" s="98"/>
      <c r="AG133" s="98"/>
      <c r="AH133" s="98"/>
    </row>
    <row r="134" spans="1:34" s="476" customFormat="1" ht="44.25" customHeight="1">
      <c r="A134" s="30"/>
      <c r="B134" s="801"/>
      <c r="C134" s="498" t="s">
        <v>1462</v>
      </c>
      <c r="D134" s="499" t="s">
        <v>1463</v>
      </c>
      <c r="E134" s="654">
        <v>90</v>
      </c>
      <c r="F134" s="654">
        <v>90</v>
      </c>
      <c r="G134" s="654">
        <v>100</v>
      </c>
      <c r="H134" s="654">
        <v>80</v>
      </c>
      <c r="I134" s="654">
        <v>90</v>
      </c>
      <c r="J134" s="654">
        <v>80</v>
      </c>
      <c r="K134" s="654">
        <v>90</v>
      </c>
      <c r="L134" s="654">
        <v>90</v>
      </c>
      <c r="M134" s="654">
        <v>90</v>
      </c>
      <c r="N134" s="654">
        <v>100</v>
      </c>
      <c r="O134" s="654">
        <v>100</v>
      </c>
      <c r="P134" s="654">
        <v>100</v>
      </c>
      <c r="Q134" s="654">
        <v>100</v>
      </c>
      <c r="R134" s="654">
        <v>100</v>
      </c>
      <c r="S134" s="654">
        <v>90</v>
      </c>
      <c r="T134" s="654">
        <v>100</v>
      </c>
      <c r="U134" s="654">
        <v>100</v>
      </c>
      <c r="V134" s="654">
        <v>90</v>
      </c>
      <c r="W134" s="654"/>
      <c r="X134" s="654">
        <v>90</v>
      </c>
      <c r="Y134" s="654">
        <v>90</v>
      </c>
      <c r="Z134" s="654"/>
      <c r="AA134" s="654">
        <v>100</v>
      </c>
      <c r="AB134" s="654">
        <v>100</v>
      </c>
      <c r="AC134" s="98"/>
      <c r="AD134" s="98"/>
      <c r="AE134" s="98"/>
      <c r="AF134" s="98"/>
      <c r="AG134" s="98"/>
      <c r="AH134" s="98"/>
    </row>
    <row r="135" spans="1:34" s="476" customFormat="1" ht="41.25" customHeight="1">
      <c r="A135" s="30"/>
      <c r="B135" s="801"/>
      <c r="C135" s="498" t="s">
        <v>1464</v>
      </c>
      <c r="D135" s="499" t="s">
        <v>1465</v>
      </c>
      <c r="E135" s="654"/>
      <c r="F135" s="654">
        <v>90</v>
      </c>
      <c r="G135" s="654">
        <v>100</v>
      </c>
      <c r="H135" s="654">
        <v>90</v>
      </c>
      <c r="I135" s="654">
        <v>90</v>
      </c>
      <c r="J135" s="654">
        <v>80</v>
      </c>
      <c r="K135" s="654">
        <v>100</v>
      </c>
      <c r="L135" s="654">
        <v>100</v>
      </c>
      <c r="M135" s="654">
        <v>90</v>
      </c>
      <c r="N135" s="654">
        <v>100</v>
      </c>
      <c r="O135" s="654">
        <v>90</v>
      </c>
      <c r="P135" s="654">
        <v>95</v>
      </c>
      <c r="Q135" s="654">
        <v>100</v>
      </c>
      <c r="R135" s="654">
        <v>100</v>
      </c>
      <c r="S135" s="654"/>
      <c r="T135" s="654">
        <v>80</v>
      </c>
      <c r="U135" s="654">
        <v>100</v>
      </c>
      <c r="V135" s="654">
        <v>100</v>
      </c>
      <c r="W135" s="654"/>
      <c r="X135" s="654">
        <v>80</v>
      </c>
      <c r="Y135" s="654">
        <v>100</v>
      </c>
      <c r="Z135" s="654"/>
      <c r="AA135" s="654">
        <v>60</v>
      </c>
      <c r="AB135" s="654">
        <v>100</v>
      </c>
      <c r="AC135" s="98"/>
      <c r="AD135" s="98"/>
      <c r="AE135" s="98"/>
      <c r="AF135" s="98"/>
      <c r="AG135" s="98"/>
      <c r="AH135" s="98"/>
    </row>
    <row r="136" spans="1:34" s="476" customFormat="1" ht="39.75" customHeight="1">
      <c r="A136" s="30"/>
      <c r="B136" s="801"/>
      <c r="C136" s="498" t="s">
        <v>1466</v>
      </c>
      <c r="D136" s="499" t="s">
        <v>1467</v>
      </c>
      <c r="E136" s="628">
        <v>100</v>
      </c>
      <c r="F136" s="628">
        <v>90</v>
      </c>
      <c r="G136" s="628">
        <v>95</v>
      </c>
      <c r="H136" s="628">
        <v>100</v>
      </c>
      <c r="I136" s="628">
        <v>100</v>
      </c>
      <c r="J136" s="628">
        <v>100</v>
      </c>
      <c r="K136" s="628">
        <v>100</v>
      </c>
      <c r="L136" s="628">
        <v>100</v>
      </c>
      <c r="M136" s="628">
        <v>95</v>
      </c>
      <c r="N136" s="628">
        <v>100</v>
      </c>
      <c r="O136" s="628">
        <v>95</v>
      </c>
      <c r="P136" s="628">
        <v>100</v>
      </c>
      <c r="Q136" s="628">
        <v>95</v>
      </c>
      <c r="R136" s="628">
        <v>90</v>
      </c>
      <c r="S136" s="628">
        <v>95</v>
      </c>
      <c r="T136" s="628">
        <v>100</v>
      </c>
      <c r="U136" s="628">
        <v>100</v>
      </c>
      <c r="V136" s="628">
        <v>100</v>
      </c>
      <c r="W136" s="628"/>
      <c r="X136" s="628">
        <v>95</v>
      </c>
      <c r="Y136" s="628">
        <v>100</v>
      </c>
      <c r="Z136" s="628">
        <v>90</v>
      </c>
      <c r="AA136" s="628">
        <v>100</v>
      </c>
      <c r="AB136" s="628">
        <v>100</v>
      </c>
      <c r="AC136" s="98"/>
      <c r="AD136" s="98"/>
      <c r="AE136" s="98"/>
      <c r="AF136" s="98"/>
      <c r="AG136" s="98"/>
      <c r="AH136" s="98"/>
    </row>
    <row r="137" spans="1:34" s="476" customFormat="1" ht="35.25" customHeight="1">
      <c r="A137" s="30"/>
      <c r="B137" s="801"/>
      <c r="C137" s="498" t="s">
        <v>1468</v>
      </c>
      <c r="D137" s="499" t="s">
        <v>1469</v>
      </c>
      <c r="E137" s="628">
        <v>100</v>
      </c>
      <c r="F137" s="628">
        <v>90</v>
      </c>
      <c r="G137" s="628">
        <v>90</v>
      </c>
      <c r="H137" s="628">
        <v>90</v>
      </c>
      <c r="I137" s="628">
        <v>100</v>
      </c>
      <c r="J137" s="628">
        <v>100</v>
      </c>
      <c r="K137" s="628">
        <v>100</v>
      </c>
      <c r="L137" s="628">
        <v>100</v>
      </c>
      <c r="M137" s="628">
        <v>100</v>
      </c>
      <c r="N137" s="628">
        <v>100</v>
      </c>
      <c r="O137" s="628">
        <v>100</v>
      </c>
      <c r="P137" s="628">
        <v>100</v>
      </c>
      <c r="Q137" s="628">
        <v>100</v>
      </c>
      <c r="R137" s="628">
        <v>100</v>
      </c>
      <c r="S137" s="628">
        <v>100</v>
      </c>
      <c r="T137" s="628">
        <v>100</v>
      </c>
      <c r="U137" s="628">
        <v>90</v>
      </c>
      <c r="V137" s="628">
        <v>100</v>
      </c>
      <c r="W137" s="628">
        <v>100</v>
      </c>
      <c r="X137" s="628">
        <v>100</v>
      </c>
      <c r="Y137" s="628">
        <v>100</v>
      </c>
      <c r="Z137" s="628">
        <v>100</v>
      </c>
      <c r="AA137" s="628">
        <v>100</v>
      </c>
      <c r="AB137" s="628">
        <v>100</v>
      </c>
      <c r="AC137" s="98"/>
      <c r="AD137" s="98"/>
      <c r="AE137" s="98"/>
      <c r="AF137" s="98"/>
      <c r="AG137" s="98"/>
      <c r="AH137" s="98"/>
    </row>
    <row r="138" spans="1:34" s="476" customFormat="1" ht="27" customHeight="1">
      <c r="A138" s="30"/>
      <c r="B138" s="801"/>
      <c r="C138" s="498"/>
      <c r="D138" s="499" t="s">
        <v>1470</v>
      </c>
      <c r="E138" s="628">
        <v>100</v>
      </c>
      <c r="F138" s="628">
        <v>100</v>
      </c>
      <c r="G138" s="628">
        <v>100</v>
      </c>
      <c r="H138" s="628">
        <v>100</v>
      </c>
      <c r="I138" s="628">
        <v>90</v>
      </c>
      <c r="J138" s="628">
        <v>100</v>
      </c>
      <c r="K138" s="628">
        <v>100</v>
      </c>
      <c r="L138" s="628">
        <v>100</v>
      </c>
      <c r="M138" s="628">
        <v>100</v>
      </c>
      <c r="N138" s="628">
        <v>100</v>
      </c>
      <c r="O138" s="628">
        <v>100</v>
      </c>
      <c r="P138" s="628">
        <v>100</v>
      </c>
      <c r="Q138" s="628">
        <v>100</v>
      </c>
      <c r="R138" s="628">
        <v>100</v>
      </c>
      <c r="S138" s="628">
        <v>100</v>
      </c>
      <c r="T138" s="628">
        <v>100</v>
      </c>
      <c r="U138" s="628">
        <v>100</v>
      </c>
      <c r="V138" s="628">
        <v>90</v>
      </c>
      <c r="W138" s="628"/>
      <c r="X138" s="628">
        <v>90</v>
      </c>
      <c r="Y138" s="628">
        <v>100</v>
      </c>
      <c r="Z138" s="628">
        <v>90</v>
      </c>
      <c r="AA138" s="628">
        <v>100</v>
      </c>
      <c r="AB138" s="628">
        <v>95</v>
      </c>
      <c r="AC138" s="98"/>
      <c r="AD138" s="98"/>
      <c r="AE138" s="98"/>
      <c r="AF138" s="98"/>
      <c r="AG138" s="98"/>
      <c r="AH138" s="98"/>
    </row>
    <row r="139" spans="1:34" s="476" customFormat="1" ht="41.25" customHeight="1">
      <c r="A139" s="30"/>
      <c r="B139" s="801"/>
      <c r="C139" s="498" t="s">
        <v>1471</v>
      </c>
      <c r="D139" s="499" t="s">
        <v>1472</v>
      </c>
      <c r="E139" s="628">
        <v>100</v>
      </c>
      <c r="F139" s="628">
        <v>100</v>
      </c>
      <c r="G139" s="628">
        <v>95</v>
      </c>
      <c r="H139" s="628">
        <v>100</v>
      </c>
      <c r="I139" s="628">
        <v>100</v>
      </c>
      <c r="J139" s="628">
        <v>100</v>
      </c>
      <c r="K139" s="628">
        <v>100</v>
      </c>
      <c r="L139" s="628">
        <v>100</v>
      </c>
      <c r="M139" s="628">
        <v>95</v>
      </c>
      <c r="N139" s="628">
        <v>100</v>
      </c>
      <c r="O139" s="628">
        <v>100</v>
      </c>
      <c r="P139" s="628">
        <v>100</v>
      </c>
      <c r="Q139" s="628">
        <v>100</v>
      </c>
      <c r="R139" s="628">
        <v>100</v>
      </c>
      <c r="S139" s="628">
        <v>100</v>
      </c>
      <c r="T139" s="628">
        <v>95</v>
      </c>
      <c r="U139" s="628">
        <v>100</v>
      </c>
      <c r="V139" s="628">
        <v>90</v>
      </c>
      <c r="W139" s="628"/>
      <c r="X139" s="628">
        <v>80</v>
      </c>
      <c r="Y139" s="628">
        <v>100</v>
      </c>
      <c r="Z139" s="628">
        <v>100</v>
      </c>
      <c r="AA139" s="628">
        <v>100</v>
      </c>
      <c r="AB139" s="628">
        <v>80</v>
      </c>
      <c r="AC139" s="98"/>
      <c r="AD139" s="98"/>
      <c r="AE139" s="98"/>
      <c r="AF139" s="98"/>
      <c r="AG139" s="98"/>
      <c r="AH139" s="98"/>
    </row>
    <row r="140" spans="1:34" s="476" customFormat="1" ht="39" customHeight="1">
      <c r="A140" s="30"/>
      <c r="B140" s="801"/>
      <c r="C140" s="498" t="s">
        <v>1473</v>
      </c>
      <c r="D140" s="499" t="s">
        <v>1474</v>
      </c>
      <c r="E140" s="682">
        <v>80</v>
      </c>
      <c r="F140" s="682">
        <v>90</v>
      </c>
      <c r="G140" s="682">
        <v>100</v>
      </c>
      <c r="H140" s="682">
        <v>90</v>
      </c>
      <c r="I140" s="682">
        <v>90</v>
      </c>
      <c r="J140" s="682">
        <v>100</v>
      </c>
      <c r="K140" s="682">
        <v>90</v>
      </c>
      <c r="L140" s="682">
        <v>100</v>
      </c>
      <c r="M140" s="682">
        <v>80</v>
      </c>
      <c r="N140" s="682">
        <v>90</v>
      </c>
      <c r="O140" s="682">
        <v>90</v>
      </c>
      <c r="P140" s="682">
        <v>80</v>
      </c>
      <c r="Q140" s="682">
        <v>80</v>
      </c>
      <c r="R140" s="682">
        <v>70</v>
      </c>
      <c r="S140" s="682">
        <v>100</v>
      </c>
      <c r="T140" s="682">
        <v>90</v>
      </c>
      <c r="U140" s="682">
        <v>100</v>
      </c>
      <c r="V140" s="682"/>
      <c r="W140" s="682">
        <v>90</v>
      </c>
      <c r="X140" s="682">
        <v>80</v>
      </c>
      <c r="Y140" s="682">
        <v>100</v>
      </c>
      <c r="Z140" s="682">
        <v>100</v>
      </c>
      <c r="AA140" s="682">
        <v>100</v>
      </c>
      <c r="AB140" s="682">
        <v>70</v>
      </c>
      <c r="AC140" s="98"/>
      <c r="AD140" s="98"/>
      <c r="AE140" s="98"/>
      <c r="AF140" s="98"/>
      <c r="AG140" s="98"/>
      <c r="AH140" s="98"/>
    </row>
    <row r="141" spans="1:34" ht="39.75" customHeight="1">
      <c r="A141" s="30"/>
      <c r="B141" s="801"/>
      <c r="C141" s="498" t="s">
        <v>1475</v>
      </c>
      <c r="D141" s="499" t="s">
        <v>1476</v>
      </c>
      <c r="E141" s="682">
        <v>80</v>
      </c>
      <c r="F141" s="682"/>
      <c r="G141" s="682">
        <v>90</v>
      </c>
      <c r="H141" s="682">
        <v>100</v>
      </c>
      <c r="I141" s="682">
        <v>90</v>
      </c>
      <c r="J141" s="682">
        <v>90</v>
      </c>
      <c r="K141" s="682">
        <v>90</v>
      </c>
      <c r="L141" s="682">
        <v>100</v>
      </c>
      <c r="M141" s="682">
        <v>100</v>
      </c>
      <c r="N141" s="682">
        <v>95</v>
      </c>
      <c r="O141" s="682">
        <v>100</v>
      </c>
      <c r="P141" s="682">
        <v>90</v>
      </c>
      <c r="Q141" s="682">
        <v>100</v>
      </c>
      <c r="R141" s="682">
        <v>95</v>
      </c>
      <c r="S141" s="682">
        <v>90</v>
      </c>
      <c r="T141" s="682">
        <v>90</v>
      </c>
      <c r="U141" s="682">
        <v>95</v>
      </c>
      <c r="V141" s="682">
        <v>100</v>
      </c>
      <c r="W141" s="682">
        <v>90</v>
      </c>
      <c r="X141" s="682">
        <v>90</v>
      </c>
      <c r="Y141" s="682">
        <v>100</v>
      </c>
      <c r="Z141" s="682">
        <v>90</v>
      </c>
      <c r="AA141" s="682">
        <v>100</v>
      </c>
      <c r="AB141" s="682">
        <v>90</v>
      </c>
      <c r="AC141" s="98"/>
      <c r="AD141" s="98"/>
      <c r="AE141" s="98"/>
      <c r="AF141" s="98"/>
      <c r="AG141" s="98"/>
      <c r="AH141" s="98"/>
    </row>
    <row r="142" spans="1:34" ht="35.25" customHeight="1">
      <c r="A142" s="30"/>
      <c r="B142" s="801"/>
      <c r="C142" s="498" t="s">
        <v>1477</v>
      </c>
      <c r="D142" s="499" t="s">
        <v>1478</v>
      </c>
      <c r="E142" s="682">
        <v>100</v>
      </c>
      <c r="F142" s="682">
        <v>95</v>
      </c>
      <c r="G142" s="682">
        <v>90</v>
      </c>
      <c r="H142" s="682">
        <v>100</v>
      </c>
      <c r="I142" s="682">
        <v>90</v>
      </c>
      <c r="J142" s="682">
        <v>100</v>
      </c>
      <c r="K142" s="682">
        <v>100</v>
      </c>
      <c r="L142" s="682">
        <v>100</v>
      </c>
      <c r="M142" s="682">
        <v>100</v>
      </c>
      <c r="N142" s="682">
        <v>100</v>
      </c>
      <c r="O142" s="682">
        <v>100</v>
      </c>
      <c r="P142" s="682">
        <v>90</v>
      </c>
      <c r="Q142" s="682">
        <v>100</v>
      </c>
      <c r="R142" s="682">
        <v>100</v>
      </c>
      <c r="S142" s="682">
        <v>90</v>
      </c>
      <c r="T142" s="682">
        <v>100</v>
      </c>
      <c r="U142" s="682">
        <v>100</v>
      </c>
      <c r="V142" s="682">
        <v>95</v>
      </c>
      <c r="W142" s="682"/>
      <c r="X142" s="682">
        <v>90</v>
      </c>
      <c r="Y142" s="682">
        <v>100</v>
      </c>
      <c r="Z142" s="682">
        <v>100</v>
      </c>
      <c r="AA142" s="682">
        <v>100</v>
      </c>
      <c r="AB142" s="682">
        <v>90</v>
      </c>
      <c r="AC142" s="98"/>
      <c r="AD142" s="98"/>
      <c r="AE142" s="98"/>
      <c r="AF142" s="98"/>
      <c r="AG142" s="98"/>
      <c r="AH142" s="98"/>
    </row>
    <row r="143" spans="1:34" ht="48" customHeight="1">
      <c r="A143" s="30"/>
      <c r="B143" s="801"/>
      <c r="C143" s="498" t="s">
        <v>1479</v>
      </c>
      <c r="D143" s="499" t="s">
        <v>1480</v>
      </c>
      <c r="E143" s="682">
        <v>100</v>
      </c>
      <c r="F143" s="682">
        <v>100</v>
      </c>
      <c r="G143" s="682">
        <v>100</v>
      </c>
      <c r="H143" s="682">
        <v>100</v>
      </c>
      <c r="I143" s="682">
        <v>90</v>
      </c>
      <c r="J143" s="682">
        <v>100</v>
      </c>
      <c r="K143" s="682">
        <v>100</v>
      </c>
      <c r="L143" s="682">
        <v>100</v>
      </c>
      <c r="M143" s="682">
        <v>80</v>
      </c>
      <c r="N143" s="682">
        <v>100</v>
      </c>
      <c r="O143" s="682">
        <v>90</v>
      </c>
      <c r="P143" s="682">
        <v>100</v>
      </c>
      <c r="Q143" s="682">
        <v>80</v>
      </c>
      <c r="R143" s="682">
        <v>70</v>
      </c>
      <c r="S143" s="682">
        <v>90</v>
      </c>
      <c r="T143" s="682">
        <v>100</v>
      </c>
      <c r="U143" s="682">
        <v>100</v>
      </c>
      <c r="V143" s="682">
        <v>100</v>
      </c>
      <c r="W143" s="682">
        <v>100</v>
      </c>
      <c r="X143" s="682">
        <v>80</v>
      </c>
      <c r="Y143" s="682">
        <v>100</v>
      </c>
      <c r="Z143" s="682">
        <v>90</v>
      </c>
      <c r="AA143" s="682">
        <v>100</v>
      </c>
      <c r="AB143" s="682">
        <v>95</v>
      </c>
      <c r="AC143" s="98"/>
      <c r="AD143" s="98"/>
      <c r="AE143" s="98"/>
      <c r="AF143" s="98"/>
      <c r="AG143" s="98"/>
      <c r="AH143" s="98"/>
    </row>
    <row r="144" spans="1:34" ht="27" customHeight="1">
      <c r="A144" s="30"/>
      <c r="B144" s="802"/>
      <c r="C144" s="74"/>
      <c r="D144" s="72"/>
      <c r="E144" s="98"/>
      <c r="F144" s="98"/>
      <c r="G144" s="98"/>
      <c r="H144" s="98"/>
      <c r="I144" s="98"/>
      <c r="J144" s="98"/>
      <c r="K144" s="98"/>
      <c r="L144" s="98"/>
      <c r="M144" s="98"/>
      <c r="N144" s="98"/>
      <c r="O144" s="98"/>
      <c r="P144" s="98"/>
      <c r="Q144" s="98"/>
      <c r="R144" s="98"/>
      <c r="S144" s="98"/>
      <c r="T144" s="98"/>
      <c r="U144" s="98"/>
      <c r="V144" s="98"/>
      <c r="W144" s="98"/>
      <c r="X144" s="98"/>
      <c r="Y144" s="98"/>
      <c r="Z144" s="98"/>
      <c r="AA144" s="98"/>
      <c r="AB144" s="98"/>
      <c r="AC144" s="98"/>
      <c r="AD144" s="98"/>
      <c r="AE144" s="98"/>
      <c r="AF144" s="98"/>
      <c r="AG144" s="98"/>
      <c r="AH144" s="98"/>
    </row>
    <row r="145" spans="1:34" ht="27" customHeight="1" thickBot="1">
      <c r="A145" s="30"/>
      <c r="B145" s="800">
        <v>8</v>
      </c>
      <c r="C145" s="795" t="s">
        <v>1835</v>
      </c>
      <c r="D145" s="796"/>
      <c r="E145" s="97">
        <f t="shared" ref="E145:AB145" si="14">IFERROR(AVERAGE(E146:E167),"")</f>
        <v>96.333333333333329</v>
      </c>
      <c r="F145" s="97">
        <f t="shared" si="14"/>
        <v>95.384615384615387</v>
      </c>
      <c r="G145" s="97">
        <f t="shared" si="14"/>
        <v>92.692307692307693</v>
      </c>
      <c r="H145" s="97">
        <f t="shared" si="14"/>
        <v>97.8125</v>
      </c>
      <c r="I145" s="97">
        <f t="shared" si="14"/>
        <v>97.8125</v>
      </c>
      <c r="J145" s="97">
        <f t="shared" si="14"/>
        <v>97.5</v>
      </c>
      <c r="K145" s="97">
        <f t="shared" si="14"/>
        <v>97.1875</v>
      </c>
      <c r="L145" s="97">
        <f t="shared" si="14"/>
        <v>95.9375</v>
      </c>
      <c r="M145" s="97">
        <f t="shared" si="14"/>
        <v>92.5</v>
      </c>
      <c r="N145" s="97">
        <f t="shared" si="14"/>
        <v>99.0625</v>
      </c>
      <c r="O145" s="97">
        <f t="shared" si="14"/>
        <v>97.1875</v>
      </c>
      <c r="P145" s="97">
        <f t="shared" si="14"/>
        <v>96.25</v>
      </c>
      <c r="Q145" s="97">
        <f t="shared" si="14"/>
        <v>96.875</v>
      </c>
      <c r="R145" s="97">
        <f t="shared" si="14"/>
        <v>98.333333333333329</v>
      </c>
      <c r="S145" s="97">
        <f t="shared" si="14"/>
        <v>91.428571428571431</v>
      </c>
      <c r="T145" s="97">
        <f t="shared" si="14"/>
        <v>94.6875</v>
      </c>
      <c r="U145" s="97">
        <f t="shared" si="14"/>
        <v>98.4375</v>
      </c>
      <c r="V145" s="97">
        <f t="shared" si="14"/>
        <v>94.0625</v>
      </c>
      <c r="W145" s="97">
        <f t="shared" si="14"/>
        <v>92.8125</v>
      </c>
      <c r="X145" s="97">
        <f t="shared" si="14"/>
        <v>95</v>
      </c>
      <c r="Y145" s="97">
        <f t="shared" si="14"/>
        <v>96.875</v>
      </c>
      <c r="Z145" s="97">
        <f t="shared" si="14"/>
        <v>92.1875</v>
      </c>
      <c r="AA145" s="97">
        <f t="shared" si="14"/>
        <v>97.8125</v>
      </c>
      <c r="AB145" s="97">
        <f t="shared" si="14"/>
        <v>91.5625</v>
      </c>
      <c r="AC145" s="97" t="str">
        <f t="shared" ref="AC145:AH145" si="15">IFERROR(AVERAGE(AC146:AC167),"")</f>
        <v/>
      </c>
      <c r="AD145" s="97" t="str">
        <f t="shared" si="15"/>
        <v/>
      </c>
      <c r="AE145" s="97" t="str">
        <f t="shared" si="15"/>
        <v/>
      </c>
      <c r="AF145" s="97" t="str">
        <f t="shared" si="15"/>
        <v/>
      </c>
      <c r="AG145" s="97" t="str">
        <f t="shared" si="15"/>
        <v/>
      </c>
      <c r="AH145" s="97" t="str">
        <f t="shared" si="15"/>
        <v/>
      </c>
    </row>
    <row r="146" spans="1:34" ht="27" customHeight="1" thickTop="1">
      <c r="A146" s="30"/>
      <c r="B146" s="801"/>
      <c r="C146" s="500" t="s">
        <v>1481</v>
      </c>
      <c r="D146" s="501" t="s">
        <v>1482</v>
      </c>
      <c r="E146" s="628" t="s">
        <v>1883</v>
      </c>
      <c r="F146" s="628">
        <v>100</v>
      </c>
      <c r="G146" s="628"/>
      <c r="H146" s="628">
        <v>100</v>
      </c>
      <c r="I146" s="628">
        <v>100</v>
      </c>
      <c r="J146" s="628">
        <v>100</v>
      </c>
      <c r="K146" s="628">
        <v>100</v>
      </c>
      <c r="L146" s="628">
        <v>100</v>
      </c>
      <c r="M146" s="628">
        <v>95</v>
      </c>
      <c r="N146" s="628">
        <v>100</v>
      </c>
      <c r="O146" s="628">
        <v>90</v>
      </c>
      <c r="P146" s="628">
        <v>100</v>
      </c>
      <c r="Q146" s="628">
        <v>100</v>
      </c>
      <c r="R146" s="628">
        <v>100</v>
      </c>
      <c r="S146" s="628">
        <v>90</v>
      </c>
      <c r="T146" s="628">
        <v>100</v>
      </c>
      <c r="U146" s="628">
        <v>100</v>
      </c>
      <c r="V146" s="628">
        <v>100</v>
      </c>
      <c r="W146" s="628">
        <v>100</v>
      </c>
      <c r="X146" s="628">
        <v>100</v>
      </c>
      <c r="Y146" s="628">
        <v>100</v>
      </c>
      <c r="Z146" s="628">
        <v>100</v>
      </c>
      <c r="AA146" s="628">
        <v>100</v>
      </c>
      <c r="AB146" s="628">
        <v>100</v>
      </c>
      <c r="AC146" s="98"/>
      <c r="AD146" s="98"/>
      <c r="AE146" s="98"/>
      <c r="AF146" s="98"/>
      <c r="AG146" s="98"/>
      <c r="AH146" s="98"/>
    </row>
    <row r="147" spans="1:34" s="476" customFormat="1" ht="41.25" customHeight="1">
      <c r="A147" s="30"/>
      <c r="B147" s="801"/>
      <c r="C147" s="502" t="s">
        <v>1483</v>
      </c>
      <c r="D147" s="503" t="s">
        <v>1484</v>
      </c>
      <c r="E147" s="628">
        <v>90</v>
      </c>
      <c r="F147" s="628">
        <v>70</v>
      </c>
      <c r="G147" s="628">
        <v>80</v>
      </c>
      <c r="H147" s="628">
        <v>100</v>
      </c>
      <c r="I147" s="628">
        <v>90</v>
      </c>
      <c r="J147" s="628">
        <v>80</v>
      </c>
      <c r="K147" s="628">
        <v>90</v>
      </c>
      <c r="L147" s="628">
        <v>80</v>
      </c>
      <c r="M147" s="628">
        <v>70</v>
      </c>
      <c r="N147" s="628">
        <v>100</v>
      </c>
      <c r="O147" s="628">
        <v>90</v>
      </c>
      <c r="P147" s="628">
        <v>70</v>
      </c>
      <c r="Q147" s="628">
        <v>85</v>
      </c>
      <c r="R147" s="628">
        <v>90</v>
      </c>
      <c r="S147" s="628">
        <v>60</v>
      </c>
      <c r="T147" s="628">
        <v>90</v>
      </c>
      <c r="U147" s="628">
        <v>100</v>
      </c>
      <c r="V147" s="628">
        <v>70</v>
      </c>
      <c r="W147" s="628">
        <v>70</v>
      </c>
      <c r="X147" s="628">
        <v>90</v>
      </c>
      <c r="Y147" s="628">
        <v>80</v>
      </c>
      <c r="Z147" s="628">
        <v>95</v>
      </c>
      <c r="AA147" s="628">
        <v>90</v>
      </c>
      <c r="AB147" s="628">
        <v>80</v>
      </c>
      <c r="AC147" s="98"/>
      <c r="AD147" s="98"/>
      <c r="AE147" s="98"/>
      <c r="AF147" s="98"/>
      <c r="AG147" s="98"/>
      <c r="AH147" s="98"/>
    </row>
    <row r="148" spans="1:34" s="476" customFormat="1" ht="27" customHeight="1">
      <c r="A148" s="30"/>
      <c r="B148" s="801"/>
      <c r="C148" s="502" t="s">
        <v>1485</v>
      </c>
      <c r="D148" s="503" t="s">
        <v>1486</v>
      </c>
      <c r="E148" s="628">
        <v>95</v>
      </c>
      <c r="F148" s="628">
        <v>90</v>
      </c>
      <c r="G148" s="628">
        <v>100</v>
      </c>
      <c r="H148" s="628">
        <v>95</v>
      </c>
      <c r="I148" s="628">
        <v>100</v>
      </c>
      <c r="J148" s="628">
        <v>95</v>
      </c>
      <c r="K148" s="628">
        <v>100</v>
      </c>
      <c r="L148" s="628">
        <v>100</v>
      </c>
      <c r="M148" s="628">
        <v>100</v>
      </c>
      <c r="N148" s="628">
        <v>100</v>
      </c>
      <c r="O148" s="628">
        <v>100</v>
      </c>
      <c r="P148" s="628">
        <v>100</v>
      </c>
      <c r="Q148" s="628">
        <v>100</v>
      </c>
      <c r="R148" s="628">
        <v>100</v>
      </c>
      <c r="S148" s="628">
        <v>90</v>
      </c>
      <c r="T148" s="628">
        <v>90</v>
      </c>
      <c r="U148" s="628">
        <v>95</v>
      </c>
      <c r="V148" s="628">
        <v>95</v>
      </c>
      <c r="W148" s="628">
        <v>95</v>
      </c>
      <c r="X148" s="628">
        <v>100</v>
      </c>
      <c r="Y148" s="628">
        <v>95</v>
      </c>
      <c r="Z148" s="628">
        <v>95</v>
      </c>
      <c r="AA148" s="628">
        <v>100</v>
      </c>
      <c r="AB148" s="628">
        <v>85</v>
      </c>
      <c r="AC148" s="98"/>
      <c r="AD148" s="98"/>
      <c r="AE148" s="98"/>
      <c r="AF148" s="98"/>
      <c r="AG148" s="98"/>
      <c r="AH148" s="98"/>
    </row>
    <row r="149" spans="1:34" s="476" customFormat="1" ht="27" customHeight="1">
      <c r="A149" s="30"/>
      <c r="B149" s="801"/>
      <c r="C149" s="502" t="s">
        <v>1487</v>
      </c>
      <c r="D149" s="503" t="s">
        <v>1488</v>
      </c>
      <c r="E149" s="628">
        <v>100</v>
      </c>
      <c r="F149" s="628"/>
      <c r="G149" s="628"/>
      <c r="H149" s="628">
        <v>100</v>
      </c>
      <c r="I149" s="628">
        <v>100</v>
      </c>
      <c r="J149" s="628">
        <v>100</v>
      </c>
      <c r="K149" s="628">
        <v>100</v>
      </c>
      <c r="L149" s="628">
        <v>100</v>
      </c>
      <c r="M149" s="628">
        <v>100</v>
      </c>
      <c r="N149" s="628">
        <v>100</v>
      </c>
      <c r="O149" s="628">
        <v>100</v>
      </c>
      <c r="P149" s="628">
        <v>100</v>
      </c>
      <c r="Q149" s="628">
        <v>100</v>
      </c>
      <c r="R149" s="628">
        <v>100</v>
      </c>
      <c r="S149" s="628">
        <v>100</v>
      </c>
      <c r="T149" s="628">
        <v>100</v>
      </c>
      <c r="U149" s="628">
        <v>100</v>
      </c>
      <c r="V149" s="628">
        <v>100</v>
      </c>
      <c r="W149" s="628">
        <v>100</v>
      </c>
      <c r="X149" s="628">
        <v>100</v>
      </c>
      <c r="Y149" s="628">
        <v>100</v>
      </c>
      <c r="Z149" s="628">
        <v>100</v>
      </c>
      <c r="AA149" s="628">
        <v>100</v>
      </c>
      <c r="AB149" s="628">
        <v>100</v>
      </c>
      <c r="AC149" s="98"/>
      <c r="AD149" s="98"/>
      <c r="AE149" s="98"/>
      <c r="AF149" s="98"/>
      <c r="AG149" s="98"/>
      <c r="AH149" s="98"/>
    </row>
    <row r="150" spans="1:34" s="476" customFormat="1" ht="39" customHeight="1">
      <c r="A150" s="30"/>
      <c r="B150" s="801"/>
      <c r="C150" s="502" t="s">
        <v>1489</v>
      </c>
      <c r="D150" s="503" t="s">
        <v>1490</v>
      </c>
      <c r="E150" s="651">
        <v>95</v>
      </c>
      <c r="F150" s="651">
        <v>100</v>
      </c>
      <c r="G150" s="651"/>
      <c r="H150" s="651">
        <v>100</v>
      </c>
      <c r="I150" s="651">
        <v>95</v>
      </c>
      <c r="J150" s="651">
        <v>100</v>
      </c>
      <c r="K150" s="651">
        <v>95</v>
      </c>
      <c r="L150" s="651">
        <v>100</v>
      </c>
      <c r="M150" s="651">
        <v>85</v>
      </c>
      <c r="N150" s="651">
        <v>100</v>
      </c>
      <c r="O150" s="651">
        <v>100</v>
      </c>
      <c r="P150" s="651">
        <v>85</v>
      </c>
      <c r="Q150" s="651">
        <v>95</v>
      </c>
      <c r="R150" s="651">
        <v>100</v>
      </c>
      <c r="S150" s="651">
        <v>85</v>
      </c>
      <c r="T150" s="651">
        <v>90</v>
      </c>
      <c r="U150" s="651">
        <v>100</v>
      </c>
      <c r="V150" s="651">
        <v>100</v>
      </c>
      <c r="W150" s="651">
        <v>100</v>
      </c>
      <c r="X150" s="651">
        <v>90</v>
      </c>
      <c r="Y150" s="651">
        <v>100</v>
      </c>
      <c r="Z150" s="651">
        <v>100</v>
      </c>
      <c r="AA150" s="651">
        <v>100</v>
      </c>
      <c r="AB150" s="651">
        <v>100</v>
      </c>
      <c r="AC150" s="98"/>
      <c r="AD150" s="98"/>
      <c r="AE150" s="98"/>
      <c r="AF150" s="98"/>
      <c r="AG150" s="98"/>
      <c r="AH150" s="98"/>
    </row>
    <row r="151" spans="1:34" s="476" customFormat="1" ht="39" customHeight="1">
      <c r="A151" s="30"/>
      <c r="B151" s="801"/>
      <c r="C151" s="502" t="s">
        <v>1491</v>
      </c>
      <c r="D151" s="503" t="s">
        <v>1492</v>
      </c>
      <c r="E151" s="651">
        <v>90</v>
      </c>
      <c r="F151" s="651">
        <v>90</v>
      </c>
      <c r="G151" s="651">
        <v>90</v>
      </c>
      <c r="H151" s="651">
        <v>100</v>
      </c>
      <c r="I151" s="651">
        <v>100</v>
      </c>
      <c r="J151" s="651">
        <v>90</v>
      </c>
      <c r="K151" s="651">
        <v>90</v>
      </c>
      <c r="L151" s="651">
        <v>90</v>
      </c>
      <c r="M151" s="651">
        <v>90</v>
      </c>
      <c r="N151" s="651">
        <v>100</v>
      </c>
      <c r="O151" s="651">
        <v>100</v>
      </c>
      <c r="P151" s="651">
        <v>100</v>
      </c>
      <c r="Q151" s="651">
        <v>100</v>
      </c>
      <c r="R151" s="651">
        <v>90</v>
      </c>
      <c r="S151" s="651">
        <v>100</v>
      </c>
      <c r="T151" s="651">
        <v>80</v>
      </c>
      <c r="U151" s="651">
        <v>90</v>
      </c>
      <c r="V151" s="651">
        <v>100</v>
      </c>
      <c r="W151" s="651">
        <v>90</v>
      </c>
      <c r="X151" s="651">
        <v>70</v>
      </c>
      <c r="Y151" s="651">
        <v>90</v>
      </c>
      <c r="Z151" s="651">
        <v>90</v>
      </c>
      <c r="AA151" s="651">
        <v>90</v>
      </c>
      <c r="AB151" s="651">
        <v>80</v>
      </c>
      <c r="AC151" s="98"/>
      <c r="AD151" s="98"/>
      <c r="AE151" s="98"/>
      <c r="AF151" s="98"/>
      <c r="AG151" s="98"/>
      <c r="AH151" s="98"/>
    </row>
    <row r="152" spans="1:34" s="476" customFormat="1" ht="27" customHeight="1">
      <c r="A152" s="30"/>
      <c r="B152" s="801"/>
      <c r="C152" s="502" t="s">
        <v>1493</v>
      </c>
      <c r="D152" s="503" t="s">
        <v>1494</v>
      </c>
      <c r="E152" s="651">
        <v>100</v>
      </c>
      <c r="F152" s="651">
        <v>90</v>
      </c>
      <c r="G152" s="651">
        <v>100</v>
      </c>
      <c r="H152" s="651">
        <v>100</v>
      </c>
      <c r="I152" s="651">
        <v>100</v>
      </c>
      <c r="J152" s="651">
        <v>100</v>
      </c>
      <c r="K152" s="651">
        <v>100</v>
      </c>
      <c r="L152" s="651">
        <v>100</v>
      </c>
      <c r="M152" s="651">
        <v>100</v>
      </c>
      <c r="N152" s="651">
        <v>100</v>
      </c>
      <c r="O152" s="651">
        <v>100</v>
      </c>
      <c r="P152" s="651">
        <v>100</v>
      </c>
      <c r="Q152" s="651">
        <v>90</v>
      </c>
      <c r="R152" s="651"/>
      <c r="S152" s="651">
        <v>90</v>
      </c>
      <c r="T152" s="651">
        <v>100</v>
      </c>
      <c r="U152" s="651">
        <v>100</v>
      </c>
      <c r="V152" s="651">
        <v>100</v>
      </c>
      <c r="W152" s="651">
        <v>100</v>
      </c>
      <c r="X152" s="651">
        <v>100</v>
      </c>
      <c r="Y152" s="651">
        <v>100</v>
      </c>
      <c r="Z152" s="651">
        <v>100</v>
      </c>
      <c r="AA152" s="651">
        <v>100</v>
      </c>
      <c r="AB152" s="651">
        <v>100</v>
      </c>
      <c r="AC152" s="98"/>
      <c r="AD152" s="98"/>
      <c r="AE152" s="98"/>
      <c r="AF152" s="98"/>
      <c r="AG152" s="98"/>
      <c r="AH152" s="98"/>
    </row>
    <row r="153" spans="1:34" s="476" customFormat="1" ht="27" customHeight="1">
      <c r="A153" s="30"/>
      <c r="B153" s="801"/>
      <c r="C153" s="502" t="s">
        <v>1495</v>
      </c>
      <c r="D153" s="503" t="s">
        <v>1496</v>
      </c>
      <c r="E153" s="651">
        <v>100</v>
      </c>
      <c r="F153" s="651">
        <v>100</v>
      </c>
      <c r="G153" s="651">
        <v>100</v>
      </c>
      <c r="H153" s="651">
        <v>90</v>
      </c>
      <c r="I153" s="651">
        <v>100</v>
      </c>
      <c r="J153" s="651">
        <v>100</v>
      </c>
      <c r="K153" s="651">
        <v>100</v>
      </c>
      <c r="L153" s="651">
        <v>100</v>
      </c>
      <c r="M153" s="651">
        <v>90</v>
      </c>
      <c r="N153" s="651">
        <v>100</v>
      </c>
      <c r="O153" s="651">
        <v>90</v>
      </c>
      <c r="P153" s="651">
        <v>100</v>
      </c>
      <c r="Q153" s="651">
        <v>100</v>
      </c>
      <c r="R153" s="651">
        <v>100</v>
      </c>
      <c r="S153" s="651">
        <v>100</v>
      </c>
      <c r="T153" s="651">
        <v>100</v>
      </c>
      <c r="U153" s="651">
        <v>100</v>
      </c>
      <c r="V153" s="651">
        <v>80</v>
      </c>
      <c r="W153" s="651">
        <v>100</v>
      </c>
      <c r="X153" s="651">
        <v>100</v>
      </c>
      <c r="Y153" s="651">
        <v>100</v>
      </c>
      <c r="Z153" s="651">
        <v>80</v>
      </c>
      <c r="AA153" s="651">
        <v>100</v>
      </c>
      <c r="AB153" s="651">
        <v>100</v>
      </c>
      <c r="AC153" s="98"/>
      <c r="AD153" s="98"/>
      <c r="AE153" s="98"/>
      <c r="AF153" s="98"/>
      <c r="AG153" s="98"/>
      <c r="AH153" s="98"/>
    </row>
    <row r="154" spans="1:34" s="476" customFormat="1" ht="45.75" customHeight="1">
      <c r="A154" s="30"/>
      <c r="B154" s="801"/>
      <c r="C154" s="502" t="s">
        <v>1497</v>
      </c>
      <c r="D154" s="503" t="s">
        <v>1498</v>
      </c>
      <c r="E154" s="636">
        <v>90</v>
      </c>
      <c r="F154" s="636"/>
      <c r="G154" s="636">
        <v>90</v>
      </c>
      <c r="H154" s="636">
        <v>90</v>
      </c>
      <c r="I154" s="636">
        <v>100</v>
      </c>
      <c r="J154" s="636">
        <v>100</v>
      </c>
      <c r="K154" s="636">
        <v>100</v>
      </c>
      <c r="L154" s="636">
        <v>80</v>
      </c>
      <c r="M154" s="636">
        <v>95</v>
      </c>
      <c r="N154" s="636">
        <v>100</v>
      </c>
      <c r="O154" s="636">
        <v>100</v>
      </c>
      <c r="P154" s="636">
        <v>100</v>
      </c>
      <c r="Q154" s="636">
        <v>100</v>
      </c>
      <c r="R154" s="636">
        <v>100</v>
      </c>
      <c r="S154" s="636"/>
      <c r="T154" s="636">
        <v>90</v>
      </c>
      <c r="U154" s="636">
        <v>90</v>
      </c>
      <c r="V154" s="636">
        <v>100</v>
      </c>
      <c r="W154" s="636">
        <v>100</v>
      </c>
      <c r="X154" s="636">
        <v>100</v>
      </c>
      <c r="Y154" s="636">
        <v>90</v>
      </c>
      <c r="Z154" s="636">
        <v>90</v>
      </c>
      <c r="AA154" s="636">
        <v>90</v>
      </c>
      <c r="AB154" s="636">
        <v>90</v>
      </c>
      <c r="AC154" s="98"/>
      <c r="AD154" s="98"/>
      <c r="AE154" s="98"/>
      <c r="AF154" s="98"/>
      <c r="AG154" s="98"/>
      <c r="AH154" s="98"/>
    </row>
    <row r="155" spans="1:34" s="476" customFormat="1" ht="27" customHeight="1">
      <c r="A155" s="30"/>
      <c r="B155" s="801"/>
      <c r="C155" s="502" t="s">
        <v>1499</v>
      </c>
      <c r="D155" s="503" t="s">
        <v>1500</v>
      </c>
      <c r="E155" s="636">
        <v>90</v>
      </c>
      <c r="F155" s="636">
        <v>100</v>
      </c>
      <c r="G155" s="636">
        <v>100</v>
      </c>
      <c r="H155" s="636">
        <v>100</v>
      </c>
      <c r="I155" s="636">
        <v>100</v>
      </c>
      <c r="J155" s="636">
        <v>100</v>
      </c>
      <c r="K155" s="636">
        <v>95</v>
      </c>
      <c r="L155" s="636">
        <v>100</v>
      </c>
      <c r="M155" s="636">
        <v>100</v>
      </c>
      <c r="N155" s="636">
        <v>100</v>
      </c>
      <c r="O155" s="636">
        <v>100</v>
      </c>
      <c r="P155" s="636">
        <v>100</v>
      </c>
      <c r="Q155" s="636">
        <v>95</v>
      </c>
      <c r="R155" s="636">
        <v>100</v>
      </c>
      <c r="S155" s="636"/>
      <c r="T155" s="636">
        <v>90</v>
      </c>
      <c r="U155" s="636">
        <v>100</v>
      </c>
      <c r="V155" s="636">
        <v>85</v>
      </c>
      <c r="W155" s="636">
        <v>80</v>
      </c>
      <c r="X155" s="636">
        <v>80</v>
      </c>
      <c r="Y155" s="636">
        <v>95</v>
      </c>
      <c r="Z155" s="636">
        <v>95</v>
      </c>
      <c r="AA155" s="636">
        <v>100</v>
      </c>
      <c r="AB155" s="636">
        <v>100</v>
      </c>
      <c r="AC155" s="98"/>
      <c r="AD155" s="98"/>
      <c r="AE155" s="98"/>
      <c r="AF155" s="98"/>
      <c r="AG155" s="98"/>
      <c r="AH155" s="98"/>
    </row>
    <row r="156" spans="1:34" s="476" customFormat="1" ht="52.5" customHeight="1">
      <c r="A156" s="30"/>
      <c r="B156" s="801"/>
      <c r="C156" s="502" t="s">
        <v>1501</v>
      </c>
      <c r="D156" s="503" t="s">
        <v>1502</v>
      </c>
      <c r="E156" s="636">
        <v>100</v>
      </c>
      <c r="F156" s="636">
        <v>100</v>
      </c>
      <c r="G156" s="636">
        <v>95</v>
      </c>
      <c r="H156" s="636">
        <v>100</v>
      </c>
      <c r="I156" s="636">
        <v>100</v>
      </c>
      <c r="J156" s="636">
        <v>100</v>
      </c>
      <c r="K156" s="636">
        <v>95</v>
      </c>
      <c r="L156" s="636">
        <v>100</v>
      </c>
      <c r="M156" s="636">
        <v>100</v>
      </c>
      <c r="N156" s="636">
        <v>100</v>
      </c>
      <c r="O156" s="636">
        <v>100</v>
      </c>
      <c r="P156" s="636">
        <v>100</v>
      </c>
      <c r="Q156" s="636">
        <v>100</v>
      </c>
      <c r="R156" s="636">
        <v>100</v>
      </c>
      <c r="S156" s="636">
        <v>100</v>
      </c>
      <c r="T156" s="636">
        <v>85</v>
      </c>
      <c r="U156" s="636">
        <v>100</v>
      </c>
      <c r="V156" s="636">
        <v>85</v>
      </c>
      <c r="W156" s="636">
        <v>80</v>
      </c>
      <c r="X156" s="636">
        <v>90</v>
      </c>
      <c r="Y156" s="636">
        <v>100</v>
      </c>
      <c r="Z156" s="636">
        <v>95</v>
      </c>
      <c r="AA156" s="636">
        <v>95</v>
      </c>
      <c r="AB156" s="636">
        <v>100</v>
      </c>
      <c r="AC156" s="98"/>
      <c r="AD156" s="98"/>
      <c r="AE156" s="98"/>
      <c r="AF156" s="98"/>
      <c r="AG156" s="98"/>
      <c r="AH156" s="98"/>
    </row>
    <row r="157" spans="1:34" s="476" customFormat="1" ht="27" customHeight="1">
      <c r="A157" s="30"/>
      <c r="B157" s="801"/>
      <c r="C157" s="502" t="s">
        <v>1503</v>
      </c>
      <c r="D157" s="503" t="s">
        <v>1504</v>
      </c>
      <c r="E157" s="636">
        <v>100</v>
      </c>
      <c r="F157" s="636">
        <v>100</v>
      </c>
      <c r="G157" s="636">
        <v>90</v>
      </c>
      <c r="H157" s="636">
        <v>100</v>
      </c>
      <c r="I157" s="636">
        <v>100</v>
      </c>
      <c r="J157" s="636">
        <v>100</v>
      </c>
      <c r="K157" s="636">
        <v>100</v>
      </c>
      <c r="L157" s="636">
        <v>100</v>
      </c>
      <c r="M157" s="636">
        <v>100</v>
      </c>
      <c r="N157" s="636">
        <v>100</v>
      </c>
      <c r="O157" s="636">
        <v>100</v>
      </c>
      <c r="P157" s="636">
        <v>100</v>
      </c>
      <c r="Q157" s="636">
        <v>100</v>
      </c>
      <c r="R157" s="636">
        <v>100</v>
      </c>
      <c r="S157" s="636">
        <v>95</v>
      </c>
      <c r="T157" s="636">
        <v>100</v>
      </c>
      <c r="U157" s="636">
        <v>100</v>
      </c>
      <c r="V157" s="636">
        <v>100</v>
      </c>
      <c r="W157" s="636">
        <v>100</v>
      </c>
      <c r="X157" s="636">
        <v>100</v>
      </c>
      <c r="Y157" s="636">
        <v>100</v>
      </c>
      <c r="Z157" s="636">
        <v>90</v>
      </c>
      <c r="AA157" s="636">
        <v>100</v>
      </c>
      <c r="AB157" s="636">
        <v>95</v>
      </c>
      <c r="AC157" s="98"/>
      <c r="AD157" s="98"/>
      <c r="AE157" s="98"/>
      <c r="AF157" s="98"/>
      <c r="AG157" s="98"/>
      <c r="AH157" s="98"/>
    </row>
    <row r="158" spans="1:34" s="476" customFormat="1" ht="27" customHeight="1">
      <c r="A158" s="30"/>
      <c r="B158" s="801"/>
      <c r="C158" s="502" t="s">
        <v>1505</v>
      </c>
      <c r="D158" s="503" t="s">
        <v>1506</v>
      </c>
      <c r="E158" s="657">
        <v>100</v>
      </c>
      <c r="F158" s="657">
        <v>100</v>
      </c>
      <c r="G158" s="657">
        <v>90</v>
      </c>
      <c r="H158" s="657">
        <v>100</v>
      </c>
      <c r="I158" s="657">
        <v>90</v>
      </c>
      <c r="J158" s="657">
        <v>100</v>
      </c>
      <c r="K158" s="657">
        <v>100</v>
      </c>
      <c r="L158" s="657">
        <v>100</v>
      </c>
      <c r="M158" s="657">
        <v>90</v>
      </c>
      <c r="N158" s="657">
        <v>90</v>
      </c>
      <c r="O158" s="657">
        <v>100</v>
      </c>
      <c r="P158" s="657">
        <v>90</v>
      </c>
      <c r="Q158" s="657">
        <v>100</v>
      </c>
      <c r="R158" s="657"/>
      <c r="S158" s="657">
        <v>100</v>
      </c>
      <c r="T158" s="657">
        <v>100</v>
      </c>
      <c r="U158" s="657">
        <v>100</v>
      </c>
      <c r="V158" s="657">
        <v>100</v>
      </c>
      <c r="W158" s="657">
        <v>90</v>
      </c>
      <c r="X158" s="657">
        <v>100</v>
      </c>
      <c r="Y158" s="657">
        <v>100</v>
      </c>
      <c r="Z158" s="657">
        <v>100</v>
      </c>
      <c r="AA158" s="657">
        <v>100</v>
      </c>
      <c r="AB158" s="657">
        <v>80</v>
      </c>
      <c r="AC158" s="98"/>
      <c r="AD158" s="98"/>
      <c r="AE158" s="98"/>
      <c r="AF158" s="98"/>
      <c r="AG158" s="98"/>
      <c r="AH158" s="98"/>
    </row>
    <row r="159" spans="1:34" s="476" customFormat="1" ht="27" customHeight="1">
      <c r="A159" s="30"/>
      <c r="B159" s="801"/>
      <c r="C159" s="502" t="s">
        <v>1507</v>
      </c>
      <c r="D159" s="503" t="s">
        <v>1508</v>
      </c>
      <c r="E159" s="657">
        <v>95</v>
      </c>
      <c r="F159" s="657"/>
      <c r="G159" s="657">
        <v>80</v>
      </c>
      <c r="H159" s="657">
        <v>95</v>
      </c>
      <c r="I159" s="657">
        <v>90</v>
      </c>
      <c r="J159" s="657">
        <v>95</v>
      </c>
      <c r="K159" s="657">
        <v>90</v>
      </c>
      <c r="L159" s="657">
        <v>95</v>
      </c>
      <c r="M159" s="657">
        <v>75</v>
      </c>
      <c r="N159" s="657">
        <v>95</v>
      </c>
      <c r="O159" s="657">
        <v>90</v>
      </c>
      <c r="P159" s="657">
        <v>95</v>
      </c>
      <c r="Q159" s="657">
        <v>85</v>
      </c>
      <c r="R159" s="657"/>
      <c r="S159" s="657">
        <v>70</v>
      </c>
      <c r="T159" s="657">
        <v>100</v>
      </c>
      <c r="U159" s="657">
        <v>100</v>
      </c>
      <c r="V159" s="657">
        <v>90</v>
      </c>
      <c r="W159" s="657">
        <v>100</v>
      </c>
      <c r="X159" s="657">
        <v>100</v>
      </c>
      <c r="Y159" s="657">
        <v>100</v>
      </c>
      <c r="Z159" s="657">
        <v>65</v>
      </c>
      <c r="AA159" s="657">
        <v>100</v>
      </c>
      <c r="AB159" s="657">
        <v>75</v>
      </c>
      <c r="AC159" s="98"/>
      <c r="AD159" s="98"/>
      <c r="AE159" s="98"/>
      <c r="AF159" s="98"/>
      <c r="AG159" s="98"/>
      <c r="AH159" s="98"/>
    </row>
    <row r="160" spans="1:34" s="476" customFormat="1" ht="27" customHeight="1">
      <c r="A160" s="30"/>
      <c r="B160" s="801"/>
      <c r="C160" s="502" t="s">
        <v>1509</v>
      </c>
      <c r="D160" s="503" t="s">
        <v>1510</v>
      </c>
      <c r="E160" s="657">
        <v>100</v>
      </c>
      <c r="F160" s="657">
        <v>100</v>
      </c>
      <c r="G160" s="657">
        <v>100</v>
      </c>
      <c r="H160" s="657">
        <v>95</v>
      </c>
      <c r="I160" s="657">
        <v>100</v>
      </c>
      <c r="J160" s="657">
        <v>100</v>
      </c>
      <c r="K160" s="657">
        <v>100</v>
      </c>
      <c r="L160" s="657">
        <v>90</v>
      </c>
      <c r="M160" s="657">
        <v>90</v>
      </c>
      <c r="N160" s="657">
        <v>100</v>
      </c>
      <c r="O160" s="657">
        <v>95</v>
      </c>
      <c r="P160" s="657">
        <v>100</v>
      </c>
      <c r="Q160" s="657">
        <v>100</v>
      </c>
      <c r="R160" s="657"/>
      <c r="S160" s="657">
        <v>100</v>
      </c>
      <c r="T160" s="657">
        <v>100</v>
      </c>
      <c r="U160" s="657">
        <v>100</v>
      </c>
      <c r="V160" s="657">
        <v>100</v>
      </c>
      <c r="W160" s="657">
        <v>90</v>
      </c>
      <c r="X160" s="657">
        <v>100</v>
      </c>
      <c r="Y160" s="657">
        <v>100</v>
      </c>
      <c r="Z160" s="657">
        <v>90</v>
      </c>
      <c r="AA160" s="657">
        <v>100</v>
      </c>
      <c r="AB160" s="657">
        <v>90</v>
      </c>
      <c r="AC160" s="98"/>
      <c r="AD160" s="98"/>
      <c r="AE160" s="98"/>
      <c r="AF160" s="98"/>
      <c r="AG160" s="98"/>
      <c r="AH160" s="98"/>
    </row>
    <row r="161" spans="1:34" s="476" customFormat="1" ht="27" customHeight="1">
      <c r="A161" s="30"/>
      <c r="B161" s="801"/>
      <c r="C161" s="502" t="s">
        <v>1511</v>
      </c>
      <c r="D161" s="503" t="s">
        <v>1512</v>
      </c>
      <c r="E161" s="657">
        <v>100</v>
      </c>
      <c r="F161" s="657">
        <v>100</v>
      </c>
      <c r="G161" s="657">
        <v>90</v>
      </c>
      <c r="H161" s="657">
        <v>100</v>
      </c>
      <c r="I161" s="657">
        <v>100</v>
      </c>
      <c r="J161" s="657">
        <v>100</v>
      </c>
      <c r="K161" s="657">
        <v>100</v>
      </c>
      <c r="L161" s="657">
        <v>100</v>
      </c>
      <c r="M161" s="657">
        <v>100</v>
      </c>
      <c r="N161" s="657">
        <v>100</v>
      </c>
      <c r="O161" s="657">
        <v>100</v>
      </c>
      <c r="P161" s="657">
        <v>100</v>
      </c>
      <c r="Q161" s="657">
        <v>100</v>
      </c>
      <c r="R161" s="657">
        <v>100</v>
      </c>
      <c r="S161" s="657">
        <v>100</v>
      </c>
      <c r="T161" s="657">
        <v>100</v>
      </c>
      <c r="U161" s="657">
        <v>100</v>
      </c>
      <c r="V161" s="657">
        <v>100</v>
      </c>
      <c r="W161" s="657">
        <v>90</v>
      </c>
      <c r="X161" s="657">
        <v>100</v>
      </c>
      <c r="Y161" s="657">
        <v>100</v>
      </c>
      <c r="Z161" s="657">
        <v>90</v>
      </c>
      <c r="AA161" s="657">
        <v>100</v>
      </c>
      <c r="AB161" s="657">
        <v>90</v>
      </c>
      <c r="AC161" s="98"/>
      <c r="AD161" s="98"/>
      <c r="AE161" s="98"/>
      <c r="AF161" s="98"/>
      <c r="AG161" s="98"/>
      <c r="AH161" s="98"/>
    </row>
    <row r="162" spans="1:34" ht="27" hidden="1" customHeight="1">
      <c r="A162" s="30"/>
      <c r="B162" s="801"/>
      <c r="C162" s="412"/>
      <c r="D162" s="72"/>
      <c r="E162" s="98"/>
      <c r="F162" s="98"/>
      <c r="G162" s="98"/>
      <c r="H162" s="98"/>
      <c r="I162" s="98"/>
      <c r="J162" s="98"/>
      <c r="K162" s="98"/>
      <c r="L162" s="98"/>
      <c r="M162" s="98"/>
      <c r="N162" s="98"/>
      <c r="O162" s="98"/>
      <c r="P162" s="98"/>
      <c r="Q162" s="98"/>
      <c r="R162" s="98"/>
      <c r="S162" s="98"/>
      <c r="T162" s="98"/>
      <c r="U162" s="98"/>
      <c r="V162" s="98"/>
      <c r="W162" s="98"/>
      <c r="X162" s="98"/>
      <c r="Y162" s="98"/>
      <c r="Z162" s="98"/>
      <c r="AA162" s="98"/>
      <c r="AB162" s="98"/>
      <c r="AC162" s="98"/>
      <c r="AD162" s="98"/>
      <c r="AE162" s="98"/>
      <c r="AF162" s="98"/>
      <c r="AG162" s="98"/>
      <c r="AH162" s="98"/>
    </row>
    <row r="163" spans="1:34" ht="27" hidden="1" customHeight="1" thickBot="1">
      <c r="A163" s="30"/>
      <c r="B163" s="801"/>
      <c r="C163" s="413"/>
      <c r="D163" s="72"/>
      <c r="E163" s="98"/>
      <c r="F163" s="98"/>
      <c r="G163" s="98"/>
      <c r="H163" s="98"/>
      <c r="I163" s="98"/>
      <c r="J163" s="98"/>
      <c r="K163" s="98"/>
      <c r="L163" s="98"/>
      <c r="M163" s="98"/>
      <c r="N163" s="98"/>
      <c r="O163" s="98"/>
      <c r="P163" s="98"/>
      <c r="Q163" s="98"/>
      <c r="R163" s="98"/>
      <c r="S163" s="98"/>
      <c r="T163" s="98"/>
      <c r="U163" s="98"/>
      <c r="V163" s="98"/>
      <c r="W163" s="98"/>
      <c r="X163" s="98"/>
      <c r="Y163" s="98"/>
      <c r="Z163" s="98"/>
      <c r="AA163" s="98"/>
      <c r="AB163" s="98"/>
      <c r="AC163" s="98"/>
      <c r="AD163" s="98"/>
      <c r="AE163" s="98"/>
      <c r="AF163" s="98"/>
      <c r="AG163" s="98"/>
      <c r="AH163" s="98"/>
    </row>
    <row r="164" spans="1:34" ht="27" hidden="1" customHeight="1">
      <c r="A164" s="30"/>
      <c r="B164" s="801"/>
      <c r="C164" s="74"/>
      <c r="D164" s="72"/>
      <c r="E164" s="98"/>
      <c r="F164" s="98"/>
      <c r="G164" s="98"/>
      <c r="H164" s="98"/>
      <c r="I164" s="98"/>
      <c r="J164" s="98"/>
      <c r="K164" s="98"/>
      <c r="L164" s="98"/>
      <c r="M164" s="98"/>
      <c r="N164" s="98"/>
      <c r="O164" s="98"/>
      <c r="P164" s="98"/>
      <c r="Q164" s="98"/>
      <c r="R164" s="98"/>
      <c r="S164" s="98"/>
      <c r="T164" s="98"/>
      <c r="U164" s="98"/>
      <c r="V164" s="98"/>
      <c r="W164" s="98"/>
      <c r="X164" s="98"/>
      <c r="Y164" s="98"/>
      <c r="Z164" s="98"/>
      <c r="AA164" s="98"/>
      <c r="AB164" s="98"/>
      <c r="AC164" s="98"/>
      <c r="AD164" s="98"/>
      <c r="AE164" s="98"/>
      <c r="AF164" s="98"/>
      <c r="AG164" s="98"/>
      <c r="AH164" s="98"/>
    </row>
    <row r="165" spans="1:34" ht="27" hidden="1" customHeight="1">
      <c r="A165" s="30"/>
      <c r="B165" s="801"/>
      <c r="C165" s="74"/>
      <c r="D165" s="72"/>
      <c r="E165" s="98"/>
      <c r="F165" s="98"/>
      <c r="G165" s="98"/>
      <c r="H165" s="98"/>
      <c r="I165" s="98"/>
      <c r="J165" s="98"/>
      <c r="K165" s="98"/>
      <c r="L165" s="98"/>
      <c r="M165" s="98"/>
      <c r="N165" s="98"/>
      <c r="O165" s="98"/>
      <c r="P165" s="98"/>
      <c r="Q165" s="98"/>
      <c r="R165" s="98"/>
      <c r="S165" s="98"/>
      <c r="T165" s="98"/>
      <c r="U165" s="98"/>
      <c r="V165" s="98"/>
      <c r="W165" s="98"/>
      <c r="X165" s="98"/>
      <c r="Y165" s="98"/>
      <c r="Z165" s="98"/>
      <c r="AA165" s="98"/>
      <c r="AB165" s="98"/>
      <c r="AC165" s="98"/>
      <c r="AD165" s="98"/>
      <c r="AE165" s="98"/>
      <c r="AF165" s="98"/>
      <c r="AG165" s="98"/>
      <c r="AH165" s="98"/>
    </row>
    <row r="166" spans="1:34" ht="27" hidden="1" customHeight="1">
      <c r="A166" s="30"/>
      <c r="B166" s="801"/>
      <c r="C166" s="74"/>
      <c r="D166" s="72"/>
      <c r="E166" s="98"/>
      <c r="F166" s="98"/>
      <c r="G166" s="98"/>
      <c r="H166" s="98"/>
      <c r="I166" s="98"/>
      <c r="J166" s="98"/>
      <c r="K166" s="98"/>
      <c r="L166" s="98"/>
      <c r="M166" s="98"/>
      <c r="N166" s="98"/>
      <c r="O166" s="98"/>
      <c r="P166" s="98"/>
      <c r="Q166" s="98"/>
      <c r="R166" s="98"/>
      <c r="S166" s="98"/>
      <c r="T166" s="98"/>
      <c r="U166" s="98"/>
      <c r="V166" s="98"/>
      <c r="W166" s="98"/>
      <c r="X166" s="98"/>
      <c r="Y166" s="98"/>
      <c r="Z166" s="98"/>
      <c r="AA166" s="98"/>
      <c r="AB166" s="98"/>
      <c r="AC166" s="98"/>
      <c r="AD166" s="98"/>
      <c r="AE166" s="98"/>
      <c r="AF166" s="98"/>
      <c r="AG166" s="98"/>
      <c r="AH166" s="98"/>
    </row>
    <row r="167" spans="1:34" ht="27" hidden="1" customHeight="1">
      <c r="A167" s="30"/>
      <c r="B167" s="802"/>
      <c r="C167" s="74"/>
      <c r="D167" s="72"/>
      <c r="E167" s="98"/>
      <c r="F167" s="98"/>
      <c r="G167" s="98"/>
      <c r="H167" s="98"/>
      <c r="I167" s="98"/>
      <c r="J167" s="98"/>
      <c r="K167" s="98"/>
      <c r="L167" s="98"/>
      <c r="M167" s="98"/>
      <c r="N167" s="98"/>
      <c r="O167" s="98"/>
      <c r="P167" s="98"/>
      <c r="Q167" s="98"/>
      <c r="R167" s="98"/>
      <c r="S167" s="98"/>
      <c r="T167" s="98"/>
      <c r="U167" s="98"/>
      <c r="V167" s="98"/>
      <c r="W167" s="98"/>
      <c r="X167" s="98"/>
      <c r="Y167" s="98"/>
      <c r="Z167" s="98"/>
      <c r="AA167" s="98"/>
      <c r="AB167" s="98"/>
      <c r="AC167" s="98"/>
      <c r="AD167" s="98"/>
      <c r="AE167" s="98"/>
      <c r="AF167" s="98"/>
      <c r="AG167" s="98"/>
      <c r="AH167" s="98"/>
    </row>
    <row r="168" spans="1:34" ht="27" hidden="1" customHeight="1">
      <c r="A168" s="30"/>
      <c r="B168" s="800">
        <v>9</v>
      </c>
      <c r="C168" s="795"/>
      <c r="D168" s="796"/>
      <c r="E168" s="97" t="str">
        <f>IFERROR(AVERAGE(E169:E175),"")</f>
        <v/>
      </c>
      <c r="F168" s="97" t="str">
        <f t="shared" ref="F168:AB168" si="16">IFERROR(AVERAGE(F169:F175),"")</f>
        <v/>
      </c>
      <c r="G168" s="97" t="str">
        <f t="shared" si="16"/>
        <v/>
      </c>
      <c r="H168" s="97" t="str">
        <f t="shared" si="16"/>
        <v/>
      </c>
      <c r="I168" s="97" t="str">
        <f t="shared" si="16"/>
        <v/>
      </c>
      <c r="J168" s="97" t="str">
        <f t="shared" si="16"/>
        <v/>
      </c>
      <c r="K168" s="97" t="str">
        <f t="shared" si="16"/>
        <v/>
      </c>
      <c r="L168" s="97" t="str">
        <f t="shared" si="16"/>
        <v/>
      </c>
      <c r="M168" s="97" t="str">
        <f t="shared" si="16"/>
        <v/>
      </c>
      <c r="N168" s="97" t="str">
        <f t="shared" si="16"/>
        <v/>
      </c>
      <c r="O168" s="97" t="str">
        <f t="shared" si="16"/>
        <v/>
      </c>
      <c r="P168" s="97" t="str">
        <f t="shared" si="16"/>
        <v/>
      </c>
      <c r="Q168" s="97" t="str">
        <f t="shared" si="16"/>
        <v/>
      </c>
      <c r="R168" s="97" t="str">
        <f t="shared" si="16"/>
        <v/>
      </c>
      <c r="S168" s="97" t="str">
        <f t="shared" si="16"/>
        <v/>
      </c>
      <c r="T168" s="97" t="str">
        <f t="shared" si="16"/>
        <v/>
      </c>
      <c r="U168" s="97" t="str">
        <f t="shared" si="16"/>
        <v/>
      </c>
      <c r="V168" s="97" t="str">
        <f t="shared" si="16"/>
        <v/>
      </c>
      <c r="W168" s="97" t="str">
        <f t="shared" si="16"/>
        <v/>
      </c>
      <c r="X168" s="97" t="str">
        <f t="shared" si="16"/>
        <v/>
      </c>
      <c r="Y168" s="97" t="str">
        <f t="shared" si="16"/>
        <v/>
      </c>
      <c r="Z168" s="97" t="str">
        <f t="shared" si="16"/>
        <v/>
      </c>
      <c r="AA168" s="97" t="str">
        <f t="shared" si="16"/>
        <v/>
      </c>
      <c r="AB168" s="97" t="str">
        <f t="shared" si="16"/>
        <v/>
      </c>
      <c r="AC168" s="97" t="str">
        <f t="shared" ref="AC168:AH168" si="17">IFERROR(AVERAGE(AC169:AC175),"")</f>
        <v/>
      </c>
      <c r="AD168" s="97" t="str">
        <f t="shared" si="17"/>
        <v/>
      </c>
      <c r="AE168" s="97" t="str">
        <f t="shared" si="17"/>
        <v/>
      </c>
      <c r="AF168" s="97" t="str">
        <f t="shared" si="17"/>
        <v/>
      </c>
      <c r="AG168" s="97" t="str">
        <f t="shared" si="17"/>
        <v/>
      </c>
      <c r="AH168" s="97" t="str">
        <f t="shared" si="17"/>
        <v/>
      </c>
    </row>
    <row r="169" spans="1:34" ht="27" hidden="1" customHeight="1">
      <c r="A169" s="30"/>
      <c r="B169" s="801"/>
      <c r="C169" s="74"/>
      <c r="D169" s="72"/>
      <c r="E169" s="98"/>
      <c r="F169" s="98"/>
      <c r="G169" s="98"/>
      <c r="H169" s="98"/>
      <c r="I169" s="98"/>
      <c r="J169" s="98"/>
      <c r="K169" s="98"/>
      <c r="L169" s="98"/>
      <c r="M169" s="98"/>
      <c r="N169" s="98"/>
      <c r="O169" s="98"/>
      <c r="P169" s="98"/>
      <c r="Q169" s="98"/>
      <c r="R169" s="98"/>
      <c r="S169" s="98"/>
      <c r="T169" s="98"/>
      <c r="U169" s="98"/>
      <c r="V169" s="98"/>
      <c r="W169" s="98"/>
      <c r="X169" s="98"/>
      <c r="Y169" s="98"/>
      <c r="Z169" s="98"/>
      <c r="AA169" s="98"/>
      <c r="AB169" s="98"/>
      <c r="AC169" s="98"/>
      <c r="AD169" s="98"/>
      <c r="AE169" s="98"/>
      <c r="AF169" s="98"/>
      <c r="AG169" s="98"/>
      <c r="AH169" s="98"/>
    </row>
    <row r="170" spans="1:34" ht="27" hidden="1" customHeight="1">
      <c r="A170" s="30"/>
      <c r="B170" s="801"/>
      <c r="C170" s="74"/>
      <c r="D170" s="72"/>
      <c r="E170" s="98"/>
      <c r="F170" s="98"/>
      <c r="G170" s="98"/>
      <c r="H170" s="98"/>
      <c r="I170" s="98"/>
      <c r="J170" s="98"/>
      <c r="K170" s="98"/>
      <c r="L170" s="98"/>
      <c r="M170" s="98"/>
      <c r="N170" s="98"/>
      <c r="O170" s="98"/>
      <c r="P170" s="98"/>
      <c r="Q170" s="98"/>
      <c r="R170" s="98"/>
      <c r="S170" s="98"/>
      <c r="T170" s="98"/>
      <c r="U170" s="98"/>
      <c r="V170" s="98"/>
      <c r="W170" s="98"/>
      <c r="X170" s="98"/>
      <c r="Y170" s="98"/>
      <c r="Z170" s="98"/>
      <c r="AA170" s="98"/>
      <c r="AB170" s="98"/>
      <c r="AC170" s="98"/>
      <c r="AD170" s="98"/>
      <c r="AE170" s="98"/>
      <c r="AF170" s="98"/>
      <c r="AG170" s="98"/>
      <c r="AH170" s="98"/>
    </row>
    <row r="171" spans="1:34" ht="27" hidden="1" customHeight="1">
      <c r="A171" s="30"/>
      <c r="B171" s="801"/>
      <c r="C171" s="74" t="s">
        <v>203</v>
      </c>
      <c r="D171" s="72"/>
      <c r="E171" s="98"/>
      <c r="F171" s="98"/>
      <c r="G171" s="98"/>
      <c r="H171" s="98"/>
      <c r="I171" s="98"/>
      <c r="J171" s="98"/>
      <c r="K171" s="98"/>
      <c r="L171" s="98"/>
      <c r="M171" s="98"/>
      <c r="N171" s="98"/>
      <c r="O171" s="98"/>
      <c r="P171" s="98"/>
      <c r="Q171" s="98"/>
      <c r="R171" s="98"/>
      <c r="S171" s="98"/>
      <c r="T171" s="98"/>
      <c r="U171" s="98"/>
      <c r="V171" s="98"/>
      <c r="W171" s="98"/>
      <c r="X171" s="98"/>
      <c r="Y171" s="98"/>
      <c r="Z171" s="98"/>
      <c r="AA171" s="98"/>
      <c r="AB171" s="98"/>
      <c r="AC171" s="98"/>
      <c r="AD171" s="98"/>
      <c r="AE171" s="98"/>
      <c r="AF171" s="98"/>
      <c r="AG171" s="98"/>
      <c r="AH171" s="98"/>
    </row>
    <row r="172" spans="1:34" ht="27" hidden="1" customHeight="1">
      <c r="A172" s="30"/>
      <c r="B172" s="801"/>
      <c r="C172" s="74" t="s">
        <v>204</v>
      </c>
      <c r="D172" s="72"/>
      <c r="E172" s="98"/>
      <c r="F172" s="98"/>
      <c r="G172" s="98"/>
      <c r="H172" s="98"/>
      <c r="I172" s="98"/>
      <c r="J172" s="98"/>
      <c r="K172" s="98"/>
      <c r="L172" s="98"/>
      <c r="M172" s="98"/>
      <c r="N172" s="98"/>
      <c r="O172" s="98"/>
      <c r="P172" s="98"/>
      <c r="Q172" s="98"/>
      <c r="R172" s="98"/>
      <c r="S172" s="98"/>
      <c r="T172" s="98"/>
      <c r="U172" s="98"/>
      <c r="V172" s="98"/>
      <c r="W172" s="98"/>
      <c r="X172" s="98"/>
      <c r="Y172" s="98"/>
      <c r="Z172" s="98"/>
      <c r="AA172" s="98"/>
      <c r="AB172" s="98"/>
      <c r="AC172" s="98"/>
      <c r="AD172" s="98"/>
      <c r="AE172" s="98"/>
      <c r="AF172" s="98"/>
      <c r="AG172" s="98"/>
      <c r="AH172" s="98"/>
    </row>
    <row r="173" spans="1:34" ht="27" hidden="1" customHeight="1">
      <c r="A173" s="30"/>
      <c r="B173" s="801"/>
      <c r="C173" s="74" t="s">
        <v>205</v>
      </c>
      <c r="D173" s="72"/>
      <c r="E173" s="98"/>
      <c r="F173" s="98"/>
      <c r="G173" s="98"/>
      <c r="H173" s="98"/>
      <c r="I173" s="98"/>
      <c r="J173" s="98"/>
      <c r="K173" s="98"/>
      <c r="L173" s="98"/>
      <c r="M173" s="98"/>
      <c r="N173" s="98"/>
      <c r="O173" s="98"/>
      <c r="P173" s="98"/>
      <c r="Q173" s="98"/>
      <c r="R173" s="98"/>
      <c r="S173" s="98"/>
      <c r="T173" s="98"/>
      <c r="U173" s="98"/>
      <c r="V173" s="98"/>
      <c r="W173" s="98"/>
      <c r="X173" s="98"/>
      <c r="Y173" s="98"/>
      <c r="Z173" s="98"/>
      <c r="AA173" s="98"/>
      <c r="AB173" s="98"/>
      <c r="AC173" s="98"/>
      <c r="AD173" s="98"/>
      <c r="AE173" s="98"/>
      <c r="AF173" s="98"/>
      <c r="AG173" s="98"/>
      <c r="AH173" s="98"/>
    </row>
    <row r="174" spans="1:34" ht="27" hidden="1" customHeight="1">
      <c r="A174" s="30"/>
      <c r="B174" s="801"/>
      <c r="C174" s="74" t="s">
        <v>206</v>
      </c>
      <c r="D174" s="72"/>
      <c r="E174" s="98"/>
      <c r="F174" s="98"/>
      <c r="G174" s="98"/>
      <c r="H174" s="98"/>
      <c r="I174" s="98"/>
      <c r="J174" s="98"/>
      <c r="K174" s="98"/>
      <c r="L174" s="98"/>
      <c r="M174" s="98"/>
      <c r="N174" s="98"/>
      <c r="O174" s="98"/>
      <c r="P174" s="98"/>
      <c r="Q174" s="98"/>
      <c r="R174" s="98"/>
      <c r="S174" s="98"/>
      <c r="T174" s="98"/>
      <c r="U174" s="98"/>
      <c r="V174" s="98"/>
      <c r="W174" s="98"/>
      <c r="X174" s="98"/>
      <c r="Y174" s="98"/>
      <c r="Z174" s="98"/>
      <c r="AA174" s="98"/>
      <c r="AB174" s="98"/>
      <c r="AC174" s="98"/>
      <c r="AD174" s="98"/>
      <c r="AE174" s="98"/>
      <c r="AF174" s="98"/>
      <c r="AG174" s="98"/>
      <c r="AH174" s="98"/>
    </row>
    <row r="175" spans="1:34" ht="27" hidden="1" customHeight="1">
      <c r="A175" s="30"/>
      <c r="B175" s="802"/>
      <c r="C175" s="74" t="s">
        <v>207</v>
      </c>
      <c r="D175" s="72"/>
      <c r="E175" s="98"/>
      <c r="F175" s="98"/>
      <c r="G175" s="98"/>
      <c r="H175" s="98"/>
      <c r="I175" s="98"/>
      <c r="J175" s="98"/>
      <c r="K175" s="98"/>
      <c r="L175" s="98"/>
      <c r="M175" s="98"/>
      <c r="N175" s="98"/>
      <c r="O175" s="98"/>
      <c r="P175" s="98"/>
      <c r="Q175" s="98"/>
      <c r="R175" s="98"/>
      <c r="S175" s="98"/>
      <c r="T175" s="98"/>
      <c r="U175" s="98"/>
      <c r="V175" s="98"/>
      <c r="W175" s="98"/>
      <c r="X175" s="98"/>
      <c r="Y175" s="98"/>
      <c r="Z175" s="98"/>
      <c r="AA175" s="98"/>
      <c r="AB175" s="98"/>
      <c r="AC175" s="98"/>
      <c r="AD175" s="98"/>
      <c r="AE175" s="98"/>
      <c r="AF175" s="98"/>
      <c r="AG175" s="98"/>
      <c r="AH175" s="98"/>
    </row>
    <row r="176" spans="1:34" ht="27" hidden="1" customHeight="1">
      <c r="A176" s="30"/>
      <c r="B176" s="800">
        <v>10</v>
      </c>
      <c r="C176" s="795"/>
      <c r="D176" s="796"/>
      <c r="E176" s="97" t="str">
        <f>IFERROR(AVERAGE(E177:E183),"")</f>
        <v/>
      </c>
      <c r="F176" s="97" t="str">
        <f t="shared" ref="F176:AB176" si="18">IFERROR(AVERAGE(F177:F183),"")</f>
        <v/>
      </c>
      <c r="G176" s="97" t="str">
        <f t="shared" si="18"/>
        <v/>
      </c>
      <c r="H176" s="97" t="str">
        <f t="shared" si="18"/>
        <v/>
      </c>
      <c r="I176" s="97" t="str">
        <f t="shared" si="18"/>
        <v/>
      </c>
      <c r="J176" s="97" t="str">
        <f t="shared" si="18"/>
        <v/>
      </c>
      <c r="K176" s="97" t="str">
        <f t="shared" si="18"/>
        <v/>
      </c>
      <c r="L176" s="97" t="str">
        <f t="shared" si="18"/>
        <v/>
      </c>
      <c r="M176" s="97" t="str">
        <f t="shared" si="18"/>
        <v/>
      </c>
      <c r="N176" s="97" t="str">
        <f t="shared" si="18"/>
        <v/>
      </c>
      <c r="O176" s="97" t="str">
        <f t="shared" si="18"/>
        <v/>
      </c>
      <c r="P176" s="97" t="str">
        <f t="shared" si="18"/>
        <v/>
      </c>
      <c r="Q176" s="97" t="str">
        <f t="shared" si="18"/>
        <v/>
      </c>
      <c r="R176" s="97" t="str">
        <f t="shared" si="18"/>
        <v/>
      </c>
      <c r="S176" s="97" t="str">
        <f t="shared" si="18"/>
        <v/>
      </c>
      <c r="T176" s="97" t="str">
        <f t="shared" si="18"/>
        <v/>
      </c>
      <c r="U176" s="97" t="str">
        <f t="shared" si="18"/>
        <v/>
      </c>
      <c r="V176" s="97" t="str">
        <f t="shared" si="18"/>
        <v/>
      </c>
      <c r="W176" s="97" t="str">
        <f t="shared" si="18"/>
        <v/>
      </c>
      <c r="X176" s="97" t="str">
        <f t="shared" si="18"/>
        <v/>
      </c>
      <c r="Y176" s="97" t="str">
        <f t="shared" si="18"/>
        <v/>
      </c>
      <c r="Z176" s="97" t="str">
        <f t="shared" si="18"/>
        <v/>
      </c>
      <c r="AA176" s="97" t="str">
        <f t="shared" si="18"/>
        <v/>
      </c>
      <c r="AB176" s="97" t="str">
        <f t="shared" si="18"/>
        <v/>
      </c>
      <c r="AC176" s="97" t="str">
        <f t="shared" ref="AC176:AH176" si="19">IFERROR(AVERAGE(AC177:AC183),"")</f>
        <v/>
      </c>
      <c r="AD176" s="97" t="str">
        <f t="shared" si="19"/>
        <v/>
      </c>
      <c r="AE176" s="97" t="str">
        <f t="shared" si="19"/>
        <v/>
      </c>
      <c r="AF176" s="97" t="str">
        <f t="shared" si="19"/>
        <v/>
      </c>
      <c r="AG176" s="97" t="str">
        <f t="shared" si="19"/>
        <v/>
      </c>
      <c r="AH176" s="97" t="str">
        <f t="shared" si="19"/>
        <v/>
      </c>
    </row>
    <row r="177" spans="1:34" ht="27" hidden="1" customHeight="1">
      <c r="A177" s="30"/>
      <c r="B177" s="801"/>
      <c r="C177" s="74"/>
      <c r="D177" s="72"/>
      <c r="E177" s="98"/>
      <c r="F177" s="98"/>
      <c r="G177" s="98"/>
      <c r="H177" s="98"/>
      <c r="I177" s="98"/>
      <c r="J177" s="98"/>
      <c r="K177" s="98"/>
      <c r="L177" s="98"/>
      <c r="M177" s="98"/>
      <c r="N177" s="98"/>
      <c r="O177" s="98"/>
      <c r="P177" s="98"/>
      <c r="Q177" s="98"/>
      <c r="R177" s="98"/>
      <c r="S177" s="98"/>
      <c r="T177" s="98"/>
      <c r="U177" s="98"/>
      <c r="V177" s="98"/>
      <c r="W177" s="98"/>
      <c r="X177" s="98"/>
      <c r="Y177" s="98"/>
      <c r="Z177" s="98"/>
      <c r="AA177" s="98"/>
      <c r="AB177" s="98"/>
      <c r="AC177" s="98"/>
      <c r="AD177" s="98"/>
      <c r="AE177" s="98"/>
      <c r="AF177" s="98"/>
      <c r="AG177" s="98"/>
      <c r="AH177" s="98"/>
    </row>
    <row r="178" spans="1:34" ht="27" hidden="1" customHeight="1">
      <c r="A178" s="30"/>
      <c r="B178" s="801"/>
      <c r="C178" s="74"/>
      <c r="D178" s="72"/>
      <c r="E178" s="98"/>
      <c r="F178" s="98"/>
      <c r="G178" s="98"/>
      <c r="H178" s="98"/>
      <c r="I178" s="98"/>
      <c r="J178" s="98"/>
      <c r="K178" s="98"/>
      <c r="L178" s="98"/>
      <c r="M178" s="98"/>
      <c r="N178" s="98"/>
      <c r="O178" s="98"/>
      <c r="P178" s="98"/>
      <c r="Q178" s="98"/>
      <c r="R178" s="98"/>
      <c r="S178" s="98"/>
      <c r="T178" s="98"/>
      <c r="U178" s="98"/>
      <c r="V178" s="98"/>
      <c r="W178" s="98"/>
      <c r="X178" s="98"/>
      <c r="Y178" s="98"/>
      <c r="Z178" s="98"/>
      <c r="AA178" s="98"/>
      <c r="AB178" s="98"/>
      <c r="AC178" s="98"/>
      <c r="AD178" s="98"/>
      <c r="AE178" s="98"/>
      <c r="AF178" s="98"/>
      <c r="AG178" s="98"/>
      <c r="AH178" s="98"/>
    </row>
    <row r="179" spans="1:34" ht="27" hidden="1" customHeight="1">
      <c r="A179" s="30"/>
      <c r="B179" s="801"/>
      <c r="C179" s="74" t="s">
        <v>210</v>
      </c>
      <c r="D179" s="72"/>
      <c r="E179" s="98"/>
      <c r="F179" s="98"/>
      <c r="G179" s="98"/>
      <c r="H179" s="98"/>
      <c r="I179" s="98"/>
      <c r="J179" s="98"/>
      <c r="K179" s="98"/>
      <c r="L179" s="98"/>
      <c r="M179" s="98"/>
      <c r="N179" s="98"/>
      <c r="O179" s="98"/>
      <c r="P179" s="98"/>
      <c r="Q179" s="98"/>
      <c r="R179" s="98"/>
      <c r="S179" s="98"/>
      <c r="T179" s="98"/>
      <c r="U179" s="98"/>
      <c r="V179" s="98"/>
      <c r="W179" s="98"/>
      <c r="X179" s="98"/>
      <c r="Y179" s="98"/>
      <c r="Z179" s="98"/>
      <c r="AA179" s="98"/>
      <c r="AB179" s="98"/>
      <c r="AC179" s="98"/>
      <c r="AD179" s="98"/>
      <c r="AE179" s="98"/>
      <c r="AF179" s="98"/>
      <c r="AG179" s="98"/>
      <c r="AH179" s="98"/>
    </row>
    <row r="180" spans="1:34" ht="27" hidden="1" customHeight="1">
      <c r="A180" s="30"/>
      <c r="B180" s="801"/>
      <c r="C180" s="74" t="s">
        <v>211</v>
      </c>
      <c r="D180" s="72"/>
      <c r="E180" s="98"/>
      <c r="F180" s="98"/>
      <c r="G180" s="98"/>
      <c r="H180" s="98"/>
      <c r="I180" s="98"/>
      <c r="J180" s="98"/>
      <c r="K180" s="98"/>
      <c r="L180" s="98"/>
      <c r="M180" s="98"/>
      <c r="N180" s="98"/>
      <c r="O180" s="98"/>
      <c r="P180" s="98"/>
      <c r="Q180" s="98"/>
      <c r="R180" s="98"/>
      <c r="S180" s="98"/>
      <c r="T180" s="98"/>
      <c r="U180" s="98"/>
      <c r="V180" s="98"/>
      <c r="W180" s="98"/>
      <c r="X180" s="98"/>
      <c r="Y180" s="98"/>
      <c r="Z180" s="98"/>
      <c r="AA180" s="98"/>
      <c r="AB180" s="98"/>
      <c r="AC180" s="98"/>
      <c r="AD180" s="98"/>
      <c r="AE180" s="98"/>
      <c r="AF180" s="98"/>
      <c r="AG180" s="98"/>
      <c r="AH180" s="98"/>
    </row>
    <row r="181" spans="1:34" ht="27" hidden="1" customHeight="1">
      <c r="A181" s="30"/>
      <c r="B181" s="801"/>
      <c r="C181" s="74" t="s">
        <v>212</v>
      </c>
      <c r="D181" s="72"/>
      <c r="E181" s="98"/>
      <c r="F181" s="98"/>
      <c r="G181" s="98"/>
      <c r="H181" s="98"/>
      <c r="I181" s="98"/>
      <c r="J181" s="98"/>
      <c r="K181" s="98"/>
      <c r="L181" s="98"/>
      <c r="M181" s="98"/>
      <c r="N181" s="98"/>
      <c r="O181" s="98"/>
      <c r="P181" s="98"/>
      <c r="Q181" s="98"/>
      <c r="R181" s="98"/>
      <c r="S181" s="98"/>
      <c r="T181" s="98"/>
      <c r="U181" s="98"/>
      <c r="V181" s="98"/>
      <c r="W181" s="98"/>
      <c r="X181" s="98"/>
      <c r="Y181" s="98"/>
      <c r="Z181" s="98"/>
      <c r="AA181" s="98"/>
      <c r="AB181" s="98"/>
      <c r="AC181" s="98"/>
      <c r="AD181" s="98"/>
      <c r="AE181" s="98"/>
      <c r="AF181" s="98"/>
      <c r="AG181" s="98"/>
      <c r="AH181" s="98"/>
    </row>
    <row r="182" spans="1:34" ht="27" hidden="1" customHeight="1">
      <c r="A182" s="30"/>
      <c r="B182" s="801"/>
      <c r="C182" s="74" t="s">
        <v>213</v>
      </c>
      <c r="D182" s="72"/>
      <c r="E182" s="98"/>
      <c r="F182" s="98"/>
      <c r="G182" s="98"/>
      <c r="H182" s="98"/>
      <c r="I182" s="98"/>
      <c r="J182" s="98"/>
      <c r="K182" s="98"/>
      <c r="L182" s="98"/>
      <c r="M182" s="98"/>
      <c r="N182" s="98"/>
      <c r="O182" s="98"/>
      <c r="P182" s="98"/>
      <c r="Q182" s="98"/>
      <c r="R182" s="98"/>
      <c r="S182" s="98"/>
      <c r="T182" s="98"/>
      <c r="U182" s="98"/>
      <c r="V182" s="98"/>
      <c r="W182" s="98"/>
      <c r="X182" s="98"/>
      <c r="Y182" s="98"/>
      <c r="Z182" s="98"/>
      <c r="AA182" s="98"/>
      <c r="AB182" s="98"/>
      <c r="AC182" s="98"/>
      <c r="AD182" s="98"/>
      <c r="AE182" s="98"/>
      <c r="AF182" s="98"/>
      <c r="AG182" s="98"/>
      <c r="AH182" s="98"/>
    </row>
    <row r="183" spans="1:34" ht="27" hidden="1" customHeight="1">
      <c r="A183" s="30"/>
      <c r="B183" s="802"/>
      <c r="C183" s="74" t="s">
        <v>214</v>
      </c>
      <c r="D183" s="72"/>
      <c r="E183" s="98"/>
      <c r="F183" s="98"/>
      <c r="G183" s="98"/>
      <c r="H183" s="98"/>
      <c r="I183" s="98"/>
      <c r="J183" s="98"/>
      <c r="K183" s="98"/>
      <c r="L183" s="98"/>
      <c r="M183" s="98"/>
      <c r="N183" s="98"/>
      <c r="O183" s="98"/>
      <c r="P183" s="98"/>
      <c r="Q183" s="98"/>
      <c r="R183" s="98"/>
      <c r="S183" s="98"/>
      <c r="T183" s="98"/>
      <c r="U183" s="98"/>
      <c r="V183" s="98"/>
      <c r="W183" s="98"/>
      <c r="X183" s="98"/>
      <c r="Y183" s="98"/>
      <c r="Z183" s="98"/>
      <c r="AA183" s="98"/>
      <c r="AB183" s="98"/>
      <c r="AC183" s="98"/>
      <c r="AD183" s="98"/>
      <c r="AE183" s="98"/>
      <c r="AF183" s="98"/>
      <c r="AG183" s="98"/>
      <c r="AH183" s="98"/>
    </row>
    <row r="184" spans="1:34" ht="27" hidden="1" customHeight="1">
      <c r="A184" s="30"/>
      <c r="B184" s="800">
        <v>11</v>
      </c>
      <c r="C184" s="795"/>
      <c r="D184" s="796"/>
      <c r="E184" s="97" t="str">
        <f>IFERROR(AVERAGE(E185:E191),"")</f>
        <v/>
      </c>
      <c r="F184" s="97" t="str">
        <f t="shared" ref="F184:AB184" si="20">IFERROR(AVERAGE(F185:F191),"")</f>
        <v/>
      </c>
      <c r="G184" s="97" t="str">
        <f t="shared" si="20"/>
        <v/>
      </c>
      <c r="H184" s="97" t="str">
        <f t="shared" si="20"/>
        <v/>
      </c>
      <c r="I184" s="97" t="str">
        <f t="shared" si="20"/>
        <v/>
      </c>
      <c r="J184" s="97" t="str">
        <f t="shared" si="20"/>
        <v/>
      </c>
      <c r="K184" s="97" t="str">
        <f t="shared" si="20"/>
        <v/>
      </c>
      <c r="L184" s="97" t="str">
        <f t="shared" si="20"/>
        <v/>
      </c>
      <c r="M184" s="97" t="str">
        <f t="shared" si="20"/>
        <v/>
      </c>
      <c r="N184" s="97" t="str">
        <f t="shared" si="20"/>
        <v/>
      </c>
      <c r="O184" s="97" t="str">
        <f t="shared" si="20"/>
        <v/>
      </c>
      <c r="P184" s="97" t="str">
        <f t="shared" si="20"/>
        <v/>
      </c>
      <c r="Q184" s="97" t="str">
        <f t="shared" si="20"/>
        <v/>
      </c>
      <c r="R184" s="97" t="str">
        <f t="shared" si="20"/>
        <v/>
      </c>
      <c r="S184" s="97" t="str">
        <f t="shared" si="20"/>
        <v/>
      </c>
      <c r="T184" s="97" t="str">
        <f t="shared" si="20"/>
        <v/>
      </c>
      <c r="U184" s="97" t="str">
        <f t="shared" si="20"/>
        <v/>
      </c>
      <c r="V184" s="97" t="str">
        <f t="shared" si="20"/>
        <v/>
      </c>
      <c r="W184" s="97" t="str">
        <f t="shared" si="20"/>
        <v/>
      </c>
      <c r="X184" s="97" t="str">
        <f t="shared" si="20"/>
        <v/>
      </c>
      <c r="Y184" s="97" t="str">
        <f t="shared" si="20"/>
        <v/>
      </c>
      <c r="Z184" s="97" t="str">
        <f t="shared" si="20"/>
        <v/>
      </c>
      <c r="AA184" s="97" t="str">
        <f t="shared" si="20"/>
        <v/>
      </c>
      <c r="AB184" s="97" t="str">
        <f t="shared" si="20"/>
        <v/>
      </c>
      <c r="AC184" s="97" t="str">
        <f t="shared" ref="AC184:AH184" si="21">IFERROR(AVERAGE(AC185:AC191),"")</f>
        <v/>
      </c>
      <c r="AD184" s="97" t="str">
        <f t="shared" si="21"/>
        <v/>
      </c>
      <c r="AE184" s="97" t="str">
        <f t="shared" si="21"/>
        <v/>
      </c>
      <c r="AF184" s="97" t="str">
        <f t="shared" si="21"/>
        <v/>
      </c>
      <c r="AG184" s="97" t="str">
        <f t="shared" si="21"/>
        <v/>
      </c>
      <c r="AH184" s="97" t="str">
        <f t="shared" si="21"/>
        <v/>
      </c>
    </row>
    <row r="185" spans="1:34" ht="27" hidden="1" customHeight="1">
      <c r="A185" s="30"/>
      <c r="B185" s="801"/>
      <c r="C185" s="74" t="s">
        <v>215</v>
      </c>
      <c r="D185" s="72"/>
      <c r="E185" s="99"/>
      <c r="F185" s="99"/>
      <c r="G185" s="99"/>
      <c r="H185" s="99"/>
      <c r="I185" s="99"/>
      <c r="J185" s="99"/>
      <c r="K185" s="99"/>
      <c r="L185" s="99"/>
      <c r="M185" s="99"/>
      <c r="N185" s="99"/>
      <c r="O185" s="99"/>
      <c r="P185" s="99"/>
      <c r="Q185" s="99"/>
      <c r="R185" s="99"/>
      <c r="S185" s="99"/>
      <c r="T185" s="99"/>
      <c r="U185" s="99"/>
      <c r="V185" s="99"/>
      <c r="W185" s="99"/>
      <c r="X185" s="99"/>
      <c r="Y185" s="99"/>
      <c r="Z185" s="99"/>
      <c r="AA185" s="99"/>
      <c r="AB185" s="99"/>
      <c r="AC185" s="99"/>
      <c r="AD185" s="99"/>
      <c r="AE185" s="99"/>
      <c r="AF185" s="99"/>
      <c r="AG185" s="99"/>
      <c r="AH185" s="99"/>
    </row>
    <row r="186" spans="1:34" ht="27" hidden="1" customHeight="1">
      <c r="A186" s="30"/>
      <c r="B186" s="801"/>
      <c r="C186" s="74" t="s">
        <v>216</v>
      </c>
      <c r="D186" s="72"/>
      <c r="E186" s="98"/>
      <c r="F186" s="98"/>
      <c r="G186" s="98"/>
      <c r="H186" s="98"/>
      <c r="I186" s="98"/>
      <c r="J186" s="98"/>
      <c r="K186" s="98"/>
      <c r="L186" s="98"/>
      <c r="M186" s="98"/>
      <c r="N186" s="98"/>
      <c r="O186" s="98"/>
      <c r="P186" s="98"/>
      <c r="Q186" s="98"/>
      <c r="R186" s="98"/>
      <c r="S186" s="98"/>
      <c r="T186" s="98"/>
      <c r="U186" s="98"/>
      <c r="V186" s="98"/>
      <c r="W186" s="98"/>
      <c r="X186" s="98"/>
      <c r="Y186" s="98"/>
      <c r="Z186" s="98"/>
      <c r="AA186" s="98"/>
      <c r="AB186" s="98"/>
      <c r="AC186" s="98"/>
      <c r="AD186" s="98"/>
      <c r="AE186" s="98"/>
      <c r="AF186" s="98"/>
      <c r="AG186" s="98"/>
      <c r="AH186" s="98"/>
    </row>
    <row r="187" spans="1:34" ht="27" hidden="1" customHeight="1">
      <c r="A187" s="30"/>
      <c r="B187" s="801"/>
      <c r="C187" s="74" t="s">
        <v>217</v>
      </c>
      <c r="D187" s="72"/>
      <c r="E187" s="98"/>
      <c r="F187" s="98"/>
      <c r="G187" s="98"/>
      <c r="H187" s="98"/>
      <c r="I187" s="98"/>
      <c r="J187" s="98"/>
      <c r="K187" s="98"/>
      <c r="L187" s="98"/>
      <c r="M187" s="98"/>
      <c r="N187" s="98"/>
      <c r="O187" s="98"/>
      <c r="P187" s="98"/>
      <c r="Q187" s="98"/>
      <c r="R187" s="98"/>
      <c r="S187" s="98"/>
      <c r="T187" s="98"/>
      <c r="U187" s="98"/>
      <c r="V187" s="98"/>
      <c r="W187" s="98"/>
      <c r="X187" s="98"/>
      <c r="Y187" s="98"/>
      <c r="Z187" s="98"/>
      <c r="AA187" s="98"/>
      <c r="AB187" s="98"/>
      <c r="AC187" s="98"/>
      <c r="AD187" s="98"/>
      <c r="AE187" s="98"/>
      <c r="AF187" s="98"/>
      <c r="AG187" s="98"/>
      <c r="AH187" s="98"/>
    </row>
    <row r="188" spans="1:34" ht="27" hidden="1" customHeight="1">
      <c r="A188" s="30"/>
      <c r="B188" s="801"/>
      <c r="C188" s="74" t="s">
        <v>218</v>
      </c>
      <c r="D188" s="72"/>
      <c r="E188" s="98"/>
      <c r="F188" s="98"/>
      <c r="G188" s="98"/>
      <c r="H188" s="98"/>
      <c r="I188" s="98"/>
      <c r="J188" s="98"/>
      <c r="K188" s="98"/>
      <c r="L188" s="98"/>
      <c r="M188" s="98"/>
      <c r="N188" s="98"/>
      <c r="O188" s="98"/>
      <c r="P188" s="98"/>
      <c r="Q188" s="98"/>
      <c r="R188" s="98"/>
      <c r="S188" s="98"/>
      <c r="T188" s="98"/>
      <c r="U188" s="98"/>
      <c r="V188" s="98"/>
      <c r="W188" s="98"/>
      <c r="X188" s="98"/>
      <c r="Y188" s="98"/>
      <c r="Z188" s="98"/>
      <c r="AA188" s="98"/>
      <c r="AB188" s="98"/>
      <c r="AC188" s="98"/>
      <c r="AD188" s="98"/>
      <c r="AE188" s="98"/>
      <c r="AF188" s="98"/>
      <c r="AG188" s="98"/>
      <c r="AH188" s="98"/>
    </row>
    <row r="189" spans="1:34" ht="27" hidden="1" customHeight="1">
      <c r="A189" s="30"/>
      <c r="B189" s="801"/>
      <c r="C189" s="74" t="s">
        <v>219</v>
      </c>
      <c r="D189" s="72"/>
      <c r="E189" s="98"/>
      <c r="F189" s="98"/>
      <c r="G189" s="98"/>
      <c r="H189" s="98"/>
      <c r="I189" s="98"/>
      <c r="J189" s="98"/>
      <c r="K189" s="98"/>
      <c r="L189" s="98"/>
      <c r="M189" s="98"/>
      <c r="N189" s="98"/>
      <c r="O189" s="98"/>
      <c r="P189" s="98"/>
      <c r="Q189" s="98"/>
      <c r="R189" s="98"/>
      <c r="S189" s="98"/>
      <c r="T189" s="98"/>
      <c r="U189" s="98"/>
      <c r="V189" s="98"/>
      <c r="W189" s="98"/>
      <c r="X189" s="98"/>
      <c r="Y189" s="98"/>
      <c r="Z189" s="98"/>
      <c r="AA189" s="98"/>
      <c r="AB189" s="98"/>
      <c r="AC189" s="98"/>
      <c r="AD189" s="98"/>
      <c r="AE189" s="98"/>
      <c r="AF189" s="98"/>
      <c r="AG189" s="98"/>
      <c r="AH189" s="98"/>
    </row>
    <row r="190" spans="1:34" ht="27" hidden="1" customHeight="1">
      <c r="A190" s="30"/>
      <c r="B190" s="801"/>
      <c r="C190" s="74" t="s">
        <v>220</v>
      </c>
      <c r="D190" s="72"/>
      <c r="E190" s="98"/>
      <c r="F190" s="98"/>
      <c r="G190" s="98"/>
      <c r="H190" s="98"/>
      <c r="I190" s="98"/>
      <c r="J190" s="98"/>
      <c r="K190" s="98"/>
      <c r="L190" s="98"/>
      <c r="M190" s="98"/>
      <c r="N190" s="98"/>
      <c r="O190" s="98"/>
      <c r="P190" s="98"/>
      <c r="Q190" s="98"/>
      <c r="R190" s="98"/>
      <c r="S190" s="98"/>
      <c r="T190" s="98"/>
      <c r="U190" s="98"/>
      <c r="V190" s="98"/>
      <c r="W190" s="98"/>
      <c r="X190" s="98"/>
      <c r="Y190" s="98"/>
      <c r="Z190" s="98"/>
      <c r="AA190" s="98"/>
      <c r="AB190" s="98"/>
      <c r="AC190" s="98"/>
      <c r="AD190" s="98"/>
      <c r="AE190" s="98"/>
      <c r="AF190" s="98"/>
      <c r="AG190" s="98"/>
      <c r="AH190" s="98"/>
    </row>
    <row r="191" spans="1:34" ht="27" hidden="1" customHeight="1">
      <c r="A191" s="30"/>
      <c r="B191" s="802"/>
      <c r="C191" s="74" t="s">
        <v>221</v>
      </c>
      <c r="D191" s="72"/>
      <c r="E191" s="98"/>
      <c r="F191" s="98"/>
      <c r="G191" s="98"/>
      <c r="H191" s="98"/>
      <c r="I191" s="98"/>
      <c r="J191" s="98"/>
      <c r="K191" s="98"/>
      <c r="L191" s="98"/>
      <c r="M191" s="98"/>
      <c r="N191" s="98"/>
      <c r="O191" s="98"/>
      <c r="P191" s="98"/>
      <c r="Q191" s="98"/>
      <c r="R191" s="98"/>
      <c r="S191" s="98"/>
      <c r="T191" s="98"/>
      <c r="U191" s="98"/>
      <c r="V191" s="98"/>
      <c r="W191" s="98"/>
      <c r="X191" s="98"/>
      <c r="Y191" s="98"/>
      <c r="Z191" s="98"/>
      <c r="AA191" s="98"/>
      <c r="AB191" s="98"/>
      <c r="AC191" s="98"/>
      <c r="AD191" s="98"/>
      <c r="AE191" s="98"/>
      <c r="AF191" s="98"/>
      <c r="AG191" s="98"/>
      <c r="AH191" s="98"/>
    </row>
    <row r="192" spans="1:34" ht="27" hidden="1" customHeight="1">
      <c r="A192" s="30"/>
      <c r="B192" s="800">
        <v>12</v>
      </c>
      <c r="C192" s="795"/>
      <c r="D192" s="796"/>
      <c r="E192" s="97" t="str">
        <f>IFERROR(AVERAGE(E193:E199),"")</f>
        <v/>
      </c>
      <c r="F192" s="97" t="str">
        <f t="shared" ref="F192:AB192" si="22">IFERROR(AVERAGE(F193:F199),"")</f>
        <v/>
      </c>
      <c r="G192" s="97" t="str">
        <f t="shared" si="22"/>
        <v/>
      </c>
      <c r="H192" s="97" t="str">
        <f t="shared" si="22"/>
        <v/>
      </c>
      <c r="I192" s="97" t="str">
        <f t="shared" si="22"/>
        <v/>
      </c>
      <c r="J192" s="97" t="str">
        <f t="shared" si="22"/>
        <v/>
      </c>
      <c r="K192" s="97" t="str">
        <f t="shared" si="22"/>
        <v/>
      </c>
      <c r="L192" s="97" t="str">
        <f t="shared" si="22"/>
        <v/>
      </c>
      <c r="M192" s="97" t="str">
        <f t="shared" si="22"/>
        <v/>
      </c>
      <c r="N192" s="97" t="str">
        <f t="shared" si="22"/>
        <v/>
      </c>
      <c r="O192" s="97" t="str">
        <f t="shared" si="22"/>
        <v/>
      </c>
      <c r="P192" s="97" t="str">
        <f t="shared" si="22"/>
        <v/>
      </c>
      <c r="Q192" s="97" t="str">
        <f t="shared" si="22"/>
        <v/>
      </c>
      <c r="R192" s="97" t="str">
        <f t="shared" si="22"/>
        <v/>
      </c>
      <c r="S192" s="97" t="str">
        <f t="shared" si="22"/>
        <v/>
      </c>
      <c r="T192" s="97" t="str">
        <f t="shared" si="22"/>
        <v/>
      </c>
      <c r="U192" s="97" t="str">
        <f t="shared" si="22"/>
        <v/>
      </c>
      <c r="V192" s="97" t="str">
        <f t="shared" si="22"/>
        <v/>
      </c>
      <c r="W192" s="97" t="str">
        <f t="shared" si="22"/>
        <v/>
      </c>
      <c r="X192" s="97" t="str">
        <f t="shared" si="22"/>
        <v/>
      </c>
      <c r="Y192" s="97" t="str">
        <f t="shared" si="22"/>
        <v/>
      </c>
      <c r="Z192" s="97" t="str">
        <f t="shared" si="22"/>
        <v/>
      </c>
      <c r="AA192" s="97" t="str">
        <f t="shared" si="22"/>
        <v/>
      </c>
      <c r="AB192" s="97" t="str">
        <f t="shared" si="22"/>
        <v/>
      </c>
      <c r="AC192" s="97" t="str">
        <f t="shared" ref="AC192:AH192" si="23">IFERROR(AVERAGE(AC193:AC199),"")</f>
        <v/>
      </c>
      <c r="AD192" s="97" t="str">
        <f t="shared" si="23"/>
        <v/>
      </c>
      <c r="AE192" s="97" t="str">
        <f t="shared" si="23"/>
        <v/>
      </c>
      <c r="AF192" s="97" t="str">
        <f t="shared" si="23"/>
        <v/>
      </c>
      <c r="AG192" s="97" t="str">
        <f t="shared" si="23"/>
        <v/>
      </c>
      <c r="AH192" s="97" t="str">
        <f t="shared" si="23"/>
        <v/>
      </c>
    </row>
    <row r="193" spans="1:34" ht="27" hidden="1" customHeight="1">
      <c r="A193" s="30"/>
      <c r="B193" s="801"/>
      <c r="C193" s="74" t="s">
        <v>222</v>
      </c>
      <c r="D193" s="72"/>
      <c r="E193" s="98"/>
      <c r="F193" s="98"/>
      <c r="G193" s="98"/>
      <c r="H193" s="98"/>
      <c r="I193" s="98"/>
      <c r="J193" s="98"/>
      <c r="K193" s="98"/>
      <c r="L193" s="98"/>
      <c r="M193" s="98"/>
      <c r="N193" s="98"/>
      <c r="O193" s="98"/>
      <c r="P193" s="98"/>
      <c r="Q193" s="98"/>
      <c r="R193" s="98"/>
      <c r="S193" s="98"/>
      <c r="T193" s="98"/>
      <c r="U193" s="98"/>
      <c r="V193" s="98"/>
      <c r="W193" s="98"/>
      <c r="X193" s="98"/>
      <c r="Y193" s="98"/>
      <c r="Z193" s="98"/>
      <c r="AA193" s="98"/>
      <c r="AB193" s="98"/>
      <c r="AC193" s="98"/>
      <c r="AD193" s="98"/>
      <c r="AE193" s="98"/>
      <c r="AF193" s="98"/>
      <c r="AG193" s="98"/>
      <c r="AH193" s="98"/>
    </row>
    <row r="194" spans="1:34" ht="27" hidden="1" customHeight="1">
      <c r="A194" s="30"/>
      <c r="B194" s="801"/>
      <c r="C194" s="74" t="s">
        <v>223</v>
      </c>
      <c r="D194" s="72"/>
      <c r="E194" s="98"/>
      <c r="F194" s="98"/>
      <c r="G194" s="98"/>
      <c r="H194" s="98"/>
      <c r="I194" s="98"/>
      <c r="J194" s="98"/>
      <c r="K194" s="98"/>
      <c r="L194" s="98"/>
      <c r="M194" s="98"/>
      <c r="N194" s="98"/>
      <c r="O194" s="98"/>
      <c r="P194" s="98"/>
      <c r="Q194" s="98"/>
      <c r="R194" s="98"/>
      <c r="S194" s="98"/>
      <c r="T194" s="98"/>
      <c r="U194" s="98"/>
      <c r="V194" s="98"/>
      <c r="W194" s="98"/>
      <c r="X194" s="98"/>
      <c r="Y194" s="98"/>
      <c r="Z194" s="98"/>
      <c r="AA194" s="98"/>
      <c r="AB194" s="98"/>
      <c r="AC194" s="98"/>
      <c r="AD194" s="98"/>
      <c r="AE194" s="98"/>
      <c r="AF194" s="98"/>
      <c r="AG194" s="98"/>
      <c r="AH194" s="98"/>
    </row>
    <row r="195" spans="1:34" ht="27" hidden="1" customHeight="1">
      <c r="A195" s="30"/>
      <c r="B195" s="801"/>
      <c r="C195" s="74" t="s">
        <v>224</v>
      </c>
      <c r="D195" s="72"/>
      <c r="E195" s="98"/>
      <c r="F195" s="98"/>
      <c r="G195" s="98"/>
      <c r="H195" s="98"/>
      <c r="I195" s="98"/>
      <c r="J195" s="98"/>
      <c r="K195" s="98"/>
      <c r="L195" s="98"/>
      <c r="M195" s="98"/>
      <c r="N195" s="98"/>
      <c r="O195" s="98"/>
      <c r="P195" s="98"/>
      <c r="Q195" s="98"/>
      <c r="R195" s="98"/>
      <c r="S195" s="98"/>
      <c r="T195" s="98"/>
      <c r="U195" s="98"/>
      <c r="V195" s="98"/>
      <c r="W195" s="98"/>
      <c r="X195" s="98"/>
      <c r="Y195" s="98"/>
      <c r="Z195" s="98"/>
      <c r="AA195" s="98"/>
      <c r="AB195" s="98"/>
      <c r="AC195" s="98"/>
      <c r="AD195" s="98"/>
      <c r="AE195" s="98"/>
      <c r="AF195" s="98"/>
      <c r="AG195" s="98"/>
      <c r="AH195" s="98"/>
    </row>
    <row r="196" spans="1:34" ht="27" hidden="1" customHeight="1">
      <c r="A196" s="30"/>
      <c r="B196" s="801"/>
      <c r="C196" s="74" t="s">
        <v>225</v>
      </c>
      <c r="D196" s="72"/>
      <c r="E196" s="98"/>
      <c r="F196" s="98"/>
      <c r="G196" s="98"/>
      <c r="H196" s="98"/>
      <c r="I196" s="98"/>
      <c r="J196" s="98"/>
      <c r="K196" s="98"/>
      <c r="L196" s="98"/>
      <c r="M196" s="98"/>
      <c r="N196" s="98"/>
      <c r="O196" s="98"/>
      <c r="P196" s="98"/>
      <c r="Q196" s="98"/>
      <c r="R196" s="98"/>
      <c r="S196" s="98"/>
      <c r="T196" s="98"/>
      <c r="U196" s="98"/>
      <c r="V196" s="98"/>
      <c r="W196" s="98"/>
      <c r="X196" s="98"/>
      <c r="Y196" s="98"/>
      <c r="Z196" s="98"/>
      <c r="AA196" s="98"/>
      <c r="AB196" s="98"/>
      <c r="AC196" s="98"/>
      <c r="AD196" s="98"/>
      <c r="AE196" s="98"/>
      <c r="AF196" s="98"/>
      <c r="AG196" s="98"/>
      <c r="AH196" s="98"/>
    </row>
    <row r="197" spans="1:34" ht="27" hidden="1" customHeight="1">
      <c r="A197" s="30"/>
      <c r="B197" s="801"/>
      <c r="C197" s="74" t="s">
        <v>226</v>
      </c>
      <c r="D197" s="72"/>
      <c r="E197" s="98"/>
      <c r="F197" s="98"/>
      <c r="G197" s="98"/>
      <c r="H197" s="98"/>
      <c r="I197" s="98"/>
      <c r="J197" s="98"/>
      <c r="K197" s="98"/>
      <c r="L197" s="98"/>
      <c r="M197" s="98"/>
      <c r="N197" s="98"/>
      <c r="O197" s="98"/>
      <c r="P197" s="98"/>
      <c r="Q197" s="98"/>
      <c r="R197" s="98"/>
      <c r="S197" s="98"/>
      <c r="T197" s="98"/>
      <c r="U197" s="98"/>
      <c r="V197" s="98"/>
      <c r="W197" s="98"/>
      <c r="X197" s="98"/>
      <c r="Y197" s="98"/>
      <c r="Z197" s="98"/>
      <c r="AA197" s="98"/>
      <c r="AB197" s="98"/>
      <c r="AC197" s="98"/>
      <c r="AD197" s="98"/>
      <c r="AE197" s="98"/>
      <c r="AF197" s="98"/>
      <c r="AG197" s="98"/>
      <c r="AH197" s="98"/>
    </row>
    <row r="198" spans="1:34" ht="27" hidden="1" customHeight="1">
      <c r="A198" s="30"/>
      <c r="B198" s="801"/>
      <c r="C198" s="74" t="s">
        <v>227</v>
      </c>
      <c r="D198" s="72"/>
      <c r="E198" s="98"/>
      <c r="F198" s="98"/>
      <c r="G198" s="98"/>
      <c r="H198" s="98"/>
      <c r="I198" s="98"/>
      <c r="J198" s="98"/>
      <c r="K198" s="98"/>
      <c r="L198" s="98"/>
      <c r="M198" s="98"/>
      <c r="N198" s="98"/>
      <c r="O198" s="98"/>
      <c r="P198" s="98"/>
      <c r="Q198" s="98"/>
      <c r="R198" s="98"/>
      <c r="S198" s="98"/>
      <c r="T198" s="98"/>
      <c r="U198" s="98"/>
      <c r="V198" s="98"/>
      <c r="W198" s="98"/>
      <c r="X198" s="98"/>
      <c r="Y198" s="98"/>
      <c r="Z198" s="98"/>
      <c r="AA198" s="98"/>
      <c r="AB198" s="98"/>
      <c r="AC198" s="98"/>
      <c r="AD198" s="98"/>
      <c r="AE198" s="98"/>
      <c r="AF198" s="98"/>
      <c r="AG198" s="98"/>
      <c r="AH198" s="98"/>
    </row>
    <row r="199" spans="1:34" ht="27" hidden="1" customHeight="1">
      <c r="A199" s="30"/>
      <c r="B199" s="802"/>
      <c r="C199" s="74" t="s">
        <v>228</v>
      </c>
      <c r="D199" s="72"/>
      <c r="E199" s="98"/>
      <c r="F199" s="98"/>
      <c r="G199" s="98"/>
      <c r="H199" s="98"/>
      <c r="I199" s="98"/>
      <c r="J199" s="98"/>
      <c r="K199" s="98"/>
      <c r="L199" s="98"/>
      <c r="M199" s="98"/>
      <c r="N199" s="98"/>
      <c r="O199" s="98"/>
      <c r="P199" s="98"/>
      <c r="Q199" s="98"/>
      <c r="R199" s="98"/>
      <c r="S199" s="98"/>
      <c r="T199" s="98"/>
      <c r="U199" s="98"/>
      <c r="V199" s="98"/>
      <c r="W199" s="98"/>
      <c r="X199" s="98"/>
      <c r="Y199" s="98"/>
      <c r="Z199" s="98"/>
      <c r="AA199" s="98"/>
      <c r="AB199" s="98"/>
      <c r="AC199" s="98"/>
      <c r="AD199" s="98"/>
      <c r="AE199" s="98"/>
      <c r="AF199" s="98"/>
      <c r="AG199" s="98"/>
      <c r="AH199" s="98"/>
    </row>
    <row r="200" spans="1:34" ht="27" hidden="1" customHeight="1">
      <c r="A200" s="30"/>
      <c r="B200" s="794">
        <v>13</v>
      </c>
      <c r="C200" s="795"/>
      <c r="D200" s="796"/>
      <c r="E200" s="97" t="str">
        <f>IFERROR(AVERAGE(E201:E207),"")</f>
        <v/>
      </c>
      <c r="F200" s="97" t="str">
        <f t="shared" ref="F200:AB200" si="24">IFERROR(AVERAGE(F201:F207),"")</f>
        <v/>
      </c>
      <c r="G200" s="97" t="str">
        <f t="shared" si="24"/>
        <v/>
      </c>
      <c r="H200" s="97" t="str">
        <f t="shared" si="24"/>
        <v/>
      </c>
      <c r="I200" s="97" t="str">
        <f t="shared" si="24"/>
        <v/>
      </c>
      <c r="J200" s="97" t="str">
        <f t="shared" si="24"/>
        <v/>
      </c>
      <c r="K200" s="97" t="str">
        <f t="shared" si="24"/>
        <v/>
      </c>
      <c r="L200" s="97" t="str">
        <f t="shared" si="24"/>
        <v/>
      </c>
      <c r="M200" s="97" t="str">
        <f t="shared" si="24"/>
        <v/>
      </c>
      <c r="N200" s="97" t="str">
        <f t="shared" si="24"/>
        <v/>
      </c>
      <c r="O200" s="97" t="str">
        <f t="shared" si="24"/>
        <v/>
      </c>
      <c r="P200" s="97" t="str">
        <f t="shared" si="24"/>
        <v/>
      </c>
      <c r="Q200" s="97" t="str">
        <f t="shared" si="24"/>
        <v/>
      </c>
      <c r="R200" s="97" t="str">
        <f t="shared" si="24"/>
        <v/>
      </c>
      <c r="S200" s="97" t="str">
        <f t="shared" si="24"/>
        <v/>
      </c>
      <c r="T200" s="97" t="str">
        <f t="shared" si="24"/>
        <v/>
      </c>
      <c r="U200" s="97" t="str">
        <f t="shared" si="24"/>
        <v/>
      </c>
      <c r="V200" s="97" t="str">
        <f t="shared" si="24"/>
        <v/>
      </c>
      <c r="W200" s="97" t="str">
        <f t="shared" si="24"/>
        <v/>
      </c>
      <c r="X200" s="97" t="str">
        <f t="shared" si="24"/>
        <v/>
      </c>
      <c r="Y200" s="97" t="str">
        <f t="shared" si="24"/>
        <v/>
      </c>
      <c r="Z200" s="97" t="str">
        <f t="shared" si="24"/>
        <v/>
      </c>
      <c r="AA200" s="97" t="str">
        <f t="shared" si="24"/>
        <v/>
      </c>
      <c r="AB200" s="97" t="str">
        <f t="shared" si="24"/>
        <v/>
      </c>
      <c r="AC200" s="97" t="str">
        <f t="shared" ref="AC200:AH200" si="25">IFERROR(AVERAGE(AC201:AC207),"")</f>
        <v/>
      </c>
      <c r="AD200" s="97" t="str">
        <f t="shared" si="25"/>
        <v/>
      </c>
      <c r="AE200" s="97" t="str">
        <f t="shared" si="25"/>
        <v/>
      </c>
      <c r="AF200" s="97" t="str">
        <f t="shared" si="25"/>
        <v/>
      </c>
      <c r="AG200" s="97" t="str">
        <f t="shared" si="25"/>
        <v/>
      </c>
      <c r="AH200" s="97" t="str">
        <f t="shared" si="25"/>
        <v/>
      </c>
    </row>
    <row r="201" spans="1:34" ht="27" hidden="1" customHeight="1">
      <c r="A201" s="30"/>
      <c r="B201" s="794"/>
      <c r="C201" s="74" t="s">
        <v>229</v>
      </c>
      <c r="D201" s="72"/>
      <c r="E201" s="98"/>
      <c r="F201" s="98"/>
      <c r="G201" s="98"/>
      <c r="H201" s="98"/>
      <c r="I201" s="98"/>
      <c r="J201" s="98"/>
      <c r="K201" s="98"/>
      <c r="L201" s="98"/>
      <c r="M201" s="98"/>
      <c r="N201" s="98"/>
      <c r="O201" s="98"/>
      <c r="P201" s="98"/>
      <c r="Q201" s="98"/>
      <c r="R201" s="98"/>
      <c r="S201" s="98"/>
      <c r="T201" s="98"/>
      <c r="U201" s="98"/>
      <c r="V201" s="98"/>
      <c r="W201" s="98"/>
      <c r="X201" s="98"/>
      <c r="Y201" s="98"/>
      <c r="Z201" s="98"/>
      <c r="AA201" s="98"/>
      <c r="AB201" s="98"/>
      <c r="AC201" s="98"/>
      <c r="AD201" s="98"/>
      <c r="AE201" s="98"/>
      <c r="AF201" s="98"/>
      <c r="AG201" s="98"/>
      <c r="AH201" s="98"/>
    </row>
    <row r="202" spans="1:34" ht="27" hidden="1" customHeight="1">
      <c r="A202" s="30"/>
      <c r="B202" s="794"/>
      <c r="C202" s="74" t="s">
        <v>230</v>
      </c>
      <c r="D202" s="72"/>
      <c r="E202" s="98"/>
      <c r="F202" s="98"/>
      <c r="G202" s="98"/>
      <c r="H202" s="98"/>
      <c r="I202" s="98"/>
      <c r="J202" s="98"/>
      <c r="K202" s="98"/>
      <c r="L202" s="98"/>
      <c r="M202" s="98"/>
      <c r="N202" s="98"/>
      <c r="O202" s="98"/>
      <c r="P202" s="98"/>
      <c r="Q202" s="98"/>
      <c r="R202" s="98"/>
      <c r="S202" s="98"/>
      <c r="T202" s="98"/>
      <c r="U202" s="98"/>
      <c r="V202" s="98"/>
      <c r="W202" s="98"/>
      <c r="X202" s="98"/>
      <c r="Y202" s="98"/>
      <c r="Z202" s="98"/>
      <c r="AA202" s="98"/>
      <c r="AB202" s="98"/>
      <c r="AC202" s="98"/>
      <c r="AD202" s="98"/>
      <c r="AE202" s="98"/>
      <c r="AF202" s="98"/>
      <c r="AG202" s="98"/>
      <c r="AH202" s="98"/>
    </row>
    <row r="203" spans="1:34" ht="27" hidden="1" customHeight="1">
      <c r="A203" s="30"/>
      <c r="B203" s="794"/>
      <c r="C203" s="74" t="s">
        <v>231</v>
      </c>
      <c r="D203" s="72"/>
      <c r="E203" s="98"/>
      <c r="F203" s="98"/>
      <c r="G203" s="98"/>
      <c r="H203" s="98"/>
      <c r="I203" s="98"/>
      <c r="J203" s="98"/>
      <c r="K203" s="98"/>
      <c r="L203" s="98"/>
      <c r="M203" s="98"/>
      <c r="N203" s="98"/>
      <c r="O203" s="98"/>
      <c r="P203" s="98"/>
      <c r="Q203" s="98"/>
      <c r="R203" s="98"/>
      <c r="S203" s="98"/>
      <c r="T203" s="98"/>
      <c r="U203" s="98"/>
      <c r="V203" s="98"/>
      <c r="W203" s="98"/>
      <c r="X203" s="98"/>
      <c r="Y203" s="98"/>
      <c r="Z203" s="98"/>
      <c r="AA203" s="98"/>
      <c r="AB203" s="98"/>
      <c r="AC203" s="98"/>
      <c r="AD203" s="98"/>
      <c r="AE203" s="98"/>
      <c r="AF203" s="98"/>
      <c r="AG203" s="98"/>
      <c r="AH203" s="98"/>
    </row>
    <row r="204" spans="1:34" ht="27" hidden="1" customHeight="1">
      <c r="A204" s="30"/>
      <c r="B204" s="794"/>
      <c r="C204" s="74" t="s">
        <v>232</v>
      </c>
      <c r="D204" s="72"/>
      <c r="E204" s="98"/>
      <c r="F204" s="98"/>
      <c r="G204" s="98"/>
      <c r="H204" s="98"/>
      <c r="I204" s="98"/>
      <c r="J204" s="98"/>
      <c r="K204" s="98"/>
      <c r="L204" s="98"/>
      <c r="M204" s="98"/>
      <c r="N204" s="98"/>
      <c r="O204" s="98"/>
      <c r="P204" s="98"/>
      <c r="Q204" s="98"/>
      <c r="R204" s="98"/>
      <c r="S204" s="98"/>
      <c r="T204" s="98"/>
      <c r="U204" s="98"/>
      <c r="V204" s="98"/>
      <c r="W204" s="98"/>
      <c r="X204" s="98"/>
      <c r="Y204" s="98"/>
      <c r="Z204" s="98"/>
      <c r="AA204" s="98"/>
      <c r="AB204" s="98"/>
      <c r="AC204" s="98"/>
      <c r="AD204" s="98"/>
      <c r="AE204" s="98"/>
      <c r="AF204" s="98"/>
      <c r="AG204" s="98"/>
      <c r="AH204" s="98"/>
    </row>
    <row r="205" spans="1:34" ht="27" hidden="1" customHeight="1">
      <c r="A205" s="30"/>
      <c r="B205" s="794"/>
      <c r="C205" s="74" t="s">
        <v>233</v>
      </c>
      <c r="D205" s="72"/>
      <c r="E205" s="98"/>
      <c r="F205" s="98"/>
      <c r="G205" s="98"/>
      <c r="H205" s="98"/>
      <c r="I205" s="98"/>
      <c r="J205" s="98"/>
      <c r="K205" s="98"/>
      <c r="L205" s="98"/>
      <c r="M205" s="98"/>
      <c r="N205" s="98"/>
      <c r="O205" s="98"/>
      <c r="P205" s="98"/>
      <c r="Q205" s="98"/>
      <c r="R205" s="98"/>
      <c r="S205" s="98"/>
      <c r="T205" s="98"/>
      <c r="U205" s="98"/>
      <c r="V205" s="98"/>
      <c r="W205" s="98"/>
      <c r="X205" s="98"/>
      <c r="Y205" s="98"/>
      <c r="Z205" s="98"/>
      <c r="AA205" s="98"/>
      <c r="AB205" s="98"/>
      <c r="AC205" s="98"/>
      <c r="AD205" s="98"/>
      <c r="AE205" s="98"/>
      <c r="AF205" s="98"/>
      <c r="AG205" s="98"/>
      <c r="AH205" s="98"/>
    </row>
    <row r="206" spans="1:34" ht="27" hidden="1" customHeight="1">
      <c r="A206" s="30"/>
      <c r="B206" s="794"/>
      <c r="C206" s="74" t="s">
        <v>234</v>
      </c>
      <c r="D206" s="72"/>
      <c r="E206" s="98"/>
      <c r="F206" s="98"/>
      <c r="G206" s="98"/>
      <c r="H206" s="98"/>
      <c r="I206" s="98"/>
      <c r="J206" s="98"/>
      <c r="K206" s="98"/>
      <c r="L206" s="98"/>
      <c r="M206" s="98"/>
      <c r="N206" s="98"/>
      <c r="O206" s="98"/>
      <c r="P206" s="98"/>
      <c r="Q206" s="98"/>
      <c r="R206" s="98"/>
      <c r="S206" s="98"/>
      <c r="T206" s="98"/>
      <c r="U206" s="98"/>
      <c r="V206" s="98"/>
      <c r="W206" s="98"/>
      <c r="X206" s="98"/>
      <c r="Y206" s="98"/>
      <c r="Z206" s="98"/>
      <c r="AA206" s="98"/>
      <c r="AB206" s="98"/>
      <c r="AC206" s="98"/>
      <c r="AD206" s="98"/>
      <c r="AE206" s="98"/>
      <c r="AF206" s="98"/>
      <c r="AG206" s="98"/>
      <c r="AH206" s="98"/>
    </row>
    <row r="207" spans="1:34" ht="27" hidden="1" customHeight="1">
      <c r="A207" s="30"/>
      <c r="B207" s="794"/>
      <c r="C207" s="74" t="s">
        <v>235</v>
      </c>
      <c r="D207" s="72"/>
      <c r="E207" s="98"/>
      <c r="F207" s="98"/>
      <c r="G207" s="98"/>
      <c r="H207" s="98"/>
      <c r="I207" s="98"/>
      <c r="J207" s="98"/>
      <c r="K207" s="98"/>
      <c r="L207" s="98"/>
      <c r="M207" s="98"/>
      <c r="N207" s="98"/>
      <c r="O207" s="98"/>
      <c r="P207" s="98"/>
      <c r="Q207" s="98"/>
      <c r="R207" s="98"/>
      <c r="S207" s="98"/>
      <c r="T207" s="98"/>
      <c r="U207" s="98"/>
      <c r="V207" s="98"/>
      <c r="W207" s="98"/>
      <c r="X207" s="98"/>
      <c r="Y207" s="98"/>
      <c r="Z207" s="98"/>
      <c r="AA207" s="98"/>
      <c r="AB207" s="98"/>
      <c r="AC207" s="98"/>
      <c r="AD207" s="98"/>
      <c r="AE207" s="98"/>
      <c r="AF207" s="98"/>
      <c r="AG207" s="98"/>
      <c r="AH207" s="98"/>
    </row>
    <row r="208" spans="1:34" ht="27" customHeight="1">
      <c r="A208" s="30"/>
      <c r="B208" s="797" t="s">
        <v>143</v>
      </c>
      <c r="C208" s="798"/>
      <c r="D208" s="799"/>
      <c r="E208" s="100">
        <f t="shared" ref="E208:AB208" si="26">IFERROR(AVERAGE(E6,E22,E35,E69,E87,E99,E113,E145,E168,E176,E184,E192,E200),"")</f>
        <v>94.333961925287369</v>
      </c>
      <c r="F208" s="100">
        <f t="shared" si="26"/>
        <v>89.059116809116802</v>
      </c>
      <c r="G208" s="100">
        <f t="shared" si="26"/>
        <v>90.679326923076928</v>
      </c>
      <c r="H208" s="100">
        <f t="shared" si="26"/>
        <v>95.078125</v>
      </c>
      <c r="I208" s="100">
        <f t="shared" si="26"/>
        <v>96.036458333333329</v>
      </c>
      <c r="J208" s="100">
        <f t="shared" si="26"/>
        <v>98.010416666666671</v>
      </c>
      <c r="K208" s="100">
        <f t="shared" si="26"/>
        <v>97.630208333333329</v>
      </c>
      <c r="L208" s="100">
        <f t="shared" si="26"/>
        <v>96.973958333333329</v>
      </c>
      <c r="M208" s="100">
        <f t="shared" si="26"/>
        <v>94.40625</v>
      </c>
      <c r="N208" s="100">
        <f t="shared" si="26"/>
        <v>97.640625</v>
      </c>
      <c r="O208" s="100">
        <f t="shared" si="26"/>
        <v>97.973958333333329</v>
      </c>
      <c r="P208" s="100">
        <f t="shared" si="26"/>
        <v>96.583333333333329</v>
      </c>
      <c r="Q208" s="100">
        <f t="shared" si="26"/>
        <v>96.135416666666671</v>
      </c>
      <c r="R208" s="100">
        <f t="shared" si="26"/>
        <v>94.836566091954026</v>
      </c>
      <c r="S208" s="100">
        <f t="shared" si="26"/>
        <v>89.3125</v>
      </c>
      <c r="T208" s="100">
        <f t="shared" si="26"/>
        <v>95.046875</v>
      </c>
      <c r="U208" s="100">
        <f t="shared" si="26"/>
        <v>98.463541666666671</v>
      </c>
      <c r="V208" s="100">
        <f t="shared" si="26"/>
        <v>93.948814655172413</v>
      </c>
      <c r="W208" s="100">
        <f t="shared" si="26"/>
        <v>92.126041666666666</v>
      </c>
      <c r="X208" s="100">
        <f t="shared" si="26"/>
        <v>92.520833333333329</v>
      </c>
      <c r="Y208" s="100">
        <f t="shared" si="26"/>
        <v>96.885416666666671</v>
      </c>
      <c r="Z208" s="100">
        <f t="shared" si="26"/>
        <v>93.426339285714278</v>
      </c>
      <c r="AA208" s="100">
        <f t="shared" si="26"/>
        <v>97.223958333333329</v>
      </c>
      <c r="AB208" s="100">
        <f t="shared" si="26"/>
        <v>93.192708333333329</v>
      </c>
      <c r="AC208" s="100" t="str">
        <f t="shared" ref="AC208:AH208" si="27">IFERROR(AVERAGE(AC6,AC22,AC35,AC69,AC87,AC99,AC113,AC145,AC168,AC176,AC184,AC192,AC200),"")</f>
        <v/>
      </c>
      <c r="AD208" s="100" t="str">
        <f t="shared" si="27"/>
        <v/>
      </c>
      <c r="AE208" s="100" t="str">
        <f t="shared" si="27"/>
        <v/>
      </c>
      <c r="AF208" s="100" t="str">
        <f t="shared" si="27"/>
        <v/>
      </c>
      <c r="AG208" s="100" t="str">
        <f t="shared" si="27"/>
        <v/>
      </c>
      <c r="AH208" s="100" t="str">
        <f t="shared" si="27"/>
        <v/>
      </c>
    </row>
    <row r="209" spans="2:4" ht="15" hidden="1">
      <c r="B209" s="31"/>
      <c r="C209" s="31"/>
      <c r="D209" s="32"/>
    </row>
    <row r="210" spans="2:4" ht="15" hidden="1">
      <c r="B210" s="31"/>
      <c r="C210" s="31"/>
      <c r="D210" s="32"/>
    </row>
    <row r="211" spans="2:4" ht="15" hidden="1">
      <c r="B211" s="31"/>
      <c r="C211" s="31"/>
      <c r="D211" s="32"/>
    </row>
    <row r="212" spans="2:4" ht="15" hidden="1">
      <c r="B212" s="31"/>
      <c r="C212" s="31"/>
      <c r="D212" s="32"/>
    </row>
    <row r="213" spans="2:4" ht="15" hidden="1">
      <c r="B213" s="31"/>
      <c r="C213" s="31"/>
      <c r="D213" s="32"/>
    </row>
    <row r="214" spans="2:4" ht="15" hidden="1">
      <c r="B214" s="31"/>
      <c r="C214" s="31"/>
      <c r="D214" s="32"/>
    </row>
    <row r="215" spans="2:4" ht="15" hidden="1">
      <c r="B215" s="31"/>
      <c r="C215" s="31"/>
      <c r="D215" s="32"/>
    </row>
    <row r="216" spans="2:4" ht="15" hidden="1">
      <c r="B216" s="31"/>
      <c r="C216" s="31"/>
      <c r="D216" s="32"/>
    </row>
    <row r="217" spans="2:4" ht="15" hidden="1">
      <c r="B217" s="31"/>
      <c r="C217" s="31"/>
      <c r="D217" s="32"/>
    </row>
    <row r="218" spans="2:4" ht="15" hidden="1">
      <c r="B218" s="31"/>
      <c r="C218" s="31"/>
      <c r="D218" s="32"/>
    </row>
    <row r="219" spans="2:4" ht="15" hidden="1">
      <c r="B219" s="31"/>
      <c r="C219" s="31"/>
      <c r="D219" s="32"/>
    </row>
    <row r="220" spans="2:4" ht="15" hidden="1">
      <c r="B220" s="31"/>
      <c r="C220" s="31"/>
      <c r="D220" s="32"/>
    </row>
    <row r="221" spans="2:4" ht="15" hidden="1">
      <c r="B221" s="31"/>
      <c r="C221" s="31"/>
      <c r="D221" s="32"/>
    </row>
    <row r="222" spans="2:4" ht="15" hidden="1">
      <c r="B222" s="31"/>
      <c r="C222" s="31"/>
      <c r="D222" s="32"/>
    </row>
    <row r="223" spans="2:4" ht="15" hidden="1">
      <c r="B223" s="31"/>
      <c r="C223" s="31"/>
      <c r="D223" s="32"/>
    </row>
    <row r="224" spans="2:4" ht="15" hidden="1">
      <c r="B224" s="31"/>
      <c r="C224" s="31"/>
      <c r="D224" s="32"/>
    </row>
    <row r="225" spans="2:4" ht="15" hidden="1">
      <c r="B225" s="31"/>
      <c r="C225" s="31"/>
      <c r="D225" s="32"/>
    </row>
    <row r="226" spans="2:4" ht="15" hidden="1">
      <c r="B226" s="31"/>
      <c r="C226" s="31"/>
      <c r="D226" s="32"/>
    </row>
    <row r="227" spans="2:4" ht="15" hidden="1">
      <c r="B227" s="31"/>
      <c r="C227" s="31"/>
      <c r="D227" s="32"/>
    </row>
    <row r="228" spans="2:4" ht="15" hidden="1">
      <c r="B228" s="31"/>
      <c r="C228" s="31"/>
      <c r="D228" s="32"/>
    </row>
    <row r="229" spans="2:4" ht="15" hidden="1">
      <c r="B229" s="31"/>
      <c r="C229" s="31"/>
      <c r="D229" s="32"/>
    </row>
    <row r="230" spans="2:4" ht="15" hidden="1">
      <c r="B230" s="31"/>
      <c r="C230" s="31"/>
      <c r="D230" s="32"/>
    </row>
    <row r="231" spans="2:4" ht="15" hidden="1">
      <c r="B231" s="31"/>
      <c r="C231" s="31"/>
      <c r="D231" s="32"/>
    </row>
    <row r="232" spans="2:4" ht="15" hidden="1">
      <c r="B232" s="31"/>
      <c r="C232" s="31"/>
      <c r="D232" s="32"/>
    </row>
    <row r="233" spans="2:4" ht="15" hidden="1">
      <c r="B233" s="31"/>
      <c r="C233" s="31"/>
      <c r="D233" s="32"/>
    </row>
    <row r="234" spans="2:4" ht="15" hidden="1">
      <c r="B234" s="31"/>
      <c r="C234" s="31"/>
      <c r="D234" s="32"/>
    </row>
    <row r="235" spans="2:4" ht="15" hidden="1">
      <c r="B235" s="31"/>
      <c r="C235" s="31"/>
      <c r="D235" s="32"/>
    </row>
    <row r="236" spans="2:4" ht="15" hidden="1">
      <c r="B236" s="31"/>
      <c r="C236" s="31"/>
      <c r="D236" s="32"/>
    </row>
    <row r="237" spans="2:4" ht="15" hidden="1">
      <c r="B237" s="31"/>
      <c r="C237" s="31"/>
      <c r="D237" s="32"/>
    </row>
    <row r="238" spans="2:4" ht="15" hidden="1">
      <c r="B238" s="31"/>
      <c r="C238" s="31"/>
      <c r="D238" s="32"/>
    </row>
    <row r="239" spans="2:4" ht="15" hidden="1">
      <c r="B239" s="31"/>
      <c r="C239" s="31"/>
      <c r="D239" s="32"/>
    </row>
    <row r="240" spans="2:4" ht="15" hidden="1">
      <c r="B240" s="31"/>
      <c r="C240" s="31"/>
      <c r="D240" s="32"/>
    </row>
    <row r="241" spans="2:4" ht="15" hidden="1">
      <c r="B241" s="31"/>
      <c r="C241" s="31"/>
      <c r="D241" s="32"/>
    </row>
    <row r="242" spans="2:4" ht="15" hidden="1">
      <c r="B242" s="31"/>
      <c r="C242" s="31"/>
      <c r="D242" s="32"/>
    </row>
    <row r="243" spans="2:4" ht="15" hidden="1">
      <c r="B243" s="31"/>
      <c r="C243" s="31"/>
      <c r="D243" s="32"/>
    </row>
    <row r="244" spans="2:4" ht="15" hidden="1">
      <c r="B244" s="31"/>
      <c r="C244" s="31"/>
      <c r="D244" s="32"/>
    </row>
    <row r="245" spans="2:4" ht="15" hidden="1">
      <c r="B245" s="31"/>
      <c r="C245" s="31"/>
      <c r="D245" s="32"/>
    </row>
    <row r="246" spans="2:4" ht="15" hidden="1">
      <c r="B246" s="31"/>
      <c r="C246" s="31"/>
      <c r="D246" s="32"/>
    </row>
    <row r="247" spans="2:4" ht="15" hidden="1">
      <c r="B247" s="31"/>
      <c r="C247" s="31"/>
      <c r="D247" s="32"/>
    </row>
    <row r="248" spans="2:4" ht="15" hidden="1">
      <c r="B248" s="31"/>
      <c r="C248" s="31"/>
      <c r="D248" s="32"/>
    </row>
    <row r="249" spans="2:4" ht="15" hidden="1">
      <c r="B249" s="31"/>
      <c r="C249" s="31"/>
      <c r="D249" s="32"/>
    </row>
    <row r="250" spans="2:4" ht="15" hidden="1">
      <c r="B250" s="31"/>
      <c r="C250" s="31"/>
      <c r="D250" s="32"/>
    </row>
    <row r="251" spans="2:4" ht="15" hidden="1">
      <c r="B251" s="31"/>
      <c r="C251" s="31"/>
      <c r="D251" s="32"/>
    </row>
    <row r="252" spans="2:4" ht="15" hidden="1">
      <c r="B252" s="31"/>
      <c r="C252" s="31"/>
      <c r="D252" s="32"/>
    </row>
    <row r="253" spans="2:4" ht="15" hidden="1">
      <c r="B253" s="31"/>
      <c r="C253" s="31"/>
      <c r="D253" s="32"/>
    </row>
    <row r="254" spans="2:4" ht="15" hidden="1">
      <c r="B254" s="31"/>
      <c r="C254" s="31"/>
      <c r="D254" s="32"/>
    </row>
    <row r="255" spans="2:4" ht="15" hidden="1">
      <c r="B255" s="31"/>
      <c r="C255" s="31"/>
      <c r="D255" s="32"/>
    </row>
    <row r="256" spans="2:4" ht="15" hidden="1">
      <c r="B256" s="31"/>
      <c r="C256" s="31"/>
      <c r="D256" s="32"/>
    </row>
    <row r="257" spans="2:4" ht="15" hidden="1">
      <c r="B257" s="31"/>
      <c r="C257" s="31"/>
      <c r="D257" s="32"/>
    </row>
    <row r="258" spans="2:4" ht="15" hidden="1">
      <c r="B258" s="31"/>
      <c r="C258" s="31"/>
      <c r="D258" s="32"/>
    </row>
    <row r="259" spans="2:4" ht="15" hidden="1">
      <c r="B259" s="31"/>
      <c r="C259" s="31"/>
      <c r="D259" s="32"/>
    </row>
    <row r="260" spans="2:4" ht="15" hidden="1">
      <c r="B260" s="31"/>
      <c r="C260" s="31"/>
      <c r="D260" s="32"/>
    </row>
    <row r="261" spans="2:4" ht="15" hidden="1">
      <c r="B261" s="31"/>
      <c r="C261" s="31"/>
      <c r="D261" s="32"/>
    </row>
    <row r="262" spans="2:4" ht="15" hidden="1">
      <c r="B262" s="31"/>
      <c r="C262" s="31"/>
      <c r="D262" s="32"/>
    </row>
    <row r="263" spans="2:4" ht="15" hidden="1">
      <c r="B263" s="31"/>
      <c r="C263" s="31"/>
      <c r="D263" s="32"/>
    </row>
    <row r="264" spans="2:4" ht="15" hidden="1">
      <c r="B264" s="31"/>
      <c r="C264" s="31"/>
      <c r="D264" s="32"/>
    </row>
    <row r="265" spans="2:4" ht="15" hidden="1">
      <c r="B265" s="31"/>
      <c r="C265" s="31"/>
      <c r="D265" s="32"/>
    </row>
    <row r="266" spans="2:4" ht="15" hidden="1">
      <c r="B266" s="31"/>
      <c r="C266" s="31"/>
      <c r="D266" s="32"/>
    </row>
    <row r="267" spans="2:4" ht="15" hidden="1">
      <c r="B267" s="31"/>
      <c r="C267" s="31"/>
      <c r="D267" s="32"/>
    </row>
    <row r="268" spans="2:4" ht="15" hidden="1">
      <c r="B268" s="31"/>
      <c r="C268" s="31"/>
      <c r="D268" s="32"/>
    </row>
  </sheetData>
  <mergeCells count="33">
    <mergeCell ref="A1:AH2"/>
    <mergeCell ref="B3:D3"/>
    <mergeCell ref="B4:B5"/>
    <mergeCell ref="C4:C5"/>
    <mergeCell ref="D4:D5"/>
    <mergeCell ref="E4:AH4"/>
    <mergeCell ref="B6:B21"/>
    <mergeCell ref="C6:D6"/>
    <mergeCell ref="B22:B34"/>
    <mergeCell ref="C22:D22"/>
    <mergeCell ref="B35:B68"/>
    <mergeCell ref="C35:D35"/>
    <mergeCell ref="B69:B86"/>
    <mergeCell ref="C69:D69"/>
    <mergeCell ref="B87:B98"/>
    <mergeCell ref="C87:D87"/>
    <mergeCell ref="B99:B112"/>
    <mergeCell ref="C99:D99"/>
    <mergeCell ref="B113:B144"/>
    <mergeCell ref="C113:D113"/>
    <mergeCell ref="B145:B167"/>
    <mergeCell ref="C145:D145"/>
    <mergeCell ref="B168:B175"/>
    <mergeCell ref="C168:D168"/>
    <mergeCell ref="B208:D208"/>
    <mergeCell ref="B200:B207"/>
    <mergeCell ref="C200:D200"/>
    <mergeCell ref="B176:B183"/>
    <mergeCell ref="C176:D176"/>
    <mergeCell ref="B184:B191"/>
    <mergeCell ref="C184:D184"/>
    <mergeCell ref="B192:B199"/>
    <mergeCell ref="C192:D192"/>
  </mergeCells>
  <pageMargins left="0.7" right="0.7" top="0.75" bottom="0.75" header="0.3" footer="0.3"/>
  <pageSetup paperSize="9" orientation="portrait" horizontalDpi="4294967293" verticalDpi="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1"/>
  <dimension ref="A1:AW170"/>
  <sheetViews>
    <sheetView showGridLines="0" zoomScale="83" zoomScaleNormal="83" workbookViewId="0">
      <pane ySplit="5" topLeftCell="A6" activePane="bottomLeft" state="frozen"/>
      <selection activeCell="K33" sqref="K33"/>
      <selection pane="bottomLeft" activeCell="C7" sqref="C1:C1048576"/>
    </sheetView>
  </sheetViews>
  <sheetFormatPr defaultColWidth="0" defaultRowHeight="15" customHeight="1" zeroHeight="1"/>
  <cols>
    <col min="1" max="1" width="1" style="29" customWidth="1"/>
    <col min="2" max="2" width="3.7109375" style="33" customWidth="1"/>
    <col min="3" max="3" width="55.85546875" style="424" customWidth="1"/>
    <col min="4" max="4" width="10.28515625" style="29" customWidth="1"/>
    <col min="5" max="34" width="5.7109375" style="29" customWidth="1"/>
    <col min="35" max="49" width="5.7109375" hidden="1" customWidth="1"/>
    <col min="50" max="16384" width="9.140625" hidden="1"/>
  </cols>
  <sheetData>
    <row r="1" spans="1:34" ht="15" customHeight="1">
      <c r="A1" s="857" t="s">
        <v>244</v>
      </c>
      <c r="B1" s="857"/>
      <c r="C1" s="857"/>
      <c r="D1" s="857"/>
      <c r="E1" s="857"/>
      <c r="F1" s="857"/>
      <c r="G1" s="857"/>
      <c r="H1" s="857"/>
      <c r="I1" s="857"/>
      <c r="J1" s="857"/>
      <c r="K1" s="857"/>
      <c r="L1" s="857"/>
      <c r="M1" s="857"/>
      <c r="N1" s="857"/>
      <c r="O1" s="857"/>
      <c r="P1" s="857"/>
      <c r="Q1" s="857"/>
      <c r="R1" s="857"/>
      <c r="S1" s="857"/>
      <c r="T1" s="857"/>
      <c r="U1" s="857"/>
      <c r="V1" s="857"/>
      <c r="W1" s="857"/>
      <c r="X1" s="857"/>
      <c r="Y1" s="857"/>
      <c r="Z1" s="857"/>
      <c r="AA1" s="857"/>
      <c r="AB1" s="857"/>
      <c r="AC1" s="857"/>
      <c r="AD1" s="857"/>
      <c r="AE1" s="857"/>
      <c r="AF1" s="857"/>
      <c r="AG1" s="857"/>
      <c r="AH1" s="857"/>
    </row>
    <row r="2" spans="1:34" ht="15" customHeight="1">
      <c r="A2" s="857"/>
      <c r="B2" s="857"/>
      <c r="C2" s="857"/>
      <c r="D2" s="857"/>
      <c r="E2" s="857"/>
      <c r="F2" s="857"/>
      <c r="G2" s="857"/>
      <c r="H2" s="857"/>
      <c r="I2" s="857"/>
      <c r="J2" s="857"/>
      <c r="K2" s="857"/>
      <c r="L2" s="857"/>
      <c r="M2" s="857"/>
      <c r="N2" s="857"/>
      <c r="O2" s="857"/>
      <c r="P2" s="857"/>
      <c r="Q2" s="857"/>
      <c r="R2" s="857"/>
      <c r="S2" s="857"/>
      <c r="T2" s="857"/>
      <c r="U2" s="857"/>
      <c r="V2" s="857"/>
      <c r="W2" s="857"/>
      <c r="X2" s="857"/>
      <c r="Y2" s="857"/>
      <c r="Z2" s="857"/>
      <c r="AA2" s="857"/>
      <c r="AB2" s="857"/>
      <c r="AC2" s="857"/>
      <c r="AD2" s="857"/>
      <c r="AE2" s="857"/>
      <c r="AF2" s="857"/>
      <c r="AG2" s="857"/>
      <c r="AH2" s="857"/>
    </row>
    <row r="3" spans="1:34" ht="15" customHeight="1">
      <c r="B3" s="804"/>
      <c r="C3" s="804"/>
      <c r="D3" s="80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row>
    <row r="4" spans="1:34" ht="15" customHeight="1">
      <c r="B4" s="805" t="s">
        <v>5</v>
      </c>
      <c r="C4" s="858" t="s">
        <v>125</v>
      </c>
      <c r="D4" s="806" t="s">
        <v>126</v>
      </c>
      <c r="E4" s="807" t="s">
        <v>57</v>
      </c>
      <c r="F4" s="807"/>
      <c r="G4" s="807"/>
      <c r="H4" s="807"/>
      <c r="I4" s="807"/>
      <c r="J4" s="807"/>
      <c r="K4" s="807"/>
      <c r="L4" s="807"/>
      <c r="M4" s="807"/>
      <c r="N4" s="807"/>
      <c r="O4" s="807"/>
      <c r="P4" s="807"/>
      <c r="Q4" s="807"/>
      <c r="R4" s="807"/>
      <c r="S4" s="807"/>
      <c r="T4" s="807"/>
      <c r="U4" s="807"/>
      <c r="V4" s="807"/>
      <c r="W4" s="807"/>
      <c r="X4" s="807"/>
      <c r="Y4" s="807"/>
      <c r="Z4" s="807"/>
      <c r="AA4" s="807"/>
      <c r="AB4" s="807"/>
      <c r="AC4" s="807"/>
      <c r="AD4" s="807"/>
      <c r="AE4" s="807"/>
      <c r="AF4" s="807"/>
      <c r="AG4" s="807"/>
      <c r="AH4" s="807"/>
    </row>
    <row r="5" spans="1:34" ht="12.75" customHeight="1">
      <c r="B5" s="805"/>
      <c r="C5" s="859"/>
      <c r="D5" s="806"/>
      <c r="E5" s="35" t="str">
        <f>DATASISWA!$F$8</f>
        <v>Dita</v>
      </c>
      <c r="F5" s="35" t="str">
        <f>DATASISWA!$F$9</f>
        <v>Annisa</v>
      </c>
      <c r="G5" s="35" t="str">
        <f>DATASISWA!$F$10</f>
        <v>Kiki</v>
      </c>
      <c r="H5" s="35" t="str">
        <f>DATASISWA!$F$11</f>
        <v>Lily</v>
      </c>
      <c r="I5" s="35" t="str">
        <f>DATASISWA!$F$12</f>
        <v>Rere</v>
      </c>
      <c r="J5" s="35" t="str">
        <f>DATASISWA!$F$13</f>
        <v>Fadhil</v>
      </c>
      <c r="K5" s="35" t="str">
        <f>DATASISWA!$F$14</f>
        <v>Yuefa</v>
      </c>
      <c r="L5" s="35" t="str">
        <f>DATASISWA!$F$15</f>
        <v>Ria</v>
      </c>
      <c r="M5" s="35" t="str">
        <f>DATASISWA!$F$16</f>
        <v>Tiara</v>
      </c>
      <c r="N5" s="35" t="str">
        <f>DATASISWA!$F$17</f>
        <v>Alvind</v>
      </c>
      <c r="O5" s="35" t="str">
        <f>DATASISWA!$F$18</f>
        <v>Icha</v>
      </c>
      <c r="P5" s="35" t="str">
        <f>DATASISWA!$F$19</f>
        <v>Qonita</v>
      </c>
      <c r="Q5" s="35" t="str">
        <f>DATASISWA!$F$20</f>
        <v>Anya</v>
      </c>
      <c r="R5" s="35" t="str">
        <f>DATASISWA!$F$21</f>
        <v>Radit</v>
      </c>
      <c r="S5" s="35" t="str">
        <f>DATASISWA!$F$22</f>
        <v>angel</v>
      </c>
      <c r="T5" s="35">
        <f>DATASISWA!$F$23</f>
        <v>0</v>
      </c>
      <c r="U5" s="35">
        <f>DATASISWA!$F$24</f>
        <v>0</v>
      </c>
      <c r="V5" s="35">
        <f>DATASISWA!$F$25</f>
        <v>0</v>
      </c>
      <c r="W5" s="35">
        <f>DATASISWA!$F$26</f>
        <v>0</v>
      </c>
      <c r="X5" s="35">
        <f>DATASISWA!$F$27</f>
        <v>0</v>
      </c>
      <c r="Y5" s="35">
        <f>DATASISWA!$F$28</f>
        <v>0</v>
      </c>
      <c r="Z5" s="35">
        <f>DATASISWA!$F$29</f>
        <v>0</v>
      </c>
      <c r="AA5" s="35">
        <f>DATASISWA!$F$30</f>
        <v>0</v>
      </c>
      <c r="AB5" s="35">
        <f>DATASISWA!$F$31</f>
        <v>0</v>
      </c>
      <c r="AC5" s="35">
        <f>DATASISWA!$F$32</f>
        <v>0</v>
      </c>
      <c r="AD5" s="35">
        <f>DATASISWA!$F$33</f>
        <v>0</v>
      </c>
      <c r="AE5" s="35">
        <f>DATASISWA!$F$34</f>
        <v>0</v>
      </c>
      <c r="AF5" s="35">
        <f>DATASISWA!$F$35</f>
        <v>0</v>
      </c>
      <c r="AG5" s="35">
        <f>DATASISWA!$F$36</f>
        <v>0</v>
      </c>
      <c r="AH5" s="35">
        <f>DATASISWA!$F$37</f>
        <v>0</v>
      </c>
    </row>
    <row r="6" spans="1:34" ht="27" customHeight="1">
      <c r="A6" s="30"/>
      <c r="B6" s="800">
        <v>1</v>
      </c>
      <c r="C6" s="809"/>
      <c r="D6" s="810"/>
      <c r="E6" s="97" t="str">
        <f>IFERROR(AVERAGE(E7:E13),"")</f>
        <v/>
      </c>
      <c r="F6" s="97" t="str">
        <f t="shared" ref="F6:AA6" si="0">IFERROR(AVERAGE(F7:F13),"")</f>
        <v/>
      </c>
      <c r="G6" s="97" t="str">
        <f t="shared" si="0"/>
        <v/>
      </c>
      <c r="H6" s="97" t="str">
        <f t="shared" si="0"/>
        <v/>
      </c>
      <c r="I6" s="97" t="str">
        <f t="shared" si="0"/>
        <v/>
      </c>
      <c r="J6" s="97" t="str">
        <f t="shared" si="0"/>
        <v/>
      </c>
      <c r="K6" s="97" t="str">
        <f t="shared" si="0"/>
        <v/>
      </c>
      <c r="L6" s="97" t="str">
        <f t="shared" si="0"/>
        <v/>
      </c>
      <c r="M6" s="97" t="str">
        <f t="shared" si="0"/>
        <v/>
      </c>
      <c r="N6" s="97" t="str">
        <f t="shared" si="0"/>
        <v/>
      </c>
      <c r="O6" s="97" t="str">
        <f t="shared" si="0"/>
        <v/>
      </c>
      <c r="P6" s="97" t="str">
        <f t="shared" si="0"/>
        <v/>
      </c>
      <c r="Q6" s="97" t="str">
        <f t="shared" si="0"/>
        <v/>
      </c>
      <c r="R6" s="97" t="str">
        <f t="shared" si="0"/>
        <v/>
      </c>
      <c r="S6" s="97" t="str">
        <f t="shared" si="0"/>
        <v/>
      </c>
      <c r="T6" s="97" t="str">
        <f t="shared" si="0"/>
        <v/>
      </c>
      <c r="U6" s="97" t="str">
        <f t="shared" si="0"/>
        <v/>
      </c>
      <c r="V6" s="97" t="str">
        <f t="shared" si="0"/>
        <v/>
      </c>
      <c r="W6" s="97" t="str">
        <f t="shared" si="0"/>
        <v/>
      </c>
      <c r="X6" s="97" t="str">
        <f t="shared" si="0"/>
        <v/>
      </c>
      <c r="Y6" s="97" t="str">
        <f t="shared" si="0"/>
        <v/>
      </c>
      <c r="Z6" s="97" t="str">
        <f t="shared" si="0"/>
        <v/>
      </c>
      <c r="AA6" s="97" t="str">
        <f t="shared" si="0"/>
        <v/>
      </c>
      <c r="AB6" s="97" t="str">
        <f t="shared" ref="AB6:AH6" si="1">IFERROR(AVERAGE(AB7:AB13),"")</f>
        <v/>
      </c>
      <c r="AC6" s="97" t="str">
        <f t="shared" si="1"/>
        <v/>
      </c>
      <c r="AD6" s="97" t="str">
        <f t="shared" si="1"/>
        <v/>
      </c>
      <c r="AE6" s="97" t="str">
        <f t="shared" si="1"/>
        <v/>
      </c>
      <c r="AF6" s="97" t="str">
        <f t="shared" si="1"/>
        <v/>
      </c>
      <c r="AG6" s="97" t="str">
        <f t="shared" si="1"/>
        <v/>
      </c>
      <c r="AH6" s="97" t="str">
        <f t="shared" si="1"/>
        <v/>
      </c>
    </row>
    <row r="7" spans="1:34" ht="27" customHeight="1">
      <c r="A7" s="30"/>
      <c r="B7" s="801"/>
      <c r="C7" s="421"/>
      <c r="D7" s="72"/>
      <c r="E7" s="98"/>
      <c r="F7" s="98"/>
      <c r="G7" s="98"/>
      <c r="H7" s="98"/>
      <c r="I7" s="98"/>
      <c r="J7" s="98"/>
      <c r="K7" s="98"/>
      <c r="L7" s="98"/>
      <c r="M7" s="98"/>
      <c r="N7" s="98"/>
      <c r="O7" s="98"/>
      <c r="P7" s="98"/>
      <c r="Q7" s="98"/>
      <c r="R7" s="98"/>
      <c r="S7" s="98"/>
      <c r="T7" s="98"/>
      <c r="U7" s="98"/>
      <c r="V7" s="98"/>
      <c r="W7" s="98"/>
      <c r="X7" s="98"/>
      <c r="Y7" s="98"/>
      <c r="Z7" s="98"/>
      <c r="AA7" s="98"/>
      <c r="AB7" s="98"/>
      <c r="AC7" s="98"/>
      <c r="AD7" s="98"/>
      <c r="AE7" s="98"/>
      <c r="AF7" s="98"/>
      <c r="AG7" s="98"/>
      <c r="AH7" s="98"/>
    </row>
    <row r="8" spans="1:34" ht="27" customHeight="1">
      <c r="A8" s="30"/>
      <c r="B8" s="801"/>
      <c r="C8" s="421"/>
      <c r="D8" s="72"/>
      <c r="E8" s="98"/>
      <c r="F8" s="98"/>
      <c r="G8" s="98"/>
      <c r="H8" s="98"/>
      <c r="I8" s="98"/>
      <c r="J8" s="98"/>
      <c r="K8" s="98"/>
      <c r="L8" s="98"/>
      <c r="M8" s="98"/>
      <c r="N8" s="98"/>
      <c r="O8" s="98"/>
      <c r="P8" s="98"/>
      <c r="Q8" s="98"/>
      <c r="R8" s="98"/>
      <c r="S8" s="98"/>
      <c r="T8" s="98"/>
      <c r="U8" s="98"/>
      <c r="V8" s="98"/>
      <c r="W8" s="98"/>
      <c r="X8" s="98"/>
      <c r="Y8" s="98"/>
      <c r="Z8" s="98"/>
      <c r="AA8" s="98"/>
      <c r="AB8" s="98"/>
      <c r="AC8" s="98"/>
      <c r="AD8" s="98"/>
      <c r="AE8" s="98"/>
      <c r="AF8" s="98"/>
      <c r="AG8" s="98"/>
      <c r="AH8" s="98"/>
    </row>
    <row r="9" spans="1:34" ht="27" customHeight="1">
      <c r="A9" s="30"/>
      <c r="B9" s="801"/>
      <c r="C9" s="421"/>
      <c r="D9" s="72"/>
      <c r="E9" s="98"/>
      <c r="F9" s="98"/>
      <c r="G9" s="98"/>
      <c r="H9" s="98"/>
      <c r="I9" s="98"/>
      <c r="J9" s="98"/>
      <c r="K9" s="98"/>
      <c r="L9" s="98"/>
      <c r="M9" s="98"/>
      <c r="N9" s="98"/>
      <c r="O9" s="98"/>
      <c r="P9" s="98"/>
      <c r="Q9" s="98"/>
      <c r="R9" s="98"/>
      <c r="S9" s="98"/>
      <c r="T9" s="98"/>
      <c r="U9" s="98"/>
      <c r="V9" s="98"/>
      <c r="W9" s="98"/>
      <c r="X9" s="98"/>
      <c r="Y9" s="98"/>
      <c r="Z9" s="98"/>
      <c r="AA9" s="98"/>
      <c r="AB9" s="98"/>
      <c r="AC9" s="98"/>
      <c r="AD9" s="98"/>
      <c r="AE9" s="98"/>
      <c r="AF9" s="98"/>
      <c r="AG9" s="98"/>
      <c r="AH9" s="98"/>
    </row>
    <row r="10" spans="1:34" ht="27" hidden="1" customHeight="1">
      <c r="A10" s="30"/>
      <c r="B10" s="801"/>
      <c r="C10" s="422"/>
      <c r="D10" s="72"/>
      <c r="E10" s="98"/>
      <c r="F10" s="98"/>
      <c r="G10" s="98"/>
      <c r="H10" s="98"/>
      <c r="I10" s="98"/>
      <c r="J10" s="98"/>
      <c r="K10" s="98"/>
      <c r="L10" s="98"/>
      <c r="M10" s="98"/>
      <c r="N10" s="98"/>
      <c r="O10" s="98"/>
      <c r="P10" s="98"/>
      <c r="Q10" s="98"/>
      <c r="R10" s="98"/>
      <c r="S10" s="98"/>
      <c r="T10" s="98"/>
      <c r="U10" s="98"/>
      <c r="V10" s="98"/>
      <c r="W10" s="98"/>
      <c r="X10" s="98"/>
      <c r="Y10" s="98"/>
      <c r="Z10" s="98"/>
      <c r="AA10" s="98"/>
      <c r="AB10" s="98"/>
      <c r="AC10" s="98"/>
      <c r="AD10" s="98"/>
      <c r="AE10" s="98"/>
      <c r="AF10" s="98"/>
      <c r="AG10" s="98"/>
      <c r="AH10" s="98"/>
    </row>
    <row r="11" spans="1:34" ht="27" hidden="1" customHeight="1">
      <c r="A11" s="30"/>
      <c r="B11" s="801"/>
      <c r="C11" s="422"/>
      <c r="D11" s="72"/>
      <c r="E11" s="98"/>
      <c r="F11" s="98"/>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row>
    <row r="12" spans="1:34" ht="27" hidden="1" customHeight="1">
      <c r="A12" s="30"/>
      <c r="B12" s="801"/>
      <c r="C12" s="422"/>
      <c r="D12" s="72"/>
      <c r="E12" s="98"/>
      <c r="F12" s="98"/>
      <c r="G12" s="98"/>
      <c r="H12" s="98"/>
      <c r="I12" s="98"/>
      <c r="J12" s="98"/>
      <c r="K12" s="98"/>
      <c r="L12" s="98"/>
      <c r="M12" s="98"/>
      <c r="N12" s="98"/>
      <c r="O12" s="98"/>
      <c r="P12" s="98"/>
      <c r="Q12" s="98"/>
      <c r="R12" s="98"/>
      <c r="S12" s="98"/>
      <c r="T12" s="98"/>
      <c r="U12" s="98"/>
      <c r="V12" s="98"/>
      <c r="W12" s="98"/>
      <c r="X12" s="98"/>
      <c r="Y12" s="98"/>
      <c r="Z12" s="98"/>
      <c r="AA12" s="98"/>
      <c r="AB12" s="98"/>
      <c r="AC12" s="98"/>
      <c r="AD12" s="98"/>
      <c r="AE12" s="98"/>
      <c r="AF12" s="98"/>
      <c r="AG12" s="98"/>
      <c r="AH12" s="98"/>
    </row>
    <row r="13" spans="1:34" ht="27" hidden="1" customHeight="1">
      <c r="A13" s="30"/>
      <c r="B13" s="802"/>
      <c r="C13" s="422"/>
      <c r="D13" s="72"/>
      <c r="E13" s="98"/>
      <c r="F13" s="98"/>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row>
    <row r="14" spans="1:34" ht="27" customHeight="1">
      <c r="A14" s="30"/>
      <c r="B14" s="800">
        <v>2</v>
      </c>
      <c r="C14" s="795"/>
      <c r="D14" s="796"/>
      <c r="E14" s="97" t="str">
        <f>IFERROR(AVERAGE(E15:E21),"")</f>
        <v/>
      </c>
      <c r="F14" s="97" t="str">
        <f t="shared" ref="F14:AA14" si="2">IFERROR(AVERAGE(F15:F21),"")</f>
        <v/>
      </c>
      <c r="G14" s="97" t="str">
        <f t="shared" si="2"/>
        <v/>
      </c>
      <c r="H14" s="97" t="str">
        <f t="shared" si="2"/>
        <v/>
      </c>
      <c r="I14" s="97" t="str">
        <f t="shared" si="2"/>
        <v/>
      </c>
      <c r="J14" s="97" t="str">
        <f t="shared" si="2"/>
        <v/>
      </c>
      <c r="K14" s="97" t="str">
        <f t="shared" si="2"/>
        <v/>
      </c>
      <c r="L14" s="97" t="str">
        <f t="shared" si="2"/>
        <v/>
      </c>
      <c r="M14" s="97" t="str">
        <f t="shared" si="2"/>
        <v/>
      </c>
      <c r="N14" s="97" t="str">
        <f t="shared" si="2"/>
        <v/>
      </c>
      <c r="O14" s="97" t="str">
        <f t="shared" si="2"/>
        <v/>
      </c>
      <c r="P14" s="97" t="str">
        <f t="shared" si="2"/>
        <v/>
      </c>
      <c r="Q14" s="97" t="str">
        <f t="shared" si="2"/>
        <v/>
      </c>
      <c r="R14" s="97" t="str">
        <f t="shared" si="2"/>
        <v/>
      </c>
      <c r="S14" s="97" t="str">
        <f t="shared" si="2"/>
        <v/>
      </c>
      <c r="T14" s="97" t="str">
        <f t="shared" si="2"/>
        <v/>
      </c>
      <c r="U14" s="97" t="str">
        <f t="shared" si="2"/>
        <v/>
      </c>
      <c r="V14" s="97" t="str">
        <f t="shared" si="2"/>
        <v/>
      </c>
      <c r="W14" s="97" t="str">
        <f t="shared" si="2"/>
        <v/>
      </c>
      <c r="X14" s="97" t="str">
        <f t="shared" si="2"/>
        <v/>
      </c>
      <c r="Y14" s="97" t="str">
        <f t="shared" si="2"/>
        <v/>
      </c>
      <c r="Z14" s="97" t="str">
        <f t="shared" si="2"/>
        <v/>
      </c>
      <c r="AA14" s="97" t="str">
        <f t="shared" si="2"/>
        <v/>
      </c>
      <c r="AB14" s="97" t="str">
        <f t="shared" ref="AB14:AH14" si="3">IFERROR(AVERAGE(AB15:AB21),"")</f>
        <v/>
      </c>
      <c r="AC14" s="97" t="str">
        <f t="shared" si="3"/>
        <v/>
      </c>
      <c r="AD14" s="97" t="str">
        <f t="shared" si="3"/>
        <v/>
      </c>
      <c r="AE14" s="97" t="str">
        <f t="shared" si="3"/>
        <v/>
      </c>
      <c r="AF14" s="97" t="str">
        <f t="shared" si="3"/>
        <v/>
      </c>
      <c r="AG14" s="97" t="str">
        <f t="shared" si="3"/>
        <v/>
      </c>
      <c r="AH14" s="97" t="str">
        <f t="shared" si="3"/>
        <v/>
      </c>
    </row>
    <row r="15" spans="1:34" ht="27" customHeight="1">
      <c r="A15" s="30"/>
      <c r="B15" s="801"/>
      <c r="C15" s="421"/>
      <c r="D15" s="72"/>
      <c r="E15" s="98"/>
      <c r="F15" s="98"/>
      <c r="G15" s="98"/>
      <c r="H15" s="98"/>
      <c r="I15" s="98"/>
      <c r="J15" s="98"/>
      <c r="K15" s="98"/>
      <c r="L15" s="98"/>
      <c r="M15" s="98"/>
      <c r="N15" s="98"/>
      <c r="O15" s="98"/>
      <c r="P15" s="98"/>
      <c r="Q15" s="98"/>
      <c r="R15" s="98"/>
      <c r="S15" s="98"/>
      <c r="T15" s="98"/>
      <c r="U15" s="98"/>
      <c r="V15" s="98"/>
      <c r="W15" s="98"/>
      <c r="X15" s="98"/>
      <c r="Y15" s="98"/>
      <c r="Z15" s="98"/>
      <c r="AA15" s="98"/>
      <c r="AB15" s="98"/>
      <c r="AC15" s="98"/>
      <c r="AD15" s="98"/>
      <c r="AE15" s="98"/>
      <c r="AF15" s="98"/>
      <c r="AG15" s="98"/>
      <c r="AH15" s="98"/>
    </row>
    <row r="16" spans="1:34" ht="27" customHeight="1">
      <c r="A16" s="30"/>
      <c r="B16" s="801"/>
      <c r="C16" s="421"/>
      <c r="D16" s="72"/>
      <c r="E16" s="98"/>
      <c r="F16" s="98"/>
      <c r="G16" s="98"/>
      <c r="H16" s="98"/>
      <c r="I16" s="98"/>
      <c r="J16" s="98"/>
      <c r="K16" s="98"/>
      <c r="L16" s="98"/>
      <c r="M16" s="98"/>
      <c r="N16" s="98"/>
      <c r="O16" s="98"/>
      <c r="P16" s="98"/>
      <c r="Q16" s="98"/>
      <c r="R16" s="98"/>
      <c r="S16" s="98"/>
      <c r="T16" s="98"/>
      <c r="U16" s="98"/>
      <c r="V16" s="98"/>
      <c r="W16" s="98"/>
      <c r="X16" s="98"/>
      <c r="Y16" s="98"/>
      <c r="Z16" s="98"/>
      <c r="AA16" s="98"/>
      <c r="AB16" s="98"/>
      <c r="AC16" s="98"/>
      <c r="AD16" s="98"/>
      <c r="AE16" s="98"/>
      <c r="AF16" s="98"/>
      <c r="AG16" s="98"/>
      <c r="AH16" s="98"/>
    </row>
    <row r="17" spans="1:34" ht="27" hidden="1" customHeight="1">
      <c r="A17" s="30"/>
      <c r="B17" s="801"/>
      <c r="C17" s="422"/>
      <c r="D17" s="72"/>
      <c r="E17" s="98"/>
      <c r="F17" s="98"/>
      <c r="G17" s="98"/>
      <c r="H17" s="98"/>
      <c r="I17" s="98"/>
      <c r="J17" s="98"/>
      <c r="K17" s="98"/>
      <c r="L17" s="98"/>
      <c r="M17" s="98"/>
      <c r="N17" s="98"/>
      <c r="O17" s="98"/>
      <c r="P17" s="98"/>
      <c r="Q17" s="98"/>
      <c r="R17" s="98"/>
      <c r="S17" s="98"/>
      <c r="T17" s="98"/>
      <c r="U17" s="98"/>
      <c r="V17" s="98"/>
      <c r="W17" s="98"/>
      <c r="X17" s="98"/>
      <c r="Y17" s="98"/>
      <c r="Z17" s="98"/>
      <c r="AA17" s="98"/>
      <c r="AB17" s="98"/>
      <c r="AC17" s="98"/>
      <c r="AD17" s="98"/>
      <c r="AE17" s="98"/>
      <c r="AF17" s="98"/>
      <c r="AG17" s="98"/>
      <c r="AH17" s="98"/>
    </row>
    <row r="18" spans="1:34" ht="27" hidden="1" customHeight="1">
      <c r="A18" s="30"/>
      <c r="B18" s="801"/>
      <c r="C18" s="422"/>
      <c r="D18" s="72"/>
      <c r="E18" s="98"/>
      <c r="F18" s="98"/>
      <c r="G18" s="98"/>
      <c r="H18" s="98"/>
      <c r="I18" s="98"/>
      <c r="J18" s="98"/>
      <c r="K18" s="98"/>
      <c r="L18" s="98"/>
      <c r="M18" s="98"/>
      <c r="N18" s="98"/>
      <c r="O18" s="98"/>
      <c r="P18" s="98"/>
      <c r="Q18" s="98"/>
      <c r="R18" s="98"/>
      <c r="S18" s="98"/>
      <c r="T18" s="98"/>
      <c r="U18" s="98"/>
      <c r="V18" s="98"/>
      <c r="W18" s="98"/>
      <c r="X18" s="98"/>
      <c r="Y18" s="98"/>
      <c r="Z18" s="98"/>
      <c r="AA18" s="98"/>
      <c r="AB18" s="98"/>
      <c r="AC18" s="98"/>
      <c r="AD18" s="98"/>
      <c r="AE18" s="98"/>
      <c r="AF18" s="98"/>
      <c r="AG18" s="98"/>
      <c r="AH18" s="98"/>
    </row>
    <row r="19" spans="1:34" ht="27" hidden="1" customHeight="1">
      <c r="A19" s="30"/>
      <c r="B19" s="801"/>
      <c r="C19" s="422"/>
      <c r="D19" s="72"/>
      <c r="E19" s="98"/>
      <c r="F19" s="98"/>
      <c r="G19" s="98"/>
      <c r="H19" s="98"/>
      <c r="I19" s="98"/>
      <c r="J19" s="98"/>
      <c r="K19" s="98"/>
      <c r="L19" s="98"/>
      <c r="M19" s="98"/>
      <c r="N19" s="98"/>
      <c r="O19" s="98"/>
      <c r="P19" s="98"/>
      <c r="Q19" s="98"/>
      <c r="R19" s="98"/>
      <c r="S19" s="98"/>
      <c r="T19" s="98"/>
      <c r="U19" s="98"/>
      <c r="V19" s="98"/>
      <c r="W19" s="98"/>
      <c r="X19" s="98"/>
      <c r="Y19" s="98"/>
      <c r="Z19" s="98"/>
      <c r="AA19" s="98"/>
      <c r="AB19" s="98"/>
      <c r="AC19" s="98"/>
      <c r="AD19" s="98"/>
      <c r="AE19" s="98"/>
      <c r="AF19" s="98"/>
      <c r="AG19" s="98"/>
      <c r="AH19" s="98"/>
    </row>
    <row r="20" spans="1:34" ht="27" hidden="1" customHeight="1">
      <c r="A20" s="30"/>
      <c r="B20" s="801"/>
      <c r="C20" s="422"/>
      <c r="D20" s="72"/>
      <c r="E20" s="98"/>
      <c r="F20" s="98"/>
      <c r="G20" s="98"/>
      <c r="H20" s="98"/>
      <c r="I20" s="98"/>
      <c r="J20" s="98"/>
      <c r="K20" s="98"/>
      <c r="L20" s="98"/>
      <c r="M20" s="98"/>
      <c r="N20" s="98"/>
      <c r="O20" s="98"/>
      <c r="P20" s="98"/>
      <c r="Q20" s="98"/>
      <c r="R20" s="98"/>
      <c r="S20" s="98"/>
      <c r="T20" s="98"/>
      <c r="U20" s="98"/>
      <c r="V20" s="98"/>
      <c r="W20" s="98"/>
      <c r="X20" s="98"/>
      <c r="Y20" s="98"/>
      <c r="Z20" s="98"/>
      <c r="AA20" s="98"/>
      <c r="AB20" s="98"/>
      <c r="AC20" s="98"/>
      <c r="AD20" s="98"/>
      <c r="AE20" s="98"/>
      <c r="AF20" s="98"/>
      <c r="AG20" s="98"/>
      <c r="AH20" s="98"/>
    </row>
    <row r="21" spans="1:34" ht="27" hidden="1" customHeight="1">
      <c r="A21" s="30"/>
      <c r="B21" s="802"/>
      <c r="C21" s="422"/>
      <c r="D21" s="72"/>
      <c r="E21" s="98"/>
      <c r="F21" s="98"/>
      <c r="G21" s="98"/>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row>
    <row r="22" spans="1:34" ht="27" customHeight="1">
      <c r="A22" s="30"/>
      <c r="B22" s="800">
        <v>3</v>
      </c>
      <c r="C22" s="795"/>
      <c r="D22" s="796"/>
      <c r="E22" s="97" t="str">
        <f>IFERROR(AVERAGE(E23:E29),"")</f>
        <v/>
      </c>
      <c r="F22" s="97" t="str">
        <f t="shared" ref="F22:AA22" si="4">IFERROR(AVERAGE(F23:F29),"")</f>
        <v/>
      </c>
      <c r="G22" s="97" t="str">
        <f t="shared" si="4"/>
        <v/>
      </c>
      <c r="H22" s="97" t="str">
        <f t="shared" si="4"/>
        <v/>
      </c>
      <c r="I22" s="97" t="str">
        <f t="shared" si="4"/>
        <v/>
      </c>
      <c r="J22" s="97" t="str">
        <f t="shared" si="4"/>
        <v/>
      </c>
      <c r="K22" s="97" t="str">
        <f t="shared" si="4"/>
        <v/>
      </c>
      <c r="L22" s="97" t="str">
        <f t="shared" si="4"/>
        <v/>
      </c>
      <c r="M22" s="97" t="str">
        <f t="shared" si="4"/>
        <v/>
      </c>
      <c r="N22" s="97" t="str">
        <f t="shared" si="4"/>
        <v/>
      </c>
      <c r="O22" s="97" t="str">
        <f t="shared" si="4"/>
        <v/>
      </c>
      <c r="P22" s="97" t="str">
        <f t="shared" si="4"/>
        <v/>
      </c>
      <c r="Q22" s="97" t="str">
        <f t="shared" si="4"/>
        <v/>
      </c>
      <c r="R22" s="97" t="str">
        <f t="shared" si="4"/>
        <v/>
      </c>
      <c r="S22" s="97" t="str">
        <f t="shared" si="4"/>
        <v/>
      </c>
      <c r="T22" s="97" t="str">
        <f t="shared" si="4"/>
        <v/>
      </c>
      <c r="U22" s="97" t="str">
        <f t="shared" si="4"/>
        <v/>
      </c>
      <c r="V22" s="97" t="str">
        <f t="shared" si="4"/>
        <v/>
      </c>
      <c r="W22" s="97" t="str">
        <f t="shared" si="4"/>
        <v/>
      </c>
      <c r="X22" s="97" t="str">
        <f t="shared" si="4"/>
        <v/>
      </c>
      <c r="Y22" s="97" t="str">
        <f t="shared" si="4"/>
        <v/>
      </c>
      <c r="Z22" s="97" t="str">
        <f t="shared" si="4"/>
        <v/>
      </c>
      <c r="AA22" s="97" t="str">
        <f t="shared" si="4"/>
        <v/>
      </c>
      <c r="AB22" s="97" t="str">
        <f t="shared" ref="AB22:AH22" si="5">IFERROR(AVERAGE(AB23:AB29),"")</f>
        <v/>
      </c>
      <c r="AC22" s="97" t="str">
        <f t="shared" si="5"/>
        <v/>
      </c>
      <c r="AD22" s="97" t="str">
        <f t="shared" si="5"/>
        <v/>
      </c>
      <c r="AE22" s="97" t="str">
        <f t="shared" si="5"/>
        <v/>
      </c>
      <c r="AF22" s="97" t="str">
        <f t="shared" si="5"/>
        <v/>
      </c>
      <c r="AG22" s="97" t="str">
        <f t="shared" si="5"/>
        <v/>
      </c>
      <c r="AH22" s="97" t="str">
        <f t="shared" si="5"/>
        <v/>
      </c>
    </row>
    <row r="23" spans="1:34" ht="27" customHeight="1">
      <c r="A23" s="30"/>
      <c r="B23" s="801"/>
      <c r="C23" s="425"/>
      <c r="D23" s="72"/>
      <c r="E23" s="98"/>
      <c r="F23" s="98"/>
      <c r="G23" s="98"/>
      <c r="H23" s="98"/>
      <c r="I23" s="98"/>
      <c r="J23" s="98"/>
      <c r="K23" s="98"/>
      <c r="L23" s="98"/>
      <c r="M23" s="98"/>
      <c r="N23" s="98"/>
      <c r="O23" s="98"/>
      <c r="P23" s="98"/>
      <c r="Q23" s="98"/>
      <c r="R23" s="98"/>
      <c r="S23" s="98"/>
      <c r="T23" s="98"/>
      <c r="U23" s="98"/>
      <c r="V23" s="98"/>
      <c r="W23" s="98"/>
      <c r="X23" s="98"/>
      <c r="Y23" s="98"/>
      <c r="Z23" s="98"/>
      <c r="AA23" s="98"/>
      <c r="AB23" s="98"/>
      <c r="AC23" s="98"/>
      <c r="AD23" s="98"/>
      <c r="AE23" s="98"/>
      <c r="AF23" s="98"/>
      <c r="AG23" s="98"/>
      <c r="AH23" s="98"/>
    </row>
    <row r="24" spans="1:34" ht="27" customHeight="1">
      <c r="A24" s="30"/>
      <c r="B24" s="801"/>
      <c r="C24" s="425"/>
      <c r="D24" s="72"/>
      <c r="E24" s="98"/>
      <c r="F24" s="98"/>
      <c r="G24" s="98"/>
      <c r="H24" s="98"/>
      <c r="I24" s="98"/>
      <c r="J24" s="98"/>
      <c r="K24" s="98"/>
      <c r="L24" s="98"/>
      <c r="M24" s="98"/>
      <c r="N24" s="98"/>
      <c r="O24" s="98"/>
      <c r="P24" s="98"/>
      <c r="Q24" s="98"/>
      <c r="R24" s="98"/>
      <c r="S24" s="98"/>
      <c r="T24" s="98"/>
      <c r="U24" s="98"/>
      <c r="V24" s="98"/>
      <c r="W24" s="98"/>
      <c r="X24" s="98"/>
      <c r="Y24" s="98"/>
      <c r="Z24" s="98"/>
      <c r="AA24" s="98"/>
      <c r="AB24" s="98"/>
      <c r="AC24" s="98"/>
      <c r="AD24" s="98"/>
      <c r="AE24" s="98"/>
      <c r="AF24" s="98"/>
      <c r="AG24" s="98"/>
      <c r="AH24" s="98"/>
    </row>
    <row r="25" spans="1:34" ht="27" hidden="1" customHeight="1">
      <c r="A25" s="30"/>
      <c r="B25" s="801"/>
      <c r="C25" s="422"/>
      <c r="D25" s="72"/>
      <c r="E25" s="98"/>
      <c r="F25" s="98"/>
      <c r="G25" s="98"/>
      <c r="H25" s="98"/>
      <c r="I25" s="98"/>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row>
    <row r="26" spans="1:34" ht="27" hidden="1" customHeight="1">
      <c r="A26" s="30"/>
      <c r="B26" s="801"/>
      <c r="C26" s="422"/>
      <c r="D26" s="72"/>
      <c r="E26" s="98"/>
      <c r="F26" s="98"/>
      <c r="G26" s="98"/>
      <c r="H26" s="98"/>
      <c r="I26" s="98"/>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row>
    <row r="27" spans="1:34" ht="27" hidden="1" customHeight="1">
      <c r="A27" s="30"/>
      <c r="B27" s="801"/>
      <c r="C27" s="422"/>
      <c r="D27" s="72"/>
      <c r="E27" s="98"/>
      <c r="F27" s="98"/>
      <c r="G27" s="98"/>
      <c r="H27" s="98"/>
      <c r="I27" s="98"/>
      <c r="J27" s="98"/>
      <c r="K27" s="98"/>
      <c r="L27" s="98"/>
      <c r="M27" s="98"/>
      <c r="N27" s="98"/>
      <c r="O27" s="98"/>
      <c r="P27" s="98"/>
      <c r="Q27" s="98"/>
      <c r="R27" s="98"/>
      <c r="S27" s="98"/>
      <c r="T27" s="98"/>
      <c r="U27" s="98"/>
      <c r="V27" s="98"/>
      <c r="W27" s="98"/>
      <c r="X27" s="98"/>
      <c r="Y27" s="98"/>
      <c r="Z27" s="98"/>
      <c r="AA27" s="98"/>
      <c r="AB27" s="98"/>
      <c r="AC27" s="98"/>
      <c r="AD27" s="98"/>
      <c r="AE27" s="98"/>
      <c r="AF27" s="98"/>
      <c r="AG27" s="98"/>
      <c r="AH27" s="98"/>
    </row>
    <row r="28" spans="1:34" ht="27" hidden="1" customHeight="1">
      <c r="A28" s="30"/>
      <c r="B28" s="801"/>
      <c r="C28" s="422"/>
      <c r="D28" s="72"/>
      <c r="E28" s="98"/>
      <c r="F28" s="98"/>
      <c r="G28" s="98"/>
      <c r="H28" s="98"/>
      <c r="I28" s="98"/>
      <c r="J28" s="98"/>
      <c r="K28" s="98"/>
      <c r="L28" s="98"/>
      <c r="M28" s="98"/>
      <c r="N28" s="98"/>
      <c r="O28" s="98"/>
      <c r="P28" s="98"/>
      <c r="Q28" s="98"/>
      <c r="R28" s="98"/>
      <c r="S28" s="98"/>
      <c r="T28" s="98"/>
      <c r="U28" s="98"/>
      <c r="V28" s="98"/>
      <c r="W28" s="98"/>
      <c r="X28" s="98"/>
      <c r="Y28" s="98"/>
      <c r="Z28" s="98"/>
      <c r="AA28" s="98"/>
      <c r="AB28" s="98"/>
      <c r="AC28" s="98"/>
      <c r="AD28" s="98"/>
      <c r="AE28" s="98"/>
      <c r="AF28" s="98"/>
      <c r="AG28" s="98"/>
      <c r="AH28" s="98"/>
    </row>
    <row r="29" spans="1:34" ht="27" hidden="1" customHeight="1">
      <c r="A29" s="30"/>
      <c r="B29" s="802"/>
      <c r="C29" s="422"/>
      <c r="D29" s="72"/>
      <c r="E29" s="98"/>
      <c r="F29" s="98"/>
      <c r="G29" s="98"/>
      <c r="H29" s="98"/>
      <c r="I29" s="98"/>
      <c r="J29" s="98"/>
      <c r="K29" s="98"/>
      <c r="L29" s="98"/>
      <c r="M29" s="98"/>
      <c r="N29" s="98"/>
      <c r="O29" s="98"/>
      <c r="P29" s="98"/>
      <c r="Q29" s="98"/>
      <c r="R29" s="98"/>
      <c r="S29" s="98"/>
      <c r="T29" s="98"/>
      <c r="U29" s="98"/>
      <c r="V29" s="98"/>
      <c r="W29" s="98"/>
      <c r="X29" s="98"/>
      <c r="Y29" s="98"/>
      <c r="Z29" s="98"/>
      <c r="AA29" s="98"/>
      <c r="AB29" s="98"/>
      <c r="AC29" s="98"/>
      <c r="AD29" s="98"/>
      <c r="AE29" s="98"/>
      <c r="AF29" s="98"/>
      <c r="AG29" s="98"/>
      <c r="AH29" s="98"/>
    </row>
    <row r="30" spans="1:34" ht="27" customHeight="1">
      <c r="A30" s="30"/>
      <c r="B30" s="800">
        <v>4</v>
      </c>
      <c r="C30" s="795"/>
      <c r="D30" s="796"/>
      <c r="E30" s="97" t="str">
        <f>IFERROR(AVERAGE(E31:E37),"")</f>
        <v/>
      </c>
      <c r="F30" s="97" t="str">
        <f t="shared" ref="F30:AA30" si="6">IFERROR(AVERAGE(F31:F37),"")</f>
        <v/>
      </c>
      <c r="G30" s="97" t="str">
        <f t="shared" si="6"/>
        <v/>
      </c>
      <c r="H30" s="97" t="str">
        <f t="shared" si="6"/>
        <v/>
      </c>
      <c r="I30" s="97" t="str">
        <f t="shared" si="6"/>
        <v/>
      </c>
      <c r="J30" s="97" t="str">
        <f t="shared" si="6"/>
        <v/>
      </c>
      <c r="K30" s="97" t="str">
        <f t="shared" si="6"/>
        <v/>
      </c>
      <c r="L30" s="97" t="str">
        <f t="shared" si="6"/>
        <v/>
      </c>
      <c r="M30" s="97" t="str">
        <f t="shared" si="6"/>
        <v/>
      </c>
      <c r="N30" s="97" t="str">
        <f t="shared" si="6"/>
        <v/>
      </c>
      <c r="O30" s="97" t="str">
        <f t="shared" si="6"/>
        <v/>
      </c>
      <c r="P30" s="97" t="str">
        <f t="shared" si="6"/>
        <v/>
      </c>
      <c r="Q30" s="97" t="str">
        <f t="shared" si="6"/>
        <v/>
      </c>
      <c r="R30" s="97" t="str">
        <f t="shared" si="6"/>
        <v/>
      </c>
      <c r="S30" s="97" t="str">
        <f t="shared" si="6"/>
        <v/>
      </c>
      <c r="T30" s="97" t="str">
        <f t="shared" si="6"/>
        <v/>
      </c>
      <c r="U30" s="97" t="str">
        <f t="shared" si="6"/>
        <v/>
      </c>
      <c r="V30" s="97" t="str">
        <f t="shared" si="6"/>
        <v/>
      </c>
      <c r="W30" s="97" t="str">
        <f t="shared" si="6"/>
        <v/>
      </c>
      <c r="X30" s="97" t="str">
        <f t="shared" si="6"/>
        <v/>
      </c>
      <c r="Y30" s="97" t="str">
        <f t="shared" si="6"/>
        <v/>
      </c>
      <c r="Z30" s="97" t="str">
        <f t="shared" si="6"/>
        <v/>
      </c>
      <c r="AA30" s="97" t="str">
        <f t="shared" si="6"/>
        <v/>
      </c>
      <c r="AB30" s="97" t="str">
        <f t="shared" ref="AB30:AH30" si="7">IFERROR(AVERAGE(AB31:AB37),"")</f>
        <v/>
      </c>
      <c r="AC30" s="97" t="str">
        <f t="shared" si="7"/>
        <v/>
      </c>
      <c r="AD30" s="97" t="str">
        <f t="shared" si="7"/>
        <v/>
      </c>
      <c r="AE30" s="97" t="str">
        <f t="shared" si="7"/>
        <v/>
      </c>
      <c r="AF30" s="97" t="str">
        <f t="shared" si="7"/>
        <v/>
      </c>
      <c r="AG30" s="97" t="str">
        <f t="shared" si="7"/>
        <v/>
      </c>
      <c r="AH30" s="97" t="str">
        <f t="shared" si="7"/>
        <v/>
      </c>
    </row>
    <row r="31" spans="1:34" ht="27" customHeight="1">
      <c r="A31" s="30"/>
      <c r="B31" s="801"/>
      <c r="C31" s="426"/>
      <c r="D31" s="72"/>
      <c r="E31" s="98"/>
      <c r="F31" s="98"/>
      <c r="G31" s="98"/>
      <c r="H31" s="98"/>
      <c r="I31" s="98"/>
      <c r="J31" s="98"/>
      <c r="K31" s="98"/>
      <c r="L31" s="98"/>
      <c r="M31" s="98"/>
      <c r="N31" s="98"/>
      <c r="O31" s="98"/>
      <c r="P31" s="98"/>
      <c r="Q31" s="98"/>
      <c r="R31" s="98"/>
      <c r="S31" s="98"/>
      <c r="T31" s="98"/>
      <c r="U31" s="98"/>
      <c r="V31" s="98"/>
      <c r="W31" s="98"/>
      <c r="X31" s="98"/>
      <c r="Y31" s="98"/>
      <c r="Z31" s="98"/>
      <c r="AA31" s="98"/>
      <c r="AB31" s="98"/>
      <c r="AC31" s="98"/>
      <c r="AD31" s="98"/>
      <c r="AE31" s="98"/>
      <c r="AF31" s="98"/>
      <c r="AG31" s="98"/>
      <c r="AH31" s="98"/>
    </row>
    <row r="32" spans="1:34" ht="27" customHeight="1">
      <c r="A32" s="30"/>
      <c r="B32" s="801"/>
      <c r="C32" s="426"/>
      <c r="D32" s="72"/>
      <c r="E32" s="98"/>
      <c r="F32" s="98"/>
      <c r="G32" s="98"/>
      <c r="H32" s="98"/>
      <c r="I32" s="98"/>
      <c r="J32" s="98"/>
      <c r="K32" s="98"/>
      <c r="L32" s="98"/>
      <c r="M32" s="98"/>
      <c r="N32" s="98"/>
      <c r="O32" s="98"/>
      <c r="P32" s="98"/>
      <c r="Q32" s="98"/>
      <c r="R32" s="98"/>
      <c r="S32" s="98"/>
      <c r="T32" s="98"/>
      <c r="U32" s="98"/>
      <c r="V32" s="98"/>
      <c r="W32" s="98"/>
      <c r="X32" s="98"/>
      <c r="Y32" s="98"/>
      <c r="Z32" s="98"/>
      <c r="AA32" s="98"/>
      <c r="AB32" s="98"/>
      <c r="AC32" s="98"/>
      <c r="AD32" s="98"/>
      <c r="AE32" s="98"/>
      <c r="AF32" s="98"/>
      <c r="AG32" s="98"/>
      <c r="AH32" s="98"/>
    </row>
    <row r="33" spans="1:34" ht="27" hidden="1" customHeight="1">
      <c r="A33" s="30"/>
      <c r="B33" s="801"/>
      <c r="C33" s="422"/>
      <c r="D33" s="72"/>
      <c r="E33" s="98"/>
      <c r="F33" s="98"/>
      <c r="G33" s="98"/>
      <c r="H33" s="98"/>
      <c r="I33" s="98"/>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row>
    <row r="34" spans="1:34" ht="27" hidden="1" customHeight="1">
      <c r="A34" s="30"/>
      <c r="B34" s="801"/>
      <c r="C34" s="422"/>
      <c r="D34" s="72"/>
      <c r="E34" s="98"/>
      <c r="F34" s="98"/>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row>
    <row r="35" spans="1:34" ht="27" hidden="1" customHeight="1">
      <c r="A35" s="30"/>
      <c r="B35" s="801"/>
      <c r="C35" s="422"/>
      <c r="D35" s="72"/>
      <c r="E35" s="98"/>
      <c r="F35" s="98"/>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row>
    <row r="36" spans="1:34" ht="27" hidden="1" customHeight="1">
      <c r="A36" s="30"/>
      <c r="B36" s="801"/>
      <c r="C36" s="422"/>
      <c r="D36" s="72"/>
      <c r="E36" s="98"/>
      <c r="F36" s="98"/>
      <c r="G36" s="98"/>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row>
    <row r="37" spans="1:34" ht="27" hidden="1" customHeight="1">
      <c r="A37" s="30"/>
      <c r="B37" s="802"/>
      <c r="C37" s="422"/>
      <c r="D37" s="72"/>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row>
    <row r="38" spans="1:34" ht="27" customHeight="1">
      <c r="A38" s="30"/>
      <c r="B38" s="800">
        <v>5</v>
      </c>
      <c r="C38" s="795"/>
      <c r="D38" s="796"/>
      <c r="E38" s="97" t="str">
        <f>IFERROR(AVERAGE(E39:E45),"")</f>
        <v/>
      </c>
      <c r="F38" s="97" t="str">
        <f t="shared" ref="F38:AA38" si="8">IFERROR(AVERAGE(F39:F45),"")</f>
        <v/>
      </c>
      <c r="G38" s="97" t="str">
        <f t="shared" si="8"/>
        <v/>
      </c>
      <c r="H38" s="97" t="str">
        <f t="shared" si="8"/>
        <v/>
      </c>
      <c r="I38" s="97" t="str">
        <f t="shared" si="8"/>
        <v/>
      </c>
      <c r="J38" s="97" t="str">
        <f t="shared" si="8"/>
        <v/>
      </c>
      <c r="K38" s="97" t="str">
        <f t="shared" si="8"/>
        <v/>
      </c>
      <c r="L38" s="97" t="str">
        <f t="shared" si="8"/>
        <v/>
      </c>
      <c r="M38" s="97" t="str">
        <f t="shared" si="8"/>
        <v/>
      </c>
      <c r="N38" s="97" t="str">
        <f t="shared" si="8"/>
        <v/>
      </c>
      <c r="O38" s="97" t="str">
        <f t="shared" si="8"/>
        <v/>
      </c>
      <c r="P38" s="97" t="str">
        <f t="shared" si="8"/>
        <v/>
      </c>
      <c r="Q38" s="97" t="str">
        <f t="shared" si="8"/>
        <v/>
      </c>
      <c r="R38" s="97" t="str">
        <f t="shared" si="8"/>
        <v/>
      </c>
      <c r="S38" s="97" t="str">
        <f t="shared" si="8"/>
        <v/>
      </c>
      <c r="T38" s="97" t="str">
        <f t="shared" si="8"/>
        <v/>
      </c>
      <c r="U38" s="97" t="str">
        <f t="shared" si="8"/>
        <v/>
      </c>
      <c r="V38" s="97" t="str">
        <f t="shared" si="8"/>
        <v/>
      </c>
      <c r="W38" s="97" t="str">
        <f t="shared" si="8"/>
        <v/>
      </c>
      <c r="X38" s="97" t="str">
        <f t="shared" si="8"/>
        <v/>
      </c>
      <c r="Y38" s="97" t="str">
        <f t="shared" si="8"/>
        <v/>
      </c>
      <c r="Z38" s="97" t="str">
        <f t="shared" si="8"/>
        <v/>
      </c>
      <c r="AA38" s="97" t="str">
        <f t="shared" si="8"/>
        <v/>
      </c>
      <c r="AB38" s="97" t="str">
        <f t="shared" ref="AB38:AH38" si="9">IFERROR(AVERAGE(AB39:AB45),"")</f>
        <v/>
      </c>
      <c r="AC38" s="97" t="str">
        <f t="shared" si="9"/>
        <v/>
      </c>
      <c r="AD38" s="97" t="str">
        <f t="shared" si="9"/>
        <v/>
      </c>
      <c r="AE38" s="97" t="str">
        <f t="shared" si="9"/>
        <v/>
      </c>
      <c r="AF38" s="97" t="str">
        <f t="shared" si="9"/>
        <v/>
      </c>
      <c r="AG38" s="97" t="str">
        <f t="shared" si="9"/>
        <v/>
      </c>
      <c r="AH38" s="97" t="str">
        <f t="shared" si="9"/>
        <v/>
      </c>
    </row>
    <row r="39" spans="1:34" ht="27" customHeight="1">
      <c r="A39" s="30"/>
      <c r="B39" s="801"/>
      <c r="C39" s="425"/>
      <c r="D39" s="72"/>
      <c r="E39" s="98"/>
      <c r="F39" s="98"/>
      <c r="G39" s="98"/>
      <c r="H39" s="98"/>
      <c r="I39" s="98"/>
      <c r="J39" s="98"/>
      <c r="K39" s="98"/>
      <c r="L39" s="98"/>
      <c r="M39" s="98"/>
      <c r="N39" s="98"/>
      <c r="O39" s="98"/>
      <c r="P39" s="98"/>
      <c r="Q39" s="98"/>
      <c r="R39" s="98"/>
      <c r="S39" s="98"/>
      <c r="T39" s="98"/>
      <c r="U39" s="98"/>
      <c r="V39" s="98"/>
      <c r="W39" s="98"/>
      <c r="X39" s="98"/>
      <c r="Y39" s="98"/>
      <c r="Z39" s="98"/>
      <c r="AA39" s="98"/>
      <c r="AB39" s="98"/>
      <c r="AC39" s="98"/>
      <c r="AD39" s="98"/>
      <c r="AE39" s="98"/>
      <c r="AF39" s="98"/>
      <c r="AG39" s="98"/>
      <c r="AH39" s="98"/>
    </row>
    <row r="40" spans="1:34" ht="27" customHeight="1">
      <c r="A40" s="30"/>
      <c r="B40" s="801"/>
      <c r="C40" s="427"/>
      <c r="D40" s="72"/>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row>
    <row r="41" spans="1:34" ht="27" hidden="1" customHeight="1">
      <c r="A41" s="30"/>
      <c r="B41" s="801"/>
      <c r="C41" s="422"/>
      <c r="D41" s="72"/>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row>
    <row r="42" spans="1:34" ht="27" hidden="1" customHeight="1">
      <c r="A42" s="30"/>
      <c r="B42" s="801"/>
      <c r="C42" s="422"/>
      <c r="D42" s="72"/>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row>
    <row r="43" spans="1:34" ht="27" hidden="1" customHeight="1">
      <c r="A43" s="30"/>
      <c r="B43" s="801"/>
      <c r="C43" s="422"/>
      <c r="D43" s="72"/>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row>
    <row r="44" spans="1:34" ht="27" hidden="1" customHeight="1">
      <c r="A44" s="30"/>
      <c r="B44" s="801"/>
      <c r="C44" s="422"/>
      <c r="D44" s="72"/>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row>
    <row r="45" spans="1:34" ht="27" hidden="1" customHeight="1">
      <c r="A45" s="30"/>
      <c r="B45" s="802"/>
      <c r="C45" s="422"/>
      <c r="D45" s="72"/>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row>
    <row r="46" spans="1:34" ht="27" customHeight="1">
      <c r="A46" s="30"/>
      <c r="B46" s="794">
        <v>6</v>
      </c>
      <c r="C46" s="795"/>
      <c r="D46" s="796"/>
      <c r="E46" s="97" t="str">
        <f>IFERROR(AVERAGE(E47:E53),"")</f>
        <v/>
      </c>
      <c r="F46" s="97" t="str">
        <f t="shared" ref="F46:AH46" si="10">IFERROR(AVERAGE(F47:F53),"")</f>
        <v/>
      </c>
      <c r="G46" s="97" t="str">
        <f t="shared" si="10"/>
        <v/>
      </c>
      <c r="H46" s="97" t="str">
        <f t="shared" si="10"/>
        <v/>
      </c>
      <c r="I46" s="97" t="str">
        <f t="shared" si="10"/>
        <v/>
      </c>
      <c r="J46" s="97" t="str">
        <f t="shared" si="10"/>
        <v/>
      </c>
      <c r="K46" s="97" t="str">
        <f t="shared" si="10"/>
        <v/>
      </c>
      <c r="L46" s="97" t="str">
        <f t="shared" si="10"/>
        <v/>
      </c>
      <c r="M46" s="97" t="str">
        <f t="shared" si="10"/>
        <v/>
      </c>
      <c r="N46" s="97" t="str">
        <f t="shared" si="10"/>
        <v/>
      </c>
      <c r="O46" s="97" t="str">
        <f t="shared" si="10"/>
        <v/>
      </c>
      <c r="P46" s="97" t="str">
        <f t="shared" si="10"/>
        <v/>
      </c>
      <c r="Q46" s="97" t="str">
        <f t="shared" si="10"/>
        <v/>
      </c>
      <c r="R46" s="97" t="str">
        <f t="shared" si="10"/>
        <v/>
      </c>
      <c r="S46" s="97" t="str">
        <f t="shared" si="10"/>
        <v/>
      </c>
      <c r="T46" s="97" t="str">
        <f t="shared" si="10"/>
        <v/>
      </c>
      <c r="U46" s="97" t="str">
        <f t="shared" si="10"/>
        <v/>
      </c>
      <c r="V46" s="97" t="str">
        <f t="shared" si="10"/>
        <v/>
      </c>
      <c r="W46" s="97" t="str">
        <f t="shared" si="10"/>
        <v/>
      </c>
      <c r="X46" s="97" t="str">
        <f t="shared" si="10"/>
        <v/>
      </c>
      <c r="Y46" s="97" t="str">
        <f t="shared" si="10"/>
        <v/>
      </c>
      <c r="Z46" s="97" t="str">
        <f t="shared" si="10"/>
        <v/>
      </c>
      <c r="AA46" s="97" t="str">
        <f t="shared" si="10"/>
        <v/>
      </c>
      <c r="AB46" s="97" t="str">
        <f t="shared" si="10"/>
        <v/>
      </c>
      <c r="AC46" s="97" t="str">
        <f t="shared" si="10"/>
        <v/>
      </c>
      <c r="AD46" s="97" t="str">
        <f t="shared" si="10"/>
        <v/>
      </c>
      <c r="AE46" s="97" t="str">
        <f t="shared" si="10"/>
        <v/>
      </c>
      <c r="AF46" s="97" t="str">
        <f t="shared" si="10"/>
        <v/>
      </c>
      <c r="AG46" s="97" t="str">
        <f t="shared" si="10"/>
        <v/>
      </c>
      <c r="AH46" s="97" t="str">
        <f t="shared" si="10"/>
        <v/>
      </c>
    </row>
    <row r="47" spans="1:34" ht="27" customHeight="1">
      <c r="A47" s="30"/>
      <c r="B47" s="794"/>
      <c r="C47" s="426"/>
      <c r="D47" s="72"/>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row>
    <row r="48" spans="1:34" ht="27" customHeight="1">
      <c r="A48" s="30"/>
      <c r="B48" s="794"/>
      <c r="C48" s="427"/>
      <c r="D48" s="72"/>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row>
    <row r="49" spans="1:34" ht="27" hidden="1" customHeight="1">
      <c r="A49" s="30"/>
      <c r="B49" s="794"/>
      <c r="C49" s="422"/>
      <c r="D49" s="72"/>
      <c r="E49" s="98"/>
      <c r="F49" s="98"/>
      <c r="G49" s="98"/>
      <c r="H49" s="98"/>
      <c r="I49" s="98"/>
      <c r="J49" s="98"/>
      <c r="K49" s="98"/>
      <c r="L49" s="98"/>
      <c r="M49" s="98"/>
      <c r="N49" s="98"/>
      <c r="O49" s="98"/>
      <c r="P49" s="98"/>
      <c r="Q49" s="98"/>
      <c r="R49" s="98"/>
      <c r="S49" s="98"/>
      <c r="T49" s="98"/>
      <c r="U49" s="98"/>
      <c r="V49" s="98"/>
      <c r="W49" s="98"/>
      <c r="X49" s="98"/>
      <c r="Y49" s="98"/>
      <c r="Z49" s="98"/>
      <c r="AA49" s="98"/>
      <c r="AB49" s="98"/>
      <c r="AC49" s="98"/>
      <c r="AD49" s="98"/>
      <c r="AE49" s="98"/>
      <c r="AF49" s="98"/>
      <c r="AG49" s="98"/>
      <c r="AH49" s="98"/>
    </row>
    <row r="50" spans="1:34" ht="27" hidden="1" customHeight="1">
      <c r="A50" s="30"/>
      <c r="B50" s="794"/>
      <c r="C50" s="422"/>
      <c r="D50" s="72"/>
      <c r="E50" s="98"/>
      <c r="F50" s="98"/>
      <c r="G50" s="98"/>
      <c r="H50" s="98"/>
      <c r="I50" s="98"/>
      <c r="J50" s="98"/>
      <c r="K50" s="98"/>
      <c r="L50" s="98"/>
      <c r="M50" s="98"/>
      <c r="N50" s="98"/>
      <c r="O50" s="98"/>
      <c r="P50" s="98"/>
      <c r="Q50" s="98"/>
      <c r="R50" s="98"/>
      <c r="S50" s="98"/>
      <c r="T50" s="98"/>
      <c r="U50" s="98"/>
      <c r="V50" s="98"/>
      <c r="W50" s="98"/>
      <c r="X50" s="98"/>
      <c r="Y50" s="98"/>
      <c r="Z50" s="98"/>
      <c r="AA50" s="98"/>
      <c r="AB50" s="98"/>
      <c r="AC50" s="98"/>
      <c r="AD50" s="98"/>
      <c r="AE50" s="98"/>
      <c r="AF50" s="98"/>
      <c r="AG50" s="98"/>
      <c r="AH50" s="98"/>
    </row>
    <row r="51" spans="1:34" ht="27" hidden="1" customHeight="1">
      <c r="A51" s="30"/>
      <c r="B51" s="794"/>
      <c r="C51" s="422"/>
      <c r="D51" s="72"/>
      <c r="E51" s="98"/>
      <c r="F51" s="98"/>
      <c r="G51" s="98"/>
      <c r="H51" s="98"/>
      <c r="I51" s="98"/>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row>
    <row r="52" spans="1:34" ht="27" hidden="1" customHeight="1">
      <c r="A52" s="30"/>
      <c r="B52" s="794"/>
      <c r="C52" s="422"/>
      <c r="D52" s="72"/>
      <c r="E52" s="98"/>
      <c r="F52" s="98"/>
      <c r="G52" s="98"/>
      <c r="H52" s="98"/>
      <c r="I52" s="98"/>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row>
    <row r="53" spans="1:34" ht="27" hidden="1" customHeight="1">
      <c r="A53" s="30"/>
      <c r="B53" s="794"/>
      <c r="C53" s="422"/>
      <c r="D53" s="72"/>
      <c r="E53" s="98"/>
      <c r="F53" s="98"/>
      <c r="G53" s="98"/>
      <c r="H53" s="98"/>
      <c r="I53" s="98"/>
      <c r="J53" s="98"/>
      <c r="K53" s="98"/>
      <c r="L53" s="98"/>
      <c r="M53" s="98"/>
      <c r="N53" s="98"/>
      <c r="O53" s="98"/>
      <c r="P53" s="98"/>
      <c r="Q53" s="98"/>
      <c r="R53" s="98"/>
      <c r="S53" s="98"/>
      <c r="T53" s="98"/>
      <c r="U53" s="98"/>
      <c r="V53" s="98"/>
      <c r="W53" s="98"/>
      <c r="X53" s="98"/>
      <c r="Y53" s="98"/>
      <c r="Z53" s="98"/>
      <c r="AA53" s="98"/>
      <c r="AB53" s="98"/>
      <c r="AC53" s="98"/>
      <c r="AD53" s="98"/>
      <c r="AE53" s="98"/>
      <c r="AF53" s="98"/>
      <c r="AG53" s="98"/>
      <c r="AH53" s="98"/>
    </row>
    <row r="54" spans="1:34" ht="27" customHeight="1">
      <c r="A54" s="30"/>
      <c r="B54" s="800">
        <v>7</v>
      </c>
      <c r="C54" s="795"/>
      <c r="D54" s="796"/>
      <c r="E54" s="97" t="str">
        <f>IFERROR(AVERAGE(E55:E61),"")</f>
        <v/>
      </c>
      <c r="F54" s="97" t="str">
        <f t="shared" ref="F54:AH54" si="11">IFERROR(AVERAGE(F55:F61),"")</f>
        <v/>
      </c>
      <c r="G54" s="97" t="str">
        <f t="shared" si="11"/>
        <v/>
      </c>
      <c r="H54" s="97" t="str">
        <f t="shared" si="11"/>
        <v/>
      </c>
      <c r="I54" s="97" t="str">
        <f t="shared" si="11"/>
        <v/>
      </c>
      <c r="J54" s="97" t="str">
        <f t="shared" si="11"/>
        <v/>
      </c>
      <c r="K54" s="97" t="str">
        <f t="shared" si="11"/>
        <v/>
      </c>
      <c r="L54" s="97" t="str">
        <f t="shared" si="11"/>
        <v/>
      </c>
      <c r="M54" s="97" t="str">
        <f t="shared" si="11"/>
        <v/>
      </c>
      <c r="N54" s="97" t="str">
        <f t="shared" si="11"/>
        <v/>
      </c>
      <c r="O54" s="97" t="str">
        <f t="shared" si="11"/>
        <v/>
      </c>
      <c r="P54" s="97" t="str">
        <f t="shared" si="11"/>
        <v/>
      </c>
      <c r="Q54" s="97" t="str">
        <f t="shared" si="11"/>
        <v/>
      </c>
      <c r="R54" s="97" t="str">
        <f t="shared" si="11"/>
        <v/>
      </c>
      <c r="S54" s="97" t="str">
        <f t="shared" si="11"/>
        <v/>
      </c>
      <c r="T54" s="97" t="str">
        <f t="shared" si="11"/>
        <v/>
      </c>
      <c r="U54" s="97" t="str">
        <f t="shared" si="11"/>
        <v/>
      </c>
      <c r="V54" s="97" t="str">
        <f t="shared" si="11"/>
        <v/>
      </c>
      <c r="W54" s="97" t="str">
        <f t="shared" si="11"/>
        <v/>
      </c>
      <c r="X54" s="97" t="str">
        <f t="shared" si="11"/>
        <v/>
      </c>
      <c r="Y54" s="97" t="str">
        <f t="shared" si="11"/>
        <v/>
      </c>
      <c r="Z54" s="97" t="str">
        <f t="shared" si="11"/>
        <v/>
      </c>
      <c r="AA54" s="97" t="str">
        <f t="shared" si="11"/>
        <v/>
      </c>
      <c r="AB54" s="97" t="str">
        <f t="shared" si="11"/>
        <v/>
      </c>
      <c r="AC54" s="97" t="str">
        <f t="shared" si="11"/>
        <v/>
      </c>
      <c r="AD54" s="97" t="str">
        <f t="shared" si="11"/>
        <v/>
      </c>
      <c r="AE54" s="97" t="str">
        <f t="shared" si="11"/>
        <v/>
      </c>
      <c r="AF54" s="97" t="str">
        <f t="shared" si="11"/>
        <v/>
      </c>
      <c r="AG54" s="97" t="str">
        <f t="shared" si="11"/>
        <v/>
      </c>
      <c r="AH54" s="97" t="str">
        <f t="shared" si="11"/>
        <v/>
      </c>
    </row>
    <row r="55" spans="1:34" ht="27" customHeight="1">
      <c r="A55" s="30"/>
      <c r="B55" s="801"/>
      <c r="C55" s="420"/>
      <c r="D55" s="72"/>
      <c r="E55" s="98"/>
      <c r="F55" s="98"/>
      <c r="G55" s="98"/>
      <c r="H55" s="98"/>
      <c r="I55" s="98"/>
      <c r="J55" s="98"/>
      <c r="K55" s="98"/>
      <c r="L55" s="98"/>
      <c r="M55" s="98"/>
      <c r="N55" s="98"/>
      <c r="O55" s="98"/>
      <c r="P55" s="98"/>
      <c r="Q55" s="98"/>
      <c r="R55" s="98"/>
      <c r="S55" s="98"/>
      <c r="T55" s="98"/>
      <c r="U55" s="98"/>
      <c r="V55" s="98"/>
      <c r="W55" s="98"/>
      <c r="X55" s="98"/>
      <c r="Y55" s="98"/>
      <c r="Z55" s="98"/>
      <c r="AA55" s="98"/>
      <c r="AB55" s="98"/>
      <c r="AC55" s="98"/>
      <c r="AD55" s="98"/>
      <c r="AE55" s="98"/>
      <c r="AF55" s="98"/>
      <c r="AG55" s="98"/>
      <c r="AH55" s="98"/>
    </row>
    <row r="56" spans="1:34" ht="27" customHeight="1">
      <c r="A56" s="30"/>
      <c r="B56" s="801"/>
      <c r="C56" s="419"/>
      <c r="D56" s="72"/>
      <c r="E56" s="98"/>
      <c r="F56" s="98"/>
      <c r="G56" s="98"/>
      <c r="H56" s="98"/>
      <c r="I56" s="98"/>
      <c r="J56" s="98"/>
      <c r="K56" s="98"/>
      <c r="L56" s="98"/>
      <c r="M56" s="98"/>
      <c r="N56" s="98"/>
      <c r="O56" s="98"/>
      <c r="P56" s="98"/>
      <c r="Q56" s="98"/>
      <c r="R56" s="98"/>
      <c r="S56" s="98"/>
      <c r="T56" s="98"/>
      <c r="U56" s="98"/>
      <c r="V56" s="98"/>
      <c r="W56" s="98"/>
      <c r="X56" s="98"/>
      <c r="Y56" s="98"/>
      <c r="Z56" s="98"/>
      <c r="AA56" s="98"/>
      <c r="AB56" s="98"/>
      <c r="AC56" s="98"/>
      <c r="AD56" s="98"/>
      <c r="AE56" s="98"/>
      <c r="AF56" s="98"/>
      <c r="AG56" s="98"/>
      <c r="AH56" s="98"/>
    </row>
    <row r="57" spans="1:34" ht="27" hidden="1" customHeight="1">
      <c r="A57" s="30"/>
      <c r="B57" s="801"/>
      <c r="C57" s="422"/>
      <c r="D57" s="72"/>
      <c r="E57" s="98"/>
      <c r="F57" s="98"/>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row>
    <row r="58" spans="1:34" ht="27" hidden="1" customHeight="1">
      <c r="A58" s="30"/>
      <c r="B58" s="801"/>
      <c r="C58" s="422"/>
      <c r="D58" s="72"/>
      <c r="E58" s="98"/>
      <c r="F58" s="98"/>
      <c r="G58" s="98"/>
      <c r="H58" s="98"/>
      <c r="I58" s="98"/>
      <c r="J58" s="98"/>
      <c r="K58" s="98"/>
      <c r="L58" s="98"/>
      <c r="M58" s="98"/>
      <c r="N58" s="98"/>
      <c r="O58" s="98"/>
      <c r="P58" s="98"/>
      <c r="Q58" s="98"/>
      <c r="R58" s="98"/>
      <c r="S58" s="98"/>
      <c r="T58" s="98"/>
      <c r="U58" s="98"/>
      <c r="V58" s="98"/>
      <c r="W58" s="98"/>
      <c r="X58" s="98"/>
      <c r="Y58" s="98"/>
      <c r="Z58" s="98"/>
      <c r="AA58" s="98"/>
      <c r="AB58" s="98"/>
      <c r="AC58" s="98"/>
      <c r="AD58" s="98"/>
      <c r="AE58" s="98"/>
      <c r="AF58" s="98"/>
      <c r="AG58" s="98"/>
      <c r="AH58" s="98"/>
    </row>
    <row r="59" spans="1:34" ht="27" hidden="1" customHeight="1">
      <c r="A59" s="30"/>
      <c r="B59" s="801"/>
      <c r="C59" s="422"/>
      <c r="D59" s="72"/>
      <c r="E59" s="98"/>
      <c r="F59" s="98"/>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F59" s="98"/>
      <c r="AG59" s="98"/>
      <c r="AH59" s="98"/>
    </row>
    <row r="60" spans="1:34" ht="27" hidden="1" customHeight="1">
      <c r="A60" s="30"/>
      <c r="B60" s="801"/>
      <c r="C60" s="422"/>
      <c r="D60" s="72"/>
      <c r="E60" s="98"/>
      <c r="F60" s="98"/>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F60" s="98"/>
      <c r="AG60" s="98"/>
      <c r="AH60" s="98"/>
    </row>
    <row r="61" spans="1:34" ht="27" hidden="1" customHeight="1">
      <c r="A61" s="30"/>
      <c r="B61" s="802"/>
      <c r="C61" s="422"/>
      <c r="D61" s="72"/>
      <c r="E61" s="98"/>
      <c r="F61" s="98"/>
      <c r="G61" s="98"/>
      <c r="H61" s="98"/>
      <c r="I61" s="98"/>
      <c r="J61" s="98"/>
      <c r="K61" s="98"/>
      <c r="L61" s="98"/>
      <c r="M61" s="98"/>
      <c r="N61" s="98"/>
      <c r="O61" s="98"/>
      <c r="P61" s="98"/>
      <c r="Q61" s="98"/>
      <c r="R61" s="98"/>
      <c r="S61" s="98"/>
      <c r="T61" s="98"/>
      <c r="U61" s="98"/>
      <c r="V61" s="98"/>
      <c r="W61" s="98"/>
      <c r="X61" s="98"/>
      <c r="Y61" s="98"/>
      <c r="Z61" s="98"/>
      <c r="AA61" s="98"/>
      <c r="AB61" s="98"/>
      <c r="AC61" s="98"/>
      <c r="AD61" s="98"/>
      <c r="AE61" s="98"/>
      <c r="AF61" s="98"/>
      <c r="AG61" s="98"/>
      <c r="AH61" s="98"/>
    </row>
    <row r="62" spans="1:34" ht="27" customHeight="1">
      <c r="A62" s="30"/>
      <c r="B62" s="800">
        <v>8</v>
      </c>
      <c r="C62" s="795"/>
      <c r="D62" s="796"/>
      <c r="E62" s="97" t="str">
        <f>IFERROR(AVERAGE(E63:E69),"")</f>
        <v/>
      </c>
      <c r="F62" s="97" t="str">
        <f t="shared" ref="F62:AH62" si="12">IFERROR(AVERAGE(F63:F69),"")</f>
        <v/>
      </c>
      <c r="G62" s="97" t="str">
        <f t="shared" si="12"/>
        <v/>
      </c>
      <c r="H62" s="97" t="str">
        <f t="shared" si="12"/>
        <v/>
      </c>
      <c r="I62" s="97" t="str">
        <f t="shared" si="12"/>
        <v/>
      </c>
      <c r="J62" s="97" t="str">
        <f t="shared" si="12"/>
        <v/>
      </c>
      <c r="K62" s="97" t="str">
        <f t="shared" si="12"/>
        <v/>
      </c>
      <c r="L62" s="97" t="str">
        <f t="shared" si="12"/>
        <v/>
      </c>
      <c r="M62" s="97" t="str">
        <f t="shared" si="12"/>
        <v/>
      </c>
      <c r="N62" s="97" t="str">
        <f t="shared" si="12"/>
        <v/>
      </c>
      <c r="O62" s="97" t="str">
        <f t="shared" si="12"/>
        <v/>
      </c>
      <c r="P62" s="97" t="str">
        <f t="shared" si="12"/>
        <v/>
      </c>
      <c r="Q62" s="97" t="str">
        <f t="shared" si="12"/>
        <v/>
      </c>
      <c r="R62" s="97" t="str">
        <f t="shared" si="12"/>
        <v/>
      </c>
      <c r="S62" s="97" t="str">
        <f t="shared" si="12"/>
        <v/>
      </c>
      <c r="T62" s="97" t="str">
        <f t="shared" si="12"/>
        <v/>
      </c>
      <c r="U62" s="97" t="str">
        <f t="shared" si="12"/>
        <v/>
      </c>
      <c r="V62" s="97" t="str">
        <f t="shared" si="12"/>
        <v/>
      </c>
      <c r="W62" s="97" t="str">
        <f t="shared" si="12"/>
        <v/>
      </c>
      <c r="X62" s="97" t="str">
        <f t="shared" si="12"/>
        <v/>
      </c>
      <c r="Y62" s="97" t="str">
        <f t="shared" si="12"/>
        <v/>
      </c>
      <c r="Z62" s="97" t="str">
        <f t="shared" si="12"/>
        <v/>
      </c>
      <c r="AA62" s="97" t="str">
        <f t="shared" si="12"/>
        <v/>
      </c>
      <c r="AB62" s="97" t="str">
        <f t="shared" si="12"/>
        <v/>
      </c>
      <c r="AC62" s="97" t="str">
        <f t="shared" si="12"/>
        <v/>
      </c>
      <c r="AD62" s="97" t="str">
        <f t="shared" si="12"/>
        <v/>
      </c>
      <c r="AE62" s="97" t="str">
        <f t="shared" si="12"/>
        <v/>
      </c>
      <c r="AF62" s="97" t="str">
        <f t="shared" si="12"/>
        <v/>
      </c>
      <c r="AG62" s="97" t="str">
        <f t="shared" si="12"/>
        <v/>
      </c>
      <c r="AH62" s="97" t="str">
        <f t="shared" si="12"/>
        <v/>
      </c>
    </row>
    <row r="63" spans="1:34" ht="27" customHeight="1">
      <c r="A63" s="30"/>
      <c r="B63" s="801"/>
      <c r="C63" s="426"/>
      <c r="D63" s="72"/>
      <c r="E63" s="98"/>
      <c r="F63" s="98"/>
      <c r="G63" s="98"/>
      <c r="H63" s="98"/>
      <c r="I63" s="98"/>
      <c r="J63" s="98"/>
      <c r="K63" s="98"/>
      <c r="L63" s="98"/>
      <c r="M63" s="98"/>
      <c r="N63" s="98"/>
      <c r="O63" s="98"/>
      <c r="P63" s="98"/>
      <c r="Q63" s="98"/>
      <c r="R63" s="98"/>
      <c r="S63" s="98"/>
      <c r="T63" s="98"/>
      <c r="U63" s="98"/>
      <c r="V63" s="98"/>
      <c r="W63" s="98"/>
      <c r="X63" s="98"/>
      <c r="Y63" s="98"/>
      <c r="Z63" s="98"/>
      <c r="AA63" s="98"/>
      <c r="AB63" s="98"/>
      <c r="AC63" s="98"/>
      <c r="AD63" s="98"/>
      <c r="AE63" s="98"/>
      <c r="AF63" s="98"/>
      <c r="AG63" s="98"/>
      <c r="AH63" s="98"/>
    </row>
    <row r="64" spans="1:34" ht="27" customHeight="1">
      <c r="A64" s="30"/>
      <c r="B64" s="801"/>
      <c r="C64" s="426"/>
      <c r="D64" s="72"/>
      <c r="E64" s="98"/>
      <c r="F64" s="98"/>
      <c r="G64" s="98"/>
      <c r="H64" s="98"/>
      <c r="I64" s="98"/>
      <c r="J64" s="98"/>
      <c r="K64" s="98"/>
      <c r="L64" s="98"/>
      <c r="M64" s="98"/>
      <c r="N64" s="98"/>
      <c r="O64" s="98"/>
      <c r="P64" s="98"/>
      <c r="Q64" s="98"/>
      <c r="R64" s="98"/>
      <c r="S64" s="98"/>
      <c r="T64" s="98"/>
      <c r="U64" s="98"/>
      <c r="V64" s="98"/>
      <c r="W64" s="98"/>
      <c r="X64" s="98"/>
      <c r="Y64" s="98"/>
      <c r="Z64" s="98"/>
      <c r="AA64" s="98"/>
      <c r="AB64" s="98"/>
      <c r="AC64" s="98"/>
      <c r="AD64" s="98"/>
      <c r="AE64" s="98"/>
      <c r="AF64" s="98"/>
      <c r="AG64" s="98"/>
      <c r="AH64" s="98"/>
    </row>
    <row r="65" spans="1:34" ht="27" customHeight="1">
      <c r="A65" s="30"/>
      <c r="B65" s="801"/>
      <c r="C65" s="427"/>
      <c r="D65" s="72"/>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row>
    <row r="66" spans="1:34" ht="27" hidden="1" customHeight="1">
      <c r="A66" s="30"/>
      <c r="B66" s="801"/>
      <c r="C66" s="422"/>
      <c r="D66" s="72"/>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row>
    <row r="67" spans="1:34" ht="27" hidden="1" customHeight="1">
      <c r="A67" s="30"/>
      <c r="B67" s="801"/>
      <c r="C67" s="422"/>
      <c r="D67" s="72"/>
      <c r="E67" s="98"/>
      <c r="F67" s="98"/>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row>
    <row r="68" spans="1:34" ht="27" hidden="1" customHeight="1">
      <c r="A68" s="30"/>
      <c r="B68" s="801"/>
      <c r="C68" s="422"/>
      <c r="D68" s="72"/>
      <c r="E68" s="98"/>
      <c r="F68" s="98"/>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row>
    <row r="69" spans="1:34" ht="27" hidden="1" customHeight="1">
      <c r="A69" s="30"/>
      <c r="B69" s="802"/>
      <c r="C69" s="422"/>
      <c r="D69" s="72"/>
      <c r="E69" s="98"/>
      <c r="F69" s="98"/>
      <c r="G69" s="98"/>
      <c r="H69" s="98"/>
      <c r="I69" s="98"/>
      <c r="J69" s="98"/>
      <c r="K69" s="98"/>
      <c r="L69" s="98"/>
      <c r="M69" s="98"/>
      <c r="N69" s="98"/>
      <c r="O69" s="98"/>
      <c r="P69" s="98"/>
      <c r="Q69" s="98"/>
      <c r="R69" s="98"/>
      <c r="S69" s="98"/>
      <c r="T69" s="98"/>
      <c r="U69" s="98"/>
      <c r="V69" s="98"/>
      <c r="W69" s="98"/>
      <c r="X69" s="98"/>
      <c r="Y69" s="98"/>
      <c r="Z69" s="98"/>
      <c r="AA69" s="98"/>
      <c r="AB69" s="98"/>
      <c r="AC69" s="98"/>
      <c r="AD69" s="98"/>
      <c r="AE69" s="98"/>
      <c r="AF69" s="98"/>
      <c r="AG69" s="98"/>
      <c r="AH69" s="98"/>
    </row>
    <row r="70" spans="1:34" ht="27" customHeight="1">
      <c r="A70" s="30"/>
      <c r="B70" s="794">
        <v>9</v>
      </c>
      <c r="C70" s="795"/>
      <c r="D70" s="796"/>
      <c r="E70" s="97" t="str">
        <f>IFERROR(AVERAGE(E71:E77),"")</f>
        <v/>
      </c>
      <c r="F70" s="97" t="str">
        <f t="shared" ref="F70:AH70" si="13">IFERROR(AVERAGE(F71:F77),"")</f>
        <v/>
      </c>
      <c r="G70" s="97" t="str">
        <f t="shared" si="13"/>
        <v/>
      </c>
      <c r="H70" s="97" t="str">
        <f t="shared" si="13"/>
        <v/>
      </c>
      <c r="I70" s="97" t="str">
        <f t="shared" si="13"/>
        <v/>
      </c>
      <c r="J70" s="97" t="str">
        <f t="shared" si="13"/>
        <v/>
      </c>
      <c r="K70" s="97" t="str">
        <f t="shared" si="13"/>
        <v/>
      </c>
      <c r="L70" s="97" t="str">
        <f t="shared" si="13"/>
        <v/>
      </c>
      <c r="M70" s="97" t="str">
        <f t="shared" si="13"/>
        <v/>
      </c>
      <c r="N70" s="97" t="str">
        <f t="shared" si="13"/>
        <v/>
      </c>
      <c r="O70" s="97" t="str">
        <f t="shared" si="13"/>
        <v/>
      </c>
      <c r="P70" s="97" t="str">
        <f t="shared" si="13"/>
        <v/>
      </c>
      <c r="Q70" s="97" t="str">
        <f t="shared" si="13"/>
        <v/>
      </c>
      <c r="R70" s="97" t="str">
        <f t="shared" si="13"/>
        <v/>
      </c>
      <c r="S70" s="97" t="str">
        <f t="shared" si="13"/>
        <v/>
      </c>
      <c r="T70" s="97" t="str">
        <f t="shared" si="13"/>
        <v/>
      </c>
      <c r="U70" s="97" t="str">
        <f t="shared" si="13"/>
        <v/>
      </c>
      <c r="V70" s="97" t="str">
        <f t="shared" si="13"/>
        <v/>
      </c>
      <c r="W70" s="97" t="str">
        <f t="shared" si="13"/>
        <v/>
      </c>
      <c r="X70" s="97" t="str">
        <f t="shared" si="13"/>
        <v/>
      </c>
      <c r="Y70" s="97" t="str">
        <f t="shared" si="13"/>
        <v/>
      </c>
      <c r="Z70" s="97" t="str">
        <f t="shared" si="13"/>
        <v/>
      </c>
      <c r="AA70" s="97" t="str">
        <f t="shared" si="13"/>
        <v/>
      </c>
      <c r="AB70" s="97" t="str">
        <f t="shared" si="13"/>
        <v/>
      </c>
      <c r="AC70" s="97" t="str">
        <f t="shared" si="13"/>
        <v/>
      </c>
      <c r="AD70" s="97" t="str">
        <f t="shared" si="13"/>
        <v/>
      </c>
      <c r="AE70" s="97" t="str">
        <f t="shared" si="13"/>
        <v/>
      </c>
      <c r="AF70" s="97" t="str">
        <f t="shared" si="13"/>
        <v/>
      </c>
      <c r="AG70" s="97" t="str">
        <f t="shared" si="13"/>
        <v/>
      </c>
      <c r="AH70" s="97" t="str">
        <f t="shared" si="13"/>
        <v/>
      </c>
    </row>
    <row r="71" spans="1:34" ht="27" customHeight="1">
      <c r="A71" s="30"/>
      <c r="B71" s="794"/>
      <c r="C71" s="426"/>
      <c r="D71" s="72"/>
      <c r="E71" s="98"/>
      <c r="F71" s="98"/>
      <c r="G71" s="98"/>
      <c r="H71" s="98"/>
      <c r="I71" s="98"/>
      <c r="J71" s="98"/>
      <c r="K71" s="98"/>
      <c r="L71" s="98"/>
      <c r="M71" s="98"/>
      <c r="N71" s="98"/>
      <c r="O71" s="98"/>
      <c r="P71" s="98"/>
      <c r="Q71" s="98"/>
      <c r="R71" s="98"/>
      <c r="S71" s="98"/>
      <c r="T71" s="98"/>
      <c r="U71" s="98"/>
      <c r="V71" s="98"/>
      <c r="W71" s="98"/>
      <c r="X71" s="98"/>
      <c r="Y71" s="98"/>
      <c r="Z71" s="98"/>
      <c r="AA71" s="98"/>
      <c r="AB71" s="98"/>
      <c r="AC71" s="98"/>
      <c r="AD71" s="98"/>
      <c r="AE71" s="98"/>
      <c r="AF71" s="98"/>
      <c r="AG71" s="98"/>
      <c r="AH71" s="98"/>
    </row>
    <row r="72" spans="1:34" ht="27" customHeight="1">
      <c r="A72" s="30"/>
      <c r="B72" s="794"/>
      <c r="C72" s="427"/>
      <c r="D72" s="72"/>
      <c r="E72" s="98"/>
      <c r="F72" s="98"/>
      <c r="G72" s="98"/>
      <c r="H72" s="98"/>
      <c r="I72" s="98"/>
      <c r="J72" s="98"/>
      <c r="K72" s="98"/>
      <c r="L72" s="98"/>
      <c r="M72" s="98"/>
      <c r="N72" s="98"/>
      <c r="O72" s="98"/>
      <c r="P72" s="98"/>
      <c r="Q72" s="98"/>
      <c r="R72" s="98"/>
      <c r="S72" s="98"/>
      <c r="T72" s="98"/>
      <c r="U72" s="98"/>
      <c r="V72" s="98"/>
      <c r="W72" s="98"/>
      <c r="X72" s="98"/>
      <c r="Y72" s="98"/>
      <c r="Z72" s="98"/>
      <c r="AA72" s="98"/>
      <c r="AB72" s="98"/>
      <c r="AC72" s="98"/>
      <c r="AD72" s="98"/>
      <c r="AE72" s="98"/>
      <c r="AF72" s="98"/>
      <c r="AG72" s="98"/>
      <c r="AH72" s="98"/>
    </row>
    <row r="73" spans="1:34" ht="27" hidden="1" customHeight="1">
      <c r="A73" s="30"/>
      <c r="B73" s="794"/>
      <c r="C73" s="422" t="s">
        <v>203</v>
      </c>
      <c r="D73" s="72"/>
      <c r="E73" s="98"/>
      <c r="F73" s="98"/>
      <c r="G73" s="98"/>
      <c r="H73" s="98"/>
      <c r="I73" s="98"/>
      <c r="J73" s="98"/>
      <c r="K73" s="98"/>
      <c r="L73" s="98"/>
      <c r="M73" s="98"/>
      <c r="N73" s="98"/>
      <c r="O73" s="98"/>
      <c r="P73" s="98"/>
      <c r="Q73" s="98"/>
      <c r="R73" s="98"/>
      <c r="S73" s="98"/>
      <c r="T73" s="98"/>
      <c r="U73" s="98"/>
      <c r="V73" s="98"/>
      <c r="W73" s="98"/>
      <c r="X73" s="98"/>
      <c r="Y73" s="98"/>
      <c r="Z73" s="98"/>
      <c r="AA73" s="98"/>
      <c r="AB73" s="98"/>
      <c r="AC73" s="98"/>
      <c r="AD73" s="98"/>
      <c r="AE73" s="98"/>
      <c r="AF73" s="98"/>
      <c r="AG73" s="98"/>
      <c r="AH73" s="98"/>
    </row>
    <row r="74" spans="1:34" ht="27" hidden="1" customHeight="1">
      <c r="A74" s="30"/>
      <c r="B74" s="794"/>
      <c r="C74" s="422" t="s">
        <v>204</v>
      </c>
      <c r="D74" s="72"/>
      <c r="E74" s="98"/>
      <c r="F74" s="98"/>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row>
    <row r="75" spans="1:34" ht="27" hidden="1" customHeight="1">
      <c r="A75" s="30"/>
      <c r="B75" s="794"/>
      <c r="C75" s="422" t="s">
        <v>205</v>
      </c>
      <c r="D75" s="72"/>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row>
    <row r="76" spans="1:34" ht="27" hidden="1" customHeight="1">
      <c r="A76" s="30"/>
      <c r="B76" s="794"/>
      <c r="C76" s="422" t="s">
        <v>206</v>
      </c>
      <c r="D76" s="72"/>
      <c r="E76" s="98"/>
      <c r="F76" s="98"/>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row>
    <row r="77" spans="1:34" ht="27" hidden="1" customHeight="1">
      <c r="A77" s="30"/>
      <c r="B77" s="794"/>
      <c r="C77" s="422" t="s">
        <v>207</v>
      </c>
      <c r="D77" s="72"/>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row>
    <row r="78" spans="1:34" ht="27" hidden="1" customHeight="1">
      <c r="A78" s="30"/>
      <c r="B78" s="800">
        <v>10</v>
      </c>
      <c r="C78" s="795"/>
      <c r="D78" s="796"/>
      <c r="E78" s="97" t="str">
        <f>IFERROR(AVERAGE(E79:E85),"")</f>
        <v/>
      </c>
      <c r="F78" s="97" t="str">
        <f t="shared" ref="F78:AH78" si="14">IFERROR(AVERAGE(F79:F85),"")</f>
        <v/>
      </c>
      <c r="G78" s="97" t="str">
        <f t="shared" si="14"/>
        <v/>
      </c>
      <c r="H78" s="97" t="str">
        <f t="shared" si="14"/>
        <v/>
      </c>
      <c r="I78" s="97" t="str">
        <f t="shared" si="14"/>
        <v/>
      </c>
      <c r="J78" s="97" t="str">
        <f t="shared" si="14"/>
        <v/>
      </c>
      <c r="K78" s="97" t="str">
        <f t="shared" si="14"/>
        <v/>
      </c>
      <c r="L78" s="97" t="str">
        <f t="shared" si="14"/>
        <v/>
      </c>
      <c r="M78" s="97" t="str">
        <f t="shared" si="14"/>
        <v/>
      </c>
      <c r="N78" s="97" t="str">
        <f t="shared" si="14"/>
        <v/>
      </c>
      <c r="O78" s="97" t="str">
        <f t="shared" si="14"/>
        <v/>
      </c>
      <c r="P78" s="97" t="str">
        <f t="shared" si="14"/>
        <v/>
      </c>
      <c r="Q78" s="97" t="str">
        <f t="shared" si="14"/>
        <v/>
      </c>
      <c r="R78" s="97" t="str">
        <f t="shared" si="14"/>
        <v/>
      </c>
      <c r="S78" s="97" t="str">
        <f t="shared" si="14"/>
        <v/>
      </c>
      <c r="T78" s="97" t="str">
        <f t="shared" si="14"/>
        <v/>
      </c>
      <c r="U78" s="97" t="str">
        <f t="shared" si="14"/>
        <v/>
      </c>
      <c r="V78" s="97" t="str">
        <f t="shared" si="14"/>
        <v/>
      </c>
      <c r="W78" s="97" t="str">
        <f t="shared" si="14"/>
        <v/>
      </c>
      <c r="X78" s="97" t="str">
        <f t="shared" si="14"/>
        <v/>
      </c>
      <c r="Y78" s="97" t="str">
        <f t="shared" si="14"/>
        <v/>
      </c>
      <c r="Z78" s="97" t="str">
        <f t="shared" si="14"/>
        <v/>
      </c>
      <c r="AA78" s="97" t="str">
        <f t="shared" si="14"/>
        <v/>
      </c>
      <c r="AB78" s="97" t="str">
        <f t="shared" si="14"/>
        <v/>
      </c>
      <c r="AC78" s="97" t="str">
        <f t="shared" si="14"/>
        <v/>
      </c>
      <c r="AD78" s="97" t="str">
        <f t="shared" si="14"/>
        <v/>
      </c>
      <c r="AE78" s="97" t="str">
        <f t="shared" si="14"/>
        <v/>
      </c>
      <c r="AF78" s="97" t="str">
        <f t="shared" si="14"/>
        <v/>
      </c>
      <c r="AG78" s="97" t="str">
        <f t="shared" si="14"/>
        <v/>
      </c>
      <c r="AH78" s="97" t="str">
        <f t="shared" si="14"/>
        <v/>
      </c>
    </row>
    <row r="79" spans="1:34" ht="27" hidden="1" customHeight="1">
      <c r="A79" s="30"/>
      <c r="B79" s="801"/>
      <c r="C79" s="422" t="s">
        <v>208</v>
      </c>
      <c r="D79" s="72"/>
      <c r="E79" s="98"/>
      <c r="F79" s="98"/>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row>
    <row r="80" spans="1:34" ht="27" hidden="1" customHeight="1">
      <c r="A80" s="30"/>
      <c r="B80" s="801"/>
      <c r="C80" s="422" t="s">
        <v>209</v>
      </c>
      <c r="D80" s="72"/>
      <c r="E80" s="98"/>
      <c r="F80" s="98"/>
      <c r="G80" s="98"/>
      <c r="H80" s="98"/>
      <c r="I80" s="98"/>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row>
    <row r="81" spans="1:34" ht="27" hidden="1" customHeight="1">
      <c r="A81" s="30"/>
      <c r="B81" s="801"/>
      <c r="C81" s="422" t="s">
        <v>210</v>
      </c>
      <c r="D81" s="72"/>
      <c r="E81" s="98"/>
      <c r="F81" s="98"/>
      <c r="G81" s="98"/>
      <c r="H81" s="98"/>
      <c r="I81" s="98"/>
      <c r="J81" s="98"/>
      <c r="K81" s="98"/>
      <c r="L81" s="98"/>
      <c r="M81" s="98"/>
      <c r="N81" s="98"/>
      <c r="O81" s="98"/>
      <c r="P81" s="98"/>
      <c r="Q81" s="98"/>
      <c r="R81" s="98"/>
      <c r="S81" s="98"/>
      <c r="T81" s="98"/>
      <c r="U81" s="98"/>
      <c r="V81" s="98"/>
      <c r="W81" s="98"/>
      <c r="X81" s="98"/>
      <c r="Y81" s="98"/>
      <c r="Z81" s="98"/>
      <c r="AA81" s="98"/>
      <c r="AB81" s="98"/>
      <c r="AC81" s="98"/>
      <c r="AD81" s="98"/>
      <c r="AE81" s="98"/>
      <c r="AF81" s="98"/>
      <c r="AG81" s="98"/>
      <c r="AH81" s="98"/>
    </row>
    <row r="82" spans="1:34" ht="27" hidden="1" customHeight="1">
      <c r="A82" s="30"/>
      <c r="B82" s="801"/>
      <c r="C82" s="422" t="s">
        <v>211</v>
      </c>
      <c r="D82" s="72"/>
      <c r="E82" s="98"/>
      <c r="F82" s="98"/>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row>
    <row r="83" spans="1:34" ht="27" hidden="1" customHeight="1">
      <c r="A83" s="30"/>
      <c r="B83" s="801"/>
      <c r="C83" s="422" t="s">
        <v>212</v>
      </c>
      <c r="D83" s="72"/>
      <c r="E83" s="98"/>
      <c r="F83" s="98"/>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row>
    <row r="84" spans="1:34" ht="27" hidden="1" customHeight="1">
      <c r="A84" s="30"/>
      <c r="B84" s="801"/>
      <c r="C84" s="422" t="s">
        <v>213</v>
      </c>
      <c r="D84" s="72"/>
      <c r="E84" s="98"/>
      <c r="F84" s="98"/>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row>
    <row r="85" spans="1:34" ht="27" hidden="1" customHeight="1">
      <c r="A85" s="30"/>
      <c r="B85" s="802"/>
      <c r="C85" s="422" t="s">
        <v>214</v>
      </c>
      <c r="D85" s="72"/>
      <c r="E85" s="98"/>
      <c r="F85" s="98"/>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row>
    <row r="86" spans="1:34" ht="27" hidden="1" customHeight="1">
      <c r="A86" s="30"/>
      <c r="B86" s="800">
        <v>11</v>
      </c>
      <c r="C86" s="795"/>
      <c r="D86" s="796"/>
      <c r="E86" s="97" t="str">
        <f>IFERROR(AVERAGE(E87:E93),"")</f>
        <v/>
      </c>
      <c r="F86" s="97" t="str">
        <f t="shared" ref="F86:AH86" si="15">IFERROR(AVERAGE(F87:F93),"")</f>
        <v/>
      </c>
      <c r="G86" s="97" t="str">
        <f t="shared" si="15"/>
        <v/>
      </c>
      <c r="H86" s="97" t="str">
        <f t="shared" si="15"/>
        <v/>
      </c>
      <c r="I86" s="97" t="str">
        <f t="shared" si="15"/>
        <v/>
      </c>
      <c r="J86" s="97" t="str">
        <f t="shared" si="15"/>
        <v/>
      </c>
      <c r="K86" s="97" t="str">
        <f t="shared" si="15"/>
        <v/>
      </c>
      <c r="L86" s="97" t="str">
        <f t="shared" si="15"/>
        <v/>
      </c>
      <c r="M86" s="97" t="str">
        <f t="shared" si="15"/>
        <v/>
      </c>
      <c r="N86" s="97" t="str">
        <f t="shared" si="15"/>
        <v/>
      </c>
      <c r="O86" s="97" t="str">
        <f t="shared" si="15"/>
        <v/>
      </c>
      <c r="P86" s="97" t="str">
        <f t="shared" si="15"/>
        <v/>
      </c>
      <c r="Q86" s="97" t="str">
        <f t="shared" si="15"/>
        <v/>
      </c>
      <c r="R86" s="97" t="str">
        <f t="shared" si="15"/>
        <v/>
      </c>
      <c r="S86" s="97" t="str">
        <f t="shared" si="15"/>
        <v/>
      </c>
      <c r="T86" s="97" t="str">
        <f t="shared" si="15"/>
        <v/>
      </c>
      <c r="U86" s="97" t="str">
        <f t="shared" si="15"/>
        <v/>
      </c>
      <c r="V86" s="97" t="str">
        <f t="shared" si="15"/>
        <v/>
      </c>
      <c r="W86" s="97" t="str">
        <f t="shared" si="15"/>
        <v/>
      </c>
      <c r="X86" s="97" t="str">
        <f t="shared" si="15"/>
        <v/>
      </c>
      <c r="Y86" s="97" t="str">
        <f t="shared" si="15"/>
        <v/>
      </c>
      <c r="Z86" s="97" t="str">
        <f t="shared" si="15"/>
        <v/>
      </c>
      <c r="AA86" s="97" t="str">
        <f t="shared" si="15"/>
        <v/>
      </c>
      <c r="AB86" s="97" t="str">
        <f t="shared" si="15"/>
        <v/>
      </c>
      <c r="AC86" s="97" t="str">
        <f t="shared" si="15"/>
        <v/>
      </c>
      <c r="AD86" s="97" t="str">
        <f t="shared" si="15"/>
        <v/>
      </c>
      <c r="AE86" s="97" t="str">
        <f t="shared" si="15"/>
        <v/>
      </c>
      <c r="AF86" s="97" t="str">
        <f t="shared" si="15"/>
        <v/>
      </c>
      <c r="AG86" s="97" t="str">
        <f t="shared" si="15"/>
        <v/>
      </c>
      <c r="AH86" s="97" t="str">
        <f t="shared" si="15"/>
        <v/>
      </c>
    </row>
    <row r="87" spans="1:34" ht="27" hidden="1" customHeight="1">
      <c r="A87" s="30"/>
      <c r="B87" s="801"/>
      <c r="C87" s="422" t="s">
        <v>215</v>
      </c>
      <c r="D87" s="72"/>
      <c r="E87" s="99"/>
      <c r="F87" s="99"/>
      <c r="G87" s="99"/>
      <c r="H87" s="99"/>
      <c r="I87" s="99"/>
      <c r="J87" s="99"/>
      <c r="K87" s="99"/>
      <c r="L87" s="99"/>
      <c r="M87" s="99"/>
      <c r="N87" s="99"/>
      <c r="O87" s="99"/>
      <c r="P87" s="99"/>
      <c r="Q87" s="99"/>
      <c r="R87" s="99"/>
      <c r="S87" s="99"/>
      <c r="T87" s="99"/>
      <c r="U87" s="99"/>
      <c r="V87" s="99"/>
      <c r="W87" s="99"/>
      <c r="X87" s="99"/>
      <c r="Y87" s="99"/>
      <c r="Z87" s="99"/>
      <c r="AA87" s="99"/>
      <c r="AB87" s="99"/>
      <c r="AC87" s="99"/>
      <c r="AD87" s="99"/>
      <c r="AE87" s="99"/>
      <c r="AF87" s="99"/>
      <c r="AG87" s="99"/>
      <c r="AH87" s="99"/>
    </row>
    <row r="88" spans="1:34" ht="27" hidden="1" customHeight="1">
      <c r="A88" s="30"/>
      <c r="B88" s="801"/>
      <c r="C88" s="422" t="s">
        <v>216</v>
      </c>
      <c r="D88" s="72"/>
      <c r="E88" s="98"/>
      <c r="F88" s="98"/>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row>
    <row r="89" spans="1:34" ht="27" hidden="1" customHeight="1">
      <c r="A89" s="30"/>
      <c r="B89" s="801"/>
      <c r="C89" s="422" t="s">
        <v>217</v>
      </c>
      <c r="D89" s="72"/>
      <c r="E89" s="98"/>
      <c r="F89" s="98"/>
      <c r="G89" s="98"/>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row>
    <row r="90" spans="1:34" ht="27" hidden="1" customHeight="1">
      <c r="A90" s="30"/>
      <c r="B90" s="801"/>
      <c r="C90" s="422" t="s">
        <v>218</v>
      </c>
      <c r="D90" s="72"/>
      <c r="E90" s="98"/>
      <c r="F90" s="98"/>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row>
    <row r="91" spans="1:34" ht="27" hidden="1" customHeight="1">
      <c r="A91" s="30"/>
      <c r="B91" s="801"/>
      <c r="C91" s="422" t="s">
        <v>219</v>
      </c>
      <c r="D91" s="72"/>
      <c r="E91" s="98"/>
      <c r="F91" s="98"/>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row>
    <row r="92" spans="1:34" ht="27" hidden="1" customHeight="1">
      <c r="A92" s="30"/>
      <c r="B92" s="801"/>
      <c r="C92" s="422" t="s">
        <v>220</v>
      </c>
      <c r="D92" s="72"/>
      <c r="E92" s="98"/>
      <c r="F92" s="98"/>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row>
    <row r="93" spans="1:34" ht="27" hidden="1" customHeight="1">
      <c r="A93" s="30"/>
      <c r="B93" s="802"/>
      <c r="C93" s="422" t="s">
        <v>221</v>
      </c>
      <c r="D93" s="72"/>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row>
    <row r="94" spans="1:34" ht="27" hidden="1" customHeight="1">
      <c r="A94" s="30"/>
      <c r="B94" s="800">
        <v>12</v>
      </c>
      <c r="C94" s="795"/>
      <c r="D94" s="796"/>
      <c r="E94" s="97" t="str">
        <f>IFERROR(AVERAGE(E95:E101),"")</f>
        <v/>
      </c>
      <c r="F94" s="97" t="str">
        <f t="shared" ref="F94:AH94" si="16">IFERROR(AVERAGE(F95:F101),"")</f>
        <v/>
      </c>
      <c r="G94" s="97" t="str">
        <f t="shared" si="16"/>
        <v/>
      </c>
      <c r="H94" s="97" t="str">
        <f t="shared" si="16"/>
        <v/>
      </c>
      <c r="I94" s="97" t="str">
        <f t="shared" si="16"/>
        <v/>
      </c>
      <c r="J94" s="97" t="str">
        <f t="shared" si="16"/>
        <v/>
      </c>
      <c r="K94" s="97" t="str">
        <f t="shared" si="16"/>
        <v/>
      </c>
      <c r="L94" s="97" t="str">
        <f t="shared" si="16"/>
        <v/>
      </c>
      <c r="M94" s="97" t="str">
        <f t="shared" si="16"/>
        <v/>
      </c>
      <c r="N94" s="97" t="str">
        <f t="shared" si="16"/>
        <v/>
      </c>
      <c r="O94" s="97" t="str">
        <f t="shared" si="16"/>
        <v/>
      </c>
      <c r="P94" s="97" t="str">
        <f t="shared" si="16"/>
        <v/>
      </c>
      <c r="Q94" s="97" t="str">
        <f t="shared" si="16"/>
        <v/>
      </c>
      <c r="R94" s="97" t="str">
        <f t="shared" si="16"/>
        <v/>
      </c>
      <c r="S94" s="97" t="str">
        <f t="shared" si="16"/>
        <v/>
      </c>
      <c r="T94" s="97" t="str">
        <f t="shared" si="16"/>
        <v/>
      </c>
      <c r="U94" s="97" t="str">
        <f t="shared" si="16"/>
        <v/>
      </c>
      <c r="V94" s="97" t="str">
        <f t="shared" si="16"/>
        <v/>
      </c>
      <c r="W94" s="97" t="str">
        <f t="shared" si="16"/>
        <v/>
      </c>
      <c r="X94" s="97" t="str">
        <f t="shared" si="16"/>
        <v/>
      </c>
      <c r="Y94" s="97" t="str">
        <f t="shared" si="16"/>
        <v/>
      </c>
      <c r="Z94" s="97" t="str">
        <f t="shared" si="16"/>
        <v/>
      </c>
      <c r="AA94" s="97" t="str">
        <f t="shared" si="16"/>
        <v/>
      </c>
      <c r="AB94" s="97" t="str">
        <f t="shared" si="16"/>
        <v/>
      </c>
      <c r="AC94" s="97" t="str">
        <f t="shared" si="16"/>
        <v/>
      </c>
      <c r="AD94" s="97" t="str">
        <f t="shared" si="16"/>
        <v/>
      </c>
      <c r="AE94" s="97" t="str">
        <f t="shared" si="16"/>
        <v/>
      </c>
      <c r="AF94" s="97" t="str">
        <f t="shared" si="16"/>
        <v/>
      </c>
      <c r="AG94" s="97" t="str">
        <f t="shared" si="16"/>
        <v/>
      </c>
      <c r="AH94" s="97" t="str">
        <f t="shared" si="16"/>
        <v/>
      </c>
    </row>
    <row r="95" spans="1:34" ht="27" hidden="1" customHeight="1">
      <c r="A95" s="30"/>
      <c r="B95" s="801"/>
      <c r="C95" s="422" t="s">
        <v>222</v>
      </c>
      <c r="D95" s="72"/>
      <c r="E95" s="98"/>
      <c r="F95" s="98"/>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row>
    <row r="96" spans="1:34" ht="27" hidden="1" customHeight="1">
      <c r="A96" s="30"/>
      <c r="B96" s="801"/>
      <c r="C96" s="422" t="s">
        <v>223</v>
      </c>
      <c r="D96" s="72"/>
      <c r="E96" s="98"/>
      <c r="F96" s="98"/>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row>
    <row r="97" spans="1:34" ht="27" hidden="1" customHeight="1">
      <c r="A97" s="30"/>
      <c r="B97" s="801"/>
      <c r="C97" s="422" t="s">
        <v>224</v>
      </c>
      <c r="D97" s="72"/>
      <c r="E97" s="98"/>
      <c r="F97" s="98"/>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row>
    <row r="98" spans="1:34" ht="27" hidden="1" customHeight="1">
      <c r="A98" s="30"/>
      <c r="B98" s="801"/>
      <c r="C98" s="422" t="s">
        <v>225</v>
      </c>
      <c r="D98" s="72"/>
      <c r="E98" s="98"/>
      <c r="F98" s="98"/>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row>
    <row r="99" spans="1:34" ht="27" hidden="1" customHeight="1">
      <c r="A99" s="30"/>
      <c r="B99" s="801"/>
      <c r="C99" s="422" t="s">
        <v>226</v>
      </c>
      <c r="D99" s="72"/>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row>
    <row r="100" spans="1:34" ht="27" hidden="1" customHeight="1">
      <c r="A100" s="30"/>
      <c r="B100" s="801"/>
      <c r="C100" s="422" t="s">
        <v>227</v>
      </c>
      <c r="D100" s="72"/>
      <c r="E100" s="98"/>
      <c r="F100" s="98"/>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row>
    <row r="101" spans="1:34" ht="27" hidden="1" customHeight="1">
      <c r="A101" s="30"/>
      <c r="B101" s="802"/>
      <c r="C101" s="422" t="s">
        <v>228</v>
      </c>
      <c r="D101" s="72"/>
      <c r="E101" s="98"/>
      <c r="F101" s="98"/>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row>
    <row r="102" spans="1:34" ht="27" hidden="1" customHeight="1">
      <c r="A102" s="30"/>
      <c r="B102" s="794">
        <v>13</v>
      </c>
      <c r="C102" s="795"/>
      <c r="D102" s="796"/>
      <c r="E102" s="97" t="str">
        <f>IFERROR(AVERAGE(E103:E109),"")</f>
        <v/>
      </c>
      <c r="F102" s="97" t="str">
        <f t="shared" ref="F102:AH102" si="17">IFERROR(AVERAGE(F103:F109),"")</f>
        <v/>
      </c>
      <c r="G102" s="97" t="str">
        <f t="shared" si="17"/>
        <v/>
      </c>
      <c r="H102" s="97" t="str">
        <f t="shared" si="17"/>
        <v/>
      </c>
      <c r="I102" s="97" t="str">
        <f t="shared" si="17"/>
        <v/>
      </c>
      <c r="J102" s="97" t="str">
        <f t="shared" si="17"/>
        <v/>
      </c>
      <c r="K102" s="97" t="str">
        <f t="shared" si="17"/>
        <v/>
      </c>
      <c r="L102" s="97" t="str">
        <f t="shared" si="17"/>
        <v/>
      </c>
      <c r="M102" s="97" t="str">
        <f t="shared" si="17"/>
        <v/>
      </c>
      <c r="N102" s="97" t="str">
        <f t="shared" si="17"/>
        <v/>
      </c>
      <c r="O102" s="97" t="str">
        <f t="shared" si="17"/>
        <v/>
      </c>
      <c r="P102" s="97" t="str">
        <f t="shared" si="17"/>
        <v/>
      </c>
      <c r="Q102" s="97" t="str">
        <f t="shared" si="17"/>
        <v/>
      </c>
      <c r="R102" s="97" t="str">
        <f t="shared" si="17"/>
        <v/>
      </c>
      <c r="S102" s="97" t="str">
        <f t="shared" si="17"/>
        <v/>
      </c>
      <c r="T102" s="97" t="str">
        <f t="shared" si="17"/>
        <v/>
      </c>
      <c r="U102" s="97" t="str">
        <f t="shared" si="17"/>
        <v/>
      </c>
      <c r="V102" s="97" t="str">
        <f t="shared" si="17"/>
        <v/>
      </c>
      <c r="W102" s="97" t="str">
        <f t="shared" si="17"/>
        <v/>
      </c>
      <c r="X102" s="97" t="str">
        <f t="shared" si="17"/>
        <v/>
      </c>
      <c r="Y102" s="97" t="str">
        <f t="shared" si="17"/>
        <v/>
      </c>
      <c r="Z102" s="97" t="str">
        <f t="shared" si="17"/>
        <v/>
      </c>
      <c r="AA102" s="97" t="str">
        <f t="shared" si="17"/>
        <v/>
      </c>
      <c r="AB102" s="97" t="str">
        <f t="shared" si="17"/>
        <v/>
      </c>
      <c r="AC102" s="97" t="str">
        <f t="shared" si="17"/>
        <v/>
      </c>
      <c r="AD102" s="97" t="str">
        <f t="shared" si="17"/>
        <v/>
      </c>
      <c r="AE102" s="97" t="str">
        <f t="shared" si="17"/>
        <v/>
      </c>
      <c r="AF102" s="97" t="str">
        <f t="shared" si="17"/>
        <v/>
      </c>
      <c r="AG102" s="97" t="str">
        <f t="shared" si="17"/>
        <v/>
      </c>
      <c r="AH102" s="97" t="str">
        <f t="shared" si="17"/>
        <v/>
      </c>
    </row>
    <row r="103" spans="1:34" ht="27" hidden="1" customHeight="1">
      <c r="A103" s="30"/>
      <c r="B103" s="794"/>
      <c r="C103" s="422" t="s">
        <v>229</v>
      </c>
      <c r="D103" s="72"/>
      <c r="E103" s="98"/>
      <c r="F103" s="98"/>
      <c r="G103" s="98"/>
      <c r="H103" s="98"/>
      <c r="I103" s="98"/>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row>
    <row r="104" spans="1:34" ht="27" hidden="1" customHeight="1">
      <c r="A104" s="30"/>
      <c r="B104" s="794"/>
      <c r="C104" s="422" t="s">
        <v>230</v>
      </c>
      <c r="D104" s="72"/>
      <c r="E104" s="98"/>
      <c r="F104" s="98"/>
      <c r="G104" s="98"/>
      <c r="H104" s="98"/>
      <c r="I104" s="98"/>
      <c r="J104" s="98"/>
      <c r="K104" s="98"/>
      <c r="L104" s="98"/>
      <c r="M104" s="98"/>
      <c r="N104" s="98"/>
      <c r="O104" s="98"/>
      <c r="P104" s="98"/>
      <c r="Q104" s="98"/>
      <c r="R104" s="98"/>
      <c r="S104" s="98"/>
      <c r="T104" s="98"/>
      <c r="U104" s="98"/>
      <c r="V104" s="98"/>
      <c r="W104" s="98"/>
      <c r="X104" s="98"/>
      <c r="Y104" s="98"/>
      <c r="Z104" s="98"/>
      <c r="AA104" s="98"/>
      <c r="AB104" s="98"/>
      <c r="AC104" s="98"/>
      <c r="AD104" s="98"/>
      <c r="AE104" s="98"/>
      <c r="AF104" s="98"/>
      <c r="AG104" s="98"/>
      <c r="AH104" s="98"/>
    </row>
    <row r="105" spans="1:34" ht="27" hidden="1" customHeight="1">
      <c r="A105" s="30"/>
      <c r="B105" s="794"/>
      <c r="C105" s="422" t="s">
        <v>231</v>
      </c>
      <c r="D105" s="72"/>
      <c r="E105" s="98"/>
      <c r="F105" s="98"/>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row>
    <row r="106" spans="1:34" ht="27" hidden="1" customHeight="1">
      <c r="A106" s="30"/>
      <c r="B106" s="794"/>
      <c r="C106" s="422" t="s">
        <v>232</v>
      </c>
      <c r="D106" s="72"/>
      <c r="E106" s="98"/>
      <c r="F106" s="98"/>
      <c r="G106" s="98"/>
      <c r="H106" s="98"/>
      <c r="I106" s="98"/>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row>
    <row r="107" spans="1:34" ht="27" hidden="1" customHeight="1">
      <c r="A107" s="30"/>
      <c r="B107" s="794"/>
      <c r="C107" s="422" t="s">
        <v>233</v>
      </c>
      <c r="D107" s="72"/>
      <c r="E107" s="98"/>
      <c r="F107" s="98"/>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row>
    <row r="108" spans="1:34" ht="27" hidden="1" customHeight="1">
      <c r="A108" s="30"/>
      <c r="B108" s="794"/>
      <c r="C108" s="422" t="s">
        <v>234</v>
      </c>
      <c r="D108" s="72"/>
      <c r="E108" s="98"/>
      <c r="F108" s="98"/>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row>
    <row r="109" spans="1:34" ht="27" hidden="1" customHeight="1">
      <c r="A109" s="30"/>
      <c r="B109" s="794"/>
      <c r="C109" s="422" t="s">
        <v>235</v>
      </c>
      <c r="D109" s="72"/>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row>
    <row r="110" spans="1:34" ht="27" customHeight="1">
      <c r="A110" s="30"/>
      <c r="B110" s="797" t="s">
        <v>143</v>
      </c>
      <c r="C110" s="798"/>
      <c r="D110" s="799"/>
      <c r="E110" s="100" t="str">
        <f>IFERROR(AVERAGE(E6,E14,E22,E30,E38,E46,E54,E62,E70,E78,E86,E94,E102),"")</f>
        <v/>
      </c>
      <c r="F110" s="100" t="str">
        <f t="shared" ref="F110:AH110" si="18">IFERROR(AVERAGE(F6,F14,F22,F30,F38,F46,F54,F62,F70,F78,F86,F94,F102),"")</f>
        <v/>
      </c>
      <c r="G110" s="100" t="str">
        <f t="shared" si="18"/>
        <v/>
      </c>
      <c r="H110" s="100" t="str">
        <f t="shared" si="18"/>
        <v/>
      </c>
      <c r="I110" s="100" t="str">
        <f t="shared" si="18"/>
        <v/>
      </c>
      <c r="J110" s="100" t="str">
        <f t="shared" si="18"/>
        <v/>
      </c>
      <c r="K110" s="100" t="str">
        <f t="shared" si="18"/>
        <v/>
      </c>
      <c r="L110" s="100" t="str">
        <f t="shared" si="18"/>
        <v/>
      </c>
      <c r="M110" s="100" t="str">
        <f t="shared" si="18"/>
        <v/>
      </c>
      <c r="N110" s="100" t="str">
        <f t="shared" si="18"/>
        <v/>
      </c>
      <c r="O110" s="100" t="str">
        <f t="shared" si="18"/>
        <v/>
      </c>
      <c r="P110" s="100" t="str">
        <f t="shared" si="18"/>
        <v/>
      </c>
      <c r="Q110" s="100" t="str">
        <f t="shared" si="18"/>
        <v/>
      </c>
      <c r="R110" s="100" t="str">
        <f t="shared" si="18"/>
        <v/>
      </c>
      <c r="S110" s="100" t="str">
        <f t="shared" si="18"/>
        <v/>
      </c>
      <c r="T110" s="100" t="str">
        <f t="shared" si="18"/>
        <v/>
      </c>
      <c r="U110" s="100" t="str">
        <f t="shared" si="18"/>
        <v/>
      </c>
      <c r="V110" s="100" t="str">
        <f t="shared" si="18"/>
        <v/>
      </c>
      <c r="W110" s="100" t="str">
        <f t="shared" si="18"/>
        <v/>
      </c>
      <c r="X110" s="100" t="str">
        <f t="shared" si="18"/>
        <v/>
      </c>
      <c r="Y110" s="100" t="str">
        <f t="shared" si="18"/>
        <v/>
      </c>
      <c r="Z110" s="100" t="str">
        <f t="shared" si="18"/>
        <v/>
      </c>
      <c r="AA110" s="100" t="str">
        <f t="shared" si="18"/>
        <v/>
      </c>
      <c r="AB110" s="100" t="str">
        <f t="shared" si="18"/>
        <v/>
      </c>
      <c r="AC110" s="100" t="str">
        <f t="shared" si="18"/>
        <v/>
      </c>
      <c r="AD110" s="100" t="str">
        <f t="shared" si="18"/>
        <v/>
      </c>
      <c r="AE110" s="100" t="str">
        <f t="shared" si="18"/>
        <v/>
      </c>
      <c r="AF110" s="100" t="str">
        <f t="shared" si="18"/>
        <v/>
      </c>
      <c r="AG110" s="100" t="str">
        <f t="shared" si="18"/>
        <v/>
      </c>
      <c r="AH110" s="100" t="str">
        <f t="shared" si="18"/>
        <v/>
      </c>
    </row>
    <row r="111" spans="1:34" hidden="1">
      <c r="B111" s="31"/>
      <c r="C111" s="423"/>
      <c r="D111" s="32"/>
    </row>
    <row r="112" spans="1:34" hidden="1">
      <c r="B112" s="31"/>
      <c r="C112" s="423"/>
      <c r="D112" s="32"/>
    </row>
    <row r="113" spans="2:4" hidden="1">
      <c r="B113" s="31"/>
      <c r="C113" s="423"/>
      <c r="D113" s="32"/>
    </row>
    <row r="114" spans="2:4" hidden="1">
      <c r="B114" s="31"/>
      <c r="C114" s="423"/>
      <c r="D114" s="32"/>
    </row>
    <row r="115" spans="2:4" hidden="1">
      <c r="B115" s="31"/>
      <c r="C115" s="423"/>
      <c r="D115" s="32"/>
    </row>
    <row r="116" spans="2:4" hidden="1">
      <c r="B116" s="31"/>
      <c r="C116" s="423"/>
      <c r="D116" s="32"/>
    </row>
    <row r="117" spans="2:4" hidden="1">
      <c r="B117" s="31"/>
      <c r="C117" s="423"/>
      <c r="D117" s="32"/>
    </row>
    <row r="118" spans="2:4" hidden="1">
      <c r="B118" s="31"/>
      <c r="C118" s="423"/>
      <c r="D118" s="32"/>
    </row>
    <row r="119" spans="2:4" hidden="1">
      <c r="B119" s="31"/>
      <c r="C119" s="423"/>
      <c r="D119" s="32"/>
    </row>
    <row r="120" spans="2:4" hidden="1">
      <c r="B120" s="31"/>
      <c r="C120" s="423"/>
      <c r="D120" s="32"/>
    </row>
    <row r="121" spans="2:4" hidden="1">
      <c r="B121" s="31"/>
      <c r="C121" s="423"/>
      <c r="D121" s="32"/>
    </row>
    <row r="122" spans="2:4" hidden="1">
      <c r="B122" s="31"/>
      <c r="C122" s="423"/>
      <c r="D122" s="32"/>
    </row>
    <row r="123" spans="2:4" hidden="1">
      <c r="B123" s="31"/>
      <c r="C123" s="423"/>
      <c r="D123" s="32"/>
    </row>
    <row r="124" spans="2:4" hidden="1">
      <c r="B124" s="31"/>
      <c r="C124" s="423"/>
      <c r="D124" s="32"/>
    </row>
    <row r="125" spans="2:4" hidden="1">
      <c r="B125" s="31"/>
      <c r="C125" s="423"/>
      <c r="D125" s="32"/>
    </row>
    <row r="126" spans="2:4" hidden="1">
      <c r="B126" s="31"/>
      <c r="C126" s="423"/>
      <c r="D126" s="32"/>
    </row>
    <row r="127" spans="2:4" hidden="1">
      <c r="B127" s="31"/>
      <c r="C127" s="423"/>
      <c r="D127" s="32"/>
    </row>
    <row r="128" spans="2:4" hidden="1">
      <c r="B128" s="31"/>
      <c r="C128" s="423"/>
      <c r="D128" s="32"/>
    </row>
    <row r="129" spans="2:4" hidden="1">
      <c r="B129" s="31"/>
      <c r="C129" s="423"/>
      <c r="D129" s="32"/>
    </row>
    <row r="130" spans="2:4" hidden="1">
      <c r="B130" s="31"/>
      <c r="C130" s="423"/>
      <c r="D130" s="32"/>
    </row>
    <row r="131" spans="2:4" hidden="1">
      <c r="B131" s="31"/>
      <c r="C131" s="423"/>
      <c r="D131" s="32"/>
    </row>
    <row r="132" spans="2:4" hidden="1">
      <c r="B132" s="31"/>
      <c r="C132" s="423"/>
      <c r="D132" s="32"/>
    </row>
    <row r="133" spans="2:4" hidden="1">
      <c r="B133" s="31"/>
      <c r="C133" s="423"/>
      <c r="D133" s="32"/>
    </row>
    <row r="134" spans="2:4" hidden="1">
      <c r="B134" s="31"/>
      <c r="C134" s="423"/>
      <c r="D134" s="32"/>
    </row>
    <row r="135" spans="2:4" hidden="1">
      <c r="B135" s="31"/>
      <c r="C135" s="423"/>
      <c r="D135" s="32"/>
    </row>
    <row r="136" spans="2:4" hidden="1">
      <c r="B136" s="31"/>
      <c r="C136" s="423"/>
      <c r="D136" s="32"/>
    </row>
    <row r="137" spans="2:4" hidden="1">
      <c r="B137" s="31"/>
      <c r="C137" s="423"/>
      <c r="D137" s="32"/>
    </row>
    <row r="138" spans="2:4" hidden="1">
      <c r="B138" s="31"/>
      <c r="C138" s="423"/>
      <c r="D138" s="32"/>
    </row>
    <row r="139" spans="2:4" hidden="1">
      <c r="B139" s="31"/>
      <c r="C139" s="423"/>
      <c r="D139" s="32"/>
    </row>
    <row r="140" spans="2:4" hidden="1">
      <c r="B140" s="31"/>
      <c r="C140" s="423"/>
      <c r="D140" s="32"/>
    </row>
    <row r="141" spans="2:4" hidden="1">
      <c r="B141" s="31"/>
      <c r="C141" s="423"/>
      <c r="D141" s="32"/>
    </row>
    <row r="142" spans="2:4" hidden="1">
      <c r="B142" s="31"/>
      <c r="C142" s="423"/>
      <c r="D142" s="32"/>
    </row>
    <row r="143" spans="2:4" hidden="1">
      <c r="B143" s="31"/>
      <c r="C143" s="423"/>
      <c r="D143" s="32"/>
    </row>
    <row r="144" spans="2:4" hidden="1">
      <c r="B144" s="31"/>
      <c r="C144" s="423"/>
      <c r="D144" s="32"/>
    </row>
    <row r="145" spans="2:4" hidden="1">
      <c r="B145" s="31"/>
      <c r="C145" s="423"/>
      <c r="D145" s="32"/>
    </row>
    <row r="146" spans="2:4" hidden="1">
      <c r="B146" s="31"/>
      <c r="C146" s="423"/>
      <c r="D146" s="32"/>
    </row>
    <row r="147" spans="2:4" hidden="1">
      <c r="B147" s="31"/>
      <c r="C147" s="423"/>
      <c r="D147" s="32"/>
    </row>
    <row r="148" spans="2:4" hidden="1">
      <c r="B148" s="31"/>
      <c r="C148" s="423"/>
      <c r="D148" s="32"/>
    </row>
    <row r="149" spans="2:4" hidden="1">
      <c r="B149" s="31"/>
      <c r="C149" s="423"/>
      <c r="D149" s="32"/>
    </row>
    <row r="150" spans="2:4" hidden="1">
      <c r="B150" s="31"/>
      <c r="C150" s="423"/>
      <c r="D150" s="32"/>
    </row>
    <row r="151" spans="2:4" hidden="1">
      <c r="B151" s="31"/>
      <c r="C151" s="423"/>
      <c r="D151" s="32"/>
    </row>
    <row r="152" spans="2:4" hidden="1">
      <c r="B152" s="31"/>
      <c r="C152" s="423"/>
      <c r="D152" s="32"/>
    </row>
    <row r="153" spans="2:4" hidden="1">
      <c r="B153" s="31"/>
      <c r="C153" s="423"/>
      <c r="D153" s="32"/>
    </row>
    <row r="154" spans="2:4" hidden="1">
      <c r="B154" s="31"/>
      <c r="C154" s="423"/>
      <c r="D154" s="32"/>
    </row>
    <row r="155" spans="2:4" hidden="1">
      <c r="B155" s="31"/>
      <c r="C155" s="423"/>
      <c r="D155" s="32"/>
    </row>
    <row r="156" spans="2:4" hidden="1">
      <c r="B156" s="31"/>
      <c r="C156" s="423"/>
      <c r="D156" s="32"/>
    </row>
    <row r="157" spans="2:4" hidden="1">
      <c r="B157" s="31"/>
      <c r="C157" s="423"/>
      <c r="D157" s="32"/>
    </row>
    <row r="158" spans="2:4" hidden="1">
      <c r="B158" s="31"/>
      <c r="C158" s="423"/>
      <c r="D158" s="32"/>
    </row>
    <row r="159" spans="2:4" hidden="1">
      <c r="B159" s="31"/>
      <c r="C159" s="423"/>
      <c r="D159" s="32"/>
    </row>
    <row r="160" spans="2:4" hidden="1">
      <c r="B160" s="31"/>
      <c r="C160" s="423"/>
      <c r="D160" s="32"/>
    </row>
    <row r="161" spans="2:4" hidden="1">
      <c r="B161" s="31"/>
      <c r="C161" s="423"/>
      <c r="D161" s="32"/>
    </row>
    <row r="162" spans="2:4" hidden="1">
      <c r="B162" s="31"/>
      <c r="C162" s="423"/>
      <c r="D162" s="32"/>
    </row>
    <row r="163" spans="2:4" hidden="1">
      <c r="B163" s="31"/>
      <c r="C163" s="423"/>
      <c r="D163" s="32"/>
    </row>
    <row r="164" spans="2:4" hidden="1">
      <c r="B164" s="31"/>
      <c r="C164" s="423"/>
      <c r="D164" s="32"/>
    </row>
    <row r="165" spans="2:4" hidden="1">
      <c r="B165" s="31"/>
      <c r="C165" s="423"/>
      <c r="D165" s="32"/>
    </row>
    <row r="166" spans="2:4" hidden="1">
      <c r="B166" s="31"/>
      <c r="C166" s="423"/>
      <c r="D166" s="32"/>
    </row>
    <row r="167" spans="2:4" hidden="1">
      <c r="B167" s="31"/>
      <c r="C167" s="423"/>
      <c r="D167" s="32"/>
    </row>
    <row r="168" spans="2:4" hidden="1">
      <c r="B168" s="31"/>
      <c r="C168" s="423"/>
      <c r="D168" s="32"/>
    </row>
    <row r="169" spans="2:4" hidden="1">
      <c r="B169" s="31"/>
      <c r="C169" s="423"/>
      <c r="D169" s="32"/>
    </row>
    <row r="170" spans="2:4" hidden="1">
      <c r="B170" s="31"/>
      <c r="C170" s="423"/>
      <c r="D170" s="32"/>
    </row>
  </sheetData>
  <mergeCells count="33">
    <mergeCell ref="B102:B109"/>
    <mergeCell ref="C102:D102"/>
    <mergeCell ref="B110:D110"/>
    <mergeCell ref="B78:B85"/>
    <mergeCell ref="C78:D78"/>
    <mergeCell ref="B86:B93"/>
    <mergeCell ref="C86:D86"/>
    <mergeCell ref="B94:B101"/>
    <mergeCell ref="C94:D94"/>
    <mergeCell ref="B54:B61"/>
    <mergeCell ref="C54:D54"/>
    <mergeCell ref="B62:B69"/>
    <mergeCell ref="C62:D62"/>
    <mergeCell ref="B70:B77"/>
    <mergeCell ref="C70:D70"/>
    <mergeCell ref="B30:B37"/>
    <mergeCell ref="C30:D30"/>
    <mergeCell ref="B38:B45"/>
    <mergeCell ref="C38:D38"/>
    <mergeCell ref="B46:B53"/>
    <mergeCell ref="C46:D46"/>
    <mergeCell ref="B6:B13"/>
    <mergeCell ref="C6:D6"/>
    <mergeCell ref="B14:B21"/>
    <mergeCell ref="C14:D14"/>
    <mergeCell ref="B22:B29"/>
    <mergeCell ref="C22:D22"/>
    <mergeCell ref="A1:AH2"/>
    <mergeCell ref="B3:D3"/>
    <mergeCell ref="B4:B5"/>
    <mergeCell ref="C4:C5"/>
    <mergeCell ref="D4:D5"/>
    <mergeCell ref="E4:AH4"/>
  </mergeCells>
  <pageMargins left="0.7" right="0.7" top="0.75" bottom="0.75" header="0.3" footer="0.3"/>
  <pageSetup paperSize="9" orientation="portrait" horizontalDpi="4294967293"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3"/>
  <dimension ref="A1:AW170"/>
  <sheetViews>
    <sheetView showGridLines="0" workbookViewId="0">
      <pane ySplit="5" topLeftCell="A33" activePane="bottomLeft" state="frozen"/>
      <selection activeCell="K33" sqref="K33"/>
      <selection pane="bottomLeft" activeCell="C39" sqref="C39"/>
    </sheetView>
  </sheetViews>
  <sheetFormatPr defaultColWidth="0" defaultRowHeight="15" customHeight="1"/>
  <cols>
    <col min="1" max="1" width="1" style="29" customWidth="1"/>
    <col min="2" max="2" width="3.7109375" style="33" customWidth="1"/>
    <col min="3" max="3" width="46.140625" style="33" customWidth="1"/>
    <col min="4" max="4" width="10.28515625" style="29" customWidth="1"/>
    <col min="5" max="34" width="5.7109375" style="29" customWidth="1"/>
    <col min="35" max="49" width="5.7109375" hidden="1" customWidth="1"/>
    <col min="50" max="16384" width="9.140625" hidden="1"/>
  </cols>
  <sheetData>
    <row r="1" spans="1:34" ht="15" customHeight="1">
      <c r="A1" s="803" t="s">
        <v>245</v>
      </c>
      <c r="B1" s="803"/>
      <c r="C1" s="803"/>
      <c r="D1" s="803"/>
      <c r="E1" s="803"/>
      <c r="F1" s="803"/>
      <c r="G1" s="803"/>
      <c r="H1" s="803"/>
      <c r="I1" s="803"/>
      <c r="J1" s="803"/>
      <c r="K1" s="803"/>
      <c r="L1" s="803"/>
      <c r="M1" s="803"/>
      <c r="N1" s="803"/>
      <c r="O1" s="803"/>
      <c r="P1" s="803"/>
      <c r="Q1" s="803"/>
      <c r="R1" s="803"/>
      <c r="S1" s="803"/>
      <c r="T1" s="803"/>
      <c r="U1" s="803"/>
      <c r="V1" s="803"/>
      <c r="W1" s="803"/>
      <c r="X1" s="803"/>
      <c r="Y1" s="803"/>
      <c r="Z1" s="803"/>
      <c r="AA1" s="803"/>
      <c r="AB1" s="803"/>
      <c r="AC1" s="803"/>
      <c r="AD1" s="803"/>
      <c r="AE1" s="803"/>
      <c r="AF1" s="803"/>
      <c r="AG1" s="803"/>
      <c r="AH1" s="803"/>
    </row>
    <row r="2" spans="1:34" ht="15" customHeight="1">
      <c r="A2" s="803"/>
      <c r="B2" s="803"/>
      <c r="C2" s="803"/>
      <c r="D2" s="803"/>
      <c r="E2" s="803"/>
      <c r="F2" s="803"/>
      <c r="G2" s="803"/>
      <c r="H2" s="803"/>
      <c r="I2" s="803"/>
      <c r="J2" s="803"/>
      <c r="K2" s="803"/>
      <c r="L2" s="803"/>
      <c r="M2" s="803"/>
      <c r="N2" s="803"/>
      <c r="O2" s="803"/>
      <c r="P2" s="803"/>
      <c r="Q2" s="803"/>
      <c r="R2" s="803"/>
      <c r="S2" s="803"/>
      <c r="T2" s="803"/>
      <c r="U2" s="803"/>
      <c r="V2" s="803"/>
      <c r="W2" s="803"/>
      <c r="X2" s="803"/>
      <c r="Y2" s="803"/>
      <c r="Z2" s="803"/>
      <c r="AA2" s="803"/>
      <c r="AB2" s="803"/>
      <c r="AC2" s="803"/>
      <c r="AD2" s="803"/>
      <c r="AE2" s="803"/>
      <c r="AF2" s="803"/>
      <c r="AG2" s="803"/>
      <c r="AH2" s="803"/>
    </row>
    <row r="3" spans="1:34" ht="15" customHeight="1">
      <c r="B3" s="804"/>
      <c r="C3" s="804"/>
      <c r="D3" s="80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row>
    <row r="4" spans="1:34" ht="15" customHeight="1">
      <c r="B4" s="805" t="s">
        <v>5</v>
      </c>
      <c r="C4" s="805" t="s">
        <v>125</v>
      </c>
      <c r="D4" s="806" t="s">
        <v>126</v>
      </c>
      <c r="E4" s="807" t="s">
        <v>57</v>
      </c>
      <c r="F4" s="807"/>
      <c r="G4" s="807"/>
      <c r="H4" s="807"/>
      <c r="I4" s="807"/>
      <c r="J4" s="807"/>
      <c r="K4" s="807"/>
      <c r="L4" s="807"/>
      <c r="M4" s="807"/>
      <c r="N4" s="807"/>
      <c r="O4" s="807"/>
      <c r="P4" s="807"/>
      <c r="Q4" s="807"/>
      <c r="R4" s="807"/>
      <c r="S4" s="807"/>
      <c r="T4" s="807"/>
      <c r="U4" s="807"/>
      <c r="V4" s="807"/>
      <c r="W4" s="807"/>
      <c r="X4" s="807"/>
      <c r="Y4" s="807"/>
      <c r="Z4" s="807"/>
      <c r="AA4" s="807"/>
      <c r="AB4" s="807"/>
      <c r="AC4" s="807"/>
      <c r="AD4" s="807"/>
      <c r="AE4" s="807"/>
      <c r="AF4" s="807"/>
      <c r="AG4" s="807"/>
      <c r="AH4" s="807"/>
    </row>
    <row r="5" spans="1:34" ht="12.75" customHeight="1">
      <c r="B5" s="805"/>
      <c r="C5" s="805"/>
      <c r="D5" s="806"/>
      <c r="E5" s="35" t="str">
        <f>DATASISWA!$F$8</f>
        <v>Dita</v>
      </c>
      <c r="F5" s="35" t="str">
        <f>DATASISWA!$F$9</f>
        <v>Annisa</v>
      </c>
      <c r="G5" s="35" t="str">
        <f>DATASISWA!$F$10</f>
        <v>Kiki</v>
      </c>
      <c r="H5" s="35" t="str">
        <f>DATASISWA!$F$11</f>
        <v>Lily</v>
      </c>
      <c r="I5" s="35" t="str">
        <f>DATASISWA!$F$12</f>
        <v>Rere</v>
      </c>
      <c r="J5" s="35" t="str">
        <f>DATASISWA!$F$13</f>
        <v>Fadhil</v>
      </c>
      <c r="K5" s="35" t="str">
        <f>DATASISWA!$F$14</f>
        <v>Yuefa</v>
      </c>
      <c r="L5" s="35" t="str">
        <f>DATASISWA!$F$15</f>
        <v>Ria</v>
      </c>
      <c r="M5" s="35" t="str">
        <f>DATASISWA!$F$16</f>
        <v>Tiara</v>
      </c>
      <c r="N5" s="35" t="str">
        <f>DATASISWA!$F$17</f>
        <v>Alvind</v>
      </c>
      <c r="O5" s="35" t="str">
        <f>DATASISWA!$F$18</f>
        <v>Icha</v>
      </c>
      <c r="P5" s="35" t="str">
        <f>DATASISWA!$F$19</f>
        <v>Qonita</v>
      </c>
      <c r="Q5" s="35" t="str">
        <f>DATASISWA!$F$20</f>
        <v>Anya</v>
      </c>
      <c r="R5" s="35" t="str">
        <f>DATASISWA!$F$21</f>
        <v>Radit</v>
      </c>
      <c r="S5" s="35" t="str">
        <f>DATASISWA!$F$22</f>
        <v>angel</v>
      </c>
      <c r="T5" s="35">
        <f>DATASISWA!$F$23</f>
        <v>0</v>
      </c>
      <c r="U5" s="35">
        <f>DATASISWA!$F$24</f>
        <v>0</v>
      </c>
      <c r="V5" s="35">
        <f>DATASISWA!$F$25</f>
        <v>0</v>
      </c>
      <c r="W5" s="35">
        <f>DATASISWA!$F$26</f>
        <v>0</v>
      </c>
      <c r="X5" s="35">
        <f>DATASISWA!$F$27</f>
        <v>0</v>
      </c>
      <c r="Y5" s="35">
        <f>DATASISWA!$F$28</f>
        <v>0</v>
      </c>
      <c r="Z5" s="35">
        <f>DATASISWA!$F$29</f>
        <v>0</v>
      </c>
      <c r="AA5" s="35">
        <f>DATASISWA!$F$30</f>
        <v>0</v>
      </c>
      <c r="AB5" s="35">
        <f>DATASISWA!$F$31</f>
        <v>0</v>
      </c>
      <c r="AC5" s="35">
        <f>DATASISWA!$F$32</f>
        <v>0</v>
      </c>
      <c r="AD5" s="35">
        <f>DATASISWA!$F$33</f>
        <v>0</v>
      </c>
      <c r="AE5" s="35">
        <f>DATASISWA!$F$34</f>
        <v>0</v>
      </c>
      <c r="AF5" s="35">
        <f>DATASISWA!$F$35</f>
        <v>0</v>
      </c>
      <c r="AG5" s="35">
        <f>DATASISWA!$F$36</f>
        <v>0</v>
      </c>
      <c r="AH5" s="35">
        <f>DATASISWA!$F$37</f>
        <v>0</v>
      </c>
    </row>
    <row r="6" spans="1:34" ht="27" customHeight="1">
      <c r="A6" s="30"/>
      <c r="B6" s="800">
        <v>1</v>
      </c>
      <c r="C6" s="809"/>
      <c r="D6" s="810"/>
      <c r="E6" s="97" t="str">
        <f>IFERROR(AVERAGE(E7:E13),"")</f>
        <v/>
      </c>
      <c r="F6" s="97" t="str">
        <f t="shared" ref="F6:AA6" si="0">IFERROR(AVERAGE(F7:F13),"")</f>
        <v/>
      </c>
      <c r="G6" s="97" t="str">
        <f t="shared" si="0"/>
        <v/>
      </c>
      <c r="H6" s="97" t="str">
        <f t="shared" si="0"/>
        <v/>
      </c>
      <c r="I6" s="97" t="str">
        <f t="shared" si="0"/>
        <v/>
      </c>
      <c r="J6" s="97" t="str">
        <f t="shared" si="0"/>
        <v/>
      </c>
      <c r="K6" s="97" t="str">
        <f t="shared" si="0"/>
        <v/>
      </c>
      <c r="L6" s="97" t="str">
        <f t="shared" si="0"/>
        <v/>
      </c>
      <c r="M6" s="97" t="str">
        <f t="shared" si="0"/>
        <v/>
      </c>
      <c r="N6" s="97" t="str">
        <f t="shared" si="0"/>
        <v/>
      </c>
      <c r="O6" s="97" t="str">
        <f t="shared" si="0"/>
        <v/>
      </c>
      <c r="P6" s="97" t="str">
        <f t="shared" si="0"/>
        <v/>
      </c>
      <c r="Q6" s="97" t="str">
        <f t="shared" si="0"/>
        <v/>
      </c>
      <c r="R6" s="97" t="str">
        <f t="shared" si="0"/>
        <v/>
      </c>
      <c r="S6" s="97" t="str">
        <f t="shared" si="0"/>
        <v/>
      </c>
      <c r="T6" s="97" t="str">
        <f t="shared" si="0"/>
        <v/>
      </c>
      <c r="U6" s="97" t="str">
        <f t="shared" si="0"/>
        <v/>
      </c>
      <c r="V6" s="97" t="str">
        <f t="shared" si="0"/>
        <v/>
      </c>
      <c r="W6" s="97" t="str">
        <f t="shared" si="0"/>
        <v/>
      </c>
      <c r="X6" s="97" t="str">
        <f t="shared" si="0"/>
        <v/>
      </c>
      <c r="Y6" s="97" t="str">
        <f t="shared" si="0"/>
        <v/>
      </c>
      <c r="Z6" s="97" t="str">
        <f t="shared" si="0"/>
        <v/>
      </c>
      <c r="AA6" s="97" t="str">
        <f t="shared" si="0"/>
        <v/>
      </c>
      <c r="AB6" s="97" t="str">
        <f t="shared" ref="AB6:AH6" si="1">IFERROR(AVERAGE(AB7:AB13),"")</f>
        <v/>
      </c>
      <c r="AC6" s="97" t="str">
        <f t="shared" si="1"/>
        <v/>
      </c>
      <c r="AD6" s="97" t="str">
        <f t="shared" si="1"/>
        <v/>
      </c>
      <c r="AE6" s="97" t="str">
        <f t="shared" si="1"/>
        <v/>
      </c>
      <c r="AF6" s="97" t="str">
        <f t="shared" si="1"/>
        <v/>
      </c>
      <c r="AG6" s="97" t="str">
        <f t="shared" si="1"/>
        <v/>
      </c>
      <c r="AH6" s="97" t="str">
        <f t="shared" si="1"/>
        <v/>
      </c>
    </row>
    <row r="7" spans="1:34" ht="27" customHeight="1">
      <c r="A7" s="30"/>
      <c r="B7" s="801"/>
      <c r="C7" s="570"/>
      <c r="D7" s="72"/>
      <c r="E7" s="354"/>
      <c r="F7" s="354"/>
      <c r="G7" s="354"/>
      <c r="H7" s="354"/>
      <c r="I7" s="354"/>
      <c r="J7" s="354"/>
      <c r="K7" s="354"/>
      <c r="L7" s="354"/>
      <c r="M7" s="354"/>
      <c r="N7" s="354"/>
      <c r="O7" s="354"/>
      <c r="P7" s="354"/>
      <c r="Q7" s="354"/>
      <c r="R7" s="354"/>
      <c r="S7" s="354"/>
      <c r="T7" s="354"/>
      <c r="U7" s="354"/>
      <c r="V7" s="354"/>
      <c r="W7" s="354"/>
      <c r="X7" s="354"/>
      <c r="Y7" s="354"/>
      <c r="Z7" s="354"/>
      <c r="AA7" s="354"/>
      <c r="AB7" s="98"/>
      <c r="AC7" s="98"/>
      <c r="AD7" s="98"/>
      <c r="AE7" s="98"/>
      <c r="AF7" s="98"/>
      <c r="AG7" s="98"/>
      <c r="AH7" s="98"/>
    </row>
    <row r="8" spans="1:34" ht="27" customHeight="1">
      <c r="A8" s="30"/>
      <c r="B8" s="801"/>
      <c r="C8" s="74"/>
      <c r="D8" s="72"/>
      <c r="E8" s="354"/>
      <c r="F8" s="354"/>
      <c r="G8" s="354"/>
      <c r="H8" s="354"/>
      <c r="I8" s="354"/>
      <c r="J8" s="354"/>
      <c r="K8" s="354"/>
      <c r="L8" s="354"/>
      <c r="M8" s="354"/>
      <c r="N8" s="354"/>
      <c r="O8" s="354"/>
      <c r="P8" s="354"/>
      <c r="Q8" s="354"/>
      <c r="R8" s="354"/>
      <c r="S8" s="354"/>
      <c r="T8" s="354"/>
      <c r="U8" s="354"/>
      <c r="V8" s="354"/>
      <c r="W8" s="354"/>
      <c r="X8" s="354"/>
      <c r="Y8" s="354"/>
      <c r="Z8" s="354"/>
      <c r="AA8" s="354"/>
      <c r="AB8" s="98"/>
      <c r="AC8" s="98"/>
      <c r="AD8" s="98"/>
      <c r="AE8" s="98"/>
      <c r="AF8" s="98"/>
      <c r="AG8" s="98"/>
      <c r="AH8" s="98"/>
    </row>
    <row r="9" spans="1:34" ht="27" customHeight="1">
      <c r="A9" s="30"/>
      <c r="B9" s="801"/>
      <c r="C9" s="74"/>
      <c r="D9" s="72"/>
      <c r="E9" s="354"/>
      <c r="F9" s="354"/>
      <c r="G9" s="354"/>
      <c r="H9" s="354"/>
      <c r="I9" s="354"/>
      <c r="J9" s="354"/>
      <c r="K9" s="354"/>
      <c r="L9" s="354"/>
      <c r="M9" s="354"/>
      <c r="N9" s="354"/>
      <c r="O9" s="354"/>
      <c r="P9" s="354"/>
      <c r="Q9" s="354"/>
      <c r="R9" s="354"/>
      <c r="S9" s="354"/>
      <c r="T9" s="354"/>
      <c r="U9" s="354"/>
      <c r="V9" s="354"/>
      <c r="W9" s="354"/>
      <c r="X9" s="354"/>
      <c r="Y9" s="354"/>
      <c r="Z9" s="354"/>
      <c r="AA9" s="354"/>
      <c r="AB9" s="98"/>
      <c r="AC9" s="98"/>
      <c r="AD9" s="98"/>
      <c r="AE9" s="98"/>
      <c r="AF9" s="98"/>
      <c r="AG9" s="98"/>
      <c r="AH9" s="98"/>
    </row>
    <row r="10" spans="1:34" ht="27" customHeight="1">
      <c r="A10" s="30"/>
      <c r="B10" s="801"/>
      <c r="C10" s="74"/>
      <c r="D10" s="72"/>
      <c r="E10" s="354"/>
      <c r="F10" s="354"/>
      <c r="G10" s="354"/>
      <c r="H10" s="354"/>
      <c r="I10" s="354"/>
      <c r="J10" s="354"/>
      <c r="K10" s="354"/>
      <c r="L10" s="354"/>
      <c r="M10" s="354"/>
      <c r="N10" s="354"/>
      <c r="O10" s="354"/>
      <c r="P10" s="354"/>
      <c r="Q10" s="354"/>
      <c r="R10" s="354"/>
      <c r="S10" s="354"/>
      <c r="T10" s="354"/>
      <c r="U10" s="354"/>
      <c r="V10" s="354"/>
      <c r="W10" s="354"/>
      <c r="X10" s="354"/>
      <c r="Y10" s="354"/>
      <c r="Z10" s="354"/>
      <c r="AA10" s="354"/>
      <c r="AB10" s="98"/>
      <c r="AC10" s="98"/>
      <c r="AD10" s="98"/>
      <c r="AE10" s="98"/>
      <c r="AF10" s="98"/>
      <c r="AG10" s="98"/>
      <c r="AH10" s="98"/>
    </row>
    <row r="11" spans="1:34" ht="27" customHeight="1">
      <c r="A11" s="30"/>
      <c r="B11" s="801"/>
      <c r="C11" s="74"/>
      <c r="D11" s="72"/>
      <c r="E11" s="98"/>
      <c r="F11" s="98"/>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row>
    <row r="12" spans="1:34" ht="27" customHeight="1">
      <c r="A12" s="30"/>
      <c r="B12" s="801"/>
      <c r="C12" s="74"/>
      <c r="D12" s="72"/>
      <c r="E12" s="98"/>
      <c r="F12" s="98"/>
      <c r="G12" s="98"/>
      <c r="H12" s="98"/>
      <c r="I12" s="98"/>
      <c r="J12" s="98"/>
      <c r="K12" s="98"/>
      <c r="L12" s="98"/>
      <c r="M12" s="98"/>
      <c r="N12" s="98"/>
      <c r="O12" s="98"/>
      <c r="P12" s="98"/>
      <c r="Q12" s="98"/>
      <c r="R12" s="98"/>
      <c r="S12" s="98"/>
      <c r="T12" s="98"/>
      <c r="U12" s="98"/>
      <c r="V12" s="98"/>
      <c r="W12" s="98"/>
      <c r="X12" s="98"/>
      <c r="Y12" s="98"/>
      <c r="Z12" s="98"/>
      <c r="AA12" s="98"/>
      <c r="AB12" s="98"/>
      <c r="AC12" s="98"/>
      <c r="AD12" s="98"/>
      <c r="AE12" s="98"/>
      <c r="AF12" s="98"/>
      <c r="AG12" s="98"/>
      <c r="AH12" s="98"/>
    </row>
    <row r="13" spans="1:34" ht="27" customHeight="1">
      <c r="A13" s="30"/>
      <c r="B13" s="802"/>
      <c r="C13" s="74"/>
      <c r="D13" s="72"/>
      <c r="E13" s="98"/>
      <c r="F13" s="98"/>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row>
    <row r="14" spans="1:34" ht="27" customHeight="1">
      <c r="A14" s="30"/>
      <c r="B14" s="800">
        <v>2</v>
      </c>
      <c r="C14" s="795"/>
      <c r="D14" s="796"/>
      <c r="E14" s="97" t="str">
        <f>IFERROR(AVERAGE(E15:E21),"")</f>
        <v/>
      </c>
      <c r="F14" s="97" t="str">
        <f t="shared" ref="F14:AA14" si="2">IFERROR(AVERAGE(F15:F21),"")</f>
        <v/>
      </c>
      <c r="G14" s="97" t="str">
        <f t="shared" si="2"/>
        <v/>
      </c>
      <c r="H14" s="97" t="str">
        <f t="shared" si="2"/>
        <v/>
      </c>
      <c r="I14" s="97" t="str">
        <f t="shared" si="2"/>
        <v/>
      </c>
      <c r="J14" s="97" t="str">
        <f t="shared" si="2"/>
        <v/>
      </c>
      <c r="K14" s="97" t="str">
        <f t="shared" si="2"/>
        <v/>
      </c>
      <c r="L14" s="97" t="str">
        <f t="shared" si="2"/>
        <v/>
      </c>
      <c r="M14" s="97" t="str">
        <f t="shared" si="2"/>
        <v/>
      </c>
      <c r="N14" s="97" t="str">
        <f t="shared" si="2"/>
        <v/>
      </c>
      <c r="O14" s="97" t="str">
        <f t="shared" si="2"/>
        <v/>
      </c>
      <c r="P14" s="97" t="str">
        <f t="shared" si="2"/>
        <v/>
      </c>
      <c r="Q14" s="97" t="str">
        <f t="shared" si="2"/>
        <v/>
      </c>
      <c r="R14" s="97" t="str">
        <f t="shared" si="2"/>
        <v/>
      </c>
      <c r="S14" s="97" t="str">
        <f t="shared" si="2"/>
        <v/>
      </c>
      <c r="T14" s="97" t="str">
        <f t="shared" si="2"/>
        <v/>
      </c>
      <c r="U14" s="97" t="str">
        <f t="shared" si="2"/>
        <v/>
      </c>
      <c r="V14" s="97" t="str">
        <f t="shared" si="2"/>
        <v/>
      </c>
      <c r="W14" s="97" t="str">
        <f t="shared" si="2"/>
        <v/>
      </c>
      <c r="X14" s="97" t="str">
        <f t="shared" si="2"/>
        <v/>
      </c>
      <c r="Y14" s="97" t="str">
        <f t="shared" si="2"/>
        <v/>
      </c>
      <c r="Z14" s="97" t="str">
        <f t="shared" si="2"/>
        <v/>
      </c>
      <c r="AA14" s="97" t="str">
        <f t="shared" si="2"/>
        <v/>
      </c>
      <c r="AB14" s="97" t="str">
        <f t="shared" ref="AB14:AH14" si="3">IFERROR(AVERAGE(AB15:AB21),"")</f>
        <v/>
      </c>
      <c r="AC14" s="97" t="str">
        <f t="shared" si="3"/>
        <v/>
      </c>
      <c r="AD14" s="97" t="str">
        <f t="shared" si="3"/>
        <v/>
      </c>
      <c r="AE14" s="97" t="str">
        <f t="shared" si="3"/>
        <v/>
      </c>
      <c r="AF14" s="97" t="str">
        <f t="shared" si="3"/>
        <v/>
      </c>
      <c r="AG14" s="97" t="str">
        <f t="shared" si="3"/>
        <v/>
      </c>
      <c r="AH14" s="97" t="str">
        <f t="shared" si="3"/>
        <v/>
      </c>
    </row>
    <row r="15" spans="1:34" ht="27" customHeight="1">
      <c r="A15" s="30"/>
      <c r="B15" s="801"/>
      <c r="C15" s="570"/>
      <c r="D15" s="72"/>
      <c r="E15" s="354"/>
      <c r="F15" s="354"/>
      <c r="G15" s="354"/>
      <c r="H15" s="354"/>
      <c r="I15" s="354"/>
      <c r="J15" s="354"/>
      <c r="K15" s="354"/>
      <c r="L15" s="354"/>
      <c r="M15" s="354"/>
      <c r="N15" s="354"/>
      <c r="O15" s="354"/>
      <c r="P15" s="354"/>
      <c r="Q15" s="354"/>
      <c r="R15" s="354"/>
      <c r="S15" s="354"/>
      <c r="T15" s="354"/>
      <c r="U15" s="354"/>
      <c r="V15" s="354"/>
      <c r="W15" s="354"/>
      <c r="X15" s="354"/>
      <c r="Y15" s="354"/>
      <c r="Z15" s="354"/>
      <c r="AA15" s="354"/>
      <c r="AB15" s="98"/>
      <c r="AC15" s="98"/>
      <c r="AD15" s="98"/>
      <c r="AE15" s="98"/>
      <c r="AF15" s="98"/>
      <c r="AG15" s="98"/>
      <c r="AH15" s="98"/>
    </row>
    <row r="16" spans="1:34" ht="27" customHeight="1">
      <c r="A16" s="30"/>
      <c r="B16" s="801"/>
      <c r="C16" s="570"/>
      <c r="D16" s="72"/>
      <c r="E16" s="354"/>
      <c r="F16" s="354"/>
      <c r="G16" s="354"/>
      <c r="H16" s="354"/>
      <c r="I16" s="354"/>
      <c r="J16" s="354"/>
      <c r="K16" s="354"/>
      <c r="L16" s="354"/>
      <c r="M16" s="354"/>
      <c r="N16" s="354"/>
      <c r="O16" s="354"/>
      <c r="P16" s="354"/>
      <c r="Q16" s="354"/>
      <c r="R16" s="354"/>
      <c r="S16" s="354"/>
      <c r="T16" s="354"/>
      <c r="U16" s="354"/>
      <c r="V16" s="354"/>
      <c r="W16" s="354"/>
      <c r="X16" s="354"/>
      <c r="Y16" s="354"/>
      <c r="Z16" s="354"/>
      <c r="AA16" s="354"/>
      <c r="AB16" s="98"/>
      <c r="AC16" s="98"/>
      <c r="AD16" s="98"/>
      <c r="AE16" s="98"/>
      <c r="AF16" s="98"/>
      <c r="AG16" s="98"/>
      <c r="AH16" s="98"/>
    </row>
    <row r="17" spans="1:34" ht="27" customHeight="1">
      <c r="A17" s="30"/>
      <c r="B17" s="801"/>
      <c r="C17" s="74"/>
      <c r="D17" s="72"/>
      <c r="E17" s="354"/>
      <c r="F17" s="354"/>
      <c r="G17" s="354"/>
      <c r="H17" s="354"/>
      <c r="I17" s="354"/>
      <c r="J17" s="354"/>
      <c r="K17" s="354"/>
      <c r="L17" s="354"/>
      <c r="M17" s="354"/>
      <c r="N17" s="354"/>
      <c r="O17" s="354"/>
      <c r="P17" s="354"/>
      <c r="Q17" s="354"/>
      <c r="R17" s="354"/>
      <c r="S17" s="354"/>
      <c r="T17" s="354"/>
      <c r="U17" s="354"/>
      <c r="V17" s="354"/>
      <c r="W17" s="354"/>
      <c r="X17" s="354"/>
      <c r="Y17" s="354"/>
      <c r="Z17" s="354"/>
      <c r="AA17" s="354"/>
      <c r="AB17" s="98"/>
      <c r="AC17" s="98"/>
      <c r="AD17" s="98"/>
      <c r="AE17" s="98"/>
      <c r="AF17" s="98"/>
      <c r="AG17" s="98"/>
      <c r="AH17" s="98"/>
    </row>
    <row r="18" spans="1:34" ht="27" customHeight="1">
      <c r="A18" s="30"/>
      <c r="B18" s="801"/>
      <c r="C18" s="74"/>
      <c r="D18" s="72"/>
      <c r="E18" s="571"/>
      <c r="F18" s="571"/>
      <c r="G18" s="571"/>
      <c r="H18" s="571"/>
      <c r="I18" s="571"/>
      <c r="J18" s="571"/>
      <c r="K18" s="571"/>
      <c r="L18" s="571"/>
      <c r="M18" s="571"/>
      <c r="N18" s="571"/>
      <c r="O18" s="571"/>
      <c r="P18" s="571"/>
      <c r="Q18" s="571"/>
      <c r="R18" s="571"/>
      <c r="S18" s="571"/>
      <c r="T18" s="571"/>
      <c r="U18" s="571"/>
      <c r="V18" s="571"/>
      <c r="W18" s="571"/>
      <c r="X18" s="571"/>
      <c r="Y18" s="571"/>
      <c r="Z18" s="571"/>
      <c r="AA18" s="354"/>
      <c r="AB18" s="98"/>
      <c r="AC18" s="98"/>
      <c r="AD18" s="98"/>
      <c r="AE18" s="98"/>
      <c r="AF18" s="98"/>
      <c r="AG18" s="98"/>
      <c r="AH18" s="98"/>
    </row>
    <row r="19" spans="1:34" ht="27" customHeight="1">
      <c r="A19" s="30"/>
      <c r="B19" s="801"/>
      <c r="C19" s="74"/>
      <c r="D19" s="72"/>
      <c r="E19" s="571"/>
      <c r="F19" s="571"/>
      <c r="G19" s="571"/>
      <c r="H19" s="571"/>
      <c r="I19" s="571"/>
      <c r="J19" s="571"/>
      <c r="K19" s="571"/>
      <c r="L19" s="571"/>
      <c r="M19" s="571"/>
      <c r="N19" s="571"/>
      <c r="O19" s="571"/>
      <c r="P19" s="571"/>
      <c r="Q19" s="571"/>
      <c r="R19" s="571"/>
      <c r="S19" s="571"/>
      <c r="T19" s="571"/>
      <c r="U19" s="571"/>
      <c r="V19" s="571"/>
      <c r="W19" s="571"/>
      <c r="X19" s="571"/>
      <c r="Y19" s="571"/>
      <c r="Z19" s="571"/>
      <c r="AA19" s="354"/>
      <c r="AB19" s="98"/>
      <c r="AC19" s="98"/>
      <c r="AD19" s="98"/>
      <c r="AE19" s="98"/>
      <c r="AF19" s="98"/>
      <c r="AG19" s="98"/>
      <c r="AH19" s="98"/>
    </row>
    <row r="20" spans="1:34" ht="27" customHeight="1">
      <c r="A20" s="30"/>
      <c r="B20" s="801"/>
      <c r="C20" s="74"/>
      <c r="D20" s="72"/>
      <c r="E20" s="572"/>
      <c r="F20" s="572"/>
      <c r="G20" s="572"/>
      <c r="H20" s="572"/>
      <c r="I20" s="572"/>
      <c r="J20" s="572"/>
      <c r="K20" s="572"/>
      <c r="L20" s="572"/>
      <c r="M20" s="572"/>
      <c r="N20" s="572"/>
      <c r="O20" s="572"/>
      <c r="P20" s="572"/>
      <c r="Q20" s="572"/>
      <c r="R20" s="572"/>
      <c r="S20" s="572"/>
      <c r="T20" s="572"/>
      <c r="U20" s="572"/>
      <c r="V20" s="572"/>
      <c r="W20" s="572"/>
      <c r="X20" s="572"/>
      <c r="Y20" s="572"/>
      <c r="Z20" s="572"/>
      <c r="AA20" s="98"/>
      <c r="AB20" s="98"/>
      <c r="AC20" s="98"/>
      <c r="AD20" s="98"/>
      <c r="AE20" s="98"/>
      <c r="AF20" s="98"/>
      <c r="AG20" s="98"/>
      <c r="AH20" s="98"/>
    </row>
    <row r="21" spans="1:34" ht="27" customHeight="1">
      <c r="A21" s="30"/>
      <c r="B21" s="802"/>
      <c r="C21" s="74"/>
      <c r="D21" s="72"/>
      <c r="E21" s="98"/>
      <c r="F21" s="98"/>
      <c r="G21" s="98"/>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row>
    <row r="22" spans="1:34" ht="27" customHeight="1">
      <c r="A22" s="30"/>
      <c r="B22" s="800">
        <v>3</v>
      </c>
      <c r="C22" s="795"/>
      <c r="D22" s="796"/>
      <c r="E22" s="97" t="str">
        <f>IFERROR(AVERAGE(E23:E29),"")</f>
        <v/>
      </c>
      <c r="F22" s="97" t="str">
        <f t="shared" ref="F22:AA22" si="4">IFERROR(AVERAGE(F23:F29),"")</f>
        <v/>
      </c>
      <c r="G22" s="97" t="str">
        <f t="shared" si="4"/>
        <v/>
      </c>
      <c r="H22" s="97" t="str">
        <f t="shared" si="4"/>
        <v/>
      </c>
      <c r="I22" s="97" t="str">
        <f t="shared" si="4"/>
        <v/>
      </c>
      <c r="J22" s="97" t="str">
        <f t="shared" si="4"/>
        <v/>
      </c>
      <c r="K22" s="97" t="str">
        <f t="shared" si="4"/>
        <v/>
      </c>
      <c r="L22" s="97" t="str">
        <f t="shared" si="4"/>
        <v/>
      </c>
      <c r="M22" s="97" t="str">
        <f t="shared" si="4"/>
        <v/>
      </c>
      <c r="N22" s="97" t="str">
        <f t="shared" si="4"/>
        <v/>
      </c>
      <c r="O22" s="97" t="str">
        <f t="shared" si="4"/>
        <v/>
      </c>
      <c r="P22" s="97" t="str">
        <f t="shared" si="4"/>
        <v/>
      </c>
      <c r="Q22" s="97" t="str">
        <f t="shared" si="4"/>
        <v/>
      </c>
      <c r="R22" s="97" t="str">
        <f t="shared" si="4"/>
        <v/>
      </c>
      <c r="S22" s="97" t="str">
        <f t="shared" si="4"/>
        <v/>
      </c>
      <c r="T22" s="97" t="str">
        <f t="shared" si="4"/>
        <v/>
      </c>
      <c r="U22" s="97" t="str">
        <f t="shared" si="4"/>
        <v/>
      </c>
      <c r="V22" s="97" t="str">
        <f t="shared" si="4"/>
        <v/>
      </c>
      <c r="W22" s="97" t="str">
        <f t="shared" si="4"/>
        <v/>
      </c>
      <c r="X22" s="97" t="str">
        <f t="shared" si="4"/>
        <v/>
      </c>
      <c r="Y22" s="97" t="str">
        <f t="shared" si="4"/>
        <v/>
      </c>
      <c r="Z22" s="97" t="str">
        <f t="shared" si="4"/>
        <v/>
      </c>
      <c r="AA22" s="97" t="str">
        <f t="shared" si="4"/>
        <v/>
      </c>
      <c r="AB22" s="97" t="str">
        <f t="shared" ref="AB22:AH22" si="5">IFERROR(AVERAGE(AB23:AB29),"")</f>
        <v/>
      </c>
      <c r="AC22" s="97" t="str">
        <f t="shared" si="5"/>
        <v/>
      </c>
      <c r="AD22" s="97" t="str">
        <f t="shared" si="5"/>
        <v/>
      </c>
      <c r="AE22" s="97" t="str">
        <f t="shared" si="5"/>
        <v/>
      </c>
      <c r="AF22" s="97" t="str">
        <f t="shared" si="5"/>
        <v/>
      </c>
      <c r="AG22" s="97" t="str">
        <f t="shared" si="5"/>
        <v/>
      </c>
      <c r="AH22" s="97" t="str">
        <f t="shared" si="5"/>
        <v/>
      </c>
    </row>
    <row r="23" spans="1:34" ht="27" customHeight="1">
      <c r="A23" s="30"/>
      <c r="B23" s="801"/>
      <c r="C23" s="570"/>
      <c r="D23" s="72"/>
      <c r="E23" s="571"/>
      <c r="F23" s="571"/>
      <c r="G23" s="571"/>
      <c r="H23" s="571"/>
      <c r="I23" s="571"/>
      <c r="J23" s="571"/>
      <c r="K23" s="571"/>
      <c r="L23" s="571"/>
      <c r="M23" s="571"/>
      <c r="N23" s="571"/>
      <c r="O23" s="571"/>
      <c r="P23" s="571"/>
      <c r="Q23" s="571"/>
      <c r="R23" s="571"/>
      <c r="S23" s="571"/>
      <c r="T23" s="571"/>
      <c r="U23" s="571"/>
      <c r="V23" s="571"/>
      <c r="W23" s="571"/>
      <c r="X23" s="571"/>
      <c r="Y23" s="571"/>
      <c r="Z23" s="354"/>
      <c r="AA23" s="354"/>
      <c r="AB23" s="98"/>
      <c r="AC23" s="98"/>
      <c r="AD23" s="98"/>
      <c r="AE23" s="98"/>
      <c r="AF23" s="98"/>
      <c r="AG23" s="98"/>
      <c r="AH23" s="98"/>
    </row>
    <row r="24" spans="1:34" ht="27" customHeight="1">
      <c r="A24" s="30"/>
      <c r="B24" s="801"/>
      <c r="C24" s="570"/>
      <c r="D24" s="72"/>
      <c r="E24" s="571"/>
      <c r="F24" s="571"/>
      <c r="G24" s="571"/>
      <c r="H24" s="571"/>
      <c r="I24" s="571"/>
      <c r="J24" s="571"/>
      <c r="K24" s="571"/>
      <c r="L24" s="571"/>
      <c r="M24" s="571"/>
      <c r="N24" s="571"/>
      <c r="O24" s="571"/>
      <c r="P24" s="571"/>
      <c r="Q24" s="571"/>
      <c r="R24" s="571"/>
      <c r="S24" s="571"/>
      <c r="T24" s="571"/>
      <c r="U24" s="571"/>
      <c r="V24" s="571"/>
      <c r="W24" s="571"/>
      <c r="X24" s="571"/>
      <c r="Y24" s="571"/>
      <c r="Z24" s="354"/>
      <c r="AA24" s="354"/>
      <c r="AB24" s="98"/>
      <c r="AC24" s="98"/>
      <c r="AD24" s="98"/>
      <c r="AE24" s="98"/>
      <c r="AF24" s="98"/>
      <c r="AG24" s="98"/>
      <c r="AH24" s="98"/>
    </row>
    <row r="25" spans="1:34" ht="27" customHeight="1">
      <c r="A25" s="30"/>
      <c r="B25" s="801"/>
      <c r="C25" s="570"/>
      <c r="D25" s="72"/>
      <c r="E25" s="571"/>
      <c r="F25" s="571"/>
      <c r="G25" s="571"/>
      <c r="H25" s="571"/>
      <c r="I25" s="571"/>
      <c r="J25" s="571"/>
      <c r="K25" s="571"/>
      <c r="L25" s="571"/>
      <c r="M25" s="571"/>
      <c r="N25" s="571"/>
      <c r="O25" s="571"/>
      <c r="P25" s="571"/>
      <c r="Q25" s="571"/>
      <c r="R25" s="571"/>
      <c r="S25" s="571"/>
      <c r="T25" s="571"/>
      <c r="U25" s="571"/>
      <c r="V25" s="571"/>
      <c r="W25" s="571"/>
      <c r="X25" s="571"/>
      <c r="Y25" s="571"/>
      <c r="Z25" s="354"/>
      <c r="AA25" s="354"/>
      <c r="AB25" s="98"/>
      <c r="AC25" s="98"/>
      <c r="AD25" s="98"/>
      <c r="AE25" s="98"/>
      <c r="AF25" s="98"/>
      <c r="AG25" s="98"/>
      <c r="AH25" s="98"/>
    </row>
    <row r="26" spans="1:34" ht="27" customHeight="1">
      <c r="A26" s="30"/>
      <c r="B26" s="801"/>
      <c r="C26" s="74"/>
      <c r="D26" s="72"/>
      <c r="E26" s="572"/>
      <c r="F26" s="572"/>
      <c r="G26" s="572"/>
      <c r="H26" s="572"/>
      <c r="I26" s="572"/>
      <c r="J26" s="572"/>
      <c r="K26" s="572"/>
      <c r="L26" s="572"/>
      <c r="M26" s="572"/>
      <c r="N26" s="572"/>
      <c r="O26" s="572"/>
      <c r="P26" s="572"/>
      <c r="Q26" s="572"/>
      <c r="R26" s="572"/>
      <c r="S26" s="572"/>
      <c r="T26" s="572"/>
      <c r="U26" s="572"/>
      <c r="V26" s="572"/>
      <c r="W26" s="572"/>
      <c r="X26" s="572"/>
      <c r="Y26" s="572"/>
      <c r="Z26" s="98"/>
      <c r="AA26" s="98"/>
      <c r="AB26" s="98"/>
      <c r="AC26" s="98"/>
      <c r="AD26" s="98"/>
      <c r="AE26" s="98"/>
      <c r="AF26" s="98"/>
      <c r="AG26" s="98"/>
      <c r="AH26" s="98"/>
    </row>
    <row r="27" spans="1:34" ht="27" customHeight="1">
      <c r="A27" s="30"/>
      <c r="B27" s="801"/>
      <c r="C27" s="74"/>
      <c r="D27" s="72"/>
      <c r="E27" s="98"/>
      <c r="F27" s="98"/>
      <c r="G27" s="98"/>
      <c r="H27" s="98"/>
      <c r="I27" s="98"/>
      <c r="J27" s="98"/>
      <c r="K27" s="98"/>
      <c r="L27" s="98"/>
      <c r="M27" s="98"/>
      <c r="N27" s="98"/>
      <c r="O27" s="98"/>
      <c r="P27" s="98"/>
      <c r="Q27" s="98"/>
      <c r="R27" s="98"/>
      <c r="S27" s="98"/>
      <c r="T27" s="98"/>
      <c r="U27" s="98"/>
      <c r="V27" s="98"/>
      <c r="W27" s="98"/>
      <c r="X27" s="98"/>
      <c r="Y27" s="98"/>
      <c r="Z27" s="98"/>
      <c r="AA27" s="98"/>
      <c r="AB27" s="98"/>
      <c r="AC27" s="98"/>
      <c r="AD27" s="98"/>
      <c r="AE27" s="98"/>
      <c r="AF27" s="98"/>
      <c r="AG27" s="98"/>
      <c r="AH27" s="98"/>
    </row>
    <row r="28" spans="1:34" ht="27" customHeight="1">
      <c r="A28" s="30"/>
      <c r="B28" s="801"/>
      <c r="C28" s="74"/>
      <c r="D28" s="72"/>
      <c r="E28" s="98"/>
      <c r="F28" s="98"/>
      <c r="G28" s="98"/>
      <c r="H28" s="98"/>
      <c r="I28" s="98"/>
      <c r="J28" s="98"/>
      <c r="K28" s="98"/>
      <c r="L28" s="98"/>
      <c r="M28" s="98"/>
      <c r="N28" s="98"/>
      <c r="O28" s="98"/>
      <c r="P28" s="98"/>
      <c r="Q28" s="98"/>
      <c r="R28" s="98"/>
      <c r="S28" s="98"/>
      <c r="T28" s="98"/>
      <c r="U28" s="98"/>
      <c r="V28" s="98"/>
      <c r="W28" s="98"/>
      <c r="X28" s="98"/>
      <c r="Y28" s="98"/>
      <c r="Z28" s="98"/>
      <c r="AA28" s="98"/>
      <c r="AB28" s="98"/>
      <c r="AC28" s="98"/>
      <c r="AD28" s="98"/>
      <c r="AE28" s="98"/>
      <c r="AF28" s="98"/>
      <c r="AG28" s="98"/>
      <c r="AH28" s="98"/>
    </row>
    <row r="29" spans="1:34" ht="27" customHeight="1">
      <c r="A29" s="30"/>
      <c r="B29" s="802"/>
      <c r="C29" s="74"/>
      <c r="D29" s="72"/>
      <c r="E29" s="98"/>
      <c r="F29" s="98"/>
      <c r="G29" s="98"/>
      <c r="H29" s="98"/>
      <c r="I29" s="98"/>
      <c r="J29" s="98"/>
      <c r="K29" s="98"/>
      <c r="L29" s="98"/>
      <c r="M29" s="98"/>
      <c r="N29" s="98"/>
      <c r="O29" s="98"/>
      <c r="P29" s="98"/>
      <c r="Q29" s="98"/>
      <c r="R29" s="98"/>
      <c r="S29" s="98"/>
      <c r="T29" s="98"/>
      <c r="U29" s="98"/>
      <c r="V29" s="98"/>
      <c r="W29" s="98"/>
      <c r="X29" s="98"/>
      <c r="Y29" s="98"/>
      <c r="Z29" s="98"/>
      <c r="AA29" s="98"/>
      <c r="AB29" s="98"/>
      <c r="AC29" s="98"/>
      <c r="AD29" s="98"/>
      <c r="AE29" s="98"/>
      <c r="AF29" s="98"/>
      <c r="AG29" s="98"/>
      <c r="AH29" s="98"/>
    </row>
    <row r="30" spans="1:34" ht="27" customHeight="1">
      <c r="A30" s="30"/>
      <c r="B30" s="800">
        <v>4</v>
      </c>
      <c r="C30" s="795"/>
      <c r="D30" s="796"/>
      <c r="E30" s="97" t="str">
        <f>IFERROR(AVERAGE(E31:E37),"")</f>
        <v/>
      </c>
      <c r="F30" s="97" t="str">
        <f t="shared" ref="F30:AH30" si="6">IFERROR(AVERAGE(F31:F37),"")</f>
        <v/>
      </c>
      <c r="G30" s="97" t="str">
        <f t="shared" si="6"/>
        <v/>
      </c>
      <c r="H30" s="97" t="str">
        <f t="shared" si="6"/>
        <v/>
      </c>
      <c r="I30" s="97" t="str">
        <f t="shared" si="6"/>
        <v/>
      </c>
      <c r="J30" s="97" t="str">
        <f t="shared" si="6"/>
        <v/>
      </c>
      <c r="K30" s="97" t="str">
        <f t="shared" si="6"/>
        <v/>
      </c>
      <c r="L30" s="97" t="str">
        <f t="shared" si="6"/>
        <v/>
      </c>
      <c r="M30" s="97" t="str">
        <f t="shared" si="6"/>
        <v/>
      </c>
      <c r="N30" s="97" t="str">
        <f t="shared" si="6"/>
        <v/>
      </c>
      <c r="O30" s="97" t="str">
        <f t="shared" si="6"/>
        <v/>
      </c>
      <c r="P30" s="97" t="str">
        <f t="shared" si="6"/>
        <v/>
      </c>
      <c r="Q30" s="97" t="str">
        <f t="shared" si="6"/>
        <v/>
      </c>
      <c r="R30" s="97" t="str">
        <f t="shared" si="6"/>
        <v/>
      </c>
      <c r="S30" s="97" t="str">
        <f t="shared" si="6"/>
        <v/>
      </c>
      <c r="T30" s="97" t="str">
        <f t="shared" si="6"/>
        <v/>
      </c>
      <c r="U30" s="97" t="str">
        <f t="shared" si="6"/>
        <v/>
      </c>
      <c r="V30" s="97" t="str">
        <f t="shared" si="6"/>
        <v/>
      </c>
      <c r="W30" s="97" t="str">
        <f t="shared" si="6"/>
        <v/>
      </c>
      <c r="X30" s="97" t="str">
        <f t="shared" si="6"/>
        <v/>
      </c>
      <c r="Y30" s="97" t="str">
        <f t="shared" si="6"/>
        <v/>
      </c>
      <c r="Z30" s="97" t="str">
        <f t="shared" si="6"/>
        <v/>
      </c>
      <c r="AA30" s="97" t="str">
        <f t="shared" si="6"/>
        <v/>
      </c>
      <c r="AB30" s="97" t="str">
        <f t="shared" si="6"/>
        <v/>
      </c>
      <c r="AC30" s="97" t="str">
        <f t="shared" si="6"/>
        <v/>
      </c>
      <c r="AD30" s="97" t="str">
        <f t="shared" si="6"/>
        <v/>
      </c>
      <c r="AE30" s="97" t="str">
        <f t="shared" si="6"/>
        <v/>
      </c>
      <c r="AF30" s="97" t="str">
        <f t="shared" si="6"/>
        <v/>
      </c>
      <c r="AG30" s="97" t="str">
        <f t="shared" si="6"/>
        <v/>
      </c>
      <c r="AH30" s="97" t="str">
        <f t="shared" si="6"/>
        <v/>
      </c>
    </row>
    <row r="31" spans="1:34" ht="27" customHeight="1">
      <c r="A31" s="30"/>
      <c r="B31" s="801"/>
      <c r="C31" s="570"/>
      <c r="D31" s="72"/>
      <c r="E31" s="98"/>
      <c r="F31" s="98"/>
      <c r="G31" s="98"/>
      <c r="H31" s="98"/>
      <c r="I31" s="98"/>
      <c r="J31" s="98"/>
      <c r="K31" s="98"/>
      <c r="L31" s="98"/>
      <c r="M31" s="98"/>
      <c r="N31" s="98"/>
      <c r="O31" s="98"/>
      <c r="P31" s="98"/>
      <c r="Q31" s="98"/>
      <c r="R31" s="98"/>
      <c r="S31" s="98"/>
      <c r="T31" s="98"/>
      <c r="U31" s="98"/>
      <c r="V31" s="98"/>
      <c r="W31" s="98"/>
      <c r="X31" s="98"/>
      <c r="Y31" s="98"/>
      <c r="Z31" s="98"/>
      <c r="AA31" s="98"/>
      <c r="AB31" s="98"/>
      <c r="AC31" s="98"/>
      <c r="AD31" s="98"/>
      <c r="AE31" s="98"/>
      <c r="AF31" s="98"/>
      <c r="AG31" s="98"/>
      <c r="AH31" s="98"/>
    </row>
    <row r="32" spans="1:34" ht="27" customHeight="1">
      <c r="A32" s="30"/>
      <c r="B32" s="801"/>
      <c r="C32" s="570"/>
      <c r="D32" s="72"/>
      <c r="E32" s="98"/>
      <c r="F32" s="98"/>
      <c r="G32" s="98"/>
      <c r="H32" s="98"/>
      <c r="I32" s="98"/>
      <c r="J32" s="98"/>
      <c r="K32" s="98"/>
      <c r="L32" s="98"/>
      <c r="M32" s="98"/>
      <c r="N32" s="98"/>
      <c r="O32" s="98"/>
      <c r="P32" s="98"/>
      <c r="Q32" s="98"/>
      <c r="R32" s="98"/>
      <c r="S32" s="98"/>
      <c r="T32" s="98"/>
      <c r="U32" s="98"/>
      <c r="V32" s="98"/>
      <c r="W32" s="98"/>
      <c r="X32" s="98"/>
      <c r="Y32" s="98"/>
      <c r="Z32" s="98"/>
      <c r="AA32" s="98"/>
      <c r="AB32" s="98"/>
      <c r="AC32" s="98"/>
      <c r="AD32" s="98"/>
      <c r="AE32" s="98"/>
      <c r="AF32" s="98"/>
      <c r="AG32" s="98"/>
      <c r="AH32" s="98"/>
    </row>
    <row r="33" spans="1:34" ht="27" customHeight="1">
      <c r="A33" s="30"/>
      <c r="B33" s="801"/>
      <c r="C33" s="74"/>
      <c r="D33" s="72"/>
      <c r="E33" s="98"/>
      <c r="F33" s="98"/>
      <c r="G33" s="98"/>
      <c r="H33" s="98"/>
      <c r="I33" s="98"/>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row>
    <row r="34" spans="1:34" ht="27" customHeight="1">
      <c r="A34" s="30"/>
      <c r="B34" s="801"/>
      <c r="C34" s="74"/>
      <c r="D34" s="72"/>
      <c r="E34" s="98"/>
      <c r="F34" s="98"/>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row>
    <row r="35" spans="1:34" ht="27" customHeight="1">
      <c r="A35" s="30"/>
      <c r="B35" s="801"/>
      <c r="C35" s="74"/>
      <c r="D35" s="72"/>
      <c r="E35" s="98"/>
      <c r="F35" s="98"/>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row>
    <row r="36" spans="1:34" ht="27" customHeight="1">
      <c r="A36" s="30"/>
      <c r="B36" s="801"/>
      <c r="C36" s="74"/>
      <c r="D36" s="72"/>
      <c r="E36" s="98"/>
      <c r="F36" s="98"/>
      <c r="G36" s="98"/>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row>
    <row r="37" spans="1:34" ht="27" customHeight="1">
      <c r="A37" s="30"/>
      <c r="B37" s="802"/>
      <c r="C37" s="74"/>
      <c r="D37" s="72"/>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row>
    <row r="38" spans="1:34" ht="27" customHeight="1">
      <c r="A38" s="30"/>
      <c r="B38" s="800">
        <v>5</v>
      </c>
      <c r="C38" s="795"/>
      <c r="D38" s="796"/>
      <c r="E38" s="97" t="str">
        <f>IFERROR(AVERAGE(E39:E45),"")</f>
        <v/>
      </c>
      <c r="F38" s="97" t="str">
        <f t="shared" ref="F38:AH38" si="7">IFERROR(AVERAGE(F39:F45),"")</f>
        <v/>
      </c>
      <c r="G38" s="97" t="str">
        <f t="shared" si="7"/>
        <v/>
      </c>
      <c r="H38" s="97" t="str">
        <f t="shared" si="7"/>
        <v/>
      </c>
      <c r="I38" s="97" t="str">
        <f t="shared" si="7"/>
        <v/>
      </c>
      <c r="J38" s="97" t="str">
        <f t="shared" si="7"/>
        <v/>
      </c>
      <c r="K38" s="97" t="str">
        <f t="shared" si="7"/>
        <v/>
      </c>
      <c r="L38" s="97" t="str">
        <f t="shared" si="7"/>
        <v/>
      </c>
      <c r="M38" s="97" t="str">
        <f t="shared" si="7"/>
        <v/>
      </c>
      <c r="N38" s="97" t="str">
        <f t="shared" si="7"/>
        <v/>
      </c>
      <c r="O38" s="97" t="str">
        <f t="shared" si="7"/>
        <v/>
      </c>
      <c r="P38" s="97" t="str">
        <f t="shared" si="7"/>
        <v/>
      </c>
      <c r="Q38" s="97" t="str">
        <f t="shared" si="7"/>
        <v/>
      </c>
      <c r="R38" s="97" t="str">
        <f t="shared" si="7"/>
        <v/>
      </c>
      <c r="S38" s="97" t="str">
        <f t="shared" si="7"/>
        <v/>
      </c>
      <c r="T38" s="97" t="str">
        <f t="shared" si="7"/>
        <v/>
      </c>
      <c r="U38" s="97" t="str">
        <f t="shared" si="7"/>
        <v/>
      </c>
      <c r="V38" s="97" t="str">
        <f t="shared" si="7"/>
        <v/>
      </c>
      <c r="W38" s="97" t="str">
        <f t="shared" si="7"/>
        <v/>
      </c>
      <c r="X38" s="97" t="str">
        <f t="shared" si="7"/>
        <v/>
      </c>
      <c r="Y38" s="97" t="str">
        <f t="shared" si="7"/>
        <v/>
      </c>
      <c r="Z38" s="97" t="str">
        <f t="shared" si="7"/>
        <v/>
      </c>
      <c r="AA38" s="97" t="str">
        <f t="shared" si="7"/>
        <v/>
      </c>
      <c r="AB38" s="97" t="str">
        <f t="shared" si="7"/>
        <v/>
      </c>
      <c r="AC38" s="97" t="str">
        <f t="shared" si="7"/>
        <v/>
      </c>
      <c r="AD38" s="97" t="str">
        <f t="shared" si="7"/>
        <v/>
      </c>
      <c r="AE38" s="97" t="str">
        <f t="shared" si="7"/>
        <v/>
      </c>
      <c r="AF38" s="97" t="str">
        <f t="shared" si="7"/>
        <v/>
      </c>
      <c r="AG38" s="97" t="str">
        <f t="shared" si="7"/>
        <v/>
      </c>
      <c r="AH38" s="97" t="str">
        <f t="shared" si="7"/>
        <v/>
      </c>
    </row>
    <row r="39" spans="1:34" ht="27" customHeight="1">
      <c r="A39" s="30"/>
      <c r="B39" s="801"/>
      <c r="C39" s="74"/>
      <c r="D39" s="72"/>
      <c r="E39" s="98"/>
      <c r="F39" s="98"/>
      <c r="G39" s="98"/>
      <c r="H39" s="98"/>
      <c r="I39" s="98"/>
      <c r="J39" s="98"/>
      <c r="K39" s="98"/>
      <c r="L39" s="98"/>
      <c r="M39" s="98"/>
      <c r="N39" s="98"/>
      <c r="O39" s="98"/>
      <c r="P39" s="98"/>
      <c r="Q39" s="98"/>
      <c r="R39" s="98"/>
      <c r="S39" s="98"/>
      <c r="T39" s="98"/>
      <c r="U39" s="98"/>
      <c r="V39" s="98"/>
      <c r="W39" s="98"/>
      <c r="X39" s="98"/>
      <c r="Y39" s="98"/>
      <c r="Z39" s="98"/>
      <c r="AA39" s="98"/>
      <c r="AB39" s="98"/>
      <c r="AC39" s="98"/>
      <c r="AD39" s="98"/>
      <c r="AE39" s="98"/>
      <c r="AF39" s="98"/>
      <c r="AG39" s="98"/>
      <c r="AH39" s="98"/>
    </row>
    <row r="40" spans="1:34" ht="27" customHeight="1">
      <c r="A40" s="30"/>
      <c r="B40" s="801"/>
      <c r="C40" s="74"/>
      <c r="D40" s="72"/>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row>
    <row r="41" spans="1:34" ht="27" customHeight="1">
      <c r="A41" s="30"/>
      <c r="B41" s="801"/>
      <c r="C41" s="74"/>
      <c r="D41" s="72"/>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row>
    <row r="42" spans="1:34" ht="27" customHeight="1">
      <c r="A42" s="30"/>
      <c r="B42" s="801"/>
      <c r="C42" s="74"/>
      <c r="D42" s="72"/>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row>
    <row r="43" spans="1:34" ht="27" customHeight="1">
      <c r="A43" s="30"/>
      <c r="B43" s="801"/>
      <c r="C43" s="74"/>
      <c r="D43" s="72"/>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row>
    <row r="44" spans="1:34" ht="27" customHeight="1">
      <c r="A44" s="30"/>
      <c r="B44" s="801"/>
      <c r="C44" s="74"/>
      <c r="D44" s="72"/>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row>
    <row r="45" spans="1:34" ht="27" customHeight="1">
      <c r="A45" s="30"/>
      <c r="B45" s="802"/>
      <c r="C45" s="74"/>
      <c r="D45" s="72"/>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row>
    <row r="46" spans="1:34" ht="27" customHeight="1">
      <c r="A46" s="30"/>
      <c r="B46" s="794">
        <v>6</v>
      </c>
      <c r="C46" s="795"/>
      <c r="D46" s="796"/>
      <c r="E46" s="97" t="str">
        <f>IFERROR(AVERAGE(E47:E53),"")</f>
        <v/>
      </c>
      <c r="F46" s="97" t="str">
        <f t="shared" ref="F46:AH46" si="8">IFERROR(AVERAGE(F47:F53),"")</f>
        <v/>
      </c>
      <c r="G46" s="97" t="str">
        <f t="shared" si="8"/>
        <v/>
      </c>
      <c r="H46" s="97" t="str">
        <f t="shared" si="8"/>
        <v/>
      </c>
      <c r="I46" s="97" t="str">
        <f t="shared" si="8"/>
        <v/>
      </c>
      <c r="J46" s="97" t="str">
        <f t="shared" si="8"/>
        <v/>
      </c>
      <c r="K46" s="97" t="str">
        <f t="shared" si="8"/>
        <v/>
      </c>
      <c r="L46" s="97" t="str">
        <f t="shared" si="8"/>
        <v/>
      </c>
      <c r="M46" s="97" t="str">
        <f t="shared" si="8"/>
        <v/>
      </c>
      <c r="N46" s="97" t="str">
        <f t="shared" si="8"/>
        <v/>
      </c>
      <c r="O46" s="97" t="str">
        <f t="shared" si="8"/>
        <v/>
      </c>
      <c r="P46" s="97" t="str">
        <f t="shared" si="8"/>
        <v/>
      </c>
      <c r="Q46" s="97" t="str">
        <f t="shared" si="8"/>
        <v/>
      </c>
      <c r="R46" s="97" t="str">
        <f t="shared" si="8"/>
        <v/>
      </c>
      <c r="S46" s="97" t="str">
        <f t="shared" si="8"/>
        <v/>
      </c>
      <c r="T46" s="97" t="str">
        <f t="shared" si="8"/>
        <v/>
      </c>
      <c r="U46" s="97" t="str">
        <f t="shared" si="8"/>
        <v/>
      </c>
      <c r="V46" s="97" t="str">
        <f t="shared" si="8"/>
        <v/>
      </c>
      <c r="W46" s="97" t="str">
        <f t="shared" si="8"/>
        <v/>
      </c>
      <c r="X46" s="97" t="str">
        <f t="shared" si="8"/>
        <v/>
      </c>
      <c r="Y46" s="97" t="str">
        <f t="shared" si="8"/>
        <v/>
      </c>
      <c r="Z46" s="97" t="str">
        <f t="shared" si="8"/>
        <v/>
      </c>
      <c r="AA46" s="97" t="str">
        <f t="shared" si="8"/>
        <v/>
      </c>
      <c r="AB46" s="97" t="str">
        <f t="shared" si="8"/>
        <v/>
      </c>
      <c r="AC46" s="97" t="str">
        <f t="shared" si="8"/>
        <v/>
      </c>
      <c r="AD46" s="97" t="str">
        <f t="shared" si="8"/>
        <v/>
      </c>
      <c r="AE46" s="97" t="str">
        <f t="shared" si="8"/>
        <v/>
      </c>
      <c r="AF46" s="97" t="str">
        <f t="shared" si="8"/>
        <v/>
      </c>
      <c r="AG46" s="97" t="str">
        <f t="shared" si="8"/>
        <v/>
      </c>
      <c r="AH46" s="97" t="str">
        <f t="shared" si="8"/>
        <v/>
      </c>
    </row>
    <row r="47" spans="1:34" ht="27" customHeight="1">
      <c r="A47" s="30"/>
      <c r="B47" s="794"/>
      <c r="C47" s="74"/>
      <c r="D47" s="72"/>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row>
    <row r="48" spans="1:34" ht="27" customHeight="1">
      <c r="A48" s="30"/>
      <c r="B48" s="794"/>
      <c r="C48" s="74"/>
      <c r="D48" s="72"/>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row>
    <row r="49" spans="1:34" ht="27" customHeight="1">
      <c r="A49" s="30"/>
      <c r="B49" s="794"/>
      <c r="C49" s="74"/>
      <c r="D49" s="72"/>
      <c r="E49" s="98"/>
      <c r="F49" s="98"/>
      <c r="G49" s="98"/>
      <c r="H49" s="98"/>
      <c r="I49" s="98"/>
      <c r="J49" s="98"/>
      <c r="K49" s="98"/>
      <c r="L49" s="98"/>
      <c r="M49" s="98"/>
      <c r="N49" s="98"/>
      <c r="O49" s="98"/>
      <c r="P49" s="98"/>
      <c r="Q49" s="98"/>
      <c r="R49" s="98"/>
      <c r="S49" s="98"/>
      <c r="T49" s="98"/>
      <c r="U49" s="98"/>
      <c r="V49" s="98"/>
      <c r="W49" s="98"/>
      <c r="X49" s="98"/>
      <c r="Y49" s="98"/>
      <c r="Z49" s="98"/>
      <c r="AA49" s="98"/>
      <c r="AB49" s="98"/>
      <c r="AC49" s="98"/>
      <c r="AD49" s="98"/>
      <c r="AE49" s="98"/>
      <c r="AF49" s="98"/>
      <c r="AG49" s="98"/>
      <c r="AH49" s="98"/>
    </row>
    <row r="50" spans="1:34" ht="27" customHeight="1">
      <c r="A50" s="30"/>
      <c r="B50" s="794"/>
      <c r="C50" s="74"/>
      <c r="D50" s="72"/>
      <c r="E50" s="98"/>
      <c r="F50" s="98"/>
      <c r="G50" s="98"/>
      <c r="H50" s="98"/>
      <c r="I50" s="98"/>
      <c r="J50" s="98"/>
      <c r="K50" s="98"/>
      <c r="L50" s="98"/>
      <c r="M50" s="98"/>
      <c r="N50" s="98"/>
      <c r="O50" s="98"/>
      <c r="P50" s="98"/>
      <c r="Q50" s="98"/>
      <c r="R50" s="98"/>
      <c r="S50" s="98"/>
      <c r="T50" s="98"/>
      <c r="U50" s="98"/>
      <c r="V50" s="98"/>
      <c r="W50" s="98"/>
      <c r="X50" s="98"/>
      <c r="Y50" s="98"/>
      <c r="Z50" s="98"/>
      <c r="AA50" s="98"/>
      <c r="AB50" s="98"/>
      <c r="AC50" s="98"/>
      <c r="AD50" s="98"/>
      <c r="AE50" s="98"/>
      <c r="AF50" s="98"/>
      <c r="AG50" s="98"/>
      <c r="AH50" s="98"/>
    </row>
    <row r="51" spans="1:34" ht="27" customHeight="1">
      <c r="A51" s="30"/>
      <c r="B51" s="794"/>
      <c r="C51" s="74"/>
      <c r="D51" s="72"/>
      <c r="E51" s="98"/>
      <c r="F51" s="98"/>
      <c r="G51" s="98"/>
      <c r="H51" s="98"/>
      <c r="I51" s="98"/>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row>
    <row r="52" spans="1:34" ht="27" customHeight="1">
      <c r="A52" s="30"/>
      <c r="B52" s="794"/>
      <c r="C52" s="74"/>
      <c r="D52" s="72"/>
      <c r="E52" s="98"/>
      <c r="F52" s="98"/>
      <c r="G52" s="98"/>
      <c r="H52" s="98"/>
      <c r="I52" s="98"/>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row>
    <row r="53" spans="1:34" ht="27" customHeight="1">
      <c r="A53" s="30"/>
      <c r="B53" s="794"/>
      <c r="C53" s="74"/>
      <c r="D53" s="72"/>
      <c r="E53" s="98"/>
      <c r="F53" s="98"/>
      <c r="G53" s="98"/>
      <c r="H53" s="98"/>
      <c r="I53" s="98"/>
      <c r="J53" s="98"/>
      <c r="K53" s="98"/>
      <c r="L53" s="98"/>
      <c r="M53" s="98"/>
      <c r="N53" s="98"/>
      <c r="O53" s="98"/>
      <c r="P53" s="98"/>
      <c r="Q53" s="98"/>
      <c r="R53" s="98"/>
      <c r="S53" s="98"/>
      <c r="T53" s="98"/>
      <c r="U53" s="98"/>
      <c r="V53" s="98"/>
      <c r="W53" s="98"/>
      <c r="X53" s="98"/>
      <c r="Y53" s="98"/>
      <c r="Z53" s="98"/>
      <c r="AA53" s="98"/>
      <c r="AB53" s="98"/>
      <c r="AC53" s="98"/>
      <c r="AD53" s="98"/>
      <c r="AE53" s="98"/>
      <c r="AF53" s="98"/>
      <c r="AG53" s="98"/>
      <c r="AH53" s="98"/>
    </row>
    <row r="54" spans="1:34" ht="27" customHeight="1">
      <c r="A54" s="30"/>
      <c r="B54" s="800">
        <v>7</v>
      </c>
      <c r="C54" s="795"/>
      <c r="D54" s="796"/>
      <c r="E54" s="97" t="str">
        <f>IFERROR(AVERAGE(E55:E61),"")</f>
        <v/>
      </c>
      <c r="F54" s="97" t="str">
        <f t="shared" ref="F54:AH54" si="9">IFERROR(AVERAGE(F55:F61),"")</f>
        <v/>
      </c>
      <c r="G54" s="97" t="str">
        <f t="shared" si="9"/>
        <v/>
      </c>
      <c r="H54" s="97" t="str">
        <f t="shared" si="9"/>
        <v/>
      </c>
      <c r="I54" s="97" t="str">
        <f t="shared" si="9"/>
        <v/>
      </c>
      <c r="J54" s="97" t="str">
        <f t="shared" si="9"/>
        <v/>
      </c>
      <c r="K54" s="97" t="str">
        <f t="shared" si="9"/>
        <v/>
      </c>
      <c r="L54" s="97" t="str">
        <f t="shared" si="9"/>
        <v/>
      </c>
      <c r="M54" s="97" t="str">
        <f t="shared" si="9"/>
        <v/>
      </c>
      <c r="N54" s="97" t="str">
        <f t="shared" si="9"/>
        <v/>
      </c>
      <c r="O54" s="97" t="str">
        <f t="shared" si="9"/>
        <v/>
      </c>
      <c r="P54" s="97" t="str">
        <f t="shared" si="9"/>
        <v/>
      </c>
      <c r="Q54" s="97" t="str">
        <f t="shared" si="9"/>
        <v/>
      </c>
      <c r="R54" s="97" t="str">
        <f t="shared" si="9"/>
        <v/>
      </c>
      <c r="S54" s="97" t="str">
        <f t="shared" si="9"/>
        <v/>
      </c>
      <c r="T54" s="97" t="str">
        <f t="shared" si="9"/>
        <v/>
      </c>
      <c r="U54" s="97" t="str">
        <f t="shared" si="9"/>
        <v/>
      </c>
      <c r="V54" s="97" t="str">
        <f t="shared" si="9"/>
        <v/>
      </c>
      <c r="W54" s="97" t="str">
        <f t="shared" si="9"/>
        <v/>
      </c>
      <c r="X54" s="97" t="str">
        <f t="shared" si="9"/>
        <v/>
      </c>
      <c r="Y54" s="97" t="str">
        <f t="shared" si="9"/>
        <v/>
      </c>
      <c r="Z54" s="97" t="str">
        <f t="shared" si="9"/>
        <v/>
      </c>
      <c r="AA54" s="97" t="str">
        <f t="shared" si="9"/>
        <v/>
      </c>
      <c r="AB54" s="97" t="str">
        <f t="shared" si="9"/>
        <v/>
      </c>
      <c r="AC54" s="97" t="str">
        <f t="shared" si="9"/>
        <v/>
      </c>
      <c r="AD54" s="97" t="str">
        <f t="shared" si="9"/>
        <v/>
      </c>
      <c r="AE54" s="97" t="str">
        <f t="shared" si="9"/>
        <v/>
      </c>
      <c r="AF54" s="97" t="str">
        <f t="shared" si="9"/>
        <v/>
      </c>
      <c r="AG54" s="97" t="str">
        <f t="shared" si="9"/>
        <v/>
      </c>
      <c r="AH54" s="97" t="str">
        <f t="shared" si="9"/>
        <v/>
      </c>
    </row>
    <row r="55" spans="1:34" ht="27" customHeight="1">
      <c r="A55" s="30"/>
      <c r="B55" s="801"/>
      <c r="C55" s="74"/>
      <c r="D55" s="72"/>
      <c r="E55" s="98"/>
      <c r="F55" s="98"/>
      <c r="G55" s="98"/>
      <c r="H55" s="98"/>
      <c r="I55" s="98"/>
      <c r="J55" s="98"/>
      <c r="K55" s="98"/>
      <c r="L55" s="98"/>
      <c r="M55" s="98"/>
      <c r="N55" s="98"/>
      <c r="O55" s="98"/>
      <c r="P55" s="98"/>
      <c r="Q55" s="98"/>
      <c r="R55" s="98"/>
      <c r="S55" s="98"/>
      <c r="T55" s="98"/>
      <c r="U55" s="98"/>
      <c r="V55" s="98"/>
      <c r="W55" s="98"/>
      <c r="X55" s="98"/>
      <c r="Y55" s="98"/>
      <c r="Z55" s="98"/>
      <c r="AA55" s="98"/>
      <c r="AB55" s="98"/>
      <c r="AC55" s="98"/>
      <c r="AD55" s="98"/>
      <c r="AE55" s="98"/>
      <c r="AF55" s="98"/>
      <c r="AG55" s="98"/>
      <c r="AH55" s="98"/>
    </row>
    <row r="56" spans="1:34" ht="27" customHeight="1">
      <c r="A56" s="30"/>
      <c r="B56" s="801"/>
      <c r="C56" s="74"/>
      <c r="D56" s="72"/>
      <c r="E56" s="98"/>
      <c r="F56" s="98"/>
      <c r="G56" s="98"/>
      <c r="H56" s="98"/>
      <c r="I56" s="98"/>
      <c r="J56" s="98"/>
      <c r="K56" s="98"/>
      <c r="L56" s="98"/>
      <c r="M56" s="98"/>
      <c r="N56" s="98"/>
      <c r="O56" s="98"/>
      <c r="P56" s="98"/>
      <c r="Q56" s="98"/>
      <c r="R56" s="98"/>
      <c r="S56" s="98"/>
      <c r="T56" s="98"/>
      <c r="U56" s="98"/>
      <c r="V56" s="98"/>
      <c r="W56" s="98"/>
      <c r="X56" s="98"/>
      <c r="Y56" s="98"/>
      <c r="Z56" s="98"/>
      <c r="AA56" s="98"/>
      <c r="AB56" s="98"/>
      <c r="AC56" s="98"/>
      <c r="AD56" s="98"/>
      <c r="AE56" s="98"/>
      <c r="AF56" s="98"/>
      <c r="AG56" s="98"/>
      <c r="AH56" s="98"/>
    </row>
    <row r="57" spans="1:34" ht="27" customHeight="1">
      <c r="A57" s="30"/>
      <c r="B57" s="801"/>
      <c r="C57" s="74"/>
      <c r="D57" s="72"/>
      <c r="E57" s="98"/>
      <c r="F57" s="98"/>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row>
    <row r="58" spans="1:34" ht="27" customHeight="1">
      <c r="A58" s="30"/>
      <c r="B58" s="801"/>
      <c r="C58" s="74"/>
      <c r="D58" s="72"/>
      <c r="E58" s="98"/>
      <c r="F58" s="98"/>
      <c r="G58" s="98"/>
      <c r="H58" s="98"/>
      <c r="I58" s="98"/>
      <c r="J58" s="98"/>
      <c r="K58" s="98"/>
      <c r="L58" s="98"/>
      <c r="M58" s="98"/>
      <c r="N58" s="98"/>
      <c r="O58" s="98"/>
      <c r="P58" s="98"/>
      <c r="Q58" s="98"/>
      <c r="R58" s="98"/>
      <c r="S58" s="98"/>
      <c r="T58" s="98"/>
      <c r="U58" s="98"/>
      <c r="V58" s="98"/>
      <c r="W58" s="98"/>
      <c r="X58" s="98"/>
      <c r="Y58" s="98"/>
      <c r="Z58" s="98"/>
      <c r="AA58" s="98"/>
      <c r="AB58" s="98"/>
      <c r="AC58" s="98"/>
      <c r="AD58" s="98"/>
      <c r="AE58" s="98"/>
      <c r="AF58" s="98"/>
      <c r="AG58" s="98"/>
      <c r="AH58" s="98"/>
    </row>
    <row r="59" spans="1:34" ht="27" customHeight="1">
      <c r="A59" s="30"/>
      <c r="B59" s="801"/>
      <c r="C59" s="74"/>
      <c r="D59" s="72"/>
      <c r="E59" s="98"/>
      <c r="F59" s="98"/>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F59" s="98"/>
      <c r="AG59" s="98"/>
      <c r="AH59" s="98"/>
    </row>
    <row r="60" spans="1:34" ht="27" customHeight="1">
      <c r="A60" s="30"/>
      <c r="B60" s="801"/>
      <c r="C60" s="74"/>
      <c r="D60" s="72"/>
      <c r="E60" s="98"/>
      <c r="F60" s="98"/>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F60" s="98"/>
      <c r="AG60" s="98"/>
      <c r="AH60" s="98"/>
    </row>
    <row r="61" spans="1:34" ht="27" customHeight="1">
      <c r="A61" s="30"/>
      <c r="B61" s="802"/>
      <c r="C61" s="74"/>
      <c r="D61" s="72"/>
      <c r="E61" s="98"/>
      <c r="F61" s="98"/>
      <c r="G61" s="98"/>
      <c r="H61" s="98"/>
      <c r="I61" s="98"/>
      <c r="J61" s="98"/>
      <c r="K61" s="98"/>
      <c r="L61" s="98"/>
      <c r="M61" s="98"/>
      <c r="N61" s="98"/>
      <c r="O61" s="98"/>
      <c r="P61" s="98"/>
      <c r="Q61" s="98"/>
      <c r="R61" s="98"/>
      <c r="S61" s="98"/>
      <c r="T61" s="98"/>
      <c r="U61" s="98"/>
      <c r="V61" s="98"/>
      <c r="W61" s="98"/>
      <c r="X61" s="98"/>
      <c r="Y61" s="98"/>
      <c r="Z61" s="98"/>
      <c r="AA61" s="98"/>
      <c r="AB61" s="98"/>
      <c r="AC61" s="98"/>
      <c r="AD61" s="98"/>
      <c r="AE61" s="98"/>
      <c r="AF61" s="98"/>
      <c r="AG61" s="98"/>
      <c r="AH61" s="98"/>
    </row>
    <row r="62" spans="1:34" ht="27" customHeight="1">
      <c r="A62" s="30"/>
      <c r="B62" s="800">
        <v>8</v>
      </c>
      <c r="C62" s="795"/>
      <c r="D62" s="796"/>
      <c r="E62" s="97" t="str">
        <f>IFERROR(AVERAGE(E63:E69),"")</f>
        <v/>
      </c>
      <c r="F62" s="97" t="str">
        <f t="shared" ref="F62:AH62" si="10">IFERROR(AVERAGE(F63:F69),"")</f>
        <v/>
      </c>
      <c r="G62" s="97" t="str">
        <f t="shared" si="10"/>
        <v/>
      </c>
      <c r="H62" s="97" t="str">
        <f t="shared" si="10"/>
        <v/>
      </c>
      <c r="I62" s="97" t="str">
        <f t="shared" si="10"/>
        <v/>
      </c>
      <c r="J62" s="97" t="str">
        <f t="shared" si="10"/>
        <v/>
      </c>
      <c r="K62" s="97" t="str">
        <f t="shared" si="10"/>
        <v/>
      </c>
      <c r="L62" s="97" t="str">
        <f t="shared" si="10"/>
        <v/>
      </c>
      <c r="M62" s="97" t="str">
        <f t="shared" si="10"/>
        <v/>
      </c>
      <c r="N62" s="97" t="str">
        <f t="shared" si="10"/>
        <v/>
      </c>
      <c r="O62" s="97" t="str">
        <f t="shared" si="10"/>
        <v/>
      </c>
      <c r="P62" s="97" t="str">
        <f t="shared" si="10"/>
        <v/>
      </c>
      <c r="Q62" s="97" t="str">
        <f t="shared" si="10"/>
        <v/>
      </c>
      <c r="R62" s="97" t="str">
        <f t="shared" si="10"/>
        <v/>
      </c>
      <c r="S62" s="97" t="str">
        <f t="shared" si="10"/>
        <v/>
      </c>
      <c r="T62" s="97" t="str">
        <f t="shared" si="10"/>
        <v/>
      </c>
      <c r="U62" s="97" t="str">
        <f t="shared" si="10"/>
        <v/>
      </c>
      <c r="V62" s="97" t="str">
        <f t="shared" si="10"/>
        <v/>
      </c>
      <c r="W62" s="97" t="str">
        <f t="shared" si="10"/>
        <v/>
      </c>
      <c r="X62" s="97" t="str">
        <f t="shared" si="10"/>
        <v/>
      </c>
      <c r="Y62" s="97" t="str">
        <f t="shared" si="10"/>
        <v/>
      </c>
      <c r="Z62" s="97" t="str">
        <f t="shared" si="10"/>
        <v/>
      </c>
      <c r="AA62" s="97" t="str">
        <f t="shared" si="10"/>
        <v/>
      </c>
      <c r="AB62" s="97" t="str">
        <f t="shared" si="10"/>
        <v/>
      </c>
      <c r="AC62" s="97" t="str">
        <f t="shared" si="10"/>
        <v/>
      </c>
      <c r="AD62" s="97" t="str">
        <f t="shared" si="10"/>
        <v/>
      </c>
      <c r="AE62" s="97" t="str">
        <f t="shared" si="10"/>
        <v/>
      </c>
      <c r="AF62" s="97" t="str">
        <f t="shared" si="10"/>
        <v/>
      </c>
      <c r="AG62" s="97" t="str">
        <f t="shared" si="10"/>
        <v/>
      </c>
      <c r="AH62" s="97" t="str">
        <f t="shared" si="10"/>
        <v/>
      </c>
    </row>
    <row r="63" spans="1:34" ht="27" customHeight="1">
      <c r="A63" s="30"/>
      <c r="B63" s="801"/>
      <c r="C63" s="74"/>
      <c r="D63" s="72"/>
      <c r="E63" s="98"/>
      <c r="F63" s="98"/>
      <c r="G63" s="98"/>
      <c r="H63" s="98"/>
      <c r="I63" s="98"/>
      <c r="J63" s="98"/>
      <c r="K63" s="98"/>
      <c r="L63" s="98"/>
      <c r="M63" s="98"/>
      <c r="N63" s="98"/>
      <c r="O63" s="98"/>
      <c r="P63" s="98"/>
      <c r="Q63" s="98"/>
      <c r="R63" s="98"/>
      <c r="S63" s="98"/>
      <c r="T63" s="98"/>
      <c r="U63" s="98"/>
      <c r="V63" s="98"/>
      <c r="W63" s="98"/>
      <c r="X63" s="98"/>
      <c r="Y63" s="98"/>
      <c r="Z63" s="98"/>
      <c r="AA63" s="98"/>
      <c r="AB63" s="98"/>
      <c r="AC63" s="98"/>
      <c r="AD63" s="98"/>
      <c r="AE63" s="98"/>
      <c r="AF63" s="98"/>
      <c r="AG63" s="98"/>
      <c r="AH63" s="98"/>
    </row>
    <row r="64" spans="1:34" ht="27" customHeight="1">
      <c r="A64" s="30"/>
      <c r="B64" s="801"/>
      <c r="C64" s="74"/>
      <c r="D64" s="72"/>
      <c r="E64" s="98"/>
      <c r="F64" s="98"/>
      <c r="G64" s="98"/>
      <c r="H64" s="98"/>
      <c r="I64" s="98"/>
      <c r="J64" s="98"/>
      <c r="K64" s="98"/>
      <c r="L64" s="98"/>
      <c r="M64" s="98"/>
      <c r="N64" s="98"/>
      <c r="O64" s="98"/>
      <c r="P64" s="98"/>
      <c r="Q64" s="98"/>
      <c r="R64" s="98"/>
      <c r="S64" s="98"/>
      <c r="T64" s="98"/>
      <c r="U64" s="98"/>
      <c r="V64" s="98"/>
      <c r="W64" s="98"/>
      <c r="X64" s="98"/>
      <c r="Y64" s="98"/>
      <c r="Z64" s="98"/>
      <c r="AA64" s="98"/>
      <c r="AB64" s="98"/>
      <c r="AC64" s="98"/>
      <c r="AD64" s="98"/>
      <c r="AE64" s="98"/>
      <c r="AF64" s="98"/>
      <c r="AG64" s="98"/>
      <c r="AH64" s="98"/>
    </row>
    <row r="65" spans="1:34" ht="27" customHeight="1">
      <c r="A65" s="30"/>
      <c r="B65" s="801"/>
      <c r="C65" s="74"/>
      <c r="D65" s="72"/>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row>
    <row r="66" spans="1:34" ht="27" customHeight="1">
      <c r="A66" s="30"/>
      <c r="B66" s="801"/>
      <c r="C66" s="74"/>
      <c r="D66" s="72"/>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row>
    <row r="67" spans="1:34" ht="27" customHeight="1">
      <c r="A67" s="30"/>
      <c r="B67" s="801"/>
      <c r="C67" s="74"/>
      <c r="D67" s="72"/>
      <c r="E67" s="98"/>
      <c r="F67" s="98"/>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row>
    <row r="68" spans="1:34" ht="27" customHeight="1">
      <c r="A68" s="30"/>
      <c r="B68" s="801"/>
      <c r="C68" s="74"/>
      <c r="D68" s="72"/>
      <c r="E68" s="98"/>
      <c r="F68" s="98"/>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row>
    <row r="69" spans="1:34" ht="27" customHeight="1">
      <c r="A69" s="30"/>
      <c r="B69" s="802"/>
      <c r="C69" s="74"/>
      <c r="D69" s="72"/>
      <c r="E69" s="98"/>
      <c r="F69" s="98"/>
      <c r="G69" s="98"/>
      <c r="H69" s="98"/>
      <c r="I69" s="98"/>
      <c r="J69" s="98"/>
      <c r="K69" s="98"/>
      <c r="L69" s="98"/>
      <c r="M69" s="98"/>
      <c r="N69" s="98"/>
      <c r="O69" s="98"/>
      <c r="P69" s="98"/>
      <c r="Q69" s="98"/>
      <c r="R69" s="98"/>
      <c r="S69" s="98"/>
      <c r="T69" s="98"/>
      <c r="U69" s="98"/>
      <c r="V69" s="98"/>
      <c r="W69" s="98"/>
      <c r="X69" s="98"/>
      <c r="Y69" s="98"/>
      <c r="Z69" s="98"/>
      <c r="AA69" s="98"/>
      <c r="AB69" s="98"/>
      <c r="AC69" s="98"/>
      <c r="AD69" s="98"/>
      <c r="AE69" s="98"/>
      <c r="AF69" s="98"/>
      <c r="AG69" s="98"/>
      <c r="AH69" s="98"/>
    </row>
    <row r="70" spans="1:34" ht="27" customHeight="1">
      <c r="A70" s="30"/>
      <c r="B70" s="794">
        <v>9</v>
      </c>
      <c r="C70" s="795"/>
      <c r="D70" s="796"/>
      <c r="E70" s="97" t="str">
        <f>IFERROR(AVERAGE(E71:E77),"")</f>
        <v/>
      </c>
      <c r="F70" s="97" t="str">
        <f t="shared" ref="F70:AH70" si="11">IFERROR(AVERAGE(F71:F77),"")</f>
        <v/>
      </c>
      <c r="G70" s="97" t="str">
        <f t="shared" si="11"/>
        <v/>
      </c>
      <c r="H70" s="97" t="str">
        <f t="shared" si="11"/>
        <v/>
      </c>
      <c r="I70" s="97" t="str">
        <f t="shared" si="11"/>
        <v/>
      </c>
      <c r="J70" s="97" t="str">
        <f t="shared" si="11"/>
        <v/>
      </c>
      <c r="K70" s="97" t="str">
        <f t="shared" si="11"/>
        <v/>
      </c>
      <c r="L70" s="97" t="str">
        <f t="shared" si="11"/>
        <v/>
      </c>
      <c r="M70" s="97" t="str">
        <f t="shared" si="11"/>
        <v/>
      </c>
      <c r="N70" s="97" t="str">
        <f t="shared" si="11"/>
        <v/>
      </c>
      <c r="O70" s="97" t="str">
        <f t="shared" si="11"/>
        <v/>
      </c>
      <c r="P70" s="97" t="str">
        <f t="shared" si="11"/>
        <v/>
      </c>
      <c r="Q70" s="97" t="str">
        <f t="shared" si="11"/>
        <v/>
      </c>
      <c r="R70" s="97" t="str">
        <f t="shared" si="11"/>
        <v/>
      </c>
      <c r="S70" s="97" t="str">
        <f t="shared" si="11"/>
        <v/>
      </c>
      <c r="T70" s="97" t="str">
        <f t="shared" si="11"/>
        <v/>
      </c>
      <c r="U70" s="97" t="str">
        <f t="shared" si="11"/>
        <v/>
      </c>
      <c r="V70" s="97" t="str">
        <f t="shared" si="11"/>
        <v/>
      </c>
      <c r="W70" s="97" t="str">
        <f t="shared" si="11"/>
        <v/>
      </c>
      <c r="X70" s="97" t="str">
        <f t="shared" si="11"/>
        <v/>
      </c>
      <c r="Y70" s="97" t="str">
        <f t="shared" si="11"/>
        <v/>
      </c>
      <c r="Z70" s="97" t="str">
        <f t="shared" si="11"/>
        <v/>
      </c>
      <c r="AA70" s="97" t="str">
        <f t="shared" si="11"/>
        <v/>
      </c>
      <c r="AB70" s="97" t="str">
        <f t="shared" si="11"/>
        <v/>
      </c>
      <c r="AC70" s="97" t="str">
        <f t="shared" si="11"/>
        <v/>
      </c>
      <c r="AD70" s="97" t="str">
        <f t="shared" si="11"/>
        <v/>
      </c>
      <c r="AE70" s="97" t="str">
        <f t="shared" si="11"/>
        <v/>
      </c>
      <c r="AF70" s="97" t="str">
        <f t="shared" si="11"/>
        <v/>
      </c>
      <c r="AG70" s="97" t="str">
        <f t="shared" si="11"/>
        <v/>
      </c>
      <c r="AH70" s="97" t="str">
        <f t="shared" si="11"/>
        <v/>
      </c>
    </row>
    <row r="71" spans="1:34" ht="27" customHeight="1">
      <c r="A71" s="30"/>
      <c r="B71" s="794"/>
      <c r="C71" s="74"/>
      <c r="D71" s="72"/>
      <c r="E71" s="98"/>
      <c r="F71" s="98"/>
      <c r="G71" s="98"/>
      <c r="H71" s="98"/>
      <c r="I71" s="98"/>
      <c r="J71" s="98"/>
      <c r="K71" s="98"/>
      <c r="L71" s="98"/>
      <c r="M71" s="98"/>
      <c r="N71" s="98"/>
      <c r="O71" s="98"/>
      <c r="P71" s="98"/>
      <c r="Q71" s="98"/>
      <c r="R71" s="98"/>
      <c r="S71" s="98"/>
      <c r="T71" s="98"/>
      <c r="U71" s="98"/>
      <c r="V71" s="98"/>
      <c r="W71" s="98"/>
      <c r="X71" s="98"/>
      <c r="Y71" s="98"/>
      <c r="Z71" s="98"/>
      <c r="AA71" s="98"/>
      <c r="AB71" s="98"/>
      <c r="AC71" s="98"/>
      <c r="AD71" s="98"/>
      <c r="AE71" s="98"/>
      <c r="AF71" s="98"/>
      <c r="AG71" s="98"/>
      <c r="AH71" s="98"/>
    </row>
    <row r="72" spans="1:34" ht="27" customHeight="1">
      <c r="A72" s="30"/>
      <c r="B72" s="794"/>
      <c r="C72" s="74"/>
      <c r="D72" s="72"/>
      <c r="E72" s="98"/>
      <c r="F72" s="98"/>
      <c r="G72" s="98"/>
      <c r="H72" s="98"/>
      <c r="I72" s="98"/>
      <c r="J72" s="98"/>
      <c r="K72" s="98"/>
      <c r="L72" s="98"/>
      <c r="M72" s="98"/>
      <c r="N72" s="98"/>
      <c r="O72" s="98"/>
      <c r="P72" s="98"/>
      <c r="Q72" s="98"/>
      <c r="R72" s="98"/>
      <c r="S72" s="98"/>
      <c r="T72" s="98"/>
      <c r="U72" s="98"/>
      <c r="V72" s="98"/>
      <c r="W72" s="98"/>
      <c r="X72" s="98"/>
      <c r="Y72" s="98"/>
      <c r="Z72" s="98"/>
      <c r="AA72" s="98"/>
      <c r="AB72" s="98"/>
      <c r="AC72" s="98"/>
      <c r="AD72" s="98"/>
      <c r="AE72" s="98"/>
      <c r="AF72" s="98"/>
      <c r="AG72" s="98"/>
      <c r="AH72" s="98"/>
    </row>
    <row r="73" spans="1:34" ht="27" customHeight="1">
      <c r="A73" s="30"/>
      <c r="B73" s="794"/>
      <c r="C73" s="74"/>
      <c r="D73" s="72"/>
      <c r="E73" s="98"/>
      <c r="F73" s="98"/>
      <c r="G73" s="98"/>
      <c r="H73" s="98"/>
      <c r="I73" s="98"/>
      <c r="J73" s="98"/>
      <c r="K73" s="98"/>
      <c r="L73" s="98"/>
      <c r="M73" s="98"/>
      <c r="N73" s="98"/>
      <c r="O73" s="98"/>
      <c r="P73" s="98"/>
      <c r="Q73" s="98"/>
      <c r="R73" s="98"/>
      <c r="S73" s="98"/>
      <c r="T73" s="98"/>
      <c r="U73" s="98"/>
      <c r="V73" s="98"/>
      <c r="W73" s="98"/>
      <c r="X73" s="98"/>
      <c r="Y73" s="98"/>
      <c r="Z73" s="98"/>
      <c r="AA73" s="98"/>
      <c r="AB73" s="98"/>
      <c r="AC73" s="98"/>
      <c r="AD73" s="98"/>
      <c r="AE73" s="98"/>
      <c r="AF73" s="98"/>
      <c r="AG73" s="98"/>
      <c r="AH73" s="98"/>
    </row>
    <row r="74" spans="1:34" ht="27" customHeight="1">
      <c r="A74" s="30"/>
      <c r="B74" s="794"/>
      <c r="C74" s="74"/>
      <c r="D74" s="72"/>
      <c r="E74" s="98"/>
      <c r="F74" s="98"/>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row>
    <row r="75" spans="1:34" ht="27" customHeight="1">
      <c r="A75" s="30"/>
      <c r="B75" s="794"/>
      <c r="C75" s="74"/>
      <c r="D75" s="72"/>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row>
    <row r="76" spans="1:34" ht="27" customHeight="1">
      <c r="A76" s="30"/>
      <c r="B76" s="794"/>
      <c r="C76" s="74"/>
      <c r="D76" s="72"/>
      <c r="E76" s="98"/>
      <c r="F76" s="98"/>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row>
    <row r="77" spans="1:34" ht="27" customHeight="1">
      <c r="A77" s="30"/>
      <c r="B77" s="794"/>
      <c r="C77" s="74"/>
      <c r="D77" s="72"/>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row>
    <row r="78" spans="1:34" ht="27" customHeight="1">
      <c r="A78" s="30"/>
      <c r="B78" s="800">
        <v>10</v>
      </c>
      <c r="C78" s="795"/>
      <c r="D78" s="796"/>
      <c r="E78" s="97" t="str">
        <f>IFERROR(AVERAGE(E79:E85),"")</f>
        <v/>
      </c>
      <c r="F78" s="97" t="str">
        <f t="shared" ref="F78:AH78" si="12">IFERROR(AVERAGE(F79:F85),"")</f>
        <v/>
      </c>
      <c r="G78" s="97" t="str">
        <f t="shared" si="12"/>
        <v/>
      </c>
      <c r="H78" s="97" t="str">
        <f t="shared" si="12"/>
        <v/>
      </c>
      <c r="I78" s="97" t="str">
        <f t="shared" si="12"/>
        <v/>
      </c>
      <c r="J78" s="97" t="str">
        <f t="shared" si="12"/>
        <v/>
      </c>
      <c r="K78" s="97" t="str">
        <f t="shared" si="12"/>
        <v/>
      </c>
      <c r="L78" s="97" t="str">
        <f t="shared" si="12"/>
        <v/>
      </c>
      <c r="M78" s="97" t="str">
        <f t="shared" si="12"/>
        <v/>
      </c>
      <c r="N78" s="97" t="str">
        <f t="shared" si="12"/>
        <v/>
      </c>
      <c r="O78" s="97" t="str">
        <f t="shared" si="12"/>
        <v/>
      </c>
      <c r="P78" s="97" t="str">
        <f t="shared" si="12"/>
        <v/>
      </c>
      <c r="Q78" s="97" t="str">
        <f t="shared" si="12"/>
        <v/>
      </c>
      <c r="R78" s="97" t="str">
        <f t="shared" si="12"/>
        <v/>
      </c>
      <c r="S78" s="97" t="str">
        <f t="shared" si="12"/>
        <v/>
      </c>
      <c r="T78" s="97" t="str">
        <f t="shared" si="12"/>
        <v/>
      </c>
      <c r="U78" s="97" t="str">
        <f t="shared" si="12"/>
        <v/>
      </c>
      <c r="V78" s="97" t="str">
        <f t="shared" si="12"/>
        <v/>
      </c>
      <c r="W78" s="97" t="str">
        <f t="shared" si="12"/>
        <v/>
      </c>
      <c r="X78" s="97" t="str">
        <f t="shared" si="12"/>
        <v/>
      </c>
      <c r="Y78" s="97" t="str">
        <f t="shared" si="12"/>
        <v/>
      </c>
      <c r="Z78" s="97" t="str">
        <f t="shared" si="12"/>
        <v/>
      </c>
      <c r="AA78" s="97" t="str">
        <f t="shared" si="12"/>
        <v/>
      </c>
      <c r="AB78" s="97" t="str">
        <f t="shared" si="12"/>
        <v/>
      </c>
      <c r="AC78" s="97" t="str">
        <f t="shared" si="12"/>
        <v/>
      </c>
      <c r="AD78" s="97" t="str">
        <f t="shared" si="12"/>
        <v/>
      </c>
      <c r="AE78" s="97" t="str">
        <f t="shared" si="12"/>
        <v/>
      </c>
      <c r="AF78" s="97" t="str">
        <f t="shared" si="12"/>
        <v/>
      </c>
      <c r="AG78" s="97" t="str">
        <f t="shared" si="12"/>
        <v/>
      </c>
      <c r="AH78" s="97" t="str">
        <f t="shared" si="12"/>
        <v/>
      </c>
    </row>
    <row r="79" spans="1:34" ht="27" customHeight="1">
      <c r="A79" s="30"/>
      <c r="B79" s="801"/>
      <c r="C79" s="74"/>
      <c r="D79" s="72"/>
      <c r="E79" s="98"/>
      <c r="F79" s="98"/>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row>
    <row r="80" spans="1:34" ht="27" customHeight="1">
      <c r="A80" s="30"/>
      <c r="B80" s="801"/>
      <c r="C80" s="74"/>
      <c r="D80" s="72"/>
      <c r="E80" s="98"/>
      <c r="F80" s="98"/>
      <c r="G80" s="98"/>
      <c r="H80" s="98"/>
      <c r="I80" s="98"/>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row>
    <row r="81" spans="1:34" ht="27" customHeight="1">
      <c r="A81" s="30"/>
      <c r="B81" s="801"/>
      <c r="C81" s="74"/>
      <c r="D81" s="72"/>
      <c r="E81" s="98"/>
      <c r="F81" s="98"/>
      <c r="G81" s="98"/>
      <c r="H81" s="98"/>
      <c r="I81" s="98"/>
      <c r="J81" s="98"/>
      <c r="K81" s="98"/>
      <c r="L81" s="98"/>
      <c r="M81" s="98"/>
      <c r="N81" s="98"/>
      <c r="O81" s="98"/>
      <c r="P81" s="98"/>
      <c r="Q81" s="98"/>
      <c r="R81" s="98"/>
      <c r="S81" s="98"/>
      <c r="T81" s="98"/>
      <c r="U81" s="98"/>
      <c r="V81" s="98"/>
      <c r="W81" s="98"/>
      <c r="X81" s="98"/>
      <c r="Y81" s="98"/>
      <c r="Z81" s="98"/>
      <c r="AA81" s="98"/>
      <c r="AB81" s="98"/>
      <c r="AC81" s="98"/>
      <c r="AD81" s="98"/>
      <c r="AE81" s="98"/>
      <c r="AF81" s="98"/>
      <c r="AG81" s="98"/>
      <c r="AH81" s="98"/>
    </row>
    <row r="82" spans="1:34" ht="27" customHeight="1">
      <c r="A82" s="30"/>
      <c r="B82" s="801"/>
      <c r="C82" s="74"/>
      <c r="D82" s="72"/>
      <c r="E82" s="98"/>
      <c r="F82" s="98"/>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row>
    <row r="83" spans="1:34" ht="27" customHeight="1">
      <c r="A83" s="30"/>
      <c r="B83" s="801"/>
      <c r="C83" s="74"/>
      <c r="D83" s="72"/>
      <c r="E83" s="98"/>
      <c r="F83" s="98"/>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row>
    <row r="84" spans="1:34" ht="27" customHeight="1">
      <c r="A84" s="30"/>
      <c r="B84" s="801"/>
      <c r="C84" s="74"/>
      <c r="D84" s="72"/>
      <c r="E84" s="98"/>
      <c r="F84" s="98"/>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row>
    <row r="85" spans="1:34" ht="27" customHeight="1">
      <c r="A85" s="30"/>
      <c r="B85" s="802"/>
      <c r="C85" s="74"/>
      <c r="D85" s="72"/>
      <c r="E85" s="98"/>
      <c r="F85" s="98"/>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row>
    <row r="86" spans="1:34" ht="27" customHeight="1">
      <c r="A86" s="30"/>
      <c r="B86" s="800">
        <v>11</v>
      </c>
      <c r="C86" s="795"/>
      <c r="D86" s="796"/>
      <c r="E86" s="97" t="str">
        <f>IFERROR(AVERAGE(E87:E93),"")</f>
        <v/>
      </c>
      <c r="F86" s="97" t="str">
        <f t="shared" ref="F86:AH86" si="13">IFERROR(AVERAGE(F87:F93),"")</f>
        <v/>
      </c>
      <c r="G86" s="97" t="str">
        <f t="shared" si="13"/>
        <v/>
      </c>
      <c r="H86" s="97" t="str">
        <f t="shared" si="13"/>
        <v/>
      </c>
      <c r="I86" s="97" t="str">
        <f t="shared" si="13"/>
        <v/>
      </c>
      <c r="J86" s="97" t="str">
        <f t="shared" si="13"/>
        <v/>
      </c>
      <c r="K86" s="97" t="str">
        <f t="shared" si="13"/>
        <v/>
      </c>
      <c r="L86" s="97" t="str">
        <f t="shared" si="13"/>
        <v/>
      </c>
      <c r="M86" s="97" t="str">
        <f t="shared" si="13"/>
        <v/>
      </c>
      <c r="N86" s="97" t="str">
        <f t="shared" si="13"/>
        <v/>
      </c>
      <c r="O86" s="97" t="str">
        <f t="shared" si="13"/>
        <v/>
      </c>
      <c r="P86" s="97" t="str">
        <f t="shared" si="13"/>
        <v/>
      </c>
      <c r="Q86" s="97" t="str">
        <f t="shared" si="13"/>
        <v/>
      </c>
      <c r="R86" s="97" t="str">
        <f t="shared" si="13"/>
        <v/>
      </c>
      <c r="S86" s="97" t="str">
        <f t="shared" si="13"/>
        <v/>
      </c>
      <c r="T86" s="97" t="str">
        <f t="shared" si="13"/>
        <v/>
      </c>
      <c r="U86" s="97" t="str">
        <f t="shared" si="13"/>
        <v/>
      </c>
      <c r="V86" s="97" t="str">
        <f t="shared" si="13"/>
        <v/>
      </c>
      <c r="W86" s="97" t="str">
        <f t="shared" si="13"/>
        <v/>
      </c>
      <c r="X86" s="97" t="str">
        <f t="shared" si="13"/>
        <v/>
      </c>
      <c r="Y86" s="97" t="str">
        <f t="shared" si="13"/>
        <v/>
      </c>
      <c r="Z86" s="97" t="str">
        <f t="shared" si="13"/>
        <v/>
      </c>
      <c r="AA86" s="97" t="str">
        <f t="shared" si="13"/>
        <v/>
      </c>
      <c r="AB86" s="97" t="str">
        <f t="shared" si="13"/>
        <v/>
      </c>
      <c r="AC86" s="97" t="str">
        <f t="shared" si="13"/>
        <v/>
      </c>
      <c r="AD86" s="97" t="str">
        <f t="shared" si="13"/>
        <v/>
      </c>
      <c r="AE86" s="97" t="str">
        <f t="shared" si="13"/>
        <v/>
      </c>
      <c r="AF86" s="97" t="str">
        <f t="shared" si="13"/>
        <v/>
      </c>
      <c r="AG86" s="97" t="str">
        <f t="shared" si="13"/>
        <v/>
      </c>
      <c r="AH86" s="97" t="str">
        <f t="shared" si="13"/>
        <v/>
      </c>
    </row>
    <row r="87" spans="1:34" ht="27" customHeight="1">
      <c r="A87" s="30"/>
      <c r="B87" s="801"/>
      <c r="C87" s="74"/>
      <c r="D87" s="72"/>
      <c r="E87" s="99"/>
      <c r="F87" s="99"/>
      <c r="G87" s="99"/>
      <c r="H87" s="99"/>
      <c r="I87" s="99"/>
      <c r="J87" s="99"/>
      <c r="K87" s="99"/>
      <c r="L87" s="99"/>
      <c r="M87" s="99"/>
      <c r="N87" s="99"/>
      <c r="O87" s="99"/>
      <c r="P87" s="99"/>
      <c r="Q87" s="99"/>
      <c r="R87" s="99"/>
      <c r="S87" s="99"/>
      <c r="T87" s="99"/>
      <c r="U87" s="99"/>
      <c r="V87" s="99"/>
      <c r="W87" s="99"/>
      <c r="X87" s="99"/>
      <c r="Y87" s="99"/>
      <c r="Z87" s="99"/>
      <c r="AA87" s="99"/>
      <c r="AB87" s="99"/>
      <c r="AC87" s="99"/>
      <c r="AD87" s="99"/>
      <c r="AE87" s="99"/>
      <c r="AF87" s="99"/>
      <c r="AG87" s="99"/>
      <c r="AH87" s="99"/>
    </row>
    <row r="88" spans="1:34" ht="27" customHeight="1">
      <c r="A88" s="30"/>
      <c r="B88" s="801"/>
      <c r="C88" s="74"/>
      <c r="D88" s="72"/>
      <c r="E88" s="98"/>
      <c r="F88" s="98"/>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row>
    <row r="89" spans="1:34" ht="27" customHeight="1">
      <c r="A89" s="30"/>
      <c r="B89" s="801"/>
      <c r="C89" s="74"/>
      <c r="D89" s="72"/>
      <c r="E89" s="98"/>
      <c r="F89" s="98"/>
      <c r="G89" s="98"/>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row>
    <row r="90" spans="1:34" ht="27" customHeight="1">
      <c r="A90" s="30"/>
      <c r="B90" s="801"/>
      <c r="C90" s="74"/>
      <c r="D90" s="72"/>
      <c r="E90" s="98"/>
      <c r="F90" s="98"/>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row>
    <row r="91" spans="1:34" ht="27" customHeight="1">
      <c r="A91" s="30"/>
      <c r="B91" s="801"/>
      <c r="C91" s="74"/>
      <c r="D91" s="72"/>
      <c r="E91" s="98"/>
      <c r="F91" s="98"/>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row>
    <row r="92" spans="1:34" ht="27" customHeight="1">
      <c r="A92" s="30"/>
      <c r="B92" s="801"/>
      <c r="C92" s="74"/>
      <c r="D92" s="72"/>
      <c r="E92" s="98"/>
      <c r="F92" s="98"/>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row>
    <row r="93" spans="1:34" ht="27" customHeight="1">
      <c r="A93" s="30"/>
      <c r="B93" s="802"/>
      <c r="C93" s="74"/>
      <c r="D93" s="72"/>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row>
    <row r="94" spans="1:34" ht="27" customHeight="1">
      <c r="A94" s="30"/>
      <c r="B94" s="800">
        <v>12</v>
      </c>
      <c r="C94" s="795"/>
      <c r="D94" s="796"/>
      <c r="E94" s="97" t="str">
        <f>IFERROR(AVERAGE(E95:E101),"")</f>
        <v/>
      </c>
      <c r="F94" s="97" t="str">
        <f t="shared" ref="F94:AH94" si="14">IFERROR(AVERAGE(F95:F101),"")</f>
        <v/>
      </c>
      <c r="G94" s="97" t="str">
        <f t="shared" si="14"/>
        <v/>
      </c>
      <c r="H94" s="97" t="str">
        <f t="shared" si="14"/>
        <v/>
      </c>
      <c r="I94" s="97" t="str">
        <f t="shared" si="14"/>
        <v/>
      </c>
      <c r="J94" s="97" t="str">
        <f t="shared" si="14"/>
        <v/>
      </c>
      <c r="K94" s="97" t="str">
        <f t="shared" si="14"/>
        <v/>
      </c>
      <c r="L94" s="97" t="str">
        <f t="shared" si="14"/>
        <v/>
      </c>
      <c r="M94" s="97" t="str">
        <f t="shared" si="14"/>
        <v/>
      </c>
      <c r="N94" s="97" t="str">
        <f t="shared" si="14"/>
        <v/>
      </c>
      <c r="O94" s="97" t="str">
        <f t="shared" si="14"/>
        <v/>
      </c>
      <c r="P94" s="97" t="str">
        <f t="shared" si="14"/>
        <v/>
      </c>
      <c r="Q94" s="97" t="str">
        <f t="shared" si="14"/>
        <v/>
      </c>
      <c r="R94" s="97" t="str">
        <f t="shared" si="14"/>
        <v/>
      </c>
      <c r="S94" s="97" t="str">
        <f t="shared" si="14"/>
        <v/>
      </c>
      <c r="T94" s="97" t="str">
        <f t="shared" si="14"/>
        <v/>
      </c>
      <c r="U94" s="97" t="str">
        <f t="shared" si="14"/>
        <v/>
      </c>
      <c r="V94" s="97" t="str">
        <f t="shared" si="14"/>
        <v/>
      </c>
      <c r="W94" s="97" t="str">
        <f t="shared" si="14"/>
        <v/>
      </c>
      <c r="X94" s="97" t="str">
        <f t="shared" si="14"/>
        <v/>
      </c>
      <c r="Y94" s="97" t="str">
        <f t="shared" si="14"/>
        <v/>
      </c>
      <c r="Z94" s="97" t="str">
        <f t="shared" si="14"/>
        <v/>
      </c>
      <c r="AA94" s="97" t="str">
        <f t="shared" si="14"/>
        <v/>
      </c>
      <c r="AB94" s="97" t="str">
        <f t="shared" si="14"/>
        <v/>
      </c>
      <c r="AC94" s="97" t="str">
        <f t="shared" si="14"/>
        <v/>
      </c>
      <c r="AD94" s="97" t="str">
        <f t="shared" si="14"/>
        <v/>
      </c>
      <c r="AE94" s="97" t="str">
        <f t="shared" si="14"/>
        <v/>
      </c>
      <c r="AF94" s="97" t="str">
        <f t="shared" si="14"/>
        <v/>
      </c>
      <c r="AG94" s="97" t="str">
        <f t="shared" si="14"/>
        <v/>
      </c>
      <c r="AH94" s="97" t="str">
        <f t="shared" si="14"/>
        <v/>
      </c>
    </row>
    <row r="95" spans="1:34" ht="27" customHeight="1">
      <c r="A95" s="30"/>
      <c r="B95" s="801"/>
      <c r="C95" s="74"/>
      <c r="D95" s="72"/>
      <c r="E95" s="98"/>
      <c r="F95" s="98"/>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row>
    <row r="96" spans="1:34" ht="27" customHeight="1">
      <c r="A96" s="30"/>
      <c r="B96" s="801"/>
      <c r="C96" s="74"/>
      <c r="D96" s="72"/>
      <c r="E96" s="98"/>
      <c r="F96" s="98"/>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row>
    <row r="97" spans="1:34" ht="27" customHeight="1">
      <c r="A97" s="30"/>
      <c r="B97" s="801"/>
      <c r="C97" s="74"/>
      <c r="D97" s="72"/>
      <c r="E97" s="98"/>
      <c r="F97" s="98"/>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row>
    <row r="98" spans="1:34" ht="27" customHeight="1">
      <c r="A98" s="30"/>
      <c r="B98" s="801"/>
      <c r="C98" s="74"/>
      <c r="D98" s="72"/>
      <c r="E98" s="98"/>
      <c r="F98" s="98"/>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row>
    <row r="99" spans="1:34" ht="27" customHeight="1">
      <c r="A99" s="30"/>
      <c r="B99" s="801"/>
      <c r="C99" s="74"/>
      <c r="D99" s="72"/>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row>
    <row r="100" spans="1:34" ht="27" customHeight="1">
      <c r="A100" s="30"/>
      <c r="B100" s="801"/>
      <c r="C100" s="74"/>
      <c r="D100" s="72"/>
      <c r="E100" s="98"/>
      <c r="F100" s="98"/>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row>
    <row r="101" spans="1:34" ht="27" customHeight="1">
      <c r="A101" s="30"/>
      <c r="B101" s="802"/>
      <c r="C101" s="74"/>
      <c r="D101" s="72"/>
      <c r="E101" s="98"/>
      <c r="F101" s="98"/>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row>
    <row r="102" spans="1:34" ht="27" customHeight="1">
      <c r="A102" s="30"/>
      <c r="B102" s="794">
        <v>13</v>
      </c>
      <c r="C102" s="795"/>
      <c r="D102" s="796"/>
      <c r="E102" s="97" t="str">
        <f>IFERROR(AVERAGE(E103:E109),"")</f>
        <v/>
      </c>
      <c r="F102" s="97" t="str">
        <f t="shared" ref="F102:AH102" si="15">IFERROR(AVERAGE(F103:F109),"")</f>
        <v/>
      </c>
      <c r="G102" s="97" t="str">
        <f t="shared" si="15"/>
        <v/>
      </c>
      <c r="H102" s="97" t="str">
        <f t="shared" si="15"/>
        <v/>
      </c>
      <c r="I102" s="97" t="str">
        <f t="shared" si="15"/>
        <v/>
      </c>
      <c r="J102" s="97" t="str">
        <f t="shared" si="15"/>
        <v/>
      </c>
      <c r="K102" s="97" t="str">
        <f t="shared" si="15"/>
        <v/>
      </c>
      <c r="L102" s="97" t="str">
        <f t="shared" si="15"/>
        <v/>
      </c>
      <c r="M102" s="97" t="str">
        <f t="shared" si="15"/>
        <v/>
      </c>
      <c r="N102" s="97" t="str">
        <f t="shared" si="15"/>
        <v/>
      </c>
      <c r="O102" s="97" t="str">
        <f t="shared" si="15"/>
        <v/>
      </c>
      <c r="P102" s="97" t="str">
        <f t="shared" si="15"/>
        <v/>
      </c>
      <c r="Q102" s="97" t="str">
        <f t="shared" si="15"/>
        <v/>
      </c>
      <c r="R102" s="97" t="str">
        <f t="shared" si="15"/>
        <v/>
      </c>
      <c r="S102" s="97" t="str">
        <f t="shared" si="15"/>
        <v/>
      </c>
      <c r="T102" s="97" t="str">
        <f t="shared" si="15"/>
        <v/>
      </c>
      <c r="U102" s="97" t="str">
        <f t="shared" si="15"/>
        <v/>
      </c>
      <c r="V102" s="97" t="str">
        <f t="shared" si="15"/>
        <v/>
      </c>
      <c r="W102" s="97" t="str">
        <f t="shared" si="15"/>
        <v/>
      </c>
      <c r="X102" s="97" t="str">
        <f t="shared" si="15"/>
        <v/>
      </c>
      <c r="Y102" s="97" t="str">
        <f t="shared" si="15"/>
        <v/>
      </c>
      <c r="Z102" s="97" t="str">
        <f t="shared" si="15"/>
        <v/>
      </c>
      <c r="AA102" s="97" t="str">
        <f t="shared" si="15"/>
        <v/>
      </c>
      <c r="AB102" s="97" t="str">
        <f t="shared" si="15"/>
        <v/>
      </c>
      <c r="AC102" s="97" t="str">
        <f t="shared" si="15"/>
        <v/>
      </c>
      <c r="AD102" s="97" t="str">
        <f t="shared" si="15"/>
        <v/>
      </c>
      <c r="AE102" s="97" t="str">
        <f t="shared" si="15"/>
        <v/>
      </c>
      <c r="AF102" s="97" t="str">
        <f t="shared" si="15"/>
        <v/>
      </c>
      <c r="AG102" s="97" t="str">
        <f t="shared" si="15"/>
        <v/>
      </c>
      <c r="AH102" s="97" t="str">
        <f t="shared" si="15"/>
        <v/>
      </c>
    </row>
    <row r="103" spans="1:34" ht="27" customHeight="1">
      <c r="A103" s="30"/>
      <c r="B103" s="794"/>
      <c r="C103" s="74"/>
      <c r="D103" s="72"/>
      <c r="E103" s="98"/>
      <c r="F103" s="98"/>
      <c r="G103" s="98"/>
      <c r="H103" s="98"/>
      <c r="I103" s="98"/>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row>
    <row r="104" spans="1:34" ht="27" customHeight="1">
      <c r="A104" s="30"/>
      <c r="B104" s="794"/>
      <c r="C104" s="74"/>
      <c r="D104" s="72"/>
      <c r="E104" s="98"/>
      <c r="F104" s="98"/>
      <c r="G104" s="98"/>
      <c r="H104" s="98"/>
      <c r="I104" s="98"/>
      <c r="J104" s="98"/>
      <c r="K104" s="98"/>
      <c r="L104" s="98"/>
      <c r="M104" s="98"/>
      <c r="N104" s="98"/>
      <c r="O104" s="98"/>
      <c r="P104" s="98"/>
      <c r="Q104" s="98"/>
      <c r="R104" s="98"/>
      <c r="S104" s="98"/>
      <c r="T104" s="98"/>
      <c r="U104" s="98"/>
      <c r="V104" s="98"/>
      <c r="W104" s="98"/>
      <c r="X104" s="98"/>
      <c r="Y104" s="98"/>
      <c r="Z104" s="98"/>
      <c r="AA104" s="98"/>
      <c r="AB104" s="98"/>
      <c r="AC104" s="98"/>
      <c r="AD104" s="98"/>
      <c r="AE104" s="98"/>
      <c r="AF104" s="98"/>
      <c r="AG104" s="98"/>
      <c r="AH104" s="98"/>
    </row>
    <row r="105" spans="1:34" ht="27" customHeight="1">
      <c r="A105" s="30"/>
      <c r="B105" s="794"/>
      <c r="C105" s="74"/>
      <c r="D105" s="72"/>
      <c r="E105" s="98"/>
      <c r="F105" s="98"/>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row>
    <row r="106" spans="1:34" ht="27" customHeight="1">
      <c r="A106" s="30"/>
      <c r="B106" s="794"/>
      <c r="C106" s="74"/>
      <c r="D106" s="72"/>
      <c r="E106" s="98"/>
      <c r="F106" s="98"/>
      <c r="G106" s="98"/>
      <c r="H106" s="98"/>
      <c r="I106" s="98"/>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row>
    <row r="107" spans="1:34" ht="27" customHeight="1">
      <c r="A107" s="30"/>
      <c r="B107" s="794"/>
      <c r="C107" s="74"/>
      <c r="D107" s="72"/>
      <c r="E107" s="98"/>
      <c r="F107" s="98"/>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row>
    <row r="108" spans="1:34" ht="27" customHeight="1">
      <c r="A108" s="30"/>
      <c r="B108" s="794"/>
      <c r="C108" s="74"/>
      <c r="D108" s="72"/>
      <c r="E108" s="98"/>
      <c r="F108" s="98"/>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row>
    <row r="109" spans="1:34" ht="27" customHeight="1">
      <c r="A109" s="30"/>
      <c r="B109" s="794"/>
      <c r="C109" s="74"/>
      <c r="D109" s="72"/>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row>
    <row r="110" spans="1:34" ht="27" customHeight="1">
      <c r="A110" s="30"/>
      <c r="B110" s="797" t="s">
        <v>143</v>
      </c>
      <c r="C110" s="798"/>
      <c r="D110" s="799"/>
      <c r="E110" s="100" t="str">
        <f>IFERROR(AVERAGE(E6,E14,E22,E30,E38,E46,E54,E62,E70,E78,E86,E94,E102),"")</f>
        <v/>
      </c>
      <c r="F110" s="100" t="str">
        <f t="shared" ref="F110:AH110" si="16">IFERROR(AVERAGE(F6,F14,F22,F30,F38,F46,F54,F62,F70,F78,F86,F94,F102),"")</f>
        <v/>
      </c>
      <c r="G110" s="100" t="str">
        <f t="shared" si="16"/>
        <v/>
      </c>
      <c r="H110" s="100" t="str">
        <f t="shared" si="16"/>
        <v/>
      </c>
      <c r="I110" s="100" t="str">
        <f t="shared" si="16"/>
        <v/>
      </c>
      <c r="J110" s="100" t="str">
        <f t="shared" si="16"/>
        <v/>
      </c>
      <c r="K110" s="100" t="str">
        <f t="shared" si="16"/>
        <v/>
      </c>
      <c r="L110" s="100" t="str">
        <f t="shared" si="16"/>
        <v/>
      </c>
      <c r="M110" s="100" t="str">
        <f t="shared" si="16"/>
        <v/>
      </c>
      <c r="N110" s="100" t="str">
        <f t="shared" si="16"/>
        <v/>
      </c>
      <c r="O110" s="100" t="str">
        <f t="shared" si="16"/>
        <v/>
      </c>
      <c r="P110" s="100" t="str">
        <f t="shared" si="16"/>
        <v/>
      </c>
      <c r="Q110" s="100" t="str">
        <f t="shared" si="16"/>
        <v/>
      </c>
      <c r="R110" s="100" t="str">
        <f t="shared" si="16"/>
        <v/>
      </c>
      <c r="S110" s="100" t="str">
        <f t="shared" si="16"/>
        <v/>
      </c>
      <c r="T110" s="100" t="str">
        <f t="shared" si="16"/>
        <v/>
      </c>
      <c r="U110" s="100" t="str">
        <f t="shared" si="16"/>
        <v/>
      </c>
      <c r="V110" s="100" t="str">
        <f t="shared" si="16"/>
        <v/>
      </c>
      <c r="W110" s="100" t="str">
        <f t="shared" si="16"/>
        <v/>
      </c>
      <c r="X110" s="100" t="str">
        <f t="shared" si="16"/>
        <v/>
      </c>
      <c r="Y110" s="100" t="str">
        <f t="shared" si="16"/>
        <v/>
      </c>
      <c r="Z110" s="100" t="str">
        <f t="shared" si="16"/>
        <v/>
      </c>
      <c r="AA110" s="100" t="str">
        <f t="shared" si="16"/>
        <v/>
      </c>
      <c r="AB110" s="100" t="str">
        <f t="shared" si="16"/>
        <v/>
      </c>
      <c r="AC110" s="100" t="str">
        <f t="shared" si="16"/>
        <v/>
      </c>
      <c r="AD110" s="100" t="str">
        <f t="shared" si="16"/>
        <v/>
      </c>
      <c r="AE110" s="100" t="str">
        <f t="shared" si="16"/>
        <v/>
      </c>
      <c r="AF110" s="100" t="str">
        <f t="shared" si="16"/>
        <v/>
      </c>
      <c r="AG110" s="100" t="str">
        <f t="shared" si="16"/>
        <v/>
      </c>
      <c r="AH110" s="100" t="str">
        <f t="shared" si="16"/>
        <v/>
      </c>
    </row>
    <row r="111" spans="1:34">
      <c r="B111" s="31"/>
      <c r="C111" s="31"/>
      <c r="D111" s="32"/>
    </row>
    <row r="112" spans="1:34">
      <c r="B112" s="31"/>
      <c r="C112" s="31"/>
      <c r="D112" s="32"/>
    </row>
    <row r="113" spans="2:4">
      <c r="B113" s="31"/>
      <c r="C113" s="31"/>
      <c r="D113" s="32"/>
    </row>
    <row r="114" spans="2:4">
      <c r="B114" s="31"/>
      <c r="C114" s="31"/>
      <c r="D114" s="32"/>
    </row>
    <row r="115" spans="2:4">
      <c r="B115" s="31"/>
      <c r="C115" s="31"/>
      <c r="D115" s="32"/>
    </row>
    <row r="116" spans="2:4">
      <c r="B116" s="31"/>
      <c r="C116" s="31"/>
      <c r="D116" s="32"/>
    </row>
    <row r="117" spans="2:4">
      <c r="B117" s="31"/>
      <c r="C117" s="31"/>
      <c r="D117" s="32"/>
    </row>
    <row r="118" spans="2:4">
      <c r="B118" s="31"/>
      <c r="C118" s="31"/>
      <c r="D118" s="32"/>
    </row>
    <row r="119" spans="2:4">
      <c r="B119" s="31"/>
      <c r="C119" s="31"/>
      <c r="D119" s="32"/>
    </row>
    <row r="120" spans="2:4">
      <c r="B120" s="31"/>
      <c r="C120" s="31"/>
      <c r="D120" s="32"/>
    </row>
    <row r="121" spans="2:4">
      <c r="B121" s="31"/>
      <c r="C121" s="31"/>
      <c r="D121" s="32"/>
    </row>
    <row r="122" spans="2:4">
      <c r="B122" s="31"/>
      <c r="C122" s="31"/>
      <c r="D122" s="32"/>
    </row>
    <row r="123" spans="2:4">
      <c r="B123" s="31"/>
      <c r="C123" s="31"/>
      <c r="D123" s="32"/>
    </row>
    <row r="124" spans="2:4">
      <c r="B124" s="31"/>
      <c r="C124" s="31"/>
      <c r="D124" s="32"/>
    </row>
    <row r="125" spans="2:4">
      <c r="B125" s="31"/>
      <c r="C125" s="31"/>
      <c r="D125" s="32"/>
    </row>
    <row r="126" spans="2:4">
      <c r="B126" s="31"/>
      <c r="C126" s="31"/>
      <c r="D126" s="32"/>
    </row>
    <row r="127" spans="2:4">
      <c r="B127" s="31"/>
      <c r="C127" s="31"/>
      <c r="D127" s="32"/>
    </row>
    <row r="128" spans="2:4">
      <c r="B128" s="31"/>
      <c r="C128" s="31"/>
      <c r="D128" s="32"/>
    </row>
    <row r="129" spans="2:4">
      <c r="B129" s="31"/>
      <c r="C129" s="31"/>
      <c r="D129" s="32"/>
    </row>
    <row r="130" spans="2:4">
      <c r="B130" s="31"/>
      <c r="C130" s="31"/>
      <c r="D130" s="32"/>
    </row>
    <row r="131" spans="2:4">
      <c r="B131" s="31"/>
      <c r="C131" s="31"/>
      <c r="D131" s="32"/>
    </row>
    <row r="132" spans="2:4">
      <c r="B132" s="31"/>
      <c r="C132" s="31"/>
      <c r="D132" s="32"/>
    </row>
    <row r="133" spans="2:4">
      <c r="B133" s="31"/>
      <c r="C133" s="31"/>
      <c r="D133" s="32"/>
    </row>
    <row r="134" spans="2:4">
      <c r="B134" s="31"/>
      <c r="C134" s="31"/>
      <c r="D134" s="32"/>
    </row>
    <row r="135" spans="2:4">
      <c r="B135" s="31"/>
      <c r="C135" s="31"/>
      <c r="D135" s="32"/>
    </row>
    <row r="136" spans="2:4">
      <c r="B136" s="31"/>
      <c r="C136" s="31"/>
      <c r="D136" s="32"/>
    </row>
    <row r="137" spans="2:4">
      <c r="B137" s="31"/>
      <c r="C137" s="31"/>
      <c r="D137" s="32"/>
    </row>
    <row r="138" spans="2:4">
      <c r="B138" s="31"/>
      <c r="C138" s="31"/>
      <c r="D138" s="32"/>
    </row>
    <row r="139" spans="2:4">
      <c r="B139" s="31"/>
      <c r="C139" s="31"/>
      <c r="D139" s="32"/>
    </row>
    <row r="140" spans="2:4">
      <c r="B140" s="31"/>
      <c r="C140" s="31"/>
      <c r="D140" s="32"/>
    </row>
    <row r="141" spans="2:4">
      <c r="B141" s="31"/>
      <c r="C141" s="31"/>
      <c r="D141" s="32"/>
    </row>
    <row r="142" spans="2:4">
      <c r="B142" s="31"/>
      <c r="C142" s="31"/>
      <c r="D142" s="32"/>
    </row>
    <row r="143" spans="2:4">
      <c r="B143" s="31"/>
      <c r="C143" s="31"/>
      <c r="D143" s="32"/>
    </row>
    <row r="144" spans="2:4">
      <c r="B144" s="31"/>
      <c r="C144" s="31"/>
      <c r="D144" s="32"/>
    </row>
    <row r="145" spans="2:4">
      <c r="B145" s="31"/>
      <c r="C145" s="31"/>
      <c r="D145" s="32"/>
    </row>
    <row r="146" spans="2:4">
      <c r="B146" s="31"/>
      <c r="C146" s="31"/>
      <c r="D146" s="32"/>
    </row>
    <row r="147" spans="2:4">
      <c r="B147" s="31"/>
      <c r="C147" s="31"/>
      <c r="D147" s="32"/>
    </row>
    <row r="148" spans="2:4">
      <c r="B148" s="31"/>
      <c r="C148" s="31"/>
      <c r="D148" s="32"/>
    </row>
    <row r="149" spans="2:4">
      <c r="B149" s="31"/>
      <c r="C149" s="31"/>
      <c r="D149" s="32"/>
    </row>
    <row r="150" spans="2:4">
      <c r="B150" s="31"/>
      <c r="C150" s="31"/>
      <c r="D150" s="32"/>
    </row>
    <row r="151" spans="2:4">
      <c r="B151" s="31"/>
      <c r="C151" s="31"/>
      <c r="D151" s="32"/>
    </row>
    <row r="152" spans="2:4">
      <c r="B152" s="31"/>
      <c r="C152" s="31"/>
      <c r="D152" s="32"/>
    </row>
    <row r="153" spans="2:4">
      <c r="B153" s="31"/>
      <c r="C153" s="31"/>
      <c r="D153" s="32"/>
    </row>
    <row r="154" spans="2:4">
      <c r="B154" s="31"/>
      <c r="C154" s="31"/>
      <c r="D154" s="32"/>
    </row>
    <row r="155" spans="2:4">
      <c r="B155" s="31"/>
      <c r="C155" s="31"/>
      <c r="D155" s="32"/>
    </row>
    <row r="156" spans="2:4">
      <c r="B156" s="31"/>
      <c r="C156" s="31"/>
      <c r="D156" s="32"/>
    </row>
    <row r="157" spans="2:4">
      <c r="B157" s="31"/>
      <c r="C157" s="31"/>
      <c r="D157" s="32"/>
    </row>
    <row r="158" spans="2:4">
      <c r="B158" s="31"/>
      <c r="C158" s="31"/>
      <c r="D158" s="32"/>
    </row>
    <row r="159" spans="2:4">
      <c r="B159" s="31"/>
      <c r="C159" s="31"/>
      <c r="D159" s="32"/>
    </row>
    <row r="160" spans="2:4">
      <c r="B160" s="31"/>
      <c r="C160" s="31"/>
      <c r="D160" s="32"/>
    </row>
    <row r="161" spans="2:4">
      <c r="B161" s="31"/>
      <c r="C161" s="31"/>
      <c r="D161" s="32"/>
    </row>
    <row r="162" spans="2:4">
      <c r="B162" s="31"/>
      <c r="C162" s="31"/>
      <c r="D162" s="32"/>
    </row>
    <row r="163" spans="2:4">
      <c r="B163" s="31"/>
      <c r="C163" s="31"/>
      <c r="D163" s="32"/>
    </row>
    <row r="164" spans="2:4">
      <c r="B164" s="31"/>
      <c r="C164" s="31"/>
      <c r="D164" s="32"/>
    </row>
    <row r="165" spans="2:4">
      <c r="B165" s="31"/>
      <c r="C165" s="31"/>
      <c r="D165" s="32"/>
    </row>
    <row r="166" spans="2:4">
      <c r="B166" s="31"/>
      <c r="C166" s="31"/>
      <c r="D166" s="32"/>
    </row>
    <row r="167" spans="2:4">
      <c r="B167" s="31"/>
      <c r="C167" s="31"/>
      <c r="D167" s="32"/>
    </row>
    <row r="168" spans="2:4">
      <c r="B168" s="31"/>
      <c r="C168" s="31"/>
      <c r="D168" s="32"/>
    </row>
    <row r="169" spans="2:4">
      <c r="B169" s="31"/>
      <c r="C169" s="31"/>
      <c r="D169" s="32"/>
    </row>
    <row r="170" spans="2:4">
      <c r="B170" s="31"/>
      <c r="C170" s="31"/>
      <c r="D170" s="32"/>
    </row>
  </sheetData>
  <mergeCells count="33">
    <mergeCell ref="A1:AH2"/>
    <mergeCell ref="B3:D3"/>
    <mergeCell ref="B4:B5"/>
    <mergeCell ref="C4:C5"/>
    <mergeCell ref="D4:D5"/>
    <mergeCell ref="E4:AH4"/>
    <mergeCell ref="B6:B13"/>
    <mergeCell ref="C6:D6"/>
    <mergeCell ref="B14:B21"/>
    <mergeCell ref="C14:D14"/>
    <mergeCell ref="B22:B29"/>
    <mergeCell ref="C22:D22"/>
    <mergeCell ref="B30:B37"/>
    <mergeCell ref="C30:D30"/>
    <mergeCell ref="B38:B45"/>
    <mergeCell ref="C38:D38"/>
    <mergeCell ref="B46:B53"/>
    <mergeCell ref="C46:D46"/>
    <mergeCell ref="B54:B61"/>
    <mergeCell ref="C54:D54"/>
    <mergeCell ref="B62:B69"/>
    <mergeCell ref="C62:D62"/>
    <mergeCell ref="B70:B77"/>
    <mergeCell ref="C70:D70"/>
    <mergeCell ref="B102:B109"/>
    <mergeCell ref="C102:D102"/>
    <mergeCell ref="B110:D110"/>
    <mergeCell ref="B78:B85"/>
    <mergeCell ref="C78:D78"/>
    <mergeCell ref="B86:B93"/>
    <mergeCell ref="C86:D86"/>
    <mergeCell ref="B94:B101"/>
    <mergeCell ref="C94:D94"/>
  </mergeCells>
  <pageMargins left="0.7" right="0.7" top="0.75" bottom="0.75" header="0.3" footer="0.3"/>
  <pageSetup paperSize="9" orientation="portrait" horizontalDpi="4294967293" verticalDpi="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4"/>
  <dimension ref="A1:AW187"/>
  <sheetViews>
    <sheetView showGridLines="0" zoomScale="90" zoomScaleNormal="90" workbookViewId="0">
      <pane ySplit="5" topLeftCell="A40" activePane="bottomLeft" state="frozen"/>
      <selection activeCell="K33" sqref="K33"/>
      <selection pane="bottomLeft" activeCell="J81" sqref="J81"/>
    </sheetView>
  </sheetViews>
  <sheetFormatPr defaultColWidth="0" defaultRowHeight="15" customHeight="1" zeroHeight="1"/>
  <cols>
    <col min="1" max="1" width="1" style="29" customWidth="1"/>
    <col min="2" max="2" width="3.7109375" style="33" customWidth="1"/>
    <col min="3" max="3" width="46.140625" style="33" customWidth="1"/>
    <col min="4" max="4" width="12" style="29" customWidth="1"/>
    <col min="5" max="34" width="5.7109375" style="29" customWidth="1"/>
    <col min="35" max="49" width="5.7109375" hidden="1" customWidth="1"/>
    <col min="50" max="16384" width="9.140625" hidden="1"/>
  </cols>
  <sheetData>
    <row r="1" spans="1:34" ht="15" customHeight="1">
      <c r="A1" s="803" t="s">
        <v>253</v>
      </c>
      <c r="B1" s="803"/>
      <c r="C1" s="803"/>
      <c r="D1" s="803"/>
      <c r="E1" s="803"/>
      <c r="F1" s="803"/>
      <c r="G1" s="803"/>
      <c r="H1" s="803"/>
      <c r="I1" s="803"/>
      <c r="J1" s="803"/>
      <c r="K1" s="803"/>
      <c r="L1" s="803"/>
      <c r="M1" s="803"/>
      <c r="N1" s="803"/>
      <c r="O1" s="803"/>
      <c r="P1" s="803"/>
      <c r="Q1" s="803"/>
      <c r="R1" s="803"/>
      <c r="S1" s="803"/>
      <c r="T1" s="803"/>
      <c r="U1" s="803"/>
      <c r="V1" s="803"/>
      <c r="W1" s="803"/>
      <c r="X1" s="803"/>
      <c r="Y1" s="803"/>
      <c r="Z1" s="803"/>
      <c r="AA1" s="803"/>
      <c r="AB1" s="803"/>
      <c r="AC1" s="803"/>
      <c r="AD1" s="803"/>
      <c r="AE1" s="803"/>
      <c r="AF1" s="803"/>
      <c r="AG1" s="803"/>
      <c r="AH1" s="803"/>
    </row>
    <row r="2" spans="1:34" ht="15" customHeight="1">
      <c r="A2" s="803"/>
      <c r="B2" s="803"/>
      <c r="C2" s="803"/>
      <c r="D2" s="803"/>
      <c r="E2" s="803"/>
      <c r="F2" s="803"/>
      <c r="G2" s="803"/>
      <c r="H2" s="803"/>
      <c r="I2" s="803"/>
      <c r="J2" s="803"/>
      <c r="K2" s="803"/>
      <c r="L2" s="803"/>
      <c r="M2" s="803"/>
      <c r="N2" s="803"/>
      <c r="O2" s="803"/>
      <c r="P2" s="803"/>
      <c r="Q2" s="803"/>
      <c r="R2" s="803"/>
      <c r="S2" s="803"/>
      <c r="T2" s="803"/>
      <c r="U2" s="803"/>
      <c r="V2" s="803"/>
      <c r="W2" s="803"/>
      <c r="X2" s="803"/>
      <c r="Y2" s="803"/>
      <c r="Z2" s="803"/>
      <c r="AA2" s="803"/>
      <c r="AB2" s="803"/>
      <c r="AC2" s="803"/>
      <c r="AD2" s="803"/>
      <c r="AE2" s="803"/>
      <c r="AF2" s="803"/>
      <c r="AG2" s="803"/>
      <c r="AH2" s="803"/>
    </row>
    <row r="3" spans="1:34" ht="15" customHeight="1">
      <c r="B3" s="804"/>
      <c r="C3" s="804"/>
      <c r="D3" s="80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row>
    <row r="4" spans="1:34" ht="15" customHeight="1">
      <c r="B4" s="805" t="s">
        <v>5</v>
      </c>
      <c r="C4" s="805" t="s">
        <v>125</v>
      </c>
      <c r="D4" s="806" t="s">
        <v>126</v>
      </c>
      <c r="E4" s="807" t="s">
        <v>57</v>
      </c>
      <c r="F4" s="807"/>
      <c r="G4" s="807"/>
      <c r="H4" s="807"/>
      <c r="I4" s="807"/>
      <c r="J4" s="807"/>
      <c r="K4" s="807"/>
      <c r="L4" s="807"/>
      <c r="M4" s="807"/>
      <c r="N4" s="807"/>
      <c r="O4" s="807"/>
      <c r="P4" s="807"/>
      <c r="Q4" s="807"/>
      <c r="R4" s="807"/>
      <c r="S4" s="807"/>
      <c r="T4" s="807"/>
      <c r="U4" s="807"/>
      <c r="V4" s="807"/>
      <c r="W4" s="807"/>
      <c r="X4" s="807"/>
      <c r="Y4" s="807"/>
      <c r="Z4" s="807"/>
      <c r="AA4" s="807"/>
      <c r="AB4" s="807"/>
      <c r="AC4" s="807"/>
      <c r="AD4" s="807"/>
      <c r="AE4" s="807"/>
      <c r="AF4" s="807"/>
      <c r="AG4" s="807"/>
      <c r="AH4" s="807"/>
    </row>
    <row r="5" spans="1:34" ht="12.75" customHeight="1">
      <c r="B5" s="805"/>
      <c r="C5" s="805"/>
      <c r="D5" s="806"/>
      <c r="E5" s="35" t="str">
        <f>DATASISWA!$F$8</f>
        <v>Dita</v>
      </c>
      <c r="F5" s="35" t="str">
        <f>DATASISWA!$F$9</f>
        <v>Annisa</v>
      </c>
      <c r="G5" s="35" t="str">
        <f>DATASISWA!$F$10</f>
        <v>Kiki</v>
      </c>
      <c r="H5" s="35" t="str">
        <f>DATASISWA!$F$11</f>
        <v>Lily</v>
      </c>
      <c r="I5" s="35" t="str">
        <f>DATASISWA!$F$12</f>
        <v>Rere</v>
      </c>
      <c r="J5" s="35" t="str">
        <f>DATASISWA!$F$13</f>
        <v>Fadhil</v>
      </c>
      <c r="K5" s="35" t="str">
        <f>DATASISWA!$F$14</f>
        <v>Yuefa</v>
      </c>
      <c r="L5" s="35" t="str">
        <f>DATASISWA!$F$15</f>
        <v>Ria</v>
      </c>
      <c r="M5" s="35" t="str">
        <f>DATASISWA!$F$16</f>
        <v>Tiara</v>
      </c>
      <c r="N5" s="35" t="str">
        <f>DATASISWA!$F$17</f>
        <v>Alvind</v>
      </c>
      <c r="O5" s="35" t="str">
        <f>DATASISWA!$F$18</f>
        <v>Icha</v>
      </c>
      <c r="P5" s="35" t="str">
        <f>DATASISWA!$F$19</f>
        <v>Qonita</v>
      </c>
      <c r="Q5" s="35" t="str">
        <f>DATASISWA!$F$20</f>
        <v>Anya</v>
      </c>
      <c r="R5" s="35" t="str">
        <f>DATASISWA!$F$21</f>
        <v>Radit</v>
      </c>
      <c r="S5" s="35" t="str">
        <f>DATASISWA!$F$22</f>
        <v>angel</v>
      </c>
      <c r="T5" s="35">
        <f>DATASISWA!$F$23</f>
        <v>0</v>
      </c>
      <c r="U5" s="35">
        <f>DATASISWA!$F$24</f>
        <v>0</v>
      </c>
      <c r="V5" s="35">
        <f>DATASISWA!$F$25</f>
        <v>0</v>
      </c>
      <c r="W5" s="35">
        <f>DATASISWA!$F$26</f>
        <v>0</v>
      </c>
      <c r="X5" s="35">
        <f>DATASISWA!$F$27</f>
        <v>0</v>
      </c>
      <c r="Y5" s="35">
        <f>DATASISWA!$F$28</f>
        <v>0</v>
      </c>
      <c r="Z5" s="35">
        <f>DATASISWA!$F$29</f>
        <v>0</v>
      </c>
      <c r="AA5" s="35">
        <f>DATASISWA!$F$30</f>
        <v>0</v>
      </c>
      <c r="AB5" s="35">
        <f>DATASISWA!$F$31</f>
        <v>0</v>
      </c>
      <c r="AC5" s="35">
        <f>DATASISWA!$F$32</f>
        <v>0</v>
      </c>
      <c r="AD5" s="35">
        <f>DATASISWA!$F$33</f>
        <v>0</v>
      </c>
      <c r="AE5" s="35">
        <f>DATASISWA!$F$34</f>
        <v>0</v>
      </c>
      <c r="AF5" s="35">
        <f>DATASISWA!$F$35</f>
        <v>0</v>
      </c>
      <c r="AG5" s="35">
        <f>DATASISWA!$F$36</f>
        <v>0</v>
      </c>
      <c r="AH5" s="35">
        <f>DATASISWA!$F$37</f>
        <v>0</v>
      </c>
    </row>
    <row r="6" spans="1:34" ht="27" customHeight="1" thickBot="1">
      <c r="A6" s="30"/>
      <c r="B6" s="800">
        <v>1</v>
      </c>
      <c r="C6" s="809" t="s">
        <v>1836</v>
      </c>
      <c r="D6" s="810"/>
      <c r="E6" s="97">
        <f>IFERROR(AVERAGE(E7:E15),"")</f>
        <v>94.375</v>
      </c>
      <c r="F6" s="97">
        <f t="shared" ref="F6:AA6" si="0">IFERROR(AVERAGE(F7:F15),"")</f>
        <v>88.571428571428569</v>
      </c>
      <c r="G6" s="97">
        <f t="shared" si="0"/>
        <v>93.75</v>
      </c>
      <c r="H6" s="97">
        <f t="shared" si="0"/>
        <v>92.5</v>
      </c>
      <c r="I6" s="97">
        <f t="shared" si="0"/>
        <v>97.5</v>
      </c>
      <c r="J6" s="97">
        <f t="shared" si="0"/>
        <v>99.375</v>
      </c>
      <c r="K6" s="97">
        <f t="shared" si="0"/>
        <v>96.25</v>
      </c>
      <c r="L6" s="97">
        <f t="shared" si="0"/>
        <v>94.375</v>
      </c>
      <c r="M6" s="97">
        <f t="shared" si="0"/>
        <v>98.75</v>
      </c>
      <c r="N6" s="97">
        <f t="shared" si="0"/>
        <v>97.5</v>
      </c>
      <c r="O6" s="97">
        <f t="shared" si="0"/>
        <v>97.5</v>
      </c>
      <c r="P6" s="97">
        <f t="shared" si="0"/>
        <v>96.875</v>
      </c>
      <c r="Q6" s="97">
        <f t="shared" si="0"/>
        <v>94.375</v>
      </c>
      <c r="R6" s="97">
        <f t="shared" si="0"/>
        <v>96.875</v>
      </c>
      <c r="S6" s="97">
        <f t="shared" si="0"/>
        <v>93.333333333333329</v>
      </c>
      <c r="T6" s="97">
        <f t="shared" si="0"/>
        <v>95</v>
      </c>
      <c r="U6" s="97">
        <f t="shared" si="0"/>
        <v>97.5</v>
      </c>
      <c r="V6" s="97">
        <f t="shared" si="0"/>
        <v>94.375</v>
      </c>
      <c r="W6" s="97">
        <f t="shared" si="0"/>
        <v>90</v>
      </c>
      <c r="X6" s="97">
        <f t="shared" si="0"/>
        <v>94.375</v>
      </c>
      <c r="Y6" s="97">
        <f t="shared" si="0"/>
        <v>94.375</v>
      </c>
      <c r="Z6" s="97">
        <f t="shared" si="0"/>
        <v>93.75</v>
      </c>
      <c r="AA6" s="97">
        <f t="shared" si="0"/>
        <v>96.25</v>
      </c>
      <c r="AB6" s="97">
        <f t="shared" ref="AB6:AH6" si="1">IFERROR(AVERAGE(AB7:AB15),"")</f>
        <v>95</v>
      </c>
      <c r="AC6" s="97" t="str">
        <f t="shared" si="1"/>
        <v/>
      </c>
      <c r="AD6" s="97" t="str">
        <f t="shared" si="1"/>
        <v/>
      </c>
      <c r="AE6" s="97" t="str">
        <f t="shared" si="1"/>
        <v/>
      </c>
      <c r="AF6" s="97" t="str">
        <f t="shared" si="1"/>
        <v/>
      </c>
      <c r="AG6" s="97" t="str">
        <f t="shared" si="1"/>
        <v/>
      </c>
      <c r="AH6" s="97" t="str">
        <f t="shared" si="1"/>
        <v/>
      </c>
    </row>
    <row r="7" spans="1:34" ht="27" customHeight="1" thickTop="1">
      <c r="A7" s="30"/>
      <c r="B7" s="801"/>
      <c r="C7" s="504" t="s">
        <v>1513</v>
      </c>
      <c r="D7" s="505" t="s">
        <v>1514</v>
      </c>
      <c r="E7" s="640">
        <v>90</v>
      </c>
      <c r="F7" s="640">
        <v>75</v>
      </c>
      <c r="G7" s="640">
        <v>95</v>
      </c>
      <c r="H7" s="640">
        <v>70</v>
      </c>
      <c r="I7" s="640">
        <v>90</v>
      </c>
      <c r="J7" s="640">
        <v>100</v>
      </c>
      <c r="K7" s="640">
        <v>80</v>
      </c>
      <c r="L7" s="640">
        <v>75</v>
      </c>
      <c r="M7" s="640">
        <v>100</v>
      </c>
      <c r="N7" s="640">
        <v>90</v>
      </c>
      <c r="O7" s="640">
        <v>90</v>
      </c>
      <c r="P7" s="640">
        <v>90</v>
      </c>
      <c r="Q7" s="640">
        <v>75</v>
      </c>
      <c r="R7" s="640">
        <v>90</v>
      </c>
      <c r="S7" s="640">
        <v>100</v>
      </c>
      <c r="T7" s="640">
        <v>100</v>
      </c>
      <c r="U7" s="640">
        <v>100</v>
      </c>
      <c r="V7" s="640">
        <v>80</v>
      </c>
      <c r="W7" s="640">
        <v>70</v>
      </c>
      <c r="X7" s="640">
        <v>90</v>
      </c>
      <c r="Y7" s="640">
        <v>80</v>
      </c>
      <c r="Z7" s="640">
        <v>100</v>
      </c>
      <c r="AA7" s="640">
        <v>80</v>
      </c>
      <c r="AB7" s="640">
        <v>80</v>
      </c>
      <c r="AC7" s="98"/>
      <c r="AD7" s="98"/>
      <c r="AE7" s="98"/>
      <c r="AF7" s="98"/>
      <c r="AG7" s="98"/>
      <c r="AH7" s="98"/>
    </row>
    <row r="8" spans="1:34" s="476" customFormat="1" ht="31.5" customHeight="1">
      <c r="A8" s="30"/>
      <c r="B8" s="801"/>
      <c r="C8" s="506" t="s">
        <v>1515</v>
      </c>
      <c r="D8" s="507" t="s">
        <v>1437</v>
      </c>
      <c r="E8" s="640">
        <v>100</v>
      </c>
      <c r="F8" s="640">
        <v>95</v>
      </c>
      <c r="G8" s="640">
        <v>100</v>
      </c>
      <c r="H8" s="640">
        <v>100</v>
      </c>
      <c r="I8" s="640">
        <v>100</v>
      </c>
      <c r="J8" s="640">
        <v>100</v>
      </c>
      <c r="K8" s="640">
        <v>100</v>
      </c>
      <c r="L8" s="640">
        <v>100</v>
      </c>
      <c r="M8" s="640">
        <v>100</v>
      </c>
      <c r="N8" s="640">
        <v>100</v>
      </c>
      <c r="O8" s="640">
        <v>100</v>
      </c>
      <c r="P8" s="640">
        <v>100</v>
      </c>
      <c r="Q8" s="640">
        <v>100</v>
      </c>
      <c r="R8" s="640">
        <v>95</v>
      </c>
      <c r="S8" s="640">
        <v>95</v>
      </c>
      <c r="T8" s="640">
        <v>95</v>
      </c>
      <c r="U8" s="640">
        <v>100</v>
      </c>
      <c r="V8" s="640">
        <v>100</v>
      </c>
      <c r="W8" s="640">
        <v>100</v>
      </c>
      <c r="X8" s="640">
        <v>100</v>
      </c>
      <c r="Y8" s="640">
        <v>100</v>
      </c>
      <c r="Z8" s="640">
        <v>100</v>
      </c>
      <c r="AA8" s="640">
        <v>100</v>
      </c>
      <c r="AB8" s="640">
        <v>100</v>
      </c>
      <c r="AC8" s="98"/>
      <c r="AD8" s="98"/>
      <c r="AE8" s="98"/>
      <c r="AF8" s="98"/>
      <c r="AG8" s="98"/>
      <c r="AH8" s="98"/>
    </row>
    <row r="9" spans="1:34" s="476" customFormat="1" ht="27" customHeight="1">
      <c r="A9" s="30"/>
      <c r="B9" s="801"/>
      <c r="C9" s="506" t="s">
        <v>1516</v>
      </c>
      <c r="D9" s="507" t="s">
        <v>1408</v>
      </c>
      <c r="E9" s="644">
        <v>95</v>
      </c>
      <c r="F9" s="644">
        <v>80</v>
      </c>
      <c r="G9" s="644">
        <v>90</v>
      </c>
      <c r="H9" s="644">
        <v>90</v>
      </c>
      <c r="I9" s="644">
        <v>100</v>
      </c>
      <c r="J9" s="644">
        <v>100</v>
      </c>
      <c r="K9" s="644">
        <v>100</v>
      </c>
      <c r="L9" s="644">
        <v>100</v>
      </c>
      <c r="M9" s="644">
        <v>100</v>
      </c>
      <c r="N9" s="644">
        <v>90</v>
      </c>
      <c r="O9" s="644">
        <v>95</v>
      </c>
      <c r="P9" s="644">
        <v>90</v>
      </c>
      <c r="Q9" s="644">
        <v>90</v>
      </c>
      <c r="R9" s="644">
        <v>100</v>
      </c>
      <c r="S9" s="644">
        <v>100</v>
      </c>
      <c r="T9" s="644">
        <v>90</v>
      </c>
      <c r="U9" s="644">
        <v>100</v>
      </c>
      <c r="V9" s="644">
        <v>90</v>
      </c>
      <c r="W9" s="644">
        <v>90</v>
      </c>
      <c r="X9" s="644">
        <v>90</v>
      </c>
      <c r="Y9" s="644">
        <v>100</v>
      </c>
      <c r="Z9" s="644">
        <v>100</v>
      </c>
      <c r="AA9" s="644">
        <v>100</v>
      </c>
      <c r="AB9" s="644">
        <v>95</v>
      </c>
      <c r="AC9" s="98"/>
      <c r="AD9" s="98"/>
      <c r="AE9" s="98"/>
      <c r="AF9" s="98"/>
      <c r="AG9" s="98"/>
      <c r="AH9" s="98"/>
    </row>
    <row r="10" spans="1:34" ht="33.75" customHeight="1">
      <c r="A10" s="30"/>
      <c r="B10" s="801"/>
      <c r="C10" s="508" t="s">
        <v>1517</v>
      </c>
      <c r="D10" s="507" t="s">
        <v>1410</v>
      </c>
      <c r="E10" s="644">
        <v>90</v>
      </c>
      <c r="F10" s="644">
        <v>90</v>
      </c>
      <c r="G10" s="644">
        <v>90</v>
      </c>
      <c r="H10" s="644">
        <v>100</v>
      </c>
      <c r="I10" s="644">
        <v>90</v>
      </c>
      <c r="J10" s="644">
        <v>95</v>
      </c>
      <c r="K10" s="644">
        <v>95</v>
      </c>
      <c r="L10" s="644">
        <v>100</v>
      </c>
      <c r="M10" s="644">
        <v>100</v>
      </c>
      <c r="N10" s="644">
        <v>100</v>
      </c>
      <c r="O10" s="644">
        <v>100</v>
      </c>
      <c r="P10" s="644">
        <v>95</v>
      </c>
      <c r="Q10" s="644">
        <v>100</v>
      </c>
      <c r="R10" s="644">
        <v>100</v>
      </c>
      <c r="S10" s="644">
        <v>70</v>
      </c>
      <c r="T10" s="644">
        <v>95</v>
      </c>
      <c r="U10" s="644">
        <v>100</v>
      </c>
      <c r="V10" s="644">
        <v>100</v>
      </c>
      <c r="W10" s="644">
        <v>90</v>
      </c>
      <c r="X10" s="644">
        <v>100</v>
      </c>
      <c r="Y10" s="644">
        <v>90</v>
      </c>
      <c r="Z10" s="644">
        <v>75</v>
      </c>
      <c r="AA10" s="644">
        <v>100</v>
      </c>
      <c r="AB10" s="644">
        <v>95</v>
      </c>
      <c r="AC10" s="98"/>
      <c r="AD10" s="98"/>
      <c r="AE10" s="98"/>
      <c r="AF10" s="98"/>
      <c r="AG10" s="98"/>
      <c r="AH10" s="98"/>
    </row>
    <row r="11" spans="1:34" ht="27" customHeight="1">
      <c r="A11" s="30"/>
      <c r="B11" s="801"/>
      <c r="C11" s="508" t="s">
        <v>1518</v>
      </c>
      <c r="D11" s="507" t="s">
        <v>1498</v>
      </c>
      <c r="E11" s="636">
        <v>90</v>
      </c>
      <c r="F11" s="636"/>
      <c r="G11" s="636">
        <v>90</v>
      </c>
      <c r="H11" s="636">
        <v>90</v>
      </c>
      <c r="I11" s="636">
        <v>100</v>
      </c>
      <c r="J11" s="636">
        <v>100</v>
      </c>
      <c r="K11" s="636">
        <v>100</v>
      </c>
      <c r="L11" s="636">
        <v>80</v>
      </c>
      <c r="M11" s="636">
        <v>95</v>
      </c>
      <c r="N11" s="636">
        <v>100</v>
      </c>
      <c r="O11" s="636">
        <v>100</v>
      </c>
      <c r="P11" s="636">
        <v>100</v>
      </c>
      <c r="Q11" s="636">
        <v>100</v>
      </c>
      <c r="R11" s="636">
        <v>100</v>
      </c>
      <c r="S11" s="636"/>
      <c r="T11" s="636">
        <v>90</v>
      </c>
      <c r="U11" s="636">
        <v>90</v>
      </c>
      <c r="V11" s="636">
        <v>100</v>
      </c>
      <c r="W11" s="636">
        <v>100</v>
      </c>
      <c r="X11" s="636">
        <v>100</v>
      </c>
      <c r="Y11" s="636">
        <v>90</v>
      </c>
      <c r="Z11" s="636">
        <v>90</v>
      </c>
      <c r="AA11" s="636">
        <v>90</v>
      </c>
      <c r="AB11" s="636">
        <v>90</v>
      </c>
      <c r="AC11" s="98"/>
      <c r="AD11" s="98"/>
      <c r="AE11" s="98"/>
      <c r="AF11" s="98"/>
      <c r="AG11" s="98"/>
      <c r="AH11" s="98"/>
    </row>
    <row r="12" spans="1:34" ht="27" customHeight="1">
      <c r="A12" s="30"/>
      <c r="B12" s="801"/>
      <c r="C12" s="506" t="s">
        <v>1519</v>
      </c>
      <c r="D12" s="507" t="s">
        <v>1520</v>
      </c>
      <c r="E12" s="636">
        <v>90</v>
      </c>
      <c r="F12" s="636">
        <v>100</v>
      </c>
      <c r="G12" s="636">
        <v>100</v>
      </c>
      <c r="H12" s="636">
        <v>100</v>
      </c>
      <c r="I12" s="636">
        <v>100</v>
      </c>
      <c r="J12" s="636">
        <v>100</v>
      </c>
      <c r="K12" s="636">
        <v>95</v>
      </c>
      <c r="L12" s="636">
        <v>100</v>
      </c>
      <c r="M12" s="636">
        <v>100</v>
      </c>
      <c r="N12" s="636">
        <v>100</v>
      </c>
      <c r="O12" s="636">
        <v>100</v>
      </c>
      <c r="P12" s="636">
        <v>100</v>
      </c>
      <c r="Q12" s="636">
        <v>95</v>
      </c>
      <c r="R12" s="636">
        <v>100</v>
      </c>
      <c r="S12" s="636"/>
      <c r="T12" s="636">
        <v>90</v>
      </c>
      <c r="U12" s="636">
        <v>100</v>
      </c>
      <c r="V12" s="636">
        <v>85</v>
      </c>
      <c r="W12" s="636">
        <v>80</v>
      </c>
      <c r="X12" s="636">
        <v>80</v>
      </c>
      <c r="Y12" s="636">
        <v>95</v>
      </c>
      <c r="Z12" s="636">
        <v>95</v>
      </c>
      <c r="AA12" s="636">
        <v>100</v>
      </c>
      <c r="AB12" s="636">
        <v>100</v>
      </c>
      <c r="AC12" s="98"/>
      <c r="AD12" s="98"/>
      <c r="AE12" s="98"/>
      <c r="AF12" s="98"/>
      <c r="AG12" s="98"/>
      <c r="AH12" s="98"/>
    </row>
    <row r="13" spans="1:34" ht="27" customHeight="1">
      <c r="A13" s="30"/>
      <c r="B13" s="801"/>
      <c r="C13" s="508" t="s">
        <v>1521</v>
      </c>
      <c r="D13" s="507" t="s">
        <v>1467</v>
      </c>
      <c r="E13" s="628">
        <v>100</v>
      </c>
      <c r="F13" s="628">
        <v>90</v>
      </c>
      <c r="G13" s="628">
        <v>95</v>
      </c>
      <c r="H13" s="628">
        <v>100</v>
      </c>
      <c r="I13" s="628">
        <v>100</v>
      </c>
      <c r="J13" s="628">
        <v>100</v>
      </c>
      <c r="K13" s="628">
        <v>100</v>
      </c>
      <c r="L13" s="628">
        <v>100</v>
      </c>
      <c r="M13" s="628">
        <v>95</v>
      </c>
      <c r="N13" s="628">
        <v>100</v>
      </c>
      <c r="O13" s="628">
        <v>95</v>
      </c>
      <c r="P13" s="628">
        <v>100</v>
      </c>
      <c r="Q13" s="628">
        <v>95</v>
      </c>
      <c r="R13" s="628">
        <v>90</v>
      </c>
      <c r="S13" s="628">
        <v>95</v>
      </c>
      <c r="T13" s="628">
        <v>100</v>
      </c>
      <c r="U13" s="628">
        <v>100</v>
      </c>
      <c r="V13" s="628">
        <v>100</v>
      </c>
      <c r="W13" s="628"/>
      <c r="X13" s="628">
        <v>95</v>
      </c>
      <c r="Y13" s="628">
        <v>100</v>
      </c>
      <c r="Z13" s="628">
        <v>90</v>
      </c>
      <c r="AA13" s="628">
        <v>100</v>
      </c>
      <c r="AB13" s="628">
        <v>100</v>
      </c>
      <c r="AC13" s="98"/>
      <c r="AD13" s="98"/>
      <c r="AE13" s="98"/>
      <c r="AF13" s="98"/>
      <c r="AG13" s="98"/>
      <c r="AH13" s="98"/>
    </row>
    <row r="14" spans="1:34" ht="27" customHeight="1">
      <c r="A14" s="30"/>
      <c r="B14" s="801"/>
      <c r="C14" s="508" t="s">
        <v>1522</v>
      </c>
      <c r="D14" s="507" t="s">
        <v>1523</v>
      </c>
      <c r="E14" s="628">
        <v>100</v>
      </c>
      <c r="F14" s="628">
        <v>90</v>
      </c>
      <c r="G14" s="628">
        <v>90</v>
      </c>
      <c r="H14" s="628">
        <v>90</v>
      </c>
      <c r="I14" s="628">
        <v>100</v>
      </c>
      <c r="J14" s="628">
        <v>100</v>
      </c>
      <c r="K14" s="628">
        <v>100</v>
      </c>
      <c r="L14" s="628">
        <v>100</v>
      </c>
      <c r="M14" s="628">
        <v>100</v>
      </c>
      <c r="N14" s="628">
        <v>100</v>
      </c>
      <c r="O14" s="628">
        <v>100</v>
      </c>
      <c r="P14" s="628">
        <v>100</v>
      </c>
      <c r="Q14" s="628">
        <v>100</v>
      </c>
      <c r="R14" s="628">
        <v>100</v>
      </c>
      <c r="S14" s="628">
        <v>100</v>
      </c>
      <c r="T14" s="628">
        <v>100</v>
      </c>
      <c r="U14" s="628">
        <v>90</v>
      </c>
      <c r="V14" s="628">
        <v>100</v>
      </c>
      <c r="W14" s="628">
        <v>100</v>
      </c>
      <c r="X14" s="628">
        <v>100</v>
      </c>
      <c r="Y14" s="628">
        <v>100</v>
      </c>
      <c r="Z14" s="628">
        <v>100</v>
      </c>
      <c r="AA14" s="628">
        <v>100</v>
      </c>
      <c r="AB14" s="628">
        <v>100</v>
      </c>
      <c r="AC14" s="98"/>
      <c r="AD14" s="98"/>
      <c r="AE14" s="98"/>
      <c r="AF14" s="98"/>
      <c r="AG14" s="98"/>
      <c r="AH14" s="98"/>
    </row>
    <row r="15" spans="1:34" ht="27" customHeight="1">
      <c r="A15" s="30"/>
      <c r="B15" s="802"/>
      <c r="C15" s="74"/>
      <c r="D15" s="72"/>
      <c r="E15" s="98"/>
      <c r="F15" s="98"/>
      <c r="G15" s="98"/>
      <c r="H15" s="98"/>
      <c r="I15" s="98"/>
      <c r="J15" s="98"/>
      <c r="K15" s="98"/>
      <c r="L15" s="98"/>
      <c r="M15" s="98"/>
      <c r="N15" s="98"/>
      <c r="O15" s="98"/>
      <c r="P15" s="98"/>
      <c r="Q15" s="98"/>
      <c r="R15" s="98"/>
      <c r="S15" s="98"/>
      <c r="T15" s="98"/>
      <c r="U15" s="98"/>
      <c r="V15" s="98"/>
      <c r="W15" s="98"/>
      <c r="X15" s="98"/>
      <c r="Y15" s="98"/>
      <c r="Z15" s="98"/>
      <c r="AA15" s="98"/>
      <c r="AB15" s="98"/>
      <c r="AC15" s="98"/>
      <c r="AD15" s="98"/>
      <c r="AE15" s="98"/>
      <c r="AF15" s="98"/>
      <c r="AG15" s="98"/>
      <c r="AH15" s="98"/>
    </row>
    <row r="16" spans="1:34" ht="27" customHeight="1" thickBot="1">
      <c r="A16" s="30"/>
      <c r="B16" s="800">
        <v>2</v>
      </c>
      <c r="C16" s="811" t="s">
        <v>1837</v>
      </c>
      <c r="D16" s="812"/>
      <c r="E16" s="97">
        <f>IFERROR(AVERAGE(E17:E25),"")</f>
        <v>96.25</v>
      </c>
      <c r="F16" s="97">
        <f t="shared" ref="F16:AA16" si="2">IFERROR(AVERAGE(F17:F25),"")</f>
        <v>92.5</v>
      </c>
      <c r="G16" s="97">
        <f t="shared" si="2"/>
        <v>91.285714285714292</v>
      </c>
      <c r="H16" s="97">
        <f t="shared" si="2"/>
        <v>96.875</v>
      </c>
      <c r="I16" s="97">
        <f t="shared" si="2"/>
        <v>97.5</v>
      </c>
      <c r="J16" s="97">
        <f t="shared" si="2"/>
        <v>96.25</v>
      </c>
      <c r="K16" s="97">
        <f t="shared" si="2"/>
        <v>98.75</v>
      </c>
      <c r="L16" s="97">
        <f t="shared" si="2"/>
        <v>97.5</v>
      </c>
      <c r="M16" s="97">
        <f t="shared" si="2"/>
        <v>93.125</v>
      </c>
      <c r="N16" s="97">
        <f t="shared" si="2"/>
        <v>100</v>
      </c>
      <c r="O16" s="97">
        <f t="shared" si="2"/>
        <v>97.5</v>
      </c>
      <c r="P16" s="97">
        <f t="shared" si="2"/>
        <v>95</v>
      </c>
      <c r="Q16" s="97">
        <f t="shared" si="2"/>
        <v>96.875</v>
      </c>
      <c r="R16" s="97">
        <f t="shared" si="2"/>
        <v>95</v>
      </c>
      <c r="S16" s="97">
        <f t="shared" si="2"/>
        <v>88.125</v>
      </c>
      <c r="T16" s="97">
        <f t="shared" si="2"/>
        <v>95.625</v>
      </c>
      <c r="U16" s="97">
        <f t="shared" si="2"/>
        <v>100</v>
      </c>
      <c r="V16" s="97">
        <f t="shared" si="2"/>
        <v>92.5</v>
      </c>
      <c r="W16" s="97">
        <f t="shared" si="2"/>
        <v>93</v>
      </c>
      <c r="X16" s="97">
        <f t="shared" si="2"/>
        <v>93.125</v>
      </c>
      <c r="Y16" s="97">
        <f t="shared" si="2"/>
        <v>93.75</v>
      </c>
      <c r="Z16" s="97">
        <f t="shared" si="2"/>
        <v>96.875</v>
      </c>
      <c r="AA16" s="97">
        <f t="shared" si="2"/>
        <v>98.75</v>
      </c>
      <c r="AB16" s="97">
        <f t="shared" ref="AB16:AH16" si="3">IFERROR(AVERAGE(AB17:AB25),"")</f>
        <v>96.875</v>
      </c>
      <c r="AC16" s="97" t="str">
        <f t="shared" si="3"/>
        <v/>
      </c>
      <c r="AD16" s="97" t="str">
        <f t="shared" si="3"/>
        <v/>
      </c>
      <c r="AE16" s="97" t="str">
        <f t="shared" si="3"/>
        <v/>
      </c>
      <c r="AF16" s="97" t="str">
        <f t="shared" si="3"/>
        <v/>
      </c>
      <c r="AG16" s="97" t="str">
        <f t="shared" si="3"/>
        <v/>
      </c>
      <c r="AH16" s="97" t="str">
        <f t="shared" si="3"/>
        <v/>
      </c>
    </row>
    <row r="17" spans="1:34" ht="27" customHeight="1" thickTop="1">
      <c r="A17" s="30"/>
      <c r="B17" s="801"/>
      <c r="C17" s="509" t="s">
        <v>1524</v>
      </c>
      <c r="D17" s="510" t="s">
        <v>1388</v>
      </c>
      <c r="E17" s="631">
        <v>80</v>
      </c>
      <c r="F17" s="631">
        <v>100</v>
      </c>
      <c r="G17" s="631">
        <v>89</v>
      </c>
      <c r="H17" s="631">
        <v>100</v>
      </c>
      <c r="I17" s="631">
        <v>100</v>
      </c>
      <c r="J17" s="631">
        <v>90</v>
      </c>
      <c r="K17" s="631">
        <v>100</v>
      </c>
      <c r="L17" s="631">
        <v>100</v>
      </c>
      <c r="M17" s="631">
        <v>90</v>
      </c>
      <c r="N17" s="631">
        <v>100</v>
      </c>
      <c r="O17" s="631">
        <v>100</v>
      </c>
      <c r="P17" s="631">
        <v>100</v>
      </c>
      <c r="Q17" s="631">
        <v>100</v>
      </c>
      <c r="R17" s="631">
        <v>85</v>
      </c>
      <c r="S17" s="631">
        <v>90</v>
      </c>
      <c r="T17" s="631">
        <v>95</v>
      </c>
      <c r="U17" s="631">
        <v>100</v>
      </c>
      <c r="V17" s="631">
        <v>100</v>
      </c>
      <c r="W17" s="631">
        <v>94</v>
      </c>
      <c r="X17" s="631">
        <v>90</v>
      </c>
      <c r="Y17" s="631">
        <v>100</v>
      </c>
      <c r="Z17" s="631">
        <v>90</v>
      </c>
      <c r="AA17" s="631">
        <v>100</v>
      </c>
      <c r="AB17" s="631">
        <v>100</v>
      </c>
      <c r="AC17" s="98"/>
      <c r="AD17" s="98"/>
      <c r="AE17" s="98"/>
      <c r="AF17" s="98"/>
      <c r="AG17" s="98"/>
      <c r="AH17" s="98"/>
    </row>
    <row r="18" spans="1:34" ht="27" customHeight="1">
      <c r="A18" s="30"/>
      <c r="B18" s="801"/>
      <c r="C18" s="511" t="s">
        <v>1525</v>
      </c>
      <c r="D18" s="512" t="s">
        <v>1390</v>
      </c>
      <c r="E18" s="631">
        <v>100</v>
      </c>
      <c r="F18" s="631">
        <v>100</v>
      </c>
      <c r="G18" s="631">
        <v>100</v>
      </c>
      <c r="H18" s="631">
        <v>100</v>
      </c>
      <c r="I18" s="631">
        <v>100</v>
      </c>
      <c r="J18" s="631">
        <v>100</v>
      </c>
      <c r="K18" s="631">
        <v>100</v>
      </c>
      <c r="L18" s="631">
        <v>100</v>
      </c>
      <c r="M18" s="631">
        <v>100</v>
      </c>
      <c r="N18" s="631">
        <v>100</v>
      </c>
      <c r="O18" s="631">
        <v>100</v>
      </c>
      <c r="P18" s="631">
        <v>100</v>
      </c>
      <c r="Q18" s="631">
        <v>100</v>
      </c>
      <c r="R18" s="631">
        <v>95</v>
      </c>
      <c r="S18" s="631">
        <v>95</v>
      </c>
      <c r="T18" s="631">
        <v>100</v>
      </c>
      <c r="U18" s="631">
        <v>100</v>
      </c>
      <c r="V18" s="631">
        <v>70</v>
      </c>
      <c r="W18" s="631">
        <v>90</v>
      </c>
      <c r="X18" s="631">
        <v>90</v>
      </c>
      <c r="Y18" s="631">
        <v>100</v>
      </c>
      <c r="Z18" s="631">
        <v>100</v>
      </c>
      <c r="AA18" s="631">
        <v>100</v>
      </c>
      <c r="AB18" s="631">
        <v>100</v>
      </c>
      <c r="AC18" s="98"/>
      <c r="AD18" s="98"/>
      <c r="AE18" s="98"/>
      <c r="AF18" s="98"/>
      <c r="AG18" s="98"/>
      <c r="AH18" s="98"/>
    </row>
    <row r="19" spans="1:34" s="476" customFormat="1" ht="27" customHeight="1">
      <c r="A19" s="30"/>
      <c r="B19" s="801"/>
      <c r="C19" s="511" t="s">
        <v>1526</v>
      </c>
      <c r="D19" s="512" t="s">
        <v>1527</v>
      </c>
      <c r="E19" s="660">
        <v>100</v>
      </c>
      <c r="F19" s="660">
        <v>95</v>
      </c>
      <c r="G19" s="660">
        <v>100</v>
      </c>
      <c r="H19" s="660">
        <v>90</v>
      </c>
      <c r="I19" s="660">
        <v>100</v>
      </c>
      <c r="J19" s="660">
        <v>100</v>
      </c>
      <c r="K19" s="660">
        <v>100</v>
      </c>
      <c r="L19" s="660">
        <v>100</v>
      </c>
      <c r="M19" s="660">
        <v>100</v>
      </c>
      <c r="N19" s="660">
        <v>100</v>
      </c>
      <c r="O19" s="660">
        <v>100</v>
      </c>
      <c r="P19" s="660">
        <v>100</v>
      </c>
      <c r="Q19" s="660">
        <v>100</v>
      </c>
      <c r="R19" s="660">
        <v>100</v>
      </c>
      <c r="S19" s="660">
        <v>100</v>
      </c>
      <c r="T19" s="660">
        <v>100</v>
      </c>
      <c r="U19" s="660">
        <v>100</v>
      </c>
      <c r="V19" s="660">
        <v>100</v>
      </c>
      <c r="W19" s="660">
        <v>100</v>
      </c>
      <c r="X19" s="660">
        <v>100</v>
      </c>
      <c r="Y19" s="660">
        <v>100</v>
      </c>
      <c r="Z19" s="660">
        <v>100</v>
      </c>
      <c r="AA19" s="660">
        <v>100</v>
      </c>
      <c r="AB19" s="660">
        <v>100</v>
      </c>
      <c r="AC19" s="98"/>
      <c r="AD19" s="98"/>
      <c r="AE19" s="98"/>
      <c r="AF19" s="98"/>
      <c r="AG19" s="98"/>
      <c r="AH19" s="98"/>
    </row>
    <row r="20" spans="1:34" s="476" customFormat="1" ht="27" customHeight="1">
      <c r="A20" s="30"/>
      <c r="B20" s="801"/>
      <c r="C20" s="511" t="s">
        <v>1528</v>
      </c>
      <c r="D20" s="512" t="s">
        <v>1394</v>
      </c>
      <c r="E20" s="660">
        <v>100</v>
      </c>
      <c r="F20" s="660">
        <v>80</v>
      </c>
      <c r="G20" s="660">
        <v>90</v>
      </c>
      <c r="H20" s="660">
        <v>100</v>
      </c>
      <c r="I20" s="660">
        <v>100</v>
      </c>
      <c r="J20" s="660">
        <v>100</v>
      </c>
      <c r="K20" s="660">
        <v>100</v>
      </c>
      <c r="L20" s="660">
        <v>100</v>
      </c>
      <c r="M20" s="660">
        <v>90</v>
      </c>
      <c r="N20" s="660">
        <v>100</v>
      </c>
      <c r="O20" s="660">
        <v>100</v>
      </c>
      <c r="P20" s="660">
        <v>100</v>
      </c>
      <c r="Q20" s="660">
        <v>90</v>
      </c>
      <c r="R20" s="660">
        <v>90</v>
      </c>
      <c r="S20" s="660">
        <v>80</v>
      </c>
      <c r="T20" s="660">
        <v>90</v>
      </c>
      <c r="U20" s="660">
        <v>100</v>
      </c>
      <c r="V20" s="660">
        <v>100</v>
      </c>
      <c r="W20" s="660">
        <v>90</v>
      </c>
      <c r="X20" s="660">
        <v>90</v>
      </c>
      <c r="Y20" s="660">
        <v>95</v>
      </c>
      <c r="Z20" s="660">
        <v>90</v>
      </c>
      <c r="AA20" s="660">
        <v>100</v>
      </c>
      <c r="AB20" s="660">
        <v>95</v>
      </c>
      <c r="AC20" s="98"/>
      <c r="AD20" s="98"/>
      <c r="AE20" s="98"/>
      <c r="AF20" s="98"/>
      <c r="AG20" s="98"/>
      <c r="AH20" s="98"/>
    </row>
    <row r="21" spans="1:34" ht="27" customHeight="1">
      <c r="A21" s="30"/>
      <c r="B21" s="801"/>
      <c r="C21" s="513" t="s">
        <v>1529</v>
      </c>
      <c r="D21" s="514" t="s">
        <v>1482</v>
      </c>
      <c r="E21" s="628">
        <v>100</v>
      </c>
      <c r="F21" s="628">
        <v>100</v>
      </c>
      <c r="G21" s="628"/>
      <c r="H21" s="628">
        <v>100</v>
      </c>
      <c r="I21" s="628">
        <v>100</v>
      </c>
      <c r="J21" s="628">
        <v>100</v>
      </c>
      <c r="K21" s="628">
        <v>100</v>
      </c>
      <c r="L21" s="628">
        <v>100</v>
      </c>
      <c r="M21" s="628">
        <v>95</v>
      </c>
      <c r="N21" s="628">
        <v>100</v>
      </c>
      <c r="O21" s="628">
        <v>90</v>
      </c>
      <c r="P21" s="628">
        <v>100</v>
      </c>
      <c r="Q21" s="628">
        <v>100</v>
      </c>
      <c r="R21" s="628">
        <v>100</v>
      </c>
      <c r="S21" s="628">
        <v>90</v>
      </c>
      <c r="T21" s="628">
        <v>100</v>
      </c>
      <c r="U21" s="628">
        <v>100</v>
      </c>
      <c r="V21" s="628">
        <v>100</v>
      </c>
      <c r="W21" s="628">
        <v>100</v>
      </c>
      <c r="X21" s="628">
        <v>100</v>
      </c>
      <c r="Y21" s="628">
        <v>100</v>
      </c>
      <c r="Z21" s="628">
        <v>100</v>
      </c>
      <c r="AA21" s="628">
        <v>100</v>
      </c>
      <c r="AB21" s="628">
        <v>100</v>
      </c>
      <c r="AC21" s="98"/>
      <c r="AD21" s="98"/>
      <c r="AE21" s="98"/>
      <c r="AF21" s="98"/>
      <c r="AG21" s="98"/>
      <c r="AH21" s="98"/>
    </row>
    <row r="22" spans="1:34" ht="27" customHeight="1">
      <c r="A22" s="30"/>
      <c r="B22" s="801"/>
      <c r="C22" s="511" t="s">
        <v>1530</v>
      </c>
      <c r="D22" s="512" t="s">
        <v>1484</v>
      </c>
      <c r="E22" s="628">
        <v>90</v>
      </c>
      <c r="F22" s="628">
        <v>70</v>
      </c>
      <c r="G22" s="628">
        <v>80</v>
      </c>
      <c r="H22" s="628">
        <v>100</v>
      </c>
      <c r="I22" s="628">
        <v>90</v>
      </c>
      <c r="J22" s="628">
        <v>80</v>
      </c>
      <c r="K22" s="628">
        <v>90</v>
      </c>
      <c r="L22" s="628">
        <v>80</v>
      </c>
      <c r="M22" s="628">
        <v>70</v>
      </c>
      <c r="N22" s="628">
        <v>100</v>
      </c>
      <c r="O22" s="628">
        <v>90</v>
      </c>
      <c r="P22" s="628">
        <v>70</v>
      </c>
      <c r="Q22" s="628">
        <v>85</v>
      </c>
      <c r="R22" s="628">
        <v>90</v>
      </c>
      <c r="S22" s="628">
        <v>60</v>
      </c>
      <c r="T22" s="628">
        <v>90</v>
      </c>
      <c r="U22" s="628">
        <v>100</v>
      </c>
      <c r="V22" s="628">
        <v>70</v>
      </c>
      <c r="W22" s="628">
        <v>70</v>
      </c>
      <c r="X22" s="628">
        <v>90</v>
      </c>
      <c r="Y22" s="628">
        <v>80</v>
      </c>
      <c r="Z22" s="628">
        <v>95</v>
      </c>
      <c r="AA22" s="628">
        <v>90</v>
      </c>
      <c r="AB22" s="628">
        <v>80</v>
      </c>
      <c r="AC22" s="98"/>
      <c r="AD22" s="98"/>
      <c r="AE22" s="98"/>
      <c r="AF22" s="98"/>
      <c r="AG22" s="98"/>
      <c r="AH22" s="98"/>
    </row>
    <row r="23" spans="1:34" ht="27" customHeight="1">
      <c r="A23" s="30"/>
      <c r="B23" s="801"/>
      <c r="C23" s="511" t="s">
        <v>1531</v>
      </c>
      <c r="D23" s="512" t="s">
        <v>1451</v>
      </c>
      <c r="E23" s="672">
        <v>100</v>
      </c>
      <c r="F23" s="672">
        <v>95</v>
      </c>
      <c r="G23" s="672">
        <v>90</v>
      </c>
      <c r="H23" s="672">
        <v>95</v>
      </c>
      <c r="I23" s="672">
        <v>90</v>
      </c>
      <c r="J23" s="672">
        <v>100</v>
      </c>
      <c r="K23" s="672">
        <v>100</v>
      </c>
      <c r="L23" s="672">
        <v>100</v>
      </c>
      <c r="M23" s="672">
        <v>100</v>
      </c>
      <c r="N23" s="672">
        <v>100</v>
      </c>
      <c r="O23" s="672">
        <v>100</v>
      </c>
      <c r="P23" s="672">
        <v>100</v>
      </c>
      <c r="Q23" s="672">
        <v>100</v>
      </c>
      <c r="R23" s="672">
        <v>100</v>
      </c>
      <c r="S23" s="672">
        <v>100</v>
      </c>
      <c r="T23" s="672">
        <v>90</v>
      </c>
      <c r="U23" s="672">
        <v>100</v>
      </c>
      <c r="V23" s="672">
        <v>100</v>
      </c>
      <c r="W23" s="672">
        <v>100</v>
      </c>
      <c r="X23" s="672">
        <v>85</v>
      </c>
      <c r="Y23" s="672">
        <v>95</v>
      </c>
      <c r="Z23" s="672">
        <v>100</v>
      </c>
      <c r="AA23" s="672">
        <v>100</v>
      </c>
      <c r="AB23" s="672">
        <v>100</v>
      </c>
      <c r="AC23" s="98"/>
      <c r="AD23" s="98"/>
      <c r="AE23" s="98"/>
      <c r="AF23" s="98"/>
      <c r="AG23" s="98"/>
      <c r="AH23" s="98"/>
    </row>
    <row r="24" spans="1:34" ht="27" customHeight="1">
      <c r="A24" s="30"/>
      <c r="B24" s="801"/>
      <c r="C24" s="511" t="s">
        <v>1532</v>
      </c>
      <c r="D24" s="512" t="s">
        <v>1453</v>
      </c>
      <c r="E24" s="672">
        <v>100</v>
      </c>
      <c r="F24" s="672">
        <v>100</v>
      </c>
      <c r="G24" s="672">
        <v>90</v>
      </c>
      <c r="H24" s="672">
        <v>90</v>
      </c>
      <c r="I24" s="672">
        <v>100</v>
      </c>
      <c r="J24" s="672">
        <v>100</v>
      </c>
      <c r="K24" s="672">
        <v>100</v>
      </c>
      <c r="L24" s="672">
        <v>100</v>
      </c>
      <c r="M24" s="672">
        <v>100</v>
      </c>
      <c r="N24" s="672">
        <v>100</v>
      </c>
      <c r="O24" s="672">
        <v>100</v>
      </c>
      <c r="P24" s="672">
        <v>90</v>
      </c>
      <c r="Q24" s="672">
        <v>100</v>
      </c>
      <c r="R24" s="672">
        <v>100</v>
      </c>
      <c r="S24" s="672">
        <v>90</v>
      </c>
      <c r="T24" s="672">
        <v>100</v>
      </c>
      <c r="U24" s="672">
        <v>100</v>
      </c>
      <c r="V24" s="672">
        <v>100</v>
      </c>
      <c r="W24" s="672">
        <v>100</v>
      </c>
      <c r="X24" s="672">
        <v>100</v>
      </c>
      <c r="Y24" s="672">
        <v>80</v>
      </c>
      <c r="Z24" s="672">
        <v>100</v>
      </c>
      <c r="AA24" s="672">
        <v>100</v>
      </c>
      <c r="AB24" s="672">
        <v>100</v>
      </c>
      <c r="AC24" s="98"/>
      <c r="AD24" s="98"/>
      <c r="AE24" s="98"/>
      <c r="AF24" s="98"/>
      <c r="AG24" s="98"/>
      <c r="AH24" s="98"/>
    </row>
    <row r="25" spans="1:34" ht="27" customHeight="1">
      <c r="A25" s="30"/>
      <c r="B25" s="802"/>
      <c r="C25" s="74"/>
      <c r="D25" s="72"/>
      <c r="E25" s="98"/>
      <c r="F25" s="98"/>
      <c r="G25" s="98"/>
      <c r="H25" s="98"/>
      <c r="I25" s="98"/>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row>
    <row r="26" spans="1:34" ht="27" customHeight="1" thickBot="1">
      <c r="A26" s="30"/>
      <c r="B26" s="801">
        <v>3</v>
      </c>
      <c r="C26" s="795" t="s">
        <v>1838</v>
      </c>
      <c r="D26" s="796"/>
      <c r="E26" s="97">
        <f>IFERROR(AVERAGE(E27:E35),"")</f>
        <v>96.25</v>
      </c>
      <c r="F26" s="97">
        <f t="shared" ref="F26:AA26" si="4">IFERROR(AVERAGE(F27:F35),"")</f>
        <v>89.166666666666671</v>
      </c>
      <c r="G26" s="97">
        <f t="shared" si="4"/>
        <v>86.428571428571431</v>
      </c>
      <c r="H26" s="97">
        <f t="shared" si="4"/>
        <v>92.5</v>
      </c>
      <c r="I26" s="97">
        <f t="shared" si="4"/>
        <v>93.125</v>
      </c>
      <c r="J26" s="97">
        <f t="shared" si="4"/>
        <v>98.125</v>
      </c>
      <c r="K26" s="97">
        <f t="shared" si="4"/>
        <v>95.625</v>
      </c>
      <c r="L26" s="97">
        <f t="shared" si="4"/>
        <v>93.75</v>
      </c>
      <c r="M26" s="97">
        <f t="shared" si="4"/>
        <v>90</v>
      </c>
      <c r="N26" s="97">
        <f t="shared" si="4"/>
        <v>93.75</v>
      </c>
      <c r="O26" s="97">
        <f t="shared" si="4"/>
        <v>98.75</v>
      </c>
      <c r="P26" s="97">
        <f t="shared" si="4"/>
        <v>95.625</v>
      </c>
      <c r="Q26" s="97">
        <f t="shared" si="4"/>
        <v>93.75</v>
      </c>
      <c r="R26" s="97">
        <f t="shared" si="4"/>
        <v>93.75</v>
      </c>
      <c r="S26" s="97">
        <f t="shared" si="4"/>
        <v>87.5</v>
      </c>
      <c r="T26" s="97">
        <f t="shared" si="4"/>
        <v>91.875</v>
      </c>
      <c r="U26" s="97">
        <f t="shared" si="4"/>
        <v>97.5</v>
      </c>
      <c r="V26" s="97">
        <f t="shared" si="4"/>
        <v>95</v>
      </c>
      <c r="W26" s="97">
        <f t="shared" si="4"/>
        <v>95</v>
      </c>
      <c r="X26" s="97">
        <f t="shared" si="4"/>
        <v>82.5</v>
      </c>
      <c r="Y26" s="97">
        <f t="shared" si="4"/>
        <v>94.375</v>
      </c>
      <c r="Z26" s="97">
        <f t="shared" si="4"/>
        <v>96.875</v>
      </c>
      <c r="AA26" s="97">
        <f t="shared" si="4"/>
        <v>96.875</v>
      </c>
      <c r="AB26" s="97">
        <f t="shared" ref="AB26:AH26" si="5">IFERROR(AVERAGE(AB27:AB35),"")</f>
        <v>94.375</v>
      </c>
      <c r="AC26" s="97" t="str">
        <f t="shared" si="5"/>
        <v/>
      </c>
      <c r="AD26" s="97" t="str">
        <f t="shared" si="5"/>
        <v/>
      </c>
      <c r="AE26" s="97" t="str">
        <f t="shared" si="5"/>
        <v/>
      </c>
      <c r="AF26" s="97" t="str">
        <f t="shared" si="5"/>
        <v/>
      </c>
      <c r="AG26" s="97" t="str">
        <f t="shared" si="5"/>
        <v/>
      </c>
      <c r="AH26" s="97" t="str">
        <f t="shared" si="5"/>
        <v/>
      </c>
    </row>
    <row r="27" spans="1:34" ht="27" customHeight="1" thickTop="1">
      <c r="A27" s="30"/>
      <c r="B27" s="794"/>
      <c r="C27" s="515" t="s">
        <v>1533</v>
      </c>
      <c r="D27" s="516" t="s">
        <v>1427</v>
      </c>
      <c r="E27" s="634">
        <v>100</v>
      </c>
      <c r="F27" s="634">
        <v>90</v>
      </c>
      <c r="G27" s="634">
        <v>85</v>
      </c>
      <c r="H27" s="634">
        <v>100</v>
      </c>
      <c r="I27" s="634">
        <v>95</v>
      </c>
      <c r="J27" s="634">
        <v>100</v>
      </c>
      <c r="K27" s="634">
        <v>100</v>
      </c>
      <c r="L27" s="634">
        <v>70</v>
      </c>
      <c r="M27" s="634">
        <v>70</v>
      </c>
      <c r="N27" s="634">
        <v>70</v>
      </c>
      <c r="O27" s="634">
        <v>100</v>
      </c>
      <c r="P27" s="634">
        <v>90</v>
      </c>
      <c r="Q27" s="634">
        <v>90</v>
      </c>
      <c r="R27" s="634">
        <v>70</v>
      </c>
      <c r="S27" s="634">
        <v>70</v>
      </c>
      <c r="T27" s="634">
        <v>70</v>
      </c>
      <c r="U27" s="634">
        <v>100</v>
      </c>
      <c r="V27" s="634">
        <v>95</v>
      </c>
      <c r="W27" s="634">
        <v>90</v>
      </c>
      <c r="X27" s="634">
        <v>70</v>
      </c>
      <c r="Y27" s="634">
        <v>100</v>
      </c>
      <c r="Z27" s="634">
        <v>95</v>
      </c>
      <c r="AA27" s="634">
        <v>95</v>
      </c>
      <c r="AB27" s="634">
        <v>85</v>
      </c>
      <c r="AC27" s="98"/>
      <c r="AD27" s="98"/>
      <c r="AE27" s="98"/>
      <c r="AF27" s="98"/>
      <c r="AG27" s="98"/>
      <c r="AH27" s="98"/>
    </row>
    <row r="28" spans="1:34" ht="31.5" customHeight="1">
      <c r="A28" s="30"/>
      <c r="B28" s="794"/>
      <c r="C28" s="517" t="s">
        <v>1534</v>
      </c>
      <c r="D28" s="518" t="s">
        <v>1429</v>
      </c>
      <c r="E28" s="634">
        <v>100</v>
      </c>
      <c r="F28" s="634">
        <v>90</v>
      </c>
      <c r="G28" s="634">
        <v>90</v>
      </c>
      <c r="H28" s="634">
        <v>90</v>
      </c>
      <c r="I28" s="634">
        <v>100</v>
      </c>
      <c r="J28" s="634">
        <v>100</v>
      </c>
      <c r="K28" s="634">
        <v>90</v>
      </c>
      <c r="L28" s="634">
        <v>90</v>
      </c>
      <c r="M28" s="634">
        <v>100</v>
      </c>
      <c r="N28" s="634">
        <v>100</v>
      </c>
      <c r="O28" s="634">
        <v>100</v>
      </c>
      <c r="P28" s="634">
        <v>100</v>
      </c>
      <c r="Q28" s="634">
        <v>100</v>
      </c>
      <c r="R28" s="634">
        <v>100</v>
      </c>
      <c r="S28" s="634">
        <v>100</v>
      </c>
      <c r="T28" s="634">
        <v>100</v>
      </c>
      <c r="U28" s="634">
        <v>100</v>
      </c>
      <c r="V28" s="634">
        <v>100</v>
      </c>
      <c r="W28" s="634">
        <v>100</v>
      </c>
      <c r="X28" s="634">
        <v>90</v>
      </c>
      <c r="Y28" s="634">
        <v>90</v>
      </c>
      <c r="Z28" s="634">
        <v>90</v>
      </c>
      <c r="AA28" s="634">
        <v>100</v>
      </c>
      <c r="AB28" s="634">
        <v>100</v>
      </c>
      <c r="AC28" s="98"/>
      <c r="AD28" s="98"/>
      <c r="AE28" s="98"/>
      <c r="AF28" s="98"/>
      <c r="AG28" s="98"/>
      <c r="AH28" s="98"/>
    </row>
    <row r="29" spans="1:34" ht="34.5" customHeight="1">
      <c r="A29" s="30"/>
      <c r="B29" s="794"/>
      <c r="C29" s="517" t="s">
        <v>1535</v>
      </c>
      <c r="D29" s="518" t="s">
        <v>1400</v>
      </c>
      <c r="E29" s="666">
        <v>90</v>
      </c>
      <c r="F29" s="666">
        <v>75</v>
      </c>
      <c r="G29" s="666">
        <v>70</v>
      </c>
      <c r="H29" s="666">
        <v>90</v>
      </c>
      <c r="I29" s="666">
        <v>90</v>
      </c>
      <c r="J29" s="666">
        <v>100</v>
      </c>
      <c r="K29" s="666">
        <v>90</v>
      </c>
      <c r="L29" s="666">
        <v>100</v>
      </c>
      <c r="M29" s="666">
        <v>90</v>
      </c>
      <c r="N29" s="666">
        <v>100</v>
      </c>
      <c r="O29" s="666">
        <v>100</v>
      </c>
      <c r="P29" s="666">
        <v>90</v>
      </c>
      <c r="Q29" s="666">
        <v>90</v>
      </c>
      <c r="R29" s="666">
        <v>90</v>
      </c>
      <c r="S29" s="666">
        <v>80</v>
      </c>
      <c r="T29" s="666">
        <v>100</v>
      </c>
      <c r="U29" s="666">
        <v>100</v>
      </c>
      <c r="V29" s="666">
        <v>90</v>
      </c>
      <c r="W29" s="666">
        <v>100</v>
      </c>
      <c r="X29" s="666">
        <v>90</v>
      </c>
      <c r="Y29" s="666">
        <v>90</v>
      </c>
      <c r="Z29" s="666">
        <v>100</v>
      </c>
      <c r="AA29" s="666">
        <v>90</v>
      </c>
      <c r="AB29" s="666">
        <v>100</v>
      </c>
      <c r="AC29" s="582"/>
      <c r="AD29" s="98"/>
      <c r="AE29" s="98"/>
      <c r="AF29" s="98"/>
      <c r="AG29" s="98"/>
      <c r="AH29" s="98"/>
    </row>
    <row r="30" spans="1:34" s="476" customFormat="1" ht="27" customHeight="1">
      <c r="A30" s="30"/>
      <c r="B30" s="794"/>
      <c r="C30" s="519" t="s">
        <v>1536</v>
      </c>
      <c r="D30" s="518" t="s">
        <v>1402</v>
      </c>
      <c r="E30" s="666">
        <v>100</v>
      </c>
      <c r="F30" s="666">
        <v>90</v>
      </c>
      <c r="G30" s="666">
        <v>80</v>
      </c>
      <c r="H30" s="666">
        <v>70</v>
      </c>
      <c r="I30" s="666">
        <v>80</v>
      </c>
      <c r="J30" s="666">
        <v>100</v>
      </c>
      <c r="K30" s="666">
        <v>100</v>
      </c>
      <c r="L30" s="666">
        <v>100</v>
      </c>
      <c r="M30" s="666">
        <v>90</v>
      </c>
      <c r="N30" s="666">
        <v>90</v>
      </c>
      <c r="O30" s="666">
        <v>90</v>
      </c>
      <c r="P30" s="666">
        <v>100</v>
      </c>
      <c r="Q30" s="666">
        <v>90</v>
      </c>
      <c r="R30" s="666">
        <v>100</v>
      </c>
      <c r="S30" s="666">
        <v>85</v>
      </c>
      <c r="T30" s="666">
        <v>95</v>
      </c>
      <c r="U30" s="666">
        <v>90</v>
      </c>
      <c r="V30" s="666">
        <v>90</v>
      </c>
      <c r="W30" s="666">
        <v>90</v>
      </c>
      <c r="X30" s="666">
        <v>100</v>
      </c>
      <c r="Y30" s="666">
        <v>90</v>
      </c>
      <c r="Z30" s="666">
        <v>100</v>
      </c>
      <c r="AA30" s="666">
        <v>100</v>
      </c>
      <c r="AB30" s="666">
        <v>100</v>
      </c>
      <c r="AC30" s="98"/>
      <c r="AD30" s="98"/>
      <c r="AE30" s="98"/>
      <c r="AF30" s="98"/>
      <c r="AG30" s="98"/>
      <c r="AH30" s="98"/>
    </row>
    <row r="31" spans="1:34" s="476" customFormat="1" ht="27" customHeight="1">
      <c r="A31" s="30"/>
      <c r="B31" s="794"/>
      <c r="C31" s="519" t="s">
        <v>1537</v>
      </c>
      <c r="D31" s="518" t="s">
        <v>1490</v>
      </c>
      <c r="E31" s="651">
        <v>95</v>
      </c>
      <c r="F31" s="651">
        <v>100</v>
      </c>
      <c r="G31" s="651"/>
      <c r="H31" s="651">
        <v>100</v>
      </c>
      <c r="I31" s="651">
        <v>95</v>
      </c>
      <c r="J31" s="651">
        <v>100</v>
      </c>
      <c r="K31" s="651">
        <v>95</v>
      </c>
      <c r="L31" s="651">
        <v>100</v>
      </c>
      <c r="M31" s="651">
        <v>85</v>
      </c>
      <c r="N31" s="651">
        <v>100</v>
      </c>
      <c r="O31" s="651">
        <v>100</v>
      </c>
      <c r="P31" s="651">
        <v>85</v>
      </c>
      <c r="Q31" s="651">
        <v>95</v>
      </c>
      <c r="R31" s="651">
        <v>100</v>
      </c>
      <c r="S31" s="651">
        <v>85</v>
      </c>
      <c r="T31" s="651">
        <v>90</v>
      </c>
      <c r="U31" s="651">
        <v>100</v>
      </c>
      <c r="V31" s="651">
        <v>100</v>
      </c>
      <c r="W31" s="651">
        <v>100</v>
      </c>
      <c r="X31" s="651">
        <v>90</v>
      </c>
      <c r="Y31" s="651">
        <v>100</v>
      </c>
      <c r="Z31" s="651">
        <v>100</v>
      </c>
      <c r="AA31" s="651">
        <v>100</v>
      </c>
      <c r="AB31" s="651">
        <v>100</v>
      </c>
      <c r="AC31" s="98"/>
      <c r="AD31" s="98"/>
      <c r="AE31" s="98"/>
      <c r="AF31" s="98"/>
      <c r="AG31" s="98"/>
      <c r="AH31" s="98"/>
    </row>
    <row r="32" spans="1:34" ht="27" customHeight="1">
      <c r="A32" s="30"/>
      <c r="B32" s="794"/>
      <c r="C32" s="517" t="s">
        <v>1538</v>
      </c>
      <c r="D32" s="518" t="s">
        <v>1492</v>
      </c>
      <c r="E32" s="651">
        <v>90</v>
      </c>
      <c r="F32" s="651">
        <v>90</v>
      </c>
      <c r="G32" s="651">
        <v>90</v>
      </c>
      <c r="H32" s="651">
        <v>100</v>
      </c>
      <c r="I32" s="651">
        <v>100</v>
      </c>
      <c r="J32" s="651">
        <v>90</v>
      </c>
      <c r="K32" s="651">
        <v>90</v>
      </c>
      <c r="L32" s="651">
        <v>90</v>
      </c>
      <c r="M32" s="651">
        <v>90</v>
      </c>
      <c r="N32" s="651">
        <v>100</v>
      </c>
      <c r="O32" s="651">
        <v>100</v>
      </c>
      <c r="P32" s="651">
        <v>100</v>
      </c>
      <c r="Q32" s="651">
        <v>100</v>
      </c>
      <c r="R32" s="651">
        <v>90</v>
      </c>
      <c r="S32" s="651">
        <v>100</v>
      </c>
      <c r="T32" s="651">
        <v>80</v>
      </c>
      <c r="U32" s="651">
        <v>90</v>
      </c>
      <c r="V32" s="651">
        <v>100</v>
      </c>
      <c r="W32" s="651">
        <v>90</v>
      </c>
      <c r="X32" s="651">
        <v>70</v>
      </c>
      <c r="Y32" s="651">
        <v>90</v>
      </c>
      <c r="Z32" s="651">
        <v>90</v>
      </c>
      <c r="AA32" s="651">
        <v>90</v>
      </c>
      <c r="AB32" s="651">
        <v>80</v>
      </c>
      <c r="AC32" s="98"/>
      <c r="AD32" s="98"/>
      <c r="AE32" s="98"/>
      <c r="AF32" s="98"/>
      <c r="AG32" s="98"/>
      <c r="AH32" s="98"/>
    </row>
    <row r="33" spans="1:34" ht="27" customHeight="1">
      <c r="A33" s="30"/>
      <c r="B33" s="794"/>
      <c r="C33" s="519" t="s">
        <v>1539</v>
      </c>
      <c r="D33" s="518" t="s">
        <v>1459</v>
      </c>
      <c r="E33" s="654">
        <v>95</v>
      </c>
      <c r="F33" s="654"/>
      <c r="G33" s="654">
        <v>90</v>
      </c>
      <c r="H33" s="654">
        <v>90</v>
      </c>
      <c r="I33" s="654">
        <v>95</v>
      </c>
      <c r="J33" s="654">
        <v>95</v>
      </c>
      <c r="K33" s="654">
        <v>100</v>
      </c>
      <c r="L33" s="654">
        <v>100</v>
      </c>
      <c r="M33" s="654">
        <v>95</v>
      </c>
      <c r="N33" s="654">
        <v>100</v>
      </c>
      <c r="O33" s="654">
        <v>100</v>
      </c>
      <c r="P33" s="654">
        <v>100</v>
      </c>
      <c r="Q33" s="654">
        <v>85</v>
      </c>
      <c r="R33" s="654">
        <v>100</v>
      </c>
      <c r="S33" s="654">
        <v>90</v>
      </c>
      <c r="T33" s="654">
        <v>100</v>
      </c>
      <c r="U33" s="654">
        <v>100</v>
      </c>
      <c r="V33" s="654">
        <v>90</v>
      </c>
      <c r="W33" s="654">
        <v>100</v>
      </c>
      <c r="X33" s="654">
        <v>70</v>
      </c>
      <c r="Y33" s="654">
        <v>95</v>
      </c>
      <c r="Z33" s="654">
        <v>100</v>
      </c>
      <c r="AA33" s="654">
        <v>100</v>
      </c>
      <c r="AB33" s="654">
        <v>90</v>
      </c>
      <c r="AC33" s="98"/>
      <c r="AD33" s="98"/>
      <c r="AE33" s="98"/>
      <c r="AF33" s="98"/>
      <c r="AG33" s="98"/>
      <c r="AH33" s="98"/>
    </row>
    <row r="34" spans="1:34" ht="27" customHeight="1">
      <c r="A34" s="30"/>
      <c r="B34" s="794"/>
      <c r="C34" s="519" t="s">
        <v>1540</v>
      </c>
      <c r="D34" s="518" t="s">
        <v>1541</v>
      </c>
      <c r="E34" s="654">
        <v>100</v>
      </c>
      <c r="F34" s="654"/>
      <c r="G34" s="654">
        <v>100</v>
      </c>
      <c r="H34" s="654">
        <v>100</v>
      </c>
      <c r="I34" s="654">
        <v>90</v>
      </c>
      <c r="J34" s="654">
        <v>100</v>
      </c>
      <c r="K34" s="654">
        <v>100</v>
      </c>
      <c r="L34" s="654">
        <v>100</v>
      </c>
      <c r="M34" s="654">
        <v>100</v>
      </c>
      <c r="N34" s="654">
        <v>90</v>
      </c>
      <c r="O34" s="654">
        <v>100</v>
      </c>
      <c r="P34" s="654">
        <v>100</v>
      </c>
      <c r="Q34" s="654">
        <v>100</v>
      </c>
      <c r="R34" s="654">
        <v>100</v>
      </c>
      <c r="S34" s="654">
        <v>90</v>
      </c>
      <c r="T34" s="654">
        <v>100</v>
      </c>
      <c r="U34" s="654">
        <v>100</v>
      </c>
      <c r="V34" s="654">
        <v>95</v>
      </c>
      <c r="W34" s="654">
        <v>90</v>
      </c>
      <c r="X34" s="654">
        <v>80</v>
      </c>
      <c r="Y34" s="654">
        <v>100</v>
      </c>
      <c r="Z34" s="654">
        <v>100</v>
      </c>
      <c r="AA34" s="654">
        <v>100</v>
      </c>
      <c r="AB34" s="654">
        <v>100</v>
      </c>
      <c r="AC34" s="98"/>
      <c r="AD34" s="98"/>
      <c r="AE34" s="98"/>
      <c r="AF34" s="98"/>
      <c r="AG34" s="98"/>
      <c r="AH34" s="98"/>
    </row>
    <row r="35" spans="1:34" ht="27" customHeight="1">
      <c r="A35" s="30"/>
      <c r="B35" s="802"/>
      <c r="C35" s="74"/>
      <c r="D35" s="72"/>
      <c r="E35" s="98"/>
      <c r="F35" s="98"/>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row>
    <row r="36" spans="1:34" ht="27" customHeight="1" thickBot="1">
      <c r="A36" s="30"/>
      <c r="B36" s="800">
        <v>4</v>
      </c>
      <c r="C36" s="795" t="s">
        <v>1839</v>
      </c>
      <c r="D36" s="796"/>
      <c r="E36" s="97">
        <f>IFERROR(AVERAGE(E37:E45),"")</f>
        <v>89.375</v>
      </c>
      <c r="F36" s="97">
        <f t="shared" ref="F36:AA36" si="6">IFERROR(AVERAGE(F37:F45),"")</f>
        <v>91.25</v>
      </c>
      <c r="G36" s="97">
        <f t="shared" si="6"/>
        <v>88.75</v>
      </c>
      <c r="H36" s="97">
        <f t="shared" si="6"/>
        <v>96.875</v>
      </c>
      <c r="I36" s="97">
        <f t="shared" si="6"/>
        <v>93.75</v>
      </c>
      <c r="J36" s="97">
        <f t="shared" si="6"/>
        <v>98.125</v>
      </c>
      <c r="K36" s="97">
        <f t="shared" si="6"/>
        <v>94.375</v>
      </c>
      <c r="L36" s="97">
        <f t="shared" si="6"/>
        <v>98.125</v>
      </c>
      <c r="M36" s="97">
        <f t="shared" si="6"/>
        <v>88.75</v>
      </c>
      <c r="N36" s="97">
        <f t="shared" si="6"/>
        <v>94.375</v>
      </c>
      <c r="O36" s="97">
        <f t="shared" si="6"/>
        <v>95.625</v>
      </c>
      <c r="P36" s="97">
        <f t="shared" si="6"/>
        <v>93.125</v>
      </c>
      <c r="Q36" s="97">
        <f t="shared" si="6"/>
        <v>95.625</v>
      </c>
      <c r="R36" s="97">
        <f t="shared" si="6"/>
        <v>87</v>
      </c>
      <c r="S36" s="97">
        <f t="shared" si="6"/>
        <v>88.125</v>
      </c>
      <c r="T36" s="97">
        <f t="shared" si="6"/>
        <v>90.625</v>
      </c>
      <c r="U36" s="97">
        <f t="shared" si="6"/>
        <v>98.125</v>
      </c>
      <c r="V36" s="97">
        <f t="shared" si="6"/>
        <v>91.428571428571431</v>
      </c>
      <c r="W36" s="97">
        <f t="shared" si="6"/>
        <v>93.125</v>
      </c>
      <c r="X36" s="97">
        <f t="shared" si="6"/>
        <v>93.75</v>
      </c>
      <c r="Y36" s="97">
        <f t="shared" si="6"/>
        <v>98.75</v>
      </c>
      <c r="Z36" s="97">
        <f t="shared" si="6"/>
        <v>90</v>
      </c>
      <c r="AA36" s="97">
        <f t="shared" si="6"/>
        <v>98.75</v>
      </c>
      <c r="AB36" s="97">
        <f t="shared" ref="AB36:AH36" si="7">IFERROR(AVERAGE(AB37:AB45),"")</f>
        <v>85.625</v>
      </c>
      <c r="AC36" s="97" t="str">
        <f t="shared" si="7"/>
        <v/>
      </c>
      <c r="AD36" s="97" t="str">
        <f t="shared" si="7"/>
        <v/>
      </c>
      <c r="AE36" s="97" t="str">
        <f t="shared" si="7"/>
        <v/>
      </c>
      <c r="AF36" s="97" t="str">
        <f t="shared" si="7"/>
        <v/>
      </c>
      <c r="AG36" s="97" t="str">
        <f t="shared" si="7"/>
        <v/>
      </c>
      <c r="AH36" s="97" t="str">
        <f t="shared" si="7"/>
        <v/>
      </c>
    </row>
    <row r="37" spans="1:34" ht="27" customHeight="1" thickTop="1">
      <c r="A37" s="30"/>
      <c r="B37" s="801"/>
      <c r="C37" s="520" t="s">
        <v>1542</v>
      </c>
      <c r="D37" s="521" t="s">
        <v>1443</v>
      </c>
      <c r="E37" s="643">
        <v>90</v>
      </c>
      <c r="F37" s="643">
        <v>90</v>
      </c>
      <c r="G37" s="643">
        <v>80</v>
      </c>
      <c r="H37" s="643">
        <v>100</v>
      </c>
      <c r="I37" s="643">
        <v>95</v>
      </c>
      <c r="J37" s="643">
        <v>100</v>
      </c>
      <c r="K37" s="643">
        <v>100</v>
      </c>
      <c r="L37" s="643">
        <v>100</v>
      </c>
      <c r="M37" s="643">
        <v>90</v>
      </c>
      <c r="N37" s="643">
        <v>95</v>
      </c>
      <c r="O37" s="643">
        <v>100</v>
      </c>
      <c r="P37" s="643">
        <v>90</v>
      </c>
      <c r="Q37" s="643">
        <v>100</v>
      </c>
      <c r="R37" s="643">
        <v>85</v>
      </c>
      <c r="S37" s="643">
        <v>95</v>
      </c>
      <c r="T37" s="643">
        <v>75</v>
      </c>
      <c r="U37" s="643">
        <v>100</v>
      </c>
      <c r="V37" s="643">
        <v>80</v>
      </c>
      <c r="W37" s="643">
        <v>75</v>
      </c>
      <c r="X37" s="643">
        <v>100</v>
      </c>
      <c r="Y37" s="643">
        <v>90</v>
      </c>
      <c r="Z37" s="643">
        <v>85</v>
      </c>
      <c r="AA37" s="643">
        <v>100</v>
      </c>
      <c r="AB37" s="643">
        <v>90</v>
      </c>
      <c r="AC37" s="98"/>
      <c r="AD37" s="98"/>
      <c r="AE37" s="98"/>
      <c r="AF37" s="98"/>
      <c r="AG37" s="98"/>
      <c r="AH37" s="98"/>
    </row>
    <row r="38" spans="1:34" s="476" customFormat="1" ht="27" customHeight="1">
      <c r="A38" s="30"/>
      <c r="B38" s="801"/>
      <c r="C38" s="522" t="s">
        <v>1543</v>
      </c>
      <c r="D38" s="523" t="s">
        <v>1445</v>
      </c>
      <c r="E38" s="643">
        <v>90</v>
      </c>
      <c r="F38" s="643">
        <v>85</v>
      </c>
      <c r="G38" s="643">
        <v>90</v>
      </c>
      <c r="H38" s="643">
        <v>100</v>
      </c>
      <c r="I38" s="643">
        <v>95</v>
      </c>
      <c r="J38" s="643">
        <v>100</v>
      </c>
      <c r="K38" s="643">
        <v>95</v>
      </c>
      <c r="L38" s="643">
        <v>100</v>
      </c>
      <c r="M38" s="643">
        <v>95</v>
      </c>
      <c r="N38" s="643">
        <v>100</v>
      </c>
      <c r="O38" s="643">
        <v>85</v>
      </c>
      <c r="P38" s="643">
        <v>100</v>
      </c>
      <c r="Q38" s="643">
        <v>100</v>
      </c>
      <c r="R38" s="643"/>
      <c r="S38" s="643">
        <v>75</v>
      </c>
      <c r="T38" s="643">
        <v>80</v>
      </c>
      <c r="U38" s="643">
        <v>100</v>
      </c>
      <c r="V38" s="643">
        <v>100</v>
      </c>
      <c r="W38" s="643">
        <v>100</v>
      </c>
      <c r="X38" s="643">
        <v>100</v>
      </c>
      <c r="Y38" s="643">
        <v>100</v>
      </c>
      <c r="Z38" s="643">
        <v>90</v>
      </c>
      <c r="AA38" s="643">
        <v>100</v>
      </c>
      <c r="AB38" s="643">
        <v>100</v>
      </c>
      <c r="AC38" s="98"/>
      <c r="AD38" s="98"/>
      <c r="AE38" s="98"/>
      <c r="AF38" s="98"/>
      <c r="AG38" s="98"/>
      <c r="AH38" s="98"/>
    </row>
    <row r="39" spans="1:34" s="476" customFormat="1" ht="27" customHeight="1">
      <c r="A39" s="30"/>
      <c r="B39" s="801"/>
      <c r="C39" s="522" t="s">
        <v>1544</v>
      </c>
      <c r="D39" s="523" t="s">
        <v>1415</v>
      </c>
      <c r="E39" s="643">
        <v>100</v>
      </c>
      <c r="F39" s="643"/>
      <c r="G39" s="643">
        <v>100</v>
      </c>
      <c r="H39" s="643">
        <v>100</v>
      </c>
      <c r="I39" s="643">
        <v>100</v>
      </c>
      <c r="J39" s="643">
        <v>100</v>
      </c>
      <c r="K39" s="643">
        <v>100</v>
      </c>
      <c r="L39" s="643">
        <v>90</v>
      </c>
      <c r="M39" s="643">
        <v>90</v>
      </c>
      <c r="N39" s="643">
        <v>100</v>
      </c>
      <c r="O39" s="643">
        <v>100</v>
      </c>
      <c r="P39" s="643">
        <v>100</v>
      </c>
      <c r="Q39" s="643">
        <v>100</v>
      </c>
      <c r="R39" s="643">
        <v>95</v>
      </c>
      <c r="S39" s="643">
        <v>85</v>
      </c>
      <c r="T39" s="643">
        <v>100</v>
      </c>
      <c r="U39" s="643">
        <v>100</v>
      </c>
      <c r="V39" s="643">
        <v>90</v>
      </c>
      <c r="W39" s="643">
        <v>100</v>
      </c>
      <c r="X39" s="643">
        <v>100</v>
      </c>
      <c r="Y39" s="643">
        <v>100</v>
      </c>
      <c r="Z39" s="643">
        <v>90</v>
      </c>
      <c r="AA39" s="643">
        <v>100</v>
      </c>
      <c r="AB39" s="643">
        <v>100</v>
      </c>
      <c r="AC39" s="98"/>
      <c r="AD39" s="98"/>
      <c r="AE39" s="98"/>
      <c r="AF39" s="98"/>
      <c r="AG39" s="98"/>
      <c r="AH39" s="98"/>
    </row>
    <row r="40" spans="1:34" ht="32.25" customHeight="1">
      <c r="A40" s="30"/>
      <c r="B40" s="801"/>
      <c r="C40" s="524" t="s">
        <v>1545</v>
      </c>
      <c r="D40" s="523" t="s">
        <v>1417</v>
      </c>
      <c r="E40" s="643">
        <v>80</v>
      </c>
      <c r="F40" s="643"/>
      <c r="G40" s="643">
        <v>80</v>
      </c>
      <c r="H40" s="643">
        <v>90</v>
      </c>
      <c r="I40" s="643">
        <v>100</v>
      </c>
      <c r="J40" s="643">
        <v>100</v>
      </c>
      <c r="K40" s="643">
        <v>90</v>
      </c>
      <c r="L40" s="643">
        <v>100</v>
      </c>
      <c r="M40" s="643">
        <v>90</v>
      </c>
      <c r="N40" s="643">
        <v>90</v>
      </c>
      <c r="O40" s="643">
        <v>100</v>
      </c>
      <c r="P40" s="643">
        <v>100</v>
      </c>
      <c r="Q40" s="643">
        <v>100</v>
      </c>
      <c r="R40" s="643">
        <v>90</v>
      </c>
      <c r="S40" s="643">
        <v>90</v>
      </c>
      <c r="T40" s="643">
        <v>90</v>
      </c>
      <c r="U40" s="643">
        <v>90</v>
      </c>
      <c r="V40" s="643">
        <v>80</v>
      </c>
      <c r="W40" s="643">
        <v>100</v>
      </c>
      <c r="X40" s="643">
        <v>80</v>
      </c>
      <c r="Y40" s="643">
        <v>100</v>
      </c>
      <c r="Z40" s="643">
        <v>100</v>
      </c>
      <c r="AA40" s="643">
        <v>90</v>
      </c>
      <c r="AB40" s="643">
        <v>80</v>
      </c>
      <c r="AC40" s="98"/>
      <c r="AD40" s="98"/>
      <c r="AE40" s="98"/>
      <c r="AF40" s="98"/>
      <c r="AG40" s="98"/>
      <c r="AH40" s="98"/>
    </row>
    <row r="41" spans="1:34" ht="27" customHeight="1">
      <c r="A41" s="30"/>
      <c r="B41" s="801"/>
      <c r="C41" s="524" t="s">
        <v>1546</v>
      </c>
      <c r="D41" s="523" t="s">
        <v>1506</v>
      </c>
      <c r="E41" s="657">
        <v>100</v>
      </c>
      <c r="F41" s="657">
        <v>100</v>
      </c>
      <c r="G41" s="657">
        <v>90</v>
      </c>
      <c r="H41" s="657">
        <v>100</v>
      </c>
      <c r="I41" s="657">
        <v>90</v>
      </c>
      <c r="J41" s="657">
        <v>100</v>
      </c>
      <c r="K41" s="657">
        <v>100</v>
      </c>
      <c r="L41" s="657">
        <v>100</v>
      </c>
      <c r="M41" s="657">
        <v>90</v>
      </c>
      <c r="N41" s="657">
        <v>90</v>
      </c>
      <c r="O41" s="657">
        <v>100</v>
      </c>
      <c r="P41" s="657">
        <v>90</v>
      </c>
      <c r="Q41" s="657">
        <v>100</v>
      </c>
      <c r="R41" s="657"/>
      <c r="S41" s="657">
        <v>100</v>
      </c>
      <c r="T41" s="657">
        <v>100</v>
      </c>
      <c r="U41" s="657">
        <v>100</v>
      </c>
      <c r="V41" s="657">
        <v>100</v>
      </c>
      <c r="W41" s="657">
        <v>90</v>
      </c>
      <c r="X41" s="657">
        <v>100</v>
      </c>
      <c r="Y41" s="657">
        <v>100</v>
      </c>
      <c r="Z41" s="657">
        <v>100</v>
      </c>
      <c r="AA41" s="657">
        <v>100</v>
      </c>
      <c r="AB41" s="657">
        <v>80</v>
      </c>
      <c r="AC41" s="98"/>
      <c r="AD41" s="98"/>
      <c r="AE41" s="98"/>
      <c r="AF41" s="98"/>
      <c r="AG41" s="98"/>
      <c r="AH41" s="98"/>
    </row>
    <row r="42" spans="1:34" ht="27" customHeight="1">
      <c r="A42" s="30"/>
      <c r="B42" s="801"/>
      <c r="C42" s="522" t="s">
        <v>1547</v>
      </c>
      <c r="D42" s="523" t="s">
        <v>1508</v>
      </c>
      <c r="E42" s="657">
        <v>95</v>
      </c>
      <c r="F42" s="657"/>
      <c r="G42" s="657">
        <v>80</v>
      </c>
      <c r="H42" s="657">
        <v>95</v>
      </c>
      <c r="I42" s="657">
        <v>90</v>
      </c>
      <c r="J42" s="657">
        <v>95</v>
      </c>
      <c r="K42" s="657">
        <v>90</v>
      </c>
      <c r="L42" s="657">
        <v>95</v>
      </c>
      <c r="M42" s="657">
        <v>75</v>
      </c>
      <c r="N42" s="657">
        <v>95</v>
      </c>
      <c r="O42" s="657">
        <v>90</v>
      </c>
      <c r="P42" s="657">
        <v>95</v>
      </c>
      <c r="Q42" s="657">
        <v>85</v>
      </c>
      <c r="R42" s="657"/>
      <c r="S42" s="657">
        <v>70</v>
      </c>
      <c r="T42" s="657">
        <v>100</v>
      </c>
      <c r="U42" s="657">
        <v>100</v>
      </c>
      <c r="V42" s="657">
        <v>90</v>
      </c>
      <c r="W42" s="657">
        <v>100</v>
      </c>
      <c r="X42" s="657">
        <v>100</v>
      </c>
      <c r="Y42" s="657">
        <v>100</v>
      </c>
      <c r="Z42" s="657">
        <v>65</v>
      </c>
      <c r="AA42" s="657">
        <v>100</v>
      </c>
      <c r="AB42" s="657">
        <v>75</v>
      </c>
      <c r="AC42" s="98"/>
      <c r="AD42" s="98"/>
      <c r="AE42" s="98"/>
      <c r="AF42" s="98"/>
      <c r="AG42" s="98"/>
      <c r="AH42" s="98"/>
    </row>
    <row r="43" spans="1:34" ht="27" customHeight="1">
      <c r="A43" s="30"/>
      <c r="B43" s="801"/>
      <c r="C43" s="524" t="s">
        <v>1548</v>
      </c>
      <c r="D43" s="523" t="s">
        <v>1549</v>
      </c>
      <c r="E43" s="682">
        <v>80</v>
      </c>
      <c r="F43" s="682">
        <v>90</v>
      </c>
      <c r="G43" s="682">
        <v>100</v>
      </c>
      <c r="H43" s="682">
        <v>90</v>
      </c>
      <c r="I43" s="682">
        <v>90</v>
      </c>
      <c r="J43" s="682">
        <v>100</v>
      </c>
      <c r="K43" s="682">
        <v>90</v>
      </c>
      <c r="L43" s="682">
        <v>100</v>
      </c>
      <c r="M43" s="682">
        <v>80</v>
      </c>
      <c r="N43" s="682">
        <v>90</v>
      </c>
      <c r="O43" s="682">
        <v>90</v>
      </c>
      <c r="P43" s="682">
        <v>80</v>
      </c>
      <c r="Q43" s="682">
        <v>80</v>
      </c>
      <c r="R43" s="682">
        <v>70</v>
      </c>
      <c r="S43" s="682">
        <v>100</v>
      </c>
      <c r="T43" s="682">
        <v>90</v>
      </c>
      <c r="U43" s="682">
        <v>100</v>
      </c>
      <c r="V43" s="682"/>
      <c r="W43" s="682">
        <v>90</v>
      </c>
      <c r="X43" s="682">
        <v>80</v>
      </c>
      <c r="Y43" s="682">
        <v>100</v>
      </c>
      <c r="Z43" s="682">
        <v>100</v>
      </c>
      <c r="AA43" s="682">
        <v>100</v>
      </c>
      <c r="AB43" s="682">
        <v>70</v>
      </c>
      <c r="AC43" s="98"/>
      <c r="AD43" s="98"/>
      <c r="AE43" s="98"/>
      <c r="AF43" s="98"/>
      <c r="AG43" s="98"/>
      <c r="AH43" s="98"/>
    </row>
    <row r="44" spans="1:34" ht="27" customHeight="1" thickBot="1">
      <c r="A44" s="30"/>
      <c r="B44" s="801"/>
      <c r="C44" s="525" t="s">
        <v>1550</v>
      </c>
      <c r="D44" s="526" t="s">
        <v>1476</v>
      </c>
      <c r="E44" s="682">
        <v>80</v>
      </c>
      <c r="F44" s="682"/>
      <c r="G44" s="682">
        <v>90</v>
      </c>
      <c r="H44" s="682">
        <v>100</v>
      </c>
      <c r="I44" s="682">
        <v>90</v>
      </c>
      <c r="J44" s="682">
        <v>90</v>
      </c>
      <c r="K44" s="682">
        <v>90</v>
      </c>
      <c r="L44" s="682">
        <v>100</v>
      </c>
      <c r="M44" s="682">
        <v>100</v>
      </c>
      <c r="N44" s="682">
        <v>95</v>
      </c>
      <c r="O44" s="682">
        <v>100</v>
      </c>
      <c r="P44" s="682">
        <v>90</v>
      </c>
      <c r="Q44" s="682">
        <v>100</v>
      </c>
      <c r="R44" s="682">
        <v>95</v>
      </c>
      <c r="S44" s="682">
        <v>90</v>
      </c>
      <c r="T44" s="682">
        <v>90</v>
      </c>
      <c r="U44" s="682">
        <v>95</v>
      </c>
      <c r="V44" s="682">
        <v>100</v>
      </c>
      <c r="W44" s="682">
        <v>90</v>
      </c>
      <c r="X44" s="682">
        <v>90</v>
      </c>
      <c r="Y44" s="682">
        <v>100</v>
      </c>
      <c r="Z44" s="682">
        <v>90</v>
      </c>
      <c r="AA44" s="682">
        <v>100</v>
      </c>
      <c r="AB44" s="682">
        <v>90</v>
      </c>
      <c r="AC44" s="98"/>
      <c r="AD44" s="98"/>
      <c r="AE44" s="98"/>
      <c r="AF44" s="98"/>
      <c r="AG44" s="98"/>
      <c r="AH44" s="98"/>
    </row>
    <row r="45" spans="1:34" ht="27" customHeight="1" thickTop="1">
      <c r="A45" s="30"/>
      <c r="B45" s="802"/>
      <c r="C45" s="74"/>
      <c r="D45" s="72"/>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row>
    <row r="46" spans="1:34" ht="27" customHeight="1" thickBot="1">
      <c r="A46" s="30"/>
      <c r="B46" s="800">
        <v>5</v>
      </c>
      <c r="C46" s="860" t="s">
        <v>1840</v>
      </c>
      <c r="D46" s="861"/>
      <c r="E46" s="97">
        <f>IFERROR(AVERAGE(E47:E57),"")</f>
        <v>94.375</v>
      </c>
      <c r="F46" s="97">
        <f t="shared" ref="F46:AA46" si="8">IFERROR(AVERAGE(F47:F57),"")</f>
        <v>88.571428571428569</v>
      </c>
      <c r="G46" s="97">
        <f t="shared" si="8"/>
        <v>93.75</v>
      </c>
      <c r="H46" s="97">
        <f t="shared" si="8"/>
        <v>92.5</v>
      </c>
      <c r="I46" s="97">
        <f t="shared" si="8"/>
        <v>97.5</v>
      </c>
      <c r="J46" s="97">
        <f t="shared" si="8"/>
        <v>99.375</v>
      </c>
      <c r="K46" s="97">
        <f t="shared" si="8"/>
        <v>96.25</v>
      </c>
      <c r="L46" s="97">
        <f t="shared" si="8"/>
        <v>94.375</v>
      </c>
      <c r="M46" s="97">
        <f t="shared" si="8"/>
        <v>98.75</v>
      </c>
      <c r="N46" s="97">
        <f t="shared" si="8"/>
        <v>97.5</v>
      </c>
      <c r="O46" s="97">
        <f t="shared" si="8"/>
        <v>97.5</v>
      </c>
      <c r="P46" s="97">
        <f t="shared" si="8"/>
        <v>96.875</v>
      </c>
      <c r="Q46" s="97">
        <f t="shared" si="8"/>
        <v>94.375</v>
      </c>
      <c r="R46" s="97">
        <f t="shared" si="8"/>
        <v>96.875</v>
      </c>
      <c r="S46" s="97">
        <f t="shared" si="8"/>
        <v>93.333333333333329</v>
      </c>
      <c r="T46" s="97">
        <f t="shared" si="8"/>
        <v>95</v>
      </c>
      <c r="U46" s="97">
        <f t="shared" si="8"/>
        <v>97.5</v>
      </c>
      <c r="V46" s="97">
        <f t="shared" si="8"/>
        <v>94.375</v>
      </c>
      <c r="W46" s="97">
        <f t="shared" si="8"/>
        <v>90</v>
      </c>
      <c r="X46" s="97">
        <f t="shared" si="8"/>
        <v>94.375</v>
      </c>
      <c r="Y46" s="97">
        <f t="shared" si="8"/>
        <v>94.375</v>
      </c>
      <c r="Z46" s="97">
        <f t="shared" si="8"/>
        <v>93.75</v>
      </c>
      <c r="AA46" s="97">
        <f t="shared" si="8"/>
        <v>96.25</v>
      </c>
      <c r="AB46" s="97">
        <f t="shared" ref="AB46:AH46" si="9">IFERROR(AVERAGE(AB47:AB57),"")</f>
        <v>95</v>
      </c>
      <c r="AC46" s="97" t="str">
        <f t="shared" si="9"/>
        <v/>
      </c>
      <c r="AD46" s="97" t="str">
        <f t="shared" si="9"/>
        <v/>
      </c>
      <c r="AE46" s="97" t="str">
        <f t="shared" si="9"/>
        <v/>
      </c>
      <c r="AF46" s="97" t="str">
        <f t="shared" si="9"/>
        <v/>
      </c>
      <c r="AG46" s="97" t="str">
        <f t="shared" si="9"/>
        <v/>
      </c>
      <c r="AH46" s="97" t="str">
        <f t="shared" si="9"/>
        <v/>
      </c>
    </row>
    <row r="47" spans="1:34" ht="27" customHeight="1" thickTop="1">
      <c r="A47" s="30"/>
      <c r="B47" s="801"/>
      <c r="C47" s="479" t="s">
        <v>1513</v>
      </c>
      <c r="D47" s="480" t="s">
        <v>1514</v>
      </c>
      <c r="E47" s="640">
        <v>90</v>
      </c>
      <c r="F47" s="640">
        <v>75</v>
      </c>
      <c r="G47" s="640">
        <v>95</v>
      </c>
      <c r="H47" s="640">
        <v>70</v>
      </c>
      <c r="I47" s="640">
        <v>90</v>
      </c>
      <c r="J47" s="640">
        <v>100</v>
      </c>
      <c r="K47" s="640">
        <v>80</v>
      </c>
      <c r="L47" s="640">
        <v>75</v>
      </c>
      <c r="M47" s="640">
        <v>100</v>
      </c>
      <c r="N47" s="640">
        <v>90</v>
      </c>
      <c r="O47" s="640">
        <v>90</v>
      </c>
      <c r="P47" s="640">
        <v>90</v>
      </c>
      <c r="Q47" s="640">
        <v>75</v>
      </c>
      <c r="R47" s="640">
        <v>90</v>
      </c>
      <c r="S47" s="640">
        <v>100</v>
      </c>
      <c r="T47" s="640">
        <v>100</v>
      </c>
      <c r="U47" s="640">
        <v>100</v>
      </c>
      <c r="V47" s="640">
        <v>80</v>
      </c>
      <c r="W47" s="640">
        <v>70</v>
      </c>
      <c r="X47" s="640">
        <v>90</v>
      </c>
      <c r="Y47" s="640">
        <v>80</v>
      </c>
      <c r="Z47" s="640">
        <v>100</v>
      </c>
      <c r="AA47" s="640">
        <v>80</v>
      </c>
      <c r="AB47" s="640">
        <v>80</v>
      </c>
      <c r="AC47" s="98"/>
      <c r="AD47" s="98"/>
      <c r="AE47" s="98"/>
      <c r="AF47" s="98"/>
      <c r="AG47" s="98"/>
      <c r="AH47" s="98"/>
    </row>
    <row r="48" spans="1:34" s="477" customFormat="1" ht="34.5" customHeight="1">
      <c r="A48" s="30"/>
      <c r="B48" s="801"/>
      <c r="C48" s="481" t="s">
        <v>1515</v>
      </c>
      <c r="D48" s="527" t="s">
        <v>1437</v>
      </c>
      <c r="E48" s="640">
        <v>100</v>
      </c>
      <c r="F48" s="640">
        <v>95</v>
      </c>
      <c r="G48" s="640">
        <v>100</v>
      </c>
      <c r="H48" s="640">
        <v>100</v>
      </c>
      <c r="I48" s="640">
        <v>100</v>
      </c>
      <c r="J48" s="640">
        <v>100</v>
      </c>
      <c r="K48" s="640">
        <v>100</v>
      </c>
      <c r="L48" s="640">
        <v>100</v>
      </c>
      <c r="M48" s="640">
        <v>100</v>
      </c>
      <c r="N48" s="640">
        <v>100</v>
      </c>
      <c r="O48" s="640">
        <v>100</v>
      </c>
      <c r="P48" s="640">
        <v>100</v>
      </c>
      <c r="Q48" s="640">
        <v>100</v>
      </c>
      <c r="R48" s="640">
        <v>95</v>
      </c>
      <c r="S48" s="640">
        <v>95</v>
      </c>
      <c r="T48" s="640">
        <v>95</v>
      </c>
      <c r="U48" s="640">
        <v>100</v>
      </c>
      <c r="V48" s="640">
        <v>100</v>
      </c>
      <c r="W48" s="640">
        <v>100</v>
      </c>
      <c r="X48" s="640">
        <v>100</v>
      </c>
      <c r="Y48" s="640">
        <v>100</v>
      </c>
      <c r="Z48" s="640">
        <v>100</v>
      </c>
      <c r="AA48" s="640">
        <v>100</v>
      </c>
      <c r="AB48" s="640">
        <v>100</v>
      </c>
      <c r="AC48" s="98"/>
      <c r="AD48" s="98"/>
      <c r="AE48" s="98"/>
      <c r="AF48" s="98"/>
      <c r="AG48" s="98"/>
      <c r="AH48" s="98"/>
    </row>
    <row r="49" spans="1:34" s="477" customFormat="1" ht="27" customHeight="1">
      <c r="A49" s="30"/>
      <c r="B49" s="801"/>
      <c r="C49" s="481" t="s">
        <v>1516</v>
      </c>
      <c r="D49" s="527" t="s">
        <v>1408</v>
      </c>
      <c r="E49" s="644">
        <v>95</v>
      </c>
      <c r="F49" s="644">
        <v>80</v>
      </c>
      <c r="G49" s="644">
        <v>90</v>
      </c>
      <c r="H49" s="644">
        <v>90</v>
      </c>
      <c r="I49" s="644">
        <v>100</v>
      </c>
      <c r="J49" s="644">
        <v>100</v>
      </c>
      <c r="K49" s="644">
        <v>100</v>
      </c>
      <c r="L49" s="644">
        <v>100</v>
      </c>
      <c r="M49" s="644">
        <v>100</v>
      </c>
      <c r="N49" s="644">
        <v>90</v>
      </c>
      <c r="O49" s="644">
        <v>95</v>
      </c>
      <c r="P49" s="644">
        <v>90</v>
      </c>
      <c r="Q49" s="644">
        <v>90</v>
      </c>
      <c r="R49" s="644">
        <v>100</v>
      </c>
      <c r="S49" s="644">
        <v>100</v>
      </c>
      <c r="T49" s="644">
        <v>90</v>
      </c>
      <c r="U49" s="644">
        <v>100</v>
      </c>
      <c r="V49" s="644">
        <v>90</v>
      </c>
      <c r="W49" s="644">
        <v>90</v>
      </c>
      <c r="X49" s="644">
        <v>90</v>
      </c>
      <c r="Y49" s="644">
        <v>100</v>
      </c>
      <c r="Z49" s="644">
        <v>100</v>
      </c>
      <c r="AA49" s="644">
        <v>100</v>
      </c>
      <c r="AB49" s="644">
        <v>95</v>
      </c>
      <c r="AC49" s="98"/>
      <c r="AD49" s="98"/>
      <c r="AE49" s="98"/>
      <c r="AF49" s="98"/>
      <c r="AG49" s="98"/>
      <c r="AH49" s="98"/>
    </row>
    <row r="50" spans="1:34" s="477" customFormat="1" ht="27" customHeight="1">
      <c r="A50" s="30"/>
      <c r="B50" s="801"/>
      <c r="C50" s="483" t="s">
        <v>1517</v>
      </c>
      <c r="D50" s="527" t="s">
        <v>1410</v>
      </c>
      <c r="E50" s="644">
        <v>90</v>
      </c>
      <c r="F50" s="644">
        <v>90</v>
      </c>
      <c r="G50" s="644">
        <v>90</v>
      </c>
      <c r="H50" s="644">
        <v>100</v>
      </c>
      <c r="I50" s="644">
        <v>90</v>
      </c>
      <c r="J50" s="644">
        <v>95</v>
      </c>
      <c r="K50" s="644">
        <v>95</v>
      </c>
      <c r="L50" s="644">
        <v>100</v>
      </c>
      <c r="M50" s="644">
        <v>100</v>
      </c>
      <c r="N50" s="644">
        <v>100</v>
      </c>
      <c r="O50" s="644">
        <v>100</v>
      </c>
      <c r="P50" s="644">
        <v>95</v>
      </c>
      <c r="Q50" s="644">
        <v>100</v>
      </c>
      <c r="R50" s="644">
        <v>100</v>
      </c>
      <c r="S50" s="644">
        <v>70</v>
      </c>
      <c r="T50" s="644">
        <v>95</v>
      </c>
      <c r="U50" s="644">
        <v>100</v>
      </c>
      <c r="V50" s="644">
        <v>100</v>
      </c>
      <c r="W50" s="644">
        <v>90</v>
      </c>
      <c r="X50" s="644">
        <v>100</v>
      </c>
      <c r="Y50" s="644">
        <v>90</v>
      </c>
      <c r="Z50" s="644">
        <v>75</v>
      </c>
      <c r="AA50" s="644">
        <v>100</v>
      </c>
      <c r="AB50" s="644">
        <v>95</v>
      </c>
      <c r="AC50" s="98"/>
      <c r="AD50" s="98"/>
      <c r="AE50" s="98"/>
      <c r="AF50" s="98"/>
      <c r="AG50" s="98"/>
      <c r="AH50" s="98"/>
    </row>
    <row r="51" spans="1:34" s="477" customFormat="1" ht="27" customHeight="1">
      <c r="A51" s="30"/>
      <c r="B51" s="801"/>
      <c r="C51" s="483" t="s">
        <v>1518</v>
      </c>
      <c r="D51" s="527" t="s">
        <v>1498</v>
      </c>
      <c r="E51" s="636">
        <v>90</v>
      </c>
      <c r="F51" s="636"/>
      <c r="G51" s="636">
        <v>90</v>
      </c>
      <c r="H51" s="636">
        <v>90</v>
      </c>
      <c r="I51" s="636">
        <v>100</v>
      </c>
      <c r="J51" s="636">
        <v>100</v>
      </c>
      <c r="K51" s="636">
        <v>100</v>
      </c>
      <c r="L51" s="636">
        <v>80</v>
      </c>
      <c r="M51" s="636">
        <v>95</v>
      </c>
      <c r="N51" s="636">
        <v>100</v>
      </c>
      <c r="O51" s="636">
        <v>100</v>
      </c>
      <c r="P51" s="636">
        <v>100</v>
      </c>
      <c r="Q51" s="636">
        <v>100</v>
      </c>
      <c r="R51" s="636">
        <v>100</v>
      </c>
      <c r="S51" s="636"/>
      <c r="T51" s="636">
        <v>90</v>
      </c>
      <c r="U51" s="636">
        <v>90</v>
      </c>
      <c r="V51" s="636">
        <v>100</v>
      </c>
      <c r="W51" s="636">
        <v>100</v>
      </c>
      <c r="X51" s="636">
        <v>100</v>
      </c>
      <c r="Y51" s="636">
        <v>90</v>
      </c>
      <c r="Z51" s="636">
        <v>90</v>
      </c>
      <c r="AA51" s="636">
        <v>90</v>
      </c>
      <c r="AB51" s="636">
        <v>90</v>
      </c>
      <c r="AC51" s="98"/>
      <c r="AD51" s="98"/>
      <c r="AE51" s="98"/>
      <c r="AF51" s="98"/>
      <c r="AG51" s="98"/>
      <c r="AH51" s="98"/>
    </row>
    <row r="52" spans="1:34" ht="27" customHeight="1">
      <c r="A52" s="30"/>
      <c r="B52" s="801"/>
      <c r="C52" s="481" t="s">
        <v>1519</v>
      </c>
      <c r="D52" s="527" t="s">
        <v>1520</v>
      </c>
      <c r="E52" s="636">
        <v>90</v>
      </c>
      <c r="F52" s="636">
        <v>100</v>
      </c>
      <c r="G52" s="636">
        <v>100</v>
      </c>
      <c r="H52" s="636">
        <v>100</v>
      </c>
      <c r="I52" s="636">
        <v>100</v>
      </c>
      <c r="J52" s="636">
        <v>100</v>
      </c>
      <c r="K52" s="636">
        <v>95</v>
      </c>
      <c r="L52" s="636">
        <v>100</v>
      </c>
      <c r="M52" s="636">
        <v>100</v>
      </c>
      <c r="N52" s="636">
        <v>100</v>
      </c>
      <c r="O52" s="636">
        <v>100</v>
      </c>
      <c r="P52" s="636">
        <v>100</v>
      </c>
      <c r="Q52" s="636">
        <v>95</v>
      </c>
      <c r="R52" s="636">
        <v>100</v>
      </c>
      <c r="S52" s="636"/>
      <c r="T52" s="636">
        <v>90</v>
      </c>
      <c r="U52" s="636">
        <v>100</v>
      </c>
      <c r="V52" s="636">
        <v>85</v>
      </c>
      <c r="W52" s="636">
        <v>80</v>
      </c>
      <c r="X52" s="636">
        <v>80</v>
      </c>
      <c r="Y52" s="636">
        <v>95</v>
      </c>
      <c r="Z52" s="636">
        <v>95</v>
      </c>
      <c r="AA52" s="636">
        <v>100</v>
      </c>
      <c r="AB52" s="636">
        <v>100</v>
      </c>
      <c r="AC52" s="98"/>
      <c r="AD52" s="98"/>
      <c r="AE52" s="98"/>
      <c r="AF52" s="98"/>
      <c r="AG52" s="98"/>
      <c r="AH52" s="98"/>
    </row>
    <row r="53" spans="1:34" ht="27" customHeight="1">
      <c r="A53" s="30"/>
      <c r="B53" s="801"/>
      <c r="C53" s="483" t="s">
        <v>1521</v>
      </c>
      <c r="D53" s="527" t="s">
        <v>1467</v>
      </c>
      <c r="E53" s="628">
        <v>100</v>
      </c>
      <c r="F53" s="628">
        <v>90</v>
      </c>
      <c r="G53" s="628">
        <v>95</v>
      </c>
      <c r="H53" s="628">
        <v>100</v>
      </c>
      <c r="I53" s="628">
        <v>100</v>
      </c>
      <c r="J53" s="628">
        <v>100</v>
      </c>
      <c r="K53" s="628">
        <v>100</v>
      </c>
      <c r="L53" s="628">
        <v>100</v>
      </c>
      <c r="M53" s="628">
        <v>95</v>
      </c>
      <c r="N53" s="628">
        <v>100</v>
      </c>
      <c r="O53" s="628">
        <v>95</v>
      </c>
      <c r="P53" s="628">
        <v>100</v>
      </c>
      <c r="Q53" s="628">
        <v>95</v>
      </c>
      <c r="R53" s="628">
        <v>90</v>
      </c>
      <c r="S53" s="628">
        <v>95</v>
      </c>
      <c r="T53" s="628">
        <v>100</v>
      </c>
      <c r="U53" s="628">
        <v>100</v>
      </c>
      <c r="V53" s="628">
        <v>100</v>
      </c>
      <c r="W53" s="628"/>
      <c r="X53" s="628">
        <v>95</v>
      </c>
      <c r="Y53" s="628">
        <v>100</v>
      </c>
      <c r="Z53" s="628">
        <v>90</v>
      </c>
      <c r="AA53" s="628">
        <v>100</v>
      </c>
      <c r="AB53" s="628">
        <v>100</v>
      </c>
      <c r="AC53" s="98"/>
      <c r="AD53" s="98"/>
      <c r="AE53" s="98"/>
      <c r="AF53" s="98"/>
      <c r="AG53" s="98"/>
      <c r="AH53" s="98"/>
    </row>
    <row r="54" spans="1:34" ht="27" customHeight="1">
      <c r="A54" s="30"/>
      <c r="B54" s="801"/>
      <c r="C54" s="483" t="s">
        <v>1522</v>
      </c>
      <c r="D54" s="527" t="s">
        <v>1523</v>
      </c>
      <c r="E54" s="628">
        <v>100</v>
      </c>
      <c r="F54" s="628">
        <v>90</v>
      </c>
      <c r="G54" s="628">
        <v>90</v>
      </c>
      <c r="H54" s="628">
        <v>90</v>
      </c>
      <c r="I54" s="628">
        <v>100</v>
      </c>
      <c r="J54" s="628">
        <v>100</v>
      </c>
      <c r="K54" s="628">
        <v>100</v>
      </c>
      <c r="L54" s="628">
        <v>100</v>
      </c>
      <c r="M54" s="628">
        <v>100</v>
      </c>
      <c r="N54" s="628">
        <v>100</v>
      </c>
      <c r="O54" s="628">
        <v>100</v>
      </c>
      <c r="P54" s="628">
        <v>100</v>
      </c>
      <c r="Q54" s="628">
        <v>100</v>
      </c>
      <c r="R54" s="628">
        <v>100</v>
      </c>
      <c r="S54" s="628">
        <v>100</v>
      </c>
      <c r="T54" s="628">
        <v>100</v>
      </c>
      <c r="U54" s="628">
        <v>90</v>
      </c>
      <c r="V54" s="628">
        <v>100</v>
      </c>
      <c r="W54" s="628">
        <v>100</v>
      </c>
      <c r="X54" s="628">
        <v>100</v>
      </c>
      <c r="Y54" s="628">
        <v>100</v>
      </c>
      <c r="Z54" s="628">
        <v>100</v>
      </c>
      <c r="AA54" s="628">
        <v>100</v>
      </c>
      <c r="AB54" s="628">
        <v>100</v>
      </c>
      <c r="AC54" s="98"/>
      <c r="AD54" s="98"/>
      <c r="AE54" s="98"/>
      <c r="AF54" s="98"/>
      <c r="AG54" s="98"/>
      <c r="AH54" s="98"/>
    </row>
    <row r="55" spans="1:34" ht="27" customHeight="1">
      <c r="A55" s="30"/>
      <c r="B55" s="801"/>
      <c r="C55" s="74"/>
      <c r="D55" s="72"/>
      <c r="E55" s="98"/>
      <c r="F55" s="98"/>
      <c r="G55" s="98"/>
      <c r="H55" s="98"/>
      <c r="I55" s="98"/>
      <c r="J55" s="98"/>
      <c r="K55" s="98"/>
      <c r="L55" s="98"/>
      <c r="M55" s="98"/>
      <c r="N55" s="98"/>
      <c r="O55" s="98"/>
      <c r="P55" s="98"/>
      <c r="Q55" s="98"/>
      <c r="R55" s="98"/>
      <c r="S55" s="98"/>
      <c r="T55" s="98"/>
      <c r="U55" s="98"/>
      <c r="V55" s="98"/>
      <c r="W55" s="98"/>
      <c r="X55" s="98"/>
      <c r="Y55" s="98"/>
      <c r="Z55" s="98"/>
      <c r="AA55" s="98"/>
      <c r="AB55" s="98"/>
      <c r="AC55" s="98"/>
      <c r="AD55" s="98"/>
      <c r="AE55" s="98"/>
      <c r="AF55" s="98"/>
      <c r="AG55" s="98"/>
      <c r="AH55" s="98"/>
    </row>
    <row r="56" spans="1:34" ht="27" hidden="1" customHeight="1">
      <c r="A56" s="30"/>
      <c r="B56" s="801"/>
      <c r="C56" s="74"/>
      <c r="D56" s="72"/>
      <c r="E56" s="98"/>
      <c r="F56" s="98"/>
      <c r="G56" s="98"/>
      <c r="H56" s="98"/>
      <c r="I56" s="98"/>
      <c r="J56" s="98"/>
      <c r="K56" s="98"/>
      <c r="L56" s="98"/>
      <c r="M56" s="98"/>
      <c r="N56" s="98"/>
      <c r="O56" s="98"/>
      <c r="P56" s="98"/>
      <c r="Q56" s="98"/>
      <c r="R56" s="98"/>
      <c r="S56" s="98"/>
      <c r="T56" s="98"/>
      <c r="U56" s="98"/>
      <c r="V56" s="98"/>
      <c r="W56" s="98"/>
      <c r="X56" s="98"/>
      <c r="Y56" s="98"/>
      <c r="Z56" s="98"/>
      <c r="AA56" s="98"/>
      <c r="AB56" s="98"/>
      <c r="AC56" s="98"/>
      <c r="AD56" s="98"/>
      <c r="AE56" s="98"/>
      <c r="AF56" s="98"/>
      <c r="AG56" s="98"/>
      <c r="AH56" s="98"/>
    </row>
    <row r="57" spans="1:34" ht="27" hidden="1" customHeight="1">
      <c r="A57" s="30"/>
      <c r="B57" s="802"/>
      <c r="C57" s="74"/>
      <c r="D57" s="72"/>
      <c r="E57" s="98"/>
      <c r="F57" s="98"/>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row>
    <row r="58" spans="1:34" ht="27" customHeight="1" thickBot="1">
      <c r="A58" s="30"/>
      <c r="B58" s="794">
        <v>6</v>
      </c>
      <c r="C58" s="795" t="s">
        <v>1841</v>
      </c>
      <c r="D58" s="796"/>
      <c r="E58" s="97">
        <f>IFERROR(AVERAGE(E59:E67),"")</f>
        <v>96.25</v>
      </c>
      <c r="F58" s="97">
        <f t="shared" ref="F58:AA58" si="10">IFERROR(AVERAGE(F59:F67),"")</f>
        <v>92.5</v>
      </c>
      <c r="G58" s="97">
        <f t="shared" si="10"/>
        <v>91.285714285714292</v>
      </c>
      <c r="H58" s="97">
        <f t="shared" si="10"/>
        <v>96.875</v>
      </c>
      <c r="I58" s="97">
        <f t="shared" si="10"/>
        <v>97.5</v>
      </c>
      <c r="J58" s="97">
        <f t="shared" si="10"/>
        <v>96.25</v>
      </c>
      <c r="K58" s="97">
        <f t="shared" si="10"/>
        <v>98.75</v>
      </c>
      <c r="L58" s="97">
        <f t="shared" si="10"/>
        <v>97.5</v>
      </c>
      <c r="M58" s="97">
        <f t="shared" si="10"/>
        <v>93.125</v>
      </c>
      <c r="N58" s="97">
        <f t="shared" si="10"/>
        <v>100</v>
      </c>
      <c r="O58" s="97">
        <f t="shared" si="10"/>
        <v>97.5</v>
      </c>
      <c r="P58" s="97">
        <f t="shared" si="10"/>
        <v>95</v>
      </c>
      <c r="Q58" s="97">
        <f t="shared" si="10"/>
        <v>96.875</v>
      </c>
      <c r="R58" s="97">
        <f t="shared" si="10"/>
        <v>95</v>
      </c>
      <c r="S58" s="97">
        <f t="shared" si="10"/>
        <v>88.125</v>
      </c>
      <c r="T58" s="97">
        <f t="shared" si="10"/>
        <v>95.625</v>
      </c>
      <c r="U58" s="97">
        <f t="shared" si="10"/>
        <v>100</v>
      </c>
      <c r="V58" s="97">
        <f t="shared" si="10"/>
        <v>92.5</v>
      </c>
      <c r="W58" s="97">
        <f t="shared" si="10"/>
        <v>93</v>
      </c>
      <c r="X58" s="97">
        <f t="shared" si="10"/>
        <v>93.125</v>
      </c>
      <c r="Y58" s="97">
        <f t="shared" si="10"/>
        <v>93.75</v>
      </c>
      <c r="Z58" s="97">
        <f t="shared" si="10"/>
        <v>96.875</v>
      </c>
      <c r="AA58" s="97">
        <f t="shared" si="10"/>
        <v>98.75</v>
      </c>
      <c r="AB58" s="97">
        <f t="shared" ref="AB58:AH58" si="11">IFERROR(AVERAGE(AB59:AB67),"")</f>
        <v>96.875</v>
      </c>
      <c r="AC58" s="97" t="str">
        <f t="shared" si="11"/>
        <v/>
      </c>
      <c r="AD58" s="97" t="str">
        <f t="shared" si="11"/>
        <v/>
      </c>
      <c r="AE58" s="97" t="str">
        <f t="shared" si="11"/>
        <v/>
      </c>
      <c r="AF58" s="97" t="str">
        <f t="shared" si="11"/>
        <v/>
      </c>
      <c r="AG58" s="97" t="str">
        <f t="shared" si="11"/>
        <v/>
      </c>
      <c r="AH58" s="97" t="str">
        <f t="shared" si="11"/>
        <v/>
      </c>
    </row>
    <row r="59" spans="1:34" ht="27" customHeight="1" thickTop="1">
      <c r="A59" s="30"/>
      <c r="B59" s="794"/>
      <c r="C59" s="528" t="s">
        <v>1524</v>
      </c>
      <c r="D59" s="529" t="s">
        <v>1388</v>
      </c>
      <c r="E59" s="631">
        <v>80</v>
      </c>
      <c r="F59" s="631">
        <v>100</v>
      </c>
      <c r="G59" s="631">
        <v>89</v>
      </c>
      <c r="H59" s="631">
        <v>100</v>
      </c>
      <c r="I59" s="631">
        <v>100</v>
      </c>
      <c r="J59" s="631">
        <v>90</v>
      </c>
      <c r="K59" s="631">
        <v>100</v>
      </c>
      <c r="L59" s="631">
        <v>100</v>
      </c>
      <c r="M59" s="631">
        <v>90</v>
      </c>
      <c r="N59" s="631">
        <v>100</v>
      </c>
      <c r="O59" s="631">
        <v>100</v>
      </c>
      <c r="P59" s="631">
        <v>100</v>
      </c>
      <c r="Q59" s="631">
        <v>100</v>
      </c>
      <c r="R59" s="631">
        <v>85</v>
      </c>
      <c r="S59" s="631">
        <v>90</v>
      </c>
      <c r="T59" s="631">
        <v>95</v>
      </c>
      <c r="U59" s="631">
        <v>100</v>
      </c>
      <c r="V59" s="631">
        <v>100</v>
      </c>
      <c r="W59" s="631">
        <v>94</v>
      </c>
      <c r="X59" s="631">
        <v>90</v>
      </c>
      <c r="Y59" s="631">
        <v>100</v>
      </c>
      <c r="Z59" s="631">
        <v>90</v>
      </c>
      <c r="AA59" s="631">
        <v>100</v>
      </c>
      <c r="AB59" s="631">
        <v>100</v>
      </c>
      <c r="AC59" s="98"/>
      <c r="AD59" s="98"/>
      <c r="AE59" s="98"/>
      <c r="AF59" s="98"/>
      <c r="AG59" s="98"/>
      <c r="AH59" s="98"/>
    </row>
    <row r="60" spans="1:34" s="477" customFormat="1" ht="27" customHeight="1">
      <c r="A60" s="30"/>
      <c r="B60" s="794"/>
      <c r="C60" s="530" t="s">
        <v>1525</v>
      </c>
      <c r="D60" s="531" t="s">
        <v>1390</v>
      </c>
      <c r="E60" s="631">
        <v>100</v>
      </c>
      <c r="F60" s="631">
        <v>100</v>
      </c>
      <c r="G60" s="631">
        <v>100</v>
      </c>
      <c r="H60" s="631">
        <v>100</v>
      </c>
      <c r="I60" s="631">
        <v>100</v>
      </c>
      <c r="J60" s="631">
        <v>100</v>
      </c>
      <c r="K60" s="631">
        <v>100</v>
      </c>
      <c r="L60" s="631">
        <v>100</v>
      </c>
      <c r="M60" s="631">
        <v>100</v>
      </c>
      <c r="N60" s="631">
        <v>100</v>
      </c>
      <c r="O60" s="631">
        <v>100</v>
      </c>
      <c r="P60" s="631">
        <v>100</v>
      </c>
      <c r="Q60" s="631">
        <v>100</v>
      </c>
      <c r="R60" s="631">
        <v>95</v>
      </c>
      <c r="S60" s="631">
        <v>95</v>
      </c>
      <c r="T60" s="631">
        <v>100</v>
      </c>
      <c r="U60" s="631">
        <v>100</v>
      </c>
      <c r="V60" s="631">
        <v>70</v>
      </c>
      <c r="W60" s="631">
        <v>90</v>
      </c>
      <c r="X60" s="631">
        <v>90</v>
      </c>
      <c r="Y60" s="631">
        <v>100</v>
      </c>
      <c r="Z60" s="631">
        <v>100</v>
      </c>
      <c r="AA60" s="631">
        <v>100</v>
      </c>
      <c r="AB60" s="631">
        <v>100</v>
      </c>
      <c r="AC60" s="98"/>
      <c r="AD60" s="98"/>
      <c r="AE60" s="98"/>
      <c r="AF60" s="98"/>
      <c r="AG60" s="98"/>
      <c r="AH60" s="98"/>
    </row>
    <row r="61" spans="1:34" ht="27" customHeight="1">
      <c r="A61" s="30"/>
      <c r="B61" s="794"/>
      <c r="C61" s="530" t="s">
        <v>1526</v>
      </c>
      <c r="D61" s="531" t="s">
        <v>1527</v>
      </c>
      <c r="E61" s="660">
        <v>100</v>
      </c>
      <c r="F61" s="660">
        <v>95</v>
      </c>
      <c r="G61" s="660">
        <v>100</v>
      </c>
      <c r="H61" s="660">
        <v>90</v>
      </c>
      <c r="I61" s="660">
        <v>100</v>
      </c>
      <c r="J61" s="660">
        <v>100</v>
      </c>
      <c r="K61" s="660">
        <v>100</v>
      </c>
      <c r="L61" s="660">
        <v>100</v>
      </c>
      <c r="M61" s="660">
        <v>100</v>
      </c>
      <c r="N61" s="660">
        <v>100</v>
      </c>
      <c r="O61" s="660">
        <v>100</v>
      </c>
      <c r="P61" s="660">
        <v>100</v>
      </c>
      <c r="Q61" s="660">
        <v>100</v>
      </c>
      <c r="R61" s="660">
        <v>100</v>
      </c>
      <c r="S61" s="660">
        <v>100</v>
      </c>
      <c r="T61" s="660">
        <v>100</v>
      </c>
      <c r="U61" s="660">
        <v>100</v>
      </c>
      <c r="V61" s="660">
        <v>100</v>
      </c>
      <c r="W61" s="660">
        <v>100</v>
      </c>
      <c r="X61" s="660">
        <v>100</v>
      </c>
      <c r="Y61" s="660">
        <v>100</v>
      </c>
      <c r="Z61" s="660">
        <v>100</v>
      </c>
      <c r="AA61" s="660">
        <v>100</v>
      </c>
      <c r="AB61" s="660">
        <v>100</v>
      </c>
      <c r="AC61" s="98"/>
      <c r="AD61" s="98"/>
      <c r="AE61" s="98"/>
      <c r="AF61" s="98"/>
      <c r="AG61" s="98"/>
      <c r="AH61" s="98"/>
    </row>
    <row r="62" spans="1:34" s="477" customFormat="1" ht="27" customHeight="1">
      <c r="A62" s="30"/>
      <c r="B62" s="794"/>
      <c r="C62" s="530" t="s">
        <v>1528</v>
      </c>
      <c r="D62" s="531" t="s">
        <v>1394</v>
      </c>
      <c r="E62" s="660">
        <v>100</v>
      </c>
      <c r="F62" s="660">
        <v>80</v>
      </c>
      <c r="G62" s="660">
        <v>90</v>
      </c>
      <c r="H62" s="660">
        <v>100</v>
      </c>
      <c r="I62" s="660">
        <v>100</v>
      </c>
      <c r="J62" s="660">
        <v>100</v>
      </c>
      <c r="K62" s="660">
        <v>100</v>
      </c>
      <c r="L62" s="660">
        <v>100</v>
      </c>
      <c r="M62" s="660">
        <v>90</v>
      </c>
      <c r="N62" s="660">
        <v>100</v>
      </c>
      <c r="O62" s="660">
        <v>100</v>
      </c>
      <c r="P62" s="660">
        <v>100</v>
      </c>
      <c r="Q62" s="660">
        <v>90</v>
      </c>
      <c r="R62" s="660">
        <v>90</v>
      </c>
      <c r="S62" s="660">
        <v>80</v>
      </c>
      <c r="T62" s="660">
        <v>90</v>
      </c>
      <c r="U62" s="660">
        <v>100</v>
      </c>
      <c r="V62" s="660">
        <v>100</v>
      </c>
      <c r="W62" s="660">
        <v>90</v>
      </c>
      <c r="X62" s="660">
        <v>90</v>
      </c>
      <c r="Y62" s="660">
        <v>95</v>
      </c>
      <c r="Z62" s="660">
        <v>90</v>
      </c>
      <c r="AA62" s="660">
        <v>100</v>
      </c>
      <c r="AB62" s="660">
        <v>95</v>
      </c>
      <c r="AC62" s="98"/>
      <c r="AD62" s="98"/>
      <c r="AE62" s="98"/>
      <c r="AF62" s="98"/>
      <c r="AG62" s="98"/>
      <c r="AH62" s="98"/>
    </row>
    <row r="63" spans="1:34" ht="27" customHeight="1">
      <c r="A63" s="30"/>
      <c r="B63" s="794"/>
      <c r="C63" s="532" t="s">
        <v>1529</v>
      </c>
      <c r="D63" s="533" t="s">
        <v>1482</v>
      </c>
      <c r="E63" s="628">
        <v>100</v>
      </c>
      <c r="F63" s="628">
        <v>100</v>
      </c>
      <c r="G63" s="628"/>
      <c r="H63" s="628">
        <v>100</v>
      </c>
      <c r="I63" s="628">
        <v>100</v>
      </c>
      <c r="J63" s="628">
        <v>100</v>
      </c>
      <c r="K63" s="628">
        <v>100</v>
      </c>
      <c r="L63" s="628">
        <v>100</v>
      </c>
      <c r="M63" s="628">
        <v>95</v>
      </c>
      <c r="N63" s="628">
        <v>100</v>
      </c>
      <c r="O63" s="628">
        <v>90</v>
      </c>
      <c r="P63" s="628">
        <v>100</v>
      </c>
      <c r="Q63" s="628">
        <v>100</v>
      </c>
      <c r="R63" s="628">
        <v>100</v>
      </c>
      <c r="S63" s="628">
        <v>90</v>
      </c>
      <c r="T63" s="628">
        <v>100</v>
      </c>
      <c r="U63" s="628">
        <v>100</v>
      </c>
      <c r="V63" s="628">
        <v>100</v>
      </c>
      <c r="W63" s="628">
        <v>100</v>
      </c>
      <c r="X63" s="628">
        <v>100</v>
      </c>
      <c r="Y63" s="628">
        <v>100</v>
      </c>
      <c r="Z63" s="628">
        <v>100</v>
      </c>
      <c r="AA63" s="628">
        <v>100</v>
      </c>
      <c r="AB63" s="628">
        <v>100</v>
      </c>
      <c r="AC63" s="98"/>
      <c r="AD63" s="98"/>
      <c r="AE63" s="98"/>
      <c r="AF63" s="98"/>
      <c r="AG63" s="98"/>
      <c r="AH63" s="98"/>
    </row>
    <row r="64" spans="1:34" ht="27" customHeight="1">
      <c r="A64" s="30"/>
      <c r="B64" s="794"/>
      <c r="C64" s="530" t="s">
        <v>1530</v>
      </c>
      <c r="D64" s="531" t="s">
        <v>1484</v>
      </c>
      <c r="E64" s="628">
        <v>90</v>
      </c>
      <c r="F64" s="628">
        <v>70</v>
      </c>
      <c r="G64" s="628">
        <v>80</v>
      </c>
      <c r="H64" s="628">
        <v>100</v>
      </c>
      <c r="I64" s="628">
        <v>90</v>
      </c>
      <c r="J64" s="628">
        <v>80</v>
      </c>
      <c r="K64" s="628">
        <v>90</v>
      </c>
      <c r="L64" s="628">
        <v>80</v>
      </c>
      <c r="M64" s="628">
        <v>70</v>
      </c>
      <c r="N64" s="628">
        <v>100</v>
      </c>
      <c r="O64" s="628">
        <v>90</v>
      </c>
      <c r="P64" s="628">
        <v>70</v>
      </c>
      <c r="Q64" s="628">
        <v>85</v>
      </c>
      <c r="R64" s="628">
        <v>90</v>
      </c>
      <c r="S64" s="628">
        <v>60</v>
      </c>
      <c r="T64" s="628">
        <v>90</v>
      </c>
      <c r="U64" s="628">
        <v>100</v>
      </c>
      <c r="V64" s="628">
        <v>70</v>
      </c>
      <c r="W64" s="628">
        <v>70</v>
      </c>
      <c r="X64" s="628">
        <v>90</v>
      </c>
      <c r="Y64" s="628">
        <v>80</v>
      </c>
      <c r="Z64" s="628">
        <v>95</v>
      </c>
      <c r="AA64" s="628">
        <v>90</v>
      </c>
      <c r="AB64" s="628">
        <v>80</v>
      </c>
      <c r="AC64" s="98"/>
      <c r="AD64" s="98"/>
      <c r="AE64" s="98"/>
      <c r="AF64" s="98"/>
      <c r="AG64" s="98"/>
      <c r="AH64" s="98"/>
    </row>
    <row r="65" spans="1:34" ht="27" customHeight="1">
      <c r="A65" s="30"/>
      <c r="B65" s="794"/>
      <c r="C65" s="530" t="s">
        <v>1531</v>
      </c>
      <c r="D65" s="531" t="s">
        <v>1451</v>
      </c>
      <c r="E65" s="672">
        <v>100</v>
      </c>
      <c r="F65" s="672">
        <v>95</v>
      </c>
      <c r="G65" s="672">
        <v>90</v>
      </c>
      <c r="H65" s="672">
        <v>95</v>
      </c>
      <c r="I65" s="672">
        <v>90</v>
      </c>
      <c r="J65" s="672">
        <v>100</v>
      </c>
      <c r="K65" s="672">
        <v>100</v>
      </c>
      <c r="L65" s="672">
        <v>100</v>
      </c>
      <c r="M65" s="672">
        <v>100</v>
      </c>
      <c r="N65" s="672">
        <v>100</v>
      </c>
      <c r="O65" s="672">
        <v>100</v>
      </c>
      <c r="P65" s="672">
        <v>100</v>
      </c>
      <c r="Q65" s="672">
        <v>100</v>
      </c>
      <c r="R65" s="672">
        <v>100</v>
      </c>
      <c r="S65" s="672">
        <v>100</v>
      </c>
      <c r="T65" s="672">
        <v>90</v>
      </c>
      <c r="U65" s="672">
        <v>100</v>
      </c>
      <c r="V65" s="672">
        <v>100</v>
      </c>
      <c r="W65" s="672">
        <v>100</v>
      </c>
      <c r="X65" s="672">
        <v>85</v>
      </c>
      <c r="Y65" s="672">
        <v>95</v>
      </c>
      <c r="Z65" s="672">
        <v>100</v>
      </c>
      <c r="AA65" s="672">
        <v>100</v>
      </c>
      <c r="AB65" s="672">
        <v>100</v>
      </c>
      <c r="AC65" s="98"/>
      <c r="AD65" s="98"/>
      <c r="AE65" s="98"/>
      <c r="AF65" s="98"/>
      <c r="AG65" s="98"/>
      <c r="AH65" s="98"/>
    </row>
    <row r="66" spans="1:34" ht="27" customHeight="1">
      <c r="A66" s="30"/>
      <c r="B66" s="794"/>
      <c r="C66" s="530" t="s">
        <v>1532</v>
      </c>
      <c r="D66" s="531" t="s">
        <v>1453</v>
      </c>
      <c r="E66" s="672">
        <v>100</v>
      </c>
      <c r="F66" s="672">
        <v>100</v>
      </c>
      <c r="G66" s="672">
        <v>90</v>
      </c>
      <c r="H66" s="672">
        <v>90</v>
      </c>
      <c r="I66" s="672">
        <v>100</v>
      </c>
      <c r="J66" s="672">
        <v>100</v>
      </c>
      <c r="K66" s="672">
        <v>100</v>
      </c>
      <c r="L66" s="672">
        <v>100</v>
      </c>
      <c r="M66" s="672">
        <v>100</v>
      </c>
      <c r="N66" s="672">
        <v>100</v>
      </c>
      <c r="O66" s="672">
        <v>100</v>
      </c>
      <c r="P66" s="672">
        <v>90</v>
      </c>
      <c r="Q66" s="672">
        <v>100</v>
      </c>
      <c r="R66" s="672">
        <v>100</v>
      </c>
      <c r="S66" s="672">
        <v>90</v>
      </c>
      <c r="T66" s="672">
        <v>100</v>
      </c>
      <c r="U66" s="672">
        <v>100</v>
      </c>
      <c r="V66" s="672">
        <v>100</v>
      </c>
      <c r="W66" s="672">
        <v>100</v>
      </c>
      <c r="X66" s="672">
        <v>100</v>
      </c>
      <c r="Y66" s="672">
        <v>80</v>
      </c>
      <c r="Z66" s="672">
        <v>100</v>
      </c>
      <c r="AA66" s="672">
        <v>100</v>
      </c>
      <c r="AB66" s="672">
        <v>100</v>
      </c>
      <c r="AC66" s="98"/>
      <c r="AD66" s="98"/>
      <c r="AE66" s="98"/>
      <c r="AF66" s="98"/>
      <c r="AG66" s="98"/>
      <c r="AH66" s="98"/>
    </row>
    <row r="67" spans="1:34" ht="27" customHeight="1">
      <c r="A67" s="30"/>
      <c r="B67" s="794"/>
      <c r="C67" s="74"/>
      <c r="D67" s="72"/>
      <c r="E67" s="98"/>
      <c r="F67" s="98"/>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row>
    <row r="68" spans="1:34" ht="27" customHeight="1" thickBot="1">
      <c r="A68" s="30"/>
      <c r="B68" s="800">
        <v>7</v>
      </c>
      <c r="C68" s="795" t="s">
        <v>1842</v>
      </c>
      <c r="D68" s="796"/>
      <c r="E68" s="97">
        <f>IFERROR(AVERAGE(E69:E76),"")</f>
        <v>96.25</v>
      </c>
      <c r="F68" s="97">
        <f t="shared" ref="F68:AB68" si="12">IFERROR(AVERAGE(F69:F76),"")</f>
        <v>89.166666666666671</v>
      </c>
      <c r="G68" s="97">
        <f t="shared" si="12"/>
        <v>86.428571428571431</v>
      </c>
      <c r="H68" s="97">
        <f t="shared" si="12"/>
        <v>92.5</v>
      </c>
      <c r="I68" s="97">
        <f t="shared" si="12"/>
        <v>93.125</v>
      </c>
      <c r="J68" s="97">
        <f t="shared" si="12"/>
        <v>98.125</v>
      </c>
      <c r="K68" s="97">
        <f t="shared" si="12"/>
        <v>95.625</v>
      </c>
      <c r="L68" s="97">
        <f t="shared" si="12"/>
        <v>93.75</v>
      </c>
      <c r="M68" s="97">
        <f t="shared" si="12"/>
        <v>90</v>
      </c>
      <c r="N68" s="97">
        <f t="shared" si="12"/>
        <v>93.75</v>
      </c>
      <c r="O68" s="97">
        <f t="shared" si="12"/>
        <v>98.75</v>
      </c>
      <c r="P68" s="97">
        <f t="shared" si="12"/>
        <v>95.625</v>
      </c>
      <c r="Q68" s="97">
        <f t="shared" si="12"/>
        <v>93.75</v>
      </c>
      <c r="R68" s="97">
        <f t="shared" si="12"/>
        <v>93.75</v>
      </c>
      <c r="S68" s="97">
        <f t="shared" si="12"/>
        <v>87.5</v>
      </c>
      <c r="T68" s="97">
        <f t="shared" si="12"/>
        <v>91.875</v>
      </c>
      <c r="U68" s="97">
        <f t="shared" si="12"/>
        <v>97.5</v>
      </c>
      <c r="V68" s="97">
        <f t="shared" si="12"/>
        <v>95</v>
      </c>
      <c r="W68" s="97">
        <f t="shared" si="12"/>
        <v>95</v>
      </c>
      <c r="X68" s="97">
        <f t="shared" si="12"/>
        <v>82.5</v>
      </c>
      <c r="Y68" s="97">
        <f t="shared" si="12"/>
        <v>94.375</v>
      </c>
      <c r="Z68" s="97">
        <f t="shared" si="12"/>
        <v>96.875</v>
      </c>
      <c r="AA68" s="97">
        <f t="shared" si="12"/>
        <v>96.875</v>
      </c>
      <c r="AB68" s="97">
        <f t="shared" si="12"/>
        <v>94.375</v>
      </c>
      <c r="AC68" s="97" t="str">
        <f t="shared" ref="AC68:AH68" si="13">IFERROR(AVERAGE(AC69:AC76),"")</f>
        <v/>
      </c>
      <c r="AD68" s="97" t="str">
        <f t="shared" si="13"/>
        <v/>
      </c>
      <c r="AE68" s="97" t="str">
        <f t="shared" si="13"/>
        <v/>
      </c>
      <c r="AF68" s="97" t="str">
        <f t="shared" si="13"/>
        <v/>
      </c>
      <c r="AG68" s="97" t="str">
        <f t="shared" si="13"/>
        <v/>
      </c>
      <c r="AH68" s="97" t="str">
        <f t="shared" si="13"/>
        <v/>
      </c>
    </row>
    <row r="69" spans="1:34" ht="27" customHeight="1" thickTop="1">
      <c r="A69" s="30"/>
      <c r="B69" s="801"/>
      <c r="C69" s="534" t="s">
        <v>1533</v>
      </c>
      <c r="D69" s="535" t="s">
        <v>1427</v>
      </c>
      <c r="E69" s="634">
        <v>100</v>
      </c>
      <c r="F69" s="634">
        <v>90</v>
      </c>
      <c r="G69" s="634">
        <v>85</v>
      </c>
      <c r="H69" s="634">
        <v>100</v>
      </c>
      <c r="I69" s="634">
        <v>95</v>
      </c>
      <c r="J69" s="634">
        <v>100</v>
      </c>
      <c r="K69" s="634">
        <v>100</v>
      </c>
      <c r="L69" s="634">
        <v>70</v>
      </c>
      <c r="M69" s="634">
        <v>70</v>
      </c>
      <c r="N69" s="634">
        <v>70</v>
      </c>
      <c r="O69" s="634">
        <v>100</v>
      </c>
      <c r="P69" s="634">
        <v>90</v>
      </c>
      <c r="Q69" s="634">
        <v>90</v>
      </c>
      <c r="R69" s="634">
        <v>70</v>
      </c>
      <c r="S69" s="634">
        <v>70</v>
      </c>
      <c r="T69" s="634">
        <v>70</v>
      </c>
      <c r="U69" s="634">
        <v>100</v>
      </c>
      <c r="V69" s="634">
        <v>95</v>
      </c>
      <c r="W69" s="634">
        <v>90</v>
      </c>
      <c r="X69" s="634">
        <v>70</v>
      </c>
      <c r="Y69" s="634">
        <v>100</v>
      </c>
      <c r="Z69" s="634">
        <v>95</v>
      </c>
      <c r="AA69" s="634">
        <v>95</v>
      </c>
      <c r="AB69" s="634">
        <v>85</v>
      </c>
      <c r="AC69" s="98"/>
      <c r="AD69" s="98"/>
      <c r="AE69" s="98"/>
      <c r="AF69" s="98"/>
      <c r="AG69" s="98"/>
      <c r="AH69" s="98"/>
    </row>
    <row r="70" spans="1:34" ht="33" customHeight="1">
      <c r="A70" s="30"/>
      <c r="B70" s="801"/>
      <c r="C70" s="536" t="s">
        <v>1534</v>
      </c>
      <c r="D70" s="537" t="s">
        <v>1429</v>
      </c>
      <c r="E70" s="634">
        <v>100</v>
      </c>
      <c r="F70" s="634">
        <v>90</v>
      </c>
      <c r="G70" s="634">
        <v>90</v>
      </c>
      <c r="H70" s="634">
        <v>90</v>
      </c>
      <c r="I70" s="634">
        <v>100</v>
      </c>
      <c r="J70" s="634">
        <v>100</v>
      </c>
      <c r="K70" s="634">
        <v>90</v>
      </c>
      <c r="L70" s="634">
        <v>90</v>
      </c>
      <c r="M70" s="634">
        <v>100</v>
      </c>
      <c r="N70" s="634">
        <v>100</v>
      </c>
      <c r="O70" s="634">
        <v>100</v>
      </c>
      <c r="P70" s="634">
        <v>100</v>
      </c>
      <c r="Q70" s="634">
        <v>100</v>
      </c>
      <c r="R70" s="634">
        <v>100</v>
      </c>
      <c r="S70" s="634">
        <v>100</v>
      </c>
      <c r="T70" s="634">
        <v>100</v>
      </c>
      <c r="U70" s="634">
        <v>100</v>
      </c>
      <c r="V70" s="634">
        <v>100</v>
      </c>
      <c r="W70" s="634">
        <v>100</v>
      </c>
      <c r="X70" s="634">
        <v>90</v>
      </c>
      <c r="Y70" s="634">
        <v>90</v>
      </c>
      <c r="Z70" s="634">
        <v>90</v>
      </c>
      <c r="AA70" s="634">
        <v>100</v>
      </c>
      <c r="AB70" s="634">
        <v>100</v>
      </c>
      <c r="AC70" s="98"/>
      <c r="AD70" s="98"/>
      <c r="AE70" s="98"/>
      <c r="AF70" s="98"/>
      <c r="AG70" s="98"/>
      <c r="AH70" s="98"/>
    </row>
    <row r="71" spans="1:34" s="477" customFormat="1" ht="33.75" customHeight="1">
      <c r="A71" s="30"/>
      <c r="B71" s="801"/>
      <c r="C71" s="536" t="s">
        <v>1535</v>
      </c>
      <c r="D71" s="537" t="s">
        <v>1400</v>
      </c>
      <c r="E71" s="666">
        <v>90</v>
      </c>
      <c r="F71" s="666">
        <v>75</v>
      </c>
      <c r="G71" s="666">
        <v>70</v>
      </c>
      <c r="H71" s="666">
        <v>90</v>
      </c>
      <c r="I71" s="666">
        <v>90</v>
      </c>
      <c r="J71" s="666">
        <v>100</v>
      </c>
      <c r="K71" s="666">
        <v>90</v>
      </c>
      <c r="L71" s="666">
        <v>100</v>
      </c>
      <c r="M71" s="666">
        <v>90</v>
      </c>
      <c r="N71" s="666">
        <v>100</v>
      </c>
      <c r="O71" s="666">
        <v>100</v>
      </c>
      <c r="P71" s="666">
        <v>90</v>
      </c>
      <c r="Q71" s="666">
        <v>90</v>
      </c>
      <c r="R71" s="666">
        <v>90</v>
      </c>
      <c r="S71" s="666">
        <v>80</v>
      </c>
      <c r="T71" s="666">
        <v>100</v>
      </c>
      <c r="U71" s="666">
        <v>100</v>
      </c>
      <c r="V71" s="666">
        <v>90</v>
      </c>
      <c r="W71" s="666">
        <v>100</v>
      </c>
      <c r="X71" s="666">
        <v>90</v>
      </c>
      <c r="Y71" s="666">
        <v>90</v>
      </c>
      <c r="Z71" s="666">
        <v>100</v>
      </c>
      <c r="AA71" s="666">
        <v>90</v>
      </c>
      <c r="AB71" s="666">
        <v>100</v>
      </c>
      <c r="AC71" s="98"/>
      <c r="AD71" s="98"/>
      <c r="AE71" s="98"/>
      <c r="AF71" s="98"/>
      <c r="AG71" s="98"/>
      <c r="AH71" s="98"/>
    </row>
    <row r="72" spans="1:34" ht="27" customHeight="1">
      <c r="A72" s="30"/>
      <c r="B72" s="801"/>
      <c r="C72" s="538" t="s">
        <v>1536</v>
      </c>
      <c r="D72" s="537" t="s">
        <v>1402</v>
      </c>
      <c r="E72" s="666">
        <v>100</v>
      </c>
      <c r="F72" s="666">
        <v>90</v>
      </c>
      <c r="G72" s="666">
        <v>80</v>
      </c>
      <c r="H72" s="666">
        <v>70</v>
      </c>
      <c r="I72" s="666">
        <v>80</v>
      </c>
      <c r="J72" s="666">
        <v>100</v>
      </c>
      <c r="K72" s="666">
        <v>100</v>
      </c>
      <c r="L72" s="666">
        <v>100</v>
      </c>
      <c r="M72" s="666">
        <v>90</v>
      </c>
      <c r="N72" s="666">
        <v>90</v>
      </c>
      <c r="O72" s="666">
        <v>90</v>
      </c>
      <c r="P72" s="666">
        <v>100</v>
      </c>
      <c r="Q72" s="666">
        <v>90</v>
      </c>
      <c r="R72" s="666">
        <v>100</v>
      </c>
      <c r="S72" s="666">
        <v>85</v>
      </c>
      <c r="T72" s="666">
        <v>95</v>
      </c>
      <c r="U72" s="666">
        <v>90</v>
      </c>
      <c r="V72" s="666">
        <v>90</v>
      </c>
      <c r="W72" s="666">
        <v>90</v>
      </c>
      <c r="X72" s="666">
        <v>100</v>
      </c>
      <c r="Y72" s="666">
        <v>90</v>
      </c>
      <c r="Z72" s="666">
        <v>100</v>
      </c>
      <c r="AA72" s="666">
        <v>100</v>
      </c>
      <c r="AB72" s="666">
        <v>100</v>
      </c>
      <c r="AC72" s="98"/>
      <c r="AD72" s="98"/>
      <c r="AE72" s="98"/>
      <c r="AF72" s="98"/>
      <c r="AG72" s="98"/>
      <c r="AH72" s="98"/>
    </row>
    <row r="73" spans="1:34" ht="27" customHeight="1">
      <c r="A73" s="30"/>
      <c r="B73" s="801"/>
      <c r="C73" s="538" t="s">
        <v>1537</v>
      </c>
      <c r="D73" s="537" t="s">
        <v>1490</v>
      </c>
      <c r="E73" s="651">
        <v>95</v>
      </c>
      <c r="F73" s="651">
        <v>100</v>
      </c>
      <c r="G73" s="651"/>
      <c r="H73" s="651">
        <v>100</v>
      </c>
      <c r="I73" s="651">
        <v>95</v>
      </c>
      <c r="J73" s="651">
        <v>100</v>
      </c>
      <c r="K73" s="651">
        <v>95</v>
      </c>
      <c r="L73" s="651">
        <v>100</v>
      </c>
      <c r="M73" s="651">
        <v>85</v>
      </c>
      <c r="N73" s="651">
        <v>100</v>
      </c>
      <c r="O73" s="651">
        <v>100</v>
      </c>
      <c r="P73" s="651">
        <v>85</v>
      </c>
      <c r="Q73" s="651">
        <v>95</v>
      </c>
      <c r="R73" s="651">
        <v>100</v>
      </c>
      <c r="S73" s="651">
        <v>85</v>
      </c>
      <c r="T73" s="651">
        <v>90</v>
      </c>
      <c r="U73" s="651">
        <v>100</v>
      </c>
      <c r="V73" s="651">
        <v>100</v>
      </c>
      <c r="W73" s="651">
        <v>100</v>
      </c>
      <c r="X73" s="651">
        <v>90</v>
      </c>
      <c r="Y73" s="651">
        <v>100</v>
      </c>
      <c r="Z73" s="651">
        <v>100</v>
      </c>
      <c r="AA73" s="651">
        <v>100</v>
      </c>
      <c r="AB73" s="651">
        <v>100</v>
      </c>
      <c r="AC73" s="98"/>
      <c r="AD73" s="98"/>
      <c r="AE73" s="98"/>
      <c r="AF73" s="98"/>
      <c r="AG73" s="98"/>
      <c r="AH73" s="98"/>
    </row>
    <row r="74" spans="1:34" ht="27" customHeight="1">
      <c r="A74" s="30"/>
      <c r="B74" s="801"/>
      <c r="C74" s="536" t="s">
        <v>1538</v>
      </c>
      <c r="D74" s="537" t="s">
        <v>1492</v>
      </c>
      <c r="E74" s="651">
        <v>90</v>
      </c>
      <c r="F74" s="651">
        <v>90</v>
      </c>
      <c r="G74" s="651">
        <v>90</v>
      </c>
      <c r="H74" s="651">
        <v>100</v>
      </c>
      <c r="I74" s="651">
        <v>100</v>
      </c>
      <c r="J74" s="651">
        <v>90</v>
      </c>
      <c r="K74" s="651">
        <v>90</v>
      </c>
      <c r="L74" s="651">
        <v>90</v>
      </c>
      <c r="M74" s="651">
        <v>90</v>
      </c>
      <c r="N74" s="651">
        <v>100</v>
      </c>
      <c r="O74" s="651">
        <v>100</v>
      </c>
      <c r="P74" s="651">
        <v>100</v>
      </c>
      <c r="Q74" s="651">
        <v>100</v>
      </c>
      <c r="R74" s="651">
        <v>90</v>
      </c>
      <c r="S74" s="651">
        <v>100</v>
      </c>
      <c r="T74" s="651">
        <v>80</v>
      </c>
      <c r="U74" s="651">
        <v>90</v>
      </c>
      <c r="V74" s="651">
        <v>100</v>
      </c>
      <c r="W74" s="651">
        <v>90</v>
      </c>
      <c r="X74" s="651">
        <v>70</v>
      </c>
      <c r="Y74" s="651">
        <v>90</v>
      </c>
      <c r="Z74" s="651">
        <v>90</v>
      </c>
      <c r="AA74" s="651">
        <v>90</v>
      </c>
      <c r="AB74" s="651">
        <v>80</v>
      </c>
      <c r="AC74" s="98"/>
      <c r="AD74" s="98"/>
      <c r="AE74" s="98"/>
      <c r="AF74" s="98"/>
      <c r="AG74" s="98"/>
      <c r="AH74" s="98"/>
    </row>
    <row r="75" spans="1:34" ht="27" customHeight="1">
      <c r="A75" s="30"/>
      <c r="B75" s="801"/>
      <c r="C75" s="538" t="s">
        <v>1539</v>
      </c>
      <c r="D75" s="537" t="s">
        <v>1459</v>
      </c>
      <c r="E75" s="654">
        <v>95</v>
      </c>
      <c r="F75" s="654"/>
      <c r="G75" s="654">
        <v>90</v>
      </c>
      <c r="H75" s="654">
        <v>90</v>
      </c>
      <c r="I75" s="654">
        <v>95</v>
      </c>
      <c r="J75" s="654">
        <v>95</v>
      </c>
      <c r="K75" s="654">
        <v>100</v>
      </c>
      <c r="L75" s="654">
        <v>100</v>
      </c>
      <c r="M75" s="654">
        <v>95</v>
      </c>
      <c r="N75" s="654">
        <v>100</v>
      </c>
      <c r="O75" s="654">
        <v>100</v>
      </c>
      <c r="P75" s="654">
        <v>100</v>
      </c>
      <c r="Q75" s="654">
        <v>85</v>
      </c>
      <c r="R75" s="654">
        <v>100</v>
      </c>
      <c r="S75" s="654">
        <v>90</v>
      </c>
      <c r="T75" s="654">
        <v>100</v>
      </c>
      <c r="U75" s="654">
        <v>100</v>
      </c>
      <c r="V75" s="654">
        <v>90</v>
      </c>
      <c r="W75" s="654">
        <v>100</v>
      </c>
      <c r="X75" s="654">
        <v>70</v>
      </c>
      <c r="Y75" s="654">
        <v>95</v>
      </c>
      <c r="Z75" s="654">
        <v>100</v>
      </c>
      <c r="AA75" s="654">
        <v>100</v>
      </c>
      <c r="AB75" s="654">
        <v>90</v>
      </c>
      <c r="AC75" s="98"/>
      <c r="AD75" s="98"/>
      <c r="AE75" s="98"/>
      <c r="AF75" s="98"/>
      <c r="AG75" s="98"/>
      <c r="AH75" s="98"/>
    </row>
    <row r="76" spans="1:34" ht="27" customHeight="1">
      <c r="A76" s="30"/>
      <c r="B76" s="802"/>
      <c r="C76" s="538" t="s">
        <v>1540</v>
      </c>
      <c r="D76" s="537" t="s">
        <v>1541</v>
      </c>
      <c r="E76" s="654">
        <v>100</v>
      </c>
      <c r="F76" s="654"/>
      <c r="G76" s="654">
        <v>100</v>
      </c>
      <c r="H76" s="654">
        <v>100</v>
      </c>
      <c r="I76" s="654">
        <v>90</v>
      </c>
      <c r="J76" s="654">
        <v>100</v>
      </c>
      <c r="K76" s="654">
        <v>100</v>
      </c>
      <c r="L76" s="654">
        <v>100</v>
      </c>
      <c r="M76" s="654">
        <v>100</v>
      </c>
      <c r="N76" s="654">
        <v>90</v>
      </c>
      <c r="O76" s="654">
        <v>100</v>
      </c>
      <c r="P76" s="654">
        <v>100</v>
      </c>
      <c r="Q76" s="654">
        <v>100</v>
      </c>
      <c r="R76" s="654">
        <v>100</v>
      </c>
      <c r="S76" s="654">
        <v>90</v>
      </c>
      <c r="T76" s="654">
        <v>100</v>
      </c>
      <c r="U76" s="654">
        <v>100</v>
      </c>
      <c r="V76" s="654">
        <v>95</v>
      </c>
      <c r="W76" s="654">
        <v>90</v>
      </c>
      <c r="X76" s="654">
        <v>80</v>
      </c>
      <c r="Y76" s="654">
        <v>100</v>
      </c>
      <c r="Z76" s="654">
        <v>100</v>
      </c>
      <c r="AA76" s="654">
        <v>100</v>
      </c>
      <c r="AB76" s="654">
        <v>100</v>
      </c>
      <c r="AC76" s="98"/>
      <c r="AD76" s="98"/>
      <c r="AE76" s="98"/>
      <c r="AF76" s="98"/>
      <c r="AG76" s="98"/>
      <c r="AH76" s="98"/>
    </row>
    <row r="77" spans="1:34" ht="27" customHeight="1" thickBot="1">
      <c r="A77" s="30"/>
      <c r="B77" s="800">
        <v>8</v>
      </c>
      <c r="C77" s="795" t="s">
        <v>1843</v>
      </c>
      <c r="D77" s="796"/>
      <c r="E77" s="97">
        <f>IFERROR(AVERAGE(E78:E86),"")</f>
        <v>89.375</v>
      </c>
      <c r="F77" s="97">
        <f t="shared" ref="F77:AA77" si="14">IFERROR(AVERAGE(F78:F86),"")</f>
        <v>91.25</v>
      </c>
      <c r="G77" s="97">
        <f t="shared" si="14"/>
        <v>88.75</v>
      </c>
      <c r="H77" s="97">
        <f t="shared" si="14"/>
        <v>96.875</v>
      </c>
      <c r="I77" s="97">
        <f t="shared" si="14"/>
        <v>93.75</v>
      </c>
      <c r="J77" s="97">
        <f t="shared" si="14"/>
        <v>98.125</v>
      </c>
      <c r="K77" s="97">
        <f t="shared" si="14"/>
        <v>94.375</v>
      </c>
      <c r="L77" s="97">
        <f t="shared" si="14"/>
        <v>98.125</v>
      </c>
      <c r="M77" s="97">
        <f t="shared" si="14"/>
        <v>88.75</v>
      </c>
      <c r="N77" s="97">
        <f t="shared" si="14"/>
        <v>94.375</v>
      </c>
      <c r="O77" s="97">
        <f t="shared" si="14"/>
        <v>95.625</v>
      </c>
      <c r="P77" s="97">
        <f t="shared" si="14"/>
        <v>93.125</v>
      </c>
      <c r="Q77" s="97">
        <f t="shared" si="14"/>
        <v>95.625</v>
      </c>
      <c r="R77" s="97">
        <f t="shared" si="14"/>
        <v>87</v>
      </c>
      <c r="S77" s="97">
        <f t="shared" si="14"/>
        <v>88.125</v>
      </c>
      <c r="T77" s="97">
        <f t="shared" si="14"/>
        <v>90.625</v>
      </c>
      <c r="U77" s="97">
        <f t="shared" si="14"/>
        <v>98.125</v>
      </c>
      <c r="V77" s="97">
        <f t="shared" si="14"/>
        <v>91.428571428571431</v>
      </c>
      <c r="W77" s="97">
        <f t="shared" si="14"/>
        <v>93.125</v>
      </c>
      <c r="X77" s="97">
        <f t="shared" si="14"/>
        <v>93.75</v>
      </c>
      <c r="Y77" s="97">
        <f t="shared" si="14"/>
        <v>98.75</v>
      </c>
      <c r="Z77" s="97">
        <f t="shared" si="14"/>
        <v>90</v>
      </c>
      <c r="AA77" s="97">
        <f t="shared" si="14"/>
        <v>98.75</v>
      </c>
      <c r="AB77" s="97">
        <f t="shared" ref="AB77:AH77" si="15">IFERROR(AVERAGE(AB78:AB86),"")</f>
        <v>85.625</v>
      </c>
      <c r="AC77" s="97" t="str">
        <f t="shared" si="15"/>
        <v/>
      </c>
      <c r="AD77" s="97" t="str">
        <f t="shared" si="15"/>
        <v/>
      </c>
      <c r="AE77" s="97" t="str">
        <f t="shared" si="15"/>
        <v/>
      </c>
      <c r="AF77" s="97" t="str">
        <f t="shared" si="15"/>
        <v/>
      </c>
      <c r="AG77" s="97" t="str">
        <f t="shared" si="15"/>
        <v/>
      </c>
      <c r="AH77" s="97" t="str">
        <f t="shared" si="15"/>
        <v/>
      </c>
    </row>
    <row r="78" spans="1:34" ht="27" customHeight="1" thickTop="1">
      <c r="A78" s="30"/>
      <c r="B78" s="801"/>
      <c r="C78" s="539" t="s">
        <v>1542</v>
      </c>
      <c r="D78" s="540" t="s">
        <v>1443</v>
      </c>
      <c r="E78" s="643">
        <v>90</v>
      </c>
      <c r="F78" s="643">
        <v>90</v>
      </c>
      <c r="G78" s="643">
        <v>80</v>
      </c>
      <c r="H78" s="643">
        <v>100</v>
      </c>
      <c r="I78" s="643">
        <v>95</v>
      </c>
      <c r="J78" s="643">
        <v>100</v>
      </c>
      <c r="K78" s="643">
        <v>100</v>
      </c>
      <c r="L78" s="643">
        <v>100</v>
      </c>
      <c r="M78" s="643">
        <v>90</v>
      </c>
      <c r="N78" s="643">
        <v>95</v>
      </c>
      <c r="O78" s="643">
        <v>100</v>
      </c>
      <c r="P78" s="643">
        <v>90</v>
      </c>
      <c r="Q78" s="643">
        <v>100</v>
      </c>
      <c r="R78" s="643">
        <v>85</v>
      </c>
      <c r="S78" s="643">
        <v>95</v>
      </c>
      <c r="T78" s="643">
        <v>75</v>
      </c>
      <c r="U78" s="643">
        <v>100</v>
      </c>
      <c r="V78" s="643">
        <v>80</v>
      </c>
      <c r="W78" s="643">
        <v>75</v>
      </c>
      <c r="X78" s="643">
        <v>100</v>
      </c>
      <c r="Y78" s="643">
        <v>90</v>
      </c>
      <c r="Z78" s="643">
        <v>85</v>
      </c>
      <c r="AA78" s="643">
        <v>100</v>
      </c>
      <c r="AB78" s="643">
        <v>90</v>
      </c>
      <c r="AC78" s="98"/>
      <c r="AD78" s="98"/>
      <c r="AE78" s="98"/>
      <c r="AF78" s="98"/>
      <c r="AG78" s="98"/>
      <c r="AH78" s="98"/>
    </row>
    <row r="79" spans="1:34" s="477" customFormat="1" ht="27" customHeight="1">
      <c r="A79" s="30"/>
      <c r="B79" s="801"/>
      <c r="C79" s="541" t="s">
        <v>1543</v>
      </c>
      <c r="D79" s="542" t="s">
        <v>1445</v>
      </c>
      <c r="E79" s="643">
        <v>90</v>
      </c>
      <c r="F79" s="643">
        <v>85</v>
      </c>
      <c r="G79" s="643">
        <v>90</v>
      </c>
      <c r="H79" s="643">
        <v>100</v>
      </c>
      <c r="I79" s="643">
        <v>95</v>
      </c>
      <c r="J79" s="643">
        <v>100</v>
      </c>
      <c r="K79" s="643">
        <v>95</v>
      </c>
      <c r="L79" s="643">
        <v>100</v>
      </c>
      <c r="M79" s="643">
        <v>95</v>
      </c>
      <c r="N79" s="643">
        <v>100</v>
      </c>
      <c r="O79" s="643">
        <v>85</v>
      </c>
      <c r="P79" s="643">
        <v>100</v>
      </c>
      <c r="Q79" s="643">
        <v>100</v>
      </c>
      <c r="R79" s="643"/>
      <c r="S79" s="643">
        <v>75</v>
      </c>
      <c r="T79" s="643">
        <v>80</v>
      </c>
      <c r="U79" s="643">
        <v>100</v>
      </c>
      <c r="V79" s="643">
        <v>100</v>
      </c>
      <c r="W79" s="643">
        <v>100</v>
      </c>
      <c r="X79" s="643">
        <v>100</v>
      </c>
      <c r="Y79" s="643">
        <v>100</v>
      </c>
      <c r="Z79" s="643">
        <v>90</v>
      </c>
      <c r="AA79" s="643">
        <v>100</v>
      </c>
      <c r="AB79" s="643">
        <v>100</v>
      </c>
      <c r="AC79" s="98"/>
      <c r="AD79" s="98"/>
      <c r="AE79" s="98"/>
      <c r="AF79" s="98"/>
      <c r="AG79" s="98"/>
      <c r="AH79" s="98"/>
    </row>
    <row r="80" spans="1:34" s="477" customFormat="1" ht="27" customHeight="1">
      <c r="A80" s="30"/>
      <c r="B80" s="801"/>
      <c r="C80" s="541" t="s">
        <v>1544</v>
      </c>
      <c r="D80" s="542" t="s">
        <v>1415</v>
      </c>
      <c r="E80" s="643">
        <v>100</v>
      </c>
      <c r="F80" s="643"/>
      <c r="G80" s="643">
        <v>100</v>
      </c>
      <c r="H80" s="643">
        <v>100</v>
      </c>
      <c r="I80" s="643">
        <v>100</v>
      </c>
      <c r="J80" s="643">
        <v>100</v>
      </c>
      <c r="K80" s="643">
        <v>100</v>
      </c>
      <c r="L80" s="643">
        <v>90</v>
      </c>
      <c r="M80" s="643">
        <v>90</v>
      </c>
      <c r="N80" s="643">
        <v>100</v>
      </c>
      <c r="O80" s="643">
        <v>100</v>
      </c>
      <c r="P80" s="643">
        <v>100</v>
      </c>
      <c r="Q80" s="643">
        <v>100</v>
      </c>
      <c r="R80" s="643">
        <v>95</v>
      </c>
      <c r="S80" s="643">
        <v>85</v>
      </c>
      <c r="T80" s="643">
        <v>100</v>
      </c>
      <c r="U80" s="643">
        <v>100</v>
      </c>
      <c r="V80" s="643">
        <v>90</v>
      </c>
      <c r="W80" s="643">
        <v>100</v>
      </c>
      <c r="X80" s="643">
        <v>100</v>
      </c>
      <c r="Y80" s="643">
        <v>100</v>
      </c>
      <c r="Z80" s="643">
        <v>90</v>
      </c>
      <c r="AA80" s="643">
        <v>100</v>
      </c>
      <c r="AB80" s="643">
        <v>100</v>
      </c>
      <c r="AC80" s="98"/>
      <c r="AD80" s="98"/>
      <c r="AE80" s="98"/>
      <c r="AF80" s="98"/>
      <c r="AG80" s="98"/>
      <c r="AH80" s="98"/>
    </row>
    <row r="81" spans="1:34" ht="35.25" customHeight="1">
      <c r="A81" s="30"/>
      <c r="B81" s="801"/>
      <c r="C81" s="543" t="s">
        <v>1545</v>
      </c>
      <c r="D81" s="542" t="s">
        <v>1417</v>
      </c>
      <c r="E81" s="643">
        <v>80</v>
      </c>
      <c r="F81" s="643"/>
      <c r="G81" s="643">
        <v>80</v>
      </c>
      <c r="H81" s="643">
        <v>90</v>
      </c>
      <c r="I81" s="643">
        <v>100</v>
      </c>
      <c r="J81" s="643">
        <v>100</v>
      </c>
      <c r="K81" s="643">
        <v>90</v>
      </c>
      <c r="L81" s="643">
        <v>100</v>
      </c>
      <c r="M81" s="643">
        <v>90</v>
      </c>
      <c r="N81" s="643">
        <v>90</v>
      </c>
      <c r="O81" s="643">
        <v>100</v>
      </c>
      <c r="P81" s="643">
        <v>100</v>
      </c>
      <c r="Q81" s="643">
        <v>100</v>
      </c>
      <c r="R81" s="643">
        <v>90</v>
      </c>
      <c r="S81" s="643">
        <v>90</v>
      </c>
      <c r="T81" s="643">
        <v>90</v>
      </c>
      <c r="U81" s="643">
        <v>90</v>
      </c>
      <c r="V81" s="643">
        <v>80</v>
      </c>
      <c r="W81" s="643">
        <v>100</v>
      </c>
      <c r="X81" s="643">
        <v>80</v>
      </c>
      <c r="Y81" s="643">
        <v>100</v>
      </c>
      <c r="Z81" s="643">
        <v>100</v>
      </c>
      <c r="AA81" s="643">
        <v>90</v>
      </c>
      <c r="AB81" s="643">
        <v>80</v>
      </c>
      <c r="AC81" s="98"/>
      <c r="AD81" s="98"/>
      <c r="AE81" s="98"/>
      <c r="AF81" s="98"/>
      <c r="AG81" s="98"/>
      <c r="AH81" s="98"/>
    </row>
    <row r="82" spans="1:34" ht="27" customHeight="1">
      <c r="A82" s="30"/>
      <c r="B82" s="801"/>
      <c r="C82" s="543" t="s">
        <v>1546</v>
      </c>
      <c r="D82" s="542" t="s">
        <v>1506</v>
      </c>
      <c r="E82" s="657">
        <v>100</v>
      </c>
      <c r="F82" s="657">
        <v>100</v>
      </c>
      <c r="G82" s="657">
        <v>90</v>
      </c>
      <c r="H82" s="657">
        <v>100</v>
      </c>
      <c r="I82" s="657">
        <v>90</v>
      </c>
      <c r="J82" s="657">
        <v>100</v>
      </c>
      <c r="K82" s="657">
        <v>100</v>
      </c>
      <c r="L82" s="657">
        <v>100</v>
      </c>
      <c r="M82" s="657">
        <v>90</v>
      </c>
      <c r="N82" s="657">
        <v>90</v>
      </c>
      <c r="O82" s="657">
        <v>100</v>
      </c>
      <c r="P82" s="657">
        <v>90</v>
      </c>
      <c r="Q82" s="657">
        <v>100</v>
      </c>
      <c r="R82" s="657"/>
      <c r="S82" s="657">
        <v>100</v>
      </c>
      <c r="T82" s="657">
        <v>100</v>
      </c>
      <c r="U82" s="657">
        <v>100</v>
      </c>
      <c r="V82" s="657">
        <v>100</v>
      </c>
      <c r="W82" s="657">
        <v>90</v>
      </c>
      <c r="X82" s="657">
        <v>100</v>
      </c>
      <c r="Y82" s="657">
        <v>100</v>
      </c>
      <c r="Z82" s="657">
        <v>100</v>
      </c>
      <c r="AA82" s="657">
        <v>100</v>
      </c>
      <c r="AB82" s="657">
        <v>80</v>
      </c>
      <c r="AC82" s="98"/>
      <c r="AD82" s="98"/>
      <c r="AE82" s="98"/>
      <c r="AF82" s="98"/>
      <c r="AG82" s="98"/>
      <c r="AH82" s="98"/>
    </row>
    <row r="83" spans="1:34" ht="27" customHeight="1">
      <c r="A83" s="30"/>
      <c r="B83" s="801"/>
      <c r="C83" s="541" t="s">
        <v>1547</v>
      </c>
      <c r="D83" s="542" t="s">
        <v>1508</v>
      </c>
      <c r="E83" s="657">
        <v>95</v>
      </c>
      <c r="F83" s="657"/>
      <c r="G83" s="657">
        <v>80</v>
      </c>
      <c r="H83" s="657">
        <v>95</v>
      </c>
      <c r="I83" s="657">
        <v>90</v>
      </c>
      <c r="J83" s="657">
        <v>95</v>
      </c>
      <c r="K83" s="657">
        <v>90</v>
      </c>
      <c r="L83" s="657">
        <v>95</v>
      </c>
      <c r="M83" s="657">
        <v>75</v>
      </c>
      <c r="N83" s="657">
        <v>95</v>
      </c>
      <c r="O83" s="657">
        <v>90</v>
      </c>
      <c r="P83" s="657">
        <v>95</v>
      </c>
      <c r="Q83" s="657">
        <v>85</v>
      </c>
      <c r="R83" s="657"/>
      <c r="S83" s="657">
        <v>70</v>
      </c>
      <c r="T83" s="657">
        <v>100</v>
      </c>
      <c r="U83" s="657">
        <v>100</v>
      </c>
      <c r="V83" s="657">
        <v>90</v>
      </c>
      <c r="W83" s="657">
        <v>100</v>
      </c>
      <c r="X83" s="657">
        <v>100</v>
      </c>
      <c r="Y83" s="657">
        <v>100</v>
      </c>
      <c r="Z83" s="657">
        <v>65</v>
      </c>
      <c r="AA83" s="657">
        <v>100</v>
      </c>
      <c r="AB83" s="657">
        <v>75</v>
      </c>
      <c r="AC83" s="98"/>
      <c r="AD83" s="98"/>
      <c r="AE83" s="98"/>
      <c r="AF83" s="98"/>
      <c r="AG83" s="98"/>
      <c r="AH83" s="98"/>
    </row>
    <row r="84" spans="1:34" ht="27" customHeight="1">
      <c r="A84" s="30"/>
      <c r="B84" s="801"/>
      <c r="C84" s="543" t="s">
        <v>1548</v>
      </c>
      <c r="D84" s="542" t="s">
        <v>1549</v>
      </c>
      <c r="E84" s="682">
        <v>80</v>
      </c>
      <c r="F84" s="682">
        <v>90</v>
      </c>
      <c r="G84" s="682">
        <v>100</v>
      </c>
      <c r="H84" s="682">
        <v>90</v>
      </c>
      <c r="I84" s="682">
        <v>90</v>
      </c>
      <c r="J84" s="682">
        <v>100</v>
      </c>
      <c r="K84" s="682">
        <v>90</v>
      </c>
      <c r="L84" s="682">
        <v>100</v>
      </c>
      <c r="M84" s="682">
        <v>80</v>
      </c>
      <c r="N84" s="682">
        <v>90</v>
      </c>
      <c r="O84" s="682">
        <v>90</v>
      </c>
      <c r="P84" s="682">
        <v>80</v>
      </c>
      <c r="Q84" s="682">
        <v>80</v>
      </c>
      <c r="R84" s="682">
        <v>70</v>
      </c>
      <c r="S84" s="682">
        <v>100</v>
      </c>
      <c r="T84" s="682">
        <v>90</v>
      </c>
      <c r="U84" s="682">
        <v>100</v>
      </c>
      <c r="V84" s="682"/>
      <c r="W84" s="682">
        <v>90</v>
      </c>
      <c r="X84" s="682">
        <v>80</v>
      </c>
      <c r="Y84" s="682">
        <v>100</v>
      </c>
      <c r="Z84" s="682">
        <v>100</v>
      </c>
      <c r="AA84" s="682">
        <v>100</v>
      </c>
      <c r="AB84" s="682">
        <v>70</v>
      </c>
      <c r="AC84" s="98"/>
      <c r="AD84" s="98"/>
      <c r="AE84" s="98"/>
      <c r="AF84" s="98"/>
      <c r="AG84" s="98"/>
      <c r="AH84" s="98"/>
    </row>
    <row r="85" spans="1:34" ht="27" customHeight="1" thickBot="1">
      <c r="A85" s="30"/>
      <c r="B85" s="801"/>
      <c r="C85" s="544" t="s">
        <v>1550</v>
      </c>
      <c r="D85" s="545" t="s">
        <v>1476</v>
      </c>
      <c r="E85" s="682">
        <v>80</v>
      </c>
      <c r="F85" s="682"/>
      <c r="G85" s="682">
        <v>90</v>
      </c>
      <c r="H85" s="682">
        <v>100</v>
      </c>
      <c r="I85" s="682">
        <v>90</v>
      </c>
      <c r="J85" s="682">
        <v>90</v>
      </c>
      <c r="K85" s="682">
        <v>90</v>
      </c>
      <c r="L85" s="682">
        <v>100</v>
      </c>
      <c r="M85" s="682">
        <v>100</v>
      </c>
      <c r="N85" s="682">
        <v>95</v>
      </c>
      <c r="O85" s="682">
        <v>100</v>
      </c>
      <c r="P85" s="682">
        <v>90</v>
      </c>
      <c r="Q85" s="682">
        <v>100</v>
      </c>
      <c r="R85" s="682">
        <v>95</v>
      </c>
      <c r="S85" s="682">
        <v>90</v>
      </c>
      <c r="T85" s="682">
        <v>90</v>
      </c>
      <c r="U85" s="682">
        <v>95</v>
      </c>
      <c r="V85" s="682">
        <v>100</v>
      </c>
      <c r="W85" s="682">
        <v>90</v>
      </c>
      <c r="X85" s="682">
        <v>90</v>
      </c>
      <c r="Y85" s="682">
        <v>100</v>
      </c>
      <c r="Z85" s="682">
        <v>90</v>
      </c>
      <c r="AA85" s="682">
        <v>100</v>
      </c>
      <c r="AB85" s="682">
        <v>90</v>
      </c>
      <c r="AC85" s="98"/>
      <c r="AD85" s="98"/>
      <c r="AE85" s="98"/>
      <c r="AF85" s="98"/>
      <c r="AG85" s="98"/>
      <c r="AH85" s="98"/>
    </row>
    <row r="86" spans="1:34" ht="27" customHeight="1" thickTop="1">
      <c r="A86" s="30"/>
      <c r="B86" s="802"/>
      <c r="C86" s="74"/>
      <c r="D86" s="72"/>
      <c r="E86" s="98"/>
      <c r="F86" s="98"/>
      <c r="G86" s="98"/>
      <c r="H86" s="98"/>
      <c r="I86" s="98"/>
      <c r="J86" s="98"/>
      <c r="K86" s="98"/>
      <c r="L86" s="98"/>
      <c r="M86" s="98"/>
      <c r="N86" s="98"/>
      <c r="O86" s="98"/>
      <c r="P86" s="98"/>
      <c r="Q86" s="98"/>
      <c r="R86" s="98"/>
      <c r="S86" s="98"/>
      <c r="T86" s="98"/>
      <c r="U86" s="98"/>
      <c r="V86" s="98"/>
      <c r="W86" s="98"/>
      <c r="X86" s="98"/>
      <c r="Y86" s="98"/>
      <c r="Z86" s="98"/>
      <c r="AA86" s="98"/>
      <c r="AB86" s="98"/>
      <c r="AC86" s="98"/>
      <c r="AD86" s="98"/>
      <c r="AE86" s="98"/>
      <c r="AF86" s="98"/>
      <c r="AG86" s="98"/>
      <c r="AH86" s="98"/>
    </row>
    <row r="87" spans="1:34" ht="27" hidden="1" customHeight="1">
      <c r="A87" s="30"/>
      <c r="B87" s="794">
        <v>9</v>
      </c>
      <c r="C87" s="795"/>
      <c r="D87" s="796"/>
      <c r="E87" s="97" t="str">
        <f>IFERROR(AVERAGE(E88:E94),"")</f>
        <v/>
      </c>
      <c r="F87" s="97" t="str">
        <f t="shared" ref="F87:AA87" si="16">IFERROR(AVERAGE(F88:F94),"")</f>
        <v/>
      </c>
      <c r="G87" s="97" t="str">
        <f t="shared" si="16"/>
        <v/>
      </c>
      <c r="H87" s="97" t="str">
        <f t="shared" si="16"/>
        <v/>
      </c>
      <c r="I87" s="97" t="str">
        <f t="shared" si="16"/>
        <v/>
      </c>
      <c r="J87" s="97" t="str">
        <f t="shared" si="16"/>
        <v/>
      </c>
      <c r="K87" s="97" t="str">
        <f t="shared" si="16"/>
        <v/>
      </c>
      <c r="L87" s="97" t="str">
        <f t="shared" si="16"/>
        <v/>
      </c>
      <c r="M87" s="97" t="str">
        <f t="shared" si="16"/>
        <v/>
      </c>
      <c r="N87" s="97" t="str">
        <f t="shared" si="16"/>
        <v/>
      </c>
      <c r="O87" s="97" t="str">
        <f t="shared" si="16"/>
        <v/>
      </c>
      <c r="P87" s="97" t="str">
        <f t="shared" si="16"/>
        <v/>
      </c>
      <c r="Q87" s="97" t="str">
        <f t="shared" si="16"/>
        <v/>
      </c>
      <c r="R87" s="97" t="str">
        <f t="shared" si="16"/>
        <v/>
      </c>
      <c r="S87" s="97" t="str">
        <f t="shared" si="16"/>
        <v/>
      </c>
      <c r="T87" s="97" t="str">
        <f t="shared" si="16"/>
        <v/>
      </c>
      <c r="U87" s="97" t="str">
        <f t="shared" si="16"/>
        <v/>
      </c>
      <c r="V87" s="97" t="str">
        <f t="shared" si="16"/>
        <v/>
      </c>
      <c r="W87" s="97" t="str">
        <f t="shared" si="16"/>
        <v/>
      </c>
      <c r="X87" s="97" t="str">
        <f t="shared" si="16"/>
        <v/>
      </c>
      <c r="Y87" s="97" t="str">
        <f t="shared" si="16"/>
        <v/>
      </c>
      <c r="Z87" s="97" t="str">
        <f t="shared" si="16"/>
        <v/>
      </c>
      <c r="AA87" s="97" t="str">
        <f t="shared" si="16"/>
        <v/>
      </c>
      <c r="AB87" s="97" t="str">
        <f t="shared" ref="AB87:AH87" si="17">IFERROR(AVERAGE(AB88:AB94),"")</f>
        <v/>
      </c>
      <c r="AC87" s="97" t="str">
        <f t="shared" si="17"/>
        <v/>
      </c>
      <c r="AD87" s="97" t="str">
        <f t="shared" si="17"/>
        <v/>
      </c>
      <c r="AE87" s="97" t="str">
        <f t="shared" si="17"/>
        <v/>
      </c>
      <c r="AF87" s="97" t="str">
        <f t="shared" si="17"/>
        <v/>
      </c>
      <c r="AG87" s="97" t="str">
        <f t="shared" si="17"/>
        <v/>
      </c>
      <c r="AH87" s="97" t="str">
        <f t="shared" si="17"/>
        <v/>
      </c>
    </row>
    <row r="88" spans="1:34" ht="27" hidden="1" customHeight="1">
      <c r="A88" s="30"/>
      <c r="B88" s="794"/>
      <c r="C88" s="74"/>
      <c r="D88" s="72"/>
      <c r="E88" s="98"/>
      <c r="F88" s="98"/>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row>
    <row r="89" spans="1:34" ht="27" hidden="1" customHeight="1">
      <c r="A89" s="30"/>
      <c r="B89" s="794"/>
      <c r="C89" s="74"/>
      <c r="D89" s="72"/>
      <c r="E89" s="98"/>
      <c r="F89" s="98"/>
      <c r="G89" s="98"/>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row>
    <row r="90" spans="1:34" ht="27" hidden="1" customHeight="1">
      <c r="A90" s="30"/>
      <c r="B90" s="794"/>
      <c r="C90" s="74"/>
      <c r="D90" s="72"/>
      <c r="E90" s="98"/>
      <c r="F90" s="98"/>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row>
    <row r="91" spans="1:34" ht="27" hidden="1" customHeight="1">
      <c r="A91" s="30"/>
      <c r="B91" s="794"/>
      <c r="C91" s="74"/>
      <c r="D91" s="72"/>
      <c r="E91" s="98"/>
      <c r="F91" s="98"/>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row>
    <row r="92" spans="1:34" ht="27" hidden="1" customHeight="1">
      <c r="A92" s="30"/>
      <c r="B92" s="794"/>
      <c r="C92" s="74"/>
      <c r="D92" s="72"/>
      <c r="E92" s="98"/>
      <c r="F92" s="98"/>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row>
    <row r="93" spans="1:34" ht="27" hidden="1" customHeight="1">
      <c r="A93" s="30"/>
      <c r="B93" s="794"/>
      <c r="C93" s="74"/>
      <c r="D93" s="72"/>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row>
    <row r="94" spans="1:34" ht="27" hidden="1" customHeight="1">
      <c r="A94" s="30"/>
      <c r="B94" s="794"/>
      <c r="C94" s="74"/>
      <c r="D94" s="72"/>
      <c r="E94" s="98"/>
      <c r="F94" s="98"/>
      <c r="G94" s="98"/>
      <c r="H94" s="98"/>
      <c r="I94" s="98"/>
      <c r="J94" s="98"/>
      <c r="K94" s="98"/>
      <c r="L94" s="98"/>
      <c r="M94" s="98"/>
      <c r="N94" s="98"/>
      <c r="O94" s="98"/>
      <c r="P94" s="98"/>
      <c r="Q94" s="98"/>
      <c r="R94" s="98"/>
      <c r="S94" s="98"/>
      <c r="T94" s="98"/>
      <c r="U94" s="98"/>
      <c r="V94" s="98"/>
      <c r="W94" s="98"/>
      <c r="X94" s="98"/>
      <c r="Y94" s="98"/>
      <c r="Z94" s="98"/>
      <c r="AA94" s="98"/>
      <c r="AB94" s="98"/>
      <c r="AC94" s="98"/>
      <c r="AD94" s="98"/>
      <c r="AE94" s="98"/>
      <c r="AF94" s="98"/>
      <c r="AG94" s="98"/>
      <c r="AH94" s="98"/>
    </row>
    <row r="95" spans="1:34" ht="27" hidden="1" customHeight="1">
      <c r="A95" s="30"/>
      <c r="B95" s="800">
        <v>10</v>
      </c>
      <c r="C95" s="795"/>
      <c r="D95" s="796"/>
      <c r="E95" s="97" t="str">
        <f>IFERROR(AVERAGE(E96:E102),"")</f>
        <v/>
      </c>
      <c r="F95" s="97" t="str">
        <f t="shared" ref="F95:AH95" si="18">IFERROR(AVERAGE(F96:F102),"")</f>
        <v/>
      </c>
      <c r="G95" s="97" t="str">
        <f t="shared" si="18"/>
        <v/>
      </c>
      <c r="H95" s="97" t="str">
        <f t="shared" si="18"/>
        <v/>
      </c>
      <c r="I95" s="97" t="str">
        <f t="shared" si="18"/>
        <v/>
      </c>
      <c r="J95" s="97" t="str">
        <f t="shared" si="18"/>
        <v/>
      </c>
      <c r="K95" s="97" t="str">
        <f t="shared" si="18"/>
        <v/>
      </c>
      <c r="L95" s="97" t="str">
        <f t="shared" si="18"/>
        <v/>
      </c>
      <c r="M95" s="97" t="str">
        <f t="shared" si="18"/>
        <v/>
      </c>
      <c r="N95" s="97" t="str">
        <f t="shared" si="18"/>
        <v/>
      </c>
      <c r="O95" s="97" t="str">
        <f t="shared" si="18"/>
        <v/>
      </c>
      <c r="P95" s="97" t="str">
        <f t="shared" si="18"/>
        <v/>
      </c>
      <c r="Q95" s="97" t="str">
        <f t="shared" si="18"/>
        <v/>
      </c>
      <c r="R95" s="97" t="str">
        <f t="shared" si="18"/>
        <v/>
      </c>
      <c r="S95" s="97" t="str">
        <f t="shared" si="18"/>
        <v/>
      </c>
      <c r="T95" s="97" t="str">
        <f t="shared" si="18"/>
        <v/>
      </c>
      <c r="U95" s="97" t="str">
        <f t="shared" si="18"/>
        <v/>
      </c>
      <c r="V95" s="97" t="str">
        <f t="shared" si="18"/>
        <v/>
      </c>
      <c r="W95" s="97" t="str">
        <f t="shared" si="18"/>
        <v/>
      </c>
      <c r="X95" s="97" t="str">
        <f t="shared" si="18"/>
        <v/>
      </c>
      <c r="Y95" s="97" t="str">
        <f t="shared" si="18"/>
        <v/>
      </c>
      <c r="Z95" s="97" t="str">
        <f t="shared" si="18"/>
        <v/>
      </c>
      <c r="AA95" s="97" t="str">
        <f t="shared" si="18"/>
        <v/>
      </c>
      <c r="AB95" s="97" t="str">
        <f t="shared" si="18"/>
        <v/>
      </c>
      <c r="AC95" s="97" t="str">
        <f t="shared" si="18"/>
        <v/>
      </c>
      <c r="AD95" s="97" t="str">
        <f t="shared" si="18"/>
        <v/>
      </c>
      <c r="AE95" s="97" t="str">
        <f t="shared" si="18"/>
        <v/>
      </c>
      <c r="AF95" s="97" t="str">
        <f t="shared" si="18"/>
        <v/>
      </c>
      <c r="AG95" s="97" t="str">
        <f t="shared" si="18"/>
        <v/>
      </c>
      <c r="AH95" s="97" t="str">
        <f t="shared" si="18"/>
        <v/>
      </c>
    </row>
    <row r="96" spans="1:34" ht="27" hidden="1" customHeight="1">
      <c r="A96" s="30"/>
      <c r="B96" s="801"/>
      <c r="C96" s="74"/>
      <c r="D96" s="72"/>
      <c r="E96" s="98"/>
      <c r="F96" s="98"/>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row>
    <row r="97" spans="1:34" ht="27" hidden="1" customHeight="1">
      <c r="A97" s="30"/>
      <c r="B97" s="801"/>
      <c r="C97" s="74"/>
      <c r="D97" s="72"/>
      <c r="E97" s="98"/>
      <c r="F97" s="98"/>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row>
    <row r="98" spans="1:34" ht="27" hidden="1" customHeight="1">
      <c r="A98" s="30"/>
      <c r="B98" s="801"/>
      <c r="C98" s="74"/>
      <c r="D98" s="72"/>
      <c r="E98" s="98"/>
      <c r="F98" s="98"/>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row>
    <row r="99" spans="1:34" ht="27" hidden="1" customHeight="1">
      <c r="A99" s="30"/>
      <c r="B99" s="801"/>
      <c r="C99" s="74"/>
      <c r="D99" s="72"/>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row>
    <row r="100" spans="1:34" ht="27" hidden="1" customHeight="1">
      <c r="A100" s="30"/>
      <c r="B100" s="801"/>
      <c r="C100" s="74"/>
      <c r="D100" s="72"/>
      <c r="E100" s="98"/>
      <c r="F100" s="98"/>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row>
    <row r="101" spans="1:34" ht="27" hidden="1" customHeight="1">
      <c r="A101" s="30"/>
      <c r="B101" s="801"/>
      <c r="C101" s="74"/>
      <c r="D101" s="72"/>
      <c r="E101" s="98"/>
      <c r="F101" s="98"/>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row>
    <row r="102" spans="1:34" ht="27" hidden="1" customHeight="1">
      <c r="A102" s="30"/>
      <c r="B102" s="802"/>
      <c r="C102" s="74"/>
      <c r="D102" s="72"/>
      <c r="E102" s="98"/>
      <c r="F102" s="98"/>
      <c r="G102" s="98"/>
      <c r="H102" s="98"/>
      <c r="I102" s="98"/>
      <c r="J102" s="98"/>
      <c r="K102" s="98"/>
      <c r="L102" s="98"/>
      <c r="M102" s="98"/>
      <c r="N102" s="98"/>
      <c r="O102" s="98"/>
      <c r="P102" s="98"/>
      <c r="Q102" s="98"/>
      <c r="R102" s="98"/>
      <c r="S102" s="98"/>
      <c r="T102" s="98"/>
      <c r="U102" s="98"/>
      <c r="V102" s="98"/>
      <c r="W102" s="98"/>
      <c r="X102" s="98"/>
      <c r="Y102" s="98"/>
      <c r="Z102" s="98"/>
      <c r="AA102" s="98"/>
      <c r="AB102" s="98"/>
      <c r="AC102" s="98"/>
      <c r="AD102" s="98"/>
      <c r="AE102" s="98"/>
      <c r="AF102" s="98"/>
      <c r="AG102" s="98"/>
      <c r="AH102" s="98"/>
    </row>
    <row r="103" spans="1:34" ht="27" hidden="1" customHeight="1">
      <c r="A103" s="30"/>
      <c r="B103" s="800">
        <v>11</v>
      </c>
      <c r="C103" s="795"/>
      <c r="D103" s="796"/>
      <c r="E103" s="97" t="str">
        <f>IFERROR(AVERAGE(E104:E110),"")</f>
        <v/>
      </c>
      <c r="F103" s="97" t="str">
        <f t="shared" ref="F103:AH103" si="19">IFERROR(AVERAGE(F104:F110),"")</f>
        <v/>
      </c>
      <c r="G103" s="97" t="str">
        <f t="shared" si="19"/>
        <v/>
      </c>
      <c r="H103" s="97" t="str">
        <f t="shared" si="19"/>
        <v/>
      </c>
      <c r="I103" s="97" t="str">
        <f t="shared" si="19"/>
        <v/>
      </c>
      <c r="J103" s="97" t="str">
        <f t="shared" si="19"/>
        <v/>
      </c>
      <c r="K103" s="97" t="str">
        <f t="shared" si="19"/>
        <v/>
      </c>
      <c r="L103" s="97" t="str">
        <f t="shared" si="19"/>
        <v/>
      </c>
      <c r="M103" s="97" t="str">
        <f t="shared" si="19"/>
        <v/>
      </c>
      <c r="N103" s="97" t="str">
        <f t="shared" si="19"/>
        <v/>
      </c>
      <c r="O103" s="97" t="str">
        <f t="shared" si="19"/>
        <v/>
      </c>
      <c r="P103" s="97" t="str">
        <f t="shared" si="19"/>
        <v/>
      </c>
      <c r="Q103" s="97" t="str">
        <f t="shared" si="19"/>
        <v/>
      </c>
      <c r="R103" s="97" t="str">
        <f t="shared" si="19"/>
        <v/>
      </c>
      <c r="S103" s="97" t="str">
        <f t="shared" si="19"/>
        <v/>
      </c>
      <c r="T103" s="97" t="str">
        <f t="shared" si="19"/>
        <v/>
      </c>
      <c r="U103" s="97" t="str">
        <f t="shared" si="19"/>
        <v/>
      </c>
      <c r="V103" s="97" t="str">
        <f t="shared" si="19"/>
        <v/>
      </c>
      <c r="W103" s="97" t="str">
        <f t="shared" si="19"/>
        <v/>
      </c>
      <c r="X103" s="97" t="str">
        <f t="shared" si="19"/>
        <v/>
      </c>
      <c r="Y103" s="97" t="str">
        <f t="shared" si="19"/>
        <v/>
      </c>
      <c r="Z103" s="97" t="str">
        <f t="shared" si="19"/>
        <v/>
      </c>
      <c r="AA103" s="97" t="str">
        <f t="shared" si="19"/>
        <v/>
      </c>
      <c r="AB103" s="97" t="str">
        <f t="shared" si="19"/>
        <v/>
      </c>
      <c r="AC103" s="97" t="str">
        <f t="shared" si="19"/>
        <v/>
      </c>
      <c r="AD103" s="97" t="str">
        <f t="shared" si="19"/>
        <v/>
      </c>
      <c r="AE103" s="97" t="str">
        <f t="shared" si="19"/>
        <v/>
      </c>
      <c r="AF103" s="97" t="str">
        <f t="shared" si="19"/>
        <v/>
      </c>
      <c r="AG103" s="97" t="str">
        <f t="shared" si="19"/>
        <v/>
      </c>
      <c r="AH103" s="97" t="str">
        <f t="shared" si="19"/>
        <v/>
      </c>
    </row>
    <row r="104" spans="1:34" ht="27" hidden="1" customHeight="1">
      <c r="A104" s="30"/>
      <c r="B104" s="801"/>
      <c r="C104" s="74"/>
      <c r="D104" s="72"/>
      <c r="E104" s="98"/>
      <c r="F104" s="98"/>
      <c r="G104" s="98"/>
      <c r="H104" s="98"/>
      <c r="I104" s="98"/>
      <c r="J104" s="98"/>
      <c r="K104" s="98"/>
      <c r="L104" s="98"/>
      <c r="M104" s="98"/>
      <c r="N104" s="98"/>
      <c r="O104" s="98"/>
      <c r="P104" s="98"/>
      <c r="Q104" s="98"/>
      <c r="R104" s="98"/>
      <c r="S104" s="98"/>
      <c r="T104" s="98"/>
      <c r="U104" s="98"/>
      <c r="V104" s="98"/>
      <c r="W104" s="98"/>
      <c r="X104" s="98"/>
      <c r="Y104" s="98"/>
      <c r="Z104" s="98"/>
      <c r="AA104" s="98"/>
      <c r="AB104" s="98"/>
      <c r="AC104" s="99"/>
      <c r="AD104" s="99"/>
      <c r="AE104" s="99"/>
      <c r="AF104" s="99"/>
      <c r="AG104" s="99"/>
      <c r="AH104" s="99"/>
    </row>
    <row r="105" spans="1:34" ht="27" hidden="1" customHeight="1">
      <c r="A105" s="30"/>
      <c r="B105" s="801"/>
      <c r="C105" s="74"/>
      <c r="D105" s="72"/>
      <c r="E105" s="98"/>
      <c r="F105" s="98"/>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row>
    <row r="106" spans="1:34" ht="27" hidden="1" customHeight="1">
      <c r="A106" s="30"/>
      <c r="B106" s="801"/>
      <c r="C106" s="74"/>
      <c r="D106" s="72"/>
      <c r="E106" s="98"/>
      <c r="F106" s="98"/>
      <c r="G106" s="98"/>
      <c r="H106" s="98"/>
      <c r="I106" s="98"/>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row>
    <row r="107" spans="1:34" ht="27" hidden="1" customHeight="1">
      <c r="A107" s="30"/>
      <c r="B107" s="801"/>
      <c r="C107" s="74"/>
      <c r="D107" s="72"/>
      <c r="E107" s="98"/>
      <c r="F107" s="98"/>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row>
    <row r="108" spans="1:34" ht="27" hidden="1" customHeight="1">
      <c r="A108" s="30"/>
      <c r="B108" s="801"/>
      <c r="C108" s="74"/>
      <c r="D108" s="72"/>
      <c r="E108" s="98"/>
      <c r="F108" s="98"/>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row>
    <row r="109" spans="1:34" ht="27" hidden="1" customHeight="1">
      <c r="A109" s="30"/>
      <c r="B109" s="801"/>
      <c r="C109" s="74"/>
      <c r="D109" s="72"/>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row>
    <row r="110" spans="1:34" ht="27" hidden="1" customHeight="1">
      <c r="A110" s="30"/>
      <c r="B110" s="802"/>
      <c r="C110" s="74"/>
      <c r="D110" s="72"/>
      <c r="E110" s="98"/>
      <c r="F110" s="98"/>
      <c r="G110" s="98"/>
      <c r="H110" s="98"/>
      <c r="I110" s="98"/>
      <c r="J110" s="98"/>
      <c r="K110" s="98"/>
      <c r="L110" s="98"/>
      <c r="M110" s="98"/>
      <c r="N110" s="98"/>
      <c r="O110" s="98"/>
      <c r="P110" s="98"/>
      <c r="Q110" s="98"/>
      <c r="R110" s="98"/>
      <c r="S110" s="98"/>
      <c r="T110" s="98"/>
      <c r="U110" s="98"/>
      <c r="V110" s="98"/>
      <c r="W110" s="98"/>
      <c r="X110" s="98"/>
      <c r="Y110" s="98"/>
      <c r="Z110" s="98"/>
      <c r="AA110" s="98"/>
      <c r="AB110" s="98"/>
      <c r="AC110" s="98"/>
      <c r="AD110" s="98"/>
      <c r="AE110" s="98"/>
      <c r="AF110" s="98"/>
      <c r="AG110" s="98"/>
      <c r="AH110" s="98"/>
    </row>
    <row r="111" spans="1:34" ht="27" hidden="1" customHeight="1">
      <c r="A111" s="30"/>
      <c r="B111" s="800">
        <v>12</v>
      </c>
      <c r="C111" s="795"/>
      <c r="D111" s="796"/>
      <c r="E111" s="97" t="str">
        <f>IFERROR(AVERAGE(E112:E118),"")</f>
        <v/>
      </c>
      <c r="F111" s="97" t="str">
        <f t="shared" ref="F111:AH111" si="20">IFERROR(AVERAGE(F112:F118),"")</f>
        <v/>
      </c>
      <c r="G111" s="97" t="str">
        <f t="shared" si="20"/>
        <v/>
      </c>
      <c r="H111" s="97" t="str">
        <f t="shared" si="20"/>
        <v/>
      </c>
      <c r="I111" s="97" t="str">
        <f t="shared" si="20"/>
        <v/>
      </c>
      <c r="J111" s="97" t="str">
        <f t="shared" si="20"/>
        <v/>
      </c>
      <c r="K111" s="97" t="str">
        <f t="shared" si="20"/>
        <v/>
      </c>
      <c r="L111" s="97" t="str">
        <f t="shared" si="20"/>
        <v/>
      </c>
      <c r="M111" s="97" t="str">
        <f t="shared" si="20"/>
        <v/>
      </c>
      <c r="N111" s="97" t="str">
        <f t="shared" si="20"/>
        <v/>
      </c>
      <c r="O111" s="97" t="str">
        <f t="shared" si="20"/>
        <v/>
      </c>
      <c r="P111" s="97" t="str">
        <f t="shared" si="20"/>
        <v/>
      </c>
      <c r="Q111" s="97" t="str">
        <f t="shared" si="20"/>
        <v/>
      </c>
      <c r="R111" s="97" t="str">
        <f t="shared" si="20"/>
        <v/>
      </c>
      <c r="S111" s="97" t="str">
        <f t="shared" si="20"/>
        <v/>
      </c>
      <c r="T111" s="97" t="str">
        <f t="shared" si="20"/>
        <v/>
      </c>
      <c r="U111" s="97" t="str">
        <f t="shared" si="20"/>
        <v/>
      </c>
      <c r="V111" s="97" t="str">
        <f t="shared" si="20"/>
        <v/>
      </c>
      <c r="W111" s="97" t="str">
        <f t="shared" si="20"/>
        <v/>
      </c>
      <c r="X111" s="97" t="str">
        <f t="shared" si="20"/>
        <v/>
      </c>
      <c r="Y111" s="97" t="str">
        <f t="shared" si="20"/>
        <v/>
      </c>
      <c r="Z111" s="97" t="str">
        <f t="shared" si="20"/>
        <v/>
      </c>
      <c r="AA111" s="97" t="str">
        <f t="shared" si="20"/>
        <v/>
      </c>
      <c r="AB111" s="97" t="str">
        <f t="shared" si="20"/>
        <v/>
      </c>
      <c r="AC111" s="97" t="str">
        <f t="shared" si="20"/>
        <v/>
      </c>
      <c r="AD111" s="97" t="str">
        <f t="shared" si="20"/>
        <v/>
      </c>
      <c r="AE111" s="97" t="str">
        <f t="shared" si="20"/>
        <v/>
      </c>
      <c r="AF111" s="97" t="str">
        <f t="shared" si="20"/>
        <v/>
      </c>
      <c r="AG111" s="97" t="str">
        <f t="shared" si="20"/>
        <v/>
      </c>
      <c r="AH111" s="97" t="str">
        <f t="shared" si="20"/>
        <v/>
      </c>
    </row>
    <row r="112" spans="1:34" ht="27" hidden="1" customHeight="1">
      <c r="A112" s="30"/>
      <c r="B112" s="801"/>
      <c r="C112" s="74"/>
      <c r="D112" s="72"/>
      <c r="E112" s="98"/>
      <c r="F112" s="98"/>
      <c r="G112" s="98"/>
      <c r="H112" s="98"/>
      <c r="I112" s="98"/>
      <c r="J112" s="98"/>
      <c r="K112" s="98"/>
      <c r="L112" s="98"/>
      <c r="M112" s="98"/>
      <c r="N112" s="98"/>
      <c r="O112" s="98"/>
      <c r="P112" s="98"/>
      <c r="Q112" s="98"/>
      <c r="R112" s="98"/>
      <c r="S112" s="98"/>
      <c r="T112" s="98"/>
      <c r="U112" s="98"/>
      <c r="V112" s="98"/>
      <c r="W112" s="98"/>
      <c r="X112" s="98"/>
      <c r="Y112" s="98"/>
      <c r="Z112" s="98"/>
      <c r="AA112" s="98"/>
      <c r="AB112" s="98"/>
      <c r="AC112" s="98"/>
      <c r="AD112" s="98"/>
      <c r="AE112" s="98"/>
      <c r="AF112" s="98"/>
      <c r="AG112" s="98"/>
      <c r="AH112" s="98"/>
    </row>
    <row r="113" spans="1:34" ht="27" hidden="1" customHeight="1">
      <c r="A113" s="30"/>
      <c r="B113" s="801"/>
      <c r="C113" s="74"/>
      <c r="D113" s="72"/>
      <c r="E113" s="98"/>
      <c r="F113" s="98"/>
      <c r="G113" s="98"/>
      <c r="H113" s="98"/>
      <c r="I113" s="98"/>
      <c r="J113" s="98"/>
      <c r="K113" s="98"/>
      <c r="L113" s="98"/>
      <c r="M113" s="98"/>
      <c r="N113" s="98"/>
      <c r="O113" s="98"/>
      <c r="P113" s="98"/>
      <c r="Q113" s="98"/>
      <c r="R113" s="98"/>
      <c r="S113" s="98"/>
      <c r="T113" s="98"/>
      <c r="U113" s="98"/>
      <c r="V113" s="98"/>
      <c r="W113" s="98"/>
      <c r="X113" s="98"/>
      <c r="Y113" s="98"/>
      <c r="Z113" s="98"/>
      <c r="AA113" s="98"/>
      <c r="AB113" s="98"/>
      <c r="AC113" s="98"/>
      <c r="AD113" s="98"/>
      <c r="AE113" s="98"/>
      <c r="AF113" s="98"/>
      <c r="AG113" s="98"/>
      <c r="AH113" s="98"/>
    </row>
    <row r="114" spans="1:34" ht="27" hidden="1" customHeight="1">
      <c r="A114" s="30"/>
      <c r="B114" s="801"/>
      <c r="C114" s="74"/>
      <c r="D114" s="72"/>
      <c r="E114" s="98"/>
      <c r="F114" s="98"/>
      <c r="G114" s="98"/>
      <c r="H114" s="98"/>
      <c r="I114" s="98"/>
      <c r="J114" s="98"/>
      <c r="K114" s="98"/>
      <c r="L114" s="98"/>
      <c r="M114" s="98"/>
      <c r="N114" s="98"/>
      <c r="O114" s="98"/>
      <c r="P114" s="98"/>
      <c r="Q114" s="98"/>
      <c r="R114" s="98"/>
      <c r="S114" s="98"/>
      <c r="T114" s="98"/>
      <c r="U114" s="98"/>
      <c r="V114" s="98"/>
      <c r="W114" s="98"/>
      <c r="X114" s="98"/>
      <c r="Y114" s="98"/>
      <c r="Z114" s="98"/>
      <c r="AA114" s="98"/>
      <c r="AB114" s="98"/>
      <c r="AC114" s="98"/>
      <c r="AD114" s="98"/>
      <c r="AE114" s="98"/>
      <c r="AF114" s="98"/>
      <c r="AG114" s="98"/>
      <c r="AH114" s="98"/>
    </row>
    <row r="115" spans="1:34" ht="27" hidden="1" customHeight="1">
      <c r="A115" s="30"/>
      <c r="B115" s="801"/>
      <c r="C115" s="74"/>
      <c r="D115" s="72"/>
      <c r="E115" s="98"/>
      <c r="F115" s="98"/>
      <c r="G115" s="98"/>
      <c r="H115" s="98"/>
      <c r="I115" s="98"/>
      <c r="J115" s="98"/>
      <c r="K115" s="98"/>
      <c r="L115" s="98"/>
      <c r="M115" s="98"/>
      <c r="N115" s="98"/>
      <c r="O115" s="98"/>
      <c r="P115" s="98"/>
      <c r="Q115" s="98"/>
      <c r="R115" s="98"/>
      <c r="S115" s="98"/>
      <c r="T115" s="98"/>
      <c r="U115" s="98"/>
      <c r="V115" s="98"/>
      <c r="W115" s="98"/>
      <c r="X115" s="98"/>
      <c r="Y115" s="98"/>
      <c r="Z115" s="98"/>
      <c r="AA115" s="98"/>
      <c r="AB115" s="98"/>
      <c r="AC115" s="98"/>
      <c r="AD115" s="98"/>
      <c r="AE115" s="98"/>
      <c r="AF115" s="98"/>
      <c r="AG115" s="98"/>
      <c r="AH115" s="98"/>
    </row>
    <row r="116" spans="1:34" ht="27" hidden="1" customHeight="1">
      <c r="A116" s="30"/>
      <c r="B116" s="801"/>
      <c r="C116" s="74"/>
      <c r="D116" s="72"/>
      <c r="E116" s="98"/>
      <c r="F116" s="98"/>
      <c r="G116" s="98"/>
      <c r="H116" s="98"/>
      <c r="I116" s="98"/>
      <c r="J116" s="98"/>
      <c r="K116" s="98"/>
      <c r="L116" s="98"/>
      <c r="M116" s="98"/>
      <c r="N116" s="98"/>
      <c r="O116" s="98"/>
      <c r="P116" s="98"/>
      <c r="Q116" s="98"/>
      <c r="R116" s="98"/>
      <c r="S116" s="98"/>
      <c r="T116" s="98"/>
      <c r="U116" s="98"/>
      <c r="V116" s="98"/>
      <c r="W116" s="98"/>
      <c r="X116" s="98"/>
      <c r="Y116" s="98"/>
      <c r="Z116" s="98"/>
      <c r="AA116" s="98"/>
      <c r="AB116" s="98"/>
      <c r="AC116" s="98"/>
      <c r="AD116" s="98"/>
      <c r="AE116" s="98"/>
      <c r="AF116" s="98"/>
      <c r="AG116" s="98"/>
      <c r="AH116" s="98"/>
    </row>
    <row r="117" spans="1:34" ht="27" hidden="1" customHeight="1">
      <c r="A117" s="30"/>
      <c r="B117" s="801"/>
      <c r="C117" s="74"/>
      <c r="D117" s="72"/>
      <c r="E117" s="98"/>
      <c r="F117" s="98"/>
      <c r="G117" s="98"/>
      <c r="H117" s="98"/>
      <c r="I117" s="98"/>
      <c r="J117" s="98"/>
      <c r="K117" s="98"/>
      <c r="L117" s="98"/>
      <c r="M117" s="98"/>
      <c r="N117" s="98"/>
      <c r="O117" s="98"/>
      <c r="P117" s="98"/>
      <c r="Q117" s="98"/>
      <c r="R117" s="98"/>
      <c r="S117" s="98"/>
      <c r="T117" s="98"/>
      <c r="U117" s="98"/>
      <c r="V117" s="98"/>
      <c r="W117" s="98"/>
      <c r="X117" s="98"/>
      <c r="Y117" s="98"/>
      <c r="Z117" s="98"/>
      <c r="AA117" s="98"/>
      <c r="AB117" s="98"/>
      <c r="AC117" s="98"/>
      <c r="AD117" s="98"/>
      <c r="AE117" s="98"/>
      <c r="AF117" s="98"/>
      <c r="AG117" s="98"/>
      <c r="AH117" s="98"/>
    </row>
    <row r="118" spans="1:34" ht="27" hidden="1" customHeight="1">
      <c r="A118" s="30"/>
      <c r="B118" s="802"/>
      <c r="C118" s="74"/>
      <c r="D118" s="72"/>
      <c r="E118" s="98"/>
      <c r="F118" s="98"/>
      <c r="G118" s="98"/>
      <c r="H118" s="98"/>
      <c r="I118" s="98"/>
      <c r="J118" s="98"/>
      <c r="K118" s="98"/>
      <c r="L118" s="98"/>
      <c r="M118" s="98"/>
      <c r="N118" s="98"/>
      <c r="O118" s="98"/>
      <c r="P118" s="98"/>
      <c r="Q118" s="98"/>
      <c r="R118" s="98"/>
      <c r="S118" s="98"/>
      <c r="T118" s="98"/>
      <c r="U118" s="98"/>
      <c r="V118" s="98"/>
      <c r="W118" s="98"/>
      <c r="X118" s="98"/>
      <c r="Y118" s="98"/>
      <c r="Z118" s="98"/>
      <c r="AA118" s="98"/>
      <c r="AB118" s="98"/>
      <c r="AC118" s="98"/>
      <c r="AD118" s="98"/>
      <c r="AE118" s="98"/>
      <c r="AF118" s="98"/>
      <c r="AG118" s="98"/>
      <c r="AH118" s="98"/>
    </row>
    <row r="119" spans="1:34" ht="27" hidden="1" customHeight="1">
      <c r="A119" s="30"/>
      <c r="B119" s="794">
        <v>13</v>
      </c>
      <c r="C119" s="795"/>
      <c r="D119" s="796"/>
      <c r="E119" s="97" t="str">
        <f>IFERROR(AVERAGE(E120:E126),"")</f>
        <v/>
      </c>
      <c r="F119" s="97" t="str">
        <f t="shared" ref="F119:AH119" si="21">IFERROR(AVERAGE(F120:F126),"")</f>
        <v/>
      </c>
      <c r="G119" s="97" t="str">
        <f t="shared" si="21"/>
        <v/>
      </c>
      <c r="H119" s="97" t="str">
        <f t="shared" si="21"/>
        <v/>
      </c>
      <c r="I119" s="97" t="str">
        <f t="shared" si="21"/>
        <v/>
      </c>
      <c r="J119" s="97" t="str">
        <f t="shared" si="21"/>
        <v/>
      </c>
      <c r="K119" s="97" t="str">
        <f t="shared" si="21"/>
        <v/>
      </c>
      <c r="L119" s="97" t="str">
        <f t="shared" si="21"/>
        <v/>
      </c>
      <c r="M119" s="97" t="str">
        <f t="shared" si="21"/>
        <v/>
      </c>
      <c r="N119" s="97" t="str">
        <f t="shared" si="21"/>
        <v/>
      </c>
      <c r="O119" s="97" t="str">
        <f t="shared" si="21"/>
        <v/>
      </c>
      <c r="P119" s="97" t="str">
        <f t="shared" si="21"/>
        <v/>
      </c>
      <c r="Q119" s="97" t="str">
        <f t="shared" si="21"/>
        <v/>
      </c>
      <c r="R119" s="97" t="str">
        <f t="shared" si="21"/>
        <v/>
      </c>
      <c r="S119" s="97" t="str">
        <f t="shared" si="21"/>
        <v/>
      </c>
      <c r="T119" s="97" t="str">
        <f t="shared" si="21"/>
        <v/>
      </c>
      <c r="U119" s="97" t="str">
        <f t="shared" si="21"/>
        <v/>
      </c>
      <c r="V119" s="97" t="str">
        <f t="shared" si="21"/>
        <v/>
      </c>
      <c r="W119" s="97" t="str">
        <f t="shared" si="21"/>
        <v/>
      </c>
      <c r="X119" s="97" t="str">
        <f t="shared" si="21"/>
        <v/>
      </c>
      <c r="Y119" s="97" t="str">
        <f t="shared" si="21"/>
        <v/>
      </c>
      <c r="Z119" s="97" t="str">
        <f t="shared" si="21"/>
        <v/>
      </c>
      <c r="AA119" s="97" t="str">
        <f t="shared" si="21"/>
        <v/>
      </c>
      <c r="AB119" s="97" t="str">
        <f t="shared" si="21"/>
        <v/>
      </c>
      <c r="AC119" s="97" t="str">
        <f t="shared" si="21"/>
        <v/>
      </c>
      <c r="AD119" s="97" t="str">
        <f t="shared" si="21"/>
        <v/>
      </c>
      <c r="AE119" s="97" t="str">
        <f t="shared" si="21"/>
        <v/>
      </c>
      <c r="AF119" s="97" t="str">
        <f t="shared" si="21"/>
        <v/>
      </c>
      <c r="AG119" s="97" t="str">
        <f t="shared" si="21"/>
        <v/>
      </c>
      <c r="AH119" s="97" t="str">
        <f t="shared" si="21"/>
        <v/>
      </c>
    </row>
    <row r="120" spans="1:34" ht="27" hidden="1" customHeight="1">
      <c r="A120" s="30"/>
      <c r="B120" s="794"/>
      <c r="C120" s="74"/>
      <c r="D120" s="72"/>
      <c r="E120" s="98"/>
      <c r="F120" s="98"/>
      <c r="G120" s="98"/>
      <c r="H120" s="98"/>
      <c r="I120" s="98"/>
      <c r="J120" s="98"/>
      <c r="K120" s="98"/>
      <c r="L120" s="98"/>
      <c r="M120" s="98"/>
      <c r="N120" s="98"/>
      <c r="O120" s="98"/>
      <c r="P120" s="98"/>
      <c r="Q120" s="98"/>
      <c r="R120" s="98"/>
      <c r="S120" s="98"/>
      <c r="T120" s="98"/>
      <c r="U120" s="98"/>
      <c r="V120" s="98"/>
      <c r="W120" s="98"/>
      <c r="X120" s="98"/>
      <c r="Y120" s="98"/>
      <c r="Z120" s="98"/>
      <c r="AA120" s="98"/>
      <c r="AB120" s="98"/>
      <c r="AC120" s="98"/>
      <c r="AD120" s="98"/>
      <c r="AE120" s="98"/>
      <c r="AF120" s="98"/>
      <c r="AG120" s="98"/>
      <c r="AH120" s="98"/>
    </row>
    <row r="121" spans="1:34" ht="27" hidden="1" customHeight="1">
      <c r="A121" s="30"/>
      <c r="B121" s="794"/>
      <c r="C121" s="74"/>
      <c r="D121" s="72"/>
      <c r="E121" s="98"/>
      <c r="F121" s="98"/>
      <c r="G121" s="98"/>
      <c r="H121" s="98"/>
      <c r="I121" s="98"/>
      <c r="J121" s="98"/>
      <c r="K121" s="98"/>
      <c r="L121" s="98"/>
      <c r="M121" s="98"/>
      <c r="N121" s="98"/>
      <c r="O121" s="98"/>
      <c r="P121" s="98"/>
      <c r="Q121" s="98"/>
      <c r="R121" s="98"/>
      <c r="S121" s="98"/>
      <c r="T121" s="98"/>
      <c r="U121" s="98"/>
      <c r="V121" s="98"/>
      <c r="W121" s="98"/>
      <c r="X121" s="98"/>
      <c r="Y121" s="98"/>
      <c r="Z121" s="98"/>
      <c r="AA121" s="98"/>
      <c r="AB121" s="98"/>
      <c r="AC121" s="98"/>
      <c r="AD121" s="98"/>
      <c r="AE121" s="98"/>
      <c r="AF121" s="98"/>
      <c r="AG121" s="98"/>
      <c r="AH121" s="98"/>
    </row>
    <row r="122" spans="1:34" ht="27" hidden="1" customHeight="1">
      <c r="A122" s="30"/>
      <c r="B122" s="794"/>
      <c r="C122" s="74"/>
      <c r="D122" s="72"/>
      <c r="E122" s="98"/>
      <c r="F122" s="98"/>
      <c r="G122" s="98"/>
      <c r="H122" s="98"/>
      <c r="I122" s="98"/>
      <c r="J122" s="98"/>
      <c r="K122" s="98"/>
      <c r="L122" s="98"/>
      <c r="M122" s="98"/>
      <c r="N122" s="98"/>
      <c r="O122" s="98"/>
      <c r="P122" s="98"/>
      <c r="Q122" s="98"/>
      <c r="R122" s="98"/>
      <c r="S122" s="98"/>
      <c r="T122" s="98"/>
      <c r="U122" s="98"/>
      <c r="V122" s="98"/>
      <c r="W122" s="98"/>
      <c r="X122" s="98"/>
      <c r="Y122" s="98"/>
      <c r="Z122" s="98"/>
      <c r="AA122" s="98"/>
      <c r="AB122" s="98"/>
      <c r="AC122" s="98"/>
      <c r="AD122" s="98"/>
      <c r="AE122" s="98"/>
      <c r="AF122" s="98"/>
      <c r="AG122" s="98"/>
      <c r="AH122" s="98"/>
    </row>
    <row r="123" spans="1:34" ht="27" hidden="1" customHeight="1">
      <c r="A123" s="30"/>
      <c r="B123" s="794"/>
      <c r="C123" s="74"/>
      <c r="D123" s="72"/>
      <c r="E123" s="98"/>
      <c r="F123" s="98"/>
      <c r="G123" s="98"/>
      <c r="H123" s="98"/>
      <c r="I123" s="98"/>
      <c r="J123" s="98"/>
      <c r="K123" s="98"/>
      <c r="L123" s="98"/>
      <c r="M123" s="98"/>
      <c r="N123" s="98"/>
      <c r="O123" s="98"/>
      <c r="P123" s="98"/>
      <c r="Q123" s="98"/>
      <c r="R123" s="98"/>
      <c r="S123" s="98"/>
      <c r="T123" s="98"/>
      <c r="U123" s="98"/>
      <c r="V123" s="98"/>
      <c r="W123" s="98"/>
      <c r="X123" s="98"/>
      <c r="Y123" s="98"/>
      <c r="Z123" s="98"/>
      <c r="AA123" s="98"/>
      <c r="AB123" s="98"/>
      <c r="AC123" s="98"/>
      <c r="AD123" s="98"/>
      <c r="AE123" s="98"/>
      <c r="AF123" s="98"/>
      <c r="AG123" s="98"/>
      <c r="AH123" s="98"/>
    </row>
    <row r="124" spans="1:34" ht="27" hidden="1" customHeight="1">
      <c r="A124" s="30"/>
      <c r="B124" s="794"/>
      <c r="C124" s="74"/>
      <c r="D124" s="72"/>
      <c r="E124" s="98"/>
      <c r="F124" s="98"/>
      <c r="G124" s="98"/>
      <c r="H124" s="98"/>
      <c r="I124" s="98"/>
      <c r="J124" s="98"/>
      <c r="K124" s="98"/>
      <c r="L124" s="98"/>
      <c r="M124" s="98"/>
      <c r="N124" s="98"/>
      <c r="O124" s="98"/>
      <c r="P124" s="98"/>
      <c r="Q124" s="98"/>
      <c r="R124" s="98"/>
      <c r="S124" s="98"/>
      <c r="T124" s="98"/>
      <c r="U124" s="98"/>
      <c r="V124" s="98"/>
      <c r="W124" s="98"/>
      <c r="X124" s="98"/>
      <c r="Y124" s="98"/>
      <c r="Z124" s="98"/>
      <c r="AA124" s="98"/>
      <c r="AB124" s="98"/>
      <c r="AC124" s="98"/>
      <c r="AD124" s="98"/>
      <c r="AE124" s="98"/>
      <c r="AF124" s="98"/>
      <c r="AG124" s="98"/>
      <c r="AH124" s="98"/>
    </row>
    <row r="125" spans="1:34" ht="27" hidden="1" customHeight="1">
      <c r="A125" s="30"/>
      <c r="B125" s="794"/>
      <c r="C125" s="74"/>
      <c r="D125" s="72"/>
      <c r="E125" s="98"/>
      <c r="F125" s="98"/>
      <c r="G125" s="98"/>
      <c r="H125" s="98"/>
      <c r="I125" s="98"/>
      <c r="J125" s="98"/>
      <c r="K125" s="98"/>
      <c r="L125" s="98"/>
      <c r="M125" s="98"/>
      <c r="N125" s="98"/>
      <c r="O125" s="98"/>
      <c r="P125" s="98"/>
      <c r="Q125" s="98"/>
      <c r="R125" s="98"/>
      <c r="S125" s="98"/>
      <c r="T125" s="98"/>
      <c r="U125" s="98"/>
      <c r="V125" s="98"/>
      <c r="W125" s="98"/>
      <c r="X125" s="98"/>
      <c r="Y125" s="98"/>
      <c r="Z125" s="98"/>
      <c r="AA125" s="98"/>
      <c r="AB125" s="98"/>
      <c r="AC125" s="98"/>
      <c r="AD125" s="98"/>
      <c r="AE125" s="98"/>
      <c r="AF125" s="98"/>
      <c r="AG125" s="98"/>
      <c r="AH125" s="98"/>
    </row>
    <row r="126" spans="1:34" ht="27" hidden="1" customHeight="1">
      <c r="A126" s="30"/>
      <c r="B126" s="794"/>
      <c r="C126" s="74"/>
      <c r="D126" s="72"/>
      <c r="E126" s="98"/>
      <c r="F126" s="98"/>
      <c r="G126" s="98"/>
      <c r="H126" s="98"/>
      <c r="I126" s="98"/>
      <c r="J126" s="98"/>
      <c r="K126" s="98"/>
      <c r="L126" s="98"/>
      <c r="M126" s="98"/>
      <c r="N126" s="98"/>
      <c r="O126" s="98"/>
      <c r="P126" s="98"/>
      <c r="Q126" s="98"/>
      <c r="R126" s="98"/>
      <c r="S126" s="98"/>
      <c r="T126" s="98"/>
      <c r="U126" s="98"/>
      <c r="V126" s="98"/>
      <c r="W126" s="98"/>
      <c r="X126" s="98"/>
      <c r="Y126" s="98"/>
      <c r="Z126" s="98"/>
      <c r="AA126" s="98"/>
      <c r="AB126" s="98"/>
      <c r="AC126" s="98"/>
      <c r="AD126" s="98"/>
      <c r="AE126" s="98"/>
      <c r="AF126" s="98"/>
      <c r="AG126" s="98"/>
      <c r="AH126" s="98"/>
    </row>
    <row r="127" spans="1:34" ht="27" customHeight="1">
      <c r="A127" s="30"/>
      <c r="B127" s="797" t="s">
        <v>143</v>
      </c>
      <c r="C127" s="798"/>
      <c r="D127" s="799"/>
      <c r="E127" s="100">
        <f t="shared" ref="E127:AH127" si="22">IFERROR(AVERAGE(E6,E16,E26,E36,E46,E58,E68,E77,E87,E95,E103,E111,E119),"")</f>
        <v>94.0625</v>
      </c>
      <c r="F127" s="100">
        <f t="shared" si="22"/>
        <v>90.37202380952381</v>
      </c>
      <c r="G127" s="100">
        <f t="shared" si="22"/>
        <v>90.053571428571431</v>
      </c>
      <c r="H127" s="100">
        <f t="shared" si="22"/>
        <v>94.6875</v>
      </c>
      <c r="I127" s="100">
        <f t="shared" si="22"/>
        <v>95.46875</v>
      </c>
      <c r="J127" s="100">
        <f t="shared" si="22"/>
        <v>97.96875</v>
      </c>
      <c r="K127" s="100">
        <f t="shared" si="22"/>
        <v>96.25</v>
      </c>
      <c r="L127" s="100">
        <f t="shared" si="22"/>
        <v>95.9375</v>
      </c>
      <c r="M127" s="100">
        <f t="shared" si="22"/>
        <v>92.65625</v>
      </c>
      <c r="N127" s="100">
        <f t="shared" si="22"/>
        <v>96.40625</v>
      </c>
      <c r="O127" s="100">
        <f t="shared" si="22"/>
        <v>97.34375</v>
      </c>
      <c r="P127" s="100">
        <f t="shared" si="22"/>
        <v>95.15625</v>
      </c>
      <c r="Q127" s="100">
        <f t="shared" si="22"/>
        <v>95.15625</v>
      </c>
      <c r="R127" s="100">
        <f t="shared" si="22"/>
        <v>93.15625</v>
      </c>
      <c r="S127" s="100">
        <f t="shared" si="22"/>
        <v>89.270833333333329</v>
      </c>
      <c r="T127" s="100">
        <f t="shared" si="22"/>
        <v>93.28125</v>
      </c>
      <c r="U127" s="100">
        <f t="shared" si="22"/>
        <v>98.28125</v>
      </c>
      <c r="V127" s="100">
        <f t="shared" si="22"/>
        <v>93.325892857142861</v>
      </c>
      <c r="W127" s="100">
        <f t="shared" si="22"/>
        <v>92.78125</v>
      </c>
      <c r="X127" s="100">
        <f t="shared" si="22"/>
        <v>90.9375</v>
      </c>
      <c r="Y127" s="100">
        <f t="shared" si="22"/>
        <v>95.3125</v>
      </c>
      <c r="Z127" s="100">
        <f t="shared" si="22"/>
        <v>94.375</v>
      </c>
      <c r="AA127" s="100">
        <f t="shared" si="22"/>
        <v>97.65625</v>
      </c>
      <c r="AB127" s="100">
        <f t="shared" si="22"/>
        <v>92.96875</v>
      </c>
      <c r="AC127" s="100" t="str">
        <f t="shared" si="22"/>
        <v/>
      </c>
      <c r="AD127" s="100" t="str">
        <f t="shared" si="22"/>
        <v/>
      </c>
      <c r="AE127" s="100" t="str">
        <f t="shared" si="22"/>
        <v/>
      </c>
      <c r="AF127" s="100" t="str">
        <f t="shared" si="22"/>
        <v/>
      </c>
      <c r="AG127" s="100" t="str">
        <f t="shared" si="22"/>
        <v/>
      </c>
      <c r="AH127" s="100" t="str">
        <f t="shared" si="22"/>
        <v/>
      </c>
    </row>
    <row r="128" spans="1:34" hidden="1">
      <c r="B128" s="31"/>
      <c r="C128" s="31"/>
      <c r="D128" s="32"/>
    </row>
    <row r="129" spans="2:4" hidden="1">
      <c r="B129" s="31"/>
      <c r="C129" s="31"/>
      <c r="D129" s="32"/>
    </row>
    <row r="130" spans="2:4" hidden="1">
      <c r="B130" s="31"/>
      <c r="C130" s="31"/>
      <c r="D130" s="32"/>
    </row>
    <row r="131" spans="2:4" hidden="1">
      <c r="B131" s="31"/>
      <c r="C131" s="31"/>
      <c r="D131" s="32"/>
    </row>
    <row r="132" spans="2:4" hidden="1">
      <c r="B132" s="31"/>
      <c r="C132" s="31"/>
      <c r="D132" s="32"/>
    </row>
    <row r="133" spans="2:4" hidden="1">
      <c r="B133" s="31"/>
      <c r="C133" s="31"/>
      <c r="D133" s="32"/>
    </row>
    <row r="134" spans="2:4" hidden="1">
      <c r="B134" s="31"/>
      <c r="C134" s="31"/>
      <c r="D134" s="32"/>
    </row>
    <row r="135" spans="2:4" hidden="1">
      <c r="B135" s="31"/>
      <c r="C135" s="31"/>
      <c r="D135" s="32"/>
    </row>
    <row r="136" spans="2:4" hidden="1">
      <c r="B136" s="31"/>
      <c r="C136" s="31"/>
      <c r="D136" s="32"/>
    </row>
    <row r="137" spans="2:4" hidden="1">
      <c r="B137" s="31"/>
      <c r="C137" s="31"/>
      <c r="D137" s="32"/>
    </row>
    <row r="138" spans="2:4" hidden="1">
      <c r="B138" s="31"/>
      <c r="C138" s="31"/>
      <c r="D138" s="32"/>
    </row>
    <row r="139" spans="2:4" hidden="1">
      <c r="B139" s="31"/>
      <c r="C139" s="31"/>
      <c r="D139" s="32"/>
    </row>
    <row r="140" spans="2:4" hidden="1">
      <c r="B140" s="31"/>
      <c r="C140" s="31"/>
      <c r="D140" s="32"/>
    </row>
    <row r="141" spans="2:4" hidden="1">
      <c r="B141" s="31"/>
      <c r="C141" s="31"/>
      <c r="D141" s="32"/>
    </row>
    <row r="142" spans="2:4" hidden="1">
      <c r="B142" s="31"/>
      <c r="C142" s="31"/>
      <c r="D142" s="32"/>
    </row>
    <row r="143" spans="2:4" hidden="1">
      <c r="B143" s="31"/>
      <c r="C143" s="31"/>
      <c r="D143" s="32"/>
    </row>
    <row r="144" spans="2:4" hidden="1">
      <c r="B144" s="31"/>
      <c r="C144" s="31"/>
      <c r="D144" s="32"/>
    </row>
    <row r="145" spans="2:4" hidden="1">
      <c r="B145" s="31"/>
      <c r="C145" s="31"/>
      <c r="D145" s="32"/>
    </row>
    <row r="146" spans="2:4" hidden="1">
      <c r="B146" s="31"/>
      <c r="C146" s="31"/>
      <c r="D146" s="32"/>
    </row>
    <row r="147" spans="2:4" hidden="1">
      <c r="B147" s="31"/>
      <c r="C147" s="31"/>
      <c r="D147" s="32"/>
    </row>
    <row r="148" spans="2:4" hidden="1">
      <c r="B148" s="31"/>
      <c r="C148" s="31"/>
      <c r="D148" s="32"/>
    </row>
    <row r="149" spans="2:4" hidden="1">
      <c r="B149" s="31"/>
      <c r="C149" s="31"/>
      <c r="D149" s="32"/>
    </row>
    <row r="150" spans="2:4" hidden="1">
      <c r="B150" s="31"/>
      <c r="C150" s="31"/>
      <c r="D150" s="32"/>
    </row>
    <row r="151" spans="2:4" hidden="1">
      <c r="B151" s="31"/>
      <c r="C151" s="31"/>
      <c r="D151" s="32"/>
    </row>
    <row r="152" spans="2:4" hidden="1">
      <c r="B152" s="31"/>
      <c r="C152" s="31"/>
      <c r="D152" s="32"/>
    </row>
    <row r="153" spans="2:4" hidden="1">
      <c r="B153" s="31"/>
      <c r="C153" s="31"/>
      <c r="D153" s="32"/>
    </row>
    <row r="154" spans="2:4" hidden="1">
      <c r="B154" s="31"/>
      <c r="C154" s="31"/>
      <c r="D154" s="32"/>
    </row>
    <row r="155" spans="2:4" hidden="1">
      <c r="B155" s="31"/>
      <c r="C155" s="31"/>
      <c r="D155" s="32"/>
    </row>
    <row r="156" spans="2:4" hidden="1">
      <c r="B156" s="31"/>
      <c r="C156" s="31"/>
      <c r="D156" s="32"/>
    </row>
    <row r="157" spans="2:4" hidden="1">
      <c r="B157" s="31"/>
      <c r="C157" s="31"/>
      <c r="D157" s="32"/>
    </row>
    <row r="158" spans="2:4" hidden="1">
      <c r="B158" s="31"/>
      <c r="C158" s="31"/>
      <c r="D158" s="32"/>
    </row>
    <row r="159" spans="2:4" hidden="1">
      <c r="B159" s="31"/>
      <c r="C159" s="31"/>
      <c r="D159" s="32"/>
    </row>
    <row r="160" spans="2:4" hidden="1">
      <c r="B160" s="31"/>
      <c r="C160" s="31"/>
      <c r="D160" s="32"/>
    </row>
    <row r="161" spans="2:4" hidden="1">
      <c r="B161" s="31"/>
      <c r="C161" s="31"/>
      <c r="D161" s="32"/>
    </row>
    <row r="162" spans="2:4" hidden="1">
      <c r="B162" s="31"/>
      <c r="C162" s="31"/>
      <c r="D162" s="32"/>
    </row>
    <row r="163" spans="2:4" hidden="1">
      <c r="B163" s="31"/>
      <c r="C163" s="31"/>
      <c r="D163" s="32"/>
    </row>
    <row r="164" spans="2:4" hidden="1">
      <c r="B164" s="31"/>
      <c r="C164" s="31"/>
      <c r="D164" s="32"/>
    </row>
    <row r="165" spans="2:4" hidden="1">
      <c r="B165" s="31"/>
      <c r="C165" s="31"/>
      <c r="D165" s="32"/>
    </row>
    <row r="166" spans="2:4" hidden="1">
      <c r="B166" s="31"/>
      <c r="C166" s="31"/>
      <c r="D166" s="32"/>
    </row>
    <row r="167" spans="2:4" hidden="1">
      <c r="B167" s="31"/>
      <c r="C167" s="31"/>
      <c r="D167" s="32"/>
    </row>
    <row r="168" spans="2:4" hidden="1">
      <c r="B168" s="31"/>
      <c r="C168" s="31"/>
      <c r="D168" s="32"/>
    </row>
    <row r="169" spans="2:4" hidden="1">
      <c r="B169" s="31"/>
      <c r="C169" s="31"/>
      <c r="D169" s="32"/>
    </row>
    <row r="170" spans="2:4" hidden="1">
      <c r="B170" s="31"/>
      <c r="C170" s="31"/>
      <c r="D170" s="32"/>
    </row>
    <row r="171" spans="2:4" hidden="1">
      <c r="B171" s="31"/>
      <c r="C171" s="31"/>
      <c r="D171" s="32"/>
    </row>
    <row r="172" spans="2:4" hidden="1">
      <c r="B172" s="31"/>
      <c r="C172" s="31"/>
      <c r="D172" s="32"/>
    </row>
    <row r="173" spans="2:4" hidden="1">
      <c r="B173" s="31"/>
      <c r="C173" s="31"/>
      <c r="D173" s="32"/>
    </row>
    <row r="174" spans="2:4" hidden="1">
      <c r="B174" s="31"/>
      <c r="C174" s="31"/>
      <c r="D174" s="32"/>
    </row>
    <row r="175" spans="2:4" hidden="1">
      <c r="B175" s="31"/>
      <c r="C175" s="31"/>
      <c r="D175" s="32"/>
    </row>
    <row r="176" spans="2:4" hidden="1">
      <c r="B176" s="31"/>
      <c r="C176" s="31"/>
      <c r="D176" s="32"/>
    </row>
    <row r="177" spans="2:4" hidden="1">
      <c r="B177" s="31"/>
      <c r="C177" s="31"/>
      <c r="D177" s="32"/>
    </row>
    <row r="178" spans="2:4" hidden="1">
      <c r="B178" s="31"/>
      <c r="C178" s="31"/>
      <c r="D178" s="32"/>
    </row>
    <row r="179" spans="2:4" hidden="1">
      <c r="B179" s="31"/>
      <c r="C179" s="31"/>
      <c r="D179" s="32"/>
    </row>
    <row r="180" spans="2:4" hidden="1">
      <c r="B180" s="31"/>
      <c r="C180" s="31"/>
      <c r="D180" s="32"/>
    </row>
    <row r="181" spans="2:4" hidden="1">
      <c r="B181" s="31"/>
      <c r="C181" s="31"/>
      <c r="D181" s="32"/>
    </row>
    <row r="182" spans="2:4" hidden="1">
      <c r="B182" s="31"/>
      <c r="C182" s="31"/>
      <c r="D182" s="32"/>
    </row>
    <row r="183" spans="2:4" hidden="1">
      <c r="B183" s="31"/>
      <c r="C183" s="31"/>
      <c r="D183" s="32"/>
    </row>
    <row r="184" spans="2:4" hidden="1">
      <c r="B184" s="31"/>
      <c r="C184" s="31"/>
      <c r="D184" s="32"/>
    </row>
    <row r="185" spans="2:4" hidden="1">
      <c r="B185" s="31"/>
      <c r="C185" s="31"/>
      <c r="D185" s="32"/>
    </row>
    <row r="186" spans="2:4" hidden="1">
      <c r="B186" s="31"/>
      <c r="C186" s="31"/>
      <c r="D186" s="32"/>
    </row>
    <row r="187" spans="2:4" hidden="1">
      <c r="B187" s="31"/>
      <c r="C187" s="31"/>
      <c r="D187" s="32"/>
    </row>
  </sheetData>
  <mergeCells count="33">
    <mergeCell ref="A1:AH2"/>
    <mergeCell ref="B3:D3"/>
    <mergeCell ref="B4:B5"/>
    <mergeCell ref="C4:C5"/>
    <mergeCell ref="D4:D5"/>
    <mergeCell ref="E4:AH4"/>
    <mergeCell ref="B6:B15"/>
    <mergeCell ref="C6:D6"/>
    <mergeCell ref="B16:B25"/>
    <mergeCell ref="C16:D16"/>
    <mergeCell ref="B26:B35"/>
    <mergeCell ref="C26:D26"/>
    <mergeCell ref="B36:B45"/>
    <mergeCell ref="C36:D36"/>
    <mergeCell ref="B46:B57"/>
    <mergeCell ref="C46:D46"/>
    <mergeCell ref="B58:B67"/>
    <mergeCell ref="C58:D58"/>
    <mergeCell ref="B68:B76"/>
    <mergeCell ref="C68:D68"/>
    <mergeCell ref="B77:B86"/>
    <mergeCell ref="C77:D77"/>
    <mergeCell ref="B87:B94"/>
    <mergeCell ref="C87:D87"/>
    <mergeCell ref="B119:B126"/>
    <mergeCell ref="C119:D119"/>
    <mergeCell ref="B127:D127"/>
    <mergeCell ref="B95:B102"/>
    <mergeCell ref="C95:D95"/>
    <mergeCell ref="B103:B110"/>
    <mergeCell ref="C103:D103"/>
    <mergeCell ref="B111:B118"/>
    <mergeCell ref="C111:D111"/>
  </mergeCells>
  <pageMargins left="0.7" right="0.7" top="0.75" bottom="0.75" header="0.3" footer="0.3"/>
  <pageSetup paperSize="9" orientation="portrait" horizontalDpi="4294967293"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5"/>
  <dimension ref="A1:XFD82"/>
  <sheetViews>
    <sheetView showGridLines="0" showRowColHeaders="0" zoomScale="70" zoomScaleNormal="70" workbookViewId="0">
      <pane ySplit="5" topLeftCell="A12" activePane="bottomLeft" state="frozen"/>
      <selection activeCell="K33" sqref="K33"/>
      <selection pane="bottomLeft" activeCell="AB8" sqref="AB8:AB15"/>
    </sheetView>
  </sheetViews>
  <sheetFormatPr defaultColWidth="0" defaultRowHeight="15" zeroHeight="1"/>
  <cols>
    <col min="1" max="1" width="1" style="29" customWidth="1"/>
    <col min="2" max="2" width="3.7109375" style="33" customWidth="1"/>
    <col min="3" max="3" width="46.140625" style="33" customWidth="1"/>
    <col min="4" max="4" width="10.28515625" style="29" customWidth="1"/>
    <col min="5" max="34" width="5.7109375" style="29" customWidth="1"/>
    <col min="35" max="49" width="5.7109375" hidden="1" customWidth="1"/>
    <col min="50" max="16384" width="9.140625" hidden="1"/>
  </cols>
  <sheetData>
    <row r="1" spans="1:34" ht="15" customHeight="1">
      <c r="A1" s="803" t="s">
        <v>246</v>
      </c>
      <c r="B1" s="803"/>
      <c r="C1" s="803"/>
      <c r="D1" s="803"/>
      <c r="E1" s="803"/>
      <c r="F1" s="803"/>
      <c r="G1" s="803"/>
      <c r="H1" s="803"/>
      <c r="I1" s="803"/>
      <c r="J1" s="803"/>
      <c r="K1" s="803"/>
      <c r="L1" s="803"/>
      <c r="M1" s="803"/>
      <c r="N1" s="803"/>
      <c r="O1" s="803"/>
      <c r="P1" s="803"/>
      <c r="Q1" s="803"/>
      <c r="R1" s="803"/>
      <c r="S1" s="803"/>
      <c r="T1" s="803"/>
      <c r="U1" s="803"/>
      <c r="V1" s="803"/>
      <c r="W1" s="803"/>
      <c r="X1" s="803"/>
      <c r="Y1" s="803"/>
      <c r="Z1" s="803"/>
      <c r="AA1" s="803"/>
      <c r="AB1" s="803"/>
      <c r="AC1" s="803"/>
      <c r="AD1" s="803"/>
      <c r="AE1" s="803"/>
      <c r="AF1" s="803"/>
      <c r="AG1" s="803"/>
      <c r="AH1" s="803"/>
    </row>
    <row r="2" spans="1:34" ht="15" customHeight="1">
      <c r="A2" s="803"/>
      <c r="B2" s="803"/>
      <c r="C2" s="803"/>
      <c r="D2" s="803"/>
      <c r="E2" s="803"/>
      <c r="F2" s="803"/>
      <c r="G2" s="803"/>
      <c r="H2" s="803"/>
      <c r="I2" s="803"/>
      <c r="J2" s="803"/>
      <c r="K2" s="803"/>
      <c r="L2" s="803"/>
      <c r="M2" s="803"/>
      <c r="N2" s="803"/>
      <c r="O2" s="803"/>
      <c r="P2" s="803"/>
      <c r="Q2" s="803"/>
      <c r="R2" s="803"/>
      <c r="S2" s="803"/>
      <c r="T2" s="803"/>
      <c r="U2" s="803"/>
      <c r="V2" s="803"/>
      <c r="W2" s="803"/>
      <c r="X2" s="803"/>
      <c r="Y2" s="803"/>
      <c r="Z2" s="803"/>
      <c r="AA2" s="803"/>
      <c r="AB2" s="803"/>
      <c r="AC2" s="803"/>
      <c r="AD2" s="803"/>
      <c r="AE2" s="803"/>
      <c r="AF2" s="803"/>
      <c r="AG2" s="803"/>
      <c r="AH2" s="803"/>
    </row>
    <row r="3" spans="1:34" ht="15" customHeight="1">
      <c r="B3" s="804"/>
      <c r="C3" s="804"/>
      <c r="D3" s="80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row>
    <row r="4" spans="1:34" ht="15" customHeight="1">
      <c r="B4" s="862" t="s">
        <v>5</v>
      </c>
      <c r="C4" s="805" t="s">
        <v>125</v>
      </c>
      <c r="D4" s="806" t="s">
        <v>126</v>
      </c>
      <c r="E4" s="807" t="s">
        <v>57</v>
      </c>
      <c r="F4" s="807"/>
      <c r="G4" s="807"/>
      <c r="H4" s="807"/>
      <c r="I4" s="807"/>
      <c r="J4" s="807"/>
      <c r="K4" s="807"/>
      <c r="L4" s="807"/>
      <c r="M4" s="807"/>
      <c r="N4" s="807"/>
      <c r="O4" s="807"/>
      <c r="P4" s="807"/>
      <c r="Q4" s="807"/>
      <c r="R4" s="807"/>
      <c r="S4" s="807"/>
      <c r="T4" s="807"/>
      <c r="U4" s="807"/>
      <c r="V4" s="807"/>
      <c r="W4" s="807"/>
      <c r="X4" s="807"/>
      <c r="Y4" s="807"/>
      <c r="Z4" s="807"/>
      <c r="AA4" s="807"/>
      <c r="AB4" s="807"/>
      <c r="AC4" s="807"/>
      <c r="AD4" s="807"/>
      <c r="AE4" s="807"/>
      <c r="AF4" s="807"/>
      <c r="AG4" s="807"/>
      <c r="AH4" s="807"/>
    </row>
    <row r="5" spans="1:34" ht="12.75" customHeight="1">
      <c r="B5" s="862"/>
      <c r="C5" s="805"/>
      <c r="D5" s="806"/>
      <c r="E5" s="35" t="str">
        <f>DATASISWA!$F$8</f>
        <v>Dita</v>
      </c>
      <c r="F5" s="35" t="str">
        <f>DATASISWA!$F$9</f>
        <v>Annisa</v>
      </c>
      <c r="G5" s="35" t="str">
        <f>DATASISWA!$F$10</f>
        <v>Kiki</v>
      </c>
      <c r="H5" s="35" t="str">
        <f>DATASISWA!$F$11</f>
        <v>Lily</v>
      </c>
      <c r="I5" s="35" t="str">
        <f>DATASISWA!$F$12</f>
        <v>Rere</v>
      </c>
      <c r="J5" s="35" t="str">
        <f>DATASISWA!$F$13</f>
        <v>Fadhil</v>
      </c>
      <c r="K5" s="35" t="str">
        <f>DATASISWA!$F$14</f>
        <v>Yuefa</v>
      </c>
      <c r="L5" s="35" t="str">
        <f>DATASISWA!$F$15</f>
        <v>Ria</v>
      </c>
      <c r="M5" s="35" t="str">
        <f>DATASISWA!$F$16</f>
        <v>Tiara</v>
      </c>
      <c r="N5" s="35" t="str">
        <f>DATASISWA!$F$17</f>
        <v>Alvind</v>
      </c>
      <c r="O5" s="35" t="str">
        <f>DATASISWA!$F$18</f>
        <v>Icha</v>
      </c>
      <c r="P5" s="35" t="str">
        <f>DATASISWA!$F$19</f>
        <v>Qonita</v>
      </c>
      <c r="Q5" s="35" t="str">
        <f>DATASISWA!$F$20</f>
        <v>Anya</v>
      </c>
      <c r="R5" s="35" t="str">
        <f>DATASISWA!$F$21</f>
        <v>Radit</v>
      </c>
      <c r="S5" s="35" t="str">
        <f>DATASISWA!$F$22</f>
        <v>angel</v>
      </c>
      <c r="T5" s="35">
        <f>DATASISWA!$F$23</f>
        <v>0</v>
      </c>
      <c r="U5" s="35">
        <f>DATASISWA!$F$24</f>
        <v>0</v>
      </c>
      <c r="V5" s="35">
        <f>DATASISWA!$F$25</f>
        <v>0</v>
      </c>
      <c r="W5" s="35">
        <f>DATASISWA!$F$26</f>
        <v>0</v>
      </c>
      <c r="X5" s="35">
        <f>DATASISWA!$F$27</f>
        <v>0</v>
      </c>
      <c r="Y5" s="35">
        <f>DATASISWA!$F$28</f>
        <v>0</v>
      </c>
      <c r="Z5" s="35">
        <f>DATASISWA!$F$29</f>
        <v>0</v>
      </c>
      <c r="AA5" s="35">
        <f>DATASISWA!$F$30</f>
        <v>0</v>
      </c>
      <c r="AB5" s="35">
        <f>DATASISWA!$F$31</f>
        <v>0</v>
      </c>
      <c r="AC5" s="35">
        <f>DATASISWA!$F$32</f>
        <v>0</v>
      </c>
      <c r="AD5" s="35">
        <f>DATASISWA!$F$33</f>
        <v>0</v>
      </c>
      <c r="AE5" s="35">
        <f>DATASISWA!$F$34</f>
        <v>0</v>
      </c>
      <c r="AF5" s="35">
        <f>DATASISWA!$F$35</f>
        <v>0</v>
      </c>
      <c r="AG5" s="35">
        <f>DATASISWA!$F$36</f>
        <v>0</v>
      </c>
      <c r="AH5" s="35">
        <f>DATASISWA!$F$37</f>
        <v>0</v>
      </c>
    </row>
    <row r="6" spans="1:34" s="78" customFormat="1" ht="60" customHeight="1">
      <c r="A6" s="30"/>
      <c r="B6" s="75">
        <v>1</v>
      </c>
      <c r="C6" s="564" t="s">
        <v>1561</v>
      </c>
      <c r="D6" s="562"/>
      <c r="E6" s="333">
        <v>95</v>
      </c>
      <c r="F6" s="333">
        <v>85</v>
      </c>
      <c r="G6" s="333">
        <v>90</v>
      </c>
      <c r="H6" s="333">
        <v>92</v>
      </c>
      <c r="I6" s="333">
        <v>96</v>
      </c>
      <c r="J6" s="333">
        <v>89</v>
      </c>
      <c r="K6" s="333">
        <v>90</v>
      </c>
      <c r="L6" s="333">
        <v>94</v>
      </c>
      <c r="M6" s="333">
        <v>90</v>
      </c>
      <c r="N6" s="333">
        <v>89</v>
      </c>
      <c r="O6" s="333">
        <v>90</v>
      </c>
      <c r="P6" s="333">
        <v>95</v>
      </c>
      <c r="Q6" s="333">
        <v>90</v>
      </c>
      <c r="R6" s="333">
        <v>95</v>
      </c>
      <c r="S6" s="333">
        <v>85</v>
      </c>
      <c r="T6" s="333">
        <v>92</v>
      </c>
      <c r="U6" s="333"/>
      <c r="V6" s="333"/>
      <c r="W6" s="333"/>
      <c r="X6" s="333"/>
      <c r="Y6" s="333"/>
      <c r="Z6" s="333"/>
      <c r="AA6" s="333"/>
      <c r="AB6" s="333"/>
      <c r="AC6" s="333"/>
      <c r="AD6" s="333"/>
      <c r="AE6" s="333"/>
      <c r="AF6" s="333"/>
      <c r="AG6" s="333"/>
      <c r="AH6" s="333"/>
    </row>
    <row r="7" spans="1:34" s="78" customFormat="1" ht="60" customHeight="1">
      <c r="A7" s="30"/>
      <c r="B7" s="77">
        <v>2</v>
      </c>
      <c r="C7" s="564" t="s">
        <v>1562</v>
      </c>
      <c r="D7" s="563"/>
      <c r="E7" s="333">
        <v>95</v>
      </c>
      <c r="F7" s="333">
        <v>85</v>
      </c>
      <c r="G7" s="333">
        <v>90</v>
      </c>
      <c r="H7" s="333">
        <v>92</v>
      </c>
      <c r="I7" s="333">
        <v>96</v>
      </c>
      <c r="J7" s="333">
        <v>89</v>
      </c>
      <c r="K7" s="333">
        <v>90</v>
      </c>
      <c r="L7" s="333">
        <v>94</v>
      </c>
      <c r="M7" s="333">
        <v>90</v>
      </c>
      <c r="N7" s="333">
        <v>89</v>
      </c>
      <c r="O7" s="333">
        <v>90</v>
      </c>
      <c r="P7" s="333">
        <v>95</v>
      </c>
      <c r="Q7" s="333">
        <v>90</v>
      </c>
      <c r="R7" s="333">
        <v>95</v>
      </c>
      <c r="S7" s="333">
        <v>85</v>
      </c>
      <c r="T7" s="333">
        <v>92</v>
      </c>
      <c r="U7" s="333">
        <v>94</v>
      </c>
      <c r="V7" s="333">
        <v>89</v>
      </c>
      <c r="W7" s="333">
        <v>85</v>
      </c>
      <c r="X7" s="333">
        <v>85</v>
      </c>
      <c r="Y7" s="333">
        <v>91</v>
      </c>
      <c r="Z7" s="333"/>
      <c r="AA7" s="333"/>
      <c r="AB7" s="333"/>
      <c r="AC7" s="333"/>
      <c r="AD7" s="333"/>
      <c r="AE7" s="333"/>
      <c r="AF7" s="333"/>
      <c r="AG7" s="333"/>
      <c r="AH7" s="333"/>
    </row>
    <row r="8" spans="1:34" s="78" customFormat="1" ht="60" customHeight="1">
      <c r="A8" s="30"/>
      <c r="B8" s="75">
        <v>3</v>
      </c>
      <c r="C8" s="564" t="s">
        <v>1563</v>
      </c>
      <c r="D8" s="563"/>
      <c r="E8" s="333">
        <v>95</v>
      </c>
      <c r="F8" s="333">
        <v>85</v>
      </c>
      <c r="G8" s="333">
        <v>90</v>
      </c>
      <c r="H8" s="333">
        <v>92</v>
      </c>
      <c r="I8" s="333">
        <v>96</v>
      </c>
      <c r="J8" s="333">
        <v>89</v>
      </c>
      <c r="K8" s="333">
        <v>90</v>
      </c>
      <c r="L8" s="333">
        <v>94</v>
      </c>
      <c r="M8" s="333">
        <v>90</v>
      </c>
      <c r="N8" s="333">
        <v>89</v>
      </c>
      <c r="O8" s="333">
        <v>90</v>
      </c>
      <c r="P8" s="333">
        <v>95</v>
      </c>
      <c r="Q8" s="333">
        <v>90</v>
      </c>
      <c r="R8" s="333">
        <v>95</v>
      </c>
      <c r="S8" s="333">
        <v>85</v>
      </c>
      <c r="T8" s="333">
        <v>92</v>
      </c>
      <c r="U8" s="333">
        <v>94</v>
      </c>
      <c r="V8" s="333">
        <v>89</v>
      </c>
      <c r="W8" s="333">
        <v>85</v>
      </c>
      <c r="X8" s="333">
        <v>85</v>
      </c>
      <c r="Y8" s="333">
        <v>91</v>
      </c>
      <c r="Z8" s="333">
        <v>94</v>
      </c>
      <c r="AA8" s="333">
        <v>94</v>
      </c>
      <c r="AB8" s="333">
        <v>90</v>
      </c>
      <c r="AC8" s="333"/>
      <c r="AD8" s="333"/>
      <c r="AE8" s="333"/>
      <c r="AF8" s="333"/>
      <c r="AG8" s="333"/>
      <c r="AH8" s="333"/>
    </row>
    <row r="9" spans="1:34" s="78" customFormat="1" ht="60" customHeight="1">
      <c r="A9" s="30"/>
      <c r="B9" s="77">
        <v>4</v>
      </c>
      <c r="C9" s="565" t="s">
        <v>1564</v>
      </c>
      <c r="D9" s="563"/>
      <c r="E9" s="333">
        <v>95</v>
      </c>
      <c r="F9" s="333">
        <v>85</v>
      </c>
      <c r="G9" s="333">
        <v>90</v>
      </c>
      <c r="H9" s="333">
        <v>92</v>
      </c>
      <c r="I9" s="333">
        <v>96</v>
      </c>
      <c r="J9" s="333">
        <v>89</v>
      </c>
      <c r="K9" s="333">
        <v>90</v>
      </c>
      <c r="L9" s="333">
        <v>94</v>
      </c>
      <c r="M9" s="333">
        <v>90</v>
      </c>
      <c r="N9" s="333">
        <v>89</v>
      </c>
      <c r="O9" s="333">
        <v>90</v>
      </c>
      <c r="P9" s="333">
        <v>95</v>
      </c>
      <c r="Q9" s="333">
        <v>90</v>
      </c>
      <c r="R9" s="333">
        <v>95</v>
      </c>
      <c r="S9" s="333">
        <v>85</v>
      </c>
      <c r="T9" s="333">
        <v>92</v>
      </c>
      <c r="U9" s="333">
        <v>94</v>
      </c>
      <c r="V9" s="333">
        <v>89</v>
      </c>
      <c r="W9" s="333">
        <v>85</v>
      </c>
      <c r="X9" s="333">
        <v>85</v>
      </c>
      <c r="Y9" s="333">
        <v>91</v>
      </c>
      <c r="Z9" s="333">
        <v>94</v>
      </c>
      <c r="AA9" s="333">
        <v>94</v>
      </c>
      <c r="AB9" s="333">
        <v>90</v>
      </c>
      <c r="AC9" s="333"/>
      <c r="AD9" s="333"/>
      <c r="AE9" s="333"/>
      <c r="AF9" s="333"/>
      <c r="AG9" s="333"/>
      <c r="AH9" s="333"/>
    </row>
    <row r="10" spans="1:34" s="78" customFormat="1" ht="60" customHeight="1">
      <c r="A10" s="30"/>
      <c r="B10" s="75">
        <v>5</v>
      </c>
      <c r="C10" s="565" t="s">
        <v>1565</v>
      </c>
      <c r="D10" s="563"/>
      <c r="E10" s="333">
        <v>95</v>
      </c>
      <c r="F10" s="333">
        <v>85</v>
      </c>
      <c r="G10" s="333">
        <v>90</v>
      </c>
      <c r="H10" s="333">
        <v>92</v>
      </c>
      <c r="I10" s="333">
        <v>96</v>
      </c>
      <c r="J10" s="333">
        <v>89</v>
      </c>
      <c r="K10" s="333">
        <v>90</v>
      </c>
      <c r="L10" s="333">
        <v>94</v>
      </c>
      <c r="M10" s="333">
        <v>90</v>
      </c>
      <c r="N10" s="333">
        <v>89</v>
      </c>
      <c r="O10" s="333">
        <v>90</v>
      </c>
      <c r="P10" s="333">
        <v>95</v>
      </c>
      <c r="Q10" s="333">
        <v>90</v>
      </c>
      <c r="R10" s="333">
        <v>95</v>
      </c>
      <c r="S10" s="333">
        <v>85</v>
      </c>
      <c r="T10" s="333">
        <v>92</v>
      </c>
      <c r="U10" s="333">
        <v>94</v>
      </c>
      <c r="V10" s="333">
        <v>89</v>
      </c>
      <c r="W10" s="333">
        <v>85</v>
      </c>
      <c r="X10" s="333">
        <v>85</v>
      </c>
      <c r="Y10" s="333">
        <v>91</v>
      </c>
      <c r="Z10" s="333">
        <v>94</v>
      </c>
      <c r="AA10" s="333">
        <v>94</v>
      </c>
      <c r="AB10" s="333">
        <v>90</v>
      </c>
      <c r="AC10" s="333"/>
      <c r="AD10" s="333"/>
      <c r="AE10" s="333"/>
      <c r="AF10" s="333"/>
      <c r="AG10" s="333"/>
      <c r="AH10" s="333"/>
    </row>
    <row r="11" spans="1:34" s="78" customFormat="1" ht="60" customHeight="1">
      <c r="A11" s="30"/>
      <c r="B11" s="77">
        <v>6</v>
      </c>
      <c r="C11" s="566" t="s">
        <v>1566</v>
      </c>
      <c r="D11" s="563"/>
      <c r="E11" s="333">
        <v>95</v>
      </c>
      <c r="F11" s="333">
        <v>85</v>
      </c>
      <c r="G11" s="333">
        <v>90</v>
      </c>
      <c r="H11" s="333">
        <v>92</v>
      </c>
      <c r="I11" s="333">
        <v>96</v>
      </c>
      <c r="J11" s="333">
        <v>89</v>
      </c>
      <c r="K11" s="333">
        <v>90</v>
      </c>
      <c r="L11" s="333">
        <v>94</v>
      </c>
      <c r="M11" s="333">
        <v>90</v>
      </c>
      <c r="N11" s="333">
        <v>89</v>
      </c>
      <c r="O11" s="333">
        <v>90</v>
      </c>
      <c r="P11" s="333">
        <v>95</v>
      </c>
      <c r="Q11" s="333">
        <v>90</v>
      </c>
      <c r="R11" s="333">
        <v>95</v>
      </c>
      <c r="S11" s="333">
        <v>85</v>
      </c>
      <c r="T11" s="333">
        <v>92</v>
      </c>
      <c r="U11" s="333">
        <v>94</v>
      </c>
      <c r="V11" s="333">
        <v>89</v>
      </c>
      <c r="W11" s="333">
        <v>85</v>
      </c>
      <c r="X11" s="333">
        <v>85</v>
      </c>
      <c r="Y11" s="333">
        <v>91</v>
      </c>
      <c r="Z11" s="333">
        <v>94</v>
      </c>
      <c r="AA11" s="333">
        <v>94</v>
      </c>
      <c r="AB11" s="333">
        <v>90</v>
      </c>
      <c r="AC11" s="333"/>
      <c r="AD11" s="333"/>
      <c r="AE11" s="333"/>
      <c r="AF11" s="333"/>
      <c r="AG11" s="333"/>
      <c r="AH11" s="333"/>
    </row>
    <row r="12" spans="1:34" s="78" customFormat="1" ht="60" customHeight="1">
      <c r="A12" s="30"/>
      <c r="B12" s="75">
        <v>7</v>
      </c>
      <c r="C12" s="566" t="s">
        <v>1567</v>
      </c>
      <c r="D12" s="563"/>
      <c r="E12" s="333">
        <v>95</v>
      </c>
      <c r="F12" s="333">
        <v>85</v>
      </c>
      <c r="G12" s="333">
        <v>90</v>
      </c>
      <c r="H12" s="333">
        <v>92</v>
      </c>
      <c r="I12" s="333">
        <v>96</v>
      </c>
      <c r="J12" s="333">
        <v>89</v>
      </c>
      <c r="K12" s="333">
        <v>90</v>
      </c>
      <c r="L12" s="333">
        <v>94</v>
      </c>
      <c r="M12" s="333">
        <v>90</v>
      </c>
      <c r="N12" s="333">
        <v>89</v>
      </c>
      <c r="O12" s="333">
        <v>90</v>
      </c>
      <c r="P12" s="333">
        <v>95</v>
      </c>
      <c r="Q12" s="333">
        <v>90</v>
      </c>
      <c r="R12" s="333">
        <v>95</v>
      </c>
      <c r="S12" s="333">
        <v>85</v>
      </c>
      <c r="T12" s="333">
        <v>92</v>
      </c>
      <c r="U12" s="333">
        <v>94</v>
      </c>
      <c r="V12" s="333">
        <v>89</v>
      </c>
      <c r="W12" s="333">
        <v>85</v>
      </c>
      <c r="X12" s="333">
        <v>85</v>
      </c>
      <c r="Y12" s="333">
        <v>91</v>
      </c>
      <c r="Z12" s="333">
        <v>94</v>
      </c>
      <c r="AA12" s="333">
        <v>94</v>
      </c>
      <c r="AB12" s="333">
        <v>90</v>
      </c>
      <c r="AC12" s="333"/>
      <c r="AD12" s="333"/>
      <c r="AE12" s="333"/>
      <c r="AF12" s="333"/>
      <c r="AG12" s="333"/>
      <c r="AH12" s="333"/>
    </row>
    <row r="13" spans="1:34" s="78" customFormat="1" ht="60" customHeight="1">
      <c r="A13" s="30"/>
      <c r="B13" s="77">
        <v>8</v>
      </c>
      <c r="C13" s="567" t="s">
        <v>1568</v>
      </c>
      <c r="D13" s="563"/>
      <c r="E13" s="333">
        <v>95</v>
      </c>
      <c r="F13" s="333">
        <v>85</v>
      </c>
      <c r="G13" s="333">
        <v>90</v>
      </c>
      <c r="H13" s="333">
        <v>92</v>
      </c>
      <c r="I13" s="333">
        <v>96</v>
      </c>
      <c r="J13" s="333">
        <v>89</v>
      </c>
      <c r="K13" s="333">
        <v>90</v>
      </c>
      <c r="L13" s="333">
        <v>94</v>
      </c>
      <c r="M13" s="333">
        <v>90</v>
      </c>
      <c r="N13" s="333">
        <v>89</v>
      </c>
      <c r="O13" s="333">
        <v>90</v>
      </c>
      <c r="P13" s="333">
        <v>95</v>
      </c>
      <c r="Q13" s="333">
        <v>90</v>
      </c>
      <c r="R13" s="333">
        <v>95</v>
      </c>
      <c r="S13" s="333">
        <v>85</v>
      </c>
      <c r="T13" s="333">
        <v>92</v>
      </c>
      <c r="U13" s="333">
        <v>94</v>
      </c>
      <c r="V13" s="333">
        <v>89</v>
      </c>
      <c r="W13" s="333">
        <v>85</v>
      </c>
      <c r="X13" s="333">
        <v>85</v>
      </c>
      <c r="Y13" s="333">
        <v>91</v>
      </c>
      <c r="Z13" s="333">
        <v>94</v>
      </c>
      <c r="AA13" s="333">
        <v>94</v>
      </c>
      <c r="AB13" s="333">
        <v>90</v>
      </c>
      <c r="AC13" s="333"/>
      <c r="AD13" s="333"/>
      <c r="AE13" s="333"/>
      <c r="AF13" s="333"/>
      <c r="AG13" s="333"/>
      <c r="AH13" s="333"/>
    </row>
    <row r="14" spans="1:34" s="78" customFormat="1" ht="60" customHeight="1">
      <c r="A14" s="30"/>
      <c r="B14" s="75">
        <v>9</v>
      </c>
      <c r="C14" s="567" t="s">
        <v>1569</v>
      </c>
      <c r="D14" s="563"/>
      <c r="E14" s="333">
        <v>95</v>
      </c>
      <c r="F14" s="333">
        <v>85</v>
      </c>
      <c r="G14" s="333">
        <v>90</v>
      </c>
      <c r="H14" s="333">
        <v>92</v>
      </c>
      <c r="I14" s="333">
        <v>96</v>
      </c>
      <c r="J14" s="333">
        <v>89</v>
      </c>
      <c r="K14" s="333">
        <v>90</v>
      </c>
      <c r="L14" s="333">
        <v>94</v>
      </c>
      <c r="M14" s="333">
        <v>90</v>
      </c>
      <c r="N14" s="333">
        <v>89</v>
      </c>
      <c r="O14" s="333">
        <v>90</v>
      </c>
      <c r="P14" s="333">
        <v>95</v>
      </c>
      <c r="Q14" s="333">
        <v>90</v>
      </c>
      <c r="R14" s="333">
        <v>95</v>
      </c>
      <c r="S14" s="333">
        <v>85</v>
      </c>
      <c r="T14" s="333">
        <v>92</v>
      </c>
      <c r="U14" s="333">
        <v>94</v>
      </c>
      <c r="V14" s="333">
        <v>89</v>
      </c>
      <c r="W14" s="333">
        <v>85</v>
      </c>
      <c r="X14" s="333">
        <v>85</v>
      </c>
      <c r="Y14" s="333">
        <v>91</v>
      </c>
      <c r="Z14" s="333">
        <v>94</v>
      </c>
      <c r="AA14" s="333">
        <v>94</v>
      </c>
      <c r="AB14" s="333">
        <v>90</v>
      </c>
      <c r="AC14" s="333"/>
      <c r="AD14" s="333"/>
      <c r="AE14" s="333"/>
      <c r="AF14" s="333"/>
      <c r="AG14" s="333"/>
      <c r="AH14" s="333"/>
    </row>
    <row r="15" spans="1:34" s="78" customFormat="1" ht="60" customHeight="1">
      <c r="A15" s="30"/>
      <c r="B15" s="77">
        <v>10</v>
      </c>
      <c r="C15" s="568" t="s">
        <v>1570</v>
      </c>
      <c r="D15" s="549"/>
      <c r="E15" s="333">
        <v>95</v>
      </c>
      <c r="F15" s="333">
        <v>85</v>
      </c>
      <c r="G15" s="333">
        <v>90</v>
      </c>
      <c r="H15" s="333">
        <v>92</v>
      </c>
      <c r="I15" s="333">
        <v>96</v>
      </c>
      <c r="J15" s="333">
        <v>89</v>
      </c>
      <c r="K15" s="333">
        <v>90</v>
      </c>
      <c r="L15" s="333">
        <v>94</v>
      </c>
      <c r="M15" s="333">
        <v>90</v>
      </c>
      <c r="N15" s="333">
        <v>89</v>
      </c>
      <c r="O15" s="333">
        <v>90</v>
      </c>
      <c r="P15" s="333">
        <v>95</v>
      </c>
      <c r="Q15" s="333">
        <v>90</v>
      </c>
      <c r="R15" s="333">
        <v>95</v>
      </c>
      <c r="S15" s="333">
        <v>85</v>
      </c>
      <c r="T15" s="333">
        <v>92</v>
      </c>
      <c r="U15" s="333">
        <v>94</v>
      </c>
      <c r="V15" s="333">
        <v>89</v>
      </c>
      <c r="W15" s="333">
        <v>85</v>
      </c>
      <c r="X15" s="333">
        <v>85</v>
      </c>
      <c r="Y15" s="333">
        <v>91</v>
      </c>
      <c r="Z15" s="333">
        <v>94</v>
      </c>
      <c r="AA15" s="333">
        <v>94</v>
      </c>
      <c r="AB15" s="333">
        <v>90</v>
      </c>
      <c r="AC15" s="333"/>
      <c r="AD15" s="333"/>
      <c r="AE15" s="333"/>
      <c r="AF15" s="333"/>
      <c r="AG15" s="333"/>
      <c r="AH15" s="333"/>
    </row>
    <row r="16" spans="1:34" s="78" customFormat="1" ht="60" customHeight="1">
      <c r="A16" s="30"/>
      <c r="B16" s="75">
        <v>11</v>
      </c>
      <c r="C16" s="569"/>
      <c r="D16" s="549"/>
      <c r="E16" s="333"/>
      <c r="F16" s="333"/>
      <c r="G16" s="333"/>
      <c r="H16" s="333"/>
      <c r="I16" s="333"/>
      <c r="J16" s="333"/>
      <c r="K16" s="333"/>
      <c r="L16" s="333"/>
      <c r="M16" s="333"/>
      <c r="N16" s="333"/>
      <c r="O16" s="333"/>
      <c r="P16" s="333"/>
      <c r="Q16" s="333"/>
      <c r="R16" s="333"/>
      <c r="S16" s="333"/>
      <c r="T16" s="333"/>
      <c r="U16" s="333"/>
      <c r="V16" s="333"/>
      <c r="W16" s="333"/>
      <c r="X16" s="333"/>
      <c r="Y16" s="333"/>
      <c r="Z16" s="333"/>
      <c r="AA16" s="333"/>
      <c r="AB16" s="333"/>
      <c r="AC16" s="333"/>
      <c r="AD16" s="333"/>
      <c r="AE16" s="333"/>
      <c r="AF16" s="333"/>
      <c r="AG16" s="333"/>
      <c r="AH16" s="333"/>
    </row>
    <row r="17" spans="1:16384" s="78" customFormat="1" ht="60" customHeight="1">
      <c r="A17" s="30"/>
      <c r="B17" s="77">
        <v>12</v>
      </c>
      <c r="C17" s="430"/>
      <c r="D17" s="80"/>
      <c r="E17" s="333"/>
      <c r="F17" s="333"/>
      <c r="G17" s="333"/>
      <c r="H17" s="333"/>
      <c r="I17" s="333"/>
      <c r="J17" s="333"/>
      <c r="K17" s="333"/>
      <c r="L17" s="333"/>
      <c r="M17" s="333"/>
      <c r="N17" s="333"/>
      <c r="O17" s="333"/>
      <c r="P17" s="333"/>
      <c r="Q17" s="333"/>
      <c r="R17" s="333"/>
      <c r="S17" s="333"/>
      <c r="T17" s="333"/>
      <c r="U17" s="333"/>
      <c r="V17" s="333"/>
      <c r="W17" s="333"/>
      <c r="X17" s="333"/>
      <c r="Y17" s="333"/>
      <c r="Z17" s="333"/>
      <c r="AA17" s="333"/>
      <c r="AB17" s="333"/>
      <c r="AC17" s="333"/>
      <c r="AD17" s="333"/>
      <c r="AE17" s="333"/>
      <c r="AF17" s="333"/>
      <c r="AG17" s="333"/>
      <c r="AH17" s="333"/>
    </row>
    <row r="18" spans="1:16384" s="78" customFormat="1" ht="60" customHeight="1">
      <c r="A18" s="30"/>
      <c r="B18" s="75">
        <v>13</v>
      </c>
      <c r="C18" s="430"/>
      <c r="D18" s="79"/>
      <c r="E18" s="333"/>
      <c r="F18" s="333"/>
      <c r="G18" s="333"/>
      <c r="H18" s="333"/>
      <c r="I18" s="333"/>
      <c r="J18" s="333"/>
      <c r="K18" s="333"/>
      <c r="L18" s="333"/>
      <c r="M18" s="333"/>
      <c r="N18" s="333"/>
      <c r="O18" s="333"/>
      <c r="P18" s="333"/>
      <c r="Q18" s="333"/>
      <c r="R18" s="333"/>
      <c r="S18" s="333"/>
      <c r="T18" s="333"/>
      <c r="U18" s="333"/>
      <c r="V18" s="333"/>
      <c r="W18" s="333"/>
      <c r="X18" s="333"/>
      <c r="Y18" s="333"/>
      <c r="Z18" s="333"/>
      <c r="AA18" s="333"/>
      <c r="AB18" s="333"/>
      <c r="AC18" s="333"/>
      <c r="AD18" s="333"/>
      <c r="AE18" s="333"/>
      <c r="AF18" s="333"/>
      <c r="AG18" s="333"/>
      <c r="AH18" s="333"/>
    </row>
    <row r="19" spans="1:16384" s="78" customFormat="1" ht="60" customHeight="1">
      <c r="A19" s="30"/>
      <c r="B19" s="77">
        <v>14</v>
      </c>
      <c r="C19" s="430"/>
      <c r="D19" s="79"/>
      <c r="E19" s="333"/>
      <c r="F19" s="333"/>
      <c r="G19" s="333"/>
      <c r="H19" s="333"/>
      <c r="I19" s="333"/>
      <c r="J19" s="333"/>
      <c r="K19" s="333"/>
      <c r="L19" s="333"/>
      <c r="M19" s="333"/>
      <c r="N19" s="333"/>
      <c r="O19" s="333"/>
      <c r="P19" s="333"/>
      <c r="Q19" s="333"/>
      <c r="R19" s="333"/>
      <c r="S19" s="333"/>
      <c r="T19" s="333"/>
      <c r="U19" s="333"/>
      <c r="V19" s="333"/>
      <c r="W19" s="333"/>
      <c r="X19" s="333"/>
      <c r="Y19" s="333"/>
      <c r="Z19" s="333"/>
      <c r="AA19" s="333"/>
      <c r="AB19" s="333"/>
      <c r="AC19" s="333"/>
      <c r="AD19" s="333"/>
      <c r="AE19" s="333"/>
      <c r="AF19" s="333"/>
      <c r="AG19" s="333"/>
      <c r="AH19" s="333"/>
    </row>
    <row r="20" spans="1:16384" s="78" customFormat="1" ht="60" customHeight="1">
      <c r="A20" s="30"/>
      <c r="B20" s="75">
        <v>15</v>
      </c>
      <c r="C20" s="431"/>
      <c r="D20" s="79"/>
      <c r="E20" s="333"/>
      <c r="F20" s="333"/>
      <c r="G20" s="333"/>
      <c r="H20" s="333"/>
      <c r="I20" s="333"/>
      <c r="J20" s="333"/>
      <c r="K20" s="333"/>
      <c r="L20" s="333"/>
      <c r="M20" s="333"/>
      <c r="N20" s="333"/>
      <c r="O20" s="333"/>
      <c r="P20" s="333"/>
      <c r="Q20" s="333"/>
      <c r="R20" s="333"/>
      <c r="S20" s="333"/>
      <c r="T20" s="333"/>
      <c r="U20" s="333"/>
      <c r="V20" s="333"/>
      <c r="W20" s="333"/>
      <c r="X20" s="333"/>
      <c r="Y20" s="333"/>
      <c r="Z20" s="333"/>
      <c r="AA20" s="333"/>
      <c r="AB20" s="333"/>
      <c r="AC20" s="333"/>
      <c r="AD20" s="333"/>
      <c r="AE20" s="333"/>
      <c r="AF20" s="333"/>
      <c r="AG20" s="333"/>
      <c r="AH20" s="333"/>
    </row>
    <row r="21" spans="1:16384" s="78" customFormat="1" ht="60" customHeight="1">
      <c r="A21" s="30"/>
      <c r="B21" s="77">
        <v>16</v>
      </c>
      <c r="C21" s="432"/>
      <c r="D21" s="79"/>
      <c r="E21" s="333"/>
      <c r="F21" s="333"/>
      <c r="G21" s="333"/>
      <c r="H21" s="333"/>
      <c r="I21" s="333"/>
      <c r="J21" s="333"/>
      <c r="K21" s="333"/>
      <c r="L21" s="333"/>
      <c r="M21" s="333"/>
      <c r="N21" s="333"/>
      <c r="O21" s="333"/>
      <c r="P21" s="333"/>
      <c r="Q21" s="333"/>
      <c r="R21" s="333"/>
      <c r="S21" s="333"/>
      <c r="T21" s="333"/>
      <c r="U21" s="333"/>
      <c r="V21" s="333"/>
      <c r="W21" s="333"/>
      <c r="X21" s="333"/>
      <c r="Y21" s="333"/>
      <c r="Z21" s="333"/>
      <c r="AA21" s="333"/>
      <c r="AB21" s="333"/>
      <c r="AC21" s="333"/>
      <c r="AD21" s="333"/>
      <c r="AE21" s="333"/>
      <c r="AF21" s="333"/>
      <c r="AG21" s="333"/>
      <c r="AH21" s="333"/>
    </row>
    <row r="22" spans="1:16384" ht="27" customHeight="1">
      <c r="A22" s="30"/>
      <c r="B22" s="797" t="s">
        <v>143</v>
      </c>
      <c r="C22" s="798"/>
      <c r="D22" s="799"/>
      <c r="E22" s="73">
        <f>IFERROR(AVERAGE(E6:E21),"")</f>
        <v>95</v>
      </c>
      <c r="F22" s="73">
        <f t="shared" ref="F22:BQ22" si="0">IFERROR(AVERAGE(F6:F21),"")</f>
        <v>85</v>
      </c>
      <c r="G22" s="73">
        <f t="shared" si="0"/>
        <v>90</v>
      </c>
      <c r="H22" s="73">
        <f t="shared" si="0"/>
        <v>92</v>
      </c>
      <c r="I22" s="73">
        <f t="shared" si="0"/>
        <v>96</v>
      </c>
      <c r="J22" s="73">
        <f t="shared" si="0"/>
        <v>89</v>
      </c>
      <c r="K22" s="73">
        <f t="shared" si="0"/>
        <v>90</v>
      </c>
      <c r="L22" s="73">
        <f t="shared" si="0"/>
        <v>94</v>
      </c>
      <c r="M22" s="73">
        <f t="shared" si="0"/>
        <v>90</v>
      </c>
      <c r="N22" s="73">
        <f t="shared" si="0"/>
        <v>89</v>
      </c>
      <c r="O22" s="73">
        <f t="shared" si="0"/>
        <v>90</v>
      </c>
      <c r="P22" s="73">
        <f t="shared" si="0"/>
        <v>95</v>
      </c>
      <c r="Q22" s="73">
        <f t="shared" si="0"/>
        <v>90</v>
      </c>
      <c r="R22" s="73">
        <f t="shared" si="0"/>
        <v>95</v>
      </c>
      <c r="S22" s="73">
        <f t="shared" si="0"/>
        <v>85</v>
      </c>
      <c r="T22" s="73">
        <f t="shared" si="0"/>
        <v>92</v>
      </c>
      <c r="U22" s="73">
        <f t="shared" si="0"/>
        <v>94</v>
      </c>
      <c r="V22" s="73">
        <f t="shared" si="0"/>
        <v>89</v>
      </c>
      <c r="W22" s="73">
        <f t="shared" si="0"/>
        <v>85</v>
      </c>
      <c r="X22" s="73">
        <f t="shared" si="0"/>
        <v>85</v>
      </c>
      <c r="Y22" s="73">
        <f t="shared" si="0"/>
        <v>91</v>
      </c>
      <c r="Z22" s="73">
        <f t="shared" si="0"/>
        <v>94</v>
      </c>
      <c r="AA22" s="73">
        <f t="shared" si="0"/>
        <v>94</v>
      </c>
      <c r="AB22" s="73">
        <f t="shared" si="0"/>
        <v>90</v>
      </c>
      <c r="AC22" s="73" t="str">
        <f t="shared" si="0"/>
        <v/>
      </c>
      <c r="AD22" s="73" t="str">
        <f t="shared" si="0"/>
        <v/>
      </c>
      <c r="AE22" s="73" t="str">
        <f t="shared" si="0"/>
        <v/>
      </c>
      <c r="AF22" s="73" t="str">
        <f t="shared" si="0"/>
        <v/>
      </c>
      <c r="AG22" s="73" t="str">
        <f t="shared" si="0"/>
        <v/>
      </c>
      <c r="AH22" s="73" t="str">
        <f t="shared" si="0"/>
        <v/>
      </c>
      <c r="AI22" s="73" t="str">
        <f t="shared" si="0"/>
        <v/>
      </c>
      <c r="AJ22" s="73" t="str">
        <f t="shared" si="0"/>
        <v/>
      </c>
      <c r="AK22" s="73" t="str">
        <f t="shared" si="0"/>
        <v/>
      </c>
      <c r="AL22" s="73" t="str">
        <f t="shared" si="0"/>
        <v/>
      </c>
      <c r="AM22" s="73" t="str">
        <f t="shared" si="0"/>
        <v/>
      </c>
      <c r="AN22" s="73" t="str">
        <f t="shared" si="0"/>
        <v/>
      </c>
      <c r="AO22" s="73" t="str">
        <f t="shared" si="0"/>
        <v/>
      </c>
      <c r="AP22" s="73" t="str">
        <f t="shared" si="0"/>
        <v/>
      </c>
      <c r="AQ22" s="73" t="str">
        <f t="shared" si="0"/>
        <v/>
      </c>
      <c r="AR22" s="73" t="str">
        <f t="shared" si="0"/>
        <v/>
      </c>
      <c r="AS22" s="73" t="str">
        <f t="shared" si="0"/>
        <v/>
      </c>
      <c r="AT22" s="73" t="str">
        <f t="shared" si="0"/>
        <v/>
      </c>
      <c r="AU22" s="73" t="str">
        <f t="shared" si="0"/>
        <v/>
      </c>
      <c r="AV22" s="73" t="str">
        <f t="shared" si="0"/>
        <v/>
      </c>
      <c r="AW22" s="73" t="str">
        <f t="shared" si="0"/>
        <v/>
      </c>
      <c r="AX22" s="73" t="str">
        <f t="shared" si="0"/>
        <v/>
      </c>
      <c r="AY22" s="73" t="str">
        <f t="shared" si="0"/>
        <v/>
      </c>
      <c r="AZ22" s="73" t="str">
        <f t="shared" si="0"/>
        <v/>
      </c>
      <c r="BA22" s="73" t="str">
        <f t="shared" si="0"/>
        <v/>
      </c>
      <c r="BB22" s="73" t="str">
        <f t="shared" si="0"/>
        <v/>
      </c>
      <c r="BC22" s="73" t="str">
        <f t="shared" si="0"/>
        <v/>
      </c>
      <c r="BD22" s="73" t="str">
        <f t="shared" si="0"/>
        <v/>
      </c>
      <c r="BE22" s="73" t="str">
        <f t="shared" si="0"/>
        <v/>
      </c>
      <c r="BF22" s="73" t="str">
        <f t="shared" si="0"/>
        <v/>
      </c>
      <c r="BG22" s="73" t="str">
        <f t="shared" si="0"/>
        <v/>
      </c>
      <c r="BH22" s="73" t="str">
        <f t="shared" si="0"/>
        <v/>
      </c>
      <c r="BI22" s="73" t="str">
        <f t="shared" si="0"/>
        <v/>
      </c>
      <c r="BJ22" s="73" t="str">
        <f t="shared" si="0"/>
        <v/>
      </c>
      <c r="BK22" s="73" t="str">
        <f t="shared" si="0"/>
        <v/>
      </c>
      <c r="BL22" s="73" t="str">
        <f t="shared" si="0"/>
        <v/>
      </c>
      <c r="BM22" s="73" t="str">
        <f t="shared" si="0"/>
        <v/>
      </c>
      <c r="BN22" s="73" t="str">
        <f t="shared" si="0"/>
        <v/>
      </c>
      <c r="BO22" s="73" t="str">
        <f t="shared" si="0"/>
        <v/>
      </c>
      <c r="BP22" s="73" t="str">
        <f t="shared" si="0"/>
        <v/>
      </c>
      <c r="BQ22" s="73" t="str">
        <f t="shared" si="0"/>
        <v/>
      </c>
      <c r="BR22" s="73" t="str">
        <f t="shared" ref="BR22:EC22" si="1">IFERROR(AVERAGE(BR6:BR21),"")</f>
        <v/>
      </c>
      <c r="BS22" s="73" t="str">
        <f t="shared" si="1"/>
        <v/>
      </c>
      <c r="BT22" s="73" t="str">
        <f t="shared" si="1"/>
        <v/>
      </c>
      <c r="BU22" s="73" t="str">
        <f t="shared" si="1"/>
        <v/>
      </c>
      <c r="BV22" s="73" t="str">
        <f t="shared" si="1"/>
        <v/>
      </c>
      <c r="BW22" s="73" t="str">
        <f t="shared" si="1"/>
        <v/>
      </c>
      <c r="BX22" s="73" t="str">
        <f t="shared" si="1"/>
        <v/>
      </c>
      <c r="BY22" s="73" t="str">
        <f t="shared" si="1"/>
        <v/>
      </c>
      <c r="BZ22" s="73" t="str">
        <f t="shared" si="1"/>
        <v/>
      </c>
      <c r="CA22" s="73" t="str">
        <f t="shared" si="1"/>
        <v/>
      </c>
      <c r="CB22" s="73" t="str">
        <f t="shared" si="1"/>
        <v/>
      </c>
      <c r="CC22" s="73" t="str">
        <f t="shared" si="1"/>
        <v/>
      </c>
      <c r="CD22" s="73" t="str">
        <f t="shared" si="1"/>
        <v/>
      </c>
      <c r="CE22" s="73" t="str">
        <f t="shared" si="1"/>
        <v/>
      </c>
      <c r="CF22" s="73" t="str">
        <f t="shared" si="1"/>
        <v/>
      </c>
      <c r="CG22" s="73" t="str">
        <f t="shared" si="1"/>
        <v/>
      </c>
      <c r="CH22" s="73" t="str">
        <f t="shared" si="1"/>
        <v/>
      </c>
      <c r="CI22" s="73" t="str">
        <f t="shared" si="1"/>
        <v/>
      </c>
      <c r="CJ22" s="73" t="str">
        <f t="shared" si="1"/>
        <v/>
      </c>
      <c r="CK22" s="73" t="str">
        <f t="shared" si="1"/>
        <v/>
      </c>
      <c r="CL22" s="73" t="str">
        <f t="shared" si="1"/>
        <v/>
      </c>
      <c r="CM22" s="73" t="str">
        <f t="shared" si="1"/>
        <v/>
      </c>
      <c r="CN22" s="73" t="str">
        <f t="shared" si="1"/>
        <v/>
      </c>
      <c r="CO22" s="73" t="str">
        <f t="shared" si="1"/>
        <v/>
      </c>
      <c r="CP22" s="73" t="str">
        <f t="shared" si="1"/>
        <v/>
      </c>
      <c r="CQ22" s="73" t="str">
        <f t="shared" si="1"/>
        <v/>
      </c>
      <c r="CR22" s="73" t="str">
        <f t="shared" si="1"/>
        <v/>
      </c>
      <c r="CS22" s="73" t="str">
        <f t="shared" si="1"/>
        <v/>
      </c>
      <c r="CT22" s="73" t="str">
        <f t="shared" si="1"/>
        <v/>
      </c>
      <c r="CU22" s="73" t="str">
        <f t="shared" si="1"/>
        <v/>
      </c>
      <c r="CV22" s="73" t="str">
        <f t="shared" si="1"/>
        <v/>
      </c>
      <c r="CW22" s="73" t="str">
        <f t="shared" si="1"/>
        <v/>
      </c>
      <c r="CX22" s="73" t="str">
        <f t="shared" si="1"/>
        <v/>
      </c>
      <c r="CY22" s="73" t="str">
        <f t="shared" si="1"/>
        <v/>
      </c>
      <c r="CZ22" s="73" t="str">
        <f t="shared" si="1"/>
        <v/>
      </c>
      <c r="DA22" s="73" t="str">
        <f t="shared" si="1"/>
        <v/>
      </c>
      <c r="DB22" s="73" t="str">
        <f t="shared" si="1"/>
        <v/>
      </c>
      <c r="DC22" s="73" t="str">
        <f t="shared" si="1"/>
        <v/>
      </c>
      <c r="DD22" s="73" t="str">
        <f t="shared" si="1"/>
        <v/>
      </c>
      <c r="DE22" s="73" t="str">
        <f t="shared" si="1"/>
        <v/>
      </c>
      <c r="DF22" s="73" t="str">
        <f t="shared" si="1"/>
        <v/>
      </c>
      <c r="DG22" s="73" t="str">
        <f t="shared" si="1"/>
        <v/>
      </c>
      <c r="DH22" s="73" t="str">
        <f t="shared" si="1"/>
        <v/>
      </c>
      <c r="DI22" s="73" t="str">
        <f t="shared" si="1"/>
        <v/>
      </c>
      <c r="DJ22" s="73" t="str">
        <f t="shared" si="1"/>
        <v/>
      </c>
      <c r="DK22" s="73" t="str">
        <f t="shared" si="1"/>
        <v/>
      </c>
      <c r="DL22" s="73" t="str">
        <f t="shared" si="1"/>
        <v/>
      </c>
      <c r="DM22" s="73" t="str">
        <f t="shared" si="1"/>
        <v/>
      </c>
      <c r="DN22" s="73" t="str">
        <f t="shared" si="1"/>
        <v/>
      </c>
      <c r="DO22" s="73" t="str">
        <f t="shared" si="1"/>
        <v/>
      </c>
      <c r="DP22" s="73" t="str">
        <f t="shared" si="1"/>
        <v/>
      </c>
      <c r="DQ22" s="73" t="str">
        <f t="shared" si="1"/>
        <v/>
      </c>
      <c r="DR22" s="73" t="str">
        <f t="shared" si="1"/>
        <v/>
      </c>
      <c r="DS22" s="73" t="str">
        <f t="shared" si="1"/>
        <v/>
      </c>
      <c r="DT22" s="73" t="str">
        <f t="shared" si="1"/>
        <v/>
      </c>
      <c r="DU22" s="73" t="str">
        <f t="shared" si="1"/>
        <v/>
      </c>
      <c r="DV22" s="73" t="str">
        <f t="shared" si="1"/>
        <v/>
      </c>
      <c r="DW22" s="73" t="str">
        <f t="shared" si="1"/>
        <v/>
      </c>
      <c r="DX22" s="73" t="str">
        <f t="shared" si="1"/>
        <v/>
      </c>
      <c r="DY22" s="73" t="str">
        <f t="shared" si="1"/>
        <v/>
      </c>
      <c r="DZ22" s="73" t="str">
        <f t="shared" si="1"/>
        <v/>
      </c>
      <c r="EA22" s="73" t="str">
        <f t="shared" si="1"/>
        <v/>
      </c>
      <c r="EB22" s="73" t="str">
        <f t="shared" si="1"/>
        <v/>
      </c>
      <c r="EC22" s="73" t="str">
        <f t="shared" si="1"/>
        <v/>
      </c>
      <c r="ED22" s="73" t="str">
        <f t="shared" ref="ED22:GO22" si="2">IFERROR(AVERAGE(ED6:ED21),"")</f>
        <v/>
      </c>
      <c r="EE22" s="73" t="str">
        <f t="shared" si="2"/>
        <v/>
      </c>
      <c r="EF22" s="73" t="str">
        <f t="shared" si="2"/>
        <v/>
      </c>
      <c r="EG22" s="73" t="str">
        <f t="shared" si="2"/>
        <v/>
      </c>
      <c r="EH22" s="73" t="str">
        <f t="shared" si="2"/>
        <v/>
      </c>
      <c r="EI22" s="73" t="str">
        <f t="shared" si="2"/>
        <v/>
      </c>
      <c r="EJ22" s="73" t="str">
        <f t="shared" si="2"/>
        <v/>
      </c>
      <c r="EK22" s="73" t="str">
        <f t="shared" si="2"/>
        <v/>
      </c>
      <c r="EL22" s="73" t="str">
        <f t="shared" si="2"/>
        <v/>
      </c>
      <c r="EM22" s="73" t="str">
        <f t="shared" si="2"/>
        <v/>
      </c>
      <c r="EN22" s="73" t="str">
        <f t="shared" si="2"/>
        <v/>
      </c>
      <c r="EO22" s="73" t="str">
        <f t="shared" si="2"/>
        <v/>
      </c>
      <c r="EP22" s="73" t="str">
        <f t="shared" si="2"/>
        <v/>
      </c>
      <c r="EQ22" s="73" t="str">
        <f t="shared" si="2"/>
        <v/>
      </c>
      <c r="ER22" s="73" t="str">
        <f t="shared" si="2"/>
        <v/>
      </c>
      <c r="ES22" s="73" t="str">
        <f t="shared" si="2"/>
        <v/>
      </c>
      <c r="ET22" s="73" t="str">
        <f t="shared" si="2"/>
        <v/>
      </c>
      <c r="EU22" s="73" t="str">
        <f t="shared" si="2"/>
        <v/>
      </c>
      <c r="EV22" s="73" t="str">
        <f t="shared" si="2"/>
        <v/>
      </c>
      <c r="EW22" s="73" t="str">
        <f t="shared" si="2"/>
        <v/>
      </c>
      <c r="EX22" s="73" t="str">
        <f t="shared" si="2"/>
        <v/>
      </c>
      <c r="EY22" s="73" t="str">
        <f t="shared" si="2"/>
        <v/>
      </c>
      <c r="EZ22" s="73" t="str">
        <f t="shared" si="2"/>
        <v/>
      </c>
      <c r="FA22" s="73" t="str">
        <f t="shared" si="2"/>
        <v/>
      </c>
      <c r="FB22" s="73" t="str">
        <f t="shared" si="2"/>
        <v/>
      </c>
      <c r="FC22" s="73" t="str">
        <f t="shared" si="2"/>
        <v/>
      </c>
      <c r="FD22" s="73" t="str">
        <f t="shared" si="2"/>
        <v/>
      </c>
      <c r="FE22" s="73" t="str">
        <f t="shared" si="2"/>
        <v/>
      </c>
      <c r="FF22" s="73" t="str">
        <f t="shared" si="2"/>
        <v/>
      </c>
      <c r="FG22" s="73" t="str">
        <f t="shared" si="2"/>
        <v/>
      </c>
      <c r="FH22" s="73" t="str">
        <f t="shared" si="2"/>
        <v/>
      </c>
      <c r="FI22" s="73" t="str">
        <f t="shared" si="2"/>
        <v/>
      </c>
      <c r="FJ22" s="73" t="str">
        <f t="shared" si="2"/>
        <v/>
      </c>
      <c r="FK22" s="73" t="str">
        <f t="shared" si="2"/>
        <v/>
      </c>
      <c r="FL22" s="73" t="str">
        <f t="shared" si="2"/>
        <v/>
      </c>
      <c r="FM22" s="73" t="str">
        <f t="shared" si="2"/>
        <v/>
      </c>
      <c r="FN22" s="73" t="str">
        <f t="shared" si="2"/>
        <v/>
      </c>
      <c r="FO22" s="73" t="str">
        <f t="shared" si="2"/>
        <v/>
      </c>
      <c r="FP22" s="73" t="str">
        <f t="shared" si="2"/>
        <v/>
      </c>
      <c r="FQ22" s="73" t="str">
        <f t="shared" si="2"/>
        <v/>
      </c>
      <c r="FR22" s="73" t="str">
        <f t="shared" si="2"/>
        <v/>
      </c>
      <c r="FS22" s="73" t="str">
        <f t="shared" si="2"/>
        <v/>
      </c>
      <c r="FT22" s="73" t="str">
        <f t="shared" si="2"/>
        <v/>
      </c>
      <c r="FU22" s="73" t="str">
        <f t="shared" si="2"/>
        <v/>
      </c>
      <c r="FV22" s="73" t="str">
        <f t="shared" si="2"/>
        <v/>
      </c>
      <c r="FW22" s="73" t="str">
        <f t="shared" si="2"/>
        <v/>
      </c>
      <c r="FX22" s="73" t="str">
        <f t="shared" si="2"/>
        <v/>
      </c>
      <c r="FY22" s="73" t="str">
        <f t="shared" si="2"/>
        <v/>
      </c>
      <c r="FZ22" s="73" t="str">
        <f t="shared" si="2"/>
        <v/>
      </c>
      <c r="GA22" s="73" t="str">
        <f t="shared" si="2"/>
        <v/>
      </c>
      <c r="GB22" s="73" t="str">
        <f t="shared" si="2"/>
        <v/>
      </c>
      <c r="GC22" s="73" t="str">
        <f t="shared" si="2"/>
        <v/>
      </c>
      <c r="GD22" s="73" t="str">
        <f t="shared" si="2"/>
        <v/>
      </c>
      <c r="GE22" s="73" t="str">
        <f t="shared" si="2"/>
        <v/>
      </c>
      <c r="GF22" s="73" t="str">
        <f t="shared" si="2"/>
        <v/>
      </c>
      <c r="GG22" s="73" t="str">
        <f t="shared" si="2"/>
        <v/>
      </c>
      <c r="GH22" s="73" t="str">
        <f t="shared" si="2"/>
        <v/>
      </c>
      <c r="GI22" s="73" t="str">
        <f t="shared" si="2"/>
        <v/>
      </c>
      <c r="GJ22" s="73" t="str">
        <f t="shared" si="2"/>
        <v/>
      </c>
      <c r="GK22" s="73" t="str">
        <f t="shared" si="2"/>
        <v/>
      </c>
      <c r="GL22" s="73" t="str">
        <f t="shared" si="2"/>
        <v/>
      </c>
      <c r="GM22" s="73" t="str">
        <f t="shared" si="2"/>
        <v/>
      </c>
      <c r="GN22" s="73" t="str">
        <f t="shared" si="2"/>
        <v/>
      </c>
      <c r="GO22" s="73" t="str">
        <f t="shared" si="2"/>
        <v/>
      </c>
      <c r="GP22" s="73" t="str">
        <f t="shared" ref="GP22:JA22" si="3">IFERROR(AVERAGE(GP6:GP21),"")</f>
        <v/>
      </c>
      <c r="GQ22" s="73" t="str">
        <f t="shared" si="3"/>
        <v/>
      </c>
      <c r="GR22" s="73" t="str">
        <f t="shared" si="3"/>
        <v/>
      </c>
      <c r="GS22" s="73" t="str">
        <f t="shared" si="3"/>
        <v/>
      </c>
      <c r="GT22" s="73" t="str">
        <f t="shared" si="3"/>
        <v/>
      </c>
      <c r="GU22" s="73" t="str">
        <f t="shared" si="3"/>
        <v/>
      </c>
      <c r="GV22" s="73" t="str">
        <f t="shared" si="3"/>
        <v/>
      </c>
      <c r="GW22" s="73" t="str">
        <f t="shared" si="3"/>
        <v/>
      </c>
      <c r="GX22" s="73" t="str">
        <f t="shared" si="3"/>
        <v/>
      </c>
      <c r="GY22" s="73" t="str">
        <f t="shared" si="3"/>
        <v/>
      </c>
      <c r="GZ22" s="73" t="str">
        <f t="shared" si="3"/>
        <v/>
      </c>
      <c r="HA22" s="73" t="str">
        <f t="shared" si="3"/>
        <v/>
      </c>
      <c r="HB22" s="73" t="str">
        <f t="shared" si="3"/>
        <v/>
      </c>
      <c r="HC22" s="73" t="str">
        <f t="shared" si="3"/>
        <v/>
      </c>
      <c r="HD22" s="73" t="str">
        <f t="shared" si="3"/>
        <v/>
      </c>
      <c r="HE22" s="73" t="str">
        <f t="shared" si="3"/>
        <v/>
      </c>
      <c r="HF22" s="73" t="str">
        <f t="shared" si="3"/>
        <v/>
      </c>
      <c r="HG22" s="73" t="str">
        <f t="shared" si="3"/>
        <v/>
      </c>
      <c r="HH22" s="73" t="str">
        <f t="shared" si="3"/>
        <v/>
      </c>
      <c r="HI22" s="73" t="str">
        <f t="shared" si="3"/>
        <v/>
      </c>
      <c r="HJ22" s="73" t="str">
        <f t="shared" si="3"/>
        <v/>
      </c>
      <c r="HK22" s="73" t="str">
        <f t="shared" si="3"/>
        <v/>
      </c>
      <c r="HL22" s="73" t="str">
        <f t="shared" si="3"/>
        <v/>
      </c>
      <c r="HM22" s="73" t="str">
        <f t="shared" si="3"/>
        <v/>
      </c>
      <c r="HN22" s="73" t="str">
        <f t="shared" si="3"/>
        <v/>
      </c>
      <c r="HO22" s="73" t="str">
        <f t="shared" si="3"/>
        <v/>
      </c>
      <c r="HP22" s="73" t="str">
        <f t="shared" si="3"/>
        <v/>
      </c>
      <c r="HQ22" s="73" t="str">
        <f t="shared" si="3"/>
        <v/>
      </c>
      <c r="HR22" s="73" t="str">
        <f t="shared" si="3"/>
        <v/>
      </c>
      <c r="HS22" s="73" t="str">
        <f t="shared" si="3"/>
        <v/>
      </c>
      <c r="HT22" s="73" t="str">
        <f t="shared" si="3"/>
        <v/>
      </c>
      <c r="HU22" s="73" t="str">
        <f t="shared" si="3"/>
        <v/>
      </c>
      <c r="HV22" s="73" t="str">
        <f t="shared" si="3"/>
        <v/>
      </c>
      <c r="HW22" s="73" t="str">
        <f t="shared" si="3"/>
        <v/>
      </c>
      <c r="HX22" s="73" t="str">
        <f t="shared" si="3"/>
        <v/>
      </c>
      <c r="HY22" s="73" t="str">
        <f t="shared" si="3"/>
        <v/>
      </c>
      <c r="HZ22" s="73" t="str">
        <f t="shared" si="3"/>
        <v/>
      </c>
      <c r="IA22" s="73" t="str">
        <f t="shared" si="3"/>
        <v/>
      </c>
      <c r="IB22" s="73" t="str">
        <f t="shared" si="3"/>
        <v/>
      </c>
      <c r="IC22" s="73" t="str">
        <f t="shared" si="3"/>
        <v/>
      </c>
      <c r="ID22" s="73" t="str">
        <f t="shared" si="3"/>
        <v/>
      </c>
      <c r="IE22" s="73" t="str">
        <f t="shared" si="3"/>
        <v/>
      </c>
      <c r="IF22" s="73" t="str">
        <f t="shared" si="3"/>
        <v/>
      </c>
      <c r="IG22" s="73" t="str">
        <f t="shared" si="3"/>
        <v/>
      </c>
      <c r="IH22" s="73" t="str">
        <f t="shared" si="3"/>
        <v/>
      </c>
      <c r="II22" s="73" t="str">
        <f t="shared" si="3"/>
        <v/>
      </c>
      <c r="IJ22" s="73" t="str">
        <f t="shared" si="3"/>
        <v/>
      </c>
      <c r="IK22" s="73" t="str">
        <f t="shared" si="3"/>
        <v/>
      </c>
      <c r="IL22" s="73" t="str">
        <f t="shared" si="3"/>
        <v/>
      </c>
      <c r="IM22" s="73" t="str">
        <f t="shared" si="3"/>
        <v/>
      </c>
      <c r="IN22" s="73" t="str">
        <f t="shared" si="3"/>
        <v/>
      </c>
      <c r="IO22" s="73" t="str">
        <f t="shared" si="3"/>
        <v/>
      </c>
      <c r="IP22" s="73" t="str">
        <f t="shared" si="3"/>
        <v/>
      </c>
      <c r="IQ22" s="73" t="str">
        <f t="shared" si="3"/>
        <v/>
      </c>
      <c r="IR22" s="73" t="str">
        <f t="shared" si="3"/>
        <v/>
      </c>
      <c r="IS22" s="73" t="str">
        <f t="shared" si="3"/>
        <v/>
      </c>
      <c r="IT22" s="73" t="str">
        <f t="shared" si="3"/>
        <v/>
      </c>
      <c r="IU22" s="73" t="str">
        <f t="shared" si="3"/>
        <v/>
      </c>
      <c r="IV22" s="73" t="str">
        <f t="shared" si="3"/>
        <v/>
      </c>
      <c r="IW22" s="73" t="str">
        <f t="shared" si="3"/>
        <v/>
      </c>
      <c r="IX22" s="73" t="str">
        <f t="shared" si="3"/>
        <v/>
      </c>
      <c r="IY22" s="73" t="str">
        <f t="shared" si="3"/>
        <v/>
      </c>
      <c r="IZ22" s="73" t="str">
        <f t="shared" si="3"/>
        <v/>
      </c>
      <c r="JA22" s="73" t="str">
        <f t="shared" si="3"/>
        <v/>
      </c>
      <c r="JB22" s="73" t="str">
        <f t="shared" ref="JB22:LM22" si="4">IFERROR(AVERAGE(JB6:JB21),"")</f>
        <v/>
      </c>
      <c r="JC22" s="73" t="str">
        <f t="shared" si="4"/>
        <v/>
      </c>
      <c r="JD22" s="73" t="str">
        <f t="shared" si="4"/>
        <v/>
      </c>
      <c r="JE22" s="73" t="str">
        <f t="shared" si="4"/>
        <v/>
      </c>
      <c r="JF22" s="73" t="str">
        <f t="shared" si="4"/>
        <v/>
      </c>
      <c r="JG22" s="73" t="str">
        <f t="shared" si="4"/>
        <v/>
      </c>
      <c r="JH22" s="73" t="str">
        <f t="shared" si="4"/>
        <v/>
      </c>
      <c r="JI22" s="73" t="str">
        <f t="shared" si="4"/>
        <v/>
      </c>
      <c r="JJ22" s="73" t="str">
        <f t="shared" si="4"/>
        <v/>
      </c>
      <c r="JK22" s="73" t="str">
        <f t="shared" si="4"/>
        <v/>
      </c>
      <c r="JL22" s="73" t="str">
        <f t="shared" si="4"/>
        <v/>
      </c>
      <c r="JM22" s="73" t="str">
        <f t="shared" si="4"/>
        <v/>
      </c>
      <c r="JN22" s="73" t="str">
        <f t="shared" si="4"/>
        <v/>
      </c>
      <c r="JO22" s="73" t="str">
        <f t="shared" si="4"/>
        <v/>
      </c>
      <c r="JP22" s="73" t="str">
        <f t="shared" si="4"/>
        <v/>
      </c>
      <c r="JQ22" s="73" t="str">
        <f t="shared" si="4"/>
        <v/>
      </c>
      <c r="JR22" s="73" t="str">
        <f t="shared" si="4"/>
        <v/>
      </c>
      <c r="JS22" s="73" t="str">
        <f t="shared" si="4"/>
        <v/>
      </c>
      <c r="JT22" s="73" t="str">
        <f t="shared" si="4"/>
        <v/>
      </c>
      <c r="JU22" s="73" t="str">
        <f t="shared" si="4"/>
        <v/>
      </c>
      <c r="JV22" s="73" t="str">
        <f t="shared" si="4"/>
        <v/>
      </c>
      <c r="JW22" s="73" t="str">
        <f t="shared" si="4"/>
        <v/>
      </c>
      <c r="JX22" s="73" t="str">
        <f t="shared" si="4"/>
        <v/>
      </c>
      <c r="JY22" s="73" t="str">
        <f t="shared" si="4"/>
        <v/>
      </c>
      <c r="JZ22" s="73" t="str">
        <f t="shared" si="4"/>
        <v/>
      </c>
      <c r="KA22" s="73" t="str">
        <f t="shared" si="4"/>
        <v/>
      </c>
      <c r="KB22" s="73" t="str">
        <f t="shared" si="4"/>
        <v/>
      </c>
      <c r="KC22" s="73" t="str">
        <f t="shared" si="4"/>
        <v/>
      </c>
      <c r="KD22" s="73" t="str">
        <f t="shared" si="4"/>
        <v/>
      </c>
      <c r="KE22" s="73" t="str">
        <f t="shared" si="4"/>
        <v/>
      </c>
      <c r="KF22" s="73" t="str">
        <f t="shared" si="4"/>
        <v/>
      </c>
      <c r="KG22" s="73" t="str">
        <f t="shared" si="4"/>
        <v/>
      </c>
      <c r="KH22" s="73" t="str">
        <f t="shared" si="4"/>
        <v/>
      </c>
      <c r="KI22" s="73" t="str">
        <f t="shared" si="4"/>
        <v/>
      </c>
      <c r="KJ22" s="73" t="str">
        <f t="shared" si="4"/>
        <v/>
      </c>
      <c r="KK22" s="73" t="str">
        <f t="shared" si="4"/>
        <v/>
      </c>
      <c r="KL22" s="73" t="str">
        <f t="shared" si="4"/>
        <v/>
      </c>
      <c r="KM22" s="73" t="str">
        <f t="shared" si="4"/>
        <v/>
      </c>
      <c r="KN22" s="73" t="str">
        <f t="shared" si="4"/>
        <v/>
      </c>
      <c r="KO22" s="73" t="str">
        <f t="shared" si="4"/>
        <v/>
      </c>
      <c r="KP22" s="73" t="str">
        <f t="shared" si="4"/>
        <v/>
      </c>
      <c r="KQ22" s="73" t="str">
        <f t="shared" si="4"/>
        <v/>
      </c>
      <c r="KR22" s="73" t="str">
        <f t="shared" si="4"/>
        <v/>
      </c>
      <c r="KS22" s="73" t="str">
        <f t="shared" si="4"/>
        <v/>
      </c>
      <c r="KT22" s="73" t="str">
        <f t="shared" si="4"/>
        <v/>
      </c>
      <c r="KU22" s="73" t="str">
        <f t="shared" si="4"/>
        <v/>
      </c>
      <c r="KV22" s="73" t="str">
        <f t="shared" si="4"/>
        <v/>
      </c>
      <c r="KW22" s="73" t="str">
        <f t="shared" si="4"/>
        <v/>
      </c>
      <c r="KX22" s="73" t="str">
        <f t="shared" si="4"/>
        <v/>
      </c>
      <c r="KY22" s="73" t="str">
        <f t="shared" si="4"/>
        <v/>
      </c>
      <c r="KZ22" s="73" t="str">
        <f t="shared" si="4"/>
        <v/>
      </c>
      <c r="LA22" s="73" t="str">
        <f t="shared" si="4"/>
        <v/>
      </c>
      <c r="LB22" s="73" t="str">
        <f t="shared" si="4"/>
        <v/>
      </c>
      <c r="LC22" s="73" t="str">
        <f t="shared" si="4"/>
        <v/>
      </c>
      <c r="LD22" s="73" t="str">
        <f t="shared" si="4"/>
        <v/>
      </c>
      <c r="LE22" s="73" t="str">
        <f t="shared" si="4"/>
        <v/>
      </c>
      <c r="LF22" s="73" t="str">
        <f t="shared" si="4"/>
        <v/>
      </c>
      <c r="LG22" s="73" t="str">
        <f t="shared" si="4"/>
        <v/>
      </c>
      <c r="LH22" s="73" t="str">
        <f t="shared" si="4"/>
        <v/>
      </c>
      <c r="LI22" s="73" t="str">
        <f t="shared" si="4"/>
        <v/>
      </c>
      <c r="LJ22" s="73" t="str">
        <f t="shared" si="4"/>
        <v/>
      </c>
      <c r="LK22" s="73" t="str">
        <f t="shared" si="4"/>
        <v/>
      </c>
      <c r="LL22" s="73" t="str">
        <f t="shared" si="4"/>
        <v/>
      </c>
      <c r="LM22" s="73" t="str">
        <f t="shared" si="4"/>
        <v/>
      </c>
      <c r="LN22" s="73" t="str">
        <f t="shared" ref="LN22:NY22" si="5">IFERROR(AVERAGE(LN6:LN21),"")</f>
        <v/>
      </c>
      <c r="LO22" s="73" t="str">
        <f t="shared" si="5"/>
        <v/>
      </c>
      <c r="LP22" s="73" t="str">
        <f t="shared" si="5"/>
        <v/>
      </c>
      <c r="LQ22" s="73" t="str">
        <f t="shared" si="5"/>
        <v/>
      </c>
      <c r="LR22" s="73" t="str">
        <f t="shared" si="5"/>
        <v/>
      </c>
      <c r="LS22" s="73" t="str">
        <f t="shared" si="5"/>
        <v/>
      </c>
      <c r="LT22" s="73" t="str">
        <f t="shared" si="5"/>
        <v/>
      </c>
      <c r="LU22" s="73" t="str">
        <f t="shared" si="5"/>
        <v/>
      </c>
      <c r="LV22" s="73" t="str">
        <f t="shared" si="5"/>
        <v/>
      </c>
      <c r="LW22" s="73" t="str">
        <f t="shared" si="5"/>
        <v/>
      </c>
      <c r="LX22" s="73" t="str">
        <f t="shared" si="5"/>
        <v/>
      </c>
      <c r="LY22" s="73" t="str">
        <f t="shared" si="5"/>
        <v/>
      </c>
      <c r="LZ22" s="73" t="str">
        <f t="shared" si="5"/>
        <v/>
      </c>
      <c r="MA22" s="73" t="str">
        <f t="shared" si="5"/>
        <v/>
      </c>
      <c r="MB22" s="73" t="str">
        <f t="shared" si="5"/>
        <v/>
      </c>
      <c r="MC22" s="73" t="str">
        <f t="shared" si="5"/>
        <v/>
      </c>
      <c r="MD22" s="73" t="str">
        <f t="shared" si="5"/>
        <v/>
      </c>
      <c r="ME22" s="73" t="str">
        <f t="shared" si="5"/>
        <v/>
      </c>
      <c r="MF22" s="73" t="str">
        <f t="shared" si="5"/>
        <v/>
      </c>
      <c r="MG22" s="73" t="str">
        <f t="shared" si="5"/>
        <v/>
      </c>
      <c r="MH22" s="73" t="str">
        <f t="shared" si="5"/>
        <v/>
      </c>
      <c r="MI22" s="73" t="str">
        <f t="shared" si="5"/>
        <v/>
      </c>
      <c r="MJ22" s="73" t="str">
        <f t="shared" si="5"/>
        <v/>
      </c>
      <c r="MK22" s="73" t="str">
        <f t="shared" si="5"/>
        <v/>
      </c>
      <c r="ML22" s="73" t="str">
        <f t="shared" si="5"/>
        <v/>
      </c>
      <c r="MM22" s="73" t="str">
        <f t="shared" si="5"/>
        <v/>
      </c>
      <c r="MN22" s="73" t="str">
        <f t="shared" si="5"/>
        <v/>
      </c>
      <c r="MO22" s="73" t="str">
        <f t="shared" si="5"/>
        <v/>
      </c>
      <c r="MP22" s="73" t="str">
        <f t="shared" si="5"/>
        <v/>
      </c>
      <c r="MQ22" s="73" t="str">
        <f t="shared" si="5"/>
        <v/>
      </c>
      <c r="MR22" s="73" t="str">
        <f t="shared" si="5"/>
        <v/>
      </c>
      <c r="MS22" s="73" t="str">
        <f t="shared" si="5"/>
        <v/>
      </c>
      <c r="MT22" s="73" t="str">
        <f t="shared" si="5"/>
        <v/>
      </c>
      <c r="MU22" s="73" t="str">
        <f t="shared" si="5"/>
        <v/>
      </c>
      <c r="MV22" s="73" t="str">
        <f t="shared" si="5"/>
        <v/>
      </c>
      <c r="MW22" s="73" t="str">
        <f t="shared" si="5"/>
        <v/>
      </c>
      <c r="MX22" s="73" t="str">
        <f t="shared" si="5"/>
        <v/>
      </c>
      <c r="MY22" s="73" t="str">
        <f t="shared" si="5"/>
        <v/>
      </c>
      <c r="MZ22" s="73" t="str">
        <f t="shared" si="5"/>
        <v/>
      </c>
      <c r="NA22" s="73" t="str">
        <f t="shared" si="5"/>
        <v/>
      </c>
      <c r="NB22" s="73" t="str">
        <f t="shared" si="5"/>
        <v/>
      </c>
      <c r="NC22" s="73" t="str">
        <f t="shared" si="5"/>
        <v/>
      </c>
      <c r="ND22" s="73" t="str">
        <f t="shared" si="5"/>
        <v/>
      </c>
      <c r="NE22" s="73" t="str">
        <f t="shared" si="5"/>
        <v/>
      </c>
      <c r="NF22" s="73" t="str">
        <f t="shared" si="5"/>
        <v/>
      </c>
      <c r="NG22" s="73" t="str">
        <f t="shared" si="5"/>
        <v/>
      </c>
      <c r="NH22" s="73" t="str">
        <f t="shared" si="5"/>
        <v/>
      </c>
      <c r="NI22" s="73" t="str">
        <f t="shared" si="5"/>
        <v/>
      </c>
      <c r="NJ22" s="73" t="str">
        <f t="shared" si="5"/>
        <v/>
      </c>
      <c r="NK22" s="73" t="str">
        <f t="shared" si="5"/>
        <v/>
      </c>
      <c r="NL22" s="73" t="str">
        <f t="shared" si="5"/>
        <v/>
      </c>
      <c r="NM22" s="73" t="str">
        <f t="shared" si="5"/>
        <v/>
      </c>
      <c r="NN22" s="73" t="str">
        <f t="shared" si="5"/>
        <v/>
      </c>
      <c r="NO22" s="73" t="str">
        <f t="shared" si="5"/>
        <v/>
      </c>
      <c r="NP22" s="73" t="str">
        <f t="shared" si="5"/>
        <v/>
      </c>
      <c r="NQ22" s="73" t="str">
        <f t="shared" si="5"/>
        <v/>
      </c>
      <c r="NR22" s="73" t="str">
        <f t="shared" si="5"/>
        <v/>
      </c>
      <c r="NS22" s="73" t="str">
        <f t="shared" si="5"/>
        <v/>
      </c>
      <c r="NT22" s="73" t="str">
        <f t="shared" si="5"/>
        <v/>
      </c>
      <c r="NU22" s="73" t="str">
        <f t="shared" si="5"/>
        <v/>
      </c>
      <c r="NV22" s="73" t="str">
        <f t="shared" si="5"/>
        <v/>
      </c>
      <c r="NW22" s="73" t="str">
        <f t="shared" si="5"/>
        <v/>
      </c>
      <c r="NX22" s="73" t="str">
        <f t="shared" si="5"/>
        <v/>
      </c>
      <c r="NY22" s="73" t="str">
        <f t="shared" si="5"/>
        <v/>
      </c>
      <c r="NZ22" s="73" t="str">
        <f t="shared" ref="NZ22:QK22" si="6">IFERROR(AVERAGE(NZ6:NZ21),"")</f>
        <v/>
      </c>
      <c r="OA22" s="73" t="str">
        <f t="shared" si="6"/>
        <v/>
      </c>
      <c r="OB22" s="73" t="str">
        <f t="shared" si="6"/>
        <v/>
      </c>
      <c r="OC22" s="73" t="str">
        <f t="shared" si="6"/>
        <v/>
      </c>
      <c r="OD22" s="73" t="str">
        <f t="shared" si="6"/>
        <v/>
      </c>
      <c r="OE22" s="73" t="str">
        <f t="shared" si="6"/>
        <v/>
      </c>
      <c r="OF22" s="73" t="str">
        <f t="shared" si="6"/>
        <v/>
      </c>
      <c r="OG22" s="73" t="str">
        <f t="shared" si="6"/>
        <v/>
      </c>
      <c r="OH22" s="73" t="str">
        <f t="shared" si="6"/>
        <v/>
      </c>
      <c r="OI22" s="73" t="str">
        <f t="shared" si="6"/>
        <v/>
      </c>
      <c r="OJ22" s="73" t="str">
        <f t="shared" si="6"/>
        <v/>
      </c>
      <c r="OK22" s="73" t="str">
        <f t="shared" si="6"/>
        <v/>
      </c>
      <c r="OL22" s="73" t="str">
        <f t="shared" si="6"/>
        <v/>
      </c>
      <c r="OM22" s="73" t="str">
        <f t="shared" si="6"/>
        <v/>
      </c>
      <c r="ON22" s="73" t="str">
        <f t="shared" si="6"/>
        <v/>
      </c>
      <c r="OO22" s="73" t="str">
        <f t="shared" si="6"/>
        <v/>
      </c>
      <c r="OP22" s="73" t="str">
        <f t="shared" si="6"/>
        <v/>
      </c>
      <c r="OQ22" s="73" t="str">
        <f t="shared" si="6"/>
        <v/>
      </c>
      <c r="OR22" s="73" t="str">
        <f t="shared" si="6"/>
        <v/>
      </c>
      <c r="OS22" s="73" t="str">
        <f t="shared" si="6"/>
        <v/>
      </c>
      <c r="OT22" s="73" t="str">
        <f t="shared" si="6"/>
        <v/>
      </c>
      <c r="OU22" s="73" t="str">
        <f t="shared" si="6"/>
        <v/>
      </c>
      <c r="OV22" s="73" t="str">
        <f t="shared" si="6"/>
        <v/>
      </c>
      <c r="OW22" s="73" t="str">
        <f t="shared" si="6"/>
        <v/>
      </c>
      <c r="OX22" s="73" t="str">
        <f t="shared" si="6"/>
        <v/>
      </c>
      <c r="OY22" s="73" t="str">
        <f t="shared" si="6"/>
        <v/>
      </c>
      <c r="OZ22" s="73" t="str">
        <f t="shared" si="6"/>
        <v/>
      </c>
      <c r="PA22" s="73" t="str">
        <f t="shared" si="6"/>
        <v/>
      </c>
      <c r="PB22" s="73" t="str">
        <f t="shared" si="6"/>
        <v/>
      </c>
      <c r="PC22" s="73" t="str">
        <f t="shared" si="6"/>
        <v/>
      </c>
      <c r="PD22" s="73" t="str">
        <f t="shared" si="6"/>
        <v/>
      </c>
      <c r="PE22" s="73" t="str">
        <f t="shared" si="6"/>
        <v/>
      </c>
      <c r="PF22" s="73" t="str">
        <f t="shared" si="6"/>
        <v/>
      </c>
      <c r="PG22" s="73" t="str">
        <f t="shared" si="6"/>
        <v/>
      </c>
      <c r="PH22" s="73" t="str">
        <f t="shared" si="6"/>
        <v/>
      </c>
      <c r="PI22" s="73" t="str">
        <f t="shared" si="6"/>
        <v/>
      </c>
      <c r="PJ22" s="73" t="str">
        <f t="shared" si="6"/>
        <v/>
      </c>
      <c r="PK22" s="73" t="str">
        <f t="shared" si="6"/>
        <v/>
      </c>
      <c r="PL22" s="73" t="str">
        <f t="shared" si="6"/>
        <v/>
      </c>
      <c r="PM22" s="73" t="str">
        <f t="shared" si="6"/>
        <v/>
      </c>
      <c r="PN22" s="73" t="str">
        <f t="shared" si="6"/>
        <v/>
      </c>
      <c r="PO22" s="73" t="str">
        <f t="shared" si="6"/>
        <v/>
      </c>
      <c r="PP22" s="73" t="str">
        <f t="shared" si="6"/>
        <v/>
      </c>
      <c r="PQ22" s="73" t="str">
        <f t="shared" si="6"/>
        <v/>
      </c>
      <c r="PR22" s="73" t="str">
        <f t="shared" si="6"/>
        <v/>
      </c>
      <c r="PS22" s="73" t="str">
        <f t="shared" si="6"/>
        <v/>
      </c>
      <c r="PT22" s="73" t="str">
        <f t="shared" si="6"/>
        <v/>
      </c>
      <c r="PU22" s="73" t="str">
        <f t="shared" si="6"/>
        <v/>
      </c>
      <c r="PV22" s="73" t="str">
        <f t="shared" si="6"/>
        <v/>
      </c>
      <c r="PW22" s="73" t="str">
        <f t="shared" si="6"/>
        <v/>
      </c>
      <c r="PX22" s="73" t="str">
        <f t="shared" si="6"/>
        <v/>
      </c>
      <c r="PY22" s="73" t="str">
        <f t="shared" si="6"/>
        <v/>
      </c>
      <c r="PZ22" s="73" t="str">
        <f t="shared" si="6"/>
        <v/>
      </c>
      <c r="QA22" s="73" t="str">
        <f t="shared" si="6"/>
        <v/>
      </c>
      <c r="QB22" s="73" t="str">
        <f t="shared" si="6"/>
        <v/>
      </c>
      <c r="QC22" s="73" t="str">
        <f t="shared" si="6"/>
        <v/>
      </c>
      <c r="QD22" s="73" t="str">
        <f t="shared" si="6"/>
        <v/>
      </c>
      <c r="QE22" s="73" t="str">
        <f t="shared" si="6"/>
        <v/>
      </c>
      <c r="QF22" s="73" t="str">
        <f t="shared" si="6"/>
        <v/>
      </c>
      <c r="QG22" s="73" t="str">
        <f t="shared" si="6"/>
        <v/>
      </c>
      <c r="QH22" s="73" t="str">
        <f t="shared" si="6"/>
        <v/>
      </c>
      <c r="QI22" s="73" t="str">
        <f t="shared" si="6"/>
        <v/>
      </c>
      <c r="QJ22" s="73" t="str">
        <f t="shared" si="6"/>
        <v/>
      </c>
      <c r="QK22" s="73" t="str">
        <f t="shared" si="6"/>
        <v/>
      </c>
      <c r="QL22" s="73" t="str">
        <f t="shared" ref="QL22:SW22" si="7">IFERROR(AVERAGE(QL6:QL21),"")</f>
        <v/>
      </c>
      <c r="QM22" s="73" t="str">
        <f t="shared" si="7"/>
        <v/>
      </c>
      <c r="QN22" s="73" t="str">
        <f t="shared" si="7"/>
        <v/>
      </c>
      <c r="QO22" s="73" t="str">
        <f t="shared" si="7"/>
        <v/>
      </c>
      <c r="QP22" s="73" t="str">
        <f t="shared" si="7"/>
        <v/>
      </c>
      <c r="QQ22" s="73" t="str">
        <f t="shared" si="7"/>
        <v/>
      </c>
      <c r="QR22" s="73" t="str">
        <f t="shared" si="7"/>
        <v/>
      </c>
      <c r="QS22" s="73" t="str">
        <f t="shared" si="7"/>
        <v/>
      </c>
      <c r="QT22" s="73" t="str">
        <f t="shared" si="7"/>
        <v/>
      </c>
      <c r="QU22" s="73" t="str">
        <f t="shared" si="7"/>
        <v/>
      </c>
      <c r="QV22" s="73" t="str">
        <f t="shared" si="7"/>
        <v/>
      </c>
      <c r="QW22" s="73" t="str">
        <f t="shared" si="7"/>
        <v/>
      </c>
      <c r="QX22" s="73" t="str">
        <f t="shared" si="7"/>
        <v/>
      </c>
      <c r="QY22" s="73" t="str">
        <f t="shared" si="7"/>
        <v/>
      </c>
      <c r="QZ22" s="73" t="str">
        <f t="shared" si="7"/>
        <v/>
      </c>
      <c r="RA22" s="73" t="str">
        <f t="shared" si="7"/>
        <v/>
      </c>
      <c r="RB22" s="73" t="str">
        <f t="shared" si="7"/>
        <v/>
      </c>
      <c r="RC22" s="73" t="str">
        <f t="shared" si="7"/>
        <v/>
      </c>
      <c r="RD22" s="73" t="str">
        <f t="shared" si="7"/>
        <v/>
      </c>
      <c r="RE22" s="73" t="str">
        <f t="shared" si="7"/>
        <v/>
      </c>
      <c r="RF22" s="73" t="str">
        <f t="shared" si="7"/>
        <v/>
      </c>
      <c r="RG22" s="73" t="str">
        <f t="shared" si="7"/>
        <v/>
      </c>
      <c r="RH22" s="73" t="str">
        <f t="shared" si="7"/>
        <v/>
      </c>
      <c r="RI22" s="73" t="str">
        <f t="shared" si="7"/>
        <v/>
      </c>
      <c r="RJ22" s="73" t="str">
        <f t="shared" si="7"/>
        <v/>
      </c>
      <c r="RK22" s="73" t="str">
        <f t="shared" si="7"/>
        <v/>
      </c>
      <c r="RL22" s="73" t="str">
        <f t="shared" si="7"/>
        <v/>
      </c>
      <c r="RM22" s="73" t="str">
        <f t="shared" si="7"/>
        <v/>
      </c>
      <c r="RN22" s="73" t="str">
        <f t="shared" si="7"/>
        <v/>
      </c>
      <c r="RO22" s="73" t="str">
        <f t="shared" si="7"/>
        <v/>
      </c>
      <c r="RP22" s="73" t="str">
        <f t="shared" si="7"/>
        <v/>
      </c>
      <c r="RQ22" s="73" t="str">
        <f t="shared" si="7"/>
        <v/>
      </c>
      <c r="RR22" s="73" t="str">
        <f t="shared" si="7"/>
        <v/>
      </c>
      <c r="RS22" s="73" t="str">
        <f t="shared" si="7"/>
        <v/>
      </c>
      <c r="RT22" s="73" t="str">
        <f t="shared" si="7"/>
        <v/>
      </c>
      <c r="RU22" s="73" t="str">
        <f t="shared" si="7"/>
        <v/>
      </c>
      <c r="RV22" s="73" t="str">
        <f t="shared" si="7"/>
        <v/>
      </c>
      <c r="RW22" s="73" t="str">
        <f t="shared" si="7"/>
        <v/>
      </c>
      <c r="RX22" s="73" t="str">
        <f t="shared" si="7"/>
        <v/>
      </c>
      <c r="RY22" s="73" t="str">
        <f t="shared" si="7"/>
        <v/>
      </c>
      <c r="RZ22" s="73" t="str">
        <f t="shared" si="7"/>
        <v/>
      </c>
      <c r="SA22" s="73" t="str">
        <f t="shared" si="7"/>
        <v/>
      </c>
      <c r="SB22" s="73" t="str">
        <f t="shared" si="7"/>
        <v/>
      </c>
      <c r="SC22" s="73" t="str">
        <f t="shared" si="7"/>
        <v/>
      </c>
      <c r="SD22" s="73" t="str">
        <f t="shared" si="7"/>
        <v/>
      </c>
      <c r="SE22" s="73" t="str">
        <f t="shared" si="7"/>
        <v/>
      </c>
      <c r="SF22" s="73" t="str">
        <f t="shared" si="7"/>
        <v/>
      </c>
      <c r="SG22" s="73" t="str">
        <f t="shared" si="7"/>
        <v/>
      </c>
      <c r="SH22" s="73" t="str">
        <f t="shared" si="7"/>
        <v/>
      </c>
      <c r="SI22" s="73" t="str">
        <f t="shared" si="7"/>
        <v/>
      </c>
      <c r="SJ22" s="73" t="str">
        <f t="shared" si="7"/>
        <v/>
      </c>
      <c r="SK22" s="73" t="str">
        <f t="shared" si="7"/>
        <v/>
      </c>
      <c r="SL22" s="73" t="str">
        <f t="shared" si="7"/>
        <v/>
      </c>
      <c r="SM22" s="73" t="str">
        <f t="shared" si="7"/>
        <v/>
      </c>
      <c r="SN22" s="73" t="str">
        <f t="shared" si="7"/>
        <v/>
      </c>
      <c r="SO22" s="73" t="str">
        <f t="shared" si="7"/>
        <v/>
      </c>
      <c r="SP22" s="73" t="str">
        <f t="shared" si="7"/>
        <v/>
      </c>
      <c r="SQ22" s="73" t="str">
        <f t="shared" si="7"/>
        <v/>
      </c>
      <c r="SR22" s="73" t="str">
        <f t="shared" si="7"/>
        <v/>
      </c>
      <c r="SS22" s="73" t="str">
        <f t="shared" si="7"/>
        <v/>
      </c>
      <c r="ST22" s="73" t="str">
        <f t="shared" si="7"/>
        <v/>
      </c>
      <c r="SU22" s="73" t="str">
        <f t="shared" si="7"/>
        <v/>
      </c>
      <c r="SV22" s="73" t="str">
        <f t="shared" si="7"/>
        <v/>
      </c>
      <c r="SW22" s="73" t="str">
        <f t="shared" si="7"/>
        <v/>
      </c>
      <c r="SX22" s="73" t="str">
        <f t="shared" ref="SX22:VI22" si="8">IFERROR(AVERAGE(SX6:SX21),"")</f>
        <v/>
      </c>
      <c r="SY22" s="73" t="str">
        <f t="shared" si="8"/>
        <v/>
      </c>
      <c r="SZ22" s="73" t="str">
        <f t="shared" si="8"/>
        <v/>
      </c>
      <c r="TA22" s="73" t="str">
        <f t="shared" si="8"/>
        <v/>
      </c>
      <c r="TB22" s="73" t="str">
        <f t="shared" si="8"/>
        <v/>
      </c>
      <c r="TC22" s="73" t="str">
        <f t="shared" si="8"/>
        <v/>
      </c>
      <c r="TD22" s="73" t="str">
        <f t="shared" si="8"/>
        <v/>
      </c>
      <c r="TE22" s="73" t="str">
        <f t="shared" si="8"/>
        <v/>
      </c>
      <c r="TF22" s="73" t="str">
        <f t="shared" si="8"/>
        <v/>
      </c>
      <c r="TG22" s="73" t="str">
        <f t="shared" si="8"/>
        <v/>
      </c>
      <c r="TH22" s="73" t="str">
        <f t="shared" si="8"/>
        <v/>
      </c>
      <c r="TI22" s="73" t="str">
        <f t="shared" si="8"/>
        <v/>
      </c>
      <c r="TJ22" s="73" t="str">
        <f t="shared" si="8"/>
        <v/>
      </c>
      <c r="TK22" s="73" t="str">
        <f t="shared" si="8"/>
        <v/>
      </c>
      <c r="TL22" s="73" t="str">
        <f t="shared" si="8"/>
        <v/>
      </c>
      <c r="TM22" s="73" t="str">
        <f t="shared" si="8"/>
        <v/>
      </c>
      <c r="TN22" s="73" t="str">
        <f t="shared" si="8"/>
        <v/>
      </c>
      <c r="TO22" s="73" t="str">
        <f t="shared" si="8"/>
        <v/>
      </c>
      <c r="TP22" s="73" t="str">
        <f t="shared" si="8"/>
        <v/>
      </c>
      <c r="TQ22" s="73" t="str">
        <f t="shared" si="8"/>
        <v/>
      </c>
      <c r="TR22" s="73" t="str">
        <f t="shared" si="8"/>
        <v/>
      </c>
      <c r="TS22" s="73" t="str">
        <f t="shared" si="8"/>
        <v/>
      </c>
      <c r="TT22" s="73" t="str">
        <f t="shared" si="8"/>
        <v/>
      </c>
      <c r="TU22" s="73" t="str">
        <f t="shared" si="8"/>
        <v/>
      </c>
      <c r="TV22" s="73" t="str">
        <f t="shared" si="8"/>
        <v/>
      </c>
      <c r="TW22" s="73" t="str">
        <f t="shared" si="8"/>
        <v/>
      </c>
      <c r="TX22" s="73" t="str">
        <f t="shared" si="8"/>
        <v/>
      </c>
      <c r="TY22" s="73" t="str">
        <f t="shared" si="8"/>
        <v/>
      </c>
      <c r="TZ22" s="73" t="str">
        <f t="shared" si="8"/>
        <v/>
      </c>
      <c r="UA22" s="73" t="str">
        <f t="shared" si="8"/>
        <v/>
      </c>
      <c r="UB22" s="73" t="str">
        <f t="shared" si="8"/>
        <v/>
      </c>
      <c r="UC22" s="73" t="str">
        <f t="shared" si="8"/>
        <v/>
      </c>
      <c r="UD22" s="73" t="str">
        <f t="shared" si="8"/>
        <v/>
      </c>
      <c r="UE22" s="73" t="str">
        <f t="shared" si="8"/>
        <v/>
      </c>
      <c r="UF22" s="73" t="str">
        <f t="shared" si="8"/>
        <v/>
      </c>
      <c r="UG22" s="73" t="str">
        <f t="shared" si="8"/>
        <v/>
      </c>
      <c r="UH22" s="73" t="str">
        <f t="shared" si="8"/>
        <v/>
      </c>
      <c r="UI22" s="73" t="str">
        <f t="shared" si="8"/>
        <v/>
      </c>
      <c r="UJ22" s="73" t="str">
        <f t="shared" si="8"/>
        <v/>
      </c>
      <c r="UK22" s="73" t="str">
        <f t="shared" si="8"/>
        <v/>
      </c>
      <c r="UL22" s="73" t="str">
        <f t="shared" si="8"/>
        <v/>
      </c>
      <c r="UM22" s="73" t="str">
        <f t="shared" si="8"/>
        <v/>
      </c>
      <c r="UN22" s="73" t="str">
        <f t="shared" si="8"/>
        <v/>
      </c>
      <c r="UO22" s="73" t="str">
        <f t="shared" si="8"/>
        <v/>
      </c>
      <c r="UP22" s="73" t="str">
        <f t="shared" si="8"/>
        <v/>
      </c>
      <c r="UQ22" s="73" t="str">
        <f t="shared" si="8"/>
        <v/>
      </c>
      <c r="UR22" s="73" t="str">
        <f t="shared" si="8"/>
        <v/>
      </c>
      <c r="US22" s="73" t="str">
        <f t="shared" si="8"/>
        <v/>
      </c>
      <c r="UT22" s="73" t="str">
        <f t="shared" si="8"/>
        <v/>
      </c>
      <c r="UU22" s="73" t="str">
        <f t="shared" si="8"/>
        <v/>
      </c>
      <c r="UV22" s="73" t="str">
        <f t="shared" si="8"/>
        <v/>
      </c>
      <c r="UW22" s="73" t="str">
        <f t="shared" si="8"/>
        <v/>
      </c>
      <c r="UX22" s="73" t="str">
        <f t="shared" si="8"/>
        <v/>
      </c>
      <c r="UY22" s="73" t="str">
        <f t="shared" si="8"/>
        <v/>
      </c>
      <c r="UZ22" s="73" t="str">
        <f t="shared" si="8"/>
        <v/>
      </c>
      <c r="VA22" s="73" t="str">
        <f t="shared" si="8"/>
        <v/>
      </c>
      <c r="VB22" s="73" t="str">
        <f t="shared" si="8"/>
        <v/>
      </c>
      <c r="VC22" s="73" t="str">
        <f t="shared" si="8"/>
        <v/>
      </c>
      <c r="VD22" s="73" t="str">
        <f t="shared" si="8"/>
        <v/>
      </c>
      <c r="VE22" s="73" t="str">
        <f t="shared" si="8"/>
        <v/>
      </c>
      <c r="VF22" s="73" t="str">
        <f t="shared" si="8"/>
        <v/>
      </c>
      <c r="VG22" s="73" t="str">
        <f t="shared" si="8"/>
        <v/>
      </c>
      <c r="VH22" s="73" t="str">
        <f t="shared" si="8"/>
        <v/>
      </c>
      <c r="VI22" s="73" t="str">
        <f t="shared" si="8"/>
        <v/>
      </c>
      <c r="VJ22" s="73" t="str">
        <f t="shared" ref="VJ22:XU22" si="9">IFERROR(AVERAGE(VJ6:VJ21),"")</f>
        <v/>
      </c>
      <c r="VK22" s="73" t="str">
        <f t="shared" si="9"/>
        <v/>
      </c>
      <c r="VL22" s="73" t="str">
        <f t="shared" si="9"/>
        <v/>
      </c>
      <c r="VM22" s="73" t="str">
        <f t="shared" si="9"/>
        <v/>
      </c>
      <c r="VN22" s="73" t="str">
        <f t="shared" si="9"/>
        <v/>
      </c>
      <c r="VO22" s="73" t="str">
        <f t="shared" si="9"/>
        <v/>
      </c>
      <c r="VP22" s="73" t="str">
        <f t="shared" si="9"/>
        <v/>
      </c>
      <c r="VQ22" s="73" t="str">
        <f t="shared" si="9"/>
        <v/>
      </c>
      <c r="VR22" s="73" t="str">
        <f t="shared" si="9"/>
        <v/>
      </c>
      <c r="VS22" s="73" t="str">
        <f t="shared" si="9"/>
        <v/>
      </c>
      <c r="VT22" s="73" t="str">
        <f t="shared" si="9"/>
        <v/>
      </c>
      <c r="VU22" s="73" t="str">
        <f t="shared" si="9"/>
        <v/>
      </c>
      <c r="VV22" s="73" t="str">
        <f t="shared" si="9"/>
        <v/>
      </c>
      <c r="VW22" s="73" t="str">
        <f t="shared" si="9"/>
        <v/>
      </c>
      <c r="VX22" s="73" t="str">
        <f t="shared" si="9"/>
        <v/>
      </c>
      <c r="VY22" s="73" t="str">
        <f t="shared" si="9"/>
        <v/>
      </c>
      <c r="VZ22" s="73" t="str">
        <f t="shared" si="9"/>
        <v/>
      </c>
      <c r="WA22" s="73" t="str">
        <f t="shared" si="9"/>
        <v/>
      </c>
      <c r="WB22" s="73" t="str">
        <f t="shared" si="9"/>
        <v/>
      </c>
      <c r="WC22" s="73" t="str">
        <f t="shared" si="9"/>
        <v/>
      </c>
      <c r="WD22" s="73" t="str">
        <f t="shared" si="9"/>
        <v/>
      </c>
      <c r="WE22" s="73" t="str">
        <f t="shared" si="9"/>
        <v/>
      </c>
      <c r="WF22" s="73" t="str">
        <f t="shared" si="9"/>
        <v/>
      </c>
      <c r="WG22" s="73" t="str">
        <f t="shared" si="9"/>
        <v/>
      </c>
      <c r="WH22" s="73" t="str">
        <f t="shared" si="9"/>
        <v/>
      </c>
      <c r="WI22" s="73" t="str">
        <f t="shared" si="9"/>
        <v/>
      </c>
      <c r="WJ22" s="73" t="str">
        <f t="shared" si="9"/>
        <v/>
      </c>
      <c r="WK22" s="73" t="str">
        <f t="shared" si="9"/>
        <v/>
      </c>
      <c r="WL22" s="73" t="str">
        <f t="shared" si="9"/>
        <v/>
      </c>
      <c r="WM22" s="73" t="str">
        <f t="shared" si="9"/>
        <v/>
      </c>
      <c r="WN22" s="73" t="str">
        <f t="shared" si="9"/>
        <v/>
      </c>
      <c r="WO22" s="73" t="str">
        <f t="shared" si="9"/>
        <v/>
      </c>
      <c r="WP22" s="73" t="str">
        <f t="shared" si="9"/>
        <v/>
      </c>
      <c r="WQ22" s="73" t="str">
        <f t="shared" si="9"/>
        <v/>
      </c>
      <c r="WR22" s="73" t="str">
        <f t="shared" si="9"/>
        <v/>
      </c>
      <c r="WS22" s="73" t="str">
        <f t="shared" si="9"/>
        <v/>
      </c>
      <c r="WT22" s="73" t="str">
        <f t="shared" si="9"/>
        <v/>
      </c>
      <c r="WU22" s="73" t="str">
        <f t="shared" si="9"/>
        <v/>
      </c>
      <c r="WV22" s="73" t="str">
        <f t="shared" si="9"/>
        <v/>
      </c>
      <c r="WW22" s="73" t="str">
        <f t="shared" si="9"/>
        <v/>
      </c>
      <c r="WX22" s="73" t="str">
        <f t="shared" si="9"/>
        <v/>
      </c>
      <c r="WY22" s="73" t="str">
        <f t="shared" si="9"/>
        <v/>
      </c>
      <c r="WZ22" s="73" t="str">
        <f t="shared" si="9"/>
        <v/>
      </c>
      <c r="XA22" s="73" t="str">
        <f t="shared" si="9"/>
        <v/>
      </c>
      <c r="XB22" s="73" t="str">
        <f t="shared" si="9"/>
        <v/>
      </c>
      <c r="XC22" s="73" t="str">
        <f t="shared" si="9"/>
        <v/>
      </c>
      <c r="XD22" s="73" t="str">
        <f t="shared" si="9"/>
        <v/>
      </c>
      <c r="XE22" s="73" t="str">
        <f t="shared" si="9"/>
        <v/>
      </c>
      <c r="XF22" s="73" t="str">
        <f t="shared" si="9"/>
        <v/>
      </c>
      <c r="XG22" s="73" t="str">
        <f t="shared" si="9"/>
        <v/>
      </c>
      <c r="XH22" s="73" t="str">
        <f t="shared" si="9"/>
        <v/>
      </c>
      <c r="XI22" s="73" t="str">
        <f t="shared" si="9"/>
        <v/>
      </c>
      <c r="XJ22" s="73" t="str">
        <f t="shared" si="9"/>
        <v/>
      </c>
      <c r="XK22" s="73" t="str">
        <f t="shared" si="9"/>
        <v/>
      </c>
      <c r="XL22" s="73" t="str">
        <f t="shared" si="9"/>
        <v/>
      </c>
      <c r="XM22" s="73" t="str">
        <f t="shared" si="9"/>
        <v/>
      </c>
      <c r="XN22" s="73" t="str">
        <f t="shared" si="9"/>
        <v/>
      </c>
      <c r="XO22" s="73" t="str">
        <f t="shared" si="9"/>
        <v/>
      </c>
      <c r="XP22" s="73" t="str">
        <f t="shared" si="9"/>
        <v/>
      </c>
      <c r="XQ22" s="73" t="str">
        <f t="shared" si="9"/>
        <v/>
      </c>
      <c r="XR22" s="73" t="str">
        <f t="shared" si="9"/>
        <v/>
      </c>
      <c r="XS22" s="73" t="str">
        <f t="shared" si="9"/>
        <v/>
      </c>
      <c r="XT22" s="73" t="str">
        <f t="shared" si="9"/>
        <v/>
      </c>
      <c r="XU22" s="73" t="str">
        <f t="shared" si="9"/>
        <v/>
      </c>
      <c r="XV22" s="73" t="str">
        <f t="shared" ref="XV22:AAG22" si="10">IFERROR(AVERAGE(XV6:XV21),"")</f>
        <v/>
      </c>
      <c r="XW22" s="73" t="str">
        <f t="shared" si="10"/>
        <v/>
      </c>
      <c r="XX22" s="73" t="str">
        <f t="shared" si="10"/>
        <v/>
      </c>
      <c r="XY22" s="73" t="str">
        <f t="shared" si="10"/>
        <v/>
      </c>
      <c r="XZ22" s="73" t="str">
        <f t="shared" si="10"/>
        <v/>
      </c>
      <c r="YA22" s="73" t="str">
        <f t="shared" si="10"/>
        <v/>
      </c>
      <c r="YB22" s="73" t="str">
        <f t="shared" si="10"/>
        <v/>
      </c>
      <c r="YC22" s="73" t="str">
        <f t="shared" si="10"/>
        <v/>
      </c>
      <c r="YD22" s="73" t="str">
        <f t="shared" si="10"/>
        <v/>
      </c>
      <c r="YE22" s="73" t="str">
        <f t="shared" si="10"/>
        <v/>
      </c>
      <c r="YF22" s="73" t="str">
        <f t="shared" si="10"/>
        <v/>
      </c>
      <c r="YG22" s="73" t="str">
        <f t="shared" si="10"/>
        <v/>
      </c>
      <c r="YH22" s="73" t="str">
        <f t="shared" si="10"/>
        <v/>
      </c>
      <c r="YI22" s="73" t="str">
        <f t="shared" si="10"/>
        <v/>
      </c>
      <c r="YJ22" s="73" t="str">
        <f t="shared" si="10"/>
        <v/>
      </c>
      <c r="YK22" s="73" t="str">
        <f t="shared" si="10"/>
        <v/>
      </c>
      <c r="YL22" s="73" t="str">
        <f t="shared" si="10"/>
        <v/>
      </c>
      <c r="YM22" s="73" t="str">
        <f t="shared" si="10"/>
        <v/>
      </c>
      <c r="YN22" s="73" t="str">
        <f t="shared" si="10"/>
        <v/>
      </c>
      <c r="YO22" s="73" t="str">
        <f t="shared" si="10"/>
        <v/>
      </c>
      <c r="YP22" s="73" t="str">
        <f t="shared" si="10"/>
        <v/>
      </c>
      <c r="YQ22" s="73" t="str">
        <f t="shared" si="10"/>
        <v/>
      </c>
      <c r="YR22" s="73" t="str">
        <f t="shared" si="10"/>
        <v/>
      </c>
      <c r="YS22" s="73" t="str">
        <f t="shared" si="10"/>
        <v/>
      </c>
      <c r="YT22" s="73" t="str">
        <f t="shared" si="10"/>
        <v/>
      </c>
      <c r="YU22" s="73" t="str">
        <f t="shared" si="10"/>
        <v/>
      </c>
      <c r="YV22" s="73" t="str">
        <f t="shared" si="10"/>
        <v/>
      </c>
      <c r="YW22" s="73" t="str">
        <f t="shared" si="10"/>
        <v/>
      </c>
      <c r="YX22" s="73" t="str">
        <f t="shared" si="10"/>
        <v/>
      </c>
      <c r="YY22" s="73" t="str">
        <f t="shared" si="10"/>
        <v/>
      </c>
      <c r="YZ22" s="73" t="str">
        <f t="shared" si="10"/>
        <v/>
      </c>
      <c r="ZA22" s="73" t="str">
        <f t="shared" si="10"/>
        <v/>
      </c>
      <c r="ZB22" s="73" t="str">
        <f t="shared" si="10"/>
        <v/>
      </c>
      <c r="ZC22" s="73" t="str">
        <f t="shared" si="10"/>
        <v/>
      </c>
      <c r="ZD22" s="73" t="str">
        <f t="shared" si="10"/>
        <v/>
      </c>
      <c r="ZE22" s="73" t="str">
        <f t="shared" si="10"/>
        <v/>
      </c>
      <c r="ZF22" s="73" t="str">
        <f t="shared" si="10"/>
        <v/>
      </c>
      <c r="ZG22" s="73" t="str">
        <f t="shared" si="10"/>
        <v/>
      </c>
      <c r="ZH22" s="73" t="str">
        <f t="shared" si="10"/>
        <v/>
      </c>
      <c r="ZI22" s="73" t="str">
        <f t="shared" si="10"/>
        <v/>
      </c>
      <c r="ZJ22" s="73" t="str">
        <f t="shared" si="10"/>
        <v/>
      </c>
      <c r="ZK22" s="73" t="str">
        <f t="shared" si="10"/>
        <v/>
      </c>
      <c r="ZL22" s="73" t="str">
        <f t="shared" si="10"/>
        <v/>
      </c>
      <c r="ZM22" s="73" t="str">
        <f t="shared" si="10"/>
        <v/>
      </c>
      <c r="ZN22" s="73" t="str">
        <f t="shared" si="10"/>
        <v/>
      </c>
      <c r="ZO22" s="73" t="str">
        <f t="shared" si="10"/>
        <v/>
      </c>
      <c r="ZP22" s="73" t="str">
        <f t="shared" si="10"/>
        <v/>
      </c>
      <c r="ZQ22" s="73" t="str">
        <f t="shared" si="10"/>
        <v/>
      </c>
      <c r="ZR22" s="73" t="str">
        <f t="shared" si="10"/>
        <v/>
      </c>
      <c r="ZS22" s="73" t="str">
        <f t="shared" si="10"/>
        <v/>
      </c>
      <c r="ZT22" s="73" t="str">
        <f t="shared" si="10"/>
        <v/>
      </c>
      <c r="ZU22" s="73" t="str">
        <f t="shared" si="10"/>
        <v/>
      </c>
      <c r="ZV22" s="73" t="str">
        <f t="shared" si="10"/>
        <v/>
      </c>
      <c r="ZW22" s="73" t="str">
        <f t="shared" si="10"/>
        <v/>
      </c>
      <c r="ZX22" s="73" t="str">
        <f t="shared" si="10"/>
        <v/>
      </c>
      <c r="ZY22" s="73" t="str">
        <f t="shared" si="10"/>
        <v/>
      </c>
      <c r="ZZ22" s="73" t="str">
        <f t="shared" si="10"/>
        <v/>
      </c>
      <c r="AAA22" s="73" t="str">
        <f t="shared" si="10"/>
        <v/>
      </c>
      <c r="AAB22" s="73" t="str">
        <f t="shared" si="10"/>
        <v/>
      </c>
      <c r="AAC22" s="73" t="str">
        <f t="shared" si="10"/>
        <v/>
      </c>
      <c r="AAD22" s="73" t="str">
        <f t="shared" si="10"/>
        <v/>
      </c>
      <c r="AAE22" s="73" t="str">
        <f t="shared" si="10"/>
        <v/>
      </c>
      <c r="AAF22" s="73" t="str">
        <f t="shared" si="10"/>
        <v/>
      </c>
      <c r="AAG22" s="73" t="str">
        <f t="shared" si="10"/>
        <v/>
      </c>
      <c r="AAH22" s="73" t="str">
        <f t="shared" ref="AAH22:ACS22" si="11">IFERROR(AVERAGE(AAH6:AAH21),"")</f>
        <v/>
      </c>
      <c r="AAI22" s="73" t="str">
        <f t="shared" si="11"/>
        <v/>
      </c>
      <c r="AAJ22" s="73" t="str">
        <f t="shared" si="11"/>
        <v/>
      </c>
      <c r="AAK22" s="73" t="str">
        <f t="shared" si="11"/>
        <v/>
      </c>
      <c r="AAL22" s="73" t="str">
        <f t="shared" si="11"/>
        <v/>
      </c>
      <c r="AAM22" s="73" t="str">
        <f t="shared" si="11"/>
        <v/>
      </c>
      <c r="AAN22" s="73" t="str">
        <f t="shared" si="11"/>
        <v/>
      </c>
      <c r="AAO22" s="73" t="str">
        <f t="shared" si="11"/>
        <v/>
      </c>
      <c r="AAP22" s="73" t="str">
        <f t="shared" si="11"/>
        <v/>
      </c>
      <c r="AAQ22" s="73" t="str">
        <f t="shared" si="11"/>
        <v/>
      </c>
      <c r="AAR22" s="73" t="str">
        <f t="shared" si="11"/>
        <v/>
      </c>
      <c r="AAS22" s="73" t="str">
        <f t="shared" si="11"/>
        <v/>
      </c>
      <c r="AAT22" s="73" t="str">
        <f t="shared" si="11"/>
        <v/>
      </c>
      <c r="AAU22" s="73" t="str">
        <f t="shared" si="11"/>
        <v/>
      </c>
      <c r="AAV22" s="73" t="str">
        <f t="shared" si="11"/>
        <v/>
      </c>
      <c r="AAW22" s="73" t="str">
        <f t="shared" si="11"/>
        <v/>
      </c>
      <c r="AAX22" s="73" t="str">
        <f t="shared" si="11"/>
        <v/>
      </c>
      <c r="AAY22" s="73" t="str">
        <f t="shared" si="11"/>
        <v/>
      </c>
      <c r="AAZ22" s="73" t="str">
        <f t="shared" si="11"/>
        <v/>
      </c>
      <c r="ABA22" s="73" t="str">
        <f t="shared" si="11"/>
        <v/>
      </c>
      <c r="ABB22" s="73" t="str">
        <f t="shared" si="11"/>
        <v/>
      </c>
      <c r="ABC22" s="73" t="str">
        <f t="shared" si="11"/>
        <v/>
      </c>
      <c r="ABD22" s="73" t="str">
        <f t="shared" si="11"/>
        <v/>
      </c>
      <c r="ABE22" s="73" t="str">
        <f t="shared" si="11"/>
        <v/>
      </c>
      <c r="ABF22" s="73" t="str">
        <f t="shared" si="11"/>
        <v/>
      </c>
      <c r="ABG22" s="73" t="str">
        <f t="shared" si="11"/>
        <v/>
      </c>
      <c r="ABH22" s="73" t="str">
        <f t="shared" si="11"/>
        <v/>
      </c>
      <c r="ABI22" s="73" t="str">
        <f t="shared" si="11"/>
        <v/>
      </c>
      <c r="ABJ22" s="73" t="str">
        <f t="shared" si="11"/>
        <v/>
      </c>
      <c r="ABK22" s="73" t="str">
        <f t="shared" si="11"/>
        <v/>
      </c>
      <c r="ABL22" s="73" t="str">
        <f t="shared" si="11"/>
        <v/>
      </c>
      <c r="ABM22" s="73" t="str">
        <f t="shared" si="11"/>
        <v/>
      </c>
      <c r="ABN22" s="73" t="str">
        <f t="shared" si="11"/>
        <v/>
      </c>
      <c r="ABO22" s="73" t="str">
        <f t="shared" si="11"/>
        <v/>
      </c>
      <c r="ABP22" s="73" t="str">
        <f t="shared" si="11"/>
        <v/>
      </c>
      <c r="ABQ22" s="73" t="str">
        <f t="shared" si="11"/>
        <v/>
      </c>
      <c r="ABR22" s="73" t="str">
        <f t="shared" si="11"/>
        <v/>
      </c>
      <c r="ABS22" s="73" t="str">
        <f t="shared" si="11"/>
        <v/>
      </c>
      <c r="ABT22" s="73" t="str">
        <f t="shared" si="11"/>
        <v/>
      </c>
      <c r="ABU22" s="73" t="str">
        <f t="shared" si="11"/>
        <v/>
      </c>
      <c r="ABV22" s="73" t="str">
        <f t="shared" si="11"/>
        <v/>
      </c>
      <c r="ABW22" s="73" t="str">
        <f t="shared" si="11"/>
        <v/>
      </c>
      <c r="ABX22" s="73" t="str">
        <f t="shared" si="11"/>
        <v/>
      </c>
      <c r="ABY22" s="73" t="str">
        <f t="shared" si="11"/>
        <v/>
      </c>
      <c r="ABZ22" s="73" t="str">
        <f t="shared" si="11"/>
        <v/>
      </c>
      <c r="ACA22" s="73" t="str">
        <f t="shared" si="11"/>
        <v/>
      </c>
      <c r="ACB22" s="73" t="str">
        <f t="shared" si="11"/>
        <v/>
      </c>
      <c r="ACC22" s="73" t="str">
        <f t="shared" si="11"/>
        <v/>
      </c>
      <c r="ACD22" s="73" t="str">
        <f t="shared" si="11"/>
        <v/>
      </c>
      <c r="ACE22" s="73" t="str">
        <f t="shared" si="11"/>
        <v/>
      </c>
      <c r="ACF22" s="73" t="str">
        <f t="shared" si="11"/>
        <v/>
      </c>
      <c r="ACG22" s="73" t="str">
        <f t="shared" si="11"/>
        <v/>
      </c>
      <c r="ACH22" s="73" t="str">
        <f t="shared" si="11"/>
        <v/>
      </c>
      <c r="ACI22" s="73" t="str">
        <f t="shared" si="11"/>
        <v/>
      </c>
      <c r="ACJ22" s="73" t="str">
        <f t="shared" si="11"/>
        <v/>
      </c>
      <c r="ACK22" s="73" t="str">
        <f t="shared" si="11"/>
        <v/>
      </c>
      <c r="ACL22" s="73" t="str">
        <f t="shared" si="11"/>
        <v/>
      </c>
      <c r="ACM22" s="73" t="str">
        <f t="shared" si="11"/>
        <v/>
      </c>
      <c r="ACN22" s="73" t="str">
        <f t="shared" si="11"/>
        <v/>
      </c>
      <c r="ACO22" s="73" t="str">
        <f t="shared" si="11"/>
        <v/>
      </c>
      <c r="ACP22" s="73" t="str">
        <f t="shared" si="11"/>
        <v/>
      </c>
      <c r="ACQ22" s="73" t="str">
        <f t="shared" si="11"/>
        <v/>
      </c>
      <c r="ACR22" s="73" t="str">
        <f t="shared" si="11"/>
        <v/>
      </c>
      <c r="ACS22" s="73" t="str">
        <f t="shared" si="11"/>
        <v/>
      </c>
      <c r="ACT22" s="73" t="str">
        <f t="shared" ref="ACT22:AFE22" si="12">IFERROR(AVERAGE(ACT6:ACT21),"")</f>
        <v/>
      </c>
      <c r="ACU22" s="73" t="str">
        <f t="shared" si="12"/>
        <v/>
      </c>
      <c r="ACV22" s="73" t="str">
        <f t="shared" si="12"/>
        <v/>
      </c>
      <c r="ACW22" s="73" t="str">
        <f t="shared" si="12"/>
        <v/>
      </c>
      <c r="ACX22" s="73" t="str">
        <f t="shared" si="12"/>
        <v/>
      </c>
      <c r="ACY22" s="73" t="str">
        <f t="shared" si="12"/>
        <v/>
      </c>
      <c r="ACZ22" s="73" t="str">
        <f t="shared" si="12"/>
        <v/>
      </c>
      <c r="ADA22" s="73" t="str">
        <f t="shared" si="12"/>
        <v/>
      </c>
      <c r="ADB22" s="73" t="str">
        <f t="shared" si="12"/>
        <v/>
      </c>
      <c r="ADC22" s="73" t="str">
        <f t="shared" si="12"/>
        <v/>
      </c>
      <c r="ADD22" s="73" t="str">
        <f t="shared" si="12"/>
        <v/>
      </c>
      <c r="ADE22" s="73" t="str">
        <f t="shared" si="12"/>
        <v/>
      </c>
      <c r="ADF22" s="73" t="str">
        <f t="shared" si="12"/>
        <v/>
      </c>
      <c r="ADG22" s="73" t="str">
        <f t="shared" si="12"/>
        <v/>
      </c>
      <c r="ADH22" s="73" t="str">
        <f t="shared" si="12"/>
        <v/>
      </c>
      <c r="ADI22" s="73" t="str">
        <f t="shared" si="12"/>
        <v/>
      </c>
      <c r="ADJ22" s="73" t="str">
        <f t="shared" si="12"/>
        <v/>
      </c>
      <c r="ADK22" s="73" t="str">
        <f t="shared" si="12"/>
        <v/>
      </c>
      <c r="ADL22" s="73" t="str">
        <f t="shared" si="12"/>
        <v/>
      </c>
      <c r="ADM22" s="73" t="str">
        <f t="shared" si="12"/>
        <v/>
      </c>
      <c r="ADN22" s="73" t="str">
        <f t="shared" si="12"/>
        <v/>
      </c>
      <c r="ADO22" s="73" t="str">
        <f t="shared" si="12"/>
        <v/>
      </c>
      <c r="ADP22" s="73" t="str">
        <f t="shared" si="12"/>
        <v/>
      </c>
      <c r="ADQ22" s="73" t="str">
        <f t="shared" si="12"/>
        <v/>
      </c>
      <c r="ADR22" s="73" t="str">
        <f t="shared" si="12"/>
        <v/>
      </c>
      <c r="ADS22" s="73" t="str">
        <f t="shared" si="12"/>
        <v/>
      </c>
      <c r="ADT22" s="73" t="str">
        <f t="shared" si="12"/>
        <v/>
      </c>
      <c r="ADU22" s="73" t="str">
        <f t="shared" si="12"/>
        <v/>
      </c>
      <c r="ADV22" s="73" t="str">
        <f t="shared" si="12"/>
        <v/>
      </c>
      <c r="ADW22" s="73" t="str">
        <f t="shared" si="12"/>
        <v/>
      </c>
      <c r="ADX22" s="73" t="str">
        <f t="shared" si="12"/>
        <v/>
      </c>
      <c r="ADY22" s="73" t="str">
        <f t="shared" si="12"/>
        <v/>
      </c>
      <c r="ADZ22" s="73" t="str">
        <f t="shared" si="12"/>
        <v/>
      </c>
      <c r="AEA22" s="73" t="str">
        <f t="shared" si="12"/>
        <v/>
      </c>
      <c r="AEB22" s="73" t="str">
        <f t="shared" si="12"/>
        <v/>
      </c>
      <c r="AEC22" s="73" t="str">
        <f t="shared" si="12"/>
        <v/>
      </c>
      <c r="AED22" s="73" t="str">
        <f t="shared" si="12"/>
        <v/>
      </c>
      <c r="AEE22" s="73" t="str">
        <f t="shared" si="12"/>
        <v/>
      </c>
      <c r="AEF22" s="73" t="str">
        <f t="shared" si="12"/>
        <v/>
      </c>
      <c r="AEG22" s="73" t="str">
        <f t="shared" si="12"/>
        <v/>
      </c>
      <c r="AEH22" s="73" t="str">
        <f t="shared" si="12"/>
        <v/>
      </c>
      <c r="AEI22" s="73" t="str">
        <f t="shared" si="12"/>
        <v/>
      </c>
      <c r="AEJ22" s="73" t="str">
        <f t="shared" si="12"/>
        <v/>
      </c>
      <c r="AEK22" s="73" t="str">
        <f t="shared" si="12"/>
        <v/>
      </c>
      <c r="AEL22" s="73" t="str">
        <f t="shared" si="12"/>
        <v/>
      </c>
      <c r="AEM22" s="73" t="str">
        <f t="shared" si="12"/>
        <v/>
      </c>
      <c r="AEN22" s="73" t="str">
        <f t="shared" si="12"/>
        <v/>
      </c>
      <c r="AEO22" s="73" t="str">
        <f t="shared" si="12"/>
        <v/>
      </c>
      <c r="AEP22" s="73" t="str">
        <f t="shared" si="12"/>
        <v/>
      </c>
      <c r="AEQ22" s="73" t="str">
        <f t="shared" si="12"/>
        <v/>
      </c>
      <c r="AER22" s="73" t="str">
        <f t="shared" si="12"/>
        <v/>
      </c>
      <c r="AES22" s="73" t="str">
        <f t="shared" si="12"/>
        <v/>
      </c>
      <c r="AET22" s="73" t="str">
        <f t="shared" si="12"/>
        <v/>
      </c>
      <c r="AEU22" s="73" t="str">
        <f t="shared" si="12"/>
        <v/>
      </c>
      <c r="AEV22" s="73" t="str">
        <f t="shared" si="12"/>
        <v/>
      </c>
      <c r="AEW22" s="73" t="str">
        <f t="shared" si="12"/>
        <v/>
      </c>
      <c r="AEX22" s="73" t="str">
        <f t="shared" si="12"/>
        <v/>
      </c>
      <c r="AEY22" s="73" t="str">
        <f t="shared" si="12"/>
        <v/>
      </c>
      <c r="AEZ22" s="73" t="str">
        <f t="shared" si="12"/>
        <v/>
      </c>
      <c r="AFA22" s="73" t="str">
        <f t="shared" si="12"/>
        <v/>
      </c>
      <c r="AFB22" s="73" t="str">
        <f t="shared" si="12"/>
        <v/>
      </c>
      <c r="AFC22" s="73" t="str">
        <f t="shared" si="12"/>
        <v/>
      </c>
      <c r="AFD22" s="73" t="str">
        <f t="shared" si="12"/>
        <v/>
      </c>
      <c r="AFE22" s="73" t="str">
        <f t="shared" si="12"/>
        <v/>
      </c>
      <c r="AFF22" s="73" t="str">
        <f t="shared" ref="AFF22:AHQ22" si="13">IFERROR(AVERAGE(AFF6:AFF21),"")</f>
        <v/>
      </c>
      <c r="AFG22" s="73" t="str">
        <f t="shared" si="13"/>
        <v/>
      </c>
      <c r="AFH22" s="73" t="str">
        <f t="shared" si="13"/>
        <v/>
      </c>
      <c r="AFI22" s="73" t="str">
        <f t="shared" si="13"/>
        <v/>
      </c>
      <c r="AFJ22" s="73" t="str">
        <f t="shared" si="13"/>
        <v/>
      </c>
      <c r="AFK22" s="73" t="str">
        <f t="shared" si="13"/>
        <v/>
      </c>
      <c r="AFL22" s="73" t="str">
        <f t="shared" si="13"/>
        <v/>
      </c>
      <c r="AFM22" s="73" t="str">
        <f t="shared" si="13"/>
        <v/>
      </c>
      <c r="AFN22" s="73" t="str">
        <f t="shared" si="13"/>
        <v/>
      </c>
      <c r="AFO22" s="73" t="str">
        <f t="shared" si="13"/>
        <v/>
      </c>
      <c r="AFP22" s="73" t="str">
        <f t="shared" si="13"/>
        <v/>
      </c>
      <c r="AFQ22" s="73" t="str">
        <f t="shared" si="13"/>
        <v/>
      </c>
      <c r="AFR22" s="73" t="str">
        <f t="shared" si="13"/>
        <v/>
      </c>
      <c r="AFS22" s="73" t="str">
        <f t="shared" si="13"/>
        <v/>
      </c>
      <c r="AFT22" s="73" t="str">
        <f t="shared" si="13"/>
        <v/>
      </c>
      <c r="AFU22" s="73" t="str">
        <f t="shared" si="13"/>
        <v/>
      </c>
      <c r="AFV22" s="73" t="str">
        <f t="shared" si="13"/>
        <v/>
      </c>
      <c r="AFW22" s="73" t="str">
        <f t="shared" si="13"/>
        <v/>
      </c>
      <c r="AFX22" s="73" t="str">
        <f t="shared" si="13"/>
        <v/>
      </c>
      <c r="AFY22" s="73" t="str">
        <f t="shared" si="13"/>
        <v/>
      </c>
      <c r="AFZ22" s="73" t="str">
        <f t="shared" si="13"/>
        <v/>
      </c>
      <c r="AGA22" s="73" t="str">
        <f t="shared" si="13"/>
        <v/>
      </c>
      <c r="AGB22" s="73" t="str">
        <f t="shared" si="13"/>
        <v/>
      </c>
      <c r="AGC22" s="73" t="str">
        <f t="shared" si="13"/>
        <v/>
      </c>
      <c r="AGD22" s="73" t="str">
        <f t="shared" si="13"/>
        <v/>
      </c>
      <c r="AGE22" s="73" t="str">
        <f t="shared" si="13"/>
        <v/>
      </c>
      <c r="AGF22" s="73" t="str">
        <f t="shared" si="13"/>
        <v/>
      </c>
      <c r="AGG22" s="73" t="str">
        <f t="shared" si="13"/>
        <v/>
      </c>
      <c r="AGH22" s="73" t="str">
        <f t="shared" si="13"/>
        <v/>
      </c>
      <c r="AGI22" s="73" t="str">
        <f t="shared" si="13"/>
        <v/>
      </c>
      <c r="AGJ22" s="73" t="str">
        <f t="shared" si="13"/>
        <v/>
      </c>
      <c r="AGK22" s="73" t="str">
        <f t="shared" si="13"/>
        <v/>
      </c>
      <c r="AGL22" s="73" t="str">
        <f t="shared" si="13"/>
        <v/>
      </c>
      <c r="AGM22" s="73" t="str">
        <f t="shared" si="13"/>
        <v/>
      </c>
      <c r="AGN22" s="73" t="str">
        <f t="shared" si="13"/>
        <v/>
      </c>
      <c r="AGO22" s="73" t="str">
        <f t="shared" si="13"/>
        <v/>
      </c>
      <c r="AGP22" s="73" t="str">
        <f t="shared" si="13"/>
        <v/>
      </c>
      <c r="AGQ22" s="73" t="str">
        <f t="shared" si="13"/>
        <v/>
      </c>
      <c r="AGR22" s="73" t="str">
        <f t="shared" si="13"/>
        <v/>
      </c>
      <c r="AGS22" s="73" t="str">
        <f t="shared" si="13"/>
        <v/>
      </c>
      <c r="AGT22" s="73" t="str">
        <f t="shared" si="13"/>
        <v/>
      </c>
      <c r="AGU22" s="73" t="str">
        <f t="shared" si="13"/>
        <v/>
      </c>
      <c r="AGV22" s="73" t="str">
        <f t="shared" si="13"/>
        <v/>
      </c>
      <c r="AGW22" s="73" t="str">
        <f t="shared" si="13"/>
        <v/>
      </c>
      <c r="AGX22" s="73" t="str">
        <f t="shared" si="13"/>
        <v/>
      </c>
      <c r="AGY22" s="73" t="str">
        <f t="shared" si="13"/>
        <v/>
      </c>
      <c r="AGZ22" s="73" t="str">
        <f t="shared" si="13"/>
        <v/>
      </c>
      <c r="AHA22" s="73" t="str">
        <f t="shared" si="13"/>
        <v/>
      </c>
      <c r="AHB22" s="73" t="str">
        <f t="shared" si="13"/>
        <v/>
      </c>
      <c r="AHC22" s="73" t="str">
        <f t="shared" si="13"/>
        <v/>
      </c>
      <c r="AHD22" s="73" t="str">
        <f t="shared" si="13"/>
        <v/>
      </c>
      <c r="AHE22" s="73" t="str">
        <f t="shared" si="13"/>
        <v/>
      </c>
      <c r="AHF22" s="73" t="str">
        <f t="shared" si="13"/>
        <v/>
      </c>
      <c r="AHG22" s="73" t="str">
        <f t="shared" si="13"/>
        <v/>
      </c>
      <c r="AHH22" s="73" t="str">
        <f t="shared" si="13"/>
        <v/>
      </c>
      <c r="AHI22" s="73" t="str">
        <f t="shared" si="13"/>
        <v/>
      </c>
      <c r="AHJ22" s="73" t="str">
        <f t="shared" si="13"/>
        <v/>
      </c>
      <c r="AHK22" s="73" t="str">
        <f t="shared" si="13"/>
        <v/>
      </c>
      <c r="AHL22" s="73" t="str">
        <f t="shared" si="13"/>
        <v/>
      </c>
      <c r="AHM22" s="73" t="str">
        <f t="shared" si="13"/>
        <v/>
      </c>
      <c r="AHN22" s="73" t="str">
        <f t="shared" si="13"/>
        <v/>
      </c>
      <c r="AHO22" s="73" t="str">
        <f t="shared" si="13"/>
        <v/>
      </c>
      <c r="AHP22" s="73" t="str">
        <f t="shared" si="13"/>
        <v/>
      </c>
      <c r="AHQ22" s="73" t="str">
        <f t="shared" si="13"/>
        <v/>
      </c>
      <c r="AHR22" s="73" t="str">
        <f t="shared" ref="AHR22:AKC22" si="14">IFERROR(AVERAGE(AHR6:AHR21),"")</f>
        <v/>
      </c>
      <c r="AHS22" s="73" t="str">
        <f t="shared" si="14"/>
        <v/>
      </c>
      <c r="AHT22" s="73" t="str">
        <f t="shared" si="14"/>
        <v/>
      </c>
      <c r="AHU22" s="73" t="str">
        <f t="shared" si="14"/>
        <v/>
      </c>
      <c r="AHV22" s="73" t="str">
        <f t="shared" si="14"/>
        <v/>
      </c>
      <c r="AHW22" s="73" t="str">
        <f t="shared" si="14"/>
        <v/>
      </c>
      <c r="AHX22" s="73" t="str">
        <f t="shared" si="14"/>
        <v/>
      </c>
      <c r="AHY22" s="73" t="str">
        <f t="shared" si="14"/>
        <v/>
      </c>
      <c r="AHZ22" s="73" t="str">
        <f t="shared" si="14"/>
        <v/>
      </c>
      <c r="AIA22" s="73" t="str">
        <f t="shared" si="14"/>
        <v/>
      </c>
      <c r="AIB22" s="73" t="str">
        <f t="shared" si="14"/>
        <v/>
      </c>
      <c r="AIC22" s="73" t="str">
        <f t="shared" si="14"/>
        <v/>
      </c>
      <c r="AID22" s="73" t="str">
        <f t="shared" si="14"/>
        <v/>
      </c>
      <c r="AIE22" s="73" t="str">
        <f t="shared" si="14"/>
        <v/>
      </c>
      <c r="AIF22" s="73" t="str">
        <f t="shared" si="14"/>
        <v/>
      </c>
      <c r="AIG22" s="73" t="str">
        <f t="shared" si="14"/>
        <v/>
      </c>
      <c r="AIH22" s="73" t="str">
        <f t="shared" si="14"/>
        <v/>
      </c>
      <c r="AII22" s="73" t="str">
        <f t="shared" si="14"/>
        <v/>
      </c>
      <c r="AIJ22" s="73" t="str">
        <f t="shared" si="14"/>
        <v/>
      </c>
      <c r="AIK22" s="73" t="str">
        <f t="shared" si="14"/>
        <v/>
      </c>
      <c r="AIL22" s="73" t="str">
        <f t="shared" si="14"/>
        <v/>
      </c>
      <c r="AIM22" s="73" t="str">
        <f t="shared" si="14"/>
        <v/>
      </c>
      <c r="AIN22" s="73" t="str">
        <f t="shared" si="14"/>
        <v/>
      </c>
      <c r="AIO22" s="73" t="str">
        <f t="shared" si="14"/>
        <v/>
      </c>
      <c r="AIP22" s="73" t="str">
        <f t="shared" si="14"/>
        <v/>
      </c>
      <c r="AIQ22" s="73" t="str">
        <f t="shared" si="14"/>
        <v/>
      </c>
      <c r="AIR22" s="73" t="str">
        <f t="shared" si="14"/>
        <v/>
      </c>
      <c r="AIS22" s="73" t="str">
        <f t="shared" si="14"/>
        <v/>
      </c>
      <c r="AIT22" s="73" t="str">
        <f t="shared" si="14"/>
        <v/>
      </c>
      <c r="AIU22" s="73" t="str">
        <f t="shared" si="14"/>
        <v/>
      </c>
      <c r="AIV22" s="73" t="str">
        <f t="shared" si="14"/>
        <v/>
      </c>
      <c r="AIW22" s="73" t="str">
        <f t="shared" si="14"/>
        <v/>
      </c>
      <c r="AIX22" s="73" t="str">
        <f t="shared" si="14"/>
        <v/>
      </c>
      <c r="AIY22" s="73" t="str">
        <f t="shared" si="14"/>
        <v/>
      </c>
      <c r="AIZ22" s="73" t="str">
        <f t="shared" si="14"/>
        <v/>
      </c>
      <c r="AJA22" s="73" t="str">
        <f t="shared" si="14"/>
        <v/>
      </c>
      <c r="AJB22" s="73" t="str">
        <f t="shared" si="14"/>
        <v/>
      </c>
      <c r="AJC22" s="73" t="str">
        <f t="shared" si="14"/>
        <v/>
      </c>
      <c r="AJD22" s="73" t="str">
        <f t="shared" si="14"/>
        <v/>
      </c>
      <c r="AJE22" s="73" t="str">
        <f t="shared" si="14"/>
        <v/>
      </c>
      <c r="AJF22" s="73" t="str">
        <f t="shared" si="14"/>
        <v/>
      </c>
      <c r="AJG22" s="73" t="str">
        <f t="shared" si="14"/>
        <v/>
      </c>
      <c r="AJH22" s="73" t="str">
        <f t="shared" si="14"/>
        <v/>
      </c>
      <c r="AJI22" s="73" t="str">
        <f t="shared" si="14"/>
        <v/>
      </c>
      <c r="AJJ22" s="73" t="str">
        <f t="shared" si="14"/>
        <v/>
      </c>
      <c r="AJK22" s="73" t="str">
        <f t="shared" si="14"/>
        <v/>
      </c>
      <c r="AJL22" s="73" t="str">
        <f t="shared" si="14"/>
        <v/>
      </c>
      <c r="AJM22" s="73" t="str">
        <f t="shared" si="14"/>
        <v/>
      </c>
      <c r="AJN22" s="73" t="str">
        <f t="shared" si="14"/>
        <v/>
      </c>
      <c r="AJO22" s="73" t="str">
        <f t="shared" si="14"/>
        <v/>
      </c>
      <c r="AJP22" s="73" t="str">
        <f t="shared" si="14"/>
        <v/>
      </c>
      <c r="AJQ22" s="73" t="str">
        <f t="shared" si="14"/>
        <v/>
      </c>
      <c r="AJR22" s="73" t="str">
        <f t="shared" si="14"/>
        <v/>
      </c>
      <c r="AJS22" s="73" t="str">
        <f t="shared" si="14"/>
        <v/>
      </c>
      <c r="AJT22" s="73" t="str">
        <f t="shared" si="14"/>
        <v/>
      </c>
      <c r="AJU22" s="73" t="str">
        <f t="shared" si="14"/>
        <v/>
      </c>
      <c r="AJV22" s="73" t="str">
        <f t="shared" si="14"/>
        <v/>
      </c>
      <c r="AJW22" s="73" t="str">
        <f t="shared" si="14"/>
        <v/>
      </c>
      <c r="AJX22" s="73" t="str">
        <f t="shared" si="14"/>
        <v/>
      </c>
      <c r="AJY22" s="73" t="str">
        <f t="shared" si="14"/>
        <v/>
      </c>
      <c r="AJZ22" s="73" t="str">
        <f t="shared" si="14"/>
        <v/>
      </c>
      <c r="AKA22" s="73" t="str">
        <f t="shared" si="14"/>
        <v/>
      </c>
      <c r="AKB22" s="73" t="str">
        <f t="shared" si="14"/>
        <v/>
      </c>
      <c r="AKC22" s="73" t="str">
        <f t="shared" si="14"/>
        <v/>
      </c>
      <c r="AKD22" s="73" t="str">
        <f t="shared" ref="AKD22:AMO22" si="15">IFERROR(AVERAGE(AKD6:AKD21),"")</f>
        <v/>
      </c>
      <c r="AKE22" s="73" t="str">
        <f t="shared" si="15"/>
        <v/>
      </c>
      <c r="AKF22" s="73" t="str">
        <f t="shared" si="15"/>
        <v/>
      </c>
      <c r="AKG22" s="73" t="str">
        <f t="shared" si="15"/>
        <v/>
      </c>
      <c r="AKH22" s="73" t="str">
        <f t="shared" si="15"/>
        <v/>
      </c>
      <c r="AKI22" s="73" t="str">
        <f t="shared" si="15"/>
        <v/>
      </c>
      <c r="AKJ22" s="73" t="str">
        <f t="shared" si="15"/>
        <v/>
      </c>
      <c r="AKK22" s="73" t="str">
        <f t="shared" si="15"/>
        <v/>
      </c>
      <c r="AKL22" s="73" t="str">
        <f t="shared" si="15"/>
        <v/>
      </c>
      <c r="AKM22" s="73" t="str">
        <f t="shared" si="15"/>
        <v/>
      </c>
      <c r="AKN22" s="73" t="str">
        <f t="shared" si="15"/>
        <v/>
      </c>
      <c r="AKO22" s="73" t="str">
        <f t="shared" si="15"/>
        <v/>
      </c>
      <c r="AKP22" s="73" t="str">
        <f t="shared" si="15"/>
        <v/>
      </c>
      <c r="AKQ22" s="73" t="str">
        <f t="shared" si="15"/>
        <v/>
      </c>
      <c r="AKR22" s="73" t="str">
        <f t="shared" si="15"/>
        <v/>
      </c>
      <c r="AKS22" s="73" t="str">
        <f t="shared" si="15"/>
        <v/>
      </c>
      <c r="AKT22" s="73" t="str">
        <f t="shared" si="15"/>
        <v/>
      </c>
      <c r="AKU22" s="73" t="str">
        <f t="shared" si="15"/>
        <v/>
      </c>
      <c r="AKV22" s="73" t="str">
        <f t="shared" si="15"/>
        <v/>
      </c>
      <c r="AKW22" s="73" t="str">
        <f t="shared" si="15"/>
        <v/>
      </c>
      <c r="AKX22" s="73" t="str">
        <f t="shared" si="15"/>
        <v/>
      </c>
      <c r="AKY22" s="73" t="str">
        <f t="shared" si="15"/>
        <v/>
      </c>
      <c r="AKZ22" s="73" t="str">
        <f t="shared" si="15"/>
        <v/>
      </c>
      <c r="ALA22" s="73" t="str">
        <f t="shared" si="15"/>
        <v/>
      </c>
      <c r="ALB22" s="73" t="str">
        <f t="shared" si="15"/>
        <v/>
      </c>
      <c r="ALC22" s="73" t="str">
        <f t="shared" si="15"/>
        <v/>
      </c>
      <c r="ALD22" s="73" t="str">
        <f t="shared" si="15"/>
        <v/>
      </c>
      <c r="ALE22" s="73" t="str">
        <f t="shared" si="15"/>
        <v/>
      </c>
      <c r="ALF22" s="73" t="str">
        <f t="shared" si="15"/>
        <v/>
      </c>
      <c r="ALG22" s="73" t="str">
        <f t="shared" si="15"/>
        <v/>
      </c>
      <c r="ALH22" s="73" t="str">
        <f t="shared" si="15"/>
        <v/>
      </c>
      <c r="ALI22" s="73" t="str">
        <f t="shared" si="15"/>
        <v/>
      </c>
      <c r="ALJ22" s="73" t="str">
        <f t="shared" si="15"/>
        <v/>
      </c>
      <c r="ALK22" s="73" t="str">
        <f t="shared" si="15"/>
        <v/>
      </c>
      <c r="ALL22" s="73" t="str">
        <f t="shared" si="15"/>
        <v/>
      </c>
      <c r="ALM22" s="73" t="str">
        <f t="shared" si="15"/>
        <v/>
      </c>
      <c r="ALN22" s="73" t="str">
        <f t="shared" si="15"/>
        <v/>
      </c>
      <c r="ALO22" s="73" t="str">
        <f t="shared" si="15"/>
        <v/>
      </c>
      <c r="ALP22" s="73" t="str">
        <f t="shared" si="15"/>
        <v/>
      </c>
      <c r="ALQ22" s="73" t="str">
        <f t="shared" si="15"/>
        <v/>
      </c>
      <c r="ALR22" s="73" t="str">
        <f t="shared" si="15"/>
        <v/>
      </c>
      <c r="ALS22" s="73" t="str">
        <f t="shared" si="15"/>
        <v/>
      </c>
      <c r="ALT22" s="73" t="str">
        <f t="shared" si="15"/>
        <v/>
      </c>
      <c r="ALU22" s="73" t="str">
        <f t="shared" si="15"/>
        <v/>
      </c>
      <c r="ALV22" s="73" t="str">
        <f t="shared" si="15"/>
        <v/>
      </c>
      <c r="ALW22" s="73" t="str">
        <f t="shared" si="15"/>
        <v/>
      </c>
      <c r="ALX22" s="73" t="str">
        <f t="shared" si="15"/>
        <v/>
      </c>
      <c r="ALY22" s="73" t="str">
        <f t="shared" si="15"/>
        <v/>
      </c>
      <c r="ALZ22" s="73" t="str">
        <f t="shared" si="15"/>
        <v/>
      </c>
      <c r="AMA22" s="73" t="str">
        <f t="shared" si="15"/>
        <v/>
      </c>
      <c r="AMB22" s="73" t="str">
        <f t="shared" si="15"/>
        <v/>
      </c>
      <c r="AMC22" s="73" t="str">
        <f t="shared" si="15"/>
        <v/>
      </c>
      <c r="AMD22" s="73" t="str">
        <f t="shared" si="15"/>
        <v/>
      </c>
      <c r="AME22" s="73" t="str">
        <f t="shared" si="15"/>
        <v/>
      </c>
      <c r="AMF22" s="73" t="str">
        <f t="shared" si="15"/>
        <v/>
      </c>
      <c r="AMG22" s="73" t="str">
        <f t="shared" si="15"/>
        <v/>
      </c>
      <c r="AMH22" s="73" t="str">
        <f t="shared" si="15"/>
        <v/>
      </c>
      <c r="AMI22" s="73" t="str">
        <f t="shared" si="15"/>
        <v/>
      </c>
      <c r="AMJ22" s="73" t="str">
        <f t="shared" si="15"/>
        <v/>
      </c>
      <c r="AMK22" s="73" t="str">
        <f t="shared" si="15"/>
        <v/>
      </c>
      <c r="AML22" s="73" t="str">
        <f t="shared" si="15"/>
        <v/>
      </c>
      <c r="AMM22" s="73" t="str">
        <f t="shared" si="15"/>
        <v/>
      </c>
      <c r="AMN22" s="73" t="str">
        <f t="shared" si="15"/>
        <v/>
      </c>
      <c r="AMO22" s="73" t="str">
        <f t="shared" si="15"/>
        <v/>
      </c>
      <c r="AMP22" s="73" t="str">
        <f t="shared" ref="AMP22:APA22" si="16">IFERROR(AVERAGE(AMP6:AMP21),"")</f>
        <v/>
      </c>
      <c r="AMQ22" s="73" t="str">
        <f t="shared" si="16"/>
        <v/>
      </c>
      <c r="AMR22" s="73" t="str">
        <f t="shared" si="16"/>
        <v/>
      </c>
      <c r="AMS22" s="73" t="str">
        <f t="shared" si="16"/>
        <v/>
      </c>
      <c r="AMT22" s="73" t="str">
        <f t="shared" si="16"/>
        <v/>
      </c>
      <c r="AMU22" s="73" t="str">
        <f t="shared" si="16"/>
        <v/>
      </c>
      <c r="AMV22" s="73" t="str">
        <f t="shared" si="16"/>
        <v/>
      </c>
      <c r="AMW22" s="73" t="str">
        <f t="shared" si="16"/>
        <v/>
      </c>
      <c r="AMX22" s="73" t="str">
        <f t="shared" si="16"/>
        <v/>
      </c>
      <c r="AMY22" s="73" t="str">
        <f t="shared" si="16"/>
        <v/>
      </c>
      <c r="AMZ22" s="73" t="str">
        <f t="shared" si="16"/>
        <v/>
      </c>
      <c r="ANA22" s="73" t="str">
        <f t="shared" si="16"/>
        <v/>
      </c>
      <c r="ANB22" s="73" t="str">
        <f t="shared" si="16"/>
        <v/>
      </c>
      <c r="ANC22" s="73" t="str">
        <f t="shared" si="16"/>
        <v/>
      </c>
      <c r="AND22" s="73" t="str">
        <f t="shared" si="16"/>
        <v/>
      </c>
      <c r="ANE22" s="73" t="str">
        <f t="shared" si="16"/>
        <v/>
      </c>
      <c r="ANF22" s="73" t="str">
        <f t="shared" si="16"/>
        <v/>
      </c>
      <c r="ANG22" s="73" t="str">
        <f t="shared" si="16"/>
        <v/>
      </c>
      <c r="ANH22" s="73" t="str">
        <f t="shared" si="16"/>
        <v/>
      </c>
      <c r="ANI22" s="73" t="str">
        <f t="shared" si="16"/>
        <v/>
      </c>
      <c r="ANJ22" s="73" t="str">
        <f t="shared" si="16"/>
        <v/>
      </c>
      <c r="ANK22" s="73" t="str">
        <f t="shared" si="16"/>
        <v/>
      </c>
      <c r="ANL22" s="73" t="str">
        <f t="shared" si="16"/>
        <v/>
      </c>
      <c r="ANM22" s="73" t="str">
        <f t="shared" si="16"/>
        <v/>
      </c>
      <c r="ANN22" s="73" t="str">
        <f t="shared" si="16"/>
        <v/>
      </c>
      <c r="ANO22" s="73" t="str">
        <f t="shared" si="16"/>
        <v/>
      </c>
      <c r="ANP22" s="73" t="str">
        <f t="shared" si="16"/>
        <v/>
      </c>
      <c r="ANQ22" s="73" t="str">
        <f t="shared" si="16"/>
        <v/>
      </c>
      <c r="ANR22" s="73" t="str">
        <f t="shared" si="16"/>
        <v/>
      </c>
      <c r="ANS22" s="73" t="str">
        <f t="shared" si="16"/>
        <v/>
      </c>
      <c r="ANT22" s="73" t="str">
        <f t="shared" si="16"/>
        <v/>
      </c>
      <c r="ANU22" s="73" t="str">
        <f t="shared" si="16"/>
        <v/>
      </c>
      <c r="ANV22" s="73" t="str">
        <f t="shared" si="16"/>
        <v/>
      </c>
      <c r="ANW22" s="73" t="str">
        <f t="shared" si="16"/>
        <v/>
      </c>
      <c r="ANX22" s="73" t="str">
        <f t="shared" si="16"/>
        <v/>
      </c>
      <c r="ANY22" s="73" t="str">
        <f t="shared" si="16"/>
        <v/>
      </c>
      <c r="ANZ22" s="73" t="str">
        <f t="shared" si="16"/>
        <v/>
      </c>
      <c r="AOA22" s="73" t="str">
        <f t="shared" si="16"/>
        <v/>
      </c>
      <c r="AOB22" s="73" t="str">
        <f t="shared" si="16"/>
        <v/>
      </c>
      <c r="AOC22" s="73" t="str">
        <f t="shared" si="16"/>
        <v/>
      </c>
      <c r="AOD22" s="73" t="str">
        <f t="shared" si="16"/>
        <v/>
      </c>
      <c r="AOE22" s="73" t="str">
        <f t="shared" si="16"/>
        <v/>
      </c>
      <c r="AOF22" s="73" t="str">
        <f t="shared" si="16"/>
        <v/>
      </c>
      <c r="AOG22" s="73" t="str">
        <f t="shared" si="16"/>
        <v/>
      </c>
      <c r="AOH22" s="73" t="str">
        <f t="shared" si="16"/>
        <v/>
      </c>
      <c r="AOI22" s="73" t="str">
        <f t="shared" si="16"/>
        <v/>
      </c>
      <c r="AOJ22" s="73" t="str">
        <f t="shared" si="16"/>
        <v/>
      </c>
      <c r="AOK22" s="73" t="str">
        <f t="shared" si="16"/>
        <v/>
      </c>
      <c r="AOL22" s="73" t="str">
        <f t="shared" si="16"/>
        <v/>
      </c>
      <c r="AOM22" s="73" t="str">
        <f t="shared" si="16"/>
        <v/>
      </c>
      <c r="AON22" s="73" t="str">
        <f t="shared" si="16"/>
        <v/>
      </c>
      <c r="AOO22" s="73" t="str">
        <f t="shared" si="16"/>
        <v/>
      </c>
      <c r="AOP22" s="73" t="str">
        <f t="shared" si="16"/>
        <v/>
      </c>
      <c r="AOQ22" s="73" t="str">
        <f t="shared" si="16"/>
        <v/>
      </c>
      <c r="AOR22" s="73" t="str">
        <f t="shared" si="16"/>
        <v/>
      </c>
      <c r="AOS22" s="73" t="str">
        <f t="shared" si="16"/>
        <v/>
      </c>
      <c r="AOT22" s="73" t="str">
        <f t="shared" si="16"/>
        <v/>
      </c>
      <c r="AOU22" s="73" t="str">
        <f t="shared" si="16"/>
        <v/>
      </c>
      <c r="AOV22" s="73" t="str">
        <f t="shared" si="16"/>
        <v/>
      </c>
      <c r="AOW22" s="73" t="str">
        <f t="shared" si="16"/>
        <v/>
      </c>
      <c r="AOX22" s="73" t="str">
        <f t="shared" si="16"/>
        <v/>
      </c>
      <c r="AOY22" s="73" t="str">
        <f t="shared" si="16"/>
        <v/>
      </c>
      <c r="AOZ22" s="73" t="str">
        <f t="shared" si="16"/>
        <v/>
      </c>
      <c r="APA22" s="73" t="str">
        <f t="shared" si="16"/>
        <v/>
      </c>
      <c r="APB22" s="73" t="str">
        <f t="shared" ref="APB22:ARM22" si="17">IFERROR(AVERAGE(APB6:APB21),"")</f>
        <v/>
      </c>
      <c r="APC22" s="73" t="str">
        <f t="shared" si="17"/>
        <v/>
      </c>
      <c r="APD22" s="73" t="str">
        <f t="shared" si="17"/>
        <v/>
      </c>
      <c r="APE22" s="73" t="str">
        <f t="shared" si="17"/>
        <v/>
      </c>
      <c r="APF22" s="73" t="str">
        <f t="shared" si="17"/>
        <v/>
      </c>
      <c r="APG22" s="73" t="str">
        <f t="shared" si="17"/>
        <v/>
      </c>
      <c r="APH22" s="73" t="str">
        <f t="shared" si="17"/>
        <v/>
      </c>
      <c r="API22" s="73" t="str">
        <f t="shared" si="17"/>
        <v/>
      </c>
      <c r="APJ22" s="73" t="str">
        <f t="shared" si="17"/>
        <v/>
      </c>
      <c r="APK22" s="73" t="str">
        <f t="shared" si="17"/>
        <v/>
      </c>
      <c r="APL22" s="73" t="str">
        <f t="shared" si="17"/>
        <v/>
      </c>
      <c r="APM22" s="73" t="str">
        <f t="shared" si="17"/>
        <v/>
      </c>
      <c r="APN22" s="73" t="str">
        <f t="shared" si="17"/>
        <v/>
      </c>
      <c r="APO22" s="73" t="str">
        <f t="shared" si="17"/>
        <v/>
      </c>
      <c r="APP22" s="73" t="str">
        <f t="shared" si="17"/>
        <v/>
      </c>
      <c r="APQ22" s="73" t="str">
        <f t="shared" si="17"/>
        <v/>
      </c>
      <c r="APR22" s="73" t="str">
        <f t="shared" si="17"/>
        <v/>
      </c>
      <c r="APS22" s="73" t="str">
        <f t="shared" si="17"/>
        <v/>
      </c>
      <c r="APT22" s="73" t="str">
        <f t="shared" si="17"/>
        <v/>
      </c>
      <c r="APU22" s="73" t="str">
        <f t="shared" si="17"/>
        <v/>
      </c>
      <c r="APV22" s="73" t="str">
        <f t="shared" si="17"/>
        <v/>
      </c>
      <c r="APW22" s="73" t="str">
        <f t="shared" si="17"/>
        <v/>
      </c>
      <c r="APX22" s="73" t="str">
        <f t="shared" si="17"/>
        <v/>
      </c>
      <c r="APY22" s="73" t="str">
        <f t="shared" si="17"/>
        <v/>
      </c>
      <c r="APZ22" s="73" t="str">
        <f t="shared" si="17"/>
        <v/>
      </c>
      <c r="AQA22" s="73" t="str">
        <f t="shared" si="17"/>
        <v/>
      </c>
      <c r="AQB22" s="73" t="str">
        <f t="shared" si="17"/>
        <v/>
      </c>
      <c r="AQC22" s="73" t="str">
        <f t="shared" si="17"/>
        <v/>
      </c>
      <c r="AQD22" s="73" t="str">
        <f t="shared" si="17"/>
        <v/>
      </c>
      <c r="AQE22" s="73" t="str">
        <f t="shared" si="17"/>
        <v/>
      </c>
      <c r="AQF22" s="73" t="str">
        <f t="shared" si="17"/>
        <v/>
      </c>
      <c r="AQG22" s="73" t="str">
        <f t="shared" si="17"/>
        <v/>
      </c>
      <c r="AQH22" s="73" t="str">
        <f t="shared" si="17"/>
        <v/>
      </c>
      <c r="AQI22" s="73" t="str">
        <f t="shared" si="17"/>
        <v/>
      </c>
      <c r="AQJ22" s="73" t="str">
        <f t="shared" si="17"/>
        <v/>
      </c>
      <c r="AQK22" s="73" t="str">
        <f t="shared" si="17"/>
        <v/>
      </c>
      <c r="AQL22" s="73" t="str">
        <f t="shared" si="17"/>
        <v/>
      </c>
      <c r="AQM22" s="73" t="str">
        <f t="shared" si="17"/>
        <v/>
      </c>
      <c r="AQN22" s="73" t="str">
        <f t="shared" si="17"/>
        <v/>
      </c>
      <c r="AQO22" s="73" t="str">
        <f t="shared" si="17"/>
        <v/>
      </c>
      <c r="AQP22" s="73" t="str">
        <f t="shared" si="17"/>
        <v/>
      </c>
      <c r="AQQ22" s="73" t="str">
        <f t="shared" si="17"/>
        <v/>
      </c>
      <c r="AQR22" s="73" t="str">
        <f t="shared" si="17"/>
        <v/>
      </c>
      <c r="AQS22" s="73" t="str">
        <f t="shared" si="17"/>
        <v/>
      </c>
      <c r="AQT22" s="73" t="str">
        <f t="shared" si="17"/>
        <v/>
      </c>
      <c r="AQU22" s="73" t="str">
        <f t="shared" si="17"/>
        <v/>
      </c>
      <c r="AQV22" s="73" t="str">
        <f t="shared" si="17"/>
        <v/>
      </c>
      <c r="AQW22" s="73" t="str">
        <f t="shared" si="17"/>
        <v/>
      </c>
      <c r="AQX22" s="73" t="str">
        <f t="shared" si="17"/>
        <v/>
      </c>
      <c r="AQY22" s="73" t="str">
        <f t="shared" si="17"/>
        <v/>
      </c>
      <c r="AQZ22" s="73" t="str">
        <f t="shared" si="17"/>
        <v/>
      </c>
      <c r="ARA22" s="73" t="str">
        <f t="shared" si="17"/>
        <v/>
      </c>
      <c r="ARB22" s="73" t="str">
        <f t="shared" si="17"/>
        <v/>
      </c>
      <c r="ARC22" s="73" t="str">
        <f t="shared" si="17"/>
        <v/>
      </c>
      <c r="ARD22" s="73" t="str">
        <f t="shared" si="17"/>
        <v/>
      </c>
      <c r="ARE22" s="73" t="str">
        <f t="shared" si="17"/>
        <v/>
      </c>
      <c r="ARF22" s="73" t="str">
        <f t="shared" si="17"/>
        <v/>
      </c>
      <c r="ARG22" s="73" t="str">
        <f t="shared" si="17"/>
        <v/>
      </c>
      <c r="ARH22" s="73" t="str">
        <f t="shared" si="17"/>
        <v/>
      </c>
      <c r="ARI22" s="73" t="str">
        <f t="shared" si="17"/>
        <v/>
      </c>
      <c r="ARJ22" s="73" t="str">
        <f t="shared" si="17"/>
        <v/>
      </c>
      <c r="ARK22" s="73" t="str">
        <f t="shared" si="17"/>
        <v/>
      </c>
      <c r="ARL22" s="73" t="str">
        <f t="shared" si="17"/>
        <v/>
      </c>
      <c r="ARM22" s="73" t="str">
        <f t="shared" si="17"/>
        <v/>
      </c>
      <c r="ARN22" s="73" t="str">
        <f t="shared" ref="ARN22:ATY22" si="18">IFERROR(AVERAGE(ARN6:ARN21),"")</f>
        <v/>
      </c>
      <c r="ARO22" s="73" t="str">
        <f t="shared" si="18"/>
        <v/>
      </c>
      <c r="ARP22" s="73" t="str">
        <f t="shared" si="18"/>
        <v/>
      </c>
      <c r="ARQ22" s="73" t="str">
        <f t="shared" si="18"/>
        <v/>
      </c>
      <c r="ARR22" s="73" t="str">
        <f t="shared" si="18"/>
        <v/>
      </c>
      <c r="ARS22" s="73" t="str">
        <f t="shared" si="18"/>
        <v/>
      </c>
      <c r="ART22" s="73" t="str">
        <f t="shared" si="18"/>
        <v/>
      </c>
      <c r="ARU22" s="73" t="str">
        <f t="shared" si="18"/>
        <v/>
      </c>
      <c r="ARV22" s="73" t="str">
        <f t="shared" si="18"/>
        <v/>
      </c>
      <c r="ARW22" s="73" t="str">
        <f t="shared" si="18"/>
        <v/>
      </c>
      <c r="ARX22" s="73" t="str">
        <f t="shared" si="18"/>
        <v/>
      </c>
      <c r="ARY22" s="73" t="str">
        <f t="shared" si="18"/>
        <v/>
      </c>
      <c r="ARZ22" s="73" t="str">
        <f t="shared" si="18"/>
        <v/>
      </c>
      <c r="ASA22" s="73" t="str">
        <f t="shared" si="18"/>
        <v/>
      </c>
      <c r="ASB22" s="73" t="str">
        <f t="shared" si="18"/>
        <v/>
      </c>
      <c r="ASC22" s="73" t="str">
        <f t="shared" si="18"/>
        <v/>
      </c>
      <c r="ASD22" s="73" t="str">
        <f t="shared" si="18"/>
        <v/>
      </c>
      <c r="ASE22" s="73" t="str">
        <f t="shared" si="18"/>
        <v/>
      </c>
      <c r="ASF22" s="73" t="str">
        <f t="shared" si="18"/>
        <v/>
      </c>
      <c r="ASG22" s="73" t="str">
        <f t="shared" si="18"/>
        <v/>
      </c>
      <c r="ASH22" s="73" t="str">
        <f t="shared" si="18"/>
        <v/>
      </c>
      <c r="ASI22" s="73" t="str">
        <f t="shared" si="18"/>
        <v/>
      </c>
      <c r="ASJ22" s="73" t="str">
        <f t="shared" si="18"/>
        <v/>
      </c>
      <c r="ASK22" s="73" t="str">
        <f t="shared" si="18"/>
        <v/>
      </c>
      <c r="ASL22" s="73" t="str">
        <f t="shared" si="18"/>
        <v/>
      </c>
      <c r="ASM22" s="73" t="str">
        <f t="shared" si="18"/>
        <v/>
      </c>
      <c r="ASN22" s="73" t="str">
        <f t="shared" si="18"/>
        <v/>
      </c>
      <c r="ASO22" s="73" t="str">
        <f t="shared" si="18"/>
        <v/>
      </c>
      <c r="ASP22" s="73" t="str">
        <f t="shared" si="18"/>
        <v/>
      </c>
      <c r="ASQ22" s="73" t="str">
        <f t="shared" si="18"/>
        <v/>
      </c>
      <c r="ASR22" s="73" t="str">
        <f t="shared" si="18"/>
        <v/>
      </c>
      <c r="ASS22" s="73" t="str">
        <f t="shared" si="18"/>
        <v/>
      </c>
      <c r="AST22" s="73" t="str">
        <f t="shared" si="18"/>
        <v/>
      </c>
      <c r="ASU22" s="73" t="str">
        <f t="shared" si="18"/>
        <v/>
      </c>
      <c r="ASV22" s="73" t="str">
        <f t="shared" si="18"/>
        <v/>
      </c>
      <c r="ASW22" s="73" t="str">
        <f t="shared" si="18"/>
        <v/>
      </c>
      <c r="ASX22" s="73" t="str">
        <f t="shared" si="18"/>
        <v/>
      </c>
      <c r="ASY22" s="73" t="str">
        <f t="shared" si="18"/>
        <v/>
      </c>
      <c r="ASZ22" s="73" t="str">
        <f t="shared" si="18"/>
        <v/>
      </c>
      <c r="ATA22" s="73" t="str">
        <f t="shared" si="18"/>
        <v/>
      </c>
      <c r="ATB22" s="73" t="str">
        <f t="shared" si="18"/>
        <v/>
      </c>
      <c r="ATC22" s="73" t="str">
        <f t="shared" si="18"/>
        <v/>
      </c>
      <c r="ATD22" s="73" t="str">
        <f t="shared" si="18"/>
        <v/>
      </c>
      <c r="ATE22" s="73" t="str">
        <f t="shared" si="18"/>
        <v/>
      </c>
      <c r="ATF22" s="73" t="str">
        <f t="shared" si="18"/>
        <v/>
      </c>
      <c r="ATG22" s="73" t="str">
        <f t="shared" si="18"/>
        <v/>
      </c>
      <c r="ATH22" s="73" t="str">
        <f t="shared" si="18"/>
        <v/>
      </c>
      <c r="ATI22" s="73" t="str">
        <f t="shared" si="18"/>
        <v/>
      </c>
      <c r="ATJ22" s="73" t="str">
        <f t="shared" si="18"/>
        <v/>
      </c>
      <c r="ATK22" s="73" t="str">
        <f t="shared" si="18"/>
        <v/>
      </c>
      <c r="ATL22" s="73" t="str">
        <f t="shared" si="18"/>
        <v/>
      </c>
      <c r="ATM22" s="73" t="str">
        <f t="shared" si="18"/>
        <v/>
      </c>
      <c r="ATN22" s="73" t="str">
        <f t="shared" si="18"/>
        <v/>
      </c>
      <c r="ATO22" s="73" t="str">
        <f t="shared" si="18"/>
        <v/>
      </c>
      <c r="ATP22" s="73" t="str">
        <f t="shared" si="18"/>
        <v/>
      </c>
      <c r="ATQ22" s="73" t="str">
        <f t="shared" si="18"/>
        <v/>
      </c>
      <c r="ATR22" s="73" t="str">
        <f t="shared" si="18"/>
        <v/>
      </c>
      <c r="ATS22" s="73" t="str">
        <f t="shared" si="18"/>
        <v/>
      </c>
      <c r="ATT22" s="73" t="str">
        <f t="shared" si="18"/>
        <v/>
      </c>
      <c r="ATU22" s="73" t="str">
        <f t="shared" si="18"/>
        <v/>
      </c>
      <c r="ATV22" s="73" t="str">
        <f t="shared" si="18"/>
        <v/>
      </c>
      <c r="ATW22" s="73" t="str">
        <f t="shared" si="18"/>
        <v/>
      </c>
      <c r="ATX22" s="73" t="str">
        <f t="shared" si="18"/>
        <v/>
      </c>
      <c r="ATY22" s="73" t="str">
        <f t="shared" si="18"/>
        <v/>
      </c>
      <c r="ATZ22" s="73" t="str">
        <f t="shared" ref="ATZ22:AWK22" si="19">IFERROR(AVERAGE(ATZ6:ATZ21),"")</f>
        <v/>
      </c>
      <c r="AUA22" s="73" t="str">
        <f t="shared" si="19"/>
        <v/>
      </c>
      <c r="AUB22" s="73" t="str">
        <f t="shared" si="19"/>
        <v/>
      </c>
      <c r="AUC22" s="73" t="str">
        <f t="shared" si="19"/>
        <v/>
      </c>
      <c r="AUD22" s="73" t="str">
        <f t="shared" si="19"/>
        <v/>
      </c>
      <c r="AUE22" s="73" t="str">
        <f t="shared" si="19"/>
        <v/>
      </c>
      <c r="AUF22" s="73" t="str">
        <f t="shared" si="19"/>
        <v/>
      </c>
      <c r="AUG22" s="73" t="str">
        <f t="shared" si="19"/>
        <v/>
      </c>
      <c r="AUH22" s="73" t="str">
        <f t="shared" si="19"/>
        <v/>
      </c>
      <c r="AUI22" s="73" t="str">
        <f t="shared" si="19"/>
        <v/>
      </c>
      <c r="AUJ22" s="73" t="str">
        <f t="shared" si="19"/>
        <v/>
      </c>
      <c r="AUK22" s="73" t="str">
        <f t="shared" si="19"/>
        <v/>
      </c>
      <c r="AUL22" s="73" t="str">
        <f t="shared" si="19"/>
        <v/>
      </c>
      <c r="AUM22" s="73" t="str">
        <f t="shared" si="19"/>
        <v/>
      </c>
      <c r="AUN22" s="73" t="str">
        <f t="shared" si="19"/>
        <v/>
      </c>
      <c r="AUO22" s="73" t="str">
        <f t="shared" si="19"/>
        <v/>
      </c>
      <c r="AUP22" s="73" t="str">
        <f t="shared" si="19"/>
        <v/>
      </c>
      <c r="AUQ22" s="73" t="str">
        <f t="shared" si="19"/>
        <v/>
      </c>
      <c r="AUR22" s="73" t="str">
        <f t="shared" si="19"/>
        <v/>
      </c>
      <c r="AUS22" s="73" t="str">
        <f t="shared" si="19"/>
        <v/>
      </c>
      <c r="AUT22" s="73" t="str">
        <f t="shared" si="19"/>
        <v/>
      </c>
      <c r="AUU22" s="73" t="str">
        <f t="shared" si="19"/>
        <v/>
      </c>
      <c r="AUV22" s="73" t="str">
        <f t="shared" si="19"/>
        <v/>
      </c>
      <c r="AUW22" s="73" t="str">
        <f t="shared" si="19"/>
        <v/>
      </c>
      <c r="AUX22" s="73" t="str">
        <f t="shared" si="19"/>
        <v/>
      </c>
      <c r="AUY22" s="73" t="str">
        <f t="shared" si="19"/>
        <v/>
      </c>
      <c r="AUZ22" s="73" t="str">
        <f t="shared" si="19"/>
        <v/>
      </c>
      <c r="AVA22" s="73" t="str">
        <f t="shared" si="19"/>
        <v/>
      </c>
      <c r="AVB22" s="73" t="str">
        <f t="shared" si="19"/>
        <v/>
      </c>
      <c r="AVC22" s="73" t="str">
        <f t="shared" si="19"/>
        <v/>
      </c>
      <c r="AVD22" s="73" t="str">
        <f t="shared" si="19"/>
        <v/>
      </c>
      <c r="AVE22" s="73" t="str">
        <f t="shared" si="19"/>
        <v/>
      </c>
      <c r="AVF22" s="73" t="str">
        <f t="shared" si="19"/>
        <v/>
      </c>
      <c r="AVG22" s="73" t="str">
        <f t="shared" si="19"/>
        <v/>
      </c>
      <c r="AVH22" s="73" t="str">
        <f t="shared" si="19"/>
        <v/>
      </c>
      <c r="AVI22" s="73" t="str">
        <f t="shared" si="19"/>
        <v/>
      </c>
      <c r="AVJ22" s="73" t="str">
        <f t="shared" si="19"/>
        <v/>
      </c>
      <c r="AVK22" s="73" t="str">
        <f t="shared" si="19"/>
        <v/>
      </c>
      <c r="AVL22" s="73" t="str">
        <f t="shared" si="19"/>
        <v/>
      </c>
      <c r="AVM22" s="73" t="str">
        <f t="shared" si="19"/>
        <v/>
      </c>
      <c r="AVN22" s="73" t="str">
        <f t="shared" si="19"/>
        <v/>
      </c>
      <c r="AVO22" s="73" t="str">
        <f t="shared" si="19"/>
        <v/>
      </c>
      <c r="AVP22" s="73" t="str">
        <f t="shared" si="19"/>
        <v/>
      </c>
      <c r="AVQ22" s="73" t="str">
        <f t="shared" si="19"/>
        <v/>
      </c>
      <c r="AVR22" s="73" t="str">
        <f t="shared" si="19"/>
        <v/>
      </c>
      <c r="AVS22" s="73" t="str">
        <f t="shared" si="19"/>
        <v/>
      </c>
      <c r="AVT22" s="73" t="str">
        <f t="shared" si="19"/>
        <v/>
      </c>
      <c r="AVU22" s="73" t="str">
        <f t="shared" si="19"/>
        <v/>
      </c>
      <c r="AVV22" s="73" t="str">
        <f t="shared" si="19"/>
        <v/>
      </c>
      <c r="AVW22" s="73" t="str">
        <f t="shared" si="19"/>
        <v/>
      </c>
      <c r="AVX22" s="73" t="str">
        <f t="shared" si="19"/>
        <v/>
      </c>
      <c r="AVY22" s="73" t="str">
        <f t="shared" si="19"/>
        <v/>
      </c>
      <c r="AVZ22" s="73" t="str">
        <f t="shared" si="19"/>
        <v/>
      </c>
      <c r="AWA22" s="73" t="str">
        <f t="shared" si="19"/>
        <v/>
      </c>
      <c r="AWB22" s="73" t="str">
        <f t="shared" si="19"/>
        <v/>
      </c>
      <c r="AWC22" s="73" t="str">
        <f t="shared" si="19"/>
        <v/>
      </c>
      <c r="AWD22" s="73" t="str">
        <f t="shared" si="19"/>
        <v/>
      </c>
      <c r="AWE22" s="73" t="str">
        <f t="shared" si="19"/>
        <v/>
      </c>
      <c r="AWF22" s="73" t="str">
        <f t="shared" si="19"/>
        <v/>
      </c>
      <c r="AWG22" s="73" t="str">
        <f t="shared" si="19"/>
        <v/>
      </c>
      <c r="AWH22" s="73" t="str">
        <f t="shared" si="19"/>
        <v/>
      </c>
      <c r="AWI22" s="73" t="str">
        <f t="shared" si="19"/>
        <v/>
      </c>
      <c r="AWJ22" s="73" t="str">
        <f t="shared" si="19"/>
        <v/>
      </c>
      <c r="AWK22" s="73" t="str">
        <f t="shared" si="19"/>
        <v/>
      </c>
      <c r="AWL22" s="73" t="str">
        <f t="shared" ref="AWL22:AYW22" si="20">IFERROR(AVERAGE(AWL6:AWL21),"")</f>
        <v/>
      </c>
      <c r="AWM22" s="73" t="str">
        <f t="shared" si="20"/>
        <v/>
      </c>
      <c r="AWN22" s="73" t="str">
        <f t="shared" si="20"/>
        <v/>
      </c>
      <c r="AWO22" s="73" t="str">
        <f t="shared" si="20"/>
        <v/>
      </c>
      <c r="AWP22" s="73" t="str">
        <f t="shared" si="20"/>
        <v/>
      </c>
      <c r="AWQ22" s="73" t="str">
        <f t="shared" si="20"/>
        <v/>
      </c>
      <c r="AWR22" s="73" t="str">
        <f t="shared" si="20"/>
        <v/>
      </c>
      <c r="AWS22" s="73" t="str">
        <f t="shared" si="20"/>
        <v/>
      </c>
      <c r="AWT22" s="73" t="str">
        <f t="shared" si="20"/>
        <v/>
      </c>
      <c r="AWU22" s="73" t="str">
        <f t="shared" si="20"/>
        <v/>
      </c>
      <c r="AWV22" s="73" t="str">
        <f t="shared" si="20"/>
        <v/>
      </c>
      <c r="AWW22" s="73" t="str">
        <f t="shared" si="20"/>
        <v/>
      </c>
      <c r="AWX22" s="73" t="str">
        <f t="shared" si="20"/>
        <v/>
      </c>
      <c r="AWY22" s="73" t="str">
        <f t="shared" si="20"/>
        <v/>
      </c>
      <c r="AWZ22" s="73" t="str">
        <f t="shared" si="20"/>
        <v/>
      </c>
      <c r="AXA22" s="73" t="str">
        <f t="shared" si="20"/>
        <v/>
      </c>
      <c r="AXB22" s="73" t="str">
        <f t="shared" si="20"/>
        <v/>
      </c>
      <c r="AXC22" s="73" t="str">
        <f t="shared" si="20"/>
        <v/>
      </c>
      <c r="AXD22" s="73" t="str">
        <f t="shared" si="20"/>
        <v/>
      </c>
      <c r="AXE22" s="73" t="str">
        <f t="shared" si="20"/>
        <v/>
      </c>
      <c r="AXF22" s="73" t="str">
        <f t="shared" si="20"/>
        <v/>
      </c>
      <c r="AXG22" s="73" t="str">
        <f t="shared" si="20"/>
        <v/>
      </c>
      <c r="AXH22" s="73" t="str">
        <f t="shared" si="20"/>
        <v/>
      </c>
      <c r="AXI22" s="73" t="str">
        <f t="shared" si="20"/>
        <v/>
      </c>
      <c r="AXJ22" s="73" t="str">
        <f t="shared" si="20"/>
        <v/>
      </c>
      <c r="AXK22" s="73" t="str">
        <f t="shared" si="20"/>
        <v/>
      </c>
      <c r="AXL22" s="73" t="str">
        <f t="shared" si="20"/>
        <v/>
      </c>
      <c r="AXM22" s="73" t="str">
        <f t="shared" si="20"/>
        <v/>
      </c>
      <c r="AXN22" s="73" t="str">
        <f t="shared" si="20"/>
        <v/>
      </c>
      <c r="AXO22" s="73" t="str">
        <f t="shared" si="20"/>
        <v/>
      </c>
      <c r="AXP22" s="73" t="str">
        <f t="shared" si="20"/>
        <v/>
      </c>
      <c r="AXQ22" s="73" t="str">
        <f t="shared" si="20"/>
        <v/>
      </c>
      <c r="AXR22" s="73" t="str">
        <f t="shared" si="20"/>
        <v/>
      </c>
      <c r="AXS22" s="73" t="str">
        <f t="shared" si="20"/>
        <v/>
      </c>
      <c r="AXT22" s="73" t="str">
        <f t="shared" si="20"/>
        <v/>
      </c>
      <c r="AXU22" s="73" t="str">
        <f t="shared" si="20"/>
        <v/>
      </c>
      <c r="AXV22" s="73" t="str">
        <f t="shared" si="20"/>
        <v/>
      </c>
      <c r="AXW22" s="73" t="str">
        <f t="shared" si="20"/>
        <v/>
      </c>
      <c r="AXX22" s="73" t="str">
        <f t="shared" si="20"/>
        <v/>
      </c>
      <c r="AXY22" s="73" t="str">
        <f t="shared" si="20"/>
        <v/>
      </c>
      <c r="AXZ22" s="73" t="str">
        <f t="shared" si="20"/>
        <v/>
      </c>
      <c r="AYA22" s="73" t="str">
        <f t="shared" si="20"/>
        <v/>
      </c>
      <c r="AYB22" s="73" t="str">
        <f t="shared" si="20"/>
        <v/>
      </c>
      <c r="AYC22" s="73" t="str">
        <f t="shared" si="20"/>
        <v/>
      </c>
      <c r="AYD22" s="73" t="str">
        <f t="shared" si="20"/>
        <v/>
      </c>
      <c r="AYE22" s="73" t="str">
        <f t="shared" si="20"/>
        <v/>
      </c>
      <c r="AYF22" s="73" t="str">
        <f t="shared" si="20"/>
        <v/>
      </c>
      <c r="AYG22" s="73" t="str">
        <f t="shared" si="20"/>
        <v/>
      </c>
      <c r="AYH22" s="73" t="str">
        <f t="shared" si="20"/>
        <v/>
      </c>
      <c r="AYI22" s="73" t="str">
        <f t="shared" si="20"/>
        <v/>
      </c>
      <c r="AYJ22" s="73" t="str">
        <f t="shared" si="20"/>
        <v/>
      </c>
      <c r="AYK22" s="73" t="str">
        <f t="shared" si="20"/>
        <v/>
      </c>
      <c r="AYL22" s="73" t="str">
        <f t="shared" si="20"/>
        <v/>
      </c>
      <c r="AYM22" s="73" t="str">
        <f t="shared" si="20"/>
        <v/>
      </c>
      <c r="AYN22" s="73" t="str">
        <f t="shared" si="20"/>
        <v/>
      </c>
      <c r="AYO22" s="73" t="str">
        <f t="shared" si="20"/>
        <v/>
      </c>
      <c r="AYP22" s="73" t="str">
        <f t="shared" si="20"/>
        <v/>
      </c>
      <c r="AYQ22" s="73" t="str">
        <f t="shared" si="20"/>
        <v/>
      </c>
      <c r="AYR22" s="73" t="str">
        <f t="shared" si="20"/>
        <v/>
      </c>
      <c r="AYS22" s="73" t="str">
        <f t="shared" si="20"/>
        <v/>
      </c>
      <c r="AYT22" s="73" t="str">
        <f t="shared" si="20"/>
        <v/>
      </c>
      <c r="AYU22" s="73" t="str">
        <f t="shared" si="20"/>
        <v/>
      </c>
      <c r="AYV22" s="73" t="str">
        <f t="shared" si="20"/>
        <v/>
      </c>
      <c r="AYW22" s="73" t="str">
        <f t="shared" si="20"/>
        <v/>
      </c>
      <c r="AYX22" s="73" t="str">
        <f t="shared" ref="AYX22:BBI22" si="21">IFERROR(AVERAGE(AYX6:AYX21),"")</f>
        <v/>
      </c>
      <c r="AYY22" s="73" t="str">
        <f t="shared" si="21"/>
        <v/>
      </c>
      <c r="AYZ22" s="73" t="str">
        <f t="shared" si="21"/>
        <v/>
      </c>
      <c r="AZA22" s="73" t="str">
        <f t="shared" si="21"/>
        <v/>
      </c>
      <c r="AZB22" s="73" t="str">
        <f t="shared" si="21"/>
        <v/>
      </c>
      <c r="AZC22" s="73" t="str">
        <f t="shared" si="21"/>
        <v/>
      </c>
      <c r="AZD22" s="73" t="str">
        <f t="shared" si="21"/>
        <v/>
      </c>
      <c r="AZE22" s="73" t="str">
        <f t="shared" si="21"/>
        <v/>
      </c>
      <c r="AZF22" s="73" t="str">
        <f t="shared" si="21"/>
        <v/>
      </c>
      <c r="AZG22" s="73" t="str">
        <f t="shared" si="21"/>
        <v/>
      </c>
      <c r="AZH22" s="73" t="str">
        <f t="shared" si="21"/>
        <v/>
      </c>
      <c r="AZI22" s="73" t="str">
        <f t="shared" si="21"/>
        <v/>
      </c>
      <c r="AZJ22" s="73" t="str">
        <f t="shared" si="21"/>
        <v/>
      </c>
      <c r="AZK22" s="73" t="str">
        <f t="shared" si="21"/>
        <v/>
      </c>
      <c r="AZL22" s="73" t="str">
        <f t="shared" si="21"/>
        <v/>
      </c>
      <c r="AZM22" s="73" t="str">
        <f t="shared" si="21"/>
        <v/>
      </c>
      <c r="AZN22" s="73" t="str">
        <f t="shared" si="21"/>
        <v/>
      </c>
      <c r="AZO22" s="73" t="str">
        <f t="shared" si="21"/>
        <v/>
      </c>
      <c r="AZP22" s="73" t="str">
        <f t="shared" si="21"/>
        <v/>
      </c>
      <c r="AZQ22" s="73" t="str">
        <f t="shared" si="21"/>
        <v/>
      </c>
      <c r="AZR22" s="73" t="str">
        <f t="shared" si="21"/>
        <v/>
      </c>
      <c r="AZS22" s="73" t="str">
        <f t="shared" si="21"/>
        <v/>
      </c>
      <c r="AZT22" s="73" t="str">
        <f t="shared" si="21"/>
        <v/>
      </c>
      <c r="AZU22" s="73" t="str">
        <f t="shared" si="21"/>
        <v/>
      </c>
      <c r="AZV22" s="73" t="str">
        <f t="shared" si="21"/>
        <v/>
      </c>
      <c r="AZW22" s="73" t="str">
        <f t="shared" si="21"/>
        <v/>
      </c>
      <c r="AZX22" s="73" t="str">
        <f t="shared" si="21"/>
        <v/>
      </c>
      <c r="AZY22" s="73" t="str">
        <f t="shared" si="21"/>
        <v/>
      </c>
      <c r="AZZ22" s="73" t="str">
        <f t="shared" si="21"/>
        <v/>
      </c>
      <c r="BAA22" s="73" t="str">
        <f t="shared" si="21"/>
        <v/>
      </c>
      <c r="BAB22" s="73" t="str">
        <f t="shared" si="21"/>
        <v/>
      </c>
      <c r="BAC22" s="73" t="str">
        <f t="shared" si="21"/>
        <v/>
      </c>
      <c r="BAD22" s="73" t="str">
        <f t="shared" si="21"/>
        <v/>
      </c>
      <c r="BAE22" s="73" t="str">
        <f t="shared" si="21"/>
        <v/>
      </c>
      <c r="BAF22" s="73" t="str">
        <f t="shared" si="21"/>
        <v/>
      </c>
      <c r="BAG22" s="73" t="str">
        <f t="shared" si="21"/>
        <v/>
      </c>
      <c r="BAH22" s="73" t="str">
        <f t="shared" si="21"/>
        <v/>
      </c>
      <c r="BAI22" s="73" t="str">
        <f t="shared" si="21"/>
        <v/>
      </c>
      <c r="BAJ22" s="73" t="str">
        <f t="shared" si="21"/>
        <v/>
      </c>
      <c r="BAK22" s="73" t="str">
        <f t="shared" si="21"/>
        <v/>
      </c>
      <c r="BAL22" s="73" t="str">
        <f t="shared" si="21"/>
        <v/>
      </c>
      <c r="BAM22" s="73" t="str">
        <f t="shared" si="21"/>
        <v/>
      </c>
      <c r="BAN22" s="73" t="str">
        <f t="shared" si="21"/>
        <v/>
      </c>
      <c r="BAO22" s="73" t="str">
        <f t="shared" si="21"/>
        <v/>
      </c>
      <c r="BAP22" s="73" t="str">
        <f t="shared" si="21"/>
        <v/>
      </c>
      <c r="BAQ22" s="73" t="str">
        <f t="shared" si="21"/>
        <v/>
      </c>
      <c r="BAR22" s="73" t="str">
        <f t="shared" si="21"/>
        <v/>
      </c>
      <c r="BAS22" s="73" t="str">
        <f t="shared" si="21"/>
        <v/>
      </c>
      <c r="BAT22" s="73" t="str">
        <f t="shared" si="21"/>
        <v/>
      </c>
      <c r="BAU22" s="73" t="str">
        <f t="shared" si="21"/>
        <v/>
      </c>
      <c r="BAV22" s="73" t="str">
        <f t="shared" si="21"/>
        <v/>
      </c>
      <c r="BAW22" s="73" t="str">
        <f t="shared" si="21"/>
        <v/>
      </c>
      <c r="BAX22" s="73" t="str">
        <f t="shared" si="21"/>
        <v/>
      </c>
      <c r="BAY22" s="73" t="str">
        <f t="shared" si="21"/>
        <v/>
      </c>
      <c r="BAZ22" s="73" t="str">
        <f t="shared" si="21"/>
        <v/>
      </c>
      <c r="BBA22" s="73" t="str">
        <f t="shared" si="21"/>
        <v/>
      </c>
      <c r="BBB22" s="73" t="str">
        <f t="shared" si="21"/>
        <v/>
      </c>
      <c r="BBC22" s="73" t="str">
        <f t="shared" si="21"/>
        <v/>
      </c>
      <c r="BBD22" s="73" t="str">
        <f t="shared" si="21"/>
        <v/>
      </c>
      <c r="BBE22" s="73" t="str">
        <f t="shared" si="21"/>
        <v/>
      </c>
      <c r="BBF22" s="73" t="str">
        <f t="shared" si="21"/>
        <v/>
      </c>
      <c r="BBG22" s="73" t="str">
        <f t="shared" si="21"/>
        <v/>
      </c>
      <c r="BBH22" s="73" t="str">
        <f t="shared" si="21"/>
        <v/>
      </c>
      <c r="BBI22" s="73" t="str">
        <f t="shared" si="21"/>
        <v/>
      </c>
      <c r="BBJ22" s="73" t="str">
        <f t="shared" ref="BBJ22:BDU22" si="22">IFERROR(AVERAGE(BBJ6:BBJ21),"")</f>
        <v/>
      </c>
      <c r="BBK22" s="73" t="str">
        <f t="shared" si="22"/>
        <v/>
      </c>
      <c r="BBL22" s="73" t="str">
        <f t="shared" si="22"/>
        <v/>
      </c>
      <c r="BBM22" s="73" t="str">
        <f t="shared" si="22"/>
        <v/>
      </c>
      <c r="BBN22" s="73" t="str">
        <f t="shared" si="22"/>
        <v/>
      </c>
      <c r="BBO22" s="73" t="str">
        <f t="shared" si="22"/>
        <v/>
      </c>
      <c r="BBP22" s="73" t="str">
        <f t="shared" si="22"/>
        <v/>
      </c>
      <c r="BBQ22" s="73" t="str">
        <f t="shared" si="22"/>
        <v/>
      </c>
      <c r="BBR22" s="73" t="str">
        <f t="shared" si="22"/>
        <v/>
      </c>
      <c r="BBS22" s="73" t="str">
        <f t="shared" si="22"/>
        <v/>
      </c>
      <c r="BBT22" s="73" t="str">
        <f t="shared" si="22"/>
        <v/>
      </c>
      <c r="BBU22" s="73" t="str">
        <f t="shared" si="22"/>
        <v/>
      </c>
      <c r="BBV22" s="73" t="str">
        <f t="shared" si="22"/>
        <v/>
      </c>
      <c r="BBW22" s="73" t="str">
        <f t="shared" si="22"/>
        <v/>
      </c>
      <c r="BBX22" s="73" t="str">
        <f t="shared" si="22"/>
        <v/>
      </c>
      <c r="BBY22" s="73" t="str">
        <f t="shared" si="22"/>
        <v/>
      </c>
      <c r="BBZ22" s="73" t="str">
        <f t="shared" si="22"/>
        <v/>
      </c>
      <c r="BCA22" s="73" t="str">
        <f t="shared" si="22"/>
        <v/>
      </c>
      <c r="BCB22" s="73" t="str">
        <f t="shared" si="22"/>
        <v/>
      </c>
      <c r="BCC22" s="73" t="str">
        <f t="shared" si="22"/>
        <v/>
      </c>
      <c r="BCD22" s="73" t="str">
        <f t="shared" si="22"/>
        <v/>
      </c>
      <c r="BCE22" s="73" t="str">
        <f t="shared" si="22"/>
        <v/>
      </c>
      <c r="BCF22" s="73" t="str">
        <f t="shared" si="22"/>
        <v/>
      </c>
      <c r="BCG22" s="73" t="str">
        <f t="shared" si="22"/>
        <v/>
      </c>
      <c r="BCH22" s="73" t="str">
        <f t="shared" si="22"/>
        <v/>
      </c>
      <c r="BCI22" s="73" t="str">
        <f t="shared" si="22"/>
        <v/>
      </c>
      <c r="BCJ22" s="73" t="str">
        <f t="shared" si="22"/>
        <v/>
      </c>
      <c r="BCK22" s="73" t="str">
        <f t="shared" si="22"/>
        <v/>
      </c>
      <c r="BCL22" s="73" t="str">
        <f t="shared" si="22"/>
        <v/>
      </c>
      <c r="BCM22" s="73" t="str">
        <f t="shared" si="22"/>
        <v/>
      </c>
      <c r="BCN22" s="73" t="str">
        <f t="shared" si="22"/>
        <v/>
      </c>
      <c r="BCO22" s="73" t="str">
        <f t="shared" si="22"/>
        <v/>
      </c>
      <c r="BCP22" s="73" t="str">
        <f t="shared" si="22"/>
        <v/>
      </c>
      <c r="BCQ22" s="73" t="str">
        <f t="shared" si="22"/>
        <v/>
      </c>
      <c r="BCR22" s="73" t="str">
        <f t="shared" si="22"/>
        <v/>
      </c>
      <c r="BCS22" s="73" t="str">
        <f t="shared" si="22"/>
        <v/>
      </c>
      <c r="BCT22" s="73" t="str">
        <f t="shared" si="22"/>
        <v/>
      </c>
      <c r="BCU22" s="73" t="str">
        <f t="shared" si="22"/>
        <v/>
      </c>
      <c r="BCV22" s="73" t="str">
        <f t="shared" si="22"/>
        <v/>
      </c>
      <c r="BCW22" s="73" t="str">
        <f t="shared" si="22"/>
        <v/>
      </c>
      <c r="BCX22" s="73" t="str">
        <f t="shared" si="22"/>
        <v/>
      </c>
      <c r="BCY22" s="73" t="str">
        <f t="shared" si="22"/>
        <v/>
      </c>
      <c r="BCZ22" s="73" t="str">
        <f t="shared" si="22"/>
        <v/>
      </c>
      <c r="BDA22" s="73" t="str">
        <f t="shared" si="22"/>
        <v/>
      </c>
      <c r="BDB22" s="73" t="str">
        <f t="shared" si="22"/>
        <v/>
      </c>
      <c r="BDC22" s="73" t="str">
        <f t="shared" si="22"/>
        <v/>
      </c>
      <c r="BDD22" s="73" t="str">
        <f t="shared" si="22"/>
        <v/>
      </c>
      <c r="BDE22" s="73" t="str">
        <f t="shared" si="22"/>
        <v/>
      </c>
      <c r="BDF22" s="73" t="str">
        <f t="shared" si="22"/>
        <v/>
      </c>
      <c r="BDG22" s="73" t="str">
        <f t="shared" si="22"/>
        <v/>
      </c>
      <c r="BDH22" s="73" t="str">
        <f t="shared" si="22"/>
        <v/>
      </c>
      <c r="BDI22" s="73" t="str">
        <f t="shared" si="22"/>
        <v/>
      </c>
      <c r="BDJ22" s="73" t="str">
        <f t="shared" si="22"/>
        <v/>
      </c>
      <c r="BDK22" s="73" t="str">
        <f t="shared" si="22"/>
        <v/>
      </c>
      <c r="BDL22" s="73" t="str">
        <f t="shared" si="22"/>
        <v/>
      </c>
      <c r="BDM22" s="73" t="str">
        <f t="shared" si="22"/>
        <v/>
      </c>
      <c r="BDN22" s="73" t="str">
        <f t="shared" si="22"/>
        <v/>
      </c>
      <c r="BDO22" s="73" t="str">
        <f t="shared" si="22"/>
        <v/>
      </c>
      <c r="BDP22" s="73" t="str">
        <f t="shared" si="22"/>
        <v/>
      </c>
      <c r="BDQ22" s="73" t="str">
        <f t="shared" si="22"/>
        <v/>
      </c>
      <c r="BDR22" s="73" t="str">
        <f t="shared" si="22"/>
        <v/>
      </c>
      <c r="BDS22" s="73" t="str">
        <f t="shared" si="22"/>
        <v/>
      </c>
      <c r="BDT22" s="73" t="str">
        <f t="shared" si="22"/>
        <v/>
      </c>
      <c r="BDU22" s="73" t="str">
        <f t="shared" si="22"/>
        <v/>
      </c>
      <c r="BDV22" s="73" t="str">
        <f t="shared" ref="BDV22:BGG22" si="23">IFERROR(AVERAGE(BDV6:BDV21),"")</f>
        <v/>
      </c>
      <c r="BDW22" s="73" t="str">
        <f t="shared" si="23"/>
        <v/>
      </c>
      <c r="BDX22" s="73" t="str">
        <f t="shared" si="23"/>
        <v/>
      </c>
      <c r="BDY22" s="73" t="str">
        <f t="shared" si="23"/>
        <v/>
      </c>
      <c r="BDZ22" s="73" t="str">
        <f t="shared" si="23"/>
        <v/>
      </c>
      <c r="BEA22" s="73" t="str">
        <f t="shared" si="23"/>
        <v/>
      </c>
      <c r="BEB22" s="73" t="str">
        <f t="shared" si="23"/>
        <v/>
      </c>
      <c r="BEC22" s="73" t="str">
        <f t="shared" si="23"/>
        <v/>
      </c>
      <c r="BED22" s="73" t="str">
        <f t="shared" si="23"/>
        <v/>
      </c>
      <c r="BEE22" s="73" t="str">
        <f t="shared" si="23"/>
        <v/>
      </c>
      <c r="BEF22" s="73" t="str">
        <f t="shared" si="23"/>
        <v/>
      </c>
      <c r="BEG22" s="73" t="str">
        <f t="shared" si="23"/>
        <v/>
      </c>
      <c r="BEH22" s="73" t="str">
        <f t="shared" si="23"/>
        <v/>
      </c>
      <c r="BEI22" s="73" t="str">
        <f t="shared" si="23"/>
        <v/>
      </c>
      <c r="BEJ22" s="73" t="str">
        <f t="shared" si="23"/>
        <v/>
      </c>
      <c r="BEK22" s="73" t="str">
        <f t="shared" si="23"/>
        <v/>
      </c>
      <c r="BEL22" s="73" t="str">
        <f t="shared" si="23"/>
        <v/>
      </c>
      <c r="BEM22" s="73" t="str">
        <f t="shared" si="23"/>
        <v/>
      </c>
      <c r="BEN22" s="73" t="str">
        <f t="shared" si="23"/>
        <v/>
      </c>
      <c r="BEO22" s="73" t="str">
        <f t="shared" si="23"/>
        <v/>
      </c>
      <c r="BEP22" s="73" t="str">
        <f t="shared" si="23"/>
        <v/>
      </c>
      <c r="BEQ22" s="73" t="str">
        <f t="shared" si="23"/>
        <v/>
      </c>
      <c r="BER22" s="73" t="str">
        <f t="shared" si="23"/>
        <v/>
      </c>
      <c r="BES22" s="73" t="str">
        <f t="shared" si="23"/>
        <v/>
      </c>
      <c r="BET22" s="73" t="str">
        <f t="shared" si="23"/>
        <v/>
      </c>
      <c r="BEU22" s="73" t="str">
        <f t="shared" si="23"/>
        <v/>
      </c>
      <c r="BEV22" s="73" t="str">
        <f t="shared" si="23"/>
        <v/>
      </c>
      <c r="BEW22" s="73" t="str">
        <f t="shared" si="23"/>
        <v/>
      </c>
      <c r="BEX22" s="73" t="str">
        <f t="shared" si="23"/>
        <v/>
      </c>
      <c r="BEY22" s="73" t="str">
        <f t="shared" si="23"/>
        <v/>
      </c>
      <c r="BEZ22" s="73" t="str">
        <f t="shared" si="23"/>
        <v/>
      </c>
      <c r="BFA22" s="73" t="str">
        <f t="shared" si="23"/>
        <v/>
      </c>
      <c r="BFB22" s="73" t="str">
        <f t="shared" si="23"/>
        <v/>
      </c>
      <c r="BFC22" s="73" t="str">
        <f t="shared" si="23"/>
        <v/>
      </c>
      <c r="BFD22" s="73" t="str">
        <f t="shared" si="23"/>
        <v/>
      </c>
      <c r="BFE22" s="73" t="str">
        <f t="shared" si="23"/>
        <v/>
      </c>
      <c r="BFF22" s="73" t="str">
        <f t="shared" si="23"/>
        <v/>
      </c>
      <c r="BFG22" s="73" t="str">
        <f t="shared" si="23"/>
        <v/>
      </c>
      <c r="BFH22" s="73" t="str">
        <f t="shared" si="23"/>
        <v/>
      </c>
      <c r="BFI22" s="73" t="str">
        <f t="shared" si="23"/>
        <v/>
      </c>
      <c r="BFJ22" s="73" t="str">
        <f t="shared" si="23"/>
        <v/>
      </c>
      <c r="BFK22" s="73" t="str">
        <f t="shared" si="23"/>
        <v/>
      </c>
      <c r="BFL22" s="73" t="str">
        <f t="shared" si="23"/>
        <v/>
      </c>
      <c r="BFM22" s="73" t="str">
        <f t="shared" si="23"/>
        <v/>
      </c>
      <c r="BFN22" s="73" t="str">
        <f t="shared" si="23"/>
        <v/>
      </c>
      <c r="BFO22" s="73" t="str">
        <f t="shared" si="23"/>
        <v/>
      </c>
      <c r="BFP22" s="73" t="str">
        <f t="shared" si="23"/>
        <v/>
      </c>
      <c r="BFQ22" s="73" t="str">
        <f t="shared" si="23"/>
        <v/>
      </c>
      <c r="BFR22" s="73" t="str">
        <f t="shared" si="23"/>
        <v/>
      </c>
      <c r="BFS22" s="73" t="str">
        <f t="shared" si="23"/>
        <v/>
      </c>
      <c r="BFT22" s="73" t="str">
        <f t="shared" si="23"/>
        <v/>
      </c>
      <c r="BFU22" s="73" t="str">
        <f t="shared" si="23"/>
        <v/>
      </c>
      <c r="BFV22" s="73" t="str">
        <f t="shared" si="23"/>
        <v/>
      </c>
      <c r="BFW22" s="73" t="str">
        <f t="shared" si="23"/>
        <v/>
      </c>
      <c r="BFX22" s="73" t="str">
        <f t="shared" si="23"/>
        <v/>
      </c>
      <c r="BFY22" s="73" t="str">
        <f t="shared" si="23"/>
        <v/>
      </c>
      <c r="BFZ22" s="73" t="str">
        <f t="shared" si="23"/>
        <v/>
      </c>
      <c r="BGA22" s="73" t="str">
        <f t="shared" si="23"/>
        <v/>
      </c>
      <c r="BGB22" s="73" t="str">
        <f t="shared" si="23"/>
        <v/>
      </c>
      <c r="BGC22" s="73" t="str">
        <f t="shared" si="23"/>
        <v/>
      </c>
      <c r="BGD22" s="73" t="str">
        <f t="shared" si="23"/>
        <v/>
      </c>
      <c r="BGE22" s="73" t="str">
        <f t="shared" si="23"/>
        <v/>
      </c>
      <c r="BGF22" s="73" t="str">
        <f t="shared" si="23"/>
        <v/>
      </c>
      <c r="BGG22" s="73" t="str">
        <f t="shared" si="23"/>
        <v/>
      </c>
      <c r="BGH22" s="73" t="str">
        <f t="shared" ref="BGH22:BIS22" si="24">IFERROR(AVERAGE(BGH6:BGH21),"")</f>
        <v/>
      </c>
      <c r="BGI22" s="73" t="str">
        <f t="shared" si="24"/>
        <v/>
      </c>
      <c r="BGJ22" s="73" t="str">
        <f t="shared" si="24"/>
        <v/>
      </c>
      <c r="BGK22" s="73" t="str">
        <f t="shared" si="24"/>
        <v/>
      </c>
      <c r="BGL22" s="73" t="str">
        <f t="shared" si="24"/>
        <v/>
      </c>
      <c r="BGM22" s="73" t="str">
        <f t="shared" si="24"/>
        <v/>
      </c>
      <c r="BGN22" s="73" t="str">
        <f t="shared" si="24"/>
        <v/>
      </c>
      <c r="BGO22" s="73" t="str">
        <f t="shared" si="24"/>
        <v/>
      </c>
      <c r="BGP22" s="73" t="str">
        <f t="shared" si="24"/>
        <v/>
      </c>
      <c r="BGQ22" s="73" t="str">
        <f t="shared" si="24"/>
        <v/>
      </c>
      <c r="BGR22" s="73" t="str">
        <f t="shared" si="24"/>
        <v/>
      </c>
      <c r="BGS22" s="73" t="str">
        <f t="shared" si="24"/>
        <v/>
      </c>
      <c r="BGT22" s="73" t="str">
        <f t="shared" si="24"/>
        <v/>
      </c>
      <c r="BGU22" s="73" t="str">
        <f t="shared" si="24"/>
        <v/>
      </c>
      <c r="BGV22" s="73" t="str">
        <f t="shared" si="24"/>
        <v/>
      </c>
      <c r="BGW22" s="73" t="str">
        <f t="shared" si="24"/>
        <v/>
      </c>
      <c r="BGX22" s="73" t="str">
        <f t="shared" si="24"/>
        <v/>
      </c>
      <c r="BGY22" s="73" t="str">
        <f t="shared" si="24"/>
        <v/>
      </c>
      <c r="BGZ22" s="73" t="str">
        <f t="shared" si="24"/>
        <v/>
      </c>
      <c r="BHA22" s="73" t="str">
        <f t="shared" si="24"/>
        <v/>
      </c>
      <c r="BHB22" s="73" t="str">
        <f t="shared" si="24"/>
        <v/>
      </c>
      <c r="BHC22" s="73" t="str">
        <f t="shared" si="24"/>
        <v/>
      </c>
      <c r="BHD22" s="73" t="str">
        <f t="shared" si="24"/>
        <v/>
      </c>
      <c r="BHE22" s="73" t="str">
        <f t="shared" si="24"/>
        <v/>
      </c>
      <c r="BHF22" s="73" t="str">
        <f t="shared" si="24"/>
        <v/>
      </c>
      <c r="BHG22" s="73" t="str">
        <f t="shared" si="24"/>
        <v/>
      </c>
      <c r="BHH22" s="73" t="str">
        <f t="shared" si="24"/>
        <v/>
      </c>
      <c r="BHI22" s="73" t="str">
        <f t="shared" si="24"/>
        <v/>
      </c>
      <c r="BHJ22" s="73" t="str">
        <f t="shared" si="24"/>
        <v/>
      </c>
      <c r="BHK22" s="73" t="str">
        <f t="shared" si="24"/>
        <v/>
      </c>
      <c r="BHL22" s="73" t="str">
        <f t="shared" si="24"/>
        <v/>
      </c>
      <c r="BHM22" s="73" t="str">
        <f t="shared" si="24"/>
        <v/>
      </c>
      <c r="BHN22" s="73" t="str">
        <f t="shared" si="24"/>
        <v/>
      </c>
      <c r="BHO22" s="73" t="str">
        <f t="shared" si="24"/>
        <v/>
      </c>
      <c r="BHP22" s="73" t="str">
        <f t="shared" si="24"/>
        <v/>
      </c>
      <c r="BHQ22" s="73" t="str">
        <f t="shared" si="24"/>
        <v/>
      </c>
      <c r="BHR22" s="73" t="str">
        <f t="shared" si="24"/>
        <v/>
      </c>
      <c r="BHS22" s="73" t="str">
        <f t="shared" si="24"/>
        <v/>
      </c>
      <c r="BHT22" s="73" t="str">
        <f t="shared" si="24"/>
        <v/>
      </c>
      <c r="BHU22" s="73" t="str">
        <f t="shared" si="24"/>
        <v/>
      </c>
      <c r="BHV22" s="73" t="str">
        <f t="shared" si="24"/>
        <v/>
      </c>
      <c r="BHW22" s="73" t="str">
        <f t="shared" si="24"/>
        <v/>
      </c>
      <c r="BHX22" s="73" t="str">
        <f t="shared" si="24"/>
        <v/>
      </c>
      <c r="BHY22" s="73" t="str">
        <f t="shared" si="24"/>
        <v/>
      </c>
      <c r="BHZ22" s="73" t="str">
        <f t="shared" si="24"/>
        <v/>
      </c>
      <c r="BIA22" s="73" t="str">
        <f t="shared" si="24"/>
        <v/>
      </c>
      <c r="BIB22" s="73" t="str">
        <f t="shared" si="24"/>
        <v/>
      </c>
      <c r="BIC22" s="73" t="str">
        <f t="shared" si="24"/>
        <v/>
      </c>
      <c r="BID22" s="73" t="str">
        <f t="shared" si="24"/>
        <v/>
      </c>
      <c r="BIE22" s="73" t="str">
        <f t="shared" si="24"/>
        <v/>
      </c>
      <c r="BIF22" s="73" t="str">
        <f t="shared" si="24"/>
        <v/>
      </c>
      <c r="BIG22" s="73" t="str">
        <f t="shared" si="24"/>
        <v/>
      </c>
      <c r="BIH22" s="73" t="str">
        <f t="shared" si="24"/>
        <v/>
      </c>
      <c r="BII22" s="73" t="str">
        <f t="shared" si="24"/>
        <v/>
      </c>
      <c r="BIJ22" s="73" t="str">
        <f t="shared" si="24"/>
        <v/>
      </c>
      <c r="BIK22" s="73" t="str">
        <f t="shared" si="24"/>
        <v/>
      </c>
      <c r="BIL22" s="73" t="str">
        <f t="shared" si="24"/>
        <v/>
      </c>
      <c r="BIM22" s="73" t="str">
        <f t="shared" si="24"/>
        <v/>
      </c>
      <c r="BIN22" s="73" t="str">
        <f t="shared" si="24"/>
        <v/>
      </c>
      <c r="BIO22" s="73" t="str">
        <f t="shared" si="24"/>
        <v/>
      </c>
      <c r="BIP22" s="73" t="str">
        <f t="shared" si="24"/>
        <v/>
      </c>
      <c r="BIQ22" s="73" t="str">
        <f t="shared" si="24"/>
        <v/>
      </c>
      <c r="BIR22" s="73" t="str">
        <f t="shared" si="24"/>
        <v/>
      </c>
      <c r="BIS22" s="73" t="str">
        <f t="shared" si="24"/>
        <v/>
      </c>
      <c r="BIT22" s="73" t="str">
        <f t="shared" ref="BIT22:BLE22" si="25">IFERROR(AVERAGE(BIT6:BIT21),"")</f>
        <v/>
      </c>
      <c r="BIU22" s="73" t="str">
        <f t="shared" si="25"/>
        <v/>
      </c>
      <c r="BIV22" s="73" t="str">
        <f t="shared" si="25"/>
        <v/>
      </c>
      <c r="BIW22" s="73" t="str">
        <f t="shared" si="25"/>
        <v/>
      </c>
      <c r="BIX22" s="73" t="str">
        <f t="shared" si="25"/>
        <v/>
      </c>
      <c r="BIY22" s="73" t="str">
        <f t="shared" si="25"/>
        <v/>
      </c>
      <c r="BIZ22" s="73" t="str">
        <f t="shared" si="25"/>
        <v/>
      </c>
      <c r="BJA22" s="73" t="str">
        <f t="shared" si="25"/>
        <v/>
      </c>
      <c r="BJB22" s="73" t="str">
        <f t="shared" si="25"/>
        <v/>
      </c>
      <c r="BJC22" s="73" t="str">
        <f t="shared" si="25"/>
        <v/>
      </c>
      <c r="BJD22" s="73" t="str">
        <f t="shared" si="25"/>
        <v/>
      </c>
      <c r="BJE22" s="73" t="str">
        <f t="shared" si="25"/>
        <v/>
      </c>
      <c r="BJF22" s="73" t="str">
        <f t="shared" si="25"/>
        <v/>
      </c>
      <c r="BJG22" s="73" t="str">
        <f t="shared" si="25"/>
        <v/>
      </c>
      <c r="BJH22" s="73" t="str">
        <f t="shared" si="25"/>
        <v/>
      </c>
      <c r="BJI22" s="73" t="str">
        <f t="shared" si="25"/>
        <v/>
      </c>
      <c r="BJJ22" s="73" t="str">
        <f t="shared" si="25"/>
        <v/>
      </c>
      <c r="BJK22" s="73" t="str">
        <f t="shared" si="25"/>
        <v/>
      </c>
      <c r="BJL22" s="73" t="str">
        <f t="shared" si="25"/>
        <v/>
      </c>
      <c r="BJM22" s="73" t="str">
        <f t="shared" si="25"/>
        <v/>
      </c>
      <c r="BJN22" s="73" t="str">
        <f t="shared" si="25"/>
        <v/>
      </c>
      <c r="BJO22" s="73" t="str">
        <f t="shared" si="25"/>
        <v/>
      </c>
      <c r="BJP22" s="73" t="str">
        <f t="shared" si="25"/>
        <v/>
      </c>
      <c r="BJQ22" s="73" t="str">
        <f t="shared" si="25"/>
        <v/>
      </c>
      <c r="BJR22" s="73" t="str">
        <f t="shared" si="25"/>
        <v/>
      </c>
      <c r="BJS22" s="73" t="str">
        <f t="shared" si="25"/>
        <v/>
      </c>
      <c r="BJT22" s="73" t="str">
        <f t="shared" si="25"/>
        <v/>
      </c>
      <c r="BJU22" s="73" t="str">
        <f t="shared" si="25"/>
        <v/>
      </c>
      <c r="BJV22" s="73" t="str">
        <f t="shared" si="25"/>
        <v/>
      </c>
      <c r="BJW22" s="73" t="str">
        <f t="shared" si="25"/>
        <v/>
      </c>
      <c r="BJX22" s="73" t="str">
        <f t="shared" si="25"/>
        <v/>
      </c>
      <c r="BJY22" s="73" t="str">
        <f t="shared" si="25"/>
        <v/>
      </c>
      <c r="BJZ22" s="73" t="str">
        <f t="shared" si="25"/>
        <v/>
      </c>
      <c r="BKA22" s="73" t="str">
        <f t="shared" si="25"/>
        <v/>
      </c>
      <c r="BKB22" s="73" t="str">
        <f t="shared" si="25"/>
        <v/>
      </c>
      <c r="BKC22" s="73" t="str">
        <f t="shared" si="25"/>
        <v/>
      </c>
      <c r="BKD22" s="73" t="str">
        <f t="shared" si="25"/>
        <v/>
      </c>
      <c r="BKE22" s="73" t="str">
        <f t="shared" si="25"/>
        <v/>
      </c>
      <c r="BKF22" s="73" t="str">
        <f t="shared" si="25"/>
        <v/>
      </c>
      <c r="BKG22" s="73" t="str">
        <f t="shared" si="25"/>
        <v/>
      </c>
      <c r="BKH22" s="73" t="str">
        <f t="shared" si="25"/>
        <v/>
      </c>
      <c r="BKI22" s="73" t="str">
        <f t="shared" si="25"/>
        <v/>
      </c>
      <c r="BKJ22" s="73" t="str">
        <f t="shared" si="25"/>
        <v/>
      </c>
      <c r="BKK22" s="73" t="str">
        <f t="shared" si="25"/>
        <v/>
      </c>
      <c r="BKL22" s="73" t="str">
        <f t="shared" si="25"/>
        <v/>
      </c>
      <c r="BKM22" s="73" t="str">
        <f t="shared" si="25"/>
        <v/>
      </c>
      <c r="BKN22" s="73" t="str">
        <f t="shared" si="25"/>
        <v/>
      </c>
      <c r="BKO22" s="73" t="str">
        <f t="shared" si="25"/>
        <v/>
      </c>
      <c r="BKP22" s="73" t="str">
        <f t="shared" si="25"/>
        <v/>
      </c>
      <c r="BKQ22" s="73" t="str">
        <f t="shared" si="25"/>
        <v/>
      </c>
      <c r="BKR22" s="73" t="str">
        <f t="shared" si="25"/>
        <v/>
      </c>
      <c r="BKS22" s="73" t="str">
        <f t="shared" si="25"/>
        <v/>
      </c>
      <c r="BKT22" s="73" t="str">
        <f t="shared" si="25"/>
        <v/>
      </c>
      <c r="BKU22" s="73" t="str">
        <f t="shared" si="25"/>
        <v/>
      </c>
      <c r="BKV22" s="73" t="str">
        <f t="shared" si="25"/>
        <v/>
      </c>
      <c r="BKW22" s="73" t="str">
        <f t="shared" si="25"/>
        <v/>
      </c>
      <c r="BKX22" s="73" t="str">
        <f t="shared" si="25"/>
        <v/>
      </c>
      <c r="BKY22" s="73" t="str">
        <f t="shared" si="25"/>
        <v/>
      </c>
      <c r="BKZ22" s="73" t="str">
        <f t="shared" si="25"/>
        <v/>
      </c>
      <c r="BLA22" s="73" t="str">
        <f t="shared" si="25"/>
        <v/>
      </c>
      <c r="BLB22" s="73" t="str">
        <f t="shared" si="25"/>
        <v/>
      </c>
      <c r="BLC22" s="73" t="str">
        <f t="shared" si="25"/>
        <v/>
      </c>
      <c r="BLD22" s="73" t="str">
        <f t="shared" si="25"/>
        <v/>
      </c>
      <c r="BLE22" s="73" t="str">
        <f t="shared" si="25"/>
        <v/>
      </c>
      <c r="BLF22" s="73" t="str">
        <f t="shared" ref="BLF22:BNQ22" si="26">IFERROR(AVERAGE(BLF6:BLF21),"")</f>
        <v/>
      </c>
      <c r="BLG22" s="73" t="str">
        <f t="shared" si="26"/>
        <v/>
      </c>
      <c r="BLH22" s="73" t="str">
        <f t="shared" si="26"/>
        <v/>
      </c>
      <c r="BLI22" s="73" t="str">
        <f t="shared" si="26"/>
        <v/>
      </c>
      <c r="BLJ22" s="73" t="str">
        <f t="shared" si="26"/>
        <v/>
      </c>
      <c r="BLK22" s="73" t="str">
        <f t="shared" si="26"/>
        <v/>
      </c>
      <c r="BLL22" s="73" t="str">
        <f t="shared" si="26"/>
        <v/>
      </c>
      <c r="BLM22" s="73" t="str">
        <f t="shared" si="26"/>
        <v/>
      </c>
      <c r="BLN22" s="73" t="str">
        <f t="shared" si="26"/>
        <v/>
      </c>
      <c r="BLO22" s="73" t="str">
        <f t="shared" si="26"/>
        <v/>
      </c>
      <c r="BLP22" s="73" t="str">
        <f t="shared" si="26"/>
        <v/>
      </c>
      <c r="BLQ22" s="73" t="str">
        <f t="shared" si="26"/>
        <v/>
      </c>
      <c r="BLR22" s="73" t="str">
        <f t="shared" si="26"/>
        <v/>
      </c>
      <c r="BLS22" s="73" t="str">
        <f t="shared" si="26"/>
        <v/>
      </c>
      <c r="BLT22" s="73" t="str">
        <f t="shared" si="26"/>
        <v/>
      </c>
      <c r="BLU22" s="73" t="str">
        <f t="shared" si="26"/>
        <v/>
      </c>
      <c r="BLV22" s="73" t="str">
        <f t="shared" si="26"/>
        <v/>
      </c>
      <c r="BLW22" s="73" t="str">
        <f t="shared" si="26"/>
        <v/>
      </c>
      <c r="BLX22" s="73" t="str">
        <f t="shared" si="26"/>
        <v/>
      </c>
      <c r="BLY22" s="73" t="str">
        <f t="shared" si="26"/>
        <v/>
      </c>
      <c r="BLZ22" s="73" t="str">
        <f t="shared" si="26"/>
        <v/>
      </c>
      <c r="BMA22" s="73" t="str">
        <f t="shared" si="26"/>
        <v/>
      </c>
      <c r="BMB22" s="73" t="str">
        <f t="shared" si="26"/>
        <v/>
      </c>
      <c r="BMC22" s="73" t="str">
        <f t="shared" si="26"/>
        <v/>
      </c>
      <c r="BMD22" s="73" t="str">
        <f t="shared" si="26"/>
        <v/>
      </c>
      <c r="BME22" s="73" t="str">
        <f t="shared" si="26"/>
        <v/>
      </c>
      <c r="BMF22" s="73" t="str">
        <f t="shared" si="26"/>
        <v/>
      </c>
      <c r="BMG22" s="73" t="str">
        <f t="shared" si="26"/>
        <v/>
      </c>
      <c r="BMH22" s="73" t="str">
        <f t="shared" si="26"/>
        <v/>
      </c>
      <c r="BMI22" s="73" t="str">
        <f t="shared" si="26"/>
        <v/>
      </c>
      <c r="BMJ22" s="73" t="str">
        <f t="shared" si="26"/>
        <v/>
      </c>
      <c r="BMK22" s="73" t="str">
        <f t="shared" si="26"/>
        <v/>
      </c>
      <c r="BML22" s="73" t="str">
        <f t="shared" si="26"/>
        <v/>
      </c>
      <c r="BMM22" s="73" t="str">
        <f t="shared" si="26"/>
        <v/>
      </c>
      <c r="BMN22" s="73" t="str">
        <f t="shared" si="26"/>
        <v/>
      </c>
      <c r="BMO22" s="73" t="str">
        <f t="shared" si="26"/>
        <v/>
      </c>
      <c r="BMP22" s="73" t="str">
        <f t="shared" si="26"/>
        <v/>
      </c>
      <c r="BMQ22" s="73" t="str">
        <f t="shared" si="26"/>
        <v/>
      </c>
      <c r="BMR22" s="73" t="str">
        <f t="shared" si="26"/>
        <v/>
      </c>
      <c r="BMS22" s="73" t="str">
        <f t="shared" si="26"/>
        <v/>
      </c>
      <c r="BMT22" s="73" t="str">
        <f t="shared" si="26"/>
        <v/>
      </c>
      <c r="BMU22" s="73" t="str">
        <f t="shared" si="26"/>
        <v/>
      </c>
      <c r="BMV22" s="73" t="str">
        <f t="shared" si="26"/>
        <v/>
      </c>
      <c r="BMW22" s="73" t="str">
        <f t="shared" si="26"/>
        <v/>
      </c>
      <c r="BMX22" s="73" t="str">
        <f t="shared" si="26"/>
        <v/>
      </c>
      <c r="BMY22" s="73" t="str">
        <f t="shared" si="26"/>
        <v/>
      </c>
      <c r="BMZ22" s="73" t="str">
        <f t="shared" si="26"/>
        <v/>
      </c>
      <c r="BNA22" s="73" t="str">
        <f t="shared" si="26"/>
        <v/>
      </c>
      <c r="BNB22" s="73" t="str">
        <f t="shared" si="26"/>
        <v/>
      </c>
      <c r="BNC22" s="73" t="str">
        <f t="shared" si="26"/>
        <v/>
      </c>
      <c r="BND22" s="73" t="str">
        <f t="shared" si="26"/>
        <v/>
      </c>
      <c r="BNE22" s="73" t="str">
        <f t="shared" si="26"/>
        <v/>
      </c>
      <c r="BNF22" s="73" t="str">
        <f t="shared" si="26"/>
        <v/>
      </c>
      <c r="BNG22" s="73" t="str">
        <f t="shared" si="26"/>
        <v/>
      </c>
      <c r="BNH22" s="73" t="str">
        <f t="shared" si="26"/>
        <v/>
      </c>
      <c r="BNI22" s="73" t="str">
        <f t="shared" si="26"/>
        <v/>
      </c>
      <c r="BNJ22" s="73" t="str">
        <f t="shared" si="26"/>
        <v/>
      </c>
      <c r="BNK22" s="73" t="str">
        <f t="shared" si="26"/>
        <v/>
      </c>
      <c r="BNL22" s="73" t="str">
        <f t="shared" si="26"/>
        <v/>
      </c>
      <c r="BNM22" s="73" t="str">
        <f t="shared" si="26"/>
        <v/>
      </c>
      <c r="BNN22" s="73" t="str">
        <f t="shared" si="26"/>
        <v/>
      </c>
      <c r="BNO22" s="73" t="str">
        <f t="shared" si="26"/>
        <v/>
      </c>
      <c r="BNP22" s="73" t="str">
        <f t="shared" si="26"/>
        <v/>
      </c>
      <c r="BNQ22" s="73" t="str">
        <f t="shared" si="26"/>
        <v/>
      </c>
      <c r="BNR22" s="73" t="str">
        <f t="shared" ref="BNR22:BQC22" si="27">IFERROR(AVERAGE(BNR6:BNR21),"")</f>
        <v/>
      </c>
      <c r="BNS22" s="73" t="str">
        <f t="shared" si="27"/>
        <v/>
      </c>
      <c r="BNT22" s="73" t="str">
        <f t="shared" si="27"/>
        <v/>
      </c>
      <c r="BNU22" s="73" t="str">
        <f t="shared" si="27"/>
        <v/>
      </c>
      <c r="BNV22" s="73" t="str">
        <f t="shared" si="27"/>
        <v/>
      </c>
      <c r="BNW22" s="73" t="str">
        <f t="shared" si="27"/>
        <v/>
      </c>
      <c r="BNX22" s="73" t="str">
        <f t="shared" si="27"/>
        <v/>
      </c>
      <c r="BNY22" s="73" t="str">
        <f t="shared" si="27"/>
        <v/>
      </c>
      <c r="BNZ22" s="73" t="str">
        <f t="shared" si="27"/>
        <v/>
      </c>
      <c r="BOA22" s="73" t="str">
        <f t="shared" si="27"/>
        <v/>
      </c>
      <c r="BOB22" s="73" t="str">
        <f t="shared" si="27"/>
        <v/>
      </c>
      <c r="BOC22" s="73" t="str">
        <f t="shared" si="27"/>
        <v/>
      </c>
      <c r="BOD22" s="73" t="str">
        <f t="shared" si="27"/>
        <v/>
      </c>
      <c r="BOE22" s="73" t="str">
        <f t="shared" si="27"/>
        <v/>
      </c>
      <c r="BOF22" s="73" t="str">
        <f t="shared" si="27"/>
        <v/>
      </c>
      <c r="BOG22" s="73" t="str">
        <f t="shared" si="27"/>
        <v/>
      </c>
      <c r="BOH22" s="73" t="str">
        <f t="shared" si="27"/>
        <v/>
      </c>
      <c r="BOI22" s="73" t="str">
        <f t="shared" si="27"/>
        <v/>
      </c>
      <c r="BOJ22" s="73" t="str">
        <f t="shared" si="27"/>
        <v/>
      </c>
      <c r="BOK22" s="73" t="str">
        <f t="shared" si="27"/>
        <v/>
      </c>
      <c r="BOL22" s="73" t="str">
        <f t="shared" si="27"/>
        <v/>
      </c>
      <c r="BOM22" s="73" t="str">
        <f t="shared" si="27"/>
        <v/>
      </c>
      <c r="BON22" s="73" t="str">
        <f t="shared" si="27"/>
        <v/>
      </c>
      <c r="BOO22" s="73" t="str">
        <f t="shared" si="27"/>
        <v/>
      </c>
      <c r="BOP22" s="73" t="str">
        <f t="shared" si="27"/>
        <v/>
      </c>
      <c r="BOQ22" s="73" t="str">
        <f t="shared" si="27"/>
        <v/>
      </c>
      <c r="BOR22" s="73" t="str">
        <f t="shared" si="27"/>
        <v/>
      </c>
      <c r="BOS22" s="73" t="str">
        <f t="shared" si="27"/>
        <v/>
      </c>
      <c r="BOT22" s="73" t="str">
        <f t="shared" si="27"/>
        <v/>
      </c>
      <c r="BOU22" s="73" t="str">
        <f t="shared" si="27"/>
        <v/>
      </c>
      <c r="BOV22" s="73" t="str">
        <f t="shared" si="27"/>
        <v/>
      </c>
      <c r="BOW22" s="73" t="str">
        <f t="shared" si="27"/>
        <v/>
      </c>
      <c r="BOX22" s="73" t="str">
        <f t="shared" si="27"/>
        <v/>
      </c>
      <c r="BOY22" s="73" t="str">
        <f t="shared" si="27"/>
        <v/>
      </c>
      <c r="BOZ22" s="73" t="str">
        <f t="shared" si="27"/>
        <v/>
      </c>
      <c r="BPA22" s="73" t="str">
        <f t="shared" si="27"/>
        <v/>
      </c>
      <c r="BPB22" s="73" t="str">
        <f t="shared" si="27"/>
        <v/>
      </c>
      <c r="BPC22" s="73" t="str">
        <f t="shared" si="27"/>
        <v/>
      </c>
      <c r="BPD22" s="73" t="str">
        <f t="shared" si="27"/>
        <v/>
      </c>
      <c r="BPE22" s="73" t="str">
        <f t="shared" si="27"/>
        <v/>
      </c>
      <c r="BPF22" s="73" t="str">
        <f t="shared" si="27"/>
        <v/>
      </c>
      <c r="BPG22" s="73" t="str">
        <f t="shared" si="27"/>
        <v/>
      </c>
      <c r="BPH22" s="73" t="str">
        <f t="shared" si="27"/>
        <v/>
      </c>
      <c r="BPI22" s="73" t="str">
        <f t="shared" si="27"/>
        <v/>
      </c>
      <c r="BPJ22" s="73" t="str">
        <f t="shared" si="27"/>
        <v/>
      </c>
      <c r="BPK22" s="73" t="str">
        <f t="shared" si="27"/>
        <v/>
      </c>
      <c r="BPL22" s="73" t="str">
        <f t="shared" si="27"/>
        <v/>
      </c>
      <c r="BPM22" s="73" t="str">
        <f t="shared" si="27"/>
        <v/>
      </c>
      <c r="BPN22" s="73" t="str">
        <f t="shared" si="27"/>
        <v/>
      </c>
      <c r="BPO22" s="73" t="str">
        <f t="shared" si="27"/>
        <v/>
      </c>
      <c r="BPP22" s="73" t="str">
        <f t="shared" si="27"/>
        <v/>
      </c>
      <c r="BPQ22" s="73" t="str">
        <f t="shared" si="27"/>
        <v/>
      </c>
      <c r="BPR22" s="73" t="str">
        <f t="shared" si="27"/>
        <v/>
      </c>
      <c r="BPS22" s="73" t="str">
        <f t="shared" si="27"/>
        <v/>
      </c>
      <c r="BPT22" s="73" t="str">
        <f t="shared" si="27"/>
        <v/>
      </c>
      <c r="BPU22" s="73" t="str">
        <f t="shared" si="27"/>
        <v/>
      </c>
      <c r="BPV22" s="73" t="str">
        <f t="shared" si="27"/>
        <v/>
      </c>
      <c r="BPW22" s="73" t="str">
        <f t="shared" si="27"/>
        <v/>
      </c>
      <c r="BPX22" s="73" t="str">
        <f t="shared" si="27"/>
        <v/>
      </c>
      <c r="BPY22" s="73" t="str">
        <f t="shared" si="27"/>
        <v/>
      </c>
      <c r="BPZ22" s="73" t="str">
        <f t="shared" si="27"/>
        <v/>
      </c>
      <c r="BQA22" s="73" t="str">
        <f t="shared" si="27"/>
        <v/>
      </c>
      <c r="BQB22" s="73" t="str">
        <f t="shared" si="27"/>
        <v/>
      </c>
      <c r="BQC22" s="73" t="str">
        <f t="shared" si="27"/>
        <v/>
      </c>
      <c r="BQD22" s="73" t="str">
        <f t="shared" ref="BQD22:BSO22" si="28">IFERROR(AVERAGE(BQD6:BQD21),"")</f>
        <v/>
      </c>
      <c r="BQE22" s="73" t="str">
        <f t="shared" si="28"/>
        <v/>
      </c>
      <c r="BQF22" s="73" t="str">
        <f t="shared" si="28"/>
        <v/>
      </c>
      <c r="BQG22" s="73" t="str">
        <f t="shared" si="28"/>
        <v/>
      </c>
      <c r="BQH22" s="73" t="str">
        <f t="shared" si="28"/>
        <v/>
      </c>
      <c r="BQI22" s="73" t="str">
        <f t="shared" si="28"/>
        <v/>
      </c>
      <c r="BQJ22" s="73" t="str">
        <f t="shared" si="28"/>
        <v/>
      </c>
      <c r="BQK22" s="73" t="str">
        <f t="shared" si="28"/>
        <v/>
      </c>
      <c r="BQL22" s="73" t="str">
        <f t="shared" si="28"/>
        <v/>
      </c>
      <c r="BQM22" s="73" t="str">
        <f t="shared" si="28"/>
        <v/>
      </c>
      <c r="BQN22" s="73" t="str">
        <f t="shared" si="28"/>
        <v/>
      </c>
      <c r="BQO22" s="73" t="str">
        <f t="shared" si="28"/>
        <v/>
      </c>
      <c r="BQP22" s="73" t="str">
        <f t="shared" si="28"/>
        <v/>
      </c>
      <c r="BQQ22" s="73" t="str">
        <f t="shared" si="28"/>
        <v/>
      </c>
      <c r="BQR22" s="73" t="str">
        <f t="shared" si="28"/>
        <v/>
      </c>
      <c r="BQS22" s="73" t="str">
        <f t="shared" si="28"/>
        <v/>
      </c>
      <c r="BQT22" s="73" t="str">
        <f t="shared" si="28"/>
        <v/>
      </c>
      <c r="BQU22" s="73" t="str">
        <f t="shared" si="28"/>
        <v/>
      </c>
      <c r="BQV22" s="73" t="str">
        <f t="shared" si="28"/>
        <v/>
      </c>
      <c r="BQW22" s="73" t="str">
        <f t="shared" si="28"/>
        <v/>
      </c>
      <c r="BQX22" s="73" t="str">
        <f t="shared" si="28"/>
        <v/>
      </c>
      <c r="BQY22" s="73" t="str">
        <f t="shared" si="28"/>
        <v/>
      </c>
      <c r="BQZ22" s="73" t="str">
        <f t="shared" si="28"/>
        <v/>
      </c>
      <c r="BRA22" s="73" t="str">
        <f t="shared" si="28"/>
        <v/>
      </c>
      <c r="BRB22" s="73" t="str">
        <f t="shared" si="28"/>
        <v/>
      </c>
      <c r="BRC22" s="73" t="str">
        <f t="shared" si="28"/>
        <v/>
      </c>
      <c r="BRD22" s="73" t="str">
        <f t="shared" si="28"/>
        <v/>
      </c>
      <c r="BRE22" s="73" t="str">
        <f t="shared" si="28"/>
        <v/>
      </c>
      <c r="BRF22" s="73" t="str">
        <f t="shared" si="28"/>
        <v/>
      </c>
      <c r="BRG22" s="73" t="str">
        <f t="shared" si="28"/>
        <v/>
      </c>
      <c r="BRH22" s="73" t="str">
        <f t="shared" si="28"/>
        <v/>
      </c>
      <c r="BRI22" s="73" t="str">
        <f t="shared" si="28"/>
        <v/>
      </c>
      <c r="BRJ22" s="73" t="str">
        <f t="shared" si="28"/>
        <v/>
      </c>
      <c r="BRK22" s="73" t="str">
        <f t="shared" si="28"/>
        <v/>
      </c>
      <c r="BRL22" s="73" t="str">
        <f t="shared" si="28"/>
        <v/>
      </c>
      <c r="BRM22" s="73" t="str">
        <f t="shared" si="28"/>
        <v/>
      </c>
      <c r="BRN22" s="73" t="str">
        <f t="shared" si="28"/>
        <v/>
      </c>
      <c r="BRO22" s="73" t="str">
        <f t="shared" si="28"/>
        <v/>
      </c>
      <c r="BRP22" s="73" t="str">
        <f t="shared" si="28"/>
        <v/>
      </c>
      <c r="BRQ22" s="73" t="str">
        <f t="shared" si="28"/>
        <v/>
      </c>
      <c r="BRR22" s="73" t="str">
        <f t="shared" si="28"/>
        <v/>
      </c>
      <c r="BRS22" s="73" t="str">
        <f t="shared" si="28"/>
        <v/>
      </c>
      <c r="BRT22" s="73" t="str">
        <f t="shared" si="28"/>
        <v/>
      </c>
      <c r="BRU22" s="73" t="str">
        <f t="shared" si="28"/>
        <v/>
      </c>
      <c r="BRV22" s="73" t="str">
        <f t="shared" si="28"/>
        <v/>
      </c>
      <c r="BRW22" s="73" t="str">
        <f t="shared" si="28"/>
        <v/>
      </c>
      <c r="BRX22" s="73" t="str">
        <f t="shared" si="28"/>
        <v/>
      </c>
      <c r="BRY22" s="73" t="str">
        <f t="shared" si="28"/>
        <v/>
      </c>
      <c r="BRZ22" s="73" t="str">
        <f t="shared" si="28"/>
        <v/>
      </c>
      <c r="BSA22" s="73" t="str">
        <f t="shared" si="28"/>
        <v/>
      </c>
      <c r="BSB22" s="73" t="str">
        <f t="shared" si="28"/>
        <v/>
      </c>
      <c r="BSC22" s="73" t="str">
        <f t="shared" si="28"/>
        <v/>
      </c>
      <c r="BSD22" s="73" t="str">
        <f t="shared" si="28"/>
        <v/>
      </c>
      <c r="BSE22" s="73" t="str">
        <f t="shared" si="28"/>
        <v/>
      </c>
      <c r="BSF22" s="73" t="str">
        <f t="shared" si="28"/>
        <v/>
      </c>
      <c r="BSG22" s="73" t="str">
        <f t="shared" si="28"/>
        <v/>
      </c>
      <c r="BSH22" s="73" t="str">
        <f t="shared" si="28"/>
        <v/>
      </c>
      <c r="BSI22" s="73" t="str">
        <f t="shared" si="28"/>
        <v/>
      </c>
      <c r="BSJ22" s="73" t="str">
        <f t="shared" si="28"/>
        <v/>
      </c>
      <c r="BSK22" s="73" t="str">
        <f t="shared" si="28"/>
        <v/>
      </c>
      <c r="BSL22" s="73" t="str">
        <f t="shared" si="28"/>
        <v/>
      </c>
      <c r="BSM22" s="73" t="str">
        <f t="shared" si="28"/>
        <v/>
      </c>
      <c r="BSN22" s="73" t="str">
        <f t="shared" si="28"/>
        <v/>
      </c>
      <c r="BSO22" s="73" t="str">
        <f t="shared" si="28"/>
        <v/>
      </c>
      <c r="BSP22" s="73" t="str">
        <f t="shared" ref="BSP22:BVA22" si="29">IFERROR(AVERAGE(BSP6:BSP21),"")</f>
        <v/>
      </c>
      <c r="BSQ22" s="73" t="str">
        <f t="shared" si="29"/>
        <v/>
      </c>
      <c r="BSR22" s="73" t="str">
        <f t="shared" si="29"/>
        <v/>
      </c>
      <c r="BSS22" s="73" t="str">
        <f t="shared" si="29"/>
        <v/>
      </c>
      <c r="BST22" s="73" t="str">
        <f t="shared" si="29"/>
        <v/>
      </c>
      <c r="BSU22" s="73" t="str">
        <f t="shared" si="29"/>
        <v/>
      </c>
      <c r="BSV22" s="73" t="str">
        <f t="shared" si="29"/>
        <v/>
      </c>
      <c r="BSW22" s="73" t="str">
        <f t="shared" si="29"/>
        <v/>
      </c>
      <c r="BSX22" s="73" t="str">
        <f t="shared" si="29"/>
        <v/>
      </c>
      <c r="BSY22" s="73" t="str">
        <f t="shared" si="29"/>
        <v/>
      </c>
      <c r="BSZ22" s="73" t="str">
        <f t="shared" si="29"/>
        <v/>
      </c>
      <c r="BTA22" s="73" t="str">
        <f t="shared" si="29"/>
        <v/>
      </c>
      <c r="BTB22" s="73" t="str">
        <f t="shared" si="29"/>
        <v/>
      </c>
      <c r="BTC22" s="73" t="str">
        <f t="shared" si="29"/>
        <v/>
      </c>
      <c r="BTD22" s="73" t="str">
        <f t="shared" si="29"/>
        <v/>
      </c>
      <c r="BTE22" s="73" t="str">
        <f t="shared" si="29"/>
        <v/>
      </c>
      <c r="BTF22" s="73" t="str">
        <f t="shared" si="29"/>
        <v/>
      </c>
      <c r="BTG22" s="73" t="str">
        <f t="shared" si="29"/>
        <v/>
      </c>
      <c r="BTH22" s="73" t="str">
        <f t="shared" si="29"/>
        <v/>
      </c>
      <c r="BTI22" s="73" t="str">
        <f t="shared" si="29"/>
        <v/>
      </c>
      <c r="BTJ22" s="73" t="str">
        <f t="shared" si="29"/>
        <v/>
      </c>
      <c r="BTK22" s="73" t="str">
        <f t="shared" si="29"/>
        <v/>
      </c>
      <c r="BTL22" s="73" t="str">
        <f t="shared" si="29"/>
        <v/>
      </c>
      <c r="BTM22" s="73" t="str">
        <f t="shared" si="29"/>
        <v/>
      </c>
      <c r="BTN22" s="73" t="str">
        <f t="shared" si="29"/>
        <v/>
      </c>
      <c r="BTO22" s="73" t="str">
        <f t="shared" si="29"/>
        <v/>
      </c>
      <c r="BTP22" s="73" t="str">
        <f t="shared" si="29"/>
        <v/>
      </c>
      <c r="BTQ22" s="73" t="str">
        <f t="shared" si="29"/>
        <v/>
      </c>
      <c r="BTR22" s="73" t="str">
        <f t="shared" si="29"/>
        <v/>
      </c>
      <c r="BTS22" s="73" t="str">
        <f t="shared" si="29"/>
        <v/>
      </c>
      <c r="BTT22" s="73" t="str">
        <f t="shared" si="29"/>
        <v/>
      </c>
      <c r="BTU22" s="73" t="str">
        <f t="shared" si="29"/>
        <v/>
      </c>
      <c r="BTV22" s="73" t="str">
        <f t="shared" si="29"/>
        <v/>
      </c>
      <c r="BTW22" s="73" t="str">
        <f t="shared" si="29"/>
        <v/>
      </c>
      <c r="BTX22" s="73" t="str">
        <f t="shared" si="29"/>
        <v/>
      </c>
      <c r="BTY22" s="73" t="str">
        <f t="shared" si="29"/>
        <v/>
      </c>
      <c r="BTZ22" s="73" t="str">
        <f t="shared" si="29"/>
        <v/>
      </c>
      <c r="BUA22" s="73" t="str">
        <f t="shared" si="29"/>
        <v/>
      </c>
      <c r="BUB22" s="73" t="str">
        <f t="shared" si="29"/>
        <v/>
      </c>
      <c r="BUC22" s="73" t="str">
        <f t="shared" si="29"/>
        <v/>
      </c>
      <c r="BUD22" s="73" t="str">
        <f t="shared" si="29"/>
        <v/>
      </c>
      <c r="BUE22" s="73" t="str">
        <f t="shared" si="29"/>
        <v/>
      </c>
      <c r="BUF22" s="73" t="str">
        <f t="shared" si="29"/>
        <v/>
      </c>
      <c r="BUG22" s="73" t="str">
        <f t="shared" si="29"/>
        <v/>
      </c>
      <c r="BUH22" s="73" t="str">
        <f t="shared" si="29"/>
        <v/>
      </c>
      <c r="BUI22" s="73" t="str">
        <f t="shared" si="29"/>
        <v/>
      </c>
      <c r="BUJ22" s="73" t="str">
        <f t="shared" si="29"/>
        <v/>
      </c>
      <c r="BUK22" s="73" t="str">
        <f t="shared" si="29"/>
        <v/>
      </c>
      <c r="BUL22" s="73" t="str">
        <f t="shared" si="29"/>
        <v/>
      </c>
      <c r="BUM22" s="73" t="str">
        <f t="shared" si="29"/>
        <v/>
      </c>
      <c r="BUN22" s="73" t="str">
        <f t="shared" si="29"/>
        <v/>
      </c>
      <c r="BUO22" s="73" t="str">
        <f t="shared" si="29"/>
        <v/>
      </c>
      <c r="BUP22" s="73" t="str">
        <f t="shared" si="29"/>
        <v/>
      </c>
      <c r="BUQ22" s="73" t="str">
        <f t="shared" si="29"/>
        <v/>
      </c>
      <c r="BUR22" s="73" t="str">
        <f t="shared" si="29"/>
        <v/>
      </c>
      <c r="BUS22" s="73" t="str">
        <f t="shared" si="29"/>
        <v/>
      </c>
      <c r="BUT22" s="73" t="str">
        <f t="shared" si="29"/>
        <v/>
      </c>
      <c r="BUU22" s="73" t="str">
        <f t="shared" si="29"/>
        <v/>
      </c>
      <c r="BUV22" s="73" t="str">
        <f t="shared" si="29"/>
        <v/>
      </c>
      <c r="BUW22" s="73" t="str">
        <f t="shared" si="29"/>
        <v/>
      </c>
      <c r="BUX22" s="73" t="str">
        <f t="shared" si="29"/>
        <v/>
      </c>
      <c r="BUY22" s="73" t="str">
        <f t="shared" si="29"/>
        <v/>
      </c>
      <c r="BUZ22" s="73" t="str">
        <f t="shared" si="29"/>
        <v/>
      </c>
      <c r="BVA22" s="73" t="str">
        <f t="shared" si="29"/>
        <v/>
      </c>
      <c r="BVB22" s="73" t="str">
        <f t="shared" ref="BVB22:BXM22" si="30">IFERROR(AVERAGE(BVB6:BVB21),"")</f>
        <v/>
      </c>
      <c r="BVC22" s="73" t="str">
        <f t="shared" si="30"/>
        <v/>
      </c>
      <c r="BVD22" s="73" t="str">
        <f t="shared" si="30"/>
        <v/>
      </c>
      <c r="BVE22" s="73" t="str">
        <f t="shared" si="30"/>
        <v/>
      </c>
      <c r="BVF22" s="73" t="str">
        <f t="shared" si="30"/>
        <v/>
      </c>
      <c r="BVG22" s="73" t="str">
        <f t="shared" si="30"/>
        <v/>
      </c>
      <c r="BVH22" s="73" t="str">
        <f t="shared" si="30"/>
        <v/>
      </c>
      <c r="BVI22" s="73" t="str">
        <f t="shared" si="30"/>
        <v/>
      </c>
      <c r="BVJ22" s="73" t="str">
        <f t="shared" si="30"/>
        <v/>
      </c>
      <c r="BVK22" s="73" t="str">
        <f t="shared" si="30"/>
        <v/>
      </c>
      <c r="BVL22" s="73" t="str">
        <f t="shared" si="30"/>
        <v/>
      </c>
      <c r="BVM22" s="73" t="str">
        <f t="shared" si="30"/>
        <v/>
      </c>
      <c r="BVN22" s="73" t="str">
        <f t="shared" si="30"/>
        <v/>
      </c>
      <c r="BVO22" s="73" t="str">
        <f t="shared" si="30"/>
        <v/>
      </c>
      <c r="BVP22" s="73" t="str">
        <f t="shared" si="30"/>
        <v/>
      </c>
      <c r="BVQ22" s="73" t="str">
        <f t="shared" si="30"/>
        <v/>
      </c>
      <c r="BVR22" s="73" t="str">
        <f t="shared" si="30"/>
        <v/>
      </c>
      <c r="BVS22" s="73" t="str">
        <f t="shared" si="30"/>
        <v/>
      </c>
      <c r="BVT22" s="73" t="str">
        <f t="shared" si="30"/>
        <v/>
      </c>
      <c r="BVU22" s="73" t="str">
        <f t="shared" si="30"/>
        <v/>
      </c>
      <c r="BVV22" s="73" t="str">
        <f t="shared" si="30"/>
        <v/>
      </c>
      <c r="BVW22" s="73" t="str">
        <f t="shared" si="30"/>
        <v/>
      </c>
      <c r="BVX22" s="73" t="str">
        <f t="shared" si="30"/>
        <v/>
      </c>
      <c r="BVY22" s="73" t="str">
        <f t="shared" si="30"/>
        <v/>
      </c>
      <c r="BVZ22" s="73" t="str">
        <f t="shared" si="30"/>
        <v/>
      </c>
      <c r="BWA22" s="73" t="str">
        <f t="shared" si="30"/>
        <v/>
      </c>
      <c r="BWB22" s="73" t="str">
        <f t="shared" si="30"/>
        <v/>
      </c>
      <c r="BWC22" s="73" t="str">
        <f t="shared" si="30"/>
        <v/>
      </c>
      <c r="BWD22" s="73" t="str">
        <f t="shared" si="30"/>
        <v/>
      </c>
      <c r="BWE22" s="73" t="str">
        <f t="shared" si="30"/>
        <v/>
      </c>
      <c r="BWF22" s="73" t="str">
        <f t="shared" si="30"/>
        <v/>
      </c>
      <c r="BWG22" s="73" t="str">
        <f t="shared" si="30"/>
        <v/>
      </c>
      <c r="BWH22" s="73" t="str">
        <f t="shared" si="30"/>
        <v/>
      </c>
      <c r="BWI22" s="73" t="str">
        <f t="shared" si="30"/>
        <v/>
      </c>
      <c r="BWJ22" s="73" t="str">
        <f t="shared" si="30"/>
        <v/>
      </c>
      <c r="BWK22" s="73" t="str">
        <f t="shared" si="30"/>
        <v/>
      </c>
      <c r="BWL22" s="73" t="str">
        <f t="shared" si="30"/>
        <v/>
      </c>
      <c r="BWM22" s="73" t="str">
        <f t="shared" si="30"/>
        <v/>
      </c>
      <c r="BWN22" s="73" t="str">
        <f t="shared" si="30"/>
        <v/>
      </c>
      <c r="BWO22" s="73" t="str">
        <f t="shared" si="30"/>
        <v/>
      </c>
      <c r="BWP22" s="73" t="str">
        <f t="shared" si="30"/>
        <v/>
      </c>
      <c r="BWQ22" s="73" t="str">
        <f t="shared" si="30"/>
        <v/>
      </c>
      <c r="BWR22" s="73" t="str">
        <f t="shared" si="30"/>
        <v/>
      </c>
      <c r="BWS22" s="73" t="str">
        <f t="shared" si="30"/>
        <v/>
      </c>
      <c r="BWT22" s="73" t="str">
        <f t="shared" si="30"/>
        <v/>
      </c>
      <c r="BWU22" s="73" t="str">
        <f t="shared" si="30"/>
        <v/>
      </c>
      <c r="BWV22" s="73" t="str">
        <f t="shared" si="30"/>
        <v/>
      </c>
      <c r="BWW22" s="73" t="str">
        <f t="shared" si="30"/>
        <v/>
      </c>
      <c r="BWX22" s="73" t="str">
        <f t="shared" si="30"/>
        <v/>
      </c>
      <c r="BWY22" s="73" t="str">
        <f t="shared" si="30"/>
        <v/>
      </c>
      <c r="BWZ22" s="73" t="str">
        <f t="shared" si="30"/>
        <v/>
      </c>
      <c r="BXA22" s="73" t="str">
        <f t="shared" si="30"/>
        <v/>
      </c>
      <c r="BXB22" s="73" t="str">
        <f t="shared" si="30"/>
        <v/>
      </c>
      <c r="BXC22" s="73" t="str">
        <f t="shared" si="30"/>
        <v/>
      </c>
      <c r="BXD22" s="73" t="str">
        <f t="shared" si="30"/>
        <v/>
      </c>
      <c r="BXE22" s="73" t="str">
        <f t="shared" si="30"/>
        <v/>
      </c>
      <c r="BXF22" s="73" t="str">
        <f t="shared" si="30"/>
        <v/>
      </c>
      <c r="BXG22" s="73" t="str">
        <f t="shared" si="30"/>
        <v/>
      </c>
      <c r="BXH22" s="73" t="str">
        <f t="shared" si="30"/>
        <v/>
      </c>
      <c r="BXI22" s="73" t="str">
        <f t="shared" si="30"/>
        <v/>
      </c>
      <c r="BXJ22" s="73" t="str">
        <f t="shared" si="30"/>
        <v/>
      </c>
      <c r="BXK22" s="73" t="str">
        <f t="shared" si="30"/>
        <v/>
      </c>
      <c r="BXL22" s="73" t="str">
        <f t="shared" si="30"/>
        <v/>
      </c>
      <c r="BXM22" s="73" t="str">
        <f t="shared" si="30"/>
        <v/>
      </c>
      <c r="BXN22" s="73" t="str">
        <f t="shared" ref="BXN22:BZY22" si="31">IFERROR(AVERAGE(BXN6:BXN21),"")</f>
        <v/>
      </c>
      <c r="BXO22" s="73" t="str">
        <f t="shared" si="31"/>
        <v/>
      </c>
      <c r="BXP22" s="73" t="str">
        <f t="shared" si="31"/>
        <v/>
      </c>
      <c r="BXQ22" s="73" t="str">
        <f t="shared" si="31"/>
        <v/>
      </c>
      <c r="BXR22" s="73" t="str">
        <f t="shared" si="31"/>
        <v/>
      </c>
      <c r="BXS22" s="73" t="str">
        <f t="shared" si="31"/>
        <v/>
      </c>
      <c r="BXT22" s="73" t="str">
        <f t="shared" si="31"/>
        <v/>
      </c>
      <c r="BXU22" s="73" t="str">
        <f t="shared" si="31"/>
        <v/>
      </c>
      <c r="BXV22" s="73" t="str">
        <f t="shared" si="31"/>
        <v/>
      </c>
      <c r="BXW22" s="73" t="str">
        <f t="shared" si="31"/>
        <v/>
      </c>
      <c r="BXX22" s="73" t="str">
        <f t="shared" si="31"/>
        <v/>
      </c>
      <c r="BXY22" s="73" t="str">
        <f t="shared" si="31"/>
        <v/>
      </c>
      <c r="BXZ22" s="73" t="str">
        <f t="shared" si="31"/>
        <v/>
      </c>
      <c r="BYA22" s="73" t="str">
        <f t="shared" si="31"/>
        <v/>
      </c>
      <c r="BYB22" s="73" t="str">
        <f t="shared" si="31"/>
        <v/>
      </c>
      <c r="BYC22" s="73" t="str">
        <f t="shared" si="31"/>
        <v/>
      </c>
      <c r="BYD22" s="73" t="str">
        <f t="shared" si="31"/>
        <v/>
      </c>
      <c r="BYE22" s="73" t="str">
        <f t="shared" si="31"/>
        <v/>
      </c>
      <c r="BYF22" s="73" t="str">
        <f t="shared" si="31"/>
        <v/>
      </c>
      <c r="BYG22" s="73" t="str">
        <f t="shared" si="31"/>
        <v/>
      </c>
      <c r="BYH22" s="73" t="str">
        <f t="shared" si="31"/>
        <v/>
      </c>
      <c r="BYI22" s="73" t="str">
        <f t="shared" si="31"/>
        <v/>
      </c>
      <c r="BYJ22" s="73" t="str">
        <f t="shared" si="31"/>
        <v/>
      </c>
      <c r="BYK22" s="73" t="str">
        <f t="shared" si="31"/>
        <v/>
      </c>
      <c r="BYL22" s="73" t="str">
        <f t="shared" si="31"/>
        <v/>
      </c>
      <c r="BYM22" s="73" t="str">
        <f t="shared" si="31"/>
        <v/>
      </c>
      <c r="BYN22" s="73" t="str">
        <f t="shared" si="31"/>
        <v/>
      </c>
      <c r="BYO22" s="73" t="str">
        <f t="shared" si="31"/>
        <v/>
      </c>
      <c r="BYP22" s="73" t="str">
        <f t="shared" si="31"/>
        <v/>
      </c>
      <c r="BYQ22" s="73" t="str">
        <f t="shared" si="31"/>
        <v/>
      </c>
      <c r="BYR22" s="73" t="str">
        <f t="shared" si="31"/>
        <v/>
      </c>
      <c r="BYS22" s="73" t="str">
        <f t="shared" si="31"/>
        <v/>
      </c>
      <c r="BYT22" s="73" t="str">
        <f t="shared" si="31"/>
        <v/>
      </c>
      <c r="BYU22" s="73" t="str">
        <f t="shared" si="31"/>
        <v/>
      </c>
      <c r="BYV22" s="73" t="str">
        <f t="shared" si="31"/>
        <v/>
      </c>
      <c r="BYW22" s="73" t="str">
        <f t="shared" si="31"/>
        <v/>
      </c>
      <c r="BYX22" s="73" t="str">
        <f t="shared" si="31"/>
        <v/>
      </c>
      <c r="BYY22" s="73" t="str">
        <f t="shared" si="31"/>
        <v/>
      </c>
      <c r="BYZ22" s="73" t="str">
        <f t="shared" si="31"/>
        <v/>
      </c>
      <c r="BZA22" s="73" t="str">
        <f t="shared" si="31"/>
        <v/>
      </c>
      <c r="BZB22" s="73" t="str">
        <f t="shared" si="31"/>
        <v/>
      </c>
      <c r="BZC22" s="73" t="str">
        <f t="shared" si="31"/>
        <v/>
      </c>
      <c r="BZD22" s="73" t="str">
        <f t="shared" si="31"/>
        <v/>
      </c>
      <c r="BZE22" s="73" t="str">
        <f t="shared" si="31"/>
        <v/>
      </c>
      <c r="BZF22" s="73" t="str">
        <f t="shared" si="31"/>
        <v/>
      </c>
      <c r="BZG22" s="73" t="str">
        <f t="shared" si="31"/>
        <v/>
      </c>
      <c r="BZH22" s="73" t="str">
        <f t="shared" si="31"/>
        <v/>
      </c>
      <c r="BZI22" s="73" t="str">
        <f t="shared" si="31"/>
        <v/>
      </c>
      <c r="BZJ22" s="73" t="str">
        <f t="shared" si="31"/>
        <v/>
      </c>
      <c r="BZK22" s="73" t="str">
        <f t="shared" si="31"/>
        <v/>
      </c>
      <c r="BZL22" s="73" t="str">
        <f t="shared" si="31"/>
        <v/>
      </c>
      <c r="BZM22" s="73" t="str">
        <f t="shared" si="31"/>
        <v/>
      </c>
      <c r="BZN22" s="73" t="str">
        <f t="shared" si="31"/>
        <v/>
      </c>
      <c r="BZO22" s="73" t="str">
        <f t="shared" si="31"/>
        <v/>
      </c>
      <c r="BZP22" s="73" t="str">
        <f t="shared" si="31"/>
        <v/>
      </c>
      <c r="BZQ22" s="73" t="str">
        <f t="shared" si="31"/>
        <v/>
      </c>
      <c r="BZR22" s="73" t="str">
        <f t="shared" si="31"/>
        <v/>
      </c>
      <c r="BZS22" s="73" t="str">
        <f t="shared" si="31"/>
        <v/>
      </c>
      <c r="BZT22" s="73" t="str">
        <f t="shared" si="31"/>
        <v/>
      </c>
      <c r="BZU22" s="73" t="str">
        <f t="shared" si="31"/>
        <v/>
      </c>
      <c r="BZV22" s="73" t="str">
        <f t="shared" si="31"/>
        <v/>
      </c>
      <c r="BZW22" s="73" t="str">
        <f t="shared" si="31"/>
        <v/>
      </c>
      <c r="BZX22" s="73" t="str">
        <f t="shared" si="31"/>
        <v/>
      </c>
      <c r="BZY22" s="73" t="str">
        <f t="shared" si="31"/>
        <v/>
      </c>
      <c r="BZZ22" s="73" t="str">
        <f t="shared" ref="BZZ22:CCK22" si="32">IFERROR(AVERAGE(BZZ6:BZZ21),"")</f>
        <v/>
      </c>
      <c r="CAA22" s="73" t="str">
        <f t="shared" si="32"/>
        <v/>
      </c>
      <c r="CAB22" s="73" t="str">
        <f t="shared" si="32"/>
        <v/>
      </c>
      <c r="CAC22" s="73" t="str">
        <f t="shared" si="32"/>
        <v/>
      </c>
      <c r="CAD22" s="73" t="str">
        <f t="shared" si="32"/>
        <v/>
      </c>
      <c r="CAE22" s="73" t="str">
        <f t="shared" si="32"/>
        <v/>
      </c>
      <c r="CAF22" s="73" t="str">
        <f t="shared" si="32"/>
        <v/>
      </c>
      <c r="CAG22" s="73" t="str">
        <f t="shared" si="32"/>
        <v/>
      </c>
      <c r="CAH22" s="73" t="str">
        <f t="shared" si="32"/>
        <v/>
      </c>
      <c r="CAI22" s="73" t="str">
        <f t="shared" si="32"/>
        <v/>
      </c>
      <c r="CAJ22" s="73" t="str">
        <f t="shared" si="32"/>
        <v/>
      </c>
      <c r="CAK22" s="73" t="str">
        <f t="shared" si="32"/>
        <v/>
      </c>
      <c r="CAL22" s="73" t="str">
        <f t="shared" si="32"/>
        <v/>
      </c>
      <c r="CAM22" s="73" t="str">
        <f t="shared" si="32"/>
        <v/>
      </c>
      <c r="CAN22" s="73" t="str">
        <f t="shared" si="32"/>
        <v/>
      </c>
      <c r="CAO22" s="73" t="str">
        <f t="shared" si="32"/>
        <v/>
      </c>
      <c r="CAP22" s="73" t="str">
        <f t="shared" si="32"/>
        <v/>
      </c>
      <c r="CAQ22" s="73" t="str">
        <f t="shared" si="32"/>
        <v/>
      </c>
      <c r="CAR22" s="73" t="str">
        <f t="shared" si="32"/>
        <v/>
      </c>
      <c r="CAS22" s="73" t="str">
        <f t="shared" si="32"/>
        <v/>
      </c>
      <c r="CAT22" s="73" t="str">
        <f t="shared" si="32"/>
        <v/>
      </c>
      <c r="CAU22" s="73" t="str">
        <f t="shared" si="32"/>
        <v/>
      </c>
      <c r="CAV22" s="73" t="str">
        <f t="shared" si="32"/>
        <v/>
      </c>
      <c r="CAW22" s="73" t="str">
        <f t="shared" si="32"/>
        <v/>
      </c>
      <c r="CAX22" s="73" t="str">
        <f t="shared" si="32"/>
        <v/>
      </c>
      <c r="CAY22" s="73" t="str">
        <f t="shared" si="32"/>
        <v/>
      </c>
      <c r="CAZ22" s="73" t="str">
        <f t="shared" si="32"/>
        <v/>
      </c>
      <c r="CBA22" s="73" t="str">
        <f t="shared" si="32"/>
        <v/>
      </c>
      <c r="CBB22" s="73" t="str">
        <f t="shared" si="32"/>
        <v/>
      </c>
      <c r="CBC22" s="73" t="str">
        <f t="shared" si="32"/>
        <v/>
      </c>
      <c r="CBD22" s="73" t="str">
        <f t="shared" si="32"/>
        <v/>
      </c>
      <c r="CBE22" s="73" t="str">
        <f t="shared" si="32"/>
        <v/>
      </c>
      <c r="CBF22" s="73" t="str">
        <f t="shared" si="32"/>
        <v/>
      </c>
      <c r="CBG22" s="73" t="str">
        <f t="shared" si="32"/>
        <v/>
      </c>
      <c r="CBH22" s="73" t="str">
        <f t="shared" si="32"/>
        <v/>
      </c>
      <c r="CBI22" s="73" t="str">
        <f t="shared" si="32"/>
        <v/>
      </c>
      <c r="CBJ22" s="73" t="str">
        <f t="shared" si="32"/>
        <v/>
      </c>
      <c r="CBK22" s="73" t="str">
        <f t="shared" si="32"/>
        <v/>
      </c>
      <c r="CBL22" s="73" t="str">
        <f t="shared" si="32"/>
        <v/>
      </c>
      <c r="CBM22" s="73" t="str">
        <f t="shared" si="32"/>
        <v/>
      </c>
      <c r="CBN22" s="73" t="str">
        <f t="shared" si="32"/>
        <v/>
      </c>
      <c r="CBO22" s="73" t="str">
        <f t="shared" si="32"/>
        <v/>
      </c>
      <c r="CBP22" s="73" t="str">
        <f t="shared" si="32"/>
        <v/>
      </c>
      <c r="CBQ22" s="73" t="str">
        <f t="shared" si="32"/>
        <v/>
      </c>
      <c r="CBR22" s="73" t="str">
        <f t="shared" si="32"/>
        <v/>
      </c>
      <c r="CBS22" s="73" t="str">
        <f t="shared" si="32"/>
        <v/>
      </c>
      <c r="CBT22" s="73" t="str">
        <f t="shared" si="32"/>
        <v/>
      </c>
      <c r="CBU22" s="73" t="str">
        <f t="shared" si="32"/>
        <v/>
      </c>
      <c r="CBV22" s="73" t="str">
        <f t="shared" si="32"/>
        <v/>
      </c>
      <c r="CBW22" s="73" t="str">
        <f t="shared" si="32"/>
        <v/>
      </c>
      <c r="CBX22" s="73" t="str">
        <f t="shared" si="32"/>
        <v/>
      </c>
      <c r="CBY22" s="73" t="str">
        <f t="shared" si="32"/>
        <v/>
      </c>
      <c r="CBZ22" s="73" t="str">
        <f t="shared" si="32"/>
        <v/>
      </c>
      <c r="CCA22" s="73" t="str">
        <f t="shared" si="32"/>
        <v/>
      </c>
      <c r="CCB22" s="73" t="str">
        <f t="shared" si="32"/>
        <v/>
      </c>
      <c r="CCC22" s="73" t="str">
        <f t="shared" si="32"/>
        <v/>
      </c>
      <c r="CCD22" s="73" t="str">
        <f t="shared" si="32"/>
        <v/>
      </c>
      <c r="CCE22" s="73" t="str">
        <f t="shared" si="32"/>
        <v/>
      </c>
      <c r="CCF22" s="73" t="str">
        <f t="shared" si="32"/>
        <v/>
      </c>
      <c r="CCG22" s="73" t="str">
        <f t="shared" si="32"/>
        <v/>
      </c>
      <c r="CCH22" s="73" t="str">
        <f t="shared" si="32"/>
        <v/>
      </c>
      <c r="CCI22" s="73" t="str">
        <f t="shared" si="32"/>
        <v/>
      </c>
      <c r="CCJ22" s="73" t="str">
        <f t="shared" si="32"/>
        <v/>
      </c>
      <c r="CCK22" s="73" t="str">
        <f t="shared" si="32"/>
        <v/>
      </c>
      <c r="CCL22" s="73" t="str">
        <f t="shared" ref="CCL22:CEW22" si="33">IFERROR(AVERAGE(CCL6:CCL21),"")</f>
        <v/>
      </c>
      <c r="CCM22" s="73" t="str">
        <f t="shared" si="33"/>
        <v/>
      </c>
      <c r="CCN22" s="73" t="str">
        <f t="shared" si="33"/>
        <v/>
      </c>
      <c r="CCO22" s="73" t="str">
        <f t="shared" si="33"/>
        <v/>
      </c>
      <c r="CCP22" s="73" t="str">
        <f t="shared" si="33"/>
        <v/>
      </c>
      <c r="CCQ22" s="73" t="str">
        <f t="shared" si="33"/>
        <v/>
      </c>
      <c r="CCR22" s="73" t="str">
        <f t="shared" si="33"/>
        <v/>
      </c>
      <c r="CCS22" s="73" t="str">
        <f t="shared" si="33"/>
        <v/>
      </c>
      <c r="CCT22" s="73" t="str">
        <f t="shared" si="33"/>
        <v/>
      </c>
      <c r="CCU22" s="73" t="str">
        <f t="shared" si="33"/>
        <v/>
      </c>
      <c r="CCV22" s="73" t="str">
        <f t="shared" si="33"/>
        <v/>
      </c>
      <c r="CCW22" s="73" t="str">
        <f t="shared" si="33"/>
        <v/>
      </c>
      <c r="CCX22" s="73" t="str">
        <f t="shared" si="33"/>
        <v/>
      </c>
      <c r="CCY22" s="73" t="str">
        <f t="shared" si="33"/>
        <v/>
      </c>
      <c r="CCZ22" s="73" t="str">
        <f t="shared" si="33"/>
        <v/>
      </c>
      <c r="CDA22" s="73" t="str">
        <f t="shared" si="33"/>
        <v/>
      </c>
      <c r="CDB22" s="73" t="str">
        <f t="shared" si="33"/>
        <v/>
      </c>
      <c r="CDC22" s="73" t="str">
        <f t="shared" si="33"/>
        <v/>
      </c>
      <c r="CDD22" s="73" t="str">
        <f t="shared" si="33"/>
        <v/>
      </c>
      <c r="CDE22" s="73" t="str">
        <f t="shared" si="33"/>
        <v/>
      </c>
      <c r="CDF22" s="73" t="str">
        <f t="shared" si="33"/>
        <v/>
      </c>
      <c r="CDG22" s="73" t="str">
        <f t="shared" si="33"/>
        <v/>
      </c>
      <c r="CDH22" s="73" t="str">
        <f t="shared" si="33"/>
        <v/>
      </c>
      <c r="CDI22" s="73" t="str">
        <f t="shared" si="33"/>
        <v/>
      </c>
      <c r="CDJ22" s="73" t="str">
        <f t="shared" si="33"/>
        <v/>
      </c>
      <c r="CDK22" s="73" t="str">
        <f t="shared" si="33"/>
        <v/>
      </c>
      <c r="CDL22" s="73" t="str">
        <f t="shared" si="33"/>
        <v/>
      </c>
      <c r="CDM22" s="73" t="str">
        <f t="shared" si="33"/>
        <v/>
      </c>
      <c r="CDN22" s="73" t="str">
        <f t="shared" si="33"/>
        <v/>
      </c>
      <c r="CDO22" s="73" t="str">
        <f t="shared" si="33"/>
        <v/>
      </c>
      <c r="CDP22" s="73" t="str">
        <f t="shared" si="33"/>
        <v/>
      </c>
      <c r="CDQ22" s="73" t="str">
        <f t="shared" si="33"/>
        <v/>
      </c>
      <c r="CDR22" s="73" t="str">
        <f t="shared" si="33"/>
        <v/>
      </c>
      <c r="CDS22" s="73" t="str">
        <f t="shared" si="33"/>
        <v/>
      </c>
      <c r="CDT22" s="73" t="str">
        <f t="shared" si="33"/>
        <v/>
      </c>
      <c r="CDU22" s="73" t="str">
        <f t="shared" si="33"/>
        <v/>
      </c>
      <c r="CDV22" s="73" t="str">
        <f t="shared" si="33"/>
        <v/>
      </c>
      <c r="CDW22" s="73" t="str">
        <f t="shared" si="33"/>
        <v/>
      </c>
      <c r="CDX22" s="73" t="str">
        <f t="shared" si="33"/>
        <v/>
      </c>
      <c r="CDY22" s="73" t="str">
        <f t="shared" si="33"/>
        <v/>
      </c>
      <c r="CDZ22" s="73" t="str">
        <f t="shared" si="33"/>
        <v/>
      </c>
      <c r="CEA22" s="73" t="str">
        <f t="shared" si="33"/>
        <v/>
      </c>
      <c r="CEB22" s="73" t="str">
        <f t="shared" si="33"/>
        <v/>
      </c>
      <c r="CEC22" s="73" t="str">
        <f t="shared" si="33"/>
        <v/>
      </c>
      <c r="CED22" s="73" t="str">
        <f t="shared" si="33"/>
        <v/>
      </c>
      <c r="CEE22" s="73" t="str">
        <f t="shared" si="33"/>
        <v/>
      </c>
      <c r="CEF22" s="73" t="str">
        <f t="shared" si="33"/>
        <v/>
      </c>
      <c r="CEG22" s="73" t="str">
        <f t="shared" si="33"/>
        <v/>
      </c>
      <c r="CEH22" s="73" t="str">
        <f t="shared" si="33"/>
        <v/>
      </c>
      <c r="CEI22" s="73" t="str">
        <f t="shared" si="33"/>
        <v/>
      </c>
      <c r="CEJ22" s="73" t="str">
        <f t="shared" si="33"/>
        <v/>
      </c>
      <c r="CEK22" s="73" t="str">
        <f t="shared" si="33"/>
        <v/>
      </c>
      <c r="CEL22" s="73" t="str">
        <f t="shared" si="33"/>
        <v/>
      </c>
      <c r="CEM22" s="73" t="str">
        <f t="shared" si="33"/>
        <v/>
      </c>
      <c r="CEN22" s="73" t="str">
        <f t="shared" si="33"/>
        <v/>
      </c>
      <c r="CEO22" s="73" t="str">
        <f t="shared" si="33"/>
        <v/>
      </c>
      <c r="CEP22" s="73" t="str">
        <f t="shared" si="33"/>
        <v/>
      </c>
      <c r="CEQ22" s="73" t="str">
        <f t="shared" si="33"/>
        <v/>
      </c>
      <c r="CER22" s="73" t="str">
        <f t="shared" si="33"/>
        <v/>
      </c>
      <c r="CES22" s="73" t="str">
        <f t="shared" si="33"/>
        <v/>
      </c>
      <c r="CET22" s="73" t="str">
        <f t="shared" si="33"/>
        <v/>
      </c>
      <c r="CEU22" s="73" t="str">
        <f t="shared" si="33"/>
        <v/>
      </c>
      <c r="CEV22" s="73" t="str">
        <f t="shared" si="33"/>
        <v/>
      </c>
      <c r="CEW22" s="73" t="str">
        <f t="shared" si="33"/>
        <v/>
      </c>
      <c r="CEX22" s="73" t="str">
        <f t="shared" ref="CEX22:CHI22" si="34">IFERROR(AVERAGE(CEX6:CEX21),"")</f>
        <v/>
      </c>
      <c r="CEY22" s="73" t="str">
        <f t="shared" si="34"/>
        <v/>
      </c>
      <c r="CEZ22" s="73" t="str">
        <f t="shared" si="34"/>
        <v/>
      </c>
      <c r="CFA22" s="73" t="str">
        <f t="shared" si="34"/>
        <v/>
      </c>
      <c r="CFB22" s="73" t="str">
        <f t="shared" si="34"/>
        <v/>
      </c>
      <c r="CFC22" s="73" t="str">
        <f t="shared" si="34"/>
        <v/>
      </c>
      <c r="CFD22" s="73" t="str">
        <f t="shared" si="34"/>
        <v/>
      </c>
      <c r="CFE22" s="73" t="str">
        <f t="shared" si="34"/>
        <v/>
      </c>
      <c r="CFF22" s="73" t="str">
        <f t="shared" si="34"/>
        <v/>
      </c>
      <c r="CFG22" s="73" t="str">
        <f t="shared" si="34"/>
        <v/>
      </c>
      <c r="CFH22" s="73" t="str">
        <f t="shared" si="34"/>
        <v/>
      </c>
      <c r="CFI22" s="73" t="str">
        <f t="shared" si="34"/>
        <v/>
      </c>
      <c r="CFJ22" s="73" t="str">
        <f t="shared" si="34"/>
        <v/>
      </c>
      <c r="CFK22" s="73" t="str">
        <f t="shared" si="34"/>
        <v/>
      </c>
      <c r="CFL22" s="73" t="str">
        <f t="shared" si="34"/>
        <v/>
      </c>
      <c r="CFM22" s="73" t="str">
        <f t="shared" si="34"/>
        <v/>
      </c>
      <c r="CFN22" s="73" t="str">
        <f t="shared" si="34"/>
        <v/>
      </c>
      <c r="CFO22" s="73" t="str">
        <f t="shared" si="34"/>
        <v/>
      </c>
      <c r="CFP22" s="73" t="str">
        <f t="shared" si="34"/>
        <v/>
      </c>
      <c r="CFQ22" s="73" t="str">
        <f t="shared" si="34"/>
        <v/>
      </c>
      <c r="CFR22" s="73" t="str">
        <f t="shared" si="34"/>
        <v/>
      </c>
      <c r="CFS22" s="73" t="str">
        <f t="shared" si="34"/>
        <v/>
      </c>
      <c r="CFT22" s="73" t="str">
        <f t="shared" si="34"/>
        <v/>
      </c>
      <c r="CFU22" s="73" t="str">
        <f t="shared" si="34"/>
        <v/>
      </c>
      <c r="CFV22" s="73" t="str">
        <f t="shared" si="34"/>
        <v/>
      </c>
      <c r="CFW22" s="73" t="str">
        <f t="shared" si="34"/>
        <v/>
      </c>
      <c r="CFX22" s="73" t="str">
        <f t="shared" si="34"/>
        <v/>
      </c>
      <c r="CFY22" s="73" t="str">
        <f t="shared" si="34"/>
        <v/>
      </c>
      <c r="CFZ22" s="73" t="str">
        <f t="shared" si="34"/>
        <v/>
      </c>
      <c r="CGA22" s="73" t="str">
        <f t="shared" si="34"/>
        <v/>
      </c>
      <c r="CGB22" s="73" t="str">
        <f t="shared" si="34"/>
        <v/>
      </c>
      <c r="CGC22" s="73" t="str">
        <f t="shared" si="34"/>
        <v/>
      </c>
      <c r="CGD22" s="73" t="str">
        <f t="shared" si="34"/>
        <v/>
      </c>
      <c r="CGE22" s="73" t="str">
        <f t="shared" si="34"/>
        <v/>
      </c>
      <c r="CGF22" s="73" t="str">
        <f t="shared" si="34"/>
        <v/>
      </c>
      <c r="CGG22" s="73" t="str">
        <f t="shared" si="34"/>
        <v/>
      </c>
      <c r="CGH22" s="73" t="str">
        <f t="shared" si="34"/>
        <v/>
      </c>
      <c r="CGI22" s="73" t="str">
        <f t="shared" si="34"/>
        <v/>
      </c>
      <c r="CGJ22" s="73" t="str">
        <f t="shared" si="34"/>
        <v/>
      </c>
      <c r="CGK22" s="73" t="str">
        <f t="shared" si="34"/>
        <v/>
      </c>
      <c r="CGL22" s="73" t="str">
        <f t="shared" si="34"/>
        <v/>
      </c>
      <c r="CGM22" s="73" t="str">
        <f t="shared" si="34"/>
        <v/>
      </c>
      <c r="CGN22" s="73" t="str">
        <f t="shared" si="34"/>
        <v/>
      </c>
      <c r="CGO22" s="73" t="str">
        <f t="shared" si="34"/>
        <v/>
      </c>
      <c r="CGP22" s="73" t="str">
        <f t="shared" si="34"/>
        <v/>
      </c>
      <c r="CGQ22" s="73" t="str">
        <f t="shared" si="34"/>
        <v/>
      </c>
      <c r="CGR22" s="73" t="str">
        <f t="shared" si="34"/>
        <v/>
      </c>
      <c r="CGS22" s="73" t="str">
        <f t="shared" si="34"/>
        <v/>
      </c>
      <c r="CGT22" s="73" t="str">
        <f t="shared" si="34"/>
        <v/>
      </c>
      <c r="CGU22" s="73" t="str">
        <f t="shared" si="34"/>
        <v/>
      </c>
      <c r="CGV22" s="73" t="str">
        <f t="shared" si="34"/>
        <v/>
      </c>
      <c r="CGW22" s="73" t="str">
        <f t="shared" si="34"/>
        <v/>
      </c>
      <c r="CGX22" s="73" t="str">
        <f t="shared" si="34"/>
        <v/>
      </c>
      <c r="CGY22" s="73" t="str">
        <f t="shared" si="34"/>
        <v/>
      </c>
      <c r="CGZ22" s="73" t="str">
        <f t="shared" si="34"/>
        <v/>
      </c>
      <c r="CHA22" s="73" t="str">
        <f t="shared" si="34"/>
        <v/>
      </c>
      <c r="CHB22" s="73" t="str">
        <f t="shared" si="34"/>
        <v/>
      </c>
      <c r="CHC22" s="73" t="str">
        <f t="shared" si="34"/>
        <v/>
      </c>
      <c r="CHD22" s="73" t="str">
        <f t="shared" si="34"/>
        <v/>
      </c>
      <c r="CHE22" s="73" t="str">
        <f t="shared" si="34"/>
        <v/>
      </c>
      <c r="CHF22" s="73" t="str">
        <f t="shared" si="34"/>
        <v/>
      </c>
      <c r="CHG22" s="73" t="str">
        <f t="shared" si="34"/>
        <v/>
      </c>
      <c r="CHH22" s="73" t="str">
        <f t="shared" si="34"/>
        <v/>
      </c>
      <c r="CHI22" s="73" t="str">
        <f t="shared" si="34"/>
        <v/>
      </c>
      <c r="CHJ22" s="73" t="str">
        <f t="shared" ref="CHJ22:CJU22" si="35">IFERROR(AVERAGE(CHJ6:CHJ21),"")</f>
        <v/>
      </c>
      <c r="CHK22" s="73" t="str">
        <f t="shared" si="35"/>
        <v/>
      </c>
      <c r="CHL22" s="73" t="str">
        <f t="shared" si="35"/>
        <v/>
      </c>
      <c r="CHM22" s="73" t="str">
        <f t="shared" si="35"/>
        <v/>
      </c>
      <c r="CHN22" s="73" t="str">
        <f t="shared" si="35"/>
        <v/>
      </c>
      <c r="CHO22" s="73" t="str">
        <f t="shared" si="35"/>
        <v/>
      </c>
      <c r="CHP22" s="73" t="str">
        <f t="shared" si="35"/>
        <v/>
      </c>
      <c r="CHQ22" s="73" t="str">
        <f t="shared" si="35"/>
        <v/>
      </c>
      <c r="CHR22" s="73" t="str">
        <f t="shared" si="35"/>
        <v/>
      </c>
      <c r="CHS22" s="73" t="str">
        <f t="shared" si="35"/>
        <v/>
      </c>
      <c r="CHT22" s="73" t="str">
        <f t="shared" si="35"/>
        <v/>
      </c>
      <c r="CHU22" s="73" t="str">
        <f t="shared" si="35"/>
        <v/>
      </c>
      <c r="CHV22" s="73" t="str">
        <f t="shared" si="35"/>
        <v/>
      </c>
      <c r="CHW22" s="73" t="str">
        <f t="shared" si="35"/>
        <v/>
      </c>
      <c r="CHX22" s="73" t="str">
        <f t="shared" si="35"/>
        <v/>
      </c>
      <c r="CHY22" s="73" t="str">
        <f t="shared" si="35"/>
        <v/>
      </c>
      <c r="CHZ22" s="73" t="str">
        <f t="shared" si="35"/>
        <v/>
      </c>
      <c r="CIA22" s="73" t="str">
        <f t="shared" si="35"/>
        <v/>
      </c>
      <c r="CIB22" s="73" t="str">
        <f t="shared" si="35"/>
        <v/>
      </c>
      <c r="CIC22" s="73" t="str">
        <f t="shared" si="35"/>
        <v/>
      </c>
      <c r="CID22" s="73" t="str">
        <f t="shared" si="35"/>
        <v/>
      </c>
      <c r="CIE22" s="73" t="str">
        <f t="shared" si="35"/>
        <v/>
      </c>
      <c r="CIF22" s="73" t="str">
        <f t="shared" si="35"/>
        <v/>
      </c>
      <c r="CIG22" s="73" t="str">
        <f t="shared" si="35"/>
        <v/>
      </c>
      <c r="CIH22" s="73" t="str">
        <f t="shared" si="35"/>
        <v/>
      </c>
      <c r="CII22" s="73" t="str">
        <f t="shared" si="35"/>
        <v/>
      </c>
      <c r="CIJ22" s="73" t="str">
        <f t="shared" si="35"/>
        <v/>
      </c>
      <c r="CIK22" s="73" t="str">
        <f t="shared" si="35"/>
        <v/>
      </c>
      <c r="CIL22" s="73" t="str">
        <f t="shared" si="35"/>
        <v/>
      </c>
      <c r="CIM22" s="73" t="str">
        <f t="shared" si="35"/>
        <v/>
      </c>
      <c r="CIN22" s="73" t="str">
        <f t="shared" si="35"/>
        <v/>
      </c>
      <c r="CIO22" s="73" t="str">
        <f t="shared" si="35"/>
        <v/>
      </c>
      <c r="CIP22" s="73" t="str">
        <f t="shared" si="35"/>
        <v/>
      </c>
      <c r="CIQ22" s="73" t="str">
        <f t="shared" si="35"/>
        <v/>
      </c>
      <c r="CIR22" s="73" t="str">
        <f t="shared" si="35"/>
        <v/>
      </c>
      <c r="CIS22" s="73" t="str">
        <f t="shared" si="35"/>
        <v/>
      </c>
      <c r="CIT22" s="73" t="str">
        <f t="shared" si="35"/>
        <v/>
      </c>
      <c r="CIU22" s="73" t="str">
        <f t="shared" si="35"/>
        <v/>
      </c>
      <c r="CIV22" s="73" t="str">
        <f t="shared" si="35"/>
        <v/>
      </c>
      <c r="CIW22" s="73" t="str">
        <f t="shared" si="35"/>
        <v/>
      </c>
      <c r="CIX22" s="73" t="str">
        <f t="shared" si="35"/>
        <v/>
      </c>
      <c r="CIY22" s="73" t="str">
        <f t="shared" si="35"/>
        <v/>
      </c>
      <c r="CIZ22" s="73" t="str">
        <f t="shared" si="35"/>
        <v/>
      </c>
      <c r="CJA22" s="73" t="str">
        <f t="shared" si="35"/>
        <v/>
      </c>
      <c r="CJB22" s="73" t="str">
        <f t="shared" si="35"/>
        <v/>
      </c>
      <c r="CJC22" s="73" t="str">
        <f t="shared" si="35"/>
        <v/>
      </c>
      <c r="CJD22" s="73" t="str">
        <f t="shared" si="35"/>
        <v/>
      </c>
      <c r="CJE22" s="73" t="str">
        <f t="shared" si="35"/>
        <v/>
      </c>
      <c r="CJF22" s="73" t="str">
        <f t="shared" si="35"/>
        <v/>
      </c>
      <c r="CJG22" s="73" t="str">
        <f t="shared" si="35"/>
        <v/>
      </c>
      <c r="CJH22" s="73" t="str">
        <f t="shared" si="35"/>
        <v/>
      </c>
      <c r="CJI22" s="73" t="str">
        <f t="shared" si="35"/>
        <v/>
      </c>
      <c r="CJJ22" s="73" t="str">
        <f t="shared" si="35"/>
        <v/>
      </c>
      <c r="CJK22" s="73" t="str">
        <f t="shared" si="35"/>
        <v/>
      </c>
      <c r="CJL22" s="73" t="str">
        <f t="shared" si="35"/>
        <v/>
      </c>
      <c r="CJM22" s="73" t="str">
        <f t="shared" si="35"/>
        <v/>
      </c>
      <c r="CJN22" s="73" t="str">
        <f t="shared" si="35"/>
        <v/>
      </c>
      <c r="CJO22" s="73" t="str">
        <f t="shared" si="35"/>
        <v/>
      </c>
      <c r="CJP22" s="73" t="str">
        <f t="shared" si="35"/>
        <v/>
      </c>
      <c r="CJQ22" s="73" t="str">
        <f t="shared" si="35"/>
        <v/>
      </c>
      <c r="CJR22" s="73" t="str">
        <f t="shared" si="35"/>
        <v/>
      </c>
      <c r="CJS22" s="73" t="str">
        <f t="shared" si="35"/>
        <v/>
      </c>
      <c r="CJT22" s="73" t="str">
        <f t="shared" si="35"/>
        <v/>
      </c>
      <c r="CJU22" s="73" t="str">
        <f t="shared" si="35"/>
        <v/>
      </c>
      <c r="CJV22" s="73" t="str">
        <f t="shared" ref="CJV22:CMG22" si="36">IFERROR(AVERAGE(CJV6:CJV21),"")</f>
        <v/>
      </c>
      <c r="CJW22" s="73" t="str">
        <f t="shared" si="36"/>
        <v/>
      </c>
      <c r="CJX22" s="73" t="str">
        <f t="shared" si="36"/>
        <v/>
      </c>
      <c r="CJY22" s="73" t="str">
        <f t="shared" si="36"/>
        <v/>
      </c>
      <c r="CJZ22" s="73" t="str">
        <f t="shared" si="36"/>
        <v/>
      </c>
      <c r="CKA22" s="73" t="str">
        <f t="shared" si="36"/>
        <v/>
      </c>
      <c r="CKB22" s="73" t="str">
        <f t="shared" si="36"/>
        <v/>
      </c>
      <c r="CKC22" s="73" t="str">
        <f t="shared" si="36"/>
        <v/>
      </c>
      <c r="CKD22" s="73" t="str">
        <f t="shared" si="36"/>
        <v/>
      </c>
      <c r="CKE22" s="73" t="str">
        <f t="shared" si="36"/>
        <v/>
      </c>
      <c r="CKF22" s="73" t="str">
        <f t="shared" si="36"/>
        <v/>
      </c>
      <c r="CKG22" s="73" t="str">
        <f t="shared" si="36"/>
        <v/>
      </c>
      <c r="CKH22" s="73" t="str">
        <f t="shared" si="36"/>
        <v/>
      </c>
      <c r="CKI22" s="73" t="str">
        <f t="shared" si="36"/>
        <v/>
      </c>
      <c r="CKJ22" s="73" t="str">
        <f t="shared" si="36"/>
        <v/>
      </c>
      <c r="CKK22" s="73" t="str">
        <f t="shared" si="36"/>
        <v/>
      </c>
      <c r="CKL22" s="73" t="str">
        <f t="shared" si="36"/>
        <v/>
      </c>
      <c r="CKM22" s="73" t="str">
        <f t="shared" si="36"/>
        <v/>
      </c>
      <c r="CKN22" s="73" t="str">
        <f t="shared" si="36"/>
        <v/>
      </c>
      <c r="CKO22" s="73" t="str">
        <f t="shared" si="36"/>
        <v/>
      </c>
      <c r="CKP22" s="73" t="str">
        <f t="shared" si="36"/>
        <v/>
      </c>
      <c r="CKQ22" s="73" t="str">
        <f t="shared" si="36"/>
        <v/>
      </c>
      <c r="CKR22" s="73" t="str">
        <f t="shared" si="36"/>
        <v/>
      </c>
      <c r="CKS22" s="73" t="str">
        <f t="shared" si="36"/>
        <v/>
      </c>
      <c r="CKT22" s="73" t="str">
        <f t="shared" si="36"/>
        <v/>
      </c>
      <c r="CKU22" s="73" t="str">
        <f t="shared" si="36"/>
        <v/>
      </c>
      <c r="CKV22" s="73" t="str">
        <f t="shared" si="36"/>
        <v/>
      </c>
      <c r="CKW22" s="73" t="str">
        <f t="shared" si="36"/>
        <v/>
      </c>
      <c r="CKX22" s="73" t="str">
        <f t="shared" si="36"/>
        <v/>
      </c>
      <c r="CKY22" s="73" t="str">
        <f t="shared" si="36"/>
        <v/>
      </c>
      <c r="CKZ22" s="73" t="str">
        <f t="shared" si="36"/>
        <v/>
      </c>
      <c r="CLA22" s="73" t="str">
        <f t="shared" si="36"/>
        <v/>
      </c>
      <c r="CLB22" s="73" t="str">
        <f t="shared" si="36"/>
        <v/>
      </c>
      <c r="CLC22" s="73" t="str">
        <f t="shared" si="36"/>
        <v/>
      </c>
      <c r="CLD22" s="73" t="str">
        <f t="shared" si="36"/>
        <v/>
      </c>
      <c r="CLE22" s="73" t="str">
        <f t="shared" si="36"/>
        <v/>
      </c>
      <c r="CLF22" s="73" t="str">
        <f t="shared" si="36"/>
        <v/>
      </c>
      <c r="CLG22" s="73" t="str">
        <f t="shared" si="36"/>
        <v/>
      </c>
      <c r="CLH22" s="73" t="str">
        <f t="shared" si="36"/>
        <v/>
      </c>
      <c r="CLI22" s="73" t="str">
        <f t="shared" si="36"/>
        <v/>
      </c>
      <c r="CLJ22" s="73" t="str">
        <f t="shared" si="36"/>
        <v/>
      </c>
      <c r="CLK22" s="73" t="str">
        <f t="shared" si="36"/>
        <v/>
      </c>
      <c r="CLL22" s="73" t="str">
        <f t="shared" si="36"/>
        <v/>
      </c>
      <c r="CLM22" s="73" t="str">
        <f t="shared" si="36"/>
        <v/>
      </c>
      <c r="CLN22" s="73" t="str">
        <f t="shared" si="36"/>
        <v/>
      </c>
      <c r="CLO22" s="73" t="str">
        <f t="shared" si="36"/>
        <v/>
      </c>
      <c r="CLP22" s="73" t="str">
        <f t="shared" si="36"/>
        <v/>
      </c>
      <c r="CLQ22" s="73" t="str">
        <f t="shared" si="36"/>
        <v/>
      </c>
      <c r="CLR22" s="73" t="str">
        <f t="shared" si="36"/>
        <v/>
      </c>
      <c r="CLS22" s="73" t="str">
        <f t="shared" si="36"/>
        <v/>
      </c>
      <c r="CLT22" s="73" t="str">
        <f t="shared" si="36"/>
        <v/>
      </c>
      <c r="CLU22" s="73" t="str">
        <f t="shared" si="36"/>
        <v/>
      </c>
      <c r="CLV22" s="73" t="str">
        <f t="shared" si="36"/>
        <v/>
      </c>
      <c r="CLW22" s="73" t="str">
        <f t="shared" si="36"/>
        <v/>
      </c>
      <c r="CLX22" s="73" t="str">
        <f t="shared" si="36"/>
        <v/>
      </c>
      <c r="CLY22" s="73" t="str">
        <f t="shared" si="36"/>
        <v/>
      </c>
      <c r="CLZ22" s="73" t="str">
        <f t="shared" si="36"/>
        <v/>
      </c>
      <c r="CMA22" s="73" t="str">
        <f t="shared" si="36"/>
        <v/>
      </c>
      <c r="CMB22" s="73" t="str">
        <f t="shared" si="36"/>
        <v/>
      </c>
      <c r="CMC22" s="73" t="str">
        <f t="shared" si="36"/>
        <v/>
      </c>
      <c r="CMD22" s="73" t="str">
        <f t="shared" si="36"/>
        <v/>
      </c>
      <c r="CME22" s="73" t="str">
        <f t="shared" si="36"/>
        <v/>
      </c>
      <c r="CMF22" s="73" t="str">
        <f t="shared" si="36"/>
        <v/>
      </c>
      <c r="CMG22" s="73" t="str">
        <f t="shared" si="36"/>
        <v/>
      </c>
      <c r="CMH22" s="73" t="str">
        <f t="shared" ref="CMH22:COS22" si="37">IFERROR(AVERAGE(CMH6:CMH21),"")</f>
        <v/>
      </c>
      <c r="CMI22" s="73" t="str">
        <f t="shared" si="37"/>
        <v/>
      </c>
      <c r="CMJ22" s="73" t="str">
        <f t="shared" si="37"/>
        <v/>
      </c>
      <c r="CMK22" s="73" t="str">
        <f t="shared" si="37"/>
        <v/>
      </c>
      <c r="CML22" s="73" t="str">
        <f t="shared" si="37"/>
        <v/>
      </c>
      <c r="CMM22" s="73" t="str">
        <f t="shared" si="37"/>
        <v/>
      </c>
      <c r="CMN22" s="73" t="str">
        <f t="shared" si="37"/>
        <v/>
      </c>
      <c r="CMO22" s="73" t="str">
        <f t="shared" si="37"/>
        <v/>
      </c>
      <c r="CMP22" s="73" t="str">
        <f t="shared" si="37"/>
        <v/>
      </c>
      <c r="CMQ22" s="73" t="str">
        <f t="shared" si="37"/>
        <v/>
      </c>
      <c r="CMR22" s="73" t="str">
        <f t="shared" si="37"/>
        <v/>
      </c>
      <c r="CMS22" s="73" t="str">
        <f t="shared" si="37"/>
        <v/>
      </c>
      <c r="CMT22" s="73" t="str">
        <f t="shared" si="37"/>
        <v/>
      </c>
      <c r="CMU22" s="73" t="str">
        <f t="shared" si="37"/>
        <v/>
      </c>
      <c r="CMV22" s="73" t="str">
        <f t="shared" si="37"/>
        <v/>
      </c>
      <c r="CMW22" s="73" t="str">
        <f t="shared" si="37"/>
        <v/>
      </c>
      <c r="CMX22" s="73" t="str">
        <f t="shared" si="37"/>
        <v/>
      </c>
      <c r="CMY22" s="73" t="str">
        <f t="shared" si="37"/>
        <v/>
      </c>
      <c r="CMZ22" s="73" t="str">
        <f t="shared" si="37"/>
        <v/>
      </c>
      <c r="CNA22" s="73" t="str">
        <f t="shared" si="37"/>
        <v/>
      </c>
      <c r="CNB22" s="73" t="str">
        <f t="shared" si="37"/>
        <v/>
      </c>
      <c r="CNC22" s="73" t="str">
        <f t="shared" si="37"/>
        <v/>
      </c>
      <c r="CND22" s="73" t="str">
        <f t="shared" si="37"/>
        <v/>
      </c>
      <c r="CNE22" s="73" t="str">
        <f t="shared" si="37"/>
        <v/>
      </c>
      <c r="CNF22" s="73" t="str">
        <f t="shared" si="37"/>
        <v/>
      </c>
      <c r="CNG22" s="73" t="str">
        <f t="shared" si="37"/>
        <v/>
      </c>
      <c r="CNH22" s="73" t="str">
        <f t="shared" si="37"/>
        <v/>
      </c>
      <c r="CNI22" s="73" t="str">
        <f t="shared" si="37"/>
        <v/>
      </c>
      <c r="CNJ22" s="73" t="str">
        <f t="shared" si="37"/>
        <v/>
      </c>
      <c r="CNK22" s="73" t="str">
        <f t="shared" si="37"/>
        <v/>
      </c>
      <c r="CNL22" s="73" t="str">
        <f t="shared" si="37"/>
        <v/>
      </c>
      <c r="CNM22" s="73" t="str">
        <f t="shared" si="37"/>
        <v/>
      </c>
      <c r="CNN22" s="73" t="str">
        <f t="shared" si="37"/>
        <v/>
      </c>
      <c r="CNO22" s="73" t="str">
        <f t="shared" si="37"/>
        <v/>
      </c>
      <c r="CNP22" s="73" t="str">
        <f t="shared" si="37"/>
        <v/>
      </c>
      <c r="CNQ22" s="73" t="str">
        <f t="shared" si="37"/>
        <v/>
      </c>
      <c r="CNR22" s="73" t="str">
        <f t="shared" si="37"/>
        <v/>
      </c>
      <c r="CNS22" s="73" t="str">
        <f t="shared" si="37"/>
        <v/>
      </c>
      <c r="CNT22" s="73" t="str">
        <f t="shared" si="37"/>
        <v/>
      </c>
      <c r="CNU22" s="73" t="str">
        <f t="shared" si="37"/>
        <v/>
      </c>
      <c r="CNV22" s="73" t="str">
        <f t="shared" si="37"/>
        <v/>
      </c>
      <c r="CNW22" s="73" t="str">
        <f t="shared" si="37"/>
        <v/>
      </c>
      <c r="CNX22" s="73" t="str">
        <f t="shared" si="37"/>
        <v/>
      </c>
      <c r="CNY22" s="73" t="str">
        <f t="shared" si="37"/>
        <v/>
      </c>
      <c r="CNZ22" s="73" t="str">
        <f t="shared" si="37"/>
        <v/>
      </c>
      <c r="COA22" s="73" t="str">
        <f t="shared" si="37"/>
        <v/>
      </c>
      <c r="COB22" s="73" t="str">
        <f t="shared" si="37"/>
        <v/>
      </c>
      <c r="COC22" s="73" t="str">
        <f t="shared" si="37"/>
        <v/>
      </c>
      <c r="COD22" s="73" t="str">
        <f t="shared" si="37"/>
        <v/>
      </c>
      <c r="COE22" s="73" t="str">
        <f t="shared" si="37"/>
        <v/>
      </c>
      <c r="COF22" s="73" t="str">
        <f t="shared" si="37"/>
        <v/>
      </c>
      <c r="COG22" s="73" t="str">
        <f t="shared" si="37"/>
        <v/>
      </c>
      <c r="COH22" s="73" t="str">
        <f t="shared" si="37"/>
        <v/>
      </c>
      <c r="COI22" s="73" t="str">
        <f t="shared" si="37"/>
        <v/>
      </c>
      <c r="COJ22" s="73" t="str">
        <f t="shared" si="37"/>
        <v/>
      </c>
      <c r="COK22" s="73" t="str">
        <f t="shared" si="37"/>
        <v/>
      </c>
      <c r="COL22" s="73" t="str">
        <f t="shared" si="37"/>
        <v/>
      </c>
      <c r="COM22" s="73" t="str">
        <f t="shared" si="37"/>
        <v/>
      </c>
      <c r="CON22" s="73" t="str">
        <f t="shared" si="37"/>
        <v/>
      </c>
      <c r="COO22" s="73" t="str">
        <f t="shared" si="37"/>
        <v/>
      </c>
      <c r="COP22" s="73" t="str">
        <f t="shared" si="37"/>
        <v/>
      </c>
      <c r="COQ22" s="73" t="str">
        <f t="shared" si="37"/>
        <v/>
      </c>
      <c r="COR22" s="73" t="str">
        <f t="shared" si="37"/>
        <v/>
      </c>
      <c r="COS22" s="73" t="str">
        <f t="shared" si="37"/>
        <v/>
      </c>
      <c r="COT22" s="73" t="str">
        <f t="shared" ref="COT22:CRE22" si="38">IFERROR(AVERAGE(COT6:COT21),"")</f>
        <v/>
      </c>
      <c r="COU22" s="73" t="str">
        <f t="shared" si="38"/>
        <v/>
      </c>
      <c r="COV22" s="73" t="str">
        <f t="shared" si="38"/>
        <v/>
      </c>
      <c r="COW22" s="73" t="str">
        <f t="shared" si="38"/>
        <v/>
      </c>
      <c r="COX22" s="73" t="str">
        <f t="shared" si="38"/>
        <v/>
      </c>
      <c r="COY22" s="73" t="str">
        <f t="shared" si="38"/>
        <v/>
      </c>
      <c r="COZ22" s="73" t="str">
        <f t="shared" si="38"/>
        <v/>
      </c>
      <c r="CPA22" s="73" t="str">
        <f t="shared" si="38"/>
        <v/>
      </c>
      <c r="CPB22" s="73" t="str">
        <f t="shared" si="38"/>
        <v/>
      </c>
      <c r="CPC22" s="73" t="str">
        <f t="shared" si="38"/>
        <v/>
      </c>
      <c r="CPD22" s="73" t="str">
        <f t="shared" si="38"/>
        <v/>
      </c>
      <c r="CPE22" s="73" t="str">
        <f t="shared" si="38"/>
        <v/>
      </c>
      <c r="CPF22" s="73" t="str">
        <f t="shared" si="38"/>
        <v/>
      </c>
      <c r="CPG22" s="73" t="str">
        <f t="shared" si="38"/>
        <v/>
      </c>
      <c r="CPH22" s="73" t="str">
        <f t="shared" si="38"/>
        <v/>
      </c>
      <c r="CPI22" s="73" t="str">
        <f t="shared" si="38"/>
        <v/>
      </c>
      <c r="CPJ22" s="73" t="str">
        <f t="shared" si="38"/>
        <v/>
      </c>
      <c r="CPK22" s="73" t="str">
        <f t="shared" si="38"/>
        <v/>
      </c>
      <c r="CPL22" s="73" t="str">
        <f t="shared" si="38"/>
        <v/>
      </c>
      <c r="CPM22" s="73" t="str">
        <f t="shared" si="38"/>
        <v/>
      </c>
      <c r="CPN22" s="73" t="str">
        <f t="shared" si="38"/>
        <v/>
      </c>
      <c r="CPO22" s="73" t="str">
        <f t="shared" si="38"/>
        <v/>
      </c>
      <c r="CPP22" s="73" t="str">
        <f t="shared" si="38"/>
        <v/>
      </c>
      <c r="CPQ22" s="73" t="str">
        <f t="shared" si="38"/>
        <v/>
      </c>
      <c r="CPR22" s="73" t="str">
        <f t="shared" si="38"/>
        <v/>
      </c>
      <c r="CPS22" s="73" t="str">
        <f t="shared" si="38"/>
        <v/>
      </c>
      <c r="CPT22" s="73" t="str">
        <f t="shared" si="38"/>
        <v/>
      </c>
      <c r="CPU22" s="73" t="str">
        <f t="shared" si="38"/>
        <v/>
      </c>
      <c r="CPV22" s="73" t="str">
        <f t="shared" si="38"/>
        <v/>
      </c>
      <c r="CPW22" s="73" t="str">
        <f t="shared" si="38"/>
        <v/>
      </c>
      <c r="CPX22" s="73" t="str">
        <f t="shared" si="38"/>
        <v/>
      </c>
      <c r="CPY22" s="73" t="str">
        <f t="shared" si="38"/>
        <v/>
      </c>
      <c r="CPZ22" s="73" t="str">
        <f t="shared" si="38"/>
        <v/>
      </c>
      <c r="CQA22" s="73" t="str">
        <f t="shared" si="38"/>
        <v/>
      </c>
      <c r="CQB22" s="73" t="str">
        <f t="shared" si="38"/>
        <v/>
      </c>
      <c r="CQC22" s="73" t="str">
        <f t="shared" si="38"/>
        <v/>
      </c>
      <c r="CQD22" s="73" t="str">
        <f t="shared" si="38"/>
        <v/>
      </c>
      <c r="CQE22" s="73" t="str">
        <f t="shared" si="38"/>
        <v/>
      </c>
      <c r="CQF22" s="73" t="str">
        <f t="shared" si="38"/>
        <v/>
      </c>
      <c r="CQG22" s="73" t="str">
        <f t="shared" si="38"/>
        <v/>
      </c>
      <c r="CQH22" s="73" t="str">
        <f t="shared" si="38"/>
        <v/>
      </c>
      <c r="CQI22" s="73" t="str">
        <f t="shared" si="38"/>
        <v/>
      </c>
      <c r="CQJ22" s="73" t="str">
        <f t="shared" si="38"/>
        <v/>
      </c>
      <c r="CQK22" s="73" t="str">
        <f t="shared" si="38"/>
        <v/>
      </c>
      <c r="CQL22" s="73" t="str">
        <f t="shared" si="38"/>
        <v/>
      </c>
      <c r="CQM22" s="73" t="str">
        <f t="shared" si="38"/>
        <v/>
      </c>
      <c r="CQN22" s="73" t="str">
        <f t="shared" si="38"/>
        <v/>
      </c>
      <c r="CQO22" s="73" t="str">
        <f t="shared" si="38"/>
        <v/>
      </c>
      <c r="CQP22" s="73" t="str">
        <f t="shared" si="38"/>
        <v/>
      </c>
      <c r="CQQ22" s="73" t="str">
        <f t="shared" si="38"/>
        <v/>
      </c>
      <c r="CQR22" s="73" t="str">
        <f t="shared" si="38"/>
        <v/>
      </c>
      <c r="CQS22" s="73" t="str">
        <f t="shared" si="38"/>
        <v/>
      </c>
      <c r="CQT22" s="73" t="str">
        <f t="shared" si="38"/>
        <v/>
      </c>
      <c r="CQU22" s="73" t="str">
        <f t="shared" si="38"/>
        <v/>
      </c>
      <c r="CQV22" s="73" t="str">
        <f t="shared" si="38"/>
        <v/>
      </c>
      <c r="CQW22" s="73" t="str">
        <f t="shared" si="38"/>
        <v/>
      </c>
      <c r="CQX22" s="73" t="str">
        <f t="shared" si="38"/>
        <v/>
      </c>
      <c r="CQY22" s="73" t="str">
        <f t="shared" si="38"/>
        <v/>
      </c>
      <c r="CQZ22" s="73" t="str">
        <f t="shared" si="38"/>
        <v/>
      </c>
      <c r="CRA22" s="73" t="str">
        <f t="shared" si="38"/>
        <v/>
      </c>
      <c r="CRB22" s="73" t="str">
        <f t="shared" si="38"/>
        <v/>
      </c>
      <c r="CRC22" s="73" t="str">
        <f t="shared" si="38"/>
        <v/>
      </c>
      <c r="CRD22" s="73" t="str">
        <f t="shared" si="38"/>
        <v/>
      </c>
      <c r="CRE22" s="73" t="str">
        <f t="shared" si="38"/>
        <v/>
      </c>
      <c r="CRF22" s="73" t="str">
        <f t="shared" ref="CRF22:CTQ22" si="39">IFERROR(AVERAGE(CRF6:CRF21),"")</f>
        <v/>
      </c>
      <c r="CRG22" s="73" t="str">
        <f t="shared" si="39"/>
        <v/>
      </c>
      <c r="CRH22" s="73" t="str">
        <f t="shared" si="39"/>
        <v/>
      </c>
      <c r="CRI22" s="73" t="str">
        <f t="shared" si="39"/>
        <v/>
      </c>
      <c r="CRJ22" s="73" t="str">
        <f t="shared" si="39"/>
        <v/>
      </c>
      <c r="CRK22" s="73" t="str">
        <f t="shared" si="39"/>
        <v/>
      </c>
      <c r="CRL22" s="73" t="str">
        <f t="shared" si="39"/>
        <v/>
      </c>
      <c r="CRM22" s="73" t="str">
        <f t="shared" si="39"/>
        <v/>
      </c>
      <c r="CRN22" s="73" t="str">
        <f t="shared" si="39"/>
        <v/>
      </c>
      <c r="CRO22" s="73" t="str">
        <f t="shared" si="39"/>
        <v/>
      </c>
      <c r="CRP22" s="73" t="str">
        <f t="shared" si="39"/>
        <v/>
      </c>
      <c r="CRQ22" s="73" t="str">
        <f t="shared" si="39"/>
        <v/>
      </c>
      <c r="CRR22" s="73" t="str">
        <f t="shared" si="39"/>
        <v/>
      </c>
      <c r="CRS22" s="73" t="str">
        <f t="shared" si="39"/>
        <v/>
      </c>
      <c r="CRT22" s="73" t="str">
        <f t="shared" si="39"/>
        <v/>
      </c>
      <c r="CRU22" s="73" t="str">
        <f t="shared" si="39"/>
        <v/>
      </c>
      <c r="CRV22" s="73" t="str">
        <f t="shared" si="39"/>
        <v/>
      </c>
      <c r="CRW22" s="73" t="str">
        <f t="shared" si="39"/>
        <v/>
      </c>
      <c r="CRX22" s="73" t="str">
        <f t="shared" si="39"/>
        <v/>
      </c>
      <c r="CRY22" s="73" t="str">
        <f t="shared" si="39"/>
        <v/>
      </c>
      <c r="CRZ22" s="73" t="str">
        <f t="shared" si="39"/>
        <v/>
      </c>
      <c r="CSA22" s="73" t="str">
        <f t="shared" si="39"/>
        <v/>
      </c>
      <c r="CSB22" s="73" t="str">
        <f t="shared" si="39"/>
        <v/>
      </c>
      <c r="CSC22" s="73" t="str">
        <f t="shared" si="39"/>
        <v/>
      </c>
      <c r="CSD22" s="73" t="str">
        <f t="shared" si="39"/>
        <v/>
      </c>
      <c r="CSE22" s="73" t="str">
        <f t="shared" si="39"/>
        <v/>
      </c>
      <c r="CSF22" s="73" t="str">
        <f t="shared" si="39"/>
        <v/>
      </c>
      <c r="CSG22" s="73" t="str">
        <f t="shared" si="39"/>
        <v/>
      </c>
      <c r="CSH22" s="73" t="str">
        <f t="shared" si="39"/>
        <v/>
      </c>
      <c r="CSI22" s="73" t="str">
        <f t="shared" si="39"/>
        <v/>
      </c>
      <c r="CSJ22" s="73" t="str">
        <f t="shared" si="39"/>
        <v/>
      </c>
      <c r="CSK22" s="73" t="str">
        <f t="shared" si="39"/>
        <v/>
      </c>
      <c r="CSL22" s="73" t="str">
        <f t="shared" si="39"/>
        <v/>
      </c>
      <c r="CSM22" s="73" t="str">
        <f t="shared" si="39"/>
        <v/>
      </c>
      <c r="CSN22" s="73" t="str">
        <f t="shared" si="39"/>
        <v/>
      </c>
      <c r="CSO22" s="73" t="str">
        <f t="shared" si="39"/>
        <v/>
      </c>
      <c r="CSP22" s="73" t="str">
        <f t="shared" si="39"/>
        <v/>
      </c>
      <c r="CSQ22" s="73" t="str">
        <f t="shared" si="39"/>
        <v/>
      </c>
      <c r="CSR22" s="73" t="str">
        <f t="shared" si="39"/>
        <v/>
      </c>
      <c r="CSS22" s="73" t="str">
        <f t="shared" si="39"/>
        <v/>
      </c>
      <c r="CST22" s="73" t="str">
        <f t="shared" si="39"/>
        <v/>
      </c>
      <c r="CSU22" s="73" t="str">
        <f t="shared" si="39"/>
        <v/>
      </c>
      <c r="CSV22" s="73" t="str">
        <f t="shared" si="39"/>
        <v/>
      </c>
      <c r="CSW22" s="73" t="str">
        <f t="shared" si="39"/>
        <v/>
      </c>
      <c r="CSX22" s="73" t="str">
        <f t="shared" si="39"/>
        <v/>
      </c>
      <c r="CSY22" s="73" t="str">
        <f t="shared" si="39"/>
        <v/>
      </c>
      <c r="CSZ22" s="73" t="str">
        <f t="shared" si="39"/>
        <v/>
      </c>
      <c r="CTA22" s="73" t="str">
        <f t="shared" si="39"/>
        <v/>
      </c>
      <c r="CTB22" s="73" t="str">
        <f t="shared" si="39"/>
        <v/>
      </c>
      <c r="CTC22" s="73" t="str">
        <f t="shared" si="39"/>
        <v/>
      </c>
      <c r="CTD22" s="73" t="str">
        <f t="shared" si="39"/>
        <v/>
      </c>
      <c r="CTE22" s="73" t="str">
        <f t="shared" si="39"/>
        <v/>
      </c>
      <c r="CTF22" s="73" t="str">
        <f t="shared" si="39"/>
        <v/>
      </c>
      <c r="CTG22" s="73" t="str">
        <f t="shared" si="39"/>
        <v/>
      </c>
      <c r="CTH22" s="73" t="str">
        <f t="shared" si="39"/>
        <v/>
      </c>
      <c r="CTI22" s="73" t="str">
        <f t="shared" si="39"/>
        <v/>
      </c>
      <c r="CTJ22" s="73" t="str">
        <f t="shared" si="39"/>
        <v/>
      </c>
      <c r="CTK22" s="73" t="str">
        <f t="shared" si="39"/>
        <v/>
      </c>
      <c r="CTL22" s="73" t="str">
        <f t="shared" si="39"/>
        <v/>
      </c>
      <c r="CTM22" s="73" t="str">
        <f t="shared" si="39"/>
        <v/>
      </c>
      <c r="CTN22" s="73" t="str">
        <f t="shared" si="39"/>
        <v/>
      </c>
      <c r="CTO22" s="73" t="str">
        <f t="shared" si="39"/>
        <v/>
      </c>
      <c r="CTP22" s="73" t="str">
        <f t="shared" si="39"/>
        <v/>
      </c>
      <c r="CTQ22" s="73" t="str">
        <f t="shared" si="39"/>
        <v/>
      </c>
      <c r="CTR22" s="73" t="str">
        <f t="shared" ref="CTR22:CWC22" si="40">IFERROR(AVERAGE(CTR6:CTR21),"")</f>
        <v/>
      </c>
      <c r="CTS22" s="73" t="str">
        <f t="shared" si="40"/>
        <v/>
      </c>
      <c r="CTT22" s="73" t="str">
        <f t="shared" si="40"/>
        <v/>
      </c>
      <c r="CTU22" s="73" t="str">
        <f t="shared" si="40"/>
        <v/>
      </c>
      <c r="CTV22" s="73" t="str">
        <f t="shared" si="40"/>
        <v/>
      </c>
      <c r="CTW22" s="73" t="str">
        <f t="shared" si="40"/>
        <v/>
      </c>
      <c r="CTX22" s="73" t="str">
        <f t="shared" si="40"/>
        <v/>
      </c>
      <c r="CTY22" s="73" t="str">
        <f t="shared" si="40"/>
        <v/>
      </c>
      <c r="CTZ22" s="73" t="str">
        <f t="shared" si="40"/>
        <v/>
      </c>
      <c r="CUA22" s="73" t="str">
        <f t="shared" si="40"/>
        <v/>
      </c>
      <c r="CUB22" s="73" t="str">
        <f t="shared" si="40"/>
        <v/>
      </c>
      <c r="CUC22" s="73" t="str">
        <f t="shared" si="40"/>
        <v/>
      </c>
      <c r="CUD22" s="73" t="str">
        <f t="shared" si="40"/>
        <v/>
      </c>
      <c r="CUE22" s="73" t="str">
        <f t="shared" si="40"/>
        <v/>
      </c>
      <c r="CUF22" s="73" t="str">
        <f t="shared" si="40"/>
        <v/>
      </c>
      <c r="CUG22" s="73" t="str">
        <f t="shared" si="40"/>
        <v/>
      </c>
      <c r="CUH22" s="73" t="str">
        <f t="shared" si="40"/>
        <v/>
      </c>
      <c r="CUI22" s="73" t="str">
        <f t="shared" si="40"/>
        <v/>
      </c>
      <c r="CUJ22" s="73" t="str">
        <f t="shared" si="40"/>
        <v/>
      </c>
      <c r="CUK22" s="73" t="str">
        <f t="shared" si="40"/>
        <v/>
      </c>
      <c r="CUL22" s="73" t="str">
        <f t="shared" si="40"/>
        <v/>
      </c>
      <c r="CUM22" s="73" t="str">
        <f t="shared" si="40"/>
        <v/>
      </c>
      <c r="CUN22" s="73" t="str">
        <f t="shared" si="40"/>
        <v/>
      </c>
      <c r="CUO22" s="73" t="str">
        <f t="shared" si="40"/>
        <v/>
      </c>
      <c r="CUP22" s="73" t="str">
        <f t="shared" si="40"/>
        <v/>
      </c>
      <c r="CUQ22" s="73" t="str">
        <f t="shared" si="40"/>
        <v/>
      </c>
      <c r="CUR22" s="73" t="str">
        <f t="shared" si="40"/>
        <v/>
      </c>
      <c r="CUS22" s="73" t="str">
        <f t="shared" si="40"/>
        <v/>
      </c>
      <c r="CUT22" s="73" t="str">
        <f t="shared" si="40"/>
        <v/>
      </c>
      <c r="CUU22" s="73" t="str">
        <f t="shared" si="40"/>
        <v/>
      </c>
      <c r="CUV22" s="73" t="str">
        <f t="shared" si="40"/>
        <v/>
      </c>
      <c r="CUW22" s="73" t="str">
        <f t="shared" si="40"/>
        <v/>
      </c>
      <c r="CUX22" s="73" t="str">
        <f t="shared" si="40"/>
        <v/>
      </c>
      <c r="CUY22" s="73" t="str">
        <f t="shared" si="40"/>
        <v/>
      </c>
      <c r="CUZ22" s="73" t="str">
        <f t="shared" si="40"/>
        <v/>
      </c>
      <c r="CVA22" s="73" t="str">
        <f t="shared" si="40"/>
        <v/>
      </c>
      <c r="CVB22" s="73" t="str">
        <f t="shared" si="40"/>
        <v/>
      </c>
      <c r="CVC22" s="73" t="str">
        <f t="shared" si="40"/>
        <v/>
      </c>
      <c r="CVD22" s="73" t="str">
        <f t="shared" si="40"/>
        <v/>
      </c>
      <c r="CVE22" s="73" t="str">
        <f t="shared" si="40"/>
        <v/>
      </c>
      <c r="CVF22" s="73" t="str">
        <f t="shared" si="40"/>
        <v/>
      </c>
      <c r="CVG22" s="73" t="str">
        <f t="shared" si="40"/>
        <v/>
      </c>
      <c r="CVH22" s="73" t="str">
        <f t="shared" si="40"/>
        <v/>
      </c>
      <c r="CVI22" s="73" t="str">
        <f t="shared" si="40"/>
        <v/>
      </c>
      <c r="CVJ22" s="73" t="str">
        <f t="shared" si="40"/>
        <v/>
      </c>
      <c r="CVK22" s="73" t="str">
        <f t="shared" si="40"/>
        <v/>
      </c>
      <c r="CVL22" s="73" t="str">
        <f t="shared" si="40"/>
        <v/>
      </c>
      <c r="CVM22" s="73" t="str">
        <f t="shared" si="40"/>
        <v/>
      </c>
      <c r="CVN22" s="73" t="str">
        <f t="shared" si="40"/>
        <v/>
      </c>
      <c r="CVO22" s="73" t="str">
        <f t="shared" si="40"/>
        <v/>
      </c>
      <c r="CVP22" s="73" t="str">
        <f t="shared" si="40"/>
        <v/>
      </c>
      <c r="CVQ22" s="73" t="str">
        <f t="shared" si="40"/>
        <v/>
      </c>
      <c r="CVR22" s="73" t="str">
        <f t="shared" si="40"/>
        <v/>
      </c>
      <c r="CVS22" s="73" t="str">
        <f t="shared" si="40"/>
        <v/>
      </c>
      <c r="CVT22" s="73" t="str">
        <f t="shared" si="40"/>
        <v/>
      </c>
      <c r="CVU22" s="73" t="str">
        <f t="shared" si="40"/>
        <v/>
      </c>
      <c r="CVV22" s="73" t="str">
        <f t="shared" si="40"/>
        <v/>
      </c>
      <c r="CVW22" s="73" t="str">
        <f t="shared" si="40"/>
        <v/>
      </c>
      <c r="CVX22" s="73" t="str">
        <f t="shared" si="40"/>
        <v/>
      </c>
      <c r="CVY22" s="73" t="str">
        <f t="shared" si="40"/>
        <v/>
      </c>
      <c r="CVZ22" s="73" t="str">
        <f t="shared" si="40"/>
        <v/>
      </c>
      <c r="CWA22" s="73" t="str">
        <f t="shared" si="40"/>
        <v/>
      </c>
      <c r="CWB22" s="73" t="str">
        <f t="shared" si="40"/>
        <v/>
      </c>
      <c r="CWC22" s="73" t="str">
        <f t="shared" si="40"/>
        <v/>
      </c>
      <c r="CWD22" s="73" t="str">
        <f t="shared" ref="CWD22:CYO22" si="41">IFERROR(AVERAGE(CWD6:CWD21),"")</f>
        <v/>
      </c>
      <c r="CWE22" s="73" t="str">
        <f t="shared" si="41"/>
        <v/>
      </c>
      <c r="CWF22" s="73" t="str">
        <f t="shared" si="41"/>
        <v/>
      </c>
      <c r="CWG22" s="73" t="str">
        <f t="shared" si="41"/>
        <v/>
      </c>
      <c r="CWH22" s="73" t="str">
        <f t="shared" si="41"/>
        <v/>
      </c>
      <c r="CWI22" s="73" t="str">
        <f t="shared" si="41"/>
        <v/>
      </c>
      <c r="CWJ22" s="73" t="str">
        <f t="shared" si="41"/>
        <v/>
      </c>
      <c r="CWK22" s="73" t="str">
        <f t="shared" si="41"/>
        <v/>
      </c>
      <c r="CWL22" s="73" t="str">
        <f t="shared" si="41"/>
        <v/>
      </c>
      <c r="CWM22" s="73" t="str">
        <f t="shared" si="41"/>
        <v/>
      </c>
      <c r="CWN22" s="73" t="str">
        <f t="shared" si="41"/>
        <v/>
      </c>
      <c r="CWO22" s="73" t="str">
        <f t="shared" si="41"/>
        <v/>
      </c>
      <c r="CWP22" s="73" t="str">
        <f t="shared" si="41"/>
        <v/>
      </c>
      <c r="CWQ22" s="73" t="str">
        <f t="shared" si="41"/>
        <v/>
      </c>
      <c r="CWR22" s="73" t="str">
        <f t="shared" si="41"/>
        <v/>
      </c>
      <c r="CWS22" s="73" t="str">
        <f t="shared" si="41"/>
        <v/>
      </c>
      <c r="CWT22" s="73" t="str">
        <f t="shared" si="41"/>
        <v/>
      </c>
      <c r="CWU22" s="73" t="str">
        <f t="shared" si="41"/>
        <v/>
      </c>
      <c r="CWV22" s="73" t="str">
        <f t="shared" si="41"/>
        <v/>
      </c>
      <c r="CWW22" s="73" t="str">
        <f t="shared" si="41"/>
        <v/>
      </c>
      <c r="CWX22" s="73" t="str">
        <f t="shared" si="41"/>
        <v/>
      </c>
      <c r="CWY22" s="73" t="str">
        <f t="shared" si="41"/>
        <v/>
      </c>
      <c r="CWZ22" s="73" t="str">
        <f t="shared" si="41"/>
        <v/>
      </c>
      <c r="CXA22" s="73" t="str">
        <f t="shared" si="41"/>
        <v/>
      </c>
      <c r="CXB22" s="73" t="str">
        <f t="shared" si="41"/>
        <v/>
      </c>
      <c r="CXC22" s="73" t="str">
        <f t="shared" si="41"/>
        <v/>
      </c>
      <c r="CXD22" s="73" t="str">
        <f t="shared" si="41"/>
        <v/>
      </c>
      <c r="CXE22" s="73" t="str">
        <f t="shared" si="41"/>
        <v/>
      </c>
      <c r="CXF22" s="73" t="str">
        <f t="shared" si="41"/>
        <v/>
      </c>
      <c r="CXG22" s="73" t="str">
        <f t="shared" si="41"/>
        <v/>
      </c>
      <c r="CXH22" s="73" t="str">
        <f t="shared" si="41"/>
        <v/>
      </c>
      <c r="CXI22" s="73" t="str">
        <f t="shared" si="41"/>
        <v/>
      </c>
      <c r="CXJ22" s="73" t="str">
        <f t="shared" si="41"/>
        <v/>
      </c>
      <c r="CXK22" s="73" t="str">
        <f t="shared" si="41"/>
        <v/>
      </c>
      <c r="CXL22" s="73" t="str">
        <f t="shared" si="41"/>
        <v/>
      </c>
      <c r="CXM22" s="73" t="str">
        <f t="shared" si="41"/>
        <v/>
      </c>
      <c r="CXN22" s="73" t="str">
        <f t="shared" si="41"/>
        <v/>
      </c>
      <c r="CXO22" s="73" t="str">
        <f t="shared" si="41"/>
        <v/>
      </c>
      <c r="CXP22" s="73" t="str">
        <f t="shared" si="41"/>
        <v/>
      </c>
      <c r="CXQ22" s="73" t="str">
        <f t="shared" si="41"/>
        <v/>
      </c>
      <c r="CXR22" s="73" t="str">
        <f t="shared" si="41"/>
        <v/>
      </c>
      <c r="CXS22" s="73" t="str">
        <f t="shared" si="41"/>
        <v/>
      </c>
      <c r="CXT22" s="73" t="str">
        <f t="shared" si="41"/>
        <v/>
      </c>
      <c r="CXU22" s="73" t="str">
        <f t="shared" si="41"/>
        <v/>
      </c>
      <c r="CXV22" s="73" t="str">
        <f t="shared" si="41"/>
        <v/>
      </c>
      <c r="CXW22" s="73" t="str">
        <f t="shared" si="41"/>
        <v/>
      </c>
      <c r="CXX22" s="73" t="str">
        <f t="shared" si="41"/>
        <v/>
      </c>
      <c r="CXY22" s="73" t="str">
        <f t="shared" si="41"/>
        <v/>
      </c>
      <c r="CXZ22" s="73" t="str">
        <f t="shared" si="41"/>
        <v/>
      </c>
      <c r="CYA22" s="73" t="str">
        <f t="shared" si="41"/>
        <v/>
      </c>
      <c r="CYB22" s="73" t="str">
        <f t="shared" si="41"/>
        <v/>
      </c>
      <c r="CYC22" s="73" t="str">
        <f t="shared" si="41"/>
        <v/>
      </c>
      <c r="CYD22" s="73" t="str">
        <f t="shared" si="41"/>
        <v/>
      </c>
      <c r="CYE22" s="73" t="str">
        <f t="shared" si="41"/>
        <v/>
      </c>
      <c r="CYF22" s="73" t="str">
        <f t="shared" si="41"/>
        <v/>
      </c>
      <c r="CYG22" s="73" t="str">
        <f t="shared" si="41"/>
        <v/>
      </c>
      <c r="CYH22" s="73" t="str">
        <f t="shared" si="41"/>
        <v/>
      </c>
      <c r="CYI22" s="73" t="str">
        <f t="shared" si="41"/>
        <v/>
      </c>
      <c r="CYJ22" s="73" t="str">
        <f t="shared" si="41"/>
        <v/>
      </c>
      <c r="CYK22" s="73" t="str">
        <f t="shared" si="41"/>
        <v/>
      </c>
      <c r="CYL22" s="73" t="str">
        <f t="shared" si="41"/>
        <v/>
      </c>
      <c r="CYM22" s="73" t="str">
        <f t="shared" si="41"/>
        <v/>
      </c>
      <c r="CYN22" s="73" t="str">
        <f t="shared" si="41"/>
        <v/>
      </c>
      <c r="CYO22" s="73" t="str">
        <f t="shared" si="41"/>
        <v/>
      </c>
      <c r="CYP22" s="73" t="str">
        <f t="shared" ref="CYP22:DBA22" si="42">IFERROR(AVERAGE(CYP6:CYP21),"")</f>
        <v/>
      </c>
      <c r="CYQ22" s="73" t="str">
        <f t="shared" si="42"/>
        <v/>
      </c>
      <c r="CYR22" s="73" t="str">
        <f t="shared" si="42"/>
        <v/>
      </c>
      <c r="CYS22" s="73" t="str">
        <f t="shared" si="42"/>
        <v/>
      </c>
      <c r="CYT22" s="73" t="str">
        <f t="shared" si="42"/>
        <v/>
      </c>
      <c r="CYU22" s="73" t="str">
        <f t="shared" si="42"/>
        <v/>
      </c>
      <c r="CYV22" s="73" t="str">
        <f t="shared" si="42"/>
        <v/>
      </c>
      <c r="CYW22" s="73" t="str">
        <f t="shared" si="42"/>
        <v/>
      </c>
      <c r="CYX22" s="73" t="str">
        <f t="shared" si="42"/>
        <v/>
      </c>
      <c r="CYY22" s="73" t="str">
        <f t="shared" si="42"/>
        <v/>
      </c>
      <c r="CYZ22" s="73" t="str">
        <f t="shared" si="42"/>
        <v/>
      </c>
      <c r="CZA22" s="73" t="str">
        <f t="shared" si="42"/>
        <v/>
      </c>
      <c r="CZB22" s="73" t="str">
        <f t="shared" si="42"/>
        <v/>
      </c>
      <c r="CZC22" s="73" t="str">
        <f t="shared" si="42"/>
        <v/>
      </c>
      <c r="CZD22" s="73" t="str">
        <f t="shared" si="42"/>
        <v/>
      </c>
      <c r="CZE22" s="73" t="str">
        <f t="shared" si="42"/>
        <v/>
      </c>
      <c r="CZF22" s="73" t="str">
        <f t="shared" si="42"/>
        <v/>
      </c>
      <c r="CZG22" s="73" t="str">
        <f t="shared" si="42"/>
        <v/>
      </c>
      <c r="CZH22" s="73" t="str">
        <f t="shared" si="42"/>
        <v/>
      </c>
      <c r="CZI22" s="73" t="str">
        <f t="shared" si="42"/>
        <v/>
      </c>
      <c r="CZJ22" s="73" t="str">
        <f t="shared" si="42"/>
        <v/>
      </c>
      <c r="CZK22" s="73" t="str">
        <f t="shared" si="42"/>
        <v/>
      </c>
      <c r="CZL22" s="73" t="str">
        <f t="shared" si="42"/>
        <v/>
      </c>
      <c r="CZM22" s="73" t="str">
        <f t="shared" si="42"/>
        <v/>
      </c>
      <c r="CZN22" s="73" t="str">
        <f t="shared" si="42"/>
        <v/>
      </c>
      <c r="CZO22" s="73" t="str">
        <f t="shared" si="42"/>
        <v/>
      </c>
      <c r="CZP22" s="73" t="str">
        <f t="shared" si="42"/>
        <v/>
      </c>
      <c r="CZQ22" s="73" t="str">
        <f t="shared" si="42"/>
        <v/>
      </c>
      <c r="CZR22" s="73" t="str">
        <f t="shared" si="42"/>
        <v/>
      </c>
      <c r="CZS22" s="73" t="str">
        <f t="shared" si="42"/>
        <v/>
      </c>
      <c r="CZT22" s="73" t="str">
        <f t="shared" si="42"/>
        <v/>
      </c>
      <c r="CZU22" s="73" t="str">
        <f t="shared" si="42"/>
        <v/>
      </c>
      <c r="CZV22" s="73" t="str">
        <f t="shared" si="42"/>
        <v/>
      </c>
      <c r="CZW22" s="73" t="str">
        <f t="shared" si="42"/>
        <v/>
      </c>
      <c r="CZX22" s="73" t="str">
        <f t="shared" si="42"/>
        <v/>
      </c>
      <c r="CZY22" s="73" t="str">
        <f t="shared" si="42"/>
        <v/>
      </c>
      <c r="CZZ22" s="73" t="str">
        <f t="shared" si="42"/>
        <v/>
      </c>
      <c r="DAA22" s="73" t="str">
        <f t="shared" si="42"/>
        <v/>
      </c>
      <c r="DAB22" s="73" t="str">
        <f t="shared" si="42"/>
        <v/>
      </c>
      <c r="DAC22" s="73" t="str">
        <f t="shared" si="42"/>
        <v/>
      </c>
      <c r="DAD22" s="73" t="str">
        <f t="shared" si="42"/>
        <v/>
      </c>
      <c r="DAE22" s="73" t="str">
        <f t="shared" si="42"/>
        <v/>
      </c>
      <c r="DAF22" s="73" t="str">
        <f t="shared" si="42"/>
        <v/>
      </c>
      <c r="DAG22" s="73" t="str">
        <f t="shared" si="42"/>
        <v/>
      </c>
      <c r="DAH22" s="73" t="str">
        <f t="shared" si="42"/>
        <v/>
      </c>
      <c r="DAI22" s="73" t="str">
        <f t="shared" si="42"/>
        <v/>
      </c>
      <c r="DAJ22" s="73" t="str">
        <f t="shared" si="42"/>
        <v/>
      </c>
      <c r="DAK22" s="73" t="str">
        <f t="shared" si="42"/>
        <v/>
      </c>
      <c r="DAL22" s="73" t="str">
        <f t="shared" si="42"/>
        <v/>
      </c>
      <c r="DAM22" s="73" t="str">
        <f t="shared" si="42"/>
        <v/>
      </c>
      <c r="DAN22" s="73" t="str">
        <f t="shared" si="42"/>
        <v/>
      </c>
      <c r="DAO22" s="73" t="str">
        <f t="shared" si="42"/>
        <v/>
      </c>
      <c r="DAP22" s="73" t="str">
        <f t="shared" si="42"/>
        <v/>
      </c>
      <c r="DAQ22" s="73" t="str">
        <f t="shared" si="42"/>
        <v/>
      </c>
      <c r="DAR22" s="73" t="str">
        <f t="shared" si="42"/>
        <v/>
      </c>
      <c r="DAS22" s="73" t="str">
        <f t="shared" si="42"/>
        <v/>
      </c>
      <c r="DAT22" s="73" t="str">
        <f t="shared" si="42"/>
        <v/>
      </c>
      <c r="DAU22" s="73" t="str">
        <f t="shared" si="42"/>
        <v/>
      </c>
      <c r="DAV22" s="73" t="str">
        <f t="shared" si="42"/>
        <v/>
      </c>
      <c r="DAW22" s="73" t="str">
        <f t="shared" si="42"/>
        <v/>
      </c>
      <c r="DAX22" s="73" t="str">
        <f t="shared" si="42"/>
        <v/>
      </c>
      <c r="DAY22" s="73" t="str">
        <f t="shared" si="42"/>
        <v/>
      </c>
      <c r="DAZ22" s="73" t="str">
        <f t="shared" si="42"/>
        <v/>
      </c>
      <c r="DBA22" s="73" t="str">
        <f t="shared" si="42"/>
        <v/>
      </c>
      <c r="DBB22" s="73" t="str">
        <f t="shared" ref="DBB22:DDM22" si="43">IFERROR(AVERAGE(DBB6:DBB21),"")</f>
        <v/>
      </c>
      <c r="DBC22" s="73" t="str">
        <f t="shared" si="43"/>
        <v/>
      </c>
      <c r="DBD22" s="73" t="str">
        <f t="shared" si="43"/>
        <v/>
      </c>
      <c r="DBE22" s="73" t="str">
        <f t="shared" si="43"/>
        <v/>
      </c>
      <c r="DBF22" s="73" t="str">
        <f t="shared" si="43"/>
        <v/>
      </c>
      <c r="DBG22" s="73" t="str">
        <f t="shared" si="43"/>
        <v/>
      </c>
      <c r="DBH22" s="73" t="str">
        <f t="shared" si="43"/>
        <v/>
      </c>
      <c r="DBI22" s="73" t="str">
        <f t="shared" si="43"/>
        <v/>
      </c>
      <c r="DBJ22" s="73" t="str">
        <f t="shared" si="43"/>
        <v/>
      </c>
      <c r="DBK22" s="73" t="str">
        <f t="shared" si="43"/>
        <v/>
      </c>
      <c r="DBL22" s="73" t="str">
        <f t="shared" si="43"/>
        <v/>
      </c>
      <c r="DBM22" s="73" t="str">
        <f t="shared" si="43"/>
        <v/>
      </c>
      <c r="DBN22" s="73" t="str">
        <f t="shared" si="43"/>
        <v/>
      </c>
      <c r="DBO22" s="73" t="str">
        <f t="shared" si="43"/>
        <v/>
      </c>
      <c r="DBP22" s="73" t="str">
        <f t="shared" si="43"/>
        <v/>
      </c>
      <c r="DBQ22" s="73" t="str">
        <f t="shared" si="43"/>
        <v/>
      </c>
      <c r="DBR22" s="73" t="str">
        <f t="shared" si="43"/>
        <v/>
      </c>
      <c r="DBS22" s="73" t="str">
        <f t="shared" si="43"/>
        <v/>
      </c>
      <c r="DBT22" s="73" t="str">
        <f t="shared" si="43"/>
        <v/>
      </c>
      <c r="DBU22" s="73" t="str">
        <f t="shared" si="43"/>
        <v/>
      </c>
      <c r="DBV22" s="73" t="str">
        <f t="shared" si="43"/>
        <v/>
      </c>
      <c r="DBW22" s="73" t="str">
        <f t="shared" si="43"/>
        <v/>
      </c>
      <c r="DBX22" s="73" t="str">
        <f t="shared" si="43"/>
        <v/>
      </c>
      <c r="DBY22" s="73" t="str">
        <f t="shared" si="43"/>
        <v/>
      </c>
      <c r="DBZ22" s="73" t="str">
        <f t="shared" si="43"/>
        <v/>
      </c>
      <c r="DCA22" s="73" t="str">
        <f t="shared" si="43"/>
        <v/>
      </c>
      <c r="DCB22" s="73" t="str">
        <f t="shared" si="43"/>
        <v/>
      </c>
      <c r="DCC22" s="73" t="str">
        <f t="shared" si="43"/>
        <v/>
      </c>
      <c r="DCD22" s="73" t="str">
        <f t="shared" si="43"/>
        <v/>
      </c>
      <c r="DCE22" s="73" t="str">
        <f t="shared" si="43"/>
        <v/>
      </c>
      <c r="DCF22" s="73" t="str">
        <f t="shared" si="43"/>
        <v/>
      </c>
      <c r="DCG22" s="73" t="str">
        <f t="shared" si="43"/>
        <v/>
      </c>
      <c r="DCH22" s="73" t="str">
        <f t="shared" si="43"/>
        <v/>
      </c>
      <c r="DCI22" s="73" t="str">
        <f t="shared" si="43"/>
        <v/>
      </c>
      <c r="DCJ22" s="73" t="str">
        <f t="shared" si="43"/>
        <v/>
      </c>
      <c r="DCK22" s="73" t="str">
        <f t="shared" si="43"/>
        <v/>
      </c>
      <c r="DCL22" s="73" t="str">
        <f t="shared" si="43"/>
        <v/>
      </c>
      <c r="DCM22" s="73" t="str">
        <f t="shared" si="43"/>
        <v/>
      </c>
      <c r="DCN22" s="73" t="str">
        <f t="shared" si="43"/>
        <v/>
      </c>
      <c r="DCO22" s="73" t="str">
        <f t="shared" si="43"/>
        <v/>
      </c>
      <c r="DCP22" s="73" t="str">
        <f t="shared" si="43"/>
        <v/>
      </c>
      <c r="DCQ22" s="73" t="str">
        <f t="shared" si="43"/>
        <v/>
      </c>
      <c r="DCR22" s="73" t="str">
        <f t="shared" si="43"/>
        <v/>
      </c>
      <c r="DCS22" s="73" t="str">
        <f t="shared" si="43"/>
        <v/>
      </c>
      <c r="DCT22" s="73" t="str">
        <f t="shared" si="43"/>
        <v/>
      </c>
      <c r="DCU22" s="73" t="str">
        <f t="shared" si="43"/>
        <v/>
      </c>
      <c r="DCV22" s="73" t="str">
        <f t="shared" si="43"/>
        <v/>
      </c>
      <c r="DCW22" s="73" t="str">
        <f t="shared" si="43"/>
        <v/>
      </c>
      <c r="DCX22" s="73" t="str">
        <f t="shared" si="43"/>
        <v/>
      </c>
      <c r="DCY22" s="73" t="str">
        <f t="shared" si="43"/>
        <v/>
      </c>
      <c r="DCZ22" s="73" t="str">
        <f t="shared" si="43"/>
        <v/>
      </c>
      <c r="DDA22" s="73" t="str">
        <f t="shared" si="43"/>
        <v/>
      </c>
      <c r="DDB22" s="73" t="str">
        <f t="shared" si="43"/>
        <v/>
      </c>
      <c r="DDC22" s="73" t="str">
        <f t="shared" si="43"/>
        <v/>
      </c>
      <c r="DDD22" s="73" t="str">
        <f t="shared" si="43"/>
        <v/>
      </c>
      <c r="DDE22" s="73" t="str">
        <f t="shared" si="43"/>
        <v/>
      </c>
      <c r="DDF22" s="73" t="str">
        <f t="shared" si="43"/>
        <v/>
      </c>
      <c r="DDG22" s="73" t="str">
        <f t="shared" si="43"/>
        <v/>
      </c>
      <c r="DDH22" s="73" t="str">
        <f t="shared" si="43"/>
        <v/>
      </c>
      <c r="DDI22" s="73" t="str">
        <f t="shared" si="43"/>
        <v/>
      </c>
      <c r="DDJ22" s="73" t="str">
        <f t="shared" si="43"/>
        <v/>
      </c>
      <c r="DDK22" s="73" t="str">
        <f t="shared" si="43"/>
        <v/>
      </c>
      <c r="DDL22" s="73" t="str">
        <f t="shared" si="43"/>
        <v/>
      </c>
      <c r="DDM22" s="73" t="str">
        <f t="shared" si="43"/>
        <v/>
      </c>
      <c r="DDN22" s="73" t="str">
        <f t="shared" ref="DDN22:DFY22" si="44">IFERROR(AVERAGE(DDN6:DDN21),"")</f>
        <v/>
      </c>
      <c r="DDO22" s="73" t="str">
        <f t="shared" si="44"/>
        <v/>
      </c>
      <c r="DDP22" s="73" t="str">
        <f t="shared" si="44"/>
        <v/>
      </c>
      <c r="DDQ22" s="73" t="str">
        <f t="shared" si="44"/>
        <v/>
      </c>
      <c r="DDR22" s="73" t="str">
        <f t="shared" si="44"/>
        <v/>
      </c>
      <c r="DDS22" s="73" t="str">
        <f t="shared" si="44"/>
        <v/>
      </c>
      <c r="DDT22" s="73" t="str">
        <f t="shared" si="44"/>
        <v/>
      </c>
      <c r="DDU22" s="73" t="str">
        <f t="shared" si="44"/>
        <v/>
      </c>
      <c r="DDV22" s="73" t="str">
        <f t="shared" si="44"/>
        <v/>
      </c>
      <c r="DDW22" s="73" t="str">
        <f t="shared" si="44"/>
        <v/>
      </c>
      <c r="DDX22" s="73" t="str">
        <f t="shared" si="44"/>
        <v/>
      </c>
      <c r="DDY22" s="73" t="str">
        <f t="shared" si="44"/>
        <v/>
      </c>
      <c r="DDZ22" s="73" t="str">
        <f t="shared" si="44"/>
        <v/>
      </c>
      <c r="DEA22" s="73" t="str">
        <f t="shared" si="44"/>
        <v/>
      </c>
      <c r="DEB22" s="73" t="str">
        <f t="shared" si="44"/>
        <v/>
      </c>
      <c r="DEC22" s="73" t="str">
        <f t="shared" si="44"/>
        <v/>
      </c>
      <c r="DED22" s="73" t="str">
        <f t="shared" si="44"/>
        <v/>
      </c>
      <c r="DEE22" s="73" t="str">
        <f t="shared" si="44"/>
        <v/>
      </c>
      <c r="DEF22" s="73" t="str">
        <f t="shared" si="44"/>
        <v/>
      </c>
      <c r="DEG22" s="73" t="str">
        <f t="shared" si="44"/>
        <v/>
      </c>
      <c r="DEH22" s="73" t="str">
        <f t="shared" si="44"/>
        <v/>
      </c>
      <c r="DEI22" s="73" t="str">
        <f t="shared" si="44"/>
        <v/>
      </c>
      <c r="DEJ22" s="73" t="str">
        <f t="shared" si="44"/>
        <v/>
      </c>
      <c r="DEK22" s="73" t="str">
        <f t="shared" si="44"/>
        <v/>
      </c>
      <c r="DEL22" s="73" t="str">
        <f t="shared" si="44"/>
        <v/>
      </c>
      <c r="DEM22" s="73" t="str">
        <f t="shared" si="44"/>
        <v/>
      </c>
      <c r="DEN22" s="73" t="str">
        <f t="shared" si="44"/>
        <v/>
      </c>
      <c r="DEO22" s="73" t="str">
        <f t="shared" si="44"/>
        <v/>
      </c>
      <c r="DEP22" s="73" t="str">
        <f t="shared" si="44"/>
        <v/>
      </c>
      <c r="DEQ22" s="73" t="str">
        <f t="shared" si="44"/>
        <v/>
      </c>
      <c r="DER22" s="73" t="str">
        <f t="shared" si="44"/>
        <v/>
      </c>
      <c r="DES22" s="73" t="str">
        <f t="shared" si="44"/>
        <v/>
      </c>
      <c r="DET22" s="73" t="str">
        <f t="shared" si="44"/>
        <v/>
      </c>
      <c r="DEU22" s="73" t="str">
        <f t="shared" si="44"/>
        <v/>
      </c>
      <c r="DEV22" s="73" t="str">
        <f t="shared" si="44"/>
        <v/>
      </c>
      <c r="DEW22" s="73" t="str">
        <f t="shared" si="44"/>
        <v/>
      </c>
      <c r="DEX22" s="73" t="str">
        <f t="shared" si="44"/>
        <v/>
      </c>
      <c r="DEY22" s="73" t="str">
        <f t="shared" si="44"/>
        <v/>
      </c>
      <c r="DEZ22" s="73" t="str">
        <f t="shared" si="44"/>
        <v/>
      </c>
      <c r="DFA22" s="73" t="str">
        <f t="shared" si="44"/>
        <v/>
      </c>
      <c r="DFB22" s="73" t="str">
        <f t="shared" si="44"/>
        <v/>
      </c>
      <c r="DFC22" s="73" t="str">
        <f t="shared" si="44"/>
        <v/>
      </c>
      <c r="DFD22" s="73" t="str">
        <f t="shared" si="44"/>
        <v/>
      </c>
      <c r="DFE22" s="73" t="str">
        <f t="shared" si="44"/>
        <v/>
      </c>
      <c r="DFF22" s="73" t="str">
        <f t="shared" si="44"/>
        <v/>
      </c>
      <c r="DFG22" s="73" t="str">
        <f t="shared" si="44"/>
        <v/>
      </c>
      <c r="DFH22" s="73" t="str">
        <f t="shared" si="44"/>
        <v/>
      </c>
      <c r="DFI22" s="73" t="str">
        <f t="shared" si="44"/>
        <v/>
      </c>
      <c r="DFJ22" s="73" t="str">
        <f t="shared" si="44"/>
        <v/>
      </c>
      <c r="DFK22" s="73" t="str">
        <f t="shared" si="44"/>
        <v/>
      </c>
      <c r="DFL22" s="73" t="str">
        <f t="shared" si="44"/>
        <v/>
      </c>
      <c r="DFM22" s="73" t="str">
        <f t="shared" si="44"/>
        <v/>
      </c>
      <c r="DFN22" s="73" t="str">
        <f t="shared" si="44"/>
        <v/>
      </c>
      <c r="DFO22" s="73" t="str">
        <f t="shared" si="44"/>
        <v/>
      </c>
      <c r="DFP22" s="73" t="str">
        <f t="shared" si="44"/>
        <v/>
      </c>
      <c r="DFQ22" s="73" t="str">
        <f t="shared" si="44"/>
        <v/>
      </c>
      <c r="DFR22" s="73" t="str">
        <f t="shared" si="44"/>
        <v/>
      </c>
      <c r="DFS22" s="73" t="str">
        <f t="shared" si="44"/>
        <v/>
      </c>
      <c r="DFT22" s="73" t="str">
        <f t="shared" si="44"/>
        <v/>
      </c>
      <c r="DFU22" s="73" t="str">
        <f t="shared" si="44"/>
        <v/>
      </c>
      <c r="DFV22" s="73" t="str">
        <f t="shared" si="44"/>
        <v/>
      </c>
      <c r="DFW22" s="73" t="str">
        <f t="shared" si="44"/>
        <v/>
      </c>
      <c r="DFX22" s="73" t="str">
        <f t="shared" si="44"/>
        <v/>
      </c>
      <c r="DFY22" s="73" t="str">
        <f t="shared" si="44"/>
        <v/>
      </c>
      <c r="DFZ22" s="73" t="str">
        <f t="shared" ref="DFZ22:DIK22" si="45">IFERROR(AVERAGE(DFZ6:DFZ21),"")</f>
        <v/>
      </c>
      <c r="DGA22" s="73" t="str">
        <f t="shared" si="45"/>
        <v/>
      </c>
      <c r="DGB22" s="73" t="str">
        <f t="shared" si="45"/>
        <v/>
      </c>
      <c r="DGC22" s="73" t="str">
        <f t="shared" si="45"/>
        <v/>
      </c>
      <c r="DGD22" s="73" t="str">
        <f t="shared" si="45"/>
        <v/>
      </c>
      <c r="DGE22" s="73" t="str">
        <f t="shared" si="45"/>
        <v/>
      </c>
      <c r="DGF22" s="73" t="str">
        <f t="shared" si="45"/>
        <v/>
      </c>
      <c r="DGG22" s="73" t="str">
        <f t="shared" si="45"/>
        <v/>
      </c>
      <c r="DGH22" s="73" t="str">
        <f t="shared" si="45"/>
        <v/>
      </c>
      <c r="DGI22" s="73" t="str">
        <f t="shared" si="45"/>
        <v/>
      </c>
      <c r="DGJ22" s="73" t="str">
        <f t="shared" si="45"/>
        <v/>
      </c>
      <c r="DGK22" s="73" t="str">
        <f t="shared" si="45"/>
        <v/>
      </c>
      <c r="DGL22" s="73" t="str">
        <f t="shared" si="45"/>
        <v/>
      </c>
      <c r="DGM22" s="73" t="str">
        <f t="shared" si="45"/>
        <v/>
      </c>
      <c r="DGN22" s="73" t="str">
        <f t="shared" si="45"/>
        <v/>
      </c>
      <c r="DGO22" s="73" t="str">
        <f t="shared" si="45"/>
        <v/>
      </c>
      <c r="DGP22" s="73" t="str">
        <f t="shared" si="45"/>
        <v/>
      </c>
      <c r="DGQ22" s="73" t="str">
        <f t="shared" si="45"/>
        <v/>
      </c>
      <c r="DGR22" s="73" t="str">
        <f t="shared" si="45"/>
        <v/>
      </c>
      <c r="DGS22" s="73" t="str">
        <f t="shared" si="45"/>
        <v/>
      </c>
      <c r="DGT22" s="73" t="str">
        <f t="shared" si="45"/>
        <v/>
      </c>
      <c r="DGU22" s="73" t="str">
        <f t="shared" si="45"/>
        <v/>
      </c>
      <c r="DGV22" s="73" t="str">
        <f t="shared" si="45"/>
        <v/>
      </c>
      <c r="DGW22" s="73" t="str">
        <f t="shared" si="45"/>
        <v/>
      </c>
      <c r="DGX22" s="73" t="str">
        <f t="shared" si="45"/>
        <v/>
      </c>
      <c r="DGY22" s="73" t="str">
        <f t="shared" si="45"/>
        <v/>
      </c>
      <c r="DGZ22" s="73" t="str">
        <f t="shared" si="45"/>
        <v/>
      </c>
      <c r="DHA22" s="73" t="str">
        <f t="shared" si="45"/>
        <v/>
      </c>
      <c r="DHB22" s="73" t="str">
        <f t="shared" si="45"/>
        <v/>
      </c>
      <c r="DHC22" s="73" t="str">
        <f t="shared" si="45"/>
        <v/>
      </c>
      <c r="DHD22" s="73" t="str">
        <f t="shared" si="45"/>
        <v/>
      </c>
      <c r="DHE22" s="73" t="str">
        <f t="shared" si="45"/>
        <v/>
      </c>
      <c r="DHF22" s="73" t="str">
        <f t="shared" si="45"/>
        <v/>
      </c>
      <c r="DHG22" s="73" t="str">
        <f t="shared" si="45"/>
        <v/>
      </c>
      <c r="DHH22" s="73" t="str">
        <f t="shared" si="45"/>
        <v/>
      </c>
      <c r="DHI22" s="73" t="str">
        <f t="shared" si="45"/>
        <v/>
      </c>
      <c r="DHJ22" s="73" t="str">
        <f t="shared" si="45"/>
        <v/>
      </c>
      <c r="DHK22" s="73" t="str">
        <f t="shared" si="45"/>
        <v/>
      </c>
      <c r="DHL22" s="73" t="str">
        <f t="shared" si="45"/>
        <v/>
      </c>
      <c r="DHM22" s="73" t="str">
        <f t="shared" si="45"/>
        <v/>
      </c>
      <c r="DHN22" s="73" t="str">
        <f t="shared" si="45"/>
        <v/>
      </c>
      <c r="DHO22" s="73" t="str">
        <f t="shared" si="45"/>
        <v/>
      </c>
      <c r="DHP22" s="73" t="str">
        <f t="shared" si="45"/>
        <v/>
      </c>
      <c r="DHQ22" s="73" t="str">
        <f t="shared" si="45"/>
        <v/>
      </c>
      <c r="DHR22" s="73" t="str">
        <f t="shared" si="45"/>
        <v/>
      </c>
      <c r="DHS22" s="73" t="str">
        <f t="shared" si="45"/>
        <v/>
      </c>
      <c r="DHT22" s="73" t="str">
        <f t="shared" si="45"/>
        <v/>
      </c>
      <c r="DHU22" s="73" t="str">
        <f t="shared" si="45"/>
        <v/>
      </c>
      <c r="DHV22" s="73" t="str">
        <f t="shared" si="45"/>
        <v/>
      </c>
      <c r="DHW22" s="73" t="str">
        <f t="shared" si="45"/>
        <v/>
      </c>
      <c r="DHX22" s="73" t="str">
        <f t="shared" si="45"/>
        <v/>
      </c>
      <c r="DHY22" s="73" t="str">
        <f t="shared" si="45"/>
        <v/>
      </c>
      <c r="DHZ22" s="73" t="str">
        <f t="shared" si="45"/>
        <v/>
      </c>
      <c r="DIA22" s="73" t="str">
        <f t="shared" si="45"/>
        <v/>
      </c>
      <c r="DIB22" s="73" t="str">
        <f t="shared" si="45"/>
        <v/>
      </c>
      <c r="DIC22" s="73" t="str">
        <f t="shared" si="45"/>
        <v/>
      </c>
      <c r="DID22" s="73" t="str">
        <f t="shared" si="45"/>
        <v/>
      </c>
      <c r="DIE22" s="73" t="str">
        <f t="shared" si="45"/>
        <v/>
      </c>
      <c r="DIF22" s="73" t="str">
        <f t="shared" si="45"/>
        <v/>
      </c>
      <c r="DIG22" s="73" t="str">
        <f t="shared" si="45"/>
        <v/>
      </c>
      <c r="DIH22" s="73" t="str">
        <f t="shared" si="45"/>
        <v/>
      </c>
      <c r="DII22" s="73" t="str">
        <f t="shared" si="45"/>
        <v/>
      </c>
      <c r="DIJ22" s="73" t="str">
        <f t="shared" si="45"/>
        <v/>
      </c>
      <c r="DIK22" s="73" t="str">
        <f t="shared" si="45"/>
        <v/>
      </c>
      <c r="DIL22" s="73" t="str">
        <f t="shared" ref="DIL22:DKW22" si="46">IFERROR(AVERAGE(DIL6:DIL21),"")</f>
        <v/>
      </c>
      <c r="DIM22" s="73" t="str">
        <f t="shared" si="46"/>
        <v/>
      </c>
      <c r="DIN22" s="73" t="str">
        <f t="shared" si="46"/>
        <v/>
      </c>
      <c r="DIO22" s="73" t="str">
        <f t="shared" si="46"/>
        <v/>
      </c>
      <c r="DIP22" s="73" t="str">
        <f t="shared" si="46"/>
        <v/>
      </c>
      <c r="DIQ22" s="73" t="str">
        <f t="shared" si="46"/>
        <v/>
      </c>
      <c r="DIR22" s="73" t="str">
        <f t="shared" si="46"/>
        <v/>
      </c>
      <c r="DIS22" s="73" t="str">
        <f t="shared" si="46"/>
        <v/>
      </c>
      <c r="DIT22" s="73" t="str">
        <f t="shared" si="46"/>
        <v/>
      </c>
      <c r="DIU22" s="73" t="str">
        <f t="shared" si="46"/>
        <v/>
      </c>
      <c r="DIV22" s="73" t="str">
        <f t="shared" si="46"/>
        <v/>
      </c>
      <c r="DIW22" s="73" t="str">
        <f t="shared" si="46"/>
        <v/>
      </c>
      <c r="DIX22" s="73" t="str">
        <f t="shared" si="46"/>
        <v/>
      </c>
      <c r="DIY22" s="73" t="str">
        <f t="shared" si="46"/>
        <v/>
      </c>
      <c r="DIZ22" s="73" t="str">
        <f t="shared" si="46"/>
        <v/>
      </c>
      <c r="DJA22" s="73" t="str">
        <f t="shared" si="46"/>
        <v/>
      </c>
      <c r="DJB22" s="73" t="str">
        <f t="shared" si="46"/>
        <v/>
      </c>
      <c r="DJC22" s="73" t="str">
        <f t="shared" si="46"/>
        <v/>
      </c>
      <c r="DJD22" s="73" t="str">
        <f t="shared" si="46"/>
        <v/>
      </c>
      <c r="DJE22" s="73" t="str">
        <f t="shared" si="46"/>
        <v/>
      </c>
      <c r="DJF22" s="73" t="str">
        <f t="shared" si="46"/>
        <v/>
      </c>
      <c r="DJG22" s="73" t="str">
        <f t="shared" si="46"/>
        <v/>
      </c>
      <c r="DJH22" s="73" t="str">
        <f t="shared" si="46"/>
        <v/>
      </c>
      <c r="DJI22" s="73" t="str">
        <f t="shared" si="46"/>
        <v/>
      </c>
      <c r="DJJ22" s="73" t="str">
        <f t="shared" si="46"/>
        <v/>
      </c>
      <c r="DJK22" s="73" t="str">
        <f t="shared" si="46"/>
        <v/>
      </c>
      <c r="DJL22" s="73" t="str">
        <f t="shared" si="46"/>
        <v/>
      </c>
      <c r="DJM22" s="73" t="str">
        <f t="shared" si="46"/>
        <v/>
      </c>
      <c r="DJN22" s="73" t="str">
        <f t="shared" si="46"/>
        <v/>
      </c>
      <c r="DJO22" s="73" t="str">
        <f t="shared" si="46"/>
        <v/>
      </c>
      <c r="DJP22" s="73" t="str">
        <f t="shared" si="46"/>
        <v/>
      </c>
      <c r="DJQ22" s="73" t="str">
        <f t="shared" si="46"/>
        <v/>
      </c>
      <c r="DJR22" s="73" t="str">
        <f t="shared" si="46"/>
        <v/>
      </c>
      <c r="DJS22" s="73" t="str">
        <f t="shared" si="46"/>
        <v/>
      </c>
      <c r="DJT22" s="73" t="str">
        <f t="shared" si="46"/>
        <v/>
      </c>
      <c r="DJU22" s="73" t="str">
        <f t="shared" si="46"/>
        <v/>
      </c>
      <c r="DJV22" s="73" t="str">
        <f t="shared" si="46"/>
        <v/>
      </c>
      <c r="DJW22" s="73" t="str">
        <f t="shared" si="46"/>
        <v/>
      </c>
      <c r="DJX22" s="73" t="str">
        <f t="shared" si="46"/>
        <v/>
      </c>
      <c r="DJY22" s="73" t="str">
        <f t="shared" si="46"/>
        <v/>
      </c>
      <c r="DJZ22" s="73" t="str">
        <f t="shared" si="46"/>
        <v/>
      </c>
      <c r="DKA22" s="73" t="str">
        <f t="shared" si="46"/>
        <v/>
      </c>
      <c r="DKB22" s="73" t="str">
        <f t="shared" si="46"/>
        <v/>
      </c>
      <c r="DKC22" s="73" t="str">
        <f t="shared" si="46"/>
        <v/>
      </c>
      <c r="DKD22" s="73" t="str">
        <f t="shared" si="46"/>
        <v/>
      </c>
      <c r="DKE22" s="73" t="str">
        <f t="shared" si="46"/>
        <v/>
      </c>
      <c r="DKF22" s="73" t="str">
        <f t="shared" si="46"/>
        <v/>
      </c>
      <c r="DKG22" s="73" t="str">
        <f t="shared" si="46"/>
        <v/>
      </c>
      <c r="DKH22" s="73" t="str">
        <f t="shared" si="46"/>
        <v/>
      </c>
      <c r="DKI22" s="73" t="str">
        <f t="shared" si="46"/>
        <v/>
      </c>
      <c r="DKJ22" s="73" t="str">
        <f t="shared" si="46"/>
        <v/>
      </c>
      <c r="DKK22" s="73" t="str">
        <f t="shared" si="46"/>
        <v/>
      </c>
      <c r="DKL22" s="73" t="str">
        <f t="shared" si="46"/>
        <v/>
      </c>
      <c r="DKM22" s="73" t="str">
        <f t="shared" si="46"/>
        <v/>
      </c>
      <c r="DKN22" s="73" t="str">
        <f t="shared" si="46"/>
        <v/>
      </c>
      <c r="DKO22" s="73" t="str">
        <f t="shared" si="46"/>
        <v/>
      </c>
      <c r="DKP22" s="73" t="str">
        <f t="shared" si="46"/>
        <v/>
      </c>
      <c r="DKQ22" s="73" t="str">
        <f t="shared" si="46"/>
        <v/>
      </c>
      <c r="DKR22" s="73" t="str">
        <f t="shared" si="46"/>
        <v/>
      </c>
      <c r="DKS22" s="73" t="str">
        <f t="shared" si="46"/>
        <v/>
      </c>
      <c r="DKT22" s="73" t="str">
        <f t="shared" si="46"/>
        <v/>
      </c>
      <c r="DKU22" s="73" t="str">
        <f t="shared" si="46"/>
        <v/>
      </c>
      <c r="DKV22" s="73" t="str">
        <f t="shared" si="46"/>
        <v/>
      </c>
      <c r="DKW22" s="73" t="str">
        <f t="shared" si="46"/>
        <v/>
      </c>
      <c r="DKX22" s="73" t="str">
        <f t="shared" ref="DKX22:DNI22" si="47">IFERROR(AVERAGE(DKX6:DKX21),"")</f>
        <v/>
      </c>
      <c r="DKY22" s="73" t="str">
        <f t="shared" si="47"/>
        <v/>
      </c>
      <c r="DKZ22" s="73" t="str">
        <f t="shared" si="47"/>
        <v/>
      </c>
      <c r="DLA22" s="73" t="str">
        <f t="shared" si="47"/>
        <v/>
      </c>
      <c r="DLB22" s="73" t="str">
        <f t="shared" si="47"/>
        <v/>
      </c>
      <c r="DLC22" s="73" t="str">
        <f t="shared" si="47"/>
        <v/>
      </c>
      <c r="DLD22" s="73" t="str">
        <f t="shared" si="47"/>
        <v/>
      </c>
      <c r="DLE22" s="73" t="str">
        <f t="shared" si="47"/>
        <v/>
      </c>
      <c r="DLF22" s="73" t="str">
        <f t="shared" si="47"/>
        <v/>
      </c>
      <c r="DLG22" s="73" t="str">
        <f t="shared" si="47"/>
        <v/>
      </c>
      <c r="DLH22" s="73" t="str">
        <f t="shared" si="47"/>
        <v/>
      </c>
      <c r="DLI22" s="73" t="str">
        <f t="shared" si="47"/>
        <v/>
      </c>
      <c r="DLJ22" s="73" t="str">
        <f t="shared" si="47"/>
        <v/>
      </c>
      <c r="DLK22" s="73" t="str">
        <f t="shared" si="47"/>
        <v/>
      </c>
      <c r="DLL22" s="73" t="str">
        <f t="shared" si="47"/>
        <v/>
      </c>
      <c r="DLM22" s="73" t="str">
        <f t="shared" si="47"/>
        <v/>
      </c>
      <c r="DLN22" s="73" t="str">
        <f t="shared" si="47"/>
        <v/>
      </c>
      <c r="DLO22" s="73" t="str">
        <f t="shared" si="47"/>
        <v/>
      </c>
      <c r="DLP22" s="73" t="str">
        <f t="shared" si="47"/>
        <v/>
      </c>
      <c r="DLQ22" s="73" t="str">
        <f t="shared" si="47"/>
        <v/>
      </c>
      <c r="DLR22" s="73" t="str">
        <f t="shared" si="47"/>
        <v/>
      </c>
      <c r="DLS22" s="73" t="str">
        <f t="shared" si="47"/>
        <v/>
      </c>
      <c r="DLT22" s="73" t="str">
        <f t="shared" si="47"/>
        <v/>
      </c>
      <c r="DLU22" s="73" t="str">
        <f t="shared" si="47"/>
        <v/>
      </c>
      <c r="DLV22" s="73" t="str">
        <f t="shared" si="47"/>
        <v/>
      </c>
      <c r="DLW22" s="73" t="str">
        <f t="shared" si="47"/>
        <v/>
      </c>
      <c r="DLX22" s="73" t="str">
        <f t="shared" si="47"/>
        <v/>
      </c>
      <c r="DLY22" s="73" t="str">
        <f t="shared" si="47"/>
        <v/>
      </c>
      <c r="DLZ22" s="73" t="str">
        <f t="shared" si="47"/>
        <v/>
      </c>
      <c r="DMA22" s="73" t="str">
        <f t="shared" si="47"/>
        <v/>
      </c>
      <c r="DMB22" s="73" t="str">
        <f t="shared" si="47"/>
        <v/>
      </c>
      <c r="DMC22" s="73" t="str">
        <f t="shared" si="47"/>
        <v/>
      </c>
      <c r="DMD22" s="73" t="str">
        <f t="shared" si="47"/>
        <v/>
      </c>
      <c r="DME22" s="73" t="str">
        <f t="shared" si="47"/>
        <v/>
      </c>
      <c r="DMF22" s="73" t="str">
        <f t="shared" si="47"/>
        <v/>
      </c>
      <c r="DMG22" s="73" t="str">
        <f t="shared" si="47"/>
        <v/>
      </c>
      <c r="DMH22" s="73" t="str">
        <f t="shared" si="47"/>
        <v/>
      </c>
      <c r="DMI22" s="73" t="str">
        <f t="shared" si="47"/>
        <v/>
      </c>
      <c r="DMJ22" s="73" t="str">
        <f t="shared" si="47"/>
        <v/>
      </c>
      <c r="DMK22" s="73" t="str">
        <f t="shared" si="47"/>
        <v/>
      </c>
      <c r="DML22" s="73" t="str">
        <f t="shared" si="47"/>
        <v/>
      </c>
      <c r="DMM22" s="73" t="str">
        <f t="shared" si="47"/>
        <v/>
      </c>
      <c r="DMN22" s="73" t="str">
        <f t="shared" si="47"/>
        <v/>
      </c>
      <c r="DMO22" s="73" t="str">
        <f t="shared" si="47"/>
        <v/>
      </c>
      <c r="DMP22" s="73" t="str">
        <f t="shared" si="47"/>
        <v/>
      </c>
      <c r="DMQ22" s="73" t="str">
        <f t="shared" si="47"/>
        <v/>
      </c>
      <c r="DMR22" s="73" t="str">
        <f t="shared" si="47"/>
        <v/>
      </c>
      <c r="DMS22" s="73" t="str">
        <f t="shared" si="47"/>
        <v/>
      </c>
      <c r="DMT22" s="73" t="str">
        <f t="shared" si="47"/>
        <v/>
      </c>
      <c r="DMU22" s="73" t="str">
        <f t="shared" si="47"/>
        <v/>
      </c>
      <c r="DMV22" s="73" t="str">
        <f t="shared" si="47"/>
        <v/>
      </c>
      <c r="DMW22" s="73" t="str">
        <f t="shared" si="47"/>
        <v/>
      </c>
      <c r="DMX22" s="73" t="str">
        <f t="shared" si="47"/>
        <v/>
      </c>
      <c r="DMY22" s="73" t="str">
        <f t="shared" si="47"/>
        <v/>
      </c>
      <c r="DMZ22" s="73" t="str">
        <f t="shared" si="47"/>
        <v/>
      </c>
      <c r="DNA22" s="73" t="str">
        <f t="shared" si="47"/>
        <v/>
      </c>
      <c r="DNB22" s="73" t="str">
        <f t="shared" si="47"/>
        <v/>
      </c>
      <c r="DNC22" s="73" t="str">
        <f t="shared" si="47"/>
        <v/>
      </c>
      <c r="DND22" s="73" t="str">
        <f t="shared" si="47"/>
        <v/>
      </c>
      <c r="DNE22" s="73" t="str">
        <f t="shared" si="47"/>
        <v/>
      </c>
      <c r="DNF22" s="73" t="str">
        <f t="shared" si="47"/>
        <v/>
      </c>
      <c r="DNG22" s="73" t="str">
        <f t="shared" si="47"/>
        <v/>
      </c>
      <c r="DNH22" s="73" t="str">
        <f t="shared" si="47"/>
        <v/>
      </c>
      <c r="DNI22" s="73" t="str">
        <f t="shared" si="47"/>
        <v/>
      </c>
      <c r="DNJ22" s="73" t="str">
        <f t="shared" ref="DNJ22:DPU22" si="48">IFERROR(AVERAGE(DNJ6:DNJ21),"")</f>
        <v/>
      </c>
      <c r="DNK22" s="73" t="str">
        <f t="shared" si="48"/>
        <v/>
      </c>
      <c r="DNL22" s="73" t="str">
        <f t="shared" si="48"/>
        <v/>
      </c>
      <c r="DNM22" s="73" t="str">
        <f t="shared" si="48"/>
        <v/>
      </c>
      <c r="DNN22" s="73" t="str">
        <f t="shared" si="48"/>
        <v/>
      </c>
      <c r="DNO22" s="73" t="str">
        <f t="shared" si="48"/>
        <v/>
      </c>
      <c r="DNP22" s="73" t="str">
        <f t="shared" si="48"/>
        <v/>
      </c>
      <c r="DNQ22" s="73" t="str">
        <f t="shared" si="48"/>
        <v/>
      </c>
      <c r="DNR22" s="73" t="str">
        <f t="shared" si="48"/>
        <v/>
      </c>
      <c r="DNS22" s="73" t="str">
        <f t="shared" si="48"/>
        <v/>
      </c>
      <c r="DNT22" s="73" t="str">
        <f t="shared" si="48"/>
        <v/>
      </c>
      <c r="DNU22" s="73" t="str">
        <f t="shared" si="48"/>
        <v/>
      </c>
      <c r="DNV22" s="73" t="str">
        <f t="shared" si="48"/>
        <v/>
      </c>
      <c r="DNW22" s="73" t="str">
        <f t="shared" si="48"/>
        <v/>
      </c>
      <c r="DNX22" s="73" t="str">
        <f t="shared" si="48"/>
        <v/>
      </c>
      <c r="DNY22" s="73" t="str">
        <f t="shared" si="48"/>
        <v/>
      </c>
      <c r="DNZ22" s="73" t="str">
        <f t="shared" si="48"/>
        <v/>
      </c>
      <c r="DOA22" s="73" t="str">
        <f t="shared" si="48"/>
        <v/>
      </c>
      <c r="DOB22" s="73" t="str">
        <f t="shared" si="48"/>
        <v/>
      </c>
      <c r="DOC22" s="73" t="str">
        <f t="shared" si="48"/>
        <v/>
      </c>
      <c r="DOD22" s="73" t="str">
        <f t="shared" si="48"/>
        <v/>
      </c>
      <c r="DOE22" s="73" t="str">
        <f t="shared" si="48"/>
        <v/>
      </c>
      <c r="DOF22" s="73" t="str">
        <f t="shared" si="48"/>
        <v/>
      </c>
      <c r="DOG22" s="73" t="str">
        <f t="shared" si="48"/>
        <v/>
      </c>
      <c r="DOH22" s="73" t="str">
        <f t="shared" si="48"/>
        <v/>
      </c>
      <c r="DOI22" s="73" t="str">
        <f t="shared" si="48"/>
        <v/>
      </c>
      <c r="DOJ22" s="73" t="str">
        <f t="shared" si="48"/>
        <v/>
      </c>
      <c r="DOK22" s="73" t="str">
        <f t="shared" si="48"/>
        <v/>
      </c>
      <c r="DOL22" s="73" t="str">
        <f t="shared" si="48"/>
        <v/>
      </c>
      <c r="DOM22" s="73" t="str">
        <f t="shared" si="48"/>
        <v/>
      </c>
      <c r="DON22" s="73" t="str">
        <f t="shared" si="48"/>
        <v/>
      </c>
      <c r="DOO22" s="73" t="str">
        <f t="shared" si="48"/>
        <v/>
      </c>
      <c r="DOP22" s="73" t="str">
        <f t="shared" si="48"/>
        <v/>
      </c>
      <c r="DOQ22" s="73" t="str">
        <f t="shared" si="48"/>
        <v/>
      </c>
      <c r="DOR22" s="73" t="str">
        <f t="shared" si="48"/>
        <v/>
      </c>
      <c r="DOS22" s="73" t="str">
        <f t="shared" si="48"/>
        <v/>
      </c>
      <c r="DOT22" s="73" t="str">
        <f t="shared" si="48"/>
        <v/>
      </c>
      <c r="DOU22" s="73" t="str">
        <f t="shared" si="48"/>
        <v/>
      </c>
      <c r="DOV22" s="73" t="str">
        <f t="shared" si="48"/>
        <v/>
      </c>
      <c r="DOW22" s="73" t="str">
        <f t="shared" si="48"/>
        <v/>
      </c>
      <c r="DOX22" s="73" t="str">
        <f t="shared" si="48"/>
        <v/>
      </c>
      <c r="DOY22" s="73" t="str">
        <f t="shared" si="48"/>
        <v/>
      </c>
      <c r="DOZ22" s="73" t="str">
        <f t="shared" si="48"/>
        <v/>
      </c>
      <c r="DPA22" s="73" t="str">
        <f t="shared" si="48"/>
        <v/>
      </c>
      <c r="DPB22" s="73" t="str">
        <f t="shared" si="48"/>
        <v/>
      </c>
      <c r="DPC22" s="73" t="str">
        <f t="shared" si="48"/>
        <v/>
      </c>
      <c r="DPD22" s="73" t="str">
        <f t="shared" si="48"/>
        <v/>
      </c>
      <c r="DPE22" s="73" t="str">
        <f t="shared" si="48"/>
        <v/>
      </c>
      <c r="DPF22" s="73" t="str">
        <f t="shared" si="48"/>
        <v/>
      </c>
      <c r="DPG22" s="73" t="str">
        <f t="shared" si="48"/>
        <v/>
      </c>
      <c r="DPH22" s="73" t="str">
        <f t="shared" si="48"/>
        <v/>
      </c>
      <c r="DPI22" s="73" t="str">
        <f t="shared" si="48"/>
        <v/>
      </c>
      <c r="DPJ22" s="73" t="str">
        <f t="shared" si="48"/>
        <v/>
      </c>
      <c r="DPK22" s="73" t="str">
        <f t="shared" si="48"/>
        <v/>
      </c>
      <c r="DPL22" s="73" t="str">
        <f t="shared" si="48"/>
        <v/>
      </c>
      <c r="DPM22" s="73" t="str">
        <f t="shared" si="48"/>
        <v/>
      </c>
      <c r="DPN22" s="73" t="str">
        <f t="shared" si="48"/>
        <v/>
      </c>
      <c r="DPO22" s="73" t="str">
        <f t="shared" si="48"/>
        <v/>
      </c>
      <c r="DPP22" s="73" t="str">
        <f t="shared" si="48"/>
        <v/>
      </c>
      <c r="DPQ22" s="73" t="str">
        <f t="shared" si="48"/>
        <v/>
      </c>
      <c r="DPR22" s="73" t="str">
        <f t="shared" si="48"/>
        <v/>
      </c>
      <c r="DPS22" s="73" t="str">
        <f t="shared" si="48"/>
        <v/>
      </c>
      <c r="DPT22" s="73" t="str">
        <f t="shared" si="48"/>
        <v/>
      </c>
      <c r="DPU22" s="73" t="str">
        <f t="shared" si="48"/>
        <v/>
      </c>
      <c r="DPV22" s="73" t="str">
        <f t="shared" ref="DPV22:DSG22" si="49">IFERROR(AVERAGE(DPV6:DPV21),"")</f>
        <v/>
      </c>
      <c r="DPW22" s="73" t="str">
        <f t="shared" si="49"/>
        <v/>
      </c>
      <c r="DPX22" s="73" t="str">
        <f t="shared" si="49"/>
        <v/>
      </c>
      <c r="DPY22" s="73" t="str">
        <f t="shared" si="49"/>
        <v/>
      </c>
      <c r="DPZ22" s="73" t="str">
        <f t="shared" si="49"/>
        <v/>
      </c>
      <c r="DQA22" s="73" t="str">
        <f t="shared" si="49"/>
        <v/>
      </c>
      <c r="DQB22" s="73" t="str">
        <f t="shared" si="49"/>
        <v/>
      </c>
      <c r="DQC22" s="73" t="str">
        <f t="shared" si="49"/>
        <v/>
      </c>
      <c r="DQD22" s="73" t="str">
        <f t="shared" si="49"/>
        <v/>
      </c>
      <c r="DQE22" s="73" t="str">
        <f t="shared" si="49"/>
        <v/>
      </c>
      <c r="DQF22" s="73" t="str">
        <f t="shared" si="49"/>
        <v/>
      </c>
      <c r="DQG22" s="73" t="str">
        <f t="shared" si="49"/>
        <v/>
      </c>
      <c r="DQH22" s="73" t="str">
        <f t="shared" si="49"/>
        <v/>
      </c>
      <c r="DQI22" s="73" t="str">
        <f t="shared" si="49"/>
        <v/>
      </c>
      <c r="DQJ22" s="73" t="str">
        <f t="shared" si="49"/>
        <v/>
      </c>
      <c r="DQK22" s="73" t="str">
        <f t="shared" si="49"/>
        <v/>
      </c>
      <c r="DQL22" s="73" t="str">
        <f t="shared" si="49"/>
        <v/>
      </c>
      <c r="DQM22" s="73" t="str">
        <f t="shared" si="49"/>
        <v/>
      </c>
      <c r="DQN22" s="73" t="str">
        <f t="shared" si="49"/>
        <v/>
      </c>
      <c r="DQO22" s="73" t="str">
        <f t="shared" si="49"/>
        <v/>
      </c>
      <c r="DQP22" s="73" t="str">
        <f t="shared" si="49"/>
        <v/>
      </c>
      <c r="DQQ22" s="73" t="str">
        <f t="shared" si="49"/>
        <v/>
      </c>
      <c r="DQR22" s="73" t="str">
        <f t="shared" si="49"/>
        <v/>
      </c>
      <c r="DQS22" s="73" t="str">
        <f t="shared" si="49"/>
        <v/>
      </c>
      <c r="DQT22" s="73" t="str">
        <f t="shared" si="49"/>
        <v/>
      </c>
      <c r="DQU22" s="73" t="str">
        <f t="shared" si="49"/>
        <v/>
      </c>
      <c r="DQV22" s="73" t="str">
        <f t="shared" si="49"/>
        <v/>
      </c>
      <c r="DQW22" s="73" t="str">
        <f t="shared" si="49"/>
        <v/>
      </c>
      <c r="DQX22" s="73" t="str">
        <f t="shared" si="49"/>
        <v/>
      </c>
      <c r="DQY22" s="73" t="str">
        <f t="shared" si="49"/>
        <v/>
      </c>
      <c r="DQZ22" s="73" t="str">
        <f t="shared" si="49"/>
        <v/>
      </c>
      <c r="DRA22" s="73" t="str">
        <f t="shared" si="49"/>
        <v/>
      </c>
      <c r="DRB22" s="73" t="str">
        <f t="shared" si="49"/>
        <v/>
      </c>
      <c r="DRC22" s="73" t="str">
        <f t="shared" si="49"/>
        <v/>
      </c>
      <c r="DRD22" s="73" t="str">
        <f t="shared" si="49"/>
        <v/>
      </c>
      <c r="DRE22" s="73" t="str">
        <f t="shared" si="49"/>
        <v/>
      </c>
      <c r="DRF22" s="73" t="str">
        <f t="shared" si="49"/>
        <v/>
      </c>
      <c r="DRG22" s="73" t="str">
        <f t="shared" si="49"/>
        <v/>
      </c>
      <c r="DRH22" s="73" t="str">
        <f t="shared" si="49"/>
        <v/>
      </c>
      <c r="DRI22" s="73" t="str">
        <f t="shared" si="49"/>
        <v/>
      </c>
      <c r="DRJ22" s="73" t="str">
        <f t="shared" si="49"/>
        <v/>
      </c>
      <c r="DRK22" s="73" t="str">
        <f t="shared" si="49"/>
        <v/>
      </c>
      <c r="DRL22" s="73" t="str">
        <f t="shared" si="49"/>
        <v/>
      </c>
      <c r="DRM22" s="73" t="str">
        <f t="shared" si="49"/>
        <v/>
      </c>
      <c r="DRN22" s="73" t="str">
        <f t="shared" si="49"/>
        <v/>
      </c>
      <c r="DRO22" s="73" t="str">
        <f t="shared" si="49"/>
        <v/>
      </c>
      <c r="DRP22" s="73" t="str">
        <f t="shared" si="49"/>
        <v/>
      </c>
      <c r="DRQ22" s="73" t="str">
        <f t="shared" si="49"/>
        <v/>
      </c>
      <c r="DRR22" s="73" t="str">
        <f t="shared" si="49"/>
        <v/>
      </c>
      <c r="DRS22" s="73" t="str">
        <f t="shared" si="49"/>
        <v/>
      </c>
      <c r="DRT22" s="73" t="str">
        <f t="shared" si="49"/>
        <v/>
      </c>
      <c r="DRU22" s="73" t="str">
        <f t="shared" si="49"/>
        <v/>
      </c>
      <c r="DRV22" s="73" t="str">
        <f t="shared" si="49"/>
        <v/>
      </c>
      <c r="DRW22" s="73" t="str">
        <f t="shared" si="49"/>
        <v/>
      </c>
      <c r="DRX22" s="73" t="str">
        <f t="shared" si="49"/>
        <v/>
      </c>
      <c r="DRY22" s="73" t="str">
        <f t="shared" si="49"/>
        <v/>
      </c>
      <c r="DRZ22" s="73" t="str">
        <f t="shared" si="49"/>
        <v/>
      </c>
      <c r="DSA22" s="73" t="str">
        <f t="shared" si="49"/>
        <v/>
      </c>
      <c r="DSB22" s="73" t="str">
        <f t="shared" si="49"/>
        <v/>
      </c>
      <c r="DSC22" s="73" t="str">
        <f t="shared" si="49"/>
        <v/>
      </c>
      <c r="DSD22" s="73" t="str">
        <f t="shared" si="49"/>
        <v/>
      </c>
      <c r="DSE22" s="73" t="str">
        <f t="shared" si="49"/>
        <v/>
      </c>
      <c r="DSF22" s="73" t="str">
        <f t="shared" si="49"/>
        <v/>
      </c>
      <c r="DSG22" s="73" t="str">
        <f t="shared" si="49"/>
        <v/>
      </c>
      <c r="DSH22" s="73" t="str">
        <f t="shared" ref="DSH22:DUS22" si="50">IFERROR(AVERAGE(DSH6:DSH21),"")</f>
        <v/>
      </c>
      <c r="DSI22" s="73" t="str">
        <f t="shared" si="50"/>
        <v/>
      </c>
      <c r="DSJ22" s="73" t="str">
        <f t="shared" si="50"/>
        <v/>
      </c>
      <c r="DSK22" s="73" t="str">
        <f t="shared" si="50"/>
        <v/>
      </c>
      <c r="DSL22" s="73" t="str">
        <f t="shared" si="50"/>
        <v/>
      </c>
      <c r="DSM22" s="73" t="str">
        <f t="shared" si="50"/>
        <v/>
      </c>
      <c r="DSN22" s="73" t="str">
        <f t="shared" si="50"/>
        <v/>
      </c>
      <c r="DSO22" s="73" t="str">
        <f t="shared" si="50"/>
        <v/>
      </c>
      <c r="DSP22" s="73" t="str">
        <f t="shared" si="50"/>
        <v/>
      </c>
      <c r="DSQ22" s="73" t="str">
        <f t="shared" si="50"/>
        <v/>
      </c>
      <c r="DSR22" s="73" t="str">
        <f t="shared" si="50"/>
        <v/>
      </c>
      <c r="DSS22" s="73" t="str">
        <f t="shared" si="50"/>
        <v/>
      </c>
      <c r="DST22" s="73" t="str">
        <f t="shared" si="50"/>
        <v/>
      </c>
      <c r="DSU22" s="73" t="str">
        <f t="shared" si="50"/>
        <v/>
      </c>
      <c r="DSV22" s="73" t="str">
        <f t="shared" si="50"/>
        <v/>
      </c>
      <c r="DSW22" s="73" t="str">
        <f t="shared" si="50"/>
        <v/>
      </c>
      <c r="DSX22" s="73" t="str">
        <f t="shared" si="50"/>
        <v/>
      </c>
      <c r="DSY22" s="73" t="str">
        <f t="shared" si="50"/>
        <v/>
      </c>
      <c r="DSZ22" s="73" t="str">
        <f t="shared" si="50"/>
        <v/>
      </c>
      <c r="DTA22" s="73" t="str">
        <f t="shared" si="50"/>
        <v/>
      </c>
      <c r="DTB22" s="73" t="str">
        <f t="shared" si="50"/>
        <v/>
      </c>
      <c r="DTC22" s="73" t="str">
        <f t="shared" si="50"/>
        <v/>
      </c>
      <c r="DTD22" s="73" t="str">
        <f t="shared" si="50"/>
        <v/>
      </c>
      <c r="DTE22" s="73" t="str">
        <f t="shared" si="50"/>
        <v/>
      </c>
      <c r="DTF22" s="73" t="str">
        <f t="shared" si="50"/>
        <v/>
      </c>
      <c r="DTG22" s="73" t="str">
        <f t="shared" si="50"/>
        <v/>
      </c>
      <c r="DTH22" s="73" t="str">
        <f t="shared" si="50"/>
        <v/>
      </c>
      <c r="DTI22" s="73" t="str">
        <f t="shared" si="50"/>
        <v/>
      </c>
      <c r="DTJ22" s="73" t="str">
        <f t="shared" si="50"/>
        <v/>
      </c>
      <c r="DTK22" s="73" t="str">
        <f t="shared" si="50"/>
        <v/>
      </c>
      <c r="DTL22" s="73" t="str">
        <f t="shared" si="50"/>
        <v/>
      </c>
      <c r="DTM22" s="73" t="str">
        <f t="shared" si="50"/>
        <v/>
      </c>
      <c r="DTN22" s="73" t="str">
        <f t="shared" si="50"/>
        <v/>
      </c>
      <c r="DTO22" s="73" t="str">
        <f t="shared" si="50"/>
        <v/>
      </c>
      <c r="DTP22" s="73" t="str">
        <f t="shared" si="50"/>
        <v/>
      </c>
      <c r="DTQ22" s="73" t="str">
        <f t="shared" si="50"/>
        <v/>
      </c>
      <c r="DTR22" s="73" t="str">
        <f t="shared" si="50"/>
        <v/>
      </c>
      <c r="DTS22" s="73" t="str">
        <f t="shared" si="50"/>
        <v/>
      </c>
      <c r="DTT22" s="73" t="str">
        <f t="shared" si="50"/>
        <v/>
      </c>
      <c r="DTU22" s="73" t="str">
        <f t="shared" si="50"/>
        <v/>
      </c>
      <c r="DTV22" s="73" t="str">
        <f t="shared" si="50"/>
        <v/>
      </c>
      <c r="DTW22" s="73" t="str">
        <f t="shared" si="50"/>
        <v/>
      </c>
      <c r="DTX22" s="73" t="str">
        <f t="shared" si="50"/>
        <v/>
      </c>
      <c r="DTY22" s="73" t="str">
        <f t="shared" si="50"/>
        <v/>
      </c>
      <c r="DTZ22" s="73" t="str">
        <f t="shared" si="50"/>
        <v/>
      </c>
      <c r="DUA22" s="73" t="str">
        <f t="shared" si="50"/>
        <v/>
      </c>
      <c r="DUB22" s="73" t="str">
        <f t="shared" si="50"/>
        <v/>
      </c>
      <c r="DUC22" s="73" t="str">
        <f t="shared" si="50"/>
        <v/>
      </c>
      <c r="DUD22" s="73" t="str">
        <f t="shared" si="50"/>
        <v/>
      </c>
      <c r="DUE22" s="73" t="str">
        <f t="shared" si="50"/>
        <v/>
      </c>
      <c r="DUF22" s="73" t="str">
        <f t="shared" si="50"/>
        <v/>
      </c>
      <c r="DUG22" s="73" t="str">
        <f t="shared" si="50"/>
        <v/>
      </c>
      <c r="DUH22" s="73" t="str">
        <f t="shared" si="50"/>
        <v/>
      </c>
      <c r="DUI22" s="73" t="str">
        <f t="shared" si="50"/>
        <v/>
      </c>
      <c r="DUJ22" s="73" t="str">
        <f t="shared" si="50"/>
        <v/>
      </c>
      <c r="DUK22" s="73" t="str">
        <f t="shared" si="50"/>
        <v/>
      </c>
      <c r="DUL22" s="73" t="str">
        <f t="shared" si="50"/>
        <v/>
      </c>
      <c r="DUM22" s="73" t="str">
        <f t="shared" si="50"/>
        <v/>
      </c>
      <c r="DUN22" s="73" t="str">
        <f t="shared" si="50"/>
        <v/>
      </c>
      <c r="DUO22" s="73" t="str">
        <f t="shared" si="50"/>
        <v/>
      </c>
      <c r="DUP22" s="73" t="str">
        <f t="shared" si="50"/>
        <v/>
      </c>
      <c r="DUQ22" s="73" t="str">
        <f t="shared" si="50"/>
        <v/>
      </c>
      <c r="DUR22" s="73" t="str">
        <f t="shared" si="50"/>
        <v/>
      </c>
      <c r="DUS22" s="73" t="str">
        <f t="shared" si="50"/>
        <v/>
      </c>
      <c r="DUT22" s="73" t="str">
        <f t="shared" ref="DUT22:DXE22" si="51">IFERROR(AVERAGE(DUT6:DUT21),"")</f>
        <v/>
      </c>
      <c r="DUU22" s="73" t="str">
        <f t="shared" si="51"/>
        <v/>
      </c>
      <c r="DUV22" s="73" t="str">
        <f t="shared" si="51"/>
        <v/>
      </c>
      <c r="DUW22" s="73" t="str">
        <f t="shared" si="51"/>
        <v/>
      </c>
      <c r="DUX22" s="73" t="str">
        <f t="shared" si="51"/>
        <v/>
      </c>
      <c r="DUY22" s="73" t="str">
        <f t="shared" si="51"/>
        <v/>
      </c>
      <c r="DUZ22" s="73" t="str">
        <f t="shared" si="51"/>
        <v/>
      </c>
      <c r="DVA22" s="73" t="str">
        <f t="shared" si="51"/>
        <v/>
      </c>
      <c r="DVB22" s="73" t="str">
        <f t="shared" si="51"/>
        <v/>
      </c>
      <c r="DVC22" s="73" t="str">
        <f t="shared" si="51"/>
        <v/>
      </c>
      <c r="DVD22" s="73" t="str">
        <f t="shared" si="51"/>
        <v/>
      </c>
      <c r="DVE22" s="73" t="str">
        <f t="shared" si="51"/>
        <v/>
      </c>
      <c r="DVF22" s="73" t="str">
        <f t="shared" si="51"/>
        <v/>
      </c>
      <c r="DVG22" s="73" t="str">
        <f t="shared" si="51"/>
        <v/>
      </c>
      <c r="DVH22" s="73" t="str">
        <f t="shared" si="51"/>
        <v/>
      </c>
      <c r="DVI22" s="73" t="str">
        <f t="shared" si="51"/>
        <v/>
      </c>
      <c r="DVJ22" s="73" t="str">
        <f t="shared" si="51"/>
        <v/>
      </c>
      <c r="DVK22" s="73" t="str">
        <f t="shared" si="51"/>
        <v/>
      </c>
      <c r="DVL22" s="73" t="str">
        <f t="shared" si="51"/>
        <v/>
      </c>
      <c r="DVM22" s="73" t="str">
        <f t="shared" si="51"/>
        <v/>
      </c>
      <c r="DVN22" s="73" t="str">
        <f t="shared" si="51"/>
        <v/>
      </c>
      <c r="DVO22" s="73" t="str">
        <f t="shared" si="51"/>
        <v/>
      </c>
      <c r="DVP22" s="73" t="str">
        <f t="shared" si="51"/>
        <v/>
      </c>
      <c r="DVQ22" s="73" t="str">
        <f t="shared" si="51"/>
        <v/>
      </c>
      <c r="DVR22" s="73" t="str">
        <f t="shared" si="51"/>
        <v/>
      </c>
      <c r="DVS22" s="73" t="str">
        <f t="shared" si="51"/>
        <v/>
      </c>
      <c r="DVT22" s="73" t="str">
        <f t="shared" si="51"/>
        <v/>
      </c>
      <c r="DVU22" s="73" t="str">
        <f t="shared" si="51"/>
        <v/>
      </c>
      <c r="DVV22" s="73" t="str">
        <f t="shared" si="51"/>
        <v/>
      </c>
      <c r="DVW22" s="73" t="str">
        <f t="shared" si="51"/>
        <v/>
      </c>
      <c r="DVX22" s="73" t="str">
        <f t="shared" si="51"/>
        <v/>
      </c>
      <c r="DVY22" s="73" t="str">
        <f t="shared" si="51"/>
        <v/>
      </c>
      <c r="DVZ22" s="73" t="str">
        <f t="shared" si="51"/>
        <v/>
      </c>
      <c r="DWA22" s="73" t="str">
        <f t="shared" si="51"/>
        <v/>
      </c>
      <c r="DWB22" s="73" t="str">
        <f t="shared" si="51"/>
        <v/>
      </c>
      <c r="DWC22" s="73" t="str">
        <f t="shared" si="51"/>
        <v/>
      </c>
      <c r="DWD22" s="73" t="str">
        <f t="shared" si="51"/>
        <v/>
      </c>
      <c r="DWE22" s="73" t="str">
        <f t="shared" si="51"/>
        <v/>
      </c>
      <c r="DWF22" s="73" t="str">
        <f t="shared" si="51"/>
        <v/>
      </c>
      <c r="DWG22" s="73" t="str">
        <f t="shared" si="51"/>
        <v/>
      </c>
      <c r="DWH22" s="73" t="str">
        <f t="shared" si="51"/>
        <v/>
      </c>
      <c r="DWI22" s="73" t="str">
        <f t="shared" si="51"/>
        <v/>
      </c>
      <c r="DWJ22" s="73" t="str">
        <f t="shared" si="51"/>
        <v/>
      </c>
      <c r="DWK22" s="73" t="str">
        <f t="shared" si="51"/>
        <v/>
      </c>
      <c r="DWL22" s="73" t="str">
        <f t="shared" si="51"/>
        <v/>
      </c>
      <c r="DWM22" s="73" t="str">
        <f t="shared" si="51"/>
        <v/>
      </c>
      <c r="DWN22" s="73" t="str">
        <f t="shared" si="51"/>
        <v/>
      </c>
      <c r="DWO22" s="73" t="str">
        <f t="shared" si="51"/>
        <v/>
      </c>
      <c r="DWP22" s="73" t="str">
        <f t="shared" si="51"/>
        <v/>
      </c>
      <c r="DWQ22" s="73" t="str">
        <f t="shared" si="51"/>
        <v/>
      </c>
      <c r="DWR22" s="73" t="str">
        <f t="shared" si="51"/>
        <v/>
      </c>
      <c r="DWS22" s="73" t="str">
        <f t="shared" si="51"/>
        <v/>
      </c>
      <c r="DWT22" s="73" t="str">
        <f t="shared" si="51"/>
        <v/>
      </c>
      <c r="DWU22" s="73" t="str">
        <f t="shared" si="51"/>
        <v/>
      </c>
      <c r="DWV22" s="73" t="str">
        <f t="shared" si="51"/>
        <v/>
      </c>
      <c r="DWW22" s="73" t="str">
        <f t="shared" si="51"/>
        <v/>
      </c>
      <c r="DWX22" s="73" t="str">
        <f t="shared" si="51"/>
        <v/>
      </c>
      <c r="DWY22" s="73" t="str">
        <f t="shared" si="51"/>
        <v/>
      </c>
      <c r="DWZ22" s="73" t="str">
        <f t="shared" si="51"/>
        <v/>
      </c>
      <c r="DXA22" s="73" t="str">
        <f t="shared" si="51"/>
        <v/>
      </c>
      <c r="DXB22" s="73" t="str">
        <f t="shared" si="51"/>
        <v/>
      </c>
      <c r="DXC22" s="73" t="str">
        <f t="shared" si="51"/>
        <v/>
      </c>
      <c r="DXD22" s="73" t="str">
        <f t="shared" si="51"/>
        <v/>
      </c>
      <c r="DXE22" s="73" t="str">
        <f t="shared" si="51"/>
        <v/>
      </c>
      <c r="DXF22" s="73" t="str">
        <f t="shared" ref="DXF22:DZQ22" si="52">IFERROR(AVERAGE(DXF6:DXF21),"")</f>
        <v/>
      </c>
      <c r="DXG22" s="73" t="str">
        <f t="shared" si="52"/>
        <v/>
      </c>
      <c r="DXH22" s="73" t="str">
        <f t="shared" si="52"/>
        <v/>
      </c>
      <c r="DXI22" s="73" t="str">
        <f t="shared" si="52"/>
        <v/>
      </c>
      <c r="DXJ22" s="73" t="str">
        <f t="shared" si="52"/>
        <v/>
      </c>
      <c r="DXK22" s="73" t="str">
        <f t="shared" si="52"/>
        <v/>
      </c>
      <c r="DXL22" s="73" t="str">
        <f t="shared" si="52"/>
        <v/>
      </c>
      <c r="DXM22" s="73" t="str">
        <f t="shared" si="52"/>
        <v/>
      </c>
      <c r="DXN22" s="73" t="str">
        <f t="shared" si="52"/>
        <v/>
      </c>
      <c r="DXO22" s="73" t="str">
        <f t="shared" si="52"/>
        <v/>
      </c>
      <c r="DXP22" s="73" t="str">
        <f t="shared" si="52"/>
        <v/>
      </c>
      <c r="DXQ22" s="73" t="str">
        <f t="shared" si="52"/>
        <v/>
      </c>
      <c r="DXR22" s="73" t="str">
        <f t="shared" si="52"/>
        <v/>
      </c>
      <c r="DXS22" s="73" t="str">
        <f t="shared" si="52"/>
        <v/>
      </c>
      <c r="DXT22" s="73" t="str">
        <f t="shared" si="52"/>
        <v/>
      </c>
      <c r="DXU22" s="73" t="str">
        <f t="shared" si="52"/>
        <v/>
      </c>
      <c r="DXV22" s="73" t="str">
        <f t="shared" si="52"/>
        <v/>
      </c>
      <c r="DXW22" s="73" t="str">
        <f t="shared" si="52"/>
        <v/>
      </c>
      <c r="DXX22" s="73" t="str">
        <f t="shared" si="52"/>
        <v/>
      </c>
      <c r="DXY22" s="73" t="str">
        <f t="shared" si="52"/>
        <v/>
      </c>
      <c r="DXZ22" s="73" t="str">
        <f t="shared" si="52"/>
        <v/>
      </c>
      <c r="DYA22" s="73" t="str">
        <f t="shared" si="52"/>
        <v/>
      </c>
      <c r="DYB22" s="73" t="str">
        <f t="shared" si="52"/>
        <v/>
      </c>
      <c r="DYC22" s="73" t="str">
        <f t="shared" si="52"/>
        <v/>
      </c>
      <c r="DYD22" s="73" t="str">
        <f t="shared" si="52"/>
        <v/>
      </c>
      <c r="DYE22" s="73" t="str">
        <f t="shared" si="52"/>
        <v/>
      </c>
      <c r="DYF22" s="73" t="str">
        <f t="shared" si="52"/>
        <v/>
      </c>
      <c r="DYG22" s="73" t="str">
        <f t="shared" si="52"/>
        <v/>
      </c>
      <c r="DYH22" s="73" t="str">
        <f t="shared" si="52"/>
        <v/>
      </c>
      <c r="DYI22" s="73" t="str">
        <f t="shared" si="52"/>
        <v/>
      </c>
      <c r="DYJ22" s="73" t="str">
        <f t="shared" si="52"/>
        <v/>
      </c>
      <c r="DYK22" s="73" t="str">
        <f t="shared" si="52"/>
        <v/>
      </c>
      <c r="DYL22" s="73" t="str">
        <f t="shared" si="52"/>
        <v/>
      </c>
      <c r="DYM22" s="73" t="str">
        <f t="shared" si="52"/>
        <v/>
      </c>
      <c r="DYN22" s="73" t="str">
        <f t="shared" si="52"/>
        <v/>
      </c>
      <c r="DYO22" s="73" t="str">
        <f t="shared" si="52"/>
        <v/>
      </c>
      <c r="DYP22" s="73" t="str">
        <f t="shared" si="52"/>
        <v/>
      </c>
      <c r="DYQ22" s="73" t="str">
        <f t="shared" si="52"/>
        <v/>
      </c>
      <c r="DYR22" s="73" t="str">
        <f t="shared" si="52"/>
        <v/>
      </c>
      <c r="DYS22" s="73" t="str">
        <f t="shared" si="52"/>
        <v/>
      </c>
      <c r="DYT22" s="73" t="str">
        <f t="shared" si="52"/>
        <v/>
      </c>
      <c r="DYU22" s="73" t="str">
        <f t="shared" si="52"/>
        <v/>
      </c>
      <c r="DYV22" s="73" t="str">
        <f t="shared" si="52"/>
        <v/>
      </c>
      <c r="DYW22" s="73" t="str">
        <f t="shared" si="52"/>
        <v/>
      </c>
      <c r="DYX22" s="73" t="str">
        <f t="shared" si="52"/>
        <v/>
      </c>
      <c r="DYY22" s="73" t="str">
        <f t="shared" si="52"/>
        <v/>
      </c>
      <c r="DYZ22" s="73" t="str">
        <f t="shared" si="52"/>
        <v/>
      </c>
      <c r="DZA22" s="73" t="str">
        <f t="shared" si="52"/>
        <v/>
      </c>
      <c r="DZB22" s="73" t="str">
        <f t="shared" si="52"/>
        <v/>
      </c>
      <c r="DZC22" s="73" t="str">
        <f t="shared" si="52"/>
        <v/>
      </c>
      <c r="DZD22" s="73" t="str">
        <f t="shared" si="52"/>
        <v/>
      </c>
      <c r="DZE22" s="73" t="str">
        <f t="shared" si="52"/>
        <v/>
      </c>
      <c r="DZF22" s="73" t="str">
        <f t="shared" si="52"/>
        <v/>
      </c>
      <c r="DZG22" s="73" t="str">
        <f t="shared" si="52"/>
        <v/>
      </c>
      <c r="DZH22" s="73" t="str">
        <f t="shared" si="52"/>
        <v/>
      </c>
      <c r="DZI22" s="73" t="str">
        <f t="shared" si="52"/>
        <v/>
      </c>
      <c r="DZJ22" s="73" t="str">
        <f t="shared" si="52"/>
        <v/>
      </c>
      <c r="DZK22" s="73" t="str">
        <f t="shared" si="52"/>
        <v/>
      </c>
      <c r="DZL22" s="73" t="str">
        <f t="shared" si="52"/>
        <v/>
      </c>
      <c r="DZM22" s="73" t="str">
        <f t="shared" si="52"/>
        <v/>
      </c>
      <c r="DZN22" s="73" t="str">
        <f t="shared" si="52"/>
        <v/>
      </c>
      <c r="DZO22" s="73" t="str">
        <f t="shared" si="52"/>
        <v/>
      </c>
      <c r="DZP22" s="73" t="str">
        <f t="shared" si="52"/>
        <v/>
      </c>
      <c r="DZQ22" s="73" t="str">
        <f t="shared" si="52"/>
        <v/>
      </c>
      <c r="DZR22" s="73" t="str">
        <f t="shared" ref="DZR22:ECC22" si="53">IFERROR(AVERAGE(DZR6:DZR21),"")</f>
        <v/>
      </c>
      <c r="DZS22" s="73" t="str">
        <f t="shared" si="53"/>
        <v/>
      </c>
      <c r="DZT22" s="73" t="str">
        <f t="shared" si="53"/>
        <v/>
      </c>
      <c r="DZU22" s="73" t="str">
        <f t="shared" si="53"/>
        <v/>
      </c>
      <c r="DZV22" s="73" t="str">
        <f t="shared" si="53"/>
        <v/>
      </c>
      <c r="DZW22" s="73" t="str">
        <f t="shared" si="53"/>
        <v/>
      </c>
      <c r="DZX22" s="73" t="str">
        <f t="shared" si="53"/>
        <v/>
      </c>
      <c r="DZY22" s="73" t="str">
        <f t="shared" si="53"/>
        <v/>
      </c>
      <c r="DZZ22" s="73" t="str">
        <f t="shared" si="53"/>
        <v/>
      </c>
      <c r="EAA22" s="73" t="str">
        <f t="shared" si="53"/>
        <v/>
      </c>
      <c r="EAB22" s="73" t="str">
        <f t="shared" si="53"/>
        <v/>
      </c>
      <c r="EAC22" s="73" t="str">
        <f t="shared" si="53"/>
        <v/>
      </c>
      <c r="EAD22" s="73" t="str">
        <f t="shared" si="53"/>
        <v/>
      </c>
      <c r="EAE22" s="73" t="str">
        <f t="shared" si="53"/>
        <v/>
      </c>
      <c r="EAF22" s="73" t="str">
        <f t="shared" si="53"/>
        <v/>
      </c>
      <c r="EAG22" s="73" t="str">
        <f t="shared" si="53"/>
        <v/>
      </c>
      <c r="EAH22" s="73" t="str">
        <f t="shared" si="53"/>
        <v/>
      </c>
      <c r="EAI22" s="73" t="str">
        <f t="shared" si="53"/>
        <v/>
      </c>
      <c r="EAJ22" s="73" t="str">
        <f t="shared" si="53"/>
        <v/>
      </c>
      <c r="EAK22" s="73" t="str">
        <f t="shared" si="53"/>
        <v/>
      </c>
      <c r="EAL22" s="73" t="str">
        <f t="shared" si="53"/>
        <v/>
      </c>
      <c r="EAM22" s="73" t="str">
        <f t="shared" si="53"/>
        <v/>
      </c>
      <c r="EAN22" s="73" t="str">
        <f t="shared" si="53"/>
        <v/>
      </c>
      <c r="EAO22" s="73" t="str">
        <f t="shared" si="53"/>
        <v/>
      </c>
      <c r="EAP22" s="73" t="str">
        <f t="shared" si="53"/>
        <v/>
      </c>
      <c r="EAQ22" s="73" t="str">
        <f t="shared" si="53"/>
        <v/>
      </c>
      <c r="EAR22" s="73" t="str">
        <f t="shared" si="53"/>
        <v/>
      </c>
      <c r="EAS22" s="73" t="str">
        <f t="shared" si="53"/>
        <v/>
      </c>
      <c r="EAT22" s="73" t="str">
        <f t="shared" si="53"/>
        <v/>
      </c>
      <c r="EAU22" s="73" t="str">
        <f t="shared" si="53"/>
        <v/>
      </c>
      <c r="EAV22" s="73" t="str">
        <f t="shared" si="53"/>
        <v/>
      </c>
      <c r="EAW22" s="73" t="str">
        <f t="shared" si="53"/>
        <v/>
      </c>
      <c r="EAX22" s="73" t="str">
        <f t="shared" si="53"/>
        <v/>
      </c>
      <c r="EAY22" s="73" t="str">
        <f t="shared" si="53"/>
        <v/>
      </c>
      <c r="EAZ22" s="73" t="str">
        <f t="shared" si="53"/>
        <v/>
      </c>
      <c r="EBA22" s="73" t="str">
        <f t="shared" si="53"/>
        <v/>
      </c>
      <c r="EBB22" s="73" t="str">
        <f t="shared" si="53"/>
        <v/>
      </c>
      <c r="EBC22" s="73" t="str">
        <f t="shared" si="53"/>
        <v/>
      </c>
      <c r="EBD22" s="73" t="str">
        <f t="shared" si="53"/>
        <v/>
      </c>
      <c r="EBE22" s="73" t="str">
        <f t="shared" si="53"/>
        <v/>
      </c>
      <c r="EBF22" s="73" t="str">
        <f t="shared" si="53"/>
        <v/>
      </c>
      <c r="EBG22" s="73" t="str">
        <f t="shared" si="53"/>
        <v/>
      </c>
      <c r="EBH22" s="73" t="str">
        <f t="shared" si="53"/>
        <v/>
      </c>
      <c r="EBI22" s="73" t="str">
        <f t="shared" si="53"/>
        <v/>
      </c>
      <c r="EBJ22" s="73" t="str">
        <f t="shared" si="53"/>
        <v/>
      </c>
      <c r="EBK22" s="73" t="str">
        <f t="shared" si="53"/>
        <v/>
      </c>
      <c r="EBL22" s="73" t="str">
        <f t="shared" si="53"/>
        <v/>
      </c>
      <c r="EBM22" s="73" t="str">
        <f t="shared" si="53"/>
        <v/>
      </c>
      <c r="EBN22" s="73" t="str">
        <f t="shared" si="53"/>
        <v/>
      </c>
      <c r="EBO22" s="73" t="str">
        <f t="shared" si="53"/>
        <v/>
      </c>
      <c r="EBP22" s="73" t="str">
        <f t="shared" si="53"/>
        <v/>
      </c>
      <c r="EBQ22" s="73" t="str">
        <f t="shared" si="53"/>
        <v/>
      </c>
      <c r="EBR22" s="73" t="str">
        <f t="shared" si="53"/>
        <v/>
      </c>
      <c r="EBS22" s="73" t="str">
        <f t="shared" si="53"/>
        <v/>
      </c>
      <c r="EBT22" s="73" t="str">
        <f t="shared" si="53"/>
        <v/>
      </c>
      <c r="EBU22" s="73" t="str">
        <f t="shared" si="53"/>
        <v/>
      </c>
      <c r="EBV22" s="73" t="str">
        <f t="shared" si="53"/>
        <v/>
      </c>
      <c r="EBW22" s="73" t="str">
        <f t="shared" si="53"/>
        <v/>
      </c>
      <c r="EBX22" s="73" t="str">
        <f t="shared" si="53"/>
        <v/>
      </c>
      <c r="EBY22" s="73" t="str">
        <f t="shared" si="53"/>
        <v/>
      </c>
      <c r="EBZ22" s="73" t="str">
        <f t="shared" si="53"/>
        <v/>
      </c>
      <c r="ECA22" s="73" t="str">
        <f t="shared" si="53"/>
        <v/>
      </c>
      <c r="ECB22" s="73" t="str">
        <f t="shared" si="53"/>
        <v/>
      </c>
      <c r="ECC22" s="73" t="str">
        <f t="shared" si="53"/>
        <v/>
      </c>
      <c r="ECD22" s="73" t="str">
        <f t="shared" ref="ECD22:EEO22" si="54">IFERROR(AVERAGE(ECD6:ECD21),"")</f>
        <v/>
      </c>
      <c r="ECE22" s="73" t="str">
        <f t="shared" si="54"/>
        <v/>
      </c>
      <c r="ECF22" s="73" t="str">
        <f t="shared" si="54"/>
        <v/>
      </c>
      <c r="ECG22" s="73" t="str">
        <f t="shared" si="54"/>
        <v/>
      </c>
      <c r="ECH22" s="73" t="str">
        <f t="shared" si="54"/>
        <v/>
      </c>
      <c r="ECI22" s="73" t="str">
        <f t="shared" si="54"/>
        <v/>
      </c>
      <c r="ECJ22" s="73" t="str">
        <f t="shared" si="54"/>
        <v/>
      </c>
      <c r="ECK22" s="73" t="str">
        <f t="shared" si="54"/>
        <v/>
      </c>
      <c r="ECL22" s="73" t="str">
        <f t="shared" si="54"/>
        <v/>
      </c>
      <c r="ECM22" s="73" t="str">
        <f t="shared" si="54"/>
        <v/>
      </c>
      <c r="ECN22" s="73" t="str">
        <f t="shared" si="54"/>
        <v/>
      </c>
      <c r="ECO22" s="73" t="str">
        <f t="shared" si="54"/>
        <v/>
      </c>
      <c r="ECP22" s="73" t="str">
        <f t="shared" si="54"/>
        <v/>
      </c>
      <c r="ECQ22" s="73" t="str">
        <f t="shared" si="54"/>
        <v/>
      </c>
      <c r="ECR22" s="73" t="str">
        <f t="shared" si="54"/>
        <v/>
      </c>
      <c r="ECS22" s="73" t="str">
        <f t="shared" si="54"/>
        <v/>
      </c>
      <c r="ECT22" s="73" t="str">
        <f t="shared" si="54"/>
        <v/>
      </c>
      <c r="ECU22" s="73" t="str">
        <f t="shared" si="54"/>
        <v/>
      </c>
      <c r="ECV22" s="73" t="str">
        <f t="shared" si="54"/>
        <v/>
      </c>
      <c r="ECW22" s="73" t="str">
        <f t="shared" si="54"/>
        <v/>
      </c>
      <c r="ECX22" s="73" t="str">
        <f t="shared" si="54"/>
        <v/>
      </c>
      <c r="ECY22" s="73" t="str">
        <f t="shared" si="54"/>
        <v/>
      </c>
      <c r="ECZ22" s="73" t="str">
        <f t="shared" si="54"/>
        <v/>
      </c>
      <c r="EDA22" s="73" t="str">
        <f t="shared" si="54"/>
        <v/>
      </c>
      <c r="EDB22" s="73" t="str">
        <f t="shared" si="54"/>
        <v/>
      </c>
      <c r="EDC22" s="73" t="str">
        <f t="shared" si="54"/>
        <v/>
      </c>
      <c r="EDD22" s="73" t="str">
        <f t="shared" si="54"/>
        <v/>
      </c>
      <c r="EDE22" s="73" t="str">
        <f t="shared" si="54"/>
        <v/>
      </c>
      <c r="EDF22" s="73" t="str">
        <f t="shared" si="54"/>
        <v/>
      </c>
      <c r="EDG22" s="73" t="str">
        <f t="shared" si="54"/>
        <v/>
      </c>
      <c r="EDH22" s="73" t="str">
        <f t="shared" si="54"/>
        <v/>
      </c>
      <c r="EDI22" s="73" t="str">
        <f t="shared" si="54"/>
        <v/>
      </c>
      <c r="EDJ22" s="73" t="str">
        <f t="shared" si="54"/>
        <v/>
      </c>
      <c r="EDK22" s="73" t="str">
        <f t="shared" si="54"/>
        <v/>
      </c>
      <c r="EDL22" s="73" t="str">
        <f t="shared" si="54"/>
        <v/>
      </c>
      <c r="EDM22" s="73" t="str">
        <f t="shared" si="54"/>
        <v/>
      </c>
      <c r="EDN22" s="73" t="str">
        <f t="shared" si="54"/>
        <v/>
      </c>
      <c r="EDO22" s="73" t="str">
        <f t="shared" si="54"/>
        <v/>
      </c>
      <c r="EDP22" s="73" t="str">
        <f t="shared" si="54"/>
        <v/>
      </c>
      <c r="EDQ22" s="73" t="str">
        <f t="shared" si="54"/>
        <v/>
      </c>
      <c r="EDR22" s="73" t="str">
        <f t="shared" si="54"/>
        <v/>
      </c>
      <c r="EDS22" s="73" t="str">
        <f t="shared" si="54"/>
        <v/>
      </c>
      <c r="EDT22" s="73" t="str">
        <f t="shared" si="54"/>
        <v/>
      </c>
      <c r="EDU22" s="73" t="str">
        <f t="shared" si="54"/>
        <v/>
      </c>
      <c r="EDV22" s="73" t="str">
        <f t="shared" si="54"/>
        <v/>
      </c>
      <c r="EDW22" s="73" t="str">
        <f t="shared" si="54"/>
        <v/>
      </c>
      <c r="EDX22" s="73" t="str">
        <f t="shared" si="54"/>
        <v/>
      </c>
      <c r="EDY22" s="73" t="str">
        <f t="shared" si="54"/>
        <v/>
      </c>
      <c r="EDZ22" s="73" t="str">
        <f t="shared" si="54"/>
        <v/>
      </c>
      <c r="EEA22" s="73" t="str">
        <f t="shared" si="54"/>
        <v/>
      </c>
      <c r="EEB22" s="73" t="str">
        <f t="shared" si="54"/>
        <v/>
      </c>
      <c r="EEC22" s="73" t="str">
        <f t="shared" si="54"/>
        <v/>
      </c>
      <c r="EED22" s="73" t="str">
        <f t="shared" si="54"/>
        <v/>
      </c>
      <c r="EEE22" s="73" t="str">
        <f t="shared" si="54"/>
        <v/>
      </c>
      <c r="EEF22" s="73" t="str">
        <f t="shared" si="54"/>
        <v/>
      </c>
      <c r="EEG22" s="73" t="str">
        <f t="shared" si="54"/>
        <v/>
      </c>
      <c r="EEH22" s="73" t="str">
        <f t="shared" si="54"/>
        <v/>
      </c>
      <c r="EEI22" s="73" t="str">
        <f t="shared" si="54"/>
        <v/>
      </c>
      <c r="EEJ22" s="73" t="str">
        <f t="shared" si="54"/>
        <v/>
      </c>
      <c r="EEK22" s="73" t="str">
        <f t="shared" si="54"/>
        <v/>
      </c>
      <c r="EEL22" s="73" t="str">
        <f t="shared" si="54"/>
        <v/>
      </c>
      <c r="EEM22" s="73" t="str">
        <f t="shared" si="54"/>
        <v/>
      </c>
      <c r="EEN22" s="73" t="str">
        <f t="shared" si="54"/>
        <v/>
      </c>
      <c r="EEO22" s="73" t="str">
        <f t="shared" si="54"/>
        <v/>
      </c>
      <c r="EEP22" s="73" t="str">
        <f t="shared" ref="EEP22:EHA22" si="55">IFERROR(AVERAGE(EEP6:EEP21),"")</f>
        <v/>
      </c>
      <c r="EEQ22" s="73" t="str">
        <f t="shared" si="55"/>
        <v/>
      </c>
      <c r="EER22" s="73" t="str">
        <f t="shared" si="55"/>
        <v/>
      </c>
      <c r="EES22" s="73" t="str">
        <f t="shared" si="55"/>
        <v/>
      </c>
      <c r="EET22" s="73" t="str">
        <f t="shared" si="55"/>
        <v/>
      </c>
      <c r="EEU22" s="73" t="str">
        <f t="shared" si="55"/>
        <v/>
      </c>
      <c r="EEV22" s="73" t="str">
        <f t="shared" si="55"/>
        <v/>
      </c>
      <c r="EEW22" s="73" t="str">
        <f t="shared" si="55"/>
        <v/>
      </c>
      <c r="EEX22" s="73" t="str">
        <f t="shared" si="55"/>
        <v/>
      </c>
      <c r="EEY22" s="73" t="str">
        <f t="shared" si="55"/>
        <v/>
      </c>
      <c r="EEZ22" s="73" t="str">
        <f t="shared" si="55"/>
        <v/>
      </c>
      <c r="EFA22" s="73" t="str">
        <f t="shared" si="55"/>
        <v/>
      </c>
      <c r="EFB22" s="73" t="str">
        <f t="shared" si="55"/>
        <v/>
      </c>
      <c r="EFC22" s="73" t="str">
        <f t="shared" si="55"/>
        <v/>
      </c>
      <c r="EFD22" s="73" t="str">
        <f t="shared" si="55"/>
        <v/>
      </c>
      <c r="EFE22" s="73" t="str">
        <f t="shared" si="55"/>
        <v/>
      </c>
      <c r="EFF22" s="73" t="str">
        <f t="shared" si="55"/>
        <v/>
      </c>
      <c r="EFG22" s="73" t="str">
        <f t="shared" si="55"/>
        <v/>
      </c>
      <c r="EFH22" s="73" t="str">
        <f t="shared" si="55"/>
        <v/>
      </c>
      <c r="EFI22" s="73" t="str">
        <f t="shared" si="55"/>
        <v/>
      </c>
      <c r="EFJ22" s="73" t="str">
        <f t="shared" si="55"/>
        <v/>
      </c>
      <c r="EFK22" s="73" t="str">
        <f t="shared" si="55"/>
        <v/>
      </c>
      <c r="EFL22" s="73" t="str">
        <f t="shared" si="55"/>
        <v/>
      </c>
      <c r="EFM22" s="73" t="str">
        <f t="shared" si="55"/>
        <v/>
      </c>
      <c r="EFN22" s="73" t="str">
        <f t="shared" si="55"/>
        <v/>
      </c>
      <c r="EFO22" s="73" t="str">
        <f t="shared" si="55"/>
        <v/>
      </c>
      <c r="EFP22" s="73" t="str">
        <f t="shared" si="55"/>
        <v/>
      </c>
      <c r="EFQ22" s="73" t="str">
        <f t="shared" si="55"/>
        <v/>
      </c>
      <c r="EFR22" s="73" t="str">
        <f t="shared" si="55"/>
        <v/>
      </c>
      <c r="EFS22" s="73" t="str">
        <f t="shared" si="55"/>
        <v/>
      </c>
      <c r="EFT22" s="73" t="str">
        <f t="shared" si="55"/>
        <v/>
      </c>
      <c r="EFU22" s="73" t="str">
        <f t="shared" si="55"/>
        <v/>
      </c>
      <c r="EFV22" s="73" t="str">
        <f t="shared" si="55"/>
        <v/>
      </c>
      <c r="EFW22" s="73" t="str">
        <f t="shared" si="55"/>
        <v/>
      </c>
      <c r="EFX22" s="73" t="str">
        <f t="shared" si="55"/>
        <v/>
      </c>
      <c r="EFY22" s="73" t="str">
        <f t="shared" si="55"/>
        <v/>
      </c>
      <c r="EFZ22" s="73" t="str">
        <f t="shared" si="55"/>
        <v/>
      </c>
      <c r="EGA22" s="73" t="str">
        <f t="shared" si="55"/>
        <v/>
      </c>
      <c r="EGB22" s="73" t="str">
        <f t="shared" si="55"/>
        <v/>
      </c>
      <c r="EGC22" s="73" t="str">
        <f t="shared" si="55"/>
        <v/>
      </c>
      <c r="EGD22" s="73" t="str">
        <f t="shared" si="55"/>
        <v/>
      </c>
      <c r="EGE22" s="73" t="str">
        <f t="shared" si="55"/>
        <v/>
      </c>
      <c r="EGF22" s="73" t="str">
        <f t="shared" si="55"/>
        <v/>
      </c>
      <c r="EGG22" s="73" t="str">
        <f t="shared" si="55"/>
        <v/>
      </c>
      <c r="EGH22" s="73" t="str">
        <f t="shared" si="55"/>
        <v/>
      </c>
      <c r="EGI22" s="73" t="str">
        <f t="shared" si="55"/>
        <v/>
      </c>
      <c r="EGJ22" s="73" t="str">
        <f t="shared" si="55"/>
        <v/>
      </c>
      <c r="EGK22" s="73" t="str">
        <f t="shared" si="55"/>
        <v/>
      </c>
      <c r="EGL22" s="73" t="str">
        <f t="shared" si="55"/>
        <v/>
      </c>
      <c r="EGM22" s="73" t="str">
        <f t="shared" si="55"/>
        <v/>
      </c>
      <c r="EGN22" s="73" t="str">
        <f t="shared" si="55"/>
        <v/>
      </c>
      <c r="EGO22" s="73" t="str">
        <f t="shared" si="55"/>
        <v/>
      </c>
      <c r="EGP22" s="73" t="str">
        <f t="shared" si="55"/>
        <v/>
      </c>
      <c r="EGQ22" s="73" t="str">
        <f t="shared" si="55"/>
        <v/>
      </c>
      <c r="EGR22" s="73" t="str">
        <f t="shared" si="55"/>
        <v/>
      </c>
      <c r="EGS22" s="73" t="str">
        <f t="shared" si="55"/>
        <v/>
      </c>
      <c r="EGT22" s="73" t="str">
        <f t="shared" si="55"/>
        <v/>
      </c>
      <c r="EGU22" s="73" t="str">
        <f t="shared" si="55"/>
        <v/>
      </c>
      <c r="EGV22" s="73" t="str">
        <f t="shared" si="55"/>
        <v/>
      </c>
      <c r="EGW22" s="73" t="str">
        <f t="shared" si="55"/>
        <v/>
      </c>
      <c r="EGX22" s="73" t="str">
        <f t="shared" si="55"/>
        <v/>
      </c>
      <c r="EGY22" s="73" t="str">
        <f t="shared" si="55"/>
        <v/>
      </c>
      <c r="EGZ22" s="73" t="str">
        <f t="shared" si="55"/>
        <v/>
      </c>
      <c r="EHA22" s="73" t="str">
        <f t="shared" si="55"/>
        <v/>
      </c>
      <c r="EHB22" s="73" t="str">
        <f t="shared" ref="EHB22:EJM22" si="56">IFERROR(AVERAGE(EHB6:EHB21),"")</f>
        <v/>
      </c>
      <c r="EHC22" s="73" t="str">
        <f t="shared" si="56"/>
        <v/>
      </c>
      <c r="EHD22" s="73" t="str">
        <f t="shared" si="56"/>
        <v/>
      </c>
      <c r="EHE22" s="73" t="str">
        <f t="shared" si="56"/>
        <v/>
      </c>
      <c r="EHF22" s="73" t="str">
        <f t="shared" si="56"/>
        <v/>
      </c>
      <c r="EHG22" s="73" t="str">
        <f t="shared" si="56"/>
        <v/>
      </c>
      <c r="EHH22" s="73" t="str">
        <f t="shared" si="56"/>
        <v/>
      </c>
      <c r="EHI22" s="73" t="str">
        <f t="shared" si="56"/>
        <v/>
      </c>
      <c r="EHJ22" s="73" t="str">
        <f t="shared" si="56"/>
        <v/>
      </c>
      <c r="EHK22" s="73" t="str">
        <f t="shared" si="56"/>
        <v/>
      </c>
      <c r="EHL22" s="73" t="str">
        <f t="shared" si="56"/>
        <v/>
      </c>
      <c r="EHM22" s="73" t="str">
        <f t="shared" si="56"/>
        <v/>
      </c>
      <c r="EHN22" s="73" t="str">
        <f t="shared" si="56"/>
        <v/>
      </c>
      <c r="EHO22" s="73" t="str">
        <f t="shared" si="56"/>
        <v/>
      </c>
      <c r="EHP22" s="73" t="str">
        <f t="shared" si="56"/>
        <v/>
      </c>
      <c r="EHQ22" s="73" t="str">
        <f t="shared" si="56"/>
        <v/>
      </c>
      <c r="EHR22" s="73" t="str">
        <f t="shared" si="56"/>
        <v/>
      </c>
      <c r="EHS22" s="73" t="str">
        <f t="shared" si="56"/>
        <v/>
      </c>
      <c r="EHT22" s="73" t="str">
        <f t="shared" si="56"/>
        <v/>
      </c>
      <c r="EHU22" s="73" t="str">
        <f t="shared" si="56"/>
        <v/>
      </c>
      <c r="EHV22" s="73" t="str">
        <f t="shared" si="56"/>
        <v/>
      </c>
      <c r="EHW22" s="73" t="str">
        <f t="shared" si="56"/>
        <v/>
      </c>
      <c r="EHX22" s="73" t="str">
        <f t="shared" si="56"/>
        <v/>
      </c>
      <c r="EHY22" s="73" t="str">
        <f t="shared" si="56"/>
        <v/>
      </c>
      <c r="EHZ22" s="73" t="str">
        <f t="shared" si="56"/>
        <v/>
      </c>
      <c r="EIA22" s="73" t="str">
        <f t="shared" si="56"/>
        <v/>
      </c>
      <c r="EIB22" s="73" t="str">
        <f t="shared" si="56"/>
        <v/>
      </c>
      <c r="EIC22" s="73" t="str">
        <f t="shared" si="56"/>
        <v/>
      </c>
      <c r="EID22" s="73" t="str">
        <f t="shared" si="56"/>
        <v/>
      </c>
      <c r="EIE22" s="73" t="str">
        <f t="shared" si="56"/>
        <v/>
      </c>
      <c r="EIF22" s="73" t="str">
        <f t="shared" si="56"/>
        <v/>
      </c>
      <c r="EIG22" s="73" t="str">
        <f t="shared" si="56"/>
        <v/>
      </c>
      <c r="EIH22" s="73" t="str">
        <f t="shared" si="56"/>
        <v/>
      </c>
      <c r="EII22" s="73" t="str">
        <f t="shared" si="56"/>
        <v/>
      </c>
      <c r="EIJ22" s="73" t="str">
        <f t="shared" si="56"/>
        <v/>
      </c>
      <c r="EIK22" s="73" t="str">
        <f t="shared" si="56"/>
        <v/>
      </c>
      <c r="EIL22" s="73" t="str">
        <f t="shared" si="56"/>
        <v/>
      </c>
      <c r="EIM22" s="73" t="str">
        <f t="shared" si="56"/>
        <v/>
      </c>
      <c r="EIN22" s="73" t="str">
        <f t="shared" si="56"/>
        <v/>
      </c>
      <c r="EIO22" s="73" t="str">
        <f t="shared" si="56"/>
        <v/>
      </c>
      <c r="EIP22" s="73" t="str">
        <f t="shared" si="56"/>
        <v/>
      </c>
      <c r="EIQ22" s="73" t="str">
        <f t="shared" si="56"/>
        <v/>
      </c>
      <c r="EIR22" s="73" t="str">
        <f t="shared" si="56"/>
        <v/>
      </c>
      <c r="EIS22" s="73" t="str">
        <f t="shared" si="56"/>
        <v/>
      </c>
      <c r="EIT22" s="73" t="str">
        <f t="shared" si="56"/>
        <v/>
      </c>
      <c r="EIU22" s="73" t="str">
        <f t="shared" si="56"/>
        <v/>
      </c>
      <c r="EIV22" s="73" t="str">
        <f t="shared" si="56"/>
        <v/>
      </c>
      <c r="EIW22" s="73" t="str">
        <f t="shared" si="56"/>
        <v/>
      </c>
      <c r="EIX22" s="73" t="str">
        <f t="shared" si="56"/>
        <v/>
      </c>
      <c r="EIY22" s="73" t="str">
        <f t="shared" si="56"/>
        <v/>
      </c>
      <c r="EIZ22" s="73" t="str">
        <f t="shared" si="56"/>
        <v/>
      </c>
      <c r="EJA22" s="73" t="str">
        <f t="shared" si="56"/>
        <v/>
      </c>
      <c r="EJB22" s="73" t="str">
        <f t="shared" si="56"/>
        <v/>
      </c>
      <c r="EJC22" s="73" t="str">
        <f t="shared" si="56"/>
        <v/>
      </c>
      <c r="EJD22" s="73" t="str">
        <f t="shared" si="56"/>
        <v/>
      </c>
      <c r="EJE22" s="73" t="str">
        <f t="shared" si="56"/>
        <v/>
      </c>
      <c r="EJF22" s="73" t="str">
        <f t="shared" si="56"/>
        <v/>
      </c>
      <c r="EJG22" s="73" t="str">
        <f t="shared" si="56"/>
        <v/>
      </c>
      <c r="EJH22" s="73" t="str">
        <f t="shared" si="56"/>
        <v/>
      </c>
      <c r="EJI22" s="73" t="str">
        <f t="shared" si="56"/>
        <v/>
      </c>
      <c r="EJJ22" s="73" t="str">
        <f t="shared" si="56"/>
        <v/>
      </c>
      <c r="EJK22" s="73" t="str">
        <f t="shared" si="56"/>
        <v/>
      </c>
      <c r="EJL22" s="73" t="str">
        <f t="shared" si="56"/>
        <v/>
      </c>
      <c r="EJM22" s="73" t="str">
        <f t="shared" si="56"/>
        <v/>
      </c>
      <c r="EJN22" s="73" t="str">
        <f t="shared" ref="EJN22:ELY22" si="57">IFERROR(AVERAGE(EJN6:EJN21),"")</f>
        <v/>
      </c>
      <c r="EJO22" s="73" t="str">
        <f t="shared" si="57"/>
        <v/>
      </c>
      <c r="EJP22" s="73" t="str">
        <f t="shared" si="57"/>
        <v/>
      </c>
      <c r="EJQ22" s="73" t="str">
        <f t="shared" si="57"/>
        <v/>
      </c>
      <c r="EJR22" s="73" t="str">
        <f t="shared" si="57"/>
        <v/>
      </c>
      <c r="EJS22" s="73" t="str">
        <f t="shared" si="57"/>
        <v/>
      </c>
      <c r="EJT22" s="73" t="str">
        <f t="shared" si="57"/>
        <v/>
      </c>
      <c r="EJU22" s="73" t="str">
        <f t="shared" si="57"/>
        <v/>
      </c>
      <c r="EJV22" s="73" t="str">
        <f t="shared" si="57"/>
        <v/>
      </c>
      <c r="EJW22" s="73" t="str">
        <f t="shared" si="57"/>
        <v/>
      </c>
      <c r="EJX22" s="73" t="str">
        <f t="shared" si="57"/>
        <v/>
      </c>
      <c r="EJY22" s="73" t="str">
        <f t="shared" si="57"/>
        <v/>
      </c>
      <c r="EJZ22" s="73" t="str">
        <f t="shared" si="57"/>
        <v/>
      </c>
      <c r="EKA22" s="73" t="str">
        <f t="shared" si="57"/>
        <v/>
      </c>
      <c r="EKB22" s="73" t="str">
        <f t="shared" si="57"/>
        <v/>
      </c>
      <c r="EKC22" s="73" t="str">
        <f t="shared" si="57"/>
        <v/>
      </c>
      <c r="EKD22" s="73" t="str">
        <f t="shared" si="57"/>
        <v/>
      </c>
      <c r="EKE22" s="73" t="str">
        <f t="shared" si="57"/>
        <v/>
      </c>
      <c r="EKF22" s="73" t="str">
        <f t="shared" si="57"/>
        <v/>
      </c>
      <c r="EKG22" s="73" t="str">
        <f t="shared" si="57"/>
        <v/>
      </c>
      <c r="EKH22" s="73" t="str">
        <f t="shared" si="57"/>
        <v/>
      </c>
      <c r="EKI22" s="73" t="str">
        <f t="shared" si="57"/>
        <v/>
      </c>
      <c r="EKJ22" s="73" t="str">
        <f t="shared" si="57"/>
        <v/>
      </c>
      <c r="EKK22" s="73" t="str">
        <f t="shared" si="57"/>
        <v/>
      </c>
      <c r="EKL22" s="73" t="str">
        <f t="shared" si="57"/>
        <v/>
      </c>
      <c r="EKM22" s="73" t="str">
        <f t="shared" si="57"/>
        <v/>
      </c>
      <c r="EKN22" s="73" t="str">
        <f t="shared" si="57"/>
        <v/>
      </c>
      <c r="EKO22" s="73" t="str">
        <f t="shared" si="57"/>
        <v/>
      </c>
      <c r="EKP22" s="73" t="str">
        <f t="shared" si="57"/>
        <v/>
      </c>
      <c r="EKQ22" s="73" t="str">
        <f t="shared" si="57"/>
        <v/>
      </c>
      <c r="EKR22" s="73" t="str">
        <f t="shared" si="57"/>
        <v/>
      </c>
      <c r="EKS22" s="73" t="str">
        <f t="shared" si="57"/>
        <v/>
      </c>
      <c r="EKT22" s="73" t="str">
        <f t="shared" si="57"/>
        <v/>
      </c>
      <c r="EKU22" s="73" t="str">
        <f t="shared" si="57"/>
        <v/>
      </c>
      <c r="EKV22" s="73" t="str">
        <f t="shared" si="57"/>
        <v/>
      </c>
      <c r="EKW22" s="73" t="str">
        <f t="shared" si="57"/>
        <v/>
      </c>
      <c r="EKX22" s="73" t="str">
        <f t="shared" si="57"/>
        <v/>
      </c>
      <c r="EKY22" s="73" t="str">
        <f t="shared" si="57"/>
        <v/>
      </c>
      <c r="EKZ22" s="73" t="str">
        <f t="shared" si="57"/>
        <v/>
      </c>
      <c r="ELA22" s="73" t="str">
        <f t="shared" si="57"/>
        <v/>
      </c>
      <c r="ELB22" s="73" t="str">
        <f t="shared" si="57"/>
        <v/>
      </c>
      <c r="ELC22" s="73" t="str">
        <f t="shared" si="57"/>
        <v/>
      </c>
      <c r="ELD22" s="73" t="str">
        <f t="shared" si="57"/>
        <v/>
      </c>
      <c r="ELE22" s="73" t="str">
        <f t="shared" si="57"/>
        <v/>
      </c>
      <c r="ELF22" s="73" t="str">
        <f t="shared" si="57"/>
        <v/>
      </c>
      <c r="ELG22" s="73" t="str">
        <f t="shared" si="57"/>
        <v/>
      </c>
      <c r="ELH22" s="73" t="str">
        <f t="shared" si="57"/>
        <v/>
      </c>
      <c r="ELI22" s="73" t="str">
        <f t="shared" si="57"/>
        <v/>
      </c>
      <c r="ELJ22" s="73" t="str">
        <f t="shared" si="57"/>
        <v/>
      </c>
      <c r="ELK22" s="73" t="str">
        <f t="shared" si="57"/>
        <v/>
      </c>
      <c r="ELL22" s="73" t="str">
        <f t="shared" si="57"/>
        <v/>
      </c>
      <c r="ELM22" s="73" t="str">
        <f t="shared" si="57"/>
        <v/>
      </c>
      <c r="ELN22" s="73" t="str">
        <f t="shared" si="57"/>
        <v/>
      </c>
      <c r="ELO22" s="73" t="str">
        <f t="shared" si="57"/>
        <v/>
      </c>
      <c r="ELP22" s="73" t="str">
        <f t="shared" si="57"/>
        <v/>
      </c>
      <c r="ELQ22" s="73" t="str">
        <f t="shared" si="57"/>
        <v/>
      </c>
      <c r="ELR22" s="73" t="str">
        <f t="shared" si="57"/>
        <v/>
      </c>
      <c r="ELS22" s="73" t="str">
        <f t="shared" si="57"/>
        <v/>
      </c>
      <c r="ELT22" s="73" t="str">
        <f t="shared" si="57"/>
        <v/>
      </c>
      <c r="ELU22" s="73" t="str">
        <f t="shared" si="57"/>
        <v/>
      </c>
      <c r="ELV22" s="73" t="str">
        <f t="shared" si="57"/>
        <v/>
      </c>
      <c r="ELW22" s="73" t="str">
        <f t="shared" si="57"/>
        <v/>
      </c>
      <c r="ELX22" s="73" t="str">
        <f t="shared" si="57"/>
        <v/>
      </c>
      <c r="ELY22" s="73" t="str">
        <f t="shared" si="57"/>
        <v/>
      </c>
      <c r="ELZ22" s="73" t="str">
        <f t="shared" ref="ELZ22:EOK22" si="58">IFERROR(AVERAGE(ELZ6:ELZ21),"")</f>
        <v/>
      </c>
      <c r="EMA22" s="73" t="str">
        <f t="shared" si="58"/>
        <v/>
      </c>
      <c r="EMB22" s="73" t="str">
        <f t="shared" si="58"/>
        <v/>
      </c>
      <c r="EMC22" s="73" t="str">
        <f t="shared" si="58"/>
        <v/>
      </c>
      <c r="EMD22" s="73" t="str">
        <f t="shared" si="58"/>
        <v/>
      </c>
      <c r="EME22" s="73" t="str">
        <f t="shared" si="58"/>
        <v/>
      </c>
      <c r="EMF22" s="73" t="str">
        <f t="shared" si="58"/>
        <v/>
      </c>
      <c r="EMG22" s="73" t="str">
        <f t="shared" si="58"/>
        <v/>
      </c>
      <c r="EMH22" s="73" t="str">
        <f t="shared" si="58"/>
        <v/>
      </c>
      <c r="EMI22" s="73" t="str">
        <f t="shared" si="58"/>
        <v/>
      </c>
      <c r="EMJ22" s="73" t="str">
        <f t="shared" si="58"/>
        <v/>
      </c>
      <c r="EMK22" s="73" t="str">
        <f t="shared" si="58"/>
        <v/>
      </c>
      <c r="EML22" s="73" t="str">
        <f t="shared" si="58"/>
        <v/>
      </c>
      <c r="EMM22" s="73" t="str">
        <f t="shared" si="58"/>
        <v/>
      </c>
      <c r="EMN22" s="73" t="str">
        <f t="shared" si="58"/>
        <v/>
      </c>
      <c r="EMO22" s="73" t="str">
        <f t="shared" si="58"/>
        <v/>
      </c>
      <c r="EMP22" s="73" t="str">
        <f t="shared" si="58"/>
        <v/>
      </c>
      <c r="EMQ22" s="73" t="str">
        <f t="shared" si="58"/>
        <v/>
      </c>
      <c r="EMR22" s="73" t="str">
        <f t="shared" si="58"/>
        <v/>
      </c>
      <c r="EMS22" s="73" t="str">
        <f t="shared" si="58"/>
        <v/>
      </c>
      <c r="EMT22" s="73" t="str">
        <f t="shared" si="58"/>
        <v/>
      </c>
      <c r="EMU22" s="73" t="str">
        <f t="shared" si="58"/>
        <v/>
      </c>
      <c r="EMV22" s="73" t="str">
        <f t="shared" si="58"/>
        <v/>
      </c>
      <c r="EMW22" s="73" t="str">
        <f t="shared" si="58"/>
        <v/>
      </c>
      <c r="EMX22" s="73" t="str">
        <f t="shared" si="58"/>
        <v/>
      </c>
      <c r="EMY22" s="73" t="str">
        <f t="shared" si="58"/>
        <v/>
      </c>
      <c r="EMZ22" s="73" t="str">
        <f t="shared" si="58"/>
        <v/>
      </c>
      <c r="ENA22" s="73" t="str">
        <f t="shared" si="58"/>
        <v/>
      </c>
      <c r="ENB22" s="73" t="str">
        <f t="shared" si="58"/>
        <v/>
      </c>
      <c r="ENC22" s="73" t="str">
        <f t="shared" si="58"/>
        <v/>
      </c>
      <c r="END22" s="73" t="str">
        <f t="shared" si="58"/>
        <v/>
      </c>
      <c r="ENE22" s="73" t="str">
        <f t="shared" si="58"/>
        <v/>
      </c>
      <c r="ENF22" s="73" t="str">
        <f t="shared" si="58"/>
        <v/>
      </c>
      <c r="ENG22" s="73" t="str">
        <f t="shared" si="58"/>
        <v/>
      </c>
      <c r="ENH22" s="73" t="str">
        <f t="shared" si="58"/>
        <v/>
      </c>
      <c r="ENI22" s="73" t="str">
        <f t="shared" si="58"/>
        <v/>
      </c>
      <c r="ENJ22" s="73" t="str">
        <f t="shared" si="58"/>
        <v/>
      </c>
      <c r="ENK22" s="73" t="str">
        <f t="shared" si="58"/>
        <v/>
      </c>
      <c r="ENL22" s="73" t="str">
        <f t="shared" si="58"/>
        <v/>
      </c>
      <c r="ENM22" s="73" t="str">
        <f t="shared" si="58"/>
        <v/>
      </c>
      <c r="ENN22" s="73" t="str">
        <f t="shared" si="58"/>
        <v/>
      </c>
      <c r="ENO22" s="73" t="str">
        <f t="shared" si="58"/>
        <v/>
      </c>
      <c r="ENP22" s="73" t="str">
        <f t="shared" si="58"/>
        <v/>
      </c>
      <c r="ENQ22" s="73" t="str">
        <f t="shared" si="58"/>
        <v/>
      </c>
      <c r="ENR22" s="73" t="str">
        <f t="shared" si="58"/>
        <v/>
      </c>
      <c r="ENS22" s="73" t="str">
        <f t="shared" si="58"/>
        <v/>
      </c>
      <c r="ENT22" s="73" t="str">
        <f t="shared" si="58"/>
        <v/>
      </c>
      <c r="ENU22" s="73" t="str">
        <f t="shared" si="58"/>
        <v/>
      </c>
      <c r="ENV22" s="73" t="str">
        <f t="shared" si="58"/>
        <v/>
      </c>
      <c r="ENW22" s="73" t="str">
        <f t="shared" si="58"/>
        <v/>
      </c>
      <c r="ENX22" s="73" t="str">
        <f t="shared" si="58"/>
        <v/>
      </c>
      <c r="ENY22" s="73" t="str">
        <f t="shared" si="58"/>
        <v/>
      </c>
      <c r="ENZ22" s="73" t="str">
        <f t="shared" si="58"/>
        <v/>
      </c>
      <c r="EOA22" s="73" t="str">
        <f t="shared" si="58"/>
        <v/>
      </c>
      <c r="EOB22" s="73" t="str">
        <f t="shared" si="58"/>
        <v/>
      </c>
      <c r="EOC22" s="73" t="str">
        <f t="shared" si="58"/>
        <v/>
      </c>
      <c r="EOD22" s="73" t="str">
        <f t="shared" si="58"/>
        <v/>
      </c>
      <c r="EOE22" s="73" t="str">
        <f t="shared" si="58"/>
        <v/>
      </c>
      <c r="EOF22" s="73" t="str">
        <f t="shared" si="58"/>
        <v/>
      </c>
      <c r="EOG22" s="73" t="str">
        <f t="shared" si="58"/>
        <v/>
      </c>
      <c r="EOH22" s="73" t="str">
        <f t="shared" si="58"/>
        <v/>
      </c>
      <c r="EOI22" s="73" t="str">
        <f t="shared" si="58"/>
        <v/>
      </c>
      <c r="EOJ22" s="73" t="str">
        <f t="shared" si="58"/>
        <v/>
      </c>
      <c r="EOK22" s="73" t="str">
        <f t="shared" si="58"/>
        <v/>
      </c>
      <c r="EOL22" s="73" t="str">
        <f t="shared" ref="EOL22:EQW22" si="59">IFERROR(AVERAGE(EOL6:EOL21),"")</f>
        <v/>
      </c>
      <c r="EOM22" s="73" t="str">
        <f t="shared" si="59"/>
        <v/>
      </c>
      <c r="EON22" s="73" t="str">
        <f t="shared" si="59"/>
        <v/>
      </c>
      <c r="EOO22" s="73" t="str">
        <f t="shared" si="59"/>
        <v/>
      </c>
      <c r="EOP22" s="73" t="str">
        <f t="shared" si="59"/>
        <v/>
      </c>
      <c r="EOQ22" s="73" t="str">
        <f t="shared" si="59"/>
        <v/>
      </c>
      <c r="EOR22" s="73" t="str">
        <f t="shared" si="59"/>
        <v/>
      </c>
      <c r="EOS22" s="73" t="str">
        <f t="shared" si="59"/>
        <v/>
      </c>
      <c r="EOT22" s="73" t="str">
        <f t="shared" si="59"/>
        <v/>
      </c>
      <c r="EOU22" s="73" t="str">
        <f t="shared" si="59"/>
        <v/>
      </c>
      <c r="EOV22" s="73" t="str">
        <f t="shared" si="59"/>
        <v/>
      </c>
      <c r="EOW22" s="73" t="str">
        <f t="shared" si="59"/>
        <v/>
      </c>
      <c r="EOX22" s="73" t="str">
        <f t="shared" si="59"/>
        <v/>
      </c>
      <c r="EOY22" s="73" t="str">
        <f t="shared" si="59"/>
        <v/>
      </c>
      <c r="EOZ22" s="73" t="str">
        <f t="shared" si="59"/>
        <v/>
      </c>
      <c r="EPA22" s="73" t="str">
        <f t="shared" si="59"/>
        <v/>
      </c>
      <c r="EPB22" s="73" t="str">
        <f t="shared" si="59"/>
        <v/>
      </c>
      <c r="EPC22" s="73" t="str">
        <f t="shared" si="59"/>
        <v/>
      </c>
      <c r="EPD22" s="73" t="str">
        <f t="shared" si="59"/>
        <v/>
      </c>
      <c r="EPE22" s="73" t="str">
        <f t="shared" si="59"/>
        <v/>
      </c>
      <c r="EPF22" s="73" t="str">
        <f t="shared" si="59"/>
        <v/>
      </c>
      <c r="EPG22" s="73" t="str">
        <f t="shared" si="59"/>
        <v/>
      </c>
      <c r="EPH22" s="73" t="str">
        <f t="shared" si="59"/>
        <v/>
      </c>
      <c r="EPI22" s="73" t="str">
        <f t="shared" si="59"/>
        <v/>
      </c>
      <c r="EPJ22" s="73" t="str">
        <f t="shared" si="59"/>
        <v/>
      </c>
      <c r="EPK22" s="73" t="str">
        <f t="shared" si="59"/>
        <v/>
      </c>
      <c r="EPL22" s="73" t="str">
        <f t="shared" si="59"/>
        <v/>
      </c>
      <c r="EPM22" s="73" t="str">
        <f t="shared" si="59"/>
        <v/>
      </c>
      <c r="EPN22" s="73" t="str">
        <f t="shared" si="59"/>
        <v/>
      </c>
      <c r="EPO22" s="73" t="str">
        <f t="shared" si="59"/>
        <v/>
      </c>
      <c r="EPP22" s="73" t="str">
        <f t="shared" si="59"/>
        <v/>
      </c>
      <c r="EPQ22" s="73" t="str">
        <f t="shared" si="59"/>
        <v/>
      </c>
      <c r="EPR22" s="73" t="str">
        <f t="shared" si="59"/>
        <v/>
      </c>
      <c r="EPS22" s="73" t="str">
        <f t="shared" si="59"/>
        <v/>
      </c>
      <c r="EPT22" s="73" t="str">
        <f t="shared" si="59"/>
        <v/>
      </c>
      <c r="EPU22" s="73" t="str">
        <f t="shared" si="59"/>
        <v/>
      </c>
      <c r="EPV22" s="73" t="str">
        <f t="shared" si="59"/>
        <v/>
      </c>
      <c r="EPW22" s="73" t="str">
        <f t="shared" si="59"/>
        <v/>
      </c>
      <c r="EPX22" s="73" t="str">
        <f t="shared" si="59"/>
        <v/>
      </c>
      <c r="EPY22" s="73" t="str">
        <f t="shared" si="59"/>
        <v/>
      </c>
      <c r="EPZ22" s="73" t="str">
        <f t="shared" si="59"/>
        <v/>
      </c>
      <c r="EQA22" s="73" t="str">
        <f t="shared" si="59"/>
        <v/>
      </c>
      <c r="EQB22" s="73" t="str">
        <f t="shared" si="59"/>
        <v/>
      </c>
      <c r="EQC22" s="73" t="str">
        <f t="shared" si="59"/>
        <v/>
      </c>
      <c r="EQD22" s="73" t="str">
        <f t="shared" si="59"/>
        <v/>
      </c>
      <c r="EQE22" s="73" t="str">
        <f t="shared" si="59"/>
        <v/>
      </c>
      <c r="EQF22" s="73" t="str">
        <f t="shared" si="59"/>
        <v/>
      </c>
      <c r="EQG22" s="73" t="str">
        <f t="shared" si="59"/>
        <v/>
      </c>
      <c r="EQH22" s="73" t="str">
        <f t="shared" si="59"/>
        <v/>
      </c>
      <c r="EQI22" s="73" t="str">
        <f t="shared" si="59"/>
        <v/>
      </c>
      <c r="EQJ22" s="73" t="str">
        <f t="shared" si="59"/>
        <v/>
      </c>
      <c r="EQK22" s="73" t="str">
        <f t="shared" si="59"/>
        <v/>
      </c>
      <c r="EQL22" s="73" t="str">
        <f t="shared" si="59"/>
        <v/>
      </c>
      <c r="EQM22" s="73" t="str">
        <f t="shared" si="59"/>
        <v/>
      </c>
      <c r="EQN22" s="73" t="str">
        <f t="shared" si="59"/>
        <v/>
      </c>
      <c r="EQO22" s="73" t="str">
        <f t="shared" si="59"/>
        <v/>
      </c>
      <c r="EQP22" s="73" t="str">
        <f t="shared" si="59"/>
        <v/>
      </c>
      <c r="EQQ22" s="73" t="str">
        <f t="shared" si="59"/>
        <v/>
      </c>
      <c r="EQR22" s="73" t="str">
        <f t="shared" si="59"/>
        <v/>
      </c>
      <c r="EQS22" s="73" t="str">
        <f t="shared" si="59"/>
        <v/>
      </c>
      <c r="EQT22" s="73" t="str">
        <f t="shared" si="59"/>
        <v/>
      </c>
      <c r="EQU22" s="73" t="str">
        <f t="shared" si="59"/>
        <v/>
      </c>
      <c r="EQV22" s="73" t="str">
        <f t="shared" si="59"/>
        <v/>
      </c>
      <c r="EQW22" s="73" t="str">
        <f t="shared" si="59"/>
        <v/>
      </c>
      <c r="EQX22" s="73" t="str">
        <f t="shared" ref="EQX22:ETI22" si="60">IFERROR(AVERAGE(EQX6:EQX21),"")</f>
        <v/>
      </c>
      <c r="EQY22" s="73" t="str">
        <f t="shared" si="60"/>
        <v/>
      </c>
      <c r="EQZ22" s="73" t="str">
        <f t="shared" si="60"/>
        <v/>
      </c>
      <c r="ERA22" s="73" t="str">
        <f t="shared" si="60"/>
        <v/>
      </c>
      <c r="ERB22" s="73" t="str">
        <f t="shared" si="60"/>
        <v/>
      </c>
      <c r="ERC22" s="73" t="str">
        <f t="shared" si="60"/>
        <v/>
      </c>
      <c r="ERD22" s="73" t="str">
        <f t="shared" si="60"/>
        <v/>
      </c>
      <c r="ERE22" s="73" t="str">
        <f t="shared" si="60"/>
        <v/>
      </c>
      <c r="ERF22" s="73" t="str">
        <f t="shared" si="60"/>
        <v/>
      </c>
      <c r="ERG22" s="73" t="str">
        <f t="shared" si="60"/>
        <v/>
      </c>
      <c r="ERH22" s="73" t="str">
        <f t="shared" si="60"/>
        <v/>
      </c>
      <c r="ERI22" s="73" t="str">
        <f t="shared" si="60"/>
        <v/>
      </c>
      <c r="ERJ22" s="73" t="str">
        <f t="shared" si="60"/>
        <v/>
      </c>
      <c r="ERK22" s="73" t="str">
        <f t="shared" si="60"/>
        <v/>
      </c>
      <c r="ERL22" s="73" t="str">
        <f t="shared" si="60"/>
        <v/>
      </c>
      <c r="ERM22" s="73" t="str">
        <f t="shared" si="60"/>
        <v/>
      </c>
      <c r="ERN22" s="73" t="str">
        <f t="shared" si="60"/>
        <v/>
      </c>
      <c r="ERO22" s="73" t="str">
        <f t="shared" si="60"/>
        <v/>
      </c>
      <c r="ERP22" s="73" t="str">
        <f t="shared" si="60"/>
        <v/>
      </c>
      <c r="ERQ22" s="73" t="str">
        <f t="shared" si="60"/>
        <v/>
      </c>
      <c r="ERR22" s="73" t="str">
        <f t="shared" si="60"/>
        <v/>
      </c>
      <c r="ERS22" s="73" t="str">
        <f t="shared" si="60"/>
        <v/>
      </c>
      <c r="ERT22" s="73" t="str">
        <f t="shared" si="60"/>
        <v/>
      </c>
      <c r="ERU22" s="73" t="str">
        <f t="shared" si="60"/>
        <v/>
      </c>
      <c r="ERV22" s="73" t="str">
        <f t="shared" si="60"/>
        <v/>
      </c>
      <c r="ERW22" s="73" t="str">
        <f t="shared" si="60"/>
        <v/>
      </c>
      <c r="ERX22" s="73" t="str">
        <f t="shared" si="60"/>
        <v/>
      </c>
      <c r="ERY22" s="73" t="str">
        <f t="shared" si="60"/>
        <v/>
      </c>
      <c r="ERZ22" s="73" t="str">
        <f t="shared" si="60"/>
        <v/>
      </c>
      <c r="ESA22" s="73" t="str">
        <f t="shared" si="60"/>
        <v/>
      </c>
      <c r="ESB22" s="73" t="str">
        <f t="shared" si="60"/>
        <v/>
      </c>
      <c r="ESC22" s="73" t="str">
        <f t="shared" si="60"/>
        <v/>
      </c>
      <c r="ESD22" s="73" t="str">
        <f t="shared" si="60"/>
        <v/>
      </c>
      <c r="ESE22" s="73" t="str">
        <f t="shared" si="60"/>
        <v/>
      </c>
      <c r="ESF22" s="73" t="str">
        <f t="shared" si="60"/>
        <v/>
      </c>
      <c r="ESG22" s="73" t="str">
        <f t="shared" si="60"/>
        <v/>
      </c>
      <c r="ESH22" s="73" t="str">
        <f t="shared" si="60"/>
        <v/>
      </c>
      <c r="ESI22" s="73" t="str">
        <f t="shared" si="60"/>
        <v/>
      </c>
      <c r="ESJ22" s="73" t="str">
        <f t="shared" si="60"/>
        <v/>
      </c>
      <c r="ESK22" s="73" t="str">
        <f t="shared" si="60"/>
        <v/>
      </c>
      <c r="ESL22" s="73" t="str">
        <f t="shared" si="60"/>
        <v/>
      </c>
      <c r="ESM22" s="73" t="str">
        <f t="shared" si="60"/>
        <v/>
      </c>
      <c r="ESN22" s="73" t="str">
        <f t="shared" si="60"/>
        <v/>
      </c>
      <c r="ESO22" s="73" t="str">
        <f t="shared" si="60"/>
        <v/>
      </c>
      <c r="ESP22" s="73" t="str">
        <f t="shared" si="60"/>
        <v/>
      </c>
      <c r="ESQ22" s="73" t="str">
        <f t="shared" si="60"/>
        <v/>
      </c>
      <c r="ESR22" s="73" t="str">
        <f t="shared" si="60"/>
        <v/>
      </c>
      <c r="ESS22" s="73" t="str">
        <f t="shared" si="60"/>
        <v/>
      </c>
      <c r="EST22" s="73" t="str">
        <f t="shared" si="60"/>
        <v/>
      </c>
      <c r="ESU22" s="73" t="str">
        <f t="shared" si="60"/>
        <v/>
      </c>
      <c r="ESV22" s="73" t="str">
        <f t="shared" si="60"/>
        <v/>
      </c>
      <c r="ESW22" s="73" t="str">
        <f t="shared" si="60"/>
        <v/>
      </c>
      <c r="ESX22" s="73" t="str">
        <f t="shared" si="60"/>
        <v/>
      </c>
      <c r="ESY22" s="73" t="str">
        <f t="shared" si="60"/>
        <v/>
      </c>
      <c r="ESZ22" s="73" t="str">
        <f t="shared" si="60"/>
        <v/>
      </c>
      <c r="ETA22" s="73" t="str">
        <f t="shared" si="60"/>
        <v/>
      </c>
      <c r="ETB22" s="73" t="str">
        <f t="shared" si="60"/>
        <v/>
      </c>
      <c r="ETC22" s="73" t="str">
        <f t="shared" si="60"/>
        <v/>
      </c>
      <c r="ETD22" s="73" t="str">
        <f t="shared" si="60"/>
        <v/>
      </c>
      <c r="ETE22" s="73" t="str">
        <f t="shared" si="60"/>
        <v/>
      </c>
      <c r="ETF22" s="73" t="str">
        <f t="shared" si="60"/>
        <v/>
      </c>
      <c r="ETG22" s="73" t="str">
        <f t="shared" si="60"/>
        <v/>
      </c>
      <c r="ETH22" s="73" t="str">
        <f t="shared" si="60"/>
        <v/>
      </c>
      <c r="ETI22" s="73" t="str">
        <f t="shared" si="60"/>
        <v/>
      </c>
      <c r="ETJ22" s="73" t="str">
        <f t="shared" ref="ETJ22:EVU22" si="61">IFERROR(AVERAGE(ETJ6:ETJ21),"")</f>
        <v/>
      </c>
      <c r="ETK22" s="73" t="str">
        <f t="shared" si="61"/>
        <v/>
      </c>
      <c r="ETL22" s="73" t="str">
        <f t="shared" si="61"/>
        <v/>
      </c>
      <c r="ETM22" s="73" t="str">
        <f t="shared" si="61"/>
        <v/>
      </c>
      <c r="ETN22" s="73" t="str">
        <f t="shared" si="61"/>
        <v/>
      </c>
      <c r="ETO22" s="73" t="str">
        <f t="shared" si="61"/>
        <v/>
      </c>
      <c r="ETP22" s="73" t="str">
        <f t="shared" si="61"/>
        <v/>
      </c>
      <c r="ETQ22" s="73" t="str">
        <f t="shared" si="61"/>
        <v/>
      </c>
      <c r="ETR22" s="73" t="str">
        <f t="shared" si="61"/>
        <v/>
      </c>
      <c r="ETS22" s="73" t="str">
        <f t="shared" si="61"/>
        <v/>
      </c>
      <c r="ETT22" s="73" t="str">
        <f t="shared" si="61"/>
        <v/>
      </c>
      <c r="ETU22" s="73" t="str">
        <f t="shared" si="61"/>
        <v/>
      </c>
      <c r="ETV22" s="73" t="str">
        <f t="shared" si="61"/>
        <v/>
      </c>
      <c r="ETW22" s="73" t="str">
        <f t="shared" si="61"/>
        <v/>
      </c>
      <c r="ETX22" s="73" t="str">
        <f t="shared" si="61"/>
        <v/>
      </c>
      <c r="ETY22" s="73" t="str">
        <f t="shared" si="61"/>
        <v/>
      </c>
      <c r="ETZ22" s="73" t="str">
        <f t="shared" si="61"/>
        <v/>
      </c>
      <c r="EUA22" s="73" t="str">
        <f t="shared" si="61"/>
        <v/>
      </c>
      <c r="EUB22" s="73" t="str">
        <f t="shared" si="61"/>
        <v/>
      </c>
      <c r="EUC22" s="73" t="str">
        <f t="shared" si="61"/>
        <v/>
      </c>
      <c r="EUD22" s="73" t="str">
        <f t="shared" si="61"/>
        <v/>
      </c>
      <c r="EUE22" s="73" t="str">
        <f t="shared" si="61"/>
        <v/>
      </c>
      <c r="EUF22" s="73" t="str">
        <f t="shared" si="61"/>
        <v/>
      </c>
      <c r="EUG22" s="73" t="str">
        <f t="shared" si="61"/>
        <v/>
      </c>
      <c r="EUH22" s="73" t="str">
        <f t="shared" si="61"/>
        <v/>
      </c>
      <c r="EUI22" s="73" t="str">
        <f t="shared" si="61"/>
        <v/>
      </c>
      <c r="EUJ22" s="73" t="str">
        <f t="shared" si="61"/>
        <v/>
      </c>
      <c r="EUK22" s="73" t="str">
        <f t="shared" si="61"/>
        <v/>
      </c>
      <c r="EUL22" s="73" t="str">
        <f t="shared" si="61"/>
        <v/>
      </c>
      <c r="EUM22" s="73" t="str">
        <f t="shared" si="61"/>
        <v/>
      </c>
      <c r="EUN22" s="73" t="str">
        <f t="shared" si="61"/>
        <v/>
      </c>
      <c r="EUO22" s="73" t="str">
        <f t="shared" si="61"/>
        <v/>
      </c>
      <c r="EUP22" s="73" t="str">
        <f t="shared" si="61"/>
        <v/>
      </c>
      <c r="EUQ22" s="73" t="str">
        <f t="shared" si="61"/>
        <v/>
      </c>
      <c r="EUR22" s="73" t="str">
        <f t="shared" si="61"/>
        <v/>
      </c>
      <c r="EUS22" s="73" t="str">
        <f t="shared" si="61"/>
        <v/>
      </c>
      <c r="EUT22" s="73" t="str">
        <f t="shared" si="61"/>
        <v/>
      </c>
      <c r="EUU22" s="73" t="str">
        <f t="shared" si="61"/>
        <v/>
      </c>
      <c r="EUV22" s="73" t="str">
        <f t="shared" si="61"/>
        <v/>
      </c>
      <c r="EUW22" s="73" t="str">
        <f t="shared" si="61"/>
        <v/>
      </c>
      <c r="EUX22" s="73" t="str">
        <f t="shared" si="61"/>
        <v/>
      </c>
      <c r="EUY22" s="73" t="str">
        <f t="shared" si="61"/>
        <v/>
      </c>
      <c r="EUZ22" s="73" t="str">
        <f t="shared" si="61"/>
        <v/>
      </c>
      <c r="EVA22" s="73" t="str">
        <f t="shared" si="61"/>
        <v/>
      </c>
      <c r="EVB22" s="73" t="str">
        <f t="shared" si="61"/>
        <v/>
      </c>
      <c r="EVC22" s="73" t="str">
        <f t="shared" si="61"/>
        <v/>
      </c>
      <c r="EVD22" s="73" t="str">
        <f t="shared" si="61"/>
        <v/>
      </c>
      <c r="EVE22" s="73" t="str">
        <f t="shared" si="61"/>
        <v/>
      </c>
      <c r="EVF22" s="73" t="str">
        <f t="shared" si="61"/>
        <v/>
      </c>
      <c r="EVG22" s="73" t="str">
        <f t="shared" si="61"/>
        <v/>
      </c>
      <c r="EVH22" s="73" t="str">
        <f t="shared" si="61"/>
        <v/>
      </c>
      <c r="EVI22" s="73" t="str">
        <f t="shared" si="61"/>
        <v/>
      </c>
      <c r="EVJ22" s="73" t="str">
        <f t="shared" si="61"/>
        <v/>
      </c>
      <c r="EVK22" s="73" t="str">
        <f t="shared" si="61"/>
        <v/>
      </c>
      <c r="EVL22" s="73" t="str">
        <f t="shared" si="61"/>
        <v/>
      </c>
      <c r="EVM22" s="73" t="str">
        <f t="shared" si="61"/>
        <v/>
      </c>
      <c r="EVN22" s="73" t="str">
        <f t="shared" si="61"/>
        <v/>
      </c>
      <c r="EVO22" s="73" t="str">
        <f t="shared" si="61"/>
        <v/>
      </c>
      <c r="EVP22" s="73" t="str">
        <f t="shared" si="61"/>
        <v/>
      </c>
      <c r="EVQ22" s="73" t="str">
        <f t="shared" si="61"/>
        <v/>
      </c>
      <c r="EVR22" s="73" t="str">
        <f t="shared" si="61"/>
        <v/>
      </c>
      <c r="EVS22" s="73" t="str">
        <f t="shared" si="61"/>
        <v/>
      </c>
      <c r="EVT22" s="73" t="str">
        <f t="shared" si="61"/>
        <v/>
      </c>
      <c r="EVU22" s="73" t="str">
        <f t="shared" si="61"/>
        <v/>
      </c>
      <c r="EVV22" s="73" t="str">
        <f t="shared" ref="EVV22:EYG22" si="62">IFERROR(AVERAGE(EVV6:EVV21),"")</f>
        <v/>
      </c>
      <c r="EVW22" s="73" t="str">
        <f t="shared" si="62"/>
        <v/>
      </c>
      <c r="EVX22" s="73" t="str">
        <f t="shared" si="62"/>
        <v/>
      </c>
      <c r="EVY22" s="73" t="str">
        <f t="shared" si="62"/>
        <v/>
      </c>
      <c r="EVZ22" s="73" t="str">
        <f t="shared" si="62"/>
        <v/>
      </c>
      <c r="EWA22" s="73" t="str">
        <f t="shared" si="62"/>
        <v/>
      </c>
      <c r="EWB22" s="73" t="str">
        <f t="shared" si="62"/>
        <v/>
      </c>
      <c r="EWC22" s="73" t="str">
        <f t="shared" si="62"/>
        <v/>
      </c>
      <c r="EWD22" s="73" t="str">
        <f t="shared" si="62"/>
        <v/>
      </c>
      <c r="EWE22" s="73" t="str">
        <f t="shared" si="62"/>
        <v/>
      </c>
      <c r="EWF22" s="73" t="str">
        <f t="shared" si="62"/>
        <v/>
      </c>
      <c r="EWG22" s="73" t="str">
        <f t="shared" si="62"/>
        <v/>
      </c>
      <c r="EWH22" s="73" t="str">
        <f t="shared" si="62"/>
        <v/>
      </c>
      <c r="EWI22" s="73" t="str">
        <f t="shared" si="62"/>
        <v/>
      </c>
      <c r="EWJ22" s="73" t="str">
        <f t="shared" si="62"/>
        <v/>
      </c>
      <c r="EWK22" s="73" t="str">
        <f t="shared" si="62"/>
        <v/>
      </c>
      <c r="EWL22" s="73" t="str">
        <f t="shared" si="62"/>
        <v/>
      </c>
      <c r="EWM22" s="73" t="str">
        <f t="shared" si="62"/>
        <v/>
      </c>
      <c r="EWN22" s="73" t="str">
        <f t="shared" si="62"/>
        <v/>
      </c>
      <c r="EWO22" s="73" t="str">
        <f t="shared" si="62"/>
        <v/>
      </c>
      <c r="EWP22" s="73" t="str">
        <f t="shared" si="62"/>
        <v/>
      </c>
      <c r="EWQ22" s="73" t="str">
        <f t="shared" si="62"/>
        <v/>
      </c>
      <c r="EWR22" s="73" t="str">
        <f t="shared" si="62"/>
        <v/>
      </c>
      <c r="EWS22" s="73" t="str">
        <f t="shared" si="62"/>
        <v/>
      </c>
      <c r="EWT22" s="73" t="str">
        <f t="shared" si="62"/>
        <v/>
      </c>
      <c r="EWU22" s="73" t="str">
        <f t="shared" si="62"/>
        <v/>
      </c>
      <c r="EWV22" s="73" t="str">
        <f t="shared" si="62"/>
        <v/>
      </c>
      <c r="EWW22" s="73" t="str">
        <f t="shared" si="62"/>
        <v/>
      </c>
      <c r="EWX22" s="73" t="str">
        <f t="shared" si="62"/>
        <v/>
      </c>
      <c r="EWY22" s="73" t="str">
        <f t="shared" si="62"/>
        <v/>
      </c>
      <c r="EWZ22" s="73" t="str">
        <f t="shared" si="62"/>
        <v/>
      </c>
      <c r="EXA22" s="73" t="str">
        <f t="shared" si="62"/>
        <v/>
      </c>
      <c r="EXB22" s="73" t="str">
        <f t="shared" si="62"/>
        <v/>
      </c>
      <c r="EXC22" s="73" t="str">
        <f t="shared" si="62"/>
        <v/>
      </c>
      <c r="EXD22" s="73" t="str">
        <f t="shared" si="62"/>
        <v/>
      </c>
      <c r="EXE22" s="73" t="str">
        <f t="shared" si="62"/>
        <v/>
      </c>
      <c r="EXF22" s="73" t="str">
        <f t="shared" si="62"/>
        <v/>
      </c>
      <c r="EXG22" s="73" t="str">
        <f t="shared" si="62"/>
        <v/>
      </c>
      <c r="EXH22" s="73" t="str">
        <f t="shared" si="62"/>
        <v/>
      </c>
      <c r="EXI22" s="73" t="str">
        <f t="shared" si="62"/>
        <v/>
      </c>
      <c r="EXJ22" s="73" t="str">
        <f t="shared" si="62"/>
        <v/>
      </c>
      <c r="EXK22" s="73" t="str">
        <f t="shared" si="62"/>
        <v/>
      </c>
      <c r="EXL22" s="73" t="str">
        <f t="shared" si="62"/>
        <v/>
      </c>
      <c r="EXM22" s="73" t="str">
        <f t="shared" si="62"/>
        <v/>
      </c>
      <c r="EXN22" s="73" t="str">
        <f t="shared" si="62"/>
        <v/>
      </c>
      <c r="EXO22" s="73" t="str">
        <f t="shared" si="62"/>
        <v/>
      </c>
      <c r="EXP22" s="73" t="str">
        <f t="shared" si="62"/>
        <v/>
      </c>
      <c r="EXQ22" s="73" t="str">
        <f t="shared" si="62"/>
        <v/>
      </c>
      <c r="EXR22" s="73" t="str">
        <f t="shared" si="62"/>
        <v/>
      </c>
      <c r="EXS22" s="73" t="str">
        <f t="shared" si="62"/>
        <v/>
      </c>
      <c r="EXT22" s="73" t="str">
        <f t="shared" si="62"/>
        <v/>
      </c>
      <c r="EXU22" s="73" t="str">
        <f t="shared" si="62"/>
        <v/>
      </c>
      <c r="EXV22" s="73" t="str">
        <f t="shared" si="62"/>
        <v/>
      </c>
      <c r="EXW22" s="73" t="str">
        <f t="shared" si="62"/>
        <v/>
      </c>
      <c r="EXX22" s="73" t="str">
        <f t="shared" si="62"/>
        <v/>
      </c>
      <c r="EXY22" s="73" t="str">
        <f t="shared" si="62"/>
        <v/>
      </c>
      <c r="EXZ22" s="73" t="str">
        <f t="shared" si="62"/>
        <v/>
      </c>
      <c r="EYA22" s="73" t="str">
        <f t="shared" si="62"/>
        <v/>
      </c>
      <c r="EYB22" s="73" t="str">
        <f t="shared" si="62"/>
        <v/>
      </c>
      <c r="EYC22" s="73" t="str">
        <f t="shared" si="62"/>
        <v/>
      </c>
      <c r="EYD22" s="73" t="str">
        <f t="shared" si="62"/>
        <v/>
      </c>
      <c r="EYE22" s="73" t="str">
        <f t="shared" si="62"/>
        <v/>
      </c>
      <c r="EYF22" s="73" t="str">
        <f t="shared" si="62"/>
        <v/>
      </c>
      <c r="EYG22" s="73" t="str">
        <f t="shared" si="62"/>
        <v/>
      </c>
      <c r="EYH22" s="73" t="str">
        <f t="shared" ref="EYH22:FAS22" si="63">IFERROR(AVERAGE(EYH6:EYH21),"")</f>
        <v/>
      </c>
      <c r="EYI22" s="73" t="str">
        <f t="shared" si="63"/>
        <v/>
      </c>
      <c r="EYJ22" s="73" t="str">
        <f t="shared" si="63"/>
        <v/>
      </c>
      <c r="EYK22" s="73" t="str">
        <f t="shared" si="63"/>
        <v/>
      </c>
      <c r="EYL22" s="73" t="str">
        <f t="shared" si="63"/>
        <v/>
      </c>
      <c r="EYM22" s="73" t="str">
        <f t="shared" si="63"/>
        <v/>
      </c>
      <c r="EYN22" s="73" t="str">
        <f t="shared" si="63"/>
        <v/>
      </c>
      <c r="EYO22" s="73" t="str">
        <f t="shared" si="63"/>
        <v/>
      </c>
      <c r="EYP22" s="73" t="str">
        <f t="shared" si="63"/>
        <v/>
      </c>
      <c r="EYQ22" s="73" t="str">
        <f t="shared" si="63"/>
        <v/>
      </c>
      <c r="EYR22" s="73" t="str">
        <f t="shared" si="63"/>
        <v/>
      </c>
      <c r="EYS22" s="73" t="str">
        <f t="shared" si="63"/>
        <v/>
      </c>
      <c r="EYT22" s="73" t="str">
        <f t="shared" si="63"/>
        <v/>
      </c>
      <c r="EYU22" s="73" t="str">
        <f t="shared" si="63"/>
        <v/>
      </c>
      <c r="EYV22" s="73" t="str">
        <f t="shared" si="63"/>
        <v/>
      </c>
      <c r="EYW22" s="73" t="str">
        <f t="shared" si="63"/>
        <v/>
      </c>
      <c r="EYX22" s="73" t="str">
        <f t="shared" si="63"/>
        <v/>
      </c>
      <c r="EYY22" s="73" t="str">
        <f t="shared" si="63"/>
        <v/>
      </c>
      <c r="EYZ22" s="73" t="str">
        <f t="shared" si="63"/>
        <v/>
      </c>
      <c r="EZA22" s="73" t="str">
        <f t="shared" si="63"/>
        <v/>
      </c>
      <c r="EZB22" s="73" t="str">
        <f t="shared" si="63"/>
        <v/>
      </c>
      <c r="EZC22" s="73" t="str">
        <f t="shared" si="63"/>
        <v/>
      </c>
      <c r="EZD22" s="73" t="str">
        <f t="shared" si="63"/>
        <v/>
      </c>
      <c r="EZE22" s="73" t="str">
        <f t="shared" si="63"/>
        <v/>
      </c>
      <c r="EZF22" s="73" t="str">
        <f t="shared" si="63"/>
        <v/>
      </c>
      <c r="EZG22" s="73" t="str">
        <f t="shared" si="63"/>
        <v/>
      </c>
      <c r="EZH22" s="73" t="str">
        <f t="shared" si="63"/>
        <v/>
      </c>
      <c r="EZI22" s="73" t="str">
        <f t="shared" si="63"/>
        <v/>
      </c>
      <c r="EZJ22" s="73" t="str">
        <f t="shared" si="63"/>
        <v/>
      </c>
      <c r="EZK22" s="73" t="str">
        <f t="shared" si="63"/>
        <v/>
      </c>
      <c r="EZL22" s="73" t="str">
        <f t="shared" si="63"/>
        <v/>
      </c>
      <c r="EZM22" s="73" t="str">
        <f t="shared" si="63"/>
        <v/>
      </c>
      <c r="EZN22" s="73" t="str">
        <f t="shared" si="63"/>
        <v/>
      </c>
      <c r="EZO22" s="73" t="str">
        <f t="shared" si="63"/>
        <v/>
      </c>
      <c r="EZP22" s="73" t="str">
        <f t="shared" si="63"/>
        <v/>
      </c>
      <c r="EZQ22" s="73" t="str">
        <f t="shared" si="63"/>
        <v/>
      </c>
      <c r="EZR22" s="73" t="str">
        <f t="shared" si="63"/>
        <v/>
      </c>
      <c r="EZS22" s="73" t="str">
        <f t="shared" si="63"/>
        <v/>
      </c>
      <c r="EZT22" s="73" t="str">
        <f t="shared" si="63"/>
        <v/>
      </c>
      <c r="EZU22" s="73" t="str">
        <f t="shared" si="63"/>
        <v/>
      </c>
      <c r="EZV22" s="73" t="str">
        <f t="shared" si="63"/>
        <v/>
      </c>
      <c r="EZW22" s="73" t="str">
        <f t="shared" si="63"/>
        <v/>
      </c>
      <c r="EZX22" s="73" t="str">
        <f t="shared" si="63"/>
        <v/>
      </c>
      <c r="EZY22" s="73" t="str">
        <f t="shared" si="63"/>
        <v/>
      </c>
      <c r="EZZ22" s="73" t="str">
        <f t="shared" si="63"/>
        <v/>
      </c>
      <c r="FAA22" s="73" t="str">
        <f t="shared" si="63"/>
        <v/>
      </c>
      <c r="FAB22" s="73" t="str">
        <f t="shared" si="63"/>
        <v/>
      </c>
      <c r="FAC22" s="73" t="str">
        <f t="shared" si="63"/>
        <v/>
      </c>
      <c r="FAD22" s="73" t="str">
        <f t="shared" si="63"/>
        <v/>
      </c>
      <c r="FAE22" s="73" t="str">
        <f t="shared" si="63"/>
        <v/>
      </c>
      <c r="FAF22" s="73" t="str">
        <f t="shared" si="63"/>
        <v/>
      </c>
      <c r="FAG22" s="73" t="str">
        <f t="shared" si="63"/>
        <v/>
      </c>
      <c r="FAH22" s="73" t="str">
        <f t="shared" si="63"/>
        <v/>
      </c>
      <c r="FAI22" s="73" t="str">
        <f t="shared" si="63"/>
        <v/>
      </c>
      <c r="FAJ22" s="73" t="str">
        <f t="shared" si="63"/>
        <v/>
      </c>
      <c r="FAK22" s="73" t="str">
        <f t="shared" si="63"/>
        <v/>
      </c>
      <c r="FAL22" s="73" t="str">
        <f t="shared" si="63"/>
        <v/>
      </c>
      <c r="FAM22" s="73" t="str">
        <f t="shared" si="63"/>
        <v/>
      </c>
      <c r="FAN22" s="73" t="str">
        <f t="shared" si="63"/>
        <v/>
      </c>
      <c r="FAO22" s="73" t="str">
        <f t="shared" si="63"/>
        <v/>
      </c>
      <c r="FAP22" s="73" t="str">
        <f t="shared" si="63"/>
        <v/>
      </c>
      <c r="FAQ22" s="73" t="str">
        <f t="shared" si="63"/>
        <v/>
      </c>
      <c r="FAR22" s="73" t="str">
        <f t="shared" si="63"/>
        <v/>
      </c>
      <c r="FAS22" s="73" t="str">
        <f t="shared" si="63"/>
        <v/>
      </c>
      <c r="FAT22" s="73" t="str">
        <f t="shared" ref="FAT22:FDE22" si="64">IFERROR(AVERAGE(FAT6:FAT21),"")</f>
        <v/>
      </c>
      <c r="FAU22" s="73" t="str">
        <f t="shared" si="64"/>
        <v/>
      </c>
      <c r="FAV22" s="73" t="str">
        <f t="shared" si="64"/>
        <v/>
      </c>
      <c r="FAW22" s="73" t="str">
        <f t="shared" si="64"/>
        <v/>
      </c>
      <c r="FAX22" s="73" t="str">
        <f t="shared" si="64"/>
        <v/>
      </c>
      <c r="FAY22" s="73" t="str">
        <f t="shared" si="64"/>
        <v/>
      </c>
      <c r="FAZ22" s="73" t="str">
        <f t="shared" si="64"/>
        <v/>
      </c>
      <c r="FBA22" s="73" t="str">
        <f t="shared" si="64"/>
        <v/>
      </c>
      <c r="FBB22" s="73" t="str">
        <f t="shared" si="64"/>
        <v/>
      </c>
      <c r="FBC22" s="73" t="str">
        <f t="shared" si="64"/>
        <v/>
      </c>
      <c r="FBD22" s="73" t="str">
        <f t="shared" si="64"/>
        <v/>
      </c>
      <c r="FBE22" s="73" t="str">
        <f t="shared" si="64"/>
        <v/>
      </c>
      <c r="FBF22" s="73" t="str">
        <f t="shared" si="64"/>
        <v/>
      </c>
      <c r="FBG22" s="73" t="str">
        <f t="shared" si="64"/>
        <v/>
      </c>
      <c r="FBH22" s="73" t="str">
        <f t="shared" si="64"/>
        <v/>
      </c>
      <c r="FBI22" s="73" t="str">
        <f t="shared" si="64"/>
        <v/>
      </c>
      <c r="FBJ22" s="73" t="str">
        <f t="shared" si="64"/>
        <v/>
      </c>
      <c r="FBK22" s="73" t="str">
        <f t="shared" si="64"/>
        <v/>
      </c>
      <c r="FBL22" s="73" t="str">
        <f t="shared" si="64"/>
        <v/>
      </c>
      <c r="FBM22" s="73" t="str">
        <f t="shared" si="64"/>
        <v/>
      </c>
      <c r="FBN22" s="73" t="str">
        <f t="shared" si="64"/>
        <v/>
      </c>
      <c r="FBO22" s="73" t="str">
        <f t="shared" si="64"/>
        <v/>
      </c>
      <c r="FBP22" s="73" t="str">
        <f t="shared" si="64"/>
        <v/>
      </c>
      <c r="FBQ22" s="73" t="str">
        <f t="shared" si="64"/>
        <v/>
      </c>
      <c r="FBR22" s="73" t="str">
        <f t="shared" si="64"/>
        <v/>
      </c>
      <c r="FBS22" s="73" t="str">
        <f t="shared" si="64"/>
        <v/>
      </c>
      <c r="FBT22" s="73" t="str">
        <f t="shared" si="64"/>
        <v/>
      </c>
      <c r="FBU22" s="73" t="str">
        <f t="shared" si="64"/>
        <v/>
      </c>
      <c r="FBV22" s="73" t="str">
        <f t="shared" si="64"/>
        <v/>
      </c>
      <c r="FBW22" s="73" t="str">
        <f t="shared" si="64"/>
        <v/>
      </c>
      <c r="FBX22" s="73" t="str">
        <f t="shared" si="64"/>
        <v/>
      </c>
      <c r="FBY22" s="73" t="str">
        <f t="shared" si="64"/>
        <v/>
      </c>
      <c r="FBZ22" s="73" t="str">
        <f t="shared" si="64"/>
        <v/>
      </c>
      <c r="FCA22" s="73" t="str">
        <f t="shared" si="64"/>
        <v/>
      </c>
      <c r="FCB22" s="73" t="str">
        <f t="shared" si="64"/>
        <v/>
      </c>
      <c r="FCC22" s="73" t="str">
        <f t="shared" si="64"/>
        <v/>
      </c>
      <c r="FCD22" s="73" t="str">
        <f t="shared" si="64"/>
        <v/>
      </c>
      <c r="FCE22" s="73" t="str">
        <f t="shared" si="64"/>
        <v/>
      </c>
      <c r="FCF22" s="73" t="str">
        <f t="shared" si="64"/>
        <v/>
      </c>
      <c r="FCG22" s="73" t="str">
        <f t="shared" si="64"/>
        <v/>
      </c>
      <c r="FCH22" s="73" t="str">
        <f t="shared" si="64"/>
        <v/>
      </c>
      <c r="FCI22" s="73" t="str">
        <f t="shared" si="64"/>
        <v/>
      </c>
      <c r="FCJ22" s="73" t="str">
        <f t="shared" si="64"/>
        <v/>
      </c>
      <c r="FCK22" s="73" t="str">
        <f t="shared" si="64"/>
        <v/>
      </c>
      <c r="FCL22" s="73" t="str">
        <f t="shared" si="64"/>
        <v/>
      </c>
      <c r="FCM22" s="73" t="str">
        <f t="shared" si="64"/>
        <v/>
      </c>
      <c r="FCN22" s="73" t="str">
        <f t="shared" si="64"/>
        <v/>
      </c>
      <c r="FCO22" s="73" t="str">
        <f t="shared" si="64"/>
        <v/>
      </c>
      <c r="FCP22" s="73" t="str">
        <f t="shared" si="64"/>
        <v/>
      </c>
      <c r="FCQ22" s="73" t="str">
        <f t="shared" si="64"/>
        <v/>
      </c>
      <c r="FCR22" s="73" t="str">
        <f t="shared" si="64"/>
        <v/>
      </c>
      <c r="FCS22" s="73" t="str">
        <f t="shared" si="64"/>
        <v/>
      </c>
      <c r="FCT22" s="73" t="str">
        <f t="shared" si="64"/>
        <v/>
      </c>
      <c r="FCU22" s="73" t="str">
        <f t="shared" si="64"/>
        <v/>
      </c>
      <c r="FCV22" s="73" t="str">
        <f t="shared" si="64"/>
        <v/>
      </c>
      <c r="FCW22" s="73" t="str">
        <f t="shared" si="64"/>
        <v/>
      </c>
      <c r="FCX22" s="73" t="str">
        <f t="shared" si="64"/>
        <v/>
      </c>
      <c r="FCY22" s="73" t="str">
        <f t="shared" si="64"/>
        <v/>
      </c>
      <c r="FCZ22" s="73" t="str">
        <f t="shared" si="64"/>
        <v/>
      </c>
      <c r="FDA22" s="73" t="str">
        <f t="shared" si="64"/>
        <v/>
      </c>
      <c r="FDB22" s="73" t="str">
        <f t="shared" si="64"/>
        <v/>
      </c>
      <c r="FDC22" s="73" t="str">
        <f t="shared" si="64"/>
        <v/>
      </c>
      <c r="FDD22" s="73" t="str">
        <f t="shared" si="64"/>
        <v/>
      </c>
      <c r="FDE22" s="73" t="str">
        <f t="shared" si="64"/>
        <v/>
      </c>
      <c r="FDF22" s="73" t="str">
        <f t="shared" ref="FDF22:FFQ22" si="65">IFERROR(AVERAGE(FDF6:FDF21),"")</f>
        <v/>
      </c>
      <c r="FDG22" s="73" t="str">
        <f t="shared" si="65"/>
        <v/>
      </c>
      <c r="FDH22" s="73" t="str">
        <f t="shared" si="65"/>
        <v/>
      </c>
      <c r="FDI22" s="73" t="str">
        <f t="shared" si="65"/>
        <v/>
      </c>
      <c r="FDJ22" s="73" t="str">
        <f t="shared" si="65"/>
        <v/>
      </c>
      <c r="FDK22" s="73" t="str">
        <f t="shared" si="65"/>
        <v/>
      </c>
      <c r="FDL22" s="73" t="str">
        <f t="shared" si="65"/>
        <v/>
      </c>
      <c r="FDM22" s="73" t="str">
        <f t="shared" si="65"/>
        <v/>
      </c>
      <c r="FDN22" s="73" t="str">
        <f t="shared" si="65"/>
        <v/>
      </c>
      <c r="FDO22" s="73" t="str">
        <f t="shared" si="65"/>
        <v/>
      </c>
      <c r="FDP22" s="73" t="str">
        <f t="shared" si="65"/>
        <v/>
      </c>
      <c r="FDQ22" s="73" t="str">
        <f t="shared" si="65"/>
        <v/>
      </c>
      <c r="FDR22" s="73" t="str">
        <f t="shared" si="65"/>
        <v/>
      </c>
      <c r="FDS22" s="73" t="str">
        <f t="shared" si="65"/>
        <v/>
      </c>
      <c r="FDT22" s="73" t="str">
        <f t="shared" si="65"/>
        <v/>
      </c>
      <c r="FDU22" s="73" t="str">
        <f t="shared" si="65"/>
        <v/>
      </c>
      <c r="FDV22" s="73" t="str">
        <f t="shared" si="65"/>
        <v/>
      </c>
      <c r="FDW22" s="73" t="str">
        <f t="shared" si="65"/>
        <v/>
      </c>
      <c r="FDX22" s="73" t="str">
        <f t="shared" si="65"/>
        <v/>
      </c>
      <c r="FDY22" s="73" t="str">
        <f t="shared" si="65"/>
        <v/>
      </c>
      <c r="FDZ22" s="73" t="str">
        <f t="shared" si="65"/>
        <v/>
      </c>
      <c r="FEA22" s="73" t="str">
        <f t="shared" si="65"/>
        <v/>
      </c>
      <c r="FEB22" s="73" t="str">
        <f t="shared" si="65"/>
        <v/>
      </c>
      <c r="FEC22" s="73" t="str">
        <f t="shared" si="65"/>
        <v/>
      </c>
      <c r="FED22" s="73" t="str">
        <f t="shared" si="65"/>
        <v/>
      </c>
      <c r="FEE22" s="73" t="str">
        <f t="shared" si="65"/>
        <v/>
      </c>
      <c r="FEF22" s="73" t="str">
        <f t="shared" si="65"/>
        <v/>
      </c>
      <c r="FEG22" s="73" t="str">
        <f t="shared" si="65"/>
        <v/>
      </c>
      <c r="FEH22" s="73" t="str">
        <f t="shared" si="65"/>
        <v/>
      </c>
      <c r="FEI22" s="73" t="str">
        <f t="shared" si="65"/>
        <v/>
      </c>
      <c r="FEJ22" s="73" t="str">
        <f t="shared" si="65"/>
        <v/>
      </c>
      <c r="FEK22" s="73" t="str">
        <f t="shared" si="65"/>
        <v/>
      </c>
      <c r="FEL22" s="73" t="str">
        <f t="shared" si="65"/>
        <v/>
      </c>
      <c r="FEM22" s="73" t="str">
        <f t="shared" si="65"/>
        <v/>
      </c>
      <c r="FEN22" s="73" t="str">
        <f t="shared" si="65"/>
        <v/>
      </c>
      <c r="FEO22" s="73" t="str">
        <f t="shared" si="65"/>
        <v/>
      </c>
      <c r="FEP22" s="73" t="str">
        <f t="shared" si="65"/>
        <v/>
      </c>
      <c r="FEQ22" s="73" t="str">
        <f t="shared" si="65"/>
        <v/>
      </c>
      <c r="FER22" s="73" t="str">
        <f t="shared" si="65"/>
        <v/>
      </c>
      <c r="FES22" s="73" t="str">
        <f t="shared" si="65"/>
        <v/>
      </c>
      <c r="FET22" s="73" t="str">
        <f t="shared" si="65"/>
        <v/>
      </c>
      <c r="FEU22" s="73" t="str">
        <f t="shared" si="65"/>
        <v/>
      </c>
      <c r="FEV22" s="73" t="str">
        <f t="shared" si="65"/>
        <v/>
      </c>
      <c r="FEW22" s="73" t="str">
        <f t="shared" si="65"/>
        <v/>
      </c>
      <c r="FEX22" s="73" t="str">
        <f t="shared" si="65"/>
        <v/>
      </c>
      <c r="FEY22" s="73" t="str">
        <f t="shared" si="65"/>
        <v/>
      </c>
      <c r="FEZ22" s="73" t="str">
        <f t="shared" si="65"/>
        <v/>
      </c>
      <c r="FFA22" s="73" t="str">
        <f t="shared" si="65"/>
        <v/>
      </c>
      <c r="FFB22" s="73" t="str">
        <f t="shared" si="65"/>
        <v/>
      </c>
      <c r="FFC22" s="73" t="str">
        <f t="shared" si="65"/>
        <v/>
      </c>
      <c r="FFD22" s="73" t="str">
        <f t="shared" si="65"/>
        <v/>
      </c>
      <c r="FFE22" s="73" t="str">
        <f t="shared" si="65"/>
        <v/>
      </c>
      <c r="FFF22" s="73" t="str">
        <f t="shared" si="65"/>
        <v/>
      </c>
      <c r="FFG22" s="73" t="str">
        <f t="shared" si="65"/>
        <v/>
      </c>
      <c r="FFH22" s="73" t="str">
        <f t="shared" si="65"/>
        <v/>
      </c>
      <c r="FFI22" s="73" t="str">
        <f t="shared" si="65"/>
        <v/>
      </c>
      <c r="FFJ22" s="73" t="str">
        <f t="shared" si="65"/>
        <v/>
      </c>
      <c r="FFK22" s="73" t="str">
        <f t="shared" si="65"/>
        <v/>
      </c>
      <c r="FFL22" s="73" t="str">
        <f t="shared" si="65"/>
        <v/>
      </c>
      <c r="FFM22" s="73" t="str">
        <f t="shared" si="65"/>
        <v/>
      </c>
      <c r="FFN22" s="73" t="str">
        <f t="shared" si="65"/>
        <v/>
      </c>
      <c r="FFO22" s="73" t="str">
        <f t="shared" si="65"/>
        <v/>
      </c>
      <c r="FFP22" s="73" t="str">
        <f t="shared" si="65"/>
        <v/>
      </c>
      <c r="FFQ22" s="73" t="str">
        <f t="shared" si="65"/>
        <v/>
      </c>
      <c r="FFR22" s="73" t="str">
        <f t="shared" ref="FFR22:FIC22" si="66">IFERROR(AVERAGE(FFR6:FFR21),"")</f>
        <v/>
      </c>
      <c r="FFS22" s="73" t="str">
        <f t="shared" si="66"/>
        <v/>
      </c>
      <c r="FFT22" s="73" t="str">
        <f t="shared" si="66"/>
        <v/>
      </c>
      <c r="FFU22" s="73" t="str">
        <f t="shared" si="66"/>
        <v/>
      </c>
      <c r="FFV22" s="73" t="str">
        <f t="shared" si="66"/>
        <v/>
      </c>
      <c r="FFW22" s="73" t="str">
        <f t="shared" si="66"/>
        <v/>
      </c>
      <c r="FFX22" s="73" t="str">
        <f t="shared" si="66"/>
        <v/>
      </c>
      <c r="FFY22" s="73" t="str">
        <f t="shared" si="66"/>
        <v/>
      </c>
      <c r="FFZ22" s="73" t="str">
        <f t="shared" si="66"/>
        <v/>
      </c>
      <c r="FGA22" s="73" t="str">
        <f t="shared" si="66"/>
        <v/>
      </c>
      <c r="FGB22" s="73" t="str">
        <f t="shared" si="66"/>
        <v/>
      </c>
      <c r="FGC22" s="73" t="str">
        <f t="shared" si="66"/>
        <v/>
      </c>
      <c r="FGD22" s="73" t="str">
        <f t="shared" si="66"/>
        <v/>
      </c>
      <c r="FGE22" s="73" t="str">
        <f t="shared" si="66"/>
        <v/>
      </c>
      <c r="FGF22" s="73" t="str">
        <f t="shared" si="66"/>
        <v/>
      </c>
      <c r="FGG22" s="73" t="str">
        <f t="shared" si="66"/>
        <v/>
      </c>
      <c r="FGH22" s="73" t="str">
        <f t="shared" si="66"/>
        <v/>
      </c>
      <c r="FGI22" s="73" t="str">
        <f t="shared" si="66"/>
        <v/>
      </c>
      <c r="FGJ22" s="73" t="str">
        <f t="shared" si="66"/>
        <v/>
      </c>
      <c r="FGK22" s="73" t="str">
        <f t="shared" si="66"/>
        <v/>
      </c>
      <c r="FGL22" s="73" t="str">
        <f t="shared" si="66"/>
        <v/>
      </c>
      <c r="FGM22" s="73" t="str">
        <f t="shared" si="66"/>
        <v/>
      </c>
      <c r="FGN22" s="73" t="str">
        <f t="shared" si="66"/>
        <v/>
      </c>
      <c r="FGO22" s="73" t="str">
        <f t="shared" si="66"/>
        <v/>
      </c>
      <c r="FGP22" s="73" t="str">
        <f t="shared" si="66"/>
        <v/>
      </c>
      <c r="FGQ22" s="73" t="str">
        <f t="shared" si="66"/>
        <v/>
      </c>
      <c r="FGR22" s="73" t="str">
        <f t="shared" si="66"/>
        <v/>
      </c>
      <c r="FGS22" s="73" t="str">
        <f t="shared" si="66"/>
        <v/>
      </c>
      <c r="FGT22" s="73" t="str">
        <f t="shared" si="66"/>
        <v/>
      </c>
      <c r="FGU22" s="73" t="str">
        <f t="shared" si="66"/>
        <v/>
      </c>
      <c r="FGV22" s="73" t="str">
        <f t="shared" si="66"/>
        <v/>
      </c>
      <c r="FGW22" s="73" t="str">
        <f t="shared" si="66"/>
        <v/>
      </c>
      <c r="FGX22" s="73" t="str">
        <f t="shared" si="66"/>
        <v/>
      </c>
      <c r="FGY22" s="73" t="str">
        <f t="shared" si="66"/>
        <v/>
      </c>
      <c r="FGZ22" s="73" t="str">
        <f t="shared" si="66"/>
        <v/>
      </c>
      <c r="FHA22" s="73" t="str">
        <f t="shared" si="66"/>
        <v/>
      </c>
      <c r="FHB22" s="73" t="str">
        <f t="shared" si="66"/>
        <v/>
      </c>
      <c r="FHC22" s="73" t="str">
        <f t="shared" si="66"/>
        <v/>
      </c>
      <c r="FHD22" s="73" t="str">
        <f t="shared" si="66"/>
        <v/>
      </c>
      <c r="FHE22" s="73" t="str">
        <f t="shared" si="66"/>
        <v/>
      </c>
      <c r="FHF22" s="73" t="str">
        <f t="shared" si="66"/>
        <v/>
      </c>
      <c r="FHG22" s="73" t="str">
        <f t="shared" si="66"/>
        <v/>
      </c>
      <c r="FHH22" s="73" t="str">
        <f t="shared" si="66"/>
        <v/>
      </c>
      <c r="FHI22" s="73" t="str">
        <f t="shared" si="66"/>
        <v/>
      </c>
      <c r="FHJ22" s="73" t="str">
        <f t="shared" si="66"/>
        <v/>
      </c>
      <c r="FHK22" s="73" t="str">
        <f t="shared" si="66"/>
        <v/>
      </c>
      <c r="FHL22" s="73" t="str">
        <f t="shared" si="66"/>
        <v/>
      </c>
      <c r="FHM22" s="73" t="str">
        <f t="shared" si="66"/>
        <v/>
      </c>
      <c r="FHN22" s="73" t="str">
        <f t="shared" si="66"/>
        <v/>
      </c>
      <c r="FHO22" s="73" t="str">
        <f t="shared" si="66"/>
        <v/>
      </c>
      <c r="FHP22" s="73" t="str">
        <f t="shared" si="66"/>
        <v/>
      </c>
      <c r="FHQ22" s="73" t="str">
        <f t="shared" si="66"/>
        <v/>
      </c>
      <c r="FHR22" s="73" t="str">
        <f t="shared" si="66"/>
        <v/>
      </c>
      <c r="FHS22" s="73" t="str">
        <f t="shared" si="66"/>
        <v/>
      </c>
      <c r="FHT22" s="73" t="str">
        <f t="shared" si="66"/>
        <v/>
      </c>
      <c r="FHU22" s="73" t="str">
        <f t="shared" si="66"/>
        <v/>
      </c>
      <c r="FHV22" s="73" t="str">
        <f t="shared" si="66"/>
        <v/>
      </c>
      <c r="FHW22" s="73" t="str">
        <f t="shared" si="66"/>
        <v/>
      </c>
      <c r="FHX22" s="73" t="str">
        <f t="shared" si="66"/>
        <v/>
      </c>
      <c r="FHY22" s="73" t="str">
        <f t="shared" si="66"/>
        <v/>
      </c>
      <c r="FHZ22" s="73" t="str">
        <f t="shared" si="66"/>
        <v/>
      </c>
      <c r="FIA22" s="73" t="str">
        <f t="shared" si="66"/>
        <v/>
      </c>
      <c r="FIB22" s="73" t="str">
        <f t="shared" si="66"/>
        <v/>
      </c>
      <c r="FIC22" s="73" t="str">
        <f t="shared" si="66"/>
        <v/>
      </c>
      <c r="FID22" s="73" t="str">
        <f t="shared" ref="FID22:FKO22" si="67">IFERROR(AVERAGE(FID6:FID21),"")</f>
        <v/>
      </c>
      <c r="FIE22" s="73" t="str">
        <f t="shared" si="67"/>
        <v/>
      </c>
      <c r="FIF22" s="73" t="str">
        <f t="shared" si="67"/>
        <v/>
      </c>
      <c r="FIG22" s="73" t="str">
        <f t="shared" si="67"/>
        <v/>
      </c>
      <c r="FIH22" s="73" t="str">
        <f t="shared" si="67"/>
        <v/>
      </c>
      <c r="FII22" s="73" t="str">
        <f t="shared" si="67"/>
        <v/>
      </c>
      <c r="FIJ22" s="73" t="str">
        <f t="shared" si="67"/>
        <v/>
      </c>
      <c r="FIK22" s="73" t="str">
        <f t="shared" si="67"/>
        <v/>
      </c>
      <c r="FIL22" s="73" t="str">
        <f t="shared" si="67"/>
        <v/>
      </c>
      <c r="FIM22" s="73" t="str">
        <f t="shared" si="67"/>
        <v/>
      </c>
      <c r="FIN22" s="73" t="str">
        <f t="shared" si="67"/>
        <v/>
      </c>
      <c r="FIO22" s="73" t="str">
        <f t="shared" si="67"/>
        <v/>
      </c>
      <c r="FIP22" s="73" t="str">
        <f t="shared" si="67"/>
        <v/>
      </c>
      <c r="FIQ22" s="73" t="str">
        <f t="shared" si="67"/>
        <v/>
      </c>
      <c r="FIR22" s="73" t="str">
        <f t="shared" si="67"/>
        <v/>
      </c>
      <c r="FIS22" s="73" t="str">
        <f t="shared" si="67"/>
        <v/>
      </c>
      <c r="FIT22" s="73" t="str">
        <f t="shared" si="67"/>
        <v/>
      </c>
      <c r="FIU22" s="73" t="str">
        <f t="shared" si="67"/>
        <v/>
      </c>
      <c r="FIV22" s="73" t="str">
        <f t="shared" si="67"/>
        <v/>
      </c>
      <c r="FIW22" s="73" t="str">
        <f t="shared" si="67"/>
        <v/>
      </c>
      <c r="FIX22" s="73" t="str">
        <f t="shared" si="67"/>
        <v/>
      </c>
      <c r="FIY22" s="73" t="str">
        <f t="shared" si="67"/>
        <v/>
      </c>
      <c r="FIZ22" s="73" t="str">
        <f t="shared" si="67"/>
        <v/>
      </c>
      <c r="FJA22" s="73" t="str">
        <f t="shared" si="67"/>
        <v/>
      </c>
      <c r="FJB22" s="73" t="str">
        <f t="shared" si="67"/>
        <v/>
      </c>
      <c r="FJC22" s="73" t="str">
        <f t="shared" si="67"/>
        <v/>
      </c>
      <c r="FJD22" s="73" t="str">
        <f t="shared" si="67"/>
        <v/>
      </c>
      <c r="FJE22" s="73" t="str">
        <f t="shared" si="67"/>
        <v/>
      </c>
      <c r="FJF22" s="73" t="str">
        <f t="shared" si="67"/>
        <v/>
      </c>
      <c r="FJG22" s="73" t="str">
        <f t="shared" si="67"/>
        <v/>
      </c>
      <c r="FJH22" s="73" t="str">
        <f t="shared" si="67"/>
        <v/>
      </c>
      <c r="FJI22" s="73" t="str">
        <f t="shared" si="67"/>
        <v/>
      </c>
      <c r="FJJ22" s="73" t="str">
        <f t="shared" si="67"/>
        <v/>
      </c>
      <c r="FJK22" s="73" t="str">
        <f t="shared" si="67"/>
        <v/>
      </c>
      <c r="FJL22" s="73" t="str">
        <f t="shared" si="67"/>
        <v/>
      </c>
      <c r="FJM22" s="73" t="str">
        <f t="shared" si="67"/>
        <v/>
      </c>
      <c r="FJN22" s="73" t="str">
        <f t="shared" si="67"/>
        <v/>
      </c>
      <c r="FJO22" s="73" t="str">
        <f t="shared" si="67"/>
        <v/>
      </c>
      <c r="FJP22" s="73" t="str">
        <f t="shared" si="67"/>
        <v/>
      </c>
      <c r="FJQ22" s="73" t="str">
        <f t="shared" si="67"/>
        <v/>
      </c>
      <c r="FJR22" s="73" t="str">
        <f t="shared" si="67"/>
        <v/>
      </c>
      <c r="FJS22" s="73" t="str">
        <f t="shared" si="67"/>
        <v/>
      </c>
      <c r="FJT22" s="73" t="str">
        <f t="shared" si="67"/>
        <v/>
      </c>
      <c r="FJU22" s="73" t="str">
        <f t="shared" si="67"/>
        <v/>
      </c>
      <c r="FJV22" s="73" t="str">
        <f t="shared" si="67"/>
        <v/>
      </c>
      <c r="FJW22" s="73" t="str">
        <f t="shared" si="67"/>
        <v/>
      </c>
      <c r="FJX22" s="73" t="str">
        <f t="shared" si="67"/>
        <v/>
      </c>
      <c r="FJY22" s="73" t="str">
        <f t="shared" si="67"/>
        <v/>
      </c>
      <c r="FJZ22" s="73" t="str">
        <f t="shared" si="67"/>
        <v/>
      </c>
      <c r="FKA22" s="73" t="str">
        <f t="shared" si="67"/>
        <v/>
      </c>
      <c r="FKB22" s="73" t="str">
        <f t="shared" si="67"/>
        <v/>
      </c>
      <c r="FKC22" s="73" t="str">
        <f t="shared" si="67"/>
        <v/>
      </c>
      <c r="FKD22" s="73" t="str">
        <f t="shared" si="67"/>
        <v/>
      </c>
      <c r="FKE22" s="73" t="str">
        <f t="shared" si="67"/>
        <v/>
      </c>
      <c r="FKF22" s="73" t="str">
        <f t="shared" si="67"/>
        <v/>
      </c>
      <c r="FKG22" s="73" t="str">
        <f t="shared" si="67"/>
        <v/>
      </c>
      <c r="FKH22" s="73" t="str">
        <f t="shared" si="67"/>
        <v/>
      </c>
      <c r="FKI22" s="73" t="str">
        <f t="shared" si="67"/>
        <v/>
      </c>
      <c r="FKJ22" s="73" t="str">
        <f t="shared" si="67"/>
        <v/>
      </c>
      <c r="FKK22" s="73" t="str">
        <f t="shared" si="67"/>
        <v/>
      </c>
      <c r="FKL22" s="73" t="str">
        <f t="shared" si="67"/>
        <v/>
      </c>
      <c r="FKM22" s="73" t="str">
        <f t="shared" si="67"/>
        <v/>
      </c>
      <c r="FKN22" s="73" t="str">
        <f t="shared" si="67"/>
        <v/>
      </c>
      <c r="FKO22" s="73" t="str">
        <f t="shared" si="67"/>
        <v/>
      </c>
      <c r="FKP22" s="73" t="str">
        <f t="shared" ref="FKP22:FNA22" si="68">IFERROR(AVERAGE(FKP6:FKP21),"")</f>
        <v/>
      </c>
      <c r="FKQ22" s="73" t="str">
        <f t="shared" si="68"/>
        <v/>
      </c>
      <c r="FKR22" s="73" t="str">
        <f t="shared" si="68"/>
        <v/>
      </c>
      <c r="FKS22" s="73" t="str">
        <f t="shared" si="68"/>
        <v/>
      </c>
      <c r="FKT22" s="73" t="str">
        <f t="shared" si="68"/>
        <v/>
      </c>
      <c r="FKU22" s="73" t="str">
        <f t="shared" si="68"/>
        <v/>
      </c>
      <c r="FKV22" s="73" t="str">
        <f t="shared" si="68"/>
        <v/>
      </c>
      <c r="FKW22" s="73" t="str">
        <f t="shared" si="68"/>
        <v/>
      </c>
      <c r="FKX22" s="73" t="str">
        <f t="shared" si="68"/>
        <v/>
      </c>
      <c r="FKY22" s="73" t="str">
        <f t="shared" si="68"/>
        <v/>
      </c>
      <c r="FKZ22" s="73" t="str">
        <f t="shared" si="68"/>
        <v/>
      </c>
      <c r="FLA22" s="73" t="str">
        <f t="shared" si="68"/>
        <v/>
      </c>
      <c r="FLB22" s="73" t="str">
        <f t="shared" si="68"/>
        <v/>
      </c>
      <c r="FLC22" s="73" t="str">
        <f t="shared" si="68"/>
        <v/>
      </c>
      <c r="FLD22" s="73" t="str">
        <f t="shared" si="68"/>
        <v/>
      </c>
      <c r="FLE22" s="73" t="str">
        <f t="shared" si="68"/>
        <v/>
      </c>
      <c r="FLF22" s="73" t="str">
        <f t="shared" si="68"/>
        <v/>
      </c>
      <c r="FLG22" s="73" t="str">
        <f t="shared" si="68"/>
        <v/>
      </c>
      <c r="FLH22" s="73" t="str">
        <f t="shared" si="68"/>
        <v/>
      </c>
      <c r="FLI22" s="73" t="str">
        <f t="shared" si="68"/>
        <v/>
      </c>
      <c r="FLJ22" s="73" t="str">
        <f t="shared" si="68"/>
        <v/>
      </c>
      <c r="FLK22" s="73" t="str">
        <f t="shared" si="68"/>
        <v/>
      </c>
      <c r="FLL22" s="73" t="str">
        <f t="shared" si="68"/>
        <v/>
      </c>
      <c r="FLM22" s="73" t="str">
        <f t="shared" si="68"/>
        <v/>
      </c>
      <c r="FLN22" s="73" t="str">
        <f t="shared" si="68"/>
        <v/>
      </c>
      <c r="FLO22" s="73" t="str">
        <f t="shared" si="68"/>
        <v/>
      </c>
      <c r="FLP22" s="73" t="str">
        <f t="shared" si="68"/>
        <v/>
      </c>
      <c r="FLQ22" s="73" t="str">
        <f t="shared" si="68"/>
        <v/>
      </c>
      <c r="FLR22" s="73" t="str">
        <f t="shared" si="68"/>
        <v/>
      </c>
      <c r="FLS22" s="73" t="str">
        <f t="shared" si="68"/>
        <v/>
      </c>
      <c r="FLT22" s="73" t="str">
        <f t="shared" si="68"/>
        <v/>
      </c>
      <c r="FLU22" s="73" t="str">
        <f t="shared" si="68"/>
        <v/>
      </c>
      <c r="FLV22" s="73" t="str">
        <f t="shared" si="68"/>
        <v/>
      </c>
      <c r="FLW22" s="73" t="str">
        <f t="shared" si="68"/>
        <v/>
      </c>
      <c r="FLX22" s="73" t="str">
        <f t="shared" si="68"/>
        <v/>
      </c>
      <c r="FLY22" s="73" t="str">
        <f t="shared" si="68"/>
        <v/>
      </c>
      <c r="FLZ22" s="73" t="str">
        <f t="shared" si="68"/>
        <v/>
      </c>
      <c r="FMA22" s="73" t="str">
        <f t="shared" si="68"/>
        <v/>
      </c>
      <c r="FMB22" s="73" t="str">
        <f t="shared" si="68"/>
        <v/>
      </c>
      <c r="FMC22" s="73" t="str">
        <f t="shared" si="68"/>
        <v/>
      </c>
      <c r="FMD22" s="73" t="str">
        <f t="shared" si="68"/>
        <v/>
      </c>
      <c r="FME22" s="73" t="str">
        <f t="shared" si="68"/>
        <v/>
      </c>
      <c r="FMF22" s="73" t="str">
        <f t="shared" si="68"/>
        <v/>
      </c>
      <c r="FMG22" s="73" t="str">
        <f t="shared" si="68"/>
        <v/>
      </c>
      <c r="FMH22" s="73" t="str">
        <f t="shared" si="68"/>
        <v/>
      </c>
      <c r="FMI22" s="73" t="str">
        <f t="shared" si="68"/>
        <v/>
      </c>
      <c r="FMJ22" s="73" t="str">
        <f t="shared" si="68"/>
        <v/>
      </c>
      <c r="FMK22" s="73" t="str">
        <f t="shared" si="68"/>
        <v/>
      </c>
      <c r="FML22" s="73" t="str">
        <f t="shared" si="68"/>
        <v/>
      </c>
      <c r="FMM22" s="73" t="str">
        <f t="shared" si="68"/>
        <v/>
      </c>
      <c r="FMN22" s="73" t="str">
        <f t="shared" si="68"/>
        <v/>
      </c>
      <c r="FMO22" s="73" t="str">
        <f t="shared" si="68"/>
        <v/>
      </c>
      <c r="FMP22" s="73" t="str">
        <f t="shared" si="68"/>
        <v/>
      </c>
      <c r="FMQ22" s="73" t="str">
        <f t="shared" si="68"/>
        <v/>
      </c>
      <c r="FMR22" s="73" t="str">
        <f t="shared" si="68"/>
        <v/>
      </c>
      <c r="FMS22" s="73" t="str">
        <f t="shared" si="68"/>
        <v/>
      </c>
      <c r="FMT22" s="73" t="str">
        <f t="shared" si="68"/>
        <v/>
      </c>
      <c r="FMU22" s="73" t="str">
        <f t="shared" si="68"/>
        <v/>
      </c>
      <c r="FMV22" s="73" t="str">
        <f t="shared" si="68"/>
        <v/>
      </c>
      <c r="FMW22" s="73" t="str">
        <f t="shared" si="68"/>
        <v/>
      </c>
      <c r="FMX22" s="73" t="str">
        <f t="shared" si="68"/>
        <v/>
      </c>
      <c r="FMY22" s="73" t="str">
        <f t="shared" si="68"/>
        <v/>
      </c>
      <c r="FMZ22" s="73" t="str">
        <f t="shared" si="68"/>
        <v/>
      </c>
      <c r="FNA22" s="73" t="str">
        <f t="shared" si="68"/>
        <v/>
      </c>
      <c r="FNB22" s="73" t="str">
        <f t="shared" ref="FNB22:FPM22" si="69">IFERROR(AVERAGE(FNB6:FNB21),"")</f>
        <v/>
      </c>
      <c r="FNC22" s="73" t="str">
        <f t="shared" si="69"/>
        <v/>
      </c>
      <c r="FND22" s="73" t="str">
        <f t="shared" si="69"/>
        <v/>
      </c>
      <c r="FNE22" s="73" t="str">
        <f t="shared" si="69"/>
        <v/>
      </c>
      <c r="FNF22" s="73" t="str">
        <f t="shared" si="69"/>
        <v/>
      </c>
      <c r="FNG22" s="73" t="str">
        <f t="shared" si="69"/>
        <v/>
      </c>
      <c r="FNH22" s="73" t="str">
        <f t="shared" si="69"/>
        <v/>
      </c>
      <c r="FNI22" s="73" t="str">
        <f t="shared" si="69"/>
        <v/>
      </c>
      <c r="FNJ22" s="73" t="str">
        <f t="shared" si="69"/>
        <v/>
      </c>
      <c r="FNK22" s="73" t="str">
        <f t="shared" si="69"/>
        <v/>
      </c>
      <c r="FNL22" s="73" t="str">
        <f t="shared" si="69"/>
        <v/>
      </c>
      <c r="FNM22" s="73" t="str">
        <f t="shared" si="69"/>
        <v/>
      </c>
      <c r="FNN22" s="73" t="str">
        <f t="shared" si="69"/>
        <v/>
      </c>
      <c r="FNO22" s="73" t="str">
        <f t="shared" si="69"/>
        <v/>
      </c>
      <c r="FNP22" s="73" t="str">
        <f t="shared" si="69"/>
        <v/>
      </c>
      <c r="FNQ22" s="73" t="str">
        <f t="shared" si="69"/>
        <v/>
      </c>
      <c r="FNR22" s="73" t="str">
        <f t="shared" si="69"/>
        <v/>
      </c>
      <c r="FNS22" s="73" t="str">
        <f t="shared" si="69"/>
        <v/>
      </c>
      <c r="FNT22" s="73" t="str">
        <f t="shared" si="69"/>
        <v/>
      </c>
      <c r="FNU22" s="73" t="str">
        <f t="shared" si="69"/>
        <v/>
      </c>
      <c r="FNV22" s="73" t="str">
        <f t="shared" si="69"/>
        <v/>
      </c>
      <c r="FNW22" s="73" t="str">
        <f t="shared" si="69"/>
        <v/>
      </c>
      <c r="FNX22" s="73" t="str">
        <f t="shared" si="69"/>
        <v/>
      </c>
      <c r="FNY22" s="73" t="str">
        <f t="shared" si="69"/>
        <v/>
      </c>
      <c r="FNZ22" s="73" t="str">
        <f t="shared" si="69"/>
        <v/>
      </c>
      <c r="FOA22" s="73" t="str">
        <f t="shared" si="69"/>
        <v/>
      </c>
      <c r="FOB22" s="73" t="str">
        <f t="shared" si="69"/>
        <v/>
      </c>
      <c r="FOC22" s="73" t="str">
        <f t="shared" si="69"/>
        <v/>
      </c>
      <c r="FOD22" s="73" t="str">
        <f t="shared" si="69"/>
        <v/>
      </c>
      <c r="FOE22" s="73" t="str">
        <f t="shared" si="69"/>
        <v/>
      </c>
      <c r="FOF22" s="73" t="str">
        <f t="shared" si="69"/>
        <v/>
      </c>
      <c r="FOG22" s="73" t="str">
        <f t="shared" si="69"/>
        <v/>
      </c>
      <c r="FOH22" s="73" t="str">
        <f t="shared" si="69"/>
        <v/>
      </c>
      <c r="FOI22" s="73" t="str">
        <f t="shared" si="69"/>
        <v/>
      </c>
      <c r="FOJ22" s="73" t="str">
        <f t="shared" si="69"/>
        <v/>
      </c>
      <c r="FOK22" s="73" t="str">
        <f t="shared" si="69"/>
        <v/>
      </c>
      <c r="FOL22" s="73" t="str">
        <f t="shared" si="69"/>
        <v/>
      </c>
      <c r="FOM22" s="73" t="str">
        <f t="shared" si="69"/>
        <v/>
      </c>
      <c r="FON22" s="73" t="str">
        <f t="shared" si="69"/>
        <v/>
      </c>
      <c r="FOO22" s="73" t="str">
        <f t="shared" si="69"/>
        <v/>
      </c>
      <c r="FOP22" s="73" t="str">
        <f t="shared" si="69"/>
        <v/>
      </c>
      <c r="FOQ22" s="73" t="str">
        <f t="shared" si="69"/>
        <v/>
      </c>
      <c r="FOR22" s="73" t="str">
        <f t="shared" si="69"/>
        <v/>
      </c>
      <c r="FOS22" s="73" t="str">
        <f t="shared" si="69"/>
        <v/>
      </c>
      <c r="FOT22" s="73" t="str">
        <f t="shared" si="69"/>
        <v/>
      </c>
      <c r="FOU22" s="73" t="str">
        <f t="shared" si="69"/>
        <v/>
      </c>
      <c r="FOV22" s="73" t="str">
        <f t="shared" si="69"/>
        <v/>
      </c>
      <c r="FOW22" s="73" t="str">
        <f t="shared" si="69"/>
        <v/>
      </c>
      <c r="FOX22" s="73" t="str">
        <f t="shared" si="69"/>
        <v/>
      </c>
      <c r="FOY22" s="73" t="str">
        <f t="shared" si="69"/>
        <v/>
      </c>
      <c r="FOZ22" s="73" t="str">
        <f t="shared" si="69"/>
        <v/>
      </c>
      <c r="FPA22" s="73" t="str">
        <f t="shared" si="69"/>
        <v/>
      </c>
      <c r="FPB22" s="73" t="str">
        <f t="shared" si="69"/>
        <v/>
      </c>
      <c r="FPC22" s="73" t="str">
        <f t="shared" si="69"/>
        <v/>
      </c>
      <c r="FPD22" s="73" t="str">
        <f t="shared" si="69"/>
        <v/>
      </c>
      <c r="FPE22" s="73" t="str">
        <f t="shared" si="69"/>
        <v/>
      </c>
      <c r="FPF22" s="73" t="str">
        <f t="shared" si="69"/>
        <v/>
      </c>
      <c r="FPG22" s="73" t="str">
        <f t="shared" si="69"/>
        <v/>
      </c>
      <c r="FPH22" s="73" t="str">
        <f t="shared" si="69"/>
        <v/>
      </c>
      <c r="FPI22" s="73" t="str">
        <f t="shared" si="69"/>
        <v/>
      </c>
      <c r="FPJ22" s="73" t="str">
        <f t="shared" si="69"/>
        <v/>
      </c>
      <c r="FPK22" s="73" t="str">
        <f t="shared" si="69"/>
        <v/>
      </c>
      <c r="FPL22" s="73" t="str">
        <f t="shared" si="69"/>
        <v/>
      </c>
      <c r="FPM22" s="73" t="str">
        <f t="shared" si="69"/>
        <v/>
      </c>
      <c r="FPN22" s="73" t="str">
        <f t="shared" ref="FPN22:FRY22" si="70">IFERROR(AVERAGE(FPN6:FPN21),"")</f>
        <v/>
      </c>
      <c r="FPO22" s="73" t="str">
        <f t="shared" si="70"/>
        <v/>
      </c>
      <c r="FPP22" s="73" t="str">
        <f t="shared" si="70"/>
        <v/>
      </c>
      <c r="FPQ22" s="73" t="str">
        <f t="shared" si="70"/>
        <v/>
      </c>
      <c r="FPR22" s="73" t="str">
        <f t="shared" si="70"/>
        <v/>
      </c>
      <c r="FPS22" s="73" t="str">
        <f t="shared" si="70"/>
        <v/>
      </c>
      <c r="FPT22" s="73" t="str">
        <f t="shared" si="70"/>
        <v/>
      </c>
      <c r="FPU22" s="73" t="str">
        <f t="shared" si="70"/>
        <v/>
      </c>
      <c r="FPV22" s="73" t="str">
        <f t="shared" si="70"/>
        <v/>
      </c>
      <c r="FPW22" s="73" t="str">
        <f t="shared" si="70"/>
        <v/>
      </c>
      <c r="FPX22" s="73" t="str">
        <f t="shared" si="70"/>
        <v/>
      </c>
      <c r="FPY22" s="73" t="str">
        <f t="shared" si="70"/>
        <v/>
      </c>
      <c r="FPZ22" s="73" t="str">
        <f t="shared" si="70"/>
        <v/>
      </c>
      <c r="FQA22" s="73" t="str">
        <f t="shared" si="70"/>
        <v/>
      </c>
      <c r="FQB22" s="73" t="str">
        <f t="shared" si="70"/>
        <v/>
      </c>
      <c r="FQC22" s="73" t="str">
        <f t="shared" si="70"/>
        <v/>
      </c>
      <c r="FQD22" s="73" t="str">
        <f t="shared" si="70"/>
        <v/>
      </c>
      <c r="FQE22" s="73" t="str">
        <f t="shared" si="70"/>
        <v/>
      </c>
      <c r="FQF22" s="73" t="str">
        <f t="shared" si="70"/>
        <v/>
      </c>
      <c r="FQG22" s="73" t="str">
        <f t="shared" si="70"/>
        <v/>
      </c>
      <c r="FQH22" s="73" t="str">
        <f t="shared" si="70"/>
        <v/>
      </c>
      <c r="FQI22" s="73" t="str">
        <f t="shared" si="70"/>
        <v/>
      </c>
      <c r="FQJ22" s="73" t="str">
        <f t="shared" si="70"/>
        <v/>
      </c>
      <c r="FQK22" s="73" t="str">
        <f t="shared" si="70"/>
        <v/>
      </c>
      <c r="FQL22" s="73" t="str">
        <f t="shared" si="70"/>
        <v/>
      </c>
      <c r="FQM22" s="73" t="str">
        <f t="shared" si="70"/>
        <v/>
      </c>
      <c r="FQN22" s="73" t="str">
        <f t="shared" si="70"/>
        <v/>
      </c>
      <c r="FQO22" s="73" t="str">
        <f t="shared" si="70"/>
        <v/>
      </c>
      <c r="FQP22" s="73" t="str">
        <f t="shared" si="70"/>
        <v/>
      </c>
      <c r="FQQ22" s="73" t="str">
        <f t="shared" si="70"/>
        <v/>
      </c>
      <c r="FQR22" s="73" t="str">
        <f t="shared" si="70"/>
        <v/>
      </c>
      <c r="FQS22" s="73" t="str">
        <f t="shared" si="70"/>
        <v/>
      </c>
      <c r="FQT22" s="73" t="str">
        <f t="shared" si="70"/>
        <v/>
      </c>
      <c r="FQU22" s="73" t="str">
        <f t="shared" si="70"/>
        <v/>
      </c>
      <c r="FQV22" s="73" t="str">
        <f t="shared" si="70"/>
        <v/>
      </c>
      <c r="FQW22" s="73" t="str">
        <f t="shared" si="70"/>
        <v/>
      </c>
      <c r="FQX22" s="73" t="str">
        <f t="shared" si="70"/>
        <v/>
      </c>
      <c r="FQY22" s="73" t="str">
        <f t="shared" si="70"/>
        <v/>
      </c>
      <c r="FQZ22" s="73" t="str">
        <f t="shared" si="70"/>
        <v/>
      </c>
      <c r="FRA22" s="73" t="str">
        <f t="shared" si="70"/>
        <v/>
      </c>
      <c r="FRB22" s="73" t="str">
        <f t="shared" si="70"/>
        <v/>
      </c>
      <c r="FRC22" s="73" t="str">
        <f t="shared" si="70"/>
        <v/>
      </c>
      <c r="FRD22" s="73" t="str">
        <f t="shared" si="70"/>
        <v/>
      </c>
      <c r="FRE22" s="73" t="str">
        <f t="shared" si="70"/>
        <v/>
      </c>
      <c r="FRF22" s="73" t="str">
        <f t="shared" si="70"/>
        <v/>
      </c>
      <c r="FRG22" s="73" t="str">
        <f t="shared" si="70"/>
        <v/>
      </c>
      <c r="FRH22" s="73" t="str">
        <f t="shared" si="70"/>
        <v/>
      </c>
      <c r="FRI22" s="73" t="str">
        <f t="shared" si="70"/>
        <v/>
      </c>
      <c r="FRJ22" s="73" t="str">
        <f t="shared" si="70"/>
        <v/>
      </c>
      <c r="FRK22" s="73" t="str">
        <f t="shared" si="70"/>
        <v/>
      </c>
      <c r="FRL22" s="73" t="str">
        <f t="shared" si="70"/>
        <v/>
      </c>
      <c r="FRM22" s="73" t="str">
        <f t="shared" si="70"/>
        <v/>
      </c>
      <c r="FRN22" s="73" t="str">
        <f t="shared" si="70"/>
        <v/>
      </c>
      <c r="FRO22" s="73" t="str">
        <f t="shared" si="70"/>
        <v/>
      </c>
      <c r="FRP22" s="73" t="str">
        <f t="shared" si="70"/>
        <v/>
      </c>
      <c r="FRQ22" s="73" t="str">
        <f t="shared" si="70"/>
        <v/>
      </c>
      <c r="FRR22" s="73" t="str">
        <f t="shared" si="70"/>
        <v/>
      </c>
      <c r="FRS22" s="73" t="str">
        <f t="shared" si="70"/>
        <v/>
      </c>
      <c r="FRT22" s="73" t="str">
        <f t="shared" si="70"/>
        <v/>
      </c>
      <c r="FRU22" s="73" t="str">
        <f t="shared" si="70"/>
        <v/>
      </c>
      <c r="FRV22" s="73" t="str">
        <f t="shared" si="70"/>
        <v/>
      </c>
      <c r="FRW22" s="73" t="str">
        <f t="shared" si="70"/>
        <v/>
      </c>
      <c r="FRX22" s="73" t="str">
        <f t="shared" si="70"/>
        <v/>
      </c>
      <c r="FRY22" s="73" t="str">
        <f t="shared" si="70"/>
        <v/>
      </c>
      <c r="FRZ22" s="73" t="str">
        <f t="shared" ref="FRZ22:FUK22" si="71">IFERROR(AVERAGE(FRZ6:FRZ21),"")</f>
        <v/>
      </c>
      <c r="FSA22" s="73" t="str">
        <f t="shared" si="71"/>
        <v/>
      </c>
      <c r="FSB22" s="73" t="str">
        <f t="shared" si="71"/>
        <v/>
      </c>
      <c r="FSC22" s="73" t="str">
        <f t="shared" si="71"/>
        <v/>
      </c>
      <c r="FSD22" s="73" t="str">
        <f t="shared" si="71"/>
        <v/>
      </c>
      <c r="FSE22" s="73" t="str">
        <f t="shared" si="71"/>
        <v/>
      </c>
      <c r="FSF22" s="73" t="str">
        <f t="shared" si="71"/>
        <v/>
      </c>
      <c r="FSG22" s="73" t="str">
        <f t="shared" si="71"/>
        <v/>
      </c>
      <c r="FSH22" s="73" t="str">
        <f t="shared" si="71"/>
        <v/>
      </c>
      <c r="FSI22" s="73" t="str">
        <f t="shared" si="71"/>
        <v/>
      </c>
      <c r="FSJ22" s="73" t="str">
        <f t="shared" si="71"/>
        <v/>
      </c>
      <c r="FSK22" s="73" t="str">
        <f t="shared" si="71"/>
        <v/>
      </c>
      <c r="FSL22" s="73" t="str">
        <f t="shared" si="71"/>
        <v/>
      </c>
      <c r="FSM22" s="73" t="str">
        <f t="shared" si="71"/>
        <v/>
      </c>
      <c r="FSN22" s="73" t="str">
        <f t="shared" si="71"/>
        <v/>
      </c>
      <c r="FSO22" s="73" t="str">
        <f t="shared" si="71"/>
        <v/>
      </c>
      <c r="FSP22" s="73" t="str">
        <f t="shared" si="71"/>
        <v/>
      </c>
      <c r="FSQ22" s="73" t="str">
        <f t="shared" si="71"/>
        <v/>
      </c>
      <c r="FSR22" s="73" t="str">
        <f t="shared" si="71"/>
        <v/>
      </c>
      <c r="FSS22" s="73" t="str">
        <f t="shared" si="71"/>
        <v/>
      </c>
      <c r="FST22" s="73" t="str">
        <f t="shared" si="71"/>
        <v/>
      </c>
      <c r="FSU22" s="73" t="str">
        <f t="shared" si="71"/>
        <v/>
      </c>
      <c r="FSV22" s="73" t="str">
        <f t="shared" si="71"/>
        <v/>
      </c>
      <c r="FSW22" s="73" t="str">
        <f t="shared" si="71"/>
        <v/>
      </c>
      <c r="FSX22" s="73" t="str">
        <f t="shared" si="71"/>
        <v/>
      </c>
      <c r="FSY22" s="73" t="str">
        <f t="shared" si="71"/>
        <v/>
      </c>
      <c r="FSZ22" s="73" t="str">
        <f t="shared" si="71"/>
        <v/>
      </c>
      <c r="FTA22" s="73" t="str">
        <f t="shared" si="71"/>
        <v/>
      </c>
      <c r="FTB22" s="73" t="str">
        <f t="shared" si="71"/>
        <v/>
      </c>
      <c r="FTC22" s="73" t="str">
        <f t="shared" si="71"/>
        <v/>
      </c>
      <c r="FTD22" s="73" t="str">
        <f t="shared" si="71"/>
        <v/>
      </c>
      <c r="FTE22" s="73" t="str">
        <f t="shared" si="71"/>
        <v/>
      </c>
      <c r="FTF22" s="73" t="str">
        <f t="shared" si="71"/>
        <v/>
      </c>
      <c r="FTG22" s="73" t="str">
        <f t="shared" si="71"/>
        <v/>
      </c>
      <c r="FTH22" s="73" t="str">
        <f t="shared" si="71"/>
        <v/>
      </c>
      <c r="FTI22" s="73" t="str">
        <f t="shared" si="71"/>
        <v/>
      </c>
      <c r="FTJ22" s="73" t="str">
        <f t="shared" si="71"/>
        <v/>
      </c>
      <c r="FTK22" s="73" t="str">
        <f t="shared" si="71"/>
        <v/>
      </c>
      <c r="FTL22" s="73" t="str">
        <f t="shared" si="71"/>
        <v/>
      </c>
      <c r="FTM22" s="73" t="str">
        <f t="shared" si="71"/>
        <v/>
      </c>
      <c r="FTN22" s="73" t="str">
        <f t="shared" si="71"/>
        <v/>
      </c>
      <c r="FTO22" s="73" t="str">
        <f t="shared" si="71"/>
        <v/>
      </c>
      <c r="FTP22" s="73" t="str">
        <f t="shared" si="71"/>
        <v/>
      </c>
      <c r="FTQ22" s="73" t="str">
        <f t="shared" si="71"/>
        <v/>
      </c>
      <c r="FTR22" s="73" t="str">
        <f t="shared" si="71"/>
        <v/>
      </c>
      <c r="FTS22" s="73" t="str">
        <f t="shared" si="71"/>
        <v/>
      </c>
      <c r="FTT22" s="73" t="str">
        <f t="shared" si="71"/>
        <v/>
      </c>
      <c r="FTU22" s="73" t="str">
        <f t="shared" si="71"/>
        <v/>
      </c>
      <c r="FTV22" s="73" t="str">
        <f t="shared" si="71"/>
        <v/>
      </c>
      <c r="FTW22" s="73" t="str">
        <f t="shared" si="71"/>
        <v/>
      </c>
      <c r="FTX22" s="73" t="str">
        <f t="shared" si="71"/>
        <v/>
      </c>
      <c r="FTY22" s="73" t="str">
        <f t="shared" si="71"/>
        <v/>
      </c>
      <c r="FTZ22" s="73" t="str">
        <f t="shared" si="71"/>
        <v/>
      </c>
      <c r="FUA22" s="73" t="str">
        <f t="shared" si="71"/>
        <v/>
      </c>
      <c r="FUB22" s="73" t="str">
        <f t="shared" si="71"/>
        <v/>
      </c>
      <c r="FUC22" s="73" t="str">
        <f t="shared" si="71"/>
        <v/>
      </c>
      <c r="FUD22" s="73" t="str">
        <f t="shared" si="71"/>
        <v/>
      </c>
      <c r="FUE22" s="73" t="str">
        <f t="shared" si="71"/>
        <v/>
      </c>
      <c r="FUF22" s="73" t="str">
        <f t="shared" si="71"/>
        <v/>
      </c>
      <c r="FUG22" s="73" t="str">
        <f t="shared" si="71"/>
        <v/>
      </c>
      <c r="FUH22" s="73" t="str">
        <f t="shared" si="71"/>
        <v/>
      </c>
      <c r="FUI22" s="73" t="str">
        <f t="shared" si="71"/>
        <v/>
      </c>
      <c r="FUJ22" s="73" t="str">
        <f t="shared" si="71"/>
        <v/>
      </c>
      <c r="FUK22" s="73" t="str">
        <f t="shared" si="71"/>
        <v/>
      </c>
      <c r="FUL22" s="73" t="str">
        <f t="shared" ref="FUL22:FWW22" si="72">IFERROR(AVERAGE(FUL6:FUL21),"")</f>
        <v/>
      </c>
      <c r="FUM22" s="73" t="str">
        <f t="shared" si="72"/>
        <v/>
      </c>
      <c r="FUN22" s="73" t="str">
        <f t="shared" si="72"/>
        <v/>
      </c>
      <c r="FUO22" s="73" t="str">
        <f t="shared" si="72"/>
        <v/>
      </c>
      <c r="FUP22" s="73" t="str">
        <f t="shared" si="72"/>
        <v/>
      </c>
      <c r="FUQ22" s="73" t="str">
        <f t="shared" si="72"/>
        <v/>
      </c>
      <c r="FUR22" s="73" t="str">
        <f t="shared" si="72"/>
        <v/>
      </c>
      <c r="FUS22" s="73" t="str">
        <f t="shared" si="72"/>
        <v/>
      </c>
      <c r="FUT22" s="73" t="str">
        <f t="shared" si="72"/>
        <v/>
      </c>
      <c r="FUU22" s="73" t="str">
        <f t="shared" si="72"/>
        <v/>
      </c>
      <c r="FUV22" s="73" t="str">
        <f t="shared" si="72"/>
        <v/>
      </c>
      <c r="FUW22" s="73" t="str">
        <f t="shared" si="72"/>
        <v/>
      </c>
      <c r="FUX22" s="73" t="str">
        <f t="shared" si="72"/>
        <v/>
      </c>
      <c r="FUY22" s="73" t="str">
        <f t="shared" si="72"/>
        <v/>
      </c>
      <c r="FUZ22" s="73" t="str">
        <f t="shared" si="72"/>
        <v/>
      </c>
      <c r="FVA22" s="73" t="str">
        <f t="shared" si="72"/>
        <v/>
      </c>
      <c r="FVB22" s="73" t="str">
        <f t="shared" si="72"/>
        <v/>
      </c>
      <c r="FVC22" s="73" t="str">
        <f t="shared" si="72"/>
        <v/>
      </c>
      <c r="FVD22" s="73" t="str">
        <f t="shared" si="72"/>
        <v/>
      </c>
      <c r="FVE22" s="73" t="str">
        <f t="shared" si="72"/>
        <v/>
      </c>
      <c r="FVF22" s="73" t="str">
        <f t="shared" si="72"/>
        <v/>
      </c>
      <c r="FVG22" s="73" t="str">
        <f t="shared" si="72"/>
        <v/>
      </c>
      <c r="FVH22" s="73" t="str">
        <f t="shared" si="72"/>
        <v/>
      </c>
      <c r="FVI22" s="73" t="str">
        <f t="shared" si="72"/>
        <v/>
      </c>
      <c r="FVJ22" s="73" t="str">
        <f t="shared" si="72"/>
        <v/>
      </c>
      <c r="FVK22" s="73" t="str">
        <f t="shared" si="72"/>
        <v/>
      </c>
      <c r="FVL22" s="73" t="str">
        <f t="shared" si="72"/>
        <v/>
      </c>
      <c r="FVM22" s="73" t="str">
        <f t="shared" si="72"/>
        <v/>
      </c>
      <c r="FVN22" s="73" t="str">
        <f t="shared" si="72"/>
        <v/>
      </c>
      <c r="FVO22" s="73" t="str">
        <f t="shared" si="72"/>
        <v/>
      </c>
      <c r="FVP22" s="73" t="str">
        <f t="shared" si="72"/>
        <v/>
      </c>
      <c r="FVQ22" s="73" t="str">
        <f t="shared" si="72"/>
        <v/>
      </c>
      <c r="FVR22" s="73" t="str">
        <f t="shared" si="72"/>
        <v/>
      </c>
      <c r="FVS22" s="73" t="str">
        <f t="shared" si="72"/>
        <v/>
      </c>
      <c r="FVT22" s="73" t="str">
        <f t="shared" si="72"/>
        <v/>
      </c>
      <c r="FVU22" s="73" t="str">
        <f t="shared" si="72"/>
        <v/>
      </c>
      <c r="FVV22" s="73" t="str">
        <f t="shared" si="72"/>
        <v/>
      </c>
      <c r="FVW22" s="73" t="str">
        <f t="shared" si="72"/>
        <v/>
      </c>
      <c r="FVX22" s="73" t="str">
        <f t="shared" si="72"/>
        <v/>
      </c>
      <c r="FVY22" s="73" t="str">
        <f t="shared" si="72"/>
        <v/>
      </c>
      <c r="FVZ22" s="73" t="str">
        <f t="shared" si="72"/>
        <v/>
      </c>
      <c r="FWA22" s="73" t="str">
        <f t="shared" si="72"/>
        <v/>
      </c>
      <c r="FWB22" s="73" t="str">
        <f t="shared" si="72"/>
        <v/>
      </c>
      <c r="FWC22" s="73" t="str">
        <f t="shared" si="72"/>
        <v/>
      </c>
      <c r="FWD22" s="73" t="str">
        <f t="shared" si="72"/>
        <v/>
      </c>
      <c r="FWE22" s="73" t="str">
        <f t="shared" si="72"/>
        <v/>
      </c>
      <c r="FWF22" s="73" t="str">
        <f t="shared" si="72"/>
        <v/>
      </c>
      <c r="FWG22" s="73" t="str">
        <f t="shared" si="72"/>
        <v/>
      </c>
      <c r="FWH22" s="73" t="str">
        <f t="shared" si="72"/>
        <v/>
      </c>
      <c r="FWI22" s="73" t="str">
        <f t="shared" si="72"/>
        <v/>
      </c>
      <c r="FWJ22" s="73" t="str">
        <f t="shared" si="72"/>
        <v/>
      </c>
      <c r="FWK22" s="73" t="str">
        <f t="shared" si="72"/>
        <v/>
      </c>
      <c r="FWL22" s="73" t="str">
        <f t="shared" si="72"/>
        <v/>
      </c>
      <c r="FWM22" s="73" t="str">
        <f t="shared" si="72"/>
        <v/>
      </c>
      <c r="FWN22" s="73" t="str">
        <f t="shared" si="72"/>
        <v/>
      </c>
      <c r="FWO22" s="73" t="str">
        <f t="shared" si="72"/>
        <v/>
      </c>
      <c r="FWP22" s="73" t="str">
        <f t="shared" si="72"/>
        <v/>
      </c>
      <c r="FWQ22" s="73" t="str">
        <f t="shared" si="72"/>
        <v/>
      </c>
      <c r="FWR22" s="73" t="str">
        <f t="shared" si="72"/>
        <v/>
      </c>
      <c r="FWS22" s="73" t="str">
        <f t="shared" si="72"/>
        <v/>
      </c>
      <c r="FWT22" s="73" t="str">
        <f t="shared" si="72"/>
        <v/>
      </c>
      <c r="FWU22" s="73" t="str">
        <f t="shared" si="72"/>
        <v/>
      </c>
      <c r="FWV22" s="73" t="str">
        <f t="shared" si="72"/>
        <v/>
      </c>
      <c r="FWW22" s="73" t="str">
        <f t="shared" si="72"/>
        <v/>
      </c>
      <c r="FWX22" s="73" t="str">
        <f t="shared" ref="FWX22:FZI22" si="73">IFERROR(AVERAGE(FWX6:FWX21),"")</f>
        <v/>
      </c>
      <c r="FWY22" s="73" t="str">
        <f t="shared" si="73"/>
        <v/>
      </c>
      <c r="FWZ22" s="73" t="str">
        <f t="shared" si="73"/>
        <v/>
      </c>
      <c r="FXA22" s="73" t="str">
        <f t="shared" si="73"/>
        <v/>
      </c>
      <c r="FXB22" s="73" t="str">
        <f t="shared" si="73"/>
        <v/>
      </c>
      <c r="FXC22" s="73" t="str">
        <f t="shared" si="73"/>
        <v/>
      </c>
      <c r="FXD22" s="73" t="str">
        <f t="shared" si="73"/>
        <v/>
      </c>
      <c r="FXE22" s="73" t="str">
        <f t="shared" si="73"/>
        <v/>
      </c>
      <c r="FXF22" s="73" t="str">
        <f t="shared" si="73"/>
        <v/>
      </c>
      <c r="FXG22" s="73" t="str">
        <f t="shared" si="73"/>
        <v/>
      </c>
      <c r="FXH22" s="73" t="str">
        <f t="shared" si="73"/>
        <v/>
      </c>
      <c r="FXI22" s="73" t="str">
        <f t="shared" si="73"/>
        <v/>
      </c>
      <c r="FXJ22" s="73" t="str">
        <f t="shared" si="73"/>
        <v/>
      </c>
      <c r="FXK22" s="73" t="str">
        <f t="shared" si="73"/>
        <v/>
      </c>
      <c r="FXL22" s="73" t="str">
        <f t="shared" si="73"/>
        <v/>
      </c>
      <c r="FXM22" s="73" t="str">
        <f t="shared" si="73"/>
        <v/>
      </c>
      <c r="FXN22" s="73" t="str">
        <f t="shared" si="73"/>
        <v/>
      </c>
      <c r="FXO22" s="73" t="str">
        <f t="shared" si="73"/>
        <v/>
      </c>
      <c r="FXP22" s="73" t="str">
        <f t="shared" si="73"/>
        <v/>
      </c>
      <c r="FXQ22" s="73" t="str">
        <f t="shared" si="73"/>
        <v/>
      </c>
      <c r="FXR22" s="73" t="str">
        <f t="shared" si="73"/>
        <v/>
      </c>
      <c r="FXS22" s="73" t="str">
        <f t="shared" si="73"/>
        <v/>
      </c>
      <c r="FXT22" s="73" t="str">
        <f t="shared" si="73"/>
        <v/>
      </c>
      <c r="FXU22" s="73" t="str">
        <f t="shared" si="73"/>
        <v/>
      </c>
      <c r="FXV22" s="73" t="str">
        <f t="shared" si="73"/>
        <v/>
      </c>
      <c r="FXW22" s="73" t="str">
        <f t="shared" si="73"/>
        <v/>
      </c>
      <c r="FXX22" s="73" t="str">
        <f t="shared" si="73"/>
        <v/>
      </c>
      <c r="FXY22" s="73" t="str">
        <f t="shared" si="73"/>
        <v/>
      </c>
      <c r="FXZ22" s="73" t="str">
        <f t="shared" si="73"/>
        <v/>
      </c>
      <c r="FYA22" s="73" t="str">
        <f t="shared" si="73"/>
        <v/>
      </c>
      <c r="FYB22" s="73" t="str">
        <f t="shared" si="73"/>
        <v/>
      </c>
      <c r="FYC22" s="73" t="str">
        <f t="shared" si="73"/>
        <v/>
      </c>
      <c r="FYD22" s="73" t="str">
        <f t="shared" si="73"/>
        <v/>
      </c>
      <c r="FYE22" s="73" t="str">
        <f t="shared" si="73"/>
        <v/>
      </c>
      <c r="FYF22" s="73" t="str">
        <f t="shared" si="73"/>
        <v/>
      </c>
      <c r="FYG22" s="73" t="str">
        <f t="shared" si="73"/>
        <v/>
      </c>
      <c r="FYH22" s="73" t="str">
        <f t="shared" si="73"/>
        <v/>
      </c>
      <c r="FYI22" s="73" t="str">
        <f t="shared" si="73"/>
        <v/>
      </c>
      <c r="FYJ22" s="73" t="str">
        <f t="shared" si="73"/>
        <v/>
      </c>
      <c r="FYK22" s="73" t="str">
        <f t="shared" si="73"/>
        <v/>
      </c>
      <c r="FYL22" s="73" t="str">
        <f t="shared" si="73"/>
        <v/>
      </c>
      <c r="FYM22" s="73" t="str">
        <f t="shared" si="73"/>
        <v/>
      </c>
      <c r="FYN22" s="73" t="str">
        <f t="shared" si="73"/>
        <v/>
      </c>
      <c r="FYO22" s="73" t="str">
        <f t="shared" si="73"/>
        <v/>
      </c>
      <c r="FYP22" s="73" t="str">
        <f t="shared" si="73"/>
        <v/>
      </c>
      <c r="FYQ22" s="73" t="str">
        <f t="shared" si="73"/>
        <v/>
      </c>
      <c r="FYR22" s="73" t="str">
        <f t="shared" si="73"/>
        <v/>
      </c>
      <c r="FYS22" s="73" t="str">
        <f t="shared" si="73"/>
        <v/>
      </c>
      <c r="FYT22" s="73" t="str">
        <f t="shared" si="73"/>
        <v/>
      </c>
      <c r="FYU22" s="73" t="str">
        <f t="shared" si="73"/>
        <v/>
      </c>
      <c r="FYV22" s="73" t="str">
        <f t="shared" si="73"/>
        <v/>
      </c>
      <c r="FYW22" s="73" t="str">
        <f t="shared" si="73"/>
        <v/>
      </c>
      <c r="FYX22" s="73" t="str">
        <f t="shared" si="73"/>
        <v/>
      </c>
      <c r="FYY22" s="73" t="str">
        <f t="shared" si="73"/>
        <v/>
      </c>
      <c r="FYZ22" s="73" t="str">
        <f t="shared" si="73"/>
        <v/>
      </c>
      <c r="FZA22" s="73" t="str">
        <f t="shared" si="73"/>
        <v/>
      </c>
      <c r="FZB22" s="73" t="str">
        <f t="shared" si="73"/>
        <v/>
      </c>
      <c r="FZC22" s="73" t="str">
        <f t="shared" si="73"/>
        <v/>
      </c>
      <c r="FZD22" s="73" t="str">
        <f t="shared" si="73"/>
        <v/>
      </c>
      <c r="FZE22" s="73" t="str">
        <f t="shared" si="73"/>
        <v/>
      </c>
      <c r="FZF22" s="73" t="str">
        <f t="shared" si="73"/>
        <v/>
      </c>
      <c r="FZG22" s="73" t="str">
        <f t="shared" si="73"/>
        <v/>
      </c>
      <c r="FZH22" s="73" t="str">
        <f t="shared" si="73"/>
        <v/>
      </c>
      <c r="FZI22" s="73" t="str">
        <f t="shared" si="73"/>
        <v/>
      </c>
      <c r="FZJ22" s="73" t="str">
        <f t="shared" ref="FZJ22:GBU22" si="74">IFERROR(AVERAGE(FZJ6:FZJ21),"")</f>
        <v/>
      </c>
      <c r="FZK22" s="73" t="str">
        <f t="shared" si="74"/>
        <v/>
      </c>
      <c r="FZL22" s="73" t="str">
        <f t="shared" si="74"/>
        <v/>
      </c>
      <c r="FZM22" s="73" t="str">
        <f t="shared" si="74"/>
        <v/>
      </c>
      <c r="FZN22" s="73" t="str">
        <f t="shared" si="74"/>
        <v/>
      </c>
      <c r="FZO22" s="73" t="str">
        <f t="shared" si="74"/>
        <v/>
      </c>
      <c r="FZP22" s="73" t="str">
        <f t="shared" si="74"/>
        <v/>
      </c>
      <c r="FZQ22" s="73" t="str">
        <f t="shared" si="74"/>
        <v/>
      </c>
      <c r="FZR22" s="73" t="str">
        <f t="shared" si="74"/>
        <v/>
      </c>
      <c r="FZS22" s="73" t="str">
        <f t="shared" si="74"/>
        <v/>
      </c>
      <c r="FZT22" s="73" t="str">
        <f t="shared" si="74"/>
        <v/>
      </c>
      <c r="FZU22" s="73" t="str">
        <f t="shared" si="74"/>
        <v/>
      </c>
      <c r="FZV22" s="73" t="str">
        <f t="shared" si="74"/>
        <v/>
      </c>
      <c r="FZW22" s="73" t="str">
        <f t="shared" si="74"/>
        <v/>
      </c>
      <c r="FZX22" s="73" t="str">
        <f t="shared" si="74"/>
        <v/>
      </c>
      <c r="FZY22" s="73" t="str">
        <f t="shared" si="74"/>
        <v/>
      </c>
      <c r="FZZ22" s="73" t="str">
        <f t="shared" si="74"/>
        <v/>
      </c>
      <c r="GAA22" s="73" t="str">
        <f t="shared" si="74"/>
        <v/>
      </c>
      <c r="GAB22" s="73" t="str">
        <f t="shared" si="74"/>
        <v/>
      </c>
      <c r="GAC22" s="73" t="str">
        <f t="shared" si="74"/>
        <v/>
      </c>
      <c r="GAD22" s="73" t="str">
        <f t="shared" si="74"/>
        <v/>
      </c>
      <c r="GAE22" s="73" t="str">
        <f t="shared" si="74"/>
        <v/>
      </c>
      <c r="GAF22" s="73" t="str">
        <f t="shared" si="74"/>
        <v/>
      </c>
      <c r="GAG22" s="73" t="str">
        <f t="shared" si="74"/>
        <v/>
      </c>
      <c r="GAH22" s="73" t="str">
        <f t="shared" si="74"/>
        <v/>
      </c>
      <c r="GAI22" s="73" t="str">
        <f t="shared" si="74"/>
        <v/>
      </c>
      <c r="GAJ22" s="73" t="str">
        <f t="shared" si="74"/>
        <v/>
      </c>
      <c r="GAK22" s="73" t="str">
        <f t="shared" si="74"/>
        <v/>
      </c>
      <c r="GAL22" s="73" t="str">
        <f t="shared" si="74"/>
        <v/>
      </c>
      <c r="GAM22" s="73" t="str">
        <f t="shared" si="74"/>
        <v/>
      </c>
      <c r="GAN22" s="73" t="str">
        <f t="shared" si="74"/>
        <v/>
      </c>
      <c r="GAO22" s="73" t="str">
        <f t="shared" si="74"/>
        <v/>
      </c>
      <c r="GAP22" s="73" t="str">
        <f t="shared" si="74"/>
        <v/>
      </c>
      <c r="GAQ22" s="73" t="str">
        <f t="shared" si="74"/>
        <v/>
      </c>
      <c r="GAR22" s="73" t="str">
        <f t="shared" si="74"/>
        <v/>
      </c>
      <c r="GAS22" s="73" t="str">
        <f t="shared" si="74"/>
        <v/>
      </c>
      <c r="GAT22" s="73" t="str">
        <f t="shared" si="74"/>
        <v/>
      </c>
      <c r="GAU22" s="73" t="str">
        <f t="shared" si="74"/>
        <v/>
      </c>
      <c r="GAV22" s="73" t="str">
        <f t="shared" si="74"/>
        <v/>
      </c>
      <c r="GAW22" s="73" t="str">
        <f t="shared" si="74"/>
        <v/>
      </c>
      <c r="GAX22" s="73" t="str">
        <f t="shared" si="74"/>
        <v/>
      </c>
      <c r="GAY22" s="73" t="str">
        <f t="shared" si="74"/>
        <v/>
      </c>
      <c r="GAZ22" s="73" t="str">
        <f t="shared" si="74"/>
        <v/>
      </c>
      <c r="GBA22" s="73" t="str">
        <f t="shared" si="74"/>
        <v/>
      </c>
      <c r="GBB22" s="73" t="str">
        <f t="shared" si="74"/>
        <v/>
      </c>
      <c r="GBC22" s="73" t="str">
        <f t="shared" si="74"/>
        <v/>
      </c>
      <c r="GBD22" s="73" t="str">
        <f t="shared" si="74"/>
        <v/>
      </c>
      <c r="GBE22" s="73" t="str">
        <f t="shared" si="74"/>
        <v/>
      </c>
      <c r="GBF22" s="73" t="str">
        <f t="shared" si="74"/>
        <v/>
      </c>
      <c r="GBG22" s="73" t="str">
        <f t="shared" si="74"/>
        <v/>
      </c>
      <c r="GBH22" s="73" t="str">
        <f t="shared" si="74"/>
        <v/>
      </c>
      <c r="GBI22" s="73" t="str">
        <f t="shared" si="74"/>
        <v/>
      </c>
      <c r="GBJ22" s="73" t="str">
        <f t="shared" si="74"/>
        <v/>
      </c>
      <c r="GBK22" s="73" t="str">
        <f t="shared" si="74"/>
        <v/>
      </c>
      <c r="GBL22" s="73" t="str">
        <f t="shared" si="74"/>
        <v/>
      </c>
      <c r="GBM22" s="73" t="str">
        <f t="shared" si="74"/>
        <v/>
      </c>
      <c r="GBN22" s="73" t="str">
        <f t="shared" si="74"/>
        <v/>
      </c>
      <c r="GBO22" s="73" t="str">
        <f t="shared" si="74"/>
        <v/>
      </c>
      <c r="GBP22" s="73" t="str">
        <f t="shared" si="74"/>
        <v/>
      </c>
      <c r="GBQ22" s="73" t="str">
        <f t="shared" si="74"/>
        <v/>
      </c>
      <c r="GBR22" s="73" t="str">
        <f t="shared" si="74"/>
        <v/>
      </c>
      <c r="GBS22" s="73" t="str">
        <f t="shared" si="74"/>
        <v/>
      </c>
      <c r="GBT22" s="73" t="str">
        <f t="shared" si="74"/>
        <v/>
      </c>
      <c r="GBU22" s="73" t="str">
        <f t="shared" si="74"/>
        <v/>
      </c>
      <c r="GBV22" s="73" t="str">
        <f t="shared" ref="GBV22:GEG22" si="75">IFERROR(AVERAGE(GBV6:GBV21),"")</f>
        <v/>
      </c>
      <c r="GBW22" s="73" t="str">
        <f t="shared" si="75"/>
        <v/>
      </c>
      <c r="GBX22" s="73" t="str">
        <f t="shared" si="75"/>
        <v/>
      </c>
      <c r="GBY22" s="73" t="str">
        <f t="shared" si="75"/>
        <v/>
      </c>
      <c r="GBZ22" s="73" t="str">
        <f t="shared" si="75"/>
        <v/>
      </c>
      <c r="GCA22" s="73" t="str">
        <f t="shared" si="75"/>
        <v/>
      </c>
      <c r="GCB22" s="73" t="str">
        <f t="shared" si="75"/>
        <v/>
      </c>
      <c r="GCC22" s="73" t="str">
        <f t="shared" si="75"/>
        <v/>
      </c>
      <c r="GCD22" s="73" t="str">
        <f t="shared" si="75"/>
        <v/>
      </c>
      <c r="GCE22" s="73" t="str">
        <f t="shared" si="75"/>
        <v/>
      </c>
      <c r="GCF22" s="73" t="str">
        <f t="shared" si="75"/>
        <v/>
      </c>
      <c r="GCG22" s="73" t="str">
        <f t="shared" si="75"/>
        <v/>
      </c>
      <c r="GCH22" s="73" t="str">
        <f t="shared" si="75"/>
        <v/>
      </c>
      <c r="GCI22" s="73" t="str">
        <f t="shared" si="75"/>
        <v/>
      </c>
      <c r="GCJ22" s="73" t="str">
        <f t="shared" si="75"/>
        <v/>
      </c>
      <c r="GCK22" s="73" t="str">
        <f t="shared" si="75"/>
        <v/>
      </c>
      <c r="GCL22" s="73" t="str">
        <f t="shared" si="75"/>
        <v/>
      </c>
      <c r="GCM22" s="73" t="str">
        <f t="shared" si="75"/>
        <v/>
      </c>
      <c r="GCN22" s="73" t="str">
        <f t="shared" si="75"/>
        <v/>
      </c>
      <c r="GCO22" s="73" t="str">
        <f t="shared" si="75"/>
        <v/>
      </c>
      <c r="GCP22" s="73" t="str">
        <f t="shared" si="75"/>
        <v/>
      </c>
      <c r="GCQ22" s="73" t="str">
        <f t="shared" si="75"/>
        <v/>
      </c>
      <c r="GCR22" s="73" t="str">
        <f t="shared" si="75"/>
        <v/>
      </c>
      <c r="GCS22" s="73" t="str">
        <f t="shared" si="75"/>
        <v/>
      </c>
      <c r="GCT22" s="73" t="str">
        <f t="shared" si="75"/>
        <v/>
      </c>
      <c r="GCU22" s="73" t="str">
        <f t="shared" si="75"/>
        <v/>
      </c>
      <c r="GCV22" s="73" t="str">
        <f t="shared" si="75"/>
        <v/>
      </c>
      <c r="GCW22" s="73" t="str">
        <f t="shared" si="75"/>
        <v/>
      </c>
      <c r="GCX22" s="73" t="str">
        <f t="shared" si="75"/>
        <v/>
      </c>
      <c r="GCY22" s="73" t="str">
        <f t="shared" si="75"/>
        <v/>
      </c>
      <c r="GCZ22" s="73" t="str">
        <f t="shared" si="75"/>
        <v/>
      </c>
      <c r="GDA22" s="73" t="str">
        <f t="shared" si="75"/>
        <v/>
      </c>
      <c r="GDB22" s="73" t="str">
        <f t="shared" si="75"/>
        <v/>
      </c>
      <c r="GDC22" s="73" t="str">
        <f t="shared" si="75"/>
        <v/>
      </c>
      <c r="GDD22" s="73" t="str">
        <f t="shared" si="75"/>
        <v/>
      </c>
      <c r="GDE22" s="73" t="str">
        <f t="shared" si="75"/>
        <v/>
      </c>
      <c r="GDF22" s="73" t="str">
        <f t="shared" si="75"/>
        <v/>
      </c>
      <c r="GDG22" s="73" t="str">
        <f t="shared" si="75"/>
        <v/>
      </c>
      <c r="GDH22" s="73" t="str">
        <f t="shared" si="75"/>
        <v/>
      </c>
      <c r="GDI22" s="73" t="str">
        <f t="shared" si="75"/>
        <v/>
      </c>
      <c r="GDJ22" s="73" t="str">
        <f t="shared" si="75"/>
        <v/>
      </c>
      <c r="GDK22" s="73" t="str">
        <f t="shared" si="75"/>
        <v/>
      </c>
      <c r="GDL22" s="73" t="str">
        <f t="shared" si="75"/>
        <v/>
      </c>
      <c r="GDM22" s="73" t="str">
        <f t="shared" si="75"/>
        <v/>
      </c>
      <c r="GDN22" s="73" t="str">
        <f t="shared" si="75"/>
        <v/>
      </c>
      <c r="GDO22" s="73" t="str">
        <f t="shared" si="75"/>
        <v/>
      </c>
      <c r="GDP22" s="73" t="str">
        <f t="shared" si="75"/>
        <v/>
      </c>
      <c r="GDQ22" s="73" t="str">
        <f t="shared" si="75"/>
        <v/>
      </c>
      <c r="GDR22" s="73" t="str">
        <f t="shared" si="75"/>
        <v/>
      </c>
      <c r="GDS22" s="73" t="str">
        <f t="shared" si="75"/>
        <v/>
      </c>
      <c r="GDT22" s="73" t="str">
        <f t="shared" si="75"/>
        <v/>
      </c>
      <c r="GDU22" s="73" t="str">
        <f t="shared" si="75"/>
        <v/>
      </c>
      <c r="GDV22" s="73" t="str">
        <f t="shared" si="75"/>
        <v/>
      </c>
      <c r="GDW22" s="73" t="str">
        <f t="shared" si="75"/>
        <v/>
      </c>
      <c r="GDX22" s="73" t="str">
        <f t="shared" si="75"/>
        <v/>
      </c>
      <c r="GDY22" s="73" t="str">
        <f t="shared" si="75"/>
        <v/>
      </c>
      <c r="GDZ22" s="73" t="str">
        <f t="shared" si="75"/>
        <v/>
      </c>
      <c r="GEA22" s="73" t="str">
        <f t="shared" si="75"/>
        <v/>
      </c>
      <c r="GEB22" s="73" t="str">
        <f t="shared" si="75"/>
        <v/>
      </c>
      <c r="GEC22" s="73" t="str">
        <f t="shared" si="75"/>
        <v/>
      </c>
      <c r="GED22" s="73" t="str">
        <f t="shared" si="75"/>
        <v/>
      </c>
      <c r="GEE22" s="73" t="str">
        <f t="shared" si="75"/>
        <v/>
      </c>
      <c r="GEF22" s="73" t="str">
        <f t="shared" si="75"/>
        <v/>
      </c>
      <c r="GEG22" s="73" t="str">
        <f t="shared" si="75"/>
        <v/>
      </c>
      <c r="GEH22" s="73" t="str">
        <f t="shared" ref="GEH22:GGS22" si="76">IFERROR(AVERAGE(GEH6:GEH21),"")</f>
        <v/>
      </c>
      <c r="GEI22" s="73" t="str">
        <f t="shared" si="76"/>
        <v/>
      </c>
      <c r="GEJ22" s="73" t="str">
        <f t="shared" si="76"/>
        <v/>
      </c>
      <c r="GEK22" s="73" t="str">
        <f t="shared" si="76"/>
        <v/>
      </c>
      <c r="GEL22" s="73" t="str">
        <f t="shared" si="76"/>
        <v/>
      </c>
      <c r="GEM22" s="73" t="str">
        <f t="shared" si="76"/>
        <v/>
      </c>
      <c r="GEN22" s="73" t="str">
        <f t="shared" si="76"/>
        <v/>
      </c>
      <c r="GEO22" s="73" t="str">
        <f t="shared" si="76"/>
        <v/>
      </c>
      <c r="GEP22" s="73" t="str">
        <f t="shared" si="76"/>
        <v/>
      </c>
      <c r="GEQ22" s="73" t="str">
        <f t="shared" si="76"/>
        <v/>
      </c>
      <c r="GER22" s="73" t="str">
        <f t="shared" si="76"/>
        <v/>
      </c>
      <c r="GES22" s="73" t="str">
        <f t="shared" si="76"/>
        <v/>
      </c>
      <c r="GET22" s="73" t="str">
        <f t="shared" si="76"/>
        <v/>
      </c>
      <c r="GEU22" s="73" t="str">
        <f t="shared" si="76"/>
        <v/>
      </c>
      <c r="GEV22" s="73" t="str">
        <f t="shared" si="76"/>
        <v/>
      </c>
      <c r="GEW22" s="73" t="str">
        <f t="shared" si="76"/>
        <v/>
      </c>
      <c r="GEX22" s="73" t="str">
        <f t="shared" si="76"/>
        <v/>
      </c>
      <c r="GEY22" s="73" t="str">
        <f t="shared" si="76"/>
        <v/>
      </c>
      <c r="GEZ22" s="73" t="str">
        <f t="shared" si="76"/>
        <v/>
      </c>
      <c r="GFA22" s="73" t="str">
        <f t="shared" si="76"/>
        <v/>
      </c>
      <c r="GFB22" s="73" t="str">
        <f t="shared" si="76"/>
        <v/>
      </c>
      <c r="GFC22" s="73" t="str">
        <f t="shared" si="76"/>
        <v/>
      </c>
      <c r="GFD22" s="73" t="str">
        <f t="shared" si="76"/>
        <v/>
      </c>
      <c r="GFE22" s="73" t="str">
        <f t="shared" si="76"/>
        <v/>
      </c>
      <c r="GFF22" s="73" t="str">
        <f t="shared" si="76"/>
        <v/>
      </c>
      <c r="GFG22" s="73" t="str">
        <f t="shared" si="76"/>
        <v/>
      </c>
      <c r="GFH22" s="73" t="str">
        <f t="shared" si="76"/>
        <v/>
      </c>
      <c r="GFI22" s="73" t="str">
        <f t="shared" si="76"/>
        <v/>
      </c>
      <c r="GFJ22" s="73" t="str">
        <f t="shared" si="76"/>
        <v/>
      </c>
      <c r="GFK22" s="73" t="str">
        <f t="shared" si="76"/>
        <v/>
      </c>
      <c r="GFL22" s="73" t="str">
        <f t="shared" si="76"/>
        <v/>
      </c>
      <c r="GFM22" s="73" t="str">
        <f t="shared" si="76"/>
        <v/>
      </c>
      <c r="GFN22" s="73" t="str">
        <f t="shared" si="76"/>
        <v/>
      </c>
      <c r="GFO22" s="73" t="str">
        <f t="shared" si="76"/>
        <v/>
      </c>
      <c r="GFP22" s="73" t="str">
        <f t="shared" si="76"/>
        <v/>
      </c>
      <c r="GFQ22" s="73" t="str">
        <f t="shared" si="76"/>
        <v/>
      </c>
      <c r="GFR22" s="73" t="str">
        <f t="shared" si="76"/>
        <v/>
      </c>
      <c r="GFS22" s="73" t="str">
        <f t="shared" si="76"/>
        <v/>
      </c>
      <c r="GFT22" s="73" t="str">
        <f t="shared" si="76"/>
        <v/>
      </c>
      <c r="GFU22" s="73" t="str">
        <f t="shared" si="76"/>
        <v/>
      </c>
      <c r="GFV22" s="73" t="str">
        <f t="shared" si="76"/>
        <v/>
      </c>
      <c r="GFW22" s="73" t="str">
        <f t="shared" si="76"/>
        <v/>
      </c>
      <c r="GFX22" s="73" t="str">
        <f t="shared" si="76"/>
        <v/>
      </c>
      <c r="GFY22" s="73" t="str">
        <f t="shared" si="76"/>
        <v/>
      </c>
      <c r="GFZ22" s="73" t="str">
        <f t="shared" si="76"/>
        <v/>
      </c>
      <c r="GGA22" s="73" t="str">
        <f t="shared" si="76"/>
        <v/>
      </c>
      <c r="GGB22" s="73" t="str">
        <f t="shared" si="76"/>
        <v/>
      </c>
      <c r="GGC22" s="73" t="str">
        <f t="shared" si="76"/>
        <v/>
      </c>
      <c r="GGD22" s="73" t="str">
        <f t="shared" si="76"/>
        <v/>
      </c>
      <c r="GGE22" s="73" t="str">
        <f t="shared" si="76"/>
        <v/>
      </c>
      <c r="GGF22" s="73" t="str">
        <f t="shared" si="76"/>
        <v/>
      </c>
      <c r="GGG22" s="73" t="str">
        <f t="shared" si="76"/>
        <v/>
      </c>
      <c r="GGH22" s="73" t="str">
        <f t="shared" si="76"/>
        <v/>
      </c>
      <c r="GGI22" s="73" t="str">
        <f t="shared" si="76"/>
        <v/>
      </c>
      <c r="GGJ22" s="73" t="str">
        <f t="shared" si="76"/>
        <v/>
      </c>
      <c r="GGK22" s="73" t="str">
        <f t="shared" si="76"/>
        <v/>
      </c>
      <c r="GGL22" s="73" t="str">
        <f t="shared" si="76"/>
        <v/>
      </c>
      <c r="GGM22" s="73" t="str">
        <f t="shared" si="76"/>
        <v/>
      </c>
      <c r="GGN22" s="73" t="str">
        <f t="shared" si="76"/>
        <v/>
      </c>
      <c r="GGO22" s="73" t="str">
        <f t="shared" si="76"/>
        <v/>
      </c>
      <c r="GGP22" s="73" t="str">
        <f t="shared" si="76"/>
        <v/>
      </c>
      <c r="GGQ22" s="73" t="str">
        <f t="shared" si="76"/>
        <v/>
      </c>
      <c r="GGR22" s="73" t="str">
        <f t="shared" si="76"/>
        <v/>
      </c>
      <c r="GGS22" s="73" t="str">
        <f t="shared" si="76"/>
        <v/>
      </c>
      <c r="GGT22" s="73" t="str">
        <f t="shared" ref="GGT22:GJE22" si="77">IFERROR(AVERAGE(GGT6:GGT21),"")</f>
        <v/>
      </c>
      <c r="GGU22" s="73" t="str">
        <f t="shared" si="77"/>
        <v/>
      </c>
      <c r="GGV22" s="73" t="str">
        <f t="shared" si="77"/>
        <v/>
      </c>
      <c r="GGW22" s="73" t="str">
        <f t="shared" si="77"/>
        <v/>
      </c>
      <c r="GGX22" s="73" t="str">
        <f t="shared" si="77"/>
        <v/>
      </c>
      <c r="GGY22" s="73" t="str">
        <f t="shared" si="77"/>
        <v/>
      </c>
      <c r="GGZ22" s="73" t="str">
        <f t="shared" si="77"/>
        <v/>
      </c>
      <c r="GHA22" s="73" t="str">
        <f t="shared" si="77"/>
        <v/>
      </c>
      <c r="GHB22" s="73" t="str">
        <f t="shared" si="77"/>
        <v/>
      </c>
      <c r="GHC22" s="73" t="str">
        <f t="shared" si="77"/>
        <v/>
      </c>
      <c r="GHD22" s="73" t="str">
        <f t="shared" si="77"/>
        <v/>
      </c>
      <c r="GHE22" s="73" t="str">
        <f t="shared" si="77"/>
        <v/>
      </c>
      <c r="GHF22" s="73" t="str">
        <f t="shared" si="77"/>
        <v/>
      </c>
      <c r="GHG22" s="73" t="str">
        <f t="shared" si="77"/>
        <v/>
      </c>
      <c r="GHH22" s="73" t="str">
        <f t="shared" si="77"/>
        <v/>
      </c>
      <c r="GHI22" s="73" t="str">
        <f t="shared" si="77"/>
        <v/>
      </c>
      <c r="GHJ22" s="73" t="str">
        <f t="shared" si="77"/>
        <v/>
      </c>
      <c r="GHK22" s="73" t="str">
        <f t="shared" si="77"/>
        <v/>
      </c>
      <c r="GHL22" s="73" t="str">
        <f t="shared" si="77"/>
        <v/>
      </c>
      <c r="GHM22" s="73" t="str">
        <f t="shared" si="77"/>
        <v/>
      </c>
      <c r="GHN22" s="73" t="str">
        <f t="shared" si="77"/>
        <v/>
      </c>
      <c r="GHO22" s="73" t="str">
        <f t="shared" si="77"/>
        <v/>
      </c>
      <c r="GHP22" s="73" t="str">
        <f t="shared" si="77"/>
        <v/>
      </c>
      <c r="GHQ22" s="73" t="str">
        <f t="shared" si="77"/>
        <v/>
      </c>
      <c r="GHR22" s="73" t="str">
        <f t="shared" si="77"/>
        <v/>
      </c>
      <c r="GHS22" s="73" t="str">
        <f t="shared" si="77"/>
        <v/>
      </c>
      <c r="GHT22" s="73" t="str">
        <f t="shared" si="77"/>
        <v/>
      </c>
      <c r="GHU22" s="73" t="str">
        <f t="shared" si="77"/>
        <v/>
      </c>
      <c r="GHV22" s="73" t="str">
        <f t="shared" si="77"/>
        <v/>
      </c>
      <c r="GHW22" s="73" t="str">
        <f t="shared" si="77"/>
        <v/>
      </c>
      <c r="GHX22" s="73" t="str">
        <f t="shared" si="77"/>
        <v/>
      </c>
      <c r="GHY22" s="73" t="str">
        <f t="shared" si="77"/>
        <v/>
      </c>
      <c r="GHZ22" s="73" t="str">
        <f t="shared" si="77"/>
        <v/>
      </c>
      <c r="GIA22" s="73" t="str">
        <f t="shared" si="77"/>
        <v/>
      </c>
      <c r="GIB22" s="73" t="str">
        <f t="shared" si="77"/>
        <v/>
      </c>
      <c r="GIC22" s="73" t="str">
        <f t="shared" si="77"/>
        <v/>
      </c>
      <c r="GID22" s="73" t="str">
        <f t="shared" si="77"/>
        <v/>
      </c>
      <c r="GIE22" s="73" t="str">
        <f t="shared" si="77"/>
        <v/>
      </c>
      <c r="GIF22" s="73" t="str">
        <f t="shared" si="77"/>
        <v/>
      </c>
      <c r="GIG22" s="73" t="str">
        <f t="shared" si="77"/>
        <v/>
      </c>
      <c r="GIH22" s="73" t="str">
        <f t="shared" si="77"/>
        <v/>
      </c>
      <c r="GII22" s="73" t="str">
        <f t="shared" si="77"/>
        <v/>
      </c>
      <c r="GIJ22" s="73" t="str">
        <f t="shared" si="77"/>
        <v/>
      </c>
      <c r="GIK22" s="73" t="str">
        <f t="shared" si="77"/>
        <v/>
      </c>
      <c r="GIL22" s="73" t="str">
        <f t="shared" si="77"/>
        <v/>
      </c>
      <c r="GIM22" s="73" t="str">
        <f t="shared" si="77"/>
        <v/>
      </c>
      <c r="GIN22" s="73" t="str">
        <f t="shared" si="77"/>
        <v/>
      </c>
      <c r="GIO22" s="73" t="str">
        <f t="shared" si="77"/>
        <v/>
      </c>
      <c r="GIP22" s="73" t="str">
        <f t="shared" si="77"/>
        <v/>
      </c>
      <c r="GIQ22" s="73" t="str">
        <f t="shared" si="77"/>
        <v/>
      </c>
      <c r="GIR22" s="73" t="str">
        <f t="shared" si="77"/>
        <v/>
      </c>
      <c r="GIS22" s="73" t="str">
        <f t="shared" si="77"/>
        <v/>
      </c>
      <c r="GIT22" s="73" t="str">
        <f t="shared" si="77"/>
        <v/>
      </c>
      <c r="GIU22" s="73" t="str">
        <f t="shared" si="77"/>
        <v/>
      </c>
      <c r="GIV22" s="73" t="str">
        <f t="shared" si="77"/>
        <v/>
      </c>
      <c r="GIW22" s="73" t="str">
        <f t="shared" si="77"/>
        <v/>
      </c>
      <c r="GIX22" s="73" t="str">
        <f t="shared" si="77"/>
        <v/>
      </c>
      <c r="GIY22" s="73" t="str">
        <f t="shared" si="77"/>
        <v/>
      </c>
      <c r="GIZ22" s="73" t="str">
        <f t="shared" si="77"/>
        <v/>
      </c>
      <c r="GJA22" s="73" t="str">
        <f t="shared" si="77"/>
        <v/>
      </c>
      <c r="GJB22" s="73" t="str">
        <f t="shared" si="77"/>
        <v/>
      </c>
      <c r="GJC22" s="73" t="str">
        <f t="shared" si="77"/>
        <v/>
      </c>
      <c r="GJD22" s="73" t="str">
        <f t="shared" si="77"/>
        <v/>
      </c>
      <c r="GJE22" s="73" t="str">
        <f t="shared" si="77"/>
        <v/>
      </c>
      <c r="GJF22" s="73" t="str">
        <f t="shared" ref="GJF22:GLQ22" si="78">IFERROR(AVERAGE(GJF6:GJF21),"")</f>
        <v/>
      </c>
      <c r="GJG22" s="73" t="str">
        <f t="shared" si="78"/>
        <v/>
      </c>
      <c r="GJH22" s="73" t="str">
        <f t="shared" si="78"/>
        <v/>
      </c>
      <c r="GJI22" s="73" t="str">
        <f t="shared" si="78"/>
        <v/>
      </c>
      <c r="GJJ22" s="73" t="str">
        <f t="shared" si="78"/>
        <v/>
      </c>
      <c r="GJK22" s="73" t="str">
        <f t="shared" si="78"/>
        <v/>
      </c>
      <c r="GJL22" s="73" t="str">
        <f t="shared" si="78"/>
        <v/>
      </c>
      <c r="GJM22" s="73" t="str">
        <f t="shared" si="78"/>
        <v/>
      </c>
      <c r="GJN22" s="73" t="str">
        <f t="shared" si="78"/>
        <v/>
      </c>
      <c r="GJO22" s="73" t="str">
        <f t="shared" si="78"/>
        <v/>
      </c>
      <c r="GJP22" s="73" t="str">
        <f t="shared" si="78"/>
        <v/>
      </c>
      <c r="GJQ22" s="73" t="str">
        <f t="shared" si="78"/>
        <v/>
      </c>
      <c r="GJR22" s="73" t="str">
        <f t="shared" si="78"/>
        <v/>
      </c>
      <c r="GJS22" s="73" t="str">
        <f t="shared" si="78"/>
        <v/>
      </c>
      <c r="GJT22" s="73" t="str">
        <f t="shared" si="78"/>
        <v/>
      </c>
      <c r="GJU22" s="73" t="str">
        <f t="shared" si="78"/>
        <v/>
      </c>
      <c r="GJV22" s="73" t="str">
        <f t="shared" si="78"/>
        <v/>
      </c>
      <c r="GJW22" s="73" t="str">
        <f t="shared" si="78"/>
        <v/>
      </c>
      <c r="GJX22" s="73" t="str">
        <f t="shared" si="78"/>
        <v/>
      </c>
      <c r="GJY22" s="73" t="str">
        <f t="shared" si="78"/>
        <v/>
      </c>
      <c r="GJZ22" s="73" t="str">
        <f t="shared" si="78"/>
        <v/>
      </c>
      <c r="GKA22" s="73" t="str">
        <f t="shared" si="78"/>
        <v/>
      </c>
      <c r="GKB22" s="73" t="str">
        <f t="shared" si="78"/>
        <v/>
      </c>
      <c r="GKC22" s="73" t="str">
        <f t="shared" si="78"/>
        <v/>
      </c>
      <c r="GKD22" s="73" t="str">
        <f t="shared" si="78"/>
        <v/>
      </c>
      <c r="GKE22" s="73" t="str">
        <f t="shared" si="78"/>
        <v/>
      </c>
      <c r="GKF22" s="73" t="str">
        <f t="shared" si="78"/>
        <v/>
      </c>
      <c r="GKG22" s="73" t="str">
        <f t="shared" si="78"/>
        <v/>
      </c>
      <c r="GKH22" s="73" t="str">
        <f t="shared" si="78"/>
        <v/>
      </c>
      <c r="GKI22" s="73" t="str">
        <f t="shared" si="78"/>
        <v/>
      </c>
      <c r="GKJ22" s="73" t="str">
        <f t="shared" si="78"/>
        <v/>
      </c>
      <c r="GKK22" s="73" t="str">
        <f t="shared" si="78"/>
        <v/>
      </c>
      <c r="GKL22" s="73" t="str">
        <f t="shared" si="78"/>
        <v/>
      </c>
      <c r="GKM22" s="73" t="str">
        <f t="shared" si="78"/>
        <v/>
      </c>
      <c r="GKN22" s="73" t="str">
        <f t="shared" si="78"/>
        <v/>
      </c>
      <c r="GKO22" s="73" t="str">
        <f t="shared" si="78"/>
        <v/>
      </c>
      <c r="GKP22" s="73" t="str">
        <f t="shared" si="78"/>
        <v/>
      </c>
      <c r="GKQ22" s="73" t="str">
        <f t="shared" si="78"/>
        <v/>
      </c>
      <c r="GKR22" s="73" t="str">
        <f t="shared" si="78"/>
        <v/>
      </c>
      <c r="GKS22" s="73" t="str">
        <f t="shared" si="78"/>
        <v/>
      </c>
      <c r="GKT22" s="73" t="str">
        <f t="shared" si="78"/>
        <v/>
      </c>
      <c r="GKU22" s="73" t="str">
        <f t="shared" si="78"/>
        <v/>
      </c>
      <c r="GKV22" s="73" t="str">
        <f t="shared" si="78"/>
        <v/>
      </c>
      <c r="GKW22" s="73" t="str">
        <f t="shared" si="78"/>
        <v/>
      </c>
      <c r="GKX22" s="73" t="str">
        <f t="shared" si="78"/>
        <v/>
      </c>
      <c r="GKY22" s="73" t="str">
        <f t="shared" si="78"/>
        <v/>
      </c>
      <c r="GKZ22" s="73" t="str">
        <f t="shared" si="78"/>
        <v/>
      </c>
      <c r="GLA22" s="73" t="str">
        <f t="shared" si="78"/>
        <v/>
      </c>
      <c r="GLB22" s="73" t="str">
        <f t="shared" si="78"/>
        <v/>
      </c>
      <c r="GLC22" s="73" t="str">
        <f t="shared" si="78"/>
        <v/>
      </c>
      <c r="GLD22" s="73" t="str">
        <f t="shared" si="78"/>
        <v/>
      </c>
      <c r="GLE22" s="73" t="str">
        <f t="shared" si="78"/>
        <v/>
      </c>
      <c r="GLF22" s="73" t="str">
        <f t="shared" si="78"/>
        <v/>
      </c>
      <c r="GLG22" s="73" t="str">
        <f t="shared" si="78"/>
        <v/>
      </c>
      <c r="GLH22" s="73" t="str">
        <f t="shared" si="78"/>
        <v/>
      </c>
      <c r="GLI22" s="73" t="str">
        <f t="shared" si="78"/>
        <v/>
      </c>
      <c r="GLJ22" s="73" t="str">
        <f t="shared" si="78"/>
        <v/>
      </c>
      <c r="GLK22" s="73" t="str">
        <f t="shared" si="78"/>
        <v/>
      </c>
      <c r="GLL22" s="73" t="str">
        <f t="shared" si="78"/>
        <v/>
      </c>
      <c r="GLM22" s="73" t="str">
        <f t="shared" si="78"/>
        <v/>
      </c>
      <c r="GLN22" s="73" t="str">
        <f t="shared" si="78"/>
        <v/>
      </c>
      <c r="GLO22" s="73" t="str">
        <f t="shared" si="78"/>
        <v/>
      </c>
      <c r="GLP22" s="73" t="str">
        <f t="shared" si="78"/>
        <v/>
      </c>
      <c r="GLQ22" s="73" t="str">
        <f t="shared" si="78"/>
        <v/>
      </c>
      <c r="GLR22" s="73" t="str">
        <f t="shared" ref="GLR22:GOC22" si="79">IFERROR(AVERAGE(GLR6:GLR21),"")</f>
        <v/>
      </c>
      <c r="GLS22" s="73" t="str">
        <f t="shared" si="79"/>
        <v/>
      </c>
      <c r="GLT22" s="73" t="str">
        <f t="shared" si="79"/>
        <v/>
      </c>
      <c r="GLU22" s="73" t="str">
        <f t="shared" si="79"/>
        <v/>
      </c>
      <c r="GLV22" s="73" t="str">
        <f t="shared" si="79"/>
        <v/>
      </c>
      <c r="GLW22" s="73" t="str">
        <f t="shared" si="79"/>
        <v/>
      </c>
      <c r="GLX22" s="73" t="str">
        <f t="shared" si="79"/>
        <v/>
      </c>
      <c r="GLY22" s="73" t="str">
        <f t="shared" si="79"/>
        <v/>
      </c>
      <c r="GLZ22" s="73" t="str">
        <f t="shared" si="79"/>
        <v/>
      </c>
      <c r="GMA22" s="73" t="str">
        <f t="shared" si="79"/>
        <v/>
      </c>
      <c r="GMB22" s="73" t="str">
        <f t="shared" si="79"/>
        <v/>
      </c>
      <c r="GMC22" s="73" t="str">
        <f t="shared" si="79"/>
        <v/>
      </c>
      <c r="GMD22" s="73" t="str">
        <f t="shared" si="79"/>
        <v/>
      </c>
      <c r="GME22" s="73" t="str">
        <f t="shared" si="79"/>
        <v/>
      </c>
      <c r="GMF22" s="73" t="str">
        <f t="shared" si="79"/>
        <v/>
      </c>
      <c r="GMG22" s="73" t="str">
        <f t="shared" si="79"/>
        <v/>
      </c>
      <c r="GMH22" s="73" t="str">
        <f t="shared" si="79"/>
        <v/>
      </c>
      <c r="GMI22" s="73" t="str">
        <f t="shared" si="79"/>
        <v/>
      </c>
      <c r="GMJ22" s="73" t="str">
        <f t="shared" si="79"/>
        <v/>
      </c>
      <c r="GMK22" s="73" t="str">
        <f t="shared" si="79"/>
        <v/>
      </c>
      <c r="GML22" s="73" t="str">
        <f t="shared" si="79"/>
        <v/>
      </c>
      <c r="GMM22" s="73" t="str">
        <f t="shared" si="79"/>
        <v/>
      </c>
      <c r="GMN22" s="73" t="str">
        <f t="shared" si="79"/>
        <v/>
      </c>
      <c r="GMO22" s="73" t="str">
        <f t="shared" si="79"/>
        <v/>
      </c>
      <c r="GMP22" s="73" t="str">
        <f t="shared" si="79"/>
        <v/>
      </c>
      <c r="GMQ22" s="73" t="str">
        <f t="shared" si="79"/>
        <v/>
      </c>
      <c r="GMR22" s="73" t="str">
        <f t="shared" si="79"/>
        <v/>
      </c>
      <c r="GMS22" s="73" t="str">
        <f t="shared" si="79"/>
        <v/>
      </c>
      <c r="GMT22" s="73" t="str">
        <f t="shared" si="79"/>
        <v/>
      </c>
      <c r="GMU22" s="73" t="str">
        <f t="shared" si="79"/>
        <v/>
      </c>
      <c r="GMV22" s="73" t="str">
        <f t="shared" si="79"/>
        <v/>
      </c>
      <c r="GMW22" s="73" t="str">
        <f t="shared" si="79"/>
        <v/>
      </c>
      <c r="GMX22" s="73" t="str">
        <f t="shared" si="79"/>
        <v/>
      </c>
      <c r="GMY22" s="73" t="str">
        <f t="shared" si="79"/>
        <v/>
      </c>
      <c r="GMZ22" s="73" t="str">
        <f t="shared" si="79"/>
        <v/>
      </c>
      <c r="GNA22" s="73" t="str">
        <f t="shared" si="79"/>
        <v/>
      </c>
      <c r="GNB22" s="73" t="str">
        <f t="shared" si="79"/>
        <v/>
      </c>
      <c r="GNC22" s="73" t="str">
        <f t="shared" si="79"/>
        <v/>
      </c>
      <c r="GND22" s="73" t="str">
        <f t="shared" si="79"/>
        <v/>
      </c>
      <c r="GNE22" s="73" t="str">
        <f t="shared" si="79"/>
        <v/>
      </c>
      <c r="GNF22" s="73" t="str">
        <f t="shared" si="79"/>
        <v/>
      </c>
      <c r="GNG22" s="73" t="str">
        <f t="shared" si="79"/>
        <v/>
      </c>
      <c r="GNH22" s="73" t="str">
        <f t="shared" si="79"/>
        <v/>
      </c>
      <c r="GNI22" s="73" t="str">
        <f t="shared" si="79"/>
        <v/>
      </c>
      <c r="GNJ22" s="73" t="str">
        <f t="shared" si="79"/>
        <v/>
      </c>
      <c r="GNK22" s="73" t="str">
        <f t="shared" si="79"/>
        <v/>
      </c>
      <c r="GNL22" s="73" t="str">
        <f t="shared" si="79"/>
        <v/>
      </c>
      <c r="GNM22" s="73" t="str">
        <f t="shared" si="79"/>
        <v/>
      </c>
      <c r="GNN22" s="73" t="str">
        <f t="shared" si="79"/>
        <v/>
      </c>
      <c r="GNO22" s="73" t="str">
        <f t="shared" si="79"/>
        <v/>
      </c>
      <c r="GNP22" s="73" t="str">
        <f t="shared" si="79"/>
        <v/>
      </c>
      <c r="GNQ22" s="73" t="str">
        <f t="shared" si="79"/>
        <v/>
      </c>
      <c r="GNR22" s="73" t="str">
        <f t="shared" si="79"/>
        <v/>
      </c>
      <c r="GNS22" s="73" t="str">
        <f t="shared" si="79"/>
        <v/>
      </c>
      <c r="GNT22" s="73" t="str">
        <f t="shared" si="79"/>
        <v/>
      </c>
      <c r="GNU22" s="73" t="str">
        <f t="shared" si="79"/>
        <v/>
      </c>
      <c r="GNV22" s="73" t="str">
        <f t="shared" si="79"/>
        <v/>
      </c>
      <c r="GNW22" s="73" t="str">
        <f t="shared" si="79"/>
        <v/>
      </c>
      <c r="GNX22" s="73" t="str">
        <f t="shared" si="79"/>
        <v/>
      </c>
      <c r="GNY22" s="73" t="str">
        <f t="shared" si="79"/>
        <v/>
      </c>
      <c r="GNZ22" s="73" t="str">
        <f t="shared" si="79"/>
        <v/>
      </c>
      <c r="GOA22" s="73" t="str">
        <f t="shared" si="79"/>
        <v/>
      </c>
      <c r="GOB22" s="73" t="str">
        <f t="shared" si="79"/>
        <v/>
      </c>
      <c r="GOC22" s="73" t="str">
        <f t="shared" si="79"/>
        <v/>
      </c>
      <c r="GOD22" s="73" t="str">
        <f t="shared" ref="GOD22:GQO22" si="80">IFERROR(AVERAGE(GOD6:GOD21),"")</f>
        <v/>
      </c>
      <c r="GOE22" s="73" t="str">
        <f t="shared" si="80"/>
        <v/>
      </c>
      <c r="GOF22" s="73" t="str">
        <f t="shared" si="80"/>
        <v/>
      </c>
      <c r="GOG22" s="73" t="str">
        <f t="shared" si="80"/>
        <v/>
      </c>
      <c r="GOH22" s="73" t="str">
        <f t="shared" si="80"/>
        <v/>
      </c>
      <c r="GOI22" s="73" t="str">
        <f t="shared" si="80"/>
        <v/>
      </c>
      <c r="GOJ22" s="73" t="str">
        <f t="shared" si="80"/>
        <v/>
      </c>
      <c r="GOK22" s="73" t="str">
        <f t="shared" si="80"/>
        <v/>
      </c>
      <c r="GOL22" s="73" t="str">
        <f t="shared" si="80"/>
        <v/>
      </c>
      <c r="GOM22" s="73" t="str">
        <f t="shared" si="80"/>
        <v/>
      </c>
      <c r="GON22" s="73" t="str">
        <f t="shared" si="80"/>
        <v/>
      </c>
      <c r="GOO22" s="73" t="str">
        <f t="shared" si="80"/>
        <v/>
      </c>
      <c r="GOP22" s="73" t="str">
        <f t="shared" si="80"/>
        <v/>
      </c>
      <c r="GOQ22" s="73" t="str">
        <f t="shared" si="80"/>
        <v/>
      </c>
      <c r="GOR22" s="73" t="str">
        <f t="shared" si="80"/>
        <v/>
      </c>
      <c r="GOS22" s="73" t="str">
        <f t="shared" si="80"/>
        <v/>
      </c>
      <c r="GOT22" s="73" t="str">
        <f t="shared" si="80"/>
        <v/>
      </c>
      <c r="GOU22" s="73" t="str">
        <f t="shared" si="80"/>
        <v/>
      </c>
      <c r="GOV22" s="73" t="str">
        <f t="shared" si="80"/>
        <v/>
      </c>
      <c r="GOW22" s="73" t="str">
        <f t="shared" si="80"/>
        <v/>
      </c>
      <c r="GOX22" s="73" t="str">
        <f t="shared" si="80"/>
        <v/>
      </c>
      <c r="GOY22" s="73" t="str">
        <f t="shared" si="80"/>
        <v/>
      </c>
      <c r="GOZ22" s="73" t="str">
        <f t="shared" si="80"/>
        <v/>
      </c>
      <c r="GPA22" s="73" t="str">
        <f t="shared" si="80"/>
        <v/>
      </c>
      <c r="GPB22" s="73" t="str">
        <f t="shared" si="80"/>
        <v/>
      </c>
      <c r="GPC22" s="73" t="str">
        <f t="shared" si="80"/>
        <v/>
      </c>
      <c r="GPD22" s="73" t="str">
        <f t="shared" si="80"/>
        <v/>
      </c>
      <c r="GPE22" s="73" t="str">
        <f t="shared" si="80"/>
        <v/>
      </c>
      <c r="GPF22" s="73" t="str">
        <f t="shared" si="80"/>
        <v/>
      </c>
      <c r="GPG22" s="73" t="str">
        <f t="shared" si="80"/>
        <v/>
      </c>
      <c r="GPH22" s="73" t="str">
        <f t="shared" si="80"/>
        <v/>
      </c>
      <c r="GPI22" s="73" t="str">
        <f t="shared" si="80"/>
        <v/>
      </c>
      <c r="GPJ22" s="73" t="str">
        <f t="shared" si="80"/>
        <v/>
      </c>
      <c r="GPK22" s="73" t="str">
        <f t="shared" si="80"/>
        <v/>
      </c>
      <c r="GPL22" s="73" t="str">
        <f t="shared" si="80"/>
        <v/>
      </c>
      <c r="GPM22" s="73" t="str">
        <f t="shared" si="80"/>
        <v/>
      </c>
      <c r="GPN22" s="73" t="str">
        <f t="shared" si="80"/>
        <v/>
      </c>
      <c r="GPO22" s="73" t="str">
        <f t="shared" si="80"/>
        <v/>
      </c>
      <c r="GPP22" s="73" t="str">
        <f t="shared" si="80"/>
        <v/>
      </c>
      <c r="GPQ22" s="73" t="str">
        <f t="shared" si="80"/>
        <v/>
      </c>
      <c r="GPR22" s="73" t="str">
        <f t="shared" si="80"/>
        <v/>
      </c>
      <c r="GPS22" s="73" t="str">
        <f t="shared" si="80"/>
        <v/>
      </c>
      <c r="GPT22" s="73" t="str">
        <f t="shared" si="80"/>
        <v/>
      </c>
      <c r="GPU22" s="73" t="str">
        <f t="shared" si="80"/>
        <v/>
      </c>
      <c r="GPV22" s="73" t="str">
        <f t="shared" si="80"/>
        <v/>
      </c>
      <c r="GPW22" s="73" t="str">
        <f t="shared" si="80"/>
        <v/>
      </c>
      <c r="GPX22" s="73" t="str">
        <f t="shared" si="80"/>
        <v/>
      </c>
      <c r="GPY22" s="73" t="str">
        <f t="shared" si="80"/>
        <v/>
      </c>
      <c r="GPZ22" s="73" t="str">
        <f t="shared" si="80"/>
        <v/>
      </c>
      <c r="GQA22" s="73" t="str">
        <f t="shared" si="80"/>
        <v/>
      </c>
      <c r="GQB22" s="73" t="str">
        <f t="shared" si="80"/>
        <v/>
      </c>
      <c r="GQC22" s="73" t="str">
        <f t="shared" si="80"/>
        <v/>
      </c>
      <c r="GQD22" s="73" t="str">
        <f t="shared" si="80"/>
        <v/>
      </c>
      <c r="GQE22" s="73" t="str">
        <f t="shared" si="80"/>
        <v/>
      </c>
      <c r="GQF22" s="73" t="str">
        <f t="shared" si="80"/>
        <v/>
      </c>
      <c r="GQG22" s="73" t="str">
        <f t="shared" si="80"/>
        <v/>
      </c>
      <c r="GQH22" s="73" t="str">
        <f t="shared" si="80"/>
        <v/>
      </c>
      <c r="GQI22" s="73" t="str">
        <f t="shared" si="80"/>
        <v/>
      </c>
      <c r="GQJ22" s="73" t="str">
        <f t="shared" si="80"/>
        <v/>
      </c>
      <c r="GQK22" s="73" t="str">
        <f t="shared" si="80"/>
        <v/>
      </c>
      <c r="GQL22" s="73" t="str">
        <f t="shared" si="80"/>
        <v/>
      </c>
      <c r="GQM22" s="73" t="str">
        <f t="shared" si="80"/>
        <v/>
      </c>
      <c r="GQN22" s="73" t="str">
        <f t="shared" si="80"/>
        <v/>
      </c>
      <c r="GQO22" s="73" t="str">
        <f t="shared" si="80"/>
        <v/>
      </c>
      <c r="GQP22" s="73" t="str">
        <f t="shared" ref="GQP22:GTA22" si="81">IFERROR(AVERAGE(GQP6:GQP21),"")</f>
        <v/>
      </c>
      <c r="GQQ22" s="73" t="str">
        <f t="shared" si="81"/>
        <v/>
      </c>
      <c r="GQR22" s="73" t="str">
        <f t="shared" si="81"/>
        <v/>
      </c>
      <c r="GQS22" s="73" t="str">
        <f t="shared" si="81"/>
        <v/>
      </c>
      <c r="GQT22" s="73" t="str">
        <f t="shared" si="81"/>
        <v/>
      </c>
      <c r="GQU22" s="73" t="str">
        <f t="shared" si="81"/>
        <v/>
      </c>
      <c r="GQV22" s="73" t="str">
        <f t="shared" si="81"/>
        <v/>
      </c>
      <c r="GQW22" s="73" t="str">
        <f t="shared" si="81"/>
        <v/>
      </c>
      <c r="GQX22" s="73" t="str">
        <f t="shared" si="81"/>
        <v/>
      </c>
      <c r="GQY22" s="73" t="str">
        <f t="shared" si="81"/>
        <v/>
      </c>
      <c r="GQZ22" s="73" t="str">
        <f t="shared" si="81"/>
        <v/>
      </c>
      <c r="GRA22" s="73" t="str">
        <f t="shared" si="81"/>
        <v/>
      </c>
      <c r="GRB22" s="73" t="str">
        <f t="shared" si="81"/>
        <v/>
      </c>
      <c r="GRC22" s="73" t="str">
        <f t="shared" si="81"/>
        <v/>
      </c>
      <c r="GRD22" s="73" t="str">
        <f t="shared" si="81"/>
        <v/>
      </c>
      <c r="GRE22" s="73" t="str">
        <f t="shared" si="81"/>
        <v/>
      </c>
      <c r="GRF22" s="73" t="str">
        <f t="shared" si="81"/>
        <v/>
      </c>
      <c r="GRG22" s="73" t="str">
        <f t="shared" si="81"/>
        <v/>
      </c>
      <c r="GRH22" s="73" t="str">
        <f t="shared" si="81"/>
        <v/>
      </c>
      <c r="GRI22" s="73" t="str">
        <f t="shared" si="81"/>
        <v/>
      </c>
      <c r="GRJ22" s="73" t="str">
        <f t="shared" si="81"/>
        <v/>
      </c>
      <c r="GRK22" s="73" t="str">
        <f t="shared" si="81"/>
        <v/>
      </c>
      <c r="GRL22" s="73" t="str">
        <f t="shared" si="81"/>
        <v/>
      </c>
      <c r="GRM22" s="73" t="str">
        <f t="shared" si="81"/>
        <v/>
      </c>
      <c r="GRN22" s="73" t="str">
        <f t="shared" si="81"/>
        <v/>
      </c>
      <c r="GRO22" s="73" t="str">
        <f t="shared" si="81"/>
        <v/>
      </c>
      <c r="GRP22" s="73" t="str">
        <f t="shared" si="81"/>
        <v/>
      </c>
      <c r="GRQ22" s="73" t="str">
        <f t="shared" si="81"/>
        <v/>
      </c>
      <c r="GRR22" s="73" t="str">
        <f t="shared" si="81"/>
        <v/>
      </c>
      <c r="GRS22" s="73" t="str">
        <f t="shared" si="81"/>
        <v/>
      </c>
      <c r="GRT22" s="73" t="str">
        <f t="shared" si="81"/>
        <v/>
      </c>
      <c r="GRU22" s="73" t="str">
        <f t="shared" si="81"/>
        <v/>
      </c>
      <c r="GRV22" s="73" t="str">
        <f t="shared" si="81"/>
        <v/>
      </c>
      <c r="GRW22" s="73" t="str">
        <f t="shared" si="81"/>
        <v/>
      </c>
      <c r="GRX22" s="73" t="str">
        <f t="shared" si="81"/>
        <v/>
      </c>
      <c r="GRY22" s="73" t="str">
        <f t="shared" si="81"/>
        <v/>
      </c>
      <c r="GRZ22" s="73" t="str">
        <f t="shared" si="81"/>
        <v/>
      </c>
      <c r="GSA22" s="73" t="str">
        <f t="shared" si="81"/>
        <v/>
      </c>
      <c r="GSB22" s="73" t="str">
        <f t="shared" si="81"/>
        <v/>
      </c>
      <c r="GSC22" s="73" t="str">
        <f t="shared" si="81"/>
        <v/>
      </c>
      <c r="GSD22" s="73" t="str">
        <f t="shared" si="81"/>
        <v/>
      </c>
      <c r="GSE22" s="73" t="str">
        <f t="shared" si="81"/>
        <v/>
      </c>
      <c r="GSF22" s="73" t="str">
        <f t="shared" si="81"/>
        <v/>
      </c>
      <c r="GSG22" s="73" t="str">
        <f t="shared" si="81"/>
        <v/>
      </c>
      <c r="GSH22" s="73" t="str">
        <f t="shared" si="81"/>
        <v/>
      </c>
      <c r="GSI22" s="73" t="str">
        <f t="shared" si="81"/>
        <v/>
      </c>
      <c r="GSJ22" s="73" t="str">
        <f t="shared" si="81"/>
        <v/>
      </c>
      <c r="GSK22" s="73" t="str">
        <f t="shared" si="81"/>
        <v/>
      </c>
      <c r="GSL22" s="73" t="str">
        <f t="shared" si="81"/>
        <v/>
      </c>
      <c r="GSM22" s="73" t="str">
        <f t="shared" si="81"/>
        <v/>
      </c>
      <c r="GSN22" s="73" t="str">
        <f t="shared" si="81"/>
        <v/>
      </c>
      <c r="GSO22" s="73" t="str">
        <f t="shared" si="81"/>
        <v/>
      </c>
      <c r="GSP22" s="73" t="str">
        <f t="shared" si="81"/>
        <v/>
      </c>
      <c r="GSQ22" s="73" t="str">
        <f t="shared" si="81"/>
        <v/>
      </c>
      <c r="GSR22" s="73" t="str">
        <f t="shared" si="81"/>
        <v/>
      </c>
      <c r="GSS22" s="73" t="str">
        <f t="shared" si="81"/>
        <v/>
      </c>
      <c r="GST22" s="73" t="str">
        <f t="shared" si="81"/>
        <v/>
      </c>
      <c r="GSU22" s="73" t="str">
        <f t="shared" si="81"/>
        <v/>
      </c>
      <c r="GSV22" s="73" t="str">
        <f t="shared" si="81"/>
        <v/>
      </c>
      <c r="GSW22" s="73" t="str">
        <f t="shared" si="81"/>
        <v/>
      </c>
      <c r="GSX22" s="73" t="str">
        <f t="shared" si="81"/>
        <v/>
      </c>
      <c r="GSY22" s="73" t="str">
        <f t="shared" si="81"/>
        <v/>
      </c>
      <c r="GSZ22" s="73" t="str">
        <f t="shared" si="81"/>
        <v/>
      </c>
      <c r="GTA22" s="73" t="str">
        <f t="shared" si="81"/>
        <v/>
      </c>
      <c r="GTB22" s="73" t="str">
        <f t="shared" ref="GTB22:GVM22" si="82">IFERROR(AVERAGE(GTB6:GTB21),"")</f>
        <v/>
      </c>
      <c r="GTC22" s="73" t="str">
        <f t="shared" si="82"/>
        <v/>
      </c>
      <c r="GTD22" s="73" t="str">
        <f t="shared" si="82"/>
        <v/>
      </c>
      <c r="GTE22" s="73" t="str">
        <f t="shared" si="82"/>
        <v/>
      </c>
      <c r="GTF22" s="73" t="str">
        <f t="shared" si="82"/>
        <v/>
      </c>
      <c r="GTG22" s="73" t="str">
        <f t="shared" si="82"/>
        <v/>
      </c>
      <c r="GTH22" s="73" t="str">
        <f t="shared" si="82"/>
        <v/>
      </c>
      <c r="GTI22" s="73" t="str">
        <f t="shared" si="82"/>
        <v/>
      </c>
      <c r="GTJ22" s="73" t="str">
        <f t="shared" si="82"/>
        <v/>
      </c>
      <c r="GTK22" s="73" t="str">
        <f t="shared" si="82"/>
        <v/>
      </c>
      <c r="GTL22" s="73" t="str">
        <f t="shared" si="82"/>
        <v/>
      </c>
      <c r="GTM22" s="73" t="str">
        <f t="shared" si="82"/>
        <v/>
      </c>
      <c r="GTN22" s="73" t="str">
        <f t="shared" si="82"/>
        <v/>
      </c>
      <c r="GTO22" s="73" t="str">
        <f t="shared" si="82"/>
        <v/>
      </c>
      <c r="GTP22" s="73" t="str">
        <f t="shared" si="82"/>
        <v/>
      </c>
      <c r="GTQ22" s="73" t="str">
        <f t="shared" si="82"/>
        <v/>
      </c>
      <c r="GTR22" s="73" t="str">
        <f t="shared" si="82"/>
        <v/>
      </c>
      <c r="GTS22" s="73" t="str">
        <f t="shared" si="82"/>
        <v/>
      </c>
      <c r="GTT22" s="73" t="str">
        <f t="shared" si="82"/>
        <v/>
      </c>
      <c r="GTU22" s="73" t="str">
        <f t="shared" si="82"/>
        <v/>
      </c>
      <c r="GTV22" s="73" t="str">
        <f t="shared" si="82"/>
        <v/>
      </c>
      <c r="GTW22" s="73" t="str">
        <f t="shared" si="82"/>
        <v/>
      </c>
      <c r="GTX22" s="73" t="str">
        <f t="shared" si="82"/>
        <v/>
      </c>
      <c r="GTY22" s="73" t="str">
        <f t="shared" si="82"/>
        <v/>
      </c>
      <c r="GTZ22" s="73" t="str">
        <f t="shared" si="82"/>
        <v/>
      </c>
      <c r="GUA22" s="73" t="str">
        <f t="shared" si="82"/>
        <v/>
      </c>
      <c r="GUB22" s="73" t="str">
        <f t="shared" si="82"/>
        <v/>
      </c>
      <c r="GUC22" s="73" t="str">
        <f t="shared" si="82"/>
        <v/>
      </c>
      <c r="GUD22" s="73" t="str">
        <f t="shared" si="82"/>
        <v/>
      </c>
      <c r="GUE22" s="73" t="str">
        <f t="shared" si="82"/>
        <v/>
      </c>
      <c r="GUF22" s="73" t="str">
        <f t="shared" si="82"/>
        <v/>
      </c>
      <c r="GUG22" s="73" t="str">
        <f t="shared" si="82"/>
        <v/>
      </c>
      <c r="GUH22" s="73" t="str">
        <f t="shared" si="82"/>
        <v/>
      </c>
      <c r="GUI22" s="73" t="str">
        <f t="shared" si="82"/>
        <v/>
      </c>
      <c r="GUJ22" s="73" t="str">
        <f t="shared" si="82"/>
        <v/>
      </c>
      <c r="GUK22" s="73" t="str">
        <f t="shared" si="82"/>
        <v/>
      </c>
      <c r="GUL22" s="73" t="str">
        <f t="shared" si="82"/>
        <v/>
      </c>
      <c r="GUM22" s="73" t="str">
        <f t="shared" si="82"/>
        <v/>
      </c>
      <c r="GUN22" s="73" t="str">
        <f t="shared" si="82"/>
        <v/>
      </c>
      <c r="GUO22" s="73" t="str">
        <f t="shared" si="82"/>
        <v/>
      </c>
      <c r="GUP22" s="73" t="str">
        <f t="shared" si="82"/>
        <v/>
      </c>
      <c r="GUQ22" s="73" t="str">
        <f t="shared" si="82"/>
        <v/>
      </c>
      <c r="GUR22" s="73" t="str">
        <f t="shared" si="82"/>
        <v/>
      </c>
      <c r="GUS22" s="73" t="str">
        <f t="shared" si="82"/>
        <v/>
      </c>
      <c r="GUT22" s="73" t="str">
        <f t="shared" si="82"/>
        <v/>
      </c>
      <c r="GUU22" s="73" t="str">
        <f t="shared" si="82"/>
        <v/>
      </c>
      <c r="GUV22" s="73" t="str">
        <f t="shared" si="82"/>
        <v/>
      </c>
      <c r="GUW22" s="73" t="str">
        <f t="shared" si="82"/>
        <v/>
      </c>
      <c r="GUX22" s="73" t="str">
        <f t="shared" si="82"/>
        <v/>
      </c>
      <c r="GUY22" s="73" t="str">
        <f t="shared" si="82"/>
        <v/>
      </c>
      <c r="GUZ22" s="73" t="str">
        <f t="shared" si="82"/>
        <v/>
      </c>
      <c r="GVA22" s="73" t="str">
        <f t="shared" si="82"/>
        <v/>
      </c>
      <c r="GVB22" s="73" t="str">
        <f t="shared" si="82"/>
        <v/>
      </c>
      <c r="GVC22" s="73" t="str">
        <f t="shared" si="82"/>
        <v/>
      </c>
      <c r="GVD22" s="73" t="str">
        <f t="shared" si="82"/>
        <v/>
      </c>
      <c r="GVE22" s="73" t="str">
        <f t="shared" si="82"/>
        <v/>
      </c>
      <c r="GVF22" s="73" t="str">
        <f t="shared" si="82"/>
        <v/>
      </c>
      <c r="GVG22" s="73" t="str">
        <f t="shared" si="82"/>
        <v/>
      </c>
      <c r="GVH22" s="73" t="str">
        <f t="shared" si="82"/>
        <v/>
      </c>
      <c r="GVI22" s="73" t="str">
        <f t="shared" si="82"/>
        <v/>
      </c>
      <c r="GVJ22" s="73" t="str">
        <f t="shared" si="82"/>
        <v/>
      </c>
      <c r="GVK22" s="73" t="str">
        <f t="shared" si="82"/>
        <v/>
      </c>
      <c r="GVL22" s="73" t="str">
        <f t="shared" si="82"/>
        <v/>
      </c>
      <c r="GVM22" s="73" t="str">
        <f t="shared" si="82"/>
        <v/>
      </c>
      <c r="GVN22" s="73" t="str">
        <f t="shared" ref="GVN22:GXY22" si="83">IFERROR(AVERAGE(GVN6:GVN21),"")</f>
        <v/>
      </c>
      <c r="GVO22" s="73" t="str">
        <f t="shared" si="83"/>
        <v/>
      </c>
      <c r="GVP22" s="73" t="str">
        <f t="shared" si="83"/>
        <v/>
      </c>
      <c r="GVQ22" s="73" t="str">
        <f t="shared" si="83"/>
        <v/>
      </c>
      <c r="GVR22" s="73" t="str">
        <f t="shared" si="83"/>
        <v/>
      </c>
      <c r="GVS22" s="73" t="str">
        <f t="shared" si="83"/>
        <v/>
      </c>
      <c r="GVT22" s="73" t="str">
        <f t="shared" si="83"/>
        <v/>
      </c>
      <c r="GVU22" s="73" t="str">
        <f t="shared" si="83"/>
        <v/>
      </c>
      <c r="GVV22" s="73" t="str">
        <f t="shared" si="83"/>
        <v/>
      </c>
      <c r="GVW22" s="73" t="str">
        <f t="shared" si="83"/>
        <v/>
      </c>
      <c r="GVX22" s="73" t="str">
        <f t="shared" si="83"/>
        <v/>
      </c>
      <c r="GVY22" s="73" t="str">
        <f t="shared" si="83"/>
        <v/>
      </c>
      <c r="GVZ22" s="73" t="str">
        <f t="shared" si="83"/>
        <v/>
      </c>
      <c r="GWA22" s="73" t="str">
        <f t="shared" si="83"/>
        <v/>
      </c>
      <c r="GWB22" s="73" t="str">
        <f t="shared" si="83"/>
        <v/>
      </c>
      <c r="GWC22" s="73" t="str">
        <f t="shared" si="83"/>
        <v/>
      </c>
      <c r="GWD22" s="73" t="str">
        <f t="shared" si="83"/>
        <v/>
      </c>
      <c r="GWE22" s="73" t="str">
        <f t="shared" si="83"/>
        <v/>
      </c>
      <c r="GWF22" s="73" t="str">
        <f t="shared" si="83"/>
        <v/>
      </c>
      <c r="GWG22" s="73" t="str">
        <f t="shared" si="83"/>
        <v/>
      </c>
      <c r="GWH22" s="73" t="str">
        <f t="shared" si="83"/>
        <v/>
      </c>
      <c r="GWI22" s="73" t="str">
        <f t="shared" si="83"/>
        <v/>
      </c>
      <c r="GWJ22" s="73" t="str">
        <f t="shared" si="83"/>
        <v/>
      </c>
      <c r="GWK22" s="73" t="str">
        <f t="shared" si="83"/>
        <v/>
      </c>
      <c r="GWL22" s="73" t="str">
        <f t="shared" si="83"/>
        <v/>
      </c>
      <c r="GWM22" s="73" t="str">
        <f t="shared" si="83"/>
        <v/>
      </c>
      <c r="GWN22" s="73" t="str">
        <f t="shared" si="83"/>
        <v/>
      </c>
      <c r="GWO22" s="73" t="str">
        <f t="shared" si="83"/>
        <v/>
      </c>
      <c r="GWP22" s="73" t="str">
        <f t="shared" si="83"/>
        <v/>
      </c>
      <c r="GWQ22" s="73" t="str">
        <f t="shared" si="83"/>
        <v/>
      </c>
      <c r="GWR22" s="73" t="str">
        <f t="shared" si="83"/>
        <v/>
      </c>
      <c r="GWS22" s="73" t="str">
        <f t="shared" si="83"/>
        <v/>
      </c>
      <c r="GWT22" s="73" t="str">
        <f t="shared" si="83"/>
        <v/>
      </c>
      <c r="GWU22" s="73" t="str">
        <f t="shared" si="83"/>
        <v/>
      </c>
      <c r="GWV22" s="73" t="str">
        <f t="shared" si="83"/>
        <v/>
      </c>
      <c r="GWW22" s="73" t="str">
        <f t="shared" si="83"/>
        <v/>
      </c>
      <c r="GWX22" s="73" t="str">
        <f t="shared" si="83"/>
        <v/>
      </c>
      <c r="GWY22" s="73" t="str">
        <f t="shared" si="83"/>
        <v/>
      </c>
      <c r="GWZ22" s="73" t="str">
        <f t="shared" si="83"/>
        <v/>
      </c>
      <c r="GXA22" s="73" t="str">
        <f t="shared" si="83"/>
        <v/>
      </c>
      <c r="GXB22" s="73" t="str">
        <f t="shared" si="83"/>
        <v/>
      </c>
      <c r="GXC22" s="73" t="str">
        <f t="shared" si="83"/>
        <v/>
      </c>
      <c r="GXD22" s="73" t="str">
        <f t="shared" si="83"/>
        <v/>
      </c>
      <c r="GXE22" s="73" t="str">
        <f t="shared" si="83"/>
        <v/>
      </c>
      <c r="GXF22" s="73" t="str">
        <f t="shared" si="83"/>
        <v/>
      </c>
      <c r="GXG22" s="73" t="str">
        <f t="shared" si="83"/>
        <v/>
      </c>
      <c r="GXH22" s="73" t="str">
        <f t="shared" si="83"/>
        <v/>
      </c>
      <c r="GXI22" s="73" t="str">
        <f t="shared" si="83"/>
        <v/>
      </c>
      <c r="GXJ22" s="73" t="str">
        <f t="shared" si="83"/>
        <v/>
      </c>
      <c r="GXK22" s="73" t="str">
        <f t="shared" si="83"/>
        <v/>
      </c>
      <c r="GXL22" s="73" t="str">
        <f t="shared" si="83"/>
        <v/>
      </c>
      <c r="GXM22" s="73" t="str">
        <f t="shared" si="83"/>
        <v/>
      </c>
      <c r="GXN22" s="73" t="str">
        <f t="shared" si="83"/>
        <v/>
      </c>
      <c r="GXO22" s="73" t="str">
        <f t="shared" si="83"/>
        <v/>
      </c>
      <c r="GXP22" s="73" t="str">
        <f t="shared" si="83"/>
        <v/>
      </c>
      <c r="GXQ22" s="73" t="str">
        <f t="shared" si="83"/>
        <v/>
      </c>
      <c r="GXR22" s="73" t="str">
        <f t="shared" si="83"/>
        <v/>
      </c>
      <c r="GXS22" s="73" t="str">
        <f t="shared" si="83"/>
        <v/>
      </c>
      <c r="GXT22" s="73" t="str">
        <f t="shared" si="83"/>
        <v/>
      </c>
      <c r="GXU22" s="73" t="str">
        <f t="shared" si="83"/>
        <v/>
      </c>
      <c r="GXV22" s="73" t="str">
        <f t="shared" si="83"/>
        <v/>
      </c>
      <c r="GXW22" s="73" t="str">
        <f t="shared" si="83"/>
        <v/>
      </c>
      <c r="GXX22" s="73" t="str">
        <f t="shared" si="83"/>
        <v/>
      </c>
      <c r="GXY22" s="73" t="str">
        <f t="shared" si="83"/>
        <v/>
      </c>
      <c r="GXZ22" s="73" t="str">
        <f t="shared" ref="GXZ22:HAK22" si="84">IFERROR(AVERAGE(GXZ6:GXZ21),"")</f>
        <v/>
      </c>
      <c r="GYA22" s="73" t="str">
        <f t="shared" si="84"/>
        <v/>
      </c>
      <c r="GYB22" s="73" t="str">
        <f t="shared" si="84"/>
        <v/>
      </c>
      <c r="GYC22" s="73" t="str">
        <f t="shared" si="84"/>
        <v/>
      </c>
      <c r="GYD22" s="73" t="str">
        <f t="shared" si="84"/>
        <v/>
      </c>
      <c r="GYE22" s="73" t="str">
        <f t="shared" si="84"/>
        <v/>
      </c>
      <c r="GYF22" s="73" t="str">
        <f t="shared" si="84"/>
        <v/>
      </c>
      <c r="GYG22" s="73" t="str">
        <f t="shared" si="84"/>
        <v/>
      </c>
      <c r="GYH22" s="73" t="str">
        <f t="shared" si="84"/>
        <v/>
      </c>
      <c r="GYI22" s="73" t="str">
        <f t="shared" si="84"/>
        <v/>
      </c>
      <c r="GYJ22" s="73" t="str">
        <f t="shared" si="84"/>
        <v/>
      </c>
      <c r="GYK22" s="73" t="str">
        <f t="shared" si="84"/>
        <v/>
      </c>
      <c r="GYL22" s="73" t="str">
        <f t="shared" si="84"/>
        <v/>
      </c>
      <c r="GYM22" s="73" t="str">
        <f t="shared" si="84"/>
        <v/>
      </c>
      <c r="GYN22" s="73" t="str">
        <f t="shared" si="84"/>
        <v/>
      </c>
      <c r="GYO22" s="73" t="str">
        <f t="shared" si="84"/>
        <v/>
      </c>
      <c r="GYP22" s="73" t="str">
        <f t="shared" si="84"/>
        <v/>
      </c>
      <c r="GYQ22" s="73" t="str">
        <f t="shared" si="84"/>
        <v/>
      </c>
      <c r="GYR22" s="73" t="str">
        <f t="shared" si="84"/>
        <v/>
      </c>
      <c r="GYS22" s="73" t="str">
        <f t="shared" si="84"/>
        <v/>
      </c>
      <c r="GYT22" s="73" t="str">
        <f t="shared" si="84"/>
        <v/>
      </c>
      <c r="GYU22" s="73" t="str">
        <f t="shared" si="84"/>
        <v/>
      </c>
      <c r="GYV22" s="73" t="str">
        <f t="shared" si="84"/>
        <v/>
      </c>
      <c r="GYW22" s="73" t="str">
        <f t="shared" si="84"/>
        <v/>
      </c>
      <c r="GYX22" s="73" t="str">
        <f t="shared" si="84"/>
        <v/>
      </c>
      <c r="GYY22" s="73" t="str">
        <f t="shared" si="84"/>
        <v/>
      </c>
      <c r="GYZ22" s="73" t="str">
        <f t="shared" si="84"/>
        <v/>
      </c>
      <c r="GZA22" s="73" t="str">
        <f t="shared" si="84"/>
        <v/>
      </c>
      <c r="GZB22" s="73" t="str">
        <f t="shared" si="84"/>
        <v/>
      </c>
      <c r="GZC22" s="73" t="str">
        <f t="shared" si="84"/>
        <v/>
      </c>
      <c r="GZD22" s="73" t="str">
        <f t="shared" si="84"/>
        <v/>
      </c>
      <c r="GZE22" s="73" t="str">
        <f t="shared" si="84"/>
        <v/>
      </c>
      <c r="GZF22" s="73" t="str">
        <f t="shared" si="84"/>
        <v/>
      </c>
      <c r="GZG22" s="73" t="str">
        <f t="shared" si="84"/>
        <v/>
      </c>
      <c r="GZH22" s="73" t="str">
        <f t="shared" si="84"/>
        <v/>
      </c>
      <c r="GZI22" s="73" t="str">
        <f t="shared" si="84"/>
        <v/>
      </c>
      <c r="GZJ22" s="73" t="str">
        <f t="shared" si="84"/>
        <v/>
      </c>
      <c r="GZK22" s="73" t="str">
        <f t="shared" si="84"/>
        <v/>
      </c>
      <c r="GZL22" s="73" t="str">
        <f t="shared" si="84"/>
        <v/>
      </c>
      <c r="GZM22" s="73" t="str">
        <f t="shared" si="84"/>
        <v/>
      </c>
      <c r="GZN22" s="73" t="str">
        <f t="shared" si="84"/>
        <v/>
      </c>
      <c r="GZO22" s="73" t="str">
        <f t="shared" si="84"/>
        <v/>
      </c>
      <c r="GZP22" s="73" t="str">
        <f t="shared" si="84"/>
        <v/>
      </c>
      <c r="GZQ22" s="73" t="str">
        <f t="shared" si="84"/>
        <v/>
      </c>
      <c r="GZR22" s="73" t="str">
        <f t="shared" si="84"/>
        <v/>
      </c>
      <c r="GZS22" s="73" t="str">
        <f t="shared" si="84"/>
        <v/>
      </c>
      <c r="GZT22" s="73" t="str">
        <f t="shared" si="84"/>
        <v/>
      </c>
      <c r="GZU22" s="73" t="str">
        <f t="shared" si="84"/>
        <v/>
      </c>
      <c r="GZV22" s="73" t="str">
        <f t="shared" si="84"/>
        <v/>
      </c>
      <c r="GZW22" s="73" t="str">
        <f t="shared" si="84"/>
        <v/>
      </c>
      <c r="GZX22" s="73" t="str">
        <f t="shared" si="84"/>
        <v/>
      </c>
      <c r="GZY22" s="73" t="str">
        <f t="shared" si="84"/>
        <v/>
      </c>
      <c r="GZZ22" s="73" t="str">
        <f t="shared" si="84"/>
        <v/>
      </c>
      <c r="HAA22" s="73" t="str">
        <f t="shared" si="84"/>
        <v/>
      </c>
      <c r="HAB22" s="73" t="str">
        <f t="shared" si="84"/>
        <v/>
      </c>
      <c r="HAC22" s="73" t="str">
        <f t="shared" si="84"/>
        <v/>
      </c>
      <c r="HAD22" s="73" t="str">
        <f t="shared" si="84"/>
        <v/>
      </c>
      <c r="HAE22" s="73" t="str">
        <f t="shared" si="84"/>
        <v/>
      </c>
      <c r="HAF22" s="73" t="str">
        <f t="shared" si="84"/>
        <v/>
      </c>
      <c r="HAG22" s="73" t="str">
        <f t="shared" si="84"/>
        <v/>
      </c>
      <c r="HAH22" s="73" t="str">
        <f t="shared" si="84"/>
        <v/>
      </c>
      <c r="HAI22" s="73" t="str">
        <f t="shared" si="84"/>
        <v/>
      </c>
      <c r="HAJ22" s="73" t="str">
        <f t="shared" si="84"/>
        <v/>
      </c>
      <c r="HAK22" s="73" t="str">
        <f t="shared" si="84"/>
        <v/>
      </c>
      <c r="HAL22" s="73" t="str">
        <f t="shared" ref="HAL22:HCW22" si="85">IFERROR(AVERAGE(HAL6:HAL21),"")</f>
        <v/>
      </c>
      <c r="HAM22" s="73" t="str">
        <f t="shared" si="85"/>
        <v/>
      </c>
      <c r="HAN22" s="73" t="str">
        <f t="shared" si="85"/>
        <v/>
      </c>
      <c r="HAO22" s="73" t="str">
        <f t="shared" si="85"/>
        <v/>
      </c>
      <c r="HAP22" s="73" t="str">
        <f t="shared" si="85"/>
        <v/>
      </c>
      <c r="HAQ22" s="73" t="str">
        <f t="shared" si="85"/>
        <v/>
      </c>
      <c r="HAR22" s="73" t="str">
        <f t="shared" si="85"/>
        <v/>
      </c>
      <c r="HAS22" s="73" t="str">
        <f t="shared" si="85"/>
        <v/>
      </c>
      <c r="HAT22" s="73" t="str">
        <f t="shared" si="85"/>
        <v/>
      </c>
      <c r="HAU22" s="73" t="str">
        <f t="shared" si="85"/>
        <v/>
      </c>
      <c r="HAV22" s="73" t="str">
        <f t="shared" si="85"/>
        <v/>
      </c>
      <c r="HAW22" s="73" t="str">
        <f t="shared" si="85"/>
        <v/>
      </c>
      <c r="HAX22" s="73" t="str">
        <f t="shared" si="85"/>
        <v/>
      </c>
      <c r="HAY22" s="73" t="str">
        <f t="shared" si="85"/>
        <v/>
      </c>
      <c r="HAZ22" s="73" t="str">
        <f t="shared" si="85"/>
        <v/>
      </c>
      <c r="HBA22" s="73" t="str">
        <f t="shared" si="85"/>
        <v/>
      </c>
      <c r="HBB22" s="73" t="str">
        <f t="shared" si="85"/>
        <v/>
      </c>
      <c r="HBC22" s="73" t="str">
        <f t="shared" si="85"/>
        <v/>
      </c>
      <c r="HBD22" s="73" t="str">
        <f t="shared" si="85"/>
        <v/>
      </c>
      <c r="HBE22" s="73" t="str">
        <f t="shared" si="85"/>
        <v/>
      </c>
      <c r="HBF22" s="73" t="str">
        <f t="shared" si="85"/>
        <v/>
      </c>
      <c r="HBG22" s="73" t="str">
        <f t="shared" si="85"/>
        <v/>
      </c>
      <c r="HBH22" s="73" t="str">
        <f t="shared" si="85"/>
        <v/>
      </c>
      <c r="HBI22" s="73" t="str">
        <f t="shared" si="85"/>
        <v/>
      </c>
      <c r="HBJ22" s="73" t="str">
        <f t="shared" si="85"/>
        <v/>
      </c>
      <c r="HBK22" s="73" t="str">
        <f t="shared" si="85"/>
        <v/>
      </c>
      <c r="HBL22" s="73" t="str">
        <f t="shared" si="85"/>
        <v/>
      </c>
      <c r="HBM22" s="73" t="str">
        <f t="shared" si="85"/>
        <v/>
      </c>
      <c r="HBN22" s="73" t="str">
        <f t="shared" si="85"/>
        <v/>
      </c>
      <c r="HBO22" s="73" t="str">
        <f t="shared" si="85"/>
        <v/>
      </c>
      <c r="HBP22" s="73" t="str">
        <f t="shared" si="85"/>
        <v/>
      </c>
      <c r="HBQ22" s="73" t="str">
        <f t="shared" si="85"/>
        <v/>
      </c>
      <c r="HBR22" s="73" t="str">
        <f t="shared" si="85"/>
        <v/>
      </c>
      <c r="HBS22" s="73" t="str">
        <f t="shared" si="85"/>
        <v/>
      </c>
      <c r="HBT22" s="73" t="str">
        <f t="shared" si="85"/>
        <v/>
      </c>
      <c r="HBU22" s="73" t="str">
        <f t="shared" si="85"/>
        <v/>
      </c>
      <c r="HBV22" s="73" t="str">
        <f t="shared" si="85"/>
        <v/>
      </c>
      <c r="HBW22" s="73" t="str">
        <f t="shared" si="85"/>
        <v/>
      </c>
      <c r="HBX22" s="73" t="str">
        <f t="shared" si="85"/>
        <v/>
      </c>
      <c r="HBY22" s="73" t="str">
        <f t="shared" si="85"/>
        <v/>
      </c>
      <c r="HBZ22" s="73" t="str">
        <f t="shared" si="85"/>
        <v/>
      </c>
      <c r="HCA22" s="73" t="str">
        <f t="shared" si="85"/>
        <v/>
      </c>
      <c r="HCB22" s="73" t="str">
        <f t="shared" si="85"/>
        <v/>
      </c>
      <c r="HCC22" s="73" t="str">
        <f t="shared" si="85"/>
        <v/>
      </c>
      <c r="HCD22" s="73" t="str">
        <f t="shared" si="85"/>
        <v/>
      </c>
      <c r="HCE22" s="73" t="str">
        <f t="shared" si="85"/>
        <v/>
      </c>
      <c r="HCF22" s="73" t="str">
        <f t="shared" si="85"/>
        <v/>
      </c>
      <c r="HCG22" s="73" t="str">
        <f t="shared" si="85"/>
        <v/>
      </c>
      <c r="HCH22" s="73" t="str">
        <f t="shared" si="85"/>
        <v/>
      </c>
      <c r="HCI22" s="73" t="str">
        <f t="shared" si="85"/>
        <v/>
      </c>
      <c r="HCJ22" s="73" t="str">
        <f t="shared" si="85"/>
        <v/>
      </c>
      <c r="HCK22" s="73" t="str">
        <f t="shared" si="85"/>
        <v/>
      </c>
      <c r="HCL22" s="73" t="str">
        <f t="shared" si="85"/>
        <v/>
      </c>
      <c r="HCM22" s="73" t="str">
        <f t="shared" si="85"/>
        <v/>
      </c>
      <c r="HCN22" s="73" t="str">
        <f t="shared" si="85"/>
        <v/>
      </c>
      <c r="HCO22" s="73" t="str">
        <f t="shared" si="85"/>
        <v/>
      </c>
      <c r="HCP22" s="73" t="str">
        <f t="shared" si="85"/>
        <v/>
      </c>
      <c r="HCQ22" s="73" t="str">
        <f t="shared" si="85"/>
        <v/>
      </c>
      <c r="HCR22" s="73" t="str">
        <f t="shared" si="85"/>
        <v/>
      </c>
      <c r="HCS22" s="73" t="str">
        <f t="shared" si="85"/>
        <v/>
      </c>
      <c r="HCT22" s="73" t="str">
        <f t="shared" si="85"/>
        <v/>
      </c>
      <c r="HCU22" s="73" t="str">
        <f t="shared" si="85"/>
        <v/>
      </c>
      <c r="HCV22" s="73" t="str">
        <f t="shared" si="85"/>
        <v/>
      </c>
      <c r="HCW22" s="73" t="str">
        <f t="shared" si="85"/>
        <v/>
      </c>
      <c r="HCX22" s="73" t="str">
        <f t="shared" ref="HCX22:HFI22" si="86">IFERROR(AVERAGE(HCX6:HCX21),"")</f>
        <v/>
      </c>
      <c r="HCY22" s="73" t="str">
        <f t="shared" si="86"/>
        <v/>
      </c>
      <c r="HCZ22" s="73" t="str">
        <f t="shared" si="86"/>
        <v/>
      </c>
      <c r="HDA22" s="73" t="str">
        <f t="shared" si="86"/>
        <v/>
      </c>
      <c r="HDB22" s="73" t="str">
        <f t="shared" si="86"/>
        <v/>
      </c>
      <c r="HDC22" s="73" t="str">
        <f t="shared" si="86"/>
        <v/>
      </c>
      <c r="HDD22" s="73" t="str">
        <f t="shared" si="86"/>
        <v/>
      </c>
      <c r="HDE22" s="73" t="str">
        <f t="shared" si="86"/>
        <v/>
      </c>
      <c r="HDF22" s="73" t="str">
        <f t="shared" si="86"/>
        <v/>
      </c>
      <c r="HDG22" s="73" t="str">
        <f t="shared" si="86"/>
        <v/>
      </c>
      <c r="HDH22" s="73" t="str">
        <f t="shared" si="86"/>
        <v/>
      </c>
      <c r="HDI22" s="73" t="str">
        <f t="shared" si="86"/>
        <v/>
      </c>
      <c r="HDJ22" s="73" t="str">
        <f t="shared" si="86"/>
        <v/>
      </c>
      <c r="HDK22" s="73" t="str">
        <f t="shared" si="86"/>
        <v/>
      </c>
      <c r="HDL22" s="73" t="str">
        <f t="shared" si="86"/>
        <v/>
      </c>
      <c r="HDM22" s="73" t="str">
        <f t="shared" si="86"/>
        <v/>
      </c>
      <c r="HDN22" s="73" t="str">
        <f t="shared" si="86"/>
        <v/>
      </c>
      <c r="HDO22" s="73" t="str">
        <f t="shared" si="86"/>
        <v/>
      </c>
      <c r="HDP22" s="73" t="str">
        <f t="shared" si="86"/>
        <v/>
      </c>
      <c r="HDQ22" s="73" t="str">
        <f t="shared" si="86"/>
        <v/>
      </c>
      <c r="HDR22" s="73" t="str">
        <f t="shared" si="86"/>
        <v/>
      </c>
      <c r="HDS22" s="73" t="str">
        <f t="shared" si="86"/>
        <v/>
      </c>
      <c r="HDT22" s="73" t="str">
        <f t="shared" si="86"/>
        <v/>
      </c>
      <c r="HDU22" s="73" t="str">
        <f t="shared" si="86"/>
        <v/>
      </c>
      <c r="HDV22" s="73" t="str">
        <f t="shared" si="86"/>
        <v/>
      </c>
      <c r="HDW22" s="73" t="str">
        <f t="shared" si="86"/>
        <v/>
      </c>
      <c r="HDX22" s="73" t="str">
        <f t="shared" si="86"/>
        <v/>
      </c>
      <c r="HDY22" s="73" t="str">
        <f t="shared" si="86"/>
        <v/>
      </c>
      <c r="HDZ22" s="73" t="str">
        <f t="shared" si="86"/>
        <v/>
      </c>
      <c r="HEA22" s="73" t="str">
        <f t="shared" si="86"/>
        <v/>
      </c>
      <c r="HEB22" s="73" t="str">
        <f t="shared" si="86"/>
        <v/>
      </c>
      <c r="HEC22" s="73" t="str">
        <f t="shared" si="86"/>
        <v/>
      </c>
      <c r="HED22" s="73" t="str">
        <f t="shared" si="86"/>
        <v/>
      </c>
      <c r="HEE22" s="73" t="str">
        <f t="shared" si="86"/>
        <v/>
      </c>
      <c r="HEF22" s="73" t="str">
        <f t="shared" si="86"/>
        <v/>
      </c>
      <c r="HEG22" s="73" t="str">
        <f t="shared" si="86"/>
        <v/>
      </c>
      <c r="HEH22" s="73" t="str">
        <f t="shared" si="86"/>
        <v/>
      </c>
      <c r="HEI22" s="73" t="str">
        <f t="shared" si="86"/>
        <v/>
      </c>
      <c r="HEJ22" s="73" t="str">
        <f t="shared" si="86"/>
        <v/>
      </c>
      <c r="HEK22" s="73" t="str">
        <f t="shared" si="86"/>
        <v/>
      </c>
      <c r="HEL22" s="73" t="str">
        <f t="shared" si="86"/>
        <v/>
      </c>
      <c r="HEM22" s="73" t="str">
        <f t="shared" si="86"/>
        <v/>
      </c>
      <c r="HEN22" s="73" t="str">
        <f t="shared" si="86"/>
        <v/>
      </c>
      <c r="HEO22" s="73" t="str">
        <f t="shared" si="86"/>
        <v/>
      </c>
      <c r="HEP22" s="73" t="str">
        <f t="shared" si="86"/>
        <v/>
      </c>
      <c r="HEQ22" s="73" t="str">
        <f t="shared" si="86"/>
        <v/>
      </c>
      <c r="HER22" s="73" t="str">
        <f t="shared" si="86"/>
        <v/>
      </c>
      <c r="HES22" s="73" t="str">
        <f t="shared" si="86"/>
        <v/>
      </c>
      <c r="HET22" s="73" t="str">
        <f t="shared" si="86"/>
        <v/>
      </c>
      <c r="HEU22" s="73" t="str">
        <f t="shared" si="86"/>
        <v/>
      </c>
      <c r="HEV22" s="73" t="str">
        <f t="shared" si="86"/>
        <v/>
      </c>
      <c r="HEW22" s="73" t="str">
        <f t="shared" si="86"/>
        <v/>
      </c>
      <c r="HEX22" s="73" t="str">
        <f t="shared" si="86"/>
        <v/>
      </c>
      <c r="HEY22" s="73" t="str">
        <f t="shared" si="86"/>
        <v/>
      </c>
      <c r="HEZ22" s="73" t="str">
        <f t="shared" si="86"/>
        <v/>
      </c>
      <c r="HFA22" s="73" t="str">
        <f t="shared" si="86"/>
        <v/>
      </c>
      <c r="HFB22" s="73" t="str">
        <f t="shared" si="86"/>
        <v/>
      </c>
      <c r="HFC22" s="73" t="str">
        <f t="shared" si="86"/>
        <v/>
      </c>
      <c r="HFD22" s="73" t="str">
        <f t="shared" si="86"/>
        <v/>
      </c>
      <c r="HFE22" s="73" t="str">
        <f t="shared" si="86"/>
        <v/>
      </c>
      <c r="HFF22" s="73" t="str">
        <f t="shared" si="86"/>
        <v/>
      </c>
      <c r="HFG22" s="73" t="str">
        <f t="shared" si="86"/>
        <v/>
      </c>
      <c r="HFH22" s="73" t="str">
        <f t="shared" si="86"/>
        <v/>
      </c>
      <c r="HFI22" s="73" t="str">
        <f t="shared" si="86"/>
        <v/>
      </c>
      <c r="HFJ22" s="73" t="str">
        <f t="shared" ref="HFJ22:HHU22" si="87">IFERROR(AVERAGE(HFJ6:HFJ21),"")</f>
        <v/>
      </c>
      <c r="HFK22" s="73" t="str">
        <f t="shared" si="87"/>
        <v/>
      </c>
      <c r="HFL22" s="73" t="str">
        <f t="shared" si="87"/>
        <v/>
      </c>
      <c r="HFM22" s="73" t="str">
        <f t="shared" si="87"/>
        <v/>
      </c>
      <c r="HFN22" s="73" t="str">
        <f t="shared" si="87"/>
        <v/>
      </c>
      <c r="HFO22" s="73" t="str">
        <f t="shared" si="87"/>
        <v/>
      </c>
      <c r="HFP22" s="73" t="str">
        <f t="shared" si="87"/>
        <v/>
      </c>
      <c r="HFQ22" s="73" t="str">
        <f t="shared" si="87"/>
        <v/>
      </c>
      <c r="HFR22" s="73" t="str">
        <f t="shared" si="87"/>
        <v/>
      </c>
      <c r="HFS22" s="73" t="str">
        <f t="shared" si="87"/>
        <v/>
      </c>
      <c r="HFT22" s="73" t="str">
        <f t="shared" si="87"/>
        <v/>
      </c>
      <c r="HFU22" s="73" t="str">
        <f t="shared" si="87"/>
        <v/>
      </c>
      <c r="HFV22" s="73" t="str">
        <f t="shared" si="87"/>
        <v/>
      </c>
      <c r="HFW22" s="73" t="str">
        <f t="shared" si="87"/>
        <v/>
      </c>
      <c r="HFX22" s="73" t="str">
        <f t="shared" si="87"/>
        <v/>
      </c>
      <c r="HFY22" s="73" t="str">
        <f t="shared" si="87"/>
        <v/>
      </c>
      <c r="HFZ22" s="73" t="str">
        <f t="shared" si="87"/>
        <v/>
      </c>
      <c r="HGA22" s="73" t="str">
        <f t="shared" si="87"/>
        <v/>
      </c>
      <c r="HGB22" s="73" t="str">
        <f t="shared" si="87"/>
        <v/>
      </c>
      <c r="HGC22" s="73" t="str">
        <f t="shared" si="87"/>
        <v/>
      </c>
      <c r="HGD22" s="73" t="str">
        <f t="shared" si="87"/>
        <v/>
      </c>
      <c r="HGE22" s="73" t="str">
        <f t="shared" si="87"/>
        <v/>
      </c>
      <c r="HGF22" s="73" t="str">
        <f t="shared" si="87"/>
        <v/>
      </c>
      <c r="HGG22" s="73" t="str">
        <f t="shared" si="87"/>
        <v/>
      </c>
      <c r="HGH22" s="73" t="str">
        <f t="shared" si="87"/>
        <v/>
      </c>
      <c r="HGI22" s="73" t="str">
        <f t="shared" si="87"/>
        <v/>
      </c>
      <c r="HGJ22" s="73" t="str">
        <f t="shared" si="87"/>
        <v/>
      </c>
      <c r="HGK22" s="73" t="str">
        <f t="shared" si="87"/>
        <v/>
      </c>
      <c r="HGL22" s="73" t="str">
        <f t="shared" si="87"/>
        <v/>
      </c>
      <c r="HGM22" s="73" t="str">
        <f t="shared" si="87"/>
        <v/>
      </c>
      <c r="HGN22" s="73" t="str">
        <f t="shared" si="87"/>
        <v/>
      </c>
      <c r="HGO22" s="73" t="str">
        <f t="shared" si="87"/>
        <v/>
      </c>
      <c r="HGP22" s="73" t="str">
        <f t="shared" si="87"/>
        <v/>
      </c>
      <c r="HGQ22" s="73" t="str">
        <f t="shared" si="87"/>
        <v/>
      </c>
      <c r="HGR22" s="73" t="str">
        <f t="shared" si="87"/>
        <v/>
      </c>
      <c r="HGS22" s="73" t="str">
        <f t="shared" si="87"/>
        <v/>
      </c>
      <c r="HGT22" s="73" t="str">
        <f t="shared" si="87"/>
        <v/>
      </c>
      <c r="HGU22" s="73" t="str">
        <f t="shared" si="87"/>
        <v/>
      </c>
      <c r="HGV22" s="73" t="str">
        <f t="shared" si="87"/>
        <v/>
      </c>
      <c r="HGW22" s="73" t="str">
        <f t="shared" si="87"/>
        <v/>
      </c>
      <c r="HGX22" s="73" t="str">
        <f t="shared" si="87"/>
        <v/>
      </c>
      <c r="HGY22" s="73" t="str">
        <f t="shared" si="87"/>
        <v/>
      </c>
      <c r="HGZ22" s="73" t="str">
        <f t="shared" si="87"/>
        <v/>
      </c>
      <c r="HHA22" s="73" t="str">
        <f t="shared" si="87"/>
        <v/>
      </c>
      <c r="HHB22" s="73" t="str">
        <f t="shared" si="87"/>
        <v/>
      </c>
      <c r="HHC22" s="73" t="str">
        <f t="shared" si="87"/>
        <v/>
      </c>
      <c r="HHD22" s="73" t="str">
        <f t="shared" si="87"/>
        <v/>
      </c>
      <c r="HHE22" s="73" t="str">
        <f t="shared" si="87"/>
        <v/>
      </c>
      <c r="HHF22" s="73" t="str">
        <f t="shared" si="87"/>
        <v/>
      </c>
      <c r="HHG22" s="73" t="str">
        <f t="shared" si="87"/>
        <v/>
      </c>
      <c r="HHH22" s="73" t="str">
        <f t="shared" si="87"/>
        <v/>
      </c>
      <c r="HHI22" s="73" t="str">
        <f t="shared" si="87"/>
        <v/>
      </c>
      <c r="HHJ22" s="73" t="str">
        <f t="shared" si="87"/>
        <v/>
      </c>
      <c r="HHK22" s="73" t="str">
        <f t="shared" si="87"/>
        <v/>
      </c>
      <c r="HHL22" s="73" t="str">
        <f t="shared" si="87"/>
        <v/>
      </c>
      <c r="HHM22" s="73" t="str">
        <f t="shared" si="87"/>
        <v/>
      </c>
      <c r="HHN22" s="73" t="str">
        <f t="shared" si="87"/>
        <v/>
      </c>
      <c r="HHO22" s="73" t="str">
        <f t="shared" si="87"/>
        <v/>
      </c>
      <c r="HHP22" s="73" t="str">
        <f t="shared" si="87"/>
        <v/>
      </c>
      <c r="HHQ22" s="73" t="str">
        <f t="shared" si="87"/>
        <v/>
      </c>
      <c r="HHR22" s="73" t="str">
        <f t="shared" si="87"/>
        <v/>
      </c>
      <c r="HHS22" s="73" t="str">
        <f t="shared" si="87"/>
        <v/>
      </c>
      <c r="HHT22" s="73" t="str">
        <f t="shared" si="87"/>
        <v/>
      </c>
      <c r="HHU22" s="73" t="str">
        <f t="shared" si="87"/>
        <v/>
      </c>
      <c r="HHV22" s="73" t="str">
        <f t="shared" ref="HHV22:HKG22" si="88">IFERROR(AVERAGE(HHV6:HHV21),"")</f>
        <v/>
      </c>
      <c r="HHW22" s="73" t="str">
        <f t="shared" si="88"/>
        <v/>
      </c>
      <c r="HHX22" s="73" t="str">
        <f t="shared" si="88"/>
        <v/>
      </c>
      <c r="HHY22" s="73" t="str">
        <f t="shared" si="88"/>
        <v/>
      </c>
      <c r="HHZ22" s="73" t="str">
        <f t="shared" si="88"/>
        <v/>
      </c>
      <c r="HIA22" s="73" t="str">
        <f t="shared" si="88"/>
        <v/>
      </c>
      <c r="HIB22" s="73" t="str">
        <f t="shared" si="88"/>
        <v/>
      </c>
      <c r="HIC22" s="73" t="str">
        <f t="shared" si="88"/>
        <v/>
      </c>
      <c r="HID22" s="73" t="str">
        <f t="shared" si="88"/>
        <v/>
      </c>
      <c r="HIE22" s="73" t="str">
        <f t="shared" si="88"/>
        <v/>
      </c>
      <c r="HIF22" s="73" t="str">
        <f t="shared" si="88"/>
        <v/>
      </c>
      <c r="HIG22" s="73" t="str">
        <f t="shared" si="88"/>
        <v/>
      </c>
      <c r="HIH22" s="73" t="str">
        <f t="shared" si="88"/>
        <v/>
      </c>
      <c r="HII22" s="73" t="str">
        <f t="shared" si="88"/>
        <v/>
      </c>
      <c r="HIJ22" s="73" t="str">
        <f t="shared" si="88"/>
        <v/>
      </c>
      <c r="HIK22" s="73" t="str">
        <f t="shared" si="88"/>
        <v/>
      </c>
      <c r="HIL22" s="73" t="str">
        <f t="shared" si="88"/>
        <v/>
      </c>
      <c r="HIM22" s="73" t="str">
        <f t="shared" si="88"/>
        <v/>
      </c>
      <c r="HIN22" s="73" t="str">
        <f t="shared" si="88"/>
        <v/>
      </c>
      <c r="HIO22" s="73" t="str">
        <f t="shared" si="88"/>
        <v/>
      </c>
      <c r="HIP22" s="73" t="str">
        <f t="shared" si="88"/>
        <v/>
      </c>
      <c r="HIQ22" s="73" t="str">
        <f t="shared" si="88"/>
        <v/>
      </c>
      <c r="HIR22" s="73" t="str">
        <f t="shared" si="88"/>
        <v/>
      </c>
      <c r="HIS22" s="73" t="str">
        <f t="shared" si="88"/>
        <v/>
      </c>
      <c r="HIT22" s="73" t="str">
        <f t="shared" si="88"/>
        <v/>
      </c>
      <c r="HIU22" s="73" t="str">
        <f t="shared" si="88"/>
        <v/>
      </c>
      <c r="HIV22" s="73" t="str">
        <f t="shared" si="88"/>
        <v/>
      </c>
      <c r="HIW22" s="73" t="str">
        <f t="shared" si="88"/>
        <v/>
      </c>
      <c r="HIX22" s="73" t="str">
        <f t="shared" si="88"/>
        <v/>
      </c>
      <c r="HIY22" s="73" t="str">
        <f t="shared" si="88"/>
        <v/>
      </c>
      <c r="HIZ22" s="73" t="str">
        <f t="shared" si="88"/>
        <v/>
      </c>
      <c r="HJA22" s="73" t="str">
        <f t="shared" si="88"/>
        <v/>
      </c>
      <c r="HJB22" s="73" t="str">
        <f t="shared" si="88"/>
        <v/>
      </c>
      <c r="HJC22" s="73" t="str">
        <f t="shared" si="88"/>
        <v/>
      </c>
      <c r="HJD22" s="73" t="str">
        <f t="shared" si="88"/>
        <v/>
      </c>
      <c r="HJE22" s="73" t="str">
        <f t="shared" si="88"/>
        <v/>
      </c>
      <c r="HJF22" s="73" t="str">
        <f t="shared" si="88"/>
        <v/>
      </c>
      <c r="HJG22" s="73" t="str">
        <f t="shared" si="88"/>
        <v/>
      </c>
      <c r="HJH22" s="73" t="str">
        <f t="shared" si="88"/>
        <v/>
      </c>
      <c r="HJI22" s="73" t="str">
        <f t="shared" si="88"/>
        <v/>
      </c>
      <c r="HJJ22" s="73" t="str">
        <f t="shared" si="88"/>
        <v/>
      </c>
      <c r="HJK22" s="73" t="str">
        <f t="shared" si="88"/>
        <v/>
      </c>
      <c r="HJL22" s="73" t="str">
        <f t="shared" si="88"/>
        <v/>
      </c>
      <c r="HJM22" s="73" t="str">
        <f t="shared" si="88"/>
        <v/>
      </c>
      <c r="HJN22" s="73" t="str">
        <f t="shared" si="88"/>
        <v/>
      </c>
      <c r="HJO22" s="73" t="str">
        <f t="shared" si="88"/>
        <v/>
      </c>
      <c r="HJP22" s="73" t="str">
        <f t="shared" si="88"/>
        <v/>
      </c>
      <c r="HJQ22" s="73" t="str">
        <f t="shared" si="88"/>
        <v/>
      </c>
      <c r="HJR22" s="73" t="str">
        <f t="shared" si="88"/>
        <v/>
      </c>
      <c r="HJS22" s="73" t="str">
        <f t="shared" si="88"/>
        <v/>
      </c>
      <c r="HJT22" s="73" t="str">
        <f t="shared" si="88"/>
        <v/>
      </c>
      <c r="HJU22" s="73" t="str">
        <f t="shared" si="88"/>
        <v/>
      </c>
      <c r="HJV22" s="73" t="str">
        <f t="shared" si="88"/>
        <v/>
      </c>
      <c r="HJW22" s="73" t="str">
        <f t="shared" si="88"/>
        <v/>
      </c>
      <c r="HJX22" s="73" t="str">
        <f t="shared" si="88"/>
        <v/>
      </c>
      <c r="HJY22" s="73" t="str">
        <f t="shared" si="88"/>
        <v/>
      </c>
      <c r="HJZ22" s="73" t="str">
        <f t="shared" si="88"/>
        <v/>
      </c>
      <c r="HKA22" s="73" t="str">
        <f t="shared" si="88"/>
        <v/>
      </c>
      <c r="HKB22" s="73" t="str">
        <f t="shared" si="88"/>
        <v/>
      </c>
      <c r="HKC22" s="73" t="str">
        <f t="shared" si="88"/>
        <v/>
      </c>
      <c r="HKD22" s="73" t="str">
        <f t="shared" si="88"/>
        <v/>
      </c>
      <c r="HKE22" s="73" t="str">
        <f t="shared" si="88"/>
        <v/>
      </c>
      <c r="HKF22" s="73" t="str">
        <f t="shared" si="88"/>
        <v/>
      </c>
      <c r="HKG22" s="73" t="str">
        <f t="shared" si="88"/>
        <v/>
      </c>
      <c r="HKH22" s="73" t="str">
        <f t="shared" ref="HKH22:HMS22" si="89">IFERROR(AVERAGE(HKH6:HKH21),"")</f>
        <v/>
      </c>
      <c r="HKI22" s="73" t="str">
        <f t="shared" si="89"/>
        <v/>
      </c>
      <c r="HKJ22" s="73" t="str">
        <f t="shared" si="89"/>
        <v/>
      </c>
      <c r="HKK22" s="73" t="str">
        <f t="shared" si="89"/>
        <v/>
      </c>
      <c r="HKL22" s="73" t="str">
        <f t="shared" si="89"/>
        <v/>
      </c>
      <c r="HKM22" s="73" t="str">
        <f t="shared" si="89"/>
        <v/>
      </c>
      <c r="HKN22" s="73" t="str">
        <f t="shared" si="89"/>
        <v/>
      </c>
      <c r="HKO22" s="73" t="str">
        <f t="shared" si="89"/>
        <v/>
      </c>
      <c r="HKP22" s="73" t="str">
        <f t="shared" si="89"/>
        <v/>
      </c>
      <c r="HKQ22" s="73" t="str">
        <f t="shared" si="89"/>
        <v/>
      </c>
      <c r="HKR22" s="73" t="str">
        <f t="shared" si="89"/>
        <v/>
      </c>
      <c r="HKS22" s="73" t="str">
        <f t="shared" si="89"/>
        <v/>
      </c>
      <c r="HKT22" s="73" t="str">
        <f t="shared" si="89"/>
        <v/>
      </c>
      <c r="HKU22" s="73" t="str">
        <f t="shared" si="89"/>
        <v/>
      </c>
      <c r="HKV22" s="73" t="str">
        <f t="shared" si="89"/>
        <v/>
      </c>
      <c r="HKW22" s="73" t="str">
        <f t="shared" si="89"/>
        <v/>
      </c>
      <c r="HKX22" s="73" t="str">
        <f t="shared" si="89"/>
        <v/>
      </c>
      <c r="HKY22" s="73" t="str">
        <f t="shared" si="89"/>
        <v/>
      </c>
      <c r="HKZ22" s="73" t="str">
        <f t="shared" si="89"/>
        <v/>
      </c>
      <c r="HLA22" s="73" t="str">
        <f t="shared" si="89"/>
        <v/>
      </c>
      <c r="HLB22" s="73" t="str">
        <f t="shared" si="89"/>
        <v/>
      </c>
      <c r="HLC22" s="73" t="str">
        <f t="shared" si="89"/>
        <v/>
      </c>
      <c r="HLD22" s="73" t="str">
        <f t="shared" si="89"/>
        <v/>
      </c>
      <c r="HLE22" s="73" t="str">
        <f t="shared" si="89"/>
        <v/>
      </c>
      <c r="HLF22" s="73" t="str">
        <f t="shared" si="89"/>
        <v/>
      </c>
      <c r="HLG22" s="73" t="str">
        <f t="shared" si="89"/>
        <v/>
      </c>
      <c r="HLH22" s="73" t="str">
        <f t="shared" si="89"/>
        <v/>
      </c>
      <c r="HLI22" s="73" t="str">
        <f t="shared" si="89"/>
        <v/>
      </c>
      <c r="HLJ22" s="73" t="str">
        <f t="shared" si="89"/>
        <v/>
      </c>
      <c r="HLK22" s="73" t="str">
        <f t="shared" si="89"/>
        <v/>
      </c>
      <c r="HLL22" s="73" t="str">
        <f t="shared" si="89"/>
        <v/>
      </c>
      <c r="HLM22" s="73" t="str">
        <f t="shared" si="89"/>
        <v/>
      </c>
      <c r="HLN22" s="73" t="str">
        <f t="shared" si="89"/>
        <v/>
      </c>
      <c r="HLO22" s="73" t="str">
        <f t="shared" si="89"/>
        <v/>
      </c>
      <c r="HLP22" s="73" t="str">
        <f t="shared" si="89"/>
        <v/>
      </c>
      <c r="HLQ22" s="73" t="str">
        <f t="shared" si="89"/>
        <v/>
      </c>
      <c r="HLR22" s="73" t="str">
        <f t="shared" si="89"/>
        <v/>
      </c>
      <c r="HLS22" s="73" t="str">
        <f t="shared" si="89"/>
        <v/>
      </c>
      <c r="HLT22" s="73" t="str">
        <f t="shared" si="89"/>
        <v/>
      </c>
      <c r="HLU22" s="73" t="str">
        <f t="shared" si="89"/>
        <v/>
      </c>
      <c r="HLV22" s="73" t="str">
        <f t="shared" si="89"/>
        <v/>
      </c>
      <c r="HLW22" s="73" t="str">
        <f t="shared" si="89"/>
        <v/>
      </c>
      <c r="HLX22" s="73" t="str">
        <f t="shared" si="89"/>
        <v/>
      </c>
      <c r="HLY22" s="73" t="str">
        <f t="shared" si="89"/>
        <v/>
      </c>
      <c r="HLZ22" s="73" t="str">
        <f t="shared" si="89"/>
        <v/>
      </c>
      <c r="HMA22" s="73" t="str">
        <f t="shared" si="89"/>
        <v/>
      </c>
      <c r="HMB22" s="73" t="str">
        <f t="shared" si="89"/>
        <v/>
      </c>
      <c r="HMC22" s="73" t="str">
        <f t="shared" si="89"/>
        <v/>
      </c>
      <c r="HMD22" s="73" t="str">
        <f t="shared" si="89"/>
        <v/>
      </c>
      <c r="HME22" s="73" t="str">
        <f t="shared" si="89"/>
        <v/>
      </c>
      <c r="HMF22" s="73" t="str">
        <f t="shared" si="89"/>
        <v/>
      </c>
      <c r="HMG22" s="73" t="str">
        <f t="shared" si="89"/>
        <v/>
      </c>
      <c r="HMH22" s="73" t="str">
        <f t="shared" si="89"/>
        <v/>
      </c>
      <c r="HMI22" s="73" t="str">
        <f t="shared" si="89"/>
        <v/>
      </c>
      <c r="HMJ22" s="73" t="str">
        <f t="shared" si="89"/>
        <v/>
      </c>
      <c r="HMK22" s="73" t="str">
        <f t="shared" si="89"/>
        <v/>
      </c>
      <c r="HML22" s="73" t="str">
        <f t="shared" si="89"/>
        <v/>
      </c>
      <c r="HMM22" s="73" t="str">
        <f t="shared" si="89"/>
        <v/>
      </c>
      <c r="HMN22" s="73" t="str">
        <f t="shared" si="89"/>
        <v/>
      </c>
      <c r="HMO22" s="73" t="str">
        <f t="shared" si="89"/>
        <v/>
      </c>
      <c r="HMP22" s="73" t="str">
        <f t="shared" si="89"/>
        <v/>
      </c>
      <c r="HMQ22" s="73" t="str">
        <f t="shared" si="89"/>
        <v/>
      </c>
      <c r="HMR22" s="73" t="str">
        <f t="shared" si="89"/>
        <v/>
      </c>
      <c r="HMS22" s="73" t="str">
        <f t="shared" si="89"/>
        <v/>
      </c>
      <c r="HMT22" s="73" t="str">
        <f t="shared" ref="HMT22:HPE22" si="90">IFERROR(AVERAGE(HMT6:HMT21),"")</f>
        <v/>
      </c>
      <c r="HMU22" s="73" t="str">
        <f t="shared" si="90"/>
        <v/>
      </c>
      <c r="HMV22" s="73" t="str">
        <f t="shared" si="90"/>
        <v/>
      </c>
      <c r="HMW22" s="73" t="str">
        <f t="shared" si="90"/>
        <v/>
      </c>
      <c r="HMX22" s="73" t="str">
        <f t="shared" si="90"/>
        <v/>
      </c>
      <c r="HMY22" s="73" t="str">
        <f t="shared" si="90"/>
        <v/>
      </c>
      <c r="HMZ22" s="73" t="str">
        <f t="shared" si="90"/>
        <v/>
      </c>
      <c r="HNA22" s="73" t="str">
        <f t="shared" si="90"/>
        <v/>
      </c>
      <c r="HNB22" s="73" t="str">
        <f t="shared" si="90"/>
        <v/>
      </c>
      <c r="HNC22" s="73" t="str">
        <f t="shared" si="90"/>
        <v/>
      </c>
      <c r="HND22" s="73" t="str">
        <f t="shared" si="90"/>
        <v/>
      </c>
      <c r="HNE22" s="73" t="str">
        <f t="shared" si="90"/>
        <v/>
      </c>
      <c r="HNF22" s="73" t="str">
        <f t="shared" si="90"/>
        <v/>
      </c>
      <c r="HNG22" s="73" t="str">
        <f t="shared" si="90"/>
        <v/>
      </c>
      <c r="HNH22" s="73" t="str">
        <f t="shared" si="90"/>
        <v/>
      </c>
      <c r="HNI22" s="73" t="str">
        <f t="shared" si="90"/>
        <v/>
      </c>
      <c r="HNJ22" s="73" t="str">
        <f t="shared" si="90"/>
        <v/>
      </c>
      <c r="HNK22" s="73" t="str">
        <f t="shared" si="90"/>
        <v/>
      </c>
      <c r="HNL22" s="73" t="str">
        <f t="shared" si="90"/>
        <v/>
      </c>
      <c r="HNM22" s="73" t="str">
        <f t="shared" si="90"/>
        <v/>
      </c>
      <c r="HNN22" s="73" t="str">
        <f t="shared" si="90"/>
        <v/>
      </c>
      <c r="HNO22" s="73" t="str">
        <f t="shared" si="90"/>
        <v/>
      </c>
      <c r="HNP22" s="73" t="str">
        <f t="shared" si="90"/>
        <v/>
      </c>
      <c r="HNQ22" s="73" t="str">
        <f t="shared" si="90"/>
        <v/>
      </c>
      <c r="HNR22" s="73" t="str">
        <f t="shared" si="90"/>
        <v/>
      </c>
      <c r="HNS22" s="73" t="str">
        <f t="shared" si="90"/>
        <v/>
      </c>
      <c r="HNT22" s="73" t="str">
        <f t="shared" si="90"/>
        <v/>
      </c>
      <c r="HNU22" s="73" t="str">
        <f t="shared" si="90"/>
        <v/>
      </c>
      <c r="HNV22" s="73" t="str">
        <f t="shared" si="90"/>
        <v/>
      </c>
      <c r="HNW22" s="73" t="str">
        <f t="shared" si="90"/>
        <v/>
      </c>
      <c r="HNX22" s="73" t="str">
        <f t="shared" si="90"/>
        <v/>
      </c>
      <c r="HNY22" s="73" t="str">
        <f t="shared" si="90"/>
        <v/>
      </c>
      <c r="HNZ22" s="73" t="str">
        <f t="shared" si="90"/>
        <v/>
      </c>
      <c r="HOA22" s="73" t="str">
        <f t="shared" si="90"/>
        <v/>
      </c>
      <c r="HOB22" s="73" t="str">
        <f t="shared" si="90"/>
        <v/>
      </c>
      <c r="HOC22" s="73" t="str">
        <f t="shared" si="90"/>
        <v/>
      </c>
      <c r="HOD22" s="73" t="str">
        <f t="shared" si="90"/>
        <v/>
      </c>
      <c r="HOE22" s="73" t="str">
        <f t="shared" si="90"/>
        <v/>
      </c>
      <c r="HOF22" s="73" t="str">
        <f t="shared" si="90"/>
        <v/>
      </c>
      <c r="HOG22" s="73" t="str">
        <f t="shared" si="90"/>
        <v/>
      </c>
      <c r="HOH22" s="73" t="str">
        <f t="shared" si="90"/>
        <v/>
      </c>
      <c r="HOI22" s="73" t="str">
        <f t="shared" si="90"/>
        <v/>
      </c>
      <c r="HOJ22" s="73" t="str">
        <f t="shared" si="90"/>
        <v/>
      </c>
      <c r="HOK22" s="73" t="str">
        <f t="shared" si="90"/>
        <v/>
      </c>
      <c r="HOL22" s="73" t="str">
        <f t="shared" si="90"/>
        <v/>
      </c>
      <c r="HOM22" s="73" t="str">
        <f t="shared" si="90"/>
        <v/>
      </c>
      <c r="HON22" s="73" t="str">
        <f t="shared" si="90"/>
        <v/>
      </c>
      <c r="HOO22" s="73" t="str">
        <f t="shared" si="90"/>
        <v/>
      </c>
      <c r="HOP22" s="73" t="str">
        <f t="shared" si="90"/>
        <v/>
      </c>
      <c r="HOQ22" s="73" t="str">
        <f t="shared" si="90"/>
        <v/>
      </c>
      <c r="HOR22" s="73" t="str">
        <f t="shared" si="90"/>
        <v/>
      </c>
      <c r="HOS22" s="73" t="str">
        <f t="shared" si="90"/>
        <v/>
      </c>
      <c r="HOT22" s="73" t="str">
        <f t="shared" si="90"/>
        <v/>
      </c>
      <c r="HOU22" s="73" t="str">
        <f t="shared" si="90"/>
        <v/>
      </c>
      <c r="HOV22" s="73" t="str">
        <f t="shared" si="90"/>
        <v/>
      </c>
      <c r="HOW22" s="73" t="str">
        <f t="shared" si="90"/>
        <v/>
      </c>
      <c r="HOX22" s="73" t="str">
        <f t="shared" si="90"/>
        <v/>
      </c>
      <c r="HOY22" s="73" t="str">
        <f t="shared" si="90"/>
        <v/>
      </c>
      <c r="HOZ22" s="73" t="str">
        <f t="shared" si="90"/>
        <v/>
      </c>
      <c r="HPA22" s="73" t="str">
        <f t="shared" si="90"/>
        <v/>
      </c>
      <c r="HPB22" s="73" t="str">
        <f t="shared" si="90"/>
        <v/>
      </c>
      <c r="HPC22" s="73" t="str">
        <f t="shared" si="90"/>
        <v/>
      </c>
      <c r="HPD22" s="73" t="str">
        <f t="shared" si="90"/>
        <v/>
      </c>
      <c r="HPE22" s="73" t="str">
        <f t="shared" si="90"/>
        <v/>
      </c>
      <c r="HPF22" s="73" t="str">
        <f t="shared" ref="HPF22:HRQ22" si="91">IFERROR(AVERAGE(HPF6:HPF21),"")</f>
        <v/>
      </c>
      <c r="HPG22" s="73" t="str">
        <f t="shared" si="91"/>
        <v/>
      </c>
      <c r="HPH22" s="73" t="str">
        <f t="shared" si="91"/>
        <v/>
      </c>
      <c r="HPI22" s="73" t="str">
        <f t="shared" si="91"/>
        <v/>
      </c>
      <c r="HPJ22" s="73" t="str">
        <f t="shared" si="91"/>
        <v/>
      </c>
      <c r="HPK22" s="73" t="str">
        <f t="shared" si="91"/>
        <v/>
      </c>
      <c r="HPL22" s="73" t="str">
        <f t="shared" si="91"/>
        <v/>
      </c>
      <c r="HPM22" s="73" t="str">
        <f t="shared" si="91"/>
        <v/>
      </c>
      <c r="HPN22" s="73" t="str">
        <f t="shared" si="91"/>
        <v/>
      </c>
      <c r="HPO22" s="73" t="str">
        <f t="shared" si="91"/>
        <v/>
      </c>
      <c r="HPP22" s="73" t="str">
        <f t="shared" si="91"/>
        <v/>
      </c>
      <c r="HPQ22" s="73" t="str">
        <f t="shared" si="91"/>
        <v/>
      </c>
      <c r="HPR22" s="73" t="str">
        <f t="shared" si="91"/>
        <v/>
      </c>
      <c r="HPS22" s="73" t="str">
        <f t="shared" si="91"/>
        <v/>
      </c>
      <c r="HPT22" s="73" t="str">
        <f t="shared" si="91"/>
        <v/>
      </c>
      <c r="HPU22" s="73" t="str">
        <f t="shared" si="91"/>
        <v/>
      </c>
      <c r="HPV22" s="73" t="str">
        <f t="shared" si="91"/>
        <v/>
      </c>
      <c r="HPW22" s="73" t="str">
        <f t="shared" si="91"/>
        <v/>
      </c>
      <c r="HPX22" s="73" t="str">
        <f t="shared" si="91"/>
        <v/>
      </c>
      <c r="HPY22" s="73" t="str">
        <f t="shared" si="91"/>
        <v/>
      </c>
      <c r="HPZ22" s="73" t="str">
        <f t="shared" si="91"/>
        <v/>
      </c>
      <c r="HQA22" s="73" t="str">
        <f t="shared" si="91"/>
        <v/>
      </c>
      <c r="HQB22" s="73" t="str">
        <f t="shared" si="91"/>
        <v/>
      </c>
      <c r="HQC22" s="73" t="str">
        <f t="shared" si="91"/>
        <v/>
      </c>
      <c r="HQD22" s="73" t="str">
        <f t="shared" si="91"/>
        <v/>
      </c>
      <c r="HQE22" s="73" t="str">
        <f t="shared" si="91"/>
        <v/>
      </c>
      <c r="HQF22" s="73" t="str">
        <f t="shared" si="91"/>
        <v/>
      </c>
      <c r="HQG22" s="73" t="str">
        <f t="shared" si="91"/>
        <v/>
      </c>
      <c r="HQH22" s="73" t="str">
        <f t="shared" si="91"/>
        <v/>
      </c>
      <c r="HQI22" s="73" t="str">
        <f t="shared" si="91"/>
        <v/>
      </c>
      <c r="HQJ22" s="73" t="str">
        <f t="shared" si="91"/>
        <v/>
      </c>
      <c r="HQK22" s="73" t="str">
        <f t="shared" si="91"/>
        <v/>
      </c>
      <c r="HQL22" s="73" t="str">
        <f t="shared" si="91"/>
        <v/>
      </c>
      <c r="HQM22" s="73" t="str">
        <f t="shared" si="91"/>
        <v/>
      </c>
      <c r="HQN22" s="73" t="str">
        <f t="shared" si="91"/>
        <v/>
      </c>
      <c r="HQO22" s="73" t="str">
        <f t="shared" si="91"/>
        <v/>
      </c>
      <c r="HQP22" s="73" t="str">
        <f t="shared" si="91"/>
        <v/>
      </c>
      <c r="HQQ22" s="73" t="str">
        <f t="shared" si="91"/>
        <v/>
      </c>
      <c r="HQR22" s="73" t="str">
        <f t="shared" si="91"/>
        <v/>
      </c>
      <c r="HQS22" s="73" t="str">
        <f t="shared" si="91"/>
        <v/>
      </c>
      <c r="HQT22" s="73" t="str">
        <f t="shared" si="91"/>
        <v/>
      </c>
      <c r="HQU22" s="73" t="str">
        <f t="shared" si="91"/>
        <v/>
      </c>
      <c r="HQV22" s="73" t="str">
        <f t="shared" si="91"/>
        <v/>
      </c>
      <c r="HQW22" s="73" t="str">
        <f t="shared" si="91"/>
        <v/>
      </c>
      <c r="HQX22" s="73" t="str">
        <f t="shared" si="91"/>
        <v/>
      </c>
      <c r="HQY22" s="73" t="str">
        <f t="shared" si="91"/>
        <v/>
      </c>
      <c r="HQZ22" s="73" t="str">
        <f t="shared" si="91"/>
        <v/>
      </c>
      <c r="HRA22" s="73" t="str">
        <f t="shared" si="91"/>
        <v/>
      </c>
      <c r="HRB22" s="73" t="str">
        <f t="shared" si="91"/>
        <v/>
      </c>
      <c r="HRC22" s="73" t="str">
        <f t="shared" si="91"/>
        <v/>
      </c>
      <c r="HRD22" s="73" t="str">
        <f t="shared" si="91"/>
        <v/>
      </c>
      <c r="HRE22" s="73" t="str">
        <f t="shared" si="91"/>
        <v/>
      </c>
      <c r="HRF22" s="73" t="str">
        <f t="shared" si="91"/>
        <v/>
      </c>
      <c r="HRG22" s="73" t="str">
        <f t="shared" si="91"/>
        <v/>
      </c>
      <c r="HRH22" s="73" t="str">
        <f t="shared" si="91"/>
        <v/>
      </c>
      <c r="HRI22" s="73" t="str">
        <f t="shared" si="91"/>
        <v/>
      </c>
      <c r="HRJ22" s="73" t="str">
        <f t="shared" si="91"/>
        <v/>
      </c>
      <c r="HRK22" s="73" t="str">
        <f t="shared" si="91"/>
        <v/>
      </c>
      <c r="HRL22" s="73" t="str">
        <f t="shared" si="91"/>
        <v/>
      </c>
      <c r="HRM22" s="73" t="str">
        <f t="shared" si="91"/>
        <v/>
      </c>
      <c r="HRN22" s="73" t="str">
        <f t="shared" si="91"/>
        <v/>
      </c>
      <c r="HRO22" s="73" t="str">
        <f t="shared" si="91"/>
        <v/>
      </c>
      <c r="HRP22" s="73" t="str">
        <f t="shared" si="91"/>
        <v/>
      </c>
      <c r="HRQ22" s="73" t="str">
        <f t="shared" si="91"/>
        <v/>
      </c>
      <c r="HRR22" s="73" t="str">
        <f t="shared" ref="HRR22:HUC22" si="92">IFERROR(AVERAGE(HRR6:HRR21),"")</f>
        <v/>
      </c>
      <c r="HRS22" s="73" t="str">
        <f t="shared" si="92"/>
        <v/>
      </c>
      <c r="HRT22" s="73" t="str">
        <f t="shared" si="92"/>
        <v/>
      </c>
      <c r="HRU22" s="73" t="str">
        <f t="shared" si="92"/>
        <v/>
      </c>
      <c r="HRV22" s="73" t="str">
        <f t="shared" si="92"/>
        <v/>
      </c>
      <c r="HRW22" s="73" t="str">
        <f t="shared" si="92"/>
        <v/>
      </c>
      <c r="HRX22" s="73" t="str">
        <f t="shared" si="92"/>
        <v/>
      </c>
      <c r="HRY22" s="73" t="str">
        <f t="shared" si="92"/>
        <v/>
      </c>
      <c r="HRZ22" s="73" t="str">
        <f t="shared" si="92"/>
        <v/>
      </c>
      <c r="HSA22" s="73" t="str">
        <f t="shared" si="92"/>
        <v/>
      </c>
      <c r="HSB22" s="73" t="str">
        <f t="shared" si="92"/>
        <v/>
      </c>
      <c r="HSC22" s="73" t="str">
        <f t="shared" si="92"/>
        <v/>
      </c>
      <c r="HSD22" s="73" t="str">
        <f t="shared" si="92"/>
        <v/>
      </c>
      <c r="HSE22" s="73" t="str">
        <f t="shared" si="92"/>
        <v/>
      </c>
      <c r="HSF22" s="73" t="str">
        <f t="shared" si="92"/>
        <v/>
      </c>
      <c r="HSG22" s="73" t="str">
        <f t="shared" si="92"/>
        <v/>
      </c>
      <c r="HSH22" s="73" t="str">
        <f t="shared" si="92"/>
        <v/>
      </c>
      <c r="HSI22" s="73" t="str">
        <f t="shared" si="92"/>
        <v/>
      </c>
      <c r="HSJ22" s="73" t="str">
        <f t="shared" si="92"/>
        <v/>
      </c>
      <c r="HSK22" s="73" t="str">
        <f t="shared" si="92"/>
        <v/>
      </c>
      <c r="HSL22" s="73" t="str">
        <f t="shared" si="92"/>
        <v/>
      </c>
      <c r="HSM22" s="73" t="str">
        <f t="shared" si="92"/>
        <v/>
      </c>
      <c r="HSN22" s="73" t="str">
        <f t="shared" si="92"/>
        <v/>
      </c>
      <c r="HSO22" s="73" t="str">
        <f t="shared" si="92"/>
        <v/>
      </c>
      <c r="HSP22" s="73" t="str">
        <f t="shared" si="92"/>
        <v/>
      </c>
      <c r="HSQ22" s="73" t="str">
        <f t="shared" si="92"/>
        <v/>
      </c>
      <c r="HSR22" s="73" t="str">
        <f t="shared" si="92"/>
        <v/>
      </c>
      <c r="HSS22" s="73" t="str">
        <f t="shared" si="92"/>
        <v/>
      </c>
      <c r="HST22" s="73" t="str">
        <f t="shared" si="92"/>
        <v/>
      </c>
      <c r="HSU22" s="73" t="str">
        <f t="shared" si="92"/>
        <v/>
      </c>
      <c r="HSV22" s="73" t="str">
        <f t="shared" si="92"/>
        <v/>
      </c>
      <c r="HSW22" s="73" t="str">
        <f t="shared" si="92"/>
        <v/>
      </c>
      <c r="HSX22" s="73" t="str">
        <f t="shared" si="92"/>
        <v/>
      </c>
      <c r="HSY22" s="73" t="str">
        <f t="shared" si="92"/>
        <v/>
      </c>
      <c r="HSZ22" s="73" t="str">
        <f t="shared" si="92"/>
        <v/>
      </c>
      <c r="HTA22" s="73" t="str">
        <f t="shared" si="92"/>
        <v/>
      </c>
      <c r="HTB22" s="73" t="str">
        <f t="shared" si="92"/>
        <v/>
      </c>
      <c r="HTC22" s="73" t="str">
        <f t="shared" si="92"/>
        <v/>
      </c>
      <c r="HTD22" s="73" t="str">
        <f t="shared" si="92"/>
        <v/>
      </c>
      <c r="HTE22" s="73" t="str">
        <f t="shared" si="92"/>
        <v/>
      </c>
      <c r="HTF22" s="73" t="str">
        <f t="shared" si="92"/>
        <v/>
      </c>
      <c r="HTG22" s="73" t="str">
        <f t="shared" si="92"/>
        <v/>
      </c>
      <c r="HTH22" s="73" t="str">
        <f t="shared" si="92"/>
        <v/>
      </c>
      <c r="HTI22" s="73" t="str">
        <f t="shared" si="92"/>
        <v/>
      </c>
      <c r="HTJ22" s="73" t="str">
        <f t="shared" si="92"/>
        <v/>
      </c>
      <c r="HTK22" s="73" t="str">
        <f t="shared" si="92"/>
        <v/>
      </c>
      <c r="HTL22" s="73" t="str">
        <f t="shared" si="92"/>
        <v/>
      </c>
      <c r="HTM22" s="73" t="str">
        <f t="shared" si="92"/>
        <v/>
      </c>
      <c r="HTN22" s="73" t="str">
        <f t="shared" si="92"/>
        <v/>
      </c>
      <c r="HTO22" s="73" t="str">
        <f t="shared" si="92"/>
        <v/>
      </c>
      <c r="HTP22" s="73" t="str">
        <f t="shared" si="92"/>
        <v/>
      </c>
      <c r="HTQ22" s="73" t="str">
        <f t="shared" si="92"/>
        <v/>
      </c>
      <c r="HTR22" s="73" t="str">
        <f t="shared" si="92"/>
        <v/>
      </c>
      <c r="HTS22" s="73" t="str">
        <f t="shared" si="92"/>
        <v/>
      </c>
      <c r="HTT22" s="73" t="str">
        <f t="shared" si="92"/>
        <v/>
      </c>
      <c r="HTU22" s="73" t="str">
        <f t="shared" si="92"/>
        <v/>
      </c>
      <c r="HTV22" s="73" t="str">
        <f t="shared" si="92"/>
        <v/>
      </c>
      <c r="HTW22" s="73" t="str">
        <f t="shared" si="92"/>
        <v/>
      </c>
      <c r="HTX22" s="73" t="str">
        <f t="shared" si="92"/>
        <v/>
      </c>
      <c r="HTY22" s="73" t="str">
        <f t="shared" si="92"/>
        <v/>
      </c>
      <c r="HTZ22" s="73" t="str">
        <f t="shared" si="92"/>
        <v/>
      </c>
      <c r="HUA22" s="73" t="str">
        <f t="shared" si="92"/>
        <v/>
      </c>
      <c r="HUB22" s="73" t="str">
        <f t="shared" si="92"/>
        <v/>
      </c>
      <c r="HUC22" s="73" t="str">
        <f t="shared" si="92"/>
        <v/>
      </c>
      <c r="HUD22" s="73" t="str">
        <f t="shared" ref="HUD22:HWO22" si="93">IFERROR(AVERAGE(HUD6:HUD21),"")</f>
        <v/>
      </c>
      <c r="HUE22" s="73" t="str">
        <f t="shared" si="93"/>
        <v/>
      </c>
      <c r="HUF22" s="73" t="str">
        <f t="shared" si="93"/>
        <v/>
      </c>
      <c r="HUG22" s="73" t="str">
        <f t="shared" si="93"/>
        <v/>
      </c>
      <c r="HUH22" s="73" t="str">
        <f t="shared" si="93"/>
        <v/>
      </c>
      <c r="HUI22" s="73" t="str">
        <f t="shared" si="93"/>
        <v/>
      </c>
      <c r="HUJ22" s="73" t="str">
        <f t="shared" si="93"/>
        <v/>
      </c>
      <c r="HUK22" s="73" t="str">
        <f t="shared" si="93"/>
        <v/>
      </c>
      <c r="HUL22" s="73" t="str">
        <f t="shared" si="93"/>
        <v/>
      </c>
      <c r="HUM22" s="73" t="str">
        <f t="shared" si="93"/>
        <v/>
      </c>
      <c r="HUN22" s="73" t="str">
        <f t="shared" si="93"/>
        <v/>
      </c>
      <c r="HUO22" s="73" t="str">
        <f t="shared" si="93"/>
        <v/>
      </c>
      <c r="HUP22" s="73" t="str">
        <f t="shared" si="93"/>
        <v/>
      </c>
      <c r="HUQ22" s="73" t="str">
        <f t="shared" si="93"/>
        <v/>
      </c>
      <c r="HUR22" s="73" t="str">
        <f t="shared" si="93"/>
        <v/>
      </c>
      <c r="HUS22" s="73" t="str">
        <f t="shared" si="93"/>
        <v/>
      </c>
      <c r="HUT22" s="73" t="str">
        <f t="shared" si="93"/>
        <v/>
      </c>
      <c r="HUU22" s="73" t="str">
        <f t="shared" si="93"/>
        <v/>
      </c>
      <c r="HUV22" s="73" t="str">
        <f t="shared" si="93"/>
        <v/>
      </c>
      <c r="HUW22" s="73" t="str">
        <f t="shared" si="93"/>
        <v/>
      </c>
      <c r="HUX22" s="73" t="str">
        <f t="shared" si="93"/>
        <v/>
      </c>
      <c r="HUY22" s="73" t="str">
        <f t="shared" si="93"/>
        <v/>
      </c>
      <c r="HUZ22" s="73" t="str">
        <f t="shared" si="93"/>
        <v/>
      </c>
      <c r="HVA22" s="73" t="str">
        <f t="shared" si="93"/>
        <v/>
      </c>
      <c r="HVB22" s="73" t="str">
        <f t="shared" si="93"/>
        <v/>
      </c>
      <c r="HVC22" s="73" t="str">
        <f t="shared" si="93"/>
        <v/>
      </c>
      <c r="HVD22" s="73" t="str">
        <f t="shared" si="93"/>
        <v/>
      </c>
      <c r="HVE22" s="73" t="str">
        <f t="shared" si="93"/>
        <v/>
      </c>
      <c r="HVF22" s="73" t="str">
        <f t="shared" si="93"/>
        <v/>
      </c>
      <c r="HVG22" s="73" t="str">
        <f t="shared" si="93"/>
        <v/>
      </c>
      <c r="HVH22" s="73" t="str">
        <f t="shared" si="93"/>
        <v/>
      </c>
      <c r="HVI22" s="73" t="str">
        <f t="shared" si="93"/>
        <v/>
      </c>
      <c r="HVJ22" s="73" t="str">
        <f t="shared" si="93"/>
        <v/>
      </c>
      <c r="HVK22" s="73" t="str">
        <f t="shared" si="93"/>
        <v/>
      </c>
      <c r="HVL22" s="73" t="str">
        <f t="shared" si="93"/>
        <v/>
      </c>
      <c r="HVM22" s="73" t="str">
        <f t="shared" si="93"/>
        <v/>
      </c>
      <c r="HVN22" s="73" t="str">
        <f t="shared" si="93"/>
        <v/>
      </c>
      <c r="HVO22" s="73" t="str">
        <f t="shared" si="93"/>
        <v/>
      </c>
      <c r="HVP22" s="73" t="str">
        <f t="shared" si="93"/>
        <v/>
      </c>
      <c r="HVQ22" s="73" t="str">
        <f t="shared" si="93"/>
        <v/>
      </c>
      <c r="HVR22" s="73" t="str">
        <f t="shared" si="93"/>
        <v/>
      </c>
      <c r="HVS22" s="73" t="str">
        <f t="shared" si="93"/>
        <v/>
      </c>
      <c r="HVT22" s="73" t="str">
        <f t="shared" si="93"/>
        <v/>
      </c>
      <c r="HVU22" s="73" t="str">
        <f t="shared" si="93"/>
        <v/>
      </c>
      <c r="HVV22" s="73" t="str">
        <f t="shared" si="93"/>
        <v/>
      </c>
      <c r="HVW22" s="73" t="str">
        <f t="shared" si="93"/>
        <v/>
      </c>
      <c r="HVX22" s="73" t="str">
        <f t="shared" si="93"/>
        <v/>
      </c>
      <c r="HVY22" s="73" t="str">
        <f t="shared" si="93"/>
        <v/>
      </c>
      <c r="HVZ22" s="73" t="str">
        <f t="shared" si="93"/>
        <v/>
      </c>
      <c r="HWA22" s="73" t="str">
        <f t="shared" si="93"/>
        <v/>
      </c>
      <c r="HWB22" s="73" t="str">
        <f t="shared" si="93"/>
        <v/>
      </c>
      <c r="HWC22" s="73" t="str">
        <f t="shared" si="93"/>
        <v/>
      </c>
      <c r="HWD22" s="73" t="str">
        <f t="shared" si="93"/>
        <v/>
      </c>
      <c r="HWE22" s="73" t="str">
        <f t="shared" si="93"/>
        <v/>
      </c>
      <c r="HWF22" s="73" t="str">
        <f t="shared" si="93"/>
        <v/>
      </c>
      <c r="HWG22" s="73" t="str">
        <f t="shared" si="93"/>
        <v/>
      </c>
      <c r="HWH22" s="73" t="str">
        <f t="shared" si="93"/>
        <v/>
      </c>
      <c r="HWI22" s="73" t="str">
        <f t="shared" si="93"/>
        <v/>
      </c>
      <c r="HWJ22" s="73" t="str">
        <f t="shared" si="93"/>
        <v/>
      </c>
      <c r="HWK22" s="73" t="str">
        <f t="shared" si="93"/>
        <v/>
      </c>
      <c r="HWL22" s="73" t="str">
        <f t="shared" si="93"/>
        <v/>
      </c>
      <c r="HWM22" s="73" t="str">
        <f t="shared" si="93"/>
        <v/>
      </c>
      <c r="HWN22" s="73" t="str">
        <f t="shared" si="93"/>
        <v/>
      </c>
      <c r="HWO22" s="73" t="str">
        <f t="shared" si="93"/>
        <v/>
      </c>
      <c r="HWP22" s="73" t="str">
        <f t="shared" ref="HWP22:HZA22" si="94">IFERROR(AVERAGE(HWP6:HWP21),"")</f>
        <v/>
      </c>
      <c r="HWQ22" s="73" t="str">
        <f t="shared" si="94"/>
        <v/>
      </c>
      <c r="HWR22" s="73" t="str">
        <f t="shared" si="94"/>
        <v/>
      </c>
      <c r="HWS22" s="73" t="str">
        <f t="shared" si="94"/>
        <v/>
      </c>
      <c r="HWT22" s="73" t="str">
        <f t="shared" si="94"/>
        <v/>
      </c>
      <c r="HWU22" s="73" t="str">
        <f t="shared" si="94"/>
        <v/>
      </c>
      <c r="HWV22" s="73" t="str">
        <f t="shared" si="94"/>
        <v/>
      </c>
      <c r="HWW22" s="73" t="str">
        <f t="shared" si="94"/>
        <v/>
      </c>
      <c r="HWX22" s="73" t="str">
        <f t="shared" si="94"/>
        <v/>
      </c>
      <c r="HWY22" s="73" t="str">
        <f t="shared" si="94"/>
        <v/>
      </c>
      <c r="HWZ22" s="73" t="str">
        <f t="shared" si="94"/>
        <v/>
      </c>
      <c r="HXA22" s="73" t="str">
        <f t="shared" si="94"/>
        <v/>
      </c>
      <c r="HXB22" s="73" t="str">
        <f t="shared" si="94"/>
        <v/>
      </c>
      <c r="HXC22" s="73" t="str">
        <f t="shared" si="94"/>
        <v/>
      </c>
      <c r="HXD22" s="73" t="str">
        <f t="shared" si="94"/>
        <v/>
      </c>
      <c r="HXE22" s="73" t="str">
        <f t="shared" si="94"/>
        <v/>
      </c>
      <c r="HXF22" s="73" t="str">
        <f t="shared" si="94"/>
        <v/>
      </c>
      <c r="HXG22" s="73" t="str">
        <f t="shared" si="94"/>
        <v/>
      </c>
      <c r="HXH22" s="73" t="str">
        <f t="shared" si="94"/>
        <v/>
      </c>
      <c r="HXI22" s="73" t="str">
        <f t="shared" si="94"/>
        <v/>
      </c>
      <c r="HXJ22" s="73" t="str">
        <f t="shared" si="94"/>
        <v/>
      </c>
      <c r="HXK22" s="73" t="str">
        <f t="shared" si="94"/>
        <v/>
      </c>
      <c r="HXL22" s="73" t="str">
        <f t="shared" si="94"/>
        <v/>
      </c>
      <c r="HXM22" s="73" t="str">
        <f t="shared" si="94"/>
        <v/>
      </c>
      <c r="HXN22" s="73" t="str">
        <f t="shared" si="94"/>
        <v/>
      </c>
      <c r="HXO22" s="73" t="str">
        <f t="shared" si="94"/>
        <v/>
      </c>
      <c r="HXP22" s="73" t="str">
        <f t="shared" si="94"/>
        <v/>
      </c>
      <c r="HXQ22" s="73" t="str">
        <f t="shared" si="94"/>
        <v/>
      </c>
      <c r="HXR22" s="73" t="str">
        <f t="shared" si="94"/>
        <v/>
      </c>
      <c r="HXS22" s="73" t="str">
        <f t="shared" si="94"/>
        <v/>
      </c>
      <c r="HXT22" s="73" t="str">
        <f t="shared" si="94"/>
        <v/>
      </c>
      <c r="HXU22" s="73" t="str">
        <f t="shared" si="94"/>
        <v/>
      </c>
      <c r="HXV22" s="73" t="str">
        <f t="shared" si="94"/>
        <v/>
      </c>
      <c r="HXW22" s="73" t="str">
        <f t="shared" si="94"/>
        <v/>
      </c>
      <c r="HXX22" s="73" t="str">
        <f t="shared" si="94"/>
        <v/>
      </c>
      <c r="HXY22" s="73" t="str">
        <f t="shared" si="94"/>
        <v/>
      </c>
      <c r="HXZ22" s="73" t="str">
        <f t="shared" si="94"/>
        <v/>
      </c>
      <c r="HYA22" s="73" t="str">
        <f t="shared" si="94"/>
        <v/>
      </c>
      <c r="HYB22" s="73" t="str">
        <f t="shared" si="94"/>
        <v/>
      </c>
      <c r="HYC22" s="73" t="str">
        <f t="shared" si="94"/>
        <v/>
      </c>
      <c r="HYD22" s="73" t="str">
        <f t="shared" si="94"/>
        <v/>
      </c>
      <c r="HYE22" s="73" t="str">
        <f t="shared" si="94"/>
        <v/>
      </c>
      <c r="HYF22" s="73" t="str">
        <f t="shared" si="94"/>
        <v/>
      </c>
      <c r="HYG22" s="73" t="str">
        <f t="shared" si="94"/>
        <v/>
      </c>
      <c r="HYH22" s="73" t="str">
        <f t="shared" si="94"/>
        <v/>
      </c>
      <c r="HYI22" s="73" t="str">
        <f t="shared" si="94"/>
        <v/>
      </c>
      <c r="HYJ22" s="73" t="str">
        <f t="shared" si="94"/>
        <v/>
      </c>
      <c r="HYK22" s="73" t="str">
        <f t="shared" si="94"/>
        <v/>
      </c>
      <c r="HYL22" s="73" t="str">
        <f t="shared" si="94"/>
        <v/>
      </c>
      <c r="HYM22" s="73" t="str">
        <f t="shared" si="94"/>
        <v/>
      </c>
      <c r="HYN22" s="73" t="str">
        <f t="shared" si="94"/>
        <v/>
      </c>
      <c r="HYO22" s="73" t="str">
        <f t="shared" si="94"/>
        <v/>
      </c>
      <c r="HYP22" s="73" t="str">
        <f t="shared" si="94"/>
        <v/>
      </c>
      <c r="HYQ22" s="73" t="str">
        <f t="shared" si="94"/>
        <v/>
      </c>
      <c r="HYR22" s="73" t="str">
        <f t="shared" si="94"/>
        <v/>
      </c>
      <c r="HYS22" s="73" t="str">
        <f t="shared" si="94"/>
        <v/>
      </c>
      <c r="HYT22" s="73" t="str">
        <f t="shared" si="94"/>
        <v/>
      </c>
      <c r="HYU22" s="73" t="str">
        <f t="shared" si="94"/>
        <v/>
      </c>
      <c r="HYV22" s="73" t="str">
        <f t="shared" si="94"/>
        <v/>
      </c>
      <c r="HYW22" s="73" t="str">
        <f t="shared" si="94"/>
        <v/>
      </c>
      <c r="HYX22" s="73" t="str">
        <f t="shared" si="94"/>
        <v/>
      </c>
      <c r="HYY22" s="73" t="str">
        <f t="shared" si="94"/>
        <v/>
      </c>
      <c r="HYZ22" s="73" t="str">
        <f t="shared" si="94"/>
        <v/>
      </c>
      <c r="HZA22" s="73" t="str">
        <f t="shared" si="94"/>
        <v/>
      </c>
      <c r="HZB22" s="73" t="str">
        <f t="shared" ref="HZB22:IBM22" si="95">IFERROR(AVERAGE(HZB6:HZB21),"")</f>
        <v/>
      </c>
      <c r="HZC22" s="73" t="str">
        <f t="shared" si="95"/>
        <v/>
      </c>
      <c r="HZD22" s="73" t="str">
        <f t="shared" si="95"/>
        <v/>
      </c>
      <c r="HZE22" s="73" t="str">
        <f t="shared" si="95"/>
        <v/>
      </c>
      <c r="HZF22" s="73" t="str">
        <f t="shared" si="95"/>
        <v/>
      </c>
      <c r="HZG22" s="73" t="str">
        <f t="shared" si="95"/>
        <v/>
      </c>
      <c r="HZH22" s="73" t="str">
        <f t="shared" si="95"/>
        <v/>
      </c>
      <c r="HZI22" s="73" t="str">
        <f t="shared" si="95"/>
        <v/>
      </c>
      <c r="HZJ22" s="73" t="str">
        <f t="shared" si="95"/>
        <v/>
      </c>
      <c r="HZK22" s="73" t="str">
        <f t="shared" si="95"/>
        <v/>
      </c>
      <c r="HZL22" s="73" t="str">
        <f t="shared" si="95"/>
        <v/>
      </c>
      <c r="HZM22" s="73" t="str">
        <f t="shared" si="95"/>
        <v/>
      </c>
      <c r="HZN22" s="73" t="str">
        <f t="shared" si="95"/>
        <v/>
      </c>
      <c r="HZO22" s="73" t="str">
        <f t="shared" si="95"/>
        <v/>
      </c>
      <c r="HZP22" s="73" t="str">
        <f t="shared" si="95"/>
        <v/>
      </c>
      <c r="HZQ22" s="73" t="str">
        <f t="shared" si="95"/>
        <v/>
      </c>
      <c r="HZR22" s="73" t="str">
        <f t="shared" si="95"/>
        <v/>
      </c>
      <c r="HZS22" s="73" t="str">
        <f t="shared" si="95"/>
        <v/>
      </c>
      <c r="HZT22" s="73" t="str">
        <f t="shared" si="95"/>
        <v/>
      </c>
      <c r="HZU22" s="73" t="str">
        <f t="shared" si="95"/>
        <v/>
      </c>
      <c r="HZV22" s="73" t="str">
        <f t="shared" si="95"/>
        <v/>
      </c>
      <c r="HZW22" s="73" t="str">
        <f t="shared" si="95"/>
        <v/>
      </c>
      <c r="HZX22" s="73" t="str">
        <f t="shared" si="95"/>
        <v/>
      </c>
      <c r="HZY22" s="73" t="str">
        <f t="shared" si="95"/>
        <v/>
      </c>
      <c r="HZZ22" s="73" t="str">
        <f t="shared" si="95"/>
        <v/>
      </c>
      <c r="IAA22" s="73" t="str">
        <f t="shared" si="95"/>
        <v/>
      </c>
      <c r="IAB22" s="73" t="str">
        <f t="shared" si="95"/>
        <v/>
      </c>
      <c r="IAC22" s="73" t="str">
        <f t="shared" si="95"/>
        <v/>
      </c>
      <c r="IAD22" s="73" t="str">
        <f t="shared" si="95"/>
        <v/>
      </c>
      <c r="IAE22" s="73" t="str">
        <f t="shared" si="95"/>
        <v/>
      </c>
      <c r="IAF22" s="73" t="str">
        <f t="shared" si="95"/>
        <v/>
      </c>
      <c r="IAG22" s="73" t="str">
        <f t="shared" si="95"/>
        <v/>
      </c>
      <c r="IAH22" s="73" t="str">
        <f t="shared" si="95"/>
        <v/>
      </c>
      <c r="IAI22" s="73" t="str">
        <f t="shared" si="95"/>
        <v/>
      </c>
      <c r="IAJ22" s="73" t="str">
        <f t="shared" si="95"/>
        <v/>
      </c>
      <c r="IAK22" s="73" t="str">
        <f t="shared" si="95"/>
        <v/>
      </c>
      <c r="IAL22" s="73" t="str">
        <f t="shared" si="95"/>
        <v/>
      </c>
      <c r="IAM22" s="73" t="str">
        <f t="shared" si="95"/>
        <v/>
      </c>
      <c r="IAN22" s="73" t="str">
        <f t="shared" si="95"/>
        <v/>
      </c>
      <c r="IAO22" s="73" t="str">
        <f t="shared" si="95"/>
        <v/>
      </c>
      <c r="IAP22" s="73" t="str">
        <f t="shared" si="95"/>
        <v/>
      </c>
      <c r="IAQ22" s="73" t="str">
        <f t="shared" si="95"/>
        <v/>
      </c>
      <c r="IAR22" s="73" t="str">
        <f t="shared" si="95"/>
        <v/>
      </c>
      <c r="IAS22" s="73" t="str">
        <f t="shared" si="95"/>
        <v/>
      </c>
      <c r="IAT22" s="73" t="str">
        <f t="shared" si="95"/>
        <v/>
      </c>
      <c r="IAU22" s="73" t="str">
        <f t="shared" si="95"/>
        <v/>
      </c>
      <c r="IAV22" s="73" t="str">
        <f t="shared" si="95"/>
        <v/>
      </c>
      <c r="IAW22" s="73" t="str">
        <f t="shared" si="95"/>
        <v/>
      </c>
      <c r="IAX22" s="73" t="str">
        <f t="shared" si="95"/>
        <v/>
      </c>
      <c r="IAY22" s="73" t="str">
        <f t="shared" si="95"/>
        <v/>
      </c>
      <c r="IAZ22" s="73" t="str">
        <f t="shared" si="95"/>
        <v/>
      </c>
      <c r="IBA22" s="73" t="str">
        <f t="shared" si="95"/>
        <v/>
      </c>
      <c r="IBB22" s="73" t="str">
        <f t="shared" si="95"/>
        <v/>
      </c>
      <c r="IBC22" s="73" t="str">
        <f t="shared" si="95"/>
        <v/>
      </c>
      <c r="IBD22" s="73" t="str">
        <f t="shared" si="95"/>
        <v/>
      </c>
      <c r="IBE22" s="73" t="str">
        <f t="shared" si="95"/>
        <v/>
      </c>
      <c r="IBF22" s="73" t="str">
        <f t="shared" si="95"/>
        <v/>
      </c>
      <c r="IBG22" s="73" t="str">
        <f t="shared" si="95"/>
        <v/>
      </c>
      <c r="IBH22" s="73" t="str">
        <f t="shared" si="95"/>
        <v/>
      </c>
      <c r="IBI22" s="73" t="str">
        <f t="shared" si="95"/>
        <v/>
      </c>
      <c r="IBJ22" s="73" t="str">
        <f t="shared" si="95"/>
        <v/>
      </c>
      <c r="IBK22" s="73" t="str">
        <f t="shared" si="95"/>
        <v/>
      </c>
      <c r="IBL22" s="73" t="str">
        <f t="shared" si="95"/>
        <v/>
      </c>
      <c r="IBM22" s="73" t="str">
        <f t="shared" si="95"/>
        <v/>
      </c>
      <c r="IBN22" s="73" t="str">
        <f t="shared" ref="IBN22:IDY22" si="96">IFERROR(AVERAGE(IBN6:IBN21),"")</f>
        <v/>
      </c>
      <c r="IBO22" s="73" t="str">
        <f t="shared" si="96"/>
        <v/>
      </c>
      <c r="IBP22" s="73" t="str">
        <f t="shared" si="96"/>
        <v/>
      </c>
      <c r="IBQ22" s="73" t="str">
        <f t="shared" si="96"/>
        <v/>
      </c>
      <c r="IBR22" s="73" t="str">
        <f t="shared" si="96"/>
        <v/>
      </c>
      <c r="IBS22" s="73" t="str">
        <f t="shared" si="96"/>
        <v/>
      </c>
      <c r="IBT22" s="73" t="str">
        <f t="shared" si="96"/>
        <v/>
      </c>
      <c r="IBU22" s="73" t="str">
        <f t="shared" si="96"/>
        <v/>
      </c>
      <c r="IBV22" s="73" t="str">
        <f t="shared" si="96"/>
        <v/>
      </c>
      <c r="IBW22" s="73" t="str">
        <f t="shared" si="96"/>
        <v/>
      </c>
      <c r="IBX22" s="73" t="str">
        <f t="shared" si="96"/>
        <v/>
      </c>
      <c r="IBY22" s="73" t="str">
        <f t="shared" si="96"/>
        <v/>
      </c>
      <c r="IBZ22" s="73" t="str">
        <f t="shared" si="96"/>
        <v/>
      </c>
      <c r="ICA22" s="73" t="str">
        <f t="shared" si="96"/>
        <v/>
      </c>
      <c r="ICB22" s="73" t="str">
        <f t="shared" si="96"/>
        <v/>
      </c>
      <c r="ICC22" s="73" t="str">
        <f t="shared" si="96"/>
        <v/>
      </c>
      <c r="ICD22" s="73" t="str">
        <f t="shared" si="96"/>
        <v/>
      </c>
      <c r="ICE22" s="73" t="str">
        <f t="shared" si="96"/>
        <v/>
      </c>
      <c r="ICF22" s="73" t="str">
        <f t="shared" si="96"/>
        <v/>
      </c>
      <c r="ICG22" s="73" t="str">
        <f t="shared" si="96"/>
        <v/>
      </c>
      <c r="ICH22" s="73" t="str">
        <f t="shared" si="96"/>
        <v/>
      </c>
      <c r="ICI22" s="73" t="str">
        <f t="shared" si="96"/>
        <v/>
      </c>
      <c r="ICJ22" s="73" t="str">
        <f t="shared" si="96"/>
        <v/>
      </c>
      <c r="ICK22" s="73" t="str">
        <f t="shared" si="96"/>
        <v/>
      </c>
      <c r="ICL22" s="73" t="str">
        <f t="shared" si="96"/>
        <v/>
      </c>
      <c r="ICM22" s="73" t="str">
        <f t="shared" si="96"/>
        <v/>
      </c>
      <c r="ICN22" s="73" t="str">
        <f t="shared" si="96"/>
        <v/>
      </c>
      <c r="ICO22" s="73" t="str">
        <f t="shared" si="96"/>
        <v/>
      </c>
      <c r="ICP22" s="73" t="str">
        <f t="shared" si="96"/>
        <v/>
      </c>
      <c r="ICQ22" s="73" t="str">
        <f t="shared" si="96"/>
        <v/>
      </c>
      <c r="ICR22" s="73" t="str">
        <f t="shared" si="96"/>
        <v/>
      </c>
      <c r="ICS22" s="73" t="str">
        <f t="shared" si="96"/>
        <v/>
      </c>
      <c r="ICT22" s="73" t="str">
        <f t="shared" si="96"/>
        <v/>
      </c>
      <c r="ICU22" s="73" t="str">
        <f t="shared" si="96"/>
        <v/>
      </c>
      <c r="ICV22" s="73" t="str">
        <f t="shared" si="96"/>
        <v/>
      </c>
      <c r="ICW22" s="73" t="str">
        <f t="shared" si="96"/>
        <v/>
      </c>
      <c r="ICX22" s="73" t="str">
        <f t="shared" si="96"/>
        <v/>
      </c>
      <c r="ICY22" s="73" t="str">
        <f t="shared" si="96"/>
        <v/>
      </c>
      <c r="ICZ22" s="73" t="str">
        <f t="shared" si="96"/>
        <v/>
      </c>
      <c r="IDA22" s="73" t="str">
        <f t="shared" si="96"/>
        <v/>
      </c>
      <c r="IDB22" s="73" t="str">
        <f t="shared" si="96"/>
        <v/>
      </c>
      <c r="IDC22" s="73" t="str">
        <f t="shared" si="96"/>
        <v/>
      </c>
      <c r="IDD22" s="73" t="str">
        <f t="shared" si="96"/>
        <v/>
      </c>
      <c r="IDE22" s="73" t="str">
        <f t="shared" si="96"/>
        <v/>
      </c>
      <c r="IDF22" s="73" t="str">
        <f t="shared" si="96"/>
        <v/>
      </c>
      <c r="IDG22" s="73" t="str">
        <f t="shared" si="96"/>
        <v/>
      </c>
      <c r="IDH22" s="73" t="str">
        <f t="shared" si="96"/>
        <v/>
      </c>
      <c r="IDI22" s="73" t="str">
        <f t="shared" si="96"/>
        <v/>
      </c>
      <c r="IDJ22" s="73" t="str">
        <f t="shared" si="96"/>
        <v/>
      </c>
      <c r="IDK22" s="73" t="str">
        <f t="shared" si="96"/>
        <v/>
      </c>
      <c r="IDL22" s="73" t="str">
        <f t="shared" si="96"/>
        <v/>
      </c>
      <c r="IDM22" s="73" t="str">
        <f t="shared" si="96"/>
        <v/>
      </c>
      <c r="IDN22" s="73" t="str">
        <f t="shared" si="96"/>
        <v/>
      </c>
      <c r="IDO22" s="73" t="str">
        <f t="shared" si="96"/>
        <v/>
      </c>
      <c r="IDP22" s="73" t="str">
        <f t="shared" si="96"/>
        <v/>
      </c>
      <c r="IDQ22" s="73" t="str">
        <f t="shared" si="96"/>
        <v/>
      </c>
      <c r="IDR22" s="73" t="str">
        <f t="shared" si="96"/>
        <v/>
      </c>
      <c r="IDS22" s="73" t="str">
        <f t="shared" si="96"/>
        <v/>
      </c>
      <c r="IDT22" s="73" t="str">
        <f t="shared" si="96"/>
        <v/>
      </c>
      <c r="IDU22" s="73" t="str">
        <f t="shared" si="96"/>
        <v/>
      </c>
      <c r="IDV22" s="73" t="str">
        <f t="shared" si="96"/>
        <v/>
      </c>
      <c r="IDW22" s="73" t="str">
        <f t="shared" si="96"/>
        <v/>
      </c>
      <c r="IDX22" s="73" t="str">
        <f t="shared" si="96"/>
        <v/>
      </c>
      <c r="IDY22" s="73" t="str">
        <f t="shared" si="96"/>
        <v/>
      </c>
      <c r="IDZ22" s="73" t="str">
        <f t="shared" ref="IDZ22:IGK22" si="97">IFERROR(AVERAGE(IDZ6:IDZ21),"")</f>
        <v/>
      </c>
      <c r="IEA22" s="73" t="str">
        <f t="shared" si="97"/>
        <v/>
      </c>
      <c r="IEB22" s="73" t="str">
        <f t="shared" si="97"/>
        <v/>
      </c>
      <c r="IEC22" s="73" t="str">
        <f t="shared" si="97"/>
        <v/>
      </c>
      <c r="IED22" s="73" t="str">
        <f t="shared" si="97"/>
        <v/>
      </c>
      <c r="IEE22" s="73" t="str">
        <f t="shared" si="97"/>
        <v/>
      </c>
      <c r="IEF22" s="73" t="str">
        <f t="shared" si="97"/>
        <v/>
      </c>
      <c r="IEG22" s="73" t="str">
        <f t="shared" si="97"/>
        <v/>
      </c>
      <c r="IEH22" s="73" t="str">
        <f t="shared" si="97"/>
        <v/>
      </c>
      <c r="IEI22" s="73" t="str">
        <f t="shared" si="97"/>
        <v/>
      </c>
      <c r="IEJ22" s="73" t="str">
        <f t="shared" si="97"/>
        <v/>
      </c>
      <c r="IEK22" s="73" t="str">
        <f t="shared" si="97"/>
        <v/>
      </c>
      <c r="IEL22" s="73" t="str">
        <f t="shared" si="97"/>
        <v/>
      </c>
      <c r="IEM22" s="73" t="str">
        <f t="shared" si="97"/>
        <v/>
      </c>
      <c r="IEN22" s="73" t="str">
        <f t="shared" si="97"/>
        <v/>
      </c>
      <c r="IEO22" s="73" t="str">
        <f t="shared" si="97"/>
        <v/>
      </c>
      <c r="IEP22" s="73" t="str">
        <f t="shared" si="97"/>
        <v/>
      </c>
      <c r="IEQ22" s="73" t="str">
        <f t="shared" si="97"/>
        <v/>
      </c>
      <c r="IER22" s="73" t="str">
        <f t="shared" si="97"/>
        <v/>
      </c>
      <c r="IES22" s="73" t="str">
        <f t="shared" si="97"/>
        <v/>
      </c>
      <c r="IET22" s="73" t="str">
        <f t="shared" si="97"/>
        <v/>
      </c>
      <c r="IEU22" s="73" t="str">
        <f t="shared" si="97"/>
        <v/>
      </c>
      <c r="IEV22" s="73" t="str">
        <f t="shared" si="97"/>
        <v/>
      </c>
      <c r="IEW22" s="73" t="str">
        <f t="shared" si="97"/>
        <v/>
      </c>
      <c r="IEX22" s="73" t="str">
        <f t="shared" si="97"/>
        <v/>
      </c>
      <c r="IEY22" s="73" t="str">
        <f t="shared" si="97"/>
        <v/>
      </c>
      <c r="IEZ22" s="73" t="str">
        <f t="shared" si="97"/>
        <v/>
      </c>
      <c r="IFA22" s="73" t="str">
        <f t="shared" si="97"/>
        <v/>
      </c>
      <c r="IFB22" s="73" t="str">
        <f t="shared" si="97"/>
        <v/>
      </c>
      <c r="IFC22" s="73" t="str">
        <f t="shared" si="97"/>
        <v/>
      </c>
      <c r="IFD22" s="73" t="str">
        <f t="shared" si="97"/>
        <v/>
      </c>
      <c r="IFE22" s="73" t="str">
        <f t="shared" si="97"/>
        <v/>
      </c>
      <c r="IFF22" s="73" t="str">
        <f t="shared" si="97"/>
        <v/>
      </c>
      <c r="IFG22" s="73" t="str">
        <f t="shared" si="97"/>
        <v/>
      </c>
      <c r="IFH22" s="73" t="str">
        <f t="shared" si="97"/>
        <v/>
      </c>
      <c r="IFI22" s="73" t="str">
        <f t="shared" si="97"/>
        <v/>
      </c>
      <c r="IFJ22" s="73" t="str">
        <f t="shared" si="97"/>
        <v/>
      </c>
      <c r="IFK22" s="73" t="str">
        <f t="shared" si="97"/>
        <v/>
      </c>
      <c r="IFL22" s="73" t="str">
        <f t="shared" si="97"/>
        <v/>
      </c>
      <c r="IFM22" s="73" t="str">
        <f t="shared" si="97"/>
        <v/>
      </c>
      <c r="IFN22" s="73" t="str">
        <f t="shared" si="97"/>
        <v/>
      </c>
      <c r="IFO22" s="73" t="str">
        <f t="shared" si="97"/>
        <v/>
      </c>
      <c r="IFP22" s="73" t="str">
        <f t="shared" si="97"/>
        <v/>
      </c>
      <c r="IFQ22" s="73" t="str">
        <f t="shared" si="97"/>
        <v/>
      </c>
      <c r="IFR22" s="73" t="str">
        <f t="shared" si="97"/>
        <v/>
      </c>
      <c r="IFS22" s="73" t="str">
        <f t="shared" si="97"/>
        <v/>
      </c>
      <c r="IFT22" s="73" t="str">
        <f t="shared" si="97"/>
        <v/>
      </c>
      <c r="IFU22" s="73" t="str">
        <f t="shared" si="97"/>
        <v/>
      </c>
      <c r="IFV22" s="73" t="str">
        <f t="shared" si="97"/>
        <v/>
      </c>
      <c r="IFW22" s="73" t="str">
        <f t="shared" si="97"/>
        <v/>
      </c>
      <c r="IFX22" s="73" t="str">
        <f t="shared" si="97"/>
        <v/>
      </c>
      <c r="IFY22" s="73" t="str">
        <f t="shared" si="97"/>
        <v/>
      </c>
      <c r="IFZ22" s="73" t="str">
        <f t="shared" si="97"/>
        <v/>
      </c>
      <c r="IGA22" s="73" t="str">
        <f t="shared" si="97"/>
        <v/>
      </c>
      <c r="IGB22" s="73" t="str">
        <f t="shared" si="97"/>
        <v/>
      </c>
      <c r="IGC22" s="73" t="str">
        <f t="shared" si="97"/>
        <v/>
      </c>
      <c r="IGD22" s="73" t="str">
        <f t="shared" si="97"/>
        <v/>
      </c>
      <c r="IGE22" s="73" t="str">
        <f t="shared" si="97"/>
        <v/>
      </c>
      <c r="IGF22" s="73" t="str">
        <f t="shared" si="97"/>
        <v/>
      </c>
      <c r="IGG22" s="73" t="str">
        <f t="shared" si="97"/>
        <v/>
      </c>
      <c r="IGH22" s="73" t="str">
        <f t="shared" si="97"/>
        <v/>
      </c>
      <c r="IGI22" s="73" t="str">
        <f t="shared" si="97"/>
        <v/>
      </c>
      <c r="IGJ22" s="73" t="str">
        <f t="shared" si="97"/>
        <v/>
      </c>
      <c r="IGK22" s="73" t="str">
        <f t="shared" si="97"/>
        <v/>
      </c>
      <c r="IGL22" s="73" t="str">
        <f t="shared" ref="IGL22:IIW22" si="98">IFERROR(AVERAGE(IGL6:IGL21),"")</f>
        <v/>
      </c>
      <c r="IGM22" s="73" t="str">
        <f t="shared" si="98"/>
        <v/>
      </c>
      <c r="IGN22" s="73" t="str">
        <f t="shared" si="98"/>
        <v/>
      </c>
      <c r="IGO22" s="73" t="str">
        <f t="shared" si="98"/>
        <v/>
      </c>
      <c r="IGP22" s="73" t="str">
        <f t="shared" si="98"/>
        <v/>
      </c>
      <c r="IGQ22" s="73" t="str">
        <f t="shared" si="98"/>
        <v/>
      </c>
      <c r="IGR22" s="73" t="str">
        <f t="shared" si="98"/>
        <v/>
      </c>
      <c r="IGS22" s="73" t="str">
        <f t="shared" si="98"/>
        <v/>
      </c>
      <c r="IGT22" s="73" t="str">
        <f t="shared" si="98"/>
        <v/>
      </c>
      <c r="IGU22" s="73" t="str">
        <f t="shared" si="98"/>
        <v/>
      </c>
      <c r="IGV22" s="73" t="str">
        <f t="shared" si="98"/>
        <v/>
      </c>
      <c r="IGW22" s="73" t="str">
        <f t="shared" si="98"/>
        <v/>
      </c>
      <c r="IGX22" s="73" t="str">
        <f t="shared" si="98"/>
        <v/>
      </c>
      <c r="IGY22" s="73" t="str">
        <f t="shared" si="98"/>
        <v/>
      </c>
      <c r="IGZ22" s="73" t="str">
        <f t="shared" si="98"/>
        <v/>
      </c>
      <c r="IHA22" s="73" t="str">
        <f t="shared" si="98"/>
        <v/>
      </c>
      <c r="IHB22" s="73" t="str">
        <f t="shared" si="98"/>
        <v/>
      </c>
      <c r="IHC22" s="73" t="str">
        <f t="shared" si="98"/>
        <v/>
      </c>
      <c r="IHD22" s="73" t="str">
        <f t="shared" si="98"/>
        <v/>
      </c>
      <c r="IHE22" s="73" t="str">
        <f t="shared" si="98"/>
        <v/>
      </c>
      <c r="IHF22" s="73" t="str">
        <f t="shared" si="98"/>
        <v/>
      </c>
      <c r="IHG22" s="73" t="str">
        <f t="shared" si="98"/>
        <v/>
      </c>
      <c r="IHH22" s="73" t="str">
        <f t="shared" si="98"/>
        <v/>
      </c>
      <c r="IHI22" s="73" t="str">
        <f t="shared" si="98"/>
        <v/>
      </c>
      <c r="IHJ22" s="73" t="str">
        <f t="shared" si="98"/>
        <v/>
      </c>
      <c r="IHK22" s="73" t="str">
        <f t="shared" si="98"/>
        <v/>
      </c>
      <c r="IHL22" s="73" t="str">
        <f t="shared" si="98"/>
        <v/>
      </c>
      <c r="IHM22" s="73" t="str">
        <f t="shared" si="98"/>
        <v/>
      </c>
      <c r="IHN22" s="73" t="str">
        <f t="shared" si="98"/>
        <v/>
      </c>
      <c r="IHO22" s="73" t="str">
        <f t="shared" si="98"/>
        <v/>
      </c>
      <c r="IHP22" s="73" t="str">
        <f t="shared" si="98"/>
        <v/>
      </c>
      <c r="IHQ22" s="73" t="str">
        <f t="shared" si="98"/>
        <v/>
      </c>
      <c r="IHR22" s="73" t="str">
        <f t="shared" si="98"/>
        <v/>
      </c>
      <c r="IHS22" s="73" t="str">
        <f t="shared" si="98"/>
        <v/>
      </c>
      <c r="IHT22" s="73" t="str">
        <f t="shared" si="98"/>
        <v/>
      </c>
      <c r="IHU22" s="73" t="str">
        <f t="shared" si="98"/>
        <v/>
      </c>
      <c r="IHV22" s="73" t="str">
        <f t="shared" si="98"/>
        <v/>
      </c>
      <c r="IHW22" s="73" t="str">
        <f t="shared" si="98"/>
        <v/>
      </c>
      <c r="IHX22" s="73" t="str">
        <f t="shared" si="98"/>
        <v/>
      </c>
      <c r="IHY22" s="73" t="str">
        <f t="shared" si="98"/>
        <v/>
      </c>
      <c r="IHZ22" s="73" t="str">
        <f t="shared" si="98"/>
        <v/>
      </c>
      <c r="IIA22" s="73" t="str">
        <f t="shared" si="98"/>
        <v/>
      </c>
      <c r="IIB22" s="73" t="str">
        <f t="shared" si="98"/>
        <v/>
      </c>
      <c r="IIC22" s="73" t="str">
        <f t="shared" si="98"/>
        <v/>
      </c>
      <c r="IID22" s="73" t="str">
        <f t="shared" si="98"/>
        <v/>
      </c>
      <c r="IIE22" s="73" t="str">
        <f t="shared" si="98"/>
        <v/>
      </c>
      <c r="IIF22" s="73" t="str">
        <f t="shared" si="98"/>
        <v/>
      </c>
      <c r="IIG22" s="73" t="str">
        <f t="shared" si="98"/>
        <v/>
      </c>
      <c r="IIH22" s="73" t="str">
        <f t="shared" si="98"/>
        <v/>
      </c>
      <c r="III22" s="73" t="str">
        <f t="shared" si="98"/>
        <v/>
      </c>
      <c r="IIJ22" s="73" t="str">
        <f t="shared" si="98"/>
        <v/>
      </c>
      <c r="IIK22" s="73" t="str">
        <f t="shared" si="98"/>
        <v/>
      </c>
      <c r="IIL22" s="73" t="str">
        <f t="shared" si="98"/>
        <v/>
      </c>
      <c r="IIM22" s="73" t="str">
        <f t="shared" si="98"/>
        <v/>
      </c>
      <c r="IIN22" s="73" t="str">
        <f t="shared" si="98"/>
        <v/>
      </c>
      <c r="IIO22" s="73" t="str">
        <f t="shared" si="98"/>
        <v/>
      </c>
      <c r="IIP22" s="73" t="str">
        <f t="shared" si="98"/>
        <v/>
      </c>
      <c r="IIQ22" s="73" t="str">
        <f t="shared" si="98"/>
        <v/>
      </c>
      <c r="IIR22" s="73" t="str">
        <f t="shared" si="98"/>
        <v/>
      </c>
      <c r="IIS22" s="73" t="str">
        <f t="shared" si="98"/>
        <v/>
      </c>
      <c r="IIT22" s="73" t="str">
        <f t="shared" si="98"/>
        <v/>
      </c>
      <c r="IIU22" s="73" t="str">
        <f t="shared" si="98"/>
        <v/>
      </c>
      <c r="IIV22" s="73" t="str">
        <f t="shared" si="98"/>
        <v/>
      </c>
      <c r="IIW22" s="73" t="str">
        <f t="shared" si="98"/>
        <v/>
      </c>
      <c r="IIX22" s="73" t="str">
        <f t="shared" ref="IIX22:ILI22" si="99">IFERROR(AVERAGE(IIX6:IIX21),"")</f>
        <v/>
      </c>
      <c r="IIY22" s="73" t="str">
        <f t="shared" si="99"/>
        <v/>
      </c>
      <c r="IIZ22" s="73" t="str">
        <f t="shared" si="99"/>
        <v/>
      </c>
      <c r="IJA22" s="73" t="str">
        <f t="shared" si="99"/>
        <v/>
      </c>
      <c r="IJB22" s="73" t="str">
        <f t="shared" si="99"/>
        <v/>
      </c>
      <c r="IJC22" s="73" t="str">
        <f t="shared" si="99"/>
        <v/>
      </c>
      <c r="IJD22" s="73" t="str">
        <f t="shared" si="99"/>
        <v/>
      </c>
      <c r="IJE22" s="73" t="str">
        <f t="shared" si="99"/>
        <v/>
      </c>
      <c r="IJF22" s="73" t="str">
        <f t="shared" si="99"/>
        <v/>
      </c>
      <c r="IJG22" s="73" t="str">
        <f t="shared" si="99"/>
        <v/>
      </c>
      <c r="IJH22" s="73" t="str">
        <f t="shared" si="99"/>
        <v/>
      </c>
      <c r="IJI22" s="73" t="str">
        <f t="shared" si="99"/>
        <v/>
      </c>
      <c r="IJJ22" s="73" t="str">
        <f t="shared" si="99"/>
        <v/>
      </c>
      <c r="IJK22" s="73" t="str">
        <f t="shared" si="99"/>
        <v/>
      </c>
      <c r="IJL22" s="73" t="str">
        <f t="shared" si="99"/>
        <v/>
      </c>
      <c r="IJM22" s="73" t="str">
        <f t="shared" si="99"/>
        <v/>
      </c>
      <c r="IJN22" s="73" t="str">
        <f t="shared" si="99"/>
        <v/>
      </c>
      <c r="IJO22" s="73" t="str">
        <f t="shared" si="99"/>
        <v/>
      </c>
      <c r="IJP22" s="73" t="str">
        <f t="shared" si="99"/>
        <v/>
      </c>
      <c r="IJQ22" s="73" t="str">
        <f t="shared" si="99"/>
        <v/>
      </c>
      <c r="IJR22" s="73" t="str">
        <f t="shared" si="99"/>
        <v/>
      </c>
      <c r="IJS22" s="73" t="str">
        <f t="shared" si="99"/>
        <v/>
      </c>
      <c r="IJT22" s="73" t="str">
        <f t="shared" si="99"/>
        <v/>
      </c>
      <c r="IJU22" s="73" t="str">
        <f t="shared" si="99"/>
        <v/>
      </c>
      <c r="IJV22" s="73" t="str">
        <f t="shared" si="99"/>
        <v/>
      </c>
      <c r="IJW22" s="73" t="str">
        <f t="shared" si="99"/>
        <v/>
      </c>
      <c r="IJX22" s="73" t="str">
        <f t="shared" si="99"/>
        <v/>
      </c>
      <c r="IJY22" s="73" t="str">
        <f t="shared" si="99"/>
        <v/>
      </c>
      <c r="IJZ22" s="73" t="str">
        <f t="shared" si="99"/>
        <v/>
      </c>
      <c r="IKA22" s="73" t="str">
        <f t="shared" si="99"/>
        <v/>
      </c>
      <c r="IKB22" s="73" t="str">
        <f t="shared" si="99"/>
        <v/>
      </c>
      <c r="IKC22" s="73" t="str">
        <f t="shared" si="99"/>
        <v/>
      </c>
      <c r="IKD22" s="73" t="str">
        <f t="shared" si="99"/>
        <v/>
      </c>
      <c r="IKE22" s="73" t="str">
        <f t="shared" si="99"/>
        <v/>
      </c>
      <c r="IKF22" s="73" t="str">
        <f t="shared" si="99"/>
        <v/>
      </c>
      <c r="IKG22" s="73" t="str">
        <f t="shared" si="99"/>
        <v/>
      </c>
      <c r="IKH22" s="73" t="str">
        <f t="shared" si="99"/>
        <v/>
      </c>
      <c r="IKI22" s="73" t="str">
        <f t="shared" si="99"/>
        <v/>
      </c>
      <c r="IKJ22" s="73" t="str">
        <f t="shared" si="99"/>
        <v/>
      </c>
      <c r="IKK22" s="73" t="str">
        <f t="shared" si="99"/>
        <v/>
      </c>
      <c r="IKL22" s="73" t="str">
        <f t="shared" si="99"/>
        <v/>
      </c>
      <c r="IKM22" s="73" t="str">
        <f t="shared" si="99"/>
        <v/>
      </c>
      <c r="IKN22" s="73" t="str">
        <f t="shared" si="99"/>
        <v/>
      </c>
      <c r="IKO22" s="73" t="str">
        <f t="shared" si="99"/>
        <v/>
      </c>
      <c r="IKP22" s="73" t="str">
        <f t="shared" si="99"/>
        <v/>
      </c>
      <c r="IKQ22" s="73" t="str">
        <f t="shared" si="99"/>
        <v/>
      </c>
      <c r="IKR22" s="73" t="str">
        <f t="shared" si="99"/>
        <v/>
      </c>
      <c r="IKS22" s="73" t="str">
        <f t="shared" si="99"/>
        <v/>
      </c>
      <c r="IKT22" s="73" t="str">
        <f t="shared" si="99"/>
        <v/>
      </c>
      <c r="IKU22" s="73" t="str">
        <f t="shared" si="99"/>
        <v/>
      </c>
      <c r="IKV22" s="73" t="str">
        <f t="shared" si="99"/>
        <v/>
      </c>
      <c r="IKW22" s="73" t="str">
        <f t="shared" si="99"/>
        <v/>
      </c>
      <c r="IKX22" s="73" t="str">
        <f t="shared" si="99"/>
        <v/>
      </c>
      <c r="IKY22" s="73" t="str">
        <f t="shared" si="99"/>
        <v/>
      </c>
      <c r="IKZ22" s="73" t="str">
        <f t="shared" si="99"/>
        <v/>
      </c>
      <c r="ILA22" s="73" t="str">
        <f t="shared" si="99"/>
        <v/>
      </c>
      <c r="ILB22" s="73" t="str">
        <f t="shared" si="99"/>
        <v/>
      </c>
      <c r="ILC22" s="73" t="str">
        <f t="shared" si="99"/>
        <v/>
      </c>
      <c r="ILD22" s="73" t="str">
        <f t="shared" si="99"/>
        <v/>
      </c>
      <c r="ILE22" s="73" t="str">
        <f t="shared" si="99"/>
        <v/>
      </c>
      <c r="ILF22" s="73" t="str">
        <f t="shared" si="99"/>
        <v/>
      </c>
      <c r="ILG22" s="73" t="str">
        <f t="shared" si="99"/>
        <v/>
      </c>
      <c r="ILH22" s="73" t="str">
        <f t="shared" si="99"/>
        <v/>
      </c>
      <c r="ILI22" s="73" t="str">
        <f t="shared" si="99"/>
        <v/>
      </c>
      <c r="ILJ22" s="73" t="str">
        <f t="shared" ref="ILJ22:INU22" si="100">IFERROR(AVERAGE(ILJ6:ILJ21),"")</f>
        <v/>
      </c>
      <c r="ILK22" s="73" t="str">
        <f t="shared" si="100"/>
        <v/>
      </c>
      <c r="ILL22" s="73" t="str">
        <f t="shared" si="100"/>
        <v/>
      </c>
      <c r="ILM22" s="73" t="str">
        <f t="shared" si="100"/>
        <v/>
      </c>
      <c r="ILN22" s="73" t="str">
        <f t="shared" si="100"/>
        <v/>
      </c>
      <c r="ILO22" s="73" t="str">
        <f t="shared" si="100"/>
        <v/>
      </c>
      <c r="ILP22" s="73" t="str">
        <f t="shared" si="100"/>
        <v/>
      </c>
      <c r="ILQ22" s="73" t="str">
        <f t="shared" si="100"/>
        <v/>
      </c>
      <c r="ILR22" s="73" t="str">
        <f t="shared" si="100"/>
        <v/>
      </c>
      <c r="ILS22" s="73" t="str">
        <f t="shared" si="100"/>
        <v/>
      </c>
      <c r="ILT22" s="73" t="str">
        <f t="shared" si="100"/>
        <v/>
      </c>
      <c r="ILU22" s="73" t="str">
        <f t="shared" si="100"/>
        <v/>
      </c>
      <c r="ILV22" s="73" t="str">
        <f t="shared" si="100"/>
        <v/>
      </c>
      <c r="ILW22" s="73" t="str">
        <f t="shared" si="100"/>
        <v/>
      </c>
      <c r="ILX22" s="73" t="str">
        <f t="shared" si="100"/>
        <v/>
      </c>
      <c r="ILY22" s="73" t="str">
        <f t="shared" si="100"/>
        <v/>
      </c>
      <c r="ILZ22" s="73" t="str">
        <f t="shared" si="100"/>
        <v/>
      </c>
      <c r="IMA22" s="73" t="str">
        <f t="shared" si="100"/>
        <v/>
      </c>
      <c r="IMB22" s="73" t="str">
        <f t="shared" si="100"/>
        <v/>
      </c>
      <c r="IMC22" s="73" t="str">
        <f t="shared" si="100"/>
        <v/>
      </c>
      <c r="IMD22" s="73" t="str">
        <f t="shared" si="100"/>
        <v/>
      </c>
      <c r="IME22" s="73" t="str">
        <f t="shared" si="100"/>
        <v/>
      </c>
      <c r="IMF22" s="73" t="str">
        <f t="shared" si="100"/>
        <v/>
      </c>
      <c r="IMG22" s="73" t="str">
        <f t="shared" si="100"/>
        <v/>
      </c>
      <c r="IMH22" s="73" t="str">
        <f t="shared" si="100"/>
        <v/>
      </c>
      <c r="IMI22" s="73" t="str">
        <f t="shared" si="100"/>
        <v/>
      </c>
      <c r="IMJ22" s="73" t="str">
        <f t="shared" si="100"/>
        <v/>
      </c>
      <c r="IMK22" s="73" t="str">
        <f t="shared" si="100"/>
        <v/>
      </c>
      <c r="IML22" s="73" t="str">
        <f t="shared" si="100"/>
        <v/>
      </c>
      <c r="IMM22" s="73" t="str">
        <f t="shared" si="100"/>
        <v/>
      </c>
      <c r="IMN22" s="73" t="str">
        <f t="shared" si="100"/>
        <v/>
      </c>
      <c r="IMO22" s="73" t="str">
        <f t="shared" si="100"/>
        <v/>
      </c>
      <c r="IMP22" s="73" t="str">
        <f t="shared" si="100"/>
        <v/>
      </c>
      <c r="IMQ22" s="73" t="str">
        <f t="shared" si="100"/>
        <v/>
      </c>
      <c r="IMR22" s="73" t="str">
        <f t="shared" si="100"/>
        <v/>
      </c>
      <c r="IMS22" s="73" t="str">
        <f t="shared" si="100"/>
        <v/>
      </c>
      <c r="IMT22" s="73" t="str">
        <f t="shared" si="100"/>
        <v/>
      </c>
      <c r="IMU22" s="73" t="str">
        <f t="shared" si="100"/>
        <v/>
      </c>
      <c r="IMV22" s="73" t="str">
        <f t="shared" si="100"/>
        <v/>
      </c>
      <c r="IMW22" s="73" t="str">
        <f t="shared" si="100"/>
        <v/>
      </c>
      <c r="IMX22" s="73" t="str">
        <f t="shared" si="100"/>
        <v/>
      </c>
      <c r="IMY22" s="73" t="str">
        <f t="shared" si="100"/>
        <v/>
      </c>
      <c r="IMZ22" s="73" t="str">
        <f t="shared" si="100"/>
        <v/>
      </c>
      <c r="INA22" s="73" t="str">
        <f t="shared" si="100"/>
        <v/>
      </c>
      <c r="INB22" s="73" t="str">
        <f t="shared" si="100"/>
        <v/>
      </c>
      <c r="INC22" s="73" t="str">
        <f t="shared" si="100"/>
        <v/>
      </c>
      <c r="IND22" s="73" t="str">
        <f t="shared" si="100"/>
        <v/>
      </c>
      <c r="INE22" s="73" t="str">
        <f t="shared" si="100"/>
        <v/>
      </c>
      <c r="INF22" s="73" t="str">
        <f t="shared" si="100"/>
        <v/>
      </c>
      <c r="ING22" s="73" t="str">
        <f t="shared" si="100"/>
        <v/>
      </c>
      <c r="INH22" s="73" t="str">
        <f t="shared" si="100"/>
        <v/>
      </c>
      <c r="INI22" s="73" t="str">
        <f t="shared" si="100"/>
        <v/>
      </c>
      <c r="INJ22" s="73" t="str">
        <f t="shared" si="100"/>
        <v/>
      </c>
      <c r="INK22" s="73" t="str">
        <f t="shared" si="100"/>
        <v/>
      </c>
      <c r="INL22" s="73" t="str">
        <f t="shared" si="100"/>
        <v/>
      </c>
      <c r="INM22" s="73" t="str">
        <f t="shared" si="100"/>
        <v/>
      </c>
      <c r="INN22" s="73" t="str">
        <f t="shared" si="100"/>
        <v/>
      </c>
      <c r="INO22" s="73" t="str">
        <f t="shared" si="100"/>
        <v/>
      </c>
      <c r="INP22" s="73" t="str">
        <f t="shared" si="100"/>
        <v/>
      </c>
      <c r="INQ22" s="73" t="str">
        <f t="shared" si="100"/>
        <v/>
      </c>
      <c r="INR22" s="73" t="str">
        <f t="shared" si="100"/>
        <v/>
      </c>
      <c r="INS22" s="73" t="str">
        <f t="shared" si="100"/>
        <v/>
      </c>
      <c r="INT22" s="73" t="str">
        <f t="shared" si="100"/>
        <v/>
      </c>
      <c r="INU22" s="73" t="str">
        <f t="shared" si="100"/>
        <v/>
      </c>
      <c r="INV22" s="73" t="str">
        <f t="shared" ref="INV22:IQG22" si="101">IFERROR(AVERAGE(INV6:INV21),"")</f>
        <v/>
      </c>
      <c r="INW22" s="73" t="str">
        <f t="shared" si="101"/>
        <v/>
      </c>
      <c r="INX22" s="73" t="str">
        <f t="shared" si="101"/>
        <v/>
      </c>
      <c r="INY22" s="73" t="str">
        <f t="shared" si="101"/>
        <v/>
      </c>
      <c r="INZ22" s="73" t="str">
        <f t="shared" si="101"/>
        <v/>
      </c>
      <c r="IOA22" s="73" t="str">
        <f t="shared" si="101"/>
        <v/>
      </c>
      <c r="IOB22" s="73" t="str">
        <f t="shared" si="101"/>
        <v/>
      </c>
      <c r="IOC22" s="73" t="str">
        <f t="shared" si="101"/>
        <v/>
      </c>
      <c r="IOD22" s="73" t="str">
        <f t="shared" si="101"/>
        <v/>
      </c>
      <c r="IOE22" s="73" t="str">
        <f t="shared" si="101"/>
        <v/>
      </c>
      <c r="IOF22" s="73" t="str">
        <f t="shared" si="101"/>
        <v/>
      </c>
      <c r="IOG22" s="73" t="str">
        <f t="shared" si="101"/>
        <v/>
      </c>
      <c r="IOH22" s="73" t="str">
        <f t="shared" si="101"/>
        <v/>
      </c>
      <c r="IOI22" s="73" t="str">
        <f t="shared" si="101"/>
        <v/>
      </c>
      <c r="IOJ22" s="73" t="str">
        <f t="shared" si="101"/>
        <v/>
      </c>
      <c r="IOK22" s="73" t="str">
        <f t="shared" si="101"/>
        <v/>
      </c>
      <c r="IOL22" s="73" t="str">
        <f t="shared" si="101"/>
        <v/>
      </c>
      <c r="IOM22" s="73" t="str">
        <f t="shared" si="101"/>
        <v/>
      </c>
      <c r="ION22" s="73" t="str">
        <f t="shared" si="101"/>
        <v/>
      </c>
      <c r="IOO22" s="73" t="str">
        <f t="shared" si="101"/>
        <v/>
      </c>
      <c r="IOP22" s="73" t="str">
        <f t="shared" si="101"/>
        <v/>
      </c>
      <c r="IOQ22" s="73" t="str">
        <f t="shared" si="101"/>
        <v/>
      </c>
      <c r="IOR22" s="73" t="str">
        <f t="shared" si="101"/>
        <v/>
      </c>
      <c r="IOS22" s="73" t="str">
        <f t="shared" si="101"/>
        <v/>
      </c>
      <c r="IOT22" s="73" t="str">
        <f t="shared" si="101"/>
        <v/>
      </c>
      <c r="IOU22" s="73" t="str">
        <f t="shared" si="101"/>
        <v/>
      </c>
      <c r="IOV22" s="73" t="str">
        <f t="shared" si="101"/>
        <v/>
      </c>
      <c r="IOW22" s="73" t="str">
        <f t="shared" si="101"/>
        <v/>
      </c>
      <c r="IOX22" s="73" t="str">
        <f t="shared" si="101"/>
        <v/>
      </c>
      <c r="IOY22" s="73" t="str">
        <f t="shared" si="101"/>
        <v/>
      </c>
      <c r="IOZ22" s="73" t="str">
        <f t="shared" si="101"/>
        <v/>
      </c>
      <c r="IPA22" s="73" t="str">
        <f t="shared" si="101"/>
        <v/>
      </c>
      <c r="IPB22" s="73" t="str">
        <f t="shared" si="101"/>
        <v/>
      </c>
      <c r="IPC22" s="73" t="str">
        <f t="shared" si="101"/>
        <v/>
      </c>
      <c r="IPD22" s="73" t="str">
        <f t="shared" si="101"/>
        <v/>
      </c>
      <c r="IPE22" s="73" t="str">
        <f t="shared" si="101"/>
        <v/>
      </c>
      <c r="IPF22" s="73" t="str">
        <f t="shared" si="101"/>
        <v/>
      </c>
      <c r="IPG22" s="73" t="str">
        <f t="shared" si="101"/>
        <v/>
      </c>
      <c r="IPH22" s="73" t="str">
        <f t="shared" si="101"/>
        <v/>
      </c>
      <c r="IPI22" s="73" t="str">
        <f t="shared" si="101"/>
        <v/>
      </c>
      <c r="IPJ22" s="73" t="str">
        <f t="shared" si="101"/>
        <v/>
      </c>
      <c r="IPK22" s="73" t="str">
        <f t="shared" si="101"/>
        <v/>
      </c>
      <c r="IPL22" s="73" t="str">
        <f t="shared" si="101"/>
        <v/>
      </c>
      <c r="IPM22" s="73" t="str">
        <f t="shared" si="101"/>
        <v/>
      </c>
      <c r="IPN22" s="73" t="str">
        <f t="shared" si="101"/>
        <v/>
      </c>
      <c r="IPO22" s="73" t="str">
        <f t="shared" si="101"/>
        <v/>
      </c>
      <c r="IPP22" s="73" t="str">
        <f t="shared" si="101"/>
        <v/>
      </c>
      <c r="IPQ22" s="73" t="str">
        <f t="shared" si="101"/>
        <v/>
      </c>
      <c r="IPR22" s="73" t="str">
        <f t="shared" si="101"/>
        <v/>
      </c>
      <c r="IPS22" s="73" t="str">
        <f t="shared" si="101"/>
        <v/>
      </c>
      <c r="IPT22" s="73" t="str">
        <f t="shared" si="101"/>
        <v/>
      </c>
      <c r="IPU22" s="73" t="str">
        <f t="shared" si="101"/>
        <v/>
      </c>
      <c r="IPV22" s="73" t="str">
        <f t="shared" si="101"/>
        <v/>
      </c>
      <c r="IPW22" s="73" t="str">
        <f t="shared" si="101"/>
        <v/>
      </c>
      <c r="IPX22" s="73" t="str">
        <f t="shared" si="101"/>
        <v/>
      </c>
      <c r="IPY22" s="73" t="str">
        <f t="shared" si="101"/>
        <v/>
      </c>
      <c r="IPZ22" s="73" t="str">
        <f t="shared" si="101"/>
        <v/>
      </c>
      <c r="IQA22" s="73" t="str">
        <f t="shared" si="101"/>
        <v/>
      </c>
      <c r="IQB22" s="73" t="str">
        <f t="shared" si="101"/>
        <v/>
      </c>
      <c r="IQC22" s="73" t="str">
        <f t="shared" si="101"/>
        <v/>
      </c>
      <c r="IQD22" s="73" t="str">
        <f t="shared" si="101"/>
        <v/>
      </c>
      <c r="IQE22" s="73" t="str">
        <f t="shared" si="101"/>
        <v/>
      </c>
      <c r="IQF22" s="73" t="str">
        <f t="shared" si="101"/>
        <v/>
      </c>
      <c r="IQG22" s="73" t="str">
        <f t="shared" si="101"/>
        <v/>
      </c>
      <c r="IQH22" s="73" t="str">
        <f t="shared" ref="IQH22:ISS22" si="102">IFERROR(AVERAGE(IQH6:IQH21),"")</f>
        <v/>
      </c>
      <c r="IQI22" s="73" t="str">
        <f t="shared" si="102"/>
        <v/>
      </c>
      <c r="IQJ22" s="73" t="str">
        <f t="shared" si="102"/>
        <v/>
      </c>
      <c r="IQK22" s="73" t="str">
        <f t="shared" si="102"/>
        <v/>
      </c>
      <c r="IQL22" s="73" t="str">
        <f t="shared" si="102"/>
        <v/>
      </c>
      <c r="IQM22" s="73" t="str">
        <f t="shared" si="102"/>
        <v/>
      </c>
      <c r="IQN22" s="73" t="str">
        <f t="shared" si="102"/>
        <v/>
      </c>
      <c r="IQO22" s="73" t="str">
        <f t="shared" si="102"/>
        <v/>
      </c>
      <c r="IQP22" s="73" t="str">
        <f t="shared" si="102"/>
        <v/>
      </c>
      <c r="IQQ22" s="73" t="str">
        <f t="shared" si="102"/>
        <v/>
      </c>
      <c r="IQR22" s="73" t="str">
        <f t="shared" si="102"/>
        <v/>
      </c>
      <c r="IQS22" s="73" t="str">
        <f t="shared" si="102"/>
        <v/>
      </c>
      <c r="IQT22" s="73" t="str">
        <f t="shared" si="102"/>
        <v/>
      </c>
      <c r="IQU22" s="73" t="str">
        <f t="shared" si="102"/>
        <v/>
      </c>
      <c r="IQV22" s="73" t="str">
        <f t="shared" si="102"/>
        <v/>
      </c>
      <c r="IQW22" s="73" t="str">
        <f t="shared" si="102"/>
        <v/>
      </c>
      <c r="IQX22" s="73" t="str">
        <f t="shared" si="102"/>
        <v/>
      </c>
      <c r="IQY22" s="73" t="str">
        <f t="shared" si="102"/>
        <v/>
      </c>
      <c r="IQZ22" s="73" t="str">
        <f t="shared" si="102"/>
        <v/>
      </c>
      <c r="IRA22" s="73" t="str">
        <f t="shared" si="102"/>
        <v/>
      </c>
      <c r="IRB22" s="73" t="str">
        <f t="shared" si="102"/>
        <v/>
      </c>
      <c r="IRC22" s="73" t="str">
        <f t="shared" si="102"/>
        <v/>
      </c>
      <c r="IRD22" s="73" t="str">
        <f t="shared" si="102"/>
        <v/>
      </c>
      <c r="IRE22" s="73" t="str">
        <f t="shared" si="102"/>
        <v/>
      </c>
      <c r="IRF22" s="73" t="str">
        <f t="shared" si="102"/>
        <v/>
      </c>
      <c r="IRG22" s="73" t="str">
        <f t="shared" si="102"/>
        <v/>
      </c>
      <c r="IRH22" s="73" t="str">
        <f t="shared" si="102"/>
        <v/>
      </c>
      <c r="IRI22" s="73" t="str">
        <f t="shared" si="102"/>
        <v/>
      </c>
      <c r="IRJ22" s="73" t="str">
        <f t="shared" si="102"/>
        <v/>
      </c>
      <c r="IRK22" s="73" t="str">
        <f t="shared" si="102"/>
        <v/>
      </c>
      <c r="IRL22" s="73" t="str">
        <f t="shared" si="102"/>
        <v/>
      </c>
      <c r="IRM22" s="73" t="str">
        <f t="shared" si="102"/>
        <v/>
      </c>
      <c r="IRN22" s="73" t="str">
        <f t="shared" si="102"/>
        <v/>
      </c>
      <c r="IRO22" s="73" t="str">
        <f t="shared" si="102"/>
        <v/>
      </c>
      <c r="IRP22" s="73" t="str">
        <f t="shared" si="102"/>
        <v/>
      </c>
      <c r="IRQ22" s="73" t="str">
        <f t="shared" si="102"/>
        <v/>
      </c>
      <c r="IRR22" s="73" t="str">
        <f t="shared" si="102"/>
        <v/>
      </c>
      <c r="IRS22" s="73" t="str">
        <f t="shared" si="102"/>
        <v/>
      </c>
      <c r="IRT22" s="73" t="str">
        <f t="shared" si="102"/>
        <v/>
      </c>
      <c r="IRU22" s="73" t="str">
        <f t="shared" si="102"/>
        <v/>
      </c>
      <c r="IRV22" s="73" t="str">
        <f t="shared" si="102"/>
        <v/>
      </c>
      <c r="IRW22" s="73" t="str">
        <f t="shared" si="102"/>
        <v/>
      </c>
      <c r="IRX22" s="73" t="str">
        <f t="shared" si="102"/>
        <v/>
      </c>
      <c r="IRY22" s="73" t="str">
        <f t="shared" si="102"/>
        <v/>
      </c>
      <c r="IRZ22" s="73" t="str">
        <f t="shared" si="102"/>
        <v/>
      </c>
      <c r="ISA22" s="73" t="str">
        <f t="shared" si="102"/>
        <v/>
      </c>
      <c r="ISB22" s="73" t="str">
        <f t="shared" si="102"/>
        <v/>
      </c>
      <c r="ISC22" s="73" t="str">
        <f t="shared" si="102"/>
        <v/>
      </c>
      <c r="ISD22" s="73" t="str">
        <f t="shared" si="102"/>
        <v/>
      </c>
      <c r="ISE22" s="73" t="str">
        <f t="shared" si="102"/>
        <v/>
      </c>
      <c r="ISF22" s="73" t="str">
        <f t="shared" si="102"/>
        <v/>
      </c>
      <c r="ISG22" s="73" t="str">
        <f t="shared" si="102"/>
        <v/>
      </c>
      <c r="ISH22" s="73" t="str">
        <f t="shared" si="102"/>
        <v/>
      </c>
      <c r="ISI22" s="73" t="str">
        <f t="shared" si="102"/>
        <v/>
      </c>
      <c r="ISJ22" s="73" t="str">
        <f t="shared" si="102"/>
        <v/>
      </c>
      <c r="ISK22" s="73" t="str">
        <f t="shared" si="102"/>
        <v/>
      </c>
      <c r="ISL22" s="73" t="str">
        <f t="shared" si="102"/>
        <v/>
      </c>
      <c r="ISM22" s="73" t="str">
        <f t="shared" si="102"/>
        <v/>
      </c>
      <c r="ISN22" s="73" t="str">
        <f t="shared" si="102"/>
        <v/>
      </c>
      <c r="ISO22" s="73" t="str">
        <f t="shared" si="102"/>
        <v/>
      </c>
      <c r="ISP22" s="73" t="str">
        <f t="shared" si="102"/>
        <v/>
      </c>
      <c r="ISQ22" s="73" t="str">
        <f t="shared" si="102"/>
        <v/>
      </c>
      <c r="ISR22" s="73" t="str">
        <f t="shared" si="102"/>
        <v/>
      </c>
      <c r="ISS22" s="73" t="str">
        <f t="shared" si="102"/>
        <v/>
      </c>
      <c r="IST22" s="73" t="str">
        <f t="shared" ref="IST22:IVE22" si="103">IFERROR(AVERAGE(IST6:IST21),"")</f>
        <v/>
      </c>
      <c r="ISU22" s="73" t="str">
        <f t="shared" si="103"/>
        <v/>
      </c>
      <c r="ISV22" s="73" t="str">
        <f t="shared" si="103"/>
        <v/>
      </c>
      <c r="ISW22" s="73" t="str">
        <f t="shared" si="103"/>
        <v/>
      </c>
      <c r="ISX22" s="73" t="str">
        <f t="shared" si="103"/>
        <v/>
      </c>
      <c r="ISY22" s="73" t="str">
        <f t="shared" si="103"/>
        <v/>
      </c>
      <c r="ISZ22" s="73" t="str">
        <f t="shared" si="103"/>
        <v/>
      </c>
      <c r="ITA22" s="73" t="str">
        <f t="shared" si="103"/>
        <v/>
      </c>
      <c r="ITB22" s="73" t="str">
        <f t="shared" si="103"/>
        <v/>
      </c>
      <c r="ITC22" s="73" t="str">
        <f t="shared" si="103"/>
        <v/>
      </c>
      <c r="ITD22" s="73" t="str">
        <f t="shared" si="103"/>
        <v/>
      </c>
      <c r="ITE22" s="73" t="str">
        <f t="shared" si="103"/>
        <v/>
      </c>
      <c r="ITF22" s="73" t="str">
        <f t="shared" si="103"/>
        <v/>
      </c>
      <c r="ITG22" s="73" t="str">
        <f t="shared" si="103"/>
        <v/>
      </c>
      <c r="ITH22" s="73" t="str">
        <f t="shared" si="103"/>
        <v/>
      </c>
      <c r="ITI22" s="73" t="str">
        <f t="shared" si="103"/>
        <v/>
      </c>
      <c r="ITJ22" s="73" t="str">
        <f t="shared" si="103"/>
        <v/>
      </c>
      <c r="ITK22" s="73" t="str">
        <f t="shared" si="103"/>
        <v/>
      </c>
      <c r="ITL22" s="73" t="str">
        <f t="shared" si="103"/>
        <v/>
      </c>
      <c r="ITM22" s="73" t="str">
        <f t="shared" si="103"/>
        <v/>
      </c>
      <c r="ITN22" s="73" t="str">
        <f t="shared" si="103"/>
        <v/>
      </c>
      <c r="ITO22" s="73" t="str">
        <f t="shared" si="103"/>
        <v/>
      </c>
      <c r="ITP22" s="73" t="str">
        <f t="shared" si="103"/>
        <v/>
      </c>
      <c r="ITQ22" s="73" t="str">
        <f t="shared" si="103"/>
        <v/>
      </c>
      <c r="ITR22" s="73" t="str">
        <f t="shared" si="103"/>
        <v/>
      </c>
      <c r="ITS22" s="73" t="str">
        <f t="shared" si="103"/>
        <v/>
      </c>
      <c r="ITT22" s="73" t="str">
        <f t="shared" si="103"/>
        <v/>
      </c>
      <c r="ITU22" s="73" t="str">
        <f t="shared" si="103"/>
        <v/>
      </c>
      <c r="ITV22" s="73" t="str">
        <f t="shared" si="103"/>
        <v/>
      </c>
      <c r="ITW22" s="73" t="str">
        <f t="shared" si="103"/>
        <v/>
      </c>
      <c r="ITX22" s="73" t="str">
        <f t="shared" si="103"/>
        <v/>
      </c>
      <c r="ITY22" s="73" t="str">
        <f t="shared" si="103"/>
        <v/>
      </c>
      <c r="ITZ22" s="73" t="str">
        <f t="shared" si="103"/>
        <v/>
      </c>
      <c r="IUA22" s="73" t="str">
        <f t="shared" si="103"/>
        <v/>
      </c>
      <c r="IUB22" s="73" t="str">
        <f t="shared" si="103"/>
        <v/>
      </c>
      <c r="IUC22" s="73" t="str">
        <f t="shared" si="103"/>
        <v/>
      </c>
      <c r="IUD22" s="73" t="str">
        <f t="shared" si="103"/>
        <v/>
      </c>
      <c r="IUE22" s="73" t="str">
        <f t="shared" si="103"/>
        <v/>
      </c>
      <c r="IUF22" s="73" t="str">
        <f t="shared" si="103"/>
        <v/>
      </c>
      <c r="IUG22" s="73" t="str">
        <f t="shared" si="103"/>
        <v/>
      </c>
      <c r="IUH22" s="73" t="str">
        <f t="shared" si="103"/>
        <v/>
      </c>
      <c r="IUI22" s="73" t="str">
        <f t="shared" si="103"/>
        <v/>
      </c>
      <c r="IUJ22" s="73" t="str">
        <f t="shared" si="103"/>
        <v/>
      </c>
      <c r="IUK22" s="73" t="str">
        <f t="shared" si="103"/>
        <v/>
      </c>
      <c r="IUL22" s="73" t="str">
        <f t="shared" si="103"/>
        <v/>
      </c>
      <c r="IUM22" s="73" t="str">
        <f t="shared" si="103"/>
        <v/>
      </c>
      <c r="IUN22" s="73" t="str">
        <f t="shared" si="103"/>
        <v/>
      </c>
      <c r="IUO22" s="73" t="str">
        <f t="shared" si="103"/>
        <v/>
      </c>
      <c r="IUP22" s="73" t="str">
        <f t="shared" si="103"/>
        <v/>
      </c>
      <c r="IUQ22" s="73" t="str">
        <f t="shared" si="103"/>
        <v/>
      </c>
      <c r="IUR22" s="73" t="str">
        <f t="shared" si="103"/>
        <v/>
      </c>
      <c r="IUS22" s="73" t="str">
        <f t="shared" si="103"/>
        <v/>
      </c>
      <c r="IUT22" s="73" t="str">
        <f t="shared" si="103"/>
        <v/>
      </c>
      <c r="IUU22" s="73" t="str">
        <f t="shared" si="103"/>
        <v/>
      </c>
      <c r="IUV22" s="73" t="str">
        <f t="shared" si="103"/>
        <v/>
      </c>
      <c r="IUW22" s="73" t="str">
        <f t="shared" si="103"/>
        <v/>
      </c>
      <c r="IUX22" s="73" t="str">
        <f t="shared" si="103"/>
        <v/>
      </c>
      <c r="IUY22" s="73" t="str">
        <f t="shared" si="103"/>
        <v/>
      </c>
      <c r="IUZ22" s="73" t="str">
        <f t="shared" si="103"/>
        <v/>
      </c>
      <c r="IVA22" s="73" t="str">
        <f t="shared" si="103"/>
        <v/>
      </c>
      <c r="IVB22" s="73" t="str">
        <f t="shared" si="103"/>
        <v/>
      </c>
      <c r="IVC22" s="73" t="str">
        <f t="shared" si="103"/>
        <v/>
      </c>
      <c r="IVD22" s="73" t="str">
        <f t="shared" si="103"/>
        <v/>
      </c>
      <c r="IVE22" s="73" t="str">
        <f t="shared" si="103"/>
        <v/>
      </c>
      <c r="IVF22" s="73" t="str">
        <f t="shared" ref="IVF22:IXQ22" si="104">IFERROR(AVERAGE(IVF6:IVF21),"")</f>
        <v/>
      </c>
      <c r="IVG22" s="73" t="str">
        <f t="shared" si="104"/>
        <v/>
      </c>
      <c r="IVH22" s="73" t="str">
        <f t="shared" si="104"/>
        <v/>
      </c>
      <c r="IVI22" s="73" t="str">
        <f t="shared" si="104"/>
        <v/>
      </c>
      <c r="IVJ22" s="73" t="str">
        <f t="shared" si="104"/>
        <v/>
      </c>
      <c r="IVK22" s="73" t="str">
        <f t="shared" si="104"/>
        <v/>
      </c>
      <c r="IVL22" s="73" t="str">
        <f t="shared" si="104"/>
        <v/>
      </c>
      <c r="IVM22" s="73" t="str">
        <f t="shared" si="104"/>
        <v/>
      </c>
      <c r="IVN22" s="73" t="str">
        <f t="shared" si="104"/>
        <v/>
      </c>
      <c r="IVO22" s="73" t="str">
        <f t="shared" si="104"/>
        <v/>
      </c>
      <c r="IVP22" s="73" t="str">
        <f t="shared" si="104"/>
        <v/>
      </c>
      <c r="IVQ22" s="73" t="str">
        <f t="shared" si="104"/>
        <v/>
      </c>
      <c r="IVR22" s="73" t="str">
        <f t="shared" si="104"/>
        <v/>
      </c>
      <c r="IVS22" s="73" t="str">
        <f t="shared" si="104"/>
        <v/>
      </c>
      <c r="IVT22" s="73" t="str">
        <f t="shared" si="104"/>
        <v/>
      </c>
      <c r="IVU22" s="73" t="str">
        <f t="shared" si="104"/>
        <v/>
      </c>
      <c r="IVV22" s="73" t="str">
        <f t="shared" si="104"/>
        <v/>
      </c>
      <c r="IVW22" s="73" t="str">
        <f t="shared" si="104"/>
        <v/>
      </c>
      <c r="IVX22" s="73" t="str">
        <f t="shared" si="104"/>
        <v/>
      </c>
      <c r="IVY22" s="73" t="str">
        <f t="shared" si="104"/>
        <v/>
      </c>
      <c r="IVZ22" s="73" t="str">
        <f t="shared" si="104"/>
        <v/>
      </c>
      <c r="IWA22" s="73" t="str">
        <f t="shared" si="104"/>
        <v/>
      </c>
      <c r="IWB22" s="73" t="str">
        <f t="shared" si="104"/>
        <v/>
      </c>
      <c r="IWC22" s="73" t="str">
        <f t="shared" si="104"/>
        <v/>
      </c>
      <c r="IWD22" s="73" t="str">
        <f t="shared" si="104"/>
        <v/>
      </c>
      <c r="IWE22" s="73" t="str">
        <f t="shared" si="104"/>
        <v/>
      </c>
      <c r="IWF22" s="73" t="str">
        <f t="shared" si="104"/>
        <v/>
      </c>
      <c r="IWG22" s="73" t="str">
        <f t="shared" si="104"/>
        <v/>
      </c>
      <c r="IWH22" s="73" t="str">
        <f t="shared" si="104"/>
        <v/>
      </c>
      <c r="IWI22" s="73" t="str">
        <f t="shared" si="104"/>
        <v/>
      </c>
      <c r="IWJ22" s="73" t="str">
        <f t="shared" si="104"/>
        <v/>
      </c>
      <c r="IWK22" s="73" t="str">
        <f t="shared" si="104"/>
        <v/>
      </c>
      <c r="IWL22" s="73" t="str">
        <f t="shared" si="104"/>
        <v/>
      </c>
      <c r="IWM22" s="73" t="str">
        <f t="shared" si="104"/>
        <v/>
      </c>
      <c r="IWN22" s="73" t="str">
        <f t="shared" si="104"/>
        <v/>
      </c>
      <c r="IWO22" s="73" t="str">
        <f t="shared" si="104"/>
        <v/>
      </c>
      <c r="IWP22" s="73" t="str">
        <f t="shared" si="104"/>
        <v/>
      </c>
      <c r="IWQ22" s="73" t="str">
        <f t="shared" si="104"/>
        <v/>
      </c>
      <c r="IWR22" s="73" t="str">
        <f t="shared" si="104"/>
        <v/>
      </c>
      <c r="IWS22" s="73" t="str">
        <f t="shared" si="104"/>
        <v/>
      </c>
      <c r="IWT22" s="73" t="str">
        <f t="shared" si="104"/>
        <v/>
      </c>
      <c r="IWU22" s="73" t="str">
        <f t="shared" si="104"/>
        <v/>
      </c>
      <c r="IWV22" s="73" t="str">
        <f t="shared" si="104"/>
        <v/>
      </c>
      <c r="IWW22" s="73" t="str">
        <f t="shared" si="104"/>
        <v/>
      </c>
      <c r="IWX22" s="73" t="str">
        <f t="shared" si="104"/>
        <v/>
      </c>
      <c r="IWY22" s="73" t="str">
        <f t="shared" si="104"/>
        <v/>
      </c>
      <c r="IWZ22" s="73" t="str">
        <f t="shared" si="104"/>
        <v/>
      </c>
      <c r="IXA22" s="73" t="str">
        <f t="shared" si="104"/>
        <v/>
      </c>
      <c r="IXB22" s="73" t="str">
        <f t="shared" si="104"/>
        <v/>
      </c>
      <c r="IXC22" s="73" t="str">
        <f t="shared" si="104"/>
        <v/>
      </c>
      <c r="IXD22" s="73" t="str">
        <f t="shared" si="104"/>
        <v/>
      </c>
      <c r="IXE22" s="73" t="str">
        <f t="shared" si="104"/>
        <v/>
      </c>
      <c r="IXF22" s="73" t="str">
        <f t="shared" si="104"/>
        <v/>
      </c>
      <c r="IXG22" s="73" t="str">
        <f t="shared" si="104"/>
        <v/>
      </c>
      <c r="IXH22" s="73" t="str">
        <f t="shared" si="104"/>
        <v/>
      </c>
      <c r="IXI22" s="73" t="str">
        <f t="shared" si="104"/>
        <v/>
      </c>
      <c r="IXJ22" s="73" t="str">
        <f t="shared" si="104"/>
        <v/>
      </c>
      <c r="IXK22" s="73" t="str">
        <f t="shared" si="104"/>
        <v/>
      </c>
      <c r="IXL22" s="73" t="str">
        <f t="shared" si="104"/>
        <v/>
      </c>
      <c r="IXM22" s="73" t="str">
        <f t="shared" si="104"/>
        <v/>
      </c>
      <c r="IXN22" s="73" t="str">
        <f t="shared" si="104"/>
        <v/>
      </c>
      <c r="IXO22" s="73" t="str">
        <f t="shared" si="104"/>
        <v/>
      </c>
      <c r="IXP22" s="73" t="str">
        <f t="shared" si="104"/>
        <v/>
      </c>
      <c r="IXQ22" s="73" t="str">
        <f t="shared" si="104"/>
        <v/>
      </c>
      <c r="IXR22" s="73" t="str">
        <f t="shared" ref="IXR22:JAC22" si="105">IFERROR(AVERAGE(IXR6:IXR21),"")</f>
        <v/>
      </c>
      <c r="IXS22" s="73" t="str">
        <f t="shared" si="105"/>
        <v/>
      </c>
      <c r="IXT22" s="73" t="str">
        <f t="shared" si="105"/>
        <v/>
      </c>
      <c r="IXU22" s="73" t="str">
        <f t="shared" si="105"/>
        <v/>
      </c>
      <c r="IXV22" s="73" t="str">
        <f t="shared" si="105"/>
        <v/>
      </c>
      <c r="IXW22" s="73" t="str">
        <f t="shared" si="105"/>
        <v/>
      </c>
      <c r="IXX22" s="73" t="str">
        <f t="shared" si="105"/>
        <v/>
      </c>
      <c r="IXY22" s="73" t="str">
        <f t="shared" si="105"/>
        <v/>
      </c>
      <c r="IXZ22" s="73" t="str">
        <f t="shared" si="105"/>
        <v/>
      </c>
      <c r="IYA22" s="73" t="str">
        <f t="shared" si="105"/>
        <v/>
      </c>
      <c r="IYB22" s="73" t="str">
        <f t="shared" si="105"/>
        <v/>
      </c>
      <c r="IYC22" s="73" t="str">
        <f t="shared" si="105"/>
        <v/>
      </c>
      <c r="IYD22" s="73" t="str">
        <f t="shared" si="105"/>
        <v/>
      </c>
      <c r="IYE22" s="73" t="str">
        <f t="shared" si="105"/>
        <v/>
      </c>
      <c r="IYF22" s="73" t="str">
        <f t="shared" si="105"/>
        <v/>
      </c>
      <c r="IYG22" s="73" t="str">
        <f t="shared" si="105"/>
        <v/>
      </c>
      <c r="IYH22" s="73" t="str">
        <f t="shared" si="105"/>
        <v/>
      </c>
      <c r="IYI22" s="73" t="str">
        <f t="shared" si="105"/>
        <v/>
      </c>
      <c r="IYJ22" s="73" t="str">
        <f t="shared" si="105"/>
        <v/>
      </c>
      <c r="IYK22" s="73" t="str">
        <f t="shared" si="105"/>
        <v/>
      </c>
      <c r="IYL22" s="73" t="str">
        <f t="shared" si="105"/>
        <v/>
      </c>
      <c r="IYM22" s="73" t="str">
        <f t="shared" si="105"/>
        <v/>
      </c>
      <c r="IYN22" s="73" t="str">
        <f t="shared" si="105"/>
        <v/>
      </c>
      <c r="IYO22" s="73" t="str">
        <f t="shared" si="105"/>
        <v/>
      </c>
      <c r="IYP22" s="73" t="str">
        <f t="shared" si="105"/>
        <v/>
      </c>
      <c r="IYQ22" s="73" t="str">
        <f t="shared" si="105"/>
        <v/>
      </c>
      <c r="IYR22" s="73" t="str">
        <f t="shared" si="105"/>
        <v/>
      </c>
      <c r="IYS22" s="73" t="str">
        <f t="shared" si="105"/>
        <v/>
      </c>
      <c r="IYT22" s="73" t="str">
        <f t="shared" si="105"/>
        <v/>
      </c>
      <c r="IYU22" s="73" t="str">
        <f t="shared" si="105"/>
        <v/>
      </c>
      <c r="IYV22" s="73" t="str">
        <f t="shared" si="105"/>
        <v/>
      </c>
      <c r="IYW22" s="73" t="str">
        <f t="shared" si="105"/>
        <v/>
      </c>
      <c r="IYX22" s="73" t="str">
        <f t="shared" si="105"/>
        <v/>
      </c>
      <c r="IYY22" s="73" t="str">
        <f t="shared" si="105"/>
        <v/>
      </c>
      <c r="IYZ22" s="73" t="str">
        <f t="shared" si="105"/>
        <v/>
      </c>
      <c r="IZA22" s="73" t="str">
        <f t="shared" si="105"/>
        <v/>
      </c>
      <c r="IZB22" s="73" t="str">
        <f t="shared" si="105"/>
        <v/>
      </c>
      <c r="IZC22" s="73" t="str">
        <f t="shared" si="105"/>
        <v/>
      </c>
      <c r="IZD22" s="73" t="str">
        <f t="shared" si="105"/>
        <v/>
      </c>
      <c r="IZE22" s="73" t="str">
        <f t="shared" si="105"/>
        <v/>
      </c>
      <c r="IZF22" s="73" t="str">
        <f t="shared" si="105"/>
        <v/>
      </c>
      <c r="IZG22" s="73" t="str">
        <f t="shared" si="105"/>
        <v/>
      </c>
      <c r="IZH22" s="73" t="str">
        <f t="shared" si="105"/>
        <v/>
      </c>
      <c r="IZI22" s="73" t="str">
        <f t="shared" si="105"/>
        <v/>
      </c>
      <c r="IZJ22" s="73" t="str">
        <f t="shared" si="105"/>
        <v/>
      </c>
      <c r="IZK22" s="73" t="str">
        <f t="shared" si="105"/>
        <v/>
      </c>
      <c r="IZL22" s="73" t="str">
        <f t="shared" si="105"/>
        <v/>
      </c>
      <c r="IZM22" s="73" t="str">
        <f t="shared" si="105"/>
        <v/>
      </c>
      <c r="IZN22" s="73" t="str">
        <f t="shared" si="105"/>
        <v/>
      </c>
      <c r="IZO22" s="73" t="str">
        <f t="shared" si="105"/>
        <v/>
      </c>
      <c r="IZP22" s="73" t="str">
        <f t="shared" si="105"/>
        <v/>
      </c>
      <c r="IZQ22" s="73" t="str">
        <f t="shared" si="105"/>
        <v/>
      </c>
      <c r="IZR22" s="73" t="str">
        <f t="shared" si="105"/>
        <v/>
      </c>
      <c r="IZS22" s="73" t="str">
        <f t="shared" si="105"/>
        <v/>
      </c>
      <c r="IZT22" s="73" t="str">
        <f t="shared" si="105"/>
        <v/>
      </c>
      <c r="IZU22" s="73" t="str">
        <f t="shared" si="105"/>
        <v/>
      </c>
      <c r="IZV22" s="73" t="str">
        <f t="shared" si="105"/>
        <v/>
      </c>
      <c r="IZW22" s="73" t="str">
        <f t="shared" si="105"/>
        <v/>
      </c>
      <c r="IZX22" s="73" t="str">
        <f t="shared" si="105"/>
        <v/>
      </c>
      <c r="IZY22" s="73" t="str">
        <f t="shared" si="105"/>
        <v/>
      </c>
      <c r="IZZ22" s="73" t="str">
        <f t="shared" si="105"/>
        <v/>
      </c>
      <c r="JAA22" s="73" t="str">
        <f t="shared" si="105"/>
        <v/>
      </c>
      <c r="JAB22" s="73" t="str">
        <f t="shared" si="105"/>
        <v/>
      </c>
      <c r="JAC22" s="73" t="str">
        <f t="shared" si="105"/>
        <v/>
      </c>
      <c r="JAD22" s="73" t="str">
        <f t="shared" ref="JAD22:JCO22" si="106">IFERROR(AVERAGE(JAD6:JAD21),"")</f>
        <v/>
      </c>
      <c r="JAE22" s="73" t="str">
        <f t="shared" si="106"/>
        <v/>
      </c>
      <c r="JAF22" s="73" t="str">
        <f t="shared" si="106"/>
        <v/>
      </c>
      <c r="JAG22" s="73" t="str">
        <f t="shared" si="106"/>
        <v/>
      </c>
      <c r="JAH22" s="73" t="str">
        <f t="shared" si="106"/>
        <v/>
      </c>
      <c r="JAI22" s="73" t="str">
        <f t="shared" si="106"/>
        <v/>
      </c>
      <c r="JAJ22" s="73" t="str">
        <f t="shared" si="106"/>
        <v/>
      </c>
      <c r="JAK22" s="73" t="str">
        <f t="shared" si="106"/>
        <v/>
      </c>
      <c r="JAL22" s="73" t="str">
        <f t="shared" si="106"/>
        <v/>
      </c>
      <c r="JAM22" s="73" t="str">
        <f t="shared" si="106"/>
        <v/>
      </c>
      <c r="JAN22" s="73" t="str">
        <f t="shared" si="106"/>
        <v/>
      </c>
      <c r="JAO22" s="73" t="str">
        <f t="shared" si="106"/>
        <v/>
      </c>
      <c r="JAP22" s="73" t="str">
        <f t="shared" si="106"/>
        <v/>
      </c>
      <c r="JAQ22" s="73" t="str">
        <f t="shared" si="106"/>
        <v/>
      </c>
      <c r="JAR22" s="73" t="str">
        <f t="shared" si="106"/>
        <v/>
      </c>
      <c r="JAS22" s="73" t="str">
        <f t="shared" si="106"/>
        <v/>
      </c>
      <c r="JAT22" s="73" t="str">
        <f t="shared" si="106"/>
        <v/>
      </c>
      <c r="JAU22" s="73" t="str">
        <f t="shared" si="106"/>
        <v/>
      </c>
      <c r="JAV22" s="73" t="str">
        <f t="shared" si="106"/>
        <v/>
      </c>
      <c r="JAW22" s="73" t="str">
        <f t="shared" si="106"/>
        <v/>
      </c>
      <c r="JAX22" s="73" t="str">
        <f t="shared" si="106"/>
        <v/>
      </c>
      <c r="JAY22" s="73" t="str">
        <f t="shared" si="106"/>
        <v/>
      </c>
      <c r="JAZ22" s="73" t="str">
        <f t="shared" si="106"/>
        <v/>
      </c>
      <c r="JBA22" s="73" t="str">
        <f t="shared" si="106"/>
        <v/>
      </c>
      <c r="JBB22" s="73" t="str">
        <f t="shared" si="106"/>
        <v/>
      </c>
      <c r="JBC22" s="73" t="str">
        <f t="shared" si="106"/>
        <v/>
      </c>
      <c r="JBD22" s="73" t="str">
        <f t="shared" si="106"/>
        <v/>
      </c>
      <c r="JBE22" s="73" t="str">
        <f t="shared" si="106"/>
        <v/>
      </c>
      <c r="JBF22" s="73" t="str">
        <f t="shared" si="106"/>
        <v/>
      </c>
      <c r="JBG22" s="73" t="str">
        <f t="shared" si="106"/>
        <v/>
      </c>
      <c r="JBH22" s="73" t="str">
        <f t="shared" si="106"/>
        <v/>
      </c>
      <c r="JBI22" s="73" t="str">
        <f t="shared" si="106"/>
        <v/>
      </c>
      <c r="JBJ22" s="73" t="str">
        <f t="shared" si="106"/>
        <v/>
      </c>
      <c r="JBK22" s="73" t="str">
        <f t="shared" si="106"/>
        <v/>
      </c>
      <c r="JBL22" s="73" t="str">
        <f t="shared" si="106"/>
        <v/>
      </c>
      <c r="JBM22" s="73" t="str">
        <f t="shared" si="106"/>
        <v/>
      </c>
      <c r="JBN22" s="73" t="str">
        <f t="shared" si="106"/>
        <v/>
      </c>
      <c r="JBO22" s="73" t="str">
        <f t="shared" si="106"/>
        <v/>
      </c>
      <c r="JBP22" s="73" t="str">
        <f t="shared" si="106"/>
        <v/>
      </c>
      <c r="JBQ22" s="73" t="str">
        <f t="shared" si="106"/>
        <v/>
      </c>
      <c r="JBR22" s="73" t="str">
        <f t="shared" si="106"/>
        <v/>
      </c>
      <c r="JBS22" s="73" t="str">
        <f t="shared" si="106"/>
        <v/>
      </c>
      <c r="JBT22" s="73" t="str">
        <f t="shared" si="106"/>
        <v/>
      </c>
      <c r="JBU22" s="73" t="str">
        <f t="shared" si="106"/>
        <v/>
      </c>
      <c r="JBV22" s="73" t="str">
        <f t="shared" si="106"/>
        <v/>
      </c>
      <c r="JBW22" s="73" t="str">
        <f t="shared" si="106"/>
        <v/>
      </c>
      <c r="JBX22" s="73" t="str">
        <f t="shared" si="106"/>
        <v/>
      </c>
      <c r="JBY22" s="73" t="str">
        <f t="shared" si="106"/>
        <v/>
      </c>
      <c r="JBZ22" s="73" t="str">
        <f t="shared" si="106"/>
        <v/>
      </c>
      <c r="JCA22" s="73" t="str">
        <f t="shared" si="106"/>
        <v/>
      </c>
      <c r="JCB22" s="73" t="str">
        <f t="shared" si="106"/>
        <v/>
      </c>
      <c r="JCC22" s="73" t="str">
        <f t="shared" si="106"/>
        <v/>
      </c>
      <c r="JCD22" s="73" t="str">
        <f t="shared" si="106"/>
        <v/>
      </c>
      <c r="JCE22" s="73" t="str">
        <f t="shared" si="106"/>
        <v/>
      </c>
      <c r="JCF22" s="73" t="str">
        <f t="shared" si="106"/>
        <v/>
      </c>
      <c r="JCG22" s="73" t="str">
        <f t="shared" si="106"/>
        <v/>
      </c>
      <c r="JCH22" s="73" t="str">
        <f t="shared" si="106"/>
        <v/>
      </c>
      <c r="JCI22" s="73" t="str">
        <f t="shared" si="106"/>
        <v/>
      </c>
      <c r="JCJ22" s="73" t="str">
        <f t="shared" si="106"/>
        <v/>
      </c>
      <c r="JCK22" s="73" t="str">
        <f t="shared" si="106"/>
        <v/>
      </c>
      <c r="JCL22" s="73" t="str">
        <f t="shared" si="106"/>
        <v/>
      </c>
      <c r="JCM22" s="73" t="str">
        <f t="shared" si="106"/>
        <v/>
      </c>
      <c r="JCN22" s="73" t="str">
        <f t="shared" si="106"/>
        <v/>
      </c>
      <c r="JCO22" s="73" t="str">
        <f t="shared" si="106"/>
        <v/>
      </c>
      <c r="JCP22" s="73" t="str">
        <f t="shared" ref="JCP22:JFA22" si="107">IFERROR(AVERAGE(JCP6:JCP21),"")</f>
        <v/>
      </c>
      <c r="JCQ22" s="73" t="str">
        <f t="shared" si="107"/>
        <v/>
      </c>
      <c r="JCR22" s="73" t="str">
        <f t="shared" si="107"/>
        <v/>
      </c>
      <c r="JCS22" s="73" t="str">
        <f t="shared" si="107"/>
        <v/>
      </c>
      <c r="JCT22" s="73" t="str">
        <f t="shared" si="107"/>
        <v/>
      </c>
      <c r="JCU22" s="73" t="str">
        <f t="shared" si="107"/>
        <v/>
      </c>
      <c r="JCV22" s="73" t="str">
        <f t="shared" si="107"/>
        <v/>
      </c>
      <c r="JCW22" s="73" t="str">
        <f t="shared" si="107"/>
        <v/>
      </c>
      <c r="JCX22" s="73" t="str">
        <f t="shared" si="107"/>
        <v/>
      </c>
      <c r="JCY22" s="73" t="str">
        <f t="shared" si="107"/>
        <v/>
      </c>
      <c r="JCZ22" s="73" t="str">
        <f t="shared" si="107"/>
        <v/>
      </c>
      <c r="JDA22" s="73" t="str">
        <f t="shared" si="107"/>
        <v/>
      </c>
      <c r="JDB22" s="73" t="str">
        <f t="shared" si="107"/>
        <v/>
      </c>
      <c r="JDC22" s="73" t="str">
        <f t="shared" si="107"/>
        <v/>
      </c>
      <c r="JDD22" s="73" t="str">
        <f t="shared" si="107"/>
        <v/>
      </c>
      <c r="JDE22" s="73" t="str">
        <f t="shared" si="107"/>
        <v/>
      </c>
      <c r="JDF22" s="73" t="str">
        <f t="shared" si="107"/>
        <v/>
      </c>
      <c r="JDG22" s="73" t="str">
        <f t="shared" si="107"/>
        <v/>
      </c>
      <c r="JDH22" s="73" t="str">
        <f t="shared" si="107"/>
        <v/>
      </c>
      <c r="JDI22" s="73" t="str">
        <f t="shared" si="107"/>
        <v/>
      </c>
      <c r="JDJ22" s="73" t="str">
        <f t="shared" si="107"/>
        <v/>
      </c>
      <c r="JDK22" s="73" t="str">
        <f t="shared" si="107"/>
        <v/>
      </c>
      <c r="JDL22" s="73" t="str">
        <f t="shared" si="107"/>
        <v/>
      </c>
      <c r="JDM22" s="73" t="str">
        <f t="shared" si="107"/>
        <v/>
      </c>
      <c r="JDN22" s="73" t="str">
        <f t="shared" si="107"/>
        <v/>
      </c>
      <c r="JDO22" s="73" t="str">
        <f t="shared" si="107"/>
        <v/>
      </c>
      <c r="JDP22" s="73" t="str">
        <f t="shared" si="107"/>
        <v/>
      </c>
      <c r="JDQ22" s="73" t="str">
        <f t="shared" si="107"/>
        <v/>
      </c>
      <c r="JDR22" s="73" t="str">
        <f t="shared" si="107"/>
        <v/>
      </c>
      <c r="JDS22" s="73" t="str">
        <f t="shared" si="107"/>
        <v/>
      </c>
      <c r="JDT22" s="73" t="str">
        <f t="shared" si="107"/>
        <v/>
      </c>
      <c r="JDU22" s="73" t="str">
        <f t="shared" si="107"/>
        <v/>
      </c>
      <c r="JDV22" s="73" t="str">
        <f t="shared" si="107"/>
        <v/>
      </c>
      <c r="JDW22" s="73" t="str">
        <f t="shared" si="107"/>
        <v/>
      </c>
      <c r="JDX22" s="73" t="str">
        <f t="shared" si="107"/>
        <v/>
      </c>
      <c r="JDY22" s="73" t="str">
        <f t="shared" si="107"/>
        <v/>
      </c>
      <c r="JDZ22" s="73" t="str">
        <f t="shared" si="107"/>
        <v/>
      </c>
      <c r="JEA22" s="73" t="str">
        <f t="shared" si="107"/>
        <v/>
      </c>
      <c r="JEB22" s="73" t="str">
        <f t="shared" si="107"/>
        <v/>
      </c>
      <c r="JEC22" s="73" t="str">
        <f t="shared" si="107"/>
        <v/>
      </c>
      <c r="JED22" s="73" t="str">
        <f t="shared" si="107"/>
        <v/>
      </c>
      <c r="JEE22" s="73" t="str">
        <f t="shared" si="107"/>
        <v/>
      </c>
      <c r="JEF22" s="73" t="str">
        <f t="shared" si="107"/>
        <v/>
      </c>
      <c r="JEG22" s="73" t="str">
        <f t="shared" si="107"/>
        <v/>
      </c>
      <c r="JEH22" s="73" t="str">
        <f t="shared" si="107"/>
        <v/>
      </c>
      <c r="JEI22" s="73" t="str">
        <f t="shared" si="107"/>
        <v/>
      </c>
      <c r="JEJ22" s="73" t="str">
        <f t="shared" si="107"/>
        <v/>
      </c>
      <c r="JEK22" s="73" t="str">
        <f t="shared" si="107"/>
        <v/>
      </c>
      <c r="JEL22" s="73" t="str">
        <f t="shared" si="107"/>
        <v/>
      </c>
      <c r="JEM22" s="73" t="str">
        <f t="shared" si="107"/>
        <v/>
      </c>
      <c r="JEN22" s="73" t="str">
        <f t="shared" si="107"/>
        <v/>
      </c>
      <c r="JEO22" s="73" t="str">
        <f t="shared" si="107"/>
        <v/>
      </c>
      <c r="JEP22" s="73" t="str">
        <f t="shared" si="107"/>
        <v/>
      </c>
      <c r="JEQ22" s="73" t="str">
        <f t="shared" si="107"/>
        <v/>
      </c>
      <c r="JER22" s="73" t="str">
        <f t="shared" si="107"/>
        <v/>
      </c>
      <c r="JES22" s="73" t="str">
        <f t="shared" si="107"/>
        <v/>
      </c>
      <c r="JET22" s="73" t="str">
        <f t="shared" si="107"/>
        <v/>
      </c>
      <c r="JEU22" s="73" t="str">
        <f t="shared" si="107"/>
        <v/>
      </c>
      <c r="JEV22" s="73" t="str">
        <f t="shared" si="107"/>
        <v/>
      </c>
      <c r="JEW22" s="73" t="str">
        <f t="shared" si="107"/>
        <v/>
      </c>
      <c r="JEX22" s="73" t="str">
        <f t="shared" si="107"/>
        <v/>
      </c>
      <c r="JEY22" s="73" t="str">
        <f t="shared" si="107"/>
        <v/>
      </c>
      <c r="JEZ22" s="73" t="str">
        <f t="shared" si="107"/>
        <v/>
      </c>
      <c r="JFA22" s="73" t="str">
        <f t="shared" si="107"/>
        <v/>
      </c>
      <c r="JFB22" s="73" t="str">
        <f t="shared" ref="JFB22:JHM22" si="108">IFERROR(AVERAGE(JFB6:JFB21),"")</f>
        <v/>
      </c>
      <c r="JFC22" s="73" t="str">
        <f t="shared" si="108"/>
        <v/>
      </c>
      <c r="JFD22" s="73" t="str">
        <f t="shared" si="108"/>
        <v/>
      </c>
      <c r="JFE22" s="73" t="str">
        <f t="shared" si="108"/>
        <v/>
      </c>
      <c r="JFF22" s="73" t="str">
        <f t="shared" si="108"/>
        <v/>
      </c>
      <c r="JFG22" s="73" t="str">
        <f t="shared" si="108"/>
        <v/>
      </c>
      <c r="JFH22" s="73" t="str">
        <f t="shared" si="108"/>
        <v/>
      </c>
      <c r="JFI22" s="73" t="str">
        <f t="shared" si="108"/>
        <v/>
      </c>
      <c r="JFJ22" s="73" t="str">
        <f t="shared" si="108"/>
        <v/>
      </c>
      <c r="JFK22" s="73" t="str">
        <f t="shared" si="108"/>
        <v/>
      </c>
      <c r="JFL22" s="73" t="str">
        <f t="shared" si="108"/>
        <v/>
      </c>
      <c r="JFM22" s="73" t="str">
        <f t="shared" si="108"/>
        <v/>
      </c>
      <c r="JFN22" s="73" t="str">
        <f t="shared" si="108"/>
        <v/>
      </c>
      <c r="JFO22" s="73" t="str">
        <f t="shared" si="108"/>
        <v/>
      </c>
      <c r="JFP22" s="73" t="str">
        <f t="shared" si="108"/>
        <v/>
      </c>
      <c r="JFQ22" s="73" t="str">
        <f t="shared" si="108"/>
        <v/>
      </c>
      <c r="JFR22" s="73" t="str">
        <f t="shared" si="108"/>
        <v/>
      </c>
      <c r="JFS22" s="73" t="str">
        <f t="shared" si="108"/>
        <v/>
      </c>
      <c r="JFT22" s="73" t="str">
        <f t="shared" si="108"/>
        <v/>
      </c>
      <c r="JFU22" s="73" t="str">
        <f t="shared" si="108"/>
        <v/>
      </c>
      <c r="JFV22" s="73" t="str">
        <f t="shared" si="108"/>
        <v/>
      </c>
      <c r="JFW22" s="73" t="str">
        <f t="shared" si="108"/>
        <v/>
      </c>
      <c r="JFX22" s="73" t="str">
        <f t="shared" si="108"/>
        <v/>
      </c>
      <c r="JFY22" s="73" t="str">
        <f t="shared" si="108"/>
        <v/>
      </c>
      <c r="JFZ22" s="73" t="str">
        <f t="shared" si="108"/>
        <v/>
      </c>
      <c r="JGA22" s="73" t="str">
        <f t="shared" si="108"/>
        <v/>
      </c>
      <c r="JGB22" s="73" t="str">
        <f t="shared" si="108"/>
        <v/>
      </c>
      <c r="JGC22" s="73" t="str">
        <f t="shared" si="108"/>
        <v/>
      </c>
      <c r="JGD22" s="73" t="str">
        <f t="shared" si="108"/>
        <v/>
      </c>
      <c r="JGE22" s="73" t="str">
        <f t="shared" si="108"/>
        <v/>
      </c>
      <c r="JGF22" s="73" t="str">
        <f t="shared" si="108"/>
        <v/>
      </c>
      <c r="JGG22" s="73" t="str">
        <f t="shared" si="108"/>
        <v/>
      </c>
      <c r="JGH22" s="73" t="str">
        <f t="shared" si="108"/>
        <v/>
      </c>
      <c r="JGI22" s="73" t="str">
        <f t="shared" si="108"/>
        <v/>
      </c>
      <c r="JGJ22" s="73" t="str">
        <f t="shared" si="108"/>
        <v/>
      </c>
      <c r="JGK22" s="73" t="str">
        <f t="shared" si="108"/>
        <v/>
      </c>
      <c r="JGL22" s="73" t="str">
        <f t="shared" si="108"/>
        <v/>
      </c>
      <c r="JGM22" s="73" t="str">
        <f t="shared" si="108"/>
        <v/>
      </c>
      <c r="JGN22" s="73" t="str">
        <f t="shared" si="108"/>
        <v/>
      </c>
      <c r="JGO22" s="73" t="str">
        <f t="shared" si="108"/>
        <v/>
      </c>
      <c r="JGP22" s="73" t="str">
        <f t="shared" si="108"/>
        <v/>
      </c>
      <c r="JGQ22" s="73" t="str">
        <f t="shared" si="108"/>
        <v/>
      </c>
      <c r="JGR22" s="73" t="str">
        <f t="shared" si="108"/>
        <v/>
      </c>
      <c r="JGS22" s="73" t="str">
        <f t="shared" si="108"/>
        <v/>
      </c>
      <c r="JGT22" s="73" t="str">
        <f t="shared" si="108"/>
        <v/>
      </c>
      <c r="JGU22" s="73" t="str">
        <f t="shared" si="108"/>
        <v/>
      </c>
      <c r="JGV22" s="73" t="str">
        <f t="shared" si="108"/>
        <v/>
      </c>
      <c r="JGW22" s="73" t="str">
        <f t="shared" si="108"/>
        <v/>
      </c>
      <c r="JGX22" s="73" t="str">
        <f t="shared" si="108"/>
        <v/>
      </c>
      <c r="JGY22" s="73" t="str">
        <f t="shared" si="108"/>
        <v/>
      </c>
      <c r="JGZ22" s="73" t="str">
        <f t="shared" si="108"/>
        <v/>
      </c>
      <c r="JHA22" s="73" t="str">
        <f t="shared" si="108"/>
        <v/>
      </c>
      <c r="JHB22" s="73" t="str">
        <f t="shared" si="108"/>
        <v/>
      </c>
      <c r="JHC22" s="73" t="str">
        <f t="shared" si="108"/>
        <v/>
      </c>
      <c r="JHD22" s="73" t="str">
        <f t="shared" si="108"/>
        <v/>
      </c>
      <c r="JHE22" s="73" t="str">
        <f t="shared" si="108"/>
        <v/>
      </c>
      <c r="JHF22" s="73" t="str">
        <f t="shared" si="108"/>
        <v/>
      </c>
      <c r="JHG22" s="73" t="str">
        <f t="shared" si="108"/>
        <v/>
      </c>
      <c r="JHH22" s="73" t="str">
        <f t="shared" si="108"/>
        <v/>
      </c>
      <c r="JHI22" s="73" t="str">
        <f t="shared" si="108"/>
        <v/>
      </c>
      <c r="JHJ22" s="73" t="str">
        <f t="shared" si="108"/>
        <v/>
      </c>
      <c r="JHK22" s="73" t="str">
        <f t="shared" si="108"/>
        <v/>
      </c>
      <c r="JHL22" s="73" t="str">
        <f t="shared" si="108"/>
        <v/>
      </c>
      <c r="JHM22" s="73" t="str">
        <f t="shared" si="108"/>
        <v/>
      </c>
      <c r="JHN22" s="73" t="str">
        <f t="shared" ref="JHN22:JJY22" si="109">IFERROR(AVERAGE(JHN6:JHN21),"")</f>
        <v/>
      </c>
      <c r="JHO22" s="73" t="str">
        <f t="shared" si="109"/>
        <v/>
      </c>
      <c r="JHP22" s="73" t="str">
        <f t="shared" si="109"/>
        <v/>
      </c>
      <c r="JHQ22" s="73" t="str">
        <f t="shared" si="109"/>
        <v/>
      </c>
      <c r="JHR22" s="73" t="str">
        <f t="shared" si="109"/>
        <v/>
      </c>
      <c r="JHS22" s="73" t="str">
        <f t="shared" si="109"/>
        <v/>
      </c>
      <c r="JHT22" s="73" t="str">
        <f t="shared" si="109"/>
        <v/>
      </c>
      <c r="JHU22" s="73" t="str">
        <f t="shared" si="109"/>
        <v/>
      </c>
      <c r="JHV22" s="73" t="str">
        <f t="shared" si="109"/>
        <v/>
      </c>
      <c r="JHW22" s="73" t="str">
        <f t="shared" si="109"/>
        <v/>
      </c>
      <c r="JHX22" s="73" t="str">
        <f t="shared" si="109"/>
        <v/>
      </c>
      <c r="JHY22" s="73" t="str">
        <f t="shared" si="109"/>
        <v/>
      </c>
      <c r="JHZ22" s="73" t="str">
        <f t="shared" si="109"/>
        <v/>
      </c>
      <c r="JIA22" s="73" t="str">
        <f t="shared" si="109"/>
        <v/>
      </c>
      <c r="JIB22" s="73" t="str">
        <f t="shared" si="109"/>
        <v/>
      </c>
      <c r="JIC22" s="73" t="str">
        <f t="shared" si="109"/>
        <v/>
      </c>
      <c r="JID22" s="73" t="str">
        <f t="shared" si="109"/>
        <v/>
      </c>
      <c r="JIE22" s="73" t="str">
        <f t="shared" si="109"/>
        <v/>
      </c>
      <c r="JIF22" s="73" t="str">
        <f t="shared" si="109"/>
        <v/>
      </c>
      <c r="JIG22" s="73" t="str">
        <f t="shared" si="109"/>
        <v/>
      </c>
      <c r="JIH22" s="73" t="str">
        <f t="shared" si="109"/>
        <v/>
      </c>
      <c r="JII22" s="73" t="str">
        <f t="shared" si="109"/>
        <v/>
      </c>
      <c r="JIJ22" s="73" t="str">
        <f t="shared" si="109"/>
        <v/>
      </c>
      <c r="JIK22" s="73" t="str">
        <f t="shared" si="109"/>
        <v/>
      </c>
      <c r="JIL22" s="73" t="str">
        <f t="shared" si="109"/>
        <v/>
      </c>
      <c r="JIM22" s="73" t="str">
        <f t="shared" si="109"/>
        <v/>
      </c>
      <c r="JIN22" s="73" t="str">
        <f t="shared" si="109"/>
        <v/>
      </c>
      <c r="JIO22" s="73" t="str">
        <f t="shared" si="109"/>
        <v/>
      </c>
      <c r="JIP22" s="73" t="str">
        <f t="shared" si="109"/>
        <v/>
      </c>
      <c r="JIQ22" s="73" t="str">
        <f t="shared" si="109"/>
        <v/>
      </c>
      <c r="JIR22" s="73" t="str">
        <f t="shared" si="109"/>
        <v/>
      </c>
      <c r="JIS22" s="73" t="str">
        <f t="shared" si="109"/>
        <v/>
      </c>
      <c r="JIT22" s="73" t="str">
        <f t="shared" si="109"/>
        <v/>
      </c>
      <c r="JIU22" s="73" t="str">
        <f t="shared" si="109"/>
        <v/>
      </c>
      <c r="JIV22" s="73" t="str">
        <f t="shared" si="109"/>
        <v/>
      </c>
      <c r="JIW22" s="73" t="str">
        <f t="shared" si="109"/>
        <v/>
      </c>
      <c r="JIX22" s="73" t="str">
        <f t="shared" si="109"/>
        <v/>
      </c>
      <c r="JIY22" s="73" t="str">
        <f t="shared" si="109"/>
        <v/>
      </c>
      <c r="JIZ22" s="73" t="str">
        <f t="shared" si="109"/>
        <v/>
      </c>
      <c r="JJA22" s="73" t="str">
        <f t="shared" si="109"/>
        <v/>
      </c>
      <c r="JJB22" s="73" t="str">
        <f t="shared" si="109"/>
        <v/>
      </c>
      <c r="JJC22" s="73" t="str">
        <f t="shared" si="109"/>
        <v/>
      </c>
      <c r="JJD22" s="73" t="str">
        <f t="shared" si="109"/>
        <v/>
      </c>
      <c r="JJE22" s="73" t="str">
        <f t="shared" si="109"/>
        <v/>
      </c>
      <c r="JJF22" s="73" t="str">
        <f t="shared" si="109"/>
        <v/>
      </c>
      <c r="JJG22" s="73" t="str">
        <f t="shared" si="109"/>
        <v/>
      </c>
      <c r="JJH22" s="73" t="str">
        <f t="shared" si="109"/>
        <v/>
      </c>
      <c r="JJI22" s="73" t="str">
        <f t="shared" si="109"/>
        <v/>
      </c>
      <c r="JJJ22" s="73" t="str">
        <f t="shared" si="109"/>
        <v/>
      </c>
      <c r="JJK22" s="73" t="str">
        <f t="shared" si="109"/>
        <v/>
      </c>
      <c r="JJL22" s="73" t="str">
        <f t="shared" si="109"/>
        <v/>
      </c>
      <c r="JJM22" s="73" t="str">
        <f t="shared" si="109"/>
        <v/>
      </c>
      <c r="JJN22" s="73" t="str">
        <f t="shared" si="109"/>
        <v/>
      </c>
      <c r="JJO22" s="73" t="str">
        <f t="shared" si="109"/>
        <v/>
      </c>
      <c r="JJP22" s="73" t="str">
        <f t="shared" si="109"/>
        <v/>
      </c>
      <c r="JJQ22" s="73" t="str">
        <f t="shared" si="109"/>
        <v/>
      </c>
      <c r="JJR22" s="73" t="str">
        <f t="shared" si="109"/>
        <v/>
      </c>
      <c r="JJS22" s="73" t="str">
        <f t="shared" si="109"/>
        <v/>
      </c>
      <c r="JJT22" s="73" t="str">
        <f t="shared" si="109"/>
        <v/>
      </c>
      <c r="JJU22" s="73" t="str">
        <f t="shared" si="109"/>
        <v/>
      </c>
      <c r="JJV22" s="73" t="str">
        <f t="shared" si="109"/>
        <v/>
      </c>
      <c r="JJW22" s="73" t="str">
        <f t="shared" si="109"/>
        <v/>
      </c>
      <c r="JJX22" s="73" t="str">
        <f t="shared" si="109"/>
        <v/>
      </c>
      <c r="JJY22" s="73" t="str">
        <f t="shared" si="109"/>
        <v/>
      </c>
      <c r="JJZ22" s="73" t="str">
        <f t="shared" ref="JJZ22:JMK22" si="110">IFERROR(AVERAGE(JJZ6:JJZ21),"")</f>
        <v/>
      </c>
      <c r="JKA22" s="73" t="str">
        <f t="shared" si="110"/>
        <v/>
      </c>
      <c r="JKB22" s="73" t="str">
        <f t="shared" si="110"/>
        <v/>
      </c>
      <c r="JKC22" s="73" t="str">
        <f t="shared" si="110"/>
        <v/>
      </c>
      <c r="JKD22" s="73" t="str">
        <f t="shared" si="110"/>
        <v/>
      </c>
      <c r="JKE22" s="73" t="str">
        <f t="shared" si="110"/>
        <v/>
      </c>
      <c r="JKF22" s="73" t="str">
        <f t="shared" si="110"/>
        <v/>
      </c>
      <c r="JKG22" s="73" t="str">
        <f t="shared" si="110"/>
        <v/>
      </c>
      <c r="JKH22" s="73" t="str">
        <f t="shared" si="110"/>
        <v/>
      </c>
      <c r="JKI22" s="73" t="str">
        <f t="shared" si="110"/>
        <v/>
      </c>
      <c r="JKJ22" s="73" t="str">
        <f t="shared" si="110"/>
        <v/>
      </c>
      <c r="JKK22" s="73" t="str">
        <f t="shared" si="110"/>
        <v/>
      </c>
      <c r="JKL22" s="73" t="str">
        <f t="shared" si="110"/>
        <v/>
      </c>
      <c r="JKM22" s="73" t="str">
        <f t="shared" si="110"/>
        <v/>
      </c>
      <c r="JKN22" s="73" t="str">
        <f t="shared" si="110"/>
        <v/>
      </c>
      <c r="JKO22" s="73" t="str">
        <f t="shared" si="110"/>
        <v/>
      </c>
      <c r="JKP22" s="73" t="str">
        <f t="shared" si="110"/>
        <v/>
      </c>
      <c r="JKQ22" s="73" t="str">
        <f t="shared" si="110"/>
        <v/>
      </c>
      <c r="JKR22" s="73" t="str">
        <f t="shared" si="110"/>
        <v/>
      </c>
      <c r="JKS22" s="73" t="str">
        <f t="shared" si="110"/>
        <v/>
      </c>
      <c r="JKT22" s="73" t="str">
        <f t="shared" si="110"/>
        <v/>
      </c>
      <c r="JKU22" s="73" t="str">
        <f t="shared" si="110"/>
        <v/>
      </c>
      <c r="JKV22" s="73" t="str">
        <f t="shared" si="110"/>
        <v/>
      </c>
      <c r="JKW22" s="73" t="str">
        <f t="shared" si="110"/>
        <v/>
      </c>
      <c r="JKX22" s="73" t="str">
        <f t="shared" si="110"/>
        <v/>
      </c>
      <c r="JKY22" s="73" t="str">
        <f t="shared" si="110"/>
        <v/>
      </c>
      <c r="JKZ22" s="73" t="str">
        <f t="shared" si="110"/>
        <v/>
      </c>
      <c r="JLA22" s="73" t="str">
        <f t="shared" si="110"/>
        <v/>
      </c>
      <c r="JLB22" s="73" t="str">
        <f t="shared" si="110"/>
        <v/>
      </c>
      <c r="JLC22" s="73" t="str">
        <f t="shared" si="110"/>
        <v/>
      </c>
      <c r="JLD22" s="73" t="str">
        <f t="shared" si="110"/>
        <v/>
      </c>
      <c r="JLE22" s="73" t="str">
        <f t="shared" si="110"/>
        <v/>
      </c>
      <c r="JLF22" s="73" t="str">
        <f t="shared" si="110"/>
        <v/>
      </c>
      <c r="JLG22" s="73" t="str">
        <f t="shared" si="110"/>
        <v/>
      </c>
      <c r="JLH22" s="73" t="str">
        <f t="shared" si="110"/>
        <v/>
      </c>
      <c r="JLI22" s="73" t="str">
        <f t="shared" si="110"/>
        <v/>
      </c>
      <c r="JLJ22" s="73" t="str">
        <f t="shared" si="110"/>
        <v/>
      </c>
      <c r="JLK22" s="73" t="str">
        <f t="shared" si="110"/>
        <v/>
      </c>
      <c r="JLL22" s="73" t="str">
        <f t="shared" si="110"/>
        <v/>
      </c>
      <c r="JLM22" s="73" t="str">
        <f t="shared" si="110"/>
        <v/>
      </c>
      <c r="JLN22" s="73" t="str">
        <f t="shared" si="110"/>
        <v/>
      </c>
      <c r="JLO22" s="73" t="str">
        <f t="shared" si="110"/>
        <v/>
      </c>
      <c r="JLP22" s="73" t="str">
        <f t="shared" si="110"/>
        <v/>
      </c>
      <c r="JLQ22" s="73" t="str">
        <f t="shared" si="110"/>
        <v/>
      </c>
      <c r="JLR22" s="73" t="str">
        <f t="shared" si="110"/>
        <v/>
      </c>
      <c r="JLS22" s="73" t="str">
        <f t="shared" si="110"/>
        <v/>
      </c>
      <c r="JLT22" s="73" t="str">
        <f t="shared" si="110"/>
        <v/>
      </c>
      <c r="JLU22" s="73" t="str">
        <f t="shared" si="110"/>
        <v/>
      </c>
      <c r="JLV22" s="73" t="str">
        <f t="shared" si="110"/>
        <v/>
      </c>
      <c r="JLW22" s="73" t="str">
        <f t="shared" si="110"/>
        <v/>
      </c>
      <c r="JLX22" s="73" t="str">
        <f t="shared" si="110"/>
        <v/>
      </c>
      <c r="JLY22" s="73" t="str">
        <f t="shared" si="110"/>
        <v/>
      </c>
      <c r="JLZ22" s="73" t="str">
        <f t="shared" si="110"/>
        <v/>
      </c>
      <c r="JMA22" s="73" t="str">
        <f t="shared" si="110"/>
        <v/>
      </c>
      <c r="JMB22" s="73" t="str">
        <f t="shared" si="110"/>
        <v/>
      </c>
      <c r="JMC22" s="73" t="str">
        <f t="shared" si="110"/>
        <v/>
      </c>
      <c r="JMD22" s="73" t="str">
        <f t="shared" si="110"/>
        <v/>
      </c>
      <c r="JME22" s="73" t="str">
        <f t="shared" si="110"/>
        <v/>
      </c>
      <c r="JMF22" s="73" t="str">
        <f t="shared" si="110"/>
        <v/>
      </c>
      <c r="JMG22" s="73" t="str">
        <f t="shared" si="110"/>
        <v/>
      </c>
      <c r="JMH22" s="73" t="str">
        <f t="shared" si="110"/>
        <v/>
      </c>
      <c r="JMI22" s="73" t="str">
        <f t="shared" si="110"/>
        <v/>
      </c>
      <c r="JMJ22" s="73" t="str">
        <f t="shared" si="110"/>
        <v/>
      </c>
      <c r="JMK22" s="73" t="str">
        <f t="shared" si="110"/>
        <v/>
      </c>
      <c r="JML22" s="73" t="str">
        <f t="shared" ref="JML22:JOW22" si="111">IFERROR(AVERAGE(JML6:JML21),"")</f>
        <v/>
      </c>
      <c r="JMM22" s="73" t="str">
        <f t="shared" si="111"/>
        <v/>
      </c>
      <c r="JMN22" s="73" t="str">
        <f t="shared" si="111"/>
        <v/>
      </c>
      <c r="JMO22" s="73" t="str">
        <f t="shared" si="111"/>
        <v/>
      </c>
      <c r="JMP22" s="73" t="str">
        <f t="shared" si="111"/>
        <v/>
      </c>
      <c r="JMQ22" s="73" t="str">
        <f t="shared" si="111"/>
        <v/>
      </c>
      <c r="JMR22" s="73" t="str">
        <f t="shared" si="111"/>
        <v/>
      </c>
      <c r="JMS22" s="73" t="str">
        <f t="shared" si="111"/>
        <v/>
      </c>
      <c r="JMT22" s="73" t="str">
        <f t="shared" si="111"/>
        <v/>
      </c>
      <c r="JMU22" s="73" t="str">
        <f t="shared" si="111"/>
        <v/>
      </c>
      <c r="JMV22" s="73" t="str">
        <f t="shared" si="111"/>
        <v/>
      </c>
      <c r="JMW22" s="73" t="str">
        <f t="shared" si="111"/>
        <v/>
      </c>
      <c r="JMX22" s="73" t="str">
        <f t="shared" si="111"/>
        <v/>
      </c>
      <c r="JMY22" s="73" t="str">
        <f t="shared" si="111"/>
        <v/>
      </c>
      <c r="JMZ22" s="73" t="str">
        <f t="shared" si="111"/>
        <v/>
      </c>
      <c r="JNA22" s="73" t="str">
        <f t="shared" si="111"/>
        <v/>
      </c>
      <c r="JNB22" s="73" t="str">
        <f t="shared" si="111"/>
        <v/>
      </c>
      <c r="JNC22" s="73" t="str">
        <f t="shared" si="111"/>
        <v/>
      </c>
      <c r="JND22" s="73" t="str">
        <f t="shared" si="111"/>
        <v/>
      </c>
      <c r="JNE22" s="73" t="str">
        <f t="shared" si="111"/>
        <v/>
      </c>
      <c r="JNF22" s="73" t="str">
        <f t="shared" si="111"/>
        <v/>
      </c>
      <c r="JNG22" s="73" t="str">
        <f t="shared" si="111"/>
        <v/>
      </c>
      <c r="JNH22" s="73" t="str">
        <f t="shared" si="111"/>
        <v/>
      </c>
      <c r="JNI22" s="73" t="str">
        <f t="shared" si="111"/>
        <v/>
      </c>
      <c r="JNJ22" s="73" t="str">
        <f t="shared" si="111"/>
        <v/>
      </c>
      <c r="JNK22" s="73" t="str">
        <f t="shared" si="111"/>
        <v/>
      </c>
      <c r="JNL22" s="73" t="str">
        <f t="shared" si="111"/>
        <v/>
      </c>
      <c r="JNM22" s="73" t="str">
        <f t="shared" si="111"/>
        <v/>
      </c>
      <c r="JNN22" s="73" t="str">
        <f t="shared" si="111"/>
        <v/>
      </c>
      <c r="JNO22" s="73" t="str">
        <f t="shared" si="111"/>
        <v/>
      </c>
      <c r="JNP22" s="73" t="str">
        <f t="shared" si="111"/>
        <v/>
      </c>
      <c r="JNQ22" s="73" t="str">
        <f t="shared" si="111"/>
        <v/>
      </c>
      <c r="JNR22" s="73" t="str">
        <f t="shared" si="111"/>
        <v/>
      </c>
      <c r="JNS22" s="73" t="str">
        <f t="shared" si="111"/>
        <v/>
      </c>
      <c r="JNT22" s="73" t="str">
        <f t="shared" si="111"/>
        <v/>
      </c>
      <c r="JNU22" s="73" t="str">
        <f t="shared" si="111"/>
        <v/>
      </c>
      <c r="JNV22" s="73" t="str">
        <f t="shared" si="111"/>
        <v/>
      </c>
      <c r="JNW22" s="73" t="str">
        <f t="shared" si="111"/>
        <v/>
      </c>
      <c r="JNX22" s="73" t="str">
        <f t="shared" si="111"/>
        <v/>
      </c>
      <c r="JNY22" s="73" t="str">
        <f t="shared" si="111"/>
        <v/>
      </c>
      <c r="JNZ22" s="73" t="str">
        <f t="shared" si="111"/>
        <v/>
      </c>
      <c r="JOA22" s="73" t="str">
        <f t="shared" si="111"/>
        <v/>
      </c>
      <c r="JOB22" s="73" t="str">
        <f t="shared" si="111"/>
        <v/>
      </c>
      <c r="JOC22" s="73" t="str">
        <f t="shared" si="111"/>
        <v/>
      </c>
      <c r="JOD22" s="73" t="str">
        <f t="shared" si="111"/>
        <v/>
      </c>
      <c r="JOE22" s="73" t="str">
        <f t="shared" si="111"/>
        <v/>
      </c>
      <c r="JOF22" s="73" t="str">
        <f t="shared" si="111"/>
        <v/>
      </c>
      <c r="JOG22" s="73" t="str">
        <f t="shared" si="111"/>
        <v/>
      </c>
      <c r="JOH22" s="73" t="str">
        <f t="shared" si="111"/>
        <v/>
      </c>
      <c r="JOI22" s="73" t="str">
        <f t="shared" si="111"/>
        <v/>
      </c>
      <c r="JOJ22" s="73" t="str">
        <f t="shared" si="111"/>
        <v/>
      </c>
      <c r="JOK22" s="73" t="str">
        <f t="shared" si="111"/>
        <v/>
      </c>
      <c r="JOL22" s="73" t="str">
        <f t="shared" si="111"/>
        <v/>
      </c>
      <c r="JOM22" s="73" t="str">
        <f t="shared" si="111"/>
        <v/>
      </c>
      <c r="JON22" s="73" t="str">
        <f t="shared" si="111"/>
        <v/>
      </c>
      <c r="JOO22" s="73" t="str">
        <f t="shared" si="111"/>
        <v/>
      </c>
      <c r="JOP22" s="73" t="str">
        <f t="shared" si="111"/>
        <v/>
      </c>
      <c r="JOQ22" s="73" t="str">
        <f t="shared" si="111"/>
        <v/>
      </c>
      <c r="JOR22" s="73" t="str">
        <f t="shared" si="111"/>
        <v/>
      </c>
      <c r="JOS22" s="73" t="str">
        <f t="shared" si="111"/>
        <v/>
      </c>
      <c r="JOT22" s="73" t="str">
        <f t="shared" si="111"/>
        <v/>
      </c>
      <c r="JOU22" s="73" t="str">
        <f t="shared" si="111"/>
        <v/>
      </c>
      <c r="JOV22" s="73" t="str">
        <f t="shared" si="111"/>
        <v/>
      </c>
      <c r="JOW22" s="73" t="str">
        <f t="shared" si="111"/>
        <v/>
      </c>
      <c r="JOX22" s="73" t="str">
        <f t="shared" ref="JOX22:JRI22" si="112">IFERROR(AVERAGE(JOX6:JOX21),"")</f>
        <v/>
      </c>
      <c r="JOY22" s="73" t="str">
        <f t="shared" si="112"/>
        <v/>
      </c>
      <c r="JOZ22" s="73" t="str">
        <f t="shared" si="112"/>
        <v/>
      </c>
      <c r="JPA22" s="73" t="str">
        <f t="shared" si="112"/>
        <v/>
      </c>
      <c r="JPB22" s="73" t="str">
        <f t="shared" si="112"/>
        <v/>
      </c>
      <c r="JPC22" s="73" t="str">
        <f t="shared" si="112"/>
        <v/>
      </c>
      <c r="JPD22" s="73" t="str">
        <f t="shared" si="112"/>
        <v/>
      </c>
      <c r="JPE22" s="73" t="str">
        <f t="shared" si="112"/>
        <v/>
      </c>
      <c r="JPF22" s="73" t="str">
        <f t="shared" si="112"/>
        <v/>
      </c>
      <c r="JPG22" s="73" t="str">
        <f t="shared" si="112"/>
        <v/>
      </c>
      <c r="JPH22" s="73" t="str">
        <f t="shared" si="112"/>
        <v/>
      </c>
      <c r="JPI22" s="73" t="str">
        <f t="shared" si="112"/>
        <v/>
      </c>
      <c r="JPJ22" s="73" t="str">
        <f t="shared" si="112"/>
        <v/>
      </c>
      <c r="JPK22" s="73" t="str">
        <f t="shared" si="112"/>
        <v/>
      </c>
      <c r="JPL22" s="73" t="str">
        <f t="shared" si="112"/>
        <v/>
      </c>
      <c r="JPM22" s="73" t="str">
        <f t="shared" si="112"/>
        <v/>
      </c>
      <c r="JPN22" s="73" t="str">
        <f t="shared" si="112"/>
        <v/>
      </c>
      <c r="JPO22" s="73" t="str">
        <f t="shared" si="112"/>
        <v/>
      </c>
      <c r="JPP22" s="73" t="str">
        <f t="shared" si="112"/>
        <v/>
      </c>
      <c r="JPQ22" s="73" t="str">
        <f t="shared" si="112"/>
        <v/>
      </c>
      <c r="JPR22" s="73" t="str">
        <f t="shared" si="112"/>
        <v/>
      </c>
      <c r="JPS22" s="73" t="str">
        <f t="shared" si="112"/>
        <v/>
      </c>
      <c r="JPT22" s="73" t="str">
        <f t="shared" si="112"/>
        <v/>
      </c>
      <c r="JPU22" s="73" t="str">
        <f t="shared" si="112"/>
        <v/>
      </c>
      <c r="JPV22" s="73" t="str">
        <f t="shared" si="112"/>
        <v/>
      </c>
      <c r="JPW22" s="73" t="str">
        <f t="shared" si="112"/>
        <v/>
      </c>
      <c r="JPX22" s="73" t="str">
        <f t="shared" si="112"/>
        <v/>
      </c>
      <c r="JPY22" s="73" t="str">
        <f t="shared" si="112"/>
        <v/>
      </c>
      <c r="JPZ22" s="73" t="str">
        <f t="shared" si="112"/>
        <v/>
      </c>
      <c r="JQA22" s="73" t="str">
        <f t="shared" si="112"/>
        <v/>
      </c>
      <c r="JQB22" s="73" t="str">
        <f t="shared" si="112"/>
        <v/>
      </c>
      <c r="JQC22" s="73" t="str">
        <f t="shared" si="112"/>
        <v/>
      </c>
      <c r="JQD22" s="73" t="str">
        <f t="shared" si="112"/>
        <v/>
      </c>
      <c r="JQE22" s="73" t="str">
        <f t="shared" si="112"/>
        <v/>
      </c>
      <c r="JQF22" s="73" t="str">
        <f t="shared" si="112"/>
        <v/>
      </c>
      <c r="JQG22" s="73" t="str">
        <f t="shared" si="112"/>
        <v/>
      </c>
      <c r="JQH22" s="73" t="str">
        <f t="shared" si="112"/>
        <v/>
      </c>
      <c r="JQI22" s="73" t="str">
        <f t="shared" si="112"/>
        <v/>
      </c>
      <c r="JQJ22" s="73" t="str">
        <f t="shared" si="112"/>
        <v/>
      </c>
      <c r="JQK22" s="73" t="str">
        <f t="shared" si="112"/>
        <v/>
      </c>
      <c r="JQL22" s="73" t="str">
        <f t="shared" si="112"/>
        <v/>
      </c>
      <c r="JQM22" s="73" t="str">
        <f t="shared" si="112"/>
        <v/>
      </c>
      <c r="JQN22" s="73" t="str">
        <f t="shared" si="112"/>
        <v/>
      </c>
      <c r="JQO22" s="73" t="str">
        <f t="shared" si="112"/>
        <v/>
      </c>
      <c r="JQP22" s="73" t="str">
        <f t="shared" si="112"/>
        <v/>
      </c>
      <c r="JQQ22" s="73" t="str">
        <f t="shared" si="112"/>
        <v/>
      </c>
      <c r="JQR22" s="73" t="str">
        <f t="shared" si="112"/>
        <v/>
      </c>
      <c r="JQS22" s="73" t="str">
        <f t="shared" si="112"/>
        <v/>
      </c>
      <c r="JQT22" s="73" t="str">
        <f t="shared" si="112"/>
        <v/>
      </c>
      <c r="JQU22" s="73" t="str">
        <f t="shared" si="112"/>
        <v/>
      </c>
      <c r="JQV22" s="73" t="str">
        <f t="shared" si="112"/>
        <v/>
      </c>
      <c r="JQW22" s="73" t="str">
        <f t="shared" si="112"/>
        <v/>
      </c>
      <c r="JQX22" s="73" t="str">
        <f t="shared" si="112"/>
        <v/>
      </c>
      <c r="JQY22" s="73" t="str">
        <f t="shared" si="112"/>
        <v/>
      </c>
      <c r="JQZ22" s="73" t="str">
        <f t="shared" si="112"/>
        <v/>
      </c>
      <c r="JRA22" s="73" t="str">
        <f t="shared" si="112"/>
        <v/>
      </c>
      <c r="JRB22" s="73" t="str">
        <f t="shared" si="112"/>
        <v/>
      </c>
      <c r="JRC22" s="73" t="str">
        <f t="shared" si="112"/>
        <v/>
      </c>
      <c r="JRD22" s="73" t="str">
        <f t="shared" si="112"/>
        <v/>
      </c>
      <c r="JRE22" s="73" t="str">
        <f t="shared" si="112"/>
        <v/>
      </c>
      <c r="JRF22" s="73" t="str">
        <f t="shared" si="112"/>
        <v/>
      </c>
      <c r="JRG22" s="73" t="str">
        <f t="shared" si="112"/>
        <v/>
      </c>
      <c r="JRH22" s="73" t="str">
        <f t="shared" si="112"/>
        <v/>
      </c>
      <c r="JRI22" s="73" t="str">
        <f t="shared" si="112"/>
        <v/>
      </c>
      <c r="JRJ22" s="73" t="str">
        <f t="shared" ref="JRJ22:JTU22" si="113">IFERROR(AVERAGE(JRJ6:JRJ21),"")</f>
        <v/>
      </c>
      <c r="JRK22" s="73" t="str">
        <f t="shared" si="113"/>
        <v/>
      </c>
      <c r="JRL22" s="73" t="str">
        <f t="shared" si="113"/>
        <v/>
      </c>
      <c r="JRM22" s="73" t="str">
        <f t="shared" si="113"/>
        <v/>
      </c>
      <c r="JRN22" s="73" t="str">
        <f t="shared" si="113"/>
        <v/>
      </c>
      <c r="JRO22" s="73" t="str">
        <f t="shared" si="113"/>
        <v/>
      </c>
      <c r="JRP22" s="73" t="str">
        <f t="shared" si="113"/>
        <v/>
      </c>
      <c r="JRQ22" s="73" t="str">
        <f t="shared" si="113"/>
        <v/>
      </c>
      <c r="JRR22" s="73" t="str">
        <f t="shared" si="113"/>
        <v/>
      </c>
      <c r="JRS22" s="73" t="str">
        <f t="shared" si="113"/>
        <v/>
      </c>
      <c r="JRT22" s="73" t="str">
        <f t="shared" si="113"/>
        <v/>
      </c>
      <c r="JRU22" s="73" t="str">
        <f t="shared" si="113"/>
        <v/>
      </c>
      <c r="JRV22" s="73" t="str">
        <f t="shared" si="113"/>
        <v/>
      </c>
      <c r="JRW22" s="73" t="str">
        <f t="shared" si="113"/>
        <v/>
      </c>
      <c r="JRX22" s="73" t="str">
        <f t="shared" si="113"/>
        <v/>
      </c>
      <c r="JRY22" s="73" t="str">
        <f t="shared" si="113"/>
        <v/>
      </c>
      <c r="JRZ22" s="73" t="str">
        <f t="shared" si="113"/>
        <v/>
      </c>
      <c r="JSA22" s="73" t="str">
        <f t="shared" si="113"/>
        <v/>
      </c>
      <c r="JSB22" s="73" t="str">
        <f t="shared" si="113"/>
        <v/>
      </c>
      <c r="JSC22" s="73" t="str">
        <f t="shared" si="113"/>
        <v/>
      </c>
      <c r="JSD22" s="73" t="str">
        <f t="shared" si="113"/>
        <v/>
      </c>
      <c r="JSE22" s="73" t="str">
        <f t="shared" si="113"/>
        <v/>
      </c>
      <c r="JSF22" s="73" t="str">
        <f t="shared" si="113"/>
        <v/>
      </c>
      <c r="JSG22" s="73" t="str">
        <f t="shared" si="113"/>
        <v/>
      </c>
      <c r="JSH22" s="73" t="str">
        <f t="shared" si="113"/>
        <v/>
      </c>
      <c r="JSI22" s="73" t="str">
        <f t="shared" si="113"/>
        <v/>
      </c>
      <c r="JSJ22" s="73" t="str">
        <f t="shared" si="113"/>
        <v/>
      </c>
      <c r="JSK22" s="73" t="str">
        <f t="shared" si="113"/>
        <v/>
      </c>
      <c r="JSL22" s="73" t="str">
        <f t="shared" si="113"/>
        <v/>
      </c>
      <c r="JSM22" s="73" t="str">
        <f t="shared" si="113"/>
        <v/>
      </c>
      <c r="JSN22" s="73" t="str">
        <f t="shared" si="113"/>
        <v/>
      </c>
      <c r="JSO22" s="73" t="str">
        <f t="shared" si="113"/>
        <v/>
      </c>
      <c r="JSP22" s="73" t="str">
        <f t="shared" si="113"/>
        <v/>
      </c>
      <c r="JSQ22" s="73" t="str">
        <f t="shared" si="113"/>
        <v/>
      </c>
      <c r="JSR22" s="73" t="str">
        <f t="shared" si="113"/>
        <v/>
      </c>
      <c r="JSS22" s="73" t="str">
        <f t="shared" si="113"/>
        <v/>
      </c>
      <c r="JST22" s="73" t="str">
        <f t="shared" si="113"/>
        <v/>
      </c>
      <c r="JSU22" s="73" t="str">
        <f t="shared" si="113"/>
        <v/>
      </c>
      <c r="JSV22" s="73" t="str">
        <f t="shared" si="113"/>
        <v/>
      </c>
      <c r="JSW22" s="73" t="str">
        <f t="shared" si="113"/>
        <v/>
      </c>
      <c r="JSX22" s="73" t="str">
        <f t="shared" si="113"/>
        <v/>
      </c>
      <c r="JSY22" s="73" t="str">
        <f t="shared" si="113"/>
        <v/>
      </c>
      <c r="JSZ22" s="73" t="str">
        <f t="shared" si="113"/>
        <v/>
      </c>
      <c r="JTA22" s="73" t="str">
        <f t="shared" si="113"/>
        <v/>
      </c>
      <c r="JTB22" s="73" t="str">
        <f t="shared" si="113"/>
        <v/>
      </c>
      <c r="JTC22" s="73" t="str">
        <f t="shared" si="113"/>
        <v/>
      </c>
      <c r="JTD22" s="73" t="str">
        <f t="shared" si="113"/>
        <v/>
      </c>
      <c r="JTE22" s="73" t="str">
        <f t="shared" si="113"/>
        <v/>
      </c>
      <c r="JTF22" s="73" t="str">
        <f t="shared" si="113"/>
        <v/>
      </c>
      <c r="JTG22" s="73" t="str">
        <f t="shared" si="113"/>
        <v/>
      </c>
      <c r="JTH22" s="73" t="str">
        <f t="shared" si="113"/>
        <v/>
      </c>
      <c r="JTI22" s="73" t="str">
        <f t="shared" si="113"/>
        <v/>
      </c>
      <c r="JTJ22" s="73" t="str">
        <f t="shared" si="113"/>
        <v/>
      </c>
      <c r="JTK22" s="73" t="str">
        <f t="shared" si="113"/>
        <v/>
      </c>
      <c r="JTL22" s="73" t="str">
        <f t="shared" si="113"/>
        <v/>
      </c>
      <c r="JTM22" s="73" t="str">
        <f t="shared" si="113"/>
        <v/>
      </c>
      <c r="JTN22" s="73" t="str">
        <f t="shared" si="113"/>
        <v/>
      </c>
      <c r="JTO22" s="73" t="str">
        <f t="shared" si="113"/>
        <v/>
      </c>
      <c r="JTP22" s="73" t="str">
        <f t="shared" si="113"/>
        <v/>
      </c>
      <c r="JTQ22" s="73" t="str">
        <f t="shared" si="113"/>
        <v/>
      </c>
      <c r="JTR22" s="73" t="str">
        <f t="shared" si="113"/>
        <v/>
      </c>
      <c r="JTS22" s="73" t="str">
        <f t="shared" si="113"/>
        <v/>
      </c>
      <c r="JTT22" s="73" t="str">
        <f t="shared" si="113"/>
        <v/>
      </c>
      <c r="JTU22" s="73" t="str">
        <f t="shared" si="113"/>
        <v/>
      </c>
      <c r="JTV22" s="73" t="str">
        <f t="shared" ref="JTV22:JWG22" si="114">IFERROR(AVERAGE(JTV6:JTV21),"")</f>
        <v/>
      </c>
      <c r="JTW22" s="73" t="str">
        <f t="shared" si="114"/>
        <v/>
      </c>
      <c r="JTX22" s="73" t="str">
        <f t="shared" si="114"/>
        <v/>
      </c>
      <c r="JTY22" s="73" t="str">
        <f t="shared" si="114"/>
        <v/>
      </c>
      <c r="JTZ22" s="73" t="str">
        <f t="shared" si="114"/>
        <v/>
      </c>
      <c r="JUA22" s="73" t="str">
        <f t="shared" si="114"/>
        <v/>
      </c>
      <c r="JUB22" s="73" t="str">
        <f t="shared" si="114"/>
        <v/>
      </c>
      <c r="JUC22" s="73" t="str">
        <f t="shared" si="114"/>
        <v/>
      </c>
      <c r="JUD22" s="73" t="str">
        <f t="shared" si="114"/>
        <v/>
      </c>
      <c r="JUE22" s="73" t="str">
        <f t="shared" si="114"/>
        <v/>
      </c>
      <c r="JUF22" s="73" t="str">
        <f t="shared" si="114"/>
        <v/>
      </c>
      <c r="JUG22" s="73" t="str">
        <f t="shared" si="114"/>
        <v/>
      </c>
      <c r="JUH22" s="73" t="str">
        <f t="shared" si="114"/>
        <v/>
      </c>
      <c r="JUI22" s="73" t="str">
        <f t="shared" si="114"/>
        <v/>
      </c>
      <c r="JUJ22" s="73" t="str">
        <f t="shared" si="114"/>
        <v/>
      </c>
      <c r="JUK22" s="73" t="str">
        <f t="shared" si="114"/>
        <v/>
      </c>
      <c r="JUL22" s="73" t="str">
        <f t="shared" si="114"/>
        <v/>
      </c>
      <c r="JUM22" s="73" t="str">
        <f t="shared" si="114"/>
        <v/>
      </c>
      <c r="JUN22" s="73" t="str">
        <f t="shared" si="114"/>
        <v/>
      </c>
      <c r="JUO22" s="73" t="str">
        <f t="shared" si="114"/>
        <v/>
      </c>
      <c r="JUP22" s="73" t="str">
        <f t="shared" si="114"/>
        <v/>
      </c>
      <c r="JUQ22" s="73" t="str">
        <f t="shared" si="114"/>
        <v/>
      </c>
      <c r="JUR22" s="73" t="str">
        <f t="shared" si="114"/>
        <v/>
      </c>
      <c r="JUS22" s="73" t="str">
        <f t="shared" si="114"/>
        <v/>
      </c>
      <c r="JUT22" s="73" t="str">
        <f t="shared" si="114"/>
        <v/>
      </c>
      <c r="JUU22" s="73" t="str">
        <f t="shared" si="114"/>
        <v/>
      </c>
      <c r="JUV22" s="73" t="str">
        <f t="shared" si="114"/>
        <v/>
      </c>
      <c r="JUW22" s="73" t="str">
        <f t="shared" si="114"/>
        <v/>
      </c>
      <c r="JUX22" s="73" t="str">
        <f t="shared" si="114"/>
        <v/>
      </c>
      <c r="JUY22" s="73" t="str">
        <f t="shared" si="114"/>
        <v/>
      </c>
      <c r="JUZ22" s="73" t="str">
        <f t="shared" si="114"/>
        <v/>
      </c>
      <c r="JVA22" s="73" t="str">
        <f t="shared" si="114"/>
        <v/>
      </c>
      <c r="JVB22" s="73" t="str">
        <f t="shared" si="114"/>
        <v/>
      </c>
      <c r="JVC22" s="73" t="str">
        <f t="shared" si="114"/>
        <v/>
      </c>
      <c r="JVD22" s="73" t="str">
        <f t="shared" si="114"/>
        <v/>
      </c>
      <c r="JVE22" s="73" t="str">
        <f t="shared" si="114"/>
        <v/>
      </c>
      <c r="JVF22" s="73" t="str">
        <f t="shared" si="114"/>
        <v/>
      </c>
      <c r="JVG22" s="73" t="str">
        <f t="shared" si="114"/>
        <v/>
      </c>
      <c r="JVH22" s="73" t="str">
        <f t="shared" si="114"/>
        <v/>
      </c>
      <c r="JVI22" s="73" t="str">
        <f t="shared" si="114"/>
        <v/>
      </c>
      <c r="JVJ22" s="73" t="str">
        <f t="shared" si="114"/>
        <v/>
      </c>
      <c r="JVK22" s="73" t="str">
        <f t="shared" si="114"/>
        <v/>
      </c>
      <c r="JVL22" s="73" t="str">
        <f t="shared" si="114"/>
        <v/>
      </c>
      <c r="JVM22" s="73" t="str">
        <f t="shared" si="114"/>
        <v/>
      </c>
      <c r="JVN22" s="73" t="str">
        <f t="shared" si="114"/>
        <v/>
      </c>
      <c r="JVO22" s="73" t="str">
        <f t="shared" si="114"/>
        <v/>
      </c>
      <c r="JVP22" s="73" t="str">
        <f t="shared" si="114"/>
        <v/>
      </c>
      <c r="JVQ22" s="73" t="str">
        <f t="shared" si="114"/>
        <v/>
      </c>
      <c r="JVR22" s="73" t="str">
        <f t="shared" si="114"/>
        <v/>
      </c>
      <c r="JVS22" s="73" t="str">
        <f t="shared" si="114"/>
        <v/>
      </c>
      <c r="JVT22" s="73" t="str">
        <f t="shared" si="114"/>
        <v/>
      </c>
      <c r="JVU22" s="73" t="str">
        <f t="shared" si="114"/>
        <v/>
      </c>
      <c r="JVV22" s="73" t="str">
        <f t="shared" si="114"/>
        <v/>
      </c>
      <c r="JVW22" s="73" t="str">
        <f t="shared" si="114"/>
        <v/>
      </c>
      <c r="JVX22" s="73" t="str">
        <f t="shared" si="114"/>
        <v/>
      </c>
      <c r="JVY22" s="73" t="str">
        <f t="shared" si="114"/>
        <v/>
      </c>
      <c r="JVZ22" s="73" t="str">
        <f t="shared" si="114"/>
        <v/>
      </c>
      <c r="JWA22" s="73" t="str">
        <f t="shared" si="114"/>
        <v/>
      </c>
      <c r="JWB22" s="73" t="str">
        <f t="shared" si="114"/>
        <v/>
      </c>
      <c r="JWC22" s="73" t="str">
        <f t="shared" si="114"/>
        <v/>
      </c>
      <c r="JWD22" s="73" t="str">
        <f t="shared" si="114"/>
        <v/>
      </c>
      <c r="JWE22" s="73" t="str">
        <f t="shared" si="114"/>
        <v/>
      </c>
      <c r="JWF22" s="73" t="str">
        <f t="shared" si="114"/>
        <v/>
      </c>
      <c r="JWG22" s="73" t="str">
        <f t="shared" si="114"/>
        <v/>
      </c>
      <c r="JWH22" s="73" t="str">
        <f t="shared" ref="JWH22:JYS22" si="115">IFERROR(AVERAGE(JWH6:JWH21),"")</f>
        <v/>
      </c>
      <c r="JWI22" s="73" t="str">
        <f t="shared" si="115"/>
        <v/>
      </c>
      <c r="JWJ22" s="73" t="str">
        <f t="shared" si="115"/>
        <v/>
      </c>
      <c r="JWK22" s="73" t="str">
        <f t="shared" si="115"/>
        <v/>
      </c>
      <c r="JWL22" s="73" t="str">
        <f t="shared" si="115"/>
        <v/>
      </c>
      <c r="JWM22" s="73" t="str">
        <f t="shared" si="115"/>
        <v/>
      </c>
      <c r="JWN22" s="73" t="str">
        <f t="shared" si="115"/>
        <v/>
      </c>
      <c r="JWO22" s="73" t="str">
        <f t="shared" si="115"/>
        <v/>
      </c>
      <c r="JWP22" s="73" t="str">
        <f t="shared" si="115"/>
        <v/>
      </c>
      <c r="JWQ22" s="73" t="str">
        <f t="shared" si="115"/>
        <v/>
      </c>
      <c r="JWR22" s="73" t="str">
        <f t="shared" si="115"/>
        <v/>
      </c>
      <c r="JWS22" s="73" t="str">
        <f t="shared" si="115"/>
        <v/>
      </c>
      <c r="JWT22" s="73" t="str">
        <f t="shared" si="115"/>
        <v/>
      </c>
      <c r="JWU22" s="73" t="str">
        <f t="shared" si="115"/>
        <v/>
      </c>
      <c r="JWV22" s="73" t="str">
        <f t="shared" si="115"/>
        <v/>
      </c>
      <c r="JWW22" s="73" t="str">
        <f t="shared" si="115"/>
        <v/>
      </c>
      <c r="JWX22" s="73" t="str">
        <f t="shared" si="115"/>
        <v/>
      </c>
      <c r="JWY22" s="73" t="str">
        <f t="shared" si="115"/>
        <v/>
      </c>
      <c r="JWZ22" s="73" t="str">
        <f t="shared" si="115"/>
        <v/>
      </c>
      <c r="JXA22" s="73" t="str">
        <f t="shared" si="115"/>
        <v/>
      </c>
      <c r="JXB22" s="73" t="str">
        <f t="shared" si="115"/>
        <v/>
      </c>
      <c r="JXC22" s="73" t="str">
        <f t="shared" si="115"/>
        <v/>
      </c>
      <c r="JXD22" s="73" t="str">
        <f t="shared" si="115"/>
        <v/>
      </c>
      <c r="JXE22" s="73" t="str">
        <f t="shared" si="115"/>
        <v/>
      </c>
      <c r="JXF22" s="73" t="str">
        <f t="shared" si="115"/>
        <v/>
      </c>
      <c r="JXG22" s="73" t="str">
        <f t="shared" si="115"/>
        <v/>
      </c>
      <c r="JXH22" s="73" t="str">
        <f t="shared" si="115"/>
        <v/>
      </c>
      <c r="JXI22" s="73" t="str">
        <f t="shared" si="115"/>
        <v/>
      </c>
      <c r="JXJ22" s="73" t="str">
        <f t="shared" si="115"/>
        <v/>
      </c>
      <c r="JXK22" s="73" t="str">
        <f t="shared" si="115"/>
        <v/>
      </c>
      <c r="JXL22" s="73" t="str">
        <f t="shared" si="115"/>
        <v/>
      </c>
      <c r="JXM22" s="73" t="str">
        <f t="shared" si="115"/>
        <v/>
      </c>
      <c r="JXN22" s="73" t="str">
        <f t="shared" si="115"/>
        <v/>
      </c>
      <c r="JXO22" s="73" t="str">
        <f t="shared" si="115"/>
        <v/>
      </c>
      <c r="JXP22" s="73" t="str">
        <f t="shared" si="115"/>
        <v/>
      </c>
      <c r="JXQ22" s="73" t="str">
        <f t="shared" si="115"/>
        <v/>
      </c>
      <c r="JXR22" s="73" t="str">
        <f t="shared" si="115"/>
        <v/>
      </c>
      <c r="JXS22" s="73" t="str">
        <f t="shared" si="115"/>
        <v/>
      </c>
      <c r="JXT22" s="73" t="str">
        <f t="shared" si="115"/>
        <v/>
      </c>
      <c r="JXU22" s="73" t="str">
        <f t="shared" si="115"/>
        <v/>
      </c>
      <c r="JXV22" s="73" t="str">
        <f t="shared" si="115"/>
        <v/>
      </c>
      <c r="JXW22" s="73" t="str">
        <f t="shared" si="115"/>
        <v/>
      </c>
      <c r="JXX22" s="73" t="str">
        <f t="shared" si="115"/>
        <v/>
      </c>
      <c r="JXY22" s="73" t="str">
        <f t="shared" si="115"/>
        <v/>
      </c>
      <c r="JXZ22" s="73" t="str">
        <f t="shared" si="115"/>
        <v/>
      </c>
      <c r="JYA22" s="73" t="str">
        <f t="shared" si="115"/>
        <v/>
      </c>
      <c r="JYB22" s="73" t="str">
        <f t="shared" si="115"/>
        <v/>
      </c>
      <c r="JYC22" s="73" t="str">
        <f t="shared" si="115"/>
        <v/>
      </c>
      <c r="JYD22" s="73" t="str">
        <f t="shared" si="115"/>
        <v/>
      </c>
      <c r="JYE22" s="73" t="str">
        <f t="shared" si="115"/>
        <v/>
      </c>
      <c r="JYF22" s="73" t="str">
        <f t="shared" si="115"/>
        <v/>
      </c>
      <c r="JYG22" s="73" t="str">
        <f t="shared" si="115"/>
        <v/>
      </c>
      <c r="JYH22" s="73" t="str">
        <f t="shared" si="115"/>
        <v/>
      </c>
      <c r="JYI22" s="73" t="str">
        <f t="shared" si="115"/>
        <v/>
      </c>
      <c r="JYJ22" s="73" t="str">
        <f t="shared" si="115"/>
        <v/>
      </c>
      <c r="JYK22" s="73" t="str">
        <f t="shared" si="115"/>
        <v/>
      </c>
      <c r="JYL22" s="73" t="str">
        <f t="shared" si="115"/>
        <v/>
      </c>
      <c r="JYM22" s="73" t="str">
        <f t="shared" si="115"/>
        <v/>
      </c>
      <c r="JYN22" s="73" t="str">
        <f t="shared" si="115"/>
        <v/>
      </c>
      <c r="JYO22" s="73" t="str">
        <f t="shared" si="115"/>
        <v/>
      </c>
      <c r="JYP22" s="73" t="str">
        <f t="shared" si="115"/>
        <v/>
      </c>
      <c r="JYQ22" s="73" t="str">
        <f t="shared" si="115"/>
        <v/>
      </c>
      <c r="JYR22" s="73" t="str">
        <f t="shared" si="115"/>
        <v/>
      </c>
      <c r="JYS22" s="73" t="str">
        <f t="shared" si="115"/>
        <v/>
      </c>
      <c r="JYT22" s="73" t="str">
        <f t="shared" ref="JYT22:KBE22" si="116">IFERROR(AVERAGE(JYT6:JYT21),"")</f>
        <v/>
      </c>
      <c r="JYU22" s="73" t="str">
        <f t="shared" si="116"/>
        <v/>
      </c>
      <c r="JYV22" s="73" t="str">
        <f t="shared" si="116"/>
        <v/>
      </c>
      <c r="JYW22" s="73" t="str">
        <f t="shared" si="116"/>
        <v/>
      </c>
      <c r="JYX22" s="73" t="str">
        <f t="shared" si="116"/>
        <v/>
      </c>
      <c r="JYY22" s="73" t="str">
        <f t="shared" si="116"/>
        <v/>
      </c>
      <c r="JYZ22" s="73" t="str">
        <f t="shared" si="116"/>
        <v/>
      </c>
      <c r="JZA22" s="73" t="str">
        <f t="shared" si="116"/>
        <v/>
      </c>
      <c r="JZB22" s="73" t="str">
        <f t="shared" si="116"/>
        <v/>
      </c>
      <c r="JZC22" s="73" t="str">
        <f t="shared" si="116"/>
        <v/>
      </c>
      <c r="JZD22" s="73" t="str">
        <f t="shared" si="116"/>
        <v/>
      </c>
      <c r="JZE22" s="73" t="str">
        <f t="shared" si="116"/>
        <v/>
      </c>
      <c r="JZF22" s="73" t="str">
        <f t="shared" si="116"/>
        <v/>
      </c>
      <c r="JZG22" s="73" t="str">
        <f t="shared" si="116"/>
        <v/>
      </c>
      <c r="JZH22" s="73" t="str">
        <f t="shared" si="116"/>
        <v/>
      </c>
      <c r="JZI22" s="73" t="str">
        <f t="shared" si="116"/>
        <v/>
      </c>
      <c r="JZJ22" s="73" t="str">
        <f t="shared" si="116"/>
        <v/>
      </c>
      <c r="JZK22" s="73" t="str">
        <f t="shared" si="116"/>
        <v/>
      </c>
      <c r="JZL22" s="73" t="str">
        <f t="shared" si="116"/>
        <v/>
      </c>
      <c r="JZM22" s="73" t="str">
        <f t="shared" si="116"/>
        <v/>
      </c>
      <c r="JZN22" s="73" t="str">
        <f t="shared" si="116"/>
        <v/>
      </c>
      <c r="JZO22" s="73" t="str">
        <f t="shared" si="116"/>
        <v/>
      </c>
      <c r="JZP22" s="73" t="str">
        <f t="shared" si="116"/>
        <v/>
      </c>
      <c r="JZQ22" s="73" t="str">
        <f t="shared" si="116"/>
        <v/>
      </c>
      <c r="JZR22" s="73" t="str">
        <f t="shared" si="116"/>
        <v/>
      </c>
      <c r="JZS22" s="73" t="str">
        <f t="shared" si="116"/>
        <v/>
      </c>
      <c r="JZT22" s="73" t="str">
        <f t="shared" si="116"/>
        <v/>
      </c>
      <c r="JZU22" s="73" t="str">
        <f t="shared" si="116"/>
        <v/>
      </c>
      <c r="JZV22" s="73" t="str">
        <f t="shared" si="116"/>
        <v/>
      </c>
      <c r="JZW22" s="73" t="str">
        <f t="shared" si="116"/>
        <v/>
      </c>
      <c r="JZX22" s="73" t="str">
        <f t="shared" si="116"/>
        <v/>
      </c>
      <c r="JZY22" s="73" t="str">
        <f t="shared" si="116"/>
        <v/>
      </c>
      <c r="JZZ22" s="73" t="str">
        <f t="shared" si="116"/>
        <v/>
      </c>
      <c r="KAA22" s="73" t="str">
        <f t="shared" si="116"/>
        <v/>
      </c>
      <c r="KAB22" s="73" t="str">
        <f t="shared" si="116"/>
        <v/>
      </c>
      <c r="KAC22" s="73" t="str">
        <f t="shared" si="116"/>
        <v/>
      </c>
      <c r="KAD22" s="73" t="str">
        <f t="shared" si="116"/>
        <v/>
      </c>
      <c r="KAE22" s="73" t="str">
        <f t="shared" si="116"/>
        <v/>
      </c>
      <c r="KAF22" s="73" t="str">
        <f t="shared" si="116"/>
        <v/>
      </c>
      <c r="KAG22" s="73" t="str">
        <f t="shared" si="116"/>
        <v/>
      </c>
      <c r="KAH22" s="73" t="str">
        <f t="shared" si="116"/>
        <v/>
      </c>
      <c r="KAI22" s="73" t="str">
        <f t="shared" si="116"/>
        <v/>
      </c>
      <c r="KAJ22" s="73" t="str">
        <f t="shared" si="116"/>
        <v/>
      </c>
      <c r="KAK22" s="73" t="str">
        <f t="shared" si="116"/>
        <v/>
      </c>
      <c r="KAL22" s="73" t="str">
        <f t="shared" si="116"/>
        <v/>
      </c>
      <c r="KAM22" s="73" t="str">
        <f t="shared" si="116"/>
        <v/>
      </c>
      <c r="KAN22" s="73" t="str">
        <f t="shared" si="116"/>
        <v/>
      </c>
      <c r="KAO22" s="73" t="str">
        <f t="shared" si="116"/>
        <v/>
      </c>
      <c r="KAP22" s="73" t="str">
        <f t="shared" si="116"/>
        <v/>
      </c>
      <c r="KAQ22" s="73" t="str">
        <f t="shared" si="116"/>
        <v/>
      </c>
      <c r="KAR22" s="73" t="str">
        <f t="shared" si="116"/>
        <v/>
      </c>
      <c r="KAS22" s="73" t="str">
        <f t="shared" si="116"/>
        <v/>
      </c>
      <c r="KAT22" s="73" t="str">
        <f t="shared" si="116"/>
        <v/>
      </c>
      <c r="KAU22" s="73" t="str">
        <f t="shared" si="116"/>
        <v/>
      </c>
      <c r="KAV22" s="73" t="str">
        <f t="shared" si="116"/>
        <v/>
      </c>
      <c r="KAW22" s="73" t="str">
        <f t="shared" si="116"/>
        <v/>
      </c>
      <c r="KAX22" s="73" t="str">
        <f t="shared" si="116"/>
        <v/>
      </c>
      <c r="KAY22" s="73" t="str">
        <f t="shared" si="116"/>
        <v/>
      </c>
      <c r="KAZ22" s="73" t="str">
        <f t="shared" si="116"/>
        <v/>
      </c>
      <c r="KBA22" s="73" t="str">
        <f t="shared" si="116"/>
        <v/>
      </c>
      <c r="KBB22" s="73" t="str">
        <f t="shared" si="116"/>
        <v/>
      </c>
      <c r="KBC22" s="73" t="str">
        <f t="shared" si="116"/>
        <v/>
      </c>
      <c r="KBD22" s="73" t="str">
        <f t="shared" si="116"/>
        <v/>
      </c>
      <c r="KBE22" s="73" t="str">
        <f t="shared" si="116"/>
        <v/>
      </c>
      <c r="KBF22" s="73" t="str">
        <f t="shared" ref="KBF22:KDQ22" si="117">IFERROR(AVERAGE(KBF6:KBF21),"")</f>
        <v/>
      </c>
      <c r="KBG22" s="73" t="str">
        <f t="shared" si="117"/>
        <v/>
      </c>
      <c r="KBH22" s="73" t="str">
        <f t="shared" si="117"/>
        <v/>
      </c>
      <c r="KBI22" s="73" t="str">
        <f t="shared" si="117"/>
        <v/>
      </c>
      <c r="KBJ22" s="73" t="str">
        <f t="shared" si="117"/>
        <v/>
      </c>
      <c r="KBK22" s="73" t="str">
        <f t="shared" si="117"/>
        <v/>
      </c>
      <c r="KBL22" s="73" t="str">
        <f t="shared" si="117"/>
        <v/>
      </c>
      <c r="KBM22" s="73" t="str">
        <f t="shared" si="117"/>
        <v/>
      </c>
      <c r="KBN22" s="73" t="str">
        <f t="shared" si="117"/>
        <v/>
      </c>
      <c r="KBO22" s="73" t="str">
        <f t="shared" si="117"/>
        <v/>
      </c>
      <c r="KBP22" s="73" t="str">
        <f t="shared" si="117"/>
        <v/>
      </c>
      <c r="KBQ22" s="73" t="str">
        <f t="shared" si="117"/>
        <v/>
      </c>
      <c r="KBR22" s="73" t="str">
        <f t="shared" si="117"/>
        <v/>
      </c>
      <c r="KBS22" s="73" t="str">
        <f t="shared" si="117"/>
        <v/>
      </c>
      <c r="KBT22" s="73" t="str">
        <f t="shared" si="117"/>
        <v/>
      </c>
      <c r="KBU22" s="73" t="str">
        <f t="shared" si="117"/>
        <v/>
      </c>
      <c r="KBV22" s="73" t="str">
        <f t="shared" si="117"/>
        <v/>
      </c>
      <c r="KBW22" s="73" t="str">
        <f t="shared" si="117"/>
        <v/>
      </c>
      <c r="KBX22" s="73" t="str">
        <f t="shared" si="117"/>
        <v/>
      </c>
      <c r="KBY22" s="73" t="str">
        <f t="shared" si="117"/>
        <v/>
      </c>
      <c r="KBZ22" s="73" t="str">
        <f t="shared" si="117"/>
        <v/>
      </c>
      <c r="KCA22" s="73" t="str">
        <f t="shared" si="117"/>
        <v/>
      </c>
      <c r="KCB22" s="73" t="str">
        <f t="shared" si="117"/>
        <v/>
      </c>
      <c r="KCC22" s="73" t="str">
        <f t="shared" si="117"/>
        <v/>
      </c>
      <c r="KCD22" s="73" t="str">
        <f t="shared" si="117"/>
        <v/>
      </c>
      <c r="KCE22" s="73" t="str">
        <f t="shared" si="117"/>
        <v/>
      </c>
      <c r="KCF22" s="73" t="str">
        <f t="shared" si="117"/>
        <v/>
      </c>
      <c r="KCG22" s="73" t="str">
        <f t="shared" si="117"/>
        <v/>
      </c>
      <c r="KCH22" s="73" t="str">
        <f t="shared" si="117"/>
        <v/>
      </c>
      <c r="KCI22" s="73" t="str">
        <f t="shared" si="117"/>
        <v/>
      </c>
      <c r="KCJ22" s="73" t="str">
        <f t="shared" si="117"/>
        <v/>
      </c>
      <c r="KCK22" s="73" t="str">
        <f t="shared" si="117"/>
        <v/>
      </c>
      <c r="KCL22" s="73" t="str">
        <f t="shared" si="117"/>
        <v/>
      </c>
      <c r="KCM22" s="73" t="str">
        <f t="shared" si="117"/>
        <v/>
      </c>
      <c r="KCN22" s="73" t="str">
        <f t="shared" si="117"/>
        <v/>
      </c>
      <c r="KCO22" s="73" t="str">
        <f t="shared" si="117"/>
        <v/>
      </c>
      <c r="KCP22" s="73" t="str">
        <f t="shared" si="117"/>
        <v/>
      </c>
      <c r="KCQ22" s="73" t="str">
        <f t="shared" si="117"/>
        <v/>
      </c>
      <c r="KCR22" s="73" t="str">
        <f t="shared" si="117"/>
        <v/>
      </c>
      <c r="KCS22" s="73" t="str">
        <f t="shared" si="117"/>
        <v/>
      </c>
      <c r="KCT22" s="73" t="str">
        <f t="shared" si="117"/>
        <v/>
      </c>
      <c r="KCU22" s="73" t="str">
        <f t="shared" si="117"/>
        <v/>
      </c>
      <c r="KCV22" s="73" t="str">
        <f t="shared" si="117"/>
        <v/>
      </c>
      <c r="KCW22" s="73" t="str">
        <f t="shared" si="117"/>
        <v/>
      </c>
      <c r="KCX22" s="73" t="str">
        <f t="shared" si="117"/>
        <v/>
      </c>
      <c r="KCY22" s="73" t="str">
        <f t="shared" si="117"/>
        <v/>
      </c>
      <c r="KCZ22" s="73" t="str">
        <f t="shared" si="117"/>
        <v/>
      </c>
      <c r="KDA22" s="73" t="str">
        <f t="shared" si="117"/>
        <v/>
      </c>
      <c r="KDB22" s="73" t="str">
        <f t="shared" si="117"/>
        <v/>
      </c>
      <c r="KDC22" s="73" t="str">
        <f t="shared" si="117"/>
        <v/>
      </c>
      <c r="KDD22" s="73" t="str">
        <f t="shared" si="117"/>
        <v/>
      </c>
      <c r="KDE22" s="73" t="str">
        <f t="shared" si="117"/>
        <v/>
      </c>
      <c r="KDF22" s="73" t="str">
        <f t="shared" si="117"/>
        <v/>
      </c>
      <c r="KDG22" s="73" t="str">
        <f t="shared" si="117"/>
        <v/>
      </c>
      <c r="KDH22" s="73" t="str">
        <f t="shared" si="117"/>
        <v/>
      </c>
      <c r="KDI22" s="73" t="str">
        <f t="shared" si="117"/>
        <v/>
      </c>
      <c r="KDJ22" s="73" t="str">
        <f t="shared" si="117"/>
        <v/>
      </c>
      <c r="KDK22" s="73" t="str">
        <f t="shared" si="117"/>
        <v/>
      </c>
      <c r="KDL22" s="73" t="str">
        <f t="shared" si="117"/>
        <v/>
      </c>
      <c r="KDM22" s="73" t="str">
        <f t="shared" si="117"/>
        <v/>
      </c>
      <c r="KDN22" s="73" t="str">
        <f t="shared" si="117"/>
        <v/>
      </c>
      <c r="KDO22" s="73" t="str">
        <f t="shared" si="117"/>
        <v/>
      </c>
      <c r="KDP22" s="73" t="str">
        <f t="shared" si="117"/>
        <v/>
      </c>
      <c r="KDQ22" s="73" t="str">
        <f t="shared" si="117"/>
        <v/>
      </c>
      <c r="KDR22" s="73" t="str">
        <f t="shared" ref="KDR22:KGC22" si="118">IFERROR(AVERAGE(KDR6:KDR21),"")</f>
        <v/>
      </c>
      <c r="KDS22" s="73" t="str">
        <f t="shared" si="118"/>
        <v/>
      </c>
      <c r="KDT22" s="73" t="str">
        <f t="shared" si="118"/>
        <v/>
      </c>
      <c r="KDU22" s="73" t="str">
        <f t="shared" si="118"/>
        <v/>
      </c>
      <c r="KDV22" s="73" t="str">
        <f t="shared" si="118"/>
        <v/>
      </c>
      <c r="KDW22" s="73" t="str">
        <f t="shared" si="118"/>
        <v/>
      </c>
      <c r="KDX22" s="73" t="str">
        <f t="shared" si="118"/>
        <v/>
      </c>
      <c r="KDY22" s="73" t="str">
        <f t="shared" si="118"/>
        <v/>
      </c>
      <c r="KDZ22" s="73" t="str">
        <f t="shared" si="118"/>
        <v/>
      </c>
      <c r="KEA22" s="73" t="str">
        <f t="shared" si="118"/>
        <v/>
      </c>
      <c r="KEB22" s="73" t="str">
        <f t="shared" si="118"/>
        <v/>
      </c>
      <c r="KEC22" s="73" t="str">
        <f t="shared" si="118"/>
        <v/>
      </c>
      <c r="KED22" s="73" t="str">
        <f t="shared" si="118"/>
        <v/>
      </c>
      <c r="KEE22" s="73" t="str">
        <f t="shared" si="118"/>
        <v/>
      </c>
      <c r="KEF22" s="73" t="str">
        <f t="shared" si="118"/>
        <v/>
      </c>
      <c r="KEG22" s="73" t="str">
        <f t="shared" si="118"/>
        <v/>
      </c>
      <c r="KEH22" s="73" t="str">
        <f t="shared" si="118"/>
        <v/>
      </c>
      <c r="KEI22" s="73" t="str">
        <f t="shared" si="118"/>
        <v/>
      </c>
      <c r="KEJ22" s="73" t="str">
        <f t="shared" si="118"/>
        <v/>
      </c>
      <c r="KEK22" s="73" t="str">
        <f t="shared" si="118"/>
        <v/>
      </c>
      <c r="KEL22" s="73" t="str">
        <f t="shared" si="118"/>
        <v/>
      </c>
      <c r="KEM22" s="73" t="str">
        <f t="shared" si="118"/>
        <v/>
      </c>
      <c r="KEN22" s="73" t="str">
        <f t="shared" si="118"/>
        <v/>
      </c>
      <c r="KEO22" s="73" t="str">
        <f t="shared" si="118"/>
        <v/>
      </c>
      <c r="KEP22" s="73" t="str">
        <f t="shared" si="118"/>
        <v/>
      </c>
      <c r="KEQ22" s="73" t="str">
        <f t="shared" si="118"/>
        <v/>
      </c>
      <c r="KER22" s="73" t="str">
        <f t="shared" si="118"/>
        <v/>
      </c>
      <c r="KES22" s="73" t="str">
        <f t="shared" si="118"/>
        <v/>
      </c>
      <c r="KET22" s="73" t="str">
        <f t="shared" si="118"/>
        <v/>
      </c>
      <c r="KEU22" s="73" t="str">
        <f t="shared" si="118"/>
        <v/>
      </c>
      <c r="KEV22" s="73" t="str">
        <f t="shared" si="118"/>
        <v/>
      </c>
      <c r="KEW22" s="73" t="str">
        <f t="shared" si="118"/>
        <v/>
      </c>
      <c r="KEX22" s="73" t="str">
        <f t="shared" si="118"/>
        <v/>
      </c>
      <c r="KEY22" s="73" t="str">
        <f t="shared" si="118"/>
        <v/>
      </c>
      <c r="KEZ22" s="73" t="str">
        <f t="shared" si="118"/>
        <v/>
      </c>
      <c r="KFA22" s="73" t="str">
        <f t="shared" si="118"/>
        <v/>
      </c>
      <c r="KFB22" s="73" t="str">
        <f t="shared" si="118"/>
        <v/>
      </c>
      <c r="KFC22" s="73" t="str">
        <f t="shared" si="118"/>
        <v/>
      </c>
      <c r="KFD22" s="73" t="str">
        <f t="shared" si="118"/>
        <v/>
      </c>
      <c r="KFE22" s="73" t="str">
        <f t="shared" si="118"/>
        <v/>
      </c>
      <c r="KFF22" s="73" t="str">
        <f t="shared" si="118"/>
        <v/>
      </c>
      <c r="KFG22" s="73" t="str">
        <f t="shared" si="118"/>
        <v/>
      </c>
      <c r="KFH22" s="73" t="str">
        <f t="shared" si="118"/>
        <v/>
      </c>
      <c r="KFI22" s="73" t="str">
        <f t="shared" si="118"/>
        <v/>
      </c>
      <c r="KFJ22" s="73" t="str">
        <f t="shared" si="118"/>
        <v/>
      </c>
      <c r="KFK22" s="73" t="str">
        <f t="shared" si="118"/>
        <v/>
      </c>
      <c r="KFL22" s="73" t="str">
        <f t="shared" si="118"/>
        <v/>
      </c>
      <c r="KFM22" s="73" t="str">
        <f t="shared" si="118"/>
        <v/>
      </c>
      <c r="KFN22" s="73" t="str">
        <f t="shared" si="118"/>
        <v/>
      </c>
      <c r="KFO22" s="73" t="str">
        <f t="shared" si="118"/>
        <v/>
      </c>
      <c r="KFP22" s="73" t="str">
        <f t="shared" si="118"/>
        <v/>
      </c>
      <c r="KFQ22" s="73" t="str">
        <f t="shared" si="118"/>
        <v/>
      </c>
      <c r="KFR22" s="73" t="str">
        <f t="shared" si="118"/>
        <v/>
      </c>
      <c r="KFS22" s="73" t="str">
        <f t="shared" si="118"/>
        <v/>
      </c>
      <c r="KFT22" s="73" t="str">
        <f t="shared" si="118"/>
        <v/>
      </c>
      <c r="KFU22" s="73" t="str">
        <f t="shared" si="118"/>
        <v/>
      </c>
      <c r="KFV22" s="73" t="str">
        <f t="shared" si="118"/>
        <v/>
      </c>
      <c r="KFW22" s="73" t="str">
        <f t="shared" si="118"/>
        <v/>
      </c>
      <c r="KFX22" s="73" t="str">
        <f t="shared" si="118"/>
        <v/>
      </c>
      <c r="KFY22" s="73" t="str">
        <f t="shared" si="118"/>
        <v/>
      </c>
      <c r="KFZ22" s="73" t="str">
        <f t="shared" si="118"/>
        <v/>
      </c>
      <c r="KGA22" s="73" t="str">
        <f t="shared" si="118"/>
        <v/>
      </c>
      <c r="KGB22" s="73" t="str">
        <f t="shared" si="118"/>
        <v/>
      </c>
      <c r="KGC22" s="73" t="str">
        <f t="shared" si="118"/>
        <v/>
      </c>
      <c r="KGD22" s="73" t="str">
        <f t="shared" ref="KGD22:KIO22" si="119">IFERROR(AVERAGE(KGD6:KGD21),"")</f>
        <v/>
      </c>
      <c r="KGE22" s="73" t="str">
        <f t="shared" si="119"/>
        <v/>
      </c>
      <c r="KGF22" s="73" t="str">
        <f t="shared" si="119"/>
        <v/>
      </c>
      <c r="KGG22" s="73" t="str">
        <f t="shared" si="119"/>
        <v/>
      </c>
      <c r="KGH22" s="73" t="str">
        <f t="shared" si="119"/>
        <v/>
      </c>
      <c r="KGI22" s="73" t="str">
        <f t="shared" si="119"/>
        <v/>
      </c>
      <c r="KGJ22" s="73" t="str">
        <f t="shared" si="119"/>
        <v/>
      </c>
      <c r="KGK22" s="73" t="str">
        <f t="shared" si="119"/>
        <v/>
      </c>
      <c r="KGL22" s="73" t="str">
        <f t="shared" si="119"/>
        <v/>
      </c>
      <c r="KGM22" s="73" t="str">
        <f t="shared" si="119"/>
        <v/>
      </c>
      <c r="KGN22" s="73" t="str">
        <f t="shared" si="119"/>
        <v/>
      </c>
      <c r="KGO22" s="73" t="str">
        <f t="shared" si="119"/>
        <v/>
      </c>
      <c r="KGP22" s="73" t="str">
        <f t="shared" si="119"/>
        <v/>
      </c>
      <c r="KGQ22" s="73" t="str">
        <f t="shared" si="119"/>
        <v/>
      </c>
      <c r="KGR22" s="73" t="str">
        <f t="shared" si="119"/>
        <v/>
      </c>
      <c r="KGS22" s="73" t="str">
        <f t="shared" si="119"/>
        <v/>
      </c>
      <c r="KGT22" s="73" t="str">
        <f t="shared" si="119"/>
        <v/>
      </c>
      <c r="KGU22" s="73" t="str">
        <f t="shared" si="119"/>
        <v/>
      </c>
      <c r="KGV22" s="73" t="str">
        <f t="shared" si="119"/>
        <v/>
      </c>
      <c r="KGW22" s="73" t="str">
        <f t="shared" si="119"/>
        <v/>
      </c>
      <c r="KGX22" s="73" t="str">
        <f t="shared" si="119"/>
        <v/>
      </c>
      <c r="KGY22" s="73" t="str">
        <f t="shared" si="119"/>
        <v/>
      </c>
      <c r="KGZ22" s="73" t="str">
        <f t="shared" si="119"/>
        <v/>
      </c>
      <c r="KHA22" s="73" t="str">
        <f t="shared" si="119"/>
        <v/>
      </c>
      <c r="KHB22" s="73" t="str">
        <f t="shared" si="119"/>
        <v/>
      </c>
      <c r="KHC22" s="73" t="str">
        <f t="shared" si="119"/>
        <v/>
      </c>
      <c r="KHD22" s="73" t="str">
        <f t="shared" si="119"/>
        <v/>
      </c>
      <c r="KHE22" s="73" t="str">
        <f t="shared" si="119"/>
        <v/>
      </c>
      <c r="KHF22" s="73" t="str">
        <f t="shared" si="119"/>
        <v/>
      </c>
      <c r="KHG22" s="73" t="str">
        <f t="shared" si="119"/>
        <v/>
      </c>
      <c r="KHH22" s="73" t="str">
        <f t="shared" si="119"/>
        <v/>
      </c>
      <c r="KHI22" s="73" t="str">
        <f t="shared" si="119"/>
        <v/>
      </c>
      <c r="KHJ22" s="73" t="str">
        <f t="shared" si="119"/>
        <v/>
      </c>
      <c r="KHK22" s="73" t="str">
        <f t="shared" si="119"/>
        <v/>
      </c>
      <c r="KHL22" s="73" t="str">
        <f t="shared" si="119"/>
        <v/>
      </c>
      <c r="KHM22" s="73" t="str">
        <f t="shared" si="119"/>
        <v/>
      </c>
      <c r="KHN22" s="73" t="str">
        <f t="shared" si="119"/>
        <v/>
      </c>
      <c r="KHO22" s="73" t="str">
        <f t="shared" si="119"/>
        <v/>
      </c>
      <c r="KHP22" s="73" t="str">
        <f t="shared" si="119"/>
        <v/>
      </c>
      <c r="KHQ22" s="73" t="str">
        <f t="shared" si="119"/>
        <v/>
      </c>
      <c r="KHR22" s="73" t="str">
        <f t="shared" si="119"/>
        <v/>
      </c>
      <c r="KHS22" s="73" t="str">
        <f t="shared" si="119"/>
        <v/>
      </c>
      <c r="KHT22" s="73" t="str">
        <f t="shared" si="119"/>
        <v/>
      </c>
      <c r="KHU22" s="73" t="str">
        <f t="shared" si="119"/>
        <v/>
      </c>
      <c r="KHV22" s="73" t="str">
        <f t="shared" si="119"/>
        <v/>
      </c>
      <c r="KHW22" s="73" t="str">
        <f t="shared" si="119"/>
        <v/>
      </c>
      <c r="KHX22" s="73" t="str">
        <f t="shared" si="119"/>
        <v/>
      </c>
      <c r="KHY22" s="73" t="str">
        <f t="shared" si="119"/>
        <v/>
      </c>
      <c r="KHZ22" s="73" t="str">
        <f t="shared" si="119"/>
        <v/>
      </c>
      <c r="KIA22" s="73" t="str">
        <f t="shared" si="119"/>
        <v/>
      </c>
      <c r="KIB22" s="73" t="str">
        <f t="shared" si="119"/>
        <v/>
      </c>
      <c r="KIC22" s="73" t="str">
        <f t="shared" si="119"/>
        <v/>
      </c>
      <c r="KID22" s="73" t="str">
        <f t="shared" si="119"/>
        <v/>
      </c>
      <c r="KIE22" s="73" t="str">
        <f t="shared" si="119"/>
        <v/>
      </c>
      <c r="KIF22" s="73" t="str">
        <f t="shared" si="119"/>
        <v/>
      </c>
      <c r="KIG22" s="73" t="str">
        <f t="shared" si="119"/>
        <v/>
      </c>
      <c r="KIH22" s="73" t="str">
        <f t="shared" si="119"/>
        <v/>
      </c>
      <c r="KII22" s="73" t="str">
        <f t="shared" si="119"/>
        <v/>
      </c>
      <c r="KIJ22" s="73" t="str">
        <f t="shared" si="119"/>
        <v/>
      </c>
      <c r="KIK22" s="73" t="str">
        <f t="shared" si="119"/>
        <v/>
      </c>
      <c r="KIL22" s="73" t="str">
        <f t="shared" si="119"/>
        <v/>
      </c>
      <c r="KIM22" s="73" t="str">
        <f t="shared" si="119"/>
        <v/>
      </c>
      <c r="KIN22" s="73" t="str">
        <f t="shared" si="119"/>
        <v/>
      </c>
      <c r="KIO22" s="73" t="str">
        <f t="shared" si="119"/>
        <v/>
      </c>
      <c r="KIP22" s="73" t="str">
        <f t="shared" ref="KIP22:KLA22" si="120">IFERROR(AVERAGE(KIP6:KIP21),"")</f>
        <v/>
      </c>
      <c r="KIQ22" s="73" t="str">
        <f t="shared" si="120"/>
        <v/>
      </c>
      <c r="KIR22" s="73" t="str">
        <f t="shared" si="120"/>
        <v/>
      </c>
      <c r="KIS22" s="73" t="str">
        <f t="shared" si="120"/>
        <v/>
      </c>
      <c r="KIT22" s="73" t="str">
        <f t="shared" si="120"/>
        <v/>
      </c>
      <c r="KIU22" s="73" t="str">
        <f t="shared" si="120"/>
        <v/>
      </c>
      <c r="KIV22" s="73" t="str">
        <f t="shared" si="120"/>
        <v/>
      </c>
      <c r="KIW22" s="73" t="str">
        <f t="shared" si="120"/>
        <v/>
      </c>
      <c r="KIX22" s="73" t="str">
        <f t="shared" si="120"/>
        <v/>
      </c>
      <c r="KIY22" s="73" t="str">
        <f t="shared" si="120"/>
        <v/>
      </c>
      <c r="KIZ22" s="73" t="str">
        <f t="shared" si="120"/>
        <v/>
      </c>
      <c r="KJA22" s="73" t="str">
        <f t="shared" si="120"/>
        <v/>
      </c>
      <c r="KJB22" s="73" t="str">
        <f t="shared" si="120"/>
        <v/>
      </c>
      <c r="KJC22" s="73" t="str">
        <f t="shared" si="120"/>
        <v/>
      </c>
      <c r="KJD22" s="73" t="str">
        <f t="shared" si="120"/>
        <v/>
      </c>
      <c r="KJE22" s="73" t="str">
        <f t="shared" si="120"/>
        <v/>
      </c>
      <c r="KJF22" s="73" t="str">
        <f t="shared" si="120"/>
        <v/>
      </c>
      <c r="KJG22" s="73" t="str">
        <f t="shared" si="120"/>
        <v/>
      </c>
      <c r="KJH22" s="73" t="str">
        <f t="shared" si="120"/>
        <v/>
      </c>
      <c r="KJI22" s="73" t="str">
        <f t="shared" si="120"/>
        <v/>
      </c>
      <c r="KJJ22" s="73" t="str">
        <f t="shared" si="120"/>
        <v/>
      </c>
      <c r="KJK22" s="73" t="str">
        <f t="shared" si="120"/>
        <v/>
      </c>
      <c r="KJL22" s="73" t="str">
        <f t="shared" si="120"/>
        <v/>
      </c>
      <c r="KJM22" s="73" t="str">
        <f t="shared" si="120"/>
        <v/>
      </c>
      <c r="KJN22" s="73" t="str">
        <f t="shared" si="120"/>
        <v/>
      </c>
      <c r="KJO22" s="73" t="str">
        <f t="shared" si="120"/>
        <v/>
      </c>
      <c r="KJP22" s="73" t="str">
        <f t="shared" si="120"/>
        <v/>
      </c>
      <c r="KJQ22" s="73" t="str">
        <f t="shared" si="120"/>
        <v/>
      </c>
      <c r="KJR22" s="73" t="str">
        <f t="shared" si="120"/>
        <v/>
      </c>
      <c r="KJS22" s="73" t="str">
        <f t="shared" si="120"/>
        <v/>
      </c>
      <c r="KJT22" s="73" t="str">
        <f t="shared" si="120"/>
        <v/>
      </c>
      <c r="KJU22" s="73" t="str">
        <f t="shared" si="120"/>
        <v/>
      </c>
      <c r="KJV22" s="73" t="str">
        <f t="shared" si="120"/>
        <v/>
      </c>
      <c r="KJW22" s="73" t="str">
        <f t="shared" si="120"/>
        <v/>
      </c>
      <c r="KJX22" s="73" t="str">
        <f t="shared" si="120"/>
        <v/>
      </c>
      <c r="KJY22" s="73" t="str">
        <f t="shared" si="120"/>
        <v/>
      </c>
      <c r="KJZ22" s="73" t="str">
        <f t="shared" si="120"/>
        <v/>
      </c>
      <c r="KKA22" s="73" t="str">
        <f t="shared" si="120"/>
        <v/>
      </c>
      <c r="KKB22" s="73" t="str">
        <f t="shared" si="120"/>
        <v/>
      </c>
      <c r="KKC22" s="73" t="str">
        <f t="shared" si="120"/>
        <v/>
      </c>
      <c r="KKD22" s="73" t="str">
        <f t="shared" si="120"/>
        <v/>
      </c>
      <c r="KKE22" s="73" t="str">
        <f t="shared" si="120"/>
        <v/>
      </c>
      <c r="KKF22" s="73" t="str">
        <f t="shared" si="120"/>
        <v/>
      </c>
      <c r="KKG22" s="73" t="str">
        <f t="shared" si="120"/>
        <v/>
      </c>
      <c r="KKH22" s="73" t="str">
        <f t="shared" si="120"/>
        <v/>
      </c>
      <c r="KKI22" s="73" t="str">
        <f t="shared" si="120"/>
        <v/>
      </c>
      <c r="KKJ22" s="73" t="str">
        <f t="shared" si="120"/>
        <v/>
      </c>
      <c r="KKK22" s="73" t="str">
        <f t="shared" si="120"/>
        <v/>
      </c>
      <c r="KKL22" s="73" t="str">
        <f t="shared" si="120"/>
        <v/>
      </c>
      <c r="KKM22" s="73" t="str">
        <f t="shared" si="120"/>
        <v/>
      </c>
      <c r="KKN22" s="73" t="str">
        <f t="shared" si="120"/>
        <v/>
      </c>
      <c r="KKO22" s="73" t="str">
        <f t="shared" si="120"/>
        <v/>
      </c>
      <c r="KKP22" s="73" t="str">
        <f t="shared" si="120"/>
        <v/>
      </c>
      <c r="KKQ22" s="73" t="str">
        <f t="shared" si="120"/>
        <v/>
      </c>
      <c r="KKR22" s="73" t="str">
        <f t="shared" si="120"/>
        <v/>
      </c>
      <c r="KKS22" s="73" t="str">
        <f t="shared" si="120"/>
        <v/>
      </c>
      <c r="KKT22" s="73" t="str">
        <f t="shared" si="120"/>
        <v/>
      </c>
      <c r="KKU22" s="73" t="str">
        <f t="shared" si="120"/>
        <v/>
      </c>
      <c r="KKV22" s="73" t="str">
        <f t="shared" si="120"/>
        <v/>
      </c>
      <c r="KKW22" s="73" t="str">
        <f t="shared" si="120"/>
        <v/>
      </c>
      <c r="KKX22" s="73" t="str">
        <f t="shared" si="120"/>
        <v/>
      </c>
      <c r="KKY22" s="73" t="str">
        <f t="shared" si="120"/>
        <v/>
      </c>
      <c r="KKZ22" s="73" t="str">
        <f t="shared" si="120"/>
        <v/>
      </c>
      <c r="KLA22" s="73" t="str">
        <f t="shared" si="120"/>
        <v/>
      </c>
      <c r="KLB22" s="73" t="str">
        <f t="shared" ref="KLB22:KNM22" si="121">IFERROR(AVERAGE(KLB6:KLB21),"")</f>
        <v/>
      </c>
      <c r="KLC22" s="73" t="str">
        <f t="shared" si="121"/>
        <v/>
      </c>
      <c r="KLD22" s="73" t="str">
        <f t="shared" si="121"/>
        <v/>
      </c>
      <c r="KLE22" s="73" t="str">
        <f t="shared" si="121"/>
        <v/>
      </c>
      <c r="KLF22" s="73" t="str">
        <f t="shared" si="121"/>
        <v/>
      </c>
      <c r="KLG22" s="73" t="str">
        <f t="shared" si="121"/>
        <v/>
      </c>
      <c r="KLH22" s="73" t="str">
        <f t="shared" si="121"/>
        <v/>
      </c>
      <c r="KLI22" s="73" t="str">
        <f t="shared" si="121"/>
        <v/>
      </c>
      <c r="KLJ22" s="73" t="str">
        <f t="shared" si="121"/>
        <v/>
      </c>
      <c r="KLK22" s="73" t="str">
        <f t="shared" si="121"/>
        <v/>
      </c>
      <c r="KLL22" s="73" t="str">
        <f t="shared" si="121"/>
        <v/>
      </c>
      <c r="KLM22" s="73" t="str">
        <f t="shared" si="121"/>
        <v/>
      </c>
      <c r="KLN22" s="73" t="str">
        <f t="shared" si="121"/>
        <v/>
      </c>
      <c r="KLO22" s="73" t="str">
        <f t="shared" si="121"/>
        <v/>
      </c>
      <c r="KLP22" s="73" t="str">
        <f t="shared" si="121"/>
        <v/>
      </c>
      <c r="KLQ22" s="73" t="str">
        <f t="shared" si="121"/>
        <v/>
      </c>
      <c r="KLR22" s="73" t="str">
        <f t="shared" si="121"/>
        <v/>
      </c>
      <c r="KLS22" s="73" t="str">
        <f t="shared" si="121"/>
        <v/>
      </c>
      <c r="KLT22" s="73" t="str">
        <f t="shared" si="121"/>
        <v/>
      </c>
      <c r="KLU22" s="73" t="str">
        <f t="shared" si="121"/>
        <v/>
      </c>
      <c r="KLV22" s="73" t="str">
        <f t="shared" si="121"/>
        <v/>
      </c>
      <c r="KLW22" s="73" t="str">
        <f t="shared" si="121"/>
        <v/>
      </c>
      <c r="KLX22" s="73" t="str">
        <f t="shared" si="121"/>
        <v/>
      </c>
      <c r="KLY22" s="73" t="str">
        <f t="shared" si="121"/>
        <v/>
      </c>
      <c r="KLZ22" s="73" t="str">
        <f t="shared" si="121"/>
        <v/>
      </c>
      <c r="KMA22" s="73" t="str">
        <f t="shared" si="121"/>
        <v/>
      </c>
      <c r="KMB22" s="73" t="str">
        <f t="shared" si="121"/>
        <v/>
      </c>
      <c r="KMC22" s="73" t="str">
        <f t="shared" si="121"/>
        <v/>
      </c>
      <c r="KMD22" s="73" t="str">
        <f t="shared" si="121"/>
        <v/>
      </c>
      <c r="KME22" s="73" t="str">
        <f t="shared" si="121"/>
        <v/>
      </c>
      <c r="KMF22" s="73" t="str">
        <f t="shared" si="121"/>
        <v/>
      </c>
      <c r="KMG22" s="73" t="str">
        <f t="shared" si="121"/>
        <v/>
      </c>
      <c r="KMH22" s="73" t="str">
        <f t="shared" si="121"/>
        <v/>
      </c>
      <c r="KMI22" s="73" t="str">
        <f t="shared" si="121"/>
        <v/>
      </c>
      <c r="KMJ22" s="73" t="str">
        <f t="shared" si="121"/>
        <v/>
      </c>
      <c r="KMK22" s="73" t="str">
        <f t="shared" si="121"/>
        <v/>
      </c>
      <c r="KML22" s="73" t="str">
        <f t="shared" si="121"/>
        <v/>
      </c>
      <c r="KMM22" s="73" t="str">
        <f t="shared" si="121"/>
        <v/>
      </c>
      <c r="KMN22" s="73" t="str">
        <f t="shared" si="121"/>
        <v/>
      </c>
      <c r="KMO22" s="73" t="str">
        <f t="shared" si="121"/>
        <v/>
      </c>
      <c r="KMP22" s="73" t="str">
        <f t="shared" si="121"/>
        <v/>
      </c>
      <c r="KMQ22" s="73" t="str">
        <f t="shared" si="121"/>
        <v/>
      </c>
      <c r="KMR22" s="73" t="str">
        <f t="shared" si="121"/>
        <v/>
      </c>
      <c r="KMS22" s="73" t="str">
        <f t="shared" si="121"/>
        <v/>
      </c>
      <c r="KMT22" s="73" t="str">
        <f t="shared" si="121"/>
        <v/>
      </c>
      <c r="KMU22" s="73" t="str">
        <f t="shared" si="121"/>
        <v/>
      </c>
      <c r="KMV22" s="73" t="str">
        <f t="shared" si="121"/>
        <v/>
      </c>
      <c r="KMW22" s="73" t="str">
        <f t="shared" si="121"/>
        <v/>
      </c>
      <c r="KMX22" s="73" t="str">
        <f t="shared" si="121"/>
        <v/>
      </c>
      <c r="KMY22" s="73" t="str">
        <f t="shared" si="121"/>
        <v/>
      </c>
      <c r="KMZ22" s="73" t="str">
        <f t="shared" si="121"/>
        <v/>
      </c>
      <c r="KNA22" s="73" t="str">
        <f t="shared" si="121"/>
        <v/>
      </c>
      <c r="KNB22" s="73" t="str">
        <f t="shared" si="121"/>
        <v/>
      </c>
      <c r="KNC22" s="73" t="str">
        <f t="shared" si="121"/>
        <v/>
      </c>
      <c r="KND22" s="73" t="str">
        <f t="shared" si="121"/>
        <v/>
      </c>
      <c r="KNE22" s="73" t="str">
        <f t="shared" si="121"/>
        <v/>
      </c>
      <c r="KNF22" s="73" t="str">
        <f t="shared" si="121"/>
        <v/>
      </c>
      <c r="KNG22" s="73" t="str">
        <f t="shared" si="121"/>
        <v/>
      </c>
      <c r="KNH22" s="73" t="str">
        <f t="shared" si="121"/>
        <v/>
      </c>
      <c r="KNI22" s="73" t="str">
        <f t="shared" si="121"/>
        <v/>
      </c>
      <c r="KNJ22" s="73" t="str">
        <f t="shared" si="121"/>
        <v/>
      </c>
      <c r="KNK22" s="73" t="str">
        <f t="shared" si="121"/>
        <v/>
      </c>
      <c r="KNL22" s="73" t="str">
        <f t="shared" si="121"/>
        <v/>
      </c>
      <c r="KNM22" s="73" t="str">
        <f t="shared" si="121"/>
        <v/>
      </c>
      <c r="KNN22" s="73" t="str">
        <f t="shared" ref="KNN22:KPY22" si="122">IFERROR(AVERAGE(KNN6:KNN21),"")</f>
        <v/>
      </c>
      <c r="KNO22" s="73" t="str">
        <f t="shared" si="122"/>
        <v/>
      </c>
      <c r="KNP22" s="73" t="str">
        <f t="shared" si="122"/>
        <v/>
      </c>
      <c r="KNQ22" s="73" t="str">
        <f t="shared" si="122"/>
        <v/>
      </c>
      <c r="KNR22" s="73" t="str">
        <f t="shared" si="122"/>
        <v/>
      </c>
      <c r="KNS22" s="73" t="str">
        <f t="shared" si="122"/>
        <v/>
      </c>
      <c r="KNT22" s="73" t="str">
        <f t="shared" si="122"/>
        <v/>
      </c>
      <c r="KNU22" s="73" t="str">
        <f t="shared" si="122"/>
        <v/>
      </c>
      <c r="KNV22" s="73" t="str">
        <f t="shared" si="122"/>
        <v/>
      </c>
      <c r="KNW22" s="73" t="str">
        <f t="shared" si="122"/>
        <v/>
      </c>
      <c r="KNX22" s="73" t="str">
        <f t="shared" si="122"/>
        <v/>
      </c>
      <c r="KNY22" s="73" t="str">
        <f t="shared" si="122"/>
        <v/>
      </c>
      <c r="KNZ22" s="73" t="str">
        <f t="shared" si="122"/>
        <v/>
      </c>
      <c r="KOA22" s="73" t="str">
        <f t="shared" si="122"/>
        <v/>
      </c>
      <c r="KOB22" s="73" t="str">
        <f t="shared" si="122"/>
        <v/>
      </c>
      <c r="KOC22" s="73" t="str">
        <f t="shared" si="122"/>
        <v/>
      </c>
      <c r="KOD22" s="73" t="str">
        <f t="shared" si="122"/>
        <v/>
      </c>
      <c r="KOE22" s="73" t="str">
        <f t="shared" si="122"/>
        <v/>
      </c>
      <c r="KOF22" s="73" t="str">
        <f t="shared" si="122"/>
        <v/>
      </c>
      <c r="KOG22" s="73" t="str">
        <f t="shared" si="122"/>
        <v/>
      </c>
      <c r="KOH22" s="73" t="str">
        <f t="shared" si="122"/>
        <v/>
      </c>
      <c r="KOI22" s="73" t="str">
        <f t="shared" si="122"/>
        <v/>
      </c>
      <c r="KOJ22" s="73" t="str">
        <f t="shared" si="122"/>
        <v/>
      </c>
      <c r="KOK22" s="73" t="str">
        <f t="shared" si="122"/>
        <v/>
      </c>
      <c r="KOL22" s="73" t="str">
        <f t="shared" si="122"/>
        <v/>
      </c>
      <c r="KOM22" s="73" t="str">
        <f t="shared" si="122"/>
        <v/>
      </c>
      <c r="KON22" s="73" t="str">
        <f t="shared" si="122"/>
        <v/>
      </c>
      <c r="KOO22" s="73" t="str">
        <f t="shared" si="122"/>
        <v/>
      </c>
      <c r="KOP22" s="73" t="str">
        <f t="shared" si="122"/>
        <v/>
      </c>
      <c r="KOQ22" s="73" t="str">
        <f t="shared" si="122"/>
        <v/>
      </c>
      <c r="KOR22" s="73" t="str">
        <f t="shared" si="122"/>
        <v/>
      </c>
      <c r="KOS22" s="73" t="str">
        <f t="shared" si="122"/>
        <v/>
      </c>
      <c r="KOT22" s="73" t="str">
        <f t="shared" si="122"/>
        <v/>
      </c>
      <c r="KOU22" s="73" t="str">
        <f t="shared" si="122"/>
        <v/>
      </c>
      <c r="KOV22" s="73" t="str">
        <f t="shared" si="122"/>
        <v/>
      </c>
      <c r="KOW22" s="73" t="str">
        <f t="shared" si="122"/>
        <v/>
      </c>
      <c r="KOX22" s="73" t="str">
        <f t="shared" si="122"/>
        <v/>
      </c>
      <c r="KOY22" s="73" t="str">
        <f t="shared" si="122"/>
        <v/>
      </c>
      <c r="KOZ22" s="73" t="str">
        <f t="shared" si="122"/>
        <v/>
      </c>
      <c r="KPA22" s="73" t="str">
        <f t="shared" si="122"/>
        <v/>
      </c>
      <c r="KPB22" s="73" t="str">
        <f t="shared" si="122"/>
        <v/>
      </c>
      <c r="KPC22" s="73" t="str">
        <f t="shared" si="122"/>
        <v/>
      </c>
      <c r="KPD22" s="73" t="str">
        <f t="shared" si="122"/>
        <v/>
      </c>
      <c r="KPE22" s="73" t="str">
        <f t="shared" si="122"/>
        <v/>
      </c>
      <c r="KPF22" s="73" t="str">
        <f t="shared" si="122"/>
        <v/>
      </c>
      <c r="KPG22" s="73" t="str">
        <f t="shared" si="122"/>
        <v/>
      </c>
      <c r="KPH22" s="73" t="str">
        <f t="shared" si="122"/>
        <v/>
      </c>
      <c r="KPI22" s="73" t="str">
        <f t="shared" si="122"/>
        <v/>
      </c>
      <c r="KPJ22" s="73" t="str">
        <f t="shared" si="122"/>
        <v/>
      </c>
      <c r="KPK22" s="73" t="str">
        <f t="shared" si="122"/>
        <v/>
      </c>
      <c r="KPL22" s="73" t="str">
        <f t="shared" si="122"/>
        <v/>
      </c>
      <c r="KPM22" s="73" t="str">
        <f t="shared" si="122"/>
        <v/>
      </c>
      <c r="KPN22" s="73" t="str">
        <f t="shared" si="122"/>
        <v/>
      </c>
      <c r="KPO22" s="73" t="str">
        <f t="shared" si="122"/>
        <v/>
      </c>
      <c r="KPP22" s="73" t="str">
        <f t="shared" si="122"/>
        <v/>
      </c>
      <c r="KPQ22" s="73" t="str">
        <f t="shared" si="122"/>
        <v/>
      </c>
      <c r="KPR22" s="73" t="str">
        <f t="shared" si="122"/>
        <v/>
      </c>
      <c r="KPS22" s="73" t="str">
        <f t="shared" si="122"/>
        <v/>
      </c>
      <c r="KPT22" s="73" t="str">
        <f t="shared" si="122"/>
        <v/>
      </c>
      <c r="KPU22" s="73" t="str">
        <f t="shared" si="122"/>
        <v/>
      </c>
      <c r="KPV22" s="73" t="str">
        <f t="shared" si="122"/>
        <v/>
      </c>
      <c r="KPW22" s="73" t="str">
        <f t="shared" si="122"/>
        <v/>
      </c>
      <c r="KPX22" s="73" t="str">
        <f t="shared" si="122"/>
        <v/>
      </c>
      <c r="KPY22" s="73" t="str">
        <f t="shared" si="122"/>
        <v/>
      </c>
      <c r="KPZ22" s="73" t="str">
        <f t="shared" ref="KPZ22:KSK22" si="123">IFERROR(AVERAGE(KPZ6:KPZ21),"")</f>
        <v/>
      </c>
      <c r="KQA22" s="73" t="str">
        <f t="shared" si="123"/>
        <v/>
      </c>
      <c r="KQB22" s="73" t="str">
        <f t="shared" si="123"/>
        <v/>
      </c>
      <c r="KQC22" s="73" t="str">
        <f t="shared" si="123"/>
        <v/>
      </c>
      <c r="KQD22" s="73" t="str">
        <f t="shared" si="123"/>
        <v/>
      </c>
      <c r="KQE22" s="73" t="str">
        <f t="shared" si="123"/>
        <v/>
      </c>
      <c r="KQF22" s="73" t="str">
        <f t="shared" si="123"/>
        <v/>
      </c>
      <c r="KQG22" s="73" t="str">
        <f t="shared" si="123"/>
        <v/>
      </c>
      <c r="KQH22" s="73" t="str">
        <f t="shared" si="123"/>
        <v/>
      </c>
      <c r="KQI22" s="73" t="str">
        <f t="shared" si="123"/>
        <v/>
      </c>
      <c r="KQJ22" s="73" t="str">
        <f t="shared" si="123"/>
        <v/>
      </c>
      <c r="KQK22" s="73" t="str">
        <f t="shared" si="123"/>
        <v/>
      </c>
      <c r="KQL22" s="73" t="str">
        <f t="shared" si="123"/>
        <v/>
      </c>
      <c r="KQM22" s="73" t="str">
        <f t="shared" si="123"/>
        <v/>
      </c>
      <c r="KQN22" s="73" t="str">
        <f t="shared" si="123"/>
        <v/>
      </c>
      <c r="KQO22" s="73" t="str">
        <f t="shared" si="123"/>
        <v/>
      </c>
      <c r="KQP22" s="73" t="str">
        <f t="shared" si="123"/>
        <v/>
      </c>
      <c r="KQQ22" s="73" t="str">
        <f t="shared" si="123"/>
        <v/>
      </c>
      <c r="KQR22" s="73" t="str">
        <f t="shared" si="123"/>
        <v/>
      </c>
      <c r="KQS22" s="73" t="str">
        <f t="shared" si="123"/>
        <v/>
      </c>
      <c r="KQT22" s="73" t="str">
        <f t="shared" si="123"/>
        <v/>
      </c>
      <c r="KQU22" s="73" t="str">
        <f t="shared" si="123"/>
        <v/>
      </c>
      <c r="KQV22" s="73" t="str">
        <f t="shared" si="123"/>
        <v/>
      </c>
      <c r="KQW22" s="73" t="str">
        <f t="shared" si="123"/>
        <v/>
      </c>
      <c r="KQX22" s="73" t="str">
        <f t="shared" si="123"/>
        <v/>
      </c>
      <c r="KQY22" s="73" t="str">
        <f t="shared" si="123"/>
        <v/>
      </c>
      <c r="KQZ22" s="73" t="str">
        <f t="shared" si="123"/>
        <v/>
      </c>
      <c r="KRA22" s="73" t="str">
        <f t="shared" si="123"/>
        <v/>
      </c>
      <c r="KRB22" s="73" t="str">
        <f t="shared" si="123"/>
        <v/>
      </c>
      <c r="KRC22" s="73" t="str">
        <f t="shared" si="123"/>
        <v/>
      </c>
      <c r="KRD22" s="73" t="str">
        <f t="shared" si="123"/>
        <v/>
      </c>
      <c r="KRE22" s="73" t="str">
        <f t="shared" si="123"/>
        <v/>
      </c>
      <c r="KRF22" s="73" t="str">
        <f t="shared" si="123"/>
        <v/>
      </c>
      <c r="KRG22" s="73" t="str">
        <f t="shared" si="123"/>
        <v/>
      </c>
      <c r="KRH22" s="73" t="str">
        <f t="shared" si="123"/>
        <v/>
      </c>
      <c r="KRI22" s="73" t="str">
        <f t="shared" si="123"/>
        <v/>
      </c>
      <c r="KRJ22" s="73" t="str">
        <f t="shared" si="123"/>
        <v/>
      </c>
      <c r="KRK22" s="73" t="str">
        <f t="shared" si="123"/>
        <v/>
      </c>
      <c r="KRL22" s="73" t="str">
        <f t="shared" si="123"/>
        <v/>
      </c>
      <c r="KRM22" s="73" t="str">
        <f t="shared" si="123"/>
        <v/>
      </c>
      <c r="KRN22" s="73" t="str">
        <f t="shared" si="123"/>
        <v/>
      </c>
      <c r="KRO22" s="73" t="str">
        <f t="shared" si="123"/>
        <v/>
      </c>
      <c r="KRP22" s="73" t="str">
        <f t="shared" si="123"/>
        <v/>
      </c>
      <c r="KRQ22" s="73" t="str">
        <f t="shared" si="123"/>
        <v/>
      </c>
      <c r="KRR22" s="73" t="str">
        <f t="shared" si="123"/>
        <v/>
      </c>
      <c r="KRS22" s="73" t="str">
        <f t="shared" si="123"/>
        <v/>
      </c>
      <c r="KRT22" s="73" t="str">
        <f t="shared" si="123"/>
        <v/>
      </c>
      <c r="KRU22" s="73" t="str">
        <f t="shared" si="123"/>
        <v/>
      </c>
      <c r="KRV22" s="73" t="str">
        <f t="shared" si="123"/>
        <v/>
      </c>
      <c r="KRW22" s="73" t="str">
        <f t="shared" si="123"/>
        <v/>
      </c>
      <c r="KRX22" s="73" t="str">
        <f t="shared" si="123"/>
        <v/>
      </c>
      <c r="KRY22" s="73" t="str">
        <f t="shared" si="123"/>
        <v/>
      </c>
      <c r="KRZ22" s="73" t="str">
        <f t="shared" si="123"/>
        <v/>
      </c>
      <c r="KSA22" s="73" t="str">
        <f t="shared" si="123"/>
        <v/>
      </c>
      <c r="KSB22" s="73" t="str">
        <f t="shared" si="123"/>
        <v/>
      </c>
      <c r="KSC22" s="73" t="str">
        <f t="shared" si="123"/>
        <v/>
      </c>
      <c r="KSD22" s="73" t="str">
        <f t="shared" si="123"/>
        <v/>
      </c>
      <c r="KSE22" s="73" t="str">
        <f t="shared" si="123"/>
        <v/>
      </c>
      <c r="KSF22" s="73" t="str">
        <f t="shared" si="123"/>
        <v/>
      </c>
      <c r="KSG22" s="73" t="str">
        <f t="shared" si="123"/>
        <v/>
      </c>
      <c r="KSH22" s="73" t="str">
        <f t="shared" si="123"/>
        <v/>
      </c>
      <c r="KSI22" s="73" t="str">
        <f t="shared" si="123"/>
        <v/>
      </c>
      <c r="KSJ22" s="73" t="str">
        <f t="shared" si="123"/>
        <v/>
      </c>
      <c r="KSK22" s="73" t="str">
        <f t="shared" si="123"/>
        <v/>
      </c>
      <c r="KSL22" s="73" t="str">
        <f t="shared" ref="KSL22:KUW22" si="124">IFERROR(AVERAGE(KSL6:KSL21),"")</f>
        <v/>
      </c>
      <c r="KSM22" s="73" t="str">
        <f t="shared" si="124"/>
        <v/>
      </c>
      <c r="KSN22" s="73" t="str">
        <f t="shared" si="124"/>
        <v/>
      </c>
      <c r="KSO22" s="73" t="str">
        <f t="shared" si="124"/>
        <v/>
      </c>
      <c r="KSP22" s="73" t="str">
        <f t="shared" si="124"/>
        <v/>
      </c>
      <c r="KSQ22" s="73" t="str">
        <f t="shared" si="124"/>
        <v/>
      </c>
      <c r="KSR22" s="73" t="str">
        <f t="shared" si="124"/>
        <v/>
      </c>
      <c r="KSS22" s="73" t="str">
        <f t="shared" si="124"/>
        <v/>
      </c>
      <c r="KST22" s="73" t="str">
        <f t="shared" si="124"/>
        <v/>
      </c>
      <c r="KSU22" s="73" t="str">
        <f t="shared" si="124"/>
        <v/>
      </c>
      <c r="KSV22" s="73" t="str">
        <f t="shared" si="124"/>
        <v/>
      </c>
      <c r="KSW22" s="73" t="str">
        <f t="shared" si="124"/>
        <v/>
      </c>
      <c r="KSX22" s="73" t="str">
        <f t="shared" si="124"/>
        <v/>
      </c>
      <c r="KSY22" s="73" t="str">
        <f t="shared" si="124"/>
        <v/>
      </c>
      <c r="KSZ22" s="73" t="str">
        <f t="shared" si="124"/>
        <v/>
      </c>
      <c r="KTA22" s="73" t="str">
        <f t="shared" si="124"/>
        <v/>
      </c>
      <c r="KTB22" s="73" t="str">
        <f t="shared" si="124"/>
        <v/>
      </c>
      <c r="KTC22" s="73" t="str">
        <f t="shared" si="124"/>
        <v/>
      </c>
      <c r="KTD22" s="73" t="str">
        <f t="shared" si="124"/>
        <v/>
      </c>
      <c r="KTE22" s="73" t="str">
        <f t="shared" si="124"/>
        <v/>
      </c>
      <c r="KTF22" s="73" t="str">
        <f t="shared" si="124"/>
        <v/>
      </c>
      <c r="KTG22" s="73" t="str">
        <f t="shared" si="124"/>
        <v/>
      </c>
      <c r="KTH22" s="73" t="str">
        <f t="shared" si="124"/>
        <v/>
      </c>
      <c r="KTI22" s="73" t="str">
        <f t="shared" si="124"/>
        <v/>
      </c>
      <c r="KTJ22" s="73" t="str">
        <f t="shared" si="124"/>
        <v/>
      </c>
      <c r="KTK22" s="73" t="str">
        <f t="shared" si="124"/>
        <v/>
      </c>
      <c r="KTL22" s="73" t="str">
        <f t="shared" si="124"/>
        <v/>
      </c>
      <c r="KTM22" s="73" t="str">
        <f t="shared" si="124"/>
        <v/>
      </c>
      <c r="KTN22" s="73" t="str">
        <f t="shared" si="124"/>
        <v/>
      </c>
      <c r="KTO22" s="73" t="str">
        <f t="shared" si="124"/>
        <v/>
      </c>
      <c r="KTP22" s="73" t="str">
        <f t="shared" si="124"/>
        <v/>
      </c>
      <c r="KTQ22" s="73" t="str">
        <f t="shared" si="124"/>
        <v/>
      </c>
      <c r="KTR22" s="73" t="str">
        <f t="shared" si="124"/>
        <v/>
      </c>
      <c r="KTS22" s="73" t="str">
        <f t="shared" si="124"/>
        <v/>
      </c>
      <c r="KTT22" s="73" t="str">
        <f t="shared" si="124"/>
        <v/>
      </c>
      <c r="KTU22" s="73" t="str">
        <f t="shared" si="124"/>
        <v/>
      </c>
      <c r="KTV22" s="73" t="str">
        <f t="shared" si="124"/>
        <v/>
      </c>
      <c r="KTW22" s="73" t="str">
        <f t="shared" si="124"/>
        <v/>
      </c>
      <c r="KTX22" s="73" t="str">
        <f t="shared" si="124"/>
        <v/>
      </c>
      <c r="KTY22" s="73" t="str">
        <f t="shared" si="124"/>
        <v/>
      </c>
      <c r="KTZ22" s="73" t="str">
        <f t="shared" si="124"/>
        <v/>
      </c>
      <c r="KUA22" s="73" t="str">
        <f t="shared" si="124"/>
        <v/>
      </c>
      <c r="KUB22" s="73" t="str">
        <f t="shared" si="124"/>
        <v/>
      </c>
      <c r="KUC22" s="73" t="str">
        <f t="shared" si="124"/>
        <v/>
      </c>
      <c r="KUD22" s="73" t="str">
        <f t="shared" si="124"/>
        <v/>
      </c>
      <c r="KUE22" s="73" t="str">
        <f t="shared" si="124"/>
        <v/>
      </c>
      <c r="KUF22" s="73" t="str">
        <f t="shared" si="124"/>
        <v/>
      </c>
      <c r="KUG22" s="73" t="str">
        <f t="shared" si="124"/>
        <v/>
      </c>
      <c r="KUH22" s="73" t="str">
        <f t="shared" si="124"/>
        <v/>
      </c>
      <c r="KUI22" s="73" t="str">
        <f t="shared" si="124"/>
        <v/>
      </c>
      <c r="KUJ22" s="73" t="str">
        <f t="shared" si="124"/>
        <v/>
      </c>
      <c r="KUK22" s="73" t="str">
        <f t="shared" si="124"/>
        <v/>
      </c>
      <c r="KUL22" s="73" t="str">
        <f t="shared" si="124"/>
        <v/>
      </c>
      <c r="KUM22" s="73" t="str">
        <f t="shared" si="124"/>
        <v/>
      </c>
      <c r="KUN22" s="73" t="str">
        <f t="shared" si="124"/>
        <v/>
      </c>
      <c r="KUO22" s="73" t="str">
        <f t="shared" si="124"/>
        <v/>
      </c>
      <c r="KUP22" s="73" t="str">
        <f t="shared" si="124"/>
        <v/>
      </c>
      <c r="KUQ22" s="73" t="str">
        <f t="shared" si="124"/>
        <v/>
      </c>
      <c r="KUR22" s="73" t="str">
        <f t="shared" si="124"/>
        <v/>
      </c>
      <c r="KUS22" s="73" t="str">
        <f t="shared" si="124"/>
        <v/>
      </c>
      <c r="KUT22" s="73" t="str">
        <f t="shared" si="124"/>
        <v/>
      </c>
      <c r="KUU22" s="73" t="str">
        <f t="shared" si="124"/>
        <v/>
      </c>
      <c r="KUV22" s="73" t="str">
        <f t="shared" si="124"/>
        <v/>
      </c>
      <c r="KUW22" s="73" t="str">
        <f t="shared" si="124"/>
        <v/>
      </c>
      <c r="KUX22" s="73" t="str">
        <f t="shared" ref="KUX22:KXI22" si="125">IFERROR(AVERAGE(KUX6:KUX21),"")</f>
        <v/>
      </c>
      <c r="KUY22" s="73" t="str">
        <f t="shared" si="125"/>
        <v/>
      </c>
      <c r="KUZ22" s="73" t="str">
        <f t="shared" si="125"/>
        <v/>
      </c>
      <c r="KVA22" s="73" t="str">
        <f t="shared" si="125"/>
        <v/>
      </c>
      <c r="KVB22" s="73" t="str">
        <f t="shared" si="125"/>
        <v/>
      </c>
      <c r="KVC22" s="73" t="str">
        <f t="shared" si="125"/>
        <v/>
      </c>
      <c r="KVD22" s="73" t="str">
        <f t="shared" si="125"/>
        <v/>
      </c>
      <c r="KVE22" s="73" t="str">
        <f t="shared" si="125"/>
        <v/>
      </c>
      <c r="KVF22" s="73" t="str">
        <f t="shared" si="125"/>
        <v/>
      </c>
      <c r="KVG22" s="73" t="str">
        <f t="shared" si="125"/>
        <v/>
      </c>
      <c r="KVH22" s="73" t="str">
        <f t="shared" si="125"/>
        <v/>
      </c>
      <c r="KVI22" s="73" t="str">
        <f t="shared" si="125"/>
        <v/>
      </c>
      <c r="KVJ22" s="73" t="str">
        <f t="shared" si="125"/>
        <v/>
      </c>
      <c r="KVK22" s="73" t="str">
        <f t="shared" si="125"/>
        <v/>
      </c>
      <c r="KVL22" s="73" t="str">
        <f t="shared" si="125"/>
        <v/>
      </c>
      <c r="KVM22" s="73" t="str">
        <f t="shared" si="125"/>
        <v/>
      </c>
      <c r="KVN22" s="73" t="str">
        <f t="shared" si="125"/>
        <v/>
      </c>
      <c r="KVO22" s="73" t="str">
        <f t="shared" si="125"/>
        <v/>
      </c>
      <c r="KVP22" s="73" t="str">
        <f t="shared" si="125"/>
        <v/>
      </c>
      <c r="KVQ22" s="73" t="str">
        <f t="shared" si="125"/>
        <v/>
      </c>
      <c r="KVR22" s="73" t="str">
        <f t="shared" si="125"/>
        <v/>
      </c>
      <c r="KVS22" s="73" t="str">
        <f t="shared" si="125"/>
        <v/>
      </c>
      <c r="KVT22" s="73" t="str">
        <f t="shared" si="125"/>
        <v/>
      </c>
      <c r="KVU22" s="73" t="str">
        <f t="shared" si="125"/>
        <v/>
      </c>
      <c r="KVV22" s="73" t="str">
        <f t="shared" si="125"/>
        <v/>
      </c>
      <c r="KVW22" s="73" t="str">
        <f t="shared" si="125"/>
        <v/>
      </c>
      <c r="KVX22" s="73" t="str">
        <f t="shared" si="125"/>
        <v/>
      </c>
      <c r="KVY22" s="73" t="str">
        <f t="shared" si="125"/>
        <v/>
      </c>
      <c r="KVZ22" s="73" t="str">
        <f t="shared" si="125"/>
        <v/>
      </c>
      <c r="KWA22" s="73" t="str">
        <f t="shared" si="125"/>
        <v/>
      </c>
      <c r="KWB22" s="73" t="str">
        <f t="shared" si="125"/>
        <v/>
      </c>
      <c r="KWC22" s="73" t="str">
        <f t="shared" si="125"/>
        <v/>
      </c>
      <c r="KWD22" s="73" t="str">
        <f t="shared" si="125"/>
        <v/>
      </c>
      <c r="KWE22" s="73" t="str">
        <f t="shared" si="125"/>
        <v/>
      </c>
      <c r="KWF22" s="73" t="str">
        <f t="shared" si="125"/>
        <v/>
      </c>
      <c r="KWG22" s="73" t="str">
        <f t="shared" si="125"/>
        <v/>
      </c>
      <c r="KWH22" s="73" t="str">
        <f t="shared" si="125"/>
        <v/>
      </c>
      <c r="KWI22" s="73" t="str">
        <f t="shared" si="125"/>
        <v/>
      </c>
      <c r="KWJ22" s="73" t="str">
        <f t="shared" si="125"/>
        <v/>
      </c>
      <c r="KWK22" s="73" t="str">
        <f t="shared" si="125"/>
        <v/>
      </c>
      <c r="KWL22" s="73" t="str">
        <f t="shared" si="125"/>
        <v/>
      </c>
      <c r="KWM22" s="73" t="str">
        <f t="shared" si="125"/>
        <v/>
      </c>
      <c r="KWN22" s="73" t="str">
        <f t="shared" si="125"/>
        <v/>
      </c>
      <c r="KWO22" s="73" t="str">
        <f t="shared" si="125"/>
        <v/>
      </c>
      <c r="KWP22" s="73" t="str">
        <f t="shared" si="125"/>
        <v/>
      </c>
      <c r="KWQ22" s="73" t="str">
        <f t="shared" si="125"/>
        <v/>
      </c>
      <c r="KWR22" s="73" t="str">
        <f t="shared" si="125"/>
        <v/>
      </c>
      <c r="KWS22" s="73" t="str">
        <f t="shared" si="125"/>
        <v/>
      </c>
      <c r="KWT22" s="73" t="str">
        <f t="shared" si="125"/>
        <v/>
      </c>
      <c r="KWU22" s="73" t="str">
        <f t="shared" si="125"/>
        <v/>
      </c>
      <c r="KWV22" s="73" t="str">
        <f t="shared" si="125"/>
        <v/>
      </c>
      <c r="KWW22" s="73" t="str">
        <f t="shared" si="125"/>
        <v/>
      </c>
      <c r="KWX22" s="73" t="str">
        <f t="shared" si="125"/>
        <v/>
      </c>
      <c r="KWY22" s="73" t="str">
        <f t="shared" si="125"/>
        <v/>
      </c>
      <c r="KWZ22" s="73" t="str">
        <f t="shared" si="125"/>
        <v/>
      </c>
      <c r="KXA22" s="73" t="str">
        <f t="shared" si="125"/>
        <v/>
      </c>
      <c r="KXB22" s="73" t="str">
        <f t="shared" si="125"/>
        <v/>
      </c>
      <c r="KXC22" s="73" t="str">
        <f t="shared" si="125"/>
        <v/>
      </c>
      <c r="KXD22" s="73" t="str">
        <f t="shared" si="125"/>
        <v/>
      </c>
      <c r="KXE22" s="73" t="str">
        <f t="shared" si="125"/>
        <v/>
      </c>
      <c r="KXF22" s="73" t="str">
        <f t="shared" si="125"/>
        <v/>
      </c>
      <c r="KXG22" s="73" t="str">
        <f t="shared" si="125"/>
        <v/>
      </c>
      <c r="KXH22" s="73" t="str">
        <f t="shared" si="125"/>
        <v/>
      </c>
      <c r="KXI22" s="73" t="str">
        <f t="shared" si="125"/>
        <v/>
      </c>
      <c r="KXJ22" s="73" t="str">
        <f t="shared" ref="KXJ22:KZU22" si="126">IFERROR(AVERAGE(KXJ6:KXJ21),"")</f>
        <v/>
      </c>
      <c r="KXK22" s="73" t="str">
        <f t="shared" si="126"/>
        <v/>
      </c>
      <c r="KXL22" s="73" t="str">
        <f t="shared" si="126"/>
        <v/>
      </c>
      <c r="KXM22" s="73" t="str">
        <f t="shared" si="126"/>
        <v/>
      </c>
      <c r="KXN22" s="73" t="str">
        <f t="shared" si="126"/>
        <v/>
      </c>
      <c r="KXO22" s="73" t="str">
        <f t="shared" si="126"/>
        <v/>
      </c>
      <c r="KXP22" s="73" t="str">
        <f t="shared" si="126"/>
        <v/>
      </c>
      <c r="KXQ22" s="73" t="str">
        <f t="shared" si="126"/>
        <v/>
      </c>
      <c r="KXR22" s="73" t="str">
        <f t="shared" si="126"/>
        <v/>
      </c>
      <c r="KXS22" s="73" t="str">
        <f t="shared" si="126"/>
        <v/>
      </c>
      <c r="KXT22" s="73" t="str">
        <f t="shared" si="126"/>
        <v/>
      </c>
      <c r="KXU22" s="73" t="str">
        <f t="shared" si="126"/>
        <v/>
      </c>
      <c r="KXV22" s="73" t="str">
        <f t="shared" si="126"/>
        <v/>
      </c>
      <c r="KXW22" s="73" t="str">
        <f t="shared" si="126"/>
        <v/>
      </c>
      <c r="KXX22" s="73" t="str">
        <f t="shared" si="126"/>
        <v/>
      </c>
      <c r="KXY22" s="73" t="str">
        <f t="shared" si="126"/>
        <v/>
      </c>
      <c r="KXZ22" s="73" t="str">
        <f t="shared" si="126"/>
        <v/>
      </c>
      <c r="KYA22" s="73" t="str">
        <f t="shared" si="126"/>
        <v/>
      </c>
      <c r="KYB22" s="73" t="str">
        <f t="shared" si="126"/>
        <v/>
      </c>
      <c r="KYC22" s="73" t="str">
        <f t="shared" si="126"/>
        <v/>
      </c>
      <c r="KYD22" s="73" t="str">
        <f t="shared" si="126"/>
        <v/>
      </c>
      <c r="KYE22" s="73" t="str">
        <f t="shared" si="126"/>
        <v/>
      </c>
      <c r="KYF22" s="73" t="str">
        <f t="shared" si="126"/>
        <v/>
      </c>
      <c r="KYG22" s="73" t="str">
        <f t="shared" si="126"/>
        <v/>
      </c>
      <c r="KYH22" s="73" t="str">
        <f t="shared" si="126"/>
        <v/>
      </c>
      <c r="KYI22" s="73" t="str">
        <f t="shared" si="126"/>
        <v/>
      </c>
      <c r="KYJ22" s="73" t="str">
        <f t="shared" si="126"/>
        <v/>
      </c>
      <c r="KYK22" s="73" t="str">
        <f t="shared" si="126"/>
        <v/>
      </c>
      <c r="KYL22" s="73" t="str">
        <f t="shared" si="126"/>
        <v/>
      </c>
      <c r="KYM22" s="73" t="str">
        <f t="shared" si="126"/>
        <v/>
      </c>
      <c r="KYN22" s="73" t="str">
        <f t="shared" si="126"/>
        <v/>
      </c>
      <c r="KYO22" s="73" t="str">
        <f t="shared" si="126"/>
        <v/>
      </c>
      <c r="KYP22" s="73" t="str">
        <f t="shared" si="126"/>
        <v/>
      </c>
      <c r="KYQ22" s="73" t="str">
        <f t="shared" si="126"/>
        <v/>
      </c>
      <c r="KYR22" s="73" t="str">
        <f t="shared" si="126"/>
        <v/>
      </c>
      <c r="KYS22" s="73" t="str">
        <f t="shared" si="126"/>
        <v/>
      </c>
      <c r="KYT22" s="73" t="str">
        <f t="shared" si="126"/>
        <v/>
      </c>
      <c r="KYU22" s="73" t="str">
        <f t="shared" si="126"/>
        <v/>
      </c>
      <c r="KYV22" s="73" t="str">
        <f t="shared" si="126"/>
        <v/>
      </c>
      <c r="KYW22" s="73" t="str">
        <f t="shared" si="126"/>
        <v/>
      </c>
      <c r="KYX22" s="73" t="str">
        <f t="shared" si="126"/>
        <v/>
      </c>
      <c r="KYY22" s="73" t="str">
        <f t="shared" si="126"/>
        <v/>
      </c>
      <c r="KYZ22" s="73" t="str">
        <f t="shared" si="126"/>
        <v/>
      </c>
      <c r="KZA22" s="73" t="str">
        <f t="shared" si="126"/>
        <v/>
      </c>
      <c r="KZB22" s="73" t="str">
        <f t="shared" si="126"/>
        <v/>
      </c>
      <c r="KZC22" s="73" t="str">
        <f t="shared" si="126"/>
        <v/>
      </c>
      <c r="KZD22" s="73" t="str">
        <f t="shared" si="126"/>
        <v/>
      </c>
      <c r="KZE22" s="73" t="str">
        <f t="shared" si="126"/>
        <v/>
      </c>
      <c r="KZF22" s="73" t="str">
        <f t="shared" si="126"/>
        <v/>
      </c>
      <c r="KZG22" s="73" t="str">
        <f t="shared" si="126"/>
        <v/>
      </c>
      <c r="KZH22" s="73" t="str">
        <f t="shared" si="126"/>
        <v/>
      </c>
      <c r="KZI22" s="73" t="str">
        <f t="shared" si="126"/>
        <v/>
      </c>
      <c r="KZJ22" s="73" t="str">
        <f t="shared" si="126"/>
        <v/>
      </c>
      <c r="KZK22" s="73" t="str">
        <f t="shared" si="126"/>
        <v/>
      </c>
      <c r="KZL22" s="73" t="str">
        <f t="shared" si="126"/>
        <v/>
      </c>
      <c r="KZM22" s="73" t="str">
        <f t="shared" si="126"/>
        <v/>
      </c>
      <c r="KZN22" s="73" t="str">
        <f t="shared" si="126"/>
        <v/>
      </c>
      <c r="KZO22" s="73" t="str">
        <f t="shared" si="126"/>
        <v/>
      </c>
      <c r="KZP22" s="73" t="str">
        <f t="shared" si="126"/>
        <v/>
      </c>
      <c r="KZQ22" s="73" t="str">
        <f t="shared" si="126"/>
        <v/>
      </c>
      <c r="KZR22" s="73" t="str">
        <f t="shared" si="126"/>
        <v/>
      </c>
      <c r="KZS22" s="73" t="str">
        <f t="shared" si="126"/>
        <v/>
      </c>
      <c r="KZT22" s="73" t="str">
        <f t="shared" si="126"/>
        <v/>
      </c>
      <c r="KZU22" s="73" t="str">
        <f t="shared" si="126"/>
        <v/>
      </c>
      <c r="KZV22" s="73" t="str">
        <f t="shared" ref="KZV22:LCG22" si="127">IFERROR(AVERAGE(KZV6:KZV21),"")</f>
        <v/>
      </c>
      <c r="KZW22" s="73" t="str">
        <f t="shared" si="127"/>
        <v/>
      </c>
      <c r="KZX22" s="73" t="str">
        <f t="shared" si="127"/>
        <v/>
      </c>
      <c r="KZY22" s="73" t="str">
        <f t="shared" si="127"/>
        <v/>
      </c>
      <c r="KZZ22" s="73" t="str">
        <f t="shared" si="127"/>
        <v/>
      </c>
      <c r="LAA22" s="73" t="str">
        <f t="shared" si="127"/>
        <v/>
      </c>
      <c r="LAB22" s="73" t="str">
        <f t="shared" si="127"/>
        <v/>
      </c>
      <c r="LAC22" s="73" t="str">
        <f t="shared" si="127"/>
        <v/>
      </c>
      <c r="LAD22" s="73" t="str">
        <f t="shared" si="127"/>
        <v/>
      </c>
      <c r="LAE22" s="73" t="str">
        <f t="shared" si="127"/>
        <v/>
      </c>
      <c r="LAF22" s="73" t="str">
        <f t="shared" si="127"/>
        <v/>
      </c>
      <c r="LAG22" s="73" t="str">
        <f t="shared" si="127"/>
        <v/>
      </c>
      <c r="LAH22" s="73" t="str">
        <f t="shared" si="127"/>
        <v/>
      </c>
      <c r="LAI22" s="73" t="str">
        <f t="shared" si="127"/>
        <v/>
      </c>
      <c r="LAJ22" s="73" t="str">
        <f t="shared" si="127"/>
        <v/>
      </c>
      <c r="LAK22" s="73" t="str">
        <f t="shared" si="127"/>
        <v/>
      </c>
      <c r="LAL22" s="73" t="str">
        <f t="shared" si="127"/>
        <v/>
      </c>
      <c r="LAM22" s="73" t="str">
        <f t="shared" si="127"/>
        <v/>
      </c>
      <c r="LAN22" s="73" t="str">
        <f t="shared" si="127"/>
        <v/>
      </c>
      <c r="LAO22" s="73" t="str">
        <f t="shared" si="127"/>
        <v/>
      </c>
      <c r="LAP22" s="73" t="str">
        <f t="shared" si="127"/>
        <v/>
      </c>
      <c r="LAQ22" s="73" t="str">
        <f t="shared" si="127"/>
        <v/>
      </c>
      <c r="LAR22" s="73" t="str">
        <f t="shared" si="127"/>
        <v/>
      </c>
      <c r="LAS22" s="73" t="str">
        <f t="shared" si="127"/>
        <v/>
      </c>
      <c r="LAT22" s="73" t="str">
        <f t="shared" si="127"/>
        <v/>
      </c>
      <c r="LAU22" s="73" t="str">
        <f t="shared" si="127"/>
        <v/>
      </c>
      <c r="LAV22" s="73" t="str">
        <f t="shared" si="127"/>
        <v/>
      </c>
      <c r="LAW22" s="73" t="str">
        <f t="shared" si="127"/>
        <v/>
      </c>
      <c r="LAX22" s="73" t="str">
        <f t="shared" si="127"/>
        <v/>
      </c>
      <c r="LAY22" s="73" t="str">
        <f t="shared" si="127"/>
        <v/>
      </c>
      <c r="LAZ22" s="73" t="str">
        <f t="shared" si="127"/>
        <v/>
      </c>
      <c r="LBA22" s="73" t="str">
        <f t="shared" si="127"/>
        <v/>
      </c>
      <c r="LBB22" s="73" t="str">
        <f t="shared" si="127"/>
        <v/>
      </c>
      <c r="LBC22" s="73" t="str">
        <f t="shared" si="127"/>
        <v/>
      </c>
      <c r="LBD22" s="73" t="str">
        <f t="shared" si="127"/>
        <v/>
      </c>
      <c r="LBE22" s="73" t="str">
        <f t="shared" si="127"/>
        <v/>
      </c>
      <c r="LBF22" s="73" t="str">
        <f t="shared" si="127"/>
        <v/>
      </c>
      <c r="LBG22" s="73" t="str">
        <f t="shared" si="127"/>
        <v/>
      </c>
      <c r="LBH22" s="73" t="str">
        <f t="shared" si="127"/>
        <v/>
      </c>
      <c r="LBI22" s="73" t="str">
        <f t="shared" si="127"/>
        <v/>
      </c>
      <c r="LBJ22" s="73" t="str">
        <f t="shared" si="127"/>
        <v/>
      </c>
      <c r="LBK22" s="73" t="str">
        <f t="shared" si="127"/>
        <v/>
      </c>
      <c r="LBL22" s="73" t="str">
        <f t="shared" si="127"/>
        <v/>
      </c>
      <c r="LBM22" s="73" t="str">
        <f t="shared" si="127"/>
        <v/>
      </c>
      <c r="LBN22" s="73" t="str">
        <f t="shared" si="127"/>
        <v/>
      </c>
      <c r="LBO22" s="73" t="str">
        <f t="shared" si="127"/>
        <v/>
      </c>
      <c r="LBP22" s="73" t="str">
        <f t="shared" si="127"/>
        <v/>
      </c>
      <c r="LBQ22" s="73" t="str">
        <f t="shared" si="127"/>
        <v/>
      </c>
      <c r="LBR22" s="73" t="str">
        <f t="shared" si="127"/>
        <v/>
      </c>
      <c r="LBS22" s="73" t="str">
        <f t="shared" si="127"/>
        <v/>
      </c>
      <c r="LBT22" s="73" t="str">
        <f t="shared" si="127"/>
        <v/>
      </c>
      <c r="LBU22" s="73" t="str">
        <f t="shared" si="127"/>
        <v/>
      </c>
      <c r="LBV22" s="73" t="str">
        <f t="shared" si="127"/>
        <v/>
      </c>
      <c r="LBW22" s="73" t="str">
        <f t="shared" si="127"/>
        <v/>
      </c>
      <c r="LBX22" s="73" t="str">
        <f t="shared" si="127"/>
        <v/>
      </c>
      <c r="LBY22" s="73" t="str">
        <f t="shared" si="127"/>
        <v/>
      </c>
      <c r="LBZ22" s="73" t="str">
        <f t="shared" si="127"/>
        <v/>
      </c>
      <c r="LCA22" s="73" t="str">
        <f t="shared" si="127"/>
        <v/>
      </c>
      <c r="LCB22" s="73" t="str">
        <f t="shared" si="127"/>
        <v/>
      </c>
      <c r="LCC22" s="73" t="str">
        <f t="shared" si="127"/>
        <v/>
      </c>
      <c r="LCD22" s="73" t="str">
        <f t="shared" si="127"/>
        <v/>
      </c>
      <c r="LCE22" s="73" t="str">
        <f t="shared" si="127"/>
        <v/>
      </c>
      <c r="LCF22" s="73" t="str">
        <f t="shared" si="127"/>
        <v/>
      </c>
      <c r="LCG22" s="73" t="str">
        <f t="shared" si="127"/>
        <v/>
      </c>
      <c r="LCH22" s="73" t="str">
        <f t="shared" ref="LCH22:LES22" si="128">IFERROR(AVERAGE(LCH6:LCH21),"")</f>
        <v/>
      </c>
      <c r="LCI22" s="73" t="str">
        <f t="shared" si="128"/>
        <v/>
      </c>
      <c r="LCJ22" s="73" t="str">
        <f t="shared" si="128"/>
        <v/>
      </c>
      <c r="LCK22" s="73" t="str">
        <f t="shared" si="128"/>
        <v/>
      </c>
      <c r="LCL22" s="73" t="str">
        <f t="shared" si="128"/>
        <v/>
      </c>
      <c r="LCM22" s="73" t="str">
        <f t="shared" si="128"/>
        <v/>
      </c>
      <c r="LCN22" s="73" t="str">
        <f t="shared" si="128"/>
        <v/>
      </c>
      <c r="LCO22" s="73" t="str">
        <f t="shared" si="128"/>
        <v/>
      </c>
      <c r="LCP22" s="73" t="str">
        <f t="shared" si="128"/>
        <v/>
      </c>
      <c r="LCQ22" s="73" t="str">
        <f t="shared" si="128"/>
        <v/>
      </c>
      <c r="LCR22" s="73" t="str">
        <f t="shared" si="128"/>
        <v/>
      </c>
      <c r="LCS22" s="73" t="str">
        <f t="shared" si="128"/>
        <v/>
      </c>
      <c r="LCT22" s="73" t="str">
        <f t="shared" si="128"/>
        <v/>
      </c>
      <c r="LCU22" s="73" t="str">
        <f t="shared" si="128"/>
        <v/>
      </c>
      <c r="LCV22" s="73" t="str">
        <f t="shared" si="128"/>
        <v/>
      </c>
      <c r="LCW22" s="73" t="str">
        <f t="shared" si="128"/>
        <v/>
      </c>
      <c r="LCX22" s="73" t="str">
        <f t="shared" si="128"/>
        <v/>
      </c>
      <c r="LCY22" s="73" t="str">
        <f t="shared" si="128"/>
        <v/>
      </c>
      <c r="LCZ22" s="73" t="str">
        <f t="shared" si="128"/>
        <v/>
      </c>
      <c r="LDA22" s="73" t="str">
        <f t="shared" si="128"/>
        <v/>
      </c>
      <c r="LDB22" s="73" t="str">
        <f t="shared" si="128"/>
        <v/>
      </c>
      <c r="LDC22" s="73" t="str">
        <f t="shared" si="128"/>
        <v/>
      </c>
      <c r="LDD22" s="73" t="str">
        <f t="shared" si="128"/>
        <v/>
      </c>
      <c r="LDE22" s="73" t="str">
        <f t="shared" si="128"/>
        <v/>
      </c>
      <c r="LDF22" s="73" t="str">
        <f t="shared" si="128"/>
        <v/>
      </c>
      <c r="LDG22" s="73" t="str">
        <f t="shared" si="128"/>
        <v/>
      </c>
      <c r="LDH22" s="73" t="str">
        <f t="shared" si="128"/>
        <v/>
      </c>
      <c r="LDI22" s="73" t="str">
        <f t="shared" si="128"/>
        <v/>
      </c>
      <c r="LDJ22" s="73" t="str">
        <f t="shared" si="128"/>
        <v/>
      </c>
      <c r="LDK22" s="73" t="str">
        <f t="shared" si="128"/>
        <v/>
      </c>
      <c r="LDL22" s="73" t="str">
        <f t="shared" si="128"/>
        <v/>
      </c>
      <c r="LDM22" s="73" t="str">
        <f t="shared" si="128"/>
        <v/>
      </c>
      <c r="LDN22" s="73" t="str">
        <f t="shared" si="128"/>
        <v/>
      </c>
      <c r="LDO22" s="73" t="str">
        <f t="shared" si="128"/>
        <v/>
      </c>
      <c r="LDP22" s="73" t="str">
        <f t="shared" si="128"/>
        <v/>
      </c>
      <c r="LDQ22" s="73" t="str">
        <f t="shared" si="128"/>
        <v/>
      </c>
      <c r="LDR22" s="73" t="str">
        <f t="shared" si="128"/>
        <v/>
      </c>
      <c r="LDS22" s="73" t="str">
        <f t="shared" si="128"/>
        <v/>
      </c>
      <c r="LDT22" s="73" t="str">
        <f t="shared" si="128"/>
        <v/>
      </c>
      <c r="LDU22" s="73" t="str">
        <f t="shared" si="128"/>
        <v/>
      </c>
      <c r="LDV22" s="73" t="str">
        <f t="shared" si="128"/>
        <v/>
      </c>
      <c r="LDW22" s="73" t="str">
        <f t="shared" si="128"/>
        <v/>
      </c>
      <c r="LDX22" s="73" t="str">
        <f t="shared" si="128"/>
        <v/>
      </c>
      <c r="LDY22" s="73" t="str">
        <f t="shared" si="128"/>
        <v/>
      </c>
      <c r="LDZ22" s="73" t="str">
        <f t="shared" si="128"/>
        <v/>
      </c>
      <c r="LEA22" s="73" t="str">
        <f t="shared" si="128"/>
        <v/>
      </c>
      <c r="LEB22" s="73" t="str">
        <f t="shared" si="128"/>
        <v/>
      </c>
      <c r="LEC22" s="73" t="str">
        <f t="shared" si="128"/>
        <v/>
      </c>
      <c r="LED22" s="73" t="str">
        <f t="shared" si="128"/>
        <v/>
      </c>
      <c r="LEE22" s="73" t="str">
        <f t="shared" si="128"/>
        <v/>
      </c>
      <c r="LEF22" s="73" t="str">
        <f t="shared" si="128"/>
        <v/>
      </c>
      <c r="LEG22" s="73" t="str">
        <f t="shared" si="128"/>
        <v/>
      </c>
      <c r="LEH22" s="73" t="str">
        <f t="shared" si="128"/>
        <v/>
      </c>
      <c r="LEI22" s="73" t="str">
        <f t="shared" si="128"/>
        <v/>
      </c>
      <c r="LEJ22" s="73" t="str">
        <f t="shared" si="128"/>
        <v/>
      </c>
      <c r="LEK22" s="73" t="str">
        <f t="shared" si="128"/>
        <v/>
      </c>
      <c r="LEL22" s="73" t="str">
        <f t="shared" si="128"/>
        <v/>
      </c>
      <c r="LEM22" s="73" t="str">
        <f t="shared" si="128"/>
        <v/>
      </c>
      <c r="LEN22" s="73" t="str">
        <f t="shared" si="128"/>
        <v/>
      </c>
      <c r="LEO22" s="73" t="str">
        <f t="shared" si="128"/>
        <v/>
      </c>
      <c r="LEP22" s="73" t="str">
        <f t="shared" si="128"/>
        <v/>
      </c>
      <c r="LEQ22" s="73" t="str">
        <f t="shared" si="128"/>
        <v/>
      </c>
      <c r="LER22" s="73" t="str">
        <f t="shared" si="128"/>
        <v/>
      </c>
      <c r="LES22" s="73" t="str">
        <f t="shared" si="128"/>
        <v/>
      </c>
      <c r="LET22" s="73" t="str">
        <f t="shared" ref="LET22:LHE22" si="129">IFERROR(AVERAGE(LET6:LET21),"")</f>
        <v/>
      </c>
      <c r="LEU22" s="73" t="str">
        <f t="shared" si="129"/>
        <v/>
      </c>
      <c r="LEV22" s="73" t="str">
        <f t="shared" si="129"/>
        <v/>
      </c>
      <c r="LEW22" s="73" t="str">
        <f t="shared" si="129"/>
        <v/>
      </c>
      <c r="LEX22" s="73" t="str">
        <f t="shared" si="129"/>
        <v/>
      </c>
      <c r="LEY22" s="73" t="str">
        <f t="shared" si="129"/>
        <v/>
      </c>
      <c r="LEZ22" s="73" t="str">
        <f t="shared" si="129"/>
        <v/>
      </c>
      <c r="LFA22" s="73" t="str">
        <f t="shared" si="129"/>
        <v/>
      </c>
      <c r="LFB22" s="73" t="str">
        <f t="shared" si="129"/>
        <v/>
      </c>
      <c r="LFC22" s="73" t="str">
        <f t="shared" si="129"/>
        <v/>
      </c>
      <c r="LFD22" s="73" t="str">
        <f t="shared" si="129"/>
        <v/>
      </c>
      <c r="LFE22" s="73" t="str">
        <f t="shared" si="129"/>
        <v/>
      </c>
      <c r="LFF22" s="73" t="str">
        <f t="shared" si="129"/>
        <v/>
      </c>
      <c r="LFG22" s="73" t="str">
        <f t="shared" si="129"/>
        <v/>
      </c>
      <c r="LFH22" s="73" t="str">
        <f t="shared" si="129"/>
        <v/>
      </c>
      <c r="LFI22" s="73" t="str">
        <f t="shared" si="129"/>
        <v/>
      </c>
      <c r="LFJ22" s="73" t="str">
        <f t="shared" si="129"/>
        <v/>
      </c>
      <c r="LFK22" s="73" t="str">
        <f t="shared" si="129"/>
        <v/>
      </c>
      <c r="LFL22" s="73" t="str">
        <f t="shared" si="129"/>
        <v/>
      </c>
      <c r="LFM22" s="73" t="str">
        <f t="shared" si="129"/>
        <v/>
      </c>
      <c r="LFN22" s="73" t="str">
        <f t="shared" si="129"/>
        <v/>
      </c>
      <c r="LFO22" s="73" t="str">
        <f t="shared" si="129"/>
        <v/>
      </c>
      <c r="LFP22" s="73" t="str">
        <f t="shared" si="129"/>
        <v/>
      </c>
      <c r="LFQ22" s="73" t="str">
        <f t="shared" si="129"/>
        <v/>
      </c>
      <c r="LFR22" s="73" t="str">
        <f t="shared" si="129"/>
        <v/>
      </c>
      <c r="LFS22" s="73" t="str">
        <f t="shared" si="129"/>
        <v/>
      </c>
      <c r="LFT22" s="73" t="str">
        <f t="shared" si="129"/>
        <v/>
      </c>
      <c r="LFU22" s="73" t="str">
        <f t="shared" si="129"/>
        <v/>
      </c>
      <c r="LFV22" s="73" t="str">
        <f t="shared" si="129"/>
        <v/>
      </c>
      <c r="LFW22" s="73" t="str">
        <f t="shared" si="129"/>
        <v/>
      </c>
      <c r="LFX22" s="73" t="str">
        <f t="shared" si="129"/>
        <v/>
      </c>
      <c r="LFY22" s="73" t="str">
        <f t="shared" si="129"/>
        <v/>
      </c>
      <c r="LFZ22" s="73" t="str">
        <f t="shared" si="129"/>
        <v/>
      </c>
      <c r="LGA22" s="73" t="str">
        <f t="shared" si="129"/>
        <v/>
      </c>
      <c r="LGB22" s="73" t="str">
        <f t="shared" si="129"/>
        <v/>
      </c>
      <c r="LGC22" s="73" t="str">
        <f t="shared" si="129"/>
        <v/>
      </c>
      <c r="LGD22" s="73" t="str">
        <f t="shared" si="129"/>
        <v/>
      </c>
      <c r="LGE22" s="73" t="str">
        <f t="shared" si="129"/>
        <v/>
      </c>
      <c r="LGF22" s="73" t="str">
        <f t="shared" si="129"/>
        <v/>
      </c>
      <c r="LGG22" s="73" t="str">
        <f t="shared" si="129"/>
        <v/>
      </c>
      <c r="LGH22" s="73" t="str">
        <f t="shared" si="129"/>
        <v/>
      </c>
      <c r="LGI22" s="73" t="str">
        <f t="shared" si="129"/>
        <v/>
      </c>
      <c r="LGJ22" s="73" t="str">
        <f t="shared" si="129"/>
        <v/>
      </c>
      <c r="LGK22" s="73" t="str">
        <f t="shared" si="129"/>
        <v/>
      </c>
      <c r="LGL22" s="73" t="str">
        <f t="shared" si="129"/>
        <v/>
      </c>
      <c r="LGM22" s="73" t="str">
        <f t="shared" si="129"/>
        <v/>
      </c>
      <c r="LGN22" s="73" t="str">
        <f t="shared" si="129"/>
        <v/>
      </c>
      <c r="LGO22" s="73" t="str">
        <f t="shared" si="129"/>
        <v/>
      </c>
      <c r="LGP22" s="73" t="str">
        <f t="shared" si="129"/>
        <v/>
      </c>
      <c r="LGQ22" s="73" t="str">
        <f t="shared" si="129"/>
        <v/>
      </c>
      <c r="LGR22" s="73" t="str">
        <f t="shared" si="129"/>
        <v/>
      </c>
      <c r="LGS22" s="73" t="str">
        <f t="shared" si="129"/>
        <v/>
      </c>
      <c r="LGT22" s="73" t="str">
        <f t="shared" si="129"/>
        <v/>
      </c>
      <c r="LGU22" s="73" t="str">
        <f t="shared" si="129"/>
        <v/>
      </c>
      <c r="LGV22" s="73" t="str">
        <f t="shared" si="129"/>
        <v/>
      </c>
      <c r="LGW22" s="73" t="str">
        <f t="shared" si="129"/>
        <v/>
      </c>
      <c r="LGX22" s="73" t="str">
        <f t="shared" si="129"/>
        <v/>
      </c>
      <c r="LGY22" s="73" t="str">
        <f t="shared" si="129"/>
        <v/>
      </c>
      <c r="LGZ22" s="73" t="str">
        <f t="shared" si="129"/>
        <v/>
      </c>
      <c r="LHA22" s="73" t="str">
        <f t="shared" si="129"/>
        <v/>
      </c>
      <c r="LHB22" s="73" t="str">
        <f t="shared" si="129"/>
        <v/>
      </c>
      <c r="LHC22" s="73" t="str">
        <f t="shared" si="129"/>
        <v/>
      </c>
      <c r="LHD22" s="73" t="str">
        <f t="shared" si="129"/>
        <v/>
      </c>
      <c r="LHE22" s="73" t="str">
        <f t="shared" si="129"/>
        <v/>
      </c>
      <c r="LHF22" s="73" t="str">
        <f t="shared" ref="LHF22:LJQ22" si="130">IFERROR(AVERAGE(LHF6:LHF21),"")</f>
        <v/>
      </c>
      <c r="LHG22" s="73" t="str">
        <f t="shared" si="130"/>
        <v/>
      </c>
      <c r="LHH22" s="73" t="str">
        <f t="shared" si="130"/>
        <v/>
      </c>
      <c r="LHI22" s="73" t="str">
        <f t="shared" si="130"/>
        <v/>
      </c>
      <c r="LHJ22" s="73" t="str">
        <f t="shared" si="130"/>
        <v/>
      </c>
      <c r="LHK22" s="73" t="str">
        <f t="shared" si="130"/>
        <v/>
      </c>
      <c r="LHL22" s="73" t="str">
        <f t="shared" si="130"/>
        <v/>
      </c>
      <c r="LHM22" s="73" t="str">
        <f t="shared" si="130"/>
        <v/>
      </c>
      <c r="LHN22" s="73" t="str">
        <f t="shared" si="130"/>
        <v/>
      </c>
      <c r="LHO22" s="73" t="str">
        <f t="shared" si="130"/>
        <v/>
      </c>
      <c r="LHP22" s="73" t="str">
        <f t="shared" si="130"/>
        <v/>
      </c>
      <c r="LHQ22" s="73" t="str">
        <f t="shared" si="130"/>
        <v/>
      </c>
      <c r="LHR22" s="73" t="str">
        <f t="shared" si="130"/>
        <v/>
      </c>
      <c r="LHS22" s="73" t="str">
        <f t="shared" si="130"/>
        <v/>
      </c>
      <c r="LHT22" s="73" t="str">
        <f t="shared" si="130"/>
        <v/>
      </c>
      <c r="LHU22" s="73" t="str">
        <f t="shared" si="130"/>
        <v/>
      </c>
      <c r="LHV22" s="73" t="str">
        <f t="shared" si="130"/>
        <v/>
      </c>
      <c r="LHW22" s="73" t="str">
        <f t="shared" si="130"/>
        <v/>
      </c>
      <c r="LHX22" s="73" t="str">
        <f t="shared" si="130"/>
        <v/>
      </c>
      <c r="LHY22" s="73" t="str">
        <f t="shared" si="130"/>
        <v/>
      </c>
      <c r="LHZ22" s="73" t="str">
        <f t="shared" si="130"/>
        <v/>
      </c>
      <c r="LIA22" s="73" t="str">
        <f t="shared" si="130"/>
        <v/>
      </c>
      <c r="LIB22" s="73" t="str">
        <f t="shared" si="130"/>
        <v/>
      </c>
      <c r="LIC22" s="73" t="str">
        <f t="shared" si="130"/>
        <v/>
      </c>
      <c r="LID22" s="73" t="str">
        <f t="shared" si="130"/>
        <v/>
      </c>
      <c r="LIE22" s="73" t="str">
        <f t="shared" si="130"/>
        <v/>
      </c>
      <c r="LIF22" s="73" t="str">
        <f t="shared" si="130"/>
        <v/>
      </c>
      <c r="LIG22" s="73" t="str">
        <f t="shared" si="130"/>
        <v/>
      </c>
      <c r="LIH22" s="73" t="str">
        <f t="shared" si="130"/>
        <v/>
      </c>
      <c r="LII22" s="73" t="str">
        <f t="shared" si="130"/>
        <v/>
      </c>
      <c r="LIJ22" s="73" t="str">
        <f t="shared" si="130"/>
        <v/>
      </c>
      <c r="LIK22" s="73" t="str">
        <f t="shared" si="130"/>
        <v/>
      </c>
      <c r="LIL22" s="73" t="str">
        <f t="shared" si="130"/>
        <v/>
      </c>
      <c r="LIM22" s="73" t="str">
        <f t="shared" si="130"/>
        <v/>
      </c>
      <c r="LIN22" s="73" t="str">
        <f t="shared" si="130"/>
        <v/>
      </c>
      <c r="LIO22" s="73" t="str">
        <f t="shared" si="130"/>
        <v/>
      </c>
      <c r="LIP22" s="73" t="str">
        <f t="shared" si="130"/>
        <v/>
      </c>
      <c r="LIQ22" s="73" t="str">
        <f t="shared" si="130"/>
        <v/>
      </c>
      <c r="LIR22" s="73" t="str">
        <f t="shared" si="130"/>
        <v/>
      </c>
      <c r="LIS22" s="73" t="str">
        <f t="shared" si="130"/>
        <v/>
      </c>
      <c r="LIT22" s="73" t="str">
        <f t="shared" si="130"/>
        <v/>
      </c>
      <c r="LIU22" s="73" t="str">
        <f t="shared" si="130"/>
        <v/>
      </c>
      <c r="LIV22" s="73" t="str">
        <f t="shared" si="130"/>
        <v/>
      </c>
      <c r="LIW22" s="73" t="str">
        <f t="shared" si="130"/>
        <v/>
      </c>
      <c r="LIX22" s="73" t="str">
        <f t="shared" si="130"/>
        <v/>
      </c>
      <c r="LIY22" s="73" t="str">
        <f t="shared" si="130"/>
        <v/>
      </c>
      <c r="LIZ22" s="73" t="str">
        <f t="shared" si="130"/>
        <v/>
      </c>
      <c r="LJA22" s="73" t="str">
        <f t="shared" si="130"/>
        <v/>
      </c>
      <c r="LJB22" s="73" t="str">
        <f t="shared" si="130"/>
        <v/>
      </c>
      <c r="LJC22" s="73" t="str">
        <f t="shared" si="130"/>
        <v/>
      </c>
      <c r="LJD22" s="73" t="str">
        <f t="shared" si="130"/>
        <v/>
      </c>
      <c r="LJE22" s="73" t="str">
        <f t="shared" si="130"/>
        <v/>
      </c>
      <c r="LJF22" s="73" t="str">
        <f t="shared" si="130"/>
        <v/>
      </c>
      <c r="LJG22" s="73" t="str">
        <f t="shared" si="130"/>
        <v/>
      </c>
      <c r="LJH22" s="73" t="str">
        <f t="shared" si="130"/>
        <v/>
      </c>
      <c r="LJI22" s="73" t="str">
        <f t="shared" si="130"/>
        <v/>
      </c>
      <c r="LJJ22" s="73" t="str">
        <f t="shared" si="130"/>
        <v/>
      </c>
      <c r="LJK22" s="73" t="str">
        <f t="shared" si="130"/>
        <v/>
      </c>
      <c r="LJL22" s="73" t="str">
        <f t="shared" si="130"/>
        <v/>
      </c>
      <c r="LJM22" s="73" t="str">
        <f t="shared" si="130"/>
        <v/>
      </c>
      <c r="LJN22" s="73" t="str">
        <f t="shared" si="130"/>
        <v/>
      </c>
      <c r="LJO22" s="73" t="str">
        <f t="shared" si="130"/>
        <v/>
      </c>
      <c r="LJP22" s="73" t="str">
        <f t="shared" si="130"/>
        <v/>
      </c>
      <c r="LJQ22" s="73" t="str">
        <f t="shared" si="130"/>
        <v/>
      </c>
      <c r="LJR22" s="73" t="str">
        <f t="shared" ref="LJR22:LMC22" si="131">IFERROR(AVERAGE(LJR6:LJR21),"")</f>
        <v/>
      </c>
      <c r="LJS22" s="73" t="str">
        <f t="shared" si="131"/>
        <v/>
      </c>
      <c r="LJT22" s="73" t="str">
        <f t="shared" si="131"/>
        <v/>
      </c>
      <c r="LJU22" s="73" t="str">
        <f t="shared" si="131"/>
        <v/>
      </c>
      <c r="LJV22" s="73" t="str">
        <f t="shared" si="131"/>
        <v/>
      </c>
      <c r="LJW22" s="73" t="str">
        <f t="shared" si="131"/>
        <v/>
      </c>
      <c r="LJX22" s="73" t="str">
        <f t="shared" si="131"/>
        <v/>
      </c>
      <c r="LJY22" s="73" t="str">
        <f t="shared" si="131"/>
        <v/>
      </c>
      <c r="LJZ22" s="73" t="str">
        <f t="shared" si="131"/>
        <v/>
      </c>
      <c r="LKA22" s="73" t="str">
        <f t="shared" si="131"/>
        <v/>
      </c>
      <c r="LKB22" s="73" t="str">
        <f t="shared" si="131"/>
        <v/>
      </c>
      <c r="LKC22" s="73" t="str">
        <f t="shared" si="131"/>
        <v/>
      </c>
      <c r="LKD22" s="73" t="str">
        <f t="shared" si="131"/>
        <v/>
      </c>
      <c r="LKE22" s="73" t="str">
        <f t="shared" si="131"/>
        <v/>
      </c>
      <c r="LKF22" s="73" t="str">
        <f t="shared" si="131"/>
        <v/>
      </c>
      <c r="LKG22" s="73" t="str">
        <f t="shared" si="131"/>
        <v/>
      </c>
      <c r="LKH22" s="73" t="str">
        <f t="shared" si="131"/>
        <v/>
      </c>
      <c r="LKI22" s="73" t="str">
        <f t="shared" si="131"/>
        <v/>
      </c>
      <c r="LKJ22" s="73" t="str">
        <f t="shared" si="131"/>
        <v/>
      </c>
      <c r="LKK22" s="73" t="str">
        <f t="shared" si="131"/>
        <v/>
      </c>
      <c r="LKL22" s="73" t="str">
        <f t="shared" si="131"/>
        <v/>
      </c>
      <c r="LKM22" s="73" t="str">
        <f t="shared" si="131"/>
        <v/>
      </c>
      <c r="LKN22" s="73" t="str">
        <f t="shared" si="131"/>
        <v/>
      </c>
      <c r="LKO22" s="73" t="str">
        <f t="shared" si="131"/>
        <v/>
      </c>
      <c r="LKP22" s="73" t="str">
        <f t="shared" si="131"/>
        <v/>
      </c>
      <c r="LKQ22" s="73" t="str">
        <f t="shared" si="131"/>
        <v/>
      </c>
      <c r="LKR22" s="73" t="str">
        <f t="shared" si="131"/>
        <v/>
      </c>
      <c r="LKS22" s="73" t="str">
        <f t="shared" si="131"/>
        <v/>
      </c>
      <c r="LKT22" s="73" t="str">
        <f t="shared" si="131"/>
        <v/>
      </c>
      <c r="LKU22" s="73" t="str">
        <f t="shared" si="131"/>
        <v/>
      </c>
      <c r="LKV22" s="73" t="str">
        <f t="shared" si="131"/>
        <v/>
      </c>
      <c r="LKW22" s="73" t="str">
        <f t="shared" si="131"/>
        <v/>
      </c>
      <c r="LKX22" s="73" t="str">
        <f t="shared" si="131"/>
        <v/>
      </c>
      <c r="LKY22" s="73" t="str">
        <f t="shared" si="131"/>
        <v/>
      </c>
      <c r="LKZ22" s="73" t="str">
        <f t="shared" si="131"/>
        <v/>
      </c>
      <c r="LLA22" s="73" t="str">
        <f t="shared" si="131"/>
        <v/>
      </c>
      <c r="LLB22" s="73" t="str">
        <f t="shared" si="131"/>
        <v/>
      </c>
      <c r="LLC22" s="73" t="str">
        <f t="shared" si="131"/>
        <v/>
      </c>
      <c r="LLD22" s="73" t="str">
        <f t="shared" si="131"/>
        <v/>
      </c>
      <c r="LLE22" s="73" t="str">
        <f t="shared" si="131"/>
        <v/>
      </c>
      <c r="LLF22" s="73" t="str">
        <f t="shared" si="131"/>
        <v/>
      </c>
      <c r="LLG22" s="73" t="str">
        <f t="shared" si="131"/>
        <v/>
      </c>
      <c r="LLH22" s="73" t="str">
        <f t="shared" si="131"/>
        <v/>
      </c>
      <c r="LLI22" s="73" t="str">
        <f t="shared" si="131"/>
        <v/>
      </c>
      <c r="LLJ22" s="73" t="str">
        <f t="shared" si="131"/>
        <v/>
      </c>
      <c r="LLK22" s="73" t="str">
        <f t="shared" si="131"/>
        <v/>
      </c>
      <c r="LLL22" s="73" t="str">
        <f t="shared" si="131"/>
        <v/>
      </c>
      <c r="LLM22" s="73" t="str">
        <f t="shared" si="131"/>
        <v/>
      </c>
      <c r="LLN22" s="73" t="str">
        <f t="shared" si="131"/>
        <v/>
      </c>
      <c r="LLO22" s="73" t="str">
        <f t="shared" si="131"/>
        <v/>
      </c>
      <c r="LLP22" s="73" t="str">
        <f t="shared" si="131"/>
        <v/>
      </c>
      <c r="LLQ22" s="73" t="str">
        <f t="shared" si="131"/>
        <v/>
      </c>
      <c r="LLR22" s="73" t="str">
        <f t="shared" si="131"/>
        <v/>
      </c>
      <c r="LLS22" s="73" t="str">
        <f t="shared" si="131"/>
        <v/>
      </c>
      <c r="LLT22" s="73" t="str">
        <f t="shared" si="131"/>
        <v/>
      </c>
      <c r="LLU22" s="73" t="str">
        <f t="shared" si="131"/>
        <v/>
      </c>
      <c r="LLV22" s="73" t="str">
        <f t="shared" si="131"/>
        <v/>
      </c>
      <c r="LLW22" s="73" t="str">
        <f t="shared" si="131"/>
        <v/>
      </c>
      <c r="LLX22" s="73" t="str">
        <f t="shared" si="131"/>
        <v/>
      </c>
      <c r="LLY22" s="73" t="str">
        <f t="shared" si="131"/>
        <v/>
      </c>
      <c r="LLZ22" s="73" t="str">
        <f t="shared" si="131"/>
        <v/>
      </c>
      <c r="LMA22" s="73" t="str">
        <f t="shared" si="131"/>
        <v/>
      </c>
      <c r="LMB22" s="73" t="str">
        <f t="shared" si="131"/>
        <v/>
      </c>
      <c r="LMC22" s="73" t="str">
        <f t="shared" si="131"/>
        <v/>
      </c>
      <c r="LMD22" s="73" t="str">
        <f t="shared" ref="LMD22:LOO22" si="132">IFERROR(AVERAGE(LMD6:LMD21),"")</f>
        <v/>
      </c>
      <c r="LME22" s="73" t="str">
        <f t="shared" si="132"/>
        <v/>
      </c>
      <c r="LMF22" s="73" t="str">
        <f t="shared" si="132"/>
        <v/>
      </c>
      <c r="LMG22" s="73" t="str">
        <f t="shared" si="132"/>
        <v/>
      </c>
      <c r="LMH22" s="73" t="str">
        <f t="shared" si="132"/>
        <v/>
      </c>
      <c r="LMI22" s="73" t="str">
        <f t="shared" si="132"/>
        <v/>
      </c>
      <c r="LMJ22" s="73" t="str">
        <f t="shared" si="132"/>
        <v/>
      </c>
      <c r="LMK22" s="73" t="str">
        <f t="shared" si="132"/>
        <v/>
      </c>
      <c r="LML22" s="73" t="str">
        <f t="shared" si="132"/>
        <v/>
      </c>
      <c r="LMM22" s="73" t="str">
        <f t="shared" si="132"/>
        <v/>
      </c>
      <c r="LMN22" s="73" t="str">
        <f t="shared" si="132"/>
        <v/>
      </c>
      <c r="LMO22" s="73" t="str">
        <f t="shared" si="132"/>
        <v/>
      </c>
      <c r="LMP22" s="73" t="str">
        <f t="shared" si="132"/>
        <v/>
      </c>
      <c r="LMQ22" s="73" t="str">
        <f t="shared" si="132"/>
        <v/>
      </c>
      <c r="LMR22" s="73" t="str">
        <f t="shared" si="132"/>
        <v/>
      </c>
      <c r="LMS22" s="73" t="str">
        <f t="shared" si="132"/>
        <v/>
      </c>
      <c r="LMT22" s="73" t="str">
        <f t="shared" si="132"/>
        <v/>
      </c>
      <c r="LMU22" s="73" t="str">
        <f t="shared" si="132"/>
        <v/>
      </c>
      <c r="LMV22" s="73" t="str">
        <f t="shared" si="132"/>
        <v/>
      </c>
      <c r="LMW22" s="73" t="str">
        <f t="shared" si="132"/>
        <v/>
      </c>
      <c r="LMX22" s="73" t="str">
        <f t="shared" si="132"/>
        <v/>
      </c>
      <c r="LMY22" s="73" t="str">
        <f t="shared" si="132"/>
        <v/>
      </c>
      <c r="LMZ22" s="73" t="str">
        <f t="shared" si="132"/>
        <v/>
      </c>
      <c r="LNA22" s="73" t="str">
        <f t="shared" si="132"/>
        <v/>
      </c>
      <c r="LNB22" s="73" t="str">
        <f t="shared" si="132"/>
        <v/>
      </c>
      <c r="LNC22" s="73" t="str">
        <f t="shared" si="132"/>
        <v/>
      </c>
      <c r="LND22" s="73" t="str">
        <f t="shared" si="132"/>
        <v/>
      </c>
      <c r="LNE22" s="73" t="str">
        <f t="shared" si="132"/>
        <v/>
      </c>
      <c r="LNF22" s="73" t="str">
        <f t="shared" si="132"/>
        <v/>
      </c>
      <c r="LNG22" s="73" t="str">
        <f t="shared" si="132"/>
        <v/>
      </c>
      <c r="LNH22" s="73" t="str">
        <f t="shared" si="132"/>
        <v/>
      </c>
      <c r="LNI22" s="73" t="str">
        <f t="shared" si="132"/>
        <v/>
      </c>
      <c r="LNJ22" s="73" t="str">
        <f t="shared" si="132"/>
        <v/>
      </c>
      <c r="LNK22" s="73" t="str">
        <f t="shared" si="132"/>
        <v/>
      </c>
      <c r="LNL22" s="73" t="str">
        <f t="shared" si="132"/>
        <v/>
      </c>
      <c r="LNM22" s="73" t="str">
        <f t="shared" si="132"/>
        <v/>
      </c>
      <c r="LNN22" s="73" t="str">
        <f t="shared" si="132"/>
        <v/>
      </c>
      <c r="LNO22" s="73" t="str">
        <f t="shared" si="132"/>
        <v/>
      </c>
      <c r="LNP22" s="73" t="str">
        <f t="shared" si="132"/>
        <v/>
      </c>
      <c r="LNQ22" s="73" t="str">
        <f t="shared" si="132"/>
        <v/>
      </c>
      <c r="LNR22" s="73" t="str">
        <f t="shared" si="132"/>
        <v/>
      </c>
      <c r="LNS22" s="73" t="str">
        <f t="shared" si="132"/>
        <v/>
      </c>
      <c r="LNT22" s="73" t="str">
        <f t="shared" si="132"/>
        <v/>
      </c>
      <c r="LNU22" s="73" t="str">
        <f t="shared" si="132"/>
        <v/>
      </c>
      <c r="LNV22" s="73" t="str">
        <f t="shared" si="132"/>
        <v/>
      </c>
      <c r="LNW22" s="73" t="str">
        <f t="shared" si="132"/>
        <v/>
      </c>
      <c r="LNX22" s="73" t="str">
        <f t="shared" si="132"/>
        <v/>
      </c>
      <c r="LNY22" s="73" t="str">
        <f t="shared" si="132"/>
        <v/>
      </c>
      <c r="LNZ22" s="73" t="str">
        <f t="shared" si="132"/>
        <v/>
      </c>
      <c r="LOA22" s="73" t="str">
        <f t="shared" si="132"/>
        <v/>
      </c>
      <c r="LOB22" s="73" t="str">
        <f t="shared" si="132"/>
        <v/>
      </c>
      <c r="LOC22" s="73" t="str">
        <f t="shared" si="132"/>
        <v/>
      </c>
      <c r="LOD22" s="73" t="str">
        <f t="shared" si="132"/>
        <v/>
      </c>
      <c r="LOE22" s="73" t="str">
        <f t="shared" si="132"/>
        <v/>
      </c>
      <c r="LOF22" s="73" t="str">
        <f t="shared" si="132"/>
        <v/>
      </c>
      <c r="LOG22" s="73" t="str">
        <f t="shared" si="132"/>
        <v/>
      </c>
      <c r="LOH22" s="73" t="str">
        <f t="shared" si="132"/>
        <v/>
      </c>
      <c r="LOI22" s="73" t="str">
        <f t="shared" si="132"/>
        <v/>
      </c>
      <c r="LOJ22" s="73" t="str">
        <f t="shared" si="132"/>
        <v/>
      </c>
      <c r="LOK22" s="73" t="str">
        <f t="shared" si="132"/>
        <v/>
      </c>
      <c r="LOL22" s="73" t="str">
        <f t="shared" si="132"/>
        <v/>
      </c>
      <c r="LOM22" s="73" t="str">
        <f t="shared" si="132"/>
        <v/>
      </c>
      <c r="LON22" s="73" t="str">
        <f t="shared" si="132"/>
        <v/>
      </c>
      <c r="LOO22" s="73" t="str">
        <f t="shared" si="132"/>
        <v/>
      </c>
      <c r="LOP22" s="73" t="str">
        <f t="shared" ref="LOP22:LRA22" si="133">IFERROR(AVERAGE(LOP6:LOP21),"")</f>
        <v/>
      </c>
      <c r="LOQ22" s="73" t="str">
        <f t="shared" si="133"/>
        <v/>
      </c>
      <c r="LOR22" s="73" t="str">
        <f t="shared" si="133"/>
        <v/>
      </c>
      <c r="LOS22" s="73" t="str">
        <f t="shared" si="133"/>
        <v/>
      </c>
      <c r="LOT22" s="73" t="str">
        <f t="shared" si="133"/>
        <v/>
      </c>
      <c r="LOU22" s="73" t="str">
        <f t="shared" si="133"/>
        <v/>
      </c>
      <c r="LOV22" s="73" t="str">
        <f t="shared" si="133"/>
        <v/>
      </c>
      <c r="LOW22" s="73" t="str">
        <f t="shared" si="133"/>
        <v/>
      </c>
      <c r="LOX22" s="73" t="str">
        <f t="shared" si="133"/>
        <v/>
      </c>
      <c r="LOY22" s="73" t="str">
        <f t="shared" si="133"/>
        <v/>
      </c>
      <c r="LOZ22" s="73" t="str">
        <f t="shared" si="133"/>
        <v/>
      </c>
      <c r="LPA22" s="73" t="str">
        <f t="shared" si="133"/>
        <v/>
      </c>
      <c r="LPB22" s="73" t="str">
        <f t="shared" si="133"/>
        <v/>
      </c>
      <c r="LPC22" s="73" t="str">
        <f t="shared" si="133"/>
        <v/>
      </c>
      <c r="LPD22" s="73" t="str">
        <f t="shared" si="133"/>
        <v/>
      </c>
      <c r="LPE22" s="73" t="str">
        <f t="shared" si="133"/>
        <v/>
      </c>
      <c r="LPF22" s="73" t="str">
        <f t="shared" si="133"/>
        <v/>
      </c>
      <c r="LPG22" s="73" t="str">
        <f t="shared" si="133"/>
        <v/>
      </c>
      <c r="LPH22" s="73" t="str">
        <f t="shared" si="133"/>
        <v/>
      </c>
      <c r="LPI22" s="73" t="str">
        <f t="shared" si="133"/>
        <v/>
      </c>
      <c r="LPJ22" s="73" t="str">
        <f t="shared" si="133"/>
        <v/>
      </c>
      <c r="LPK22" s="73" t="str">
        <f t="shared" si="133"/>
        <v/>
      </c>
      <c r="LPL22" s="73" t="str">
        <f t="shared" si="133"/>
        <v/>
      </c>
      <c r="LPM22" s="73" t="str">
        <f t="shared" si="133"/>
        <v/>
      </c>
      <c r="LPN22" s="73" t="str">
        <f t="shared" si="133"/>
        <v/>
      </c>
      <c r="LPO22" s="73" t="str">
        <f t="shared" si="133"/>
        <v/>
      </c>
      <c r="LPP22" s="73" t="str">
        <f t="shared" si="133"/>
        <v/>
      </c>
      <c r="LPQ22" s="73" t="str">
        <f t="shared" si="133"/>
        <v/>
      </c>
      <c r="LPR22" s="73" t="str">
        <f t="shared" si="133"/>
        <v/>
      </c>
      <c r="LPS22" s="73" t="str">
        <f t="shared" si="133"/>
        <v/>
      </c>
      <c r="LPT22" s="73" t="str">
        <f t="shared" si="133"/>
        <v/>
      </c>
      <c r="LPU22" s="73" t="str">
        <f t="shared" si="133"/>
        <v/>
      </c>
      <c r="LPV22" s="73" t="str">
        <f t="shared" si="133"/>
        <v/>
      </c>
      <c r="LPW22" s="73" t="str">
        <f t="shared" si="133"/>
        <v/>
      </c>
      <c r="LPX22" s="73" t="str">
        <f t="shared" si="133"/>
        <v/>
      </c>
      <c r="LPY22" s="73" t="str">
        <f t="shared" si="133"/>
        <v/>
      </c>
      <c r="LPZ22" s="73" t="str">
        <f t="shared" si="133"/>
        <v/>
      </c>
      <c r="LQA22" s="73" t="str">
        <f t="shared" si="133"/>
        <v/>
      </c>
      <c r="LQB22" s="73" t="str">
        <f t="shared" si="133"/>
        <v/>
      </c>
      <c r="LQC22" s="73" t="str">
        <f t="shared" si="133"/>
        <v/>
      </c>
      <c r="LQD22" s="73" t="str">
        <f t="shared" si="133"/>
        <v/>
      </c>
      <c r="LQE22" s="73" t="str">
        <f t="shared" si="133"/>
        <v/>
      </c>
      <c r="LQF22" s="73" t="str">
        <f t="shared" si="133"/>
        <v/>
      </c>
      <c r="LQG22" s="73" t="str">
        <f t="shared" si="133"/>
        <v/>
      </c>
      <c r="LQH22" s="73" t="str">
        <f t="shared" si="133"/>
        <v/>
      </c>
      <c r="LQI22" s="73" t="str">
        <f t="shared" si="133"/>
        <v/>
      </c>
      <c r="LQJ22" s="73" t="str">
        <f t="shared" si="133"/>
        <v/>
      </c>
      <c r="LQK22" s="73" t="str">
        <f t="shared" si="133"/>
        <v/>
      </c>
      <c r="LQL22" s="73" t="str">
        <f t="shared" si="133"/>
        <v/>
      </c>
      <c r="LQM22" s="73" t="str">
        <f t="shared" si="133"/>
        <v/>
      </c>
      <c r="LQN22" s="73" t="str">
        <f t="shared" si="133"/>
        <v/>
      </c>
      <c r="LQO22" s="73" t="str">
        <f t="shared" si="133"/>
        <v/>
      </c>
      <c r="LQP22" s="73" t="str">
        <f t="shared" si="133"/>
        <v/>
      </c>
      <c r="LQQ22" s="73" t="str">
        <f t="shared" si="133"/>
        <v/>
      </c>
      <c r="LQR22" s="73" t="str">
        <f t="shared" si="133"/>
        <v/>
      </c>
      <c r="LQS22" s="73" t="str">
        <f t="shared" si="133"/>
        <v/>
      </c>
      <c r="LQT22" s="73" t="str">
        <f t="shared" si="133"/>
        <v/>
      </c>
      <c r="LQU22" s="73" t="str">
        <f t="shared" si="133"/>
        <v/>
      </c>
      <c r="LQV22" s="73" t="str">
        <f t="shared" si="133"/>
        <v/>
      </c>
      <c r="LQW22" s="73" t="str">
        <f t="shared" si="133"/>
        <v/>
      </c>
      <c r="LQX22" s="73" t="str">
        <f t="shared" si="133"/>
        <v/>
      </c>
      <c r="LQY22" s="73" t="str">
        <f t="shared" si="133"/>
        <v/>
      </c>
      <c r="LQZ22" s="73" t="str">
        <f t="shared" si="133"/>
        <v/>
      </c>
      <c r="LRA22" s="73" t="str">
        <f t="shared" si="133"/>
        <v/>
      </c>
      <c r="LRB22" s="73" t="str">
        <f t="shared" ref="LRB22:LTM22" si="134">IFERROR(AVERAGE(LRB6:LRB21),"")</f>
        <v/>
      </c>
      <c r="LRC22" s="73" t="str">
        <f t="shared" si="134"/>
        <v/>
      </c>
      <c r="LRD22" s="73" t="str">
        <f t="shared" si="134"/>
        <v/>
      </c>
      <c r="LRE22" s="73" t="str">
        <f t="shared" si="134"/>
        <v/>
      </c>
      <c r="LRF22" s="73" t="str">
        <f t="shared" si="134"/>
        <v/>
      </c>
      <c r="LRG22" s="73" t="str">
        <f t="shared" si="134"/>
        <v/>
      </c>
      <c r="LRH22" s="73" t="str">
        <f t="shared" si="134"/>
        <v/>
      </c>
      <c r="LRI22" s="73" t="str">
        <f t="shared" si="134"/>
        <v/>
      </c>
      <c r="LRJ22" s="73" t="str">
        <f t="shared" si="134"/>
        <v/>
      </c>
      <c r="LRK22" s="73" t="str">
        <f t="shared" si="134"/>
        <v/>
      </c>
      <c r="LRL22" s="73" t="str">
        <f t="shared" si="134"/>
        <v/>
      </c>
      <c r="LRM22" s="73" t="str">
        <f t="shared" si="134"/>
        <v/>
      </c>
      <c r="LRN22" s="73" t="str">
        <f t="shared" si="134"/>
        <v/>
      </c>
      <c r="LRO22" s="73" t="str">
        <f t="shared" si="134"/>
        <v/>
      </c>
      <c r="LRP22" s="73" t="str">
        <f t="shared" si="134"/>
        <v/>
      </c>
      <c r="LRQ22" s="73" t="str">
        <f t="shared" si="134"/>
        <v/>
      </c>
      <c r="LRR22" s="73" t="str">
        <f t="shared" si="134"/>
        <v/>
      </c>
      <c r="LRS22" s="73" t="str">
        <f t="shared" si="134"/>
        <v/>
      </c>
      <c r="LRT22" s="73" t="str">
        <f t="shared" si="134"/>
        <v/>
      </c>
      <c r="LRU22" s="73" t="str">
        <f t="shared" si="134"/>
        <v/>
      </c>
      <c r="LRV22" s="73" t="str">
        <f t="shared" si="134"/>
        <v/>
      </c>
      <c r="LRW22" s="73" t="str">
        <f t="shared" si="134"/>
        <v/>
      </c>
      <c r="LRX22" s="73" t="str">
        <f t="shared" si="134"/>
        <v/>
      </c>
      <c r="LRY22" s="73" t="str">
        <f t="shared" si="134"/>
        <v/>
      </c>
      <c r="LRZ22" s="73" t="str">
        <f t="shared" si="134"/>
        <v/>
      </c>
      <c r="LSA22" s="73" t="str">
        <f t="shared" si="134"/>
        <v/>
      </c>
      <c r="LSB22" s="73" t="str">
        <f t="shared" si="134"/>
        <v/>
      </c>
      <c r="LSC22" s="73" t="str">
        <f t="shared" si="134"/>
        <v/>
      </c>
      <c r="LSD22" s="73" t="str">
        <f t="shared" si="134"/>
        <v/>
      </c>
      <c r="LSE22" s="73" t="str">
        <f t="shared" si="134"/>
        <v/>
      </c>
      <c r="LSF22" s="73" t="str">
        <f t="shared" si="134"/>
        <v/>
      </c>
      <c r="LSG22" s="73" t="str">
        <f t="shared" si="134"/>
        <v/>
      </c>
      <c r="LSH22" s="73" t="str">
        <f t="shared" si="134"/>
        <v/>
      </c>
      <c r="LSI22" s="73" t="str">
        <f t="shared" si="134"/>
        <v/>
      </c>
      <c r="LSJ22" s="73" t="str">
        <f t="shared" si="134"/>
        <v/>
      </c>
      <c r="LSK22" s="73" t="str">
        <f t="shared" si="134"/>
        <v/>
      </c>
      <c r="LSL22" s="73" t="str">
        <f t="shared" si="134"/>
        <v/>
      </c>
      <c r="LSM22" s="73" t="str">
        <f t="shared" si="134"/>
        <v/>
      </c>
      <c r="LSN22" s="73" t="str">
        <f t="shared" si="134"/>
        <v/>
      </c>
      <c r="LSO22" s="73" t="str">
        <f t="shared" si="134"/>
        <v/>
      </c>
      <c r="LSP22" s="73" t="str">
        <f t="shared" si="134"/>
        <v/>
      </c>
      <c r="LSQ22" s="73" t="str">
        <f t="shared" si="134"/>
        <v/>
      </c>
      <c r="LSR22" s="73" t="str">
        <f t="shared" si="134"/>
        <v/>
      </c>
      <c r="LSS22" s="73" t="str">
        <f t="shared" si="134"/>
        <v/>
      </c>
      <c r="LST22" s="73" t="str">
        <f t="shared" si="134"/>
        <v/>
      </c>
      <c r="LSU22" s="73" t="str">
        <f t="shared" si="134"/>
        <v/>
      </c>
      <c r="LSV22" s="73" t="str">
        <f t="shared" si="134"/>
        <v/>
      </c>
      <c r="LSW22" s="73" t="str">
        <f t="shared" si="134"/>
        <v/>
      </c>
      <c r="LSX22" s="73" t="str">
        <f t="shared" si="134"/>
        <v/>
      </c>
      <c r="LSY22" s="73" t="str">
        <f t="shared" si="134"/>
        <v/>
      </c>
      <c r="LSZ22" s="73" t="str">
        <f t="shared" si="134"/>
        <v/>
      </c>
      <c r="LTA22" s="73" t="str">
        <f t="shared" si="134"/>
        <v/>
      </c>
      <c r="LTB22" s="73" t="str">
        <f t="shared" si="134"/>
        <v/>
      </c>
      <c r="LTC22" s="73" t="str">
        <f t="shared" si="134"/>
        <v/>
      </c>
      <c r="LTD22" s="73" t="str">
        <f t="shared" si="134"/>
        <v/>
      </c>
      <c r="LTE22" s="73" t="str">
        <f t="shared" si="134"/>
        <v/>
      </c>
      <c r="LTF22" s="73" t="str">
        <f t="shared" si="134"/>
        <v/>
      </c>
      <c r="LTG22" s="73" t="str">
        <f t="shared" si="134"/>
        <v/>
      </c>
      <c r="LTH22" s="73" t="str">
        <f t="shared" si="134"/>
        <v/>
      </c>
      <c r="LTI22" s="73" t="str">
        <f t="shared" si="134"/>
        <v/>
      </c>
      <c r="LTJ22" s="73" t="str">
        <f t="shared" si="134"/>
        <v/>
      </c>
      <c r="LTK22" s="73" t="str">
        <f t="shared" si="134"/>
        <v/>
      </c>
      <c r="LTL22" s="73" t="str">
        <f t="shared" si="134"/>
        <v/>
      </c>
      <c r="LTM22" s="73" t="str">
        <f t="shared" si="134"/>
        <v/>
      </c>
      <c r="LTN22" s="73" t="str">
        <f t="shared" ref="LTN22:LVY22" si="135">IFERROR(AVERAGE(LTN6:LTN21),"")</f>
        <v/>
      </c>
      <c r="LTO22" s="73" t="str">
        <f t="shared" si="135"/>
        <v/>
      </c>
      <c r="LTP22" s="73" t="str">
        <f t="shared" si="135"/>
        <v/>
      </c>
      <c r="LTQ22" s="73" t="str">
        <f t="shared" si="135"/>
        <v/>
      </c>
      <c r="LTR22" s="73" t="str">
        <f t="shared" si="135"/>
        <v/>
      </c>
      <c r="LTS22" s="73" t="str">
        <f t="shared" si="135"/>
        <v/>
      </c>
      <c r="LTT22" s="73" t="str">
        <f t="shared" si="135"/>
        <v/>
      </c>
      <c r="LTU22" s="73" t="str">
        <f t="shared" si="135"/>
        <v/>
      </c>
      <c r="LTV22" s="73" t="str">
        <f t="shared" si="135"/>
        <v/>
      </c>
      <c r="LTW22" s="73" t="str">
        <f t="shared" si="135"/>
        <v/>
      </c>
      <c r="LTX22" s="73" t="str">
        <f t="shared" si="135"/>
        <v/>
      </c>
      <c r="LTY22" s="73" t="str">
        <f t="shared" si="135"/>
        <v/>
      </c>
      <c r="LTZ22" s="73" t="str">
        <f t="shared" si="135"/>
        <v/>
      </c>
      <c r="LUA22" s="73" t="str">
        <f t="shared" si="135"/>
        <v/>
      </c>
      <c r="LUB22" s="73" t="str">
        <f t="shared" si="135"/>
        <v/>
      </c>
      <c r="LUC22" s="73" t="str">
        <f t="shared" si="135"/>
        <v/>
      </c>
      <c r="LUD22" s="73" t="str">
        <f t="shared" si="135"/>
        <v/>
      </c>
      <c r="LUE22" s="73" t="str">
        <f t="shared" si="135"/>
        <v/>
      </c>
      <c r="LUF22" s="73" t="str">
        <f t="shared" si="135"/>
        <v/>
      </c>
      <c r="LUG22" s="73" t="str">
        <f t="shared" si="135"/>
        <v/>
      </c>
      <c r="LUH22" s="73" t="str">
        <f t="shared" si="135"/>
        <v/>
      </c>
      <c r="LUI22" s="73" t="str">
        <f t="shared" si="135"/>
        <v/>
      </c>
      <c r="LUJ22" s="73" t="str">
        <f t="shared" si="135"/>
        <v/>
      </c>
      <c r="LUK22" s="73" t="str">
        <f t="shared" si="135"/>
        <v/>
      </c>
      <c r="LUL22" s="73" t="str">
        <f t="shared" si="135"/>
        <v/>
      </c>
      <c r="LUM22" s="73" t="str">
        <f t="shared" si="135"/>
        <v/>
      </c>
      <c r="LUN22" s="73" t="str">
        <f t="shared" si="135"/>
        <v/>
      </c>
      <c r="LUO22" s="73" t="str">
        <f t="shared" si="135"/>
        <v/>
      </c>
      <c r="LUP22" s="73" t="str">
        <f t="shared" si="135"/>
        <v/>
      </c>
      <c r="LUQ22" s="73" t="str">
        <f t="shared" si="135"/>
        <v/>
      </c>
      <c r="LUR22" s="73" t="str">
        <f t="shared" si="135"/>
        <v/>
      </c>
      <c r="LUS22" s="73" t="str">
        <f t="shared" si="135"/>
        <v/>
      </c>
      <c r="LUT22" s="73" t="str">
        <f t="shared" si="135"/>
        <v/>
      </c>
      <c r="LUU22" s="73" t="str">
        <f t="shared" si="135"/>
        <v/>
      </c>
      <c r="LUV22" s="73" t="str">
        <f t="shared" si="135"/>
        <v/>
      </c>
      <c r="LUW22" s="73" t="str">
        <f t="shared" si="135"/>
        <v/>
      </c>
      <c r="LUX22" s="73" t="str">
        <f t="shared" si="135"/>
        <v/>
      </c>
      <c r="LUY22" s="73" t="str">
        <f t="shared" si="135"/>
        <v/>
      </c>
      <c r="LUZ22" s="73" t="str">
        <f t="shared" si="135"/>
        <v/>
      </c>
      <c r="LVA22" s="73" t="str">
        <f t="shared" si="135"/>
        <v/>
      </c>
      <c r="LVB22" s="73" t="str">
        <f t="shared" si="135"/>
        <v/>
      </c>
      <c r="LVC22" s="73" t="str">
        <f t="shared" si="135"/>
        <v/>
      </c>
      <c r="LVD22" s="73" t="str">
        <f t="shared" si="135"/>
        <v/>
      </c>
      <c r="LVE22" s="73" t="str">
        <f t="shared" si="135"/>
        <v/>
      </c>
      <c r="LVF22" s="73" t="str">
        <f t="shared" si="135"/>
        <v/>
      </c>
      <c r="LVG22" s="73" t="str">
        <f t="shared" si="135"/>
        <v/>
      </c>
      <c r="LVH22" s="73" t="str">
        <f t="shared" si="135"/>
        <v/>
      </c>
      <c r="LVI22" s="73" t="str">
        <f t="shared" si="135"/>
        <v/>
      </c>
      <c r="LVJ22" s="73" t="str">
        <f t="shared" si="135"/>
        <v/>
      </c>
      <c r="LVK22" s="73" t="str">
        <f t="shared" si="135"/>
        <v/>
      </c>
      <c r="LVL22" s="73" t="str">
        <f t="shared" si="135"/>
        <v/>
      </c>
      <c r="LVM22" s="73" t="str">
        <f t="shared" si="135"/>
        <v/>
      </c>
      <c r="LVN22" s="73" t="str">
        <f t="shared" si="135"/>
        <v/>
      </c>
      <c r="LVO22" s="73" t="str">
        <f t="shared" si="135"/>
        <v/>
      </c>
      <c r="LVP22" s="73" t="str">
        <f t="shared" si="135"/>
        <v/>
      </c>
      <c r="LVQ22" s="73" t="str">
        <f t="shared" si="135"/>
        <v/>
      </c>
      <c r="LVR22" s="73" t="str">
        <f t="shared" si="135"/>
        <v/>
      </c>
      <c r="LVS22" s="73" t="str">
        <f t="shared" si="135"/>
        <v/>
      </c>
      <c r="LVT22" s="73" t="str">
        <f t="shared" si="135"/>
        <v/>
      </c>
      <c r="LVU22" s="73" t="str">
        <f t="shared" si="135"/>
        <v/>
      </c>
      <c r="LVV22" s="73" t="str">
        <f t="shared" si="135"/>
        <v/>
      </c>
      <c r="LVW22" s="73" t="str">
        <f t="shared" si="135"/>
        <v/>
      </c>
      <c r="LVX22" s="73" t="str">
        <f t="shared" si="135"/>
        <v/>
      </c>
      <c r="LVY22" s="73" t="str">
        <f t="shared" si="135"/>
        <v/>
      </c>
      <c r="LVZ22" s="73" t="str">
        <f t="shared" ref="LVZ22:LYK22" si="136">IFERROR(AVERAGE(LVZ6:LVZ21),"")</f>
        <v/>
      </c>
      <c r="LWA22" s="73" t="str">
        <f t="shared" si="136"/>
        <v/>
      </c>
      <c r="LWB22" s="73" t="str">
        <f t="shared" si="136"/>
        <v/>
      </c>
      <c r="LWC22" s="73" t="str">
        <f t="shared" si="136"/>
        <v/>
      </c>
      <c r="LWD22" s="73" t="str">
        <f t="shared" si="136"/>
        <v/>
      </c>
      <c r="LWE22" s="73" t="str">
        <f t="shared" si="136"/>
        <v/>
      </c>
      <c r="LWF22" s="73" t="str">
        <f t="shared" si="136"/>
        <v/>
      </c>
      <c r="LWG22" s="73" t="str">
        <f t="shared" si="136"/>
        <v/>
      </c>
      <c r="LWH22" s="73" t="str">
        <f t="shared" si="136"/>
        <v/>
      </c>
      <c r="LWI22" s="73" t="str">
        <f t="shared" si="136"/>
        <v/>
      </c>
      <c r="LWJ22" s="73" t="str">
        <f t="shared" si="136"/>
        <v/>
      </c>
      <c r="LWK22" s="73" t="str">
        <f t="shared" si="136"/>
        <v/>
      </c>
      <c r="LWL22" s="73" t="str">
        <f t="shared" si="136"/>
        <v/>
      </c>
      <c r="LWM22" s="73" t="str">
        <f t="shared" si="136"/>
        <v/>
      </c>
      <c r="LWN22" s="73" t="str">
        <f t="shared" si="136"/>
        <v/>
      </c>
      <c r="LWO22" s="73" t="str">
        <f t="shared" si="136"/>
        <v/>
      </c>
      <c r="LWP22" s="73" t="str">
        <f t="shared" si="136"/>
        <v/>
      </c>
      <c r="LWQ22" s="73" t="str">
        <f t="shared" si="136"/>
        <v/>
      </c>
      <c r="LWR22" s="73" t="str">
        <f t="shared" si="136"/>
        <v/>
      </c>
      <c r="LWS22" s="73" t="str">
        <f t="shared" si="136"/>
        <v/>
      </c>
      <c r="LWT22" s="73" t="str">
        <f t="shared" si="136"/>
        <v/>
      </c>
      <c r="LWU22" s="73" t="str">
        <f t="shared" si="136"/>
        <v/>
      </c>
      <c r="LWV22" s="73" t="str">
        <f t="shared" si="136"/>
        <v/>
      </c>
      <c r="LWW22" s="73" t="str">
        <f t="shared" si="136"/>
        <v/>
      </c>
      <c r="LWX22" s="73" t="str">
        <f t="shared" si="136"/>
        <v/>
      </c>
      <c r="LWY22" s="73" t="str">
        <f t="shared" si="136"/>
        <v/>
      </c>
      <c r="LWZ22" s="73" t="str">
        <f t="shared" si="136"/>
        <v/>
      </c>
      <c r="LXA22" s="73" t="str">
        <f t="shared" si="136"/>
        <v/>
      </c>
      <c r="LXB22" s="73" t="str">
        <f t="shared" si="136"/>
        <v/>
      </c>
      <c r="LXC22" s="73" t="str">
        <f t="shared" si="136"/>
        <v/>
      </c>
      <c r="LXD22" s="73" t="str">
        <f t="shared" si="136"/>
        <v/>
      </c>
      <c r="LXE22" s="73" t="str">
        <f t="shared" si="136"/>
        <v/>
      </c>
      <c r="LXF22" s="73" t="str">
        <f t="shared" si="136"/>
        <v/>
      </c>
      <c r="LXG22" s="73" t="str">
        <f t="shared" si="136"/>
        <v/>
      </c>
      <c r="LXH22" s="73" t="str">
        <f t="shared" si="136"/>
        <v/>
      </c>
      <c r="LXI22" s="73" t="str">
        <f t="shared" si="136"/>
        <v/>
      </c>
      <c r="LXJ22" s="73" t="str">
        <f t="shared" si="136"/>
        <v/>
      </c>
      <c r="LXK22" s="73" t="str">
        <f t="shared" si="136"/>
        <v/>
      </c>
      <c r="LXL22" s="73" t="str">
        <f t="shared" si="136"/>
        <v/>
      </c>
      <c r="LXM22" s="73" t="str">
        <f t="shared" si="136"/>
        <v/>
      </c>
      <c r="LXN22" s="73" t="str">
        <f t="shared" si="136"/>
        <v/>
      </c>
      <c r="LXO22" s="73" t="str">
        <f t="shared" si="136"/>
        <v/>
      </c>
      <c r="LXP22" s="73" t="str">
        <f t="shared" si="136"/>
        <v/>
      </c>
      <c r="LXQ22" s="73" t="str">
        <f t="shared" si="136"/>
        <v/>
      </c>
      <c r="LXR22" s="73" t="str">
        <f t="shared" si="136"/>
        <v/>
      </c>
      <c r="LXS22" s="73" t="str">
        <f t="shared" si="136"/>
        <v/>
      </c>
      <c r="LXT22" s="73" t="str">
        <f t="shared" si="136"/>
        <v/>
      </c>
      <c r="LXU22" s="73" t="str">
        <f t="shared" si="136"/>
        <v/>
      </c>
      <c r="LXV22" s="73" t="str">
        <f t="shared" si="136"/>
        <v/>
      </c>
      <c r="LXW22" s="73" t="str">
        <f t="shared" si="136"/>
        <v/>
      </c>
      <c r="LXX22" s="73" t="str">
        <f t="shared" si="136"/>
        <v/>
      </c>
      <c r="LXY22" s="73" t="str">
        <f t="shared" si="136"/>
        <v/>
      </c>
      <c r="LXZ22" s="73" t="str">
        <f t="shared" si="136"/>
        <v/>
      </c>
      <c r="LYA22" s="73" t="str">
        <f t="shared" si="136"/>
        <v/>
      </c>
      <c r="LYB22" s="73" t="str">
        <f t="shared" si="136"/>
        <v/>
      </c>
      <c r="LYC22" s="73" t="str">
        <f t="shared" si="136"/>
        <v/>
      </c>
      <c r="LYD22" s="73" t="str">
        <f t="shared" si="136"/>
        <v/>
      </c>
      <c r="LYE22" s="73" t="str">
        <f t="shared" si="136"/>
        <v/>
      </c>
      <c r="LYF22" s="73" t="str">
        <f t="shared" si="136"/>
        <v/>
      </c>
      <c r="LYG22" s="73" t="str">
        <f t="shared" si="136"/>
        <v/>
      </c>
      <c r="LYH22" s="73" t="str">
        <f t="shared" si="136"/>
        <v/>
      </c>
      <c r="LYI22" s="73" t="str">
        <f t="shared" si="136"/>
        <v/>
      </c>
      <c r="LYJ22" s="73" t="str">
        <f t="shared" si="136"/>
        <v/>
      </c>
      <c r="LYK22" s="73" t="str">
        <f t="shared" si="136"/>
        <v/>
      </c>
      <c r="LYL22" s="73" t="str">
        <f t="shared" ref="LYL22:MAW22" si="137">IFERROR(AVERAGE(LYL6:LYL21),"")</f>
        <v/>
      </c>
      <c r="LYM22" s="73" t="str">
        <f t="shared" si="137"/>
        <v/>
      </c>
      <c r="LYN22" s="73" t="str">
        <f t="shared" si="137"/>
        <v/>
      </c>
      <c r="LYO22" s="73" t="str">
        <f t="shared" si="137"/>
        <v/>
      </c>
      <c r="LYP22" s="73" t="str">
        <f t="shared" si="137"/>
        <v/>
      </c>
      <c r="LYQ22" s="73" t="str">
        <f t="shared" si="137"/>
        <v/>
      </c>
      <c r="LYR22" s="73" t="str">
        <f t="shared" si="137"/>
        <v/>
      </c>
      <c r="LYS22" s="73" t="str">
        <f t="shared" si="137"/>
        <v/>
      </c>
      <c r="LYT22" s="73" t="str">
        <f t="shared" si="137"/>
        <v/>
      </c>
      <c r="LYU22" s="73" t="str">
        <f t="shared" si="137"/>
        <v/>
      </c>
      <c r="LYV22" s="73" t="str">
        <f t="shared" si="137"/>
        <v/>
      </c>
      <c r="LYW22" s="73" t="str">
        <f t="shared" si="137"/>
        <v/>
      </c>
      <c r="LYX22" s="73" t="str">
        <f t="shared" si="137"/>
        <v/>
      </c>
      <c r="LYY22" s="73" t="str">
        <f t="shared" si="137"/>
        <v/>
      </c>
      <c r="LYZ22" s="73" t="str">
        <f t="shared" si="137"/>
        <v/>
      </c>
      <c r="LZA22" s="73" t="str">
        <f t="shared" si="137"/>
        <v/>
      </c>
      <c r="LZB22" s="73" t="str">
        <f t="shared" si="137"/>
        <v/>
      </c>
      <c r="LZC22" s="73" t="str">
        <f t="shared" si="137"/>
        <v/>
      </c>
      <c r="LZD22" s="73" t="str">
        <f t="shared" si="137"/>
        <v/>
      </c>
      <c r="LZE22" s="73" t="str">
        <f t="shared" si="137"/>
        <v/>
      </c>
      <c r="LZF22" s="73" t="str">
        <f t="shared" si="137"/>
        <v/>
      </c>
      <c r="LZG22" s="73" t="str">
        <f t="shared" si="137"/>
        <v/>
      </c>
      <c r="LZH22" s="73" t="str">
        <f t="shared" si="137"/>
        <v/>
      </c>
      <c r="LZI22" s="73" t="str">
        <f t="shared" si="137"/>
        <v/>
      </c>
      <c r="LZJ22" s="73" t="str">
        <f t="shared" si="137"/>
        <v/>
      </c>
      <c r="LZK22" s="73" t="str">
        <f t="shared" si="137"/>
        <v/>
      </c>
      <c r="LZL22" s="73" t="str">
        <f t="shared" si="137"/>
        <v/>
      </c>
      <c r="LZM22" s="73" t="str">
        <f t="shared" si="137"/>
        <v/>
      </c>
      <c r="LZN22" s="73" t="str">
        <f t="shared" si="137"/>
        <v/>
      </c>
      <c r="LZO22" s="73" t="str">
        <f t="shared" si="137"/>
        <v/>
      </c>
      <c r="LZP22" s="73" t="str">
        <f t="shared" si="137"/>
        <v/>
      </c>
      <c r="LZQ22" s="73" t="str">
        <f t="shared" si="137"/>
        <v/>
      </c>
      <c r="LZR22" s="73" t="str">
        <f t="shared" si="137"/>
        <v/>
      </c>
      <c r="LZS22" s="73" t="str">
        <f t="shared" si="137"/>
        <v/>
      </c>
      <c r="LZT22" s="73" t="str">
        <f t="shared" si="137"/>
        <v/>
      </c>
      <c r="LZU22" s="73" t="str">
        <f t="shared" si="137"/>
        <v/>
      </c>
      <c r="LZV22" s="73" t="str">
        <f t="shared" si="137"/>
        <v/>
      </c>
      <c r="LZW22" s="73" t="str">
        <f t="shared" si="137"/>
        <v/>
      </c>
      <c r="LZX22" s="73" t="str">
        <f t="shared" si="137"/>
        <v/>
      </c>
      <c r="LZY22" s="73" t="str">
        <f t="shared" si="137"/>
        <v/>
      </c>
      <c r="LZZ22" s="73" t="str">
        <f t="shared" si="137"/>
        <v/>
      </c>
      <c r="MAA22" s="73" t="str">
        <f t="shared" si="137"/>
        <v/>
      </c>
      <c r="MAB22" s="73" t="str">
        <f t="shared" si="137"/>
        <v/>
      </c>
      <c r="MAC22" s="73" t="str">
        <f t="shared" si="137"/>
        <v/>
      </c>
      <c r="MAD22" s="73" t="str">
        <f t="shared" si="137"/>
        <v/>
      </c>
      <c r="MAE22" s="73" t="str">
        <f t="shared" si="137"/>
        <v/>
      </c>
      <c r="MAF22" s="73" t="str">
        <f t="shared" si="137"/>
        <v/>
      </c>
      <c r="MAG22" s="73" t="str">
        <f t="shared" si="137"/>
        <v/>
      </c>
      <c r="MAH22" s="73" t="str">
        <f t="shared" si="137"/>
        <v/>
      </c>
      <c r="MAI22" s="73" t="str">
        <f t="shared" si="137"/>
        <v/>
      </c>
      <c r="MAJ22" s="73" t="str">
        <f t="shared" si="137"/>
        <v/>
      </c>
      <c r="MAK22" s="73" t="str">
        <f t="shared" si="137"/>
        <v/>
      </c>
      <c r="MAL22" s="73" t="str">
        <f t="shared" si="137"/>
        <v/>
      </c>
      <c r="MAM22" s="73" t="str">
        <f t="shared" si="137"/>
        <v/>
      </c>
      <c r="MAN22" s="73" t="str">
        <f t="shared" si="137"/>
        <v/>
      </c>
      <c r="MAO22" s="73" t="str">
        <f t="shared" si="137"/>
        <v/>
      </c>
      <c r="MAP22" s="73" t="str">
        <f t="shared" si="137"/>
        <v/>
      </c>
      <c r="MAQ22" s="73" t="str">
        <f t="shared" si="137"/>
        <v/>
      </c>
      <c r="MAR22" s="73" t="str">
        <f t="shared" si="137"/>
        <v/>
      </c>
      <c r="MAS22" s="73" t="str">
        <f t="shared" si="137"/>
        <v/>
      </c>
      <c r="MAT22" s="73" t="str">
        <f t="shared" si="137"/>
        <v/>
      </c>
      <c r="MAU22" s="73" t="str">
        <f t="shared" si="137"/>
        <v/>
      </c>
      <c r="MAV22" s="73" t="str">
        <f t="shared" si="137"/>
        <v/>
      </c>
      <c r="MAW22" s="73" t="str">
        <f t="shared" si="137"/>
        <v/>
      </c>
      <c r="MAX22" s="73" t="str">
        <f t="shared" ref="MAX22:MDI22" si="138">IFERROR(AVERAGE(MAX6:MAX21),"")</f>
        <v/>
      </c>
      <c r="MAY22" s="73" t="str">
        <f t="shared" si="138"/>
        <v/>
      </c>
      <c r="MAZ22" s="73" t="str">
        <f t="shared" si="138"/>
        <v/>
      </c>
      <c r="MBA22" s="73" t="str">
        <f t="shared" si="138"/>
        <v/>
      </c>
      <c r="MBB22" s="73" t="str">
        <f t="shared" si="138"/>
        <v/>
      </c>
      <c r="MBC22" s="73" t="str">
        <f t="shared" si="138"/>
        <v/>
      </c>
      <c r="MBD22" s="73" t="str">
        <f t="shared" si="138"/>
        <v/>
      </c>
      <c r="MBE22" s="73" t="str">
        <f t="shared" si="138"/>
        <v/>
      </c>
      <c r="MBF22" s="73" t="str">
        <f t="shared" si="138"/>
        <v/>
      </c>
      <c r="MBG22" s="73" t="str">
        <f t="shared" si="138"/>
        <v/>
      </c>
      <c r="MBH22" s="73" t="str">
        <f t="shared" si="138"/>
        <v/>
      </c>
      <c r="MBI22" s="73" t="str">
        <f t="shared" si="138"/>
        <v/>
      </c>
      <c r="MBJ22" s="73" t="str">
        <f t="shared" si="138"/>
        <v/>
      </c>
      <c r="MBK22" s="73" t="str">
        <f t="shared" si="138"/>
        <v/>
      </c>
      <c r="MBL22" s="73" t="str">
        <f t="shared" si="138"/>
        <v/>
      </c>
      <c r="MBM22" s="73" t="str">
        <f t="shared" si="138"/>
        <v/>
      </c>
      <c r="MBN22" s="73" t="str">
        <f t="shared" si="138"/>
        <v/>
      </c>
      <c r="MBO22" s="73" t="str">
        <f t="shared" si="138"/>
        <v/>
      </c>
      <c r="MBP22" s="73" t="str">
        <f t="shared" si="138"/>
        <v/>
      </c>
      <c r="MBQ22" s="73" t="str">
        <f t="shared" si="138"/>
        <v/>
      </c>
      <c r="MBR22" s="73" t="str">
        <f t="shared" si="138"/>
        <v/>
      </c>
      <c r="MBS22" s="73" t="str">
        <f t="shared" si="138"/>
        <v/>
      </c>
      <c r="MBT22" s="73" t="str">
        <f t="shared" si="138"/>
        <v/>
      </c>
      <c r="MBU22" s="73" t="str">
        <f t="shared" si="138"/>
        <v/>
      </c>
      <c r="MBV22" s="73" t="str">
        <f t="shared" si="138"/>
        <v/>
      </c>
      <c r="MBW22" s="73" t="str">
        <f t="shared" si="138"/>
        <v/>
      </c>
      <c r="MBX22" s="73" t="str">
        <f t="shared" si="138"/>
        <v/>
      </c>
      <c r="MBY22" s="73" t="str">
        <f t="shared" si="138"/>
        <v/>
      </c>
      <c r="MBZ22" s="73" t="str">
        <f t="shared" si="138"/>
        <v/>
      </c>
      <c r="MCA22" s="73" t="str">
        <f t="shared" si="138"/>
        <v/>
      </c>
      <c r="MCB22" s="73" t="str">
        <f t="shared" si="138"/>
        <v/>
      </c>
      <c r="MCC22" s="73" t="str">
        <f t="shared" si="138"/>
        <v/>
      </c>
      <c r="MCD22" s="73" t="str">
        <f t="shared" si="138"/>
        <v/>
      </c>
      <c r="MCE22" s="73" t="str">
        <f t="shared" si="138"/>
        <v/>
      </c>
      <c r="MCF22" s="73" t="str">
        <f t="shared" si="138"/>
        <v/>
      </c>
      <c r="MCG22" s="73" t="str">
        <f t="shared" si="138"/>
        <v/>
      </c>
      <c r="MCH22" s="73" t="str">
        <f t="shared" si="138"/>
        <v/>
      </c>
      <c r="MCI22" s="73" t="str">
        <f t="shared" si="138"/>
        <v/>
      </c>
      <c r="MCJ22" s="73" t="str">
        <f t="shared" si="138"/>
        <v/>
      </c>
      <c r="MCK22" s="73" t="str">
        <f t="shared" si="138"/>
        <v/>
      </c>
      <c r="MCL22" s="73" t="str">
        <f t="shared" si="138"/>
        <v/>
      </c>
      <c r="MCM22" s="73" t="str">
        <f t="shared" si="138"/>
        <v/>
      </c>
      <c r="MCN22" s="73" t="str">
        <f t="shared" si="138"/>
        <v/>
      </c>
      <c r="MCO22" s="73" t="str">
        <f t="shared" si="138"/>
        <v/>
      </c>
      <c r="MCP22" s="73" t="str">
        <f t="shared" si="138"/>
        <v/>
      </c>
      <c r="MCQ22" s="73" t="str">
        <f t="shared" si="138"/>
        <v/>
      </c>
      <c r="MCR22" s="73" t="str">
        <f t="shared" si="138"/>
        <v/>
      </c>
      <c r="MCS22" s="73" t="str">
        <f t="shared" si="138"/>
        <v/>
      </c>
      <c r="MCT22" s="73" t="str">
        <f t="shared" si="138"/>
        <v/>
      </c>
      <c r="MCU22" s="73" t="str">
        <f t="shared" si="138"/>
        <v/>
      </c>
      <c r="MCV22" s="73" t="str">
        <f t="shared" si="138"/>
        <v/>
      </c>
      <c r="MCW22" s="73" t="str">
        <f t="shared" si="138"/>
        <v/>
      </c>
      <c r="MCX22" s="73" t="str">
        <f t="shared" si="138"/>
        <v/>
      </c>
      <c r="MCY22" s="73" t="str">
        <f t="shared" si="138"/>
        <v/>
      </c>
      <c r="MCZ22" s="73" t="str">
        <f t="shared" si="138"/>
        <v/>
      </c>
      <c r="MDA22" s="73" t="str">
        <f t="shared" si="138"/>
        <v/>
      </c>
      <c r="MDB22" s="73" t="str">
        <f t="shared" si="138"/>
        <v/>
      </c>
      <c r="MDC22" s="73" t="str">
        <f t="shared" si="138"/>
        <v/>
      </c>
      <c r="MDD22" s="73" t="str">
        <f t="shared" si="138"/>
        <v/>
      </c>
      <c r="MDE22" s="73" t="str">
        <f t="shared" si="138"/>
        <v/>
      </c>
      <c r="MDF22" s="73" t="str">
        <f t="shared" si="138"/>
        <v/>
      </c>
      <c r="MDG22" s="73" t="str">
        <f t="shared" si="138"/>
        <v/>
      </c>
      <c r="MDH22" s="73" t="str">
        <f t="shared" si="138"/>
        <v/>
      </c>
      <c r="MDI22" s="73" t="str">
        <f t="shared" si="138"/>
        <v/>
      </c>
      <c r="MDJ22" s="73" t="str">
        <f t="shared" ref="MDJ22:MFU22" si="139">IFERROR(AVERAGE(MDJ6:MDJ21),"")</f>
        <v/>
      </c>
      <c r="MDK22" s="73" t="str">
        <f t="shared" si="139"/>
        <v/>
      </c>
      <c r="MDL22" s="73" t="str">
        <f t="shared" si="139"/>
        <v/>
      </c>
      <c r="MDM22" s="73" t="str">
        <f t="shared" si="139"/>
        <v/>
      </c>
      <c r="MDN22" s="73" t="str">
        <f t="shared" si="139"/>
        <v/>
      </c>
      <c r="MDO22" s="73" t="str">
        <f t="shared" si="139"/>
        <v/>
      </c>
      <c r="MDP22" s="73" t="str">
        <f t="shared" si="139"/>
        <v/>
      </c>
      <c r="MDQ22" s="73" t="str">
        <f t="shared" si="139"/>
        <v/>
      </c>
      <c r="MDR22" s="73" t="str">
        <f t="shared" si="139"/>
        <v/>
      </c>
      <c r="MDS22" s="73" t="str">
        <f t="shared" si="139"/>
        <v/>
      </c>
      <c r="MDT22" s="73" t="str">
        <f t="shared" si="139"/>
        <v/>
      </c>
      <c r="MDU22" s="73" t="str">
        <f t="shared" si="139"/>
        <v/>
      </c>
      <c r="MDV22" s="73" t="str">
        <f t="shared" si="139"/>
        <v/>
      </c>
      <c r="MDW22" s="73" t="str">
        <f t="shared" si="139"/>
        <v/>
      </c>
      <c r="MDX22" s="73" t="str">
        <f t="shared" si="139"/>
        <v/>
      </c>
      <c r="MDY22" s="73" t="str">
        <f t="shared" si="139"/>
        <v/>
      </c>
      <c r="MDZ22" s="73" t="str">
        <f t="shared" si="139"/>
        <v/>
      </c>
      <c r="MEA22" s="73" t="str">
        <f t="shared" si="139"/>
        <v/>
      </c>
      <c r="MEB22" s="73" t="str">
        <f t="shared" si="139"/>
        <v/>
      </c>
      <c r="MEC22" s="73" t="str">
        <f t="shared" si="139"/>
        <v/>
      </c>
      <c r="MED22" s="73" t="str">
        <f t="shared" si="139"/>
        <v/>
      </c>
      <c r="MEE22" s="73" t="str">
        <f t="shared" si="139"/>
        <v/>
      </c>
      <c r="MEF22" s="73" t="str">
        <f t="shared" si="139"/>
        <v/>
      </c>
      <c r="MEG22" s="73" t="str">
        <f t="shared" si="139"/>
        <v/>
      </c>
      <c r="MEH22" s="73" t="str">
        <f t="shared" si="139"/>
        <v/>
      </c>
      <c r="MEI22" s="73" t="str">
        <f t="shared" si="139"/>
        <v/>
      </c>
      <c r="MEJ22" s="73" t="str">
        <f t="shared" si="139"/>
        <v/>
      </c>
      <c r="MEK22" s="73" t="str">
        <f t="shared" si="139"/>
        <v/>
      </c>
      <c r="MEL22" s="73" t="str">
        <f t="shared" si="139"/>
        <v/>
      </c>
      <c r="MEM22" s="73" t="str">
        <f t="shared" si="139"/>
        <v/>
      </c>
      <c r="MEN22" s="73" t="str">
        <f t="shared" si="139"/>
        <v/>
      </c>
      <c r="MEO22" s="73" t="str">
        <f t="shared" si="139"/>
        <v/>
      </c>
      <c r="MEP22" s="73" t="str">
        <f t="shared" si="139"/>
        <v/>
      </c>
      <c r="MEQ22" s="73" t="str">
        <f t="shared" si="139"/>
        <v/>
      </c>
      <c r="MER22" s="73" t="str">
        <f t="shared" si="139"/>
        <v/>
      </c>
      <c r="MES22" s="73" t="str">
        <f t="shared" si="139"/>
        <v/>
      </c>
      <c r="MET22" s="73" t="str">
        <f t="shared" si="139"/>
        <v/>
      </c>
      <c r="MEU22" s="73" t="str">
        <f t="shared" si="139"/>
        <v/>
      </c>
      <c r="MEV22" s="73" t="str">
        <f t="shared" si="139"/>
        <v/>
      </c>
      <c r="MEW22" s="73" t="str">
        <f t="shared" si="139"/>
        <v/>
      </c>
      <c r="MEX22" s="73" t="str">
        <f t="shared" si="139"/>
        <v/>
      </c>
      <c r="MEY22" s="73" t="str">
        <f t="shared" si="139"/>
        <v/>
      </c>
      <c r="MEZ22" s="73" t="str">
        <f t="shared" si="139"/>
        <v/>
      </c>
      <c r="MFA22" s="73" t="str">
        <f t="shared" si="139"/>
        <v/>
      </c>
      <c r="MFB22" s="73" t="str">
        <f t="shared" si="139"/>
        <v/>
      </c>
      <c r="MFC22" s="73" t="str">
        <f t="shared" si="139"/>
        <v/>
      </c>
      <c r="MFD22" s="73" t="str">
        <f t="shared" si="139"/>
        <v/>
      </c>
      <c r="MFE22" s="73" t="str">
        <f t="shared" si="139"/>
        <v/>
      </c>
      <c r="MFF22" s="73" t="str">
        <f t="shared" si="139"/>
        <v/>
      </c>
      <c r="MFG22" s="73" t="str">
        <f t="shared" si="139"/>
        <v/>
      </c>
      <c r="MFH22" s="73" t="str">
        <f t="shared" si="139"/>
        <v/>
      </c>
      <c r="MFI22" s="73" t="str">
        <f t="shared" si="139"/>
        <v/>
      </c>
      <c r="MFJ22" s="73" t="str">
        <f t="shared" si="139"/>
        <v/>
      </c>
      <c r="MFK22" s="73" t="str">
        <f t="shared" si="139"/>
        <v/>
      </c>
      <c r="MFL22" s="73" t="str">
        <f t="shared" si="139"/>
        <v/>
      </c>
      <c r="MFM22" s="73" t="str">
        <f t="shared" si="139"/>
        <v/>
      </c>
      <c r="MFN22" s="73" t="str">
        <f t="shared" si="139"/>
        <v/>
      </c>
      <c r="MFO22" s="73" t="str">
        <f t="shared" si="139"/>
        <v/>
      </c>
      <c r="MFP22" s="73" t="str">
        <f t="shared" si="139"/>
        <v/>
      </c>
      <c r="MFQ22" s="73" t="str">
        <f t="shared" si="139"/>
        <v/>
      </c>
      <c r="MFR22" s="73" t="str">
        <f t="shared" si="139"/>
        <v/>
      </c>
      <c r="MFS22" s="73" t="str">
        <f t="shared" si="139"/>
        <v/>
      </c>
      <c r="MFT22" s="73" t="str">
        <f t="shared" si="139"/>
        <v/>
      </c>
      <c r="MFU22" s="73" t="str">
        <f t="shared" si="139"/>
        <v/>
      </c>
      <c r="MFV22" s="73" t="str">
        <f t="shared" ref="MFV22:MIG22" si="140">IFERROR(AVERAGE(MFV6:MFV21),"")</f>
        <v/>
      </c>
      <c r="MFW22" s="73" t="str">
        <f t="shared" si="140"/>
        <v/>
      </c>
      <c r="MFX22" s="73" t="str">
        <f t="shared" si="140"/>
        <v/>
      </c>
      <c r="MFY22" s="73" t="str">
        <f t="shared" si="140"/>
        <v/>
      </c>
      <c r="MFZ22" s="73" t="str">
        <f t="shared" si="140"/>
        <v/>
      </c>
      <c r="MGA22" s="73" t="str">
        <f t="shared" si="140"/>
        <v/>
      </c>
      <c r="MGB22" s="73" t="str">
        <f t="shared" si="140"/>
        <v/>
      </c>
      <c r="MGC22" s="73" t="str">
        <f t="shared" si="140"/>
        <v/>
      </c>
      <c r="MGD22" s="73" t="str">
        <f t="shared" si="140"/>
        <v/>
      </c>
      <c r="MGE22" s="73" t="str">
        <f t="shared" si="140"/>
        <v/>
      </c>
      <c r="MGF22" s="73" t="str">
        <f t="shared" si="140"/>
        <v/>
      </c>
      <c r="MGG22" s="73" t="str">
        <f t="shared" si="140"/>
        <v/>
      </c>
      <c r="MGH22" s="73" t="str">
        <f t="shared" si="140"/>
        <v/>
      </c>
      <c r="MGI22" s="73" t="str">
        <f t="shared" si="140"/>
        <v/>
      </c>
      <c r="MGJ22" s="73" t="str">
        <f t="shared" si="140"/>
        <v/>
      </c>
      <c r="MGK22" s="73" t="str">
        <f t="shared" si="140"/>
        <v/>
      </c>
      <c r="MGL22" s="73" t="str">
        <f t="shared" si="140"/>
        <v/>
      </c>
      <c r="MGM22" s="73" t="str">
        <f t="shared" si="140"/>
        <v/>
      </c>
      <c r="MGN22" s="73" t="str">
        <f t="shared" si="140"/>
        <v/>
      </c>
      <c r="MGO22" s="73" t="str">
        <f t="shared" si="140"/>
        <v/>
      </c>
      <c r="MGP22" s="73" t="str">
        <f t="shared" si="140"/>
        <v/>
      </c>
      <c r="MGQ22" s="73" t="str">
        <f t="shared" si="140"/>
        <v/>
      </c>
      <c r="MGR22" s="73" t="str">
        <f t="shared" si="140"/>
        <v/>
      </c>
      <c r="MGS22" s="73" t="str">
        <f t="shared" si="140"/>
        <v/>
      </c>
      <c r="MGT22" s="73" t="str">
        <f t="shared" si="140"/>
        <v/>
      </c>
      <c r="MGU22" s="73" t="str">
        <f t="shared" si="140"/>
        <v/>
      </c>
      <c r="MGV22" s="73" t="str">
        <f t="shared" si="140"/>
        <v/>
      </c>
      <c r="MGW22" s="73" t="str">
        <f t="shared" si="140"/>
        <v/>
      </c>
      <c r="MGX22" s="73" t="str">
        <f t="shared" si="140"/>
        <v/>
      </c>
      <c r="MGY22" s="73" t="str">
        <f t="shared" si="140"/>
        <v/>
      </c>
      <c r="MGZ22" s="73" t="str">
        <f t="shared" si="140"/>
        <v/>
      </c>
      <c r="MHA22" s="73" t="str">
        <f t="shared" si="140"/>
        <v/>
      </c>
      <c r="MHB22" s="73" t="str">
        <f t="shared" si="140"/>
        <v/>
      </c>
      <c r="MHC22" s="73" t="str">
        <f t="shared" si="140"/>
        <v/>
      </c>
      <c r="MHD22" s="73" t="str">
        <f t="shared" si="140"/>
        <v/>
      </c>
      <c r="MHE22" s="73" t="str">
        <f t="shared" si="140"/>
        <v/>
      </c>
      <c r="MHF22" s="73" t="str">
        <f t="shared" si="140"/>
        <v/>
      </c>
      <c r="MHG22" s="73" t="str">
        <f t="shared" si="140"/>
        <v/>
      </c>
      <c r="MHH22" s="73" t="str">
        <f t="shared" si="140"/>
        <v/>
      </c>
      <c r="MHI22" s="73" t="str">
        <f t="shared" si="140"/>
        <v/>
      </c>
      <c r="MHJ22" s="73" t="str">
        <f t="shared" si="140"/>
        <v/>
      </c>
      <c r="MHK22" s="73" t="str">
        <f t="shared" si="140"/>
        <v/>
      </c>
      <c r="MHL22" s="73" t="str">
        <f t="shared" si="140"/>
        <v/>
      </c>
      <c r="MHM22" s="73" t="str">
        <f t="shared" si="140"/>
        <v/>
      </c>
      <c r="MHN22" s="73" t="str">
        <f t="shared" si="140"/>
        <v/>
      </c>
      <c r="MHO22" s="73" t="str">
        <f t="shared" si="140"/>
        <v/>
      </c>
      <c r="MHP22" s="73" t="str">
        <f t="shared" si="140"/>
        <v/>
      </c>
      <c r="MHQ22" s="73" t="str">
        <f t="shared" si="140"/>
        <v/>
      </c>
      <c r="MHR22" s="73" t="str">
        <f t="shared" si="140"/>
        <v/>
      </c>
      <c r="MHS22" s="73" t="str">
        <f t="shared" si="140"/>
        <v/>
      </c>
      <c r="MHT22" s="73" t="str">
        <f t="shared" si="140"/>
        <v/>
      </c>
      <c r="MHU22" s="73" t="str">
        <f t="shared" si="140"/>
        <v/>
      </c>
      <c r="MHV22" s="73" t="str">
        <f t="shared" si="140"/>
        <v/>
      </c>
      <c r="MHW22" s="73" t="str">
        <f t="shared" si="140"/>
        <v/>
      </c>
      <c r="MHX22" s="73" t="str">
        <f t="shared" si="140"/>
        <v/>
      </c>
      <c r="MHY22" s="73" t="str">
        <f t="shared" si="140"/>
        <v/>
      </c>
      <c r="MHZ22" s="73" t="str">
        <f t="shared" si="140"/>
        <v/>
      </c>
      <c r="MIA22" s="73" t="str">
        <f t="shared" si="140"/>
        <v/>
      </c>
      <c r="MIB22" s="73" t="str">
        <f t="shared" si="140"/>
        <v/>
      </c>
      <c r="MIC22" s="73" t="str">
        <f t="shared" si="140"/>
        <v/>
      </c>
      <c r="MID22" s="73" t="str">
        <f t="shared" si="140"/>
        <v/>
      </c>
      <c r="MIE22" s="73" t="str">
        <f t="shared" si="140"/>
        <v/>
      </c>
      <c r="MIF22" s="73" t="str">
        <f t="shared" si="140"/>
        <v/>
      </c>
      <c r="MIG22" s="73" t="str">
        <f t="shared" si="140"/>
        <v/>
      </c>
      <c r="MIH22" s="73" t="str">
        <f t="shared" ref="MIH22:MKS22" si="141">IFERROR(AVERAGE(MIH6:MIH21),"")</f>
        <v/>
      </c>
      <c r="MII22" s="73" t="str">
        <f t="shared" si="141"/>
        <v/>
      </c>
      <c r="MIJ22" s="73" t="str">
        <f t="shared" si="141"/>
        <v/>
      </c>
      <c r="MIK22" s="73" t="str">
        <f t="shared" si="141"/>
        <v/>
      </c>
      <c r="MIL22" s="73" t="str">
        <f t="shared" si="141"/>
        <v/>
      </c>
      <c r="MIM22" s="73" t="str">
        <f t="shared" si="141"/>
        <v/>
      </c>
      <c r="MIN22" s="73" t="str">
        <f t="shared" si="141"/>
        <v/>
      </c>
      <c r="MIO22" s="73" t="str">
        <f t="shared" si="141"/>
        <v/>
      </c>
      <c r="MIP22" s="73" t="str">
        <f t="shared" si="141"/>
        <v/>
      </c>
      <c r="MIQ22" s="73" t="str">
        <f t="shared" si="141"/>
        <v/>
      </c>
      <c r="MIR22" s="73" t="str">
        <f t="shared" si="141"/>
        <v/>
      </c>
      <c r="MIS22" s="73" t="str">
        <f t="shared" si="141"/>
        <v/>
      </c>
      <c r="MIT22" s="73" t="str">
        <f t="shared" si="141"/>
        <v/>
      </c>
      <c r="MIU22" s="73" t="str">
        <f t="shared" si="141"/>
        <v/>
      </c>
      <c r="MIV22" s="73" t="str">
        <f t="shared" si="141"/>
        <v/>
      </c>
      <c r="MIW22" s="73" t="str">
        <f t="shared" si="141"/>
        <v/>
      </c>
      <c r="MIX22" s="73" t="str">
        <f t="shared" si="141"/>
        <v/>
      </c>
      <c r="MIY22" s="73" t="str">
        <f t="shared" si="141"/>
        <v/>
      </c>
      <c r="MIZ22" s="73" t="str">
        <f t="shared" si="141"/>
        <v/>
      </c>
      <c r="MJA22" s="73" t="str">
        <f t="shared" si="141"/>
        <v/>
      </c>
      <c r="MJB22" s="73" t="str">
        <f t="shared" si="141"/>
        <v/>
      </c>
      <c r="MJC22" s="73" t="str">
        <f t="shared" si="141"/>
        <v/>
      </c>
      <c r="MJD22" s="73" t="str">
        <f t="shared" si="141"/>
        <v/>
      </c>
      <c r="MJE22" s="73" t="str">
        <f t="shared" si="141"/>
        <v/>
      </c>
      <c r="MJF22" s="73" t="str">
        <f t="shared" si="141"/>
        <v/>
      </c>
      <c r="MJG22" s="73" t="str">
        <f t="shared" si="141"/>
        <v/>
      </c>
      <c r="MJH22" s="73" t="str">
        <f t="shared" si="141"/>
        <v/>
      </c>
      <c r="MJI22" s="73" t="str">
        <f t="shared" si="141"/>
        <v/>
      </c>
      <c r="MJJ22" s="73" t="str">
        <f t="shared" si="141"/>
        <v/>
      </c>
      <c r="MJK22" s="73" t="str">
        <f t="shared" si="141"/>
        <v/>
      </c>
      <c r="MJL22" s="73" t="str">
        <f t="shared" si="141"/>
        <v/>
      </c>
      <c r="MJM22" s="73" t="str">
        <f t="shared" si="141"/>
        <v/>
      </c>
      <c r="MJN22" s="73" t="str">
        <f t="shared" si="141"/>
        <v/>
      </c>
      <c r="MJO22" s="73" t="str">
        <f t="shared" si="141"/>
        <v/>
      </c>
      <c r="MJP22" s="73" t="str">
        <f t="shared" si="141"/>
        <v/>
      </c>
      <c r="MJQ22" s="73" t="str">
        <f t="shared" si="141"/>
        <v/>
      </c>
      <c r="MJR22" s="73" t="str">
        <f t="shared" si="141"/>
        <v/>
      </c>
      <c r="MJS22" s="73" t="str">
        <f t="shared" si="141"/>
        <v/>
      </c>
      <c r="MJT22" s="73" t="str">
        <f t="shared" si="141"/>
        <v/>
      </c>
      <c r="MJU22" s="73" t="str">
        <f t="shared" si="141"/>
        <v/>
      </c>
      <c r="MJV22" s="73" t="str">
        <f t="shared" si="141"/>
        <v/>
      </c>
      <c r="MJW22" s="73" t="str">
        <f t="shared" si="141"/>
        <v/>
      </c>
      <c r="MJX22" s="73" t="str">
        <f t="shared" si="141"/>
        <v/>
      </c>
      <c r="MJY22" s="73" t="str">
        <f t="shared" si="141"/>
        <v/>
      </c>
      <c r="MJZ22" s="73" t="str">
        <f t="shared" si="141"/>
        <v/>
      </c>
      <c r="MKA22" s="73" t="str">
        <f t="shared" si="141"/>
        <v/>
      </c>
      <c r="MKB22" s="73" t="str">
        <f t="shared" si="141"/>
        <v/>
      </c>
      <c r="MKC22" s="73" t="str">
        <f t="shared" si="141"/>
        <v/>
      </c>
      <c r="MKD22" s="73" t="str">
        <f t="shared" si="141"/>
        <v/>
      </c>
      <c r="MKE22" s="73" t="str">
        <f t="shared" si="141"/>
        <v/>
      </c>
      <c r="MKF22" s="73" t="str">
        <f t="shared" si="141"/>
        <v/>
      </c>
      <c r="MKG22" s="73" t="str">
        <f t="shared" si="141"/>
        <v/>
      </c>
      <c r="MKH22" s="73" t="str">
        <f t="shared" si="141"/>
        <v/>
      </c>
      <c r="MKI22" s="73" t="str">
        <f t="shared" si="141"/>
        <v/>
      </c>
      <c r="MKJ22" s="73" t="str">
        <f t="shared" si="141"/>
        <v/>
      </c>
      <c r="MKK22" s="73" t="str">
        <f t="shared" si="141"/>
        <v/>
      </c>
      <c r="MKL22" s="73" t="str">
        <f t="shared" si="141"/>
        <v/>
      </c>
      <c r="MKM22" s="73" t="str">
        <f t="shared" si="141"/>
        <v/>
      </c>
      <c r="MKN22" s="73" t="str">
        <f t="shared" si="141"/>
        <v/>
      </c>
      <c r="MKO22" s="73" t="str">
        <f t="shared" si="141"/>
        <v/>
      </c>
      <c r="MKP22" s="73" t="str">
        <f t="shared" si="141"/>
        <v/>
      </c>
      <c r="MKQ22" s="73" t="str">
        <f t="shared" si="141"/>
        <v/>
      </c>
      <c r="MKR22" s="73" t="str">
        <f t="shared" si="141"/>
        <v/>
      </c>
      <c r="MKS22" s="73" t="str">
        <f t="shared" si="141"/>
        <v/>
      </c>
      <c r="MKT22" s="73" t="str">
        <f t="shared" ref="MKT22:MNE22" si="142">IFERROR(AVERAGE(MKT6:MKT21),"")</f>
        <v/>
      </c>
      <c r="MKU22" s="73" t="str">
        <f t="shared" si="142"/>
        <v/>
      </c>
      <c r="MKV22" s="73" t="str">
        <f t="shared" si="142"/>
        <v/>
      </c>
      <c r="MKW22" s="73" t="str">
        <f t="shared" si="142"/>
        <v/>
      </c>
      <c r="MKX22" s="73" t="str">
        <f t="shared" si="142"/>
        <v/>
      </c>
      <c r="MKY22" s="73" t="str">
        <f t="shared" si="142"/>
        <v/>
      </c>
      <c r="MKZ22" s="73" t="str">
        <f t="shared" si="142"/>
        <v/>
      </c>
      <c r="MLA22" s="73" t="str">
        <f t="shared" si="142"/>
        <v/>
      </c>
      <c r="MLB22" s="73" t="str">
        <f t="shared" si="142"/>
        <v/>
      </c>
      <c r="MLC22" s="73" t="str">
        <f t="shared" si="142"/>
        <v/>
      </c>
      <c r="MLD22" s="73" t="str">
        <f t="shared" si="142"/>
        <v/>
      </c>
      <c r="MLE22" s="73" t="str">
        <f t="shared" si="142"/>
        <v/>
      </c>
      <c r="MLF22" s="73" t="str">
        <f t="shared" si="142"/>
        <v/>
      </c>
      <c r="MLG22" s="73" t="str">
        <f t="shared" si="142"/>
        <v/>
      </c>
      <c r="MLH22" s="73" t="str">
        <f t="shared" si="142"/>
        <v/>
      </c>
      <c r="MLI22" s="73" t="str">
        <f t="shared" si="142"/>
        <v/>
      </c>
      <c r="MLJ22" s="73" t="str">
        <f t="shared" si="142"/>
        <v/>
      </c>
      <c r="MLK22" s="73" t="str">
        <f t="shared" si="142"/>
        <v/>
      </c>
      <c r="MLL22" s="73" t="str">
        <f t="shared" si="142"/>
        <v/>
      </c>
      <c r="MLM22" s="73" t="str">
        <f t="shared" si="142"/>
        <v/>
      </c>
      <c r="MLN22" s="73" t="str">
        <f t="shared" si="142"/>
        <v/>
      </c>
      <c r="MLO22" s="73" t="str">
        <f t="shared" si="142"/>
        <v/>
      </c>
      <c r="MLP22" s="73" t="str">
        <f t="shared" si="142"/>
        <v/>
      </c>
      <c r="MLQ22" s="73" t="str">
        <f t="shared" si="142"/>
        <v/>
      </c>
      <c r="MLR22" s="73" t="str">
        <f t="shared" si="142"/>
        <v/>
      </c>
      <c r="MLS22" s="73" t="str">
        <f t="shared" si="142"/>
        <v/>
      </c>
      <c r="MLT22" s="73" t="str">
        <f t="shared" si="142"/>
        <v/>
      </c>
      <c r="MLU22" s="73" t="str">
        <f t="shared" si="142"/>
        <v/>
      </c>
      <c r="MLV22" s="73" t="str">
        <f t="shared" si="142"/>
        <v/>
      </c>
      <c r="MLW22" s="73" t="str">
        <f t="shared" si="142"/>
        <v/>
      </c>
      <c r="MLX22" s="73" t="str">
        <f t="shared" si="142"/>
        <v/>
      </c>
      <c r="MLY22" s="73" t="str">
        <f t="shared" si="142"/>
        <v/>
      </c>
      <c r="MLZ22" s="73" t="str">
        <f t="shared" si="142"/>
        <v/>
      </c>
      <c r="MMA22" s="73" t="str">
        <f t="shared" si="142"/>
        <v/>
      </c>
      <c r="MMB22" s="73" t="str">
        <f t="shared" si="142"/>
        <v/>
      </c>
      <c r="MMC22" s="73" t="str">
        <f t="shared" si="142"/>
        <v/>
      </c>
      <c r="MMD22" s="73" t="str">
        <f t="shared" si="142"/>
        <v/>
      </c>
      <c r="MME22" s="73" t="str">
        <f t="shared" si="142"/>
        <v/>
      </c>
      <c r="MMF22" s="73" t="str">
        <f t="shared" si="142"/>
        <v/>
      </c>
      <c r="MMG22" s="73" t="str">
        <f t="shared" si="142"/>
        <v/>
      </c>
      <c r="MMH22" s="73" t="str">
        <f t="shared" si="142"/>
        <v/>
      </c>
      <c r="MMI22" s="73" t="str">
        <f t="shared" si="142"/>
        <v/>
      </c>
      <c r="MMJ22" s="73" t="str">
        <f t="shared" si="142"/>
        <v/>
      </c>
      <c r="MMK22" s="73" t="str">
        <f t="shared" si="142"/>
        <v/>
      </c>
      <c r="MML22" s="73" t="str">
        <f t="shared" si="142"/>
        <v/>
      </c>
      <c r="MMM22" s="73" t="str">
        <f t="shared" si="142"/>
        <v/>
      </c>
      <c r="MMN22" s="73" t="str">
        <f t="shared" si="142"/>
        <v/>
      </c>
      <c r="MMO22" s="73" t="str">
        <f t="shared" si="142"/>
        <v/>
      </c>
      <c r="MMP22" s="73" t="str">
        <f t="shared" si="142"/>
        <v/>
      </c>
      <c r="MMQ22" s="73" t="str">
        <f t="shared" si="142"/>
        <v/>
      </c>
      <c r="MMR22" s="73" t="str">
        <f t="shared" si="142"/>
        <v/>
      </c>
      <c r="MMS22" s="73" t="str">
        <f t="shared" si="142"/>
        <v/>
      </c>
      <c r="MMT22" s="73" t="str">
        <f t="shared" si="142"/>
        <v/>
      </c>
      <c r="MMU22" s="73" t="str">
        <f t="shared" si="142"/>
        <v/>
      </c>
      <c r="MMV22" s="73" t="str">
        <f t="shared" si="142"/>
        <v/>
      </c>
      <c r="MMW22" s="73" t="str">
        <f t="shared" si="142"/>
        <v/>
      </c>
      <c r="MMX22" s="73" t="str">
        <f t="shared" si="142"/>
        <v/>
      </c>
      <c r="MMY22" s="73" t="str">
        <f t="shared" si="142"/>
        <v/>
      </c>
      <c r="MMZ22" s="73" t="str">
        <f t="shared" si="142"/>
        <v/>
      </c>
      <c r="MNA22" s="73" t="str">
        <f t="shared" si="142"/>
        <v/>
      </c>
      <c r="MNB22" s="73" t="str">
        <f t="shared" si="142"/>
        <v/>
      </c>
      <c r="MNC22" s="73" t="str">
        <f t="shared" si="142"/>
        <v/>
      </c>
      <c r="MND22" s="73" t="str">
        <f t="shared" si="142"/>
        <v/>
      </c>
      <c r="MNE22" s="73" t="str">
        <f t="shared" si="142"/>
        <v/>
      </c>
      <c r="MNF22" s="73" t="str">
        <f t="shared" ref="MNF22:MPQ22" si="143">IFERROR(AVERAGE(MNF6:MNF21),"")</f>
        <v/>
      </c>
      <c r="MNG22" s="73" t="str">
        <f t="shared" si="143"/>
        <v/>
      </c>
      <c r="MNH22" s="73" t="str">
        <f t="shared" si="143"/>
        <v/>
      </c>
      <c r="MNI22" s="73" t="str">
        <f t="shared" si="143"/>
        <v/>
      </c>
      <c r="MNJ22" s="73" t="str">
        <f t="shared" si="143"/>
        <v/>
      </c>
      <c r="MNK22" s="73" t="str">
        <f t="shared" si="143"/>
        <v/>
      </c>
      <c r="MNL22" s="73" t="str">
        <f t="shared" si="143"/>
        <v/>
      </c>
      <c r="MNM22" s="73" t="str">
        <f t="shared" si="143"/>
        <v/>
      </c>
      <c r="MNN22" s="73" t="str">
        <f t="shared" si="143"/>
        <v/>
      </c>
      <c r="MNO22" s="73" t="str">
        <f t="shared" si="143"/>
        <v/>
      </c>
      <c r="MNP22" s="73" t="str">
        <f t="shared" si="143"/>
        <v/>
      </c>
      <c r="MNQ22" s="73" t="str">
        <f t="shared" si="143"/>
        <v/>
      </c>
      <c r="MNR22" s="73" t="str">
        <f t="shared" si="143"/>
        <v/>
      </c>
      <c r="MNS22" s="73" t="str">
        <f t="shared" si="143"/>
        <v/>
      </c>
      <c r="MNT22" s="73" t="str">
        <f t="shared" si="143"/>
        <v/>
      </c>
      <c r="MNU22" s="73" t="str">
        <f t="shared" si="143"/>
        <v/>
      </c>
      <c r="MNV22" s="73" t="str">
        <f t="shared" si="143"/>
        <v/>
      </c>
      <c r="MNW22" s="73" t="str">
        <f t="shared" si="143"/>
        <v/>
      </c>
      <c r="MNX22" s="73" t="str">
        <f t="shared" si="143"/>
        <v/>
      </c>
      <c r="MNY22" s="73" t="str">
        <f t="shared" si="143"/>
        <v/>
      </c>
      <c r="MNZ22" s="73" t="str">
        <f t="shared" si="143"/>
        <v/>
      </c>
      <c r="MOA22" s="73" t="str">
        <f t="shared" si="143"/>
        <v/>
      </c>
      <c r="MOB22" s="73" t="str">
        <f t="shared" si="143"/>
        <v/>
      </c>
      <c r="MOC22" s="73" t="str">
        <f t="shared" si="143"/>
        <v/>
      </c>
      <c r="MOD22" s="73" t="str">
        <f t="shared" si="143"/>
        <v/>
      </c>
      <c r="MOE22" s="73" t="str">
        <f t="shared" si="143"/>
        <v/>
      </c>
      <c r="MOF22" s="73" t="str">
        <f t="shared" si="143"/>
        <v/>
      </c>
      <c r="MOG22" s="73" t="str">
        <f t="shared" si="143"/>
        <v/>
      </c>
      <c r="MOH22" s="73" t="str">
        <f t="shared" si="143"/>
        <v/>
      </c>
      <c r="MOI22" s="73" t="str">
        <f t="shared" si="143"/>
        <v/>
      </c>
      <c r="MOJ22" s="73" t="str">
        <f t="shared" si="143"/>
        <v/>
      </c>
      <c r="MOK22" s="73" t="str">
        <f t="shared" si="143"/>
        <v/>
      </c>
      <c r="MOL22" s="73" t="str">
        <f t="shared" si="143"/>
        <v/>
      </c>
      <c r="MOM22" s="73" t="str">
        <f t="shared" si="143"/>
        <v/>
      </c>
      <c r="MON22" s="73" t="str">
        <f t="shared" si="143"/>
        <v/>
      </c>
      <c r="MOO22" s="73" t="str">
        <f t="shared" si="143"/>
        <v/>
      </c>
      <c r="MOP22" s="73" t="str">
        <f t="shared" si="143"/>
        <v/>
      </c>
      <c r="MOQ22" s="73" t="str">
        <f t="shared" si="143"/>
        <v/>
      </c>
      <c r="MOR22" s="73" t="str">
        <f t="shared" si="143"/>
        <v/>
      </c>
      <c r="MOS22" s="73" t="str">
        <f t="shared" si="143"/>
        <v/>
      </c>
      <c r="MOT22" s="73" t="str">
        <f t="shared" si="143"/>
        <v/>
      </c>
      <c r="MOU22" s="73" t="str">
        <f t="shared" si="143"/>
        <v/>
      </c>
      <c r="MOV22" s="73" t="str">
        <f t="shared" si="143"/>
        <v/>
      </c>
      <c r="MOW22" s="73" t="str">
        <f t="shared" si="143"/>
        <v/>
      </c>
      <c r="MOX22" s="73" t="str">
        <f t="shared" si="143"/>
        <v/>
      </c>
      <c r="MOY22" s="73" t="str">
        <f t="shared" si="143"/>
        <v/>
      </c>
      <c r="MOZ22" s="73" t="str">
        <f t="shared" si="143"/>
        <v/>
      </c>
      <c r="MPA22" s="73" t="str">
        <f t="shared" si="143"/>
        <v/>
      </c>
      <c r="MPB22" s="73" t="str">
        <f t="shared" si="143"/>
        <v/>
      </c>
      <c r="MPC22" s="73" t="str">
        <f t="shared" si="143"/>
        <v/>
      </c>
      <c r="MPD22" s="73" t="str">
        <f t="shared" si="143"/>
        <v/>
      </c>
      <c r="MPE22" s="73" t="str">
        <f t="shared" si="143"/>
        <v/>
      </c>
      <c r="MPF22" s="73" t="str">
        <f t="shared" si="143"/>
        <v/>
      </c>
      <c r="MPG22" s="73" t="str">
        <f t="shared" si="143"/>
        <v/>
      </c>
      <c r="MPH22" s="73" t="str">
        <f t="shared" si="143"/>
        <v/>
      </c>
      <c r="MPI22" s="73" t="str">
        <f t="shared" si="143"/>
        <v/>
      </c>
      <c r="MPJ22" s="73" t="str">
        <f t="shared" si="143"/>
        <v/>
      </c>
      <c r="MPK22" s="73" t="str">
        <f t="shared" si="143"/>
        <v/>
      </c>
      <c r="MPL22" s="73" t="str">
        <f t="shared" si="143"/>
        <v/>
      </c>
      <c r="MPM22" s="73" t="str">
        <f t="shared" si="143"/>
        <v/>
      </c>
      <c r="MPN22" s="73" t="str">
        <f t="shared" si="143"/>
        <v/>
      </c>
      <c r="MPO22" s="73" t="str">
        <f t="shared" si="143"/>
        <v/>
      </c>
      <c r="MPP22" s="73" t="str">
        <f t="shared" si="143"/>
        <v/>
      </c>
      <c r="MPQ22" s="73" t="str">
        <f t="shared" si="143"/>
        <v/>
      </c>
      <c r="MPR22" s="73" t="str">
        <f t="shared" ref="MPR22:MSC22" si="144">IFERROR(AVERAGE(MPR6:MPR21),"")</f>
        <v/>
      </c>
      <c r="MPS22" s="73" t="str">
        <f t="shared" si="144"/>
        <v/>
      </c>
      <c r="MPT22" s="73" t="str">
        <f t="shared" si="144"/>
        <v/>
      </c>
      <c r="MPU22" s="73" t="str">
        <f t="shared" si="144"/>
        <v/>
      </c>
      <c r="MPV22" s="73" t="str">
        <f t="shared" si="144"/>
        <v/>
      </c>
      <c r="MPW22" s="73" t="str">
        <f t="shared" si="144"/>
        <v/>
      </c>
      <c r="MPX22" s="73" t="str">
        <f t="shared" si="144"/>
        <v/>
      </c>
      <c r="MPY22" s="73" t="str">
        <f t="shared" si="144"/>
        <v/>
      </c>
      <c r="MPZ22" s="73" t="str">
        <f t="shared" si="144"/>
        <v/>
      </c>
      <c r="MQA22" s="73" t="str">
        <f t="shared" si="144"/>
        <v/>
      </c>
      <c r="MQB22" s="73" t="str">
        <f t="shared" si="144"/>
        <v/>
      </c>
      <c r="MQC22" s="73" t="str">
        <f t="shared" si="144"/>
        <v/>
      </c>
      <c r="MQD22" s="73" t="str">
        <f t="shared" si="144"/>
        <v/>
      </c>
      <c r="MQE22" s="73" t="str">
        <f t="shared" si="144"/>
        <v/>
      </c>
      <c r="MQF22" s="73" t="str">
        <f t="shared" si="144"/>
        <v/>
      </c>
      <c r="MQG22" s="73" t="str">
        <f t="shared" si="144"/>
        <v/>
      </c>
      <c r="MQH22" s="73" t="str">
        <f t="shared" si="144"/>
        <v/>
      </c>
      <c r="MQI22" s="73" t="str">
        <f t="shared" si="144"/>
        <v/>
      </c>
      <c r="MQJ22" s="73" t="str">
        <f t="shared" si="144"/>
        <v/>
      </c>
      <c r="MQK22" s="73" t="str">
        <f t="shared" si="144"/>
        <v/>
      </c>
      <c r="MQL22" s="73" t="str">
        <f t="shared" si="144"/>
        <v/>
      </c>
      <c r="MQM22" s="73" t="str">
        <f t="shared" si="144"/>
        <v/>
      </c>
      <c r="MQN22" s="73" t="str">
        <f t="shared" si="144"/>
        <v/>
      </c>
      <c r="MQO22" s="73" t="str">
        <f t="shared" si="144"/>
        <v/>
      </c>
      <c r="MQP22" s="73" t="str">
        <f t="shared" si="144"/>
        <v/>
      </c>
      <c r="MQQ22" s="73" t="str">
        <f t="shared" si="144"/>
        <v/>
      </c>
      <c r="MQR22" s="73" t="str">
        <f t="shared" si="144"/>
        <v/>
      </c>
      <c r="MQS22" s="73" t="str">
        <f t="shared" si="144"/>
        <v/>
      </c>
      <c r="MQT22" s="73" t="str">
        <f t="shared" si="144"/>
        <v/>
      </c>
      <c r="MQU22" s="73" t="str">
        <f t="shared" si="144"/>
        <v/>
      </c>
      <c r="MQV22" s="73" t="str">
        <f t="shared" si="144"/>
        <v/>
      </c>
      <c r="MQW22" s="73" t="str">
        <f t="shared" si="144"/>
        <v/>
      </c>
      <c r="MQX22" s="73" t="str">
        <f t="shared" si="144"/>
        <v/>
      </c>
      <c r="MQY22" s="73" t="str">
        <f t="shared" si="144"/>
        <v/>
      </c>
      <c r="MQZ22" s="73" t="str">
        <f t="shared" si="144"/>
        <v/>
      </c>
      <c r="MRA22" s="73" t="str">
        <f t="shared" si="144"/>
        <v/>
      </c>
      <c r="MRB22" s="73" t="str">
        <f t="shared" si="144"/>
        <v/>
      </c>
      <c r="MRC22" s="73" t="str">
        <f t="shared" si="144"/>
        <v/>
      </c>
      <c r="MRD22" s="73" t="str">
        <f t="shared" si="144"/>
        <v/>
      </c>
      <c r="MRE22" s="73" t="str">
        <f t="shared" si="144"/>
        <v/>
      </c>
      <c r="MRF22" s="73" t="str">
        <f t="shared" si="144"/>
        <v/>
      </c>
      <c r="MRG22" s="73" t="str">
        <f t="shared" si="144"/>
        <v/>
      </c>
      <c r="MRH22" s="73" t="str">
        <f t="shared" si="144"/>
        <v/>
      </c>
      <c r="MRI22" s="73" t="str">
        <f t="shared" si="144"/>
        <v/>
      </c>
      <c r="MRJ22" s="73" t="str">
        <f t="shared" si="144"/>
        <v/>
      </c>
      <c r="MRK22" s="73" t="str">
        <f t="shared" si="144"/>
        <v/>
      </c>
      <c r="MRL22" s="73" t="str">
        <f t="shared" si="144"/>
        <v/>
      </c>
      <c r="MRM22" s="73" t="str">
        <f t="shared" si="144"/>
        <v/>
      </c>
      <c r="MRN22" s="73" t="str">
        <f t="shared" si="144"/>
        <v/>
      </c>
      <c r="MRO22" s="73" t="str">
        <f t="shared" si="144"/>
        <v/>
      </c>
      <c r="MRP22" s="73" t="str">
        <f t="shared" si="144"/>
        <v/>
      </c>
      <c r="MRQ22" s="73" t="str">
        <f t="shared" si="144"/>
        <v/>
      </c>
      <c r="MRR22" s="73" t="str">
        <f t="shared" si="144"/>
        <v/>
      </c>
      <c r="MRS22" s="73" t="str">
        <f t="shared" si="144"/>
        <v/>
      </c>
      <c r="MRT22" s="73" t="str">
        <f t="shared" si="144"/>
        <v/>
      </c>
      <c r="MRU22" s="73" t="str">
        <f t="shared" si="144"/>
        <v/>
      </c>
      <c r="MRV22" s="73" t="str">
        <f t="shared" si="144"/>
        <v/>
      </c>
      <c r="MRW22" s="73" t="str">
        <f t="shared" si="144"/>
        <v/>
      </c>
      <c r="MRX22" s="73" t="str">
        <f t="shared" si="144"/>
        <v/>
      </c>
      <c r="MRY22" s="73" t="str">
        <f t="shared" si="144"/>
        <v/>
      </c>
      <c r="MRZ22" s="73" t="str">
        <f t="shared" si="144"/>
        <v/>
      </c>
      <c r="MSA22" s="73" t="str">
        <f t="shared" si="144"/>
        <v/>
      </c>
      <c r="MSB22" s="73" t="str">
        <f t="shared" si="144"/>
        <v/>
      </c>
      <c r="MSC22" s="73" t="str">
        <f t="shared" si="144"/>
        <v/>
      </c>
      <c r="MSD22" s="73" t="str">
        <f t="shared" ref="MSD22:MUO22" si="145">IFERROR(AVERAGE(MSD6:MSD21),"")</f>
        <v/>
      </c>
      <c r="MSE22" s="73" t="str">
        <f t="shared" si="145"/>
        <v/>
      </c>
      <c r="MSF22" s="73" t="str">
        <f t="shared" si="145"/>
        <v/>
      </c>
      <c r="MSG22" s="73" t="str">
        <f t="shared" si="145"/>
        <v/>
      </c>
      <c r="MSH22" s="73" t="str">
        <f t="shared" si="145"/>
        <v/>
      </c>
      <c r="MSI22" s="73" t="str">
        <f t="shared" si="145"/>
        <v/>
      </c>
      <c r="MSJ22" s="73" t="str">
        <f t="shared" si="145"/>
        <v/>
      </c>
      <c r="MSK22" s="73" t="str">
        <f t="shared" si="145"/>
        <v/>
      </c>
      <c r="MSL22" s="73" t="str">
        <f t="shared" si="145"/>
        <v/>
      </c>
      <c r="MSM22" s="73" t="str">
        <f t="shared" si="145"/>
        <v/>
      </c>
      <c r="MSN22" s="73" t="str">
        <f t="shared" si="145"/>
        <v/>
      </c>
      <c r="MSO22" s="73" t="str">
        <f t="shared" si="145"/>
        <v/>
      </c>
      <c r="MSP22" s="73" t="str">
        <f t="shared" si="145"/>
        <v/>
      </c>
      <c r="MSQ22" s="73" t="str">
        <f t="shared" si="145"/>
        <v/>
      </c>
      <c r="MSR22" s="73" t="str">
        <f t="shared" si="145"/>
        <v/>
      </c>
      <c r="MSS22" s="73" t="str">
        <f t="shared" si="145"/>
        <v/>
      </c>
      <c r="MST22" s="73" t="str">
        <f t="shared" si="145"/>
        <v/>
      </c>
      <c r="MSU22" s="73" t="str">
        <f t="shared" si="145"/>
        <v/>
      </c>
      <c r="MSV22" s="73" t="str">
        <f t="shared" si="145"/>
        <v/>
      </c>
      <c r="MSW22" s="73" t="str">
        <f t="shared" si="145"/>
        <v/>
      </c>
      <c r="MSX22" s="73" t="str">
        <f t="shared" si="145"/>
        <v/>
      </c>
      <c r="MSY22" s="73" t="str">
        <f t="shared" si="145"/>
        <v/>
      </c>
      <c r="MSZ22" s="73" t="str">
        <f t="shared" si="145"/>
        <v/>
      </c>
      <c r="MTA22" s="73" t="str">
        <f t="shared" si="145"/>
        <v/>
      </c>
      <c r="MTB22" s="73" t="str">
        <f t="shared" si="145"/>
        <v/>
      </c>
      <c r="MTC22" s="73" t="str">
        <f t="shared" si="145"/>
        <v/>
      </c>
      <c r="MTD22" s="73" t="str">
        <f t="shared" si="145"/>
        <v/>
      </c>
      <c r="MTE22" s="73" t="str">
        <f t="shared" si="145"/>
        <v/>
      </c>
      <c r="MTF22" s="73" t="str">
        <f t="shared" si="145"/>
        <v/>
      </c>
      <c r="MTG22" s="73" t="str">
        <f t="shared" si="145"/>
        <v/>
      </c>
      <c r="MTH22" s="73" t="str">
        <f t="shared" si="145"/>
        <v/>
      </c>
      <c r="MTI22" s="73" t="str">
        <f t="shared" si="145"/>
        <v/>
      </c>
      <c r="MTJ22" s="73" t="str">
        <f t="shared" si="145"/>
        <v/>
      </c>
      <c r="MTK22" s="73" t="str">
        <f t="shared" si="145"/>
        <v/>
      </c>
      <c r="MTL22" s="73" t="str">
        <f t="shared" si="145"/>
        <v/>
      </c>
      <c r="MTM22" s="73" t="str">
        <f t="shared" si="145"/>
        <v/>
      </c>
      <c r="MTN22" s="73" t="str">
        <f t="shared" si="145"/>
        <v/>
      </c>
      <c r="MTO22" s="73" t="str">
        <f t="shared" si="145"/>
        <v/>
      </c>
      <c r="MTP22" s="73" t="str">
        <f t="shared" si="145"/>
        <v/>
      </c>
      <c r="MTQ22" s="73" t="str">
        <f t="shared" si="145"/>
        <v/>
      </c>
      <c r="MTR22" s="73" t="str">
        <f t="shared" si="145"/>
        <v/>
      </c>
      <c r="MTS22" s="73" t="str">
        <f t="shared" si="145"/>
        <v/>
      </c>
      <c r="MTT22" s="73" t="str">
        <f t="shared" si="145"/>
        <v/>
      </c>
      <c r="MTU22" s="73" t="str">
        <f t="shared" si="145"/>
        <v/>
      </c>
      <c r="MTV22" s="73" t="str">
        <f t="shared" si="145"/>
        <v/>
      </c>
      <c r="MTW22" s="73" t="str">
        <f t="shared" si="145"/>
        <v/>
      </c>
      <c r="MTX22" s="73" t="str">
        <f t="shared" si="145"/>
        <v/>
      </c>
      <c r="MTY22" s="73" t="str">
        <f t="shared" si="145"/>
        <v/>
      </c>
      <c r="MTZ22" s="73" t="str">
        <f t="shared" si="145"/>
        <v/>
      </c>
      <c r="MUA22" s="73" t="str">
        <f t="shared" si="145"/>
        <v/>
      </c>
      <c r="MUB22" s="73" t="str">
        <f t="shared" si="145"/>
        <v/>
      </c>
      <c r="MUC22" s="73" t="str">
        <f t="shared" si="145"/>
        <v/>
      </c>
      <c r="MUD22" s="73" t="str">
        <f t="shared" si="145"/>
        <v/>
      </c>
      <c r="MUE22" s="73" t="str">
        <f t="shared" si="145"/>
        <v/>
      </c>
      <c r="MUF22" s="73" t="str">
        <f t="shared" si="145"/>
        <v/>
      </c>
      <c r="MUG22" s="73" t="str">
        <f t="shared" si="145"/>
        <v/>
      </c>
      <c r="MUH22" s="73" t="str">
        <f t="shared" si="145"/>
        <v/>
      </c>
      <c r="MUI22" s="73" t="str">
        <f t="shared" si="145"/>
        <v/>
      </c>
      <c r="MUJ22" s="73" t="str">
        <f t="shared" si="145"/>
        <v/>
      </c>
      <c r="MUK22" s="73" t="str">
        <f t="shared" si="145"/>
        <v/>
      </c>
      <c r="MUL22" s="73" t="str">
        <f t="shared" si="145"/>
        <v/>
      </c>
      <c r="MUM22" s="73" t="str">
        <f t="shared" si="145"/>
        <v/>
      </c>
      <c r="MUN22" s="73" t="str">
        <f t="shared" si="145"/>
        <v/>
      </c>
      <c r="MUO22" s="73" t="str">
        <f t="shared" si="145"/>
        <v/>
      </c>
      <c r="MUP22" s="73" t="str">
        <f t="shared" ref="MUP22:MXA22" si="146">IFERROR(AVERAGE(MUP6:MUP21),"")</f>
        <v/>
      </c>
      <c r="MUQ22" s="73" t="str">
        <f t="shared" si="146"/>
        <v/>
      </c>
      <c r="MUR22" s="73" t="str">
        <f t="shared" si="146"/>
        <v/>
      </c>
      <c r="MUS22" s="73" t="str">
        <f t="shared" si="146"/>
        <v/>
      </c>
      <c r="MUT22" s="73" t="str">
        <f t="shared" si="146"/>
        <v/>
      </c>
      <c r="MUU22" s="73" t="str">
        <f t="shared" si="146"/>
        <v/>
      </c>
      <c r="MUV22" s="73" t="str">
        <f t="shared" si="146"/>
        <v/>
      </c>
      <c r="MUW22" s="73" t="str">
        <f t="shared" si="146"/>
        <v/>
      </c>
      <c r="MUX22" s="73" t="str">
        <f t="shared" si="146"/>
        <v/>
      </c>
      <c r="MUY22" s="73" t="str">
        <f t="shared" si="146"/>
        <v/>
      </c>
      <c r="MUZ22" s="73" t="str">
        <f t="shared" si="146"/>
        <v/>
      </c>
      <c r="MVA22" s="73" t="str">
        <f t="shared" si="146"/>
        <v/>
      </c>
      <c r="MVB22" s="73" t="str">
        <f t="shared" si="146"/>
        <v/>
      </c>
      <c r="MVC22" s="73" t="str">
        <f t="shared" si="146"/>
        <v/>
      </c>
      <c r="MVD22" s="73" t="str">
        <f t="shared" si="146"/>
        <v/>
      </c>
      <c r="MVE22" s="73" t="str">
        <f t="shared" si="146"/>
        <v/>
      </c>
      <c r="MVF22" s="73" t="str">
        <f t="shared" si="146"/>
        <v/>
      </c>
      <c r="MVG22" s="73" t="str">
        <f t="shared" si="146"/>
        <v/>
      </c>
      <c r="MVH22" s="73" t="str">
        <f t="shared" si="146"/>
        <v/>
      </c>
      <c r="MVI22" s="73" t="str">
        <f t="shared" si="146"/>
        <v/>
      </c>
      <c r="MVJ22" s="73" t="str">
        <f t="shared" si="146"/>
        <v/>
      </c>
      <c r="MVK22" s="73" t="str">
        <f t="shared" si="146"/>
        <v/>
      </c>
      <c r="MVL22" s="73" t="str">
        <f t="shared" si="146"/>
        <v/>
      </c>
      <c r="MVM22" s="73" t="str">
        <f t="shared" si="146"/>
        <v/>
      </c>
      <c r="MVN22" s="73" t="str">
        <f t="shared" si="146"/>
        <v/>
      </c>
      <c r="MVO22" s="73" t="str">
        <f t="shared" si="146"/>
        <v/>
      </c>
      <c r="MVP22" s="73" t="str">
        <f t="shared" si="146"/>
        <v/>
      </c>
      <c r="MVQ22" s="73" t="str">
        <f t="shared" si="146"/>
        <v/>
      </c>
      <c r="MVR22" s="73" t="str">
        <f t="shared" si="146"/>
        <v/>
      </c>
      <c r="MVS22" s="73" t="str">
        <f t="shared" si="146"/>
        <v/>
      </c>
      <c r="MVT22" s="73" t="str">
        <f t="shared" si="146"/>
        <v/>
      </c>
      <c r="MVU22" s="73" t="str">
        <f t="shared" si="146"/>
        <v/>
      </c>
      <c r="MVV22" s="73" t="str">
        <f t="shared" si="146"/>
        <v/>
      </c>
      <c r="MVW22" s="73" t="str">
        <f t="shared" si="146"/>
        <v/>
      </c>
      <c r="MVX22" s="73" t="str">
        <f t="shared" si="146"/>
        <v/>
      </c>
      <c r="MVY22" s="73" t="str">
        <f t="shared" si="146"/>
        <v/>
      </c>
      <c r="MVZ22" s="73" t="str">
        <f t="shared" si="146"/>
        <v/>
      </c>
      <c r="MWA22" s="73" t="str">
        <f t="shared" si="146"/>
        <v/>
      </c>
      <c r="MWB22" s="73" t="str">
        <f t="shared" si="146"/>
        <v/>
      </c>
      <c r="MWC22" s="73" t="str">
        <f t="shared" si="146"/>
        <v/>
      </c>
      <c r="MWD22" s="73" t="str">
        <f t="shared" si="146"/>
        <v/>
      </c>
      <c r="MWE22" s="73" t="str">
        <f t="shared" si="146"/>
        <v/>
      </c>
      <c r="MWF22" s="73" t="str">
        <f t="shared" si="146"/>
        <v/>
      </c>
      <c r="MWG22" s="73" t="str">
        <f t="shared" si="146"/>
        <v/>
      </c>
      <c r="MWH22" s="73" t="str">
        <f t="shared" si="146"/>
        <v/>
      </c>
      <c r="MWI22" s="73" t="str">
        <f t="shared" si="146"/>
        <v/>
      </c>
      <c r="MWJ22" s="73" t="str">
        <f t="shared" si="146"/>
        <v/>
      </c>
      <c r="MWK22" s="73" t="str">
        <f t="shared" si="146"/>
        <v/>
      </c>
      <c r="MWL22" s="73" t="str">
        <f t="shared" si="146"/>
        <v/>
      </c>
      <c r="MWM22" s="73" t="str">
        <f t="shared" si="146"/>
        <v/>
      </c>
      <c r="MWN22" s="73" t="str">
        <f t="shared" si="146"/>
        <v/>
      </c>
      <c r="MWO22" s="73" t="str">
        <f t="shared" si="146"/>
        <v/>
      </c>
      <c r="MWP22" s="73" t="str">
        <f t="shared" si="146"/>
        <v/>
      </c>
      <c r="MWQ22" s="73" t="str">
        <f t="shared" si="146"/>
        <v/>
      </c>
      <c r="MWR22" s="73" t="str">
        <f t="shared" si="146"/>
        <v/>
      </c>
      <c r="MWS22" s="73" t="str">
        <f t="shared" si="146"/>
        <v/>
      </c>
      <c r="MWT22" s="73" t="str">
        <f t="shared" si="146"/>
        <v/>
      </c>
      <c r="MWU22" s="73" t="str">
        <f t="shared" si="146"/>
        <v/>
      </c>
      <c r="MWV22" s="73" t="str">
        <f t="shared" si="146"/>
        <v/>
      </c>
      <c r="MWW22" s="73" t="str">
        <f t="shared" si="146"/>
        <v/>
      </c>
      <c r="MWX22" s="73" t="str">
        <f t="shared" si="146"/>
        <v/>
      </c>
      <c r="MWY22" s="73" t="str">
        <f t="shared" si="146"/>
        <v/>
      </c>
      <c r="MWZ22" s="73" t="str">
        <f t="shared" si="146"/>
        <v/>
      </c>
      <c r="MXA22" s="73" t="str">
        <f t="shared" si="146"/>
        <v/>
      </c>
      <c r="MXB22" s="73" t="str">
        <f t="shared" ref="MXB22:MZM22" si="147">IFERROR(AVERAGE(MXB6:MXB21),"")</f>
        <v/>
      </c>
      <c r="MXC22" s="73" t="str">
        <f t="shared" si="147"/>
        <v/>
      </c>
      <c r="MXD22" s="73" t="str">
        <f t="shared" si="147"/>
        <v/>
      </c>
      <c r="MXE22" s="73" t="str">
        <f t="shared" si="147"/>
        <v/>
      </c>
      <c r="MXF22" s="73" t="str">
        <f t="shared" si="147"/>
        <v/>
      </c>
      <c r="MXG22" s="73" t="str">
        <f t="shared" si="147"/>
        <v/>
      </c>
      <c r="MXH22" s="73" t="str">
        <f t="shared" si="147"/>
        <v/>
      </c>
      <c r="MXI22" s="73" t="str">
        <f t="shared" si="147"/>
        <v/>
      </c>
      <c r="MXJ22" s="73" t="str">
        <f t="shared" si="147"/>
        <v/>
      </c>
      <c r="MXK22" s="73" t="str">
        <f t="shared" si="147"/>
        <v/>
      </c>
      <c r="MXL22" s="73" t="str">
        <f t="shared" si="147"/>
        <v/>
      </c>
      <c r="MXM22" s="73" t="str">
        <f t="shared" si="147"/>
        <v/>
      </c>
      <c r="MXN22" s="73" t="str">
        <f t="shared" si="147"/>
        <v/>
      </c>
      <c r="MXO22" s="73" t="str">
        <f t="shared" si="147"/>
        <v/>
      </c>
      <c r="MXP22" s="73" t="str">
        <f t="shared" si="147"/>
        <v/>
      </c>
      <c r="MXQ22" s="73" t="str">
        <f t="shared" si="147"/>
        <v/>
      </c>
      <c r="MXR22" s="73" t="str">
        <f t="shared" si="147"/>
        <v/>
      </c>
      <c r="MXS22" s="73" t="str">
        <f t="shared" si="147"/>
        <v/>
      </c>
      <c r="MXT22" s="73" t="str">
        <f t="shared" si="147"/>
        <v/>
      </c>
      <c r="MXU22" s="73" t="str">
        <f t="shared" si="147"/>
        <v/>
      </c>
      <c r="MXV22" s="73" t="str">
        <f t="shared" si="147"/>
        <v/>
      </c>
      <c r="MXW22" s="73" t="str">
        <f t="shared" si="147"/>
        <v/>
      </c>
      <c r="MXX22" s="73" t="str">
        <f t="shared" si="147"/>
        <v/>
      </c>
      <c r="MXY22" s="73" t="str">
        <f t="shared" si="147"/>
        <v/>
      </c>
      <c r="MXZ22" s="73" t="str">
        <f t="shared" si="147"/>
        <v/>
      </c>
      <c r="MYA22" s="73" t="str">
        <f t="shared" si="147"/>
        <v/>
      </c>
      <c r="MYB22" s="73" t="str">
        <f t="shared" si="147"/>
        <v/>
      </c>
      <c r="MYC22" s="73" t="str">
        <f t="shared" si="147"/>
        <v/>
      </c>
      <c r="MYD22" s="73" t="str">
        <f t="shared" si="147"/>
        <v/>
      </c>
      <c r="MYE22" s="73" t="str">
        <f t="shared" si="147"/>
        <v/>
      </c>
      <c r="MYF22" s="73" t="str">
        <f t="shared" si="147"/>
        <v/>
      </c>
      <c r="MYG22" s="73" t="str">
        <f t="shared" si="147"/>
        <v/>
      </c>
      <c r="MYH22" s="73" t="str">
        <f t="shared" si="147"/>
        <v/>
      </c>
      <c r="MYI22" s="73" t="str">
        <f t="shared" si="147"/>
        <v/>
      </c>
      <c r="MYJ22" s="73" t="str">
        <f t="shared" si="147"/>
        <v/>
      </c>
      <c r="MYK22" s="73" t="str">
        <f t="shared" si="147"/>
        <v/>
      </c>
      <c r="MYL22" s="73" t="str">
        <f t="shared" si="147"/>
        <v/>
      </c>
      <c r="MYM22" s="73" t="str">
        <f t="shared" si="147"/>
        <v/>
      </c>
      <c r="MYN22" s="73" t="str">
        <f t="shared" si="147"/>
        <v/>
      </c>
      <c r="MYO22" s="73" t="str">
        <f t="shared" si="147"/>
        <v/>
      </c>
      <c r="MYP22" s="73" t="str">
        <f t="shared" si="147"/>
        <v/>
      </c>
      <c r="MYQ22" s="73" t="str">
        <f t="shared" si="147"/>
        <v/>
      </c>
      <c r="MYR22" s="73" t="str">
        <f t="shared" si="147"/>
        <v/>
      </c>
      <c r="MYS22" s="73" t="str">
        <f t="shared" si="147"/>
        <v/>
      </c>
      <c r="MYT22" s="73" t="str">
        <f t="shared" si="147"/>
        <v/>
      </c>
      <c r="MYU22" s="73" t="str">
        <f t="shared" si="147"/>
        <v/>
      </c>
      <c r="MYV22" s="73" t="str">
        <f t="shared" si="147"/>
        <v/>
      </c>
      <c r="MYW22" s="73" t="str">
        <f t="shared" si="147"/>
        <v/>
      </c>
      <c r="MYX22" s="73" t="str">
        <f t="shared" si="147"/>
        <v/>
      </c>
      <c r="MYY22" s="73" t="str">
        <f t="shared" si="147"/>
        <v/>
      </c>
      <c r="MYZ22" s="73" t="str">
        <f t="shared" si="147"/>
        <v/>
      </c>
      <c r="MZA22" s="73" t="str">
        <f t="shared" si="147"/>
        <v/>
      </c>
      <c r="MZB22" s="73" t="str">
        <f t="shared" si="147"/>
        <v/>
      </c>
      <c r="MZC22" s="73" t="str">
        <f t="shared" si="147"/>
        <v/>
      </c>
      <c r="MZD22" s="73" t="str">
        <f t="shared" si="147"/>
        <v/>
      </c>
      <c r="MZE22" s="73" t="str">
        <f t="shared" si="147"/>
        <v/>
      </c>
      <c r="MZF22" s="73" t="str">
        <f t="shared" si="147"/>
        <v/>
      </c>
      <c r="MZG22" s="73" t="str">
        <f t="shared" si="147"/>
        <v/>
      </c>
      <c r="MZH22" s="73" t="str">
        <f t="shared" si="147"/>
        <v/>
      </c>
      <c r="MZI22" s="73" t="str">
        <f t="shared" si="147"/>
        <v/>
      </c>
      <c r="MZJ22" s="73" t="str">
        <f t="shared" si="147"/>
        <v/>
      </c>
      <c r="MZK22" s="73" t="str">
        <f t="shared" si="147"/>
        <v/>
      </c>
      <c r="MZL22" s="73" t="str">
        <f t="shared" si="147"/>
        <v/>
      </c>
      <c r="MZM22" s="73" t="str">
        <f t="shared" si="147"/>
        <v/>
      </c>
      <c r="MZN22" s="73" t="str">
        <f t="shared" ref="MZN22:NBY22" si="148">IFERROR(AVERAGE(MZN6:MZN21),"")</f>
        <v/>
      </c>
      <c r="MZO22" s="73" t="str">
        <f t="shared" si="148"/>
        <v/>
      </c>
      <c r="MZP22" s="73" t="str">
        <f t="shared" si="148"/>
        <v/>
      </c>
      <c r="MZQ22" s="73" t="str">
        <f t="shared" si="148"/>
        <v/>
      </c>
      <c r="MZR22" s="73" t="str">
        <f t="shared" si="148"/>
        <v/>
      </c>
      <c r="MZS22" s="73" t="str">
        <f t="shared" si="148"/>
        <v/>
      </c>
      <c r="MZT22" s="73" t="str">
        <f t="shared" si="148"/>
        <v/>
      </c>
      <c r="MZU22" s="73" t="str">
        <f t="shared" si="148"/>
        <v/>
      </c>
      <c r="MZV22" s="73" t="str">
        <f t="shared" si="148"/>
        <v/>
      </c>
      <c r="MZW22" s="73" t="str">
        <f t="shared" si="148"/>
        <v/>
      </c>
      <c r="MZX22" s="73" t="str">
        <f t="shared" si="148"/>
        <v/>
      </c>
      <c r="MZY22" s="73" t="str">
        <f t="shared" si="148"/>
        <v/>
      </c>
      <c r="MZZ22" s="73" t="str">
        <f t="shared" si="148"/>
        <v/>
      </c>
      <c r="NAA22" s="73" t="str">
        <f t="shared" si="148"/>
        <v/>
      </c>
      <c r="NAB22" s="73" t="str">
        <f t="shared" si="148"/>
        <v/>
      </c>
      <c r="NAC22" s="73" t="str">
        <f t="shared" si="148"/>
        <v/>
      </c>
      <c r="NAD22" s="73" t="str">
        <f t="shared" si="148"/>
        <v/>
      </c>
      <c r="NAE22" s="73" t="str">
        <f t="shared" si="148"/>
        <v/>
      </c>
      <c r="NAF22" s="73" t="str">
        <f t="shared" si="148"/>
        <v/>
      </c>
      <c r="NAG22" s="73" t="str">
        <f t="shared" si="148"/>
        <v/>
      </c>
      <c r="NAH22" s="73" t="str">
        <f t="shared" si="148"/>
        <v/>
      </c>
      <c r="NAI22" s="73" t="str">
        <f t="shared" si="148"/>
        <v/>
      </c>
      <c r="NAJ22" s="73" t="str">
        <f t="shared" si="148"/>
        <v/>
      </c>
      <c r="NAK22" s="73" t="str">
        <f t="shared" si="148"/>
        <v/>
      </c>
      <c r="NAL22" s="73" t="str">
        <f t="shared" si="148"/>
        <v/>
      </c>
      <c r="NAM22" s="73" t="str">
        <f t="shared" si="148"/>
        <v/>
      </c>
      <c r="NAN22" s="73" t="str">
        <f t="shared" si="148"/>
        <v/>
      </c>
      <c r="NAO22" s="73" t="str">
        <f t="shared" si="148"/>
        <v/>
      </c>
      <c r="NAP22" s="73" t="str">
        <f t="shared" si="148"/>
        <v/>
      </c>
      <c r="NAQ22" s="73" t="str">
        <f t="shared" si="148"/>
        <v/>
      </c>
      <c r="NAR22" s="73" t="str">
        <f t="shared" si="148"/>
        <v/>
      </c>
      <c r="NAS22" s="73" t="str">
        <f t="shared" si="148"/>
        <v/>
      </c>
      <c r="NAT22" s="73" t="str">
        <f t="shared" si="148"/>
        <v/>
      </c>
      <c r="NAU22" s="73" t="str">
        <f t="shared" si="148"/>
        <v/>
      </c>
      <c r="NAV22" s="73" t="str">
        <f t="shared" si="148"/>
        <v/>
      </c>
      <c r="NAW22" s="73" t="str">
        <f t="shared" si="148"/>
        <v/>
      </c>
      <c r="NAX22" s="73" t="str">
        <f t="shared" si="148"/>
        <v/>
      </c>
      <c r="NAY22" s="73" t="str">
        <f t="shared" si="148"/>
        <v/>
      </c>
      <c r="NAZ22" s="73" t="str">
        <f t="shared" si="148"/>
        <v/>
      </c>
      <c r="NBA22" s="73" t="str">
        <f t="shared" si="148"/>
        <v/>
      </c>
      <c r="NBB22" s="73" t="str">
        <f t="shared" si="148"/>
        <v/>
      </c>
      <c r="NBC22" s="73" t="str">
        <f t="shared" si="148"/>
        <v/>
      </c>
      <c r="NBD22" s="73" t="str">
        <f t="shared" si="148"/>
        <v/>
      </c>
      <c r="NBE22" s="73" t="str">
        <f t="shared" si="148"/>
        <v/>
      </c>
      <c r="NBF22" s="73" t="str">
        <f t="shared" si="148"/>
        <v/>
      </c>
      <c r="NBG22" s="73" t="str">
        <f t="shared" si="148"/>
        <v/>
      </c>
      <c r="NBH22" s="73" t="str">
        <f t="shared" si="148"/>
        <v/>
      </c>
      <c r="NBI22" s="73" t="str">
        <f t="shared" si="148"/>
        <v/>
      </c>
      <c r="NBJ22" s="73" t="str">
        <f t="shared" si="148"/>
        <v/>
      </c>
      <c r="NBK22" s="73" t="str">
        <f t="shared" si="148"/>
        <v/>
      </c>
      <c r="NBL22" s="73" t="str">
        <f t="shared" si="148"/>
        <v/>
      </c>
      <c r="NBM22" s="73" t="str">
        <f t="shared" si="148"/>
        <v/>
      </c>
      <c r="NBN22" s="73" t="str">
        <f t="shared" si="148"/>
        <v/>
      </c>
      <c r="NBO22" s="73" t="str">
        <f t="shared" si="148"/>
        <v/>
      </c>
      <c r="NBP22" s="73" t="str">
        <f t="shared" si="148"/>
        <v/>
      </c>
      <c r="NBQ22" s="73" t="str">
        <f t="shared" si="148"/>
        <v/>
      </c>
      <c r="NBR22" s="73" t="str">
        <f t="shared" si="148"/>
        <v/>
      </c>
      <c r="NBS22" s="73" t="str">
        <f t="shared" si="148"/>
        <v/>
      </c>
      <c r="NBT22" s="73" t="str">
        <f t="shared" si="148"/>
        <v/>
      </c>
      <c r="NBU22" s="73" t="str">
        <f t="shared" si="148"/>
        <v/>
      </c>
      <c r="NBV22" s="73" t="str">
        <f t="shared" si="148"/>
        <v/>
      </c>
      <c r="NBW22" s="73" t="str">
        <f t="shared" si="148"/>
        <v/>
      </c>
      <c r="NBX22" s="73" t="str">
        <f t="shared" si="148"/>
        <v/>
      </c>
      <c r="NBY22" s="73" t="str">
        <f t="shared" si="148"/>
        <v/>
      </c>
      <c r="NBZ22" s="73" t="str">
        <f t="shared" ref="NBZ22:NEK22" si="149">IFERROR(AVERAGE(NBZ6:NBZ21),"")</f>
        <v/>
      </c>
      <c r="NCA22" s="73" t="str">
        <f t="shared" si="149"/>
        <v/>
      </c>
      <c r="NCB22" s="73" t="str">
        <f t="shared" si="149"/>
        <v/>
      </c>
      <c r="NCC22" s="73" t="str">
        <f t="shared" si="149"/>
        <v/>
      </c>
      <c r="NCD22" s="73" t="str">
        <f t="shared" si="149"/>
        <v/>
      </c>
      <c r="NCE22" s="73" t="str">
        <f t="shared" si="149"/>
        <v/>
      </c>
      <c r="NCF22" s="73" t="str">
        <f t="shared" si="149"/>
        <v/>
      </c>
      <c r="NCG22" s="73" t="str">
        <f t="shared" si="149"/>
        <v/>
      </c>
      <c r="NCH22" s="73" t="str">
        <f t="shared" si="149"/>
        <v/>
      </c>
      <c r="NCI22" s="73" t="str">
        <f t="shared" si="149"/>
        <v/>
      </c>
      <c r="NCJ22" s="73" t="str">
        <f t="shared" si="149"/>
        <v/>
      </c>
      <c r="NCK22" s="73" t="str">
        <f t="shared" si="149"/>
        <v/>
      </c>
      <c r="NCL22" s="73" t="str">
        <f t="shared" si="149"/>
        <v/>
      </c>
      <c r="NCM22" s="73" t="str">
        <f t="shared" si="149"/>
        <v/>
      </c>
      <c r="NCN22" s="73" t="str">
        <f t="shared" si="149"/>
        <v/>
      </c>
      <c r="NCO22" s="73" t="str">
        <f t="shared" si="149"/>
        <v/>
      </c>
      <c r="NCP22" s="73" t="str">
        <f t="shared" si="149"/>
        <v/>
      </c>
      <c r="NCQ22" s="73" t="str">
        <f t="shared" si="149"/>
        <v/>
      </c>
      <c r="NCR22" s="73" t="str">
        <f t="shared" si="149"/>
        <v/>
      </c>
      <c r="NCS22" s="73" t="str">
        <f t="shared" si="149"/>
        <v/>
      </c>
      <c r="NCT22" s="73" t="str">
        <f t="shared" si="149"/>
        <v/>
      </c>
      <c r="NCU22" s="73" t="str">
        <f t="shared" si="149"/>
        <v/>
      </c>
      <c r="NCV22" s="73" t="str">
        <f t="shared" si="149"/>
        <v/>
      </c>
      <c r="NCW22" s="73" t="str">
        <f t="shared" si="149"/>
        <v/>
      </c>
      <c r="NCX22" s="73" t="str">
        <f t="shared" si="149"/>
        <v/>
      </c>
      <c r="NCY22" s="73" t="str">
        <f t="shared" si="149"/>
        <v/>
      </c>
      <c r="NCZ22" s="73" t="str">
        <f t="shared" si="149"/>
        <v/>
      </c>
      <c r="NDA22" s="73" t="str">
        <f t="shared" si="149"/>
        <v/>
      </c>
      <c r="NDB22" s="73" t="str">
        <f t="shared" si="149"/>
        <v/>
      </c>
      <c r="NDC22" s="73" t="str">
        <f t="shared" si="149"/>
        <v/>
      </c>
      <c r="NDD22" s="73" t="str">
        <f t="shared" si="149"/>
        <v/>
      </c>
      <c r="NDE22" s="73" t="str">
        <f t="shared" si="149"/>
        <v/>
      </c>
      <c r="NDF22" s="73" t="str">
        <f t="shared" si="149"/>
        <v/>
      </c>
      <c r="NDG22" s="73" t="str">
        <f t="shared" si="149"/>
        <v/>
      </c>
      <c r="NDH22" s="73" t="str">
        <f t="shared" si="149"/>
        <v/>
      </c>
      <c r="NDI22" s="73" t="str">
        <f t="shared" si="149"/>
        <v/>
      </c>
      <c r="NDJ22" s="73" t="str">
        <f t="shared" si="149"/>
        <v/>
      </c>
      <c r="NDK22" s="73" t="str">
        <f t="shared" si="149"/>
        <v/>
      </c>
      <c r="NDL22" s="73" t="str">
        <f t="shared" si="149"/>
        <v/>
      </c>
      <c r="NDM22" s="73" t="str">
        <f t="shared" si="149"/>
        <v/>
      </c>
      <c r="NDN22" s="73" t="str">
        <f t="shared" si="149"/>
        <v/>
      </c>
      <c r="NDO22" s="73" t="str">
        <f t="shared" si="149"/>
        <v/>
      </c>
      <c r="NDP22" s="73" t="str">
        <f t="shared" si="149"/>
        <v/>
      </c>
      <c r="NDQ22" s="73" t="str">
        <f t="shared" si="149"/>
        <v/>
      </c>
      <c r="NDR22" s="73" t="str">
        <f t="shared" si="149"/>
        <v/>
      </c>
      <c r="NDS22" s="73" t="str">
        <f t="shared" si="149"/>
        <v/>
      </c>
      <c r="NDT22" s="73" t="str">
        <f t="shared" si="149"/>
        <v/>
      </c>
      <c r="NDU22" s="73" t="str">
        <f t="shared" si="149"/>
        <v/>
      </c>
      <c r="NDV22" s="73" t="str">
        <f t="shared" si="149"/>
        <v/>
      </c>
      <c r="NDW22" s="73" t="str">
        <f t="shared" si="149"/>
        <v/>
      </c>
      <c r="NDX22" s="73" t="str">
        <f t="shared" si="149"/>
        <v/>
      </c>
      <c r="NDY22" s="73" t="str">
        <f t="shared" si="149"/>
        <v/>
      </c>
      <c r="NDZ22" s="73" t="str">
        <f t="shared" si="149"/>
        <v/>
      </c>
      <c r="NEA22" s="73" t="str">
        <f t="shared" si="149"/>
        <v/>
      </c>
      <c r="NEB22" s="73" t="str">
        <f t="shared" si="149"/>
        <v/>
      </c>
      <c r="NEC22" s="73" t="str">
        <f t="shared" si="149"/>
        <v/>
      </c>
      <c r="NED22" s="73" t="str">
        <f t="shared" si="149"/>
        <v/>
      </c>
      <c r="NEE22" s="73" t="str">
        <f t="shared" si="149"/>
        <v/>
      </c>
      <c r="NEF22" s="73" t="str">
        <f t="shared" si="149"/>
        <v/>
      </c>
      <c r="NEG22" s="73" t="str">
        <f t="shared" si="149"/>
        <v/>
      </c>
      <c r="NEH22" s="73" t="str">
        <f t="shared" si="149"/>
        <v/>
      </c>
      <c r="NEI22" s="73" t="str">
        <f t="shared" si="149"/>
        <v/>
      </c>
      <c r="NEJ22" s="73" t="str">
        <f t="shared" si="149"/>
        <v/>
      </c>
      <c r="NEK22" s="73" t="str">
        <f t="shared" si="149"/>
        <v/>
      </c>
      <c r="NEL22" s="73" t="str">
        <f t="shared" ref="NEL22:NGW22" si="150">IFERROR(AVERAGE(NEL6:NEL21),"")</f>
        <v/>
      </c>
      <c r="NEM22" s="73" t="str">
        <f t="shared" si="150"/>
        <v/>
      </c>
      <c r="NEN22" s="73" t="str">
        <f t="shared" si="150"/>
        <v/>
      </c>
      <c r="NEO22" s="73" t="str">
        <f t="shared" si="150"/>
        <v/>
      </c>
      <c r="NEP22" s="73" t="str">
        <f t="shared" si="150"/>
        <v/>
      </c>
      <c r="NEQ22" s="73" t="str">
        <f t="shared" si="150"/>
        <v/>
      </c>
      <c r="NER22" s="73" t="str">
        <f t="shared" si="150"/>
        <v/>
      </c>
      <c r="NES22" s="73" t="str">
        <f t="shared" si="150"/>
        <v/>
      </c>
      <c r="NET22" s="73" t="str">
        <f t="shared" si="150"/>
        <v/>
      </c>
      <c r="NEU22" s="73" t="str">
        <f t="shared" si="150"/>
        <v/>
      </c>
      <c r="NEV22" s="73" t="str">
        <f t="shared" si="150"/>
        <v/>
      </c>
      <c r="NEW22" s="73" t="str">
        <f t="shared" si="150"/>
        <v/>
      </c>
      <c r="NEX22" s="73" t="str">
        <f t="shared" si="150"/>
        <v/>
      </c>
      <c r="NEY22" s="73" t="str">
        <f t="shared" si="150"/>
        <v/>
      </c>
      <c r="NEZ22" s="73" t="str">
        <f t="shared" si="150"/>
        <v/>
      </c>
      <c r="NFA22" s="73" t="str">
        <f t="shared" si="150"/>
        <v/>
      </c>
      <c r="NFB22" s="73" t="str">
        <f t="shared" si="150"/>
        <v/>
      </c>
      <c r="NFC22" s="73" t="str">
        <f t="shared" si="150"/>
        <v/>
      </c>
      <c r="NFD22" s="73" t="str">
        <f t="shared" si="150"/>
        <v/>
      </c>
      <c r="NFE22" s="73" t="str">
        <f t="shared" si="150"/>
        <v/>
      </c>
      <c r="NFF22" s="73" t="str">
        <f t="shared" si="150"/>
        <v/>
      </c>
      <c r="NFG22" s="73" t="str">
        <f t="shared" si="150"/>
        <v/>
      </c>
      <c r="NFH22" s="73" t="str">
        <f t="shared" si="150"/>
        <v/>
      </c>
      <c r="NFI22" s="73" t="str">
        <f t="shared" si="150"/>
        <v/>
      </c>
      <c r="NFJ22" s="73" t="str">
        <f t="shared" si="150"/>
        <v/>
      </c>
      <c r="NFK22" s="73" t="str">
        <f t="shared" si="150"/>
        <v/>
      </c>
      <c r="NFL22" s="73" t="str">
        <f t="shared" si="150"/>
        <v/>
      </c>
      <c r="NFM22" s="73" t="str">
        <f t="shared" si="150"/>
        <v/>
      </c>
      <c r="NFN22" s="73" t="str">
        <f t="shared" si="150"/>
        <v/>
      </c>
      <c r="NFO22" s="73" t="str">
        <f t="shared" si="150"/>
        <v/>
      </c>
      <c r="NFP22" s="73" t="str">
        <f t="shared" si="150"/>
        <v/>
      </c>
      <c r="NFQ22" s="73" t="str">
        <f t="shared" si="150"/>
        <v/>
      </c>
      <c r="NFR22" s="73" t="str">
        <f t="shared" si="150"/>
        <v/>
      </c>
      <c r="NFS22" s="73" t="str">
        <f t="shared" si="150"/>
        <v/>
      </c>
      <c r="NFT22" s="73" t="str">
        <f t="shared" si="150"/>
        <v/>
      </c>
      <c r="NFU22" s="73" t="str">
        <f t="shared" si="150"/>
        <v/>
      </c>
      <c r="NFV22" s="73" t="str">
        <f t="shared" si="150"/>
        <v/>
      </c>
      <c r="NFW22" s="73" t="str">
        <f t="shared" si="150"/>
        <v/>
      </c>
      <c r="NFX22" s="73" t="str">
        <f t="shared" si="150"/>
        <v/>
      </c>
      <c r="NFY22" s="73" t="str">
        <f t="shared" si="150"/>
        <v/>
      </c>
      <c r="NFZ22" s="73" t="str">
        <f t="shared" si="150"/>
        <v/>
      </c>
      <c r="NGA22" s="73" t="str">
        <f t="shared" si="150"/>
        <v/>
      </c>
      <c r="NGB22" s="73" t="str">
        <f t="shared" si="150"/>
        <v/>
      </c>
      <c r="NGC22" s="73" t="str">
        <f t="shared" si="150"/>
        <v/>
      </c>
      <c r="NGD22" s="73" t="str">
        <f t="shared" si="150"/>
        <v/>
      </c>
      <c r="NGE22" s="73" t="str">
        <f t="shared" si="150"/>
        <v/>
      </c>
      <c r="NGF22" s="73" t="str">
        <f t="shared" si="150"/>
        <v/>
      </c>
      <c r="NGG22" s="73" t="str">
        <f t="shared" si="150"/>
        <v/>
      </c>
      <c r="NGH22" s="73" t="str">
        <f t="shared" si="150"/>
        <v/>
      </c>
      <c r="NGI22" s="73" t="str">
        <f t="shared" si="150"/>
        <v/>
      </c>
      <c r="NGJ22" s="73" t="str">
        <f t="shared" si="150"/>
        <v/>
      </c>
      <c r="NGK22" s="73" t="str">
        <f t="shared" si="150"/>
        <v/>
      </c>
      <c r="NGL22" s="73" t="str">
        <f t="shared" si="150"/>
        <v/>
      </c>
      <c r="NGM22" s="73" t="str">
        <f t="shared" si="150"/>
        <v/>
      </c>
      <c r="NGN22" s="73" t="str">
        <f t="shared" si="150"/>
        <v/>
      </c>
      <c r="NGO22" s="73" t="str">
        <f t="shared" si="150"/>
        <v/>
      </c>
      <c r="NGP22" s="73" t="str">
        <f t="shared" si="150"/>
        <v/>
      </c>
      <c r="NGQ22" s="73" t="str">
        <f t="shared" si="150"/>
        <v/>
      </c>
      <c r="NGR22" s="73" t="str">
        <f t="shared" si="150"/>
        <v/>
      </c>
      <c r="NGS22" s="73" t="str">
        <f t="shared" si="150"/>
        <v/>
      </c>
      <c r="NGT22" s="73" t="str">
        <f t="shared" si="150"/>
        <v/>
      </c>
      <c r="NGU22" s="73" t="str">
        <f t="shared" si="150"/>
        <v/>
      </c>
      <c r="NGV22" s="73" t="str">
        <f t="shared" si="150"/>
        <v/>
      </c>
      <c r="NGW22" s="73" t="str">
        <f t="shared" si="150"/>
        <v/>
      </c>
      <c r="NGX22" s="73" t="str">
        <f t="shared" ref="NGX22:NJI22" si="151">IFERROR(AVERAGE(NGX6:NGX21),"")</f>
        <v/>
      </c>
      <c r="NGY22" s="73" t="str">
        <f t="shared" si="151"/>
        <v/>
      </c>
      <c r="NGZ22" s="73" t="str">
        <f t="shared" si="151"/>
        <v/>
      </c>
      <c r="NHA22" s="73" t="str">
        <f t="shared" si="151"/>
        <v/>
      </c>
      <c r="NHB22" s="73" t="str">
        <f t="shared" si="151"/>
        <v/>
      </c>
      <c r="NHC22" s="73" t="str">
        <f t="shared" si="151"/>
        <v/>
      </c>
      <c r="NHD22" s="73" t="str">
        <f t="shared" si="151"/>
        <v/>
      </c>
      <c r="NHE22" s="73" t="str">
        <f t="shared" si="151"/>
        <v/>
      </c>
      <c r="NHF22" s="73" t="str">
        <f t="shared" si="151"/>
        <v/>
      </c>
      <c r="NHG22" s="73" t="str">
        <f t="shared" si="151"/>
        <v/>
      </c>
      <c r="NHH22" s="73" t="str">
        <f t="shared" si="151"/>
        <v/>
      </c>
      <c r="NHI22" s="73" t="str">
        <f t="shared" si="151"/>
        <v/>
      </c>
      <c r="NHJ22" s="73" t="str">
        <f t="shared" si="151"/>
        <v/>
      </c>
      <c r="NHK22" s="73" t="str">
        <f t="shared" si="151"/>
        <v/>
      </c>
      <c r="NHL22" s="73" t="str">
        <f t="shared" si="151"/>
        <v/>
      </c>
      <c r="NHM22" s="73" t="str">
        <f t="shared" si="151"/>
        <v/>
      </c>
      <c r="NHN22" s="73" t="str">
        <f t="shared" si="151"/>
        <v/>
      </c>
      <c r="NHO22" s="73" t="str">
        <f t="shared" si="151"/>
        <v/>
      </c>
      <c r="NHP22" s="73" t="str">
        <f t="shared" si="151"/>
        <v/>
      </c>
      <c r="NHQ22" s="73" t="str">
        <f t="shared" si="151"/>
        <v/>
      </c>
      <c r="NHR22" s="73" t="str">
        <f t="shared" si="151"/>
        <v/>
      </c>
      <c r="NHS22" s="73" t="str">
        <f t="shared" si="151"/>
        <v/>
      </c>
      <c r="NHT22" s="73" t="str">
        <f t="shared" si="151"/>
        <v/>
      </c>
      <c r="NHU22" s="73" t="str">
        <f t="shared" si="151"/>
        <v/>
      </c>
      <c r="NHV22" s="73" t="str">
        <f t="shared" si="151"/>
        <v/>
      </c>
      <c r="NHW22" s="73" t="str">
        <f t="shared" si="151"/>
        <v/>
      </c>
      <c r="NHX22" s="73" t="str">
        <f t="shared" si="151"/>
        <v/>
      </c>
      <c r="NHY22" s="73" t="str">
        <f t="shared" si="151"/>
        <v/>
      </c>
      <c r="NHZ22" s="73" t="str">
        <f t="shared" si="151"/>
        <v/>
      </c>
      <c r="NIA22" s="73" t="str">
        <f t="shared" si="151"/>
        <v/>
      </c>
      <c r="NIB22" s="73" t="str">
        <f t="shared" si="151"/>
        <v/>
      </c>
      <c r="NIC22" s="73" t="str">
        <f t="shared" si="151"/>
        <v/>
      </c>
      <c r="NID22" s="73" t="str">
        <f t="shared" si="151"/>
        <v/>
      </c>
      <c r="NIE22" s="73" t="str">
        <f t="shared" si="151"/>
        <v/>
      </c>
      <c r="NIF22" s="73" t="str">
        <f t="shared" si="151"/>
        <v/>
      </c>
      <c r="NIG22" s="73" t="str">
        <f t="shared" si="151"/>
        <v/>
      </c>
      <c r="NIH22" s="73" t="str">
        <f t="shared" si="151"/>
        <v/>
      </c>
      <c r="NII22" s="73" t="str">
        <f t="shared" si="151"/>
        <v/>
      </c>
      <c r="NIJ22" s="73" t="str">
        <f t="shared" si="151"/>
        <v/>
      </c>
      <c r="NIK22" s="73" t="str">
        <f t="shared" si="151"/>
        <v/>
      </c>
      <c r="NIL22" s="73" t="str">
        <f t="shared" si="151"/>
        <v/>
      </c>
      <c r="NIM22" s="73" t="str">
        <f t="shared" si="151"/>
        <v/>
      </c>
      <c r="NIN22" s="73" t="str">
        <f t="shared" si="151"/>
        <v/>
      </c>
      <c r="NIO22" s="73" t="str">
        <f t="shared" si="151"/>
        <v/>
      </c>
      <c r="NIP22" s="73" t="str">
        <f t="shared" si="151"/>
        <v/>
      </c>
      <c r="NIQ22" s="73" t="str">
        <f t="shared" si="151"/>
        <v/>
      </c>
      <c r="NIR22" s="73" t="str">
        <f t="shared" si="151"/>
        <v/>
      </c>
      <c r="NIS22" s="73" t="str">
        <f t="shared" si="151"/>
        <v/>
      </c>
      <c r="NIT22" s="73" t="str">
        <f t="shared" si="151"/>
        <v/>
      </c>
      <c r="NIU22" s="73" t="str">
        <f t="shared" si="151"/>
        <v/>
      </c>
      <c r="NIV22" s="73" t="str">
        <f t="shared" si="151"/>
        <v/>
      </c>
      <c r="NIW22" s="73" t="str">
        <f t="shared" si="151"/>
        <v/>
      </c>
      <c r="NIX22" s="73" t="str">
        <f t="shared" si="151"/>
        <v/>
      </c>
      <c r="NIY22" s="73" t="str">
        <f t="shared" si="151"/>
        <v/>
      </c>
      <c r="NIZ22" s="73" t="str">
        <f t="shared" si="151"/>
        <v/>
      </c>
      <c r="NJA22" s="73" t="str">
        <f t="shared" si="151"/>
        <v/>
      </c>
      <c r="NJB22" s="73" t="str">
        <f t="shared" si="151"/>
        <v/>
      </c>
      <c r="NJC22" s="73" t="str">
        <f t="shared" si="151"/>
        <v/>
      </c>
      <c r="NJD22" s="73" t="str">
        <f t="shared" si="151"/>
        <v/>
      </c>
      <c r="NJE22" s="73" t="str">
        <f t="shared" si="151"/>
        <v/>
      </c>
      <c r="NJF22" s="73" t="str">
        <f t="shared" si="151"/>
        <v/>
      </c>
      <c r="NJG22" s="73" t="str">
        <f t="shared" si="151"/>
        <v/>
      </c>
      <c r="NJH22" s="73" t="str">
        <f t="shared" si="151"/>
        <v/>
      </c>
      <c r="NJI22" s="73" t="str">
        <f t="shared" si="151"/>
        <v/>
      </c>
      <c r="NJJ22" s="73" t="str">
        <f t="shared" ref="NJJ22:NLU22" si="152">IFERROR(AVERAGE(NJJ6:NJJ21),"")</f>
        <v/>
      </c>
      <c r="NJK22" s="73" t="str">
        <f t="shared" si="152"/>
        <v/>
      </c>
      <c r="NJL22" s="73" t="str">
        <f t="shared" si="152"/>
        <v/>
      </c>
      <c r="NJM22" s="73" t="str">
        <f t="shared" si="152"/>
        <v/>
      </c>
      <c r="NJN22" s="73" t="str">
        <f t="shared" si="152"/>
        <v/>
      </c>
      <c r="NJO22" s="73" t="str">
        <f t="shared" si="152"/>
        <v/>
      </c>
      <c r="NJP22" s="73" t="str">
        <f t="shared" si="152"/>
        <v/>
      </c>
      <c r="NJQ22" s="73" t="str">
        <f t="shared" si="152"/>
        <v/>
      </c>
      <c r="NJR22" s="73" t="str">
        <f t="shared" si="152"/>
        <v/>
      </c>
      <c r="NJS22" s="73" t="str">
        <f t="shared" si="152"/>
        <v/>
      </c>
      <c r="NJT22" s="73" t="str">
        <f t="shared" si="152"/>
        <v/>
      </c>
      <c r="NJU22" s="73" t="str">
        <f t="shared" si="152"/>
        <v/>
      </c>
      <c r="NJV22" s="73" t="str">
        <f t="shared" si="152"/>
        <v/>
      </c>
      <c r="NJW22" s="73" t="str">
        <f t="shared" si="152"/>
        <v/>
      </c>
      <c r="NJX22" s="73" t="str">
        <f t="shared" si="152"/>
        <v/>
      </c>
      <c r="NJY22" s="73" t="str">
        <f t="shared" si="152"/>
        <v/>
      </c>
      <c r="NJZ22" s="73" t="str">
        <f t="shared" si="152"/>
        <v/>
      </c>
      <c r="NKA22" s="73" t="str">
        <f t="shared" si="152"/>
        <v/>
      </c>
      <c r="NKB22" s="73" t="str">
        <f t="shared" si="152"/>
        <v/>
      </c>
      <c r="NKC22" s="73" t="str">
        <f t="shared" si="152"/>
        <v/>
      </c>
      <c r="NKD22" s="73" t="str">
        <f t="shared" si="152"/>
        <v/>
      </c>
      <c r="NKE22" s="73" t="str">
        <f t="shared" si="152"/>
        <v/>
      </c>
      <c r="NKF22" s="73" t="str">
        <f t="shared" si="152"/>
        <v/>
      </c>
      <c r="NKG22" s="73" t="str">
        <f t="shared" si="152"/>
        <v/>
      </c>
      <c r="NKH22" s="73" t="str">
        <f t="shared" si="152"/>
        <v/>
      </c>
      <c r="NKI22" s="73" t="str">
        <f t="shared" si="152"/>
        <v/>
      </c>
      <c r="NKJ22" s="73" t="str">
        <f t="shared" si="152"/>
        <v/>
      </c>
      <c r="NKK22" s="73" t="str">
        <f t="shared" si="152"/>
        <v/>
      </c>
      <c r="NKL22" s="73" t="str">
        <f t="shared" si="152"/>
        <v/>
      </c>
      <c r="NKM22" s="73" t="str">
        <f t="shared" si="152"/>
        <v/>
      </c>
      <c r="NKN22" s="73" t="str">
        <f t="shared" si="152"/>
        <v/>
      </c>
      <c r="NKO22" s="73" t="str">
        <f t="shared" si="152"/>
        <v/>
      </c>
      <c r="NKP22" s="73" t="str">
        <f t="shared" si="152"/>
        <v/>
      </c>
      <c r="NKQ22" s="73" t="str">
        <f t="shared" si="152"/>
        <v/>
      </c>
      <c r="NKR22" s="73" t="str">
        <f t="shared" si="152"/>
        <v/>
      </c>
      <c r="NKS22" s="73" t="str">
        <f t="shared" si="152"/>
        <v/>
      </c>
      <c r="NKT22" s="73" t="str">
        <f t="shared" si="152"/>
        <v/>
      </c>
      <c r="NKU22" s="73" t="str">
        <f t="shared" si="152"/>
        <v/>
      </c>
      <c r="NKV22" s="73" t="str">
        <f t="shared" si="152"/>
        <v/>
      </c>
      <c r="NKW22" s="73" t="str">
        <f t="shared" si="152"/>
        <v/>
      </c>
      <c r="NKX22" s="73" t="str">
        <f t="shared" si="152"/>
        <v/>
      </c>
      <c r="NKY22" s="73" t="str">
        <f t="shared" si="152"/>
        <v/>
      </c>
      <c r="NKZ22" s="73" t="str">
        <f t="shared" si="152"/>
        <v/>
      </c>
      <c r="NLA22" s="73" t="str">
        <f t="shared" si="152"/>
        <v/>
      </c>
      <c r="NLB22" s="73" t="str">
        <f t="shared" si="152"/>
        <v/>
      </c>
      <c r="NLC22" s="73" t="str">
        <f t="shared" si="152"/>
        <v/>
      </c>
      <c r="NLD22" s="73" t="str">
        <f t="shared" si="152"/>
        <v/>
      </c>
      <c r="NLE22" s="73" t="str">
        <f t="shared" si="152"/>
        <v/>
      </c>
      <c r="NLF22" s="73" t="str">
        <f t="shared" si="152"/>
        <v/>
      </c>
      <c r="NLG22" s="73" t="str">
        <f t="shared" si="152"/>
        <v/>
      </c>
      <c r="NLH22" s="73" t="str">
        <f t="shared" si="152"/>
        <v/>
      </c>
      <c r="NLI22" s="73" t="str">
        <f t="shared" si="152"/>
        <v/>
      </c>
      <c r="NLJ22" s="73" t="str">
        <f t="shared" si="152"/>
        <v/>
      </c>
      <c r="NLK22" s="73" t="str">
        <f t="shared" si="152"/>
        <v/>
      </c>
      <c r="NLL22" s="73" t="str">
        <f t="shared" si="152"/>
        <v/>
      </c>
      <c r="NLM22" s="73" t="str">
        <f t="shared" si="152"/>
        <v/>
      </c>
      <c r="NLN22" s="73" t="str">
        <f t="shared" si="152"/>
        <v/>
      </c>
      <c r="NLO22" s="73" t="str">
        <f t="shared" si="152"/>
        <v/>
      </c>
      <c r="NLP22" s="73" t="str">
        <f t="shared" si="152"/>
        <v/>
      </c>
      <c r="NLQ22" s="73" t="str">
        <f t="shared" si="152"/>
        <v/>
      </c>
      <c r="NLR22" s="73" t="str">
        <f t="shared" si="152"/>
        <v/>
      </c>
      <c r="NLS22" s="73" t="str">
        <f t="shared" si="152"/>
        <v/>
      </c>
      <c r="NLT22" s="73" t="str">
        <f t="shared" si="152"/>
        <v/>
      </c>
      <c r="NLU22" s="73" t="str">
        <f t="shared" si="152"/>
        <v/>
      </c>
      <c r="NLV22" s="73" t="str">
        <f t="shared" ref="NLV22:NOG22" si="153">IFERROR(AVERAGE(NLV6:NLV21),"")</f>
        <v/>
      </c>
      <c r="NLW22" s="73" t="str">
        <f t="shared" si="153"/>
        <v/>
      </c>
      <c r="NLX22" s="73" t="str">
        <f t="shared" si="153"/>
        <v/>
      </c>
      <c r="NLY22" s="73" t="str">
        <f t="shared" si="153"/>
        <v/>
      </c>
      <c r="NLZ22" s="73" t="str">
        <f t="shared" si="153"/>
        <v/>
      </c>
      <c r="NMA22" s="73" t="str">
        <f t="shared" si="153"/>
        <v/>
      </c>
      <c r="NMB22" s="73" t="str">
        <f t="shared" si="153"/>
        <v/>
      </c>
      <c r="NMC22" s="73" t="str">
        <f t="shared" si="153"/>
        <v/>
      </c>
      <c r="NMD22" s="73" t="str">
        <f t="shared" si="153"/>
        <v/>
      </c>
      <c r="NME22" s="73" t="str">
        <f t="shared" si="153"/>
        <v/>
      </c>
      <c r="NMF22" s="73" t="str">
        <f t="shared" si="153"/>
        <v/>
      </c>
      <c r="NMG22" s="73" t="str">
        <f t="shared" si="153"/>
        <v/>
      </c>
      <c r="NMH22" s="73" t="str">
        <f t="shared" si="153"/>
        <v/>
      </c>
      <c r="NMI22" s="73" t="str">
        <f t="shared" si="153"/>
        <v/>
      </c>
      <c r="NMJ22" s="73" t="str">
        <f t="shared" si="153"/>
        <v/>
      </c>
      <c r="NMK22" s="73" t="str">
        <f t="shared" si="153"/>
        <v/>
      </c>
      <c r="NML22" s="73" t="str">
        <f t="shared" si="153"/>
        <v/>
      </c>
      <c r="NMM22" s="73" t="str">
        <f t="shared" si="153"/>
        <v/>
      </c>
      <c r="NMN22" s="73" t="str">
        <f t="shared" si="153"/>
        <v/>
      </c>
      <c r="NMO22" s="73" t="str">
        <f t="shared" si="153"/>
        <v/>
      </c>
      <c r="NMP22" s="73" t="str">
        <f t="shared" si="153"/>
        <v/>
      </c>
      <c r="NMQ22" s="73" t="str">
        <f t="shared" si="153"/>
        <v/>
      </c>
      <c r="NMR22" s="73" t="str">
        <f t="shared" si="153"/>
        <v/>
      </c>
      <c r="NMS22" s="73" t="str">
        <f t="shared" si="153"/>
        <v/>
      </c>
      <c r="NMT22" s="73" t="str">
        <f t="shared" si="153"/>
        <v/>
      </c>
      <c r="NMU22" s="73" t="str">
        <f t="shared" si="153"/>
        <v/>
      </c>
      <c r="NMV22" s="73" t="str">
        <f t="shared" si="153"/>
        <v/>
      </c>
      <c r="NMW22" s="73" t="str">
        <f t="shared" si="153"/>
        <v/>
      </c>
      <c r="NMX22" s="73" t="str">
        <f t="shared" si="153"/>
        <v/>
      </c>
      <c r="NMY22" s="73" t="str">
        <f t="shared" si="153"/>
        <v/>
      </c>
      <c r="NMZ22" s="73" t="str">
        <f t="shared" si="153"/>
        <v/>
      </c>
      <c r="NNA22" s="73" t="str">
        <f t="shared" si="153"/>
        <v/>
      </c>
      <c r="NNB22" s="73" t="str">
        <f t="shared" si="153"/>
        <v/>
      </c>
      <c r="NNC22" s="73" t="str">
        <f t="shared" si="153"/>
        <v/>
      </c>
      <c r="NND22" s="73" t="str">
        <f t="shared" si="153"/>
        <v/>
      </c>
      <c r="NNE22" s="73" t="str">
        <f t="shared" si="153"/>
        <v/>
      </c>
      <c r="NNF22" s="73" t="str">
        <f t="shared" si="153"/>
        <v/>
      </c>
      <c r="NNG22" s="73" t="str">
        <f t="shared" si="153"/>
        <v/>
      </c>
      <c r="NNH22" s="73" t="str">
        <f t="shared" si="153"/>
        <v/>
      </c>
      <c r="NNI22" s="73" t="str">
        <f t="shared" si="153"/>
        <v/>
      </c>
      <c r="NNJ22" s="73" t="str">
        <f t="shared" si="153"/>
        <v/>
      </c>
      <c r="NNK22" s="73" t="str">
        <f t="shared" si="153"/>
        <v/>
      </c>
      <c r="NNL22" s="73" t="str">
        <f t="shared" si="153"/>
        <v/>
      </c>
      <c r="NNM22" s="73" t="str">
        <f t="shared" si="153"/>
        <v/>
      </c>
      <c r="NNN22" s="73" t="str">
        <f t="shared" si="153"/>
        <v/>
      </c>
      <c r="NNO22" s="73" t="str">
        <f t="shared" si="153"/>
        <v/>
      </c>
      <c r="NNP22" s="73" t="str">
        <f t="shared" si="153"/>
        <v/>
      </c>
      <c r="NNQ22" s="73" t="str">
        <f t="shared" si="153"/>
        <v/>
      </c>
      <c r="NNR22" s="73" t="str">
        <f t="shared" si="153"/>
        <v/>
      </c>
      <c r="NNS22" s="73" t="str">
        <f t="shared" si="153"/>
        <v/>
      </c>
      <c r="NNT22" s="73" t="str">
        <f t="shared" si="153"/>
        <v/>
      </c>
      <c r="NNU22" s="73" t="str">
        <f t="shared" si="153"/>
        <v/>
      </c>
      <c r="NNV22" s="73" t="str">
        <f t="shared" si="153"/>
        <v/>
      </c>
      <c r="NNW22" s="73" t="str">
        <f t="shared" si="153"/>
        <v/>
      </c>
      <c r="NNX22" s="73" t="str">
        <f t="shared" si="153"/>
        <v/>
      </c>
      <c r="NNY22" s="73" t="str">
        <f t="shared" si="153"/>
        <v/>
      </c>
      <c r="NNZ22" s="73" t="str">
        <f t="shared" si="153"/>
        <v/>
      </c>
      <c r="NOA22" s="73" t="str">
        <f t="shared" si="153"/>
        <v/>
      </c>
      <c r="NOB22" s="73" t="str">
        <f t="shared" si="153"/>
        <v/>
      </c>
      <c r="NOC22" s="73" t="str">
        <f t="shared" si="153"/>
        <v/>
      </c>
      <c r="NOD22" s="73" t="str">
        <f t="shared" si="153"/>
        <v/>
      </c>
      <c r="NOE22" s="73" t="str">
        <f t="shared" si="153"/>
        <v/>
      </c>
      <c r="NOF22" s="73" t="str">
        <f t="shared" si="153"/>
        <v/>
      </c>
      <c r="NOG22" s="73" t="str">
        <f t="shared" si="153"/>
        <v/>
      </c>
      <c r="NOH22" s="73" t="str">
        <f t="shared" ref="NOH22:NQS22" si="154">IFERROR(AVERAGE(NOH6:NOH21),"")</f>
        <v/>
      </c>
      <c r="NOI22" s="73" t="str">
        <f t="shared" si="154"/>
        <v/>
      </c>
      <c r="NOJ22" s="73" t="str">
        <f t="shared" si="154"/>
        <v/>
      </c>
      <c r="NOK22" s="73" t="str">
        <f t="shared" si="154"/>
        <v/>
      </c>
      <c r="NOL22" s="73" t="str">
        <f t="shared" si="154"/>
        <v/>
      </c>
      <c r="NOM22" s="73" t="str">
        <f t="shared" si="154"/>
        <v/>
      </c>
      <c r="NON22" s="73" t="str">
        <f t="shared" si="154"/>
        <v/>
      </c>
      <c r="NOO22" s="73" t="str">
        <f t="shared" si="154"/>
        <v/>
      </c>
      <c r="NOP22" s="73" t="str">
        <f t="shared" si="154"/>
        <v/>
      </c>
      <c r="NOQ22" s="73" t="str">
        <f t="shared" si="154"/>
        <v/>
      </c>
      <c r="NOR22" s="73" t="str">
        <f t="shared" si="154"/>
        <v/>
      </c>
      <c r="NOS22" s="73" t="str">
        <f t="shared" si="154"/>
        <v/>
      </c>
      <c r="NOT22" s="73" t="str">
        <f t="shared" si="154"/>
        <v/>
      </c>
      <c r="NOU22" s="73" t="str">
        <f t="shared" si="154"/>
        <v/>
      </c>
      <c r="NOV22" s="73" t="str">
        <f t="shared" si="154"/>
        <v/>
      </c>
      <c r="NOW22" s="73" t="str">
        <f t="shared" si="154"/>
        <v/>
      </c>
      <c r="NOX22" s="73" t="str">
        <f t="shared" si="154"/>
        <v/>
      </c>
      <c r="NOY22" s="73" t="str">
        <f t="shared" si="154"/>
        <v/>
      </c>
      <c r="NOZ22" s="73" t="str">
        <f t="shared" si="154"/>
        <v/>
      </c>
      <c r="NPA22" s="73" t="str">
        <f t="shared" si="154"/>
        <v/>
      </c>
      <c r="NPB22" s="73" t="str">
        <f t="shared" si="154"/>
        <v/>
      </c>
      <c r="NPC22" s="73" t="str">
        <f t="shared" si="154"/>
        <v/>
      </c>
      <c r="NPD22" s="73" t="str">
        <f t="shared" si="154"/>
        <v/>
      </c>
      <c r="NPE22" s="73" t="str">
        <f t="shared" si="154"/>
        <v/>
      </c>
      <c r="NPF22" s="73" t="str">
        <f t="shared" si="154"/>
        <v/>
      </c>
      <c r="NPG22" s="73" t="str">
        <f t="shared" si="154"/>
        <v/>
      </c>
      <c r="NPH22" s="73" t="str">
        <f t="shared" si="154"/>
        <v/>
      </c>
      <c r="NPI22" s="73" t="str">
        <f t="shared" si="154"/>
        <v/>
      </c>
      <c r="NPJ22" s="73" t="str">
        <f t="shared" si="154"/>
        <v/>
      </c>
      <c r="NPK22" s="73" t="str">
        <f t="shared" si="154"/>
        <v/>
      </c>
      <c r="NPL22" s="73" t="str">
        <f t="shared" si="154"/>
        <v/>
      </c>
      <c r="NPM22" s="73" t="str">
        <f t="shared" si="154"/>
        <v/>
      </c>
      <c r="NPN22" s="73" t="str">
        <f t="shared" si="154"/>
        <v/>
      </c>
      <c r="NPO22" s="73" t="str">
        <f t="shared" si="154"/>
        <v/>
      </c>
      <c r="NPP22" s="73" t="str">
        <f t="shared" si="154"/>
        <v/>
      </c>
      <c r="NPQ22" s="73" t="str">
        <f t="shared" si="154"/>
        <v/>
      </c>
      <c r="NPR22" s="73" t="str">
        <f t="shared" si="154"/>
        <v/>
      </c>
      <c r="NPS22" s="73" t="str">
        <f t="shared" si="154"/>
        <v/>
      </c>
      <c r="NPT22" s="73" t="str">
        <f t="shared" si="154"/>
        <v/>
      </c>
      <c r="NPU22" s="73" t="str">
        <f t="shared" si="154"/>
        <v/>
      </c>
      <c r="NPV22" s="73" t="str">
        <f t="shared" si="154"/>
        <v/>
      </c>
      <c r="NPW22" s="73" t="str">
        <f t="shared" si="154"/>
        <v/>
      </c>
      <c r="NPX22" s="73" t="str">
        <f t="shared" si="154"/>
        <v/>
      </c>
      <c r="NPY22" s="73" t="str">
        <f t="shared" si="154"/>
        <v/>
      </c>
      <c r="NPZ22" s="73" t="str">
        <f t="shared" si="154"/>
        <v/>
      </c>
      <c r="NQA22" s="73" t="str">
        <f t="shared" si="154"/>
        <v/>
      </c>
      <c r="NQB22" s="73" t="str">
        <f t="shared" si="154"/>
        <v/>
      </c>
      <c r="NQC22" s="73" t="str">
        <f t="shared" si="154"/>
        <v/>
      </c>
      <c r="NQD22" s="73" t="str">
        <f t="shared" si="154"/>
        <v/>
      </c>
      <c r="NQE22" s="73" t="str">
        <f t="shared" si="154"/>
        <v/>
      </c>
      <c r="NQF22" s="73" t="str">
        <f t="shared" si="154"/>
        <v/>
      </c>
      <c r="NQG22" s="73" t="str">
        <f t="shared" si="154"/>
        <v/>
      </c>
      <c r="NQH22" s="73" t="str">
        <f t="shared" si="154"/>
        <v/>
      </c>
      <c r="NQI22" s="73" t="str">
        <f t="shared" si="154"/>
        <v/>
      </c>
      <c r="NQJ22" s="73" t="str">
        <f t="shared" si="154"/>
        <v/>
      </c>
      <c r="NQK22" s="73" t="str">
        <f t="shared" si="154"/>
        <v/>
      </c>
      <c r="NQL22" s="73" t="str">
        <f t="shared" si="154"/>
        <v/>
      </c>
      <c r="NQM22" s="73" t="str">
        <f t="shared" si="154"/>
        <v/>
      </c>
      <c r="NQN22" s="73" t="str">
        <f t="shared" si="154"/>
        <v/>
      </c>
      <c r="NQO22" s="73" t="str">
        <f t="shared" si="154"/>
        <v/>
      </c>
      <c r="NQP22" s="73" t="str">
        <f t="shared" si="154"/>
        <v/>
      </c>
      <c r="NQQ22" s="73" t="str">
        <f t="shared" si="154"/>
        <v/>
      </c>
      <c r="NQR22" s="73" t="str">
        <f t="shared" si="154"/>
        <v/>
      </c>
      <c r="NQS22" s="73" t="str">
        <f t="shared" si="154"/>
        <v/>
      </c>
      <c r="NQT22" s="73" t="str">
        <f t="shared" ref="NQT22:NTE22" si="155">IFERROR(AVERAGE(NQT6:NQT21),"")</f>
        <v/>
      </c>
      <c r="NQU22" s="73" t="str">
        <f t="shared" si="155"/>
        <v/>
      </c>
      <c r="NQV22" s="73" t="str">
        <f t="shared" si="155"/>
        <v/>
      </c>
      <c r="NQW22" s="73" t="str">
        <f t="shared" si="155"/>
        <v/>
      </c>
      <c r="NQX22" s="73" t="str">
        <f t="shared" si="155"/>
        <v/>
      </c>
      <c r="NQY22" s="73" t="str">
        <f t="shared" si="155"/>
        <v/>
      </c>
      <c r="NQZ22" s="73" t="str">
        <f t="shared" si="155"/>
        <v/>
      </c>
      <c r="NRA22" s="73" t="str">
        <f t="shared" si="155"/>
        <v/>
      </c>
      <c r="NRB22" s="73" t="str">
        <f t="shared" si="155"/>
        <v/>
      </c>
      <c r="NRC22" s="73" t="str">
        <f t="shared" si="155"/>
        <v/>
      </c>
      <c r="NRD22" s="73" t="str">
        <f t="shared" si="155"/>
        <v/>
      </c>
      <c r="NRE22" s="73" t="str">
        <f t="shared" si="155"/>
        <v/>
      </c>
      <c r="NRF22" s="73" t="str">
        <f t="shared" si="155"/>
        <v/>
      </c>
      <c r="NRG22" s="73" t="str">
        <f t="shared" si="155"/>
        <v/>
      </c>
      <c r="NRH22" s="73" t="str">
        <f t="shared" si="155"/>
        <v/>
      </c>
      <c r="NRI22" s="73" t="str">
        <f t="shared" si="155"/>
        <v/>
      </c>
      <c r="NRJ22" s="73" t="str">
        <f t="shared" si="155"/>
        <v/>
      </c>
      <c r="NRK22" s="73" t="str">
        <f t="shared" si="155"/>
        <v/>
      </c>
      <c r="NRL22" s="73" t="str">
        <f t="shared" si="155"/>
        <v/>
      </c>
      <c r="NRM22" s="73" t="str">
        <f t="shared" si="155"/>
        <v/>
      </c>
      <c r="NRN22" s="73" t="str">
        <f t="shared" si="155"/>
        <v/>
      </c>
      <c r="NRO22" s="73" t="str">
        <f t="shared" si="155"/>
        <v/>
      </c>
      <c r="NRP22" s="73" t="str">
        <f t="shared" si="155"/>
        <v/>
      </c>
      <c r="NRQ22" s="73" t="str">
        <f t="shared" si="155"/>
        <v/>
      </c>
      <c r="NRR22" s="73" t="str">
        <f t="shared" si="155"/>
        <v/>
      </c>
      <c r="NRS22" s="73" t="str">
        <f t="shared" si="155"/>
        <v/>
      </c>
      <c r="NRT22" s="73" t="str">
        <f t="shared" si="155"/>
        <v/>
      </c>
      <c r="NRU22" s="73" t="str">
        <f t="shared" si="155"/>
        <v/>
      </c>
      <c r="NRV22" s="73" t="str">
        <f t="shared" si="155"/>
        <v/>
      </c>
      <c r="NRW22" s="73" t="str">
        <f t="shared" si="155"/>
        <v/>
      </c>
      <c r="NRX22" s="73" t="str">
        <f t="shared" si="155"/>
        <v/>
      </c>
      <c r="NRY22" s="73" t="str">
        <f t="shared" si="155"/>
        <v/>
      </c>
      <c r="NRZ22" s="73" t="str">
        <f t="shared" si="155"/>
        <v/>
      </c>
      <c r="NSA22" s="73" t="str">
        <f t="shared" si="155"/>
        <v/>
      </c>
      <c r="NSB22" s="73" t="str">
        <f t="shared" si="155"/>
        <v/>
      </c>
      <c r="NSC22" s="73" t="str">
        <f t="shared" si="155"/>
        <v/>
      </c>
      <c r="NSD22" s="73" t="str">
        <f t="shared" si="155"/>
        <v/>
      </c>
      <c r="NSE22" s="73" t="str">
        <f t="shared" si="155"/>
        <v/>
      </c>
      <c r="NSF22" s="73" t="str">
        <f t="shared" si="155"/>
        <v/>
      </c>
      <c r="NSG22" s="73" t="str">
        <f t="shared" si="155"/>
        <v/>
      </c>
      <c r="NSH22" s="73" t="str">
        <f t="shared" si="155"/>
        <v/>
      </c>
      <c r="NSI22" s="73" t="str">
        <f t="shared" si="155"/>
        <v/>
      </c>
      <c r="NSJ22" s="73" t="str">
        <f t="shared" si="155"/>
        <v/>
      </c>
      <c r="NSK22" s="73" t="str">
        <f t="shared" si="155"/>
        <v/>
      </c>
      <c r="NSL22" s="73" t="str">
        <f t="shared" si="155"/>
        <v/>
      </c>
      <c r="NSM22" s="73" t="str">
        <f t="shared" si="155"/>
        <v/>
      </c>
      <c r="NSN22" s="73" t="str">
        <f t="shared" si="155"/>
        <v/>
      </c>
      <c r="NSO22" s="73" t="str">
        <f t="shared" si="155"/>
        <v/>
      </c>
      <c r="NSP22" s="73" t="str">
        <f t="shared" si="155"/>
        <v/>
      </c>
      <c r="NSQ22" s="73" t="str">
        <f t="shared" si="155"/>
        <v/>
      </c>
      <c r="NSR22" s="73" t="str">
        <f t="shared" si="155"/>
        <v/>
      </c>
      <c r="NSS22" s="73" t="str">
        <f t="shared" si="155"/>
        <v/>
      </c>
      <c r="NST22" s="73" t="str">
        <f t="shared" si="155"/>
        <v/>
      </c>
      <c r="NSU22" s="73" t="str">
        <f t="shared" si="155"/>
        <v/>
      </c>
      <c r="NSV22" s="73" t="str">
        <f t="shared" si="155"/>
        <v/>
      </c>
      <c r="NSW22" s="73" t="str">
        <f t="shared" si="155"/>
        <v/>
      </c>
      <c r="NSX22" s="73" t="str">
        <f t="shared" si="155"/>
        <v/>
      </c>
      <c r="NSY22" s="73" t="str">
        <f t="shared" si="155"/>
        <v/>
      </c>
      <c r="NSZ22" s="73" t="str">
        <f t="shared" si="155"/>
        <v/>
      </c>
      <c r="NTA22" s="73" t="str">
        <f t="shared" si="155"/>
        <v/>
      </c>
      <c r="NTB22" s="73" t="str">
        <f t="shared" si="155"/>
        <v/>
      </c>
      <c r="NTC22" s="73" t="str">
        <f t="shared" si="155"/>
        <v/>
      </c>
      <c r="NTD22" s="73" t="str">
        <f t="shared" si="155"/>
        <v/>
      </c>
      <c r="NTE22" s="73" t="str">
        <f t="shared" si="155"/>
        <v/>
      </c>
      <c r="NTF22" s="73" t="str">
        <f t="shared" ref="NTF22:NVQ22" si="156">IFERROR(AVERAGE(NTF6:NTF21),"")</f>
        <v/>
      </c>
      <c r="NTG22" s="73" t="str">
        <f t="shared" si="156"/>
        <v/>
      </c>
      <c r="NTH22" s="73" t="str">
        <f t="shared" si="156"/>
        <v/>
      </c>
      <c r="NTI22" s="73" t="str">
        <f t="shared" si="156"/>
        <v/>
      </c>
      <c r="NTJ22" s="73" t="str">
        <f t="shared" si="156"/>
        <v/>
      </c>
      <c r="NTK22" s="73" t="str">
        <f t="shared" si="156"/>
        <v/>
      </c>
      <c r="NTL22" s="73" t="str">
        <f t="shared" si="156"/>
        <v/>
      </c>
      <c r="NTM22" s="73" t="str">
        <f t="shared" si="156"/>
        <v/>
      </c>
      <c r="NTN22" s="73" t="str">
        <f t="shared" si="156"/>
        <v/>
      </c>
      <c r="NTO22" s="73" t="str">
        <f t="shared" si="156"/>
        <v/>
      </c>
      <c r="NTP22" s="73" t="str">
        <f t="shared" si="156"/>
        <v/>
      </c>
      <c r="NTQ22" s="73" t="str">
        <f t="shared" si="156"/>
        <v/>
      </c>
      <c r="NTR22" s="73" t="str">
        <f t="shared" si="156"/>
        <v/>
      </c>
      <c r="NTS22" s="73" t="str">
        <f t="shared" si="156"/>
        <v/>
      </c>
      <c r="NTT22" s="73" t="str">
        <f t="shared" si="156"/>
        <v/>
      </c>
      <c r="NTU22" s="73" t="str">
        <f t="shared" si="156"/>
        <v/>
      </c>
      <c r="NTV22" s="73" t="str">
        <f t="shared" si="156"/>
        <v/>
      </c>
      <c r="NTW22" s="73" t="str">
        <f t="shared" si="156"/>
        <v/>
      </c>
      <c r="NTX22" s="73" t="str">
        <f t="shared" si="156"/>
        <v/>
      </c>
      <c r="NTY22" s="73" t="str">
        <f t="shared" si="156"/>
        <v/>
      </c>
      <c r="NTZ22" s="73" t="str">
        <f t="shared" si="156"/>
        <v/>
      </c>
      <c r="NUA22" s="73" t="str">
        <f t="shared" si="156"/>
        <v/>
      </c>
      <c r="NUB22" s="73" t="str">
        <f t="shared" si="156"/>
        <v/>
      </c>
      <c r="NUC22" s="73" t="str">
        <f t="shared" si="156"/>
        <v/>
      </c>
      <c r="NUD22" s="73" t="str">
        <f t="shared" si="156"/>
        <v/>
      </c>
      <c r="NUE22" s="73" t="str">
        <f t="shared" si="156"/>
        <v/>
      </c>
      <c r="NUF22" s="73" t="str">
        <f t="shared" si="156"/>
        <v/>
      </c>
      <c r="NUG22" s="73" t="str">
        <f t="shared" si="156"/>
        <v/>
      </c>
      <c r="NUH22" s="73" t="str">
        <f t="shared" si="156"/>
        <v/>
      </c>
      <c r="NUI22" s="73" t="str">
        <f t="shared" si="156"/>
        <v/>
      </c>
      <c r="NUJ22" s="73" t="str">
        <f t="shared" si="156"/>
        <v/>
      </c>
      <c r="NUK22" s="73" t="str">
        <f t="shared" si="156"/>
        <v/>
      </c>
      <c r="NUL22" s="73" t="str">
        <f t="shared" si="156"/>
        <v/>
      </c>
      <c r="NUM22" s="73" t="str">
        <f t="shared" si="156"/>
        <v/>
      </c>
      <c r="NUN22" s="73" t="str">
        <f t="shared" si="156"/>
        <v/>
      </c>
      <c r="NUO22" s="73" t="str">
        <f t="shared" si="156"/>
        <v/>
      </c>
      <c r="NUP22" s="73" t="str">
        <f t="shared" si="156"/>
        <v/>
      </c>
      <c r="NUQ22" s="73" t="str">
        <f t="shared" si="156"/>
        <v/>
      </c>
      <c r="NUR22" s="73" t="str">
        <f t="shared" si="156"/>
        <v/>
      </c>
      <c r="NUS22" s="73" t="str">
        <f t="shared" si="156"/>
        <v/>
      </c>
      <c r="NUT22" s="73" t="str">
        <f t="shared" si="156"/>
        <v/>
      </c>
      <c r="NUU22" s="73" t="str">
        <f t="shared" si="156"/>
        <v/>
      </c>
      <c r="NUV22" s="73" t="str">
        <f t="shared" si="156"/>
        <v/>
      </c>
      <c r="NUW22" s="73" t="str">
        <f t="shared" si="156"/>
        <v/>
      </c>
      <c r="NUX22" s="73" t="str">
        <f t="shared" si="156"/>
        <v/>
      </c>
      <c r="NUY22" s="73" t="str">
        <f t="shared" si="156"/>
        <v/>
      </c>
      <c r="NUZ22" s="73" t="str">
        <f t="shared" si="156"/>
        <v/>
      </c>
      <c r="NVA22" s="73" t="str">
        <f t="shared" si="156"/>
        <v/>
      </c>
      <c r="NVB22" s="73" t="str">
        <f t="shared" si="156"/>
        <v/>
      </c>
      <c r="NVC22" s="73" t="str">
        <f t="shared" si="156"/>
        <v/>
      </c>
      <c r="NVD22" s="73" t="str">
        <f t="shared" si="156"/>
        <v/>
      </c>
      <c r="NVE22" s="73" t="str">
        <f t="shared" si="156"/>
        <v/>
      </c>
      <c r="NVF22" s="73" t="str">
        <f t="shared" si="156"/>
        <v/>
      </c>
      <c r="NVG22" s="73" t="str">
        <f t="shared" si="156"/>
        <v/>
      </c>
      <c r="NVH22" s="73" t="str">
        <f t="shared" si="156"/>
        <v/>
      </c>
      <c r="NVI22" s="73" t="str">
        <f t="shared" si="156"/>
        <v/>
      </c>
      <c r="NVJ22" s="73" t="str">
        <f t="shared" si="156"/>
        <v/>
      </c>
      <c r="NVK22" s="73" t="str">
        <f t="shared" si="156"/>
        <v/>
      </c>
      <c r="NVL22" s="73" t="str">
        <f t="shared" si="156"/>
        <v/>
      </c>
      <c r="NVM22" s="73" t="str">
        <f t="shared" si="156"/>
        <v/>
      </c>
      <c r="NVN22" s="73" t="str">
        <f t="shared" si="156"/>
        <v/>
      </c>
      <c r="NVO22" s="73" t="str">
        <f t="shared" si="156"/>
        <v/>
      </c>
      <c r="NVP22" s="73" t="str">
        <f t="shared" si="156"/>
        <v/>
      </c>
      <c r="NVQ22" s="73" t="str">
        <f t="shared" si="156"/>
        <v/>
      </c>
      <c r="NVR22" s="73" t="str">
        <f t="shared" ref="NVR22:NYC22" si="157">IFERROR(AVERAGE(NVR6:NVR21),"")</f>
        <v/>
      </c>
      <c r="NVS22" s="73" t="str">
        <f t="shared" si="157"/>
        <v/>
      </c>
      <c r="NVT22" s="73" t="str">
        <f t="shared" si="157"/>
        <v/>
      </c>
      <c r="NVU22" s="73" t="str">
        <f t="shared" si="157"/>
        <v/>
      </c>
      <c r="NVV22" s="73" t="str">
        <f t="shared" si="157"/>
        <v/>
      </c>
      <c r="NVW22" s="73" t="str">
        <f t="shared" si="157"/>
        <v/>
      </c>
      <c r="NVX22" s="73" t="str">
        <f t="shared" si="157"/>
        <v/>
      </c>
      <c r="NVY22" s="73" t="str">
        <f t="shared" si="157"/>
        <v/>
      </c>
      <c r="NVZ22" s="73" t="str">
        <f t="shared" si="157"/>
        <v/>
      </c>
      <c r="NWA22" s="73" t="str">
        <f t="shared" si="157"/>
        <v/>
      </c>
      <c r="NWB22" s="73" t="str">
        <f t="shared" si="157"/>
        <v/>
      </c>
      <c r="NWC22" s="73" t="str">
        <f t="shared" si="157"/>
        <v/>
      </c>
      <c r="NWD22" s="73" t="str">
        <f t="shared" si="157"/>
        <v/>
      </c>
      <c r="NWE22" s="73" t="str">
        <f t="shared" si="157"/>
        <v/>
      </c>
      <c r="NWF22" s="73" t="str">
        <f t="shared" si="157"/>
        <v/>
      </c>
      <c r="NWG22" s="73" t="str">
        <f t="shared" si="157"/>
        <v/>
      </c>
      <c r="NWH22" s="73" t="str">
        <f t="shared" si="157"/>
        <v/>
      </c>
      <c r="NWI22" s="73" t="str">
        <f t="shared" si="157"/>
        <v/>
      </c>
      <c r="NWJ22" s="73" t="str">
        <f t="shared" si="157"/>
        <v/>
      </c>
      <c r="NWK22" s="73" t="str">
        <f t="shared" si="157"/>
        <v/>
      </c>
      <c r="NWL22" s="73" t="str">
        <f t="shared" si="157"/>
        <v/>
      </c>
      <c r="NWM22" s="73" t="str">
        <f t="shared" si="157"/>
        <v/>
      </c>
      <c r="NWN22" s="73" t="str">
        <f t="shared" si="157"/>
        <v/>
      </c>
      <c r="NWO22" s="73" t="str">
        <f t="shared" si="157"/>
        <v/>
      </c>
      <c r="NWP22" s="73" t="str">
        <f t="shared" si="157"/>
        <v/>
      </c>
      <c r="NWQ22" s="73" t="str">
        <f t="shared" si="157"/>
        <v/>
      </c>
      <c r="NWR22" s="73" t="str">
        <f t="shared" si="157"/>
        <v/>
      </c>
      <c r="NWS22" s="73" t="str">
        <f t="shared" si="157"/>
        <v/>
      </c>
      <c r="NWT22" s="73" t="str">
        <f t="shared" si="157"/>
        <v/>
      </c>
      <c r="NWU22" s="73" t="str">
        <f t="shared" si="157"/>
        <v/>
      </c>
      <c r="NWV22" s="73" t="str">
        <f t="shared" si="157"/>
        <v/>
      </c>
      <c r="NWW22" s="73" t="str">
        <f t="shared" si="157"/>
        <v/>
      </c>
      <c r="NWX22" s="73" t="str">
        <f t="shared" si="157"/>
        <v/>
      </c>
      <c r="NWY22" s="73" t="str">
        <f t="shared" si="157"/>
        <v/>
      </c>
      <c r="NWZ22" s="73" t="str">
        <f t="shared" si="157"/>
        <v/>
      </c>
      <c r="NXA22" s="73" t="str">
        <f t="shared" si="157"/>
        <v/>
      </c>
      <c r="NXB22" s="73" t="str">
        <f t="shared" si="157"/>
        <v/>
      </c>
      <c r="NXC22" s="73" t="str">
        <f t="shared" si="157"/>
        <v/>
      </c>
      <c r="NXD22" s="73" t="str">
        <f t="shared" si="157"/>
        <v/>
      </c>
      <c r="NXE22" s="73" t="str">
        <f t="shared" si="157"/>
        <v/>
      </c>
      <c r="NXF22" s="73" t="str">
        <f t="shared" si="157"/>
        <v/>
      </c>
      <c r="NXG22" s="73" t="str">
        <f t="shared" si="157"/>
        <v/>
      </c>
      <c r="NXH22" s="73" t="str">
        <f t="shared" si="157"/>
        <v/>
      </c>
      <c r="NXI22" s="73" t="str">
        <f t="shared" si="157"/>
        <v/>
      </c>
      <c r="NXJ22" s="73" t="str">
        <f t="shared" si="157"/>
        <v/>
      </c>
      <c r="NXK22" s="73" t="str">
        <f t="shared" si="157"/>
        <v/>
      </c>
      <c r="NXL22" s="73" t="str">
        <f t="shared" si="157"/>
        <v/>
      </c>
      <c r="NXM22" s="73" t="str">
        <f t="shared" si="157"/>
        <v/>
      </c>
      <c r="NXN22" s="73" t="str">
        <f t="shared" si="157"/>
        <v/>
      </c>
      <c r="NXO22" s="73" t="str">
        <f t="shared" si="157"/>
        <v/>
      </c>
      <c r="NXP22" s="73" t="str">
        <f t="shared" si="157"/>
        <v/>
      </c>
      <c r="NXQ22" s="73" t="str">
        <f t="shared" si="157"/>
        <v/>
      </c>
      <c r="NXR22" s="73" t="str">
        <f t="shared" si="157"/>
        <v/>
      </c>
      <c r="NXS22" s="73" t="str">
        <f t="shared" si="157"/>
        <v/>
      </c>
      <c r="NXT22" s="73" t="str">
        <f t="shared" si="157"/>
        <v/>
      </c>
      <c r="NXU22" s="73" t="str">
        <f t="shared" si="157"/>
        <v/>
      </c>
      <c r="NXV22" s="73" t="str">
        <f t="shared" si="157"/>
        <v/>
      </c>
      <c r="NXW22" s="73" t="str">
        <f t="shared" si="157"/>
        <v/>
      </c>
      <c r="NXX22" s="73" t="str">
        <f t="shared" si="157"/>
        <v/>
      </c>
      <c r="NXY22" s="73" t="str">
        <f t="shared" si="157"/>
        <v/>
      </c>
      <c r="NXZ22" s="73" t="str">
        <f t="shared" si="157"/>
        <v/>
      </c>
      <c r="NYA22" s="73" t="str">
        <f t="shared" si="157"/>
        <v/>
      </c>
      <c r="NYB22" s="73" t="str">
        <f t="shared" si="157"/>
        <v/>
      </c>
      <c r="NYC22" s="73" t="str">
        <f t="shared" si="157"/>
        <v/>
      </c>
      <c r="NYD22" s="73" t="str">
        <f t="shared" ref="NYD22:OAO22" si="158">IFERROR(AVERAGE(NYD6:NYD21),"")</f>
        <v/>
      </c>
      <c r="NYE22" s="73" t="str">
        <f t="shared" si="158"/>
        <v/>
      </c>
      <c r="NYF22" s="73" t="str">
        <f t="shared" si="158"/>
        <v/>
      </c>
      <c r="NYG22" s="73" t="str">
        <f t="shared" si="158"/>
        <v/>
      </c>
      <c r="NYH22" s="73" t="str">
        <f t="shared" si="158"/>
        <v/>
      </c>
      <c r="NYI22" s="73" t="str">
        <f t="shared" si="158"/>
        <v/>
      </c>
      <c r="NYJ22" s="73" t="str">
        <f t="shared" si="158"/>
        <v/>
      </c>
      <c r="NYK22" s="73" t="str">
        <f t="shared" si="158"/>
        <v/>
      </c>
      <c r="NYL22" s="73" t="str">
        <f t="shared" si="158"/>
        <v/>
      </c>
      <c r="NYM22" s="73" t="str">
        <f t="shared" si="158"/>
        <v/>
      </c>
      <c r="NYN22" s="73" t="str">
        <f t="shared" si="158"/>
        <v/>
      </c>
      <c r="NYO22" s="73" t="str">
        <f t="shared" si="158"/>
        <v/>
      </c>
      <c r="NYP22" s="73" t="str">
        <f t="shared" si="158"/>
        <v/>
      </c>
      <c r="NYQ22" s="73" t="str">
        <f t="shared" si="158"/>
        <v/>
      </c>
      <c r="NYR22" s="73" t="str">
        <f t="shared" si="158"/>
        <v/>
      </c>
      <c r="NYS22" s="73" t="str">
        <f t="shared" si="158"/>
        <v/>
      </c>
      <c r="NYT22" s="73" t="str">
        <f t="shared" si="158"/>
        <v/>
      </c>
      <c r="NYU22" s="73" t="str">
        <f t="shared" si="158"/>
        <v/>
      </c>
      <c r="NYV22" s="73" t="str">
        <f t="shared" si="158"/>
        <v/>
      </c>
      <c r="NYW22" s="73" t="str">
        <f t="shared" si="158"/>
        <v/>
      </c>
      <c r="NYX22" s="73" t="str">
        <f t="shared" si="158"/>
        <v/>
      </c>
      <c r="NYY22" s="73" t="str">
        <f t="shared" si="158"/>
        <v/>
      </c>
      <c r="NYZ22" s="73" t="str">
        <f t="shared" si="158"/>
        <v/>
      </c>
      <c r="NZA22" s="73" t="str">
        <f t="shared" si="158"/>
        <v/>
      </c>
      <c r="NZB22" s="73" t="str">
        <f t="shared" si="158"/>
        <v/>
      </c>
      <c r="NZC22" s="73" t="str">
        <f t="shared" si="158"/>
        <v/>
      </c>
      <c r="NZD22" s="73" t="str">
        <f t="shared" si="158"/>
        <v/>
      </c>
      <c r="NZE22" s="73" t="str">
        <f t="shared" si="158"/>
        <v/>
      </c>
      <c r="NZF22" s="73" t="str">
        <f t="shared" si="158"/>
        <v/>
      </c>
      <c r="NZG22" s="73" t="str">
        <f t="shared" si="158"/>
        <v/>
      </c>
      <c r="NZH22" s="73" t="str">
        <f t="shared" si="158"/>
        <v/>
      </c>
      <c r="NZI22" s="73" t="str">
        <f t="shared" si="158"/>
        <v/>
      </c>
      <c r="NZJ22" s="73" t="str">
        <f t="shared" si="158"/>
        <v/>
      </c>
      <c r="NZK22" s="73" t="str">
        <f t="shared" si="158"/>
        <v/>
      </c>
      <c r="NZL22" s="73" t="str">
        <f t="shared" si="158"/>
        <v/>
      </c>
      <c r="NZM22" s="73" t="str">
        <f t="shared" si="158"/>
        <v/>
      </c>
      <c r="NZN22" s="73" t="str">
        <f t="shared" si="158"/>
        <v/>
      </c>
      <c r="NZO22" s="73" t="str">
        <f t="shared" si="158"/>
        <v/>
      </c>
      <c r="NZP22" s="73" t="str">
        <f t="shared" si="158"/>
        <v/>
      </c>
      <c r="NZQ22" s="73" t="str">
        <f t="shared" si="158"/>
        <v/>
      </c>
      <c r="NZR22" s="73" t="str">
        <f t="shared" si="158"/>
        <v/>
      </c>
      <c r="NZS22" s="73" t="str">
        <f t="shared" si="158"/>
        <v/>
      </c>
      <c r="NZT22" s="73" t="str">
        <f t="shared" si="158"/>
        <v/>
      </c>
      <c r="NZU22" s="73" t="str">
        <f t="shared" si="158"/>
        <v/>
      </c>
      <c r="NZV22" s="73" t="str">
        <f t="shared" si="158"/>
        <v/>
      </c>
      <c r="NZW22" s="73" t="str">
        <f t="shared" si="158"/>
        <v/>
      </c>
      <c r="NZX22" s="73" t="str">
        <f t="shared" si="158"/>
        <v/>
      </c>
      <c r="NZY22" s="73" t="str">
        <f t="shared" si="158"/>
        <v/>
      </c>
      <c r="NZZ22" s="73" t="str">
        <f t="shared" si="158"/>
        <v/>
      </c>
      <c r="OAA22" s="73" t="str">
        <f t="shared" si="158"/>
        <v/>
      </c>
      <c r="OAB22" s="73" t="str">
        <f t="shared" si="158"/>
        <v/>
      </c>
      <c r="OAC22" s="73" t="str">
        <f t="shared" si="158"/>
        <v/>
      </c>
      <c r="OAD22" s="73" t="str">
        <f t="shared" si="158"/>
        <v/>
      </c>
      <c r="OAE22" s="73" t="str">
        <f t="shared" si="158"/>
        <v/>
      </c>
      <c r="OAF22" s="73" t="str">
        <f t="shared" si="158"/>
        <v/>
      </c>
      <c r="OAG22" s="73" t="str">
        <f t="shared" si="158"/>
        <v/>
      </c>
      <c r="OAH22" s="73" t="str">
        <f t="shared" si="158"/>
        <v/>
      </c>
      <c r="OAI22" s="73" t="str">
        <f t="shared" si="158"/>
        <v/>
      </c>
      <c r="OAJ22" s="73" t="str">
        <f t="shared" si="158"/>
        <v/>
      </c>
      <c r="OAK22" s="73" t="str">
        <f t="shared" si="158"/>
        <v/>
      </c>
      <c r="OAL22" s="73" t="str">
        <f t="shared" si="158"/>
        <v/>
      </c>
      <c r="OAM22" s="73" t="str">
        <f t="shared" si="158"/>
        <v/>
      </c>
      <c r="OAN22" s="73" t="str">
        <f t="shared" si="158"/>
        <v/>
      </c>
      <c r="OAO22" s="73" t="str">
        <f t="shared" si="158"/>
        <v/>
      </c>
      <c r="OAP22" s="73" t="str">
        <f t="shared" ref="OAP22:ODA22" si="159">IFERROR(AVERAGE(OAP6:OAP21),"")</f>
        <v/>
      </c>
      <c r="OAQ22" s="73" t="str">
        <f t="shared" si="159"/>
        <v/>
      </c>
      <c r="OAR22" s="73" t="str">
        <f t="shared" si="159"/>
        <v/>
      </c>
      <c r="OAS22" s="73" t="str">
        <f t="shared" si="159"/>
        <v/>
      </c>
      <c r="OAT22" s="73" t="str">
        <f t="shared" si="159"/>
        <v/>
      </c>
      <c r="OAU22" s="73" t="str">
        <f t="shared" si="159"/>
        <v/>
      </c>
      <c r="OAV22" s="73" t="str">
        <f t="shared" si="159"/>
        <v/>
      </c>
      <c r="OAW22" s="73" t="str">
        <f t="shared" si="159"/>
        <v/>
      </c>
      <c r="OAX22" s="73" t="str">
        <f t="shared" si="159"/>
        <v/>
      </c>
      <c r="OAY22" s="73" t="str">
        <f t="shared" si="159"/>
        <v/>
      </c>
      <c r="OAZ22" s="73" t="str">
        <f t="shared" si="159"/>
        <v/>
      </c>
      <c r="OBA22" s="73" t="str">
        <f t="shared" si="159"/>
        <v/>
      </c>
      <c r="OBB22" s="73" t="str">
        <f t="shared" si="159"/>
        <v/>
      </c>
      <c r="OBC22" s="73" t="str">
        <f t="shared" si="159"/>
        <v/>
      </c>
      <c r="OBD22" s="73" t="str">
        <f t="shared" si="159"/>
        <v/>
      </c>
      <c r="OBE22" s="73" t="str">
        <f t="shared" si="159"/>
        <v/>
      </c>
      <c r="OBF22" s="73" t="str">
        <f t="shared" si="159"/>
        <v/>
      </c>
      <c r="OBG22" s="73" t="str">
        <f t="shared" si="159"/>
        <v/>
      </c>
      <c r="OBH22" s="73" t="str">
        <f t="shared" si="159"/>
        <v/>
      </c>
      <c r="OBI22" s="73" t="str">
        <f t="shared" si="159"/>
        <v/>
      </c>
      <c r="OBJ22" s="73" t="str">
        <f t="shared" si="159"/>
        <v/>
      </c>
      <c r="OBK22" s="73" t="str">
        <f t="shared" si="159"/>
        <v/>
      </c>
      <c r="OBL22" s="73" t="str">
        <f t="shared" si="159"/>
        <v/>
      </c>
      <c r="OBM22" s="73" t="str">
        <f t="shared" si="159"/>
        <v/>
      </c>
      <c r="OBN22" s="73" t="str">
        <f t="shared" si="159"/>
        <v/>
      </c>
      <c r="OBO22" s="73" t="str">
        <f t="shared" si="159"/>
        <v/>
      </c>
      <c r="OBP22" s="73" t="str">
        <f t="shared" si="159"/>
        <v/>
      </c>
      <c r="OBQ22" s="73" t="str">
        <f t="shared" si="159"/>
        <v/>
      </c>
      <c r="OBR22" s="73" t="str">
        <f t="shared" si="159"/>
        <v/>
      </c>
      <c r="OBS22" s="73" t="str">
        <f t="shared" si="159"/>
        <v/>
      </c>
      <c r="OBT22" s="73" t="str">
        <f t="shared" si="159"/>
        <v/>
      </c>
      <c r="OBU22" s="73" t="str">
        <f t="shared" si="159"/>
        <v/>
      </c>
      <c r="OBV22" s="73" t="str">
        <f t="shared" si="159"/>
        <v/>
      </c>
      <c r="OBW22" s="73" t="str">
        <f t="shared" si="159"/>
        <v/>
      </c>
      <c r="OBX22" s="73" t="str">
        <f t="shared" si="159"/>
        <v/>
      </c>
      <c r="OBY22" s="73" t="str">
        <f t="shared" si="159"/>
        <v/>
      </c>
      <c r="OBZ22" s="73" t="str">
        <f t="shared" si="159"/>
        <v/>
      </c>
      <c r="OCA22" s="73" t="str">
        <f t="shared" si="159"/>
        <v/>
      </c>
      <c r="OCB22" s="73" t="str">
        <f t="shared" si="159"/>
        <v/>
      </c>
      <c r="OCC22" s="73" t="str">
        <f t="shared" si="159"/>
        <v/>
      </c>
      <c r="OCD22" s="73" t="str">
        <f t="shared" si="159"/>
        <v/>
      </c>
      <c r="OCE22" s="73" t="str">
        <f t="shared" si="159"/>
        <v/>
      </c>
      <c r="OCF22" s="73" t="str">
        <f t="shared" si="159"/>
        <v/>
      </c>
      <c r="OCG22" s="73" t="str">
        <f t="shared" si="159"/>
        <v/>
      </c>
      <c r="OCH22" s="73" t="str">
        <f t="shared" si="159"/>
        <v/>
      </c>
      <c r="OCI22" s="73" t="str">
        <f t="shared" si="159"/>
        <v/>
      </c>
      <c r="OCJ22" s="73" t="str">
        <f t="shared" si="159"/>
        <v/>
      </c>
      <c r="OCK22" s="73" t="str">
        <f t="shared" si="159"/>
        <v/>
      </c>
      <c r="OCL22" s="73" t="str">
        <f t="shared" si="159"/>
        <v/>
      </c>
      <c r="OCM22" s="73" t="str">
        <f t="shared" si="159"/>
        <v/>
      </c>
      <c r="OCN22" s="73" t="str">
        <f t="shared" si="159"/>
        <v/>
      </c>
      <c r="OCO22" s="73" t="str">
        <f t="shared" si="159"/>
        <v/>
      </c>
      <c r="OCP22" s="73" t="str">
        <f t="shared" si="159"/>
        <v/>
      </c>
      <c r="OCQ22" s="73" t="str">
        <f t="shared" si="159"/>
        <v/>
      </c>
      <c r="OCR22" s="73" t="str">
        <f t="shared" si="159"/>
        <v/>
      </c>
      <c r="OCS22" s="73" t="str">
        <f t="shared" si="159"/>
        <v/>
      </c>
      <c r="OCT22" s="73" t="str">
        <f t="shared" si="159"/>
        <v/>
      </c>
      <c r="OCU22" s="73" t="str">
        <f t="shared" si="159"/>
        <v/>
      </c>
      <c r="OCV22" s="73" t="str">
        <f t="shared" si="159"/>
        <v/>
      </c>
      <c r="OCW22" s="73" t="str">
        <f t="shared" si="159"/>
        <v/>
      </c>
      <c r="OCX22" s="73" t="str">
        <f t="shared" si="159"/>
        <v/>
      </c>
      <c r="OCY22" s="73" t="str">
        <f t="shared" si="159"/>
        <v/>
      </c>
      <c r="OCZ22" s="73" t="str">
        <f t="shared" si="159"/>
        <v/>
      </c>
      <c r="ODA22" s="73" t="str">
        <f t="shared" si="159"/>
        <v/>
      </c>
      <c r="ODB22" s="73" t="str">
        <f t="shared" ref="ODB22:OFM22" si="160">IFERROR(AVERAGE(ODB6:ODB21),"")</f>
        <v/>
      </c>
      <c r="ODC22" s="73" t="str">
        <f t="shared" si="160"/>
        <v/>
      </c>
      <c r="ODD22" s="73" t="str">
        <f t="shared" si="160"/>
        <v/>
      </c>
      <c r="ODE22" s="73" t="str">
        <f t="shared" si="160"/>
        <v/>
      </c>
      <c r="ODF22" s="73" t="str">
        <f t="shared" si="160"/>
        <v/>
      </c>
      <c r="ODG22" s="73" t="str">
        <f t="shared" si="160"/>
        <v/>
      </c>
      <c r="ODH22" s="73" t="str">
        <f t="shared" si="160"/>
        <v/>
      </c>
      <c r="ODI22" s="73" t="str">
        <f t="shared" si="160"/>
        <v/>
      </c>
      <c r="ODJ22" s="73" t="str">
        <f t="shared" si="160"/>
        <v/>
      </c>
      <c r="ODK22" s="73" t="str">
        <f t="shared" si="160"/>
        <v/>
      </c>
      <c r="ODL22" s="73" t="str">
        <f t="shared" si="160"/>
        <v/>
      </c>
      <c r="ODM22" s="73" t="str">
        <f t="shared" si="160"/>
        <v/>
      </c>
      <c r="ODN22" s="73" t="str">
        <f t="shared" si="160"/>
        <v/>
      </c>
      <c r="ODO22" s="73" t="str">
        <f t="shared" si="160"/>
        <v/>
      </c>
      <c r="ODP22" s="73" t="str">
        <f t="shared" si="160"/>
        <v/>
      </c>
      <c r="ODQ22" s="73" t="str">
        <f t="shared" si="160"/>
        <v/>
      </c>
      <c r="ODR22" s="73" t="str">
        <f t="shared" si="160"/>
        <v/>
      </c>
      <c r="ODS22" s="73" t="str">
        <f t="shared" si="160"/>
        <v/>
      </c>
      <c r="ODT22" s="73" t="str">
        <f t="shared" si="160"/>
        <v/>
      </c>
      <c r="ODU22" s="73" t="str">
        <f t="shared" si="160"/>
        <v/>
      </c>
      <c r="ODV22" s="73" t="str">
        <f t="shared" si="160"/>
        <v/>
      </c>
      <c r="ODW22" s="73" t="str">
        <f t="shared" si="160"/>
        <v/>
      </c>
      <c r="ODX22" s="73" t="str">
        <f t="shared" si="160"/>
        <v/>
      </c>
      <c r="ODY22" s="73" t="str">
        <f t="shared" si="160"/>
        <v/>
      </c>
      <c r="ODZ22" s="73" t="str">
        <f t="shared" si="160"/>
        <v/>
      </c>
      <c r="OEA22" s="73" t="str">
        <f t="shared" si="160"/>
        <v/>
      </c>
      <c r="OEB22" s="73" t="str">
        <f t="shared" si="160"/>
        <v/>
      </c>
      <c r="OEC22" s="73" t="str">
        <f t="shared" si="160"/>
        <v/>
      </c>
      <c r="OED22" s="73" t="str">
        <f t="shared" si="160"/>
        <v/>
      </c>
      <c r="OEE22" s="73" t="str">
        <f t="shared" si="160"/>
        <v/>
      </c>
      <c r="OEF22" s="73" t="str">
        <f t="shared" si="160"/>
        <v/>
      </c>
      <c r="OEG22" s="73" t="str">
        <f t="shared" si="160"/>
        <v/>
      </c>
      <c r="OEH22" s="73" t="str">
        <f t="shared" si="160"/>
        <v/>
      </c>
      <c r="OEI22" s="73" t="str">
        <f t="shared" si="160"/>
        <v/>
      </c>
      <c r="OEJ22" s="73" t="str">
        <f t="shared" si="160"/>
        <v/>
      </c>
      <c r="OEK22" s="73" t="str">
        <f t="shared" si="160"/>
        <v/>
      </c>
      <c r="OEL22" s="73" t="str">
        <f t="shared" si="160"/>
        <v/>
      </c>
      <c r="OEM22" s="73" t="str">
        <f t="shared" si="160"/>
        <v/>
      </c>
      <c r="OEN22" s="73" t="str">
        <f t="shared" si="160"/>
        <v/>
      </c>
      <c r="OEO22" s="73" t="str">
        <f t="shared" si="160"/>
        <v/>
      </c>
      <c r="OEP22" s="73" t="str">
        <f t="shared" si="160"/>
        <v/>
      </c>
      <c r="OEQ22" s="73" t="str">
        <f t="shared" si="160"/>
        <v/>
      </c>
      <c r="OER22" s="73" t="str">
        <f t="shared" si="160"/>
        <v/>
      </c>
      <c r="OES22" s="73" t="str">
        <f t="shared" si="160"/>
        <v/>
      </c>
      <c r="OET22" s="73" t="str">
        <f t="shared" si="160"/>
        <v/>
      </c>
      <c r="OEU22" s="73" t="str">
        <f t="shared" si="160"/>
        <v/>
      </c>
      <c r="OEV22" s="73" t="str">
        <f t="shared" si="160"/>
        <v/>
      </c>
      <c r="OEW22" s="73" t="str">
        <f t="shared" si="160"/>
        <v/>
      </c>
      <c r="OEX22" s="73" t="str">
        <f t="shared" si="160"/>
        <v/>
      </c>
      <c r="OEY22" s="73" t="str">
        <f t="shared" si="160"/>
        <v/>
      </c>
      <c r="OEZ22" s="73" t="str">
        <f t="shared" si="160"/>
        <v/>
      </c>
      <c r="OFA22" s="73" t="str">
        <f t="shared" si="160"/>
        <v/>
      </c>
      <c r="OFB22" s="73" t="str">
        <f t="shared" si="160"/>
        <v/>
      </c>
      <c r="OFC22" s="73" t="str">
        <f t="shared" si="160"/>
        <v/>
      </c>
      <c r="OFD22" s="73" t="str">
        <f t="shared" si="160"/>
        <v/>
      </c>
      <c r="OFE22" s="73" t="str">
        <f t="shared" si="160"/>
        <v/>
      </c>
      <c r="OFF22" s="73" t="str">
        <f t="shared" si="160"/>
        <v/>
      </c>
      <c r="OFG22" s="73" t="str">
        <f t="shared" si="160"/>
        <v/>
      </c>
      <c r="OFH22" s="73" t="str">
        <f t="shared" si="160"/>
        <v/>
      </c>
      <c r="OFI22" s="73" t="str">
        <f t="shared" si="160"/>
        <v/>
      </c>
      <c r="OFJ22" s="73" t="str">
        <f t="shared" si="160"/>
        <v/>
      </c>
      <c r="OFK22" s="73" t="str">
        <f t="shared" si="160"/>
        <v/>
      </c>
      <c r="OFL22" s="73" t="str">
        <f t="shared" si="160"/>
        <v/>
      </c>
      <c r="OFM22" s="73" t="str">
        <f t="shared" si="160"/>
        <v/>
      </c>
      <c r="OFN22" s="73" t="str">
        <f t="shared" ref="OFN22:OHY22" si="161">IFERROR(AVERAGE(OFN6:OFN21),"")</f>
        <v/>
      </c>
      <c r="OFO22" s="73" t="str">
        <f t="shared" si="161"/>
        <v/>
      </c>
      <c r="OFP22" s="73" t="str">
        <f t="shared" si="161"/>
        <v/>
      </c>
      <c r="OFQ22" s="73" t="str">
        <f t="shared" si="161"/>
        <v/>
      </c>
      <c r="OFR22" s="73" t="str">
        <f t="shared" si="161"/>
        <v/>
      </c>
      <c r="OFS22" s="73" t="str">
        <f t="shared" si="161"/>
        <v/>
      </c>
      <c r="OFT22" s="73" t="str">
        <f t="shared" si="161"/>
        <v/>
      </c>
      <c r="OFU22" s="73" t="str">
        <f t="shared" si="161"/>
        <v/>
      </c>
      <c r="OFV22" s="73" t="str">
        <f t="shared" si="161"/>
        <v/>
      </c>
      <c r="OFW22" s="73" t="str">
        <f t="shared" si="161"/>
        <v/>
      </c>
      <c r="OFX22" s="73" t="str">
        <f t="shared" si="161"/>
        <v/>
      </c>
      <c r="OFY22" s="73" t="str">
        <f t="shared" si="161"/>
        <v/>
      </c>
      <c r="OFZ22" s="73" t="str">
        <f t="shared" si="161"/>
        <v/>
      </c>
      <c r="OGA22" s="73" t="str">
        <f t="shared" si="161"/>
        <v/>
      </c>
      <c r="OGB22" s="73" t="str">
        <f t="shared" si="161"/>
        <v/>
      </c>
      <c r="OGC22" s="73" t="str">
        <f t="shared" si="161"/>
        <v/>
      </c>
      <c r="OGD22" s="73" t="str">
        <f t="shared" si="161"/>
        <v/>
      </c>
      <c r="OGE22" s="73" t="str">
        <f t="shared" si="161"/>
        <v/>
      </c>
      <c r="OGF22" s="73" t="str">
        <f t="shared" si="161"/>
        <v/>
      </c>
      <c r="OGG22" s="73" t="str">
        <f t="shared" si="161"/>
        <v/>
      </c>
      <c r="OGH22" s="73" t="str">
        <f t="shared" si="161"/>
        <v/>
      </c>
      <c r="OGI22" s="73" t="str">
        <f t="shared" si="161"/>
        <v/>
      </c>
      <c r="OGJ22" s="73" t="str">
        <f t="shared" si="161"/>
        <v/>
      </c>
      <c r="OGK22" s="73" t="str">
        <f t="shared" si="161"/>
        <v/>
      </c>
      <c r="OGL22" s="73" t="str">
        <f t="shared" si="161"/>
        <v/>
      </c>
      <c r="OGM22" s="73" t="str">
        <f t="shared" si="161"/>
        <v/>
      </c>
      <c r="OGN22" s="73" t="str">
        <f t="shared" si="161"/>
        <v/>
      </c>
      <c r="OGO22" s="73" t="str">
        <f t="shared" si="161"/>
        <v/>
      </c>
      <c r="OGP22" s="73" t="str">
        <f t="shared" si="161"/>
        <v/>
      </c>
      <c r="OGQ22" s="73" t="str">
        <f t="shared" si="161"/>
        <v/>
      </c>
      <c r="OGR22" s="73" t="str">
        <f t="shared" si="161"/>
        <v/>
      </c>
      <c r="OGS22" s="73" t="str">
        <f t="shared" si="161"/>
        <v/>
      </c>
      <c r="OGT22" s="73" t="str">
        <f t="shared" si="161"/>
        <v/>
      </c>
      <c r="OGU22" s="73" t="str">
        <f t="shared" si="161"/>
        <v/>
      </c>
      <c r="OGV22" s="73" t="str">
        <f t="shared" si="161"/>
        <v/>
      </c>
      <c r="OGW22" s="73" t="str">
        <f t="shared" si="161"/>
        <v/>
      </c>
      <c r="OGX22" s="73" t="str">
        <f t="shared" si="161"/>
        <v/>
      </c>
      <c r="OGY22" s="73" t="str">
        <f t="shared" si="161"/>
        <v/>
      </c>
      <c r="OGZ22" s="73" t="str">
        <f t="shared" si="161"/>
        <v/>
      </c>
      <c r="OHA22" s="73" t="str">
        <f t="shared" si="161"/>
        <v/>
      </c>
      <c r="OHB22" s="73" t="str">
        <f t="shared" si="161"/>
        <v/>
      </c>
      <c r="OHC22" s="73" t="str">
        <f t="shared" si="161"/>
        <v/>
      </c>
      <c r="OHD22" s="73" t="str">
        <f t="shared" si="161"/>
        <v/>
      </c>
      <c r="OHE22" s="73" t="str">
        <f t="shared" si="161"/>
        <v/>
      </c>
      <c r="OHF22" s="73" t="str">
        <f t="shared" si="161"/>
        <v/>
      </c>
      <c r="OHG22" s="73" t="str">
        <f t="shared" si="161"/>
        <v/>
      </c>
      <c r="OHH22" s="73" t="str">
        <f t="shared" si="161"/>
        <v/>
      </c>
      <c r="OHI22" s="73" t="str">
        <f t="shared" si="161"/>
        <v/>
      </c>
      <c r="OHJ22" s="73" t="str">
        <f t="shared" si="161"/>
        <v/>
      </c>
      <c r="OHK22" s="73" t="str">
        <f t="shared" si="161"/>
        <v/>
      </c>
      <c r="OHL22" s="73" t="str">
        <f t="shared" si="161"/>
        <v/>
      </c>
      <c r="OHM22" s="73" t="str">
        <f t="shared" si="161"/>
        <v/>
      </c>
      <c r="OHN22" s="73" t="str">
        <f t="shared" si="161"/>
        <v/>
      </c>
      <c r="OHO22" s="73" t="str">
        <f t="shared" si="161"/>
        <v/>
      </c>
      <c r="OHP22" s="73" t="str">
        <f t="shared" si="161"/>
        <v/>
      </c>
      <c r="OHQ22" s="73" t="str">
        <f t="shared" si="161"/>
        <v/>
      </c>
      <c r="OHR22" s="73" t="str">
        <f t="shared" si="161"/>
        <v/>
      </c>
      <c r="OHS22" s="73" t="str">
        <f t="shared" si="161"/>
        <v/>
      </c>
      <c r="OHT22" s="73" t="str">
        <f t="shared" si="161"/>
        <v/>
      </c>
      <c r="OHU22" s="73" t="str">
        <f t="shared" si="161"/>
        <v/>
      </c>
      <c r="OHV22" s="73" t="str">
        <f t="shared" si="161"/>
        <v/>
      </c>
      <c r="OHW22" s="73" t="str">
        <f t="shared" si="161"/>
        <v/>
      </c>
      <c r="OHX22" s="73" t="str">
        <f t="shared" si="161"/>
        <v/>
      </c>
      <c r="OHY22" s="73" t="str">
        <f t="shared" si="161"/>
        <v/>
      </c>
      <c r="OHZ22" s="73" t="str">
        <f t="shared" ref="OHZ22:OKK22" si="162">IFERROR(AVERAGE(OHZ6:OHZ21),"")</f>
        <v/>
      </c>
      <c r="OIA22" s="73" t="str">
        <f t="shared" si="162"/>
        <v/>
      </c>
      <c r="OIB22" s="73" t="str">
        <f t="shared" si="162"/>
        <v/>
      </c>
      <c r="OIC22" s="73" t="str">
        <f t="shared" si="162"/>
        <v/>
      </c>
      <c r="OID22" s="73" t="str">
        <f t="shared" si="162"/>
        <v/>
      </c>
      <c r="OIE22" s="73" t="str">
        <f t="shared" si="162"/>
        <v/>
      </c>
      <c r="OIF22" s="73" t="str">
        <f t="shared" si="162"/>
        <v/>
      </c>
      <c r="OIG22" s="73" t="str">
        <f t="shared" si="162"/>
        <v/>
      </c>
      <c r="OIH22" s="73" t="str">
        <f t="shared" si="162"/>
        <v/>
      </c>
      <c r="OII22" s="73" t="str">
        <f t="shared" si="162"/>
        <v/>
      </c>
      <c r="OIJ22" s="73" t="str">
        <f t="shared" si="162"/>
        <v/>
      </c>
      <c r="OIK22" s="73" t="str">
        <f t="shared" si="162"/>
        <v/>
      </c>
      <c r="OIL22" s="73" t="str">
        <f t="shared" si="162"/>
        <v/>
      </c>
      <c r="OIM22" s="73" t="str">
        <f t="shared" si="162"/>
        <v/>
      </c>
      <c r="OIN22" s="73" t="str">
        <f t="shared" si="162"/>
        <v/>
      </c>
      <c r="OIO22" s="73" t="str">
        <f t="shared" si="162"/>
        <v/>
      </c>
      <c r="OIP22" s="73" t="str">
        <f t="shared" si="162"/>
        <v/>
      </c>
      <c r="OIQ22" s="73" t="str">
        <f t="shared" si="162"/>
        <v/>
      </c>
      <c r="OIR22" s="73" t="str">
        <f t="shared" si="162"/>
        <v/>
      </c>
      <c r="OIS22" s="73" t="str">
        <f t="shared" si="162"/>
        <v/>
      </c>
      <c r="OIT22" s="73" t="str">
        <f t="shared" si="162"/>
        <v/>
      </c>
      <c r="OIU22" s="73" t="str">
        <f t="shared" si="162"/>
        <v/>
      </c>
      <c r="OIV22" s="73" t="str">
        <f t="shared" si="162"/>
        <v/>
      </c>
      <c r="OIW22" s="73" t="str">
        <f t="shared" si="162"/>
        <v/>
      </c>
      <c r="OIX22" s="73" t="str">
        <f t="shared" si="162"/>
        <v/>
      </c>
      <c r="OIY22" s="73" t="str">
        <f t="shared" si="162"/>
        <v/>
      </c>
      <c r="OIZ22" s="73" t="str">
        <f t="shared" si="162"/>
        <v/>
      </c>
      <c r="OJA22" s="73" t="str">
        <f t="shared" si="162"/>
        <v/>
      </c>
      <c r="OJB22" s="73" t="str">
        <f t="shared" si="162"/>
        <v/>
      </c>
      <c r="OJC22" s="73" t="str">
        <f t="shared" si="162"/>
        <v/>
      </c>
      <c r="OJD22" s="73" t="str">
        <f t="shared" si="162"/>
        <v/>
      </c>
      <c r="OJE22" s="73" t="str">
        <f t="shared" si="162"/>
        <v/>
      </c>
      <c r="OJF22" s="73" t="str">
        <f t="shared" si="162"/>
        <v/>
      </c>
      <c r="OJG22" s="73" t="str">
        <f t="shared" si="162"/>
        <v/>
      </c>
      <c r="OJH22" s="73" t="str">
        <f t="shared" si="162"/>
        <v/>
      </c>
      <c r="OJI22" s="73" t="str">
        <f t="shared" si="162"/>
        <v/>
      </c>
      <c r="OJJ22" s="73" t="str">
        <f t="shared" si="162"/>
        <v/>
      </c>
      <c r="OJK22" s="73" t="str">
        <f t="shared" si="162"/>
        <v/>
      </c>
      <c r="OJL22" s="73" t="str">
        <f t="shared" si="162"/>
        <v/>
      </c>
      <c r="OJM22" s="73" t="str">
        <f t="shared" si="162"/>
        <v/>
      </c>
      <c r="OJN22" s="73" t="str">
        <f t="shared" si="162"/>
        <v/>
      </c>
      <c r="OJO22" s="73" t="str">
        <f t="shared" si="162"/>
        <v/>
      </c>
      <c r="OJP22" s="73" t="str">
        <f t="shared" si="162"/>
        <v/>
      </c>
      <c r="OJQ22" s="73" t="str">
        <f t="shared" si="162"/>
        <v/>
      </c>
      <c r="OJR22" s="73" t="str">
        <f t="shared" si="162"/>
        <v/>
      </c>
      <c r="OJS22" s="73" t="str">
        <f t="shared" si="162"/>
        <v/>
      </c>
      <c r="OJT22" s="73" t="str">
        <f t="shared" si="162"/>
        <v/>
      </c>
      <c r="OJU22" s="73" t="str">
        <f t="shared" si="162"/>
        <v/>
      </c>
      <c r="OJV22" s="73" t="str">
        <f t="shared" si="162"/>
        <v/>
      </c>
      <c r="OJW22" s="73" t="str">
        <f t="shared" si="162"/>
        <v/>
      </c>
      <c r="OJX22" s="73" t="str">
        <f t="shared" si="162"/>
        <v/>
      </c>
      <c r="OJY22" s="73" t="str">
        <f t="shared" si="162"/>
        <v/>
      </c>
      <c r="OJZ22" s="73" t="str">
        <f t="shared" si="162"/>
        <v/>
      </c>
      <c r="OKA22" s="73" t="str">
        <f t="shared" si="162"/>
        <v/>
      </c>
      <c r="OKB22" s="73" t="str">
        <f t="shared" si="162"/>
        <v/>
      </c>
      <c r="OKC22" s="73" t="str">
        <f t="shared" si="162"/>
        <v/>
      </c>
      <c r="OKD22" s="73" t="str">
        <f t="shared" si="162"/>
        <v/>
      </c>
      <c r="OKE22" s="73" t="str">
        <f t="shared" si="162"/>
        <v/>
      </c>
      <c r="OKF22" s="73" t="str">
        <f t="shared" si="162"/>
        <v/>
      </c>
      <c r="OKG22" s="73" t="str">
        <f t="shared" si="162"/>
        <v/>
      </c>
      <c r="OKH22" s="73" t="str">
        <f t="shared" si="162"/>
        <v/>
      </c>
      <c r="OKI22" s="73" t="str">
        <f t="shared" si="162"/>
        <v/>
      </c>
      <c r="OKJ22" s="73" t="str">
        <f t="shared" si="162"/>
        <v/>
      </c>
      <c r="OKK22" s="73" t="str">
        <f t="shared" si="162"/>
        <v/>
      </c>
      <c r="OKL22" s="73" t="str">
        <f t="shared" ref="OKL22:OMW22" si="163">IFERROR(AVERAGE(OKL6:OKL21),"")</f>
        <v/>
      </c>
      <c r="OKM22" s="73" t="str">
        <f t="shared" si="163"/>
        <v/>
      </c>
      <c r="OKN22" s="73" t="str">
        <f t="shared" si="163"/>
        <v/>
      </c>
      <c r="OKO22" s="73" t="str">
        <f t="shared" si="163"/>
        <v/>
      </c>
      <c r="OKP22" s="73" t="str">
        <f t="shared" si="163"/>
        <v/>
      </c>
      <c r="OKQ22" s="73" t="str">
        <f t="shared" si="163"/>
        <v/>
      </c>
      <c r="OKR22" s="73" t="str">
        <f t="shared" si="163"/>
        <v/>
      </c>
      <c r="OKS22" s="73" t="str">
        <f t="shared" si="163"/>
        <v/>
      </c>
      <c r="OKT22" s="73" t="str">
        <f t="shared" si="163"/>
        <v/>
      </c>
      <c r="OKU22" s="73" t="str">
        <f t="shared" si="163"/>
        <v/>
      </c>
      <c r="OKV22" s="73" t="str">
        <f t="shared" si="163"/>
        <v/>
      </c>
      <c r="OKW22" s="73" t="str">
        <f t="shared" si="163"/>
        <v/>
      </c>
      <c r="OKX22" s="73" t="str">
        <f t="shared" si="163"/>
        <v/>
      </c>
      <c r="OKY22" s="73" t="str">
        <f t="shared" si="163"/>
        <v/>
      </c>
      <c r="OKZ22" s="73" t="str">
        <f t="shared" si="163"/>
        <v/>
      </c>
      <c r="OLA22" s="73" t="str">
        <f t="shared" si="163"/>
        <v/>
      </c>
      <c r="OLB22" s="73" t="str">
        <f t="shared" si="163"/>
        <v/>
      </c>
      <c r="OLC22" s="73" t="str">
        <f t="shared" si="163"/>
        <v/>
      </c>
      <c r="OLD22" s="73" t="str">
        <f t="shared" si="163"/>
        <v/>
      </c>
      <c r="OLE22" s="73" t="str">
        <f t="shared" si="163"/>
        <v/>
      </c>
      <c r="OLF22" s="73" t="str">
        <f t="shared" si="163"/>
        <v/>
      </c>
      <c r="OLG22" s="73" t="str">
        <f t="shared" si="163"/>
        <v/>
      </c>
      <c r="OLH22" s="73" t="str">
        <f t="shared" si="163"/>
        <v/>
      </c>
      <c r="OLI22" s="73" t="str">
        <f t="shared" si="163"/>
        <v/>
      </c>
      <c r="OLJ22" s="73" t="str">
        <f t="shared" si="163"/>
        <v/>
      </c>
      <c r="OLK22" s="73" t="str">
        <f t="shared" si="163"/>
        <v/>
      </c>
      <c r="OLL22" s="73" t="str">
        <f t="shared" si="163"/>
        <v/>
      </c>
      <c r="OLM22" s="73" t="str">
        <f t="shared" si="163"/>
        <v/>
      </c>
      <c r="OLN22" s="73" t="str">
        <f t="shared" si="163"/>
        <v/>
      </c>
      <c r="OLO22" s="73" t="str">
        <f t="shared" si="163"/>
        <v/>
      </c>
      <c r="OLP22" s="73" t="str">
        <f t="shared" si="163"/>
        <v/>
      </c>
      <c r="OLQ22" s="73" t="str">
        <f t="shared" si="163"/>
        <v/>
      </c>
      <c r="OLR22" s="73" t="str">
        <f t="shared" si="163"/>
        <v/>
      </c>
      <c r="OLS22" s="73" t="str">
        <f t="shared" si="163"/>
        <v/>
      </c>
      <c r="OLT22" s="73" t="str">
        <f t="shared" si="163"/>
        <v/>
      </c>
      <c r="OLU22" s="73" t="str">
        <f t="shared" si="163"/>
        <v/>
      </c>
      <c r="OLV22" s="73" t="str">
        <f t="shared" si="163"/>
        <v/>
      </c>
      <c r="OLW22" s="73" t="str">
        <f t="shared" si="163"/>
        <v/>
      </c>
      <c r="OLX22" s="73" t="str">
        <f t="shared" si="163"/>
        <v/>
      </c>
      <c r="OLY22" s="73" t="str">
        <f t="shared" si="163"/>
        <v/>
      </c>
      <c r="OLZ22" s="73" t="str">
        <f t="shared" si="163"/>
        <v/>
      </c>
      <c r="OMA22" s="73" t="str">
        <f t="shared" si="163"/>
        <v/>
      </c>
      <c r="OMB22" s="73" t="str">
        <f t="shared" si="163"/>
        <v/>
      </c>
      <c r="OMC22" s="73" t="str">
        <f t="shared" si="163"/>
        <v/>
      </c>
      <c r="OMD22" s="73" t="str">
        <f t="shared" si="163"/>
        <v/>
      </c>
      <c r="OME22" s="73" t="str">
        <f t="shared" si="163"/>
        <v/>
      </c>
      <c r="OMF22" s="73" t="str">
        <f t="shared" si="163"/>
        <v/>
      </c>
      <c r="OMG22" s="73" t="str">
        <f t="shared" si="163"/>
        <v/>
      </c>
      <c r="OMH22" s="73" t="str">
        <f t="shared" si="163"/>
        <v/>
      </c>
      <c r="OMI22" s="73" t="str">
        <f t="shared" si="163"/>
        <v/>
      </c>
      <c r="OMJ22" s="73" t="str">
        <f t="shared" si="163"/>
        <v/>
      </c>
      <c r="OMK22" s="73" t="str">
        <f t="shared" si="163"/>
        <v/>
      </c>
      <c r="OML22" s="73" t="str">
        <f t="shared" si="163"/>
        <v/>
      </c>
      <c r="OMM22" s="73" t="str">
        <f t="shared" si="163"/>
        <v/>
      </c>
      <c r="OMN22" s="73" t="str">
        <f t="shared" si="163"/>
        <v/>
      </c>
      <c r="OMO22" s="73" t="str">
        <f t="shared" si="163"/>
        <v/>
      </c>
      <c r="OMP22" s="73" t="str">
        <f t="shared" si="163"/>
        <v/>
      </c>
      <c r="OMQ22" s="73" t="str">
        <f t="shared" si="163"/>
        <v/>
      </c>
      <c r="OMR22" s="73" t="str">
        <f t="shared" si="163"/>
        <v/>
      </c>
      <c r="OMS22" s="73" t="str">
        <f t="shared" si="163"/>
        <v/>
      </c>
      <c r="OMT22" s="73" t="str">
        <f t="shared" si="163"/>
        <v/>
      </c>
      <c r="OMU22" s="73" t="str">
        <f t="shared" si="163"/>
        <v/>
      </c>
      <c r="OMV22" s="73" t="str">
        <f t="shared" si="163"/>
        <v/>
      </c>
      <c r="OMW22" s="73" t="str">
        <f t="shared" si="163"/>
        <v/>
      </c>
      <c r="OMX22" s="73" t="str">
        <f t="shared" ref="OMX22:OPI22" si="164">IFERROR(AVERAGE(OMX6:OMX21),"")</f>
        <v/>
      </c>
      <c r="OMY22" s="73" t="str">
        <f t="shared" si="164"/>
        <v/>
      </c>
      <c r="OMZ22" s="73" t="str">
        <f t="shared" si="164"/>
        <v/>
      </c>
      <c r="ONA22" s="73" t="str">
        <f t="shared" si="164"/>
        <v/>
      </c>
      <c r="ONB22" s="73" t="str">
        <f t="shared" si="164"/>
        <v/>
      </c>
      <c r="ONC22" s="73" t="str">
        <f t="shared" si="164"/>
        <v/>
      </c>
      <c r="OND22" s="73" t="str">
        <f t="shared" si="164"/>
        <v/>
      </c>
      <c r="ONE22" s="73" t="str">
        <f t="shared" si="164"/>
        <v/>
      </c>
      <c r="ONF22" s="73" t="str">
        <f t="shared" si="164"/>
        <v/>
      </c>
      <c r="ONG22" s="73" t="str">
        <f t="shared" si="164"/>
        <v/>
      </c>
      <c r="ONH22" s="73" t="str">
        <f t="shared" si="164"/>
        <v/>
      </c>
      <c r="ONI22" s="73" t="str">
        <f t="shared" si="164"/>
        <v/>
      </c>
      <c r="ONJ22" s="73" t="str">
        <f t="shared" si="164"/>
        <v/>
      </c>
      <c r="ONK22" s="73" t="str">
        <f t="shared" si="164"/>
        <v/>
      </c>
      <c r="ONL22" s="73" t="str">
        <f t="shared" si="164"/>
        <v/>
      </c>
      <c r="ONM22" s="73" t="str">
        <f t="shared" si="164"/>
        <v/>
      </c>
      <c r="ONN22" s="73" t="str">
        <f t="shared" si="164"/>
        <v/>
      </c>
      <c r="ONO22" s="73" t="str">
        <f t="shared" si="164"/>
        <v/>
      </c>
      <c r="ONP22" s="73" t="str">
        <f t="shared" si="164"/>
        <v/>
      </c>
      <c r="ONQ22" s="73" t="str">
        <f t="shared" si="164"/>
        <v/>
      </c>
      <c r="ONR22" s="73" t="str">
        <f t="shared" si="164"/>
        <v/>
      </c>
      <c r="ONS22" s="73" t="str">
        <f t="shared" si="164"/>
        <v/>
      </c>
      <c r="ONT22" s="73" t="str">
        <f t="shared" si="164"/>
        <v/>
      </c>
      <c r="ONU22" s="73" t="str">
        <f t="shared" si="164"/>
        <v/>
      </c>
      <c r="ONV22" s="73" t="str">
        <f t="shared" si="164"/>
        <v/>
      </c>
      <c r="ONW22" s="73" t="str">
        <f t="shared" si="164"/>
        <v/>
      </c>
      <c r="ONX22" s="73" t="str">
        <f t="shared" si="164"/>
        <v/>
      </c>
      <c r="ONY22" s="73" t="str">
        <f t="shared" si="164"/>
        <v/>
      </c>
      <c r="ONZ22" s="73" t="str">
        <f t="shared" si="164"/>
        <v/>
      </c>
      <c r="OOA22" s="73" t="str">
        <f t="shared" si="164"/>
        <v/>
      </c>
      <c r="OOB22" s="73" t="str">
        <f t="shared" si="164"/>
        <v/>
      </c>
      <c r="OOC22" s="73" t="str">
        <f t="shared" si="164"/>
        <v/>
      </c>
      <c r="OOD22" s="73" t="str">
        <f t="shared" si="164"/>
        <v/>
      </c>
      <c r="OOE22" s="73" t="str">
        <f t="shared" si="164"/>
        <v/>
      </c>
      <c r="OOF22" s="73" t="str">
        <f t="shared" si="164"/>
        <v/>
      </c>
      <c r="OOG22" s="73" t="str">
        <f t="shared" si="164"/>
        <v/>
      </c>
      <c r="OOH22" s="73" t="str">
        <f t="shared" si="164"/>
        <v/>
      </c>
      <c r="OOI22" s="73" t="str">
        <f t="shared" si="164"/>
        <v/>
      </c>
      <c r="OOJ22" s="73" t="str">
        <f t="shared" si="164"/>
        <v/>
      </c>
      <c r="OOK22" s="73" t="str">
        <f t="shared" si="164"/>
        <v/>
      </c>
      <c r="OOL22" s="73" t="str">
        <f t="shared" si="164"/>
        <v/>
      </c>
      <c r="OOM22" s="73" t="str">
        <f t="shared" si="164"/>
        <v/>
      </c>
      <c r="OON22" s="73" t="str">
        <f t="shared" si="164"/>
        <v/>
      </c>
      <c r="OOO22" s="73" t="str">
        <f t="shared" si="164"/>
        <v/>
      </c>
      <c r="OOP22" s="73" t="str">
        <f t="shared" si="164"/>
        <v/>
      </c>
      <c r="OOQ22" s="73" t="str">
        <f t="shared" si="164"/>
        <v/>
      </c>
      <c r="OOR22" s="73" t="str">
        <f t="shared" si="164"/>
        <v/>
      </c>
      <c r="OOS22" s="73" t="str">
        <f t="shared" si="164"/>
        <v/>
      </c>
      <c r="OOT22" s="73" t="str">
        <f t="shared" si="164"/>
        <v/>
      </c>
      <c r="OOU22" s="73" t="str">
        <f t="shared" si="164"/>
        <v/>
      </c>
      <c r="OOV22" s="73" t="str">
        <f t="shared" si="164"/>
        <v/>
      </c>
      <c r="OOW22" s="73" t="str">
        <f t="shared" si="164"/>
        <v/>
      </c>
      <c r="OOX22" s="73" t="str">
        <f t="shared" si="164"/>
        <v/>
      </c>
      <c r="OOY22" s="73" t="str">
        <f t="shared" si="164"/>
        <v/>
      </c>
      <c r="OOZ22" s="73" t="str">
        <f t="shared" si="164"/>
        <v/>
      </c>
      <c r="OPA22" s="73" t="str">
        <f t="shared" si="164"/>
        <v/>
      </c>
      <c r="OPB22" s="73" t="str">
        <f t="shared" si="164"/>
        <v/>
      </c>
      <c r="OPC22" s="73" t="str">
        <f t="shared" si="164"/>
        <v/>
      </c>
      <c r="OPD22" s="73" t="str">
        <f t="shared" si="164"/>
        <v/>
      </c>
      <c r="OPE22" s="73" t="str">
        <f t="shared" si="164"/>
        <v/>
      </c>
      <c r="OPF22" s="73" t="str">
        <f t="shared" si="164"/>
        <v/>
      </c>
      <c r="OPG22" s="73" t="str">
        <f t="shared" si="164"/>
        <v/>
      </c>
      <c r="OPH22" s="73" t="str">
        <f t="shared" si="164"/>
        <v/>
      </c>
      <c r="OPI22" s="73" t="str">
        <f t="shared" si="164"/>
        <v/>
      </c>
      <c r="OPJ22" s="73" t="str">
        <f t="shared" ref="OPJ22:ORU22" si="165">IFERROR(AVERAGE(OPJ6:OPJ21),"")</f>
        <v/>
      </c>
      <c r="OPK22" s="73" t="str">
        <f t="shared" si="165"/>
        <v/>
      </c>
      <c r="OPL22" s="73" t="str">
        <f t="shared" si="165"/>
        <v/>
      </c>
      <c r="OPM22" s="73" t="str">
        <f t="shared" si="165"/>
        <v/>
      </c>
      <c r="OPN22" s="73" t="str">
        <f t="shared" si="165"/>
        <v/>
      </c>
      <c r="OPO22" s="73" t="str">
        <f t="shared" si="165"/>
        <v/>
      </c>
      <c r="OPP22" s="73" t="str">
        <f t="shared" si="165"/>
        <v/>
      </c>
      <c r="OPQ22" s="73" t="str">
        <f t="shared" si="165"/>
        <v/>
      </c>
      <c r="OPR22" s="73" t="str">
        <f t="shared" si="165"/>
        <v/>
      </c>
      <c r="OPS22" s="73" t="str">
        <f t="shared" si="165"/>
        <v/>
      </c>
      <c r="OPT22" s="73" t="str">
        <f t="shared" si="165"/>
        <v/>
      </c>
      <c r="OPU22" s="73" t="str">
        <f t="shared" si="165"/>
        <v/>
      </c>
      <c r="OPV22" s="73" t="str">
        <f t="shared" si="165"/>
        <v/>
      </c>
      <c r="OPW22" s="73" t="str">
        <f t="shared" si="165"/>
        <v/>
      </c>
      <c r="OPX22" s="73" t="str">
        <f t="shared" si="165"/>
        <v/>
      </c>
      <c r="OPY22" s="73" t="str">
        <f t="shared" si="165"/>
        <v/>
      </c>
      <c r="OPZ22" s="73" t="str">
        <f t="shared" si="165"/>
        <v/>
      </c>
      <c r="OQA22" s="73" t="str">
        <f t="shared" si="165"/>
        <v/>
      </c>
      <c r="OQB22" s="73" t="str">
        <f t="shared" si="165"/>
        <v/>
      </c>
      <c r="OQC22" s="73" t="str">
        <f t="shared" si="165"/>
        <v/>
      </c>
      <c r="OQD22" s="73" t="str">
        <f t="shared" si="165"/>
        <v/>
      </c>
      <c r="OQE22" s="73" t="str">
        <f t="shared" si="165"/>
        <v/>
      </c>
      <c r="OQF22" s="73" t="str">
        <f t="shared" si="165"/>
        <v/>
      </c>
      <c r="OQG22" s="73" t="str">
        <f t="shared" si="165"/>
        <v/>
      </c>
      <c r="OQH22" s="73" t="str">
        <f t="shared" si="165"/>
        <v/>
      </c>
      <c r="OQI22" s="73" t="str">
        <f t="shared" si="165"/>
        <v/>
      </c>
      <c r="OQJ22" s="73" t="str">
        <f t="shared" si="165"/>
        <v/>
      </c>
      <c r="OQK22" s="73" t="str">
        <f t="shared" si="165"/>
        <v/>
      </c>
      <c r="OQL22" s="73" t="str">
        <f t="shared" si="165"/>
        <v/>
      </c>
      <c r="OQM22" s="73" t="str">
        <f t="shared" si="165"/>
        <v/>
      </c>
      <c r="OQN22" s="73" t="str">
        <f t="shared" si="165"/>
        <v/>
      </c>
      <c r="OQO22" s="73" t="str">
        <f t="shared" si="165"/>
        <v/>
      </c>
      <c r="OQP22" s="73" t="str">
        <f t="shared" si="165"/>
        <v/>
      </c>
      <c r="OQQ22" s="73" t="str">
        <f t="shared" si="165"/>
        <v/>
      </c>
      <c r="OQR22" s="73" t="str">
        <f t="shared" si="165"/>
        <v/>
      </c>
      <c r="OQS22" s="73" t="str">
        <f t="shared" si="165"/>
        <v/>
      </c>
      <c r="OQT22" s="73" t="str">
        <f t="shared" si="165"/>
        <v/>
      </c>
      <c r="OQU22" s="73" t="str">
        <f t="shared" si="165"/>
        <v/>
      </c>
      <c r="OQV22" s="73" t="str">
        <f t="shared" si="165"/>
        <v/>
      </c>
      <c r="OQW22" s="73" t="str">
        <f t="shared" si="165"/>
        <v/>
      </c>
      <c r="OQX22" s="73" t="str">
        <f t="shared" si="165"/>
        <v/>
      </c>
      <c r="OQY22" s="73" t="str">
        <f t="shared" si="165"/>
        <v/>
      </c>
      <c r="OQZ22" s="73" t="str">
        <f t="shared" si="165"/>
        <v/>
      </c>
      <c r="ORA22" s="73" t="str">
        <f t="shared" si="165"/>
        <v/>
      </c>
      <c r="ORB22" s="73" t="str">
        <f t="shared" si="165"/>
        <v/>
      </c>
      <c r="ORC22" s="73" t="str">
        <f t="shared" si="165"/>
        <v/>
      </c>
      <c r="ORD22" s="73" t="str">
        <f t="shared" si="165"/>
        <v/>
      </c>
      <c r="ORE22" s="73" t="str">
        <f t="shared" si="165"/>
        <v/>
      </c>
      <c r="ORF22" s="73" t="str">
        <f t="shared" si="165"/>
        <v/>
      </c>
      <c r="ORG22" s="73" t="str">
        <f t="shared" si="165"/>
        <v/>
      </c>
      <c r="ORH22" s="73" t="str">
        <f t="shared" si="165"/>
        <v/>
      </c>
      <c r="ORI22" s="73" t="str">
        <f t="shared" si="165"/>
        <v/>
      </c>
      <c r="ORJ22" s="73" t="str">
        <f t="shared" si="165"/>
        <v/>
      </c>
      <c r="ORK22" s="73" t="str">
        <f t="shared" si="165"/>
        <v/>
      </c>
      <c r="ORL22" s="73" t="str">
        <f t="shared" si="165"/>
        <v/>
      </c>
      <c r="ORM22" s="73" t="str">
        <f t="shared" si="165"/>
        <v/>
      </c>
      <c r="ORN22" s="73" t="str">
        <f t="shared" si="165"/>
        <v/>
      </c>
      <c r="ORO22" s="73" t="str">
        <f t="shared" si="165"/>
        <v/>
      </c>
      <c r="ORP22" s="73" t="str">
        <f t="shared" si="165"/>
        <v/>
      </c>
      <c r="ORQ22" s="73" t="str">
        <f t="shared" si="165"/>
        <v/>
      </c>
      <c r="ORR22" s="73" t="str">
        <f t="shared" si="165"/>
        <v/>
      </c>
      <c r="ORS22" s="73" t="str">
        <f t="shared" si="165"/>
        <v/>
      </c>
      <c r="ORT22" s="73" t="str">
        <f t="shared" si="165"/>
        <v/>
      </c>
      <c r="ORU22" s="73" t="str">
        <f t="shared" si="165"/>
        <v/>
      </c>
      <c r="ORV22" s="73" t="str">
        <f t="shared" ref="ORV22:OUG22" si="166">IFERROR(AVERAGE(ORV6:ORV21),"")</f>
        <v/>
      </c>
      <c r="ORW22" s="73" t="str">
        <f t="shared" si="166"/>
        <v/>
      </c>
      <c r="ORX22" s="73" t="str">
        <f t="shared" si="166"/>
        <v/>
      </c>
      <c r="ORY22" s="73" t="str">
        <f t="shared" si="166"/>
        <v/>
      </c>
      <c r="ORZ22" s="73" t="str">
        <f t="shared" si="166"/>
        <v/>
      </c>
      <c r="OSA22" s="73" t="str">
        <f t="shared" si="166"/>
        <v/>
      </c>
      <c r="OSB22" s="73" t="str">
        <f t="shared" si="166"/>
        <v/>
      </c>
      <c r="OSC22" s="73" t="str">
        <f t="shared" si="166"/>
        <v/>
      </c>
      <c r="OSD22" s="73" t="str">
        <f t="shared" si="166"/>
        <v/>
      </c>
      <c r="OSE22" s="73" t="str">
        <f t="shared" si="166"/>
        <v/>
      </c>
      <c r="OSF22" s="73" t="str">
        <f t="shared" si="166"/>
        <v/>
      </c>
      <c r="OSG22" s="73" t="str">
        <f t="shared" si="166"/>
        <v/>
      </c>
      <c r="OSH22" s="73" t="str">
        <f t="shared" si="166"/>
        <v/>
      </c>
      <c r="OSI22" s="73" t="str">
        <f t="shared" si="166"/>
        <v/>
      </c>
      <c r="OSJ22" s="73" t="str">
        <f t="shared" si="166"/>
        <v/>
      </c>
      <c r="OSK22" s="73" t="str">
        <f t="shared" si="166"/>
        <v/>
      </c>
      <c r="OSL22" s="73" t="str">
        <f t="shared" si="166"/>
        <v/>
      </c>
      <c r="OSM22" s="73" t="str">
        <f t="shared" si="166"/>
        <v/>
      </c>
      <c r="OSN22" s="73" t="str">
        <f t="shared" si="166"/>
        <v/>
      </c>
      <c r="OSO22" s="73" t="str">
        <f t="shared" si="166"/>
        <v/>
      </c>
      <c r="OSP22" s="73" t="str">
        <f t="shared" si="166"/>
        <v/>
      </c>
      <c r="OSQ22" s="73" t="str">
        <f t="shared" si="166"/>
        <v/>
      </c>
      <c r="OSR22" s="73" t="str">
        <f t="shared" si="166"/>
        <v/>
      </c>
      <c r="OSS22" s="73" t="str">
        <f t="shared" si="166"/>
        <v/>
      </c>
      <c r="OST22" s="73" t="str">
        <f t="shared" si="166"/>
        <v/>
      </c>
      <c r="OSU22" s="73" t="str">
        <f t="shared" si="166"/>
        <v/>
      </c>
      <c r="OSV22" s="73" t="str">
        <f t="shared" si="166"/>
        <v/>
      </c>
      <c r="OSW22" s="73" t="str">
        <f t="shared" si="166"/>
        <v/>
      </c>
      <c r="OSX22" s="73" t="str">
        <f t="shared" si="166"/>
        <v/>
      </c>
      <c r="OSY22" s="73" t="str">
        <f t="shared" si="166"/>
        <v/>
      </c>
      <c r="OSZ22" s="73" t="str">
        <f t="shared" si="166"/>
        <v/>
      </c>
      <c r="OTA22" s="73" t="str">
        <f t="shared" si="166"/>
        <v/>
      </c>
      <c r="OTB22" s="73" t="str">
        <f t="shared" si="166"/>
        <v/>
      </c>
      <c r="OTC22" s="73" t="str">
        <f t="shared" si="166"/>
        <v/>
      </c>
      <c r="OTD22" s="73" t="str">
        <f t="shared" si="166"/>
        <v/>
      </c>
      <c r="OTE22" s="73" t="str">
        <f t="shared" si="166"/>
        <v/>
      </c>
      <c r="OTF22" s="73" t="str">
        <f t="shared" si="166"/>
        <v/>
      </c>
      <c r="OTG22" s="73" t="str">
        <f t="shared" si="166"/>
        <v/>
      </c>
      <c r="OTH22" s="73" t="str">
        <f t="shared" si="166"/>
        <v/>
      </c>
      <c r="OTI22" s="73" t="str">
        <f t="shared" si="166"/>
        <v/>
      </c>
      <c r="OTJ22" s="73" t="str">
        <f t="shared" si="166"/>
        <v/>
      </c>
      <c r="OTK22" s="73" t="str">
        <f t="shared" si="166"/>
        <v/>
      </c>
      <c r="OTL22" s="73" t="str">
        <f t="shared" si="166"/>
        <v/>
      </c>
      <c r="OTM22" s="73" t="str">
        <f t="shared" si="166"/>
        <v/>
      </c>
      <c r="OTN22" s="73" t="str">
        <f t="shared" si="166"/>
        <v/>
      </c>
      <c r="OTO22" s="73" t="str">
        <f t="shared" si="166"/>
        <v/>
      </c>
      <c r="OTP22" s="73" t="str">
        <f t="shared" si="166"/>
        <v/>
      </c>
      <c r="OTQ22" s="73" t="str">
        <f t="shared" si="166"/>
        <v/>
      </c>
      <c r="OTR22" s="73" t="str">
        <f t="shared" si="166"/>
        <v/>
      </c>
      <c r="OTS22" s="73" t="str">
        <f t="shared" si="166"/>
        <v/>
      </c>
      <c r="OTT22" s="73" t="str">
        <f t="shared" si="166"/>
        <v/>
      </c>
      <c r="OTU22" s="73" t="str">
        <f t="shared" si="166"/>
        <v/>
      </c>
      <c r="OTV22" s="73" t="str">
        <f t="shared" si="166"/>
        <v/>
      </c>
      <c r="OTW22" s="73" t="str">
        <f t="shared" si="166"/>
        <v/>
      </c>
      <c r="OTX22" s="73" t="str">
        <f t="shared" si="166"/>
        <v/>
      </c>
      <c r="OTY22" s="73" t="str">
        <f t="shared" si="166"/>
        <v/>
      </c>
      <c r="OTZ22" s="73" t="str">
        <f t="shared" si="166"/>
        <v/>
      </c>
      <c r="OUA22" s="73" t="str">
        <f t="shared" si="166"/>
        <v/>
      </c>
      <c r="OUB22" s="73" t="str">
        <f t="shared" si="166"/>
        <v/>
      </c>
      <c r="OUC22" s="73" t="str">
        <f t="shared" si="166"/>
        <v/>
      </c>
      <c r="OUD22" s="73" t="str">
        <f t="shared" si="166"/>
        <v/>
      </c>
      <c r="OUE22" s="73" t="str">
        <f t="shared" si="166"/>
        <v/>
      </c>
      <c r="OUF22" s="73" t="str">
        <f t="shared" si="166"/>
        <v/>
      </c>
      <c r="OUG22" s="73" t="str">
        <f t="shared" si="166"/>
        <v/>
      </c>
      <c r="OUH22" s="73" t="str">
        <f t="shared" ref="OUH22:OWS22" si="167">IFERROR(AVERAGE(OUH6:OUH21),"")</f>
        <v/>
      </c>
      <c r="OUI22" s="73" t="str">
        <f t="shared" si="167"/>
        <v/>
      </c>
      <c r="OUJ22" s="73" t="str">
        <f t="shared" si="167"/>
        <v/>
      </c>
      <c r="OUK22" s="73" t="str">
        <f t="shared" si="167"/>
        <v/>
      </c>
      <c r="OUL22" s="73" t="str">
        <f t="shared" si="167"/>
        <v/>
      </c>
      <c r="OUM22" s="73" t="str">
        <f t="shared" si="167"/>
        <v/>
      </c>
      <c r="OUN22" s="73" t="str">
        <f t="shared" si="167"/>
        <v/>
      </c>
      <c r="OUO22" s="73" t="str">
        <f t="shared" si="167"/>
        <v/>
      </c>
      <c r="OUP22" s="73" t="str">
        <f t="shared" si="167"/>
        <v/>
      </c>
      <c r="OUQ22" s="73" t="str">
        <f t="shared" si="167"/>
        <v/>
      </c>
      <c r="OUR22" s="73" t="str">
        <f t="shared" si="167"/>
        <v/>
      </c>
      <c r="OUS22" s="73" t="str">
        <f t="shared" si="167"/>
        <v/>
      </c>
      <c r="OUT22" s="73" t="str">
        <f t="shared" si="167"/>
        <v/>
      </c>
      <c r="OUU22" s="73" t="str">
        <f t="shared" si="167"/>
        <v/>
      </c>
      <c r="OUV22" s="73" t="str">
        <f t="shared" si="167"/>
        <v/>
      </c>
      <c r="OUW22" s="73" t="str">
        <f t="shared" si="167"/>
        <v/>
      </c>
      <c r="OUX22" s="73" t="str">
        <f t="shared" si="167"/>
        <v/>
      </c>
      <c r="OUY22" s="73" t="str">
        <f t="shared" si="167"/>
        <v/>
      </c>
      <c r="OUZ22" s="73" t="str">
        <f t="shared" si="167"/>
        <v/>
      </c>
      <c r="OVA22" s="73" t="str">
        <f t="shared" si="167"/>
        <v/>
      </c>
      <c r="OVB22" s="73" t="str">
        <f t="shared" si="167"/>
        <v/>
      </c>
      <c r="OVC22" s="73" t="str">
        <f t="shared" si="167"/>
        <v/>
      </c>
      <c r="OVD22" s="73" t="str">
        <f t="shared" si="167"/>
        <v/>
      </c>
      <c r="OVE22" s="73" t="str">
        <f t="shared" si="167"/>
        <v/>
      </c>
      <c r="OVF22" s="73" t="str">
        <f t="shared" si="167"/>
        <v/>
      </c>
      <c r="OVG22" s="73" t="str">
        <f t="shared" si="167"/>
        <v/>
      </c>
      <c r="OVH22" s="73" t="str">
        <f t="shared" si="167"/>
        <v/>
      </c>
      <c r="OVI22" s="73" t="str">
        <f t="shared" si="167"/>
        <v/>
      </c>
      <c r="OVJ22" s="73" t="str">
        <f t="shared" si="167"/>
        <v/>
      </c>
      <c r="OVK22" s="73" t="str">
        <f t="shared" si="167"/>
        <v/>
      </c>
      <c r="OVL22" s="73" t="str">
        <f t="shared" si="167"/>
        <v/>
      </c>
      <c r="OVM22" s="73" t="str">
        <f t="shared" si="167"/>
        <v/>
      </c>
      <c r="OVN22" s="73" t="str">
        <f t="shared" si="167"/>
        <v/>
      </c>
      <c r="OVO22" s="73" t="str">
        <f t="shared" si="167"/>
        <v/>
      </c>
      <c r="OVP22" s="73" t="str">
        <f t="shared" si="167"/>
        <v/>
      </c>
      <c r="OVQ22" s="73" t="str">
        <f t="shared" si="167"/>
        <v/>
      </c>
      <c r="OVR22" s="73" t="str">
        <f t="shared" si="167"/>
        <v/>
      </c>
      <c r="OVS22" s="73" t="str">
        <f t="shared" si="167"/>
        <v/>
      </c>
      <c r="OVT22" s="73" t="str">
        <f t="shared" si="167"/>
        <v/>
      </c>
      <c r="OVU22" s="73" t="str">
        <f t="shared" si="167"/>
        <v/>
      </c>
      <c r="OVV22" s="73" t="str">
        <f t="shared" si="167"/>
        <v/>
      </c>
      <c r="OVW22" s="73" t="str">
        <f t="shared" si="167"/>
        <v/>
      </c>
      <c r="OVX22" s="73" t="str">
        <f t="shared" si="167"/>
        <v/>
      </c>
      <c r="OVY22" s="73" t="str">
        <f t="shared" si="167"/>
        <v/>
      </c>
      <c r="OVZ22" s="73" t="str">
        <f t="shared" si="167"/>
        <v/>
      </c>
      <c r="OWA22" s="73" t="str">
        <f t="shared" si="167"/>
        <v/>
      </c>
      <c r="OWB22" s="73" t="str">
        <f t="shared" si="167"/>
        <v/>
      </c>
      <c r="OWC22" s="73" t="str">
        <f t="shared" si="167"/>
        <v/>
      </c>
      <c r="OWD22" s="73" t="str">
        <f t="shared" si="167"/>
        <v/>
      </c>
      <c r="OWE22" s="73" t="str">
        <f t="shared" si="167"/>
        <v/>
      </c>
      <c r="OWF22" s="73" t="str">
        <f t="shared" si="167"/>
        <v/>
      </c>
      <c r="OWG22" s="73" t="str">
        <f t="shared" si="167"/>
        <v/>
      </c>
      <c r="OWH22" s="73" t="str">
        <f t="shared" si="167"/>
        <v/>
      </c>
      <c r="OWI22" s="73" t="str">
        <f t="shared" si="167"/>
        <v/>
      </c>
      <c r="OWJ22" s="73" t="str">
        <f t="shared" si="167"/>
        <v/>
      </c>
      <c r="OWK22" s="73" t="str">
        <f t="shared" si="167"/>
        <v/>
      </c>
      <c r="OWL22" s="73" t="str">
        <f t="shared" si="167"/>
        <v/>
      </c>
      <c r="OWM22" s="73" t="str">
        <f t="shared" si="167"/>
        <v/>
      </c>
      <c r="OWN22" s="73" t="str">
        <f t="shared" si="167"/>
        <v/>
      </c>
      <c r="OWO22" s="73" t="str">
        <f t="shared" si="167"/>
        <v/>
      </c>
      <c r="OWP22" s="73" t="str">
        <f t="shared" si="167"/>
        <v/>
      </c>
      <c r="OWQ22" s="73" t="str">
        <f t="shared" si="167"/>
        <v/>
      </c>
      <c r="OWR22" s="73" t="str">
        <f t="shared" si="167"/>
        <v/>
      </c>
      <c r="OWS22" s="73" t="str">
        <f t="shared" si="167"/>
        <v/>
      </c>
      <c r="OWT22" s="73" t="str">
        <f t="shared" ref="OWT22:OZE22" si="168">IFERROR(AVERAGE(OWT6:OWT21),"")</f>
        <v/>
      </c>
      <c r="OWU22" s="73" t="str">
        <f t="shared" si="168"/>
        <v/>
      </c>
      <c r="OWV22" s="73" t="str">
        <f t="shared" si="168"/>
        <v/>
      </c>
      <c r="OWW22" s="73" t="str">
        <f t="shared" si="168"/>
        <v/>
      </c>
      <c r="OWX22" s="73" t="str">
        <f t="shared" si="168"/>
        <v/>
      </c>
      <c r="OWY22" s="73" t="str">
        <f t="shared" si="168"/>
        <v/>
      </c>
      <c r="OWZ22" s="73" t="str">
        <f t="shared" si="168"/>
        <v/>
      </c>
      <c r="OXA22" s="73" t="str">
        <f t="shared" si="168"/>
        <v/>
      </c>
      <c r="OXB22" s="73" t="str">
        <f t="shared" si="168"/>
        <v/>
      </c>
      <c r="OXC22" s="73" t="str">
        <f t="shared" si="168"/>
        <v/>
      </c>
      <c r="OXD22" s="73" t="str">
        <f t="shared" si="168"/>
        <v/>
      </c>
      <c r="OXE22" s="73" t="str">
        <f t="shared" si="168"/>
        <v/>
      </c>
      <c r="OXF22" s="73" t="str">
        <f t="shared" si="168"/>
        <v/>
      </c>
      <c r="OXG22" s="73" t="str">
        <f t="shared" si="168"/>
        <v/>
      </c>
      <c r="OXH22" s="73" t="str">
        <f t="shared" si="168"/>
        <v/>
      </c>
      <c r="OXI22" s="73" t="str">
        <f t="shared" si="168"/>
        <v/>
      </c>
      <c r="OXJ22" s="73" t="str">
        <f t="shared" si="168"/>
        <v/>
      </c>
      <c r="OXK22" s="73" t="str">
        <f t="shared" si="168"/>
        <v/>
      </c>
      <c r="OXL22" s="73" t="str">
        <f t="shared" si="168"/>
        <v/>
      </c>
      <c r="OXM22" s="73" t="str">
        <f t="shared" si="168"/>
        <v/>
      </c>
      <c r="OXN22" s="73" t="str">
        <f t="shared" si="168"/>
        <v/>
      </c>
      <c r="OXO22" s="73" t="str">
        <f t="shared" si="168"/>
        <v/>
      </c>
      <c r="OXP22" s="73" t="str">
        <f t="shared" si="168"/>
        <v/>
      </c>
      <c r="OXQ22" s="73" t="str">
        <f t="shared" si="168"/>
        <v/>
      </c>
      <c r="OXR22" s="73" t="str">
        <f t="shared" si="168"/>
        <v/>
      </c>
      <c r="OXS22" s="73" t="str">
        <f t="shared" si="168"/>
        <v/>
      </c>
      <c r="OXT22" s="73" t="str">
        <f t="shared" si="168"/>
        <v/>
      </c>
      <c r="OXU22" s="73" t="str">
        <f t="shared" si="168"/>
        <v/>
      </c>
      <c r="OXV22" s="73" t="str">
        <f t="shared" si="168"/>
        <v/>
      </c>
      <c r="OXW22" s="73" t="str">
        <f t="shared" si="168"/>
        <v/>
      </c>
      <c r="OXX22" s="73" t="str">
        <f t="shared" si="168"/>
        <v/>
      </c>
      <c r="OXY22" s="73" t="str">
        <f t="shared" si="168"/>
        <v/>
      </c>
      <c r="OXZ22" s="73" t="str">
        <f t="shared" si="168"/>
        <v/>
      </c>
      <c r="OYA22" s="73" t="str">
        <f t="shared" si="168"/>
        <v/>
      </c>
      <c r="OYB22" s="73" t="str">
        <f t="shared" si="168"/>
        <v/>
      </c>
      <c r="OYC22" s="73" t="str">
        <f t="shared" si="168"/>
        <v/>
      </c>
      <c r="OYD22" s="73" t="str">
        <f t="shared" si="168"/>
        <v/>
      </c>
      <c r="OYE22" s="73" t="str">
        <f t="shared" si="168"/>
        <v/>
      </c>
      <c r="OYF22" s="73" t="str">
        <f t="shared" si="168"/>
        <v/>
      </c>
      <c r="OYG22" s="73" t="str">
        <f t="shared" si="168"/>
        <v/>
      </c>
      <c r="OYH22" s="73" t="str">
        <f t="shared" si="168"/>
        <v/>
      </c>
      <c r="OYI22" s="73" t="str">
        <f t="shared" si="168"/>
        <v/>
      </c>
      <c r="OYJ22" s="73" t="str">
        <f t="shared" si="168"/>
        <v/>
      </c>
      <c r="OYK22" s="73" t="str">
        <f t="shared" si="168"/>
        <v/>
      </c>
      <c r="OYL22" s="73" t="str">
        <f t="shared" si="168"/>
        <v/>
      </c>
      <c r="OYM22" s="73" t="str">
        <f t="shared" si="168"/>
        <v/>
      </c>
      <c r="OYN22" s="73" t="str">
        <f t="shared" si="168"/>
        <v/>
      </c>
      <c r="OYO22" s="73" t="str">
        <f t="shared" si="168"/>
        <v/>
      </c>
      <c r="OYP22" s="73" t="str">
        <f t="shared" si="168"/>
        <v/>
      </c>
      <c r="OYQ22" s="73" t="str">
        <f t="shared" si="168"/>
        <v/>
      </c>
      <c r="OYR22" s="73" t="str">
        <f t="shared" si="168"/>
        <v/>
      </c>
      <c r="OYS22" s="73" t="str">
        <f t="shared" si="168"/>
        <v/>
      </c>
      <c r="OYT22" s="73" t="str">
        <f t="shared" si="168"/>
        <v/>
      </c>
      <c r="OYU22" s="73" t="str">
        <f t="shared" si="168"/>
        <v/>
      </c>
      <c r="OYV22" s="73" t="str">
        <f t="shared" si="168"/>
        <v/>
      </c>
      <c r="OYW22" s="73" t="str">
        <f t="shared" si="168"/>
        <v/>
      </c>
      <c r="OYX22" s="73" t="str">
        <f t="shared" si="168"/>
        <v/>
      </c>
      <c r="OYY22" s="73" t="str">
        <f t="shared" si="168"/>
        <v/>
      </c>
      <c r="OYZ22" s="73" t="str">
        <f t="shared" si="168"/>
        <v/>
      </c>
      <c r="OZA22" s="73" t="str">
        <f t="shared" si="168"/>
        <v/>
      </c>
      <c r="OZB22" s="73" t="str">
        <f t="shared" si="168"/>
        <v/>
      </c>
      <c r="OZC22" s="73" t="str">
        <f t="shared" si="168"/>
        <v/>
      </c>
      <c r="OZD22" s="73" t="str">
        <f t="shared" si="168"/>
        <v/>
      </c>
      <c r="OZE22" s="73" t="str">
        <f t="shared" si="168"/>
        <v/>
      </c>
      <c r="OZF22" s="73" t="str">
        <f t="shared" ref="OZF22:PBQ22" si="169">IFERROR(AVERAGE(OZF6:OZF21),"")</f>
        <v/>
      </c>
      <c r="OZG22" s="73" t="str">
        <f t="shared" si="169"/>
        <v/>
      </c>
      <c r="OZH22" s="73" t="str">
        <f t="shared" si="169"/>
        <v/>
      </c>
      <c r="OZI22" s="73" t="str">
        <f t="shared" si="169"/>
        <v/>
      </c>
      <c r="OZJ22" s="73" t="str">
        <f t="shared" si="169"/>
        <v/>
      </c>
      <c r="OZK22" s="73" t="str">
        <f t="shared" si="169"/>
        <v/>
      </c>
      <c r="OZL22" s="73" t="str">
        <f t="shared" si="169"/>
        <v/>
      </c>
      <c r="OZM22" s="73" t="str">
        <f t="shared" si="169"/>
        <v/>
      </c>
      <c r="OZN22" s="73" t="str">
        <f t="shared" si="169"/>
        <v/>
      </c>
      <c r="OZO22" s="73" t="str">
        <f t="shared" si="169"/>
        <v/>
      </c>
      <c r="OZP22" s="73" t="str">
        <f t="shared" si="169"/>
        <v/>
      </c>
      <c r="OZQ22" s="73" t="str">
        <f t="shared" si="169"/>
        <v/>
      </c>
      <c r="OZR22" s="73" t="str">
        <f t="shared" si="169"/>
        <v/>
      </c>
      <c r="OZS22" s="73" t="str">
        <f t="shared" si="169"/>
        <v/>
      </c>
      <c r="OZT22" s="73" t="str">
        <f t="shared" si="169"/>
        <v/>
      </c>
      <c r="OZU22" s="73" t="str">
        <f t="shared" si="169"/>
        <v/>
      </c>
      <c r="OZV22" s="73" t="str">
        <f t="shared" si="169"/>
        <v/>
      </c>
      <c r="OZW22" s="73" t="str">
        <f t="shared" si="169"/>
        <v/>
      </c>
      <c r="OZX22" s="73" t="str">
        <f t="shared" si="169"/>
        <v/>
      </c>
      <c r="OZY22" s="73" t="str">
        <f t="shared" si="169"/>
        <v/>
      </c>
      <c r="OZZ22" s="73" t="str">
        <f t="shared" si="169"/>
        <v/>
      </c>
      <c r="PAA22" s="73" t="str">
        <f t="shared" si="169"/>
        <v/>
      </c>
      <c r="PAB22" s="73" t="str">
        <f t="shared" si="169"/>
        <v/>
      </c>
      <c r="PAC22" s="73" t="str">
        <f t="shared" si="169"/>
        <v/>
      </c>
      <c r="PAD22" s="73" t="str">
        <f t="shared" si="169"/>
        <v/>
      </c>
      <c r="PAE22" s="73" t="str">
        <f t="shared" si="169"/>
        <v/>
      </c>
      <c r="PAF22" s="73" t="str">
        <f t="shared" si="169"/>
        <v/>
      </c>
      <c r="PAG22" s="73" t="str">
        <f t="shared" si="169"/>
        <v/>
      </c>
      <c r="PAH22" s="73" t="str">
        <f t="shared" si="169"/>
        <v/>
      </c>
      <c r="PAI22" s="73" t="str">
        <f t="shared" si="169"/>
        <v/>
      </c>
      <c r="PAJ22" s="73" t="str">
        <f t="shared" si="169"/>
        <v/>
      </c>
      <c r="PAK22" s="73" t="str">
        <f t="shared" si="169"/>
        <v/>
      </c>
      <c r="PAL22" s="73" t="str">
        <f t="shared" si="169"/>
        <v/>
      </c>
      <c r="PAM22" s="73" t="str">
        <f t="shared" si="169"/>
        <v/>
      </c>
      <c r="PAN22" s="73" t="str">
        <f t="shared" si="169"/>
        <v/>
      </c>
      <c r="PAO22" s="73" t="str">
        <f t="shared" si="169"/>
        <v/>
      </c>
      <c r="PAP22" s="73" t="str">
        <f t="shared" si="169"/>
        <v/>
      </c>
      <c r="PAQ22" s="73" t="str">
        <f t="shared" si="169"/>
        <v/>
      </c>
      <c r="PAR22" s="73" t="str">
        <f t="shared" si="169"/>
        <v/>
      </c>
      <c r="PAS22" s="73" t="str">
        <f t="shared" si="169"/>
        <v/>
      </c>
      <c r="PAT22" s="73" t="str">
        <f t="shared" si="169"/>
        <v/>
      </c>
      <c r="PAU22" s="73" t="str">
        <f t="shared" si="169"/>
        <v/>
      </c>
      <c r="PAV22" s="73" t="str">
        <f t="shared" si="169"/>
        <v/>
      </c>
      <c r="PAW22" s="73" t="str">
        <f t="shared" si="169"/>
        <v/>
      </c>
      <c r="PAX22" s="73" t="str">
        <f t="shared" si="169"/>
        <v/>
      </c>
      <c r="PAY22" s="73" t="str">
        <f t="shared" si="169"/>
        <v/>
      </c>
      <c r="PAZ22" s="73" t="str">
        <f t="shared" si="169"/>
        <v/>
      </c>
      <c r="PBA22" s="73" t="str">
        <f t="shared" si="169"/>
        <v/>
      </c>
      <c r="PBB22" s="73" t="str">
        <f t="shared" si="169"/>
        <v/>
      </c>
      <c r="PBC22" s="73" t="str">
        <f t="shared" si="169"/>
        <v/>
      </c>
      <c r="PBD22" s="73" t="str">
        <f t="shared" si="169"/>
        <v/>
      </c>
      <c r="PBE22" s="73" t="str">
        <f t="shared" si="169"/>
        <v/>
      </c>
      <c r="PBF22" s="73" t="str">
        <f t="shared" si="169"/>
        <v/>
      </c>
      <c r="PBG22" s="73" t="str">
        <f t="shared" si="169"/>
        <v/>
      </c>
      <c r="PBH22" s="73" t="str">
        <f t="shared" si="169"/>
        <v/>
      </c>
      <c r="PBI22" s="73" t="str">
        <f t="shared" si="169"/>
        <v/>
      </c>
      <c r="PBJ22" s="73" t="str">
        <f t="shared" si="169"/>
        <v/>
      </c>
      <c r="PBK22" s="73" t="str">
        <f t="shared" si="169"/>
        <v/>
      </c>
      <c r="PBL22" s="73" t="str">
        <f t="shared" si="169"/>
        <v/>
      </c>
      <c r="PBM22" s="73" t="str">
        <f t="shared" si="169"/>
        <v/>
      </c>
      <c r="PBN22" s="73" t="str">
        <f t="shared" si="169"/>
        <v/>
      </c>
      <c r="PBO22" s="73" t="str">
        <f t="shared" si="169"/>
        <v/>
      </c>
      <c r="PBP22" s="73" t="str">
        <f t="shared" si="169"/>
        <v/>
      </c>
      <c r="PBQ22" s="73" t="str">
        <f t="shared" si="169"/>
        <v/>
      </c>
      <c r="PBR22" s="73" t="str">
        <f t="shared" ref="PBR22:PEC22" si="170">IFERROR(AVERAGE(PBR6:PBR21),"")</f>
        <v/>
      </c>
      <c r="PBS22" s="73" t="str">
        <f t="shared" si="170"/>
        <v/>
      </c>
      <c r="PBT22" s="73" t="str">
        <f t="shared" si="170"/>
        <v/>
      </c>
      <c r="PBU22" s="73" t="str">
        <f t="shared" si="170"/>
        <v/>
      </c>
      <c r="PBV22" s="73" t="str">
        <f t="shared" si="170"/>
        <v/>
      </c>
      <c r="PBW22" s="73" t="str">
        <f t="shared" si="170"/>
        <v/>
      </c>
      <c r="PBX22" s="73" t="str">
        <f t="shared" si="170"/>
        <v/>
      </c>
      <c r="PBY22" s="73" t="str">
        <f t="shared" si="170"/>
        <v/>
      </c>
      <c r="PBZ22" s="73" t="str">
        <f t="shared" si="170"/>
        <v/>
      </c>
      <c r="PCA22" s="73" t="str">
        <f t="shared" si="170"/>
        <v/>
      </c>
      <c r="PCB22" s="73" t="str">
        <f t="shared" si="170"/>
        <v/>
      </c>
      <c r="PCC22" s="73" t="str">
        <f t="shared" si="170"/>
        <v/>
      </c>
      <c r="PCD22" s="73" t="str">
        <f t="shared" si="170"/>
        <v/>
      </c>
      <c r="PCE22" s="73" t="str">
        <f t="shared" si="170"/>
        <v/>
      </c>
      <c r="PCF22" s="73" t="str">
        <f t="shared" si="170"/>
        <v/>
      </c>
      <c r="PCG22" s="73" t="str">
        <f t="shared" si="170"/>
        <v/>
      </c>
      <c r="PCH22" s="73" t="str">
        <f t="shared" si="170"/>
        <v/>
      </c>
      <c r="PCI22" s="73" t="str">
        <f t="shared" si="170"/>
        <v/>
      </c>
      <c r="PCJ22" s="73" t="str">
        <f t="shared" si="170"/>
        <v/>
      </c>
      <c r="PCK22" s="73" t="str">
        <f t="shared" si="170"/>
        <v/>
      </c>
      <c r="PCL22" s="73" t="str">
        <f t="shared" si="170"/>
        <v/>
      </c>
      <c r="PCM22" s="73" t="str">
        <f t="shared" si="170"/>
        <v/>
      </c>
      <c r="PCN22" s="73" t="str">
        <f t="shared" si="170"/>
        <v/>
      </c>
      <c r="PCO22" s="73" t="str">
        <f t="shared" si="170"/>
        <v/>
      </c>
      <c r="PCP22" s="73" t="str">
        <f t="shared" si="170"/>
        <v/>
      </c>
      <c r="PCQ22" s="73" t="str">
        <f t="shared" si="170"/>
        <v/>
      </c>
      <c r="PCR22" s="73" t="str">
        <f t="shared" si="170"/>
        <v/>
      </c>
      <c r="PCS22" s="73" t="str">
        <f t="shared" si="170"/>
        <v/>
      </c>
      <c r="PCT22" s="73" t="str">
        <f t="shared" si="170"/>
        <v/>
      </c>
      <c r="PCU22" s="73" t="str">
        <f t="shared" si="170"/>
        <v/>
      </c>
      <c r="PCV22" s="73" t="str">
        <f t="shared" si="170"/>
        <v/>
      </c>
      <c r="PCW22" s="73" t="str">
        <f t="shared" si="170"/>
        <v/>
      </c>
      <c r="PCX22" s="73" t="str">
        <f t="shared" si="170"/>
        <v/>
      </c>
      <c r="PCY22" s="73" t="str">
        <f t="shared" si="170"/>
        <v/>
      </c>
      <c r="PCZ22" s="73" t="str">
        <f t="shared" si="170"/>
        <v/>
      </c>
      <c r="PDA22" s="73" t="str">
        <f t="shared" si="170"/>
        <v/>
      </c>
      <c r="PDB22" s="73" t="str">
        <f t="shared" si="170"/>
        <v/>
      </c>
      <c r="PDC22" s="73" t="str">
        <f t="shared" si="170"/>
        <v/>
      </c>
      <c r="PDD22" s="73" t="str">
        <f t="shared" si="170"/>
        <v/>
      </c>
      <c r="PDE22" s="73" t="str">
        <f t="shared" si="170"/>
        <v/>
      </c>
      <c r="PDF22" s="73" t="str">
        <f t="shared" si="170"/>
        <v/>
      </c>
      <c r="PDG22" s="73" t="str">
        <f t="shared" si="170"/>
        <v/>
      </c>
      <c r="PDH22" s="73" t="str">
        <f t="shared" si="170"/>
        <v/>
      </c>
      <c r="PDI22" s="73" t="str">
        <f t="shared" si="170"/>
        <v/>
      </c>
      <c r="PDJ22" s="73" t="str">
        <f t="shared" si="170"/>
        <v/>
      </c>
      <c r="PDK22" s="73" t="str">
        <f t="shared" si="170"/>
        <v/>
      </c>
      <c r="PDL22" s="73" t="str">
        <f t="shared" si="170"/>
        <v/>
      </c>
      <c r="PDM22" s="73" t="str">
        <f t="shared" si="170"/>
        <v/>
      </c>
      <c r="PDN22" s="73" t="str">
        <f t="shared" si="170"/>
        <v/>
      </c>
      <c r="PDO22" s="73" t="str">
        <f t="shared" si="170"/>
        <v/>
      </c>
      <c r="PDP22" s="73" t="str">
        <f t="shared" si="170"/>
        <v/>
      </c>
      <c r="PDQ22" s="73" t="str">
        <f t="shared" si="170"/>
        <v/>
      </c>
      <c r="PDR22" s="73" t="str">
        <f t="shared" si="170"/>
        <v/>
      </c>
      <c r="PDS22" s="73" t="str">
        <f t="shared" si="170"/>
        <v/>
      </c>
      <c r="PDT22" s="73" t="str">
        <f t="shared" si="170"/>
        <v/>
      </c>
      <c r="PDU22" s="73" t="str">
        <f t="shared" si="170"/>
        <v/>
      </c>
      <c r="PDV22" s="73" t="str">
        <f t="shared" si="170"/>
        <v/>
      </c>
      <c r="PDW22" s="73" t="str">
        <f t="shared" si="170"/>
        <v/>
      </c>
      <c r="PDX22" s="73" t="str">
        <f t="shared" si="170"/>
        <v/>
      </c>
      <c r="PDY22" s="73" t="str">
        <f t="shared" si="170"/>
        <v/>
      </c>
      <c r="PDZ22" s="73" t="str">
        <f t="shared" si="170"/>
        <v/>
      </c>
      <c r="PEA22" s="73" t="str">
        <f t="shared" si="170"/>
        <v/>
      </c>
      <c r="PEB22" s="73" t="str">
        <f t="shared" si="170"/>
        <v/>
      </c>
      <c r="PEC22" s="73" t="str">
        <f t="shared" si="170"/>
        <v/>
      </c>
      <c r="PED22" s="73" t="str">
        <f t="shared" ref="PED22:PGO22" si="171">IFERROR(AVERAGE(PED6:PED21),"")</f>
        <v/>
      </c>
      <c r="PEE22" s="73" t="str">
        <f t="shared" si="171"/>
        <v/>
      </c>
      <c r="PEF22" s="73" t="str">
        <f t="shared" si="171"/>
        <v/>
      </c>
      <c r="PEG22" s="73" t="str">
        <f t="shared" si="171"/>
        <v/>
      </c>
      <c r="PEH22" s="73" t="str">
        <f t="shared" si="171"/>
        <v/>
      </c>
      <c r="PEI22" s="73" t="str">
        <f t="shared" si="171"/>
        <v/>
      </c>
      <c r="PEJ22" s="73" t="str">
        <f t="shared" si="171"/>
        <v/>
      </c>
      <c r="PEK22" s="73" t="str">
        <f t="shared" si="171"/>
        <v/>
      </c>
      <c r="PEL22" s="73" t="str">
        <f t="shared" si="171"/>
        <v/>
      </c>
      <c r="PEM22" s="73" t="str">
        <f t="shared" si="171"/>
        <v/>
      </c>
      <c r="PEN22" s="73" t="str">
        <f t="shared" si="171"/>
        <v/>
      </c>
      <c r="PEO22" s="73" t="str">
        <f t="shared" si="171"/>
        <v/>
      </c>
      <c r="PEP22" s="73" t="str">
        <f t="shared" si="171"/>
        <v/>
      </c>
      <c r="PEQ22" s="73" t="str">
        <f t="shared" si="171"/>
        <v/>
      </c>
      <c r="PER22" s="73" t="str">
        <f t="shared" si="171"/>
        <v/>
      </c>
      <c r="PES22" s="73" t="str">
        <f t="shared" si="171"/>
        <v/>
      </c>
      <c r="PET22" s="73" t="str">
        <f t="shared" si="171"/>
        <v/>
      </c>
      <c r="PEU22" s="73" t="str">
        <f t="shared" si="171"/>
        <v/>
      </c>
      <c r="PEV22" s="73" t="str">
        <f t="shared" si="171"/>
        <v/>
      </c>
      <c r="PEW22" s="73" t="str">
        <f t="shared" si="171"/>
        <v/>
      </c>
      <c r="PEX22" s="73" t="str">
        <f t="shared" si="171"/>
        <v/>
      </c>
      <c r="PEY22" s="73" t="str">
        <f t="shared" si="171"/>
        <v/>
      </c>
      <c r="PEZ22" s="73" t="str">
        <f t="shared" si="171"/>
        <v/>
      </c>
      <c r="PFA22" s="73" t="str">
        <f t="shared" si="171"/>
        <v/>
      </c>
      <c r="PFB22" s="73" t="str">
        <f t="shared" si="171"/>
        <v/>
      </c>
      <c r="PFC22" s="73" t="str">
        <f t="shared" si="171"/>
        <v/>
      </c>
      <c r="PFD22" s="73" t="str">
        <f t="shared" si="171"/>
        <v/>
      </c>
      <c r="PFE22" s="73" t="str">
        <f t="shared" si="171"/>
        <v/>
      </c>
      <c r="PFF22" s="73" t="str">
        <f t="shared" si="171"/>
        <v/>
      </c>
      <c r="PFG22" s="73" t="str">
        <f t="shared" si="171"/>
        <v/>
      </c>
      <c r="PFH22" s="73" t="str">
        <f t="shared" si="171"/>
        <v/>
      </c>
      <c r="PFI22" s="73" t="str">
        <f t="shared" si="171"/>
        <v/>
      </c>
      <c r="PFJ22" s="73" t="str">
        <f t="shared" si="171"/>
        <v/>
      </c>
      <c r="PFK22" s="73" t="str">
        <f t="shared" si="171"/>
        <v/>
      </c>
      <c r="PFL22" s="73" t="str">
        <f t="shared" si="171"/>
        <v/>
      </c>
      <c r="PFM22" s="73" t="str">
        <f t="shared" si="171"/>
        <v/>
      </c>
      <c r="PFN22" s="73" t="str">
        <f t="shared" si="171"/>
        <v/>
      </c>
      <c r="PFO22" s="73" t="str">
        <f t="shared" si="171"/>
        <v/>
      </c>
      <c r="PFP22" s="73" t="str">
        <f t="shared" si="171"/>
        <v/>
      </c>
      <c r="PFQ22" s="73" t="str">
        <f t="shared" si="171"/>
        <v/>
      </c>
      <c r="PFR22" s="73" t="str">
        <f t="shared" si="171"/>
        <v/>
      </c>
      <c r="PFS22" s="73" t="str">
        <f t="shared" si="171"/>
        <v/>
      </c>
      <c r="PFT22" s="73" t="str">
        <f t="shared" si="171"/>
        <v/>
      </c>
      <c r="PFU22" s="73" t="str">
        <f t="shared" si="171"/>
        <v/>
      </c>
      <c r="PFV22" s="73" t="str">
        <f t="shared" si="171"/>
        <v/>
      </c>
      <c r="PFW22" s="73" t="str">
        <f t="shared" si="171"/>
        <v/>
      </c>
      <c r="PFX22" s="73" t="str">
        <f t="shared" si="171"/>
        <v/>
      </c>
      <c r="PFY22" s="73" t="str">
        <f t="shared" si="171"/>
        <v/>
      </c>
      <c r="PFZ22" s="73" t="str">
        <f t="shared" si="171"/>
        <v/>
      </c>
      <c r="PGA22" s="73" t="str">
        <f t="shared" si="171"/>
        <v/>
      </c>
      <c r="PGB22" s="73" t="str">
        <f t="shared" si="171"/>
        <v/>
      </c>
      <c r="PGC22" s="73" t="str">
        <f t="shared" si="171"/>
        <v/>
      </c>
      <c r="PGD22" s="73" t="str">
        <f t="shared" si="171"/>
        <v/>
      </c>
      <c r="PGE22" s="73" t="str">
        <f t="shared" si="171"/>
        <v/>
      </c>
      <c r="PGF22" s="73" t="str">
        <f t="shared" si="171"/>
        <v/>
      </c>
      <c r="PGG22" s="73" t="str">
        <f t="shared" si="171"/>
        <v/>
      </c>
      <c r="PGH22" s="73" t="str">
        <f t="shared" si="171"/>
        <v/>
      </c>
      <c r="PGI22" s="73" t="str">
        <f t="shared" si="171"/>
        <v/>
      </c>
      <c r="PGJ22" s="73" t="str">
        <f t="shared" si="171"/>
        <v/>
      </c>
      <c r="PGK22" s="73" t="str">
        <f t="shared" si="171"/>
        <v/>
      </c>
      <c r="PGL22" s="73" t="str">
        <f t="shared" si="171"/>
        <v/>
      </c>
      <c r="PGM22" s="73" t="str">
        <f t="shared" si="171"/>
        <v/>
      </c>
      <c r="PGN22" s="73" t="str">
        <f t="shared" si="171"/>
        <v/>
      </c>
      <c r="PGO22" s="73" t="str">
        <f t="shared" si="171"/>
        <v/>
      </c>
      <c r="PGP22" s="73" t="str">
        <f t="shared" ref="PGP22:PJA22" si="172">IFERROR(AVERAGE(PGP6:PGP21),"")</f>
        <v/>
      </c>
      <c r="PGQ22" s="73" t="str">
        <f t="shared" si="172"/>
        <v/>
      </c>
      <c r="PGR22" s="73" t="str">
        <f t="shared" si="172"/>
        <v/>
      </c>
      <c r="PGS22" s="73" t="str">
        <f t="shared" si="172"/>
        <v/>
      </c>
      <c r="PGT22" s="73" t="str">
        <f t="shared" si="172"/>
        <v/>
      </c>
      <c r="PGU22" s="73" t="str">
        <f t="shared" si="172"/>
        <v/>
      </c>
      <c r="PGV22" s="73" t="str">
        <f t="shared" si="172"/>
        <v/>
      </c>
      <c r="PGW22" s="73" t="str">
        <f t="shared" si="172"/>
        <v/>
      </c>
      <c r="PGX22" s="73" t="str">
        <f t="shared" si="172"/>
        <v/>
      </c>
      <c r="PGY22" s="73" t="str">
        <f t="shared" si="172"/>
        <v/>
      </c>
      <c r="PGZ22" s="73" t="str">
        <f t="shared" si="172"/>
        <v/>
      </c>
      <c r="PHA22" s="73" t="str">
        <f t="shared" si="172"/>
        <v/>
      </c>
      <c r="PHB22" s="73" t="str">
        <f t="shared" si="172"/>
        <v/>
      </c>
      <c r="PHC22" s="73" t="str">
        <f t="shared" si="172"/>
        <v/>
      </c>
      <c r="PHD22" s="73" t="str">
        <f t="shared" si="172"/>
        <v/>
      </c>
      <c r="PHE22" s="73" t="str">
        <f t="shared" si="172"/>
        <v/>
      </c>
      <c r="PHF22" s="73" t="str">
        <f t="shared" si="172"/>
        <v/>
      </c>
      <c r="PHG22" s="73" t="str">
        <f t="shared" si="172"/>
        <v/>
      </c>
      <c r="PHH22" s="73" t="str">
        <f t="shared" si="172"/>
        <v/>
      </c>
      <c r="PHI22" s="73" t="str">
        <f t="shared" si="172"/>
        <v/>
      </c>
      <c r="PHJ22" s="73" t="str">
        <f t="shared" si="172"/>
        <v/>
      </c>
      <c r="PHK22" s="73" t="str">
        <f t="shared" si="172"/>
        <v/>
      </c>
      <c r="PHL22" s="73" t="str">
        <f t="shared" si="172"/>
        <v/>
      </c>
      <c r="PHM22" s="73" t="str">
        <f t="shared" si="172"/>
        <v/>
      </c>
      <c r="PHN22" s="73" t="str">
        <f t="shared" si="172"/>
        <v/>
      </c>
      <c r="PHO22" s="73" t="str">
        <f t="shared" si="172"/>
        <v/>
      </c>
      <c r="PHP22" s="73" t="str">
        <f t="shared" si="172"/>
        <v/>
      </c>
      <c r="PHQ22" s="73" t="str">
        <f t="shared" si="172"/>
        <v/>
      </c>
      <c r="PHR22" s="73" t="str">
        <f t="shared" si="172"/>
        <v/>
      </c>
      <c r="PHS22" s="73" t="str">
        <f t="shared" si="172"/>
        <v/>
      </c>
      <c r="PHT22" s="73" t="str">
        <f t="shared" si="172"/>
        <v/>
      </c>
      <c r="PHU22" s="73" t="str">
        <f t="shared" si="172"/>
        <v/>
      </c>
      <c r="PHV22" s="73" t="str">
        <f t="shared" si="172"/>
        <v/>
      </c>
      <c r="PHW22" s="73" t="str">
        <f t="shared" si="172"/>
        <v/>
      </c>
      <c r="PHX22" s="73" t="str">
        <f t="shared" si="172"/>
        <v/>
      </c>
      <c r="PHY22" s="73" t="str">
        <f t="shared" si="172"/>
        <v/>
      </c>
      <c r="PHZ22" s="73" t="str">
        <f t="shared" si="172"/>
        <v/>
      </c>
      <c r="PIA22" s="73" t="str">
        <f t="shared" si="172"/>
        <v/>
      </c>
      <c r="PIB22" s="73" t="str">
        <f t="shared" si="172"/>
        <v/>
      </c>
      <c r="PIC22" s="73" t="str">
        <f t="shared" si="172"/>
        <v/>
      </c>
      <c r="PID22" s="73" t="str">
        <f t="shared" si="172"/>
        <v/>
      </c>
      <c r="PIE22" s="73" t="str">
        <f t="shared" si="172"/>
        <v/>
      </c>
      <c r="PIF22" s="73" t="str">
        <f t="shared" si="172"/>
        <v/>
      </c>
      <c r="PIG22" s="73" t="str">
        <f t="shared" si="172"/>
        <v/>
      </c>
      <c r="PIH22" s="73" t="str">
        <f t="shared" si="172"/>
        <v/>
      </c>
      <c r="PII22" s="73" t="str">
        <f t="shared" si="172"/>
        <v/>
      </c>
      <c r="PIJ22" s="73" t="str">
        <f t="shared" si="172"/>
        <v/>
      </c>
      <c r="PIK22" s="73" t="str">
        <f t="shared" si="172"/>
        <v/>
      </c>
      <c r="PIL22" s="73" t="str">
        <f t="shared" si="172"/>
        <v/>
      </c>
      <c r="PIM22" s="73" t="str">
        <f t="shared" si="172"/>
        <v/>
      </c>
      <c r="PIN22" s="73" t="str">
        <f t="shared" si="172"/>
        <v/>
      </c>
      <c r="PIO22" s="73" t="str">
        <f t="shared" si="172"/>
        <v/>
      </c>
      <c r="PIP22" s="73" t="str">
        <f t="shared" si="172"/>
        <v/>
      </c>
      <c r="PIQ22" s="73" t="str">
        <f t="shared" si="172"/>
        <v/>
      </c>
      <c r="PIR22" s="73" t="str">
        <f t="shared" si="172"/>
        <v/>
      </c>
      <c r="PIS22" s="73" t="str">
        <f t="shared" si="172"/>
        <v/>
      </c>
      <c r="PIT22" s="73" t="str">
        <f t="shared" si="172"/>
        <v/>
      </c>
      <c r="PIU22" s="73" t="str">
        <f t="shared" si="172"/>
        <v/>
      </c>
      <c r="PIV22" s="73" t="str">
        <f t="shared" si="172"/>
        <v/>
      </c>
      <c r="PIW22" s="73" t="str">
        <f t="shared" si="172"/>
        <v/>
      </c>
      <c r="PIX22" s="73" t="str">
        <f t="shared" si="172"/>
        <v/>
      </c>
      <c r="PIY22" s="73" t="str">
        <f t="shared" si="172"/>
        <v/>
      </c>
      <c r="PIZ22" s="73" t="str">
        <f t="shared" si="172"/>
        <v/>
      </c>
      <c r="PJA22" s="73" t="str">
        <f t="shared" si="172"/>
        <v/>
      </c>
      <c r="PJB22" s="73" t="str">
        <f t="shared" ref="PJB22:PLM22" si="173">IFERROR(AVERAGE(PJB6:PJB21),"")</f>
        <v/>
      </c>
      <c r="PJC22" s="73" t="str">
        <f t="shared" si="173"/>
        <v/>
      </c>
      <c r="PJD22" s="73" t="str">
        <f t="shared" si="173"/>
        <v/>
      </c>
      <c r="PJE22" s="73" t="str">
        <f t="shared" si="173"/>
        <v/>
      </c>
      <c r="PJF22" s="73" t="str">
        <f t="shared" si="173"/>
        <v/>
      </c>
      <c r="PJG22" s="73" t="str">
        <f t="shared" si="173"/>
        <v/>
      </c>
      <c r="PJH22" s="73" t="str">
        <f t="shared" si="173"/>
        <v/>
      </c>
      <c r="PJI22" s="73" t="str">
        <f t="shared" si="173"/>
        <v/>
      </c>
      <c r="PJJ22" s="73" t="str">
        <f t="shared" si="173"/>
        <v/>
      </c>
      <c r="PJK22" s="73" t="str">
        <f t="shared" si="173"/>
        <v/>
      </c>
      <c r="PJL22" s="73" t="str">
        <f t="shared" si="173"/>
        <v/>
      </c>
      <c r="PJM22" s="73" t="str">
        <f t="shared" si="173"/>
        <v/>
      </c>
      <c r="PJN22" s="73" t="str">
        <f t="shared" si="173"/>
        <v/>
      </c>
      <c r="PJO22" s="73" t="str">
        <f t="shared" si="173"/>
        <v/>
      </c>
      <c r="PJP22" s="73" t="str">
        <f t="shared" si="173"/>
        <v/>
      </c>
      <c r="PJQ22" s="73" t="str">
        <f t="shared" si="173"/>
        <v/>
      </c>
      <c r="PJR22" s="73" t="str">
        <f t="shared" si="173"/>
        <v/>
      </c>
      <c r="PJS22" s="73" t="str">
        <f t="shared" si="173"/>
        <v/>
      </c>
      <c r="PJT22" s="73" t="str">
        <f t="shared" si="173"/>
        <v/>
      </c>
      <c r="PJU22" s="73" t="str">
        <f t="shared" si="173"/>
        <v/>
      </c>
      <c r="PJV22" s="73" t="str">
        <f t="shared" si="173"/>
        <v/>
      </c>
      <c r="PJW22" s="73" t="str">
        <f t="shared" si="173"/>
        <v/>
      </c>
      <c r="PJX22" s="73" t="str">
        <f t="shared" si="173"/>
        <v/>
      </c>
      <c r="PJY22" s="73" t="str">
        <f t="shared" si="173"/>
        <v/>
      </c>
      <c r="PJZ22" s="73" t="str">
        <f t="shared" si="173"/>
        <v/>
      </c>
      <c r="PKA22" s="73" t="str">
        <f t="shared" si="173"/>
        <v/>
      </c>
      <c r="PKB22" s="73" t="str">
        <f t="shared" si="173"/>
        <v/>
      </c>
      <c r="PKC22" s="73" t="str">
        <f t="shared" si="173"/>
        <v/>
      </c>
      <c r="PKD22" s="73" t="str">
        <f t="shared" si="173"/>
        <v/>
      </c>
      <c r="PKE22" s="73" t="str">
        <f t="shared" si="173"/>
        <v/>
      </c>
      <c r="PKF22" s="73" t="str">
        <f t="shared" si="173"/>
        <v/>
      </c>
      <c r="PKG22" s="73" t="str">
        <f t="shared" si="173"/>
        <v/>
      </c>
      <c r="PKH22" s="73" t="str">
        <f t="shared" si="173"/>
        <v/>
      </c>
      <c r="PKI22" s="73" t="str">
        <f t="shared" si="173"/>
        <v/>
      </c>
      <c r="PKJ22" s="73" t="str">
        <f t="shared" si="173"/>
        <v/>
      </c>
      <c r="PKK22" s="73" t="str">
        <f t="shared" si="173"/>
        <v/>
      </c>
      <c r="PKL22" s="73" t="str">
        <f t="shared" si="173"/>
        <v/>
      </c>
      <c r="PKM22" s="73" t="str">
        <f t="shared" si="173"/>
        <v/>
      </c>
      <c r="PKN22" s="73" t="str">
        <f t="shared" si="173"/>
        <v/>
      </c>
      <c r="PKO22" s="73" t="str">
        <f t="shared" si="173"/>
        <v/>
      </c>
      <c r="PKP22" s="73" t="str">
        <f t="shared" si="173"/>
        <v/>
      </c>
      <c r="PKQ22" s="73" t="str">
        <f t="shared" si="173"/>
        <v/>
      </c>
      <c r="PKR22" s="73" t="str">
        <f t="shared" si="173"/>
        <v/>
      </c>
      <c r="PKS22" s="73" t="str">
        <f t="shared" si="173"/>
        <v/>
      </c>
      <c r="PKT22" s="73" t="str">
        <f t="shared" si="173"/>
        <v/>
      </c>
      <c r="PKU22" s="73" t="str">
        <f t="shared" si="173"/>
        <v/>
      </c>
      <c r="PKV22" s="73" t="str">
        <f t="shared" si="173"/>
        <v/>
      </c>
      <c r="PKW22" s="73" t="str">
        <f t="shared" si="173"/>
        <v/>
      </c>
      <c r="PKX22" s="73" t="str">
        <f t="shared" si="173"/>
        <v/>
      </c>
      <c r="PKY22" s="73" t="str">
        <f t="shared" si="173"/>
        <v/>
      </c>
      <c r="PKZ22" s="73" t="str">
        <f t="shared" si="173"/>
        <v/>
      </c>
      <c r="PLA22" s="73" t="str">
        <f t="shared" si="173"/>
        <v/>
      </c>
      <c r="PLB22" s="73" t="str">
        <f t="shared" si="173"/>
        <v/>
      </c>
      <c r="PLC22" s="73" t="str">
        <f t="shared" si="173"/>
        <v/>
      </c>
      <c r="PLD22" s="73" t="str">
        <f t="shared" si="173"/>
        <v/>
      </c>
      <c r="PLE22" s="73" t="str">
        <f t="shared" si="173"/>
        <v/>
      </c>
      <c r="PLF22" s="73" t="str">
        <f t="shared" si="173"/>
        <v/>
      </c>
      <c r="PLG22" s="73" t="str">
        <f t="shared" si="173"/>
        <v/>
      </c>
      <c r="PLH22" s="73" t="str">
        <f t="shared" si="173"/>
        <v/>
      </c>
      <c r="PLI22" s="73" t="str">
        <f t="shared" si="173"/>
        <v/>
      </c>
      <c r="PLJ22" s="73" t="str">
        <f t="shared" si="173"/>
        <v/>
      </c>
      <c r="PLK22" s="73" t="str">
        <f t="shared" si="173"/>
        <v/>
      </c>
      <c r="PLL22" s="73" t="str">
        <f t="shared" si="173"/>
        <v/>
      </c>
      <c r="PLM22" s="73" t="str">
        <f t="shared" si="173"/>
        <v/>
      </c>
      <c r="PLN22" s="73" t="str">
        <f t="shared" ref="PLN22:PNY22" si="174">IFERROR(AVERAGE(PLN6:PLN21),"")</f>
        <v/>
      </c>
      <c r="PLO22" s="73" t="str">
        <f t="shared" si="174"/>
        <v/>
      </c>
      <c r="PLP22" s="73" t="str">
        <f t="shared" si="174"/>
        <v/>
      </c>
      <c r="PLQ22" s="73" t="str">
        <f t="shared" si="174"/>
        <v/>
      </c>
      <c r="PLR22" s="73" t="str">
        <f t="shared" si="174"/>
        <v/>
      </c>
      <c r="PLS22" s="73" t="str">
        <f t="shared" si="174"/>
        <v/>
      </c>
      <c r="PLT22" s="73" t="str">
        <f t="shared" si="174"/>
        <v/>
      </c>
      <c r="PLU22" s="73" t="str">
        <f t="shared" si="174"/>
        <v/>
      </c>
      <c r="PLV22" s="73" t="str">
        <f t="shared" si="174"/>
        <v/>
      </c>
      <c r="PLW22" s="73" t="str">
        <f t="shared" si="174"/>
        <v/>
      </c>
      <c r="PLX22" s="73" t="str">
        <f t="shared" si="174"/>
        <v/>
      </c>
      <c r="PLY22" s="73" t="str">
        <f t="shared" si="174"/>
        <v/>
      </c>
      <c r="PLZ22" s="73" t="str">
        <f t="shared" si="174"/>
        <v/>
      </c>
      <c r="PMA22" s="73" t="str">
        <f t="shared" si="174"/>
        <v/>
      </c>
      <c r="PMB22" s="73" t="str">
        <f t="shared" si="174"/>
        <v/>
      </c>
      <c r="PMC22" s="73" t="str">
        <f t="shared" si="174"/>
        <v/>
      </c>
      <c r="PMD22" s="73" t="str">
        <f t="shared" si="174"/>
        <v/>
      </c>
      <c r="PME22" s="73" t="str">
        <f t="shared" si="174"/>
        <v/>
      </c>
      <c r="PMF22" s="73" t="str">
        <f t="shared" si="174"/>
        <v/>
      </c>
      <c r="PMG22" s="73" t="str">
        <f t="shared" si="174"/>
        <v/>
      </c>
      <c r="PMH22" s="73" t="str">
        <f t="shared" si="174"/>
        <v/>
      </c>
      <c r="PMI22" s="73" t="str">
        <f t="shared" si="174"/>
        <v/>
      </c>
      <c r="PMJ22" s="73" t="str">
        <f t="shared" si="174"/>
        <v/>
      </c>
      <c r="PMK22" s="73" t="str">
        <f t="shared" si="174"/>
        <v/>
      </c>
      <c r="PML22" s="73" t="str">
        <f t="shared" si="174"/>
        <v/>
      </c>
      <c r="PMM22" s="73" t="str">
        <f t="shared" si="174"/>
        <v/>
      </c>
      <c r="PMN22" s="73" t="str">
        <f t="shared" si="174"/>
        <v/>
      </c>
      <c r="PMO22" s="73" t="str">
        <f t="shared" si="174"/>
        <v/>
      </c>
      <c r="PMP22" s="73" t="str">
        <f t="shared" si="174"/>
        <v/>
      </c>
      <c r="PMQ22" s="73" t="str">
        <f t="shared" si="174"/>
        <v/>
      </c>
      <c r="PMR22" s="73" t="str">
        <f t="shared" si="174"/>
        <v/>
      </c>
      <c r="PMS22" s="73" t="str">
        <f t="shared" si="174"/>
        <v/>
      </c>
      <c r="PMT22" s="73" t="str">
        <f t="shared" si="174"/>
        <v/>
      </c>
      <c r="PMU22" s="73" t="str">
        <f t="shared" si="174"/>
        <v/>
      </c>
      <c r="PMV22" s="73" t="str">
        <f t="shared" si="174"/>
        <v/>
      </c>
      <c r="PMW22" s="73" t="str">
        <f t="shared" si="174"/>
        <v/>
      </c>
      <c r="PMX22" s="73" t="str">
        <f t="shared" si="174"/>
        <v/>
      </c>
      <c r="PMY22" s="73" t="str">
        <f t="shared" si="174"/>
        <v/>
      </c>
      <c r="PMZ22" s="73" t="str">
        <f t="shared" si="174"/>
        <v/>
      </c>
      <c r="PNA22" s="73" t="str">
        <f t="shared" si="174"/>
        <v/>
      </c>
      <c r="PNB22" s="73" t="str">
        <f t="shared" si="174"/>
        <v/>
      </c>
      <c r="PNC22" s="73" t="str">
        <f t="shared" si="174"/>
        <v/>
      </c>
      <c r="PND22" s="73" t="str">
        <f t="shared" si="174"/>
        <v/>
      </c>
      <c r="PNE22" s="73" t="str">
        <f t="shared" si="174"/>
        <v/>
      </c>
      <c r="PNF22" s="73" t="str">
        <f t="shared" si="174"/>
        <v/>
      </c>
      <c r="PNG22" s="73" t="str">
        <f t="shared" si="174"/>
        <v/>
      </c>
      <c r="PNH22" s="73" t="str">
        <f t="shared" si="174"/>
        <v/>
      </c>
      <c r="PNI22" s="73" t="str">
        <f t="shared" si="174"/>
        <v/>
      </c>
      <c r="PNJ22" s="73" t="str">
        <f t="shared" si="174"/>
        <v/>
      </c>
      <c r="PNK22" s="73" t="str">
        <f t="shared" si="174"/>
        <v/>
      </c>
      <c r="PNL22" s="73" t="str">
        <f t="shared" si="174"/>
        <v/>
      </c>
      <c r="PNM22" s="73" t="str">
        <f t="shared" si="174"/>
        <v/>
      </c>
      <c r="PNN22" s="73" t="str">
        <f t="shared" si="174"/>
        <v/>
      </c>
      <c r="PNO22" s="73" t="str">
        <f t="shared" si="174"/>
        <v/>
      </c>
      <c r="PNP22" s="73" t="str">
        <f t="shared" si="174"/>
        <v/>
      </c>
      <c r="PNQ22" s="73" t="str">
        <f t="shared" si="174"/>
        <v/>
      </c>
      <c r="PNR22" s="73" t="str">
        <f t="shared" si="174"/>
        <v/>
      </c>
      <c r="PNS22" s="73" t="str">
        <f t="shared" si="174"/>
        <v/>
      </c>
      <c r="PNT22" s="73" t="str">
        <f t="shared" si="174"/>
        <v/>
      </c>
      <c r="PNU22" s="73" t="str">
        <f t="shared" si="174"/>
        <v/>
      </c>
      <c r="PNV22" s="73" t="str">
        <f t="shared" si="174"/>
        <v/>
      </c>
      <c r="PNW22" s="73" t="str">
        <f t="shared" si="174"/>
        <v/>
      </c>
      <c r="PNX22" s="73" t="str">
        <f t="shared" si="174"/>
        <v/>
      </c>
      <c r="PNY22" s="73" t="str">
        <f t="shared" si="174"/>
        <v/>
      </c>
      <c r="PNZ22" s="73" t="str">
        <f t="shared" ref="PNZ22:PQK22" si="175">IFERROR(AVERAGE(PNZ6:PNZ21),"")</f>
        <v/>
      </c>
      <c r="POA22" s="73" t="str">
        <f t="shared" si="175"/>
        <v/>
      </c>
      <c r="POB22" s="73" t="str">
        <f t="shared" si="175"/>
        <v/>
      </c>
      <c r="POC22" s="73" t="str">
        <f t="shared" si="175"/>
        <v/>
      </c>
      <c r="POD22" s="73" t="str">
        <f t="shared" si="175"/>
        <v/>
      </c>
      <c r="POE22" s="73" t="str">
        <f t="shared" si="175"/>
        <v/>
      </c>
      <c r="POF22" s="73" t="str">
        <f t="shared" si="175"/>
        <v/>
      </c>
      <c r="POG22" s="73" t="str">
        <f t="shared" si="175"/>
        <v/>
      </c>
      <c r="POH22" s="73" t="str">
        <f t="shared" si="175"/>
        <v/>
      </c>
      <c r="POI22" s="73" t="str">
        <f t="shared" si="175"/>
        <v/>
      </c>
      <c r="POJ22" s="73" t="str">
        <f t="shared" si="175"/>
        <v/>
      </c>
      <c r="POK22" s="73" t="str">
        <f t="shared" si="175"/>
        <v/>
      </c>
      <c r="POL22" s="73" t="str">
        <f t="shared" si="175"/>
        <v/>
      </c>
      <c r="POM22" s="73" t="str">
        <f t="shared" si="175"/>
        <v/>
      </c>
      <c r="PON22" s="73" t="str">
        <f t="shared" si="175"/>
        <v/>
      </c>
      <c r="POO22" s="73" t="str">
        <f t="shared" si="175"/>
        <v/>
      </c>
      <c r="POP22" s="73" t="str">
        <f t="shared" si="175"/>
        <v/>
      </c>
      <c r="POQ22" s="73" t="str">
        <f t="shared" si="175"/>
        <v/>
      </c>
      <c r="POR22" s="73" t="str">
        <f t="shared" si="175"/>
        <v/>
      </c>
      <c r="POS22" s="73" t="str">
        <f t="shared" si="175"/>
        <v/>
      </c>
      <c r="POT22" s="73" t="str">
        <f t="shared" si="175"/>
        <v/>
      </c>
      <c r="POU22" s="73" t="str">
        <f t="shared" si="175"/>
        <v/>
      </c>
      <c r="POV22" s="73" t="str">
        <f t="shared" si="175"/>
        <v/>
      </c>
      <c r="POW22" s="73" t="str">
        <f t="shared" si="175"/>
        <v/>
      </c>
      <c r="POX22" s="73" t="str">
        <f t="shared" si="175"/>
        <v/>
      </c>
      <c r="POY22" s="73" t="str">
        <f t="shared" si="175"/>
        <v/>
      </c>
      <c r="POZ22" s="73" t="str">
        <f t="shared" si="175"/>
        <v/>
      </c>
      <c r="PPA22" s="73" t="str">
        <f t="shared" si="175"/>
        <v/>
      </c>
      <c r="PPB22" s="73" t="str">
        <f t="shared" si="175"/>
        <v/>
      </c>
      <c r="PPC22" s="73" t="str">
        <f t="shared" si="175"/>
        <v/>
      </c>
      <c r="PPD22" s="73" t="str">
        <f t="shared" si="175"/>
        <v/>
      </c>
      <c r="PPE22" s="73" t="str">
        <f t="shared" si="175"/>
        <v/>
      </c>
      <c r="PPF22" s="73" t="str">
        <f t="shared" si="175"/>
        <v/>
      </c>
      <c r="PPG22" s="73" t="str">
        <f t="shared" si="175"/>
        <v/>
      </c>
      <c r="PPH22" s="73" t="str">
        <f t="shared" si="175"/>
        <v/>
      </c>
      <c r="PPI22" s="73" t="str">
        <f t="shared" si="175"/>
        <v/>
      </c>
      <c r="PPJ22" s="73" t="str">
        <f t="shared" si="175"/>
        <v/>
      </c>
      <c r="PPK22" s="73" t="str">
        <f t="shared" si="175"/>
        <v/>
      </c>
      <c r="PPL22" s="73" t="str">
        <f t="shared" si="175"/>
        <v/>
      </c>
      <c r="PPM22" s="73" t="str">
        <f t="shared" si="175"/>
        <v/>
      </c>
      <c r="PPN22" s="73" t="str">
        <f t="shared" si="175"/>
        <v/>
      </c>
      <c r="PPO22" s="73" t="str">
        <f t="shared" si="175"/>
        <v/>
      </c>
      <c r="PPP22" s="73" t="str">
        <f t="shared" si="175"/>
        <v/>
      </c>
      <c r="PPQ22" s="73" t="str">
        <f t="shared" si="175"/>
        <v/>
      </c>
      <c r="PPR22" s="73" t="str">
        <f t="shared" si="175"/>
        <v/>
      </c>
      <c r="PPS22" s="73" t="str">
        <f t="shared" si="175"/>
        <v/>
      </c>
      <c r="PPT22" s="73" t="str">
        <f t="shared" si="175"/>
        <v/>
      </c>
      <c r="PPU22" s="73" t="str">
        <f t="shared" si="175"/>
        <v/>
      </c>
      <c r="PPV22" s="73" t="str">
        <f t="shared" si="175"/>
        <v/>
      </c>
      <c r="PPW22" s="73" t="str">
        <f t="shared" si="175"/>
        <v/>
      </c>
      <c r="PPX22" s="73" t="str">
        <f t="shared" si="175"/>
        <v/>
      </c>
      <c r="PPY22" s="73" t="str">
        <f t="shared" si="175"/>
        <v/>
      </c>
      <c r="PPZ22" s="73" t="str">
        <f t="shared" si="175"/>
        <v/>
      </c>
      <c r="PQA22" s="73" t="str">
        <f t="shared" si="175"/>
        <v/>
      </c>
      <c r="PQB22" s="73" t="str">
        <f t="shared" si="175"/>
        <v/>
      </c>
      <c r="PQC22" s="73" t="str">
        <f t="shared" si="175"/>
        <v/>
      </c>
      <c r="PQD22" s="73" t="str">
        <f t="shared" si="175"/>
        <v/>
      </c>
      <c r="PQE22" s="73" t="str">
        <f t="shared" si="175"/>
        <v/>
      </c>
      <c r="PQF22" s="73" t="str">
        <f t="shared" si="175"/>
        <v/>
      </c>
      <c r="PQG22" s="73" t="str">
        <f t="shared" si="175"/>
        <v/>
      </c>
      <c r="PQH22" s="73" t="str">
        <f t="shared" si="175"/>
        <v/>
      </c>
      <c r="PQI22" s="73" t="str">
        <f t="shared" si="175"/>
        <v/>
      </c>
      <c r="PQJ22" s="73" t="str">
        <f t="shared" si="175"/>
        <v/>
      </c>
      <c r="PQK22" s="73" t="str">
        <f t="shared" si="175"/>
        <v/>
      </c>
      <c r="PQL22" s="73" t="str">
        <f t="shared" ref="PQL22:PSW22" si="176">IFERROR(AVERAGE(PQL6:PQL21),"")</f>
        <v/>
      </c>
      <c r="PQM22" s="73" t="str">
        <f t="shared" si="176"/>
        <v/>
      </c>
      <c r="PQN22" s="73" t="str">
        <f t="shared" si="176"/>
        <v/>
      </c>
      <c r="PQO22" s="73" t="str">
        <f t="shared" si="176"/>
        <v/>
      </c>
      <c r="PQP22" s="73" t="str">
        <f t="shared" si="176"/>
        <v/>
      </c>
      <c r="PQQ22" s="73" t="str">
        <f t="shared" si="176"/>
        <v/>
      </c>
      <c r="PQR22" s="73" t="str">
        <f t="shared" si="176"/>
        <v/>
      </c>
      <c r="PQS22" s="73" t="str">
        <f t="shared" si="176"/>
        <v/>
      </c>
      <c r="PQT22" s="73" t="str">
        <f t="shared" si="176"/>
        <v/>
      </c>
      <c r="PQU22" s="73" t="str">
        <f t="shared" si="176"/>
        <v/>
      </c>
      <c r="PQV22" s="73" t="str">
        <f t="shared" si="176"/>
        <v/>
      </c>
      <c r="PQW22" s="73" t="str">
        <f t="shared" si="176"/>
        <v/>
      </c>
      <c r="PQX22" s="73" t="str">
        <f t="shared" si="176"/>
        <v/>
      </c>
      <c r="PQY22" s="73" t="str">
        <f t="shared" si="176"/>
        <v/>
      </c>
      <c r="PQZ22" s="73" t="str">
        <f t="shared" si="176"/>
        <v/>
      </c>
      <c r="PRA22" s="73" t="str">
        <f t="shared" si="176"/>
        <v/>
      </c>
      <c r="PRB22" s="73" t="str">
        <f t="shared" si="176"/>
        <v/>
      </c>
      <c r="PRC22" s="73" t="str">
        <f t="shared" si="176"/>
        <v/>
      </c>
      <c r="PRD22" s="73" t="str">
        <f t="shared" si="176"/>
        <v/>
      </c>
      <c r="PRE22" s="73" t="str">
        <f t="shared" si="176"/>
        <v/>
      </c>
      <c r="PRF22" s="73" t="str">
        <f t="shared" si="176"/>
        <v/>
      </c>
      <c r="PRG22" s="73" t="str">
        <f t="shared" si="176"/>
        <v/>
      </c>
      <c r="PRH22" s="73" t="str">
        <f t="shared" si="176"/>
        <v/>
      </c>
      <c r="PRI22" s="73" t="str">
        <f t="shared" si="176"/>
        <v/>
      </c>
      <c r="PRJ22" s="73" t="str">
        <f t="shared" si="176"/>
        <v/>
      </c>
      <c r="PRK22" s="73" t="str">
        <f t="shared" si="176"/>
        <v/>
      </c>
      <c r="PRL22" s="73" t="str">
        <f t="shared" si="176"/>
        <v/>
      </c>
      <c r="PRM22" s="73" t="str">
        <f t="shared" si="176"/>
        <v/>
      </c>
      <c r="PRN22" s="73" t="str">
        <f t="shared" si="176"/>
        <v/>
      </c>
      <c r="PRO22" s="73" t="str">
        <f t="shared" si="176"/>
        <v/>
      </c>
      <c r="PRP22" s="73" t="str">
        <f t="shared" si="176"/>
        <v/>
      </c>
      <c r="PRQ22" s="73" t="str">
        <f t="shared" si="176"/>
        <v/>
      </c>
      <c r="PRR22" s="73" t="str">
        <f t="shared" si="176"/>
        <v/>
      </c>
      <c r="PRS22" s="73" t="str">
        <f t="shared" si="176"/>
        <v/>
      </c>
      <c r="PRT22" s="73" t="str">
        <f t="shared" si="176"/>
        <v/>
      </c>
      <c r="PRU22" s="73" t="str">
        <f t="shared" si="176"/>
        <v/>
      </c>
      <c r="PRV22" s="73" t="str">
        <f t="shared" si="176"/>
        <v/>
      </c>
      <c r="PRW22" s="73" t="str">
        <f t="shared" si="176"/>
        <v/>
      </c>
      <c r="PRX22" s="73" t="str">
        <f t="shared" si="176"/>
        <v/>
      </c>
      <c r="PRY22" s="73" t="str">
        <f t="shared" si="176"/>
        <v/>
      </c>
      <c r="PRZ22" s="73" t="str">
        <f t="shared" si="176"/>
        <v/>
      </c>
      <c r="PSA22" s="73" t="str">
        <f t="shared" si="176"/>
        <v/>
      </c>
      <c r="PSB22" s="73" t="str">
        <f t="shared" si="176"/>
        <v/>
      </c>
      <c r="PSC22" s="73" t="str">
        <f t="shared" si="176"/>
        <v/>
      </c>
      <c r="PSD22" s="73" t="str">
        <f t="shared" si="176"/>
        <v/>
      </c>
      <c r="PSE22" s="73" t="str">
        <f t="shared" si="176"/>
        <v/>
      </c>
      <c r="PSF22" s="73" t="str">
        <f t="shared" si="176"/>
        <v/>
      </c>
      <c r="PSG22" s="73" t="str">
        <f t="shared" si="176"/>
        <v/>
      </c>
      <c r="PSH22" s="73" t="str">
        <f t="shared" si="176"/>
        <v/>
      </c>
      <c r="PSI22" s="73" t="str">
        <f t="shared" si="176"/>
        <v/>
      </c>
      <c r="PSJ22" s="73" t="str">
        <f t="shared" si="176"/>
        <v/>
      </c>
      <c r="PSK22" s="73" t="str">
        <f t="shared" si="176"/>
        <v/>
      </c>
      <c r="PSL22" s="73" t="str">
        <f t="shared" si="176"/>
        <v/>
      </c>
      <c r="PSM22" s="73" t="str">
        <f t="shared" si="176"/>
        <v/>
      </c>
      <c r="PSN22" s="73" t="str">
        <f t="shared" si="176"/>
        <v/>
      </c>
      <c r="PSO22" s="73" t="str">
        <f t="shared" si="176"/>
        <v/>
      </c>
      <c r="PSP22" s="73" t="str">
        <f t="shared" si="176"/>
        <v/>
      </c>
      <c r="PSQ22" s="73" t="str">
        <f t="shared" si="176"/>
        <v/>
      </c>
      <c r="PSR22" s="73" t="str">
        <f t="shared" si="176"/>
        <v/>
      </c>
      <c r="PSS22" s="73" t="str">
        <f t="shared" si="176"/>
        <v/>
      </c>
      <c r="PST22" s="73" t="str">
        <f t="shared" si="176"/>
        <v/>
      </c>
      <c r="PSU22" s="73" t="str">
        <f t="shared" si="176"/>
        <v/>
      </c>
      <c r="PSV22" s="73" t="str">
        <f t="shared" si="176"/>
        <v/>
      </c>
      <c r="PSW22" s="73" t="str">
        <f t="shared" si="176"/>
        <v/>
      </c>
      <c r="PSX22" s="73" t="str">
        <f t="shared" ref="PSX22:PVI22" si="177">IFERROR(AVERAGE(PSX6:PSX21),"")</f>
        <v/>
      </c>
      <c r="PSY22" s="73" t="str">
        <f t="shared" si="177"/>
        <v/>
      </c>
      <c r="PSZ22" s="73" t="str">
        <f t="shared" si="177"/>
        <v/>
      </c>
      <c r="PTA22" s="73" t="str">
        <f t="shared" si="177"/>
        <v/>
      </c>
      <c r="PTB22" s="73" t="str">
        <f t="shared" si="177"/>
        <v/>
      </c>
      <c r="PTC22" s="73" t="str">
        <f t="shared" si="177"/>
        <v/>
      </c>
      <c r="PTD22" s="73" t="str">
        <f t="shared" si="177"/>
        <v/>
      </c>
      <c r="PTE22" s="73" t="str">
        <f t="shared" si="177"/>
        <v/>
      </c>
      <c r="PTF22" s="73" t="str">
        <f t="shared" si="177"/>
        <v/>
      </c>
      <c r="PTG22" s="73" t="str">
        <f t="shared" si="177"/>
        <v/>
      </c>
      <c r="PTH22" s="73" t="str">
        <f t="shared" si="177"/>
        <v/>
      </c>
      <c r="PTI22" s="73" t="str">
        <f t="shared" si="177"/>
        <v/>
      </c>
      <c r="PTJ22" s="73" t="str">
        <f t="shared" si="177"/>
        <v/>
      </c>
      <c r="PTK22" s="73" t="str">
        <f t="shared" si="177"/>
        <v/>
      </c>
      <c r="PTL22" s="73" t="str">
        <f t="shared" si="177"/>
        <v/>
      </c>
      <c r="PTM22" s="73" t="str">
        <f t="shared" si="177"/>
        <v/>
      </c>
      <c r="PTN22" s="73" t="str">
        <f t="shared" si="177"/>
        <v/>
      </c>
      <c r="PTO22" s="73" t="str">
        <f t="shared" si="177"/>
        <v/>
      </c>
      <c r="PTP22" s="73" t="str">
        <f t="shared" si="177"/>
        <v/>
      </c>
      <c r="PTQ22" s="73" t="str">
        <f t="shared" si="177"/>
        <v/>
      </c>
      <c r="PTR22" s="73" t="str">
        <f t="shared" si="177"/>
        <v/>
      </c>
      <c r="PTS22" s="73" t="str">
        <f t="shared" si="177"/>
        <v/>
      </c>
      <c r="PTT22" s="73" t="str">
        <f t="shared" si="177"/>
        <v/>
      </c>
      <c r="PTU22" s="73" t="str">
        <f t="shared" si="177"/>
        <v/>
      </c>
      <c r="PTV22" s="73" t="str">
        <f t="shared" si="177"/>
        <v/>
      </c>
      <c r="PTW22" s="73" t="str">
        <f t="shared" si="177"/>
        <v/>
      </c>
      <c r="PTX22" s="73" t="str">
        <f t="shared" si="177"/>
        <v/>
      </c>
      <c r="PTY22" s="73" t="str">
        <f t="shared" si="177"/>
        <v/>
      </c>
      <c r="PTZ22" s="73" t="str">
        <f t="shared" si="177"/>
        <v/>
      </c>
      <c r="PUA22" s="73" t="str">
        <f t="shared" si="177"/>
        <v/>
      </c>
      <c r="PUB22" s="73" t="str">
        <f t="shared" si="177"/>
        <v/>
      </c>
      <c r="PUC22" s="73" t="str">
        <f t="shared" si="177"/>
        <v/>
      </c>
      <c r="PUD22" s="73" t="str">
        <f t="shared" si="177"/>
        <v/>
      </c>
      <c r="PUE22" s="73" t="str">
        <f t="shared" si="177"/>
        <v/>
      </c>
      <c r="PUF22" s="73" t="str">
        <f t="shared" si="177"/>
        <v/>
      </c>
      <c r="PUG22" s="73" t="str">
        <f t="shared" si="177"/>
        <v/>
      </c>
      <c r="PUH22" s="73" t="str">
        <f t="shared" si="177"/>
        <v/>
      </c>
      <c r="PUI22" s="73" t="str">
        <f t="shared" si="177"/>
        <v/>
      </c>
      <c r="PUJ22" s="73" t="str">
        <f t="shared" si="177"/>
        <v/>
      </c>
      <c r="PUK22" s="73" t="str">
        <f t="shared" si="177"/>
        <v/>
      </c>
      <c r="PUL22" s="73" t="str">
        <f t="shared" si="177"/>
        <v/>
      </c>
      <c r="PUM22" s="73" t="str">
        <f t="shared" si="177"/>
        <v/>
      </c>
      <c r="PUN22" s="73" t="str">
        <f t="shared" si="177"/>
        <v/>
      </c>
      <c r="PUO22" s="73" t="str">
        <f t="shared" si="177"/>
        <v/>
      </c>
      <c r="PUP22" s="73" t="str">
        <f t="shared" si="177"/>
        <v/>
      </c>
      <c r="PUQ22" s="73" t="str">
        <f t="shared" si="177"/>
        <v/>
      </c>
      <c r="PUR22" s="73" t="str">
        <f t="shared" si="177"/>
        <v/>
      </c>
      <c r="PUS22" s="73" t="str">
        <f t="shared" si="177"/>
        <v/>
      </c>
      <c r="PUT22" s="73" t="str">
        <f t="shared" si="177"/>
        <v/>
      </c>
      <c r="PUU22" s="73" t="str">
        <f t="shared" si="177"/>
        <v/>
      </c>
      <c r="PUV22" s="73" t="str">
        <f t="shared" si="177"/>
        <v/>
      </c>
      <c r="PUW22" s="73" t="str">
        <f t="shared" si="177"/>
        <v/>
      </c>
      <c r="PUX22" s="73" t="str">
        <f t="shared" si="177"/>
        <v/>
      </c>
      <c r="PUY22" s="73" t="str">
        <f t="shared" si="177"/>
        <v/>
      </c>
      <c r="PUZ22" s="73" t="str">
        <f t="shared" si="177"/>
        <v/>
      </c>
      <c r="PVA22" s="73" t="str">
        <f t="shared" si="177"/>
        <v/>
      </c>
      <c r="PVB22" s="73" t="str">
        <f t="shared" si="177"/>
        <v/>
      </c>
      <c r="PVC22" s="73" t="str">
        <f t="shared" si="177"/>
        <v/>
      </c>
      <c r="PVD22" s="73" t="str">
        <f t="shared" si="177"/>
        <v/>
      </c>
      <c r="PVE22" s="73" t="str">
        <f t="shared" si="177"/>
        <v/>
      </c>
      <c r="PVF22" s="73" t="str">
        <f t="shared" si="177"/>
        <v/>
      </c>
      <c r="PVG22" s="73" t="str">
        <f t="shared" si="177"/>
        <v/>
      </c>
      <c r="PVH22" s="73" t="str">
        <f t="shared" si="177"/>
        <v/>
      </c>
      <c r="PVI22" s="73" t="str">
        <f t="shared" si="177"/>
        <v/>
      </c>
      <c r="PVJ22" s="73" t="str">
        <f t="shared" ref="PVJ22:PXU22" si="178">IFERROR(AVERAGE(PVJ6:PVJ21),"")</f>
        <v/>
      </c>
      <c r="PVK22" s="73" t="str">
        <f t="shared" si="178"/>
        <v/>
      </c>
      <c r="PVL22" s="73" t="str">
        <f t="shared" si="178"/>
        <v/>
      </c>
      <c r="PVM22" s="73" t="str">
        <f t="shared" si="178"/>
        <v/>
      </c>
      <c r="PVN22" s="73" t="str">
        <f t="shared" si="178"/>
        <v/>
      </c>
      <c r="PVO22" s="73" t="str">
        <f t="shared" si="178"/>
        <v/>
      </c>
      <c r="PVP22" s="73" t="str">
        <f t="shared" si="178"/>
        <v/>
      </c>
      <c r="PVQ22" s="73" t="str">
        <f t="shared" si="178"/>
        <v/>
      </c>
      <c r="PVR22" s="73" t="str">
        <f t="shared" si="178"/>
        <v/>
      </c>
      <c r="PVS22" s="73" t="str">
        <f t="shared" si="178"/>
        <v/>
      </c>
      <c r="PVT22" s="73" t="str">
        <f t="shared" si="178"/>
        <v/>
      </c>
      <c r="PVU22" s="73" t="str">
        <f t="shared" si="178"/>
        <v/>
      </c>
      <c r="PVV22" s="73" t="str">
        <f t="shared" si="178"/>
        <v/>
      </c>
      <c r="PVW22" s="73" t="str">
        <f t="shared" si="178"/>
        <v/>
      </c>
      <c r="PVX22" s="73" t="str">
        <f t="shared" si="178"/>
        <v/>
      </c>
      <c r="PVY22" s="73" t="str">
        <f t="shared" si="178"/>
        <v/>
      </c>
      <c r="PVZ22" s="73" t="str">
        <f t="shared" si="178"/>
        <v/>
      </c>
      <c r="PWA22" s="73" t="str">
        <f t="shared" si="178"/>
        <v/>
      </c>
      <c r="PWB22" s="73" t="str">
        <f t="shared" si="178"/>
        <v/>
      </c>
      <c r="PWC22" s="73" t="str">
        <f t="shared" si="178"/>
        <v/>
      </c>
      <c r="PWD22" s="73" t="str">
        <f t="shared" si="178"/>
        <v/>
      </c>
      <c r="PWE22" s="73" t="str">
        <f t="shared" si="178"/>
        <v/>
      </c>
      <c r="PWF22" s="73" t="str">
        <f t="shared" si="178"/>
        <v/>
      </c>
      <c r="PWG22" s="73" t="str">
        <f t="shared" si="178"/>
        <v/>
      </c>
      <c r="PWH22" s="73" t="str">
        <f t="shared" si="178"/>
        <v/>
      </c>
      <c r="PWI22" s="73" t="str">
        <f t="shared" si="178"/>
        <v/>
      </c>
      <c r="PWJ22" s="73" t="str">
        <f t="shared" si="178"/>
        <v/>
      </c>
      <c r="PWK22" s="73" t="str">
        <f t="shared" si="178"/>
        <v/>
      </c>
      <c r="PWL22" s="73" t="str">
        <f t="shared" si="178"/>
        <v/>
      </c>
      <c r="PWM22" s="73" t="str">
        <f t="shared" si="178"/>
        <v/>
      </c>
      <c r="PWN22" s="73" t="str">
        <f t="shared" si="178"/>
        <v/>
      </c>
      <c r="PWO22" s="73" t="str">
        <f t="shared" si="178"/>
        <v/>
      </c>
      <c r="PWP22" s="73" t="str">
        <f t="shared" si="178"/>
        <v/>
      </c>
      <c r="PWQ22" s="73" t="str">
        <f t="shared" si="178"/>
        <v/>
      </c>
      <c r="PWR22" s="73" t="str">
        <f t="shared" si="178"/>
        <v/>
      </c>
      <c r="PWS22" s="73" t="str">
        <f t="shared" si="178"/>
        <v/>
      </c>
      <c r="PWT22" s="73" t="str">
        <f t="shared" si="178"/>
        <v/>
      </c>
      <c r="PWU22" s="73" t="str">
        <f t="shared" si="178"/>
        <v/>
      </c>
      <c r="PWV22" s="73" t="str">
        <f t="shared" si="178"/>
        <v/>
      </c>
      <c r="PWW22" s="73" t="str">
        <f t="shared" si="178"/>
        <v/>
      </c>
      <c r="PWX22" s="73" t="str">
        <f t="shared" si="178"/>
        <v/>
      </c>
      <c r="PWY22" s="73" t="str">
        <f t="shared" si="178"/>
        <v/>
      </c>
      <c r="PWZ22" s="73" t="str">
        <f t="shared" si="178"/>
        <v/>
      </c>
      <c r="PXA22" s="73" t="str">
        <f t="shared" si="178"/>
        <v/>
      </c>
      <c r="PXB22" s="73" t="str">
        <f t="shared" si="178"/>
        <v/>
      </c>
      <c r="PXC22" s="73" t="str">
        <f t="shared" si="178"/>
        <v/>
      </c>
      <c r="PXD22" s="73" t="str">
        <f t="shared" si="178"/>
        <v/>
      </c>
      <c r="PXE22" s="73" t="str">
        <f t="shared" si="178"/>
        <v/>
      </c>
      <c r="PXF22" s="73" t="str">
        <f t="shared" si="178"/>
        <v/>
      </c>
      <c r="PXG22" s="73" t="str">
        <f t="shared" si="178"/>
        <v/>
      </c>
      <c r="PXH22" s="73" t="str">
        <f t="shared" si="178"/>
        <v/>
      </c>
      <c r="PXI22" s="73" t="str">
        <f t="shared" si="178"/>
        <v/>
      </c>
      <c r="PXJ22" s="73" t="str">
        <f t="shared" si="178"/>
        <v/>
      </c>
      <c r="PXK22" s="73" t="str">
        <f t="shared" si="178"/>
        <v/>
      </c>
      <c r="PXL22" s="73" t="str">
        <f t="shared" si="178"/>
        <v/>
      </c>
      <c r="PXM22" s="73" t="str">
        <f t="shared" si="178"/>
        <v/>
      </c>
      <c r="PXN22" s="73" t="str">
        <f t="shared" si="178"/>
        <v/>
      </c>
      <c r="PXO22" s="73" t="str">
        <f t="shared" si="178"/>
        <v/>
      </c>
      <c r="PXP22" s="73" t="str">
        <f t="shared" si="178"/>
        <v/>
      </c>
      <c r="PXQ22" s="73" t="str">
        <f t="shared" si="178"/>
        <v/>
      </c>
      <c r="PXR22" s="73" t="str">
        <f t="shared" si="178"/>
        <v/>
      </c>
      <c r="PXS22" s="73" t="str">
        <f t="shared" si="178"/>
        <v/>
      </c>
      <c r="PXT22" s="73" t="str">
        <f t="shared" si="178"/>
        <v/>
      </c>
      <c r="PXU22" s="73" t="str">
        <f t="shared" si="178"/>
        <v/>
      </c>
      <c r="PXV22" s="73" t="str">
        <f t="shared" ref="PXV22:QAG22" si="179">IFERROR(AVERAGE(PXV6:PXV21),"")</f>
        <v/>
      </c>
      <c r="PXW22" s="73" t="str">
        <f t="shared" si="179"/>
        <v/>
      </c>
      <c r="PXX22" s="73" t="str">
        <f t="shared" si="179"/>
        <v/>
      </c>
      <c r="PXY22" s="73" t="str">
        <f t="shared" si="179"/>
        <v/>
      </c>
      <c r="PXZ22" s="73" t="str">
        <f t="shared" si="179"/>
        <v/>
      </c>
      <c r="PYA22" s="73" t="str">
        <f t="shared" si="179"/>
        <v/>
      </c>
      <c r="PYB22" s="73" t="str">
        <f t="shared" si="179"/>
        <v/>
      </c>
      <c r="PYC22" s="73" t="str">
        <f t="shared" si="179"/>
        <v/>
      </c>
      <c r="PYD22" s="73" t="str">
        <f t="shared" si="179"/>
        <v/>
      </c>
      <c r="PYE22" s="73" t="str">
        <f t="shared" si="179"/>
        <v/>
      </c>
      <c r="PYF22" s="73" t="str">
        <f t="shared" si="179"/>
        <v/>
      </c>
      <c r="PYG22" s="73" t="str">
        <f t="shared" si="179"/>
        <v/>
      </c>
      <c r="PYH22" s="73" t="str">
        <f t="shared" si="179"/>
        <v/>
      </c>
      <c r="PYI22" s="73" t="str">
        <f t="shared" si="179"/>
        <v/>
      </c>
      <c r="PYJ22" s="73" t="str">
        <f t="shared" si="179"/>
        <v/>
      </c>
      <c r="PYK22" s="73" t="str">
        <f t="shared" si="179"/>
        <v/>
      </c>
      <c r="PYL22" s="73" t="str">
        <f t="shared" si="179"/>
        <v/>
      </c>
      <c r="PYM22" s="73" t="str">
        <f t="shared" si="179"/>
        <v/>
      </c>
      <c r="PYN22" s="73" t="str">
        <f t="shared" si="179"/>
        <v/>
      </c>
      <c r="PYO22" s="73" t="str">
        <f t="shared" si="179"/>
        <v/>
      </c>
      <c r="PYP22" s="73" t="str">
        <f t="shared" si="179"/>
        <v/>
      </c>
      <c r="PYQ22" s="73" t="str">
        <f t="shared" si="179"/>
        <v/>
      </c>
      <c r="PYR22" s="73" t="str">
        <f t="shared" si="179"/>
        <v/>
      </c>
      <c r="PYS22" s="73" t="str">
        <f t="shared" si="179"/>
        <v/>
      </c>
      <c r="PYT22" s="73" t="str">
        <f t="shared" si="179"/>
        <v/>
      </c>
      <c r="PYU22" s="73" t="str">
        <f t="shared" si="179"/>
        <v/>
      </c>
      <c r="PYV22" s="73" t="str">
        <f t="shared" si="179"/>
        <v/>
      </c>
      <c r="PYW22" s="73" t="str">
        <f t="shared" si="179"/>
        <v/>
      </c>
      <c r="PYX22" s="73" t="str">
        <f t="shared" si="179"/>
        <v/>
      </c>
      <c r="PYY22" s="73" t="str">
        <f t="shared" si="179"/>
        <v/>
      </c>
      <c r="PYZ22" s="73" t="str">
        <f t="shared" si="179"/>
        <v/>
      </c>
      <c r="PZA22" s="73" t="str">
        <f t="shared" si="179"/>
        <v/>
      </c>
      <c r="PZB22" s="73" t="str">
        <f t="shared" si="179"/>
        <v/>
      </c>
      <c r="PZC22" s="73" t="str">
        <f t="shared" si="179"/>
        <v/>
      </c>
      <c r="PZD22" s="73" t="str">
        <f t="shared" si="179"/>
        <v/>
      </c>
      <c r="PZE22" s="73" t="str">
        <f t="shared" si="179"/>
        <v/>
      </c>
      <c r="PZF22" s="73" t="str">
        <f t="shared" si="179"/>
        <v/>
      </c>
      <c r="PZG22" s="73" t="str">
        <f t="shared" si="179"/>
        <v/>
      </c>
      <c r="PZH22" s="73" t="str">
        <f t="shared" si="179"/>
        <v/>
      </c>
      <c r="PZI22" s="73" t="str">
        <f t="shared" si="179"/>
        <v/>
      </c>
      <c r="PZJ22" s="73" t="str">
        <f t="shared" si="179"/>
        <v/>
      </c>
      <c r="PZK22" s="73" t="str">
        <f t="shared" si="179"/>
        <v/>
      </c>
      <c r="PZL22" s="73" t="str">
        <f t="shared" si="179"/>
        <v/>
      </c>
      <c r="PZM22" s="73" t="str">
        <f t="shared" si="179"/>
        <v/>
      </c>
      <c r="PZN22" s="73" t="str">
        <f t="shared" si="179"/>
        <v/>
      </c>
      <c r="PZO22" s="73" t="str">
        <f t="shared" si="179"/>
        <v/>
      </c>
      <c r="PZP22" s="73" t="str">
        <f t="shared" si="179"/>
        <v/>
      </c>
      <c r="PZQ22" s="73" t="str">
        <f t="shared" si="179"/>
        <v/>
      </c>
      <c r="PZR22" s="73" t="str">
        <f t="shared" si="179"/>
        <v/>
      </c>
      <c r="PZS22" s="73" t="str">
        <f t="shared" si="179"/>
        <v/>
      </c>
      <c r="PZT22" s="73" t="str">
        <f t="shared" si="179"/>
        <v/>
      </c>
      <c r="PZU22" s="73" t="str">
        <f t="shared" si="179"/>
        <v/>
      </c>
      <c r="PZV22" s="73" t="str">
        <f t="shared" si="179"/>
        <v/>
      </c>
      <c r="PZW22" s="73" t="str">
        <f t="shared" si="179"/>
        <v/>
      </c>
      <c r="PZX22" s="73" t="str">
        <f t="shared" si="179"/>
        <v/>
      </c>
      <c r="PZY22" s="73" t="str">
        <f t="shared" si="179"/>
        <v/>
      </c>
      <c r="PZZ22" s="73" t="str">
        <f t="shared" si="179"/>
        <v/>
      </c>
      <c r="QAA22" s="73" t="str">
        <f t="shared" si="179"/>
        <v/>
      </c>
      <c r="QAB22" s="73" t="str">
        <f t="shared" si="179"/>
        <v/>
      </c>
      <c r="QAC22" s="73" t="str">
        <f t="shared" si="179"/>
        <v/>
      </c>
      <c r="QAD22" s="73" t="str">
        <f t="shared" si="179"/>
        <v/>
      </c>
      <c r="QAE22" s="73" t="str">
        <f t="shared" si="179"/>
        <v/>
      </c>
      <c r="QAF22" s="73" t="str">
        <f t="shared" si="179"/>
        <v/>
      </c>
      <c r="QAG22" s="73" t="str">
        <f t="shared" si="179"/>
        <v/>
      </c>
      <c r="QAH22" s="73" t="str">
        <f t="shared" ref="QAH22:QCS22" si="180">IFERROR(AVERAGE(QAH6:QAH21),"")</f>
        <v/>
      </c>
      <c r="QAI22" s="73" t="str">
        <f t="shared" si="180"/>
        <v/>
      </c>
      <c r="QAJ22" s="73" t="str">
        <f t="shared" si="180"/>
        <v/>
      </c>
      <c r="QAK22" s="73" t="str">
        <f t="shared" si="180"/>
        <v/>
      </c>
      <c r="QAL22" s="73" t="str">
        <f t="shared" si="180"/>
        <v/>
      </c>
      <c r="QAM22" s="73" t="str">
        <f t="shared" si="180"/>
        <v/>
      </c>
      <c r="QAN22" s="73" t="str">
        <f t="shared" si="180"/>
        <v/>
      </c>
      <c r="QAO22" s="73" t="str">
        <f t="shared" si="180"/>
        <v/>
      </c>
      <c r="QAP22" s="73" t="str">
        <f t="shared" si="180"/>
        <v/>
      </c>
      <c r="QAQ22" s="73" t="str">
        <f t="shared" si="180"/>
        <v/>
      </c>
      <c r="QAR22" s="73" t="str">
        <f t="shared" si="180"/>
        <v/>
      </c>
      <c r="QAS22" s="73" t="str">
        <f t="shared" si="180"/>
        <v/>
      </c>
      <c r="QAT22" s="73" t="str">
        <f t="shared" si="180"/>
        <v/>
      </c>
      <c r="QAU22" s="73" t="str">
        <f t="shared" si="180"/>
        <v/>
      </c>
      <c r="QAV22" s="73" t="str">
        <f t="shared" si="180"/>
        <v/>
      </c>
      <c r="QAW22" s="73" t="str">
        <f t="shared" si="180"/>
        <v/>
      </c>
      <c r="QAX22" s="73" t="str">
        <f t="shared" si="180"/>
        <v/>
      </c>
      <c r="QAY22" s="73" t="str">
        <f t="shared" si="180"/>
        <v/>
      </c>
      <c r="QAZ22" s="73" t="str">
        <f t="shared" si="180"/>
        <v/>
      </c>
      <c r="QBA22" s="73" t="str">
        <f t="shared" si="180"/>
        <v/>
      </c>
      <c r="QBB22" s="73" t="str">
        <f t="shared" si="180"/>
        <v/>
      </c>
      <c r="QBC22" s="73" t="str">
        <f t="shared" si="180"/>
        <v/>
      </c>
      <c r="QBD22" s="73" t="str">
        <f t="shared" si="180"/>
        <v/>
      </c>
      <c r="QBE22" s="73" t="str">
        <f t="shared" si="180"/>
        <v/>
      </c>
      <c r="QBF22" s="73" t="str">
        <f t="shared" si="180"/>
        <v/>
      </c>
      <c r="QBG22" s="73" t="str">
        <f t="shared" si="180"/>
        <v/>
      </c>
      <c r="QBH22" s="73" t="str">
        <f t="shared" si="180"/>
        <v/>
      </c>
      <c r="QBI22" s="73" t="str">
        <f t="shared" si="180"/>
        <v/>
      </c>
      <c r="QBJ22" s="73" t="str">
        <f t="shared" si="180"/>
        <v/>
      </c>
      <c r="QBK22" s="73" t="str">
        <f t="shared" si="180"/>
        <v/>
      </c>
      <c r="QBL22" s="73" t="str">
        <f t="shared" si="180"/>
        <v/>
      </c>
      <c r="QBM22" s="73" t="str">
        <f t="shared" si="180"/>
        <v/>
      </c>
      <c r="QBN22" s="73" t="str">
        <f t="shared" si="180"/>
        <v/>
      </c>
      <c r="QBO22" s="73" t="str">
        <f t="shared" si="180"/>
        <v/>
      </c>
      <c r="QBP22" s="73" t="str">
        <f t="shared" si="180"/>
        <v/>
      </c>
      <c r="QBQ22" s="73" t="str">
        <f t="shared" si="180"/>
        <v/>
      </c>
      <c r="QBR22" s="73" t="str">
        <f t="shared" si="180"/>
        <v/>
      </c>
      <c r="QBS22" s="73" t="str">
        <f t="shared" si="180"/>
        <v/>
      </c>
      <c r="QBT22" s="73" t="str">
        <f t="shared" si="180"/>
        <v/>
      </c>
      <c r="QBU22" s="73" t="str">
        <f t="shared" si="180"/>
        <v/>
      </c>
      <c r="QBV22" s="73" t="str">
        <f t="shared" si="180"/>
        <v/>
      </c>
      <c r="QBW22" s="73" t="str">
        <f t="shared" si="180"/>
        <v/>
      </c>
      <c r="QBX22" s="73" t="str">
        <f t="shared" si="180"/>
        <v/>
      </c>
      <c r="QBY22" s="73" t="str">
        <f t="shared" si="180"/>
        <v/>
      </c>
      <c r="QBZ22" s="73" t="str">
        <f t="shared" si="180"/>
        <v/>
      </c>
      <c r="QCA22" s="73" t="str">
        <f t="shared" si="180"/>
        <v/>
      </c>
      <c r="QCB22" s="73" t="str">
        <f t="shared" si="180"/>
        <v/>
      </c>
      <c r="QCC22" s="73" t="str">
        <f t="shared" si="180"/>
        <v/>
      </c>
      <c r="QCD22" s="73" t="str">
        <f t="shared" si="180"/>
        <v/>
      </c>
      <c r="QCE22" s="73" t="str">
        <f t="shared" si="180"/>
        <v/>
      </c>
      <c r="QCF22" s="73" t="str">
        <f t="shared" si="180"/>
        <v/>
      </c>
      <c r="QCG22" s="73" t="str">
        <f t="shared" si="180"/>
        <v/>
      </c>
      <c r="QCH22" s="73" t="str">
        <f t="shared" si="180"/>
        <v/>
      </c>
      <c r="QCI22" s="73" t="str">
        <f t="shared" si="180"/>
        <v/>
      </c>
      <c r="QCJ22" s="73" t="str">
        <f t="shared" si="180"/>
        <v/>
      </c>
      <c r="QCK22" s="73" t="str">
        <f t="shared" si="180"/>
        <v/>
      </c>
      <c r="QCL22" s="73" t="str">
        <f t="shared" si="180"/>
        <v/>
      </c>
      <c r="QCM22" s="73" t="str">
        <f t="shared" si="180"/>
        <v/>
      </c>
      <c r="QCN22" s="73" t="str">
        <f t="shared" si="180"/>
        <v/>
      </c>
      <c r="QCO22" s="73" t="str">
        <f t="shared" si="180"/>
        <v/>
      </c>
      <c r="QCP22" s="73" t="str">
        <f t="shared" si="180"/>
        <v/>
      </c>
      <c r="QCQ22" s="73" t="str">
        <f t="shared" si="180"/>
        <v/>
      </c>
      <c r="QCR22" s="73" t="str">
        <f t="shared" si="180"/>
        <v/>
      </c>
      <c r="QCS22" s="73" t="str">
        <f t="shared" si="180"/>
        <v/>
      </c>
      <c r="QCT22" s="73" t="str">
        <f t="shared" ref="QCT22:QFE22" si="181">IFERROR(AVERAGE(QCT6:QCT21),"")</f>
        <v/>
      </c>
      <c r="QCU22" s="73" t="str">
        <f t="shared" si="181"/>
        <v/>
      </c>
      <c r="QCV22" s="73" t="str">
        <f t="shared" si="181"/>
        <v/>
      </c>
      <c r="QCW22" s="73" t="str">
        <f t="shared" si="181"/>
        <v/>
      </c>
      <c r="QCX22" s="73" t="str">
        <f t="shared" si="181"/>
        <v/>
      </c>
      <c r="QCY22" s="73" t="str">
        <f t="shared" si="181"/>
        <v/>
      </c>
      <c r="QCZ22" s="73" t="str">
        <f t="shared" si="181"/>
        <v/>
      </c>
      <c r="QDA22" s="73" t="str">
        <f t="shared" si="181"/>
        <v/>
      </c>
      <c r="QDB22" s="73" t="str">
        <f t="shared" si="181"/>
        <v/>
      </c>
      <c r="QDC22" s="73" t="str">
        <f t="shared" si="181"/>
        <v/>
      </c>
      <c r="QDD22" s="73" t="str">
        <f t="shared" si="181"/>
        <v/>
      </c>
      <c r="QDE22" s="73" t="str">
        <f t="shared" si="181"/>
        <v/>
      </c>
      <c r="QDF22" s="73" t="str">
        <f t="shared" si="181"/>
        <v/>
      </c>
      <c r="QDG22" s="73" t="str">
        <f t="shared" si="181"/>
        <v/>
      </c>
      <c r="QDH22" s="73" t="str">
        <f t="shared" si="181"/>
        <v/>
      </c>
      <c r="QDI22" s="73" t="str">
        <f t="shared" si="181"/>
        <v/>
      </c>
      <c r="QDJ22" s="73" t="str">
        <f t="shared" si="181"/>
        <v/>
      </c>
      <c r="QDK22" s="73" t="str">
        <f t="shared" si="181"/>
        <v/>
      </c>
      <c r="QDL22" s="73" t="str">
        <f t="shared" si="181"/>
        <v/>
      </c>
      <c r="QDM22" s="73" t="str">
        <f t="shared" si="181"/>
        <v/>
      </c>
      <c r="QDN22" s="73" t="str">
        <f t="shared" si="181"/>
        <v/>
      </c>
      <c r="QDO22" s="73" t="str">
        <f t="shared" si="181"/>
        <v/>
      </c>
      <c r="QDP22" s="73" t="str">
        <f t="shared" si="181"/>
        <v/>
      </c>
      <c r="QDQ22" s="73" t="str">
        <f t="shared" si="181"/>
        <v/>
      </c>
      <c r="QDR22" s="73" t="str">
        <f t="shared" si="181"/>
        <v/>
      </c>
      <c r="QDS22" s="73" t="str">
        <f t="shared" si="181"/>
        <v/>
      </c>
      <c r="QDT22" s="73" t="str">
        <f t="shared" si="181"/>
        <v/>
      </c>
      <c r="QDU22" s="73" t="str">
        <f t="shared" si="181"/>
        <v/>
      </c>
      <c r="QDV22" s="73" t="str">
        <f t="shared" si="181"/>
        <v/>
      </c>
      <c r="QDW22" s="73" t="str">
        <f t="shared" si="181"/>
        <v/>
      </c>
      <c r="QDX22" s="73" t="str">
        <f t="shared" si="181"/>
        <v/>
      </c>
      <c r="QDY22" s="73" t="str">
        <f t="shared" si="181"/>
        <v/>
      </c>
      <c r="QDZ22" s="73" t="str">
        <f t="shared" si="181"/>
        <v/>
      </c>
      <c r="QEA22" s="73" t="str">
        <f t="shared" si="181"/>
        <v/>
      </c>
      <c r="QEB22" s="73" t="str">
        <f t="shared" si="181"/>
        <v/>
      </c>
      <c r="QEC22" s="73" t="str">
        <f t="shared" si="181"/>
        <v/>
      </c>
      <c r="QED22" s="73" t="str">
        <f t="shared" si="181"/>
        <v/>
      </c>
      <c r="QEE22" s="73" t="str">
        <f t="shared" si="181"/>
        <v/>
      </c>
      <c r="QEF22" s="73" t="str">
        <f t="shared" si="181"/>
        <v/>
      </c>
      <c r="QEG22" s="73" t="str">
        <f t="shared" si="181"/>
        <v/>
      </c>
      <c r="QEH22" s="73" t="str">
        <f t="shared" si="181"/>
        <v/>
      </c>
      <c r="QEI22" s="73" t="str">
        <f t="shared" si="181"/>
        <v/>
      </c>
      <c r="QEJ22" s="73" t="str">
        <f t="shared" si="181"/>
        <v/>
      </c>
      <c r="QEK22" s="73" t="str">
        <f t="shared" si="181"/>
        <v/>
      </c>
      <c r="QEL22" s="73" t="str">
        <f t="shared" si="181"/>
        <v/>
      </c>
      <c r="QEM22" s="73" t="str">
        <f t="shared" si="181"/>
        <v/>
      </c>
      <c r="QEN22" s="73" t="str">
        <f t="shared" si="181"/>
        <v/>
      </c>
      <c r="QEO22" s="73" t="str">
        <f t="shared" si="181"/>
        <v/>
      </c>
      <c r="QEP22" s="73" t="str">
        <f t="shared" si="181"/>
        <v/>
      </c>
      <c r="QEQ22" s="73" t="str">
        <f t="shared" si="181"/>
        <v/>
      </c>
      <c r="QER22" s="73" t="str">
        <f t="shared" si="181"/>
        <v/>
      </c>
      <c r="QES22" s="73" t="str">
        <f t="shared" si="181"/>
        <v/>
      </c>
      <c r="QET22" s="73" t="str">
        <f t="shared" si="181"/>
        <v/>
      </c>
      <c r="QEU22" s="73" t="str">
        <f t="shared" si="181"/>
        <v/>
      </c>
      <c r="QEV22" s="73" t="str">
        <f t="shared" si="181"/>
        <v/>
      </c>
      <c r="QEW22" s="73" t="str">
        <f t="shared" si="181"/>
        <v/>
      </c>
      <c r="QEX22" s="73" t="str">
        <f t="shared" si="181"/>
        <v/>
      </c>
      <c r="QEY22" s="73" t="str">
        <f t="shared" si="181"/>
        <v/>
      </c>
      <c r="QEZ22" s="73" t="str">
        <f t="shared" si="181"/>
        <v/>
      </c>
      <c r="QFA22" s="73" t="str">
        <f t="shared" si="181"/>
        <v/>
      </c>
      <c r="QFB22" s="73" t="str">
        <f t="shared" si="181"/>
        <v/>
      </c>
      <c r="QFC22" s="73" t="str">
        <f t="shared" si="181"/>
        <v/>
      </c>
      <c r="QFD22" s="73" t="str">
        <f t="shared" si="181"/>
        <v/>
      </c>
      <c r="QFE22" s="73" t="str">
        <f t="shared" si="181"/>
        <v/>
      </c>
      <c r="QFF22" s="73" t="str">
        <f t="shared" ref="QFF22:QHQ22" si="182">IFERROR(AVERAGE(QFF6:QFF21),"")</f>
        <v/>
      </c>
      <c r="QFG22" s="73" t="str">
        <f t="shared" si="182"/>
        <v/>
      </c>
      <c r="QFH22" s="73" t="str">
        <f t="shared" si="182"/>
        <v/>
      </c>
      <c r="QFI22" s="73" t="str">
        <f t="shared" si="182"/>
        <v/>
      </c>
      <c r="QFJ22" s="73" t="str">
        <f t="shared" si="182"/>
        <v/>
      </c>
      <c r="QFK22" s="73" t="str">
        <f t="shared" si="182"/>
        <v/>
      </c>
      <c r="QFL22" s="73" t="str">
        <f t="shared" si="182"/>
        <v/>
      </c>
      <c r="QFM22" s="73" t="str">
        <f t="shared" si="182"/>
        <v/>
      </c>
      <c r="QFN22" s="73" t="str">
        <f t="shared" si="182"/>
        <v/>
      </c>
      <c r="QFO22" s="73" t="str">
        <f t="shared" si="182"/>
        <v/>
      </c>
      <c r="QFP22" s="73" t="str">
        <f t="shared" si="182"/>
        <v/>
      </c>
      <c r="QFQ22" s="73" t="str">
        <f t="shared" si="182"/>
        <v/>
      </c>
      <c r="QFR22" s="73" t="str">
        <f t="shared" si="182"/>
        <v/>
      </c>
      <c r="QFS22" s="73" t="str">
        <f t="shared" si="182"/>
        <v/>
      </c>
      <c r="QFT22" s="73" t="str">
        <f t="shared" si="182"/>
        <v/>
      </c>
      <c r="QFU22" s="73" t="str">
        <f t="shared" si="182"/>
        <v/>
      </c>
      <c r="QFV22" s="73" t="str">
        <f t="shared" si="182"/>
        <v/>
      </c>
      <c r="QFW22" s="73" t="str">
        <f t="shared" si="182"/>
        <v/>
      </c>
      <c r="QFX22" s="73" t="str">
        <f t="shared" si="182"/>
        <v/>
      </c>
      <c r="QFY22" s="73" t="str">
        <f t="shared" si="182"/>
        <v/>
      </c>
      <c r="QFZ22" s="73" t="str">
        <f t="shared" si="182"/>
        <v/>
      </c>
      <c r="QGA22" s="73" t="str">
        <f t="shared" si="182"/>
        <v/>
      </c>
      <c r="QGB22" s="73" t="str">
        <f t="shared" si="182"/>
        <v/>
      </c>
      <c r="QGC22" s="73" t="str">
        <f t="shared" si="182"/>
        <v/>
      </c>
      <c r="QGD22" s="73" t="str">
        <f t="shared" si="182"/>
        <v/>
      </c>
      <c r="QGE22" s="73" t="str">
        <f t="shared" si="182"/>
        <v/>
      </c>
      <c r="QGF22" s="73" t="str">
        <f t="shared" si="182"/>
        <v/>
      </c>
      <c r="QGG22" s="73" t="str">
        <f t="shared" si="182"/>
        <v/>
      </c>
      <c r="QGH22" s="73" t="str">
        <f t="shared" si="182"/>
        <v/>
      </c>
      <c r="QGI22" s="73" t="str">
        <f t="shared" si="182"/>
        <v/>
      </c>
      <c r="QGJ22" s="73" t="str">
        <f t="shared" si="182"/>
        <v/>
      </c>
      <c r="QGK22" s="73" t="str">
        <f t="shared" si="182"/>
        <v/>
      </c>
      <c r="QGL22" s="73" t="str">
        <f t="shared" si="182"/>
        <v/>
      </c>
      <c r="QGM22" s="73" t="str">
        <f t="shared" si="182"/>
        <v/>
      </c>
      <c r="QGN22" s="73" t="str">
        <f t="shared" si="182"/>
        <v/>
      </c>
      <c r="QGO22" s="73" t="str">
        <f t="shared" si="182"/>
        <v/>
      </c>
      <c r="QGP22" s="73" t="str">
        <f t="shared" si="182"/>
        <v/>
      </c>
      <c r="QGQ22" s="73" t="str">
        <f t="shared" si="182"/>
        <v/>
      </c>
      <c r="QGR22" s="73" t="str">
        <f t="shared" si="182"/>
        <v/>
      </c>
      <c r="QGS22" s="73" t="str">
        <f t="shared" si="182"/>
        <v/>
      </c>
      <c r="QGT22" s="73" t="str">
        <f t="shared" si="182"/>
        <v/>
      </c>
      <c r="QGU22" s="73" t="str">
        <f t="shared" si="182"/>
        <v/>
      </c>
      <c r="QGV22" s="73" t="str">
        <f t="shared" si="182"/>
        <v/>
      </c>
      <c r="QGW22" s="73" t="str">
        <f t="shared" si="182"/>
        <v/>
      </c>
      <c r="QGX22" s="73" t="str">
        <f t="shared" si="182"/>
        <v/>
      </c>
      <c r="QGY22" s="73" t="str">
        <f t="shared" si="182"/>
        <v/>
      </c>
      <c r="QGZ22" s="73" t="str">
        <f t="shared" si="182"/>
        <v/>
      </c>
      <c r="QHA22" s="73" t="str">
        <f t="shared" si="182"/>
        <v/>
      </c>
      <c r="QHB22" s="73" t="str">
        <f t="shared" si="182"/>
        <v/>
      </c>
      <c r="QHC22" s="73" t="str">
        <f t="shared" si="182"/>
        <v/>
      </c>
      <c r="QHD22" s="73" t="str">
        <f t="shared" si="182"/>
        <v/>
      </c>
      <c r="QHE22" s="73" t="str">
        <f t="shared" si="182"/>
        <v/>
      </c>
      <c r="QHF22" s="73" t="str">
        <f t="shared" si="182"/>
        <v/>
      </c>
      <c r="QHG22" s="73" t="str">
        <f t="shared" si="182"/>
        <v/>
      </c>
      <c r="QHH22" s="73" t="str">
        <f t="shared" si="182"/>
        <v/>
      </c>
      <c r="QHI22" s="73" t="str">
        <f t="shared" si="182"/>
        <v/>
      </c>
      <c r="QHJ22" s="73" t="str">
        <f t="shared" si="182"/>
        <v/>
      </c>
      <c r="QHK22" s="73" t="str">
        <f t="shared" si="182"/>
        <v/>
      </c>
      <c r="QHL22" s="73" t="str">
        <f t="shared" si="182"/>
        <v/>
      </c>
      <c r="QHM22" s="73" t="str">
        <f t="shared" si="182"/>
        <v/>
      </c>
      <c r="QHN22" s="73" t="str">
        <f t="shared" si="182"/>
        <v/>
      </c>
      <c r="QHO22" s="73" t="str">
        <f t="shared" si="182"/>
        <v/>
      </c>
      <c r="QHP22" s="73" t="str">
        <f t="shared" si="182"/>
        <v/>
      </c>
      <c r="QHQ22" s="73" t="str">
        <f t="shared" si="182"/>
        <v/>
      </c>
      <c r="QHR22" s="73" t="str">
        <f t="shared" ref="QHR22:QKC22" si="183">IFERROR(AVERAGE(QHR6:QHR21),"")</f>
        <v/>
      </c>
      <c r="QHS22" s="73" t="str">
        <f t="shared" si="183"/>
        <v/>
      </c>
      <c r="QHT22" s="73" t="str">
        <f t="shared" si="183"/>
        <v/>
      </c>
      <c r="QHU22" s="73" t="str">
        <f t="shared" si="183"/>
        <v/>
      </c>
      <c r="QHV22" s="73" t="str">
        <f t="shared" si="183"/>
        <v/>
      </c>
      <c r="QHW22" s="73" t="str">
        <f t="shared" si="183"/>
        <v/>
      </c>
      <c r="QHX22" s="73" t="str">
        <f t="shared" si="183"/>
        <v/>
      </c>
      <c r="QHY22" s="73" t="str">
        <f t="shared" si="183"/>
        <v/>
      </c>
      <c r="QHZ22" s="73" t="str">
        <f t="shared" si="183"/>
        <v/>
      </c>
      <c r="QIA22" s="73" t="str">
        <f t="shared" si="183"/>
        <v/>
      </c>
      <c r="QIB22" s="73" t="str">
        <f t="shared" si="183"/>
        <v/>
      </c>
      <c r="QIC22" s="73" t="str">
        <f t="shared" si="183"/>
        <v/>
      </c>
      <c r="QID22" s="73" t="str">
        <f t="shared" si="183"/>
        <v/>
      </c>
      <c r="QIE22" s="73" t="str">
        <f t="shared" si="183"/>
        <v/>
      </c>
      <c r="QIF22" s="73" t="str">
        <f t="shared" si="183"/>
        <v/>
      </c>
      <c r="QIG22" s="73" t="str">
        <f t="shared" si="183"/>
        <v/>
      </c>
      <c r="QIH22" s="73" t="str">
        <f t="shared" si="183"/>
        <v/>
      </c>
      <c r="QII22" s="73" t="str">
        <f t="shared" si="183"/>
        <v/>
      </c>
      <c r="QIJ22" s="73" t="str">
        <f t="shared" si="183"/>
        <v/>
      </c>
      <c r="QIK22" s="73" t="str">
        <f t="shared" si="183"/>
        <v/>
      </c>
      <c r="QIL22" s="73" t="str">
        <f t="shared" si="183"/>
        <v/>
      </c>
      <c r="QIM22" s="73" t="str">
        <f t="shared" si="183"/>
        <v/>
      </c>
      <c r="QIN22" s="73" t="str">
        <f t="shared" si="183"/>
        <v/>
      </c>
      <c r="QIO22" s="73" t="str">
        <f t="shared" si="183"/>
        <v/>
      </c>
      <c r="QIP22" s="73" t="str">
        <f t="shared" si="183"/>
        <v/>
      </c>
      <c r="QIQ22" s="73" t="str">
        <f t="shared" si="183"/>
        <v/>
      </c>
      <c r="QIR22" s="73" t="str">
        <f t="shared" si="183"/>
        <v/>
      </c>
      <c r="QIS22" s="73" t="str">
        <f t="shared" si="183"/>
        <v/>
      </c>
      <c r="QIT22" s="73" t="str">
        <f t="shared" si="183"/>
        <v/>
      </c>
      <c r="QIU22" s="73" t="str">
        <f t="shared" si="183"/>
        <v/>
      </c>
      <c r="QIV22" s="73" t="str">
        <f t="shared" si="183"/>
        <v/>
      </c>
      <c r="QIW22" s="73" t="str">
        <f t="shared" si="183"/>
        <v/>
      </c>
      <c r="QIX22" s="73" t="str">
        <f t="shared" si="183"/>
        <v/>
      </c>
      <c r="QIY22" s="73" t="str">
        <f t="shared" si="183"/>
        <v/>
      </c>
      <c r="QIZ22" s="73" t="str">
        <f t="shared" si="183"/>
        <v/>
      </c>
      <c r="QJA22" s="73" t="str">
        <f t="shared" si="183"/>
        <v/>
      </c>
      <c r="QJB22" s="73" t="str">
        <f t="shared" si="183"/>
        <v/>
      </c>
      <c r="QJC22" s="73" t="str">
        <f t="shared" si="183"/>
        <v/>
      </c>
      <c r="QJD22" s="73" t="str">
        <f t="shared" si="183"/>
        <v/>
      </c>
      <c r="QJE22" s="73" t="str">
        <f t="shared" si="183"/>
        <v/>
      </c>
      <c r="QJF22" s="73" t="str">
        <f t="shared" si="183"/>
        <v/>
      </c>
      <c r="QJG22" s="73" t="str">
        <f t="shared" si="183"/>
        <v/>
      </c>
      <c r="QJH22" s="73" t="str">
        <f t="shared" si="183"/>
        <v/>
      </c>
      <c r="QJI22" s="73" t="str">
        <f t="shared" si="183"/>
        <v/>
      </c>
      <c r="QJJ22" s="73" t="str">
        <f t="shared" si="183"/>
        <v/>
      </c>
      <c r="QJK22" s="73" t="str">
        <f t="shared" si="183"/>
        <v/>
      </c>
      <c r="QJL22" s="73" t="str">
        <f t="shared" si="183"/>
        <v/>
      </c>
      <c r="QJM22" s="73" t="str">
        <f t="shared" si="183"/>
        <v/>
      </c>
      <c r="QJN22" s="73" t="str">
        <f t="shared" si="183"/>
        <v/>
      </c>
      <c r="QJO22" s="73" t="str">
        <f t="shared" si="183"/>
        <v/>
      </c>
      <c r="QJP22" s="73" t="str">
        <f t="shared" si="183"/>
        <v/>
      </c>
      <c r="QJQ22" s="73" t="str">
        <f t="shared" si="183"/>
        <v/>
      </c>
      <c r="QJR22" s="73" t="str">
        <f t="shared" si="183"/>
        <v/>
      </c>
      <c r="QJS22" s="73" t="str">
        <f t="shared" si="183"/>
        <v/>
      </c>
      <c r="QJT22" s="73" t="str">
        <f t="shared" si="183"/>
        <v/>
      </c>
      <c r="QJU22" s="73" t="str">
        <f t="shared" si="183"/>
        <v/>
      </c>
      <c r="QJV22" s="73" t="str">
        <f t="shared" si="183"/>
        <v/>
      </c>
      <c r="QJW22" s="73" t="str">
        <f t="shared" si="183"/>
        <v/>
      </c>
      <c r="QJX22" s="73" t="str">
        <f t="shared" si="183"/>
        <v/>
      </c>
      <c r="QJY22" s="73" t="str">
        <f t="shared" si="183"/>
        <v/>
      </c>
      <c r="QJZ22" s="73" t="str">
        <f t="shared" si="183"/>
        <v/>
      </c>
      <c r="QKA22" s="73" t="str">
        <f t="shared" si="183"/>
        <v/>
      </c>
      <c r="QKB22" s="73" t="str">
        <f t="shared" si="183"/>
        <v/>
      </c>
      <c r="QKC22" s="73" t="str">
        <f t="shared" si="183"/>
        <v/>
      </c>
      <c r="QKD22" s="73" t="str">
        <f t="shared" ref="QKD22:QMO22" si="184">IFERROR(AVERAGE(QKD6:QKD21),"")</f>
        <v/>
      </c>
      <c r="QKE22" s="73" t="str">
        <f t="shared" si="184"/>
        <v/>
      </c>
      <c r="QKF22" s="73" t="str">
        <f t="shared" si="184"/>
        <v/>
      </c>
      <c r="QKG22" s="73" t="str">
        <f t="shared" si="184"/>
        <v/>
      </c>
      <c r="QKH22" s="73" t="str">
        <f t="shared" si="184"/>
        <v/>
      </c>
      <c r="QKI22" s="73" t="str">
        <f t="shared" si="184"/>
        <v/>
      </c>
      <c r="QKJ22" s="73" t="str">
        <f t="shared" si="184"/>
        <v/>
      </c>
      <c r="QKK22" s="73" t="str">
        <f t="shared" si="184"/>
        <v/>
      </c>
      <c r="QKL22" s="73" t="str">
        <f t="shared" si="184"/>
        <v/>
      </c>
      <c r="QKM22" s="73" t="str">
        <f t="shared" si="184"/>
        <v/>
      </c>
      <c r="QKN22" s="73" t="str">
        <f t="shared" si="184"/>
        <v/>
      </c>
      <c r="QKO22" s="73" t="str">
        <f t="shared" si="184"/>
        <v/>
      </c>
      <c r="QKP22" s="73" t="str">
        <f t="shared" si="184"/>
        <v/>
      </c>
      <c r="QKQ22" s="73" t="str">
        <f t="shared" si="184"/>
        <v/>
      </c>
      <c r="QKR22" s="73" t="str">
        <f t="shared" si="184"/>
        <v/>
      </c>
      <c r="QKS22" s="73" t="str">
        <f t="shared" si="184"/>
        <v/>
      </c>
      <c r="QKT22" s="73" t="str">
        <f t="shared" si="184"/>
        <v/>
      </c>
      <c r="QKU22" s="73" t="str">
        <f t="shared" si="184"/>
        <v/>
      </c>
      <c r="QKV22" s="73" t="str">
        <f t="shared" si="184"/>
        <v/>
      </c>
      <c r="QKW22" s="73" t="str">
        <f t="shared" si="184"/>
        <v/>
      </c>
      <c r="QKX22" s="73" t="str">
        <f t="shared" si="184"/>
        <v/>
      </c>
      <c r="QKY22" s="73" t="str">
        <f t="shared" si="184"/>
        <v/>
      </c>
      <c r="QKZ22" s="73" t="str">
        <f t="shared" si="184"/>
        <v/>
      </c>
      <c r="QLA22" s="73" t="str">
        <f t="shared" si="184"/>
        <v/>
      </c>
      <c r="QLB22" s="73" t="str">
        <f t="shared" si="184"/>
        <v/>
      </c>
      <c r="QLC22" s="73" t="str">
        <f t="shared" si="184"/>
        <v/>
      </c>
      <c r="QLD22" s="73" t="str">
        <f t="shared" si="184"/>
        <v/>
      </c>
      <c r="QLE22" s="73" t="str">
        <f t="shared" si="184"/>
        <v/>
      </c>
      <c r="QLF22" s="73" t="str">
        <f t="shared" si="184"/>
        <v/>
      </c>
      <c r="QLG22" s="73" t="str">
        <f t="shared" si="184"/>
        <v/>
      </c>
      <c r="QLH22" s="73" t="str">
        <f t="shared" si="184"/>
        <v/>
      </c>
      <c r="QLI22" s="73" t="str">
        <f t="shared" si="184"/>
        <v/>
      </c>
      <c r="QLJ22" s="73" t="str">
        <f t="shared" si="184"/>
        <v/>
      </c>
      <c r="QLK22" s="73" t="str">
        <f t="shared" si="184"/>
        <v/>
      </c>
      <c r="QLL22" s="73" t="str">
        <f t="shared" si="184"/>
        <v/>
      </c>
      <c r="QLM22" s="73" t="str">
        <f t="shared" si="184"/>
        <v/>
      </c>
      <c r="QLN22" s="73" t="str">
        <f t="shared" si="184"/>
        <v/>
      </c>
      <c r="QLO22" s="73" t="str">
        <f t="shared" si="184"/>
        <v/>
      </c>
      <c r="QLP22" s="73" t="str">
        <f t="shared" si="184"/>
        <v/>
      </c>
      <c r="QLQ22" s="73" t="str">
        <f t="shared" si="184"/>
        <v/>
      </c>
      <c r="QLR22" s="73" t="str">
        <f t="shared" si="184"/>
        <v/>
      </c>
      <c r="QLS22" s="73" t="str">
        <f t="shared" si="184"/>
        <v/>
      </c>
      <c r="QLT22" s="73" t="str">
        <f t="shared" si="184"/>
        <v/>
      </c>
      <c r="QLU22" s="73" t="str">
        <f t="shared" si="184"/>
        <v/>
      </c>
      <c r="QLV22" s="73" t="str">
        <f t="shared" si="184"/>
        <v/>
      </c>
      <c r="QLW22" s="73" t="str">
        <f t="shared" si="184"/>
        <v/>
      </c>
      <c r="QLX22" s="73" t="str">
        <f t="shared" si="184"/>
        <v/>
      </c>
      <c r="QLY22" s="73" t="str">
        <f t="shared" si="184"/>
        <v/>
      </c>
      <c r="QLZ22" s="73" t="str">
        <f t="shared" si="184"/>
        <v/>
      </c>
      <c r="QMA22" s="73" t="str">
        <f t="shared" si="184"/>
        <v/>
      </c>
      <c r="QMB22" s="73" t="str">
        <f t="shared" si="184"/>
        <v/>
      </c>
      <c r="QMC22" s="73" t="str">
        <f t="shared" si="184"/>
        <v/>
      </c>
      <c r="QMD22" s="73" t="str">
        <f t="shared" si="184"/>
        <v/>
      </c>
      <c r="QME22" s="73" t="str">
        <f t="shared" si="184"/>
        <v/>
      </c>
      <c r="QMF22" s="73" t="str">
        <f t="shared" si="184"/>
        <v/>
      </c>
      <c r="QMG22" s="73" t="str">
        <f t="shared" si="184"/>
        <v/>
      </c>
      <c r="QMH22" s="73" t="str">
        <f t="shared" si="184"/>
        <v/>
      </c>
      <c r="QMI22" s="73" t="str">
        <f t="shared" si="184"/>
        <v/>
      </c>
      <c r="QMJ22" s="73" t="str">
        <f t="shared" si="184"/>
        <v/>
      </c>
      <c r="QMK22" s="73" t="str">
        <f t="shared" si="184"/>
        <v/>
      </c>
      <c r="QML22" s="73" t="str">
        <f t="shared" si="184"/>
        <v/>
      </c>
      <c r="QMM22" s="73" t="str">
        <f t="shared" si="184"/>
        <v/>
      </c>
      <c r="QMN22" s="73" t="str">
        <f t="shared" si="184"/>
        <v/>
      </c>
      <c r="QMO22" s="73" t="str">
        <f t="shared" si="184"/>
        <v/>
      </c>
      <c r="QMP22" s="73" t="str">
        <f t="shared" ref="QMP22:QPA22" si="185">IFERROR(AVERAGE(QMP6:QMP21),"")</f>
        <v/>
      </c>
      <c r="QMQ22" s="73" t="str">
        <f t="shared" si="185"/>
        <v/>
      </c>
      <c r="QMR22" s="73" t="str">
        <f t="shared" si="185"/>
        <v/>
      </c>
      <c r="QMS22" s="73" t="str">
        <f t="shared" si="185"/>
        <v/>
      </c>
      <c r="QMT22" s="73" t="str">
        <f t="shared" si="185"/>
        <v/>
      </c>
      <c r="QMU22" s="73" t="str">
        <f t="shared" si="185"/>
        <v/>
      </c>
      <c r="QMV22" s="73" t="str">
        <f t="shared" si="185"/>
        <v/>
      </c>
      <c r="QMW22" s="73" t="str">
        <f t="shared" si="185"/>
        <v/>
      </c>
      <c r="QMX22" s="73" t="str">
        <f t="shared" si="185"/>
        <v/>
      </c>
      <c r="QMY22" s="73" t="str">
        <f t="shared" si="185"/>
        <v/>
      </c>
      <c r="QMZ22" s="73" t="str">
        <f t="shared" si="185"/>
        <v/>
      </c>
      <c r="QNA22" s="73" t="str">
        <f t="shared" si="185"/>
        <v/>
      </c>
      <c r="QNB22" s="73" t="str">
        <f t="shared" si="185"/>
        <v/>
      </c>
      <c r="QNC22" s="73" t="str">
        <f t="shared" si="185"/>
        <v/>
      </c>
      <c r="QND22" s="73" t="str">
        <f t="shared" si="185"/>
        <v/>
      </c>
      <c r="QNE22" s="73" t="str">
        <f t="shared" si="185"/>
        <v/>
      </c>
      <c r="QNF22" s="73" t="str">
        <f t="shared" si="185"/>
        <v/>
      </c>
      <c r="QNG22" s="73" t="str">
        <f t="shared" si="185"/>
        <v/>
      </c>
      <c r="QNH22" s="73" t="str">
        <f t="shared" si="185"/>
        <v/>
      </c>
      <c r="QNI22" s="73" t="str">
        <f t="shared" si="185"/>
        <v/>
      </c>
      <c r="QNJ22" s="73" t="str">
        <f t="shared" si="185"/>
        <v/>
      </c>
      <c r="QNK22" s="73" t="str">
        <f t="shared" si="185"/>
        <v/>
      </c>
      <c r="QNL22" s="73" t="str">
        <f t="shared" si="185"/>
        <v/>
      </c>
      <c r="QNM22" s="73" t="str">
        <f t="shared" si="185"/>
        <v/>
      </c>
      <c r="QNN22" s="73" t="str">
        <f t="shared" si="185"/>
        <v/>
      </c>
      <c r="QNO22" s="73" t="str">
        <f t="shared" si="185"/>
        <v/>
      </c>
      <c r="QNP22" s="73" t="str">
        <f t="shared" si="185"/>
        <v/>
      </c>
      <c r="QNQ22" s="73" t="str">
        <f t="shared" si="185"/>
        <v/>
      </c>
      <c r="QNR22" s="73" t="str">
        <f t="shared" si="185"/>
        <v/>
      </c>
      <c r="QNS22" s="73" t="str">
        <f t="shared" si="185"/>
        <v/>
      </c>
      <c r="QNT22" s="73" t="str">
        <f t="shared" si="185"/>
        <v/>
      </c>
      <c r="QNU22" s="73" t="str">
        <f t="shared" si="185"/>
        <v/>
      </c>
      <c r="QNV22" s="73" t="str">
        <f t="shared" si="185"/>
        <v/>
      </c>
      <c r="QNW22" s="73" t="str">
        <f t="shared" si="185"/>
        <v/>
      </c>
      <c r="QNX22" s="73" t="str">
        <f t="shared" si="185"/>
        <v/>
      </c>
      <c r="QNY22" s="73" t="str">
        <f t="shared" si="185"/>
        <v/>
      </c>
      <c r="QNZ22" s="73" t="str">
        <f t="shared" si="185"/>
        <v/>
      </c>
      <c r="QOA22" s="73" t="str">
        <f t="shared" si="185"/>
        <v/>
      </c>
      <c r="QOB22" s="73" t="str">
        <f t="shared" si="185"/>
        <v/>
      </c>
      <c r="QOC22" s="73" t="str">
        <f t="shared" si="185"/>
        <v/>
      </c>
      <c r="QOD22" s="73" t="str">
        <f t="shared" si="185"/>
        <v/>
      </c>
      <c r="QOE22" s="73" t="str">
        <f t="shared" si="185"/>
        <v/>
      </c>
      <c r="QOF22" s="73" t="str">
        <f t="shared" si="185"/>
        <v/>
      </c>
      <c r="QOG22" s="73" t="str">
        <f t="shared" si="185"/>
        <v/>
      </c>
      <c r="QOH22" s="73" t="str">
        <f t="shared" si="185"/>
        <v/>
      </c>
      <c r="QOI22" s="73" t="str">
        <f t="shared" si="185"/>
        <v/>
      </c>
      <c r="QOJ22" s="73" t="str">
        <f t="shared" si="185"/>
        <v/>
      </c>
      <c r="QOK22" s="73" t="str">
        <f t="shared" si="185"/>
        <v/>
      </c>
      <c r="QOL22" s="73" t="str">
        <f t="shared" si="185"/>
        <v/>
      </c>
      <c r="QOM22" s="73" t="str">
        <f t="shared" si="185"/>
        <v/>
      </c>
      <c r="QON22" s="73" t="str">
        <f t="shared" si="185"/>
        <v/>
      </c>
      <c r="QOO22" s="73" t="str">
        <f t="shared" si="185"/>
        <v/>
      </c>
      <c r="QOP22" s="73" t="str">
        <f t="shared" si="185"/>
        <v/>
      </c>
      <c r="QOQ22" s="73" t="str">
        <f t="shared" si="185"/>
        <v/>
      </c>
      <c r="QOR22" s="73" t="str">
        <f t="shared" si="185"/>
        <v/>
      </c>
      <c r="QOS22" s="73" t="str">
        <f t="shared" si="185"/>
        <v/>
      </c>
      <c r="QOT22" s="73" t="str">
        <f t="shared" si="185"/>
        <v/>
      </c>
      <c r="QOU22" s="73" t="str">
        <f t="shared" si="185"/>
        <v/>
      </c>
      <c r="QOV22" s="73" t="str">
        <f t="shared" si="185"/>
        <v/>
      </c>
      <c r="QOW22" s="73" t="str">
        <f t="shared" si="185"/>
        <v/>
      </c>
      <c r="QOX22" s="73" t="str">
        <f t="shared" si="185"/>
        <v/>
      </c>
      <c r="QOY22" s="73" t="str">
        <f t="shared" si="185"/>
        <v/>
      </c>
      <c r="QOZ22" s="73" t="str">
        <f t="shared" si="185"/>
        <v/>
      </c>
      <c r="QPA22" s="73" t="str">
        <f t="shared" si="185"/>
        <v/>
      </c>
      <c r="QPB22" s="73" t="str">
        <f t="shared" ref="QPB22:QRM22" si="186">IFERROR(AVERAGE(QPB6:QPB21),"")</f>
        <v/>
      </c>
      <c r="QPC22" s="73" t="str">
        <f t="shared" si="186"/>
        <v/>
      </c>
      <c r="QPD22" s="73" t="str">
        <f t="shared" si="186"/>
        <v/>
      </c>
      <c r="QPE22" s="73" t="str">
        <f t="shared" si="186"/>
        <v/>
      </c>
      <c r="QPF22" s="73" t="str">
        <f t="shared" si="186"/>
        <v/>
      </c>
      <c r="QPG22" s="73" t="str">
        <f t="shared" si="186"/>
        <v/>
      </c>
      <c r="QPH22" s="73" t="str">
        <f t="shared" si="186"/>
        <v/>
      </c>
      <c r="QPI22" s="73" t="str">
        <f t="shared" si="186"/>
        <v/>
      </c>
      <c r="QPJ22" s="73" t="str">
        <f t="shared" si="186"/>
        <v/>
      </c>
      <c r="QPK22" s="73" t="str">
        <f t="shared" si="186"/>
        <v/>
      </c>
      <c r="QPL22" s="73" t="str">
        <f t="shared" si="186"/>
        <v/>
      </c>
      <c r="QPM22" s="73" t="str">
        <f t="shared" si="186"/>
        <v/>
      </c>
      <c r="QPN22" s="73" t="str">
        <f t="shared" si="186"/>
        <v/>
      </c>
      <c r="QPO22" s="73" t="str">
        <f t="shared" si="186"/>
        <v/>
      </c>
      <c r="QPP22" s="73" t="str">
        <f t="shared" si="186"/>
        <v/>
      </c>
      <c r="QPQ22" s="73" t="str">
        <f t="shared" si="186"/>
        <v/>
      </c>
      <c r="QPR22" s="73" t="str">
        <f t="shared" si="186"/>
        <v/>
      </c>
      <c r="QPS22" s="73" t="str">
        <f t="shared" si="186"/>
        <v/>
      </c>
      <c r="QPT22" s="73" t="str">
        <f t="shared" si="186"/>
        <v/>
      </c>
      <c r="QPU22" s="73" t="str">
        <f t="shared" si="186"/>
        <v/>
      </c>
      <c r="QPV22" s="73" t="str">
        <f t="shared" si="186"/>
        <v/>
      </c>
      <c r="QPW22" s="73" t="str">
        <f t="shared" si="186"/>
        <v/>
      </c>
      <c r="QPX22" s="73" t="str">
        <f t="shared" si="186"/>
        <v/>
      </c>
      <c r="QPY22" s="73" t="str">
        <f t="shared" si="186"/>
        <v/>
      </c>
      <c r="QPZ22" s="73" t="str">
        <f t="shared" si="186"/>
        <v/>
      </c>
      <c r="QQA22" s="73" t="str">
        <f t="shared" si="186"/>
        <v/>
      </c>
      <c r="QQB22" s="73" t="str">
        <f t="shared" si="186"/>
        <v/>
      </c>
      <c r="QQC22" s="73" t="str">
        <f t="shared" si="186"/>
        <v/>
      </c>
      <c r="QQD22" s="73" t="str">
        <f t="shared" si="186"/>
        <v/>
      </c>
      <c r="QQE22" s="73" t="str">
        <f t="shared" si="186"/>
        <v/>
      </c>
      <c r="QQF22" s="73" t="str">
        <f t="shared" si="186"/>
        <v/>
      </c>
      <c r="QQG22" s="73" t="str">
        <f t="shared" si="186"/>
        <v/>
      </c>
      <c r="QQH22" s="73" t="str">
        <f t="shared" si="186"/>
        <v/>
      </c>
      <c r="QQI22" s="73" t="str">
        <f t="shared" si="186"/>
        <v/>
      </c>
      <c r="QQJ22" s="73" t="str">
        <f t="shared" si="186"/>
        <v/>
      </c>
      <c r="QQK22" s="73" t="str">
        <f t="shared" si="186"/>
        <v/>
      </c>
      <c r="QQL22" s="73" t="str">
        <f t="shared" si="186"/>
        <v/>
      </c>
      <c r="QQM22" s="73" t="str">
        <f t="shared" si="186"/>
        <v/>
      </c>
      <c r="QQN22" s="73" t="str">
        <f t="shared" si="186"/>
        <v/>
      </c>
      <c r="QQO22" s="73" t="str">
        <f t="shared" si="186"/>
        <v/>
      </c>
      <c r="QQP22" s="73" t="str">
        <f t="shared" si="186"/>
        <v/>
      </c>
      <c r="QQQ22" s="73" t="str">
        <f t="shared" si="186"/>
        <v/>
      </c>
      <c r="QQR22" s="73" t="str">
        <f t="shared" si="186"/>
        <v/>
      </c>
      <c r="QQS22" s="73" t="str">
        <f t="shared" si="186"/>
        <v/>
      </c>
      <c r="QQT22" s="73" t="str">
        <f t="shared" si="186"/>
        <v/>
      </c>
      <c r="QQU22" s="73" t="str">
        <f t="shared" si="186"/>
        <v/>
      </c>
      <c r="QQV22" s="73" t="str">
        <f t="shared" si="186"/>
        <v/>
      </c>
      <c r="QQW22" s="73" t="str">
        <f t="shared" si="186"/>
        <v/>
      </c>
      <c r="QQX22" s="73" t="str">
        <f t="shared" si="186"/>
        <v/>
      </c>
      <c r="QQY22" s="73" t="str">
        <f t="shared" si="186"/>
        <v/>
      </c>
      <c r="QQZ22" s="73" t="str">
        <f t="shared" si="186"/>
        <v/>
      </c>
      <c r="QRA22" s="73" t="str">
        <f t="shared" si="186"/>
        <v/>
      </c>
      <c r="QRB22" s="73" t="str">
        <f t="shared" si="186"/>
        <v/>
      </c>
      <c r="QRC22" s="73" t="str">
        <f t="shared" si="186"/>
        <v/>
      </c>
      <c r="QRD22" s="73" t="str">
        <f t="shared" si="186"/>
        <v/>
      </c>
      <c r="QRE22" s="73" t="str">
        <f t="shared" si="186"/>
        <v/>
      </c>
      <c r="QRF22" s="73" t="str">
        <f t="shared" si="186"/>
        <v/>
      </c>
      <c r="QRG22" s="73" t="str">
        <f t="shared" si="186"/>
        <v/>
      </c>
      <c r="QRH22" s="73" t="str">
        <f t="shared" si="186"/>
        <v/>
      </c>
      <c r="QRI22" s="73" t="str">
        <f t="shared" si="186"/>
        <v/>
      </c>
      <c r="QRJ22" s="73" t="str">
        <f t="shared" si="186"/>
        <v/>
      </c>
      <c r="QRK22" s="73" t="str">
        <f t="shared" si="186"/>
        <v/>
      </c>
      <c r="QRL22" s="73" t="str">
        <f t="shared" si="186"/>
        <v/>
      </c>
      <c r="QRM22" s="73" t="str">
        <f t="shared" si="186"/>
        <v/>
      </c>
      <c r="QRN22" s="73" t="str">
        <f t="shared" ref="QRN22:QTY22" si="187">IFERROR(AVERAGE(QRN6:QRN21),"")</f>
        <v/>
      </c>
      <c r="QRO22" s="73" t="str">
        <f t="shared" si="187"/>
        <v/>
      </c>
      <c r="QRP22" s="73" t="str">
        <f t="shared" si="187"/>
        <v/>
      </c>
      <c r="QRQ22" s="73" t="str">
        <f t="shared" si="187"/>
        <v/>
      </c>
      <c r="QRR22" s="73" t="str">
        <f t="shared" si="187"/>
        <v/>
      </c>
      <c r="QRS22" s="73" t="str">
        <f t="shared" si="187"/>
        <v/>
      </c>
      <c r="QRT22" s="73" t="str">
        <f t="shared" si="187"/>
        <v/>
      </c>
      <c r="QRU22" s="73" t="str">
        <f t="shared" si="187"/>
        <v/>
      </c>
      <c r="QRV22" s="73" t="str">
        <f t="shared" si="187"/>
        <v/>
      </c>
      <c r="QRW22" s="73" t="str">
        <f t="shared" si="187"/>
        <v/>
      </c>
      <c r="QRX22" s="73" t="str">
        <f t="shared" si="187"/>
        <v/>
      </c>
      <c r="QRY22" s="73" t="str">
        <f t="shared" si="187"/>
        <v/>
      </c>
      <c r="QRZ22" s="73" t="str">
        <f t="shared" si="187"/>
        <v/>
      </c>
      <c r="QSA22" s="73" t="str">
        <f t="shared" si="187"/>
        <v/>
      </c>
      <c r="QSB22" s="73" t="str">
        <f t="shared" si="187"/>
        <v/>
      </c>
      <c r="QSC22" s="73" t="str">
        <f t="shared" si="187"/>
        <v/>
      </c>
      <c r="QSD22" s="73" t="str">
        <f t="shared" si="187"/>
        <v/>
      </c>
      <c r="QSE22" s="73" t="str">
        <f t="shared" si="187"/>
        <v/>
      </c>
      <c r="QSF22" s="73" t="str">
        <f t="shared" si="187"/>
        <v/>
      </c>
      <c r="QSG22" s="73" t="str">
        <f t="shared" si="187"/>
        <v/>
      </c>
      <c r="QSH22" s="73" t="str">
        <f t="shared" si="187"/>
        <v/>
      </c>
      <c r="QSI22" s="73" t="str">
        <f t="shared" si="187"/>
        <v/>
      </c>
      <c r="QSJ22" s="73" t="str">
        <f t="shared" si="187"/>
        <v/>
      </c>
      <c r="QSK22" s="73" t="str">
        <f t="shared" si="187"/>
        <v/>
      </c>
      <c r="QSL22" s="73" t="str">
        <f t="shared" si="187"/>
        <v/>
      </c>
      <c r="QSM22" s="73" t="str">
        <f t="shared" si="187"/>
        <v/>
      </c>
      <c r="QSN22" s="73" t="str">
        <f t="shared" si="187"/>
        <v/>
      </c>
      <c r="QSO22" s="73" t="str">
        <f t="shared" si="187"/>
        <v/>
      </c>
      <c r="QSP22" s="73" t="str">
        <f t="shared" si="187"/>
        <v/>
      </c>
      <c r="QSQ22" s="73" t="str">
        <f t="shared" si="187"/>
        <v/>
      </c>
      <c r="QSR22" s="73" t="str">
        <f t="shared" si="187"/>
        <v/>
      </c>
      <c r="QSS22" s="73" t="str">
        <f t="shared" si="187"/>
        <v/>
      </c>
      <c r="QST22" s="73" t="str">
        <f t="shared" si="187"/>
        <v/>
      </c>
      <c r="QSU22" s="73" t="str">
        <f t="shared" si="187"/>
        <v/>
      </c>
      <c r="QSV22" s="73" t="str">
        <f t="shared" si="187"/>
        <v/>
      </c>
      <c r="QSW22" s="73" t="str">
        <f t="shared" si="187"/>
        <v/>
      </c>
      <c r="QSX22" s="73" t="str">
        <f t="shared" si="187"/>
        <v/>
      </c>
      <c r="QSY22" s="73" t="str">
        <f t="shared" si="187"/>
        <v/>
      </c>
      <c r="QSZ22" s="73" t="str">
        <f t="shared" si="187"/>
        <v/>
      </c>
      <c r="QTA22" s="73" t="str">
        <f t="shared" si="187"/>
        <v/>
      </c>
      <c r="QTB22" s="73" t="str">
        <f t="shared" si="187"/>
        <v/>
      </c>
      <c r="QTC22" s="73" t="str">
        <f t="shared" si="187"/>
        <v/>
      </c>
      <c r="QTD22" s="73" t="str">
        <f t="shared" si="187"/>
        <v/>
      </c>
      <c r="QTE22" s="73" t="str">
        <f t="shared" si="187"/>
        <v/>
      </c>
      <c r="QTF22" s="73" t="str">
        <f t="shared" si="187"/>
        <v/>
      </c>
      <c r="QTG22" s="73" t="str">
        <f t="shared" si="187"/>
        <v/>
      </c>
      <c r="QTH22" s="73" t="str">
        <f t="shared" si="187"/>
        <v/>
      </c>
      <c r="QTI22" s="73" t="str">
        <f t="shared" si="187"/>
        <v/>
      </c>
      <c r="QTJ22" s="73" t="str">
        <f t="shared" si="187"/>
        <v/>
      </c>
      <c r="QTK22" s="73" t="str">
        <f t="shared" si="187"/>
        <v/>
      </c>
      <c r="QTL22" s="73" t="str">
        <f t="shared" si="187"/>
        <v/>
      </c>
      <c r="QTM22" s="73" t="str">
        <f t="shared" si="187"/>
        <v/>
      </c>
      <c r="QTN22" s="73" t="str">
        <f t="shared" si="187"/>
        <v/>
      </c>
      <c r="QTO22" s="73" t="str">
        <f t="shared" si="187"/>
        <v/>
      </c>
      <c r="QTP22" s="73" t="str">
        <f t="shared" si="187"/>
        <v/>
      </c>
      <c r="QTQ22" s="73" t="str">
        <f t="shared" si="187"/>
        <v/>
      </c>
      <c r="QTR22" s="73" t="str">
        <f t="shared" si="187"/>
        <v/>
      </c>
      <c r="QTS22" s="73" t="str">
        <f t="shared" si="187"/>
        <v/>
      </c>
      <c r="QTT22" s="73" t="str">
        <f t="shared" si="187"/>
        <v/>
      </c>
      <c r="QTU22" s="73" t="str">
        <f t="shared" si="187"/>
        <v/>
      </c>
      <c r="QTV22" s="73" t="str">
        <f t="shared" si="187"/>
        <v/>
      </c>
      <c r="QTW22" s="73" t="str">
        <f t="shared" si="187"/>
        <v/>
      </c>
      <c r="QTX22" s="73" t="str">
        <f t="shared" si="187"/>
        <v/>
      </c>
      <c r="QTY22" s="73" t="str">
        <f t="shared" si="187"/>
        <v/>
      </c>
      <c r="QTZ22" s="73" t="str">
        <f t="shared" ref="QTZ22:QWK22" si="188">IFERROR(AVERAGE(QTZ6:QTZ21),"")</f>
        <v/>
      </c>
      <c r="QUA22" s="73" t="str">
        <f t="shared" si="188"/>
        <v/>
      </c>
      <c r="QUB22" s="73" t="str">
        <f t="shared" si="188"/>
        <v/>
      </c>
      <c r="QUC22" s="73" t="str">
        <f t="shared" si="188"/>
        <v/>
      </c>
      <c r="QUD22" s="73" t="str">
        <f t="shared" si="188"/>
        <v/>
      </c>
      <c r="QUE22" s="73" t="str">
        <f t="shared" si="188"/>
        <v/>
      </c>
      <c r="QUF22" s="73" t="str">
        <f t="shared" si="188"/>
        <v/>
      </c>
      <c r="QUG22" s="73" t="str">
        <f t="shared" si="188"/>
        <v/>
      </c>
      <c r="QUH22" s="73" t="str">
        <f t="shared" si="188"/>
        <v/>
      </c>
      <c r="QUI22" s="73" t="str">
        <f t="shared" si="188"/>
        <v/>
      </c>
      <c r="QUJ22" s="73" t="str">
        <f t="shared" si="188"/>
        <v/>
      </c>
      <c r="QUK22" s="73" t="str">
        <f t="shared" si="188"/>
        <v/>
      </c>
      <c r="QUL22" s="73" t="str">
        <f t="shared" si="188"/>
        <v/>
      </c>
      <c r="QUM22" s="73" t="str">
        <f t="shared" si="188"/>
        <v/>
      </c>
      <c r="QUN22" s="73" t="str">
        <f t="shared" si="188"/>
        <v/>
      </c>
      <c r="QUO22" s="73" t="str">
        <f t="shared" si="188"/>
        <v/>
      </c>
      <c r="QUP22" s="73" t="str">
        <f t="shared" si="188"/>
        <v/>
      </c>
      <c r="QUQ22" s="73" t="str">
        <f t="shared" si="188"/>
        <v/>
      </c>
      <c r="QUR22" s="73" t="str">
        <f t="shared" si="188"/>
        <v/>
      </c>
      <c r="QUS22" s="73" t="str">
        <f t="shared" si="188"/>
        <v/>
      </c>
      <c r="QUT22" s="73" t="str">
        <f t="shared" si="188"/>
        <v/>
      </c>
      <c r="QUU22" s="73" t="str">
        <f t="shared" si="188"/>
        <v/>
      </c>
      <c r="QUV22" s="73" t="str">
        <f t="shared" si="188"/>
        <v/>
      </c>
      <c r="QUW22" s="73" t="str">
        <f t="shared" si="188"/>
        <v/>
      </c>
      <c r="QUX22" s="73" t="str">
        <f t="shared" si="188"/>
        <v/>
      </c>
      <c r="QUY22" s="73" t="str">
        <f t="shared" si="188"/>
        <v/>
      </c>
      <c r="QUZ22" s="73" t="str">
        <f t="shared" si="188"/>
        <v/>
      </c>
      <c r="QVA22" s="73" t="str">
        <f t="shared" si="188"/>
        <v/>
      </c>
      <c r="QVB22" s="73" t="str">
        <f t="shared" si="188"/>
        <v/>
      </c>
      <c r="QVC22" s="73" t="str">
        <f t="shared" si="188"/>
        <v/>
      </c>
      <c r="QVD22" s="73" t="str">
        <f t="shared" si="188"/>
        <v/>
      </c>
      <c r="QVE22" s="73" t="str">
        <f t="shared" si="188"/>
        <v/>
      </c>
      <c r="QVF22" s="73" t="str">
        <f t="shared" si="188"/>
        <v/>
      </c>
      <c r="QVG22" s="73" t="str">
        <f t="shared" si="188"/>
        <v/>
      </c>
      <c r="QVH22" s="73" t="str">
        <f t="shared" si="188"/>
        <v/>
      </c>
      <c r="QVI22" s="73" t="str">
        <f t="shared" si="188"/>
        <v/>
      </c>
      <c r="QVJ22" s="73" t="str">
        <f t="shared" si="188"/>
        <v/>
      </c>
      <c r="QVK22" s="73" t="str">
        <f t="shared" si="188"/>
        <v/>
      </c>
      <c r="QVL22" s="73" t="str">
        <f t="shared" si="188"/>
        <v/>
      </c>
      <c r="QVM22" s="73" t="str">
        <f t="shared" si="188"/>
        <v/>
      </c>
      <c r="QVN22" s="73" t="str">
        <f t="shared" si="188"/>
        <v/>
      </c>
      <c r="QVO22" s="73" t="str">
        <f t="shared" si="188"/>
        <v/>
      </c>
      <c r="QVP22" s="73" t="str">
        <f t="shared" si="188"/>
        <v/>
      </c>
      <c r="QVQ22" s="73" t="str">
        <f t="shared" si="188"/>
        <v/>
      </c>
      <c r="QVR22" s="73" t="str">
        <f t="shared" si="188"/>
        <v/>
      </c>
      <c r="QVS22" s="73" t="str">
        <f t="shared" si="188"/>
        <v/>
      </c>
      <c r="QVT22" s="73" t="str">
        <f t="shared" si="188"/>
        <v/>
      </c>
      <c r="QVU22" s="73" t="str">
        <f t="shared" si="188"/>
        <v/>
      </c>
      <c r="QVV22" s="73" t="str">
        <f t="shared" si="188"/>
        <v/>
      </c>
      <c r="QVW22" s="73" t="str">
        <f t="shared" si="188"/>
        <v/>
      </c>
      <c r="QVX22" s="73" t="str">
        <f t="shared" si="188"/>
        <v/>
      </c>
      <c r="QVY22" s="73" t="str">
        <f t="shared" si="188"/>
        <v/>
      </c>
      <c r="QVZ22" s="73" t="str">
        <f t="shared" si="188"/>
        <v/>
      </c>
      <c r="QWA22" s="73" t="str">
        <f t="shared" si="188"/>
        <v/>
      </c>
      <c r="QWB22" s="73" t="str">
        <f t="shared" si="188"/>
        <v/>
      </c>
      <c r="QWC22" s="73" t="str">
        <f t="shared" si="188"/>
        <v/>
      </c>
      <c r="QWD22" s="73" t="str">
        <f t="shared" si="188"/>
        <v/>
      </c>
      <c r="QWE22" s="73" t="str">
        <f t="shared" si="188"/>
        <v/>
      </c>
      <c r="QWF22" s="73" t="str">
        <f t="shared" si="188"/>
        <v/>
      </c>
      <c r="QWG22" s="73" t="str">
        <f t="shared" si="188"/>
        <v/>
      </c>
      <c r="QWH22" s="73" t="str">
        <f t="shared" si="188"/>
        <v/>
      </c>
      <c r="QWI22" s="73" t="str">
        <f t="shared" si="188"/>
        <v/>
      </c>
      <c r="QWJ22" s="73" t="str">
        <f t="shared" si="188"/>
        <v/>
      </c>
      <c r="QWK22" s="73" t="str">
        <f t="shared" si="188"/>
        <v/>
      </c>
      <c r="QWL22" s="73" t="str">
        <f t="shared" ref="QWL22:QYW22" si="189">IFERROR(AVERAGE(QWL6:QWL21),"")</f>
        <v/>
      </c>
      <c r="QWM22" s="73" t="str">
        <f t="shared" si="189"/>
        <v/>
      </c>
      <c r="QWN22" s="73" t="str">
        <f t="shared" si="189"/>
        <v/>
      </c>
      <c r="QWO22" s="73" t="str">
        <f t="shared" si="189"/>
        <v/>
      </c>
      <c r="QWP22" s="73" t="str">
        <f t="shared" si="189"/>
        <v/>
      </c>
      <c r="QWQ22" s="73" t="str">
        <f t="shared" si="189"/>
        <v/>
      </c>
      <c r="QWR22" s="73" t="str">
        <f t="shared" si="189"/>
        <v/>
      </c>
      <c r="QWS22" s="73" t="str">
        <f t="shared" si="189"/>
        <v/>
      </c>
      <c r="QWT22" s="73" t="str">
        <f t="shared" si="189"/>
        <v/>
      </c>
      <c r="QWU22" s="73" t="str">
        <f t="shared" si="189"/>
        <v/>
      </c>
      <c r="QWV22" s="73" t="str">
        <f t="shared" si="189"/>
        <v/>
      </c>
      <c r="QWW22" s="73" t="str">
        <f t="shared" si="189"/>
        <v/>
      </c>
      <c r="QWX22" s="73" t="str">
        <f t="shared" si="189"/>
        <v/>
      </c>
      <c r="QWY22" s="73" t="str">
        <f t="shared" si="189"/>
        <v/>
      </c>
      <c r="QWZ22" s="73" t="str">
        <f t="shared" si="189"/>
        <v/>
      </c>
      <c r="QXA22" s="73" t="str">
        <f t="shared" si="189"/>
        <v/>
      </c>
      <c r="QXB22" s="73" t="str">
        <f t="shared" si="189"/>
        <v/>
      </c>
      <c r="QXC22" s="73" t="str">
        <f t="shared" si="189"/>
        <v/>
      </c>
      <c r="QXD22" s="73" t="str">
        <f t="shared" si="189"/>
        <v/>
      </c>
      <c r="QXE22" s="73" t="str">
        <f t="shared" si="189"/>
        <v/>
      </c>
      <c r="QXF22" s="73" t="str">
        <f t="shared" si="189"/>
        <v/>
      </c>
      <c r="QXG22" s="73" t="str">
        <f t="shared" si="189"/>
        <v/>
      </c>
      <c r="QXH22" s="73" t="str">
        <f t="shared" si="189"/>
        <v/>
      </c>
      <c r="QXI22" s="73" t="str">
        <f t="shared" si="189"/>
        <v/>
      </c>
      <c r="QXJ22" s="73" t="str">
        <f t="shared" si="189"/>
        <v/>
      </c>
      <c r="QXK22" s="73" t="str">
        <f t="shared" si="189"/>
        <v/>
      </c>
      <c r="QXL22" s="73" t="str">
        <f t="shared" si="189"/>
        <v/>
      </c>
      <c r="QXM22" s="73" t="str">
        <f t="shared" si="189"/>
        <v/>
      </c>
      <c r="QXN22" s="73" t="str">
        <f t="shared" si="189"/>
        <v/>
      </c>
      <c r="QXO22" s="73" t="str">
        <f t="shared" si="189"/>
        <v/>
      </c>
      <c r="QXP22" s="73" t="str">
        <f t="shared" si="189"/>
        <v/>
      </c>
      <c r="QXQ22" s="73" t="str">
        <f t="shared" si="189"/>
        <v/>
      </c>
      <c r="QXR22" s="73" t="str">
        <f t="shared" si="189"/>
        <v/>
      </c>
      <c r="QXS22" s="73" t="str">
        <f t="shared" si="189"/>
        <v/>
      </c>
      <c r="QXT22" s="73" t="str">
        <f t="shared" si="189"/>
        <v/>
      </c>
      <c r="QXU22" s="73" t="str">
        <f t="shared" si="189"/>
        <v/>
      </c>
      <c r="QXV22" s="73" t="str">
        <f t="shared" si="189"/>
        <v/>
      </c>
      <c r="QXW22" s="73" t="str">
        <f t="shared" si="189"/>
        <v/>
      </c>
      <c r="QXX22" s="73" t="str">
        <f t="shared" si="189"/>
        <v/>
      </c>
      <c r="QXY22" s="73" t="str">
        <f t="shared" si="189"/>
        <v/>
      </c>
      <c r="QXZ22" s="73" t="str">
        <f t="shared" si="189"/>
        <v/>
      </c>
      <c r="QYA22" s="73" t="str">
        <f t="shared" si="189"/>
        <v/>
      </c>
      <c r="QYB22" s="73" t="str">
        <f t="shared" si="189"/>
        <v/>
      </c>
      <c r="QYC22" s="73" t="str">
        <f t="shared" si="189"/>
        <v/>
      </c>
      <c r="QYD22" s="73" t="str">
        <f t="shared" si="189"/>
        <v/>
      </c>
      <c r="QYE22" s="73" t="str">
        <f t="shared" si="189"/>
        <v/>
      </c>
      <c r="QYF22" s="73" t="str">
        <f t="shared" si="189"/>
        <v/>
      </c>
      <c r="QYG22" s="73" t="str">
        <f t="shared" si="189"/>
        <v/>
      </c>
      <c r="QYH22" s="73" t="str">
        <f t="shared" si="189"/>
        <v/>
      </c>
      <c r="QYI22" s="73" t="str">
        <f t="shared" si="189"/>
        <v/>
      </c>
      <c r="QYJ22" s="73" t="str">
        <f t="shared" si="189"/>
        <v/>
      </c>
      <c r="QYK22" s="73" t="str">
        <f t="shared" si="189"/>
        <v/>
      </c>
      <c r="QYL22" s="73" t="str">
        <f t="shared" si="189"/>
        <v/>
      </c>
      <c r="QYM22" s="73" t="str">
        <f t="shared" si="189"/>
        <v/>
      </c>
      <c r="QYN22" s="73" t="str">
        <f t="shared" si="189"/>
        <v/>
      </c>
      <c r="QYO22" s="73" t="str">
        <f t="shared" si="189"/>
        <v/>
      </c>
      <c r="QYP22" s="73" t="str">
        <f t="shared" si="189"/>
        <v/>
      </c>
      <c r="QYQ22" s="73" t="str">
        <f t="shared" si="189"/>
        <v/>
      </c>
      <c r="QYR22" s="73" t="str">
        <f t="shared" si="189"/>
        <v/>
      </c>
      <c r="QYS22" s="73" t="str">
        <f t="shared" si="189"/>
        <v/>
      </c>
      <c r="QYT22" s="73" t="str">
        <f t="shared" si="189"/>
        <v/>
      </c>
      <c r="QYU22" s="73" t="str">
        <f t="shared" si="189"/>
        <v/>
      </c>
      <c r="QYV22" s="73" t="str">
        <f t="shared" si="189"/>
        <v/>
      </c>
      <c r="QYW22" s="73" t="str">
        <f t="shared" si="189"/>
        <v/>
      </c>
      <c r="QYX22" s="73" t="str">
        <f t="shared" ref="QYX22:RBI22" si="190">IFERROR(AVERAGE(QYX6:QYX21),"")</f>
        <v/>
      </c>
      <c r="QYY22" s="73" t="str">
        <f t="shared" si="190"/>
        <v/>
      </c>
      <c r="QYZ22" s="73" t="str">
        <f t="shared" si="190"/>
        <v/>
      </c>
      <c r="QZA22" s="73" t="str">
        <f t="shared" si="190"/>
        <v/>
      </c>
      <c r="QZB22" s="73" t="str">
        <f t="shared" si="190"/>
        <v/>
      </c>
      <c r="QZC22" s="73" t="str">
        <f t="shared" si="190"/>
        <v/>
      </c>
      <c r="QZD22" s="73" t="str">
        <f t="shared" si="190"/>
        <v/>
      </c>
      <c r="QZE22" s="73" t="str">
        <f t="shared" si="190"/>
        <v/>
      </c>
      <c r="QZF22" s="73" t="str">
        <f t="shared" si="190"/>
        <v/>
      </c>
      <c r="QZG22" s="73" t="str">
        <f t="shared" si="190"/>
        <v/>
      </c>
      <c r="QZH22" s="73" t="str">
        <f t="shared" si="190"/>
        <v/>
      </c>
      <c r="QZI22" s="73" t="str">
        <f t="shared" si="190"/>
        <v/>
      </c>
      <c r="QZJ22" s="73" t="str">
        <f t="shared" si="190"/>
        <v/>
      </c>
      <c r="QZK22" s="73" t="str">
        <f t="shared" si="190"/>
        <v/>
      </c>
      <c r="QZL22" s="73" t="str">
        <f t="shared" si="190"/>
        <v/>
      </c>
      <c r="QZM22" s="73" t="str">
        <f t="shared" si="190"/>
        <v/>
      </c>
      <c r="QZN22" s="73" t="str">
        <f t="shared" si="190"/>
        <v/>
      </c>
      <c r="QZO22" s="73" t="str">
        <f t="shared" si="190"/>
        <v/>
      </c>
      <c r="QZP22" s="73" t="str">
        <f t="shared" si="190"/>
        <v/>
      </c>
      <c r="QZQ22" s="73" t="str">
        <f t="shared" si="190"/>
        <v/>
      </c>
      <c r="QZR22" s="73" t="str">
        <f t="shared" si="190"/>
        <v/>
      </c>
      <c r="QZS22" s="73" t="str">
        <f t="shared" si="190"/>
        <v/>
      </c>
      <c r="QZT22" s="73" t="str">
        <f t="shared" si="190"/>
        <v/>
      </c>
      <c r="QZU22" s="73" t="str">
        <f t="shared" si="190"/>
        <v/>
      </c>
      <c r="QZV22" s="73" t="str">
        <f t="shared" si="190"/>
        <v/>
      </c>
      <c r="QZW22" s="73" t="str">
        <f t="shared" si="190"/>
        <v/>
      </c>
      <c r="QZX22" s="73" t="str">
        <f t="shared" si="190"/>
        <v/>
      </c>
      <c r="QZY22" s="73" t="str">
        <f t="shared" si="190"/>
        <v/>
      </c>
      <c r="QZZ22" s="73" t="str">
        <f t="shared" si="190"/>
        <v/>
      </c>
      <c r="RAA22" s="73" t="str">
        <f t="shared" si="190"/>
        <v/>
      </c>
      <c r="RAB22" s="73" t="str">
        <f t="shared" si="190"/>
        <v/>
      </c>
      <c r="RAC22" s="73" t="str">
        <f t="shared" si="190"/>
        <v/>
      </c>
      <c r="RAD22" s="73" t="str">
        <f t="shared" si="190"/>
        <v/>
      </c>
      <c r="RAE22" s="73" t="str">
        <f t="shared" si="190"/>
        <v/>
      </c>
      <c r="RAF22" s="73" t="str">
        <f t="shared" si="190"/>
        <v/>
      </c>
      <c r="RAG22" s="73" t="str">
        <f t="shared" si="190"/>
        <v/>
      </c>
      <c r="RAH22" s="73" t="str">
        <f t="shared" si="190"/>
        <v/>
      </c>
      <c r="RAI22" s="73" t="str">
        <f t="shared" si="190"/>
        <v/>
      </c>
      <c r="RAJ22" s="73" t="str">
        <f t="shared" si="190"/>
        <v/>
      </c>
      <c r="RAK22" s="73" t="str">
        <f t="shared" si="190"/>
        <v/>
      </c>
      <c r="RAL22" s="73" t="str">
        <f t="shared" si="190"/>
        <v/>
      </c>
      <c r="RAM22" s="73" t="str">
        <f t="shared" si="190"/>
        <v/>
      </c>
      <c r="RAN22" s="73" t="str">
        <f t="shared" si="190"/>
        <v/>
      </c>
      <c r="RAO22" s="73" t="str">
        <f t="shared" si="190"/>
        <v/>
      </c>
      <c r="RAP22" s="73" t="str">
        <f t="shared" si="190"/>
        <v/>
      </c>
      <c r="RAQ22" s="73" t="str">
        <f t="shared" si="190"/>
        <v/>
      </c>
      <c r="RAR22" s="73" t="str">
        <f t="shared" si="190"/>
        <v/>
      </c>
      <c r="RAS22" s="73" t="str">
        <f t="shared" si="190"/>
        <v/>
      </c>
      <c r="RAT22" s="73" t="str">
        <f t="shared" si="190"/>
        <v/>
      </c>
      <c r="RAU22" s="73" t="str">
        <f t="shared" si="190"/>
        <v/>
      </c>
      <c r="RAV22" s="73" t="str">
        <f t="shared" si="190"/>
        <v/>
      </c>
      <c r="RAW22" s="73" t="str">
        <f t="shared" si="190"/>
        <v/>
      </c>
      <c r="RAX22" s="73" t="str">
        <f t="shared" si="190"/>
        <v/>
      </c>
      <c r="RAY22" s="73" t="str">
        <f t="shared" si="190"/>
        <v/>
      </c>
      <c r="RAZ22" s="73" t="str">
        <f t="shared" si="190"/>
        <v/>
      </c>
      <c r="RBA22" s="73" t="str">
        <f t="shared" si="190"/>
        <v/>
      </c>
      <c r="RBB22" s="73" t="str">
        <f t="shared" si="190"/>
        <v/>
      </c>
      <c r="RBC22" s="73" t="str">
        <f t="shared" si="190"/>
        <v/>
      </c>
      <c r="RBD22" s="73" t="str">
        <f t="shared" si="190"/>
        <v/>
      </c>
      <c r="RBE22" s="73" t="str">
        <f t="shared" si="190"/>
        <v/>
      </c>
      <c r="RBF22" s="73" t="str">
        <f t="shared" si="190"/>
        <v/>
      </c>
      <c r="RBG22" s="73" t="str">
        <f t="shared" si="190"/>
        <v/>
      </c>
      <c r="RBH22" s="73" t="str">
        <f t="shared" si="190"/>
        <v/>
      </c>
      <c r="RBI22" s="73" t="str">
        <f t="shared" si="190"/>
        <v/>
      </c>
      <c r="RBJ22" s="73" t="str">
        <f t="shared" ref="RBJ22:RDU22" si="191">IFERROR(AVERAGE(RBJ6:RBJ21),"")</f>
        <v/>
      </c>
      <c r="RBK22" s="73" t="str">
        <f t="shared" si="191"/>
        <v/>
      </c>
      <c r="RBL22" s="73" t="str">
        <f t="shared" si="191"/>
        <v/>
      </c>
      <c r="RBM22" s="73" t="str">
        <f t="shared" si="191"/>
        <v/>
      </c>
      <c r="RBN22" s="73" t="str">
        <f t="shared" si="191"/>
        <v/>
      </c>
      <c r="RBO22" s="73" t="str">
        <f t="shared" si="191"/>
        <v/>
      </c>
      <c r="RBP22" s="73" t="str">
        <f t="shared" si="191"/>
        <v/>
      </c>
      <c r="RBQ22" s="73" t="str">
        <f t="shared" si="191"/>
        <v/>
      </c>
      <c r="RBR22" s="73" t="str">
        <f t="shared" si="191"/>
        <v/>
      </c>
      <c r="RBS22" s="73" t="str">
        <f t="shared" si="191"/>
        <v/>
      </c>
      <c r="RBT22" s="73" t="str">
        <f t="shared" si="191"/>
        <v/>
      </c>
      <c r="RBU22" s="73" t="str">
        <f t="shared" si="191"/>
        <v/>
      </c>
      <c r="RBV22" s="73" t="str">
        <f t="shared" si="191"/>
        <v/>
      </c>
      <c r="RBW22" s="73" t="str">
        <f t="shared" si="191"/>
        <v/>
      </c>
      <c r="RBX22" s="73" t="str">
        <f t="shared" si="191"/>
        <v/>
      </c>
      <c r="RBY22" s="73" t="str">
        <f t="shared" si="191"/>
        <v/>
      </c>
      <c r="RBZ22" s="73" t="str">
        <f t="shared" si="191"/>
        <v/>
      </c>
      <c r="RCA22" s="73" t="str">
        <f t="shared" si="191"/>
        <v/>
      </c>
      <c r="RCB22" s="73" t="str">
        <f t="shared" si="191"/>
        <v/>
      </c>
      <c r="RCC22" s="73" t="str">
        <f t="shared" si="191"/>
        <v/>
      </c>
      <c r="RCD22" s="73" t="str">
        <f t="shared" si="191"/>
        <v/>
      </c>
      <c r="RCE22" s="73" t="str">
        <f t="shared" si="191"/>
        <v/>
      </c>
      <c r="RCF22" s="73" t="str">
        <f t="shared" si="191"/>
        <v/>
      </c>
      <c r="RCG22" s="73" t="str">
        <f t="shared" si="191"/>
        <v/>
      </c>
      <c r="RCH22" s="73" t="str">
        <f t="shared" si="191"/>
        <v/>
      </c>
      <c r="RCI22" s="73" t="str">
        <f t="shared" si="191"/>
        <v/>
      </c>
      <c r="RCJ22" s="73" t="str">
        <f t="shared" si="191"/>
        <v/>
      </c>
      <c r="RCK22" s="73" t="str">
        <f t="shared" si="191"/>
        <v/>
      </c>
      <c r="RCL22" s="73" t="str">
        <f t="shared" si="191"/>
        <v/>
      </c>
      <c r="RCM22" s="73" t="str">
        <f t="shared" si="191"/>
        <v/>
      </c>
      <c r="RCN22" s="73" t="str">
        <f t="shared" si="191"/>
        <v/>
      </c>
      <c r="RCO22" s="73" t="str">
        <f t="shared" si="191"/>
        <v/>
      </c>
      <c r="RCP22" s="73" t="str">
        <f t="shared" si="191"/>
        <v/>
      </c>
      <c r="RCQ22" s="73" t="str">
        <f t="shared" si="191"/>
        <v/>
      </c>
      <c r="RCR22" s="73" t="str">
        <f t="shared" si="191"/>
        <v/>
      </c>
      <c r="RCS22" s="73" t="str">
        <f t="shared" si="191"/>
        <v/>
      </c>
      <c r="RCT22" s="73" t="str">
        <f t="shared" si="191"/>
        <v/>
      </c>
      <c r="RCU22" s="73" t="str">
        <f t="shared" si="191"/>
        <v/>
      </c>
      <c r="RCV22" s="73" t="str">
        <f t="shared" si="191"/>
        <v/>
      </c>
      <c r="RCW22" s="73" t="str">
        <f t="shared" si="191"/>
        <v/>
      </c>
      <c r="RCX22" s="73" t="str">
        <f t="shared" si="191"/>
        <v/>
      </c>
      <c r="RCY22" s="73" t="str">
        <f t="shared" si="191"/>
        <v/>
      </c>
      <c r="RCZ22" s="73" t="str">
        <f t="shared" si="191"/>
        <v/>
      </c>
      <c r="RDA22" s="73" t="str">
        <f t="shared" si="191"/>
        <v/>
      </c>
      <c r="RDB22" s="73" t="str">
        <f t="shared" si="191"/>
        <v/>
      </c>
      <c r="RDC22" s="73" t="str">
        <f t="shared" si="191"/>
        <v/>
      </c>
      <c r="RDD22" s="73" t="str">
        <f t="shared" si="191"/>
        <v/>
      </c>
      <c r="RDE22" s="73" t="str">
        <f t="shared" si="191"/>
        <v/>
      </c>
      <c r="RDF22" s="73" t="str">
        <f t="shared" si="191"/>
        <v/>
      </c>
      <c r="RDG22" s="73" t="str">
        <f t="shared" si="191"/>
        <v/>
      </c>
      <c r="RDH22" s="73" t="str">
        <f t="shared" si="191"/>
        <v/>
      </c>
      <c r="RDI22" s="73" t="str">
        <f t="shared" si="191"/>
        <v/>
      </c>
      <c r="RDJ22" s="73" t="str">
        <f t="shared" si="191"/>
        <v/>
      </c>
      <c r="RDK22" s="73" t="str">
        <f t="shared" si="191"/>
        <v/>
      </c>
      <c r="RDL22" s="73" t="str">
        <f t="shared" si="191"/>
        <v/>
      </c>
      <c r="RDM22" s="73" t="str">
        <f t="shared" si="191"/>
        <v/>
      </c>
      <c r="RDN22" s="73" t="str">
        <f t="shared" si="191"/>
        <v/>
      </c>
      <c r="RDO22" s="73" t="str">
        <f t="shared" si="191"/>
        <v/>
      </c>
      <c r="RDP22" s="73" t="str">
        <f t="shared" si="191"/>
        <v/>
      </c>
      <c r="RDQ22" s="73" t="str">
        <f t="shared" si="191"/>
        <v/>
      </c>
      <c r="RDR22" s="73" t="str">
        <f t="shared" si="191"/>
        <v/>
      </c>
      <c r="RDS22" s="73" t="str">
        <f t="shared" si="191"/>
        <v/>
      </c>
      <c r="RDT22" s="73" t="str">
        <f t="shared" si="191"/>
        <v/>
      </c>
      <c r="RDU22" s="73" t="str">
        <f t="shared" si="191"/>
        <v/>
      </c>
      <c r="RDV22" s="73" t="str">
        <f t="shared" ref="RDV22:RGG22" si="192">IFERROR(AVERAGE(RDV6:RDV21),"")</f>
        <v/>
      </c>
      <c r="RDW22" s="73" t="str">
        <f t="shared" si="192"/>
        <v/>
      </c>
      <c r="RDX22" s="73" t="str">
        <f t="shared" si="192"/>
        <v/>
      </c>
      <c r="RDY22" s="73" t="str">
        <f t="shared" si="192"/>
        <v/>
      </c>
      <c r="RDZ22" s="73" t="str">
        <f t="shared" si="192"/>
        <v/>
      </c>
      <c r="REA22" s="73" t="str">
        <f t="shared" si="192"/>
        <v/>
      </c>
      <c r="REB22" s="73" t="str">
        <f t="shared" si="192"/>
        <v/>
      </c>
      <c r="REC22" s="73" t="str">
        <f t="shared" si="192"/>
        <v/>
      </c>
      <c r="RED22" s="73" t="str">
        <f t="shared" si="192"/>
        <v/>
      </c>
      <c r="REE22" s="73" t="str">
        <f t="shared" si="192"/>
        <v/>
      </c>
      <c r="REF22" s="73" t="str">
        <f t="shared" si="192"/>
        <v/>
      </c>
      <c r="REG22" s="73" t="str">
        <f t="shared" si="192"/>
        <v/>
      </c>
      <c r="REH22" s="73" t="str">
        <f t="shared" si="192"/>
        <v/>
      </c>
      <c r="REI22" s="73" t="str">
        <f t="shared" si="192"/>
        <v/>
      </c>
      <c r="REJ22" s="73" t="str">
        <f t="shared" si="192"/>
        <v/>
      </c>
      <c r="REK22" s="73" t="str">
        <f t="shared" si="192"/>
        <v/>
      </c>
      <c r="REL22" s="73" t="str">
        <f t="shared" si="192"/>
        <v/>
      </c>
      <c r="REM22" s="73" t="str">
        <f t="shared" si="192"/>
        <v/>
      </c>
      <c r="REN22" s="73" t="str">
        <f t="shared" si="192"/>
        <v/>
      </c>
      <c r="REO22" s="73" t="str">
        <f t="shared" si="192"/>
        <v/>
      </c>
      <c r="REP22" s="73" t="str">
        <f t="shared" si="192"/>
        <v/>
      </c>
      <c r="REQ22" s="73" t="str">
        <f t="shared" si="192"/>
        <v/>
      </c>
      <c r="RER22" s="73" t="str">
        <f t="shared" si="192"/>
        <v/>
      </c>
      <c r="RES22" s="73" t="str">
        <f t="shared" si="192"/>
        <v/>
      </c>
      <c r="RET22" s="73" t="str">
        <f t="shared" si="192"/>
        <v/>
      </c>
      <c r="REU22" s="73" t="str">
        <f t="shared" si="192"/>
        <v/>
      </c>
      <c r="REV22" s="73" t="str">
        <f t="shared" si="192"/>
        <v/>
      </c>
      <c r="REW22" s="73" t="str">
        <f t="shared" si="192"/>
        <v/>
      </c>
      <c r="REX22" s="73" t="str">
        <f t="shared" si="192"/>
        <v/>
      </c>
      <c r="REY22" s="73" t="str">
        <f t="shared" si="192"/>
        <v/>
      </c>
      <c r="REZ22" s="73" t="str">
        <f t="shared" si="192"/>
        <v/>
      </c>
      <c r="RFA22" s="73" t="str">
        <f t="shared" si="192"/>
        <v/>
      </c>
      <c r="RFB22" s="73" t="str">
        <f t="shared" si="192"/>
        <v/>
      </c>
      <c r="RFC22" s="73" t="str">
        <f t="shared" si="192"/>
        <v/>
      </c>
      <c r="RFD22" s="73" t="str">
        <f t="shared" si="192"/>
        <v/>
      </c>
      <c r="RFE22" s="73" t="str">
        <f t="shared" si="192"/>
        <v/>
      </c>
      <c r="RFF22" s="73" t="str">
        <f t="shared" si="192"/>
        <v/>
      </c>
      <c r="RFG22" s="73" t="str">
        <f t="shared" si="192"/>
        <v/>
      </c>
      <c r="RFH22" s="73" t="str">
        <f t="shared" si="192"/>
        <v/>
      </c>
      <c r="RFI22" s="73" t="str">
        <f t="shared" si="192"/>
        <v/>
      </c>
      <c r="RFJ22" s="73" t="str">
        <f t="shared" si="192"/>
        <v/>
      </c>
      <c r="RFK22" s="73" t="str">
        <f t="shared" si="192"/>
        <v/>
      </c>
      <c r="RFL22" s="73" t="str">
        <f t="shared" si="192"/>
        <v/>
      </c>
      <c r="RFM22" s="73" t="str">
        <f t="shared" si="192"/>
        <v/>
      </c>
      <c r="RFN22" s="73" t="str">
        <f t="shared" si="192"/>
        <v/>
      </c>
      <c r="RFO22" s="73" t="str">
        <f t="shared" si="192"/>
        <v/>
      </c>
      <c r="RFP22" s="73" t="str">
        <f t="shared" si="192"/>
        <v/>
      </c>
      <c r="RFQ22" s="73" t="str">
        <f t="shared" si="192"/>
        <v/>
      </c>
      <c r="RFR22" s="73" t="str">
        <f t="shared" si="192"/>
        <v/>
      </c>
      <c r="RFS22" s="73" t="str">
        <f t="shared" si="192"/>
        <v/>
      </c>
      <c r="RFT22" s="73" t="str">
        <f t="shared" si="192"/>
        <v/>
      </c>
      <c r="RFU22" s="73" t="str">
        <f t="shared" si="192"/>
        <v/>
      </c>
      <c r="RFV22" s="73" t="str">
        <f t="shared" si="192"/>
        <v/>
      </c>
      <c r="RFW22" s="73" t="str">
        <f t="shared" si="192"/>
        <v/>
      </c>
      <c r="RFX22" s="73" t="str">
        <f t="shared" si="192"/>
        <v/>
      </c>
      <c r="RFY22" s="73" t="str">
        <f t="shared" si="192"/>
        <v/>
      </c>
      <c r="RFZ22" s="73" t="str">
        <f t="shared" si="192"/>
        <v/>
      </c>
      <c r="RGA22" s="73" t="str">
        <f t="shared" si="192"/>
        <v/>
      </c>
      <c r="RGB22" s="73" t="str">
        <f t="shared" si="192"/>
        <v/>
      </c>
      <c r="RGC22" s="73" t="str">
        <f t="shared" si="192"/>
        <v/>
      </c>
      <c r="RGD22" s="73" t="str">
        <f t="shared" si="192"/>
        <v/>
      </c>
      <c r="RGE22" s="73" t="str">
        <f t="shared" si="192"/>
        <v/>
      </c>
      <c r="RGF22" s="73" t="str">
        <f t="shared" si="192"/>
        <v/>
      </c>
      <c r="RGG22" s="73" t="str">
        <f t="shared" si="192"/>
        <v/>
      </c>
      <c r="RGH22" s="73" t="str">
        <f t="shared" ref="RGH22:RIS22" si="193">IFERROR(AVERAGE(RGH6:RGH21),"")</f>
        <v/>
      </c>
      <c r="RGI22" s="73" t="str">
        <f t="shared" si="193"/>
        <v/>
      </c>
      <c r="RGJ22" s="73" t="str">
        <f t="shared" si="193"/>
        <v/>
      </c>
      <c r="RGK22" s="73" t="str">
        <f t="shared" si="193"/>
        <v/>
      </c>
      <c r="RGL22" s="73" t="str">
        <f t="shared" si="193"/>
        <v/>
      </c>
      <c r="RGM22" s="73" t="str">
        <f t="shared" si="193"/>
        <v/>
      </c>
      <c r="RGN22" s="73" t="str">
        <f t="shared" si="193"/>
        <v/>
      </c>
      <c r="RGO22" s="73" t="str">
        <f t="shared" si="193"/>
        <v/>
      </c>
      <c r="RGP22" s="73" t="str">
        <f t="shared" si="193"/>
        <v/>
      </c>
      <c r="RGQ22" s="73" t="str">
        <f t="shared" si="193"/>
        <v/>
      </c>
      <c r="RGR22" s="73" t="str">
        <f t="shared" si="193"/>
        <v/>
      </c>
      <c r="RGS22" s="73" t="str">
        <f t="shared" si="193"/>
        <v/>
      </c>
      <c r="RGT22" s="73" t="str">
        <f t="shared" si="193"/>
        <v/>
      </c>
      <c r="RGU22" s="73" t="str">
        <f t="shared" si="193"/>
        <v/>
      </c>
      <c r="RGV22" s="73" t="str">
        <f t="shared" si="193"/>
        <v/>
      </c>
      <c r="RGW22" s="73" t="str">
        <f t="shared" si="193"/>
        <v/>
      </c>
      <c r="RGX22" s="73" t="str">
        <f t="shared" si="193"/>
        <v/>
      </c>
      <c r="RGY22" s="73" t="str">
        <f t="shared" si="193"/>
        <v/>
      </c>
      <c r="RGZ22" s="73" t="str">
        <f t="shared" si="193"/>
        <v/>
      </c>
      <c r="RHA22" s="73" t="str">
        <f t="shared" si="193"/>
        <v/>
      </c>
      <c r="RHB22" s="73" t="str">
        <f t="shared" si="193"/>
        <v/>
      </c>
      <c r="RHC22" s="73" t="str">
        <f t="shared" si="193"/>
        <v/>
      </c>
      <c r="RHD22" s="73" t="str">
        <f t="shared" si="193"/>
        <v/>
      </c>
      <c r="RHE22" s="73" t="str">
        <f t="shared" si="193"/>
        <v/>
      </c>
      <c r="RHF22" s="73" t="str">
        <f t="shared" si="193"/>
        <v/>
      </c>
      <c r="RHG22" s="73" t="str">
        <f t="shared" si="193"/>
        <v/>
      </c>
      <c r="RHH22" s="73" t="str">
        <f t="shared" si="193"/>
        <v/>
      </c>
      <c r="RHI22" s="73" t="str">
        <f t="shared" si="193"/>
        <v/>
      </c>
      <c r="RHJ22" s="73" t="str">
        <f t="shared" si="193"/>
        <v/>
      </c>
      <c r="RHK22" s="73" t="str">
        <f t="shared" si="193"/>
        <v/>
      </c>
      <c r="RHL22" s="73" t="str">
        <f t="shared" si="193"/>
        <v/>
      </c>
      <c r="RHM22" s="73" t="str">
        <f t="shared" si="193"/>
        <v/>
      </c>
      <c r="RHN22" s="73" t="str">
        <f t="shared" si="193"/>
        <v/>
      </c>
      <c r="RHO22" s="73" t="str">
        <f t="shared" si="193"/>
        <v/>
      </c>
      <c r="RHP22" s="73" t="str">
        <f t="shared" si="193"/>
        <v/>
      </c>
      <c r="RHQ22" s="73" t="str">
        <f t="shared" si="193"/>
        <v/>
      </c>
      <c r="RHR22" s="73" t="str">
        <f t="shared" si="193"/>
        <v/>
      </c>
      <c r="RHS22" s="73" t="str">
        <f t="shared" si="193"/>
        <v/>
      </c>
      <c r="RHT22" s="73" t="str">
        <f t="shared" si="193"/>
        <v/>
      </c>
      <c r="RHU22" s="73" t="str">
        <f t="shared" si="193"/>
        <v/>
      </c>
      <c r="RHV22" s="73" t="str">
        <f t="shared" si="193"/>
        <v/>
      </c>
      <c r="RHW22" s="73" t="str">
        <f t="shared" si="193"/>
        <v/>
      </c>
      <c r="RHX22" s="73" t="str">
        <f t="shared" si="193"/>
        <v/>
      </c>
      <c r="RHY22" s="73" t="str">
        <f t="shared" si="193"/>
        <v/>
      </c>
      <c r="RHZ22" s="73" t="str">
        <f t="shared" si="193"/>
        <v/>
      </c>
      <c r="RIA22" s="73" t="str">
        <f t="shared" si="193"/>
        <v/>
      </c>
      <c r="RIB22" s="73" t="str">
        <f t="shared" si="193"/>
        <v/>
      </c>
      <c r="RIC22" s="73" t="str">
        <f t="shared" si="193"/>
        <v/>
      </c>
      <c r="RID22" s="73" t="str">
        <f t="shared" si="193"/>
        <v/>
      </c>
      <c r="RIE22" s="73" t="str">
        <f t="shared" si="193"/>
        <v/>
      </c>
      <c r="RIF22" s="73" t="str">
        <f t="shared" si="193"/>
        <v/>
      </c>
      <c r="RIG22" s="73" t="str">
        <f t="shared" si="193"/>
        <v/>
      </c>
      <c r="RIH22" s="73" t="str">
        <f t="shared" si="193"/>
        <v/>
      </c>
      <c r="RII22" s="73" t="str">
        <f t="shared" si="193"/>
        <v/>
      </c>
      <c r="RIJ22" s="73" t="str">
        <f t="shared" si="193"/>
        <v/>
      </c>
      <c r="RIK22" s="73" t="str">
        <f t="shared" si="193"/>
        <v/>
      </c>
      <c r="RIL22" s="73" t="str">
        <f t="shared" si="193"/>
        <v/>
      </c>
      <c r="RIM22" s="73" t="str">
        <f t="shared" si="193"/>
        <v/>
      </c>
      <c r="RIN22" s="73" t="str">
        <f t="shared" si="193"/>
        <v/>
      </c>
      <c r="RIO22" s="73" t="str">
        <f t="shared" si="193"/>
        <v/>
      </c>
      <c r="RIP22" s="73" t="str">
        <f t="shared" si="193"/>
        <v/>
      </c>
      <c r="RIQ22" s="73" t="str">
        <f t="shared" si="193"/>
        <v/>
      </c>
      <c r="RIR22" s="73" t="str">
        <f t="shared" si="193"/>
        <v/>
      </c>
      <c r="RIS22" s="73" t="str">
        <f t="shared" si="193"/>
        <v/>
      </c>
      <c r="RIT22" s="73" t="str">
        <f t="shared" ref="RIT22:RLE22" si="194">IFERROR(AVERAGE(RIT6:RIT21),"")</f>
        <v/>
      </c>
      <c r="RIU22" s="73" t="str">
        <f t="shared" si="194"/>
        <v/>
      </c>
      <c r="RIV22" s="73" t="str">
        <f t="shared" si="194"/>
        <v/>
      </c>
      <c r="RIW22" s="73" t="str">
        <f t="shared" si="194"/>
        <v/>
      </c>
      <c r="RIX22" s="73" t="str">
        <f t="shared" si="194"/>
        <v/>
      </c>
      <c r="RIY22" s="73" t="str">
        <f t="shared" si="194"/>
        <v/>
      </c>
      <c r="RIZ22" s="73" t="str">
        <f t="shared" si="194"/>
        <v/>
      </c>
      <c r="RJA22" s="73" t="str">
        <f t="shared" si="194"/>
        <v/>
      </c>
      <c r="RJB22" s="73" t="str">
        <f t="shared" si="194"/>
        <v/>
      </c>
      <c r="RJC22" s="73" t="str">
        <f t="shared" si="194"/>
        <v/>
      </c>
      <c r="RJD22" s="73" t="str">
        <f t="shared" si="194"/>
        <v/>
      </c>
      <c r="RJE22" s="73" t="str">
        <f t="shared" si="194"/>
        <v/>
      </c>
      <c r="RJF22" s="73" t="str">
        <f t="shared" si="194"/>
        <v/>
      </c>
      <c r="RJG22" s="73" t="str">
        <f t="shared" si="194"/>
        <v/>
      </c>
      <c r="RJH22" s="73" t="str">
        <f t="shared" si="194"/>
        <v/>
      </c>
      <c r="RJI22" s="73" t="str">
        <f t="shared" si="194"/>
        <v/>
      </c>
      <c r="RJJ22" s="73" t="str">
        <f t="shared" si="194"/>
        <v/>
      </c>
      <c r="RJK22" s="73" t="str">
        <f t="shared" si="194"/>
        <v/>
      </c>
      <c r="RJL22" s="73" t="str">
        <f t="shared" si="194"/>
        <v/>
      </c>
      <c r="RJM22" s="73" t="str">
        <f t="shared" si="194"/>
        <v/>
      </c>
      <c r="RJN22" s="73" t="str">
        <f t="shared" si="194"/>
        <v/>
      </c>
      <c r="RJO22" s="73" t="str">
        <f t="shared" si="194"/>
        <v/>
      </c>
      <c r="RJP22" s="73" t="str">
        <f t="shared" si="194"/>
        <v/>
      </c>
      <c r="RJQ22" s="73" t="str">
        <f t="shared" si="194"/>
        <v/>
      </c>
      <c r="RJR22" s="73" t="str">
        <f t="shared" si="194"/>
        <v/>
      </c>
      <c r="RJS22" s="73" t="str">
        <f t="shared" si="194"/>
        <v/>
      </c>
      <c r="RJT22" s="73" t="str">
        <f t="shared" si="194"/>
        <v/>
      </c>
      <c r="RJU22" s="73" t="str">
        <f t="shared" si="194"/>
        <v/>
      </c>
      <c r="RJV22" s="73" t="str">
        <f t="shared" si="194"/>
        <v/>
      </c>
      <c r="RJW22" s="73" t="str">
        <f t="shared" si="194"/>
        <v/>
      </c>
      <c r="RJX22" s="73" t="str">
        <f t="shared" si="194"/>
        <v/>
      </c>
      <c r="RJY22" s="73" t="str">
        <f t="shared" si="194"/>
        <v/>
      </c>
      <c r="RJZ22" s="73" t="str">
        <f t="shared" si="194"/>
        <v/>
      </c>
      <c r="RKA22" s="73" t="str">
        <f t="shared" si="194"/>
        <v/>
      </c>
      <c r="RKB22" s="73" t="str">
        <f t="shared" si="194"/>
        <v/>
      </c>
      <c r="RKC22" s="73" t="str">
        <f t="shared" si="194"/>
        <v/>
      </c>
      <c r="RKD22" s="73" t="str">
        <f t="shared" si="194"/>
        <v/>
      </c>
      <c r="RKE22" s="73" t="str">
        <f t="shared" si="194"/>
        <v/>
      </c>
      <c r="RKF22" s="73" t="str">
        <f t="shared" si="194"/>
        <v/>
      </c>
      <c r="RKG22" s="73" t="str">
        <f t="shared" si="194"/>
        <v/>
      </c>
      <c r="RKH22" s="73" t="str">
        <f t="shared" si="194"/>
        <v/>
      </c>
      <c r="RKI22" s="73" t="str">
        <f t="shared" si="194"/>
        <v/>
      </c>
      <c r="RKJ22" s="73" t="str">
        <f t="shared" si="194"/>
        <v/>
      </c>
      <c r="RKK22" s="73" t="str">
        <f t="shared" si="194"/>
        <v/>
      </c>
      <c r="RKL22" s="73" t="str">
        <f t="shared" si="194"/>
        <v/>
      </c>
      <c r="RKM22" s="73" t="str">
        <f t="shared" si="194"/>
        <v/>
      </c>
      <c r="RKN22" s="73" t="str">
        <f t="shared" si="194"/>
        <v/>
      </c>
      <c r="RKO22" s="73" t="str">
        <f t="shared" si="194"/>
        <v/>
      </c>
      <c r="RKP22" s="73" t="str">
        <f t="shared" si="194"/>
        <v/>
      </c>
      <c r="RKQ22" s="73" t="str">
        <f t="shared" si="194"/>
        <v/>
      </c>
      <c r="RKR22" s="73" t="str">
        <f t="shared" si="194"/>
        <v/>
      </c>
      <c r="RKS22" s="73" t="str">
        <f t="shared" si="194"/>
        <v/>
      </c>
      <c r="RKT22" s="73" t="str">
        <f t="shared" si="194"/>
        <v/>
      </c>
      <c r="RKU22" s="73" t="str">
        <f t="shared" si="194"/>
        <v/>
      </c>
      <c r="RKV22" s="73" t="str">
        <f t="shared" si="194"/>
        <v/>
      </c>
      <c r="RKW22" s="73" t="str">
        <f t="shared" si="194"/>
        <v/>
      </c>
      <c r="RKX22" s="73" t="str">
        <f t="shared" si="194"/>
        <v/>
      </c>
      <c r="RKY22" s="73" t="str">
        <f t="shared" si="194"/>
        <v/>
      </c>
      <c r="RKZ22" s="73" t="str">
        <f t="shared" si="194"/>
        <v/>
      </c>
      <c r="RLA22" s="73" t="str">
        <f t="shared" si="194"/>
        <v/>
      </c>
      <c r="RLB22" s="73" t="str">
        <f t="shared" si="194"/>
        <v/>
      </c>
      <c r="RLC22" s="73" t="str">
        <f t="shared" si="194"/>
        <v/>
      </c>
      <c r="RLD22" s="73" t="str">
        <f t="shared" si="194"/>
        <v/>
      </c>
      <c r="RLE22" s="73" t="str">
        <f t="shared" si="194"/>
        <v/>
      </c>
      <c r="RLF22" s="73" t="str">
        <f t="shared" ref="RLF22:RNQ22" si="195">IFERROR(AVERAGE(RLF6:RLF21),"")</f>
        <v/>
      </c>
      <c r="RLG22" s="73" t="str">
        <f t="shared" si="195"/>
        <v/>
      </c>
      <c r="RLH22" s="73" t="str">
        <f t="shared" si="195"/>
        <v/>
      </c>
      <c r="RLI22" s="73" t="str">
        <f t="shared" si="195"/>
        <v/>
      </c>
      <c r="RLJ22" s="73" t="str">
        <f t="shared" si="195"/>
        <v/>
      </c>
      <c r="RLK22" s="73" t="str">
        <f t="shared" si="195"/>
        <v/>
      </c>
      <c r="RLL22" s="73" t="str">
        <f t="shared" si="195"/>
        <v/>
      </c>
      <c r="RLM22" s="73" t="str">
        <f t="shared" si="195"/>
        <v/>
      </c>
      <c r="RLN22" s="73" t="str">
        <f t="shared" si="195"/>
        <v/>
      </c>
      <c r="RLO22" s="73" t="str">
        <f t="shared" si="195"/>
        <v/>
      </c>
      <c r="RLP22" s="73" t="str">
        <f t="shared" si="195"/>
        <v/>
      </c>
      <c r="RLQ22" s="73" t="str">
        <f t="shared" si="195"/>
        <v/>
      </c>
      <c r="RLR22" s="73" t="str">
        <f t="shared" si="195"/>
        <v/>
      </c>
      <c r="RLS22" s="73" t="str">
        <f t="shared" si="195"/>
        <v/>
      </c>
      <c r="RLT22" s="73" t="str">
        <f t="shared" si="195"/>
        <v/>
      </c>
      <c r="RLU22" s="73" t="str">
        <f t="shared" si="195"/>
        <v/>
      </c>
      <c r="RLV22" s="73" t="str">
        <f t="shared" si="195"/>
        <v/>
      </c>
      <c r="RLW22" s="73" t="str">
        <f t="shared" si="195"/>
        <v/>
      </c>
      <c r="RLX22" s="73" t="str">
        <f t="shared" si="195"/>
        <v/>
      </c>
      <c r="RLY22" s="73" t="str">
        <f t="shared" si="195"/>
        <v/>
      </c>
      <c r="RLZ22" s="73" t="str">
        <f t="shared" si="195"/>
        <v/>
      </c>
      <c r="RMA22" s="73" t="str">
        <f t="shared" si="195"/>
        <v/>
      </c>
      <c r="RMB22" s="73" t="str">
        <f t="shared" si="195"/>
        <v/>
      </c>
      <c r="RMC22" s="73" t="str">
        <f t="shared" si="195"/>
        <v/>
      </c>
      <c r="RMD22" s="73" t="str">
        <f t="shared" si="195"/>
        <v/>
      </c>
      <c r="RME22" s="73" t="str">
        <f t="shared" si="195"/>
        <v/>
      </c>
      <c r="RMF22" s="73" t="str">
        <f t="shared" si="195"/>
        <v/>
      </c>
      <c r="RMG22" s="73" t="str">
        <f t="shared" si="195"/>
        <v/>
      </c>
      <c r="RMH22" s="73" t="str">
        <f t="shared" si="195"/>
        <v/>
      </c>
      <c r="RMI22" s="73" t="str">
        <f t="shared" si="195"/>
        <v/>
      </c>
      <c r="RMJ22" s="73" t="str">
        <f t="shared" si="195"/>
        <v/>
      </c>
      <c r="RMK22" s="73" t="str">
        <f t="shared" si="195"/>
        <v/>
      </c>
      <c r="RML22" s="73" t="str">
        <f t="shared" si="195"/>
        <v/>
      </c>
      <c r="RMM22" s="73" t="str">
        <f t="shared" si="195"/>
        <v/>
      </c>
      <c r="RMN22" s="73" t="str">
        <f t="shared" si="195"/>
        <v/>
      </c>
      <c r="RMO22" s="73" t="str">
        <f t="shared" si="195"/>
        <v/>
      </c>
      <c r="RMP22" s="73" t="str">
        <f t="shared" si="195"/>
        <v/>
      </c>
      <c r="RMQ22" s="73" t="str">
        <f t="shared" si="195"/>
        <v/>
      </c>
      <c r="RMR22" s="73" t="str">
        <f t="shared" si="195"/>
        <v/>
      </c>
      <c r="RMS22" s="73" t="str">
        <f t="shared" si="195"/>
        <v/>
      </c>
      <c r="RMT22" s="73" t="str">
        <f t="shared" si="195"/>
        <v/>
      </c>
      <c r="RMU22" s="73" t="str">
        <f t="shared" si="195"/>
        <v/>
      </c>
      <c r="RMV22" s="73" t="str">
        <f t="shared" si="195"/>
        <v/>
      </c>
      <c r="RMW22" s="73" t="str">
        <f t="shared" si="195"/>
        <v/>
      </c>
      <c r="RMX22" s="73" t="str">
        <f t="shared" si="195"/>
        <v/>
      </c>
      <c r="RMY22" s="73" t="str">
        <f t="shared" si="195"/>
        <v/>
      </c>
      <c r="RMZ22" s="73" t="str">
        <f t="shared" si="195"/>
        <v/>
      </c>
      <c r="RNA22" s="73" t="str">
        <f t="shared" si="195"/>
        <v/>
      </c>
      <c r="RNB22" s="73" t="str">
        <f t="shared" si="195"/>
        <v/>
      </c>
      <c r="RNC22" s="73" t="str">
        <f t="shared" si="195"/>
        <v/>
      </c>
      <c r="RND22" s="73" t="str">
        <f t="shared" si="195"/>
        <v/>
      </c>
      <c r="RNE22" s="73" t="str">
        <f t="shared" si="195"/>
        <v/>
      </c>
      <c r="RNF22" s="73" t="str">
        <f t="shared" si="195"/>
        <v/>
      </c>
      <c r="RNG22" s="73" t="str">
        <f t="shared" si="195"/>
        <v/>
      </c>
      <c r="RNH22" s="73" t="str">
        <f t="shared" si="195"/>
        <v/>
      </c>
      <c r="RNI22" s="73" t="str">
        <f t="shared" si="195"/>
        <v/>
      </c>
      <c r="RNJ22" s="73" t="str">
        <f t="shared" si="195"/>
        <v/>
      </c>
      <c r="RNK22" s="73" t="str">
        <f t="shared" si="195"/>
        <v/>
      </c>
      <c r="RNL22" s="73" t="str">
        <f t="shared" si="195"/>
        <v/>
      </c>
      <c r="RNM22" s="73" t="str">
        <f t="shared" si="195"/>
        <v/>
      </c>
      <c r="RNN22" s="73" t="str">
        <f t="shared" si="195"/>
        <v/>
      </c>
      <c r="RNO22" s="73" t="str">
        <f t="shared" si="195"/>
        <v/>
      </c>
      <c r="RNP22" s="73" t="str">
        <f t="shared" si="195"/>
        <v/>
      </c>
      <c r="RNQ22" s="73" t="str">
        <f t="shared" si="195"/>
        <v/>
      </c>
      <c r="RNR22" s="73" t="str">
        <f t="shared" ref="RNR22:RQC22" si="196">IFERROR(AVERAGE(RNR6:RNR21),"")</f>
        <v/>
      </c>
      <c r="RNS22" s="73" t="str">
        <f t="shared" si="196"/>
        <v/>
      </c>
      <c r="RNT22" s="73" t="str">
        <f t="shared" si="196"/>
        <v/>
      </c>
      <c r="RNU22" s="73" t="str">
        <f t="shared" si="196"/>
        <v/>
      </c>
      <c r="RNV22" s="73" t="str">
        <f t="shared" si="196"/>
        <v/>
      </c>
      <c r="RNW22" s="73" t="str">
        <f t="shared" si="196"/>
        <v/>
      </c>
      <c r="RNX22" s="73" t="str">
        <f t="shared" si="196"/>
        <v/>
      </c>
      <c r="RNY22" s="73" t="str">
        <f t="shared" si="196"/>
        <v/>
      </c>
      <c r="RNZ22" s="73" t="str">
        <f t="shared" si="196"/>
        <v/>
      </c>
      <c r="ROA22" s="73" t="str">
        <f t="shared" si="196"/>
        <v/>
      </c>
      <c r="ROB22" s="73" t="str">
        <f t="shared" si="196"/>
        <v/>
      </c>
      <c r="ROC22" s="73" t="str">
        <f t="shared" si="196"/>
        <v/>
      </c>
      <c r="ROD22" s="73" t="str">
        <f t="shared" si="196"/>
        <v/>
      </c>
      <c r="ROE22" s="73" t="str">
        <f t="shared" si="196"/>
        <v/>
      </c>
      <c r="ROF22" s="73" t="str">
        <f t="shared" si="196"/>
        <v/>
      </c>
      <c r="ROG22" s="73" t="str">
        <f t="shared" si="196"/>
        <v/>
      </c>
      <c r="ROH22" s="73" t="str">
        <f t="shared" si="196"/>
        <v/>
      </c>
      <c r="ROI22" s="73" t="str">
        <f t="shared" si="196"/>
        <v/>
      </c>
      <c r="ROJ22" s="73" t="str">
        <f t="shared" si="196"/>
        <v/>
      </c>
      <c r="ROK22" s="73" t="str">
        <f t="shared" si="196"/>
        <v/>
      </c>
      <c r="ROL22" s="73" t="str">
        <f t="shared" si="196"/>
        <v/>
      </c>
      <c r="ROM22" s="73" t="str">
        <f t="shared" si="196"/>
        <v/>
      </c>
      <c r="RON22" s="73" t="str">
        <f t="shared" si="196"/>
        <v/>
      </c>
      <c r="ROO22" s="73" t="str">
        <f t="shared" si="196"/>
        <v/>
      </c>
      <c r="ROP22" s="73" t="str">
        <f t="shared" si="196"/>
        <v/>
      </c>
      <c r="ROQ22" s="73" t="str">
        <f t="shared" si="196"/>
        <v/>
      </c>
      <c r="ROR22" s="73" t="str">
        <f t="shared" si="196"/>
        <v/>
      </c>
      <c r="ROS22" s="73" t="str">
        <f t="shared" si="196"/>
        <v/>
      </c>
      <c r="ROT22" s="73" t="str">
        <f t="shared" si="196"/>
        <v/>
      </c>
      <c r="ROU22" s="73" t="str">
        <f t="shared" si="196"/>
        <v/>
      </c>
      <c r="ROV22" s="73" t="str">
        <f t="shared" si="196"/>
        <v/>
      </c>
      <c r="ROW22" s="73" t="str">
        <f t="shared" si="196"/>
        <v/>
      </c>
      <c r="ROX22" s="73" t="str">
        <f t="shared" si="196"/>
        <v/>
      </c>
      <c r="ROY22" s="73" t="str">
        <f t="shared" si="196"/>
        <v/>
      </c>
      <c r="ROZ22" s="73" t="str">
        <f t="shared" si="196"/>
        <v/>
      </c>
      <c r="RPA22" s="73" t="str">
        <f t="shared" si="196"/>
        <v/>
      </c>
      <c r="RPB22" s="73" t="str">
        <f t="shared" si="196"/>
        <v/>
      </c>
      <c r="RPC22" s="73" t="str">
        <f t="shared" si="196"/>
        <v/>
      </c>
      <c r="RPD22" s="73" t="str">
        <f t="shared" si="196"/>
        <v/>
      </c>
      <c r="RPE22" s="73" t="str">
        <f t="shared" si="196"/>
        <v/>
      </c>
      <c r="RPF22" s="73" t="str">
        <f t="shared" si="196"/>
        <v/>
      </c>
      <c r="RPG22" s="73" t="str">
        <f t="shared" si="196"/>
        <v/>
      </c>
      <c r="RPH22" s="73" t="str">
        <f t="shared" si="196"/>
        <v/>
      </c>
      <c r="RPI22" s="73" t="str">
        <f t="shared" si="196"/>
        <v/>
      </c>
      <c r="RPJ22" s="73" t="str">
        <f t="shared" si="196"/>
        <v/>
      </c>
      <c r="RPK22" s="73" t="str">
        <f t="shared" si="196"/>
        <v/>
      </c>
      <c r="RPL22" s="73" t="str">
        <f t="shared" si="196"/>
        <v/>
      </c>
      <c r="RPM22" s="73" t="str">
        <f t="shared" si="196"/>
        <v/>
      </c>
      <c r="RPN22" s="73" t="str">
        <f t="shared" si="196"/>
        <v/>
      </c>
      <c r="RPO22" s="73" t="str">
        <f t="shared" si="196"/>
        <v/>
      </c>
      <c r="RPP22" s="73" t="str">
        <f t="shared" si="196"/>
        <v/>
      </c>
      <c r="RPQ22" s="73" t="str">
        <f t="shared" si="196"/>
        <v/>
      </c>
      <c r="RPR22" s="73" t="str">
        <f t="shared" si="196"/>
        <v/>
      </c>
      <c r="RPS22" s="73" t="str">
        <f t="shared" si="196"/>
        <v/>
      </c>
      <c r="RPT22" s="73" t="str">
        <f t="shared" si="196"/>
        <v/>
      </c>
      <c r="RPU22" s="73" t="str">
        <f t="shared" si="196"/>
        <v/>
      </c>
      <c r="RPV22" s="73" t="str">
        <f t="shared" si="196"/>
        <v/>
      </c>
      <c r="RPW22" s="73" t="str">
        <f t="shared" si="196"/>
        <v/>
      </c>
      <c r="RPX22" s="73" t="str">
        <f t="shared" si="196"/>
        <v/>
      </c>
      <c r="RPY22" s="73" t="str">
        <f t="shared" si="196"/>
        <v/>
      </c>
      <c r="RPZ22" s="73" t="str">
        <f t="shared" si="196"/>
        <v/>
      </c>
      <c r="RQA22" s="73" t="str">
        <f t="shared" si="196"/>
        <v/>
      </c>
      <c r="RQB22" s="73" t="str">
        <f t="shared" si="196"/>
        <v/>
      </c>
      <c r="RQC22" s="73" t="str">
        <f t="shared" si="196"/>
        <v/>
      </c>
      <c r="RQD22" s="73" t="str">
        <f t="shared" ref="RQD22:RSO22" si="197">IFERROR(AVERAGE(RQD6:RQD21),"")</f>
        <v/>
      </c>
      <c r="RQE22" s="73" t="str">
        <f t="shared" si="197"/>
        <v/>
      </c>
      <c r="RQF22" s="73" t="str">
        <f t="shared" si="197"/>
        <v/>
      </c>
      <c r="RQG22" s="73" t="str">
        <f t="shared" si="197"/>
        <v/>
      </c>
      <c r="RQH22" s="73" t="str">
        <f t="shared" si="197"/>
        <v/>
      </c>
      <c r="RQI22" s="73" t="str">
        <f t="shared" si="197"/>
        <v/>
      </c>
      <c r="RQJ22" s="73" t="str">
        <f t="shared" si="197"/>
        <v/>
      </c>
      <c r="RQK22" s="73" t="str">
        <f t="shared" si="197"/>
        <v/>
      </c>
      <c r="RQL22" s="73" t="str">
        <f t="shared" si="197"/>
        <v/>
      </c>
      <c r="RQM22" s="73" t="str">
        <f t="shared" si="197"/>
        <v/>
      </c>
      <c r="RQN22" s="73" t="str">
        <f t="shared" si="197"/>
        <v/>
      </c>
      <c r="RQO22" s="73" t="str">
        <f t="shared" si="197"/>
        <v/>
      </c>
      <c r="RQP22" s="73" t="str">
        <f t="shared" si="197"/>
        <v/>
      </c>
      <c r="RQQ22" s="73" t="str">
        <f t="shared" si="197"/>
        <v/>
      </c>
      <c r="RQR22" s="73" t="str">
        <f t="shared" si="197"/>
        <v/>
      </c>
      <c r="RQS22" s="73" t="str">
        <f t="shared" si="197"/>
        <v/>
      </c>
      <c r="RQT22" s="73" t="str">
        <f t="shared" si="197"/>
        <v/>
      </c>
      <c r="RQU22" s="73" t="str">
        <f t="shared" si="197"/>
        <v/>
      </c>
      <c r="RQV22" s="73" t="str">
        <f t="shared" si="197"/>
        <v/>
      </c>
      <c r="RQW22" s="73" t="str">
        <f t="shared" si="197"/>
        <v/>
      </c>
      <c r="RQX22" s="73" t="str">
        <f t="shared" si="197"/>
        <v/>
      </c>
      <c r="RQY22" s="73" t="str">
        <f t="shared" si="197"/>
        <v/>
      </c>
      <c r="RQZ22" s="73" t="str">
        <f t="shared" si="197"/>
        <v/>
      </c>
      <c r="RRA22" s="73" t="str">
        <f t="shared" si="197"/>
        <v/>
      </c>
      <c r="RRB22" s="73" t="str">
        <f t="shared" si="197"/>
        <v/>
      </c>
      <c r="RRC22" s="73" t="str">
        <f t="shared" si="197"/>
        <v/>
      </c>
      <c r="RRD22" s="73" t="str">
        <f t="shared" si="197"/>
        <v/>
      </c>
      <c r="RRE22" s="73" t="str">
        <f t="shared" si="197"/>
        <v/>
      </c>
      <c r="RRF22" s="73" t="str">
        <f t="shared" si="197"/>
        <v/>
      </c>
      <c r="RRG22" s="73" t="str">
        <f t="shared" si="197"/>
        <v/>
      </c>
      <c r="RRH22" s="73" t="str">
        <f t="shared" si="197"/>
        <v/>
      </c>
      <c r="RRI22" s="73" t="str">
        <f t="shared" si="197"/>
        <v/>
      </c>
      <c r="RRJ22" s="73" t="str">
        <f t="shared" si="197"/>
        <v/>
      </c>
      <c r="RRK22" s="73" t="str">
        <f t="shared" si="197"/>
        <v/>
      </c>
      <c r="RRL22" s="73" t="str">
        <f t="shared" si="197"/>
        <v/>
      </c>
      <c r="RRM22" s="73" t="str">
        <f t="shared" si="197"/>
        <v/>
      </c>
      <c r="RRN22" s="73" t="str">
        <f t="shared" si="197"/>
        <v/>
      </c>
      <c r="RRO22" s="73" t="str">
        <f t="shared" si="197"/>
        <v/>
      </c>
      <c r="RRP22" s="73" t="str">
        <f t="shared" si="197"/>
        <v/>
      </c>
      <c r="RRQ22" s="73" t="str">
        <f t="shared" si="197"/>
        <v/>
      </c>
      <c r="RRR22" s="73" t="str">
        <f t="shared" si="197"/>
        <v/>
      </c>
      <c r="RRS22" s="73" t="str">
        <f t="shared" si="197"/>
        <v/>
      </c>
      <c r="RRT22" s="73" t="str">
        <f t="shared" si="197"/>
        <v/>
      </c>
      <c r="RRU22" s="73" t="str">
        <f t="shared" si="197"/>
        <v/>
      </c>
      <c r="RRV22" s="73" t="str">
        <f t="shared" si="197"/>
        <v/>
      </c>
      <c r="RRW22" s="73" t="str">
        <f t="shared" si="197"/>
        <v/>
      </c>
      <c r="RRX22" s="73" t="str">
        <f t="shared" si="197"/>
        <v/>
      </c>
      <c r="RRY22" s="73" t="str">
        <f t="shared" si="197"/>
        <v/>
      </c>
      <c r="RRZ22" s="73" t="str">
        <f t="shared" si="197"/>
        <v/>
      </c>
      <c r="RSA22" s="73" t="str">
        <f t="shared" si="197"/>
        <v/>
      </c>
      <c r="RSB22" s="73" t="str">
        <f t="shared" si="197"/>
        <v/>
      </c>
      <c r="RSC22" s="73" t="str">
        <f t="shared" si="197"/>
        <v/>
      </c>
      <c r="RSD22" s="73" t="str">
        <f t="shared" si="197"/>
        <v/>
      </c>
      <c r="RSE22" s="73" t="str">
        <f t="shared" si="197"/>
        <v/>
      </c>
      <c r="RSF22" s="73" t="str">
        <f t="shared" si="197"/>
        <v/>
      </c>
      <c r="RSG22" s="73" t="str">
        <f t="shared" si="197"/>
        <v/>
      </c>
      <c r="RSH22" s="73" t="str">
        <f t="shared" si="197"/>
        <v/>
      </c>
      <c r="RSI22" s="73" t="str">
        <f t="shared" si="197"/>
        <v/>
      </c>
      <c r="RSJ22" s="73" t="str">
        <f t="shared" si="197"/>
        <v/>
      </c>
      <c r="RSK22" s="73" t="str">
        <f t="shared" si="197"/>
        <v/>
      </c>
      <c r="RSL22" s="73" t="str">
        <f t="shared" si="197"/>
        <v/>
      </c>
      <c r="RSM22" s="73" t="str">
        <f t="shared" si="197"/>
        <v/>
      </c>
      <c r="RSN22" s="73" t="str">
        <f t="shared" si="197"/>
        <v/>
      </c>
      <c r="RSO22" s="73" t="str">
        <f t="shared" si="197"/>
        <v/>
      </c>
      <c r="RSP22" s="73" t="str">
        <f t="shared" ref="RSP22:RVA22" si="198">IFERROR(AVERAGE(RSP6:RSP21),"")</f>
        <v/>
      </c>
      <c r="RSQ22" s="73" t="str">
        <f t="shared" si="198"/>
        <v/>
      </c>
      <c r="RSR22" s="73" t="str">
        <f t="shared" si="198"/>
        <v/>
      </c>
      <c r="RSS22" s="73" t="str">
        <f t="shared" si="198"/>
        <v/>
      </c>
      <c r="RST22" s="73" t="str">
        <f t="shared" si="198"/>
        <v/>
      </c>
      <c r="RSU22" s="73" t="str">
        <f t="shared" si="198"/>
        <v/>
      </c>
      <c r="RSV22" s="73" t="str">
        <f t="shared" si="198"/>
        <v/>
      </c>
      <c r="RSW22" s="73" t="str">
        <f t="shared" si="198"/>
        <v/>
      </c>
      <c r="RSX22" s="73" t="str">
        <f t="shared" si="198"/>
        <v/>
      </c>
      <c r="RSY22" s="73" t="str">
        <f t="shared" si="198"/>
        <v/>
      </c>
      <c r="RSZ22" s="73" t="str">
        <f t="shared" si="198"/>
        <v/>
      </c>
      <c r="RTA22" s="73" t="str">
        <f t="shared" si="198"/>
        <v/>
      </c>
      <c r="RTB22" s="73" t="str">
        <f t="shared" si="198"/>
        <v/>
      </c>
      <c r="RTC22" s="73" t="str">
        <f t="shared" si="198"/>
        <v/>
      </c>
      <c r="RTD22" s="73" t="str">
        <f t="shared" si="198"/>
        <v/>
      </c>
      <c r="RTE22" s="73" t="str">
        <f t="shared" si="198"/>
        <v/>
      </c>
      <c r="RTF22" s="73" t="str">
        <f t="shared" si="198"/>
        <v/>
      </c>
      <c r="RTG22" s="73" t="str">
        <f t="shared" si="198"/>
        <v/>
      </c>
      <c r="RTH22" s="73" t="str">
        <f t="shared" si="198"/>
        <v/>
      </c>
      <c r="RTI22" s="73" t="str">
        <f t="shared" si="198"/>
        <v/>
      </c>
      <c r="RTJ22" s="73" t="str">
        <f t="shared" si="198"/>
        <v/>
      </c>
      <c r="RTK22" s="73" t="str">
        <f t="shared" si="198"/>
        <v/>
      </c>
      <c r="RTL22" s="73" t="str">
        <f t="shared" si="198"/>
        <v/>
      </c>
      <c r="RTM22" s="73" t="str">
        <f t="shared" si="198"/>
        <v/>
      </c>
      <c r="RTN22" s="73" t="str">
        <f t="shared" si="198"/>
        <v/>
      </c>
      <c r="RTO22" s="73" t="str">
        <f t="shared" si="198"/>
        <v/>
      </c>
      <c r="RTP22" s="73" t="str">
        <f t="shared" si="198"/>
        <v/>
      </c>
      <c r="RTQ22" s="73" t="str">
        <f t="shared" si="198"/>
        <v/>
      </c>
      <c r="RTR22" s="73" t="str">
        <f t="shared" si="198"/>
        <v/>
      </c>
      <c r="RTS22" s="73" t="str">
        <f t="shared" si="198"/>
        <v/>
      </c>
      <c r="RTT22" s="73" t="str">
        <f t="shared" si="198"/>
        <v/>
      </c>
      <c r="RTU22" s="73" t="str">
        <f t="shared" si="198"/>
        <v/>
      </c>
      <c r="RTV22" s="73" t="str">
        <f t="shared" si="198"/>
        <v/>
      </c>
      <c r="RTW22" s="73" t="str">
        <f t="shared" si="198"/>
        <v/>
      </c>
      <c r="RTX22" s="73" t="str">
        <f t="shared" si="198"/>
        <v/>
      </c>
      <c r="RTY22" s="73" t="str">
        <f t="shared" si="198"/>
        <v/>
      </c>
      <c r="RTZ22" s="73" t="str">
        <f t="shared" si="198"/>
        <v/>
      </c>
      <c r="RUA22" s="73" t="str">
        <f t="shared" si="198"/>
        <v/>
      </c>
      <c r="RUB22" s="73" t="str">
        <f t="shared" si="198"/>
        <v/>
      </c>
      <c r="RUC22" s="73" t="str">
        <f t="shared" si="198"/>
        <v/>
      </c>
      <c r="RUD22" s="73" t="str">
        <f t="shared" si="198"/>
        <v/>
      </c>
      <c r="RUE22" s="73" t="str">
        <f t="shared" si="198"/>
        <v/>
      </c>
      <c r="RUF22" s="73" t="str">
        <f t="shared" si="198"/>
        <v/>
      </c>
      <c r="RUG22" s="73" t="str">
        <f t="shared" si="198"/>
        <v/>
      </c>
      <c r="RUH22" s="73" t="str">
        <f t="shared" si="198"/>
        <v/>
      </c>
      <c r="RUI22" s="73" t="str">
        <f t="shared" si="198"/>
        <v/>
      </c>
      <c r="RUJ22" s="73" t="str">
        <f t="shared" si="198"/>
        <v/>
      </c>
      <c r="RUK22" s="73" t="str">
        <f t="shared" si="198"/>
        <v/>
      </c>
      <c r="RUL22" s="73" t="str">
        <f t="shared" si="198"/>
        <v/>
      </c>
      <c r="RUM22" s="73" t="str">
        <f t="shared" si="198"/>
        <v/>
      </c>
      <c r="RUN22" s="73" t="str">
        <f t="shared" si="198"/>
        <v/>
      </c>
      <c r="RUO22" s="73" t="str">
        <f t="shared" si="198"/>
        <v/>
      </c>
      <c r="RUP22" s="73" t="str">
        <f t="shared" si="198"/>
        <v/>
      </c>
      <c r="RUQ22" s="73" t="str">
        <f t="shared" si="198"/>
        <v/>
      </c>
      <c r="RUR22" s="73" t="str">
        <f t="shared" si="198"/>
        <v/>
      </c>
      <c r="RUS22" s="73" t="str">
        <f t="shared" si="198"/>
        <v/>
      </c>
      <c r="RUT22" s="73" t="str">
        <f t="shared" si="198"/>
        <v/>
      </c>
      <c r="RUU22" s="73" t="str">
        <f t="shared" si="198"/>
        <v/>
      </c>
      <c r="RUV22" s="73" t="str">
        <f t="shared" si="198"/>
        <v/>
      </c>
      <c r="RUW22" s="73" t="str">
        <f t="shared" si="198"/>
        <v/>
      </c>
      <c r="RUX22" s="73" t="str">
        <f t="shared" si="198"/>
        <v/>
      </c>
      <c r="RUY22" s="73" t="str">
        <f t="shared" si="198"/>
        <v/>
      </c>
      <c r="RUZ22" s="73" t="str">
        <f t="shared" si="198"/>
        <v/>
      </c>
      <c r="RVA22" s="73" t="str">
        <f t="shared" si="198"/>
        <v/>
      </c>
      <c r="RVB22" s="73" t="str">
        <f t="shared" ref="RVB22:RXM22" si="199">IFERROR(AVERAGE(RVB6:RVB21),"")</f>
        <v/>
      </c>
      <c r="RVC22" s="73" t="str">
        <f t="shared" si="199"/>
        <v/>
      </c>
      <c r="RVD22" s="73" t="str">
        <f t="shared" si="199"/>
        <v/>
      </c>
      <c r="RVE22" s="73" t="str">
        <f t="shared" si="199"/>
        <v/>
      </c>
      <c r="RVF22" s="73" t="str">
        <f t="shared" si="199"/>
        <v/>
      </c>
      <c r="RVG22" s="73" t="str">
        <f t="shared" si="199"/>
        <v/>
      </c>
      <c r="RVH22" s="73" t="str">
        <f t="shared" si="199"/>
        <v/>
      </c>
      <c r="RVI22" s="73" t="str">
        <f t="shared" si="199"/>
        <v/>
      </c>
      <c r="RVJ22" s="73" t="str">
        <f t="shared" si="199"/>
        <v/>
      </c>
      <c r="RVK22" s="73" t="str">
        <f t="shared" si="199"/>
        <v/>
      </c>
      <c r="RVL22" s="73" t="str">
        <f t="shared" si="199"/>
        <v/>
      </c>
      <c r="RVM22" s="73" t="str">
        <f t="shared" si="199"/>
        <v/>
      </c>
      <c r="RVN22" s="73" t="str">
        <f t="shared" si="199"/>
        <v/>
      </c>
      <c r="RVO22" s="73" t="str">
        <f t="shared" si="199"/>
        <v/>
      </c>
      <c r="RVP22" s="73" t="str">
        <f t="shared" si="199"/>
        <v/>
      </c>
      <c r="RVQ22" s="73" t="str">
        <f t="shared" si="199"/>
        <v/>
      </c>
      <c r="RVR22" s="73" t="str">
        <f t="shared" si="199"/>
        <v/>
      </c>
      <c r="RVS22" s="73" t="str">
        <f t="shared" si="199"/>
        <v/>
      </c>
      <c r="RVT22" s="73" t="str">
        <f t="shared" si="199"/>
        <v/>
      </c>
      <c r="RVU22" s="73" t="str">
        <f t="shared" si="199"/>
        <v/>
      </c>
      <c r="RVV22" s="73" t="str">
        <f t="shared" si="199"/>
        <v/>
      </c>
      <c r="RVW22" s="73" t="str">
        <f t="shared" si="199"/>
        <v/>
      </c>
      <c r="RVX22" s="73" t="str">
        <f t="shared" si="199"/>
        <v/>
      </c>
      <c r="RVY22" s="73" t="str">
        <f t="shared" si="199"/>
        <v/>
      </c>
      <c r="RVZ22" s="73" t="str">
        <f t="shared" si="199"/>
        <v/>
      </c>
      <c r="RWA22" s="73" t="str">
        <f t="shared" si="199"/>
        <v/>
      </c>
      <c r="RWB22" s="73" t="str">
        <f t="shared" si="199"/>
        <v/>
      </c>
      <c r="RWC22" s="73" t="str">
        <f t="shared" si="199"/>
        <v/>
      </c>
      <c r="RWD22" s="73" t="str">
        <f t="shared" si="199"/>
        <v/>
      </c>
      <c r="RWE22" s="73" t="str">
        <f t="shared" si="199"/>
        <v/>
      </c>
      <c r="RWF22" s="73" t="str">
        <f t="shared" si="199"/>
        <v/>
      </c>
      <c r="RWG22" s="73" t="str">
        <f t="shared" si="199"/>
        <v/>
      </c>
      <c r="RWH22" s="73" t="str">
        <f t="shared" si="199"/>
        <v/>
      </c>
      <c r="RWI22" s="73" t="str">
        <f t="shared" si="199"/>
        <v/>
      </c>
      <c r="RWJ22" s="73" t="str">
        <f t="shared" si="199"/>
        <v/>
      </c>
      <c r="RWK22" s="73" t="str">
        <f t="shared" si="199"/>
        <v/>
      </c>
      <c r="RWL22" s="73" t="str">
        <f t="shared" si="199"/>
        <v/>
      </c>
      <c r="RWM22" s="73" t="str">
        <f t="shared" si="199"/>
        <v/>
      </c>
      <c r="RWN22" s="73" t="str">
        <f t="shared" si="199"/>
        <v/>
      </c>
      <c r="RWO22" s="73" t="str">
        <f t="shared" si="199"/>
        <v/>
      </c>
      <c r="RWP22" s="73" t="str">
        <f t="shared" si="199"/>
        <v/>
      </c>
      <c r="RWQ22" s="73" t="str">
        <f t="shared" si="199"/>
        <v/>
      </c>
      <c r="RWR22" s="73" t="str">
        <f t="shared" si="199"/>
        <v/>
      </c>
      <c r="RWS22" s="73" t="str">
        <f t="shared" si="199"/>
        <v/>
      </c>
      <c r="RWT22" s="73" t="str">
        <f t="shared" si="199"/>
        <v/>
      </c>
      <c r="RWU22" s="73" t="str">
        <f t="shared" si="199"/>
        <v/>
      </c>
      <c r="RWV22" s="73" t="str">
        <f t="shared" si="199"/>
        <v/>
      </c>
      <c r="RWW22" s="73" t="str">
        <f t="shared" si="199"/>
        <v/>
      </c>
      <c r="RWX22" s="73" t="str">
        <f t="shared" si="199"/>
        <v/>
      </c>
      <c r="RWY22" s="73" t="str">
        <f t="shared" si="199"/>
        <v/>
      </c>
      <c r="RWZ22" s="73" t="str">
        <f t="shared" si="199"/>
        <v/>
      </c>
      <c r="RXA22" s="73" t="str">
        <f t="shared" si="199"/>
        <v/>
      </c>
      <c r="RXB22" s="73" t="str">
        <f t="shared" si="199"/>
        <v/>
      </c>
      <c r="RXC22" s="73" t="str">
        <f t="shared" si="199"/>
        <v/>
      </c>
      <c r="RXD22" s="73" t="str">
        <f t="shared" si="199"/>
        <v/>
      </c>
      <c r="RXE22" s="73" t="str">
        <f t="shared" si="199"/>
        <v/>
      </c>
      <c r="RXF22" s="73" t="str">
        <f t="shared" si="199"/>
        <v/>
      </c>
      <c r="RXG22" s="73" t="str">
        <f t="shared" si="199"/>
        <v/>
      </c>
      <c r="RXH22" s="73" t="str">
        <f t="shared" si="199"/>
        <v/>
      </c>
      <c r="RXI22" s="73" t="str">
        <f t="shared" si="199"/>
        <v/>
      </c>
      <c r="RXJ22" s="73" t="str">
        <f t="shared" si="199"/>
        <v/>
      </c>
      <c r="RXK22" s="73" t="str">
        <f t="shared" si="199"/>
        <v/>
      </c>
      <c r="RXL22" s="73" t="str">
        <f t="shared" si="199"/>
        <v/>
      </c>
      <c r="RXM22" s="73" t="str">
        <f t="shared" si="199"/>
        <v/>
      </c>
      <c r="RXN22" s="73" t="str">
        <f t="shared" ref="RXN22:RZY22" si="200">IFERROR(AVERAGE(RXN6:RXN21),"")</f>
        <v/>
      </c>
      <c r="RXO22" s="73" t="str">
        <f t="shared" si="200"/>
        <v/>
      </c>
      <c r="RXP22" s="73" t="str">
        <f t="shared" si="200"/>
        <v/>
      </c>
      <c r="RXQ22" s="73" t="str">
        <f t="shared" si="200"/>
        <v/>
      </c>
      <c r="RXR22" s="73" t="str">
        <f t="shared" si="200"/>
        <v/>
      </c>
      <c r="RXS22" s="73" t="str">
        <f t="shared" si="200"/>
        <v/>
      </c>
      <c r="RXT22" s="73" t="str">
        <f t="shared" si="200"/>
        <v/>
      </c>
      <c r="RXU22" s="73" t="str">
        <f t="shared" si="200"/>
        <v/>
      </c>
      <c r="RXV22" s="73" t="str">
        <f t="shared" si="200"/>
        <v/>
      </c>
      <c r="RXW22" s="73" t="str">
        <f t="shared" si="200"/>
        <v/>
      </c>
      <c r="RXX22" s="73" t="str">
        <f t="shared" si="200"/>
        <v/>
      </c>
      <c r="RXY22" s="73" t="str">
        <f t="shared" si="200"/>
        <v/>
      </c>
      <c r="RXZ22" s="73" t="str">
        <f t="shared" si="200"/>
        <v/>
      </c>
      <c r="RYA22" s="73" t="str">
        <f t="shared" si="200"/>
        <v/>
      </c>
      <c r="RYB22" s="73" t="str">
        <f t="shared" si="200"/>
        <v/>
      </c>
      <c r="RYC22" s="73" t="str">
        <f t="shared" si="200"/>
        <v/>
      </c>
      <c r="RYD22" s="73" t="str">
        <f t="shared" si="200"/>
        <v/>
      </c>
      <c r="RYE22" s="73" t="str">
        <f t="shared" si="200"/>
        <v/>
      </c>
      <c r="RYF22" s="73" t="str">
        <f t="shared" si="200"/>
        <v/>
      </c>
      <c r="RYG22" s="73" t="str">
        <f t="shared" si="200"/>
        <v/>
      </c>
      <c r="RYH22" s="73" t="str">
        <f t="shared" si="200"/>
        <v/>
      </c>
      <c r="RYI22" s="73" t="str">
        <f t="shared" si="200"/>
        <v/>
      </c>
      <c r="RYJ22" s="73" t="str">
        <f t="shared" si="200"/>
        <v/>
      </c>
      <c r="RYK22" s="73" t="str">
        <f t="shared" si="200"/>
        <v/>
      </c>
      <c r="RYL22" s="73" t="str">
        <f t="shared" si="200"/>
        <v/>
      </c>
      <c r="RYM22" s="73" t="str">
        <f t="shared" si="200"/>
        <v/>
      </c>
      <c r="RYN22" s="73" t="str">
        <f t="shared" si="200"/>
        <v/>
      </c>
      <c r="RYO22" s="73" t="str">
        <f t="shared" si="200"/>
        <v/>
      </c>
      <c r="RYP22" s="73" t="str">
        <f t="shared" si="200"/>
        <v/>
      </c>
      <c r="RYQ22" s="73" t="str">
        <f t="shared" si="200"/>
        <v/>
      </c>
      <c r="RYR22" s="73" t="str">
        <f t="shared" si="200"/>
        <v/>
      </c>
      <c r="RYS22" s="73" t="str">
        <f t="shared" si="200"/>
        <v/>
      </c>
      <c r="RYT22" s="73" t="str">
        <f t="shared" si="200"/>
        <v/>
      </c>
      <c r="RYU22" s="73" t="str">
        <f t="shared" si="200"/>
        <v/>
      </c>
      <c r="RYV22" s="73" t="str">
        <f t="shared" si="200"/>
        <v/>
      </c>
      <c r="RYW22" s="73" t="str">
        <f t="shared" si="200"/>
        <v/>
      </c>
      <c r="RYX22" s="73" t="str">
        <f t="shared" si="200"/>
        <v/>
      </c>
      <c r="RYY22" s="73" t="str">
        <f t="shared" si="200"/>
        <v/>
      </c>
      <c r="RYZ22" s="73" t="str">
        <f t="shared" si="200"/>
        <v/>
      </c>
      <c r="RZA22" s="73" t="str">
        <f t="shared" si="200"/>
        <v/>
      </c>
      <c r="RZB22" s="73" t="str">
        <f t="shared" si="200"/>
        <v/>
      </c>
      <c r="RZC22" s="73" t="str">
        <f t="shared" si="200"/>
        <v/>
      </c>
      <c r="RZD22" s="73" t="str">
        <f t="shared" si="200"/>
        <v/>
      </c>
      <c r="RZE22" s="73" t="str">
        <f t="shared" si="200"/>
        <v/>
      </c>
      <c r="RZF22" s="73" t="str">
        <f t="shared" si="200"/>
        <v/>
      </c>
      <c r="RZG22" s="73" t="str">
        <f t="shared" si="200"/>
        <v/>
      </c>
      <c r="RZH22" s="73" t="str">
        <f t="shared" si="200"/>
        <v/>
      </c>
      <c r="RZI22" s="73" t="str">
        <f t="shared" si="200"/>
        <v/>
      </c>
      <c r="RZJ22" s="73" t="str">
        <f t="shared" si="200"/>
        <v/>
      </c>
      <c r="RZK22" s="73" t="str">
        <f t="shared" si="200"/>
        <v/>
      </c>
      <c r="RZL22" s="73" t="str">
        <f t="shared" si="200"/>
        <v/>
      </c>
      <c r="RZM22" s="73" t="str">
        <f t="shared" si="200"/>
        <v/>
      </c>
      <c r="RZN22" s="73" t="str">
        <f t="shared" si="200"/>
        <v/>
      </c>
      <c r="RZO22" s="73" t="str">
        <f t="shared" si="200"/>
        <v/>
      </c>
      <c r="RZP22" s="73" t="str">
        <f t="shared" si="200"/>
        <v/>
      </c>
      <c r="RZQ22" s="73" t="str">
        <f t="shared" si="200"/>
        <v/>
      </c>
      <c r="RZR22" s="73" t="str">
        <f t="shared" si="200"/>
        <v/>
      </c>
      <c r="RZS22" s="73" t="str">
        <f t="shared" si="200"/>
        <v/>
      </c>
      <c r="RZT22" s="73" t="str">
        <f t="shared" si="200"/>
        <v/>
      </c>
      <c r="RZU22" s="73" t="str">
        <f t="shared" si="200"/>
        <v/>
      </c>
      <c r="RZV22" s="73" t="str">
        <f t="shared" si="200"/>
        <v/>
      </c>
      <c r="RZW22" s="73" t="str">
        <f t="shared" si="200"/>
        <v/>
      </c>
      <c r="RZX22" s="73" t="str">
        <f t="shared" si="200"/>
        <v/>
      </c>
      <c r="RZY22" s="73" t="str">
        <f t="shared" si="200"/>
        <v/>
      </c>
      <c r="RZZ22" s="73" t="str">
        <f t="shared" ref="RZZ22:SCK22" si="201">IFERROR(AVERAGE(RZZ6:RZZ21),"")</f>
        <v/>
      </c>
      <c r="SAA22" s="73" t="str">
        <f t="shared" si="201"/>
        <v/>
      </c>
      <c r="SAB22" s="73" t="str">
        <f t="shared" si="201"/>
        <v/>
      </c>
      <c r="SAC22" s="73" t="str">
        <f t="shared" si="201"/>
        <v/>
      </c>
      <c r="SAD22" s="73" t="str">
        <f t="shared" si="201"/>
        <v/>
      </c>
      <c r="SAE22" s="73" t="str">
        <f t="shared" si="201"/>
        <v/>
      </c>
      <c r="SAF22" s="73" t="str">
        <f t="shared" si="201"/>
        <v/>
      </c>
      <c r="SAG22" s="73" t="str">
        <f t="shared" si="201"/>
        <v/>
      </c>
      <c r="SAH22" s="73" t="str">
        <f t="shared" si="201"/>
        <v/>
      </c>
      <c r="SAI22" s="73" t="str">
        <f t="shared" si="201"/>
        <v/>
      </c>
      <c r="SAJ22" s="73" t="str">
        <f t="shared" si="201"/>
        <v/>
      </c>
      <c r="SAK22" s="73" t="str">
        <f t="shared" si="201"/>
        <v/>
      </c>
      <c r="SAL22" s="73" t="str">
        <f t="shared" si="201"/>
        <v/>
      </c>
      <c r="SAM22" s="73" t="str">
        <f t="shared" si="201"/>
        <v/>
      </c>
      <c r="SAN22" s="73" t="str">
        <f t="shared" si="201"/>
        <v/>
      </c>
      <c r="SAO22" s="73" t="str">
        <f t="shared" si="201"/>
        <v/>
      </c>
      <c r="SAP22" s="73" t="str">
        <f t="shared" si="201"/>
        <v/>
      </c>
      <c r="SAQ22" s="73" t="str">
        <f t="shared" si="201"/>
        <v/>
      </c>
      <c r="SAR22" s="73" t="str">
        <f t="shared" si="201"/>
        <v/>
      </c>
      <c r="SAS22" s="73" t="str">
        <f t="shared" si="201"/>
        <v/>
      </c>
      <c r="SAT22" s="73" t="str">
        <f t="shared" si="201"/>
        <v/>
      </c>
      <c r="SAU22" s="73" t="str">
        <f t="shared" si="201"/>
        <v/>
      </c>
      <c r="SAV22" s="73" t="str">
        <f t="shared" si="201"/>
        <v/>
      </c>
      <c r="SAW22" s="73" t="str">
        <f t="shared" si="201"/>
        <v/>
      </c>
      <c r="SAX22" s="73" t="str">
        <f t="shared" si="201"/>
        <v/>
      </c>
      <c r="SAY22" s="73" t="str">
        <f t="shared" si="201"/>
        <v/>
      </c>
      <c r="SAZ22" s="73" t="str">
        <f t="shared" si="201"/>
        <v/>
      </c>
      <c r="SBA22" s="73" t="str">
        <f t="shared" si="201"/>
        <v/>
      </c>
      <c r="SBB22" s="73" t="str">
        <f t="shared" si="201"/>
        <v/>
      </c>
      <c r="SBC22" s="73" t="str">
        <f t="shared" si="201"/>
        <v/>
      </c>
      <c r="SBD22" s="73" t="str">
        <f t="shared" si="201"/>
        <v/>
      </c>
      <c r="SBE22" s="73" t="str">
        <f t="shared" si="201"/>
        <v/>
      </c>
      <c r="SBF22" s="73" t="str">
        <f t="shared" si="201"/>
        <v/>
      </c>
      <c r="SBG22" s="73" t="str">
        <f t="shared" si="201"/>
        <v/>
      </c>
      <c r="SBH22" s="73" t="str">
        <f t="shared" si="201"/>
        <v/>
      </c>
      <c r="SBI22" s="73" t="str">
        <f t="shared" si="201"/>
        <v/>
      </c>
      <c r="SBJ22" s="73" t="str">
        <f t="shared" si="201"/>
        <v/>
      </c>
      <c r="SBK22" s="73" t="str">
        <f t="shared" si="201"/>
        <v/>
      </c>
      <c r="SBL22" s="73" t="str">
        <f t="shared" si="201"/>
        <v/>
      </c>
      <c r="SBM22" s="73" t="str">
        <f t="shared" si="201"/>
        <v/>
      </c>
      <c r="SBN22" s="73" t="str">
        <f t="shared" si="201"/>
        <v/>
      </c>
      <c r="SBO22" s="73" t="str">
        <f t="shared" si="201"/>
        <v/>
      </c>
      <c r="SBP22" s="73" t="str">
        <f t="shared" si="201"/>
        <v/>
      </c>
      <c r="SBQ22" s="73" t="str">
        <f t="shared" si="201"/>
        <v/>
      </c>
      <c r="SBR22" s="73" t="str">
        <f t="shared" si="201"/>
        <v/>
      </c>
      <c r="SBS22" s="73" t="str">
        <f t="shared" si="201"/>
        <v/>
      </c>
      <c r="SBT22" s="73" t="str">
        <f t="shared" si="201"/>
        <v/>
      </c>
      <c r="SBU22" s="73" t="str">
        <f t="shared" si="201"/>
        <v/>
      </c>
      <c r="SBV22" s="73" t="str">
        <f t="shared" si="201"/>
        <v/>
      </c>
      <c r="SBW22" s="73" t="str">
        <f t="shared" si="201"/>
        <v/>
      </c>
      <c r="SBX22" s="73" t="str">
        <f t="shared" si="201"/>
        <v/>
      </c>
      <c r="SBY22" s="73" t="str">
        <f t="shared" si="201"/>
        <v/>
      </c>
      <c r="SBZ22" s="73" t="str">
        <f t="shared" si="201"/>
        <v/>
      </c>
      <c r="SCA22" s="73" t="str">
        <f t="shared" si="201"/>
        <v/>
      </c>
      <c r="SCB22" s="73" t="str">
        <f t="shared" si="201"/>
        <v/>
      </c>
      <c r="SCC22" s="73" t="str">
        <f t="shared" si="201"/>
        <v/>
      </c>
      <c r="SCD22" s="73" t="str">
        <f t="shared" si="201"/>
        <v/>
      </c>
      <c r="SCE22" s="73" t="str">
        <f t="shared" si="201"/>
        <v/>
      </c>
      <c r="SCF22" s="73" t="str">
        <f t="shared" si="201"/>
        <v/>
      </c>
      <c r="SCG22" s="73" t="str">
        <f t="shared" si="201"/>
        <v/>
      </c>
      <c r="SCH22" s="73" t="str">
        <f t="shared" si="201"/>
        <v/>
      </c>
      <c r="SCI22" s="73" t="str">
        <f t="shared" si="201"/>
        <v/>
      </c>
      <c r="SCJ22" s="73" t="str">
        <f t="shared" si="201"/>
        <v/>
      </c>
      <c r="SCK22" s="73" t="str">
        <f t="shared" si="201"/>
        <v/>
      </c>
      <c r="SCL22" s="73" t="str">
        <f t="shared" ref="SCL22:SEW22" si="202">IFERROR(AVERAGE(SCL6:SCL21),"")</f>
        <v/>
      </c>
      <c r="SCM22" s="73" t="str">
        <f t="shared" si="202"/>
        <v/>
      </c>
      <c r="SCN22" s="73" t="str">
        <f t="shared" si="202"/>
        <v/>
      </c>
      <c r="SCO22" s="73" t="str">
        <f t="shared" si="202"/>
        <v/>
      </c>
      <c r="SCP22" s="73" t="str">
        <f t="shared" si="202"/>
        <v/>
      </c>
      <c r="SCQ22" s="73" t="str">
        <f t="shared" si="202"/>
        <v/>
      </c>
      <c r="SCR22" s="73" t="str">
        <f t="shared" si="202"/>
        <v/>
      </c>
      <c r="SCS22" s="73" t="str">
        <f t="shared" si="202"/>
        <v/>
      </c>
      <c r="SCT22" s="73" t="str">
        <f t="shared" si="202"/>
        <v/>
      </c>
      <c r="SCU22" s="73" t="str">
        <f t="shared" si="202"/>
        <v/>
      </c>
      <c r="SCV22" s="73" t="str">
        <f t="shared" si="202"/>
        <v/>
      </c>
      <c r="SCW22" s="73" t="str">
        <f t="shared" si="202"/>
        <v/>
      </c>
      <c r="SCX22" s="73" t="str">
        <f t="shared" si="202"/>
        <v/>
      </c>
      <c r="SCY22" s="73" t="str">
        <f t="shared" si="202"/>
        <v/>
      </c>
      <c r="SCZ22" s="73" t="str">
        <f t="shared" si="202"/>
        <v/>
      </c>
      <c r="SDA22" s="73" t="str">
        <f t="shared" si="202"/>
        <v/>
      </c>
      <c r="SDB22" s="73" t="str">
        <f t="shared" si="202"/>
        <v/>
      </c>
      <c r="SDC22" s="73" t="str">
        <f t="shared" si="202"/>
        <v/>
      </c>
      <c r="SDD22" s="73" t="str">
        <f t="shared" si="202"/>
        <v/>
      </c>
      <c r="SDE22" s="73" t="str">
        <f t="shared" si="202"/>
        <v/>
      </c>
      <c r="SDF22" s="73" t="str">
        <f t="shared" si="202"/>
        <v/>
      </c>
      <c r="SDG22" s="73" t="str">
        <f t="shared" si="202"/>
        <v/>
      </c>
      <c r="SDH22" s="73" t="str">
        <f t="shared" si="202"/>
        <v/>
      </c>
      <c r="SDI22" s="73" t="str">
        <f t="shared" si="202"/>
        <v/>
      </c>
      <c r="SDJ22" s="73" t="str">
        <f t="shared" si="202"/>
        <v/>
      </c>
      <c r="SDK22" s="73" t="str">
        <f t="shared" si="202"/>
        <v/>
      </c>
      <c r="SDL22" s="73" t="str">
        <f t="shared" si="202"/>
        <v/>
      </c>
      <c r="SDM22" s="73" t="str">
        <f t="shared" si="202"/>
        <v/>
      </c>
      <c r="SDN22" s="73" t="str">
        <f t="shared" si="202"/>
        <v/>
      </c>
      <c r="SDO22" s="73" t="str">
        <f t="shared" si="202"/>
        <v/>
      </c>
      <c r="SDP22" s="73" t="str">
        <f t="shared" si="202"/>
        <v/>
      </c>
      <c r="SDQ22" s="73" t="str">
        <f t="shared" si="202"/>
        <v/>
      </c>
      <c r="SDR22" s="73" t="str">
        <f t="shared" si="202"/>
        <v/>
      </c>
      <c r="SDS22" s="73" t="str">
        <f t="shared" si="202"/>
        <v/>
      </c>
      <c r="SDT22" s="73" t="str">
        <f t="shared" si="202"/>
        <v/>
      </c>
      <c r="SDU22" s="73" t="str">
        <f t="shared" si="202"/>
        <v/>
      </c>
      <c r="SDV22" s="73" t="str">
        <f t="shared" si="202"/>
        <v/>
      </c>
      <c r="SDW22" s="73" t="str">
        <f t="shared" si="202"/>
        <v/>
      </c>
      <c r="SDX22" s="73" t="str">
        <f t="shared" si="202"/>
        <v/>
      </c>
      <c r="SDY22" s="73" t="str">
        <f t="shared" si="202"/>
        <v/>
      </c>
      <c r="SDZ22" s="73" t="str">
        <f t="shared" si="202"/>
        <v/>
      </c>
      <c r="SEA22" s="73" t="str">
        <f t="shared" si="202"/>
        <v/>
      </c>
      <c r="SEB22" s="73" t="str">
        <f t="shared" si="202"/>
        <v/>
      </c>
      <c r="SEC22" s="73" t="str">
        <f t="shared" si="202"/>
        <v/>
      </c>
      <c r="SED22" s="73" t="str">
        <f t="shared" si="202"/>
        <v/>
      </c>
      <c r="SEE22" s="73" t="str">
        <f t="shared" si="202"/>
        <v/>
      </c>
      <c r="SEF22" s="73" t="str">
        <f t="shared" si="202"/>
        <v/>
      </c>
      <c r="SEG22" s="73" t="str">
        <f t="shared" si="202"/>
        <v/>
      </c>
      <c r="SEH22" s="73" t="str">
        <f t="shared" si="202"/>
        <v/>
      </c>
      <c r="SEI22" s="73" t="str">
        <f t="shared" si="202"/>
        <v/>
      </c>
      <c r="SEJ22" s="73" t="str">
        <f t="shared" si="202"/>
        <v/>
      </c>
      <c r="SEK22" s="73" t="str">
        <f t="shared" si="202"/>
        <v/>
      </c>
      <c r="SEL22" s="73" t="str">
        <f t="shared" si="202"/>
        <v/>
      </c>
      <c r="SEM22" s="73" t="str">
        <f t="shared" si="202"/>
        <v/>
      </c>
      <c r="SEN22" s="73" t="str">
        <f t="shared" si="202"/>
        <v/>
      </c>
      <c r="SEO22" s="73" t="str">
        <f t="shared" si="202"/>
        <v/>
      </c>
      <c r="SEP22" s="73" t="str">
        <f t="shared" si="202"/>
        <v/>
      </c>
      <c r="SEQ22" s="73" t="str">
        <f t="shared" si="202"/>
        <v/>
      </c>
      <c r="SER22" s="73" t="str">
        <f t="shared" si="202"/>
        <v/>
      </c>
      <c r="SES22" s="73" t="str">
        <f t="shared" si="202"/>
        <v/>
      </c>
      <c r="SET22" s="73" t="str">
        <f t="shared" si="202"/>
        <v/>
      </c>
      <c r="SEU22" s="73" t="str">
        <f t="shared" si="202"/>
        <v/>
      </c>
      <c r="SEV22" s="73" t="str">
        <f t="shared" si="202"/>
        <v/>
      </c>
      <c r="SEW22" s="73" t="str">
        <f t="shared" si="202"/>
        <v/>
      </c>
      <c r="SEX22" s="73" t="str">
        <f t="shared" ref="SEX22:SHI22" si="203">IFERROR(AVERAGE(SEX6:SEX21),"")</f>
        <v/>
      </c>
      <c r="SEY22" s="73" t="str">
        <f t="shared" si="203"/>
        <v/>
      </c>
      <c r="SEZ22" s="73" t="str">
        <f t="shared" si="203"/>
        <v/>
      </c>
      <c r="SFA22" s="73" t="str">
        <f t="shared" si="203"/>
        <v/>
      </c>
      <c r="SFB22" s="73" t="str">
        <f t="shared" si="203"/>
        <v/>
      </c>
      <c r="SFC22" s="73" t="str">
        <f t="shared" si="203"/>
        <v/>
      </c>
      <c r="SFD22" s="73" t="str">
        <f t="shared" si="203"/>
        <v/>
      </c>
      <c r="SFE22" s="73" t="str">
        <f t="shared" si="203"/>
        <v/>
      </c>
      <c r="SFF22" s="73" t="str">
        <f t="shared" si="203"/>
        <v/>
      </c>
      <c r="SFG22" s="73" t="str">
        <f t="shared" si="203"/>
        <v/>
      </c>
      <c r="SFH22" s="73" t="str">
        <f t="shared" si="203"/>
        <v/>
      </c>
      <c r="SFI22" s="73" t="str">
        <f t="shared" si="203"/>
        <v/>
      </c>
      <c r="SFJ22" s="73" t="str">
        <f t="shared" si="203"/>
        <v/>
      </c>
      <c r="SFK22" s="73" t="str">
        <f t="shared" si="203"/>
        <v/>
      </c>
      <c r="SFL22" s="73" t="str">
        <f t="shared" si="203"/>
        <v/>
      </c>
      <c r="SFM22" s="73" t="str">
        <f t="shared" si="203"/>
        <v/>
      </c>
      <c r="SFN22" s="73" t="str">
        <f t="shared" si="203"/>
        <v/>
      </c>
      <c r="SFO22" s="73" t="str">
        <f t="shared" si="203"/>
        <v/>
      </c>
      <c r="SFP22" s="73" t="str">
        <f t="shared" si="203"/>
        <v/>
      </c>
      <c r="SFQ22" s="73" t="str">
        <f t="shared" si="203"/>
        <v/>
      </c>
      <c r="SFR22" s="73" t="str">
        <f t="shared" si="203"/>
        <v/>
      </c>
      <c r="SFS22" s="73" t="str">
        <f t="shared" si="203"/>
        <v/>
      </c>
      <c r="SFT22" s="73" t="str">
        <f t="shared" si="203"/>
        <v/>
      </c>
      <c r="SFU22" s="73" t="str">
        <f t="shared" si="203"/>
        <v/>
      </c>
      <c r="SFV22" s="73" t="str">
        <f t="shared" si="203"/>
        <v/>
      </c>
      <c r="SFW22" s="73" t="str">
        <f t="shared" si="203"/>
        <v/>
      </c>
      <c r="SFX22" s="73" t="str">
        <f t="shared" si="203"/>
        <v/>
      </c>
      <c r="SFY22" s="73" t="str">
        <f t="shared" si="203"/>
        <v/>
      </c>
      <c r="SFZ22" s="73" t="str">
        <f t="shared" si="203"/>
        <v/>
      </c>
      <c r="SGA22" s="73" t="str">
        <f t="shared" si="203"/>
        <v/>
      </c>
      <c r="SGB22" s="73" t="str">
        <f t="shared" si="203"/>
        <v/>
      </c>
      <c r="SGC22" s="73" t="str">
        <f t="shared" si="203"/>
        <v/>
      </c>
      <c r="SGD22" s="73" t="str">
        <f t="shared" si="203"/>
        <v/>
      </c>
      <c r="SGE22" s="73" t="str">
        <f t="shared" si="203"/>
        <v/>
      </c>
      <c r="SGF22" s="73" t="str">
        <f t="shared" si="203"/>
        <v/>
      </c>
      <c r="SGG22" s="73" t="str">
        <f t="shared" si="203"/>
        <v/>
      </c>
      <c r="SGH22" s="73" t="str">
        <f t="shared" si="203"/>
        <v/>
      </c>
      <c r="SGI22" s="73" t="str">
        <f t="shared" si="203"/>
        <v/>
      </c>
      <c r="SGJ22" s="73" t="str">
        <f t="shared" si="203"/>
        <v/>
      </c>
      <c r="SGK22" s="73" t="str">
        <f t="shared" si="203"/>
        <v/>
      </c>
      <c r="SGL22" s="73" t="str">
        <f t="shared" si="203"/>
        <v/>
      </c>
      <c r="SGM22" s="73" t="str">
        <f t="shared" si="203"/>
        <v/>
      </c>
      <c r="SGN22" s="73" t="str">
        <f t="shared" si="203"/>
        <v/>
      </c>
      <c r="SGO22" s="73" t="str">
        <f t="shared" si="203"/>
        <v/>
      </c>
      <c r="SGP22" s="73" t="str">
        <f t="shared" si="203"/>
        <v/>
      </c>
      <c r="SGQ22" s="73" t="str">
        <f t="shared" si="203"/>
        <v/>
      </c>
      <c r="SGR22" s="73" t="str">
        <f t="shared" si="203"/>
        <v/>
      </c>
      <c r="SGS22" s="73" t="str">
        <f t="shared" si="203"/>
        <v/>
      </c>
      <c r="SGT22" s="73" t="str">
        <f t="shared" si="203"/>
        <v/>
      </c>
      <c r="SGU22" s="73" t="str">
        <f t="shared" si="203"/>
        <v/>
      </c>
      <c r="SGV22" s="73" t="str">
        <f t="shared" si="203"/>
        <v/>
      </c>
      <c r="SGW22" s="73" t="str">
        <f t="shared" si="203"/>
        <v/>
      </c>
      <c r="SGX22" s="73" t="str">
        <f t="shared" si="203"/>
        <v/>
      </c>
      <c r="SGY22" s="73" t="str">
        <f t="shared" si="203"/>
        <v/>
      </c>
      <c r="SGZ22" s="73" t="str">
        <f t="shared" si="203"/>
        <v/>
      </c>
      <c r="SHA22" s="73" t="str">
        <f t="shared" si="203"/>
        <v/>
      </c>
      <c r="SHB22" s="73" t="str">
        <f t="shared" si="203"/>
        <v/>
      </c>
      <c r="SHC22" s="73" t="str">
        <f t="shared" si="203"/>
        <v/>
      </c>
      <c r="SHD22" s="73" t="str">
        <f t="shared" si="203"/>
        <v/>
      </c>
      <c r="SHE22" s="73" t="str">
        <f t="shared" si="203"/>
        <v/>
      </c>
      <c r="SHF22" s="73" t="str">
        <f t="shared" si="203"/>
        <v/>
      </c>
      <c r="SHG22" s="73" t="str">
        <f t="shared" si="203"/>
        <v/>
      </c>
      <c r="SHH22" s="73" t="str">
        <f t="shared" si="203"/>
        <v/>
      </c>
      <c r="SHI22" s="73" t="str">
        <f t="shared" si="203"/>
        <v/>
      </c>
      <c r="SHJ22" s="73" t="str">
        <f t="shared" ref="SHJ22:SJU22" si="204">IFERROR(AVERAGE(SHJ6:SHJ21),"")</f>
        <v/>
      </c>
      <c r="SHK22" s="73" t="str">
        <f t="shared" si="204"/>
        <v/>
      </c>
      <c r="SHL22" s="73" t="str">
        <f t="shared" si="204"/>
        <v/>
      </c>
      <c r="SHM22" s="73" t="str">
        <f t="shared" si="204"/>
        <v/>
      </c>
      <c r="SHN22" s="73" t="str">
        <f t="shared" si="204"/>
        <v/>
      </c>
      <c r="SHO22" s="73" t="str">
        <f t="shared" si="204"/>
        <v/>
      </c>
      <c r="SHP22" s="73" t="str">
        <f t="shared" si="204"/>
        <v/>
      </c>
      <c r="SHQ22" s="73" t="str">
        <f t="shared" si="204"/>
        <v/>
      </c>
      <c r="SHR22" s="73" t="str">
        <f t="shared" si="204"/>
        <v/>
      </c>
      <c r="SHS22" s="73" t="str">
        <f t="shared" si="204"/>
        <v/>
      </c>
      <c r="SHT22" s="73" t="str">
        <f t="shared" si="204"/>
        <v/>
      </c>
      <c r="SHU22" s="73" t="str">
        <f t="shared" si="204"/>
        <v/>
      </c>
      <c r="SHV22" s="73" t="str">
        <f t="shared" si="204"/>
        <v/>
      </c>
      <c r="SHW22" s="73" t="str">
        <f t="shared" si="204"/>
        <v/>
      </c>
      <c r="SHX22" s="73" t="str">
        <f t="shared" si="204"/>
        <v/>
      </c>
      <c r="SHY22" s="73" t="str">
        <f t="shared" si="204"/>
        <v/>
      </c>
      <c r="SHZ22" s="73" t="str">
        <f t="shared" si="204"/>
        <v/>
      </c>
      <c r="SIA22" s="73" t="str">
        <f t="shared" si="204"/>
        <v/>
      </c>
      <c r="SIB22" s="73" t="str">
        <f t="shared" si="204"/>
        <v/>
      </c>
      <c r="SIC22" s="73" t="str">
        <f t="shared" si="204"/>
        <v/>
      </c>
      <c r="SID22" s="73" t="str">
        <f t="shared" si="204"/>
        <v/>
      </c>
      <c r="SIE22" s="73" t="str">
        <f t="shared" si="204"/>
        <v/>
      </c>
      <c r="SIF22" s="73" t="str">
        <f t="shared" si="204"/>
        <v/>
      </c>
      <c r="SIG22" s="73" t="str">
        <f t="shared" si="204"/>
        <v/>
      </c>
      <c r="SIH22" s="73" t="str">
        <f t="shared" si="204"/>
        <v/>
      </c>
      <c r="SII22" s="73" t="str">
        <f t="shared" si="204"/>
        <v/>
      </c>
      <c r="SIJ22" s="73" t="str">
        <f t="shared" si="204"/>
        <v/>
      </c>
      <c r="SIK22" s="73" t="str">
        <f t="shared" si="204"/>
        <v/>
      </c>
      <c r="SIL22" s="73" t="str">
        <f t="shared" si="204"/>
        <v/>
      </c>
      <c r="SIM22" s="73" t="str">
        <f t="shared" si="204"/>
        <v/>
      </c>
      <c r="SIN22" s="73" t="str">
        <f t="shared" si="204"/>
        <v/>
      </c>
      <c r="SIO22" s="73" t="str">
        <f t="shared" si="204"/>
        <v/>
      </c>
      <c r="SIP22" s="73" t="str">
        <f t="shared" si="204"/>
        <v/>
      </c>
      <c r="SIQ22" s="73" t="str">
        <f t="shared" si="204"/>
        <v/>
      </c>
      <c r="SIR22" s="73" t="str">
        <f t="shared" si="204"/>
        <v/>
      </c>
      <c r="SIS22" s="73" t="str">
        <f t="shared" si="204"/>
        <v/>
      </c>
      <c r="SIT22" s="73" t="str">
        <f t="shared" si="204"/>
        <v/>
      </c>
      <c r="SIU22" s="73" t="str">
        <f t="shared" si="204"/>
        <v/>
      </c>
      <c r="SIV22" s="73" t="str">
        <f t="shared" si="204"/>
        <v/>
      </c>
      <c r="SIW22" s="73" t="str">
        <f t="shared" si="204"/>
        <v/>
      </c>
      <c r="SIX22" s="73" t="str">
        <f t="shared" si="204"/>
        <v/>
      </c>
      <c r="SIY22" s="73" t="str">
        <f t="shared" si="204"/>
        <v/>
      </c>
      <c r="SIZ22" s="73" t="str">
        <f t="shared" si="204"/>
        <v/>
      </c>
      <c r="SJA22" s="73" t="str">
        <f t="shared" si="204"/>
        <v/>
      </c>
      <c r="SJB22" s="73" t="str">
        <f t="shared" si="204"/>
        <v/>
      </c>
      <c r="SJC22" s="73" t="str">
        <f t="shared" si="204"/>
        <v/>
      </c>
      <c r="SJD22" s="73" t="str">
        <f t="shared" si="204"/>
        <v/>
      </c>
      <c r="SJE22" s="73" t="str">
        <f t="shared" si="204"/>
        <v/>
      </c>
      <c r="SJF22" s="73" t="str">
        <f t="shared" si="204"/>
        <v/>
      </c>
      <c r="SJG22" s="73" t="str">
        <f t="shared" si="204"/>
        <v/>
      </c>
      <c r="SJH22" s="73" t="str">
        <f t="shared" si="204"/>
        <v/>
      </c>
      <c r="SJI22" s="73" t="str">
        <f t="shared" si="204"/>
        <v/>
      </c>
      <c r="SJJ22" s="73" t="str">
        <f t="shared" si="204"/>
        <v/>
      </c>
      <c r="SJK22" s="73" t="str">
        <f t="shared" si="204"/>
        <v/>
      </c>
      <c r="SJL22" s="73" t="str">
        <f t="shared" si="204"/>
        <v/>
      </c>
      <c r="SJM22" s="73" t="str">
        <f t="shared" si="204"/>
        <v/>
      </c>
      <c r="SJN22" s="73" t="str">
        <f t="shared" si="204"/>
        <v/>
      </c>
      <c r="SJO22" s="73" t="str">
        <f t="shared" si="204"/>
        <v/>
      </c>
      <c r="SJP22" s="73" t="str">
        <f t="shared" si="204"/>
        <v/>
      </c>
      <c r="SJQ22" s="73" t="str">
        <f t="shared" si="204"/>
        <v/>
      </c>
      <c r="SJR22" s="73" t="str">
        <f t="shared" si="204"/>
        <v/>
      </c>
      <c r="SJS22" s="73" t="str">
        <f t="shared" si="204"/>
        <v/>
      </c>
      <c r="SJT22" s="73" t="str">
        <f t="shared" si="204"/>
        <v/>
      </c>
      <c r="SJU22" s="73" t="str">
        <f t="shared" si="204"/>
        <v/>
      </c>
      <c r="SJV22" s="73" t="str">
        <f t="shared" ref="SJV22:SMG22" si="205">IFERROR(AVERAGE(SJV6:SJV21),"")</f>
        <v/>
      </c>
      <c r="SJW22" s="73" t="str">
        <f t="shared" si="205"/>
        <v/>
      </c>
      <c r="SJX22" s="73" t="str">
        <f t="shared" si="205"/>
        <v/>
      </c>
      <c r="SJY22" s="73" t="str">
        <f t="shared" si="205"/>
        <v/>
      </c>
      <c r="SJZ22" s="73" t="str">
        <f t="shared" si="205"/>
        <v/>
      </c>
      <c r="SKA22" s="73" t="str">
        <f t="shared" si="205"/>
        <v/>
      </c>
      <c r="SKB22" s="73" t="str">
        <f t="shared" si="205"/>
        <v/>
      </c>
      <c r="SKC22" s="73" t="str">
        <f t="shared" si="205"/>
        <v/>
      </c>
      <c r="SKD22" s="73" t="str">
        <f t="shared" si="205"/>
        <v/>
      </c>
      <c r="SKE22" s="73" t="str">
        <f t="shared" si="205"/>
        <v/>
      </c>
      <c r="SKF22" s="73" t="str">
        <f t="shared" si="205"/>
        <v/>
      </c>
      <c r="SKG22" s="73" t="str">
        <f t="shared" si="205"/>
        <v/>
      </c>
      <c r="SKH22" s="73" t="str">
        <f t="shared" si="205"/>
        <v/>
      </c>
      <c r="SKI22" s="73" t="str">
        <f t="shared" si="205"/>
        <v/>
      </c>
      <c r="SKJ22" s="73" t="str">
        <f t="shared" si="205"/>
        <v/>
      </c>
      <c r="SKK22" s="73" t="str">
        <f t="shared" si="205"/>
        <v/>
      </c>
      <c r="SKL22" s="73" t="str">
        <f t="shared" si="205"/>
        <v/>
      </c>
      <c r="SKM22" s="73" t="str">
        <f t="shared" si="205"/>
        <v/>
      </c>
      <c r="SKN22" s="73" t="str">
        <f t="shared" si="205"/>
        <v/>
      </c>
      <c r="SKO22" s="73" t="str">
        <f t="shared" si="205"/>
        <v/>
      </c>
      <c r="SKP22" s="73" t="str">
        <f t="shared" si="205"/>
        <v/>
      </c>
      <c r="SKQ22" s="73" t="str">
        <f t="shared" si="205"/>
        <v/>
      </c>
      <c r="SKR22" s="73" t="str">
        <f t="shared" si="205"/>
        <v/>
      </c>
      <c r="SKS22" s="73" t="str">
        <f t="shared" si="205"/>
        <v/>
      </c>
      <c r="SKT22" s="73" t="str">
        <f t="shared" si="205"/>
        <v/>
      </c>
      <c r="SKU22" s="73" t="str">
        <f t="shared" si="205"/>
        <v/>
      </c>
      <c r="SKV22" s="73" t="str">
        <f t="shared" si="205"/>
        <v/>
      </c>
      <c r="SKW22" s="73" t="str">
        <f t="shared" si="205"/>
        <v/>
      </c>
      <c r="SKX22" s="73" t="str">
        <f t="shared" si="205"/>
        <v/>
      </c>
      <c r="SKY22" s="73" t="str">
        <f t="shared" si="205"/>
        <v/>
      </c>
      <c r="SKZ22" s="73" t="str">
        <f t="shared" si="205"/>
        <v/>
      </c>
      <c r="SLA22" s="73" t="str">
        <f t="shared" si="205"/>
        <v/>
      </c>
      <c r="SLB22" s="73" t="str">
        <f t="shared" si="205"/>
        <v/>
      </c>
      <c r="SLC22" s="73" t="str">
        <f t="shared" si="205"/>
        <v/>
      </c>
      <c r="SLD22" s="73" t="str">
        <f t="shared" si="205"/>
        <v/>
      </c>
      <c r="SLE22" s="73" t="str">
        <f t="shared" si="205"/>
        <v/>
      </c>
      <c r="SLF22" s="73" t="str">
        <f t="shared" si="205"/>
        <v/>
      </c>
      <c r="SLG22" s="73" t="str">
        <f t="shared" si="205"/>
        <v/>
      </c>
      <c r="SLH22" s="73" t="str">
        <f t="shared" si="205"/>
        <v/>
      </c>
      <c r="SLI22" s="73" t="str">
        <f t="shared" si="205"/>
        <v/>
      </c>
      <c r="SLJ22" s="73" t="str">
        <f t="shared" si="205"/>
        <v/>
      </c>
      <c r="SLK22" s="73" t="str">
        <f t="shared" si="205"/>
        <v/>
      </c>
      <c r="SLL22" s="73" t="str">
        <f t="shared" si="205"/>
        <v/>
      </c>
      <c r="SLM22" s="73" t="str">
        <f t="shared" si="205"/>
        <v/>
      </c>
      <c r="SLN22" s="73" t="str">
        <f t="shared" si="205"/>
        <v/>
      </c>
      <c r="SLO22" s="73" t="str">
        <f t="shared" si="205"/>
        <v/>
      </c>
      <c r="SLP22" s="73" t="str">
        <f t="shared" si="205"/>
        <v/>
      </c>
      <c r="SLQ22" s="73" t="str">
        <f t="shared" si="205"/>
        <v/>
      </c>
      <c r="SLR22" s="73" t="str">
        <f t="shared" si="205"/>
        <v/>
      </c>
      <c r="SLS22" s="73" t="str">
        <f t="shared" si="205"/>
        <v/>
      </c>
      <c r="SLT22" s="73" t="str">
        <f t="shared" si="205"/>
        <v/>
      </c>
      <c r="SLU22" s="73" t="str">
        <f t="shared" si="205"/>
        <v/>
      </c>
      <c r="SLV22" s="73" t="str">
        <f t="shared" si="205"/>
        <v/>
      </c>
      <c r="SLW22" s="73" t="str">
        <f t="shared" si="205"/>
        <v/>
      </c>
      <c r="SLX22" s="73" t="str">
        <f t="shared" si="205"/>
        <v/>
      </c>
      <c r="SLY22" s="73" t="str">
        <f t="shared" si="205"/>
        <v/>
      </c>
      <c r="SLZ22" s="73" t="str">
        <f t="shared" si="205"/>
        <v/>
      </c>
      <c r="SMA22" s="73" t="str">
        <f t="shared" si="205"/>
        <v/>
      </c>
      <c r="SMB22" s="73" t="str">
        <f t="shared" si="205"/>
        <v/>
      </c>
      <c r="SMC22" s="73" t="str">
        <f t="shared" si="205"/>
        <v/>
      </c>
      <c r="SMD22" s="73" t="str">
        <f t="shared" si="205"/>
        <v/>
      </c>
      <c r="SME22" s="73" t="str">
        <f t="shared" si="205"/>
        <v/>
      </c>
      <c r="SMF22" s="73" t="str">
        <f t="shared" si="205"/>
        <v/>
      </c>
      <c r="SMG22" s="73" t="str">
        <f t="shared" si="205"/>
        <v/>
      </c>
      <c r="SMH22" s="73" t="str">
        <f t="shared" ref="SMH22:SOS22" si="206">IFERROR(AVERAGE(SMH6:SMH21),"")</f>
        <v/>
      </c>
      <c r="SMI22" s="73" t="str">
        <f t="shared" si="206"/>
        <v/>
      </c>
      <c r="SMJ22" s="73" t="str">
        <f t="shared" si="206"/>
        <v/>
      </c>
      <c r="SMK22" s="73" t="str">
        <f t="shared" si="206"/>
        <v/>
      </c>
      <c r="SML22" s="73" t="str">
        <f t="shared" si="206"/>
        <v/>
      </c>
      <c r="SMM22" s="73" t="str">
        <f t="shared" si="206"/>
        <v/>
      </c>
      <c r="SMN22" s="73" t="str">
        <f t="shared" si="206"/>
        <v/>
      </c>
      <c r="SMO22" s="73" t="str">
        <f t="shared" si="206"/>
        <v/>
      </c>
      <c r="SMP22" s="73" t="str">
        <f t="shared" si="206"/>
        <v/>
      </c>
      <c r="SMQ22" s="73" t="str">
        <f t="shared" si="206"/>
        <v/>
      </c>
      <c r="SMR22" s="73" t="str">
        <f t="shared" si="206"/>
        <v/>
      </c>
      <c r="SMS22" s="73" t="str">
        <f t="shared" si="206"/>
        <v/>
      </c>
      <c r="SMT22" s="73" t="str">
        <f t="shared" si="206"/>
        <v/>
      </c>
      <c r="SMU22" s="73" t="str">
        <f t="shared" si="206"/>
        <v/>
      </c>
      <c r="SMV22" s="73" t="str">
        <f t="shared" si="206"/>
        <v/>
      </c>
      <c r="SMW22" s="73" t="str">
        <f t="shared" si="206"/>
        <v/>
      </c>
      <c r="SMX22" s="73" t="str">
        <f t="shared" si="206"/>
        <v/>
      </c>
      <c r="SMY22" s="73" t="str">
        <f t="shared" si="206"/>
        <v/>
      </c>
      <c r="SMZ22" s="73" t="str">
        <f t="shared" si="206"/>
        <v/>
      </c>
      <c r="SNA22" s="73" t="str">
        <f t="shared" si="206"/>
        <v/>
      </c>
      <c r="SNB22" s="73" t="str">
        <f t="shared" si="206"/>
        <v/>
      </c>
      <c r="SNC22" s="73" t="str">
        <f t="shared" si="206"/>
        <v/>
      </c>
      <c r="SND22" s="73" t="str">
        <f t="shared" si="206"/>
        <v/>
      </c>
      <c r="SNE22" s="73" t="str">
        <f t="shared" si="206"/>
        <v/>
      </c>
      <c r="SNF22" s="73" t="str">
        <f t="shared" si="206"/>
        <v/>
      </c>
      <c r="SNG22" s="73" t="str">
        <f t="shared" si="206"/>
        <v/>
      </c>
      <c r="SNH22" s="73" t="str">
        <f t="shared" si="206"/>
        <v/>
      </c>
      <c r="SNI22" s="73" t="str">
        <f t="shared" si="206"/>
        <v/>
      </c>
      <c r="SNJ22" s="73" t="str">
        <f t="shared" si="206"/>
        <v/>
      </c>
      <c r="SNK22" s="73" t="str">
        <f t="shared" si="206"/>
        <v/>
      </c>
      <c r="SNL22" s="73" t="str">
        <f t="shared" si="206"/>
        <v/>
      </c>
      <c r="SNM22" s="73" t="str">
        <f t="shared" si="206"/>
        <v/>
      </c>
      <c r="SNN22" s="73" t="str">
        <f t="shared" si="206"/>
        <v/>
      </c>
      <c r="SNO22" s="73" t="str">
        <f t="shared" si="206"/>
        <v/>
      </c>
      <c r="SNP22" s="73" t="str">
        <f t="shared" si="206"/>
        <v/>
      </c>
      <c r="SNQ22" s="73" t="str">
        <f t="shared" si="206"/>
        <v/>
      </c>
      <c r="SNR22" s="73" t="str">
        <f t="shared" si="206"/>
        <v/>
      </c>
      <c r="SNS22" s="73" t="str">
        <f t="shared" si="206"/>
        <v/>
      </c>
      <c r="SNT22" s="73" t="str">
        <f t="shared" si="206"/>
        <v/>
      </c>
      <c r="SNU22" s="73" t="str">
        <f t="shared" si="206"/>
        <v/>
      </c>
      <c r="SNV22" s="73" t="str">
        <f t="shared" si="206"/>
        <v/>
      </c>
      <c r="SNW22" s="73" t="str">
        <f t="shared" si="206"/>
        <v/>
      </c>
      <c r="SNX22" s="73" t="str">
        <f t="shared" si="206"/>
        <v/>
      </c>
      <c r="SNY22" s="73" t="str">
        <f t="shared" si="206"/>
        <v/>
      </c>
      <c r="SNZ22" s="73" t="str">
        <f t="shared" si="206"/>
        <v/>
      </c>
      <c r="SOA22" s="73" t="str">
        <f t="shared" si="206"/>
        <v/>
      </c>
      <c r="SOB22" s="73" t="str">
        <f t="shared" si="206"/>
        <v/>
      </c>
      <c r="SOC22" s="73" t="str">
        <f t="shared" si="206"/>
        <v/>
      </c>
      <c r="SOD22" s="73" t="str">
        <f t="shared" si="206"/>
        <v/>
      </c>
      <c r="SOE22" s="73" t="str">
        <f t="shared" si="206"/>
        <v/>
      </c>
      <c r="SOF22" s="73" t="str">
        <f t="shared" si="206"/>
        <v/>
      </c>
      <c r="SOG22" s="73" t="str">
        <f t="shared" si="206"/>
        <v/>
      </c>
      <c r="SOH22" s="73" t="str">
        <f t="shared" si="206"/>
        <v/>
      </c>
      <c r="SOI22" s="73" t="str">
        <f t="shared" si="206"/>
        <v/>
      </c>
      <c r="SOJ22" s="73" t="str">
        <f t="shared" si="206"/>
        <v/>
      </c>
      <c r="SOK22" s="73" t="str">
        <f t="shared" si="206"/>
        <v/>
      </c>
      <c r="SOL22" s="73" t="str">
        <f t="shared" si="206"/>
        <v/>
      </c>
      <c r="SOM22" s="73" t="str">
        <f t="shared" si="206"/>
        <v/>
      </c>
      <c r="SON22" s="73" t="str">
        <f t="shared" si="206"/>
        <v/>
      </c>
      <c r="SOO22" s="73" t="str">
        <f t="shared" si="206"/>
        <v/>
      </c>
      <c r="SOP22" s="73" t="str">
        <f t="shared" si="206"/>
        <v/>
      </c>
      <c r="SOQ22" s="73" t="str">
        <f t="shared" si="206"/>
        <v/>
      </c>
      <c r="SOR22" s="73" t="str">
        <f t="shared" si="206"/>
        <v/>
      </c>
      <c r="SOS22" s="73" t="str">
        <f t="shared" si="206"/>
        <v/>
      </c>
      <c r="SOT22" s="73" t="str">
        <f t="shared" ref="SOT22:SRE22" si="207">IFERROR(AVERAGE(SOT6:SOT21),"")</f>
        <v/>
      </c>
      <c r="SOU22" s="73" t="str">
        <f t="shared" si="207"/>
        <v/>
      </c>
      <c r="SOV22" s="73" t="str">
        <f t="shared" si="207"/>
        <v/>
      </c>
      <c r="SOW22" s="73" t="str">
        <f t="shared" si="207"/>
        <v/>
      </c>
      <c r="SOX22" s="73" t="str">
        <f t="shared" si="207"/>
        <v/>
      </c>
      <c r="SOY22" s="73" t="str">
        <f t="shared" si="207"/>
        <v/>
      </c>
      <c r="SOZ22" s="73" t="str">
        <f t="shared" si="207"/>
        <v/>
      </c>
      <c r="SPA22" s="73" t="str">
        <f t="shared" si="207"/>
        <v/>
      </c>
      <c r="SPB22" s="73" t="str">
        <f t="shared" si="207"/>
        <v/>
      </c>
      <c r="SPC22" s="73" t="str">
        <f t="shared" si="207"/>
        <v/>
      </c>
      <c r="SPD22" s="73" t="str">
        <f t="shared" si="207"/>
        <v/>
      </c>
      <c r="SPE22" s="73" t="str">
        <f t="shared" si="207"/>
        <v/>
      </c>
      <c r="SPF22" s="73" t="str">
        <f t="shared" si="207"/>
        <v/>
      </c>
      <c r="SPG22" s="73" t="str">
        <f t="shared" si="207"/>
        <v/>
      </c>
      <c r="SPH22" s="73" t="str">
        <f t="shared" si="207"/>
        <v/>
      </c>
      <c r="SPI22" s="73" t="str">
        <f t="shared" si="207"/>
        <v/>
      </c>
      <c r="SPJ22" s="73" t="str">
        <f t="shared" si="207"/>
        <v/>
      </c>
      <c r="SPK22" s="73" t="str">
        <f t="shared" si="207"/>
        <v/>
      </c>
      <c r="SPL22" s="73" t="str">
        <f t="shared" si="207"/>
        <v/>
      </c>
      <c r="SPM22" s="73" t="str">
        <f t="shared" si="207"/>
        <v/>
      </c>
      <c r="SPN22" s="73" t="str">
        <f t="shared" si="207"/>
        <v/>
      </c>
      <c r="SPO22" s="73" t="str">
        <f t="shared" si="207"/>
        <v/>
      </c>
      <c r="SPP22" s="73" t="str">
        <f t="shared" si="207"/>
        <v/>
      </c>
      <c r="SPQ22" s="73" t="str">
        <f t="shared" si="207"/>
        <v/>
      </c>
      <c r="SPR22" s="73" t="str">
        <f t="shared" si="207"/>
        <v/>
      </c>
      <c r="SPS22" s="73" t="str">
        <f t="shared" si="207"/>
        <v/>
      </c>
      <c r="SPT22" s="73" t="str">
        <f t="shared" si="207"/>
        <v/>
      </c>
      <c r="SPU22" s="73" t="str">
        <f t="shared" si="207"/>
        <v/>
      </c>
      <c r="SPV22" s="73" t="str">
        <f t="shared" si="207"/>
        <v/>
      </c>
      <c r="SPW22" s="73" t="str">
        <f t="shared" si="207"/>
        <v/>
      </c>
      <c r="SPX22" s="73" t="str">
        <f t="shared" si="207"/>
        <v/>
      </c>
      <c r="SPY22" s="73" t="str">
        <f t="shared" si="207"/>
        <v/>
      </c>
      <c r="SPZ22" s="73" t="str">
        <f t="shared" si="207"/>
        <v/>
      </c>
      <c r="SQA22" s="73" t="str">
        <f t="shared" si="207"/>
        <v/>
      </c>
      <c r="SQB22" s="73" t="str">
        <f t="shared" si="207"/>
        <v/>
      </c>
      <c r="SQC22" s="73" t="str">
        <f t="shared" si="207"/>
        <v/>
      </c>
      <c r="SQD22" s="73" t="str">
        <f t="shared" si="207"/>
        <v/>
      </c>
      <c r="SQE22" s="73" t="str">
        <f t="shared" si="207"/>
        <v/>
      </c>
      <c r="SQF22" s="73" t="str">
        <f t="shared" si="207"/>
        <v/>
      </c>
      <c r="SQG22" s="73" t="str">
        <f t="shared" si="207"/>
        <v/>
      </c>
      <c r="SQH22" s="73" t="str">
        <f t="shared" si="207"/>
        <v/>
      </c>
      <c r="SQI22" s="73" t="str">
        <f t="shared" si="207"/>
        <v/>
      </c>
      <c r="SQJ22" s="73" t="str">
        <f t="shared" si="207"/>
        <v/>
      </c>
      <c r="SQK22" s="73" t="str">
        <f t="shared" si="207"/>
        <v/>
      </c>
      <c r="SQL22" s="73" t="str">
        <f t="shared" si="207"/>
        <v/>
      </c>
      <c r="SQM22" s="73" t="str">
        <f t="shared" si="207"/>
        <v/>
      </c>
      <c r="SQN22" s="73" t="str">
        <f t="shared" si="207"/>
        <v/>
      </c>
      <c r="SQO22" s="73" t="str">
        <f t="shared" si="207"/>
        <v/>
      </c>
      <c r="SQP22" s="73" t="str">
        <f t="shared" si="207"/>
        <v/>
      </c>
      <c r="SQQ22" s="73" t="str">
        <f t="shared" si="207"/>
        <v/>
      </c>
      <c r="SQR22" s="73" t="str">
        <f t="shared" si="207"/>
        <v/>
      </c>
      <c r="SQS22" s="73" t="str">
        <f t="shared" si="207"/>
        <v/>
      </c>
      <c r="SQT22" s="73" t="str">
        <f t="shared" si="207"/>
        <v/>
      </c>
      <c r="SQU22" s="73" t="str">
        <f t="shared" si="207"/>
        <v/>
      </c>
      <c r="SQV22" s="73" t="str">
        <f t="shared" si="207"/>
        <v/>
      </c>
      <c r="SQW22" s="73" t="str">
        <f t="shared" si="207"/>
        <v/>
      </c>
      <c r="SQX22" s="73" t="str">
        <f t="shared" si="207"/>
        <v/>
      </c>
      <c r="SQY22" s="73" t="str">
        <f t="shared" si="207"/>
        <v/>
      </c>
      <c r="SQZ22" s="73" t="str">
        <f t="shared" si="207"/>
        <v/>
      </c>
      <c r="SRA22" s="73" t="str">
        <f t="shared" si="207"/>
        <v/>
      </c>
      <c r="SRB22" s="73" t="str">
        <f t="shared" si="207"/>
        <v/>
      </c>
      <c r="SRC22" s="73" t="str">
        <f t="shared" si="207"/>
        <v/>
      </c>
      <c r="SRD22" s="73" t="str">
        <f t="shared" si="207"/>
        <v/>
      </c>
      <c r="SRE22" s="73" t="str">
        <f t="shared" si="207"/>
        <v/>
      </c>
      <c r="SRF22" s="73" t="str">
        <f t="shared" ref="SRF22:STQ22" si="208">IFERROR(AVERAGE(SRF6:SRF21),"")</f>
        <v/>
      </c>
      <c r="SRG22" s="73" t="str">
        <f t="shared" si="208"/>
        <v/>
      </c>
      <c r="SRH22" s="73" t="str">
        <f t="shared" si="208"/>
        <v/>
      </c>
      <c r="SRI22" s="73" t="str">
        <f t="shared" si="208"/>
        <v/>
      </c>
      <c r="SRJ22" s="73" t="str">
        <f t="shared" si="208"/>
        <v/>
      </c>
      <c r="SRK22" s="73" t="str">
        <f t="shared" si="208"/>
        <v/>
      </c>
      <c r="SRL22" s="73" t="str">
        <f t="shared" si="208"/>
        <v/>
      </c>
      <c r="SRM22" s="73" t="str">
        <f t="shared" si="208"/>
        <v/>
      </c>
      <c r="SRN22" s="73" t="str">
        <f t="shared" si="208"/>
        <v/>
      </c>
      <c r="SRO22" s="73" t="str">
        <f t="shared" si="208"/>
        <v/>
      </c>
      <c r="SRP22" s="73" t="str">
        <f t="shared" si="208"/>
        <v/>
      </c>
      <c r="SRQ22" s="73" t="str">
        <f t="shared" si="208"/>
        <v/>
      </c>
      <c r="SRR22" s="73" t="str">
        <f t="shared" si="208"/>
        <v/>
      </c>
      <c r="SRS22" s="73" t="str">
        <f t="shared" si="208"/>
        <v/>
      </c>
      <c r="SRT22" s="73" t="str">
        <f t="shared" si="208"/>
        <v/>
      </c>
      <c r="SRU22" s="73" t="str">
        <f t="shared" si="208"/>
        <v/>
      </c>
      <c r="SRV22" s="73" t="str">
        <f t="shared" si="208"/>
        <v/>
      </c>
      <c r="SRW22" s="73" t="str">
        <f t="shared" si="208"/>
        <v/>
      </c>
      <c r="SRX22" s="73" t="str">
        <f t="shared" si="208"/>
        <v/>
      </c>
      <c r="SRY22" s="73" t="str">
        <f t="shared" si="208"/>
        <v/>
      </c>
      <c r="SRZ22" s="73" t="str">
        <f t="shared" si="208"/>
        <v/>
      </c>
      <c r="SSA22" s="73" t="str">
        <f t="shared" si="208"/>
        <v/>
      </c>
      <c r="SSB22" s="73" t="str">
        <f t="shared" si="208"/>
        <v/>
      </c>
      <c r="SSC22" s="73" t="str">
        <f t="shared" si="208"/>
        <v/>
      </c>
      <c r="SSD22" s="73" t="str">
        <f t="shared" si="208"/>
        <v/>
      </c>
      <c r="SSE22" s="73" t="str">
        <f t="shared" si="208"/>
        <v/>
      </c>
      <c r="SSF22" s="73" t="str">
        <f t="shared" si="208"/>
        <v/>
      </c>
      <c r="SSG22" s="73" t="str">
        <f t="shared" si="208"/>
        <v/>
      </c>
      <c r="SSH22" s="73" t="str">
        <f t="shared" si="208"/>
        <v/>
      </c>
      <c r="SSI22" s="73" t="str">
        <f t="shared" si="208"/>
        <v/>
      </c>
      <c r="SSJ22" s="73" t="str">
        <f t="shared" si="208"/>
        <v/>
      </c>
      <c r="SSK22" s="73" t="str">
        <f t="shared" si="208"/>
        <v/>
      </c>
      <c r="SSL22" s="73" t="str">
        <f t="shared" si="208"/>
        <v/>
      </c>
      <c r="SSM22" s="73" t="str">
        <f t="shared" si="208"/>
        <v/>
      </c>
      <c r="SSN22" s="73" t="str">
        <f t="shared" si="208"/>
        <v/>
      </c>
      <c r="SSO22" s="73" t="str">
        <f t="shared" si="208"/>
        <v/>
      </c>
      <c r="SSP22" s="73" t="str">
        <f t="shared" si="208"/>
        <v/>
      </c>
      <c r="SSQ22" s="73" t="str">
        <f t="shared" si="208"/>
        <v/>
      </c>
      <c r="SSR22" s="73" t="str">
        <f t="shared" si="208"/>
        <v/>
      </c>
      <c r="SSS22" s="73" t="str">
        <f t="shared" si="208"/>
        <v/>
      </c>
      <c r="SST22" s="73" t="str">
        <f t="shared" si="208"/>
        <v/>
      </c>
      <c r="SSU22" s="73" t="str">
        <f t="shared" si="208"/>
        <v/>
      </c>
      <c r="SSV22" s="73" t="str">
        <f t="shared" si="208"/>
        <v/>
      </c>
      <c r="SSW22" s="73" t="str">
        <f t="shared" si="208"/>
        <v/>
      </c>
      <c r="SSX22" s="73" t="str">
        <f t="shared" si="208"/>
        <v/>
      </c>
      <c r="SSY22" s="73" t="str">
        <f t="shared" si="208"/>
        <v/>
      </c>
      <c r="SSZ22" s="73" t="str">
        <f t="shared" si="208"/>
        <v/>
      </c>
      <c r="STA22" s="73" t="str">
        <f t="shared" si="208"/>
        <v/>
      </c>
      <c r="STB22" s="73" t="str">
        <f t="shared" si="208"/>
        <v/>
      </c>
      <c r="STC22" s="73" t="str">
        <f t="shared" si="208"/>
        <v/>
      </c>
      <c r="STD22" s="73" t="str">
        <f t="shared" si="208"/>
        <v/>
      </c>
      <c r="STE22" s="73" t="str">
        <f t="shared" si="208"/>
        <v/>
      </c>
      <c r="STF22" s="73" t="str">
        <f t="shared" si="208"/>
        <v/>
      </c>
      <c r="STG22" s="73" t="str">
        <f t="shared" si="208"/>
        <v/>
      </c>
      <c r="STH22" s="73" t="str">
        <f t="shared" si="208"/>
        <v/>
      </c>
      <c r="STI22" s="73" t="str">
        <f t="shared" si="208"/>
        <v/>
      </c>
      <c r="STJ22" s="73" t="str">
        <f t="shared" si="208"/>
        <v/>
      </c>
      <c r="STK22" s="73" t="str">
        <f t="shared" si="208"/>
        <v/>
      </c>
      <c r="STL22" s="73" t="str">
        <f t="shared" si="208"/>
        <v/>
      </c>
      <c r="STM22" s="73" t="str">
        <f t="shared" si="208"/>
        <v/>
      </c>
      <c r="STN22" s="73" t="str">
        <f t="shared" si="208"/>
        <v/>
      </c>
      <c r="STO22" s="73" t="str">
        <f t="shared" si="208"/>
        <v/>
      </c>
      <c r="STP22" s="73" t="str">
        <f t="shared" si="208"/>
        <v/>
      </c>
      <c r="STQ22" s="73" t="str">
        <f t="shared" si="208"/>
        <v/>
      </c>
      <c r="STR22" s="73" t="str">
        <f t="shared" ref="STR22:SWC22" si="209">IFERROR(AVERAGE(STR6:STR21),"")</f>
        <v/>
      </c>
      <c r="STS22" s="73" t="str">
        <f t="shared" si="209"/>
        <v/>
      </c>
      <c r="STT22" s="73" t="str">
        <f t="shared" si="209"/>
        <v/>
      </c>
      <c r="STU22" s="73" t="str">
        <f t="shared" si="209"/>
        <v/>
      </c>
      <c r="STV22" s="73" t="str">
        <f t="shared" si="209"/>
        <v/>
      </c>
      <c r="STW22" s="73" t="str">
        <f t="shared" si="209"/>
        <v/>
      </c>
      <c r="STX22" s="73" t="str">
        <f t="shared" si="209"/>
        <v/>
      </c>
      <c r="STY22" s="73" t="str">
        <f t="shared" si="209"/>
        <v/>
      </c>
      <c r="STZ22" s="73" t="str">
        <f t="shared" si="209"/>
        <v/>
      </c>
      <c r="SUA22" s="73" t="str">
        <f t="shared" si="209"/>
        <v/>
      </c>
      <c r="SUB22" s="73" t="str">
        <f t="shared" si="209"/>
        <v/>
      </c>
      <c r="SUC22" s="73" t="str">
        <f t="shared" si="209"/>
        <v/>
      </c>
      <c r="SUD22" s="73" t="str">
        <f t="shared" si="209"/>
        <v/>
      </c>
      <c r="SUE22" s="73" t="str">
        <f t="shared" si="209"/>
        <v/>
      </c>
      <c r="SUF22" s="73" t="str">
        <f t="shared" si="209"/>
        <v/>
      </c>
      <c r="SUG22" s="73" t="str">
        <f t="shared" si="209"/>
        <v/>
      </c>
      <c r="SUH22" s="73" t="str">
        <f t="shared" si="209"/>
        <v/>
      </c>
      <c r="SUI22" s="73" t="str">
        <f t="shared" si="209"/>
        <v/>
      </c>
      <c r="SUJ22" s="73" t="str">
        <f t="shared" si="209"/>
        <v/>
      </c>
      <c r="SUK22" s="73" t="str">
        <f t="shared" si="209"/>
        <v/>
      </c>
      <c r="SUL22" s="73" t="str">
        <f t="shared" si="209"/>
        <v/>
      </c>
      <c r="SUM22" s="73" t="str">
        <f t="shared" si="209"/>
        <v/>
      </c>
      <c r="SUN22" s="73" t="str">
        <f t="shared" si="209"/>
        <v/>
      </c>
      <c r="SUO22" s="73" t="str">
        <f t="shared" si="209"/>
        <v/>
      </c>
      <c r="SUP22" s="73" t="str">
        <f t="shared" si="209"/>
        <v/>
      </c>
      <c r="SUQ22" s="73" t="str">
        <f t="shared" si="209"/>
        <v/>
      </c>
      <c r="SUR22" s="73" t="str">
        <f t="shared" si="209"/>
        <v/>
      </c>
      <c r="SUS22" s="73" t="str">
        <f t="shared" si="209"/>
        <v/>
      </c>
      <c r="SUT22" s="73" t="str">
        <f t="shared" si="209"/>
        <v/>
      </c>
      <c r="SUU22" s="73" t="str">
        <f t="shared" si="209"/>
        <v/>
      </c>
      <c r="SUV22" s="73" t="str">
        <f t="shared" si="209"/>
        <v/>
      </c>
      <c r="SUW22" s="73" t="str">
        <f t="shared" si="209"/>
        <v/>
      </c>
      <c r="SUX22" s="73" t="str">
        <f t="shared" si="209"/>
        <v/>
      </c>
      <c r="SUY22" s="73" t="str">
        <f t="shared" si="209"/>
        <v/>
      </c>
      <c r="SUZ22" s="73" t="str">
        <f t="shared" si="209"/>
        <v/>
      </c>
      <c r="SVA22" s="73" t="str">
        <f t="shared" si="209"/>
        <v/>
      </c>
      <c r="SVB22" s="73" t="str">
        <f t="shared" si="209"/>
        <v/>
      </c>
      <c r="SVC22" s="73" t="str">
        <f t="shared" si="209"/>
        <v/>
      </c>
      <c r="SVD22" s="73" t="str">
        <f t="shared" si="209"/>
        <v/>
      </c>
      <c r="SVE22" s="73" t="str">
        <f t="shared" si="209"/>
        <v/>
      </c>
      <c r="SVF22" s="73" t="str">
        <f t="shared" si="209"/>
        <v/>
      </c>
      <c r="SVG22" s="73" t="str">
        <f t="shared" si="209"/>
        <v/>
      </c>
      <c r="SVH22" s="73" t="str">
        <f t="shared" si="209"/>
        <v/>
      </c>
      <c r="SVI22" s="73" t="str">
        <f t="shared" si="209"/>
        <v/>
      </c>
      <c r="SVJ22" s="73" t="str">
        <f t="shared" si="209"/>
        <v/>
      </c>
      <c r="SVK22" s="73" t="str">
        <f t="shared" si="209"/>
        <v/>
      </c>
      <c r="SVL22" s="73" t="str">
        <f t="shared" si="209"/>
        <v/>
      </c>
      <c r="SVM22" s="73" t="str">
        <f t="shared" si="209"/>
        <v/>
      </c>
      <c r="SVN22" s="73" t="str">
        <f t="shared" si="209"/>
        <v/>
      </c>
      <c r="SVO22" s="73" t="str">
        <f t="shared" si="209"/>
        <v/>
      </c>
      <c r="SVP22" s="73" t="str">
        <f t="shared" si="209"/>
        <v/>
      </c>
      <c r="SVQ22" s="73" t="str">
        <f t="shared" si="209"/>
        <v/>
      </c>
      <c r="SVR22" s="73" t="str">
        <f t="shared" si="209"/>
        <v/>
      </c>
      <c r="SVS22" s="73" t="str">
        <f t="shared" si="209"/>
        <v/>
      </c>
      <c r="SVT22" s="73" t="str">
        <f t="shared" si="209"/>
        <v/>
      </c>
      <c r="SVU22" s="73" t="str">
        <f t="shared" si="209"/>
        <v/>
      </c>
      <c r="SVV22" s="73" t="str">
        <f t="shared" si="209"/>
        <v/>
      </c>
      <c r="SVW22" s="73" t="str">
        <f t="shared" si="209"/>
        <v/>
      </c>
      <c r="SVX22" s="73" t="str">
        <f t="shared" si="209"/>
        <v/>
      </c>
      <c r="SVY22" s="73" t="str">
        <f t="shared" si="209"/>
        <v/>
      </c>
      <c r="SVZ22" s="73" t="str">
        <f t="shared" si="209"/>
        <v/>
      </c>
      <c r="SWA22" s="73" t="str">
        <f t="shared" si="209"/>
        <v/>
      </c>
      <c r="SWB22" s="73" t="str">
        <f t="shared" si="209"/>
        <v/>
      </c>
      <c r="SWC22" s="73" t="str">
        <f t="shared" si="209"/>
        <v/>
      </c>
      <c r="SWD22" s="73" t="str">
        <f t="shared" ref="SWD22:SYO22" si="210">IFERROR(AVERAGE(SWD6:SWD21),"")</f>
        <v/>
      </c>
      <c r="SWE22" s="73" t="str">
        <f t="shared" si="210"/>
        <v/>
      </c>
      <c r="SWF22" s="73" t="str">
        <f t="shared" si="210"/>
        <v/>
      </c>
      <c r="SWG22" s="73" t="str">
        <f t="shared" si="210"/>
        <v/>
      </c>
      <c r="SWH22" s="73" t="str">
        <f t="shared" si="210"/>
        <v/>
      </c>
      <c r="SWI22" s="73" t="str">
        <f t="shared" si="210"/>
        <v/>
      </c>
      <c r="SWJ22" s="73" t="str">
        <f t="shared" si="210"/>
        <v/>
      </c>
      <c r="SWK22" s="73" t="str">
        <f t="shared" si="210"/>
        <v/>
      </c>
      <c r="SWL22" s="73" t="str">
        <f t="shared" si="210"/>
        <v/>
      </c>
      <c r="SWM22" s="73" t="str">
        <f t="shared" si="210"/>
        <v/>
      </c>
      <c r="SWN22" s="73" t="str">
        <f t="shared" si="210"/>
        <v/>
      </c>
      <c r="SWO22" s="73" t="str">
        <f t="shared" si="210"/>
        <v/>
      </c>
      <c r="SWP22" s="73" t="str">
        <f t="shared" si="210"/>
        <v/>
      </c>
      <c r="SWQ22" s="73" t="str">
        <f t="shared" si="210"/>
        <v/>
      </c>
      <c r="SWR22" s="73" t="str">
        <f t="shared" si="210"/>
        <v/>
      </c>
      <c r="SWS22" s="73" t="str">
        <f t="shared" si="210"/>
        <v/>
      </c>
      <c r="SWT22" s="73" t="str">
        <f t="shared" si="210"/>
        <v/>
      </c>
      <c r="SWU22" s="73" t="str">
        <f t="shared" si="210"/>
        <v/>
      </c>
      <c r="SWV22" s="73" t="str">
        <f t="shared" si="210"/>
        <v/>
      </c>
      <c r="SWW22" s="73" t="str">
        <f t="shared" si="210"/>
        <v/>
      </c>
      <c r="SWX22" s="73" t="str">
        <f t="shared" si="210"/>
        <v/>
      </c>
      <c r="SWY22" s="73" t="str">
        <f t="shared" si="210"/>
        <v/>
      </c>
      <c r="SWZ22" s="73" t="str">
        <f t="shared" si="210"/>
        <v/>
      </c>
      <c r="SXA22" s="73" t="str">
        <f t="shared" si="210"/>
        <v/>
      </c>
      <c r="SXB22" s="73" t="str">
        <f t="shared" si="210"/>
        <v/>
      </c>
      <c r="SXC22" s="73" t="str">
        <f t="shared" si="210"/>
        <v/>
      </c>
      <c r="SXD22" s="73" t="str">
        <f t="shared" si="210"/>
        <v/>
      </c>
      <c r="SXE22" s="73" t="str">
        <f t="shared" si="210"/>
        <v/>
      </c>
      <c r="SXF22" s="73" t="str">
        <f t="shared" si="210"/>
        <v/>
      </c>
      <c r="SXG22" s="73" t="str">
        <f t="shared" si="210"/>
        <v/>
      </c>
      <c r="SXH22" s="73" t="str">
        <f t="shared" si="210"/>
        <v/>
      </c>
      <c r="SXI22" s="73" t="str">
        <f t="shared" si="210"/>
        <v/>
      </c>
      <c r="SXJ22" s="73" t="str">
        <f t="shared" si="210"/>
        <v/>
      </c>
      <c r="SXK22" s="73" t="str">
        <f t="shared" si="210"/>
        <v/>
      </c>
      <c r="SXL22" s="73" t="str">
        <f t="shared" si="210"/>
        <v/>
      </c>
      <c r="SXM22" s="73" t="str">
        <f t="shared" si="210"/>
        <v/>
      </c>
      <c r="SXN22" s="73" t="str">
        <f t="shared" si="210"/>
        <v/>
      </c>
      <c r="SXO22" s="73" t="str">
        <f t="shared" si="210"/>
        <v/>
      </c>
      <c r="SXP22" s="73" t="str">
        <f t="shared" si="210"/>
        <v/>
      </c>
      <c r="SXQ22" s="73" t="str">
        <f t="shared" si="210"/>
        <v/>
      </c>
      <c r="SXR22" s="73" t="str">
        <f t="shared" si="210"/>
        <v/>
      </c>
      <c r="SXS22" s="73" t="str">
        <f t="shared" si="210"/>
        <v/>
      </c>
      <c r="SXT22" s="73" t="str">
        <f t="shared" si="210"/>
        <v/>
      </c>
      <c r="SXU22" s="73" t="str">
        <f t="shared" si="210"/>
        <v/>
      </c>
      <c r="SXV22" s="73" t="str">
        <f t="shared" si="210"/>
        <v/>
      </c>
      <c r="SXW22" s="73" t="str">
        <f t="shared" si="210"/>
        <v/>
      </c>
      <c r="SXX22" s="73" t="str">
        <f t="shared" si="210"/>
        <v/>
      </c>
      <c r="SXY22" s="73" t="str">
        <f t="shared" si="210"/>
        <v/>
      </c>
      <c r="SXZ22" s="73" t="str">
        <f t="shared" si="210"/>
        <v/>
      </c>
      <c r="SYA22" s="73" t="str">
        <f t="shared" si="210"/>
        <v/>
      </c>
      <c r="SYB22" s="73" t="str">
        <f t="shared" si="210"/>
        <v/>
      </c>
      <c r="SYC22" s="73" t="str">
        <f t="shared" si="210"/>
        <v/>
      </c>
      <c r="SYD22" s="73" t="str">
        <f t="shared" si="210"/>
        <v/>
      </c>
      <c r="SYE22" s="73" t="str">
        <f t="shared" si="210"/>
        <v/>
      </c>
      <c r="SYF22" s="73" t="str">
        <f t="shared" si="210"/>
        <v/>
      </c>
      <c r="SYG22" s="73" t="str">
        <f t="shared" si="210"/>
        <v/>
      </c>
      <c r="SYH22" s="73" t="str">
        <f t="shared" si="210"/>
        <v/>
      </c>
      <c r="SYI22" s="73" t="str">
        <f t="shared" si="210"/>
        <v/>
      </c>
      <c r="SYJ22" s="73" t="str">
        <f t="shared" si="210"/>
        <v/>
      </c>
      <c r="SYK22" s="73" t="str">
        <f t="shared" si="210"/>
        <v/>
      </c>
      <c r="SYL22" s="73" t="str">
        <f t="shared" si="210"/>
        <v/>
      </c>
      <c r="SYM22" s="73" t="str">
        <f t="shared" si="210"/>
        <v/>
      </c>
      <c r="SYN22" s="73" t="str">
        <f t="shared" si="210"/>
        <v/>
      </c>
      <c r="SYO22" s="73" t="str">
        <f t="shared" si="210"/>
        <v/>
      </c>
      <c r="SYP22" s="73" t="str">
        <f t="shared" ref="SYP22:TBA22" si="211">IFERROR(AVERAGE(SYP6:SYP21),"")</f>
        <v/>
      </c>
      <c r="SYQ22" s="73" t="str">
        <f t="shared" si="211"/>
        <v/>
      </c>
      <c r="SYR22" s="73" t="str">
        <f t="shared" si="211"/>
        <v/>
      </c>
      <c r="SYS22" s="73" t="str">
        <f t="shared" si="211"/>
        <v/>
      </c>
      <c r="SYT22" s="73" t="str">
        <f t="shared" si="211"/>
        <v/>
      </c>
      <c r="SYU22" s="73" t="str">
        <f t="shared" si="211"/>
        <v/>
      </c>
      <c r="SYV22" s="73" t="str">
        <f t="shared" si="211"/>
        <v/>
      </c>
      <c r="SYW22" s="73" t="str">
        <f t="shared" si="211"/>
        <v/>
      </c>
      <c r="SYX22" s="73" t="str">
        <f t="shared" si="211"/>
        <v/>
      </c>
      <c r="SYY22" s="73" t="str">
        <f t="shared" si="211"/>
        <v/>
      </c>
      <c r="SYZ22" s="73" t="str">
        <f t="shared" si="211"/>
        <v/>
      </c>
      <c r="SZA22" s="73" t="str">
        <f t="shared" si="211"/>
        <v/>
      </c>
      <c r="SZB22" s="73" t="str">
        <f t="shared" si="211"/>
        <v/>
      </c>
      <c r="SZC22" s="73" t="str">
        <f t="shared" si="211"/>
        <v/>
      </c>
      <c r="SZD22" s="73" t="str">
        <f t="shared" si="211"/>
        <v/>
      </c>
      <c r="SZE22" s="73" t="str">
        <f t="shared" si="211"/>
        <v/>
      </c>
      <c r="SZF22" s="73" t="str">
        <f t="shared" si="211"/>
        <v/>
      </c>
      <c r="SZG22" s="73" t="str">
        <f t="shared" si="211"/>
        <v/>
      </c>
      <c r="SZH22" s="73" t="str">
        <f t="shared" si="211"/>
        <v/>
      </c>
      <c r="SZI22" s="73" t="str">
        <f t="shared" si="211"/>
        <v/>
      </c>
      <c r="SZJ22" s="73" t="str">
        <f t="shared" si="211"/>
        <v/>
      </c>
      <c r="SZK22" s="73" t="str">
        <f t="shared" si="211"/>
        <v/>
      </c>
      <c r="SZL22" s="73" t="str">
        <f t="shared" si="211"/>
        <v/>
      </c>
      <c r="SZM22" s="73" t="str">
        <f t="shared" si="211"/>
        <v/>
      </c>
      <c r="SZN22" s="73" t="str">
        <f t="shared" si="211"/>
        <v/>
      </c>
      <c r="SZO22" s="73" t="str">
        <f t="shared" si="211"/>
        <v/>
      </c>
      <c r="SZP22" s="73" t="str">
        <f t="shared" si="211"/>
        <v/>
      </c>
      <c r="SZQ22" s="73" t="str">
        <f t="shared" si="211"/>
        <v/>
      </c>
      <c r="SZR22" s="73" t="str">
        <f t="shared" si="211"/>
        <v/>
      </c>
      <c r="SZS22" s="73" t="str">
        <f t="shared" si="211"/>
        <v/>
      </c>
      <c r="SZT22" s="73" t="str">
        <f t="shared" si="211"/>
        <v/>
      </c>
      <c r="SZU22" s="73" t="str">
        <f t="shared" si="211"/>
        <v/>
      </c>
      <c r="SZV22" s="73" t="str">
        <f t="shared" si="211"/>
        <v/>
      </c>
      <c r="SZW22" s="73" t="str">
        <f t="shared" si="211"/>
        <v/>
      </c>
      <c r="SZX22" s="73" t="str">
        <f t="shared" si="211"/>
        <v/>
      </c>
      <c r="SZY22" s="73" t="str">
        <f t="shared" si="211"/>
        <v/>
      </c>
      <c r="SZZ22" s="73" t="str">
        <f t="shared" si="211"/>
        <v/>
      </c>
      <c r="TAA22" s="73" t="str">
        <f t="shared" si="211"/>
        <v/>
      </c>
      <c r="TAB22" s="73" t="str">
        <f t="shared" si="211"/>
        <v/>
      </c>
      <c r="TAC22" s="73" t="str">
        <f t="shared" si="211"/>
        <v/>
      </c>
      <c r="TAD22" s="73" t="str">
        <f t="shared" si="211"/>
        <v/>
      </c>
      <c r="TAE22" s="73" t="str">
        <f t="shared" si="211"/>
        <v/>
      </c>
      <c r="TAF22" s="73" t="str">
        <f t="shared" si="211"/>
        <v/>
      </c>
      <c r="TAG22" s="73" t="str">
        <f t="shared" si="211"/>
        <v/>
      </c>
      <c r="TAH22" s="73" t="str">
        <f t="shared" si="211"/>
        <v/>
      </c>
      <c r="TAI22" s="73" t="str">
        <f t="shared" si="211"/>
        <v/>
      </c>
      <c r="TAJ22" s="73" t="str">
        <f t="shared" si="211"/>
        <v/>
      </c>
      <c r="TAK22" s="73" t="str">
        <f t="shared" si="211"/>
        <v/>
      </c>
      <c r="TAL22" s="73" t="str">
        <f t="shared" si="211"/>
        <v/>
      </c>
      <c r="TAM22" s="73" t="str">
        <f t="shared" si="211"/>
        <v/>
      </c>
      <c r="TAN22" s="73" t="str">
        <f t="shared" si="211"/>
        <v/>
      </c>
      <c r="TAO22" s="73" t="str">
        <f t="shared" si="211"/>
        <v/>
      </c>
      <c r="TAP22" s="73" t="str">
        <f t="shared" si="211"/>
        <v/>
      </c>
      <c r="TAQ22" s="73" t="str">
        <f t="shared" si="211"/>
        <v/>
      </c>
      <c r="TAR22" s="73" t="str">
        <f t="shared" si="211"/>
        <v/>
      </c>
      <c r="TAS22" s="73" t="str">
        <f t="shared" si="211"/>
        <v/>
      </c>
      <c r="TAT22" s="73" t="str">
        <f t="shared" si="211"/>
        <v/>
      </c>
      <c r="TAU22" s="73" t="str">
        <f t="shared" si="211"/>
        <v/>
      </c>
      <c r="TAV22" s="73" t="str">
        <f t="shared" si="211"/>
        <v/>
      </c>
      <c r="TAW22" s="73" t="str">
        <f t="shared" si="211"/>
        <v/>
      </c>
      <c r="TAX22" s="73" t="str">
        <f t="shared" si="211"/>
        <v/>
      </c>
      <c r="TAY22" s="73" t="str">
        <f t="shared" si="211"/>
        <v/>
      </c>
      <c r="TAZ22" s="73" t="str">
        <f t="shared" si="211"/>
        <v/>
      </c>
      <c r="TBA22" s="73" t="str">
        <f t="shared" si="211"/>
        <v/>
      </c>
      <c r="TBB22" s="73" t="str">
        <f t="shared" ref="TBB22:TDM22" si="212">IFERROR(AVERAGE(TBB6:TBB21),"")</f>
        <v/>
      </c>
      <c r="TBC22" s="73" t="str">
        <f t="shared" si="212"/>
        <v/>
      </c>
      <c r="TBD22" s="73" t="str">
        <f t="shared" si="212"/>
        <v/>
      </c>
      <c r="TBE22" s="73" t="str">
        <f t="shared" si="212"/>
        <v/>
      </c>
      <c r="TBF22" s="73" t="str">
        <f t="shared" si="212"/>
        <v/>
      </c>
      <c r="TBG22" s="73" t="str">
        <f t="shared" si="212"/>
        <v/>
      </c>
      <c r="TBH22" s="73" t="str">
        <f t="shared" si="212"/>
        <v/>
      </c>
      <c r="TBI22" s="73" t="str">
        <f t="shared" si="212"/>
        <v/>
      </c>
      <c r="TBJ22" s="73" t="str">
        <f t="shared" si="212"/>
        <v/>
      </c>
      <c r="TBK22" s="73" t="str">
        <f t="shared" si="212"/>
        <v/>
      </c>
      <c r="TBL22" s="73" t="str">
        <f t="shared" si="212"/>
        <v/>
      </c>
      <c r="TBM22" s="73" t="str">
        <f t="shared" si="212"/>
        <v/>
      </c>
      <c r="TBN22" s="73" t="str">
        <f t="shared" si="212"/>
        <v/>
      </c>
      <c r="TBO22" s="73" t="str">
        <f t="shared" si="212"/>
        <v/>
      </c>
      <c r="TBP22" s="73" t="str">
        <f t="shared" si="212"/>
        <v/>
      </c>
      <c r="TBQ22" s="73" t="str">
        <f t="shared" si="212"/>
        <v/>
      </c>
      <c r="TBR22" s="73" t="str">
        <f t="shared" si="212"/>
        <v/>
      </c>
      <c r="TBS22" s="73" t="str">
        <f t="shared" si="212"/>
        <v/>
      </c>
      <c r="TBT22" s="73" t="str">
        <f t="shared" si="212"/>
        <v/>
      </c>
      <c r="TBU22" s="73" t="str">
        <f t="shared" si="212"/>
        <v/>
      </c>
      <c r="TBV22" s="73" t="str">
        <f t="shared" si="212"/>
        <v/>
      </c>
      <c r="TBW22" s="73" t="str">
        <f t="shared" si="212"/>
        <v/>
      </c>
      <c r="TBX22" s="73" t="str">
        <f t="shared" si="212"/>
        <v/>
      </c>
      <c r="TBY22" s="73" t="str">
        <f t="shared" si="212"/>
        <v/>
      </c>
      <c r="TBZ22" s="73" t="str">
        <f t="shared" si="212"/>
        <v/>
      </c>
      <c r="TCA22" s="73" t="str">
        <f t="shared" si="212"/>
        <v/>
      </c>
      <c r="TCB22" s="73" t="str">
        <f t="shared" si="212"/>
        <v/>
      </c>
      <c r="TCC22" s="73" t="str">
        <f t="shared" si="212"/>
        <v/>
      </c>
      <c r="TCD22" s="73" t="str">
        <f t="shared" si="212"/>
        <v/>
      </c>
      <c r="TCE22" s="73" t="str">
        <f t="shared" si="212"/>
        <v/>
      </c>
      <c r="TCF22" s="73" t="str">
        <f t="shared" si="212"/>
        <v/>
      </c>
      <c r="TCG22" s="73" t="str">
        <f t="shared" si="212"/>
        <v/>
      </c>
      <c r="TCH22" s="73" t="str">
        <f t="shared" si="212"/>
        <v/>
      </c>
      <c r="TCI22" s="73" t="str">
        <f t="shared" si="212"/>
        <v/>
      </c>
      <c r="TCJ22" s="73" t="str">
        <f t="shared" si="212"/>
        <v/>
      </c>
      <c r="TCK22" s="73" t="str">
        <f t="shared" si="212"/>
        <v/>
      </c>
      <c r="TCL22" s="73" t="str">
        <f t="shared" si="212"/>
        <v/>
      </c>
      <c r="TCM22" s="73" t="str">
        <f t="shared" si="212"/>
        <v/>
      </c>
      <c r="TCN22" s="73" t="str">
        <f t="shared" si="212"/>
        <v/>
      </c>
      <c r="TCO22" s="73" t="str">
        <f t="shared" si="212"/>
        <v/>
      </c>
      <c r="TCP22" s="73" t="str">
        <f t="shared" si="212"/>
        <v/>
      </c>
      <c r="TCQ22" s="73" t="str">
        <f t="shared" si="212"/>
        <v/>
      </c>
      <c r="TCR22" s="73" t="str">
        <f t="shared" si="212"/>
        <v/>
      </c>
      <c r="TCS22" s="73" t="str">
        <f t="shared" si="212"/>
        <v/>
      </c>
      <c r="TCT22" s="73" t="str">
        <f t="shared" si="212"/>
        <v/>
      </c>
      <c r="TCU22" s="73" t="str">
        <f t="shared" si="212"/>
        <v/>
      </c>
      <c r="TCV22" s="73" t="str">
        <f t="shared" si="212"/>
        <v/>
      </c>
      <c r="TCW22" s="73" t="str">
        <f t="shared" si="212"/>
        <v/>
      </c>
      <c r="TCX22" s="73" t="str">
        <f t="shared" si="212"/>
        <v/>
      </c>
      <c r="TCY22" s="73" t="str">
        <f t="shared" si="212"/>
        <v/>
      </c>
      <c r="TCZ22" s="73" t="str">
        <f t="shared" si="212"/>
        <v/>
      </c>
      <c r="TDA22" s="73" t="str">
        <f t="shared" si="212"/>
        <v/>
      </c>
      <c r="TDB22" s="73" t="str">
        <f t="shared" si="212"/>
        <v/>
      </c>
      <c r="TDC22" s="73" t="str">
        <f t="shared" si="212"/>
        <v/>
      </c>
      <c r="TDD22" s="73" t="str">
        <f t="shared" si="212"/>
        <v/>
      </c>
      <c r="TDE22" s="73" t="str">
        <f t="shared" si="212"/>
        <v/>
      </c>
      <c r="TDF22" s="73" t="str">
        <f t="shared" si="212"/>
        <v/>
      </c>
      <c r="TDG22" s="73" t="str">
        <f t="shared" si="212"/>
        <v/>
      </c>
      <c r="TDH22" s="73" t="str">
        <f t="shared" si="212"/>
        <v/>
      </c>
      <c r="TDI22" s="73" t="str">
        <f t="shared" si="212"/>
        <v/>
      </c>
      <c r="TDJ22" s="73" t="str">
        <f t="shared" si="212"/>
        <v/>
      </c>
      <c r="TDK22" s="73" t="str">
        <f t="shared" si="212"/>
        <v/>
      </c>
      <c r="TDL22" s="73" t="str">
        <f t="shared" si="212"/>
        <v/>
      </c>
      <c r="TDM22" s="73" t="str">
        <f t="shared" si="212"/>
        <v/>
      </c>
      <c r="TDN22" s="73" t="str">
        <f t="shared" ref="TDN22:TFY22" si="213">IFERROR(AVERAGE(TDN6:TDN21),"")</f>
        <v/>
      </c>
      <c r="TDO22" s="73" t="str">
        <f t="shared" si="213"/>
        <v/>
      </c>
      <c r="TDP22" s="73" t="str">
        <f t="shared" si="213"/>
        <v/>
      </c>
      <c r="TDQ22" s="73" t="str">
        <f t="shared" si="213"/>
        <v/>
      </c>
      <c r="TDR22" s="73" t="str">
        <f t="shared" si="213"/>
        <v/>
      </c>
      <c r="TDS22" s="73" t="str">
        <f t="shared" si="213"/>
        <v/>
      </c>
      <c r="TDT22" s="73" t="str">
        <f t="shared" si="213"/>
        <v/>
      </c>
      <c r="TDU22" s="73" t="str">
        <f t="shared" si="213"/>
        <v/>
      </c>
      <c r="TDV22" s="73" t="str">
        <f t="shared" si="213"/>
        <v/>
      </c>
      <c r="TDW22" s="73" t="str">
        <f t="shared" si="213"/>
        <v/>
      </c>
      <c r="TDX22" s="73" t="str">
        <f t="shared" si="213"/>
        <v/>
      </c>
      <c r="TDY22" s="73" t="str">
        <f t="shared" si="213"/>
        <v/>
      </c>
      <c r="TDZ22" s="73" t="str">
        <f t="shared" si="213"/>
        <v/>
      </c>
      <c r="TEA22" s="73" t="str">
        <f t="shared" si="213"/>
        <v/>
      </c>
      <c r="TEB22" s="73" t="str">
        <f t="shared" si="213"/>
        <v/>
      </c>
      <c r="TEC22" s="73" t="str">
        <f t="shared" si="213"/>
        <v/>
      </c>
      <c r="TED22" s="73" t="str">
        <f t="shared" si="213"/>
        <v/>
      </c>
      <c r="TEE22" s="73" t="str">
        <f t="shared" si="213"/>
        <v/>
      </c>
      <c r="TEF22" s="73" t="str">
        <f t="shared" si="213"/>
        <v/>
      </c>
      <c r="TEG22" s="73" t="str">
        <f t="shared" si="213"/>
        <v/>
      </c>
      <c r="TEH22" s="73" t="str">
        <f t="shared" si="213"/>
        <v/>
      </c>
      <c r="TEI22" s="73" t="str">
        <f t="shared" si="213"/>
        <v/>
      </c>
      <c r="TEJ22" s="73" t="str">
        <f t="shared" si="213"/>
        <v/>
      </c>
      <c r="TEK22" s="73" t="str">
        <f t="shared" si="213"/>
        <v/>
      </c>
      <c r="TEL22" s="73" t="str">
        <f t="shared" si="213"/>
        <v/>
      </c>
      <c r="TEM22" s="73" t="str">
        <f t="shared" si="213"/>
        <v/>
      </c>
      <c r="TEN22" s="73" t="str">
        <f t="shared" si="213"/>
        <v/>
      </c>
      <c r="TEO22" s="73" t="str">
        <f t="shared" si="213"/>
        <v/>
      </c>
      <c r="TEP22" s="73" t="str">
        <f t="shared" si="213"/>
        <v/>
      </c>
      <c r="TEQ22" s="73" t="str">
        <f t="shared" si="213"/>
        <v/>
      </c>
      <c r="TER22" s="73" t="str">
        <f t="shared" si="213"/>
        <v/>
      </c>
      <c r="TES22" s="73" t="str">
        <f t="shared" si="213"/>
        <v/>
      </c>
      <c r="TET22" s="73" t="str">
        <f t="shared" si="213"/>
        <v/>
      </c>
      <c r="TEU22" s="73" t="str">
        <f t="shared" si="213"/>
        <v/>
      </c>
      <c r="TEV22" s="73" t="str">
        <f t="shared" si="213"/>
        <v/>
      </c>
      <c r="TEW22" s="73" t="str">
        <f t="shared" si="213"/>
        <v/>
      </c>
      <c r="TEX22" s="73" t="str">
        <f t="shared" si="213"/>
        <v/>
      </c>
      <c r="TEY22" s="73" t="str">
        <f t="shared" si="213"/>
        <v/>
      </c>
      <c r="TEZ22" s="73" t="str">
        <f t="shared" si="213"/>
        <v/>
      </c>
      <c r="TFA22" s="73" t="str">
        <f t="shared" si="213"/>
        <v/>
      </c>
      <c r="TFB22" s="73" t="str">
        <f t="shared" si="213"/>
        <v/>
      </c>
      <c r="TFC22" s="73" t="str">
        <f t="shared" si="213"/>
        <v/>
      </c>
      <c r="TFD22" s="73" t="str">
        <f t="shared" si="213"/>
        <v/>
      </c>
      <c r="TFE22" s="73" t="str">
        <f t="shared" si="213"/>
        <v/>
      </c>
      <c r="TFF22" s="73" t="str">
        <f t="shared" si="213"/>
        <v/>
      </c>
      <c r="TFG22" s="73" t="str">
        <f t="shared" si="213"/>
        <v/>
      </c>
      <c r="TFH22" s="73" t="str">
        <f t="shared" si="213"/>
        <v/>
      </c>
      <c r="TFI22" s="73" t="str">
        <f t="shared" si="213"/>
        <v/>
      </c>
      <c r="TFJ22" s="73" t="str">
        <f t="shared" si="213"/>
        <v/>
      </c>
      <c r="TFK22" s="73" t="str">
        <f t="shared" si="213"/>
        <v/>
      </c>
      <c r="TFL22" s="73" t="str">
        <f t="shared" si="213"/>
        <v/>
      </c>
      <c r="TFM22" s="73" t="str">
        <f t="shared" si="213"/>
        <v/>
      </c>
      <c r="TFN22" s="73" t="str">
        <f t="shared" si="213"/>
        <v/>
      </c>
      <c r="TFO22" s="73" t="str">
        <f t="shared" si="213"/>
        <v/>
      </c>
      <c r="TFP22" s="73" t="str">
        <f t="shared" si="213"/>
        <v/>
      </c>
      <c r="TFQ22" s="73" t="str">
        <f t="shared" si="213"/>
        <v/>
      </c>
      <c r="TFR22" s="73" t="str">
        <f t="shared" si="213"/>
        <v/>
      </c>
      <c r="TFS22" s="73" t="str">
        <f t="shared" si="213"/>
        <v/>
      </c>
      <c r="TFT22" s="73" t="str">
        <f t="shared" si="213"/>
        <v/>
      </c>
      <c r="TFU22" s="73" t="str">
        <f t="shared" si="213"/>
        <v/>
      </c>
      <c r="TFV22" s="73" t="str">
        <f t="shared" si="213"/>
        <v/>
      </c>
      <c r="TFW22" s="73" t="str">
        <f t="shared" si="213"/>
        <v/>
      </c>
      <c r="TFX22" s="73" t="str">
        <f t="shared" si="213"/>
        <v/>
      </c>
      <c r="TFY22" s="73" t="str">
        <f t="shared" si="213"/>
        <v/>
      </c>
      <c r="TFZ22" s="73" t="str">
        <f t="shared" ref="TFZ22:TIK22" si="214">IFERROR(AVERAGE(TFZ6:TFZ21),"")</f>
        <v/>
      </c>
      <c r="TGA22" s="73" t="str">
        <f t="shared" si="214"/>
        <v/>
      </c>
      <c r="TGB22" s="73" t="str">
        <f t="shared" si="214"/>
        <v/>
      </c>
      <c r="TGC22" s="73" t="str">
        <f t="shared" si="214"/>
        <v/>
      </c>
      <c r="TGD22" s="73" t="str">
        <f t="shared" si="214"/>
        <v/>
      </c>
      <c r="TGE22" s="73" t="str">
        <f t="shared" si="214"/>
        <v/>
      </c>
      <c r="TGF22" s="73" t="str">
        <f t="shared" si="214"/>
        <v/>
      </c>
      <c r="TGG22" s="73" t="str">
        <f t="shared" si="214"/>
        <v/>
      </c>
      <c r="TGH22" s="73" t="str">
        <f t="shared" si="214"/>
        <v/>
      </c>
      <c r="TGI22" s="73" t="str">
        <f t="shared" si="214"/>
        <v/>
      </c>
      <c r="TGJ22" s="73" t="str">
        <f t="shared" si="214"/>
        <v/>
      </c>
      <c r="TGK22" s="73" t="str">
        <f t="shared" si="214"/>
        <v/>
      </c>
      <c r="TGL22" s="73" t="str">
        <f t="shared" si="214"/>
        <v/>
      </c>
      <c r="TGM22" s="73" t="str">
        <f t="shared" si="214"/>
        <v/>
      </c>
      <c r="TGN22" s="73" t="str">
        <f t="shared" si="214"/>
        <v/>
      </c>
      <c r="TGO22" s="73" t="str">
        <f t="shared" si="214"/>
        <v/>
      </c>
      <c r="TGP22" s="73" t="str">
        <f t="shared" si="214"/>
        <v/>
      </c>
      <c r="TGQ22" s="73" t="str">
        <f t="shared" si="214"/>
        <v/>
      </c>
      <c r="TGR22" s="73" t="str">
        <f t="shared" si="214"/>
        <v/>
      </c>
      <c r="TGS22" s="73" t="str">
        <f t="shared" si="214"/>
        <v/>
      </c>
      <c r="TGT22" s="73" t="str">
        <f t="shared" si="214"/>
        <v/>
      </c>
      <c r="TGU22" s="73" t="str">
        <f t="shared" si="214"/>
        <v/>
      </c>
      <c r="TGV22" s="73" t="str">
        <f t="shared" si="214"/>
        <v/>
      </c>
      <c r="TGW22" s="73" t="str">
        <f t="shared" si="214"/>
        <v/>
      </c>
      <c r="TGX22" s="73" t="str">
        <f t="shared" si="214"/>
        <v/>
      </c>
      <c r="TGY22" s="73" t="str">
        <f t="shared" si="214"/>
        <v/>
      </c>
      <c r="TGZ22" s="73" t="str">
        <f t="shared" si="214"/>
        <v/>
      </c>
      <c r="THA22" s="73" t="str">
        <f t="shared" si="214"/>
        <v/>
      </c>
      <c r="THB22" s="73" t="str">
        <f t="shared" si="214"/>
        <v/>
      </c>
      <c r="THC22" s="73" t="str">
        <f t="shared" si="214"/>
        <v/>
      </c>
      <c r="THD22" s="73" t="str">
        <f t="shared" si="214"/>
        <v/>
      </c>
      <c r="THE22" s="73" t="str">
        <f t="shared" si="214"/>
        <v/>
      </c>
      <c r="THF22" s="73" t="str">
        <f t="shared" si="214"/>
        <v/>
      </c>
      <c r="THG22" s="73" t="str">
        <f t="shared" si="214"/>
        <v/>
      </c>
      <c r="THH22" s="73" t="str">
        <f t="shared" si="214"/>
        <v/>
      </c>
      <c r="THI22" s="73" t="str">
        <f t="shared" si="214"/>
        <v/>
      </c>
      <c r="THJ22" s="73" t="str">
        <f t="shared" si="214"/>
        <v/>
      </c>
      <c r="THK22" s="73" t="str">
        <f t="shared" si="214"/>
        <v/>
      </c>
      <c r="THL22" s="73" t="str">
        <f t="shared" si="214"/>
        <v/>
      </c>
      <c r="THM22" s="73" t="str">
        <f t="shared" si="214"/>
        <v/>
      </c>
      <c r="THN22" s="73" t="str">
        <f t="shared" si="214"/>
        <v/>
      </c>
      <c r="THO22" s="73" t="str">
        <f t="shared" si="214"/>
        <v/>
      </c>
      <c r="THP22" s="73" t="str">
        <f t="shared" si="214"/>
        <v/>
      </c>
      <c r="THQ22" s="73" t="str">
        <f t="shared" si="214"/>
        <v/>
      </c>
      <c r="THR22" s="73" t="str">
        <f t="shared" si="214"/>
        <v/>
      </c>
      <c r="THS22" s="73" t="str">
        <f t="shared" si="214"/>
        <v/>
      </c>
      <c r="THT22" s="73" t="str">
        <f t="shared" si="214"/>
        <v/>
      </c>
      <c r="THU22" s="73" t="str">
        <f t="shared" si="214"/>
        <v/>
      </c>
      <c r="THV22" s="73" t="str">
        <f t="shared" si="214"/>
        <v/>
      </c>
      <c r="THW22" s="73" t="str">
        <f t="shared" si="214"/>
        <v/>
      </c>
      <c r="THX22" s="73" t="str">
        <f t="shared" si="214"/>
        <v/>
      </c>
      <c r="THY22" s="73" t="str">
        <f t="shared" si="214"/>
        <v/>
      </c>
      <c r="THZ22" s="73" t="str">
        <f t="shared" si="214"/>
        <v/>
      </c>
      <c r="TIA22" s="73" t="str">
        <f t="shared" si="214"/>
        <v/>
      </c>
      <c r="TIB22" s="73" t="str">
        <f t="shared" si="214"/>
        <v/>
      </c>
      <c r="TIC22" s="73" t="str">
        <f t="shared" si="214"/>
        <v/>
      </c>
      <c r="TID22" s="73" t="str">
        <f t="shared" si="214"/>
        <v/>
      </c>
      <c r="TIE22" s="73" t="str">
        <f t="shared" si="214"/>
        <v/>
      </c>
      <c r="TIF22" s="73" t="str">
        <f t="shared" si="214"/>
        <v/>
      </c>
      <c r="TIG22" s="73" t="str">
        <f t="shared" si="214"/>
        <v/>
      </c>
      <c r="TIH22" s="73" t="str">
        <f t="shared" si="214"/>
        <v/>
      </c>
      <c r="TII22" s="73" t="str">
        <f t="shared" si="214"/>
        <v/>
      </c>
      <c r="TIJ22" s="73" t="str">
        <f t="shared" si="214"/>
        <v/>
      </c>
      <c r="TIK22" s="73" t="str">
        <f t="shared" si="214"/>
        <v/>
      </c>
      <c r="TIL22" s="73" t="str">
        <f t="shared" ref="TIL22:TKW22" si="215">IFERROR(AVERAGE(TIL6:TIL21),"")</f>
        <v/>
      </c>
      <c r="TIM22" s="73" t="str">
        <f t="shared" si="215"/>
        <v/>
      </c>
      <c r="TIN22" s="73" t="str">
        <f t="shared" si="215"/>
        <v/>
      </c>
      <c r="TIO22" s="73" t="str">
        <f t="shared" si="215"/>
        <v/>
      </c>
      <c r="TIP22" s="73" t="str">
        <f t="shared" si="215"/>
        <v/>
      </c>
      <c r="TIQ22" s="73" t="str">
        <f t="shared" si="215"/>
        <v/>
      </c>
      <c r="TIR22" s="73" t="str">
        <f t="shared" si="215"/>
        <v/>
      </c>
      <c r="TIS22" s="73" t="str">
        <f t="shared" si="215"/>
        <v/>
      </c>
      <c r="TIT22" s="73" t="str">
        <f t="shared" si="215"/>
        <v/>
      </c>
      <c r="TIU22" s="73" t="str">
        <f t="shared" si="215"/>
        <v/>
      </c>
      <c r="TIV22" s="73" t="str">
        <f t="shared" si="215"/>
        <v/>
      </c>
      <c r="TIW22" s="73" t="str">
        <f t="shared" si="215"/>
        <v/>
      </c>
      <c r="TIX22" s="73" t="str">
        <f t="shared" si="215"/>
        <v/>
      </c>
      <c r="TIY22" s="73" t="str">
        <f t="shared" si="215"/>
        <v/>
      </c>
      <c r="TIZ22" s="73" t="str">
        <f t="shared" si="215"/>
        <v/>
      </c>
      <c r="TJA22" s="73" t="str">
        <f t="shared" si="215"/>
        <v/>
      </c>
      <c r="TJB22" s="73" t="str">
        <f t="shared" si="215"/>
        <v/>
      </c>
      <c r="TJC22" s="73" t="str">
        <f t="shared" si="215"/>
        <v/>
      </c>
      <c r="TJD22" s="73" t="str">
        <f t="shared" si="215"/>
        <v/>
      </c>
      <c r="TJE22" s="73" t="str">
        <f t="shared" si="215"/>
        <v/>
      </c>
      <c r="TJF22" s="73" t="str">
        <f t="shared" si="215"/>
        <v/>
      </c>
      <c r="TJG22" s="73" t="str">
        <f t="shared" si="215"/>
        <v/>
      </c>
      <c r="TJH22" s="73" t="str">
        <f t="shared" si="215"/>
        <v/>
      </c>
      <c r="TJI22" s="73" t="str">
        <f t="shared" si="215"/>
        <v/>
      </c>
      <c r="TJJ22" s="73" t="str">
        <f t="shared" si="215"/>
        <v/>
      </c>
      <c r="TJK22" s="73" t="str">
        <f t="shared" si="215"/>
        <v/>
      </c>
      <c r="TJL22" s="73" t="str">
        <f t="shared" si="215"/>
        <v/>
      </c>
      <c r="TJM22" s="73" t="str">
        <f t="shared" si="215"/>
        <v/>
      </c>
      <c r="TJN22" s="73" t="str">
        <f t="shared" si="215"/>
        <v/>
      </c>
      <c r="TJO22" s="73" t="str">
        <f t="shared" si="215"/>
        <v/>
      </c>
      <c r="TJP22" s="73" t="str">
        <f t="shared" si="215"/>
        <v/>
      </c>
      <c r="TJQ22" s="73" t="str">
        <f t="shared" si="215"/>
        <v/>
      </c>
      <c r="TJR22" s="73" t="str">
        <f t="shared" si="215"/>
        <v/>
      </c>
      <c r="TJS22" s="73" t="str">
        <f t="shared" si="215"/>
        <v/>
      </c>
      <c r="TJT22" s="73" t="str">
        <f t="shared" si="215"/>
        <v/>
      </c>
      <c r="TJU22" s="73" t="str">
        <f t="shared" si="215"/>
        <v/>
      </c>
      <c r="TJV22" s="73" t="str">
        <f t="shared" si="215"/>
        <v/>
      </c>
      <c r="TJW22" s="73" t="str">
        <f t="shared" si="215"/>
        <v/>
      </c>
      <c r="TJX22" s="73" t="str">
        <f t="shared" si="215"/>
        <v/>
      </c>
      <c r="TJY22" s="73" t="str">
        <f t="shared" si="215"/>
        <v/>
      </c>
      <c r="TJZ22" s="73" t="str">
        <f t="shared" si="215"/>
        <v/>
      </c>
      <c r="TKA22" s="73" t="str">
        <f t="shared" si="215"/>
        <v/>
      </c>
      <c r="TKB22" s="73" t="str">
        <f t="shared" si="215"/>
        <v/>
      </c>
      <c r="TKC22" s="73" t="str">
        <f t="shared" si="215"/>
        <v/>
      </c>
      <c r="TKD22" s="73" t="str">
        <f t="shared" si="215"/>
        <v/>
      </c>
      <c r="TKE22" s="73" t="str">
        <f t="shared" si="215"/>
        <v/>
      </c>
      <c r="TKF22" s="73" t="str">
        <f t="shared" si="215"/>
        <v/>
      </c>
      <c r="TKG22" s="73" t="str">
        <f t="shared" si="215"/>
        <v/>
      </c>
      <c r="TKH22" s="73" t="str">
        <f t="shared" si="215"/>
        <v/>
      </c>
      <c r="TKI22" s="73" t="str">
        <f t="shared" si="215"/>
        <v/>
      </c>
      <c r="TKJ22" s="73" t="str">
        <f t="shared" si="215"/>
        <v/>
      </c>
      <c r="TKK22" s="73" t="str">
        <f t="shared" si="215"/>
        <v/>
      </c>
      <c r="TKL22" s="73" t="str">
        <f t="shared" si="215"/>
        <v/>
      </c>
      <c r="TKM22" s="73" t="str">
        <f t="shared" si="215"/>
        <v/>
      </c>
      <c r="TKN22" s="73" t="str">
        <f t="shared" si="215"/>
        <v/>
      </c>
      <c r="TKO22" s="73" t="str">
        <f t="shared" si="215"/>
        <v/>
      </c>
      <c r="TKP22" s="73" t="str">
        <f t="shared" si="215"/>
        <v/>
      </c>
      <c r="TKQ22" s="73" t="str">
        <f t="shared" si="215"/>
        <v/>
      </c>
      <c r="TKR22" s="73" t="str">
        <f t="shared" si="215"/>
        <v/>
      </c>
      <c r="TKS22" s="73" t="str">
        <f t="shared" si="215"/>
        <v/>
      </c>
      <c r="TKT22" s="73" t="str">
        <f t="shared" si="215"/>
        <v/>
      </c>
      <c r="TKU22" s="73" t="str">
        <f t="shared" si="215"/>
        <v/>
      </c>
      <c r="TKV22" s="73" t="str">
        <f t="shared" si="215"/>
        <v/>
      </c>
      <c r="TKW22" s="73" t="str">
        <f t="shared" si="215"/>
        <v/>
      </c>
      <c r="TKX22" s="73" t="str">
        <f t="shared" ref="TKX22:TNI22" si="216">IFERROR(AVERAGE(TKX6:TKX21),"")</f>
        <v/>
      </c>
      <c r="TKY22" s="73" t="str">
        <f t="shared" si="216"/>
        <v/>
      </c>
      <c r="TKZ22" s="73" t="str">
        <f t="shared" si="216"/>
        <v/>
      </c>
      <c r="TLA22" s="73" t="str">
        <f t="shared" si="216"/>
        <v/>
      </c>
      <c r="TLB22" s="73" t="str">
        <f t="shared" si="216"/>
        <v/>
      </c>
      <c r="TLC22" s="73" t="str">
        <f t="shared" si="216"/>
        <v/>
      </c>
      <c r="TLD22" s="73" t="str">
        <f t="shared" si="216"/>
        <v/>
      </c>
      <c r="TLE22" s="73" t="str">
        <f t="shared" si="216"/>
        <v/>
      </c>
      <c r="TLF22" s="73" t="str">
        <f t="shared" si="216"/>
        <v/>
      </c>
      <c r="TLG22" s="73" t="str">
        <f t="shared" si="216"/>
        <v/>
      </c>
      <c r="TLH22" s="73" t="str">
        <f t="shared" si="216"/>
        <v/>
      </c>
      <c r="TLI22" s="73" t="str">
        <f t="shared" si="216"/>
        <v/>
      </c>
      <c r="TLJ22" s="73" t="str">
        <f t="shared" si="216"/>
        <v/>
      </c>
      <c r="TLK22" s="73" t="str">
        <f t="shared" si="216"/>
        <v/>
      </c>
      <c r="TLL22" s="73" t="str">
        <f t="shared" si="216"/>
        <v/>
      </c>
      <c r="TLM22" s="73" t="str">
        <f t="shared" si="216"/>
        <v/>
      </c>
      <c r="TLN22" s="73" t="str">
        <f t="shared" si="216"/>
        <v/>
      </c>
      <c r="TLO22" s="73" t="str">
        <f t="shared" si="216"/>
        <v/>
      </c>
      <c r="TLP22" s="73" t="str">
        <f t="shared" si="216"/>
        <v/>
      </c>
      <c r="TLQ22" s="73" t="str">
        <f t="shared" si="216"/>
        <v/>
      </c>
      <c r="TLR22" s="73" t="str">
        <f t="shared" si="216"/>
        <v/>
      </c>
      <c r="TLS22" s="73" t="str">
        <f t="shared" si="216"/>
        <v/>
      </c>
      <c r="TLT22" s="73" t="str">
        <f t="shared" si="216"/>
        <v/>
      </c>
      <c r="TLU22" s="73" t="str">
        <f t="shared" si="216"/>
        <v/>
      </c>
      <c r="TLV22" s="73" t="str">
        <f t="shared" si="216"/>
        <v/>
      </c>
      <c r="TLW22" s="73" t="str">
        <f t="shared" si="216"/>
        <v/>
      </c>
      <c r="TLX22" s="73" t="str">
        <f t="shared" si="216"/>
        <v/>
      </c>
      <c r="TLY22" s="73" t="str">
        <f t="shared" si="216"/>
        <v/>
      </c>
      <c r="TLZ22" s="73" t="str">
        <f t="shared" si="216"/>
        <v/>
      </c>
      <c r="TMA22" s="73" t="str">
        <f t="shared" si="216"/>
        <v/>
      </c>
      <c r="TMB22" s="73" t="str">
        <f t="shared" si="216"/>
        <v/>
      </c>
      <c r="TMC22" s="73" t="str">
        <f t="shared" si="216"/>
        <v/>
      </c>
      <c r="TMD22" s="73" t="str">
        <f t="shared" si="216"/>
        <v/>
      </c>
      <c r="TME22" s="73" t="str">
        <f t="shared" si="216"/>
        <v/>
      </c>
      <c r="TMF22" s="73" t="str">
        <f t="shared" si="216"/>
        <v/>
      </c>
      <c r="TMG22" s="73" t="str">
        <f t="shared" si="216"/>
        <v/>
      </c>
      <c r="TMH22" s="73" t="str">
        <f t="shared" si="216"/>
        <v/>
      </c>
      <c r="TMI22" s="73" t="str">
        <f t="shared" si="216"/>
        <v/>
      </c>
      <c r="TMJ22" s="73" t="str">
        <f t="shared" si="216"/>
        <v/>
      </c>
      <c r="TMK22" s="73" t="str">
        <f t="shared" si="216"/>
        <v/>
      </c>
      <c r="TML22" s="73" t="str">
        <f t="shared" si="216"/>
        <v/>
      </c>
      <c r="TMM22" s="73" t="str">
        <f t="shared" si="216"/>
        <v/>
      </c>
      <c r="TMN22" s="73" t="str">
        <f t="shared" si="216"/>
        <v/>
      </c>
      <c r="TMO22" s="73" t="str">
        <f t="shared" si="216"/>
        <v/>
      </c>
      <c r="TMP22" s="73" t="str">
        <f t="shared" si="216"/>
        <v/>
      </c>
      <c r="TMQ22" s="73" t="str">
        <f t="shared" si="216"/>
        <v/>
      </c>
      <c r="TMR22" s="73" t="str">
        <f t="shared" si="216"/>
        <v/>
      </c>
      <c r="TMS22" s="73" t="str">
        <f t="shared" si="216"/>
        <v/>
      </c>
      <c r="TMT22" s="73" t="str">
        <f t="shared" si="216"/>
        <v/>
      </c>
      <c r="TMU22" s="73" t="str">
        <f t="shared" si="216"/>
        <v/>
      </c>
      <c r="TMV22" s="73" t="str">
        <f t="shared" si="216"/>
        <v/>
      </c>
      <c r="TMW22" s="73" t="str">
        <f t="shared" si="216"/>
        <v/>
      </c>
      <c r="TMX22" s="73" t="str">
        <f t="shared" si="216"/>
        <v/>
      </c>
      <c r="TMY22" s="73" t="str">
        <f t="shared" si="216"/>
        <v/>
      </c>
      <c r="TMZ22" s="73" t="str">
        <f t="shared" si="216"/>
        <v/>
      </c>
      <c r="TNA22" s="73" t="str">
        <f t="shared" si="216"/>
        <v/>
      </c>
      <c r="TNB22" s="73" t="str">
        <f t="shared" si="216"/>
        <v/>
      </c>
      <c r="TNC22" s="73" t="str">
        <f t="shared" si="216"/>
        <v/>
      </c>
      <c r="TND22" s="73" t="str">
        <f t="shared" si="216"/>
        <v/>
      </c>
      <c r="TNE22" s="73" t="str">
        <f t="shared" si="216"/>
        <v/>
      </c>
      <c r="TNF22" s="73" t="str">
        <f t="shared" si="216"/>
        <v/>
      </c>
      <c r="TNG22" s="73" t="str">
        <f t="shared" si="216"/>
        <v/>
      </c>
      <c r="TNH22" s="73" t="str">
        <f t="shared" si="216"/>
        <v/>
      </c>
      <c r="TNI22" s="73" t="str">
        <f t="shared" si="216"/>
        <v/>
      </c>
      <c r="TNJ22" s="73" t="str">
        <f t="shared" ref="TNJ22:TPU22" si="217">IFERROR(AVERAGE(TNJ6:TNJ21),"")</f>
        <v/>
      </c>
      <c r="TNK22" s="73" t="str">
        <f t="shared" si="217"/>
        <v/>
      </c>
      <c r="TNL22" s="73" t="str">
        <f t="shared" si="217"/>
        <v/>
      </c>
      <c r="TNM22" s="73" t="str">
        <f t="shared" si="217"/>
        <v/>
      </c>
      <c r="TNN22" s="73" t="str">
        <f t="shared" si="217"/>
        <v/>
      </c>
      <c r="TNO22" s="73" t="str">
        <f t="shared" si="217"/>
        <v/>
      </c>
      <c r="TNP22" s="73" t="str">
        <f t="shared" si="217"/>
        <v/>
      </c>
      <c r="TNQ22" s="73" t="str">
        <f t="shared" si="217"/>
        <v/>
      </c>
      <c r="TNR22" s="73" t="str">
        <f t="shared" si="217"/>
        <v/>
      </c>
      <c r="TNS22" s="73" t="str">
        <f t="shared" si="217"/>
        <v/>
      </c>
      <c r="TNT22" s="73" t="str">
        <f t="shared" si="217"/>
        <v/>
      </c>
      <c r="TNU22" s="73" t="str">
        <f t="shared" si="217"/>
        <v/>
      </c>
      <c r="TNV22" s="73" t="str">
        <f t="shared" si="217"/>
        <v/>
      </c>
      <c r="TNW22" s="73" t="str">
        <f t="shared" si="217"/>
        <v/>
      </c>
      <c r="TNX22" s="73" t="str">
        <f t="shared" si="217"/>
        <v/>
      </c>
      <c r="TNY22" s="73" t="str">
        <f t="shared" si="217"/>
        <v/>
      </c>
      <c r="TNZ22" s="73" t="str">
        <f t="shared" si="217"/>
        <v/>
      </c>
      <c r="TOA22" s="73" t="str">
        <f t="shared" si="217"/>
        <v/>
      </c>
      <c r="TOB22" s="73" t="str">
        <f t="shared" si="217"/>
        <v/>
      </c>
      <c r="TOC22" s="73" t="str">
        <f t="shared" si="217"/>
        <v/>
      </c>
      <c r="TOD22" s="73" t="str">
        <f t="shared" si="217"/>
        <v/>
      </c>
      <c r="TOE22" s="73" t="str">
        <f t="shared" si="217"/>
        <v/>
      </c>
      <c r="TOF22" s="73" t="str">
        <f t="shared" si="217"/>
        <v/>
      </c>
      <c r="TOG22" s="73" t="str">
        <f t="shared" si="217"/>
        <v/>
      </c>
      <c r="TOH22" s="73" t="str">
        <f t="shared" si="217"/>
        <v/>
      </c>
      <c r="TOI22" s="73" t="str">
        <f t="shared" si="217"/>
        <v/>
      </c>
      <c r="TOJ22" s="73" t="str">
        <f t="shared" si="217"/>
        <v/>
      </c>
      <c r="TOK22" s="73" t="str">
        <f t="shared" si="217"/>
        <v/>
      </c>
      <c r="TOL22" s="73" t="str">
        <f t="shared" si="217"/>
        <v/>
      </c>
      <c r="TOM22" s="73" t="str">
        <f t="shared" si="217"/>
        <v/>
      </c>
      <c r="TON22" s="73" t="str">
        <f t="shared" si="217"/>
        <v/>
      </c>
      <c r="TOO22" s="73" t="str">
        <f t="shared" si="217"/>
        <v/>
      </c>
      <c r="TOP22" s="73" t="str">
        <f t="shared" si="217"/>
        <v/>
      </c>
      <c r="TOQ22" s="73" t="str">
        <f t="shared" si="217"/>
        <v/>
      </c>
      <c r="TOR22" s="73" t="str">
        <f t="shared" si="217"/>
        <v/>
      </c>
      <c r="TOS22" s="73" t="str">
        <f t="shared" si="217"/>
        <v/>
      </c>
      <c r="TOT22" s="73" t="str">
        <f t="shared" si="217"/>
        <v/>
      </c>
      <c r="TOU22" s="73" t="str">
        <f t="shared" si="217"/>
        <v/>
      </c>
      <c r="TOV22" s="73" t="str">
        <f t="shared" si="217"/>
        <v/>
      </c>
      <c r="TOW22" s="73" t="str">
        <f t="shared" si="217"/>
        <v/>
      </c>
      <c r="TOX22" s="73" t="str">
        <f t="shared" si="217"/>
        <v/>
      </c>
      <c r="TOY22" s="73" t="str">
        <f t="shared" si="217"/>
        <v/>
      </c>
      <c r="TOZ22" s="73" t="str">
        <f t="shared" si="217"/>
        <v/>
      </c>
      <c r="TPA22" s="73" t="str">
        <f t="shared" si="217"/>
        <v/>
      </c>
      <c r="TPB22" s="73" t="str">
        <f t="shared" si="217"/>
        <v/>
      </c>
      <c r="TPC22" s="73" t="str">
        <f t="shared" si="217"/>
        <v/>
      </c>
      <c r="TPD22" s="73" t="str">
        <f t="shared" si="217"/>
        <v/>
      </c>
      <c r="TPE22" s="73" t="str">
        <f t="shared" si="217"/>
        <v/>
      </c>
      <c r="TPF22" s="73" t="str">
        <f t="shared" si="217"/>
        <v/>
      </c>
      <c r="TPG22" s="73" t="str">
        <f t="shared" si="217"/>
        <v/>
      </c>
      <c r="TPH22" s="73" t="str">
        <f t="shared" si="217"/>
        <v/>
      </c>
      <c r="TPI22" s="73" t="str">
        <f t="shared" si="217"/>
        <v/>
      </c>
      <c r="TPJ22" s="73" t="str">
        <f t="shared" si="217"/>
        <v/>
      </c>
      <c r="TPK22" s="73" t="str">
        <f t="shared" si="217"/>
        <v/>
      </c>
      <c r="TPL22" s="73" t="str">
        <f t="shared" si="217"/>
        <v/>
      </c>
      <c r="TPM22" s="73" t="str">
        <f t="shared" si="217"/>
        <v/>
      </c>
      <c r="TPN22" s="73" t="str">
        <f t="shared" si="217"/>
        <v/>
      </c>
      <c r="TPO22" s="73" t="str">
        <f t="shared" si="217"/>
        <v/>
      </c>
      <c r="TPP22" s="73" t="str">
        <f t="shared" si="217"/>
        <v/>
      </c>
      <c r="TPQ22" s="73" t="str">
        <f t="shared" si="217"/>
        <v/>
      </c>
      <c r="TPR22" s="73" t="str">
        <f t="shared" si="217"/>
        <v/>
      </c>
      <c r="TPS22" s="73" t="str">
        <f t="shared" si="217"/>
        <v/>
      </c>
      <c r="TPT22" s="73" t="str">
        <f t="shared" si="217"/>
        <v/>
      </c>
      <c r="TPU22" s="73" t="str">
        <f t="shared" si="217"/>
        <v/>
      </c>
      <c r="TPV22" s="73" t="str">
        <f t="shared" ref="TPV22:TSG22" si="218">IFERROR(AVERAGE(TPV6:TPV21),"")</f>
        <v/>
      </c>
      <c r="TPW22" s="73" t="str">
        <f t="shared" si="218"/>
        <v/>
      </c>
      <c r="TPX22" s="73" t="str">
        <f t="shared" si="218"/>
        <v/>
      </c>
      <c r="TPY22" s="73" t="str">
        <f t="shared" si="218"/>
        <v/>
      </c>
      <c r="TPZ22" s="73" t="str">
        <f t="shared" si="218"/>
        <v/>
      </c>
      <c r="TQA22" s="73" t="str">
        <f t="shared" si="218"/>
        <v/>
      </c>
      <c r="TQB22" s="73" t="str">
        <f t="shared" si="218"/>
        <v/>
      </c>
      <c r="TQC22" s="73" t="str">
        <f t="shared" si="218"/>
        <v/>
      </c>
      <c r="TQD22" s="73" t="str">
        <f t="shared" si="218"/>
        <v/>
      </c>
      <c r="TQE22" s="73" t="str">
        <f t="shared" si="218"/>
        <v/>
      </c>
      <c r="TQF22" s="73" t="str">
        <f t="shared" si="218"/>
        <v/>
      </c>
      <c r="TQG22" s="73" t="str">
        <f t="shared" si="218"/>
        <v/>
      </c>
      <c r="TQH22" s="73" t="str">
        <f t="shared" si="218"/>
        <v/>
      </c>
      <c r="TQI22" s="73" t="str">
        <f t="shared" si="218"/>
        <v/>
      </c>
      <c r="TQJ22" s="73" t="str">
        <f t="shared" si="218"/>
        <v/>
      </c>
      <c r="TQK22" s="73" t="str">
        <f t="shared" si="218"/>
        <v/>
      </c>
      <c r="TQL22" s="73" t="str">
        <f t="shared" si="218"/>
        <v/>
      </c>
      <c r="TQM22" s="73" t="str">
        <f t="shared" si="218"/>
        <v/>
      </c>
      <c r="TQN22" s="73" t="str">
        <f t="shared" si="218"/>
        <v/>
      </c>
      <c r="TQO22" s="73" t="str">
        <f t="shared" si="218"/>
        <v/>
      </c>
      <c r="TQP22" s="73" t="str">
        <f t="shared" si="218"/>
        <v/>
      </c>
      <c r="TQQ22" s="73" t="str">
        <f t="shared" si="218"/>
        <v/>
      </c>
      <c r="TQR22" s="73" t="str">
        <f t="shared" si="218"/>
        <v/>
      </c>
      <c r="TQS22" s="73" t="str">
        <f t="shared" si="218"/>
        <v/>
      </c>
      <c r="TQT22" s="73" t="str">
        <f t="shared" si="218"/>
        <v/>
      </c>
      <c r="TQU22" s="73" t="str">
        <f t="shared" si="218"/>
        <v/>
      </c>
      <c r="TQV22" s="73" t="str">
        <f t="shared" si="218"/>
        <v/>
      </c>
      <c r="TQW22" s="73" t="str">
        <f t="shared" si="218"/>
        <v/>
      </c>
      <c r="TQX22" s="73" t="str">
        <f t="shared" si="218"/>
        <v/>
      </c>
      <c r="TQY22" s="73" t="str">
        <f t="shared" si="218"/>
        <v/>
      </c>
      <c r="TQZ22" s="73" t="str">
        <f t="shared" si="218"/>
        <v/>
      </c>
      <c r="TRA22" s="73" t="str">
        <f t="shared" si="218"/>
        <v/>
      </c>
      <c r="TRB22" s="73" t="str">
        <f t="shared" si="218"/>
        <v/>
      </c>
      <c r="TRC22" s="73" t="str">
        <f t="shared" si="218"/>
        <v/>
      </c>
      <c r="TRD22" s="73" t="str">
        <f t="shared" si="218"/>
        <v/>
      </c>
      <c r="TRE22" s="73" t="str">
        <f t="shared" si="218"/>
        <v/>
      </c>
      <c r="TRF22" s="73" t="str">
        <f t="shared" si="218"/>
        <v/>
      </c>
      <c r="TRG22" s="73" t="str">
        <f t="shared" si="218"/>
        <v/>
      </c>
      <c r="TRH22" s="73" t="str">
        <f t="shared" si="218"/>
        <v/>
      </c>
      <c r="TRI22" s="73" t="str">
        <f t="shared" si="218"/>
        <v/>
      </c>
      <c r="TRJ22" s="73" t="str">
        <f t="shared" si="218"/>
        <v/>
      </c>
      <c r="TRK22" s="73" t="str">
        <f t="shared" si="218"/>
        <v/>
      </c>
      <c r="TRL22" s="73" t="str">
        <f t="shared" si="218"/>
        <v/>
      </c>
      <c r="TRM22" s="73" t="str">
        <f t="shared" si="218"/>
        <v/>
      </c>
      <c r="TRN22" s="73" t="str">
        <f t="shared" si="218"/>
        <v/>
      </c>
      <c r="TRO22" s="73" t="str">
        <f t="shared" si="218"/>
        <v/>
      </c>
      <c r="TRP22" s="73" t="str">
        <f t="shared" si="218"/>
        <v/>
      </c>
      <c r="TRQ22" s="73" t="str">
        <f t="shared" si="218"/>
        <v/>
      </c>
      <c r="TRR22" s="73" t="str">
        <f t="shared" si="218"/>
        <v/>
      </c>
      <c r="TRS22" s="73" t="str">
        <f t="shared" si="218"/>
        <v/>
      </c>
      <c r="TRT22" s="73" t="str">
        <f t="shared" si="218"/>
        <v/>
      </c>
      <c r="TRU22" s="73" t="str">
        <f t="shared" si="218"/>
        <v/>
      </c>
      <c r="TRV22" s="73" t="str">
        <f t="shared" si="218"/>
        <v/>
      </c>
      <c r="TRW22" s="73" t="str">
        <f t="shared" si="218"/>
        <v/>
      </c>
      <c r="TRX22" s="73" t="str">
        <f t="shared" si="218"/>
        <v/>
      </c>
      <c r="TRY22" s="73" t="str">
        <f t="shared" si="218"/>
        <v/>
      </c>
      <c r="TRZ22" s="73" t="str">
        <f t="shared" si="218"/>
        <v/>
      </c>
      <c r="TSA22" s="73" t="str">
        <f t="shared" si="218"/>
        <v/>
      </c>
      <c r="TSB22" s="73" t="str">
        <f t="shared" si="218"/>
        <v/>
      </c>
      <c r="TSC22" s="73" t="str">
        <f t="shared" si="218"/>
        <v/>
      </c>
      <c r="TSD22" s="73" t="str">
        <f t="shared" si="218"/>
        <v/>
      </c>
      <c r="TSE22" s="73" t="str">
        <f t="shared" si="218"/>
        <v/>
      </c>
      <c r="TSF22" s="73" t="str">
        <f t="shared" si="218"/>
        <v/>
      </c>
      <c r="TSG22" s="73" t="str">
        <f t="shared" si="218"/>
        <v/>
      </c>
      <c r="TSH22" s="73" t="str">
        <f t="shared" ref="TSH22:TUS22" si="219">IFERROR(AVERAGE(TSH6:TSH21),"")</f>
        <v/>
      </c>
      <c r="TSI22" s="73" t="str">
        <f t="shared" si="219"/>
        <v/>
      </c>
      <c r="TSJ22" s="73" t="str">
        <f t="shared" si="219"/>
        <v/>
      </c>
      <c r="TSK22" s="73" t="str">
        <f t="shared" si="219"/>
        <v/>
      </c>
      <c r="TSL22" s="73" t="str">
        <f t="shared" si="219"/>
        <v/>
      </c>
      <c r="TSM22" s="73" t="str">
        <f t="shared" si="219"/>
        <v/>
      </c>
      <c r="TSN22" s="73" t="str">
        <f t="shared" si="219"/>
        <v/>
      </c>
      <c r="TSO22" s="73" t="str">
        <f t="shared" si="219"/>
        <v/>
      </c>
      <c r="TSP22" s="73" t="str">
        <f t="shared" si="219"/>
        <v/>
      </c>
      <c r="TSQ22" s="73" t="str">
        <f t="shared" si="219"/>
        <v/>
      </c>
      <c r="TSR22" s="73" t="str">
        <f t="shared" si="219"/>
        <v/>
      </c>
      <c r="TSS22" s="73" t="str">
        <f t="shared" si="219"/>
        <v/>
      </c>
      <c r="TST22" s="73" t="str">
        <f t="shared" si="219"/>
        <v/>
      </c>
      <c r="TSU22" s="73" t="str">
        <f t="shared" si="219"/>
        <v/>
      </c>
      <c r="TSV22" s="73" t="str">
        <f t="shared" si="219"/>
        <v/>
      </c>
      <c r="TSW22" s="73" t="str">
        <f t="shared" si="219"/>
        <v/>
      </c>
      <c r="TSX22" s="73" t="str">
        <f t="shared" si="219"/>
        <v/>
      </c>
      <c r="TSY22" s="73" t="str">
        <f t="shared" si="219"/>
        <v/>
      </c>
      <c r="TSZ22" s="73" t="str">
        <f t="shared" si="219"/>
        <v/>
      </c>
      <c r="TTA22" s="73" t="str">
        <f t="shared" si="219"/>
        <v/>
      </c>
      <c r="TTB22" s="73" t="str">
        <f t="shared" si="219"/>
        <v/>
      </c>
      <c r="TTC22" s="73" t="str">
        <f t="shared" si="219"/>
        <v/>
      </c>
      <c r="TTD22" s="73" t="str">
        <f t="shared" si="219"/>
        <v/>
      </c>
      <c r="TTE22" s="73" t="str">
        <f t="shared" si="219"/>
        <v/>
      </c>
      <c r="TTF22" s="73" t="str">
        <f t="shared" si="219"/>
        <v/>
      </c>
      <c r="TTG22" s="73" t="str">
        <f t="shared" si="219"/>
        <v/>
      </c>
      <c r="TTH22" s="73" t="str">
        <f t="shared" si="219"/>
        <v/>
      </c>
      <c r="TTI22" s="73" t="str">
        <f t="shared" si="219"/>
        <v/>
      </c>
      <c r="TTJ22" s="73" t="str">
        <f t="shared" si="219"/>
        <v/>
      </c>
      <c r="TTK22" s="73" t="str">
        <f t="shared" si="219"/>
        <v/>
      </c>
      <c r="TTL22" s="73" t="str">
        <f t="shared" si="219"/>
        <v/>
      </c>
      <c r="TTM22" s="73" t="str">
        <f t="shared" si="219"/>
        <v/>
      </c>
      <c r="TTN22" s="73" t="str">
        <f t="shared" si="219"/>
        <v/>
      </c>
      <c r="TTO22" s="73" t="str">
        <f t="shared" si="219"/>
        <v/>
      </c>
      <c r="TTP22" s="73" t="str">
        <f t="shared" si="219"/>
        <v/>
      </c>
      <c r="TTQ22" s="73" t="str">
        <f t="shared" si="219"/>
        <v/>
      </c>
      <c r="TTR22" s="73" t="str">
        <f t="shared" si="219"/>
        <v/>
      </c>
      <c r="TTS22" s="73" t="str">
        <f t="shared" si="219"/>
        <v/>
      </c>
      <c r="TTT22" s="73" t="str">
        <f t="shared" si="219"/>
        <v/>
      </c>
      <c r="TTU22" s="73" t="str">
        <f t="shared" si="219"/>
        <v/>
      </c>
      <c r="TTV22" s="73" t="str">
        <f t="shared" si="219"/>
        <v/>
      </c>
      <c r="TTW22" s="73" t="str">
        <f t="shared" si="219"/>
        <v/>
      </c>
      <c r="TTX22" s="73" t="str">
        <f t="shared" si="219"/>
        <v/>
      </c>
      <c r="TTY22" s="73" t="str">
        <f t="shared" si="219"/>
        <v/>
      </c>
      <c r="TTZ22" s="73" t="str">
        <f t="shared" si="219"/>
        <v/>
      </c>
      <c r="TUA22" s="73" t="str">
        <f t="shared" si="219"/>
        <v/>
      </c>
      <c r="TUB22" s="73" t="str">
        <f t="shared" si="219"/>
        <v/>
      </c>
      <c r="TUC22" s="73" t="str">
        <f t="shared" si="219"/>
        <v/>
      </c>
      <c r="TUD22" s="73" t="str">
        <f t="shared" si="219"/>
        <v/>
      </c>
      <c r="TUE22" s="73" t="str">
        <f t="shared" si="219"/>
        <v/>
      </c>
      <c r="TUF22" s="73" t="str">
        <f t="shared" si="219"/>
        <v/>
      </c>
      <c r="TUG22" s="73" t="str">
        <f t="shared" si="219"/>
        <v/>
      </c>
      <c r="TUH22" s="73" t="str">
        <f t="shared" si="219"/>
        <v/>
      </c>
      <c r="TUI22" s="73" t="str">
        <f t="shared" si="219"/>
        <v/>
      </c>
      <c r="TUJ22" s="73" t="str">
        <f t="shared" si="219"/>
        <v/>
      </c>
      <c r="TUK22" s="73" t="str">
        <f t="shared" si="219"/>
        <v/>
      </c>
      <c r="TUL22" s="73" t="str">
        <f t="shared" si="219"/>
        <v/>
      </c>
      <c r="TUM22" s="73" t="str">
        <f t="shared" si="219"/>
        <v/>
      </c>
      <c r="TUN22" s="73" t="str">
        <f t="shared" si="219"/>
        <v/>
      </c>
      <c r="TUO22" s="73" t="str">
        <f t="shared" si="219"/>
        <v/>
      </c>
      <c r="TUP22" s="73" t="str">
        <f t="shared" si="219"/>
        <v/>
      </c>
      <c r="TUQ22" s="73" t="str">
        <f t="shared" si="219"/>
        <v/>
      </c>
      <c r="TUR22" s="73" t="str">
        <f t="shared" si="219"/>
        <v/>
      </c>
      <c r="TUS22" s="73" t="str">
        <f t="shared" si="219"/>
        <v/>
      </c>
      <c r="TUT22" s="73" t="str">
        <f t="shared" ref="TUT22:TXE22" si="220">IFERROR(AVERAGE(TUT6:TUT21),"")</f>
        <v/>
      </c>
      <c r="TUU22" s="73" t="str">
        <f t="shared" si="220"/>
        <v/>
      </c>
      <c r="TUV22" s="73" t="str">
        <f t="shared" si="220"/>
        <v/>
      </c>
      <c r="TUW22" s="73" t="str">
        <f t="shared" si="220"/>
        <v/>
      </c>
      <c r="TUX22" s="73" t="str">
        <f t="shared" si="220"/>
        <v/>
      </c>
      <c r="TUY22" s="73" t="str">
        <f t="shared" si="220"/>
        <v/>
      </c>
      <c r="TUZ22" s="73" t="str">
        <f t="shared" si="220"/>
        <v/>
      </c>
      <c r="TVA22" s="73" t="str">
        <f t="shared" si="220"/>
        <v/>
      </c>
      <c r="TVB22" s="73" t="str">
        <f t="shared" si="220"/>
        <v/>
      </c>
      <c r="TVC22" s="73" t="str">
        <f t="shared" si="220"/>
        <v/>
      </c>
      <c r="TVD22" s="73" t="str">
        <f t="shared" si="220"/>
        <v/>
      </c>
      <c r="TVE22" s="73" t="str">
        <f t="shared" si="220"/>
        <v/>
      </c>
      <c r="TVF22" s="73" t="str">
        <f t="shared" si="220"/>
        <v/>
      </c>
      <c r="TVG22" s="73" t="str">
        <f t="shared" si="220"/>
        <v/>
      </c>
      <c r="TVH22" s="73" t="str">
        <f t="shared" si="220"/>
        <v/>
      </c>
      <c r="TVI22" s="73" t="str">
        <f t="shared" si="220"/>
        <v/>
      </c>
      <c r="TVJ22" s="73" t="str">
        <f t="shared" si="220"/>
        <v/>
      </c>
      <c r="TVK22" s="73" t="str">
        <f t="shared" si="220"/>
        <v/>
      </c>
      <c r="TVL22" s="73" t="str">
        <f t="shared" si="220"/>
        <v/>
      </c>
      <c r="TVM22" s="73" t="str">
        <f t="shared" si="220"/>
        <v/>
      </c>
      <c r="TVN22" s="73" t="str">
        <f t="shared" si="220"/>
        <v/>
      </c>
      <c r="TVO22" s="73" t="str">
        <f t="shared" si="220"/>
        <v/>
      </c>
      <c r="TVP22" s="73" t="str">
        <f t="shared" si="220"/>
        <v/>
      </c>
      <c r="TVQ22" s="73" t="str">
        <f t="shared" si="220"/>
        <v/>
      </c>
      <c r="TVR22" s="73" t="str">
        <f t="shared" si="220"/>
        <v/>
      </c>
      <c r="TVS22" s="73" t="str">
        <f t="shared" si="220"/>
        <v/>
      </c>
      <c r="TVT22" s="73" t="str">
        <f t="shared" si="220"/>
        <v/>
      </c>
      <c r="TVU22" s="73" t="str">
        <f t="shared" si="220"/>
        <v/>
      </c>
      <c r="TVV22" s="73" t="str">
        <f t="shared" si="220"/>
        <v/>
      </c>
      <c r="TVW22" s="73" t="str">
        <f t="shared" si="220"/>
        <v/>
      </c>
      <c r="TVX22" s="73" t="str">
        <f t="shared" si="220"/>
        <v/>
      </c>
      <c r="TVY22" s="73" t="str">
        <f t="shared" si="220"/>
        <v/>
      </c>
      <c r="TVZ22" s="73" t="str">
        <f t="shared" si="220"/>
        <v/>
      </c>
      <c r="TWA22" s="73" t="str">
        <f t="shared" si="220"/>
        <v/>
      </c>
      <c r="TWB22" s="73" t="str">
        <f t="shared" si="220"/>
        <v/>
      </c>
      <c r="TWC22" s="73" t="str">
        <f t="shared" si="220"/>
        <v/>
      </c>
      <c r="TWD22" s="73" t="str">
        <f t="shared" si="220"/>
        <v/>
      </c>
      <c r="TWE22" s="73" t="str">
        <f t="shared" si="220"/>
        <v/>
      </c>
      <c r="TWF22" s="73" t="str">
        <f t="shared" si="220"/>
        <v/>
      </c>
      <c r="TWG22" s="73" t="str">
        <f t="shared" si="220"/>
        <v/>
      </c>
      <c r="TWH22" s="73" t="str">
        <f t="shared" si="220"/>
        <v/>
      </c>
      <c r="TWI22" s="73" t="str">
        <f t="shared" si="220"/>
        <v/>
      </c>
      <c r="TWJ22" s="73" t="str">
        <f t="shared" si="220"/>
        <v/>
      </c>
      <c r="TWK22" s="73" t="str">
        <f t="shared" si="220"/>
        <v/>
      </c>
      <c r="TWL22" s="73" t="str">
        <f t="shared" si="220"/>
        <v/>
      </c>
      <c r="TWM22" s="73" t="str">
        <f t="shared" si="220"/>
        <v/>
      </c>
      <c r="TWN22" s="73" t="str">
        <f t="shared" si="220"/>
        <v/>
      </c>
      <c r="TWO22" s="73" t="str">
        <f t="shared" si="220"/>
        <v/>
      </c>
      <c r="TWP22" s="73" t="str">
        <f t="shared" si="220"/>
        <v/>
      </c>
      <c r="TWQ22" s="73" t="str">
        <f t="shared" si="220"/>
        <v/>
      </c>
      <c r="TWR22" s="73" t="str">
        <f t="shared" si="220"/>
        <v/>
      </c>
      <c r="TWS22" s="73" t="str">
        <f t="shared" si="220"/>
        <v/>
      </c>
      <c r="TWT22" s="73" t="str">
        <f t="shared" si="220"/>
        <v/>
      </c>
      <c r="TWU22" s="73" t="str">
        <f t="shared" si="220"/>
        <v/>
      </c>
      <c r="TWV22" s="73" t="str">
        <f t="shared" si="220"/>
        <v/>
      </c>
      <c r="TWW22" s="73" t="str">
        <f t="shared" si="220"/>
        <v/>
      </c>
      <c r="TWX22" s="73" t="str">
        <f t="shared" si="220"/>
        <v/>
      </c>
      <c r="TWY22" s="73" t="str">
        <f t="shared" si="220"/>
        <v/>
      </c>
      <c r="TWZ22" s="73" t="str">
        <f t="shared" si="220"/>
        <v/>
      </c>
      <c r="TXA22" s="73" t="str">
        <f t="shared" si="220"/>
        <v/>
      </c>
      <c r="TXB22" s="73" t="str">
        <f t="shared" si="220"/>
        <v/>
      </c>
      <c r="TXC22" s="73" t="str">
        <f t="shared" si="220"/>
        <v/>
      </c>
      <c r="TXD22" s="73" t="str">
        <f t="shared" si="220"/>
        <v/>
      </c>
      <c r="TXE22" s="73" t="str">
        <f t="shared" si="220"/>
        <v/>
      </c>
      <c r="TXF22" s="73" t="str">
        <f t="shared" ref="TXF22:TZQ22" si="221">IFERROR(AVERAGE(TXF6:TXF21),"")</f>
        <v/>
      </c>
      <c r="TXG22" s="73" t="str">
        <f t="shared" si="221"/>
        <v/>
      </c>
      <c r="TXH22" s="73" t="str">
        <f t="shared" si="221"/>
        <v/>
      </c>
      <c r="TXI22" s="73" t="str">
        <f t="shared" si="221"/>
        <v/>
      </c>
      <c r="TXJ22" s="73" t="str">
        <f t="shared" si="221"/>
        <v/>
      </c>
      <c r="TXK22" s="73" t="str">
        <f t="shared" si="221"/>
        <v/>
      </c>
      <c r="TXL22" s="73" t="str">
        <f t="shared" si="221"/>
        <v/>
      </c>
      <c r="TXM22" s="73" t="str">
        <f t="shared" si="221"/>
        <v/>
      </c>
      <c r="TXN22" s="73" t="str">
        <f t="shared" si="221"/>
        <v/>
      </c>
      <c r="TXO22" s="73" t="str">
        <f t="shared" si="221"/>
        <v/>
      </c>
      <c r="TXP22" s="73" t="str">
        <f t="shared" si="221"/>
        <v/>
      </c>
      <c r="TXQ22" s="73" t="str">
        <f t="shared" si="221"/>
        <v/>
      </c>
      <c r="TXR22" s="73" t="str">
        <f t="shared" si="221"/>
        <v/>
      </c>
      <c r="TXS22" s="73" t="str">
        <f t="shared" si="221"/>
        <v/>
      </c>
      <c r="TXT22" s="73" t="str">
        <f t="shared" si="221"/>
        <v/>
      </c>
      <c r="TXU22" s="73" t="str">
        <f t="shared" si="221"/>
        <v/>
      </c>
      <c r="TXV22" s="73" t="str">
        <f t="shared" si="221"/>
        <v/>
      </c>
      <c r="TXW22" s="73" t="str">
        <f t="shared" si="221"/>
        <v/>
      </c>
      <c r="TXX22" s="73" t="str">
        <f t="shared" si="221"/>
        <v/>
      </c>
      <c r="TXY22" s="73" t="str">
        <f t="shared" si="221"/>
        <v/>
      </c>
      <c r="TXZ22" s="73" t="str">
        <f t="shared" si="221"/>
        <v/>
      </c>
      <c r="TYA22" s="73" t="str">
        <f t="shared" si="221"/>
        <v/>
      </c>
      <c r="TYB22" s="73" t="str">
        <f t="shared" si="221"/>
        <v/>
      </c>
      <c r="TYC22" s="73" t="str">
        <f t="shared" si="221"/>
        <v/>
      </c>
      <c r="TYD22" s="73" t="str">
        <f t="shared" si="221"/>
        <v/>
      </c>
      <c r="TYE22" s="73" t="str">
        <f t="shared" si="221"/>
        <v/>
      </c>
      <c r="TYF22" s="73" t="str">
        <f t="shared" si="221"/>
        <v/>
      </c>
      <c r="TYG22" s="73" t="str">
        <f t="shared" si="221"/>
        <v/>
      </c>
      <c r="TYH22" s="73" t="str">
        <f t="shared" si="221"/>
        <v/>
      </c>
      <c r="TYI22" s="73" t="str">
        <f t="shared" si="221"/>
        <v/>
      </c>
      <c r="TYJ22" s="73" t="str">
        <f t="shared" si="221"/>
        <v/>
      </c>
      <c r="TYK22" s="73" t="str">
        <f t="shared" si="221"/>
        <v/>
      </c>
      <c r="TYL22" s="73" t="str">
        <f t="shared" si="221"/>
        <v/>
      </c>
      <c r="TYM22" s="73" t="str">
        <f t="shared" si="221"/>
        <v/>
      </c>
      <c r="TYN22" s="73" t="str">
        <f t="shared" si="221"/>
        <v/>
      </c>
      <c r="TYO22" s="73" t="str">
        <f t="shared" si="221"/>
        <v/>
      </c>
      <c r="TYP22" s="73" t="str">
        <f t="shared" si="221"/>
        <v/>
      </c>
      <c r="TYQ22" s="73" t="str">
        <f t="shared" si="221"/>
        <v/>
      </c>
      <c r="TYR22" s="73" t="str">
        <f t="shared" si="221"/>
        <v/>
      </c>
      <c r="TYS22" s="73" t="str">
        <f t="shared" si="221"/>
        <v/>
      </c>
      <c r="TYT22" s="73" t="str">
        <f t="shared" si="221"/>
        <v/>
      </c>
      <c r="TYU22" s="73" t="str">
        <f t="shared" si="221"/>
        <v/>
      </c>
      <c r="TYV22" s="73" t="str">
        <f t="shared" si="221"/>
        <v/>
      </c>
      <c r="TYW22" s="73" t="str">
        <f t="shared" si="221"/>
        <v/>
      </c>
      <c r="TYX22" s="73" t="str">
        <f t="shared" si="221"/>
        <v/>
      </c>
      <c r="TYY22" s="73" t="str">
        <f t="shared" si="221"/>
        <v/>
      </c>
      <c r="TYZ22" s="73" t="str">
        <f t="shared" si="221"/>
        <v/>
      </c>
      <c r="TZA22" s="73" t="str">
        <f t="shared" si="221"/>
        <v/>
      </c>
      <c r="TZB22" s="73" t="str">
        <f t="shared" si="221"/>
        <v/>
      </c>
      <c r="TZC22" s="73" t="str">
        <f t="shared" si="221"/>
        <v/>
      </c>
      <c r="TZD22" s="73" t="str">
        <f t="shared" si="221"/>
        <v/>
      </c>
      <c r="TZE22" s="73" t="str">
        <f t="shared" si="221"/>
        <v/>
      </c>
      <c r="TZF22" s="73" t="str">
        <f t="shared" si="221"/>
        <v/>
      </c>
      <c r="TZG22" s="73" t="str">
        <f t="shared" si="221"/>
        <v/>
      </c>
      <c r="TZH22" s="73" t="str">
        <f t="shared" si="221"/>
        <v/>
      </c>
      <c r="TZI22" s="73" t="str">
        <f t="shared" si="221"/>
        <v/>
      </c>
      <c r="TZJ22" s="73" t="str">
        <f t="shared" si="221"/>
        <v/>
      </c>
      <c r="TZK22" s="73" t="str">
        <f t="shared" si="221"/>
        <v/>
      </c>
      <c r="TZL22" s="73" t="str">
        <f t="shared" si="221"/>
        <v/>
      </c>
      <c r="TZM22" s="73" t="str">
        <f t="shared" si="221"/>
        <v/>
      </c>
      <c r="TZN22" s="73" t="str">
        <f t="shared" si="221"/>
        <v/>
      </c>
      <c r="TZO22" s="73" t="str">
        <f t="shared" si="221"/>
        <v/>
      </c>
      <c r="TZP22" s="73" t="str">
        <f t="shared" si="221"/>
        <v/>
      </c>
      <c r="TZQ22" s="73" t="str">
        <f t="shared" si="221"/>
        <v/>
      </c>
      <c r="TZR22" s="73" t="str">
        <f t="shared" ref="TZR22:UCC22" si="222">IFERROR(AVERAGE(TZR6:TZR21),"")</f>
        <v/>
      </c>
      <c r="TZS22" s="73" t="str">
        <f t="shared" si="222"/>
        <v/>
      </c>
      <c r="TZT22" s="73" t="str">
        <f t="shared" si="222"/>
        <v/>
      </c>
      <c r="TZU22" s="73" t="str">
        <f t="shared" si="222"/>
        <v/>
      </c>
      <c r="TZV22" s="73" t="str">
        <f t="shared" si="222"/>
        <v/>
      </c>
      <c r="TZW22" s="73" t="str">
        <f t="shared" si="222"/>
        <v/>
      </c>
      <c r="TZX22" s="73" t="str">
        <f t="shared" si="222"/>
        <v/>
      </c>
      <c r="TZY22" s="73" t="str">
        <f t="shared" si="222"/>
        <v/>
      </c>
      <c r="TZZ22" s="73" t="str">
        <f t="shared" si="222"/>
        <v/>
      </c>
      <c r="UAA22" s="73" t="str">
        <f t="shared" si="222"/>
        <v/>
      </c>
      <c r="UAB22" s="73" t="str">
        <f t="shared" si="222"/>
        <v/>
      </c>
      <c r="UAC22" s="73" t="str">
        <f t="shared" si="222"/>
        <v/>
      </c>
      <c r="UAD22" s="73" t="str">
        <f t="shared" si="222"/>
        <v/>
      </c>
      <c r="UAE22" s="73" t="str">
        <f t="shared" si="222"/>
        <v/>
      </c>
      <c r="UAF22" s="73" t="str">
        <f t="shared" si="222"/>
        <v/>
      </c>
      <c r="UAG22" s="73" t="str">
        <f t="shared" si="222"/>
        <v/>
      </c>
      <c r="UAH22" s="73" t="str">
        <f t="shared" si="222"/>
        <v/>
      </c>
      <c r="UAI22" s="73" t="str">
        <f t="shared" si="222"/>
        <v/>
      </c>
      <c r="UAJ22" s="73" t="str">
        <f t="shared" si="222"/>
        <v/>
      </c>
      <c r="UAK22" s="73" t="str">
        <f t="shared" si="222"/>
        <v/>
      </c>
      <c r="UAL22" s="73" t="str">
        <f t="shared" si="222"/>
        <v/>
      </c>
      <c r="UAM22" s="73" t="str">
        <f t="shared" si="222"/>
        <v/>
      </c>
      <c r="UAN22" s="73" t="str">
        <f t="shared" si="222"/>
        <v/>
      </c>
      <c r="UAO22" s="73" t="str">
        <f t="shared" si="222"/>
        <v/>
      </c>
      <c r="UAP22" s="73" t="str">
        <f t="shared" si="222"/>
        <v/>
      </c>
      <c r="UAQ22" s="73" t="str">
        <f t="shared" si="222"/>
        <v/>
      </c>
      <c r="UAR22" s="73" t="str">
        <f t="shared" si="222"/>
        <v/>
      </c>
      <c r="UAS22" s="73" t="str">
        <f t="shared" si="222"/>
        <v/>
      </c>
      <c r="UAT22" s="73" t="str">
        <f t="shared" si="222"/>
        <v/>
      </c>
      <c r="UAU22" s="73" t="str">
        <f t="shared" si="222"/>
        <v/>
      </c>
      <c r="UAV22" s="73" t="str">
        <f t="shared" si="222"/>
        <v/>
      </c>
      <c r="UAW22" s="73" t="str">
        <f t="shared" si="222"/>
        <v/>
      </c>
      <c r="UAX22" s="73" t="str">
        <f t="shared" si="222"/>
        <v/>
      </c>
      <c r="UAY22" s="73" t="str">
        <f t="shared" si="222"/>
        <v/>
      </c>
      <c r="UAZ22" s="73" t="str">
        <f t="shared" si="222"/>
        <v/>
      </c>
      <c r="UBA22" s="73" t="str">
        <f t="shared" si="222"/>
        <v/>
      </c>
      <c r="UBB22" s="73" t="str">
        <f t="shared" si="222"/>
        <v/>
      </c>
      <c r="UBC22" s="73" t="str">
        <f t="shared" si="222"/>
        <v/>
      </c>
      <c r="UBD22" s="73" t="str">
        <f t="shared" si="222"/>
        <v/>
      </c>
      <c r="UBE22" s="73" t="str">
        <f t="shared" si="222"/>
        <v/>
      </c>
      <c r="UBF22" s="73" t="str">
        <f t="shared" si="222"/>
        <v/>
      </c>
      <c r="UBG22" s="73" t="str">
        <f t="shared" si="222"/>
        <v/>
      </c>
      <c r="UBH22" s="73" t="str">
        <f t="shared" si="222"/>
        <v/>
      </c>
      <c r="UBI22" s="73" t="str">
        <f t="shared" si="222"/>
        <v/>
      </c>
      <c r="UBJ22" s="73" t="str">
        <f t="shared" si="222"/>
        <v/>
      </c>
      <c r="UBK22" s="73" t="str">
        <f t="shared" si="222"/>
        <v/>
      </c>
      <c r="UBL22" s="73" t="str">
        <f t="shared" si="222"/>
        <v/>
      </c>
      <c r="UBM22" s="73" t="str">
        <f t="shared" si="222"/>
        <v/>
      </c>
      <c r="UBN22" s="73" t="str">
        <f t="shared" si="222"/>
        <v/>
      </c>
      <c r="UBO22" s="73" t="str">
        <f t="shared" si="222"/>
        <v/>
      </c>
      <c r="UBP22" s="73" t="str">
        <f t="shared" si="222"/>
        <v/>
      </c>
      <c r="UBQ22" s="73" t="str">
        <f t="shared" si="222"/>
        <v/>
      </c>
      <c r="UBR22" s="73" t="str">
        <f t="shared" si="222"/>
        <v/>
      </c>
      <c r="UBS22" s="73" t="str">
        <f t="shared" si="222"/>
        <v/>
      </c>
      <c r="UBT22" s="73" t="str">
        <f t="shared" si="222"/>
        <v/>
      </c>
      <c r="UBU22" s="73" t="str">
        <f t="shared" si="222"/>
        <v/>
      </c>
      <c r="UBV22" s="73" t="str">
        <f t="shared" si="222"/>
        <v/>
      </c>
      <c r="UBW22" s="73" t="str">
        <f t="shared" si="222"/>
        <v/>
      </c>
      <c r="UBX22" s="73" t="str">
        <f t="shared" si="222"/>
        <v/>
      </c>
      <c r="UBY22" s="73" t="str">
        <f t="shared" si="222"/>
        <v/>
      </c>
      <c r="UBZ22" s="73" t="str">
        <f t="shared" si="222"/>
        <v/>
      </c>
      <c r="UCA22" s="73" t="str">
        <f t="shared" si="222"/>
        <v/>
      </c>
      <c r="UCB22" s="73" t="str">
        <f t="shared" si="222"/>
        <v/>
      </c>
      <c r="UCC22" s="73" t="str">
        <f t="shared" si="222"/>
        <v/>
      </c>
      <c r="UCD22" s="73" t="str">
        <f t="shared" ref="UCD22:UEO22" si="223">IFERROR(AVERAGE(UCD6:UCD21),"")</f>
        <v/>
      </c>
      <c r="UCE22" s="73" t="str">
        <f t="shared" si="223"/>
        <v/>
      </c>
      <c r="UCF22" s="73" t="str">
        <f t="shared" si="223"/>
        <v/>
      </c>
      <c r="UCG22" s="73" t="str">
        <f t="shared" si="223"/>
        <v/>
      </c>
      <c r="UCH22" s="73" t="str">
        <f t="shared" si="223"/>
        <v/>
      </c>
      <c r="UCI22" s="73" t="str">
        <f t="shared" si="223"/>
        <v/>
      </c>
      <c r="UCJ22" s="73" t="str">
        <f t="shared" si="223"/>
        <v/>
      </c>
      <c r="UCK22" s="73" t="str">
        <f t="shared" si="223"/>
        <v/>
      </c>
      <c r="UCL22" s="73" t="str">
        <f t="shared" si="223"/>
        <v/>
      </c>
      <c r="UCM22" s="73" t="str">
        <f t="shared" si="223"/>
        <v/>
      </c>
      <c r="UCN22" s="73" t="str">
        <f t="shared" si="223"/>
        <v/>
      </c>
      <c r="UCO22" s="73" t="str">
        <f t="shared" si="223"/>
        <v/>
      </c>
      <c r="UCP22" s="73" t="str">
        <f t="shared" si="223"/>
        <v/>
      </c>
      <c r="UCQ22" s="73" t="str">
        <f t="shared" si="223"/>
        <v/>
      </c>
      <c r="UCR22" s="73" t="str">
        <f t="shared" si="223"/>
        <v/>
      </c>
      <c r="UCS22" s="73" t="str">
        <f t="shared" si="223"/>
        <v/>
      </c>
      <c r="UCT22" s="73" t="str">
        <f t="shared" si="223"/>
        <v/>
      </c>
      <c r="UCU22" s="73" t="str">
        <f t="shared" si="223"/>
        <v/>
      </c>
      <c r="UCV22" s="73" t="str">
        <f t="shared" si="223"/>
        <v/>
      </c>
      <c r="UCW22" s="73" t="str">
        <f t="shared" si="223"/>
        <v/>
      </c>
      <c r="UCX22" s="73" t="str">
        <f t="shared" si="223"/>
        <v/>
      </c>
      <c r="UCY22" s="73" t="str">
        <f t="shared" si="223"/>
        <v/>
      </c>
      <c r="UCZ22" s="73" t="str">
        <f t="shared" si="223"/>
        <v/>
      </c>
      <c r="UDA22" s="73" t="str">
        <f t="shared" si="223"/>
        <v/>
      </c>
      <c r="UDB22" s="73" t="str">
        <f t="shared" si="223"/>
        <v/>
      </c>
      <c r="UDC22" s="73" t="str">
        <f t="shared" si="223"/>
        <v/>
      </c>
      <c r="UDD22" s="73" t="str">
        <f t="shared" si="223"/>
        <v/>
      </c>
      <c r="UDE22" s="73" t="str">
        <f t="shared" si="223"/>
        <v/>
      </c>
      <c r="UDF22" s="73" t="str">
        <f t="shared" si="223"/>
        <v/>
      </c>
      <c r="UDG22" s="73" t="str">
        <f t="shared" si="223"/>
        <v/>
      </c>
      <c r="UDH22" s="73" t="str">
        <f t="shared" si="223"/>
        <v/>
      </c>
      <c r="UDI22" s="73" t="str">
        <f t="shared" si="223"/>
        <v/>
      </c>
      <c r="UDJ22" s="73" t="str">
        <f t="shared" si="223"/>
        <v/>
      </c>
      <c r="UDK22" s="73" t="str">
        <f t="shared" si="223"/>
        <v/>
      </c>
      <c r="UDL22" s="73" t="str">
        <f t="shared" si="223"/>
        <v/>
      </c>
      <c r="UDM22" s="73" t="str">
        <f t="shared" si="223"/>
        <v/>
      </c>
      <c r="UDN22" s="73" t="str">
        <f t="shared" si="223"/>
        <v/>
      </c>
      <c r="UDO22" s="73" t="str">
        <f t="shared" si="223"/>
        <v/>
      </c>
      <c r="UDP22" s="73" t="str">
        <f t="shared" si="223"/>
        <v/>
      </c>
      <c r="UDQ22" s="73" t="str">
        <f t="shared" si="223"/>
        <v/>
      </c>
      <c r="UDR22" s="73" t="str">
        <f t="shared" si="223"/>
        <v/>
      </c>
      <c r="UDS22" s="73" t="str">
        <f t="shared" si="223"/>
        <v/>
      </c>
      <c r="UDT22" s="73" t="str">
        <f t="shared" si="223"/>
        <v/>
      </c>
      <c r="UDU22" s="73" t="str">
        <f t="shared" si="223"/>
        <v/>
      </c>
      <c r="UDV22" s="73" t="str">
        <f t="shared" si="223"/>
        <v/>
      </c>
      <c r="UDW22" s="73" t="str">
        <f t="shared" si="223"/>
        <v/>
      </c>
      <c r="UDX22" s="73" t="str">
        <f t="shared" si="223"/>
        <v/>
      </c>
      <c r="UDY22" s="73" t="str">
        <f t="shared" si="223"/>
        <v/>
      </c>
      <c r="UDZ22" s="73" t="str">
        <f t="shared" si="223"/>
        <v/>
      </c>
      <c r="UEA22" s="73" t="str">
        <f t="shared" si="223"/>
        <v/>
      </c>
      <c r="UEB22" s="73" t="str">
        <f t="shared" si="223"/>
        <v/>
      </c>
      <c r="UEC22" s="73" t="str">
        <f t="shared" si="223"/>
        <v/>
      </c>
      <c r="UED22" s="73" t="str">
        <f t="shared" si="223"/>
        <v/>
      </c>
      <c r="UEE22" s="73" t="str">
        <f t="shared" si="223"/>
        <v/>
      </c>
      <c r="UEF22" s="73" t="str">
        <f t="shared" si="223"/>
        <v/>
      </c>
      <c r="UEG22" s="73" t="str">
        <f t="shared" si="223"/>
        <v/>
      </c>
      <c r="UEH22" s="73" t="str">
        <f t="shared" si="223"/>
        <v/>
      </c>
      <c r="UEI22" s="73" t="str">
        <f t="shared" si="223"/>
        <v/>
      </c>
      <c r="UEJ22" s="73" t="str">
        <f t="shared" si="223"/>
        <v/>
      </c>
      <c r="UEK22" s="73" t="str">
        <f t="shared" si="223"/>
        <v/>
      </c>
      <c r="UEL22" s="73" t="str">
        <f t="shared" si="223"/>
        <v/>
      </c>
      <c r="UEM22" s="73" t="str">
        <f t="shared" si="223"/>
        <v/>
      </c>
      <c r="UEN22" s="73" t="str">
        <f t="shared" si="223"/>
        <v/>
      </c>
      <c r="UEO22" s="73" t="str">
        <f t="shared" si="223"/>
        <v/>
      </c>
      <c r="UEP22" s="73" t="str">
        <f t="shared" ref="UEP22:UHA22" si="224">IFERROR(AVERAGE(UEP6:UEP21),"")</f>
        <v/>
      </c>
      <c r="UEQ22" s="73" t="str">
        <f t="shared" si="224"/>
        <v/>
      </c>
      <c r="UER22" s="73" t="str">
        <f t="shared" si="224"/>
        <v/>
      </c>
      <c r="UES22" s="73" t="str">
        <f t="shared" si="224"/>
        <v/>
      </c>
      <c r="UET22" s="73" t="str">
        <f t="shared" si="224"/>
        <v/>
      </c>
      <c r="UEU22" s="73" t="str">
        <f t="shared" si="224"/>
        <v/>
      </c>
      <c r="UEV22" s="73" t="str">
        <f t="shared" si="224"/>
        <v/>
      </c>
      <c r="UEW22" s="73" t="str">
        <f t="shared" si="224"/>
        <v/>
      </c>
      <c r="UEX22" s="73" t="str">
        <f t="shared" si="224"/>
        <v/>
      </c>
      <c r="UEY22" s="73" t="str">
        <f t="shared" si="224"/>
        <v/>
      </c>
      <c r="UEZ22" s="73" t="str">
        <f t="shared" si="224"/>
        <v/>
      </c>
      <c r="UFA22" s="73" t="str">
        <f t="shared" si="224"/>
        <v/>
      </c>
      <c r="UFB22" s="73" t="str">
        <f t="shared" si="224"/>
        <v/>
      </c>
      <c r="UFC22" s="73" t="str">
        <f t="shared" si="224"/>
        <v/>
      </c>
      <c r="UFD22" s="73" t="str">
        <f t="shared" si="224"/>
        <v/>
      </c>
      <c r="UFE22" s="73" t="str">
        <f t="shared" si="224"/>
        <v/>
      </c>
      <c r="UFF22" s="73" t="str">
        <f t="shared" si="224"/>
        <v/>
      </c>
      <c r="UFG22" s="73" t="str">
        <f t="shared" si="224"/>
        <v/>
      </c>
      <c r="UFH22" s="73" t="str">
        <f t="shared" si="224"/>
        <v/>
      </c>
      <c r="UFI22" s="73" t="str">
        <f t="shared" si="224"/>
        <v/>
      </c>
      <c r="UFJ22" s="73" t="str">
        <f t="shared" si="224"/>
        <v/>
      </c>
      <c r="UFK22" s="73" t="str">
        <f t="shared" si="224"/>
        <v/>
      </c>
      <c r="UFL22" s="73" t="str">
        <f t="shared" si="224"/>
        <v/>
      </c>
      <c r="UFM22" s="73" t="str">
        <f t="shared" si="224"/>
        <v/>
      </c>
      <c r="UFN22" s="73" t="str">
        <f t="shared" si="224"/>
        <v/>
      </c>
      <c r="UFO22" s="73" t="str">
        <f t="shared" si="224"/>
        <v/>
      </c>
      <c r="UFP22" s="73" t="str">
        <f t="shared" si="224"/>
        <v/>
      </c>
      <c r="UFQ22" s="73" t="str">
        <f t="shared" si="224"/>
        <v/>
      </c>
      <c r="UFR22" s="73" t="str">
        <f t="shared" si="224"/>
        <v/>
      </c>
      <c r="UFS22" s="73" t="str">
        <f t="shared" si="224"/>
        <v/>
      </c>
      <c r="UFT22" s="73" t="str">
        <f t="shared" si="224"/>
        <v/>
      </c>
      <c r="UFU22" s="73" t="str">
        <f t="shared" si="224"/>
        <v/>
      </c>
      <c r="UFV22" s="73" t="str">
        <f t="shared" si="224"/>
        <v/>
      </c>
      <c r="UFW22" s="73" t="str">
        <f t="shared" si="224"/>
        <v/>
      </c>
      <c r="UFX22" s="73" t="str">
        <f t="shared" si="224"/>
        <v/>
      </c>
      <c r="UFY22" s="73" t="str">
        <f t="shared" si="224"/>
        <v/>
      </c>
      <c r="UFZ22" s="73" t="str">
        <f t="shared" si="224"/>
        <v/>
      </c>
      <c r="UGA22" s="73" t="str">
        <f t="shared" si="224"/>
        <v/>
      </c>
      <c r="UGB22" s="73" t="str">
        <f t="shared" si="224"/>
        <v/>
      </c>
      <c r="UGC22" s="73" t="str">
        <f t="shared" si="224"/>
        <v/>
      </c>
      <c r="UGD22" s="73" t="str">
        <f t="shared" si="224"/>
        <v/>
      </c>
      <c r="UGE22" s="73" t="str">
        <f t="shared" si="224"/>
        <v/>
      </c>
      <c r="UGF22" s="73" t="str">
        <f t="shared" si="224"/>
        <v/>
      </c>
      <c r="UGG22" s="73" t="str">
        <f t="shared" si="224"/>
        <v/>
      </c>
      <c r="UGH22" s="73" t="str">
        <f t="shared" si="224"/>
        <v/>
      </c>
      <c r="UGI22" s="73" t="str">
        <f t="shared" si="224"/>
        <v/>
      </c>
      <c r="UGJ22" s="73" t="str">
        <f t="shared" si="224"/>
        <v/>
      </c>
      <c r="UGK22" s="73" t="str">
        <f t="shared" si="224"/>
        <v/>
      </c>
      <c r="UGL22" s="73" t="str">
        <f t="shared" si="224"/>
        <v/>
      </c>
      <c r="UGM22" s="73" t="str">
        <f t="shared" si="224"/>
        <v/>
      </c>
      <c r="UGN22" s="73" t="str">
        <f t="shared" si="224"/>
        <v/>
      </c>
      <c r="UGO22" s="73" t="str">
        <f t="shared" si="224"/>
        <v/>
      </c>
      <c r="UGP22" s="73" t="str">
        <f t="shared" si="224"/>
        <v/>
      </c>
      <c r="UGQ22" s="73" t="str">
        <f t="shared" si="224"/>
        <v/>
      </c>
      <c r="UGR22" s="73" t="str">
        <f t="shared" si="224"/>
        <v/>
      </c>
      <c r="UGS22" s="73" t="str">
        <f t="shared" si="224"/>
        <v/>
      </c>
      <c r="UGT22" s="73" t="str">
        <f t="shared" si="224"/>
        <v/>
      </c>
      <c r="UGU22" s="73" t="str">
        <f t="shared" si="224"/>
        <v/>
      </c>
      <c r="UGV22" s="73" t="str">
        <f t="shared" si="224"/>
        <v/>
      </c>
      <c r="UGW22" s="73" t="str">
        <f t="shared" si="224"/>
        <v/>
      </c>
      <c r="UGX22" s="73" t="str">
        <f t="shared" si="224"/>
        <v/>
      </c>
      <c r="UGY22" s="73" t="str">
        <f t="shared" si="224"/>
        <v/>
      </c>
      <c r="UGZ22" s="73" t="str">
        <f t="shared" si="224"/>
        <v/>
      </c>
      <c r="UHA22" s="73" t="str">
        <f t="shared" si="224"/>
        <v/>
      </c>
      <c r="UHB22" s="73" t="str">
        <f t="shared" ref="UHB22:UJM22" si="225">IFERROR(AVERAGE(UHB6:UHB21),"")</f>
        <v/>
      </c>
      <c r="UHC22" s="73" t="str">
        <f t="shared" si="225"/>
        <v/>
      </c>
      <c r="UHD22" s="73" t="str">
        <f t="shared" si="225"/>
        <v/>
      </c>
      <c r="UHE22" s="73" t="str">
        <f t="shared" si="225"/>
        <v/>
      </c>
      <c r="UHF22" s="73" t="str">
        <f t="shared" si="225"/>
        <v/>
      </c>
      <c r="UHG22" s="73" t="str">
        <f t="shared" si="225"/>
        <v/>
      </c>
      <c r="UHH22" s="73" t="str">
        <f t="shared" si="225"/>
        <v/>
      </c>
      <c r="UHI22" s="73" t="str">
        <f t="shared" si="225"/>
        <v/>
      </c>
      <c r="UHJ22" s="73" t="str">
        <f t="shared" si="225"/>
        <v/>
      </c>
      <c r="UHK22" s="73" t="str">
        <f t="shared" si="225"/>
        <v/>
      </c>
      <c r="UHL22" s="73" t="str">
        <f t="shared" si="225"/>
        <v/>
      </c>
      <c r="UHM22" s="73" t="str">
        <f t="shared" si="225"/>
        <v/>
      </c>
      <c r="UHN22" s="73" t="str">
        <f t="shared" si="225"/>
        <v/>
      </c>
      <c r="UHO22" s="73" t="str">
        <f t="shared" si="225"/>
        <v/>
      </c>
      <c r="UHP22" s="73" t="str">
        <f t="shared" si="225"/>
        <v/>
      </c>
      <c r="UHQ22" s="73" t="str">
        <f t="shared" si="225"/>
        <v/>
      </c>
      <c r="UHR22" s="73" t="str">
        <f t="shared" si="225"/>
        <v/>
      </c>
      <c r="UHS22" s="73" t="str">
        <f t="shared" si="225"/>
        <v/>
      </c>
      <c r="UHT22" s="73" t="str">
        <f t="shared" si="225"/>
        <v/>
      </c>
      <c r="UHU22" s="73" t="str">
        <f t="shared" si="225"/>
        <v/>
      </c>
      <c r="UHV22" s="73" t="str">
        <f t="shared" si="225"/>
        <v/>
      </c>
      <c r="UHW22" s="73" t="str">
        <f t="shared" si="225"/>
        <v/>
      </c>
      <c r="UHX22" s="73" t="str">
        <f t="shared" si="225"/>
        <v/>
      </c>
      <c r="UHY22" s="73" t="str">
        <f t="shared" si="225"/>
        <v/>
      </c>
      <c r="UHZ22" s="73" t="str">
        <f t="shared" si="225"/>
        <v/>
      </c>
      <c r="UIA22" s="73" t="str">
        <f t="shared" si="225"/>
        <v/>
      </c>
      <c r="UIB22" s="73" t="str">
        <f t="shared" si="225"/>
        <v/>
      </c>
      <c r="UIC22" s="73" t="str">
        <f t="shared" si="225"/>
        <v/>
      </c>
      <c r="UID22" s="73" t="str">
        <f t="shared" si="225"/>
        <v/>
      </c>
      <c r="UIE22" s="73" t="str">
        <f t="shared" si="225"/>
        <v/>
      </c>
      <c r="UIF22" s="73" t="str">
        <f t="shared" si="225"/>
        <v/>
      </c>
      <c r="UIG22" s="73" t="str">
        <f t="shared" si="225"/>
        <v/>
      </c>
      <c r="UIH22" s="73" t="str">
        <f t="shared" si="225"/>
        <v/>
      </c>
      <c r="UII22" s="73" t="str">
        <f t="shared" si="225"/>
        <v/>
      </c>
      <c r="UIJ22" s="73" t="str">
        <f t="shared" si="225"/>
        <v/>
      </c>
      <c r="UIK22" s="73" t="str">
        <f t="shared" si="225"/>
        <v/>
      </c>
      <c r="UIL22" s="73" t="str">
        <f t="shared" si="225"/>
        <v/>
      </c>
      <c r="UIM22" s="73" t="str">
        <f t="shared" si="225"/>
        <v/>
      </c>
      <c r="UIN22" s="73" t="str">
        <f t="shared" si="225"/>
        <v/>
      </c>
      <c r="UIO22" s="73" t="str">
        <f t="shared" si="225"/>
        <v/>
      </c>
      <c r="UIP22" s="73" t="str">
        <f t="shared" si="225"/>
        <v/>
      </c>
      <c r="UIQ22" s="73" t="str">
        <f t="shared" si="225"/>
        <v/>
      </c>
      <c r="UIR22" s="73" t="str">
        <f t="shared" si="225"/>
        <v/>
      </c>
      <c r="UIS22" s="73" t="str">
        <f t="shared" si="225"/>
        <v/>
      </c>
      <c r="UIT22" s="73" t="str">
        <f t="shared" si="225"/>
        <v/>
      </c>
      <c r="UIU22" s="73" t="str">
        <f t="shared" si="225"/>
        <v/>
      </c>
      <c r="UIV22" s="73" t="str">
        <f t="shared" si="225"/>
        <v/>
      </c>
      <c r="UIW22" s="73" t="str">
        <f t="shared" si="225"/>
        <v/>
      </c>
      <c r="UIX22" s="73" t="str">
        <f t="shared" si="225"/>
        <v/>
      </c>
      <c r="UIY22" s="73" t="str">
        <f t="shared" si="225"/>
        <v/>
      </c>
      <c r="UIZ22" s="73" t="str">
        <f t="shared" si="225"/>
        <v/>
      </c>
      <c r="UJA22" s="73" t="str">
        <f t="shared" si="225"/>
        <v/>
      </c>
      <c r="UJB22" s="73" t="str">
        <f t="shared" si="225"/>
        <v/>
      </c>
      <c r="UJC22" s="73" t="str">
        <f t="shared" si="225"/>
        <v/>
      </c>
      <c r="UJD22" s="73" t="str">
        <f t="shared" si="225"/>
        <v/>
      </c>
      <c r="UJE22" s="73" t="str">
        <f t="shared" si="225"/>
        <v/>
      </c>
      <c r="UJF22" s="73" t="str">
        <f t="shared" si="225"/>
        <v/>
      </c>
      <c r="UJG22" s="73" t="str">
        <f t="shared" si="225"/>
        <v/>
      </c>
      <c r="UJH22" s="73" t="str">
        <f t="shared" si="225"/>
        <v/>
      </c>
      <c r="UJI22" s="73" t="str">
        <f t="shared" si="225"/>
        <v/>
      </c>
      <c r="UJJ22" s="73" t="str">
        <f t="shared" si="225"/>
        <v/>
      </c>
      <c r="UJK22" s="73" t="str">
        <f t="shared" si="225"/>
        <v/>
      </c>
      <c r="UJL22" s="73" t="str">
        <f t="shared" si="225"/>
        <v/>
      </c>
      <c r="UJM22" s="73" t="str">
        <f t="shared" si="225"/>
        <v/>
      </c>
      <c r="UJN22" s="73" t="str">
        <f t="shared" ref="UJN22:ULY22" si="226">IFERROR(AVERAGE(UJN6:UJN21),"")</f>
        <v/>
      </c>
      <c r="UJO22" s="73" t="str">
        <f t="shared" si="226"/>
        <v/>
      </c>
      <c r="UJP22" s="73" t="str">
        <f t="shared" si="226"/>
        <v/>
      </c>
      <c r="UJQ22" s="73" t="str">
        <f t="shared" si="226"/>
        <v/>
      </c>
      <c r="UJR22" s="73" t="str">
        <f t="shared" si="226"/>
        <v/>
      </c>
      <c r="UJS22" s="73" t="str">
        <f t="shared" si="226"/>
        <v/>
      </c>
      <c r="UJT22" s="73" t="str">
        <f t="shared" si="226"/>
        <v/>
      </c>
      <c r="UJU22" s="73" t="str">
        <f t="shared" si="226"/>
        <v/>
      </c>
      <c r="UJV22" s="73" t="str">
        <f t="shared" si="226"/>
        <v/>
      </c>
      <c r="UJW22" s="73" t="str">
        <f t="shared" si="226"/>
        <v/>
      </c>
      <c r="UJX22" s="73" t="str">
        <f t="shared" si="226"/>
        <v/>
      </c>
      <c r="UJY22" s="73" t="str">
        <f t="shared" si="226"/>
        <v/>
      </c>
      <c r="UJZ22" s="73" t="str">
        <f t="shared" si="226"/>
        <v/>
      </c>
      <c r="UKA22" s="73" t="str">
        <f t="shared" si="226"/>
        <v/>
      </c>
      <c r="UKB22" s="73" t="str">
        <f t="shared" si="226"/>
        <v/>
      </c>
      <c r="UKC22" s="73" t="str">
        <f t="shared" si="226"/>
        <v/>
      </c>
      <c r="UKD22" s="73" t="str">
        <f t="shared" si="226"/>
        <v/>
      </c>
      <c r="UKE22" s="73" t="str">
        <f t="shared" si="226"/>
        <v/>
      </c>
      <c r="UKF22" s="73" t="str">
        <f t="shared" si="226"/>
        <v/>
      </c>
      <c r="UKG22" s="73" t="str">
        <f t="shared" si="226"/>
        <v/>
      </c>
      <c r="UKH22" s="73" t="str">
        <f t="shared" si="226"/>
        <v/>
      </c>
      <c r="UKI22" s="73" t="str">
        <f t="shared" si="226"/>
        <v/>
      </c>
      <c r="UKJ22" s="73" t="str">
        <f t="shared" si="226"/>
        <v/>
      </c>
      <c r="UKK22" s="73" t="str">
        <f t="shared" si="226"/>
        <v/>
      </c>
      <c r="UKL22" s="73" t="str">
        <f t="shared" si="226"/>
        <v/>
      </c>
      <c r="UKM22" s="73" t="str">
        <f t="shared" si="226"/>
        <v/>
      </c>
      <c r="UKN22" s="73" t="str">
        <f t="shared" si="226"/>
        <v/>
      </c>
      <c r="UKO22" s="73" t="str">
        <f t="shared" si="226"/>
        <v/>
      </c>
      <c r="UKP22" s="73" t="str">
        <f t="shared" si="226"/>
        <v/>
      </c>
      <c r="UKQ22" s="73" t="str">
        <f t="shared" si="226"/>
        <v/>
      </c>
      <c r="UKR22" s="73" t="str">
        <f t="shared" si="226"/>
        <v/>
      </c>
      <c r="UKS22" s="73" t="str">
        <f t="shared" si="226"/>
        <v/>
      </c>
      <c r="UKT22" s="73" t="str">
        <f t="shared" si="226"/>
        <v/>
      </c>
      <c r="UKU22" s="73" t="str">
        <f t="shared" si="226"/>
        <v/>
      </c>
      <c r="UKV22" s="73" t="str">
        <f t="shared" si="226"/>
        <v/>
      </c>
      <c r="UKW22" s="73" t="str">
        <f t="shared" si="226"/>
        <v/>
      </c>
      <c r="UKX22" s="73" t="str">
        <f t="shared" si="226"/>
        <v/>
      </c>
      <c r="UKY22" s="73" t="str">
        <f t="shared" si="226"/>
        <v/>
      </c>
      <c r="UKZ22" s="73" t="str">
        <f t="shared" si="226"/>
        <v/>
      </c>
      <c r="ULA22" s="73" t="str">
        <f t="shared" si="226"/>
        <v/>
      </c>
      <c r="ULB22" s="73" t="str">
        <f t="shared" si="226"/>
        <v/>
      </c>
      <c r="ULC22" s="73" t="str">
        <f t="shared" si="226"/>
        <v/>
      </c>
      <c r="ULD22" s="73" t="str">
        <f t="shared" si="226"/>
        <v/>
      </c>
      <c r="ULE22" s="73" t="str">
        <f t="shared" si="226"/>
        <v/>
      </c>
      <c r="ULF22" s="73" t="str">
        <f t="shared" si="226"/>
        <v/>
      </c>
      <c r="ULG22" s="73" t="str">
        <f t="shared" si="226"/>
        <v/>
      </c>
      <c r="ULH22" s="73" t="str">
        <f t="shared" si="226"/>
        <v/>
      </c>
      <c r="ULI22" s="73" t="str">
        <f t="shared" si="226"/>
        <v/>
      </c>
      <c r="ULJ22" s="73" t="str">
        <f t="shared" si="226"/>
        <v/>
      </c>
      <c r="ULK22" s="73" t="str">
        <f t="shared" si="226"/>
        <v/>
      </c>
      <c r="ULL22" s="73" t="str">
        <f t="shared" si="226"/>
        <v/>
      </c>
      <c r="ULM22" s="73" t="str">
        <f t="shared" si="226"/>
        <v/>
      </c>
      <c r="ULN22" s="73" t="str">
        <f t="shared" si="226"/>
        <v/>
      </c>
      <c r="ULO22" s="73" t="str">
        <f t="shared" si="226"/>
        <v/>
      </c>
      <c r="ULP22" s="73" t="str">
        <f t="shared" si="226"/>
        <v/>
      </c>
      <c r="ULQ22" s="73" t="str">
        <f t="shared" si="226"/>
        <v/>
      </c>
      <c r="ULR22" s="73" t="str">
        <f t="shared" si="226"/>
        <v/>
      </c>
      <c r="ULS22" s="73" t="str">
        <f t="shared" si="226"/>
        <v/>
      </c>
      <c r="ULT22" s="73" t="str">
        <f t="shared" si="226"/>
        <v/>
      </c>
      <c r="ULU22" s="73" t="str">
        <f t="shared" si="226"/>
        <v/>
      </c>
      <c r="ULV22" s="73" t="str">
        <f t="shared" si="226"/>
        <v/>
      </c>
      <c r="ULW22" s="73" t="str">
        <f t="shared" si="226"/>
        <v/>
      </c>
      <c r="ULX22" s="73" t="str">
        <f t="shared" si="226"/>
        <v/>
      </c>
      <c r="ULY22" s="73" t="str">
        <f t="shared" si="226"/>
        <v/>
      </c>
      <c r="ULZ22" s="73" t="str">
        <f t="shared" ref="ULZ22:UOK22" si="227">IFERROR(AVERAGE(ULZ6:ULZ21),"")</f>
        <v/>
      </c>
      <c r="UMA22" s="73" t="str">
        <f t="shared" si="227"/>
        <v/>
      </c>
      <c r="UMB22" s="73" t="str">
        <f t="shared" si="227"/>
        <v/>
      </c>
      <c r="UMC22" s="73" t="str">
        <f t="shared" si="227"/>
        <v/>
      </c>
      <c r="UMD22" s="73" t="str">
        <f t="shared" si="227"/>
        <v/>
      </c>
      <c r="UME22" s="73" t="str">
        <f t="shared" si="227"/>
        <v/>
      </c>
      <c r="UMF22" s="73" t="str">
        <f t="shared" si="227"/>
        <v/>
      </c>
      <c r="UMG22" s="73" t="str">
        <f t="shared" si="227"/>
        <v/>
      </c>
      <c r="UMH22" s="73" t="str">
        <f t="shared" si="227"/>
        <v/>
      </c>
      <c r="UMI22" s="73" t="str">
        <f t="shared" si="227"/>
        <v/>
      </c>
      <c r="UMJ22" s="73" t="str">
        <f t="shared" si="227"/>
        <v/>
      </c>
      <c r="UMK22" s="73" t="str">
        <f t="shared" si="227"/>
        <v/>
      </c>
      <c r="UML22" s="73" t="str">
        <f t="shared" si="227"/>
        <v/>
      </c>
      <c r="UMM22" s="73" t="str">
        <f t="shared" si="227"/>
        <v/>
      </c>
      <c r="UMN22" s="73" t="str">
        <f t="shared" si="227"/>
        <v/>
      </c>
      <c r="UMO22" s="73" t="str">
        <f t="shared" si="227"/>
        <v/>
      </c>
      <c r="UMP22" s="73" t="str">
        <f t="shared" si="227"/>
        <v/>
      </c>
      <c r="UMQ22" s="73" t="str">
        <f t="shared" si="227"/>
        <v/>
      </c>
      <c r="UMR22" s="73" t="str">
        <f t="shared" si="227"/>
        <v/>
      </c>
      <c r="UMS22" s="73" t="str">
        <f t="shared" si="227"/>
        <v/>
      </c>
      <c r="UMT22" s="73" t="str">
        <f t="shared" si="227"/>
        <v/>
      </c>
      <c r="UMU22" s="73" t="str">
        <f t="shared" si="227"/>
        <v/>
      </c>
      <c r="UMV22" s="73" t="str">
        <f t="shared" si="227"/>
        <v/>
      </c>
      <c r="UMW22" s="73" t="str">
        <f t="shared" si="227"/>
        <v/>
      </c>
      <c r="UMX22" s="73" t="str">
        <f t="shared" si="227"/>
        <v/>
      </c>
      <c r="UMY22" s="73" t="str">
        <f t="shared" si="227"/>
        <v/>
      </c>
      <c r="UMZ22" s="73" t="str">
        <f t="shared" si="227"/>
        <v/>
      </c>
      <c r="UNA22" s="73" t="str">
        <f t="shared" si="227"/>
        <v/>
      </c>
      <c r="UNB22" s="73" t="str">
        <f t="shared" si="227"/>
        <v/>
      </c>
      <c r="UNC22" s="73" t="str">
        <f t="shared" si="227"/>
        <v/>
      </c>
      <c r="UND22" s="73" t="str">
        <f t="shared" si="227"/>
        <v/>
      </c>
      <c r="UNE22" s="73" t="str">
        <f t="shared" si="227"/>
        <v/>
      </c>
      <c r="UNF22" s="73" t="str">
        <f t="shared" si="227"/>
        <v/>
      </c>
      <c r="UNG22" s="73" t="str">
        <f t="shared" si="227"/>
        <v/>
      </c>
      <c r="UNH22" s="73" t="str">
        <f t="shared" si="227"/>
        <v/>
      </c>
      <c r="UNI22" s="73" t="str">
        <f t="shared" si="227"/>
        <v/>
      </c>
      <c r="UNJ22" s="73" t="str">
        <f t="shared" si="227"/>
        <v/>
      </c>
      <c r="UNK22" s="73" t="str">
        <f t="shared" si="227"/>
        <v/>
      </c>
      <c r="UNL22" s="73" t="str">
        <f t="shared" si="227"/>
        <v/>
      </c>
      <c r="UNM22" s="73" t="str">
        <f t="shared" si="227"/>
        <v/>
      </c>
      <c r="UNN22" s="73" t="str">
        <f t="shared" si="227"/>
        <v/>
      </c>
      <c r="UNO22" s="73" t="str">
        <f t="shared" si="227"/>
        <v/>
      </c>
      <c r="UNP22" s="73" t="str">
        <f t="shared" si="227"/>
        <v/>
      </c>
      <c r="UNQ22" s="73" t="str">
        <f t="shared" si="227"/>
        <v/>
      </c>
      <c r="UNR22" s="73" t="str">
        <f t="shared" si="227"/>
        <v/>
      </c>
      <c r="UNS22" s="73" t="str">
        <f t="shared" si="227"/>
        <v/>
      </c>
      <c r="UNT22" s="73" t="str">
        <f t="shared" si="227"/>
        <v/>
      </c>
      <c r="UNU22" s="73" t="str">
        <f t="shared" si="227"/>
        <v/>
      </c>
      <c r="UNV22" s="73" t="str">
        <f t="shared" si="227"/>
        <v/>
      </c>
      <c r="UNW22" s="73" t="str">
        <f t="shared" si="227"/>
        <v/>
      </c>
      <c r="UNX22" s="73" t="str">
        <f t="shared" si="227"/>
        <v/>
      </c>
      <c r="UNY22" s="73" t="str">
        <f t="shared" si="227"/>
        <v/>
      </c>
      <c r="UNZ22" s="73" t="str">
        <f t="shared" si="227"/>
        <v/>
      </c>
      <c r="UOA22" s="73" t="str">
        <f t="shared" si="227"/>
        <v/>
      </c>
      <c r="UOB22" s="73" t="str">
        <f t="shared" si="227"/>
        <v/>
      </c>
      <c r="UOC22" s="73" t="str">
        <f t="shared" si="227"/>
        <v/>
      </c>
      <c r="UOD22" s="73" t="str">
        <f t="shared" si="227"/>
        <v/>
      </c>
      <c r="UOE22" s="73" t="str">
        <f t="shared" si="227"/>
        <v/>
      </c>
      <c r="UOF22" s="73" t="str">
        <f t="shared" si="227"/>
        <v/>
      </c>
      <c r="UOG22" s="73" t="str">
        <f t="shared" si="227"/>
        <v/>
      </c>
      <c r="UOH22" s="73" t="str">
        <f t="shared" si="227"/>
        <v/>
      </c>
      <c r="UOI22" s="73" t="str">
        <f t="shared" si="227"/>
        <v/>
      </c>
      <c r="UOJ22" s="73" t="str">
        <f t="shared" si="227"/>
        <v/>
      </c>
      <c r="UOK22" s="73" t="str">
        <f t="shared" si="227"/>
        <v/>
      </c>
      <c r="UOL22" s="73" t="str">
        <f t="shared" ref="UOL22:UQW22" si="228">IFERROR(AVERAGE(UOL6:UOL21),"")</f>
        <v/>
      </c>
      <c r="UOM22" s="73" t="str">
        <f t="shared" si="228"/>
        <v/>
      </c>
      <c r="UON22" s="73" t="str">
        <f t="shared" si="228"/>
        <v/>
      </c>
      <c r="UOO22" s="73" t="str">
        <f t="shared" si="228"/>
        <v/>
      </c>
      <c r="UOP22" s="73" t="str">
        <f t="shared" si="228"/>
        <v/>
      </c>
      <c r="UOQ22" s="73" t="str">
        <f t="shared" si="228"/>
        <v/>
      </c>
      <c r="UOR22" s="73" t="str">
        <f t="shared" si="228"/>
        <v/>
      </c>
      <c r="UOS22" s="73" t="str">
        <f t="shared" si="228"/>
        <v/>
      </c>
      <c r="UOT22" s="73" t="str">
        <f t="shared" si="228"/>
        <v/>
      </c>
      <c r="UOU22" s="73" t="str">
        <f t="shared" si="228"/>
        <v/>
      </c>
      <c r="UOV22" s="73" t="str">
        <f t="shared" si="228"/>
        <v/>
      </c>
      <c r="UOW22" s="73" t="str">
        <f t="shared" si="228"/>
        <v/>
      </c>
      <c r="UOX22" s="73" t="str">
        <f t="shared" si="228"/>
        <v/>
      </c>
      <c r="UOY22" s="73" t="str">
        <f t="shared" si="228"/>
        <v/>
      </c>
      <c r="UOZ22" s="73" t="str">
        <f t="shared" si="228"/>
        <v/>
      </c>
      <c r="UPA22" s="73" t="str">
        <f t="shared" si="228"/>
        <v/>
      </c>
      <c r="UPB22" s="73" t="str">
        <f t="shared" si="228"/>
        <v/>
      </c>
      <c r="UPC22" s="73" t="str">
        <f t="shared" si="228"/>
        <v/>
      </c>
      <c r="UPD22" s="73" t="str">
        <f t="shared" si="228"/>
        <v/>
      </c>
      <c r="UPE22" s="73" t="str">
        <f t="shared" si="228"/>
        <v/>
      </c>
      <c r="UPF22" s="73" t="str">
        <f t="shared" si="228"/>
        <v/>
      </c>
      <c r="UPG22" s="73" t="str">
        <f t="shared" si="228"/>
        <v/>
      </c>
      <c r="UPH22" s="73" t="str">
        <f t="shared" si="228"/>
        <v/>
      </c>
      <c r="UPI22" s="73" t="str">
        <f t="shared" si="228"/>
        <v/>
      </c>
      <c r="UPJ22" s="73" t="str">
        <f t="shared" si="228"/>
        <v/>
      </c>
      <c r="UPK22" s="73" t="str">
        <f t="shared" si="228"/>
        <v/>
      </c>
      <c r="UPL22" s="73" t="str">
        <f t="shared" si="228"/>
        <v/>
      </c>
      <c r="UPM22" s="73" t="str">
        <f t="shared" si="228"/>
        <v/>
      </c>
      <c r="UPN22" s="73" t="str">
        <f t="shared" si="228"/>
        <v/>
      </c>
      <c r="UPO22" s="73" t="str">
        <f t="shared" si="228"/>
        <v/>
      </c>
      <c r="UPP22" s="73" t="str">
        <f t="shared" si="228"/>
        <v/>
      </c>
      <c r="UPQ22" s="73" t="str">
        <f t="shared" si="228"/>
        <v/>
      </c>
      <c r="UPR22" s="73" t="str">
        <f t="shared" si="228"/>
        <v/>
      </c>
      <c r="UPS22" s="73" t="str">
        <f t="shared" si="228"/>
        <v/>
      </c>
      <c r="UPT22" s="73" t="str">
        <f t="shared" si="228"/>
        <v/>
      </c>
      <c r="UPU22" s="73" t="str">
        <f t="shared" si="228"/>
        <v/>
      </c>
      <c r="UPV22" s="73" t="str">
        <f t="shared" si="228"/>
        <v/>
      </c>
      <c r="UPW22" s="73" t="str">
        <f t="shared" si="228"/>
        <v/>
      </c>
      <c r="UPX22" s="73" t="str">
        <f t="shared" si="228"/>
        <v/>
      </c>
      <c r="UPY22" s="73" t="str">
        <f t="shared" si="228"/>
        <v/>
      </c>
      <c r="UPZ22" s="73" t="str">
        <f t="shared" si="228"/>
        <v/>
      </c>
      <c r="UQA22" s="73" t="str">
        <f t="shared" si="228"/>
        <v/>
      </c>
      <c r="UQB22" s="73" t="str">
        <f t="shared" si="228"/>
        <v/>
      </c>
      <c r="UQC22" s="73" t="str">
        <f t="shared" si="228"/>
        <v/>
      </c>
      <c r="UQD22" s="73" t="str">
        <f t="shared" si="228"/>
        <v/>
      </c>
      <c r="UQE22" s="73" t="str">
        <f t="shared" si="228"/>
        <v/>
      </c>
      <c r="UQF22" s="73" t="str">
        <f t="shared" si="228"/>
        <v/>
      </c>
      <c r="UQG22" s="73" t="str">
        <f t="shared" si="228"/>
        <v/>
      </c>
      <c r="UQH22" s="73" t="str">
        <f t="shared" si="228"/>
        <v/>
      </c>
      <c r="UQI22" s="73" t="str">
        <f t="shared" si="228"/>
        <v/>
      </c>
      <c r="UQJ22" s="73" t="str">
        <f t="shared" si="228"/>
        <v/>
      </c>
      <c r="UQK22" s="73" t="str">
        <f t="shared" si="228"/>
        <v/>
      </c>
      <c r="UQL22" s="73" t="str">
        <f t="shared" si="228"/>
        <v/>
      </c>
      <c r="UQM22" s="73" t="str">
        <f t="shared" si="228"/>
        <v/>
      </c>
      <c r="UQN22" s="73" t="str">
        <f t="shared" si="228"/>
        <v/>
      </c>
      <c r="UQO22" s="73" t="str">
        <f t="shared" si="228"/>
        <v/>
      </c>
      <c r="UQP22" s="73" t="str">
        <f t="shared" si="228"/>
        <v/>
      </c>
      <c r="UQQ22" s="73" t="str">
        <f t="shared" si="228"/>
        <v/>
      </c>
      <c r="UQR22" s="73" t="str">
        <f t="shared" si="228"/>
        <v/>
      </c>
      <c r="UQS22" s="73" t="str">
        <f t="shared" si="228"/>
        <v/>
      </c>
      <c r="UQT22" s="73" t="str">
        <f t="shared" si="228"/>
        <v/>
      </c>
      <c r="UQU22" s="73" t="str">
        <f t="shared" si="228"/>
        <v/>
      </c>
      <c r="UQV22" s="73" t="str">
        <f t="shared" si="228"/>
        <v/>
      </c>
      <c r="UQW22" s="73" t="str">
        <f t="shared" si="228"/>
        <v/>
      </c>
      <c r="UQX22" s="73" t="str">
        <f t="shared" ref="UQX22:UTI22" si="229">IFERROR(AVERAGE(UQX6:UQX21),"")</f>
        <v/>
      </c>
      <c r="UQY22" s="73" t="str">
        <f t="shared" si="229"/>
        <v/>
      </c>
      <c r="UQZ22" s="73" t="str">
        <f t="shared" si="229"/>
        <v/>
      </c>
      <c r="URA22" s="73" t="str">
        <f t="shared" si="229"/>
        <v/>
      </c>
      <c r="URB22" s="73" t="str">
        <f t="shared" si="229"/>
        <v/>
      </c>
      <c r="URC22" s="73" t="str">
        <f t="shared" si="229"/>
        <v/>
      </c>
      <c r="URD22" s="73" t="str">
        <f t="shared" si="229"/>
        <v/>
      </c>
      <c r="URE22" s="73" t="str">
        <f t="shared" si="229"/>
        <v/>
      </c>
      <c r="URF22" s="73" t="str">
        <f t="shared" si="229"/>
        <v/>
      </c>
      <c r="URG22" s="73" t="str">
        <f t="shared" si="229"/>
        <v/>
      </c>
      <c r="URH22" s="73" t="str">
        <f t="shared" si="229"/>
        <v/>
      </c>
      <c r="URI22" s="73" t="str">
        <f t="shared" si="229"/>
        <v/>
      </c>
      <c r="URJ22" s="73" t="str">
        <f t="shared" si="229"/>
        <v/>
      </c>
      <c r="URK22" s="73" t="str">
        <f t="shared" si="229"/>
        <v/>
      </c>
      <c r="URL22" s="73" t="str">
        <f t="shared" si="229"/>
        <v/>
      </c>
      <c r="URM22" s="73" t="str">
        <f t="shared" si="229"/>
        <v/>
      </c>
      <c r="URN22" s="73" t="str">
        <f t="shared" si="229"/>
        <v/>
      </c>
      <c r="URO22" s="73" t="str">
        <f t="shared" si="229"/>
        <v/>
      </c>
      <c r="URP22" s="73" t="str">
        <f t="shared" si="229"/>
        <v/>
      </c>
      <c r="URQ22" s="73" t="str">
        <f t="shared" si="229"/>
        <v/>
      </c>
      <c r="URR22" s="73" t="str">
        <f t="shared" si="229"/>
        <v/>
      </c>
      <c r="URS22" s="73" t="str">
        <f t="shared" si="229"/>
        <v/>
      </c>
      <c r="URT22" s="73" t="str">
        <f t="shared" si="229"/>
        <v/>
      </c>
      <c r="URU22" s="73" t="str">
        <f t="shared" si="229"/>
        <v/>
      </c>
      <c r="URV22" s="73" t="str">
        <f t="shared" si="229"/>
        <v/>
      </c>
      <c r="URW22" s="73" t="str">
        <f t="shared" si="229"/>
        <v/>
      </c>
      <c r="URX22" s="73" t="str">
        <f t="shared" si="229"/>
        <v/>
      </c>
      <c r="URY22" s="73" t="str">
        <f t="shared" si="229"/>
        <v/>
      </c>
      <c r="URZ22" s="73" t="str">
        <f t="shared" si="229"/>
        <v/>
      </c>
      <c r="USA22" s="73" t="str">
        <f t="shared" si="229"/>
        <v/>
      </c>
      <c r="USB22" s="73" t="str">
        <f t="shared" si="229"/>
        <v/>
      </c>
      <c r="USC22" s="73" t="str">
        <f t="shared" si="229"/>
        <v/>
      </c>
      <c r="USD22" s="73" t="str">
        <f t="shared" si="229"/>
        <v/>
      </c>
      <c r="USE22" s="73" t="str">
        <f t="shared" si="229"/>
        <v/>
      </c>
      <c r="USF22" s="73" t="str">
        <f t="shared" si="229"/>
        <v/>
      </c>
      <c r="USG22" s="73" t="str">
        <f t="shared" si="229"/>
        <v/>
      </c>
      <c r="USH22" s="73" t="str">
        <f t="shared" si="229"/>
        <v/>
      </c>
      <c r="USI22" s="73" t="str">
        <f t="shared" si="229"/>
        <v/>
      </c>
      <c r="USJ22" s="73" t="str">
        <f t="shared" si="229"/>
        <v/>
      </c>
      <c r="USK22" s="73" t="str">
        <f t="shared" si="229"/>
        <v/>
      </c>
      <c r="USL22" s="73" t="str">
        <f t="shared" si="229"/>
        <v/>
      </c>
      <c r="USM22" s="73" t="str">
        <f t="shared" si="229"/>
        <v/>
      </c>
      <c r="USN22" s="73" t="str">
        <f t="shared" si="229"/>
        <v/>
      </c>
      <c r="USO22" s="73" t="str">
        <f t="shared" si="229"/>
        <v/>
      </c>
      <c r="USP22" s="73" t="str">
        <f t="shared" si="229"/>
        <v/>
      </c>
      <c r="USQ22" s="73" t="str">
        <f t="shared" si="229"/>
        <v/>
      </c>
      <c r="USR22" s="73" t="str">
        <f t="shared" si="229"/>
        <v/>
      </c>
      <c r="USS22" s="73" t="str">
        <f t="shared" si="229"/>
        <v/>
      </c>
      <c r="UST22" s="73" t="str">
        <f t="shared" si="229"/>
        <v/>
      </c>
      <c r="USU22" s="73" t="str">
        <f t="shared" si="229"/>
        <v/>
      </c>
      <c r="USV22" s="73" t="str">
        <f t="shared" si="229"/>
        <v/>
      </c>
      <c r="USW22" s="73" t="str">
        <f t="shared" si="229"/>
        <v/>
      </c>
      <c r="USX22" s="73" t="str">
        <f t="shared" si="229"/>
        <v/>
      </c>
      <c r="USY22" s="73" t="str">
        <f t="shared" si="229"/>
        <v/>
      </c>
      <c r="USZ22" s="73" t="str">
        <f t="shared" si="229"/>
        <v/>
      </c>
      <c r="UTA22" s="73" t="str">
        <f t="shared" si="229"/>
        <v/>
      </c>
      <c r="UTB22" s="73" t="str">
        <f t="shared" si="229"/>
        <v/>
      </c>
      <c r="UTC22" s="73" t="str">
        <f t="shared" si="229"/>
        <v/>
      </c>
      <c r="UTD22" s="73" t="str">
        <f t="shared" si="229"/>
        <v/>
      </c>
      <c r="UTE22" s="73" t="str">
        <f t="shared" si="229"/>
        <v/>
      </c>
      <c r="UTF22" s="73" t="str">
        <f t="shared" si="229"/>
        <v/>
      </c>
      <c r="UTG22" s="73" t="str">
        <f t="shared" si="229"/>
        <v/>
      </c>
      <c r="UTH22" s="73" t="str">
        <f t="shared" si="229"/>
        <v/>
      </c>
      <c r="UTI22" s="73" t="str">
        <f t="shared" si="229"/>
        <v/>
      </c>
      <c r="UTJ22" s="73" t="str">
        <f t="shared" ref="UTJ22:UVU22" si="230">IFERROR(AVERAGE(UTJ6:UTJ21),"")</f>
        <v/>
      </c>
      <c r="UTK22" s="73" t="str">
        <f t="shared" si="230"/>
        <v/>
      </c>
      <c r="UTL22" s="73" t="str">
        <f t="shared" si="230"/>
        <v/>
      </c>
      <c r="UTM22" s="73" t="str">
        <f t="shared" si="230"/>
        <v/>
      </c>
      <c r="UTN22" s="73" t="str">
        <f t="shared" si="230"/>
        <v/>
      </c>
      <c r="UTO22" s="73" t="str">
        <f t="shared" si="230"/>
        <v/>
      </c>
      <c r="UTP22" s="73" t="str">
        <f t="shared" si="230"/>
        <v/>
      </c>
      <c r="UTQ22" s="73" t="str">
        <f t="shared" si="230"/>
        <v/>
      </c>
      <c r="UTR22" s="73" t="str">
        <f t="shared" si="230"/>
        <v/>
      </c>
      <c r="UTS22" s="73" t="str">
        <f t="shared" si="230"/>
        <v/>
      </c>
      <c r="UTT22" s="73" t="str">
        <f t="shared" si="230"/>
        <v/>
      </c>
      <c r="UTU22" s="73" t="str">
        <f t="shared" si="230"/>
        <v/>
      </c>
      <c r="UTV22" s="73" t="str">
        <f t="shared" si="230"/>
        <v/>
      </c>
      <c r="UTW22" s="73" t="str">
        <f t="shared" si="230"/>
        <v/>
      </c>
      <c r="UTX22" s="73" t="str">
        <f t="shared" si="230"/>
        <v/>
      </c>
      <c r="UTY22" s="73" t="str">
        <f t="shared" si="230"/>
        <v/>
      </c>
      <c r="UTZ22" s="73" t="str">
        <f t="shared" si="230"/>
        <v/>
      </c>
      <c r="UUA22" s="73" t="str">
        <f t="shared" si="230"/>
        <v/>
      </c>
      <c r="UUB22" s="73" t="str">
        <f t="shared" si="230"/>
        <v/>
      </c>
      <c r="UUC22" s="73" t="str">
        <f t="shared" si="230"/>
        <v/>
      </c>
      <c r="UUD22" s="73" t="str">
        <f t="shared" si="230"/>
        <v/>
      </c>
      <c r="UUE22" s="73" t="str">
        <f t="shared" si="230"/>
        <v/>
      </c>
      <c r="UUF22" s="73" t="str">
        <f t="shared" si="230"/>
        <v/>
      </c>
      <c r="UUG22" s="73" t="str">
        <f t="shared" si="230"/>
        <v/>
      </c>
      <c r="UUH22" s="73" t="str">
        <f t="shared" si="230"/>
        <v/>
      </c>
      <c r="UUI22" s="73" t="str">
        <f t="shared" si="230"/>
        <v/>
      </c>
      <c r="UUJ22" s="73" t="str">
        <f t="shared" si="230"/>
        <v/>
      </c>
      <c r="UUK22" s="73" t="str">
        <f t="shared" si="230"/>
        <v/>
      </c>
      <c r="UUL22" s="73" t="str">
        <f t="shared" si="230"/>
        <v/>
      </c>
      <c r="UUM22" s="73" t="str">
        <f t="shared" si="230"/>
        <v/>
      </c>
      <c r="UUN22" s="73" t="str">
        <f t="shared" si="230"/>
        <v/>
      </c>
      <c r="UUO22" s="73" t="str">
        <f t="shared" si="230"/>
        <v/>
      </c>
      <c r="UUP22" s="73" t="str">
        <f t="shared" si="230"/>
        <v/>
      </c>
      <c r="UUQ22" s="73" t="str">
        <f t="shared" si="230"/>
        <v/>
      </c>
      <c r="UUR22" s="73" t="str">
        <f t="shared" si="230"/>
        <v/>
      </c>
      <c r="UUS22" s="73" t="str">
        <f t="shared" si="230"/>
        <v/>
      </c>
      <c r="UUT22" s="73" t="str">
        <f t="shared" si="230"/>
        <v/>
      </c>
      <c r="UUU22" s="73" t="str">
        <f t="shared" si="230"/>
        <v/>
      </c>
      <c r="UUV22" s="73" t="str">
        <f t="shared" si="230"/>
        <v/>
      </c>
      <c r="UUW22" s="73" t="str">
        <f t="shared" si="230"/>
        <v/>
      </c>
      <c r="UUX22" s="73" t="str">
        <f t="shared" si="230"/>
        <v/>
      </c>
      <c r="UUY22" s="73" t="str">
        <f t="shared" si="230"/>
        <v/>
      </c>
      <c r="UUZ22" s="73" t="str">
        <f t="shared" si="230"/>
        <v/>
      </c>
      <c r="UVA22" s="73" t="str">
        <f t="shared" si="230"/>
        <v/>
      </c>
      <c r="UVB22" s="73" t="str">
        <f t="shared" si="230"/>
        <v/>
      </c>
      <c r="UVC22" s="73" t="str">
        <f t="shared" si="230"/>
        <v/>
      </c>
      <c r="UVD22" s="73" t="str">
        <f t="shared" si="230"/>
        <v/>
      </c>
      <c r="UVE22" s="73" t="str">
        <f t="shared" si="230"/>
        <v/>
      </c>
      <c r="UVF22" s="73" t="str">
        <f t="shared" si="230"/>
        <v/>
      </c>
      <c r="UVG22" s="73" t="str">
        <f t="shared" si="230"/>
        <v/>
      </c>
      <c r="UVH22" s="73" t="str">
        <f t="shared" si="230"/>
        <v/>
      </c>
      <c r="UVI22" s="73" t="str">
        <f t="shared" si="230"/>
        <v/>
      </c>
      <c r="UVJ22" s="73" t="str">
        <f t="shared" si="230"/>
        <v/>
      </c>
      <c r="UVK22" s="73" t="str">
        <f t="shared" si="230"/>
        <v/>
      </c>
      <c r="UVL22" s="73" t="str">
        <f t="shared" si="230"/>
        <v/>
      </c>
      <c r="UVM22" s="73" t="str">
        <f t="shared" si="230"/>
        <v/>
      </c>
      <c r="UVN22" s="73" t="str">
        <f t="shared" si="230"/>
        <v/>
      </c>
      <c r="UVO22" s="73" t="str">
        <f t="shared" si="230"/>
        <v/>
      </c>
      <c r="UVP22" s="73" t="str">
        <f t="shared" si="230"/>
        <v/>
      </c>
      <c r="UVQ22" s="73" t="str">
        <f t="shared" si="230"/>
        <v/>
      </c>
      <c r="UVR22" s="73" t="str">
        <f t="shared" si="230"/>
        <v/>
      </c>
      <c r="UVS22" s="73" t="str">
        <f t="shared" si="230"/>
        <v/>
      </c>
      <c r="UVT22" s="73" t="str">
        <f t="shared" si="230"/>
        <v/>
      </c>
      <c r="UVU22" s="73" t="str">
        <f t="shared" si="230"/>
        <v/>
      </c>
      <c r="UVV22" s="73" t="str">
        <f t="shared" ref="UVV22:UYG22" si="231">IFERROR(AVERAGE(UVV6:UVV21),"")</f>
        <v/>
      </c>
      <c r="UVW22" s="73" t="str">
        <f t="shared" si="231"/>
        <v/>
      </c>
      <c r="UVX22" s="73" t="str">
        <f t="shared" si="231"/>
        <v/>
      </c>
      <c r="UVY22" s="73" t="str">
        <f t="shared" si="231"/>
        <v/>
      </c>
      <c r="UVZ22" s="73" t="str">
        <f t="shared" si="231"/>
        <v/>
      </c>
      <c r="UWA22" s="73" t="str">
        <f t="shared" si="231"/>
        <v/>
      </c>
      <c r="UWB22" s="73" t="str">
        <f t="shared" si="231"/>
        <v/>
      </c>
      <c r="UWC22" s="73" t="str">
        <f t="shared" si="231"/>
        <v/>
      </c>
      <c r="UWD22" s="73" t="str">
        <f t="shared" si="231"/>
        <v/>
      </c>
      <c r="UWE22" s="73" t="str">
        <f t="shared" si="231"/>
        <v/>
      </c>
      <c r="UWF22" s="73" t="str">
        <f t="shared" si="231"/>
        <v/>
      </c>
      <c r="UWG22" s="73" t="str">
        <f t="shared" si="231"/>
        <v/>
      </c>
      <c r="UWH22" s="73" t="str">
        <f t="shared" si="231"/>
        <v/>
      </c>
      <c r="UWI22" s="73" t="str">
        <f t="shared" si="231"/>
        <v/>
      </c>
      <c r="UWJ22" s="73" t="str">
        <f t="shared" si="231"/>
        <v/>
      </c>
      <c r="UWK22" s="73" t="str">
        <f t="shared" si="231"/>
        <v/>
      </c>
      <c r="UWL22" s="73" t="str">
        <f t="shared" si="231"/>
        <v/>
      </c>
      <c r="UWM22" s="73" t="str">
        <f t="shared" si="231"/>
        <v/>
      </c>
      <c r="UWN22" s="73" t="str">
        <f t="shared" si="231"/>
        <v/>
      </c>
      <c r="UWO22" s="73" t="str">
        <f t="shared" si="231"/>
        <v/>
      </c>
      <c r="UWP22" s="73" t="str">
        <f t="shared" si="231"/>
        <v/>
      </c>
      <c r="UWQ22" s="73" t="str">
        <f t="shared" si="231"/>
        <v/>
      </c>
      <c r="UWR22" s="73" t="str">
        <f t="shared" si="231"/>
        <v/>
      </c>
      <c r="UWS22" s="73" t="str">
        <f t="shared" si="231"/>
        <v/>
      </c>
      <c r="UWT22" s="73" t="str">
        <f t="shared" si="231"/>
        <v/>
      </c>
      <c r="UWU22" s="73" t="str">
        <f t="shared" si="231"/>
        <v/>
      </c>
      <c r="UWV22" s="73" t="str">
        <f t="shared" si="231"/>
        <v/>
      </c>
      <c r="UWW22" s="73" t="str">
        <f t="shared" si="231"/>
        <v/>
      </c>
      <c r="UWX22" s="73" t="str">
        <f t="shared" si="231"/>
        <v/>
      </c>
      <c r="UWY22" s="73" t="str">
        <f t="shared" si="231"/>
        <v/>
      </c>
      <c r="UWZ22" s="73" t="str">
        <f t="shared" si="231"/>
        <v/>
      </c>
      <c r="UXA22" s="73" t="str">
        <f t="shared" si="231"/>
        <v/>
      </c>
      <c r="UXB22" s="73" t="str">
        <f t="shared" si="231"/>
        <v/>
      </c>
      <c r="UXC22" s="73" t="str">
        <f t="shared" si="231"/>
        <v/>
      </c>
      <c r="UXD22" s="73" t="str">
        <f t="shared" si="231"/>
        <v/>
      </c>
      <c r="UXE22" s="73" t="str">
        <f t="shared" si="231"/>
        <v/>
      </c>
      <c r="UXF22" s="73" t="str">
        <f t="shared" si="231"/>
        <v/>
      </c>
      <c r="UXG22" s="73" t="str">
        <f t="shared" si="231"/>
        <v/>
      </c>
      <c r="UXH22" s="73" t="str">
        <f t="shared" si="231"/>
        <v/>
      </c>
      <c r="UXI22" s="73" t="str">
        <f t="shared" si="231"/>
        <v/>
      </c>
      <c r="UXJ22" s="73" t="str">
        <f t="shared" si="231"/>
        <v/>
      </c>
      <c r="UXK22" s="73" t="str">
        <f t="shared" si="231"/>
        <v/>
      </c>
      <c r="UXL22" s="73" t="str">
        <f t="shared" si="231"/>
        <v/>
      </c>
      <c r="UXM22" s="73" t="str">
        <f t="shared" si="231"/>
        <v/>
      </c>
      <c r="UXN22" s="73" t="str">
        <f t="shared" si="231"/>
        <v/>
      </c>
      <c r="UXO22" s="73" t="str">
        <f t="shared" si="231"/>
        <v/>
      </c>
      <c r="UXP22" s="73" t="str">
        <f t="shared" si="231"/>
        <v/>
      </c>
      <c r="UXQ22" s="73" t="str">
        <f t="shared" si="231"/>
        <v/>
      </c>
      <c r="UXR22" s="73" t="str">
        <f t="shared" si="231"/>
        <v/>
      </c>
      <c r="UXS22" s="73" t="str">
        <f t="shared" si="231"/>
        <v/>
      </c>
      <c r="UXT22" s="73" t="str">
        <f t="shared" si="231"/>
        <v/>
      </c>
      <c r="UXU22" s="73" t="str">
        <f t="shared" si="231"/>
        <v/>
      </c>
      <c r="UXV22" s="73" t="str">
        <f t="shared" si="231"/>
        <v/>
      </c>
      <c r="UXW22" s="73" t="str">
        <f t="shared" si="231"/>
        <v/>
      </c>
      <c r="UXX22" s="73" t="str">
        <f t="shared" si="231"/>
        <v/>
      </c>
      <c r="UXY22" s="73" t="str">
        <f t="shared" si="231"/>
        <v/>
      </c>
      <c r="UXZ22" s="73" t="str">
        <f t="shared" si="231"/>
        <v/>
      </c>
      <c r="UYA22" s="73" t="str">
        <f t="shared" si="231"/>
        <v/>
      </c>
      <c r="UYB22" s="73" t="str">
        <f t="shared" si="231"/>
        <v/>
      </c>
      <c r="UYC22" s="73" t="str">
        <f t="shared" si="231"/>
        <v/>
      </c>
      <c r="UYD22" s="73" t="str">
        <f t="shared" si="231"/>
        <v/>
      </c>
      <c r="UYE22" s="73" t="str">
        <f t="shared" si="231"/>
        <v/>
      </c>
      <c r="UYF22" s="73" t="str">
        <f t="shared" si="231"/>
        <v/>
      </c>
      <c r="UYG22" s="73" t="str">
        <f t="shared" si="231"/>
        <v/>
      </c>
      <c r="UYH22" s="73" t="str">
        <f t="shared" ref="UYH22:VAS22" si="232">IFERROR(AVERAGE(UYH6:UYH21),"")</f>
        <v/>
      </c>
      <c r="UYI22" s="73" t="str">
        <f t="shared" si="232"/>
        <v/>
      </c>
      <c r="UYJ22" s="73" t="str">
        <f t="shared" si="232"/>
        <v/>
      </c>
      <c r="UYK22" s="73" t="str">
        <f t="shared" si="232"/>
        <v/>
      </c>
      <c r="UYL22" s="73" t="str">
        <f t="shared" si="232"/>
        <v/>
      </c>
      <c r="UYM22" s="73" t="str">
        <f t="shared" si="232"/>
        <v/>
      </c>
      <c r="UYN22" s="73" t="str">
        <f t="shared" si="232"/>
        <v/>
      </c>
      <c r="UYO22" s="73" t="str">
        <f t="shared" si="232"/>
        <v/>
      </c>
      <c r="UYP22" s="73" t="str">
        <f t="shared" si="232"/>
        <v/>
      </c>
      <c r="UYQ22" s="73" t="str">
        <f t="shared" si="232"/>
        <v/>
      </c>
      <c r="UYR22" s="73" t="str">
        <f t="shared" si="232"/>
        <v/>
      </c>
      <c r="UYS22" s="73" t="str">
        <f t="shared" si="232"/>
        <v/>
      </c>
      <c r="UYT22" s="73" t="str">
        <f t="shared" si="232"/>
        <v/>
      </c>
      <c r="UYU22" s="73" t="str">
        <f t="shared" si="232"/>
        <v/>
      </c>
      <c r="UYV22" s="73" t="str">
        <f t="shared" si="232"/>
        <v/>
      </c>
      <c r="UYW22" s="73" t="str">
        <f t="shared" si="232"/>
        <v/>
      </c>
      <c r="UYX22" s="73" t="str">
        <f t="shared" si="232"/>
        <v/>
      </c>
      <c r="UYY22" s="73" t="str">
        <f t="shared" si="232"/>
        <v/>
      </c>
      <c r="UYZ22" s="73" t="str">
        <f t="shared" si="232"/>
        <v/>
      </c>
      <c r="UZA22" s="73" t="str">
        <f t="shared" si="232"/>
        <v/>
      </c>
      <c r="UZB22" s="73" t="str">
        <f t="shared" si="232"/>
        <v/>
      </c>
      <c r="UZC22" s="73" t="str">
        <f t="shared" si="232"/>
        <v/>
      </c>
      <c r="UZD22" s="73" t="str">
        <f t="shared" si="232"/>
        <v/>
      </c>
      <c r="UZE22" s="73" t="str">
        <f t="shared" si="232"/>
        <v/>
      </c>
      <c r="UZF22" s="73" t="str">
        <f t="shared" si="232"/>
        <v/>
      </c>
      <c r="UZG22" s="73" t="str">
        <f t="shared" si="232"/>
        <v/>
      </c>
      <c r="UZH22" s="73" t="str">
        <f t="shared" si="232"/>
        <v/>
      </c>
      <c r="UZI22" s="73" t="str">
        <f t="shared" si="232"/>
        <v/>
      </c>
      <c r="UZJ22" s="73" t="str">
        <f t="shared" si="232"/>
        <v/>
      </c>
      <c r="UZK22" s="73" t="str">
        <f t="shared" si="232"/>
        <v/>
      </c>
      <c r="UZL22" s="73" t="str">
        <f t="shared" si="232"/>
        <v/>
      </c>
      <c r="UZM22" s="73" t="str">
        <f t="shared" si="232"/>
        <v/>
      </c>
      <c r="UZN22" s="73" t="str">
        <f t="shared" si="232"/>
        <v/>
      </c>
      <c r="UZO22" s="73" t="str">
        <f t="shared" si="232"/>
        <v/>
      </c>
      <c r="UZP22" s="73" t="str">
        <f t="shared" si="232"/>
        <v/>
      </c>
      <c r="UZQ22" s="73" t="str">
        <f t="shared" si="232"/>
        <v/>
      </c>
      <c r="UZR22" s="73" t="str">
        <f t="shared" si="232"/>
        <v/>
      </c>
      <c r="UZS22" s="73" t="str">
        <f t="shared" si="232"/>
        <v/>
      </c>
      <c r="UZT22" s="73" t="str">
        <f t="shared" si="232"/>
        <v/>
      </c>
      <c r="UZU22" s="73" t="str">
        <f t="shared" si="232"/>
        <v/>
      </c>
      <c r="UZV22" s="73" t="str">
        <f t="shared" si="232"/>
        <v/>
      </c>
      <c r="UZW22" s="73" t="str">
        <f t="shared" si="232"/>
        <v/>
      </c>
      <c r="UZX22" s="73" t="str">
        <f t="shared" si="232"/>
        <v/>
      </c>
      <c r="UZY22" s="73" t="str">
        <f t="shared" si="232"/>
        <v/>
      </c>
      <c r="UZZ22" s="73" t="str">
        <f t="shared" si="232"/>
        <v/>
      </c>
      <c r="VAA22" s="73" t="str">
        <f t="shared" si="232"/>
        <v/>
      </c>
      <c r="VAB22" s="73" t="str">
        <f t="shared" si="232"/>
        <v/>
      </c>
      <c r="VAC22" s="73" t="str">
        <f t="shared" si="232"/>
        <v/>
      </c>
      <c r="VAD22" s="73" t="str">
        <f t="shared" si="232"/>
        <v/>
      </c>
      <c r="VAE22" s="73" t="str">
        <f t="shared" si="232"/>
        <v/>
      </c>
      <c r="VAF22" s="73" t="str">
        <f t="shared" si="232"/>
        <v/>
      </c>
      <c r="VAG22" s="73" t="str">
        <f t="shared" si="232"/>
        <v/>
      </c>
      <c r="VAH22" s="73" t="str">
        <f t="shared" si="232"/>
        <v/>
      </c>
      <c r="VAI22" s="73" t="str">
        <f t="shared" si="232"/>
        <v/>
      </c>
      <c r="VAJ22" s="73" t="str">
        <f t="shared" si="232"/>
        <v/>
      </c>
      <c r="VAK22" s="73" t="str">
        <f t="shared" si="232"/>
        <v/>
      </c>
      <c r="VAL22" s="73" t="str">
        <f t="shared" si="232"/>
        <v/>
      </c>
      <c r="VAM22" s="73" t="str">
        <f t="shared" si="232"/>
        <v/>
      </c>
      <c r="VAN22" s="73" t="str">
        <f t="shared" si="232"/>
        <v/>
      </c>
      <c r="VAO22" s="73" t="str">
        <f t="shared" si="232"/>
        <v/>
      </c>
      <c r="VAP22" s="73" t="str">
        <f t="shared" si="232"/>
        <v/>
      </c>
      <c r="VAQ22" s="73" t="str">
        <f t="shared" si="232"/>
        <v/>
      </c>
      <c r="VAR22" s="73" t="str">
        <f t="shared" si="232"/>
        <v/>
      </c>
      <c r="VAS22" s="73" t="str">
        <f t="shared" si="232"/>
        <v/>
      </c>
      <c r="VAT22" s="73" t="str">
        <f t="shared" ref="VAT22:VDE22" si="233">IFERROR(AVERAGE(VAT6:VAT21),"")</f>
        <v/>
      </c>
      <c r="VAU22" s="73" t="str">
        <f t="shared" si="233"/>
        <v/>
      </c>
      <c r="VAV22" s="73" t="str">
        <f t="shared" si="233"/>
        <v/>
      </c>
      <c r="VAW22" s="73" t="str">
        <f t="shared" si="233"/>
        <v/>
      </c>
      <c r="VAX22" s="73" t="str">
        <f t="shared" si="233"/>
        <v/>
      </c>
      <c r="VAY22" s="73" t="str">
        <f t="shared" si="233"/>
        <v/>
      </c>
      <c r="VAZ22" s="73" t="str">
        <f t="shared" si="233"/>
        <v/>
      </c>
      <c r="VBA22" s="73" t="str">
        <f t="shared" si="233"/>
        <v/>
      </c>
      <c r="VBB22" s="73" t="str">
        <f t="shared" si="233"/>
        <v/>
      </c>
      <c r="VBC22" s="73" t="str">
        <f t="shared" si="233"/>
        <v/>
      </c>
      <c r="VBD22" s="73" t="str">
        <f t="shared" si="233"/>
        <v/>
      </c>
      <c r="VBE22" s="73" t="str">
        <f t="shared" si="233"/>
        <v/>
      </c>
      <c r="VBF22" s="73" t="str">
        <f t="shared" si="233"/>
        <v/>
      </c>
      <c r="VBG22" s="73" t="str">
        <f t="shared" si="233"/>
        <v/>
      </c>
      <c r="VBH22" s="73" t="str">
        <f t="shared" si="233"/>
        <v/>
      </c>
      <c r="VBI22" s="73" t="str">
        <f t="shared" si="233"/>
        <v/>
      </c>
      <c r="VBJ22" s="73" t="str">
        <f t="shared" si="233"/>
        <v/>
      </c>
      <c r="VBK22" s="73" t="str">
        <f t="shared" si="233"/>
        <v/>
      </c>
      <c r="VBL22" s="73" t="str">
        <f t="shared" si="233"/>
        <v/>
      </c>
      <c r="VBM22" s="73" t="str">
        <f t="shared" si="233"/>
        <v/>
      </c>
      <c r="VBN22" s="73" t="str">
        <f t="shared" si="233"/>
        <v/>
      </c>
      <c r="VBO22" s="73" t="str">
        <f t="shared" si="233"/>
        <v/>
      </c>
      <c r="VBP22" s="73" t="str">
        <f t="shared" si="233"/>
        <v/>
      </c>
      <c r="VBQ22" s="73" t="str">
        <f t="shared" si="233"/>
        <v/>
      </c>
      <c r="VBR22" s="73" t="str">
        <f t="shared" si="233"/>
        <v/>
      </c>
      <c r="VBS22" s="73" t="str">
        <f t="shared" si="233"/>
        <v/>
      </c>
      <c r="VBT22" s="73" t="str">
        <f t="shared" si="233"/>
        <v/>
      </c>
      <c r="VBU22" s="73" t="str">
        <f t="shared" si="233"/>
        <v/>
      </c>
      <c r="VBV22" s="73" t="str">
        <f t="shared" si="233"/>
        <v/>
      </c>
      <c r="VBW22" s="73" t="str">
        <f t="shared" si="233"/>
        <v/>
      </c>
      <c r="VBX22" s="73" t="str">
        <f t="shared" si="233"/>
        <v/>
      </c>
      <c r="VBY22" s="73" t="str">
        <f t="shared" si="233"/>
        <v/>
      </c>
      <c r="VBZ22" s="73" t="str">
        <f t="shared" si="233"/>
        <v/>
      </c>
      <c r="VCA22" s="73" t="str">
        <f t="shared" si="233"/>
        <v/>
      </c>
      <c r="VCB22" s="73" t="str">
        <f t="shared" si="233"/>
        <v/>
      </c>
      <c r="VCC22" s="73" t="str">
        <f t="shared" si="233"/>
        <v/>
      </c>
      <c r="VCD22" s="73" t="str">
        <f t="shared" si="233"/>
        <v/>
      </c>
      <c r="VCE22" s="73" t="str">
        <f t="shared" si="233"/>
        <v/>
      </c>
      <c r="VCF22" s="73" t="str">
        <f t="shared" si="233"/>
        <v/>
      </c>
      <c r="VCG22" s="73" t="str">
        <f t="shared" si="233"/>
        <v/>
      </c>
      <c r="VCH22" s="73" t="str">
        <f t="shared" si="233"/>
        <v/>
      </c>
      <c r="VCI22" s="73" t="str">
        <f t="shared" si="233"/>
        <v/>
      </c>
      <c r="VCJ22" s="73" t="str">
        <f t="shared" si="233"/>
        <v/>
      </c>
      <c r="VCK22" s="73" t="str">
        <f t="shared" si="233"/>
        <v/>
      </c>
      <c r="VCL22" s="73" t="str">
        <f t="shared" si="233"/>
        <v/>
      </c>
      <c r="VCM22" s="73" t="str">
        <f t="shared" si="233"/>
        <v/>
      </c>
      <c r="VCN22" s="73" t="str">
        <f t="shared" si="233"/>
        <v/>
      </c>
      <c r="VCO22" s="73" t="str">
        <f t="shared" si="233"/>
        <v/>
      </c>
      <c r="VCP22" s="73" t="str">
        <f t="shared" si="233"/>
        <v/>
      </c>
      <c r="VCQ22" s="73" t="str">
        <f t="shared" si="233"/>
        <v/>
      </c>
      <c r="VCR22" s="73" t="str">
        <f t="shared" si="233"/>
        <v/>
      </c>
      <c r="VCS22" s="73" t="str">
        <f t="shared" si="233"/>
        <v/>
      </c>
      <c r="VCT22" s="73" t="str">
        <f t="shared" si="233"/>
        <v/>
      </c>
      <c r="VCU22" s="73" t="str">
        <f t="shared" si="233"/>
        <v/>
      </c>
      <c r="VCV22" s="73" t="str">
        <f t="shared" si="233"/>
        <v/>
      </c>
      <c r="VCW22" s="73" t="str">
        <f t="shared" si="233"/>
        <v/>
      </c>
      <c r="VCX22" s="73" t="str">
        <f t="shared" si="233"/>
        <v/>
      </c>
      <c r="VCY22" s="73" t="str">
        <f t="shared" si="233"/>
        <v/>
      </c>
      <c r="VCZ22" s="73" t="str">
        <f t="shared" si="233"/>
        <v/>
      </c>
      <c r="VDA22" s="73" t="str">
        <f t="shared" si="233"/>
        <v/>
      </c>
      <c r="VDB22" s="73" t="str">
        <f t="shared" si="233"/>
        <v/>
      </c>
      <c r="VDC22" s="73" t="str">
        <f t="shared" si="233"/>
        <v/>
      </c>
      <c r="VDD22" s="73" t="str">
        <f t="shared" si="233"/>
        <v/>
      </c>
      <c r="VDE22" s="73" t="str">
        <f t="shared" si="233"/>
        <v/>
      </c>
      <c r="VDF22" s="73" t="str">
        <f t="shared" ref="VDF22:VFQ22" si="234">IFERROR(AVERAGE(VDF6:VDF21),"")</f>
        <v/>
      </c>
      <c r="VDG22" s="73" t="str">
        <f t="shared" si="234"/>
        <v/>
      </c>
      <c r="VDH22" s="73" t="str">
        <f t="shared" si="234"/>
        <v/>
      </c>
      <c r="VDI22" s="73" t="str">
        <f t="shared" si="234"/>
        <v/>
      </c>
      <c r="VDJ22" s="73" t="str">
        <f t="shared" si="234"/>
        <v/>
      </c>
      <c r="VDK22" s="73" t="str">
        <f t="shared" si="234"/>
        <v/>
      </c>
      <c r="VDL22" s="73" t="str">
        <f t="shared" si="234"/>
        <v/>
      </c>
      <c r="VDM22" s="73" t="str">
        <f t="shared" si="234"/>
        <v/>
      </c>
      <c r="VDN22" s="73" t="str">
        <f t="shared" si="234"/>
        <v/>
      </c>
      <c r="VDO22" s="73" t="str">
        <f t="shared" si="234"/>
        <v/>
      </c>
      <c r="VDP22" s="73" t="str">
        <f t="shared" si="234"/>
        <v/>
      </c>
      <c r="VDQ22" s="73" t="str">
        <f t="shared" si="234"/>
        <v/>
      </c>
      <c r="VDR22" s="73" t="str">
        <f t="shared" si="234"/>
        <v/>
      </c>
      <c r="VDS22" s="73" t="str">
        <f t="shared" si="234"/>
        <v/>
      </c>
      <c r="VDT22" s="73" t="str">
        <f t="shared" si="234"/>
        <v/>
      </c>
      <c r="VDU22" s="73" t="str">
        <f t="shared" si="234"/>
        <v/>
      </c>
      <c r="VDV22" s="73" t="str">
        <f t="shared" si="234"/>
        <v/>
      </c>
      <c r="VDW22" s="73" t="str">
        <f t="shared" si="234"/>
        <v/>
      </c>
      <c r="VDX22" s="73" t="str">
        <f t="shared" si="234"/>
        <v/>
      </c>
      <c r="VDY22" s="73" t="str">
        <f t="shared" si="234"/>
        <v/>
      </c>
      <c r="VDZ22" s="73" t="str">
        <f t="shared" si="234"/>
        <v/>
      </c>
      <c r="VEA22" s="73" t="str">
        <f t="shared" si="234"/>
        <v/>
      </c>
      <c r="VEB22" s="73" t="str">
        <f t="shared" si="234"/>
        <v/>
      </c>
      <c r="VEC22" s="73" t="str">
        <f t="shared" si="234"/>
        <v/>
      </c>
      <c r="VED22" s="73" t="str">
        <f t="shared" si="234"/>
        <v/>
      </c>
      <c r="VEE22" s="73" t="str">
        <f t="shared" si="234"/>
        <v/>
      </c>
      <c r="VEF22" s="73" t="str">
        <f t="shared" si="234"/>
        <v/>
      </c>
      <c r="VEG22" s="73" t="str">
        <f t="shared" si="234"/>
        <v/>
      </c>
      <c r="VEH22" s="73" t="str">
        <f t="shared" si="234"/>
        <v/>
      </c>
      <c r="VEI22" s="73" t="str">
        <f t="shared" si="234"/>
        <v/>
      </c>
      <c r="VEJ22" s="73" t="str">
        <f t="shared" si="234"/>
        <v/>
      </c>
      <c r="VEK22" s="73" t="str">
        <f t="shared" si="234"/>
        <v/>
      </c>
      <c r="VEL22" s="73" t="str">
        <f t="shared" si="234"/>
        <v/>
      </c>
      <c r="VEM22" s="73" t="str">
        <f t="shared" si="234"/>
        <v/>
      </c>
      <c r="VEN22" s="73" t="str">
        <f t="shared" si="234"/>
        <v/>
      </c>
      <c r="VEO22" s="73" t="str">
        <f t="shared" si="234"/>
        <v/>
      </c>
      <c r="VEP22" s="73" t="str">
        <f t="shared" si="234"/>
        <v/>
      </c>
      <c r="VEQ22" s="73" t="str">
        <f t="shared" si="234"/>
        <v/>
      </c>
      <c r="VER22" s="73" t="str">
        <f t="shared" si="234"/>
        <v/>
      </c>
      <c r="VES22" s="73" t="str">
        <f t="shared" si="234"/>
        <v/>
      </c>
      <c r="VET22" s="73" t="str">
        <f t="shared" si="234"/>
        <v/>
      </c>
      <c r="VEU22" s="73" t="str">
        <f t="shared" si="234"/>
        <v/>
      </c>
      <c r="VEV22" s="73" t="str">
        <f t="shared" si="234"/>
        <v/>
      </c>
      <c r="VEW22" s="73" t="str">
        <f t="shared" si="234"/>
        <v/>
      </c>
      <c r="VEX22" s="73" t="str">
        <f t="shared" si="234"/>
        <v/>
      </c>
      <c r="VEY22" s="73" t="str">
        <f t="shared" si="234"/>
        <v/>
      </c>
      <c r="VEZ22" s="73" t="str">
        <f t="shared" si="234"/>
        <v/>
      </c>
      <c r="VFA22" s="73" t="str">
        <f t="shared" si="234"/>
        <v/>
      </c>
      <c r="VFB22" s="73" t="str">
        <f t="shared" si="234"/>
        <v/>
      </c>
      <c r="VFC22" s="73" t="str">
        <f t="shared" si="234"/>
        <v/>
      </c>
      <c r="VFD22" s="73" t="str">
        <f t="shared" si="234"/>
        <v/>
      </c>
      <c r="VFE22" s="73" t="str">
        <f t="shared" si="234"/>
        <v/>
      </c>
      <c r="VFF22" s="73" t="str">
        <f t="shared" si="234"/>
        <v/>
      </c>
      <c r="VFG22" s="73" t="str">
        <f t="shared" si="234"/>
        <v/>
      </c>
      <c r="VFH22" s="73" t="str">
        <f t="shared" si="234"/>
        <v/>
      </c>
      <c r="VFI22" s="73" t="str">
        <f t="shared" si="234"/>
        <v/>
      </c>
      <c r="VFJ22" s="73" t="str">
        <f t="shared" si="234"/>
        <v/>
      </c>
      <c r="VFK22" s="73" t="str">
        <f t="shared" si="234"/>
        <v/>
      </c>
      <c r="VFL22" s="73" t="str">
        <f t="shared" si="234"/>
        <v/>
      </c>
      <c r="VFM22" s="73" t="str">
        <f t="shared" si="234"/>
        <v/>
      </c>
      <c r="VFN22" s="73" t="str">
        <f t="shared" si="234"/>
        <v/>
      </c>
      <c r="VFO22" s="73" t="str">
        <f t="shared" si="234"/>
        <v/>
      </c>
      <c r="VFP22" s="73" t="str">
        <f t="shared" si="234"/>
        <v/>
      </c>
      <c r="VFQ22" s="73" t="str">
        <f t="shared" si="234"/>
        <v/>
      </c>
      <c r="VFR22" s="73" t="str">
        <f t="shared" ref="VFR22:VIC22" si="235">IFERROR(AVERAGE(VFR6:VFR21),"")</f>
        <v/>
      </c>
      <c r="VFS22" s="73" t="str">
        <f t="shared" si="235"/>
        <v/>
      </c>
      <c r="VFT22" s="73" t="str">
        <f t="shared" si="235"/>
        <v/>
      </c>
      <c r="VFU22" s="73" t="str">
        <f t="shared" si="235"/>
        <v/>
      </c>
      <c r="VFV22" s="73" t="str">
        <f t="shared" si="235"/>
        <v/>
      </c>
      <c r="VFW22" s="73" t="str">
        <f t="shared" si="235"/>
        <v/>
      </c>
      <c r="VFX22" s="73" t="str">
        <f t="shared" si="235"/>
        <v/>
      </c>
      <c r="VFY22" s="73" t="str">
        <f t="shared" si="235"/>
        <v/>
      </c>
      <c r="VFZ22" s="73" t="str">
        <f t="shared" si="235"/>
        <v/>
      </c>
      <c r="VGA22" s="73" t="str">
        <f t="shared" si="235"/>
        <v/>
      </c>
      <c r="VGB22" s="73" t="str">
        <f t="shared" si="235"/>
        <v/>
      </c>
      <c r="VGC22" s="73" t="str">
        <f t="shared" si="235"/>
        <v/>
      </c>
      <c r="VGD22" s="73" t="str">
        <f t="shared" si="235"/>
        <v/>
      </c>
      <c r="VGE22" s="73" t="str">
        <f t="shared" si="235"/>
        <v/>
      </c>
      <c r="VGF22" s="73" t="str">
        <f t="shared" si="235"/>
        <v/>
      </c>
      <c r="VGG22" s="73" t="str">
        <f t="shared" si="235"/>
        <v/>
      </c>
      <c r="VGH22" s="73" t="str">
        <f t="shared" si="235"/>
        <v/>
      </c>
      <c r="VGI22" s="73" t="str">
        <f t="shared" si="235"/>
        <v/>
      </c>
      <c r="VGJ22" s="73" t="str">
        <f t="shared" si="235"/>
        <v/>
      </c>
      <c r="VGK22" s="73" t="str">
        <f t="shared" si="235"/>
        <v/>
      </c>
      <c r="VGL22" s="73" t="str">
        <f t="shared" si="235"/>
        <v/>
      </c>
      <c r="VGM22" s="73" t="str">
        <f t="shared" si="235"/>
        <v/>
      </c>
      <c r="VGN22" s="73" t="str">
        <f t="shared" si="235"/>
        <v/>
      </c>
      <c r="VGO22" s="73" t="str">
        <f t="shared" si="235"/>
        <v/>
      </c>
      <c r="VGP22" s="73" t="str">
        <f t="shared" si="235"/>
        <v/>
      </c>
      <c r="VGQ22" s="73" t="str">
        <f t="shared" si="235"/>
        <v/>
      </c>
      <c r="VGR22" s="73" t="str">
        <f t="shared" si="235"/>
        <v/>
      </c>
      <c r="VGS22" s="73" t="str">
        <f t="shared" si="235"/>
        <v/>
      </c>
      <c r="VGT22" s="73" t="str">
        <f t="shared" si="235"/>
        <v/>
      </c>
      <c r="VGU22" s="73" t="str">
        <f t="shared" si="235"/>
        <v/>
      </c>
      <c r="VGV22" s="73" t="str">
        <f t="shared" si="235"/>
        <v/>
      </c>
      <c r="VGW22" s="73" t="str">
        <f t="shared" si="235"/>
        <v/>
      </c>
      <c r="VGX22" s="73" t="str">
        <f t="shared" si="235"/>
        <v/>
      </c>
      <c r="VGY22" s="73" t="str">
        <f t="shared" si="235"/>
        <v/>
      </c>
      <c r="VGZ22" s="73" t="str">
        <f t="shared" si="235"/>
        <v/>
      </c>
      <c r="VHA22" s="73" t="str">
        <f t="shared" si="235"/>
        <v/>
      </c>
      <c r="VHB22" s="73" t="str">
        <f t="shared" si="235"/>
        <v/>
      </c>
      <c r="VHC22" s="73" t="str">
        <f t="shared" si="235"/>
        <v/>
      </c>
      <c r="VHD22" s="73" t="str">
        <f t="shared" si="235"/>
        <v/>
      </c>
      <c r="VHE22" s="73" t="str">
        <f t="shared" si="235"/>
        <v/>
      </c>
      <c r="VHF22" s="73" t="str">
        <f t="shared" si="235"/>
        <v/>
      </c>
      <c r="VHG22" s="73" t="str">
        <f t="shared" si="235"/>
        <v/>
      </c>
      <c r="VHH22" s="73" t="str">
        <f t="shared" si="235"/>
        <v/>
      </c>
      <c r="VHI22" s="73" t="str">
        <f t="shared" si="235"/>
        <v/>
      </c>
      <c r="VHJ22" s="73" t="str">
        <f t="shared" si="235"/>
        <v/>
      </c>
      <c r="VHK22" s="73" t="str">
        <f t="shared" si="235"/>
        <v/>
      </c>
      <c r="VHL22" s="73" t="str">
        <f t="shared" si="235"/>
        <v/>
      </c>
      <c r="VHM22" s="73" t="str">
        <f t="shared" si="235"/>
        <v/>
      </c>
      <c r="VHN22" s="73" t="str">
        <f t="shared" si="235"/>
        <v/>
      </c>
      <c r="VHO22" s="73" t="str">
        <f t="shared" si="235"/>
        <v/>
      </c>
      <c r="VHP22" s="73" t="str">
        <f t="shared" si="235"/>
        <v/>
      </c>
      <c r="VHQ22" s="73" t="str">
        <f t="shared" si="235"/>
        <v/>
      </c>
      <c r="VHR22" s="73" t="str">
        <f t="shared" si="235"/>
        <v/>
      </c>
      <c r="VHS22" s="73" t="str">
        <f t="shared" si="235"/>
        <v/>
      </c>
      <c r="VHT22" s="73" t="str">
        <f t="shared" si="235"/>
        <v/>
      </c>
      <c r="VHU22" s="73" t="str">
        <f t="shared" si="235"/>
        <v/>
      </c>
      <c r="VHV22" s="73" t="str">
        <f t="shared" si="235"/>
        <v/>
      </c>
      <c r="VHW22" s="73" t="str">
        <f t="shared" si="235"/>
        <v/>
      </c>
      <c r="VHX22" s="73" t="str">
        <f t="shared" si="235"/>
        <v/>
      </c>
      <c r="VHY22" s="73" t="str">
        <f t="shared" si="235"/>
        <v/>
      </c>
      <c r="VHZ22" s="73" t="str">
        <f t="shared" si="235"/>
        <v/>
      </c>
      <c r="VIA22" s="73" t="str">
        <f t="shared" si="235"/>
        <v/>
      </c>
      <c r="VIB22" s="73" t="str">
        <f t="shared" si="235"/>
        <v/>
      </c>
      <c r="VIC22" s="73" t="str">
        <f t="shared" si="235"/>
        <v/>
      </c>
      <c r="VID22" s="73" t="str">
        <f t="shared" ref="VID22:VKO22" si="236">IFERROR(AVERAGE(VID6:VID21),"")</f>
        <v/>
      </c>
      <c r="VIE22" s="73" t="str">
        <f t="shared" si="236"/>
        <v/>
      </c>
      <c r="VIF22" s="73" t="str">
        <f t="shared" si="236"/>
        <v/>
      </c>
      <c r="VIG22" s="73" t="str">
        <f t="shared" si="236"/>
        <v/>
      </c>
      <c r="VIH22" s="73" t="str">
        <f t="shared" si="236"/>
        <v/>
      </c>
      <c r="VII22" s="73" t="str">
        <f t="shared" si="236"/>
        <v/>
      </c>
      <c r="VIJ22" s="73" t="str">
        <f t="shared" si="236"/>
        <v/>
      </c>
      <c r="VIK22" s="73" t="str">
        <f t="shared" si="236"/>
        <v/>
      </c>
      <c r="VIL22" s="73" t="str">
        <f t="shared" si="236"/>
        <v/>
      </c>
      <c r="VIM22" s="73" t="str">
        <f t="shared" si="236"/>
        <v/>
      </c>
      <c r="VIN22" s="73" t="str">
        <f t="shared" si="236"/>
        <v/>
      </c>
      <c r="VIO22" s="73" t="str">
        <f t="shared" si="236"/>
        <v/>
      </c>
      <c r="VIP22" s="73" t="str">
        <f t="shared" si="236"/>
        <v/>
      </c>
      <c r="VIQ22" s="73" t="str">
        <f t="shared" si="236"/>
        <v/>
      </c>
      <c r="VIR22" s="73" t="str">
        <f t="shared" si="236"/>
        <v/>
      </c>
      <c r="VIS22" s="73" t="str">
        <f t="shared" si="236"/>
        <v/>
      </c>
      <c r="VIT22" s="73" t="str">
        <f t="shared" si="236"/>
        <v/>
      </c>
      <c r="VIU22" s="73" t="str">
        <f t="shared" si="236"/>
        <v/>
      </c>
      <c r="VIV22" s="73" t="str">
        <f t="shared" si="236"/>
        <v/>
      </c>
      <c r="VIW22" s="73" t="str">
        <f t="shared" si="236"/>
        <v/>
      </c>
      <c r="VIX22" s="73" t="str">
        <f t="shared" si="236"/>
        <v/>
      </c>
      <c r="VIY22" s="73" t="str">
        <f t="shared" si="236"/>
        <v/>
      </c>
      <c r="VIZ22" s="73" t="str">
        <f t="shared" si="236"/>
        <v/>
      </c>
      <c r="VJA22" s="73" t="str">
        <f t="shared" si="236"/>
        <v/>
      </c>
      <c r="VJB22" s="73" t="str">
        <f t="shared" si="236"/>
        <v/>
      </c>
      <c r="VJC22" s="73" t="str">
        <f t="shared" si="236"/>
        <v/>
      </c>
      <c r="VJD22" s="73" t="str">
        <f t="shared" si="236"/>
        <v/>
      </c>
      <c r="VJE22" s="73" t="str">
        <f t="shared" si="236"/>
        <v/>
      </c>
      <c r="VJF22" s="73" t="str">
        <f t="shared" si="236"/>
        <v/>
      </c>
      <c r="VJG22" s="73" t="str">
        <f t="shared" si="236"/>
        <v/>
      </c>
      <c r="VJH22" s="73" t="str">
        <f t="shared" si="236"/>
        <v/>
      </c>
      <c r="VJI22" s="73" t="str">
        <f t="shared" si="236"/>
        <v/>
      </c>
      <c r="VJJ22" s="73" t="str">
        <f t="shared" si="236"/>
        <v/>
      </c>
      <c r="VJK22" s="73" t="str">
        <f t="shared" si="236"/>
        <v/>
      </c>
      <c r="VJL22" s="73" t="str">
        <f t="shared" si="236"/>
        <v/>
      </c>
      <c r="VJM22" s="73" t="str">
        <f t="shared" si="236"/>
        <v/>
      </c>
      <c r="VJN22" s="73" t="str">
        <f t="shared" si="236"/>
        <v/>
      </c>
      <c r="VJO22" s="73" t="str">
        <f t="shared" si="236"/>
        <v/>
      </c>
      <c r="VJP22" s="73" t="str">
        <f t="shared" si="236"/>
        <v/>
      </c>
      <c r="VJQ22" s="73" t="str">
        <f t="shared" si="236"/>
        <v/>
      </c>
      <c r="VJR22" s="73" t="str">
        <f t="shared" si="236"/>
        <v/>
      </c>
      <c r="VJS22" s="73" t="str">
        <f t="shared" si="236"/>
        <v/>
      </c>
      <c r="VJT22" s="73" t="str">
        <f t="shared" si="236"/>
        <v/>
      </c>
      <c r="VJU22" s="73" t="str">
        <f t="shared" si="236"/>
        <v/>
      </c>
      <c r="VJV22" s="73" t="str">
        <f t="shared" si="236"/>
        <v/>
      </c>
      <c r="VJW22" s="73" t="str">
        <f t="shared" si="236"/>
        <v/>
      </c>
      <c r="VJX22" s="73" t="str">
        <f t="shared" si="236"/>
        <v/>
      </c>
      <c r="VJY22" s="73" t="str">
        <f t="shared" si="236"/>
        <v/>
      </c>
      <c r="VJZ22" s="73" t="str">
        <f t="shared" si="236"/>
        <v/>
      </c>
      <c r="VKA22" s="73" t="str">
        <f t="shared" si="236"/>
        <v/>
      </c>
      <c r="VKB22" s="73" t="str">
        <f t="shared" si="236"/>
        <v/>
      </c>
      <c r="VKC22" s="73" t="str">
        <f t="shared" si="236"/>
        <v/>
      </c>
      <c r="VKD22" s="73" t="str">
        <f t="shared" si="236"/>
        <v/>
      </c>
      <c r="VKE22" s="73" t="str">
        <f t="shared" si="236"/>
        <v/>
      </c>
      <c r="VKF22" s="73" t="str">
        <f t="shared" si="236"/>
        <v/>
      </c>
      <c r="VKG22" s="73" t="str">
        <f t="shared" si="236"/>
        <v/>
      </c>
      <c r="VKH22" s="73" t="str">
        <f t="shared" si="236"/>
        <v/>
      </c>
      <c r="VKI22" s="73" t="str">
        <f t="shared" si="236"/>
        <v/>
      </c>
      <c r="VKJ22" s="73" t="str">
        <f t="shared" si="236"/>
        <v/>
      </c>
      <c r="VKK22" s="73" t="str">
        <f t="shared" si="236"/>
        <v/>
      </c>
      <c r="VKL22" s="73" t="str">
        <f t="shared" si="236"/>
        <v/>
      </c>
      <c r="VKM22" s="73" t="str">
        <f t="shared" si="236"/>
        <v/>
      </c>
      <c r="VKN22" s="73" t="str">
        <f t="shared" si="236"/>
        <v/>
      </c>
      <c r="VKO22" s="73" t="str">
        <f t="shared" si="236"/>
        <v/>
      </c>
      <c r="VKP22" s="73" t="str">
        <f t="shared" ref="VKP22:VNA22" si="237">IFERROR(AVERAGE(VKP6:VKP21),"")</f>
        <v/>
      </c>
      <c r="VKQ22" s="73" t="str">
        <f t="shared" si="237"/>
        <v/>
      </c>
      <c r="VKR22" s="73" t="str">
        <f t="shared" si="237"/>
        <v/>
      </c>
      <c r="VKS22" s="73" t="str">
        <f t="shared" si="237"/>
        <v/>
      </c>
      <c r="VKT22" s="73" t="str">
        <f t="shared" si="237"/>
        <v/>
      </c>
      <c r="VKU22" s="73" t="str">
        <f t="shared" si="237"/>
        <v/>
      </c>
      <c r="VKV22" s="73" t="str">
        <f t="shared" si="237"/>
        <v/>
      </c>
      <c r="VKW22" s="73" t="str">
        <f t="shared" si="237"/>
        <v/>
      </c>
      <c r="VKX22" s="73" t="str">
        <f t="shared" si="237"/>
        <v/>
      </c>
      <c r="VKY22" s="73" t="str">
        <f t="shared" si="237"/>
        <v/>
      </c>
      <c r="VKZ22" s="73" t="str">
        <f t="shared" si="237"/>
        <v/>
      </c>
      <c r="VLA22" s="73" t="str">
        <f t="shared" si="237"/>
        <v/>
      </c>
      <c r="VLB22" s="73" t="str">
        <f t="shared" si="237"/>
        <v/>
      </c>
      <c r="VLC22" s="73" t="str">
        <f t="shared" si="237"/>
        <v/>
      </c>
      <c r="VLD22" s="73" t="str">
        <f t="shared" si="237"/>
        <v/>
      </c>
      <c r="VLE22" s="73" t="str">
        <f t="shared" si="237"/>
        <v/>
      </c>
      <c r="VLF22" s="73" t="str">
        <f t="shared" si="237"/>
        <v/>
      </c>
      <c r="VLG22" s="73" t="str">
        <f t="shared" si="237"/>
        <v/>
      </c>
      <c r="VLH22" s="73" t="str">
        <f t="shared" si="237"/>
        <v/>
      </c>
      <c r="VLI22" s="73" t="str">
        <f t="shared" si="237"/>
        <v/>
      </c>
      <c r="VLJ22" s="73" t="str">
        <f t="shared" si="237"/>
        <v/>
      </c>
      <c r="VLK22" s="73" t="str">
        <f t="shared" si="237"/>
        <v/>
      </c>
      <c r="VLL22" s="73" t="str">
        <f t="shared" si="237"/>
        <v/>
      </c>
      <c r="VLM22" s="73" t="str">
        <f t="shared" si="237"/>
        <v/>
      </c>
      <c r="VLN22" s="73" t="str">
        <f t="shared" si="237"/>
        <v/>
      </c>
      <c r="VLO22" s="73" t="str">
        <f t="shared" si="237"/>
        <v/>
      </c>
      <c r="VLP22" s="73" t="str">
        <f t="shared" si="237"/>
        <v/>
      </c>
      <c r="VLQ22" s="73" t="str">
        <f t="shared" si="237"/>
        <v/>
      </c>
      <c r="VLR22" s="73" t="str">
        <f t="shared" si="237"/>
        <v/>
      </c>
      <c r="VLS22" s="73" t="str">
        <f t="shared" si="237"/>
        <v/>
      </c>
      <c r="VLT22" s="73" t="str">
        <f t="shared" si="237"/>
        <v/>
      </c>
      <c r="VLU22" s="73" t="str">
        <f t="shared" si="237"/>
        <v/>
      </c>
      <c r="VLV22" s="73" t="str">
        <f t="shared" si="237"/>
        <v/>
      </c>
      <c r="VLW22" s="73" t="str">
        <f t="shared" si="237"/>
        <v/>
      </c>
      <c r="VLX22" s="73" t="str">
        <f t="shared" si="237"/>
        <v/>
      </c>
      <c r="VLY22" s="73" t="str">
        <f t="shared" si="237"/>
        <v/>
      </c>
      <c r="VLZ22" s="73" t="str">
        <f t="shared" si="237"/>
        <v/>
      </c>
      <c r="VMA22" s="73" t="str">
        <f t="shared" si="237"/>
        <v/>
      </c>
      <c r="VMB22" s="73" t="str">
        <f t="shared" si="237"/>
        <v/>
      </c>
      <c r="VMC22" s="73" t="str">
        <f t="shared" si="237"/>
        <v/>
      </c>
      <c r="VMD22" s="73" t="str">
        <f t="shared" si="237"/>
        <v/>
      </c>
      <c r="VME22" s="73" t="str">
        <f t="shared" si="237"/>
        <v/>
      </c>
      <c r="VMF22" s="73" t="str">
        <f t="shared" si="237"/>
        <v/>
      </c>
      <c r="VMG22" s="73" t="str">
        <f t="shared" si="237"/>
        <v/>
      </c>
      <c r="VMH22" s="73" t="str">
        <f t="shared" si="237"/>
        <v/>
      </c>
      <c r="VMI22" s="73" t="str">
        <f t="shared" si="237"/>
        <v/>
      </c>
      <c r="VMJ22" s="73" t="str">
        <f t="shared" si="237"/>
        <v/>
      </c>
      <c r="VMK22" s="73" t="str">
        <f t="shared" si="237"/>
        <v/>
      </c>
      <c r="VML22" s="73" t="str">
        <f t="shared" si="237"/>
        <v/>
      </c>
      <c r="VMM22" s="73" t="str">
        <f t="shared" si="237"/>
        <v/>
      </c>
      <c r="VMN22" s="73" t="str">
        <f t="shared" si="237"/>
        <v/>
      </c>
      <c r="VMO22" s="73" t="str">
        <f t="shared" si="237"/>
        <v/>
      </c>
      <c r="VMP22" s="73" t="str">
        <f t="shared" si="237"/>
        <v/>
      </c>
      <c r="VMQ22" s="73" t="str">
        <f t="shared" si="237"/>
        <v/>
      </c>
      <c r="VMR22" s="73" t="str">
        <f t="shared" si="237"/>
        <v/>
      </c>
      <c r="VMS22" s="73" t="str">
        <f t="shared" si="237"/>
        <v/>
      </c>
      <c r="VMT22" s="73" t="str">
        <f t="shared" si="237"/>
        <v/>
      </c>
      <c r="VMU22" s="73" t="str">
        <f t="shared" si="237"/>
        <v/>
      </c>
      <c r="VMV22" s="73" t="str">
        <f t="shared" si="237"/>
        <v/>
      </c>
      <c r="VMW22" s="73" t="str">
        <f t="shared" si="237"/>
        <v/>
      </c>
      <c r="VMX22" s="73" t="str">
        <f t="shared" si="237"/>
        <v/>
      </c>
      <c r="VMY22" s="73" t="str">
        <f t="shared" si="237"/>
        <v/>
      </c>
      <c r="VMZ22" s="73" t="str">
        <f t="shared" si="237"/>
        <v/>
      </c>
      <c r="VNA22" s="73" t="str">
        <f t="shared" si="237"/>
        <v/>
      </c>
      <c r="VNB22" s="73" t="str">
        <f t="shared" ref="VNB22:VPM22" si="238">IFERROR(AVERAGE(VNB6:VNB21),"")</f>
        <v/>
      </c>
      <c r="VNC22" s="73" t="str">
        <f t="shared" si="238"/>
        <v/>
      </c>
      <c r="VND22" s="73" t="str">
        <f t="shared" si="238"/>
        <v/>
      </c>
      <c r="VNE22" s="73" t="str">
        <f t="shared" si="238"/>
        <v/>
      </c>
      <c r="VNF22" s="73" t="str">
        <f t="shared" si="238"/>
        <v/>
      </c>
      <c r="VNG22" s="73" t="str">
        <f t="shared" si="238"/>
        <v/>
      </c>
      <c r="VNH22" s="73" t="str">
        <f t="shared" si="238"/>
        <v/>
      </c>
      <c r="VNI22" s="73" t="str">
        <f t="shared" si="238"/>
        <v/>
      </c>
      <c r="VNJ22" s="73" t="str">
        <f t="shared" si="238"/>
        <v/>
      </c>
      <c r="VNK22" s="73" t="str">
        <f t="shared" si="238"/>
        <v/>
      </c>
      <c r="VNL22" s="73" t="str">
        <f t="shared" si="238"/>
        <v/>
      </c>
      <c r="VNM22" s="73" t="str">
        <f t="shared" si="238"/>
        <v/>
      </c>
      <c r="VNN22" s="73" t="str">
        <f t="shared" si="238"/>
        <v/>
      </c>
      <c r="VNO22" s="73" t="str">
        <f t="shared" si="238"/>
        <v/>
      </c>
      <c r="VNP22" s="73" t="str">
        <f t="shared" si="238"/>
        <v/>
      </c>
      <c r="VNQ22" s="73" t="str">
        <f t="shared" si="238"/>
        <v/>
      </c>
      <c r="VNR22" s="73" t="str">
        <f t="shared" si="238"/>
        <v/>
      </c>
      <c r="VNS22" s="73" t="str">
        <f t="shared" si="238"/>
        <v/>
      </c>
      <c r="VNT22" s="73" t="str">
        <f t="shared" si="238"/>
        <v/>
      </c>
      <c r="VNU22" s="73" t="str">
        <f t="shared" si="238"/>
        <v/>
      </c>
      <c r="VNV22" s="73" t="str">
        <f t="shared" si="238"/>
        <v/>
      </c>
      <c r="VNW22" s="73" t="str">
        <f t="shared" si="238"/>
        <v/>
      </c>
      <c r="VNX22" s="73" t="str">
        <f t="shared" si="238"/>
        <v/>
      </c>
      <c r="VNY22" s="73" t="str">
        <f t="shared" si="238"/>
        <v/>
      </c>
      <c r="VNZ22" s="73" t="str">
        <f t="shared" si="238"/>
        <v/>
      </c>
      <c r="VOA22" s="73" t="str">
        <f t="shared" si="238"/>
        <v/>
      </c>
      <c r="VOB22" s="73" t="str">
        <f t="shared" si="238"/>
        <v/>
      </c>
      <c r="VOC22" s="73" t="str">
        <f t="shared" si="238"/>
        <v/>
      </c>
      <c r="VOD22" s="73" t="str">
        <f t="shared" si="238"/>
        <v/>
      </c>
      <c r="VOE22" s="73" t="str">
        <f t="shared" si="238"/>
        <v/>
      </c>
      <c r="VOF22" s="73" t="str">
        <f t="shared" si="238"/>
        <v/>
      </c>
      <c r="VOG22" s="73" t="str">
        <f t="shared" si="238"/>
        <v/>
      </c>
      <c r="VOH22" s="73" t="str">
        <f t="shared" si="238"/>
        <v/>
      </c>
      <c r="VOI22" s="73" t="str">
        <f t="shared" si="238"/>
        <v/>
      </c>
      <c r="VOJ22" s="73" t="str">
        <f t="shared" si="238"/>
        <v/>
      </c>
      <c r="VOK22" s="73" t="str">
        <f t="shared" si="238"/>
        <v/>
      </c>
      <c r="VOL22" s="73" t="str">
        <f t="shared" si="238"/>
        <v/>
      </c>
      <c r="VOM22" s="73" t="str">
        <f t="shared" si="238"/>
        <v/>
      </c>
      <c r="VON22" s="73" t="str">
        <f t="shared" si="238"/>
        <v/>
      </c>
      <c r="VOO22" s="73" t="str">
        <f t="shared" si="238"/>
        <v/>
      </c>
      <c r="VOP22" s="73" t="str">
        <f t="shared" si="238"/>
        <v/>
      </c>
      <c r="VOQ22" s="73" t="str">
        <f t="shared" si="238"/>
        <v/>
      </c>
      <c r="VOR22" s="73" t="str">
        <f t="shared" si="238"/>
        <v/>
      </c>
      <c r="VOS22" s="73" t="str">
        <f t="shared" si="238"/>
        <v/>
      </c>
      <c r="VOT22" s="73" t="str">
        <f t="shared" si="238"/>
        <v/>
      </c>
      <c r="VOU22" s="73" t="str">
        <f t="shared" si="238"/>
        <v/>
      </c>
      <c r="VOV22" s="73" t="str">
        <f t="shared" si="238"/>
        <v/>
      </c>
      <c r="VOW22" s="73" t="str">
        <f t="shared" si="238"/>
        <v/>
      </c>
      <c r="VOX22" s="73" t="str">
        <f t="shared" si="238"/>
        <v/>
      </c>
      <c r="VOY22" s="73" t="str">
        <f t="shared" si="238"/>
        <v/>
      </c>
      <c r="VOZ22" s="73" t="str">
        <f t="shared" si="238"/>
        <v/>
      </c>
      <c r="VPA22" s="73" t="str">
        <f t="shared" si="238"/>
        <v/>
      </c>
      <c r="VPB22" s="73" t="str">
        <f t="shared" si="238"/>
        <v/>
      </c>
      <c r="VPC22" s="73" t="str">
        <f t="shared" si="238"/>
        <v/>
      </c>
      <c r="VPD22" s="73" t="str">
        <f t="shared" si="238"/>
        <v/>
      </c>
      <c r="VPE22" s="73" t="str">
        <f t="shared" si="238"/>
        <v/>
      </c>
      <c r="VPF22" s="73" t="str">
        <f t="shared" si="238"/>
        <v/>
      </c>
      <c r="VPG22" s="73" t="str">
        <f t="shared" si="238"/>
        <v/>
      </c>
      <c r="VPH22" s="73" t="str">
        <f t="shared" si="238"/>
        <v/>
      </c>
      <c r="VPI22" s="73" t="str">
        <f t="shared" si="238"/>
        <v/>
      </c>
      <c r="VPJ22" s="73" t="str">
        <f t="shared" si="238"/>
        <v/>
      </c>
      <c r="VPK22" s="73" t="str">
        <f t="shared" si="238"/>
        <v/>
      </c>
      <c r="VPL22" s="73" t="str">
        <f t="shared" si="238"/>
        <v/>
      </c>
      <c r="VPM22" s="73" t="str">
        <f t="shared" si="238"/>
        <v/>
      </c>
      <c r="VPN22" s="73" t="str">
        <f t="shared" ref="VPN22:VRY22" si="239">IFERROR(AVERAGE(VPN6:VPN21),"")</f>
        <v/>
      </c>
      <c r="VPO22" s="73" t="str">
        <f t="shared" si="239"/>
        <v/>
      </c>
      <c r="VPP22" s="73" t="str">
        <f t="shared" si="239"/>
        <v/>
      </c>
      <c r="VPQ22" s="73" t="str">
        <f t="shared" si="239"/>
        <v/>
      </c>
      <c r="VPR22" s="73" t="str">
        <f t="shared" si="239"/>
        <v/>
      </c>
      <c r="VPS22" s="73" t="str">
        <f t="shared" si="239"/>
        <v/>
      </c>
      <c r="VPT22" s="73" t="str">
        <f t="shared" si="239"/>
        <v/>
      </c>
      <c r="VPU22" s="73" t="str">
        <f t="shared" si="239"/>
        <v/>
      </c>
      <c r="VPV22" s="73" t="str">
        <f t="shared" si="239"/>
        <v/>
      </c>
      <c r="VPW22" s="73" t="str">
        <f t="shared" si="239"/>
        <v/>
      </c>
      <c r="VPX22" s="73" t="str">
        <f t="shared" si="239"/>
        <v/>
      </c>
      <c r="VPY22" s="73" t="str">
        <f t="shared" si="239"/>
        <v/>
      </c>
      <c r="VPZ22" s="73" t="str">
        <f t="shared" si="239"/>
        <v/>
      </c>
      <c r="VQA22" s="73" t="str">
        <f t="shared" si="239"/>
        <v/>
      </c>
      <c r="VQB22" s="73" t="str">
        <f t="shared" si="239"/>
        <v/>
      </c>
      <c r="VQC22" s="73" t="str">
        <f t="shared" si="239"/>
        <v/>
      </c>
      <c r="VQD22" s="73" t="str">
        <f t="shared" si="239"/>
        <v/>
      </c>
      <c r="VQE22" s="73" t="str">
        <f t="shared" si="239"/>
        <v/>
      </c>
      <c r="VQF22" s="73" t="str">
        <f t="shared" si="239"/>
        <v/>
      </c>
      <c r="VQG22" s="73" t="str">
        <f t="shared" si="239"/>
        <v/>
      </c>
      <c r="VQH22" s="73" t="str">
        <f t="shared" si="239"/>
        <v/>
      </c>
      <c r="VQI22" s="73" t="str">
        <f t="shared" si="239"/>
        <v/>
      </c>
      <c r="VQJ22" s="73" t="str">
        <f t="shared" si="239"/>
        <v/>
      </c>
      <c r="VQK22" s="73" t="str">
        <f t="shared" si="239"/>
        <v/>
      </c>
      <c r="VQL22" s="73" t="str">
        <f t="shared" si="239"/>
        <v/>
      </c>
      <c r="VQM22" s="73" t="str">
        <f t="shared" si="239"/>
        <v/>
      </c>
      <c r="VQN22" s="73" t="str">
        <f t="shared" si="239"/>
        <v/>
      </c>
      <c r="VQO22" s="73" t="str">
        <f t="shared" si="239"/>
        <v/>
      </c>
      <c r="VQP22" s="73" t="str">
        <f t="shared" si="239"/>
        <v/>
      </c>
      <c r="VQQ22" s="73" t="str">
        <f t="shared" si="239"/>
        <v/>
      </c>
      <c r="VQR22" s="73" t="str">
        <f t="shared" si="239"/>
        <v/>
      </c>
      <c r="VQS22" s="73" t="str">
        <f t="shared" si="239"/>
        <v/>
      </c>
      <c r="VQT22" s="73" t="str">
        <f t="shared" si="239"/>
        <v/>
      </c>
      <c r="VQU22" s="73" t="str">
        <f t="shared" si="239"/>
        <v/>
      </c>
      <c r="VQV22" s="73" t="str">
        <f t="shared" si="239"/>
        <v/>
      </c>
      <c r="VQW22" s="73" t="str">
        <f t="shared" si="239"/>
        <v/>
      </c>
      <c r="VQX22" s="73" t="str">
        <f t="shared" si="239"/>
        <v/>
      </c>
      <c r="VQY22" s="73" t="str">
        <f t="shared" si="239"/>
        <v/>
      </c>
      <c r="VQZ22" s="73" t="str">
        <f t="shared" si="239"/>
        <v/>
      </c>
      <c r="VRA22" s="73" t="str">
        <f t="shared" si="239"/>
        <v/>
      </c>
      <c r="VRB22" s="73" t="str">
        <f t="shared" si="239"/>
        <v/>
      </c>
      <c r="VRC22" s="73" t="str">
        <f t="shared" si="239"/>
        <v/>
      </c>
      <c r="VRD22" s="73" t="str">
        <f t="shared" si="239"/>
        <v/>
      </c>
      <c r="VRE22" s="73" t="str">
        <f t="shared" si="239"/>
        <v/>
      </c>
      <c r="VRF22" s="73" t="str">
        <f t="shared" si="239"/>
        <v/>
      </c>
      <c r="VRG22" s="73" t="str">
        <f t="shared" si="239"/>
        <v/>
      </c>
      <c r="VRH22" s="73" t="str">
        <f t="shared" si="239"/>
        <v/>
      </c>
      <c r="VRI22" s="73" t="str">
        <f t="shared" si="239"/>
        <v/>
      </c>
      <c r="VRJ22" s="73" t="str">
        <f t="shared" si="239"/>
        <v/>
      </c>
      <c r="VRK22" s="73" t="str">
        <f t="shared" si="239"/>
        <v/>
      </c>
      <c r="VRL22" s="73" t="str">
        <f t="shared" si="239"/>
        <v/>
      </c>
      <c r="VRM22" s="73" t="str">
        <f t="shared" si="239"/>
        <v/>
      </c>
      <c r="VRN22" s="73" t="str">
        <f t="shared" si="239"/>
        <v/>
      </c>
      <c r="VRO22" s="73" t="str">
        <f t="shared" si="239"/>
        <v/>
      </c>
      <c r="VRP22" s="73" t="str">
        <f t="shared" si="239"/>
        <v/>
      </c>
      <c r="VRQ22" s="73" t="str">
        <f t="shared" si="239"/>
        <v/>
      </c>
      <c r="VRR22" s="73" t="str">
        <f t="shared" si="239"/>
        <v/>
      </c>
      <c r="VRS22" s="73" t="str">
        <f t="shared" si="239"/>
        <v/>
      </c>
      <c r="VRT22" s="73" t="str">
        <f t="shared" si="239"/>
        <v/>
      </c>
      <c r="VRU22" s="73" t="str">
        <f t="shared" si="239"/>
        <v/>
      </c>
      <c r="VRV22" s="73" t="str">
        <f t="shared" si="239"/>
        <v/>
      </c>
      <c r="VRW22" s="73" t="str">
        <f t="shared" si="239"/>
        <v/>
      </c>
      <c r="VRX22" s="73" t="str">
        <f t="shared" si="239"/>
        <v/>
      </c>
      <c r="VRY22" s="73" t="str">
        <f t="shared" si="239"/>
        <v/>
      </c>
      <c r="VRZ22" s="73" t="str">
        <f t="shared" ref="VRZ22:VUK22" si="240">IFERROR(AVERAGE(VRZ6:VRZ21),"")</f>
        <v/>
      </c>
      <c r="VSA22" s="73" t="str">
        <f t="shared" si="240"/>
        <v/>
      </c>
      <c r="VSB22" s="73" t="str">
        <f t="shared" si="240"/>
        <v/>
      </c>
      <c r="VSC22" s="73" t="str">
        <f t="shared" si="240"/>
        <v/>
      </c>
      <c r="VSD22" s="73" t="str">
        <f t="shared" si="240"/>
        <v/>
      </c>
      <c r="VSE22" s="73" t="str">
        <f t="shared" si="240"/>
        <v/>
      </c>
      <c r="VSF22" s="73" t="str">
        <f t="shared" si="240"/>
        <v/>
      </c>
      <c r="VSG22" s="73" t="str">
        <f t="shared" si="240"/>
        <v/>
      </c>
      <c r="VSH22" s="73" t="str">
        <f t="shared" si="240"/>
        <v/>
      </c>
      <c r="VSI22" s="73" t="str">
        <f t="shared" si="240"/>
        <v/>
      </c>
      <c r="VSJ22" s="73" t="str">
        <f t="shared" si="240"/>
        <v/>
      </c>
      <c r="VSK22" s="73" t="str">
        <f t="shared" si="240"/>
        <v/>
      </c>
      <c r="VSL22" s="73" t="str">
        <f t="shared" si="240"/>
        <v/>
      </c>
      <c r="VSM22" s="73" t="str">
        <f t="shared" si="240"/>
        <v/>
      </c>
      <c r="VSN22" s="73" t="str">
        <f t="shared" si="240"/>
        <v/>
      </c>
      <c r="VSO22" s="73" t="str">
        <f t="shared" si="240"/>
        <v/>
      </c>
      <c r="VSP22" s="73" t="str">
        <f t="shared" si="240"/>
        <v/>
      </c>
      <c r="VSQ22" s="73" t="str">
        <f t="shared" si="240"/>
        <v/>
      </c>
      <c r="VSR22" s="73" t="str">
        <f t="shared" si="240"/>
        <v/>
      </c>
      <c r="VSS22" s="73" t="str">
        <f t="shared" si="240"/>
        <v/>
      </c>
      <c r="VST22" s="73" t="str">
        <f t="shared" si="240"/>
        <v/>
      </c>
      <c r="VSU22" s="73" t="str">
        <f t="shared" si="240"/>
        <v/>
      </c>
      <c r="VSV22" s="73" t="str">
        <f t="shared" si="240"/>
        <v/>
      </c>
      <c r="VSW22" s="73" t="str">
        <f t="shared" si="240"/>
        <v/>
      </c>
      <c r="VSX22" s="73" t="str">
        <f t="shared" si="240"/>
        <v/>
      </c>
      <c r="VSY22" s="73" t="str">
        <f t="shared" si="240"/>
        <v/>
      </c>
      <c r="VSZ22" s="73" t="str">
        <f t="shared" si="240"/>
        <v/>
      </c>
      <c r="VTA22" s="73" t="str">
        <f t="shared" si="240"/>
        <v/>
      </c>
      <c r="VTB22" s="73" t="str">
        <f t="shared" si="240"/>
        <v/>
      </c>
      <c r="VTC22" s="73" t="str">
        <f t="shared" si="240"/>
        <v/>
      </c>
      <c r="VTD22" s="73" t="str">
        <f t="shared" si="240"/>
        <v/>
      </c>
      <c r="VTE22" s="73" t="str">
        <f t="shared" si="240"/>
        <v/>
      </c>
      <c r="VTF22" s="73" t="str">
        <f t="shared" si="240"/>
        <v/>
      </c>
      <c r="VTG22" s="73" t="str">
        <f t="shared" si="240"/>
        <v/>
      </c>
      <c r="VTH22" s="73" t="str">
        <f t="shared" si="240"/>
        <v/>
      </c>
      <c r="VTI22" s="73" t="str">
        <f t="shared" si="240"/>
        <v/>
      </c>
      <c r="VTJ22" s="73" t="str">
        <f t="shared" si="240"/>
        <v/>
      </c>
      <c r="VTK22" s="73" t="str">
        <f t="shared" si="240"/>
        <v/>
      </c>
      <c r="VTL22" s="73" t="str">
        <f t="shared" si="240"/>
        <v/>
      </c>
      <c r="VTM22" s="73" t="str">
        <f t="shared" si="240"/>
        <v/>
      </c>
      <c r="VTN22" s="73" t="str">
        <f t="shared" si="240"/>
        <v/>
      </c>
      <c r="VTO22" s="73" t="str">
        <f t="shared" si="240"/>
        <v/>
      </c>
      <c r="VTP22" s="73" t="str">
        <f t="shared" si="240"/>
        <v/>
      </c>
      <c r="VTQ22" s="73" t="str">
        <f t="shared" si="240"/>
        <v/>
      </c>
      <c r="VTR22" s="73" t="str">
        <f t="shared" si="240"/>
        <v/>
      </c>
      <c r="VTS22" s="73" t="str">
        <f t="shared" si="240"/>
        <v/>
      </c>
      <c r="VTT22" s="73" t="str">
        <f t="shared" si="240"/>
        <v/>
      </c>
      <c r="VTU22" s="73" t="str">
        <f t="shared" si="240"/>
        <v/>
      </c>
      <c r="VTV22" s="73" t="str">
        <f t="shared" si="240"/>
        <v/>
      </c>
      <c r="VTW22" s="73" t="str">
        <f t="shared" si="240"/>
        <v/>
      </c>
      <c r="VTX22" s="73" t="str">
        <f t="shared" si="240"/>
        <v/>
      </c>
      <c r="VTY22" s="73" t="str">
        <f t="shared" si="240"/>
        <v/>
      </c>
      <c r="VTZ22" s="73" t="str">
        <f t="shared" si="240"/>
        <v/>
      </c>
      <c r="VUA22" s="73" t="str">
        <f t="shared" si="240"/>
        <v/>
      </c>
      <c r="VUB22" s="73" t="str">
        <f t="shared" si="240"/>
        <v/>
      </c>
      <c r="VUC22" s="73" t="str">
        <f t="shared" si="240"/>
        <v/>
      </c>
      <c r="VUD22" s="73" t="str">
        <f t="shared" si="240"/>
        <v/>
      </c>
      <c r="VUE22" s="73" t="str">
        <f t="shared" si="240"/>
        <v/>
      </c>
      <c r="VUF22" s="73" t="str">
        <f t="shared" si="240"/>
        <v/>
      </c>
      <c r="VUG22" s="73" t="str">
        <f t="shared" si="240"/>
        <v/>
      </c>
      <c r="VUH22" s="73" t="str">
        <f t="shared" si="240"/>
        <v/>
      </c>
      <c r="VUI22" s="73" t="str">
        <f t="shared" si="240"/>
        <v/>
      </c>
      <c r="VUJ22" s="73" t="str">
        <f t="shared" si="240"/>
        <v/>
      </c>
      <c r="VUK22" s="73" t="str">
        <f t="shared" si="240"/>
        <v/>
      </c>
      <c r="VUL22" s="73" t="str">
        <f t="shared" ref="VUL22:VWW22" si="241">IFERROR(AVERAGE(VUL6:VUL21),"")</f>
        <v/>
      </c>
      <c r="VUM22" s="73" t="str">
        <f t="shared" si="241"/>
        <v/>
      </c>
      <c r="VUN22" s="73" t="str">
        <f t="shared" si="241"/>
        <v/>
      </c>
      <c r="VUO22" s="73" t="str">
        <f t="shared" si="241"/>
        <v/>
      </c>
      <c r="VUP22" s="73" t="str">
        <f t="shared" si="241"/>
        <v/>
      </c>
      <c r="VUQ22" s="73" t="str">
        <f t="shared" si="241"/>
        <v/>
      </c>
      <c r="VUR22" s="73" t="str">
        <f t="shared" si="241"/>
        <v/>
      </c>
      <c r="VUS22" s="73" t="str">
        <f t="shared" si="241"/>
        <v/>
      </c>
      <c r="VUT22" s="73" t="str">
        <f t="shared" si="241"/>
        <v/>
      </c>
      <c r="VUU22" s="73" t="str">
        <f t="shared" si="241"/>
        <v/>
      </c>
      <c r="VUV22" s="73" t="str">
        <f t="shared" si="241"/>
        <v/>
      </c>
      <c r="VUW22" s="73" t="str">
        <f t="shared" si="241"/>
        <v/>
      </c>
      <c r="VUX22" s="73" t="str">
        <f t="shared" si="241"/>
        <v/>
      </c>
      <c r="VUY22" s="73" t="str">
        <f t="shared" si="241"/>
        <v/>
      </c>
      <c r="VUZ22" s="73" t="str">
        <f t="shared" si="241"/>
        <v/>
      </c>
      <c r="VVA22" s="73" t="str">
        <f t="shared" si="241"/>
        <v/>
      </c>
      <c r="VVB22" s="73" t="str">
        <f t="shared" si="241"/>
        <v/>
      </c>
      <c r="VVC22" s="73" t="str">
        <f t="shared" si="241"/>
        <v/>
      </c>
      <c r="VVD22" s="73" t="str">
        <f t="shared" si="241"/>
        <v/>
      </c>
      <c r="VVE22" s="73" t="str">
        <f t="shared" si="241"/>
        <v/>
      </c>
      <c r="VVF22" s="73" t="str">
        <f t="shared" si="241"/>
        <v/>
      </c>
      <c r="VVG22" s="73" t="str">
        <f t="shared" si="241"/>
        <v/>
      </c>
      <c r="VVH22" s="73" t="str">
        <f t="shared" si="241"/>
        <v/>
      </c>
      <c r="VVI22" s="73" t="str">
        <f t="shared" si="241"/>
        <v/>
      </c>
      <c r="VVJ22" s="73" t="str">
        <f t="shared" si="241"/>
        <v/>
      </c>
      <c r="VVK22" s="73" t="str">
        <f t="shared" si="241"/>
        <v/>
      </c>
      <c r="VVL22" s="73" t="str">
        <f t="shared" si="241"/>
        <v/>
      </c>
      <c r="VVM22" s="73" t="str">
        <f t="shared" si="241"/>
        <v/>
      </c>
      <c r="VVN22" s="73" t="str">
        <f t="shared" si="241"/>
        <v/>
      </c>
      <c r="VVO22" s="73" t="str">
        <f t="shared" si="241"/>
        <v/>
      </c>
      <c r="VVP22" s="73" t="str">
        <f t="shared" si="241"/>
        <v/>
      </c>
      <c r="VVQ22" s="73" t="str">
        <f t="shared" si="241"/>
        <v/>
      </c>
      <c r="VVR22" s="73" t="str">
        <f t="shared" si="241"/>
        <v/>
      </c>
      <c r="VVS22" s="73" t="str">
        <f t="shared" si="241"/>
        <v/>
      </c>
      <c r="VVT22" s="73" t="str">
        <f t="shared" si="241"/>
        <v/>
      </c>
      <c r="VVU22" s="73" t="str">
        <f t="shared" si="241"/>
        <v/>
      </c>
      <c r="VVV22" s="73" t="str">
        <f t="shared" si="241"/>
        <v/>
      </c>
      <c r="VVW22" s="73" t="str">
        <f t="shared" si="241"/>
        <v/>
      </c>
      <c r="VVX22" s="73" t="str">
        <f t="shared" si="241"/>
        <v/>
      </c>
      <c r="VVY22" s="73" t="str">
        <f t="shared" si="241"/>
        <v/>
      </c>
      <c r="VVZ22" s="73" t="str">
        <f t="shared" si="241"/>
        <v/>
      </c>
      <c r="VWA22" s="73" t="str">
        <f t="shared" si="241"/>
        <v/>
      </c>
      <c r="VWB22" s="73" t="str">
        <f t="shared" si="241"/>
        <v/>
      </c>
      <c r="VWC22" s="73" t="str">
        <f t="shared" si="241"/>
        <v/>
      </c>
      <c r="VWD22" s="73" t="str">
        <f t="shared" si="241"/>
        <v/>
      </c>
      <c r="VWE22" s="73" t="str">
        <f t="shared" si="241"/>
        <v/>
      </c>
      <c r="VWF22" s="73" t="str">
        <f t="shared" si="241"/>
        <v/>
      </c>
      <c r="VWG22" s="73" t="str">
        <f t="shared" si="241"/>
        <v/>
      </c>
      <c r="VWH22" s="73" t="str">
        <f t="shared" si="241"/>
        <v/>
      </c>
      <c r="VWI22" s="73" t="str">
        <f t="shared" si="241"/>
        <v/>
      </c>
      <c r="VWJ22" s="73" t="str">
        <f t="shared" si="241"/>
        <v/>
      </c>
      <c r="VWK22" s="73" t="str">
        <f t="shared" si="241"/>
        <v/>
      </c>
      <c r="VWL22" s="73" t="str">
        <f t="shared" si="241"/>
        <v/>
      </c>
      <c r="VWM22" s="73" t="str">
        <f t="shared" si="241"/>
        <v/>
      </c>
      <c r="VWN22" s="73" t="str">
        <f t="shared" si="241"/>
        <v/>
      </c>
      <c r="VWO22" s="73" t="str">
        <f t="shared" si="241"/>
        <v/>
      </c>
      <c r="VWP22" s="73" t="str">
        <f t="shared" si="241"/>
        <v/>
      </c>
      <c r="VWQ22" s="73" t="str">
        <f t="shared" si="241"/>
        <v/>
      </c>
      <c r="VWR22" s="73" t="str">
        <f t="shared" si="241"/>
        <v/>
      </c>
      <c r="VWS22" s="73" t="str">
        <f t="shared" si="241"/>
        <v/>
      </c>
      <c r="VWT22" s="73" t="str">
        <f t="shared" si="241"/>
        <v/>
      </c>
      <c r="VWU22" s="73" t="str">
        <f t="shared" si="241"/>
        <v/>
      </c>
      <c r="VWV22" s="73" t="str">
        <f t="shared" si="241"/>
        <v/>
      </c>
      <c r="VWW22" s="73" t="str">
        <f t="shared" si="241"/>
        <v/>
      </c>
      <c r="VWX22" s="73" t="str">
        <f t="shared" ref="VWX22:VZI22" si="242">IFERROR(AVERAGE(VWX6:VWX21),"")</f>
        <v/>
      </c>
      <c r="VWY22" s="73" t="str">
        <f t="shared" si="242"/>
        <v/>
      </c>
      <c r="VWZ22" s="73" t="str">
        <f t="shared" si="242"/>
        <v/>
      </c>
      <c r="VXA22" s="73" t="str">
        <f t="shared" si="242"/>
        <v/>
      </c>
      <c r="VXB22" s="73" t="str">
        <f t="shared" si="242"/>
        <v/>
      </c>
      <c r="VXC22" s="73" t="str">
        <f t="shared" si="242"/>
        <v/>
      </c>
      <c r="VXD22" s="73" t="str">
        <f t="shared" si="242"/>
        <v/>
      </c>
      <c r="VXE22" s="73" t="str">
        <f t="shared" si="242"/>
        <v/>
      </c>
      <c r="VXF22" s="73" t="str">
        <f t="shared" si="242"/>
        <v/>
      </c>
      <c r="VXG22" s="73" t="str">
        <f t="shared" si="242"/>
        <v/>
      </c>
      <c r="VXH22" s="73" t="str">
        <f t="shared" si="242"/>
        <v/>
      </c>
      <c r="VXI22" s="73" t="str">
        <f t="shared" si="242"/>
        <v/>
      </c>
      <c r="VXJ22" s="73" t="str">
        <f t="shared" si="242"/>
        <v/>
      </c>
      <c r="VXK22" s="73" t="str">
        <f t="shared" si="242"/>
        <v/>
      </c>
      <c r="VXL22" s="73" t="str">
        <f t="shared" si="242"/>
        <v/>
      </c>
      <c r="VXM22" s="73" t="str">
        <f t="shared" si="242"/>
        <v/>
      </c>
      <c r="VXN22" s="73" t="str">
        <f t="shared" si="242"/>
        <v/>
      </c>
      <c r="VXO22" s="73" t="str">
        <f t="shared" si="242"/>
        <v/>
      </c>
      <c r="VXP22" s="73" t="str">
        <f t="shared" si="242"/>
        <v/>
      </c>
      <c r="VXQ22" s="73" t="str">
        <f t="shared" si="242"/>
        <v/>
      </c>
      <c r="VXR22" s="73" t="str">
        <f t="shared" si="242"/>
        <v/>
      </c>
      <c r="VXS22" s="73" t="str">
        <f t="shared" si="242"/>
        <v/>
      </c>
      <c r="VXT22" s="73" t="str">
        <f t="shared" si="242"/>
        <v/>
      </c>
      <c r="VXU22" s="73" t="str">
        <f t="shared" si="242"/>
        <v/>
      </c>
      <c r="VXV22" s="73" t="str">
        <f t="shared" si="242"/>
        <v/>
      </c>
      <c r="VXW22" s="73" t="str">
        <f t="shared" si="242"/>
        <v/>
      </c>
      <c r="VXX22" s="73" t="str">
        <f t="shared" si="242"/>
        <v/>
      </c>
      <c r="VXY22" s="73" t="str">
        <f t="shared" si="242"/>
        <v/>
      </c>
      <c r="VXZ22" s="73" t="str">
        <f t="shared" si="242"/>
        <v/>
      </c>
      <c r="VYA22" s="73" t="str">
        <f t="shared" si="242"/>
        <v/>
      </c>
      <c r="VYB22" s="73" t="str">
        <f t="shared" si="242"/>
        <v/>
      </c>
      <c r="VYC22" s="73" t="str">
        <f t="shared" si="242"/>
        <v/>
      </c>
      <c r="VYD22" s="73" t="str">
        <f t="shared" si="242"/>
        <v/>
      </c>
      <c r="VYE22" s="73" t="str">
        <f t="shared" si="242"/>
        <v/>
      </c>
      <c r="VYF22" s="73" t="str">
        <f t="shared" si="242"/>
        <v/>
      </c>
      <c r="VYG22" s="73" t="str">
        <f t="shared" si="242"/>
        <v/>
      </c>
      <c r="VYH22" s="73" t="str">
        <f t="shared" si="242"/>
        <v/>
      </c>
      <c r="VYI22" s="73" t="str">
        <f t="shared" si="242"/>
        <v/>
      </c>
      <c r="VYJ22" s="73" t="str">
        <f t="shared" si="242"/>
        <v/>
      </c>
      <c r="VYK22" s="73" t="str">
        <f t="shared" si="242"/>
        <v/>
      </c>
      <c r="VYL22" s="73" t="str">
        <f t="shared" si="242"/>
        <v/>
      </c>
      <c r="VYM22" s="73" t="str">
        <f t="shared" si="242"/>
        <v/>
      </c>
      <c r="VYN22" s="73" t="str">
        <f t="shared" si="242"/>
        <v/>
      </c>
      <c r="VYO22" s="73" t="str">
        <f t="shared" si="242"/>
        <v/>
      </c>
      <c r="VYP22" s="73" t="str">
        <f t="shared" si="242"/>
        <v/>
      </c>
      <c r="VYQ22" s="73" t="str">
        <f t="shared" si="242"/>
        <v/>
      </c>
      <c r="VYR22" s="73" t="str">
        <f t="shared" si="242"/>
        <v/>
      </c>
      <c r="VYS22" s="73" t="str">
        <f t="shared" si="242"/>
        <v/>
      </c>
      <c r="VYT22" s="73" t="str">
        <f t="shared" si="242"/>
        <v/>
      </c>
      <c r="VYU22" s="73" t="str">
        <f t="shared" si="242"/>
        <v/>
      </c>
      <c r="VYV22" s="73" t="str">
        <f t="shared" si="242"/>
        <v/>
      </c>
      <c r="VYW22" s="73" t="str">
        <f t="shared" si="242"/>
        <v/>
      </c>
      <c r="VYX22" s="73" t="str">
        <f t="shared" si="242"/>
        <v/>
      </c>
      <c r="VYY22" s="73" t="str">
        <f t="shared" si="242"/>
        <v/>
      </c>
      <c r="VYZ22" s="73" t="str">
        <f t="shared" si="242"/>
        <v/>
      </c>
      <c r="VZA22" s="73" t="str">
        <f t="shared" si="242"/>
        <v/>
      </c>
      <c r="VZB22" s="73" t="str">
        <f t="shared" si="242"/>
        <v/>
      </c>
      <c r="VZC22" s="73" t="str">
        <f t="shared" si="242"/>
        <v/>
      </c>
      <c r="VZD22" s="73" t="str">
        <f t="shared" si="242"/>
        <v/>
      </c>
      <c r="VZE22" s="73" t="str">
        <f t="shared" si="242"/>
        <v/>
      </c>
      <c r="VZF22" s="73" t="str">
        <f t="shared" si="242"/>
        <v/>
      </c>
      <c r="VZG22" s="73" t="str">
        <f t="shared" si="242"/>
        <v/>
      </c>
      <c r="VZH22" s="73" t="str">
        <f t="shared" si="242"/>
        <v/>
      </c>
      <c r="VZI22" s="73" t="str">
        <f t="shared" si="242"/>
        <v/>
      </c>
      <c r="VZJ22" s="73" t="str">
        <f t="shared" ref="VZJ22:WBU22" si="243">IFERROR(AVERAGE(VZJ6:VZJ21),"")</f>
        <v/>
      </c>
      <c r="VZK22" s="73" t="str">
        <f t="shared" si="243"/>
        <v/>
      </c>
      <c r="VZL22" s="73" t="str">
        <f t="shared" si="243"/>
        <v/>
      </c>
      <c r="VZM22" s="73" t="str">
        <f t="shared" si="243"/>
        <v/>
      </c>
      <c r="VZN22" s="73" t="str">
        <f t="shared" si="243"/>
        <v/>
      </c>
      <c r="VZO22" s="73" t="str">
        <f t="shared" si="243"/>
        <v/>
      </c>
      <c r="VZP22" s="73" t="str">
        <f t="shared" si="243"/>
        <v/>
      </c>
      <c r="VZQ22" s="73" t="str">
        <f t="shared" si="243"/>
        <v/>
      </c>
      <c r="VZR22" s="73" t="str">
        <f t="shared" si="243"/>
        <v/>
      </c>
      <c r="VZS22" s="73" t="str">
        <f t="shared" si="243"/>
        <v/>
      </c>
      <c r="VZT22" s="73" t="str">
        <f t="shared" si="243"/>
        <v/>
      </c>
      <c r="VZU22" s="73" t="str">
        <f t="shared" si="243"/>
        <v/>
      </c>
      <c r="VZV22" s="73" t="str">
        <f t="shared" si="243"/>
        <v/>
      </c>
      <c r="VZW22" s="73" t="str">
        <f t="shared" si="243"/>
        <v/>
      </c>
      <c r="VZX22" s="73" t="str">
        <f t="shared" si="243"/>
        <v/>
      </c>
      <c r="VZY22" s="73" t="str">
        <f t="shared" si="243"/>
        <v/>
      </c>
      <c r="VZZ22" s="73" t="str">
        <f t="shared" si="243"/>
        <v/>
      </c>
      <c r="WAA22" s="73" t="str">
        <f t="shared" si="243"/>
        <v/>
      </c>
      <c r="WAB22" s="73" t="str">
        <f t="shared" si="243"/>
        <v/>
      </c>
      <c r="WAC22" s="73" t="str">
        <f t="shared" si="243"/>
        <v/>
      </c>
      <c r="WAD22" s="73" t="str">
        <f t="shared" si="243"/>
        <v/>
      </c>
      <c r="WAE22" s="73" t="str">
        <f t="shared" si="243"/>
        <v/>
      </c>
      <c r="WAF22" s="73" t="str">
        <f t="shared" si="243"/>
        <v/>
      </c>
      <c r="WAG22" s="73" t="str">
        <f t="shared" si="243"/>
        <v/>
      </c>
      <c r="WAH22" s="73" t="str">
        <f t="shared" si="243"/>
        <v/>
      </c>
      <c r="WAI22" s="73" t="str">
        <f t="shared" si="243"/>
        <v/>
      </c>
      <c r="WAJ22" s="73" t="str">
        <f t="shared" si="243"/>
        <v/>
      </c>
      <c r="WAK22" s="73" t="str">
        <f t="shared" si="243"/>
        <v/>
      </c>
      <c r="WAL22" s="73" t="str">
        <f t="shared" si="243"/>
        <v/>
      </c>
      <c r="WAM22" s="73" t="str">
        <f t="shared" si="243"/>
        <v/>
      </c>
      <c r="WAN22" s="73" t="str">
        <f t="shared" si="243"/>
        <v/>
      </c>
      <c r="WAO22" s="73" t="str">
        <f t="shared" si="243"/>
        <v/>
      </c>
      <c r="WAP22" s="73" t="str">
        <f t="shared" si="243"/>
        <v/>
      </c>
      <c r="WAQ22" s="73" t="str">
        <f t="shared" si="243"/>
        <v/>
      </c>
      <c r="WAR22" s="73" t="str">
        <f t="shared" si="243"/>
        <v/>
      </c>
      <c r="WAS22" s="73" t="str">
        <f t="shared" si="243"/>
        <v/>
      </c>
      <c r="WAT22" s="73" t="str">
        <f t="shared" si="243"/>
        <v/>
      </c>
      <c r="WAU22" s="73" t="str">
        <f t="shared" si="243"/>
        <v/>
      </c>
      <c r="WAV22" s="73" t="str">
        <f t="shared" si="243"/>
        <v/>
      </c>
      <c r="WAW22" s="73" t="str">
        <f t="shared" si="243"/>
        <v/>
      </c>
      <c r="WAX22" s="73" t="str">
        <f t="shared" si="243"/>
        <v/>
      </c>
      <c r="WAY22" s="73" t="str">
        <f t="shared" si="243"/>
        <v/>
      </c>
      <c r="WAZ22" s="73" t="str">
        <f t="shared" si="243"/>
        <v/>
      </c>
      <c r="WBA22" s="73" t="str">
        <f t="shared" si="243"/>
        <v/>
      </c>
      <c r="WBB22" s="73" t="str">
        <f t="shared" si="243"/>
        <v/>
      </c>
      <c r="WBC22" s="73" t="str">
        <f t="shared" si="243"/>
        <v/>
      </c>
      <c r="WBD22" s="73" t="str">
        <f t="shared" si="243"/>
        <v/>
      </c>
      <c r="WBE22" s="73" t="str">
        <f t="shared" si="243"/>
        <v/>
      </c>
      <c r="WBF22" s="73" t="str">
        <f t="shared" si="243"/>
        <v/>
      </c>
      <c r="WBG22" s="73" t="str">
        <f t="shared" si="243"/>
        <v/>
      </c>
      <c r="WBH22" s="73" t="str">
        <f t="shared" si="243"/>
        <v/>
      </c>
      <c r="WBI22" s="73" t="str">
        <f t="shared" si="243"/>
        <v/>
      </c>
      <c r="WBJ22" s="73" t="str">
        <f t="shared" si="243"/>
        <v/>
      </c>
      <c r="WBK22" s="73" t="str">
        <f t="shared" si="243"/>
        <v/>
      </c>
      <c r="WBL22" s="73" t="str">
        <f t="shared" si="243"/>
        <v/>
      </c>
      <c r="WBM22" s="73" t="str">
        <f t="shared" si="243"/>
        <v/>
      </c>
      <c r="WBN22" s="73" t="str">
        <f t="shared" si="243"/>
        <v/>
      </c>
      <c r="WBO22" s="73" t="str">
        <f t="shared" si="243"/>
        <v/>
      </c>
      <c r="WBP22" s="73" t="str">
        <f t="shared" si="243"/>
        <v/>
      </c>
      <c r="WBQ22" s="73" t="str">
        <f t="shared" si="243"/>
        <v/>
      </c>
      <c r="WBR22" s="73" t="str">
        <f t="shared" si="243"/>
        <v/>
      </c>
      <c r="WBS22" s="73" t="str">
        <f t="shared" si="243"/>
        <v/>
      </c>
      <c r="WBT22" s="73" t="str">
        <f t="shared" si="243"/>
        <v/>
      </c>
      <c r="WBU22" s="73" t="str">
        <f t="shared" si="243"/>
        <v/>
      </c>
      <c r="WBV22" s="73" t="str">
        <f t="shared" ref="WBV22:WEG22" si="244">IFERROR(AVERAGE(WBV6:WBV21),"")</f>
        <v/>
      </c>
      <c r="WBW22" s="73" t="str">
        <f t="shared" si="244"/>
        <v/>
      </c>
      <c r="WBX22" s="73" t="str">
        <f t="shared" si="244"/>
        <v/>
      </c>
      <c r="WBY22" s="73" t="str">
        <f t="shared" si="244"/>
        <v/>
      </c>
      <c r="WBZ22" s="73" t="str">
        <f t="shared" si="244"/>
        <v/>
      </c>
      <c r="WCA22" s="73" t="str">
        <f t="shared" si="244"/>
        <v/>
      </c>
      <c r="WCB22" s="73" t="str">
        <f t="shared" si="244"/>
        <v/>
      </c>
      <c r="WCC22" s="73" t="str">
        <f t="shared" si="244"/>
        <v/>
      </c>
      <c r="WCD22" s="73" t="str">
        <f t="shared" si="244"/>
        <v/>
      </c>
      <c r="WCE22" s="73" t="str">
        <f t="shared" si="244"/>
        <v/>
      </c>
      <c r="WCF22" s="73" t="str">
        <f t="shared" si="244"/>
        <v/>
      </c>
      <c r="WCG22" s="73" t="str">
        <f t="shared" si="244"/>
        <v/>
      </c>
      <c r="WCH22" s="73" t="str">
        <f t="shared" si="244"/>
        <v/>
      </c>
      <c r="WCI22" s="73" t="str">
        <f t="shared" si="244"/>
        <v/>
      </c>
      <c r="WCJ22" s="73" t="str">
        <f t="shared" si="244"/>
        <v/>
      </c>
      <c r="WCK22" s="73" t="str">
        <f t="shared" si="244"/>
        <v/>
      </c>
      <c r="WCL22" s="73" t="str">
        <f t="shared" si="244"/>
        <v/>
      </c>
      <c r="WCM22" s="73" t="str">
        <f t="shared" si="244"/>
        <v/>
      </c>
      <c r="WCN22" s="73" t="str">
        <f t="shared" si="244"/>
        <v/>
      </c>
      <c r="WCO22" s="73" t="str">
        <f t="shared" si="244"/>
        <v/>
      </c>
      <c r="WCP22" s="73" t="str">
        <f t="shared" si="244"/>
        <v/>
      </c>
      <c r="WCQ22" s="73" t="str">
        <f t="shared" si="244"/>
        <v/>
      </c>
      <c r="WCR22" s="73" t="str">
        <f t="shared" si="244"/>
        <v/>
      </c>
      <c r="WCS22" s="73" t="str">
        <f t="shared" si="244"/>
        <v/>
      </c>
      <c r="WCT22" s="73" t="str">
        <f t="shared" si="244"/>
        <v/>
      </c>
      <c r="WCU22" s="73" t="str">
        <f t="shared" si="244"/>
        <v/>
      </c>
      <c r="WCV22" s="73" t="str">
        <f t="shared" si="244"/>
        <v/>
      </c>
      <c r="WCW22" s="73" t="str">
        <f t="shared" si="244"/>
        <v/>
      </c>
      <c r="WCX22" s="73" t="str">
        <f t="shared" si="244"/>
        <v/>
      </c>
      <c r="WCY22" s="73" t="str">
        <f t="shared" si="244"/>
        <v/>
      </c>
      <c r="WCZ22" s="73" t="str">
        <f t="shared" si="244"/>
        <v/>
      </c>
      <c r="WDA22" s="73" t="str">
        <f t="shared" si="244"/>
        <v/>
      </c>
      <c r="WDB22" s="73" t="str">
        <f t="shared" si="244"/>
        <v/>
      </c>
      <c r="WDC22" s="73" t="str">
        <f t="shared" si="244"/>
        <v/>
      </c>
      <c r="WDD22" s="73" t="str">
        <f t="shared" si="244"/>
        <v/>
      </c>
      <c r="WDE22" s="73" t="str">
        <f t="shared" si="244"/>
        <v/>
      </c>
      <c r="WDF22" s="73" t="str">
        <f t="shared" si="244"/>
        <v/>
      </c>
      <c r="WDG22" s="73" t="str">
        <f t="shared" si="244"/>
        <v/>
      </c>
      <c r="WDH22" s="73" t="str">
        <f t="shared" si="244"/>
        <v/>
      </c>
      <c r="WDI22" s="73" t="str">
        <f t="shared" si="244"/>
        <v/>
      </c>
      <c r="WDJ22" s="73" t="str">
        <f t="shared" si="244"/>
        <v/>
      </c>
      <c r="WDK22" s="73" t="str">
        <f t="shared" si="244"/>
        <v/>
      </c>
      <c r="WDL22" s="73" t="str">
        <f t="shared" si="244"/>
        <v/>
      </c>
      <c r="WDM22" s="73" t="str">
        <f t="shared" si="244"/>
        <v/>
      </c>
      <c r="WDN22" s="73" t="str">
        <f t="shared" si="244"/>
        <v/>
      </c>
      <c r="WDO22" s="73" t="str">
        <f t="shared" si="244"/>
        <v/>
      </c>
      <c r="WDP22" s="73" t="str">
        <f t="shared" si="244"/>
        <v/>
      </c>
      <c r="WDQ22" s="73" t="str">
        <f t="shared" si="244"/>
        <v/>
      </c>
      <c r="WDR22" s="73" t="str">
        <f t="shared" si="244"/>
        <v/>
      </c>
      <c r="WDS22" s="73" t="str">
        <f t="shared" si="244"/>
        <v/>
      </c>
      <c r="WDT22" s="73" t="str">
        <f t="shared" si="244"/>
        <v/>
      </c>
      <c r="WDU22" s="73" t="str">
        <f t="shared" si="244"/>
        <v/>
      </c>
      <c r="WDV22" s="73" t="str">
        <f t="shared" si="244"/>
        <v/>
      </c>
      <c r="WDW22" s="73" t="str">
        <f t="shared" si="244"/>
        <v/>
      </c>
      <c r="WDX22" s="73" t="str">
        <f t="shared" si="244"/>
        <v/>
      </c>
      <c r="WDY22" s="73" t="str">
        <f t="shared" si="244"/>
        <v/>
      </c>
      <c r="WDZ22" s="73" t="str">
        <f t="shared" si="244"/>
        <v/>
      </c>
      <c r="WEA22" s="73" t="str">
        <f t="shared" si="244"/>
        <v/>
      </c>
      <c r="WEB22" s="73" t="str">
        <f t="shared" si="244"/>
        <v/>
      </c>
      <c r="WEC22" s="73" t="str">
        <f t="shared" si="244"/>
        <v/>
      </c>
      <c r="WED22" s="73" t="str">
        <f t="shared" si="244"/>
        <v/>
      </c>
      <c r="WEE22" s="73" t="str">
        <f t="shared" si="244"/>
        <v/>
      </c>
      <c r="WEF22" s="73" t="str">
        <f t="shared" si="244"/>
        <v/>
      </c>
      <c r="WEG22" s="73" t="str">
        <f t="shared" si="244"/>
        <v/>
      </c>
      <c r="WEH22" s="73" t="str">
        <f t="shared" ref="WEH22:WGS22" si="245">IFERROR(AVERAGE(WEH6:WEH21),"")</f>
        <v/>
      </c>
      <c r="WEI22" s="73" t="str">
        <f t="shared" si="245"/>
        <v/>
      </c>
      <c r="WEJ22" s="73" t="str">
        <f t="shared" si="245"/>
        <v/>
      </c>
      <c r="WEK22" s="73" t="str">
        <f t="shared" si="245"/>
        <v/>
      </c>
      <c r="WEL22" s="73" t="str">
        <f t="shared" si="245"/>
        <v/>
      </c>
      <c r="WEM22" s="73" t="str">
        <f t="shared" si="245"/>
        <v/>
      </c>
      <c r="WEN22" s="73" t="str">
        <f t="shared" si="245"/>
        <v/>
      </c>
      <c r="WEO22" s="73" t="str">
        <f t="shared" si="245"/>
        <v/>
      </c>
      <c r="WEP22" s="73" t="str">
        <f t="shared" si="245"/>
        <v/>
      </c>
      <c r="WEQ22" s="73" t="str">
        <f t="shared" si="245"/>
        <v/>
      </c>
      <c r="WER22" s="73" t="str">
        <f t="shared" si="245"/>
        <v/>
      </c>
      <c r="WES22" s="73" t="str">
        <f t="shared" si="245"/>
        <v/>
      </c>
      <c r="WET22" s="73" t="str">
        <f t="shared" si="245"/>
        <v/>
      </c>
      <c r="WEU22" s="73" t="str">
        <f t="shared" si="245"/>
        <v/>
      </c>
      <c r="WEV22" s="73" t="str">
        <f t="shared" si="245"/>
        <v/>
      </c>
      <c r="WEW22" s="73" t="str">
        <f t="shared" si="245"/>
        <v/>
      </c>
      <c r="WEX22" s="73" t="str">
        <f t="shared" si="245"/>
        <v/>
      </c>
      <c r="WEY22" s="73" t="str">
        <f t="shared" si="245"/>
        <v/>
      </c>
      <c r="WEZ22" s="73" t="str">
        <f t="shared" si="245"/>
        <v/>
      </c>
      <c r="WFA22" s="73" t="str">
        <f t="shared" si="245"/>
        <v/>
      </c>
      <c r="WFB22" s="73" t="str">
        <f t="shared" si="245"/>
        <v/>
      </c>
      <c r="WFC22" s="73" t="str">
        <f t="shared" si="245"/>
        <v/>
      </c>
      <c r="WFD22" s="73" t="str">
        <f t="shared" si="245"/>
        <v/>
      </c>
      <c r="WFE22" s="73" t="str">
        <f t="shared" si="245"/>
        <v/>
      </c>
      <c r="WFF22" s="73" t="str">
        <f t="shared" si="245"/>
        <v/>
      </c>
      <c r="WFG22" s="73" t="str">
        <f t="shared" si="245"/>
        <v/>
      </c>
      <c r="WFH22" s="73" t="str">
        <f t="shared" si="245"/>
        <v/>
      </c>
      <c r="WFI22" s="73" t="str">
        <f t="shared" si="245"/>
        <v/>
      </c>
      <c r="WFJ22" s="73" t="str">
        <f t="shared" si="245"/>
        <v/>
      </c>
      <c r="WFK22" s="73" t="str">
        <f t="shared" si="245"/>
        <v/>
      </c>
      <c r="WFL22" s="73" t="str">
        <f t="shared" si="245"/>
        <v/>
      </c>
      <c r="WFM22" s="73" t="str">
        <f t="shared" si="245"/>
        <v/>
      </c>
      <c r="WFN22" s="73" t="str">
        <f t="shared" si="245"/>
        <v/>
      </c>
      <c r="WFO22" s="73" t="str">
        <f t="shared" si="245"/>
        <v/>
      </c>
      <c r="WFP22" s="73" t="str">
        <f t="shared" si="245"/>
        <v/>
      </c>
      <c r="WFQ22" s="73" t="str">
        <f t="shared" si="245"/>
        <v/>
      </c>
      <c r="WFR22" s="73" t="str">
        <f t="shared" si="245"/>
        <v/>
      </c>
      <c r="WFS22" s="73" t="str">
        <f t="shared" si="245"/>
        <v/>
      </c>
      <c r="WFT22" s="73" t="str">
        <f t="shared" si="245"/>
        <v/>
      </c>
      <c r="WFU22" s="73" t="str">
        <f t="shared" si="245"/>
        <v/>
      </c>
      <c r="WFV22" s="73" t="str">
        <f t="shared" si="245"/>
        <v/>
      </c>
      <c r="WFW22" s="73" t="str">
        <f t="shared" si="245"/>
        <v/>
      </c>
      <c r="WFX22" s="73" t="str">
        <f t="shared" si="245"/>
        <v/>
      </c>
      <c r="WFY22" s="73" t="str">
        <f t="shared" si="245"/>
        <v/>
      </c>
      <c r="WFZ22" s="73" t="str">
        <f t="shared" si="245"/>
        <v/>
      </c>
      <c r="WGA22" s="73" t="str">
        <f t="shared" si="245"/>
        <v/>
      </c>
      <c r="WGB22" s="73" t="str">
        <f t="shared" si="245"/>
        <v/>
      </c>
      <c r="WGC22" s="73" t="str">
        <f t="shared" si="245"/>
        <v/>
      </c>
      <c r="WGD22" s="73" t="str">
        <f t="shared" si="245"/>
        <v/>
      </c>
      <c r="WGE22" s="73" t="str">
        <f t="shared" si="245"/>
        <v/>
      </c>
      <c r="WGF22" s="73" t="str">
        <f t="shared" si="245"/>
        <v/>
      </c>
      <c r="WGG22" s="73" t="str">
        <f t="shared" si="245"/>
        <v/>
      </c>
      <c r="WGH22" s="73" t="str">
        <f t="shared" si="245"/>
        <v/>
      </c>
      <c r="WGI22" s="73" t="str">
        <f t="shared" si="245"/>
        <v/>
      </c>
      <c r="WGJ22" s="73" t="str">
        <f t="shared" si="245"/>
        <v/>
      </c>
      <c r="WGK22" s="73" t="str">
        <f t="shared" si="245"/>
        <v/>
      </c>
      <c r="WGL22" s="73" t="str">
        <f t="shared" si="245"/>
        <v/>
      </c>
      <c r="WGM22" s="73" t="str">
        <f t="shared" si="245"/>
        <v/>
      </c>
      <c r="WGN22" s="73" t="str">
        <f t="shared" si="245"/>
        <v/>
      </c>
      <c r="WGO22" s="73" t="str">
        <f t="shared" si="245"/>
        <v/>
      </c>
      <c r="WGP22" s="73" t="str">
        <f t="shared" si="245"/>
        <v/>
      </c>
      <c r="WGQ22" s="73" t="str">
        <f t="shared" si="245"/>
        <v/>
      </c>
      <c r="WGR22" s="73" t="str">
        <f t="shared" si="245"/>
        <v/>
      </c>
      <c r="WGS22" s="73" t="str">
        <f t="shared" si="245"/>
        <v/>
      </c>
      <c r="WGT22" s="73" t="str">
        <f t="shared" ref="WGT22:WJE22" si="246">IFERROR(AVERAGE(WGT6:WGT21),"")</f>
        <v/>
      </c>
      <c r="WGU22" s="73" t="str">
        <f t="shared" si="246"/>
        <v/>
      </c>
      <c r="WGV22" s="73" t="str">
        <f t="shared" si="246"/>
        <v/>
      </c>
      <c r="WGW22" s="73" t="str">
        <f t="shared" si="246"/>
        <v/>
      </c>
      <c r="WGX22" s="73" t="str">
        <f t="shared" si="246"/>
        <v/>
      </c>
      <c r="WGY22" s="73" t="str">
        <f t="shared" si="246"/>
        <v/>
      </c>
      <c r="WGZ22" s="73" t="str">
        <f t="shared" si="246"/>
        <v/>
      </c>
      <c r="WHA22" s="73" t="str">
        <f t="shared" si="246"/>
        <v/>
      </c>
      <c r="WHB22" s="73" t="str">
        <f t="shared" si="246"/>
        <v/>
      </c>
      <c r="WHC22" s="73" t="str">
        <f t="shared" si="246"/>
        <v/>
      </c>
      <c r="WHD22" s="73" t="str">
        <f t="shared" si="246"/>
        <v/>
      </c>
      <c r="WHE22" s="73" t="str">
        <f t="shared" si="246"/>
        <v/>
      </c>
      <c r="WHF22" s="73" t="str">
        <f t="shared" si="246"/>
        <v/>
      </c>
      <c r="WHG22" s="73" t="str">
        <f t="shared" si="246"/>
        <v/>
      </c>
      <c r="WHH22" s="73" t="str">
        <f t="shared" si="246"/>
        <v/>
      </c>
      <c r="WHI22" s="73" t="str">
        <f t="shared" si="246"/>
        <v/>
      </c>
      <c r="WHJ22" s="73" t="str">
        <f t="shared" si="246"/>
        <v/>
      </c>
      <c r="WHK22" s="73" t="str">
        <f t="shared" si="246"/>
        <v/>
      </c>
      <c r="WHL22" s="73" t="str">
        <f t="shared" si="246"/>
        <v/>
      </c>
      <c r="WHM22" s="73" t="str">
        <f t="shared" si="246"/>
        <v/>
      </c>
      <c r="WHN22" s="73" t="str">
        <f t="shared" si="246"/>
        <v/>
      </c>
      <c r="WHO22" s="73" t="str">
        <f t="shared" si="246"/>
        <v/>
      </c>
      <c r="WHP22" s="73" t="str">
        <f t="shared" si="246"/>
        <v/>
      </c>
      <c r="WHQ22" s="73" t="str">
        <f t="shared" si="246"/>
        <v/>
      </c>
      <c r="WHR22" s="73" t="str">
        <f t="shared" si="246"/>
        <v/>
      </c>
      <c r="WHS22" s="73" t="str">
        <f t="shared" si="246"/>
        <v/>
      </c>
      <c r="WHT22" s="73" t="str">
        <f t="shared" si="246"/>
        <v/>
      </c>
      <c r="WHU22" s="73" t="str">
        <f t="shared" si="246"/>
        <v/>
      </c>
      <c r="WHV22" s="73" t="str">
        <f t="shared" si="246"/>
        <v/>
      </c>
      <c r="WHW22" s="73" t="str">
        <f t="shared" si="246"/>
        <v/>
      </c>
      <c r="WHX22" s="73" t="str">
        <f t="shared" si="246"/>
        <v/>
      </c>
      <c r="WHY22" s="73" t="str">
        <f t="shared" si="246"/>
        <v/>
      </c>
      <c r="WHZ22" s="73" t="str">
        <f t="shared" si="246"/>
        <v/>
      </c>
      <c r="WIA22" s="73" t="str">
        <f t="shared" si="246"/>
        <v/>
      </c>
      <c r="WIB22" s="73" t="str">
        <f t="shared" si="246"/>
        <v/>
      </c>
      <c r="WIC22" s="73" t="str">
        <f t="shared" si="246"/>
        <v/>
      </c>
      <c r="WID22" s="73" t="str">
        <f t="shared" si="246"/>
        <v/>
      </c>
      <c r="WIE22" s="73" t="str">
        <f t="shared" si="246"/>
        <v/>
      </c>
      <c r="WIF22" s="73" t="str">
        <f t="shared" si="246"/>
        <v/>
      </c>
      <c r="WIG22" s="73" t="str">
        <f t="shared" si="246"/>
        <v/>
      </c>
      <c r="WIH22" s="73" t="str">
        <f t="shared" si="246"/>
        <v/>
      </c>
      <c r="WII22" s="73" t="str">
        <f t="shared" si="246"/>
        <v/>
      </c>
      <c r="WIJ22" s="73" t="str">
        <f t="shared" si="246"/>
        <v/>
      </c>
      <c r="WIK22" s="73" t="str">
        <f t="shared" si="246"/>
        <v/>
      </c>
      <c r="WIL22" s="73" t="str">
        <f t="shared" si="246"/>
        <v/>
      </c>
      <c r="WIM22" s="73" t="str">
        <f t="shared" si="246"/>
        <v/>
      </c>
      <c r="WIN22" s="73" t="str">
        <f t="shared" si="246"/>
        <v/>
      </c>
      <c r="WIO22" s="73" t="str">
        <f t="shared" si="246"/>
        <v/>
      </c>
      <c r="WIP22" s="73" t="str">
        <f t="shared" si="246"/>
        <v/>
      </c>
      <c r="WIQ22" s="73" t="str">
        <f t="shared" si="246"/>
        <v/>
      </c>
      <c r="WIR22" s="73" t="str">
        <f t="shared" si="246"/>
        <v/>
      </c>
      <c r="WIS22" s="73" t="str">
        <f t="shared" si="246"/>
        <v/>
      </c>
      <c r="WIT22" s="73" t="str">
        <f t="shared" si="246"/>
        <v/>
      </c>
      <c r="WIU22" s="73" t="str">
        <f t="shared" si="246"/>
        <v/>
      </c>
      <c r="WIV22" s="73" t="str">
        <f t="shared" si="246"/>
        <v/>
      </c>
      <c r="WIW22" s="73" t="str">
        <f t="shared" si="246"/>
        <v/>
      </c>
      <c r="WIX22" s="73" t="str">
        <f t="shared" si="246"/>
        <v/>
      </c>
      <c r="WIY22" s="73" t="str">
        <f t="shared" si="246"/>
        <v/>
      </c>
      <c r="WIZ22" s="73" t="str">
        <f t="shared" si="246"/>
        <v/>
      </c>
      <c r="WJA22" s="73" t="str">
        <f t="shared" si="246"/>
        <v/>
      </c>
      <c r="WJB22" s="73" t="str">
        <f t="shared" si="246"/>
        <v/>
      </c>
      <c r="WJC22" s="73" t="str">
        <f t="shared" si="246"/>
        <v/>
      </c>
      <c r="WJD22" s="73" t="str">
        <f t="shared" si="246"/>
        <v/>
      </c>
      <c r="WJE22" s="73" t="str">
        <f t="shared" si="246"/>
        <v/>
      </c>
      <c r="WJF22" s="73" t="str">
        <f t="shared" ref="WJF22:WLQ22" si="247">IFERROR(AVERAGE(WJF6:WJF21),"")</f>
        <v/>
      </c>
      <c r="WJG22" s="73" t="str">
        <f t="shared" si="247"/>
        <v/>
      </c>
      <c r="WJH22" s="73" t="str">
        <f t="shared" si="247"/>
        <v/>
      </c>
      <c r="WJI22" s="73" t="str">
        <f t="shared" si="247"/>
        <v/>
      </c>
      <c r="WJJ22" s="73" t="str">
        <f t="shared" si="247"/>
        <v/>
      </c>
      <c r="WJK22" s="73" t="str">
        <f t="shared" si="247"/>
        <v/>
      </c>
      <c r="WJL22" s="73" t="str">
        <f t="shared" si="247"/>
        <v/>
      </c>
      <c r="WJM22" s="73" t="str">
        <f t="shared" si="247"/>
        <v/>
      </c>
      <c r="WJN22" s="73" t="str">
        <f t="shared" si="247"/>
        <v/>
      </c>
      <c r="WJO22" s="73" t="str">
        <f t="shared" si="247"/>
        <v/>
      </c>
      <c r="WJP22" s="73" t="str">
        <f t="shared" si="247"/>
        <v/>
      </c>
      <c r="WJQ22" s="73" t="str">
        <f t="shared" si="247"/>
        <v/>
      </c>
      <c r="WJR22" s="73" t="str">
        <f t="shared" si="247"/>
        <v/>
      </c>
      <c r="WJS22" s="73" t="str">
        <f t="shared" si="247"/>
        <v/>
      </c>
      <c r="WJT22" s="73" t="str">
        <f t="shared" si="247"/>
        <v/>
      </c>
      <c r="WJU22" s="73" t="str">
        <f t="shared" si="247"/>
        <v/>
      </c>
      <c r="WJV22" s="73" t="str">
        <f t="shared" si="247"/>
        <v/>
      </c>
      <c r="WJW22" s="73" t="str">
        <f t="shared" si="247"/>
        <v/>
      </c>
      <c r="WJX22" s="73" t="str">
        <f t="shared" si="247"/>
        <v/>
      </c>
      <c r="WJY22" s="73" t="str">
        <f t="shared" si="247"/>
        <v/>
      </c>
      <c r="WJZ22" s="73" t="str">
        <f t="shared" si="247"/>
        <v/>
      </c>
      <c r="WKA22" s="73" t="str">
        <f t="shared" si="247"/>
        <v/>
      </c>
      <c r="WKB22" s="73" t="str">
        <f t="shared" si="247"/>
        <v/>
      </c>
      <c r="WKC22" s="73" t="str">
        <f t="shared" si="247"/>
        <v/>
      </c>
      <c r="WKD22" s="73" t="str">
        <f t="shared" si="247"/>
        <v/>
      </c>
      <c r="WKE22" s="73" t="str">
        <f t="shared" si="247"/>
        <v/>
      </c>
      <c r="WKF22" s="73" t="str">
        <f t="shared" si="247"/>
        <v/>
      </c>
      <c r="WKG22" s="73" t="str">
        <f t="shared" si="247"/>
        <v/>
      </c>
      <c r="WKH22" s="73" t="str">
        <f t="shared" si="247"/>
        <v/>
      </c>
      <c r="WKI22" s="73" t="str">
        <f t="shared" si="247"/>
        <v/>
      </c>
      <c r="WKJ22" s="73" t="str">
        <f t="shared" si="247"/>
        <v/>
      </c>
      <c r="WKK22" s="73" t="str">
        <f t="shared" si="247"/>
        <v/>
      </c>
      <c r="WKL22" s="73" t="str">
        <f t="shared" si="247"/>
        <v/>
      </c>
      <c r="WKM22" s="73" t="str">
        <f t="shared" si="247"/>
        <v/>
      </c>
      <c r="WKN22" s="73" t="str">
        <f t="shared" si="247"/>
        <v/>
      </c>
      <c r="WKO22" s="73" t="str">
        <f t="shared" si="247"/>
        <v/>
      </c>
      <c r="WKP22" s="73" t="str">
        <f t="shared" si="247"/>
        <v/>
      </c>
      <c r="WKQ22" s="73" t="str">
        <f t="shared" si="247"/>
        <v/>
      </c>
      <c r="WKR22" s="73" t="str">
        <f t="shared" si="247"/>
        <v/>
      </c>
      <c r="WKS22" s="73" t="str">
        <f t="shared" si="247"/>
        <v/>
      </c>
      <c r="WKT22" s="73" t="str">
        <f t="shared" si="247"/>
        <v/>
      </c>
      <c r="WKU22" s="73" t="str">
        <f t="shared" si="247"/>
        <v/>
      </c>
      <c r="WKV22" s="73" t="str">
        <f t="shared" si="247"/>
        <v/>
      </c>
      <c r="WKW22" s="73" t="str">
        <f t="shared" si="247"/>
        <v/>
      </c>
      <c r="WKX22" s="73" t="str">
        <f t="shared" si="247"/>
        <v/>
      </c>
      <c r="WKY22" s="73" t="str">
        <f t="shared" si="247"/>
        <v/>
      </c>
      <c r="WKZ22" s="73" t="str">
        <f t="shared" si="247"/>
        <v/>
      </c>
      <c r="WLA22" s="73" t="str">
        <f t="shared" si="247"/>
        <v/>
      </c>
      <c r="WLB22" s="73" t="str">
        <f t="shared" si="247"/>
        <v/>
      </c>
      <c r="WLC22" s="73" t="str">
        <f t="shared" si="247"/>
        <v/>
      </c>
      <c r="WLD22" s="73" t="str">
        <f t="shared" si="247"/>
        <v/>
      </c>
      <c r="WLE22" s="73" t="str">
        <f t="shared" si="247"/>
        <v/>
      </c>
      <c r="WLF22" s="73" t="str">
        <f t="shared" si="247"/>
        <v/>
      </c>
      <c r="WLG22" s="73" t="str">
        <f t="shared" si="247"/>
        <v/>
      </c>
      <c r="WLH22" s="73" t="str">
        <f t="shared" si="247"/>
        <v/>
      </c>
      <c r="WLI22" s="73" t="str">
        <f t="shared" si="247"/>
        <v/>
      </c>
      <c r="WLJ22" s="73" t="str">
        <f t="shared" si="247"/>
        <v/>
      </c>
      <c r="WLK22" s="73" t="str">
        <f t="shared" si="247"/>
        <v/>
      </c>
      <c r="WLL22" s="73" t="str">
        <f t="shared" si="247"/>
        <v/>
      </c>
      <c r="WLM22" s="73" t="str">
        <f t="shared" si="247"/>
        <v/>
      </c>
      <c r="WLN22" s="73" t="str">
        <f t="shared" si="247"/>
        <v/>
      </c>
      <c r="WLO22" s="73" t="str">
        <f t="shared" si="247"/>
        <v/>
      </c>
      <c r="WLP22" s="73" t="str">
        <f t="shared" si="247"/>
        <v/>
      </c>
      <c r="WLQ22" s="73" t="str">
        <f t="shared" si="247"/>
        <v/>
      </c>
      <c r="WLR22" s="73" t="str">
        <f t="shared" ref="WLR22:WOC22" si="248">IFERROR(AVERAGE(WLR6:WLR21),"")</f>
        <v/>
      </c>
      <c r="WLS22" s="73" t="str">
        <f t="shared" si="248"/>
        <v/>
      </c>
      <c r="WLT22" s="73" t="str">
        <f t="shared" si="248"/>
        <v/>
      </c>
      <c r="WLU22" s="73" t="str">
        <f t="shared" si="248"/>
        <v/>
      </c>
      <c r="WLV22" s="73" t="str">
        <f t="shared" si="248"/>
        <v/>
      </c>
      <c r="WLW22" s="73" t="str">
        <f t="shared" si="248"/>
        <v/>
      </c>
      <c r="WLX22" s="73" t="str">
        <f t="shared" si="248"/>
        <v/>
      </c>
      <c r="WLY22" s="73" t="str">
        <f t="shared" si="248"/>
        <v/>
      </c>
      <c r="WLZ22" s="73" t="str">
        <f t="shared" si="248"/>
        <v/>
      </c>
      <c r="WMA22" s="73" t="str">
        <f t="shared" si="248"/>
        <v/>
      </c>
      <c r="WMB22" s="73" t="str">
        <f t="shared" si="248"/>
        <v/>
      </c>
      <c r="WMC22" s="73" t="str">
        <f t="shared" si="248"/>
        <v/>
      </c>
      <c r="WMD22" s="73" t="str">
        <f t="shared" si="248"/>
        <v/>
      </c>
      <c r="WME22" s="73" t="str">
        <f t="shared" si="248"/>
        <v/>
      </c>
      <c r="WMF22" s="73" t="str">
        <f t="shared" si="248"/>
        <v/>
      </c>
      <c r="WMG22" s="73" t="str">
        <f t="shared" si="248"/>
        <v/>
      </c>
      <c r="WMH22" s="73" t="str">
        <f t="shared" si="248"/>
        <v/>
      </c>
      <c r="WMI22" s="73" t="str">
        <f t="shared" si="248"/>
        <v/>
      </c>
      <c r="WMJ22" s="73" t="str">
        <f t="shared" si="248"/>
        <v/>
      </c>
      <c r="WMK22" s="73" t="str">
        <f t="shared" si="248"/>
        <v/>
      </c>
      <c r="WML22" s="73" t="str">
        <f t="shared" si="248"/>
        <v/>
      </c>
      <c r="WMM22" s="73" t="str">
        <f t="shared" si="248"/>
        <v/>
      </c>
      <c r="WMN22" s="73" t="str">
        <f t="shared" si="248"/>
        <v/>
      </c>
      <c r="WMO22" s="73" t="str">
        <f t="shared" si="248"/>
        <v/>
      </c>
      <c r="WMP22" s="73" t="str">
        <f t="shared" si="248"/>
        <v/>
      </c>
      <c r="WMQ22" s="73" t="str">
        <f t="shared" si="248"/>
        <v/>
      </c>
      <c r="WMR22" s="73" t="str">
        <f t="shared" si="248"/>
        <v/>
      </c>
      <c r="WMS22" s="73" t="str">
        <f t="shared" si="248"/>
        <v/>
      </c>
      <c r="WMT22" s="73" t="str">
        <f t="shared" si="248"/>
        <v/>
      </c>
      <c r="WMU22" s="73" t="str">
        <f t="shared" si="248"/>
        <v/>
      </c>
      <c r="WMV22" s="73" t="str">
        <f t="shared" si="248"/>
        <v/>
      </c>
      <c r="WMW22" s="73" t="str">
        <f t="shared" si="248"/>
        <v/>
      </c>
      <c r="WMX22" s="73" t="str">
        <f t="shared" si="248"/>
        <v/>
      </c>
      <c r="WMY22" s="73" t="str">
        <f t="shared" si="248"/>
        <v/>
      </c>
      <c r="WMZ22" s="73" t="str">
        <f t="shared" si="248"/>
        <v/>
      </c>
      <c r="WNA22" s="73" t="str">
        <f t="shared" si="248"/>
        <v/>
      </c>
      <c r="WNB22" s="73" t="str">
        <f t="shared" si="248"/>
        <v/>
      </c>
      <c r="WNC22" s="73" t="str">
        <f t="shared" si="248"/>
        <v/>
      </c>
      <c r="WND22" s="73" t="str">
        <f t="shared" si="248"/>
        <v/>
      </c>
      <c r="WNE22" s="73" t="str">
        <f t="shared" si="248"/>
        <v/>
      </c>
      <c r="WNF22" s="73" t="str">
        <f t="shared" si="248"/>
        <v/>
      </c>
      <c r="WNG22" s="73" t="str">
        <f t="shared" si="248"/>
        <v/>
      </c>
      <c r="WNH22" s="73" t="str">
        <f t="shared" si="248"/>
        <v/>
      </c>
      <c r="WNI22" s="73" t="str">
        <f t="shared" si="248"/>
        <v/>
      </c>
      <c r="WNJ22" s="73" t="str">
        <f t="shared" si="248"/>
        <v/>
      </c>
      <c r="WNK22" s="73" t="str">
        <f t="shared" si="248"/>
        <v/>
      </c>
      <c r="WNL22" s="73" t="str">
        <f t="shared" si="248"/>
        <v/>
      </c>
      <c r="WNM22" s="73" t="str">
        <f t="shared" si="248"/>
        <v/>
      </c>
      <c r="WNN22" s="73" t="str">
        <f t="shared" si="248"/>
        <v/>
      </c>
      <c r="WNO22" s="73" t="str">
        <f t="shared" si="248"/>
        <v/>
      </c>
      <c r="WNP22" s="73" t="str">
        <f t="shared" si="248"/>
        <v/>
      </c>
      <c r="WNQ22" s="73" t="str">
        <f t="shared" si="248"/>
        <v/>
      </c>
      <c r="WNR22" s="73" t="str">
        <f t="shared" si="248"/>
        <v/>
      </c>
      <c r="WNS22" s="73" t="str">
        <f t="shared" si="248"/>
        <v/>
      </c>
      <c r="WNT22" s="73" t="str">
        <f t="shared" si="248"/>
        <v/>
      </c>
      <c r="WNU22" s="73" t="str">
        <f t="shared" si="248"/>
        <v/>
      </c>
      <c r="WNV22" s="73" t="str">
        <f t="shared" si="248"/>
        <v/>
      </c>
      <c r="WNW22" s="73" t="str">
        <f t="shared" si="248"/>
        <v/>
      </c>
      <c r="WNX22" s="73" t="str">
        <f t="shared" si="248"/>
        <v/>
      </c>
      <c r="WNY22" s="73" t="str">
        <f t="shared" si="248"/>
        <v/>
      </c>
      <c r="WNZ22" s="73" t="str">
        <f t="shared" si="248"/>
        <v/>
      </c>
      <c r="WOA22" s="73" t="str">
        <f t="shared" si="248"/>
        <v/>
      </c>
      <c r="WOB22" s="73" t="str">
        <f t="shared" si="248"/>
        <v/>
      </c>
      <c r="WOC22" s="73" t="str">
        <f t="shared" si="248"/>
        <v/>
      </c>
      <c r="WOD22" s="73" t="str">
        <f t="shared" ref="WOD22:WQO22" si="249">IFERROR(AVERAGE(WOD6:WOD21),"")</f>
        <v/>
      </c>
      <c r="WOE22" s="73" t="str">
        <f t="shared" si="249"/>
        <v/>
      </c>
      <c r="WOF22" s="73" t="str">
        <f t="shared" si="249"/>
        <v/>
      </c>
      <c r="WOG22" s="73" t="str">
        <f t="shared" si="249"/>
        <v/>
      </c>
      <c r="WOH22" s="73" t="str">
        <f t="shared" si="249"/>
        <v/>
      </c>
      <c r="WOI22" s="73" t="str">
        <f t="shared" si="249"/>
        <v/>
      </c>
      <c r="WOJ22" s="73" t="str">
        <f t="shared" si="249"/>
        <v/>
      </c>
      <c r="WOK22" s="73" t="str">
        <f t="shared" si="249"/>
        <v/>
      </c>
      <c r="WOL22" s="73" t="str">
        <f t="shared" si="249"/>
        <v/>
      </c>
      <c r="WOM22" s="73" t="str">
        <f t="shared" si="249"/>
        <v/>
      </c>
      <c r="WON22" s="73" t="str">
        <f t="shared" si="249"/>
        <v/>
      </c>
      <c r="WOO22" s="73" t="str">
        <f t="shared" si="249"/>
        <v/>
      </c>
      <c r="WOP22" s="73" t="str">
        <f t="shared" si="249"/>
        <v/>
      </c>
      <c r="WOQ22" s="73" t="str">
        <f t="shared" si="249"/>
        <v/>
      </c>
      <c r="WOR22" s="73" t="str">
        <f t="shared" si="249"/>
        <v/>
      </c>
      <c r="WOS22" s="73" t="str">
        <f t="shared" si="249"/>
        <v/>
      </c>
      <c r="WOT22" s="73" t="str">
        <f t="shared" si="249"/>
        <v/>
      </c>
      <c r="WOU22" s="73" t="str">
        <f t="shared" si="249"/>
        <v/>
      </c>
      <c r="WOV22" s="73" t="str">
        <f t="shared" si="249"/>
        <v/>
      </c>
      <c r="WOW22" s="73" t="str">
        <f t="shared" si="249"/>
        <v/>
      </c>
      <c r="WOX22" s="73" t="str">
        <f t="shared" si="249"/>
        <v/>
      </c>
      <c r="WOY22" s="73" t="str">
        <f t="shared" si="249"/>
        <v/>
      </c>
      <c r="WOZ22" s="73" t="str">
        <f t="shared" si="249"/>
        <v/>
      </c>
      <c r="WPA22" s="73" t="str">
        <f t="shared" si="249"/>
        <v/>
      </c>
      <c r="WPB22" s="73" t="str">
        <f t="shared" si="249"/>
        <v/>
      </c>
      <c r="WPC22" s="73" t="str">
        <f t="shared" si="249"/>
        <v/>
      </c>
      <c r="WPD22" s="73" t="str">
        <f t="shared" si="249"/>
        <v/>
      </c>
      <c r="WPE22" s="73" t="str">
        <f t="shared" si="249"/>
        <v/>
      </c>
      <c r="WPF22" s="73" t="str">
        <f t="shared" si="249"/>
        <v/>
      </c>
      <c r="WPG22" s="73" t="str">
        <f t="shared" si="249"/>
        <v/>
      </c>
      <c r="WPH22" s="73" t="str">
        <f t="shared" si="249"/>
        <v/>
      </c>
      <c r="WPI22" s="73" t="str">
        <f t="shared" si="249"/>
        <v/>
      </c>
      <c r="WPJ22" s="73" t="str">
        <f t="shared" si="249"/>
        <v/>
      </c>
      <c r="WPK22" s="73" t="str">
        <f t="shared" si="249"/>
        <v/>
      </c>
      <c r="WPL22" s="73" t="str">
        <f t="shared" si="249"/>
        <v/>
      </c>
      <c r="WPM22" s="73" t="str">
        <f t="shared" si="249"/>
        <v/>
      </c>
      <c r="WPN22" s="73" t="str">
        <f t="shared" si="249"/>
        <v/>
      </c>
      <c r="WPO22" s="73" t="str">
        <f t="shared" si="249"/>
        <v/>
      </c>
      <c r="WPP22" s="73" t="str">
        <f t="shared" si="249"/>
        <v/>
      </c>
      <c r="WPQ22" s="73" t="str">
        <f t="shared" si="249"/>
        <v/>
      </c>
      <c r="WPR22" s="73" t="str">
        <f t="shared" si="249"/>
        <v/>
      </c>
      <c r="WPS22" s="73" t="str">
        <f t="shared" si="249"/>
        <v/>
      </c>
      <c r="WPT22" s="73" t="str">
        <f t="shared" si="249"/>
        <v/>
      </c>
      <c r="WPU22" s="73" t="str">
        <f t="shared" si="249"/>
        <v/>
      </c>
      <c r="WPV22" s="73" t="str">
        <f t="shared" si="249"/>
        <v/>
      </c>
      <c r="WPW22" s="73" t="str">
        <f t="shared" si="249"/>
        <v/>
      </c>
      <c r="WPX22" s="73" t="str">
        <f t="shared" si="249"/>
        <v/>
      </c>
      <c r="WPY22" s="73" t="str">
        <f t="shared" si="249"/>
        <v/>
      </c>
      <c r="WPZ22" s="73" t="str">
        <f t="shared" si="249"/>
        <v/>
      </c>
      <c r="WQA22" s="73" t="str">
        <f t="shared" si="249"/>
        <v/>
      </c>
      <c r="WQB22" s="73" t="str">
        <f t="shared" si="249"/>
        <v/>
      </c>
      <c r="WQC22" s="73" t="str">
        <f t="shared" si="249"/>
        <v/>
      </c>
      <c r="WQD22" s="73" t="str">
        <f t="shared" si="249"/>
        <v/>
      </c>
      <c r="WQE22" s="73" t="str">
        <f t="shared" si="249"/>
        <v/>
      </c>
      <c r="WQF22" s="73" t="str">
        <f t="shared" si="249"/>
        <v/>
      </c>
      <c r="WQG22" s="73" t="str">
        <f t="shared" si="249"/>
        <v/>
      </c>
      <c r="WQH22" s="73" t="str">
        <f t="shared" si="249"/>
        <v/>
      </c>
      <c r="WQI22" s="73" t="str">
        <f t="shared" si="249"/>
        <v/>
      </c>
      <c r="WQJ22" s="73" t="str">
        <f t="shared" si="249"/>
        <v/>
      </c>
      <c r="WQK22" s="73" t="str">
        <f t="shared" si="249"/>
        <v/>
      </c>
      <c r="WQL22" s="73" t="str">
        <f t="shared" si="249"/>
        <v/>
      </c>
      <c r="WQM22" s="73" t="str">
        <f t="shared" si="249"/>
        <v/>
      </c>
      <c r="WQN22" s="73" t="str">
        <f t="shared" si="249"/>
        <v/>
      </c>
      <c r="WQO22" s="73" t="str">
        <f t="shared" si="249"/>
        <v/>
      </c>
      <c r="WQP22" s="73" t="str">
        <f t="shared" ref="WQP22:WTA22" si="250">IFERROR(AVERAGE(WQP6:WQP21),"")</f>
        <v/>
      </c>
      <c r="WQQ22" s="73" t="str">
        <f t="shared" si="250"/>
        <v/>
      </c>
      <c r="WQR22" s="73" t="str">
        <f t="shared" si="250"/>
        <v/>
      </c>
      <c r="WQS22" s="73" t="str">
        <f t="shared" si="250"/>
        <v/>
      </c>
      <c r="WQT22" s="73" t="str">
        <f t="shared" si="250"/>
        <v/>
      </c>
      <c r="WQU22" s="73" t="str">
        <f t="shared" si="250"/>
        <v/>
      </c>
      <c r="WQV22" s="73" t="str">
        <f t="shared" si="250"/>
        <v/>
      </c>
      <c r="WQW22" s="73" t="str">
        <f t="shared" si="250"/>
        <v/>
      </c>
      <c r="WQX22" s="73" t="str">
        <f t="shared" si="250"/>
        <v/>
      </c>
      <c r="WQY22" s="73" t="str">
        <f t="shared" si="250"/>
        <v/>
      </c>
      <c r="WQZ22" s="73" t="str">
        <f t="shared" si="250"/>
        <v/>
      </c>
      <c r="WRA22" s="73" t="str">
        <f t="shared" si="250"/>
        <v/>
      </c>
      <c r="WRB22" s="73" t="str">
        <f t="shared" si="250"/>
        <v/>
      </c>
      <c r="WRC22" s="73" t="str">
        <f t="shared" si="250"/>
        <v/>
      </c>
      <c r="WRD22" s="73" t="str">
        <f t="shared" si="250"/>
        <v/>
      </c>
      <c r="WRE22" s="73" t="str">
        <f t="shared" si="250"/>
        <v/>
      </c>
      <c r="WRF22" s="73" t="str">
        <f t="shared" si="250"/>
        <v/>
      </c>
      <c r="WRG22" s="73" t="str">
        <f t="shared" si="250"/>
        <v/>
      </c>
      <c r="WRH22" s="73" t="str">
        <f t="shared" si="250"/>
        <v/>
      </c>
      <c r="WRI22" s="73" t="str">
        <f t="shared" si="250"/>
        <v/>
      </c>
      <c r="WRJ22" s="73" t="str">
        <f t="shared" si="250"/>
        <v/>
      </c>
      <c r="WRK22" s="73" t="str">
        <f t="shared" si="250"/>
        <v/>
      </c>
      <c r="WRL22" s="73" t="str">
        <f t="shared" si="250"/>
        <v/>
      </c>
      <c r="WRM22" s="73" t="str">
        <f t="shared" si="250"/>
        <v/>
      </c>
      <c r="WRN22" s="73" t="str">
        <f t="shared" si="250"/>
        <v/>
      </c>
      <c r="WRO22" s="73" t="str">
        <f t="shared" si="250"/>
        <v/>
      </c>
      <c r="WRP22" s="73" t="str">
        <f t="shared" si="250"/>
        <v/>
      </c>
      <c r="WRQ22" s="73" t="str">
        <f t="shared" si="250"/>
        <v/>
      </c>
      <c r="WRR22" s="73" t="str">
        <f t="shared" si="250"/>
        <v/>
      </c>
      <c r="WRS22" s="73" t="str">
        <f t="shared" si="250"/>
        <v/>
      </c>
      <c r="WRT22" s="73" t="str">
        <f t="shared" si="250"/>
        <v/>
      </c>
      <c r="WRU22" s="73" t="str">
        <f t="shared" si="250"/>
        <v/>
      </c>
      <c r="WRV22" s="73" t="str">
        <f t="shared" si="250"/>
        <v/>
      </c>
      <c r="WRW22" s="73" t="str">
        <f t="shared" si="250"/>
        <v/>
      </c>
      <c r="WRX22" s="73" t="str">
        <f t="shared" si="250"/>
        <v/>
      </c>
      <c r="WRY22" s="73" t="str">
        <f t="shared" si="250"/>
        <v/>
      </c>
      <c r="WRZ22" s="73" t="str">
        <f t="shared" si="250"/>
        <v/>
      </c>
      <c r="WSA22" s="73" t="str">
        <f t="shared" si="250"/>
        <v/>
      </c>
      <c r="WSB22" s="73" t="str">
        <f t="shared" si="250"/>
        <v/>
      </c>
      <c r="WSC22" s="73" t="str">
        <f t="shared" si="250"/>
        <v/>
      </c>
      <c r="WSD22" s="73" t="str">
        <f t="shared" si="250"/>
        <v/>
      </c>
      <c r="WSE22" s="73" t="str">
        <f t="shared" si="250"/>
        <v/>
      </c>
      <c r="WSF22" s="73" t="str">
        <f t="shared" si="250"/>
        <v/>
      </c>
      <c r="WSG22" s="73" t="str">
        <f t="shared" si="250"/>
        <v/>
      </c>
      <c r="WSH22" s="73" t="str">
        <f t="shared" si="250"/>
        <v/>
      </c>
      <c r="WSI22" s="73" t="str">
        <f t="shared" si="250"/>
        <v/>
      </c>
      <c r="WSJ22" s="73" t="str">
        <f t="shared" si="250"/>
        <v/>
      </c>
      <c r="WSK22" s="73" t="str">
        <f t="shared" si="250"/>
        <v/>
      </c>
      <c r="WSL22" s="73" t="str">
        <f t="shared" si="250"/>
        <v/>
      </c>
      <c r="WSM22" s="73" t="str">
        <f t="shared" si="250"/>
        <v/>
      </c>
      <c r="WSN22" s="73" t="str">
        <f t="shared" si="250"/>
        <v/>
      </c>
      <c r="WSO22" s="73" t="str">
        <f t="shared" si="250"/>
        <v/>
      </c>
      <c r="WSP22" s="73" t="str">
        <f t="shared" si="250"/>
        <v/>
      </c>
      <c r="WSQ22" s="73" t="str">
        <f t="shared" si="250"/>
        <v/>
      </c>
      <c r="WSR22" s="73" t="str">
        <f t="shared" si="250"/>
        <v/>
      </c>
      <c r="WSS22" s="73" t="str">
        <f t="shared" si="250"/>
        <v/>
      </c>
      <c r="WST22" s="73" t="str">
        <f t="shared" si="250"/>
        <v/>
      </c>
      <c r="WSU22" s="73" t="str">
        <f t="shared" si="250"/>
        <v/>
      </c>
      <c r="WSV22" s="73" t="str">
        <f t="shared" si="250"/>
        <v/>
      </c>
      <c r="WSW22" s="73" t="str">
        <f t="shared" si="250"/>
        <v/>
      </c>
      <c r="WSX22" s="73" t="str">
        <f t="shared" si="250"/>
        <v/>
      </c>
      <c r="WSY22" s="73" t="str">
        <f t="shared" si="250"/>
        <v/>
      </c>
      <c r="WSZ22" s="73" t="str">
        <f t="shared" si="250"/>
        <v/>
      </c>
      <c r="WTA22" s="73" t="str">
        <f t="shared" si="250"/>
        <v/>
      </c>
      <c r="WTB22" s="73" t="str">
        <f t="shared" ref="WTB22:WVM22" si="251">IFERROR(AVERAGE(WTB6:WTB21),"")</f>
        <v/>
      </c>
      <c r="WTC22" s="73" t="str">
        <f t="shared" si="251"/>
        <v/>
      </c>
      <c r="WTD22" s="73" t="str">
        <f t="shared" si="251"/>
        <v/>
      </c>
      <c r="WTE22" s="73" t="str">
        <f t="shared" si="251"/>
        <v/>
      </c>
      <c r="WTF22" s="73" t="str">
        <f t="shared" si="251"/>
        <v/>
      </c>
      <c r="WTG22" s="73" t="str">
        <f t="shared" si="251"/>
        <v/>
      </c>
      <c r="WTH22" s="73" t="str">
        <f t="shared" si="251"/>
        <v/>
      </c>
      <c r="WTI22" s="73" t="str">
        <f t="shared" si="251"/>
        <v/>
      </c>
      <c r="WTJ22" s="73" t="str">
        <f t="shared" si="251"/>
        <v/>
      </c>
      <c r="WTK22" s="73" t="str">
        <f t="shared" si="251"/>
        <v/>
      </c>
      <c r="WTL22" s="73" t="str">
        <f t="shared" si="251"/>
        <v/>
      </c>
      <c r="WTM22" s="73" t="str">
        <f t="shared" si="251"/>
        <v/>
      </c>
      <c r="WTN22" s="73" t="str">
        <f t="shared" si="251"/>
        <v/>
      </c>
      <c r="WTO22" s="73" t="str">
        <f t="shared" si="251"/>
        <v/>
      </c>
      <c r="WTP22" s="73" t="str">
        <f t="shared" si="251"/>
        <v/>
      </c>
      <c r="WTQ22" s="73" t="str">
        <f t="shared" si="251"/>
        <v/>
      </c>
      <c r="WTR22" s="73" t="str">
        <f t="shared" si="251"/>
        <v/>
      </c>
      <c r="WTS22" s="73" t="str">
        <f t="shared" si="251"/>
        <v/>
      </c>
      <c r="WTT22" s="73" t="str">
        <f t="shared" si="251"/>
        <v/>
      </c>
      <c r="WTU22" s="73" t="str">
        <f t="shared" si="251"/>
        <v/>
      </c>
      <c r="WTV22" s="73" t="str">
        <f t="shared" si="251"/>
        <v/>
      </c>
      <c r="WTW22" s="73" t="str">
        <f t="shared" si="251"/>
        <v/>
      </c>
      <c r="WTX22" s="73" t="str">
        <f t="shared" si="251"/>
        <v/>
      </c>
      <c r="WTY22" s="73" t="str">
        <f t="shared" si="251"/>
        <v/>
      </c>
      <c r="WTZ22" s="73" t="str">
        <f t="shared" si="251"/>
        <v/>
      </c>
      <c r="WUA22" s="73" t="str">
        <f t="shared" si="251"/>
        <v/>
      </c>
      <c r="WUB22" s="73" t="str">
        <f t="shared" si="251"/>
        <v/>
      </c>
      <c r="WUC22" s="73" t="str">
        <f t="shared" si="251"/>
        <v/>
      </c>
      <c r="WUD22" s="73" t="str">
        <f t="shared" si="251"/>
        <v/>
      </c>
      <c r="WUE22" s="73" t="str">
        <f t="shared" si="251"/>
        <v/>
      </c>
      <c r="WUF22" s="73" t="str">
        <f t="shared" si="251"/>
        <v/>
      </c>
      <c r="WUG22" s="73" t="str">
        <f t="shared" si="251"/>
        <v/>
      </c>
      <c r="WUH22" s="73" t="str">
        <f t="shared" si="251"/>
        <v/>
      </c>
      <c r="WUI22" s="73" t="str">
        <f t="shared" si="251"/>
        <v/>
      </c>
      <c r="WUJ22" s="73" t="str">
        <f t="shared" si="251"/>
        <v/>
      </c>
      <c r="WUK22" s="73" t="str">
        <f t="shared" si="251"/>
        <v/>
      </c>
      <c r="WUL22" s="73" t="str">
        <f t="shared" si="251"/>
        <v/>
      </c>
      <c r="WUM22" s="73" t="str">
        <f t="shared" si="251"/>
        <v/>
      </c>
      <c r="WUN22" s="73" t="str">
        <f t="shared" si="251"/>
        <v/>
      </c>
      <c r="WUO22" s="73" t="str">
        <f t="shared" si="251"/>
        <v/>
      </c>
      <c r="WUP22" s="73" t="str">
        <f t="shared" si="251"/>
        <v/>
      </c>
      <c r="WUQ22" s="73" t="str">
        <f t="shared" si="251"/>
        <v/>
      </c>
      <c r="WUR22" s="73" t="str">
        <f t="shared" si="251"/>
        <v/>
      </c>
      <c r="WUS22" s="73" t="str">
        <f t="shared" si="251"/>
        <v/>
      </c>
      <c r="WUT22" s="73" t="str">
        <f t="shared" si="251"/>
        <v/>
      </c>
      <c r="WUU22" s="73" t="str">
        <f t="shared" si="251"/>
        <v/>
      </c>
      <c r="WUV22" s="73" t="str">
        <f t="shared" si="251"/>
        <v/>
      </c>
      <c r="WUW22" s="73" t="str">
        <f t="shared" si="251"/>
        <v/>
      </c>
      <c r="WUX22" s="73" t="str">
        <f t="shared" si="251"/>
        <v/>
      </c>
      <c r="WUY22" s="73" t="str">
        <f t="shared" si="251"/>
        <v/>
      </c>
      <c r="WUZ22" s="73" t="str">
        <f t="shared" si="251"/>
        <v/>
      </c>
      <c r="WVA22" s="73" t="str">
        <f t="shared" si="251"/>
        <v/>
      </c>
      <c r="WVB22" s="73" t="str">
        <f t="shared" si="251"/>
        <v/>
      </c>
      <c r="WVC22" s="73" t="str">
        <f t="shared" si="251"/>
        <v/>
      </c>
      <c r="WVD22" s="73" t="str">
        <f t="shared" si="251"/>
        <v/>
      </c>
      <c r="WVE22" s="73" t="str">
        <f t="shared" si="251"/>
        <v/>
      </c>
      <c r="WVF22" s="73" t="str">
        <f t="shared" si="251"/>
        <v/>
      </c>
      <c r="WVG22" s="73" t="str">
        <f t="shared" si="251"/>
        <v/>
      </c>
      <c r="WVH22" s="73" t="str">
        <f t="shared" si="251"/>
        <v/>
      </c>
      <c r="WVI22" s="73" t="str">
        <f t="shared" si="251"/>
        <v/>
      </c>
      <c r="WVJ22" s="73" t="str">
        <f t="shared" si="251"/>
        <v/>
      </c>
      <c r="WVK22" s="73" t="str">
        <f t="shared" si="251"/>
        <v/>
      </c>
      <c r="WVL22" s="73" t="str">
        <f t="shared" si="251"/>
        <v/>
      </c>
      <c r="WVM22" s="73" t="str">
        <f t="shared" si="251"/>
        <v/>
      </c>
      <c r="WVN22" s="73" t="str">
        <f t="shared" ref="WVN22:WXY22" si="252">IFERROR(AVERAGE(WVN6:WVN21),"")</f>
        <v/>
      </c>
      <c r="WVO22" s="73" t="str">
        <f t="shared" si="252"/>
        <v/>
      </c>
      <c r="WVP22" s="73" t="str">
        <f t="shared" si="252"/>
        <v/>
      </c>
      <c r="WVQ22" s="73" t="str">
        <f t="shared" si="252"/>
        <v/>
      </c>
      <c r="WVR22" s="73" t="str">
        <f t="shared" si="252"/>
        <v/>
      </c>
      <c r="WVS22" s="73" t="str">
        <f t="shared" si="252"/>
        <v/>
      </c>
      <c r="WVT22" s="73" t="str">
        <f t="shared" si="252"/>
        <v/>
      </c>
      <c r="WVU22" s="73" t="str">
        <f t="shared" si="252"/>
        <v/>
      </c>
      <c r="WVV22" s="73" t="str">
        <f t="shared" si="252"/>
        <v/>
      </c>
      <c r="WVW22" s="73" t="str">
        <f t="shared" si="252"/>
        <v/>
      </c>
      <c r="WVX22" s="73" t="str">
        <f t="shared" si="252"/>
        <v/>
      </c>
      <c r="WVY22" s="73" t="str">
        <f t="shared" si="252"/>
        <v/>
      </c>
      <c r="WVZ22" s="73" t="str">
        <f t="shared" si="252"/>
        <v/>
      </c>
      <c r="WWA22" s="73" t="str">
        <f t="shared" si="252"/>
        <v/>
      </c>
      <c r="WWB22" s="73" t="str">
        <f t="shared" si="252"/>
        <v/>
      </c>
      <c r="WWC22" s="73" t="str">
        <f t="shared" si="252"/>
        <v/>
      </c>
      <c r="WWD22" s="73" t="str">
        <f t="shared" si="252"/>
        <v/>
      </c>
      <c r="WWE22" s="73" t="str">
        <f t="shared" si="252"/>
        <v/>
      </c>
      <c r="WWF22" s="73" t="str">
        <f t="shared" si="252"/>
        <v/>
      </c>
      <c r="WWG22" s="73" t="str">
        <f t="shared" si="252"/>
        <v/>
      </c>
      <c r="WWH22" s="73" t="str">
        <f t="shared" si="252"/>
        <v/>
      </c>
      <c r="WWI22" s="73" t="str">
        <f t="shared" si="252"/>
        <v/>
      </c>
      <c r="WWJ22" s="73" t="str">
        <f t="shared" si="252"/>
        <v/>
      </c>
      <c r="WWK22" s="73" t="str">
        <f t="shared" si="252"/>
        <v/>
      </c>
      <c r="WWL22" s="73" t="str">
        <f t="shared" si="252"/>
        <v/>
      </c>
      <c r="WWM22" s="73" t="str">
        <f t="shared" si="252"/>
        <v/>
      </c>
      <c r="WWN22" s="73" t="str">
        <f t="shared" si="252"/>
        <v/>
      </c>
      <c r="WWO22" s="73" t="str">
        <f t="shared" si="252"/>
        <v/>
      </c>
      <c r="WWP22" s="73" t="str">
        <f t="shared" si="252"/>
        <v/>
      </c>
      <c r="WWQ22" s="73" t="str">
        <f t="shared" si="252"/>
        <v/>
      </c>
      <c r="WWR22" s="73" t="str">
        <f t="shared" si="252"/>
        <v/>
      </c>
      <c r="WWS22" s="73" t="str">
        <f t="shared" si="252"/>
        <v/>
      </c>
      <c r="WWT22" s="73" t="str">
        <f t="shared" si="252"/>
        <v/>
      </c>
      <c r="WWU22" s="73" t="str">
        <f t="shared" si="252"/>
        <v/>
      </c>
      <c r="WWV22" s="73" t="str">
        <f t="shared" si="252"/>
        <v/>
      </c>
      <c r="WWW22" s="73" t="str">
        <f t="shared" si="252"/>
        <v/>
      </c>
      <c r="WWX22" s="73" t="str">
        <f t="shared" si="252"/>
        <v/>
      </c>
      <c r="WWY22" s="73" t="str">
        <f t="shared" si="252"/>
        <v/>
      </c>
      <c r="WWZ22" s="73" t="str">
        <f t="shared" si="252"/>
        <v/>
      </c>
      <c r="WXA22" s="73" t="str">
        <f t="shared" si="252"/>
        <v/>
      </c>
      <c r="WXB22" s="73" t="str">
        <f t="shared" si="252"/>
        <v/>
      </c>
      <c r="WXC22" s="73" t="str">
        <f t="shared" si="252"/>
        <v/>
      </c>
      <c r="WXD22" s="73" t="str">
        <f t="shared" si="252"/>
        <v/>
      </c>
      <c r="WXE22" s="73" t="str">
        <f t="shared" si="252"/>
        <v/>
      </c>
      <c r="WXF22" s="73" t="str">
        <f t="shared" si="252"/>
        <v/>
      </c>
      <c r="WXG22" s="73" t="str">
        <f t="shared" si="252"/>
        <v/>
      </c>
      <c r="WXH22" s="73" t="str">
        <f t="shared" si="252"/>
        <v/>
      </c>
      <c r="WXI22" s="73" t="str">
        <f t="shared" si="252"/>
        <v/>
      </c>
      <c r="WXJ22" s="73" t="str">
        <f t="shared" si="252"/>
        <v/>
      </c>
      <c r="WXK22" s="73" t="str">
        <f t="shared" si="252"/>
        <v/>
      </c>
      <c r="WXL22" s="73" t="str">
        <f t="shared" si="252"/>
        <v/>
      </c>
      <c r="WXM22" s="73" t="str">
        <f t="shared" si="252"/>
        <v/>
      </c>
      <c r="WXN22" s="73" t="str">
        <f t="shared" si="252"/>
        <v/>
      </c>
      <c r="WXO22" s="73" t="str">
        <f t="shared" si="252"/>
        <v/>
      </c>
      <c r="WXP22" s="73" t="str">
        <f t="shared" si="252"/>
        <v/>
      </c>
      <c r="WXQ22" s="73" t="str">
        <f t="shared" si="252"/>
        <v/>
      </c>
      <c r="WXR22" s="73" t="str">
        <f t="shared" si="252"/>
        <v/>
      </c>
      <c r="WXS22" s="73" t="str">
        <f t="shared" si="252"/>
        <v/>
      </c>
      <c r="WXT22" s="73" t="str">
        <f t="shared" si="252"/>
        <v/>
      </c>
      <c r="WXU22" s="73" t="str">
        <f t="shared" si="252"/>
        <v/>
      </c>
      <c r="WXV22" s="73" t="str">
        <f t="shared" si="252"/>
        <v/>
      </c>
      <c r="WXW22" s="73" t="str">
        <f t="shared" si="252"/>
        <v/>
      </c>
      <c r="WXX22" s="73" t="str">
        <f t="shared" si="252"/>
        <v/>
      </c>
      <c r="WXY22" s="73" t="str">
        <f t="shared" si="252"/>
        <v/>
      </c>
      <c r="WXZ22" s="73" t="str">
        <f t="shared" ref="WXZ22:XAK22" si="253">IFERROR(AVERAGE(WXZ6:WXZ21),"")</f>
        <v/>
      </c>
      <c r="WYA22" s="73" t="str">
        <f t="shared" si="253"/>
        <v/>
      </c>
      <c r="WYB22" s="73" t="str">
        <f t="shared" si="253"/>
        <v/>
      </c>
      <c r="WYC22" s="73" t="str">
        <f t="shared" si="253"/>
        <v/>
      </c>
      <c r="WYD22" s="73" t="str">
        <f t="shared" si="253"/>
        <v/>
      </c>
      <c r="WYE22" s="73" t="str">
        <f t="shared" si="253"/>
        <v/>
      </c>
      <c r="WYF22" s="73" t="str">
        <f t="shared" si="253"/>
        <v/>
      </c>
      <c r="WYG22" s="73" t="str">
        <f t="shared" si="253"/>
        <v/>
      </c>
      <c r="WYH22" s="73" t="str">
        <f t="shared" si="253"/>
        <v/>
      </c>
      <c r="WYI22" s="73" t="str">
        <f t="shared" si="253"/>
        <v/>
      </c>
      <c r="WYJ22" s="73" t="str">
        <f t="shared" si="253"/>
        <v/>
      </c>
      <c r="WYK22" s="73" t="str">
        <f t="shared" si="253"/>
        <v/>
      </c>
      <c r="WYL22" s="73" t="str">
        <f t="shared" si="253"/>
        <v/>
      </c>
      <c r="WYM22" s="73" t="str">
        <f t="shared" si="253"/>
        <v/>
      </c>
      <c r="WYN22" s="73" t="str">
        <f t="shared" si="253"/>
        <v/>
      </c>
      <c r="WYO22" s="73" t="str">
        <f t="shared" si="253"/>
        <v/>
      </c>
      <c r="WYP22" s="73" t="str">
        <f t="shared" si="253"/>
        <v/>
      </c>
      <c r="WYQ22" s="73" t="str">
        <f t="shared" si="253"/>
        <v/>
      </c>
      <c r="WYR22" s="73" t="str">
        <f t="shared" si="253"/>
        <v/>
      </c>
      <c r="WYS22" s="73" t="str">
        <f t="shared" si="253"/>
        <v/>
      </c>
      <c r="WYT22" s="73" t="str">
        <f t="shared" si="253"/>
        <v/>
      </c>
      <c r="WYU22" s="73" t="str">
        <f t="shared" si="253"/>
        <v/>
      </c>
      <c r="WYV22" s="73" t="str">
        <f t="shared" si="253"/>
        <v/>
      </c>
      <c r="WYW22" s="73" t="str">
        <f t="shared" si="253"/>
        <v/>
      </c>
      <c r="WYX22" s="73" t="str">
        <f t="shared" si="253"/>
        <v/>
      </c>
      <c r="WYY22" s="73" t="str">
        <f t="shared" si="253"/>
        <v/>
      </c>
      <c r="WYZ22" s="73" t="str">
        <f t="shared" si="253"/>
        <v/>
      </c>
      <c r="WZA22" s="73" t="str">
        <f t="shared" si="253"/>
        <v/>
      </c>
      <c r="WZB22" s="73" t="str">
        <f t="shared" si="253"/>
        <v/>
      </c>
      <c r="WZC22" s="73" t="str">
        <f t="shared" si="253"/>
        <v/>
      </c>
      <c r="WZD22" s="73" t="str">
        <f t="shared" si="253"/>
        <v/>
      </c>
      <c r="WZE22" s="73" t="str">
        <f t="shared" si="253"/>
        <v/>
      </c>
      <c r="WZF22" s="73" t="str">
        <f t="shared" si="253"/>
        <v/>
      </c>
      <c r="WZG22" s="73" t="str">
        <f t="shared" si="253"/>
        <v/>
      </c>
      <c r="WZH22" s="73" t="str">
        <f t="shared" si="253"/>
        <v/>
      </c>
      <c r="WZI22" s="73" t="str">
        <f t="shared" si="253"/>
        <v/>
      </c>
      <c r="WZJ22" s="73" t="str">
        <f t="shared" si="253"/>
        <v/>
      </c>
      <c r="WZK22" s="73" t="str">
        <f t="shared" si="253"/>
        <v/>
      </c>
      <c r="WZL22" s="73" t="str">
        <f t="shared" si="253"/>
        <v/>
      </c>
      <c r="WZM22" s="73" t="str">
        <f t="shared" si="253"/>
        <v/>
      </c>
      <c r="WZN22" s="73" t="str">
        <f t="shared" si="253"/>
        <v/>
      </c>
      <c r="WZO22" s="73" t="str">
        <f t="shared" si="253"/>
        <v/>
      </c>
      <c r="WZP22" s="73" t="str">
        <f t="shared" si="253"/>
        <v/>
      </c>
      <c r="WZQ22" s="73" t="str">
        <f t="shared" si="253"/>
        <v/>
      </c>
      <c r="WZR22" s="73" t="str">
        <f t="shared" si="253"/>
        <v/>
      </c>
      <c r="WZS22" s="73" t="str">
        <f t="shared" si="253"/>
        <v/>
      </c>
      <c r="WZT22" s="73" t="str">
        <f t="shared" si="253"/>
        <v/>
      </c>
      <c r="WZU22" s="73" t="str">
        <f t="shared" si="253"/>
        <v/>
      </c>
      <c r="WZV22" s="73" t="str">
        <f t="shared" si="253"/>
        <v/>
      </c>
      <c r="WZW22" s="73" t="str">
        <f t="shared" si="253"/>
        <v/>
      </c>
      <c r="WZX22" s="73" t="str">
        <f t="shared" si="253"/>
        <v/>
      </c>
      <c r="WZY22" s="73" t="str">
        <f t="shared" si="253"/>
        <v/>
      </c>
      <c r="WZZ22" s="73" t="str">
        <f t="shared" si="253"/>
        <v/>
      </c>
      <c r="XAA22" s="73" t="str">
        <f t="shared" si="253"/>
        <v/>
      </c>
      <c r="XAB22" s="73" t="str">
        <f t="shared" si="253"/>
        <v/>
      </c>
      <c r="XAC22" s="73" t="str">
        <f t="shared" si="253"/>
        <v/>
      </c>
      <c r="XAD22" s="73" t="str">
        <f t="shared" si="253"/>
        <v/>
      </c>
      <c r="XAE22" s="73" t="str">
        <f t="shared" si="253"/>
        <v/>
      </c>
      <c r="XAF22" s="73" t="str">
        <f t="shared" si="253"/>
        <v/>
      </c>
      <c r="XAG22" s="73" t="str">
        <f t="shared" si="253"/>
        <v/>
      </c>
      <c r="XAH22" s="73" t="str">
        <f t="shared" si="253"/>
        <v/>
      </c>
      <c r="XAI22" s="73" t="str">
        <f t="shared" si="253"/>
        <v/>
      </c>
      <c r="XAJ22" s="73" t="str">
        <f t="shared" si="253"/>
        <v/>
      </c>
      <c r="XAK22" s="73" t="str">
        <f t="shared" si="253"/>
        <v/>
      </c>
      <c r="XAL22" s="73" t="str">
        <f t="shared" ref="XAL22:XCW22" si="254">IFERROR(AVERAGE(XAL6:XAL21),"")</f>
        <v/>
      </c>
      <c r="XAM22" s="73" t="str">
        <f t="shared" si="254"/>
        <v/>
      </c>
      <c r="XAN22" s="73" t="str">
        <f t="shared" si="254"/>
        <v/>
      </c>
      <c r="XAO22" s="73" t="str">
        <f t="shared" si="254"/>
        <v/>
      </c>
      <c r="XAP22" s="73" t="str">
        <f t="shared" si="254"/>
        <v/>
      </c>
      <c r="XAQ22" s="73" t="str">
        <f t="shared" si="254"/>
        <v/>
      </c>
      <c r="XAR22" s="73" t="str">
        <f t="shared" si="254"/>
        <v/>
      </c>
      <c r="XAS22" s="73" t="str">
        <f t="shared" si="254"/>
        <v/>
      </c>
      <c r="XAT22" s="73" t="str">
        <f t="shared" si="254"/>
        <v/>
      </c>
      <c r="XAU22" s="73" t="str">
        <f t="shared" si="254"/>
        <v/>
      </c>
      <c r="XAV22" s="73" t="str">
        <f t="shared" si="254"/>
        <v/>
      </c>
      <c r="XAW22" s="73" t="str">
        <f t="shared" si="254"/>
        <v/>
      </c>
      <c r="XAX22" s="73" t="str">
        <f t="shared" si="254"/>
        <v/>
      </c>
      <c r="XAY22" s="73" t="str">
        <f t="shared" si="254"/>
        <v/>
      </c>
      <c r="XAZ22" s="73" t="str">
        <f t="shared" si="254"/>
        <v/>
      </c>
      <c r="XBA22" s="73" t="str">
        <f t="shared" si="254"/>
        <v/>
      </c>
      <c r="XBB22" s="73" t="str">
        <f t="shared" si="254"/>
        <v/>
      </c>
      <c r="XBC22" s="73" t="str">
        <f t="shared" si="254"/>
        <v/>
      </c>
      <c r="XBD22" s="73" t="str">
        <f t="shared" si="254"/>
        <v/>
      </c>
      <c r="XBE22" s="73" t="str">
        <f t="shared" si="254"/>
        <v/>
      </c>
      <c r="XBF22" s="73" t="str">
        <f t="shared" si="254"/>
        <v/>
      </c>
      <c r="XBG22" s="73" t="str">
        <f t="shared" si="254"/>
        <v/>
      </c>
      <c r="XBH22" s="73" t="str">
        <f t="shared" si="254"/>
        <v/>
      </c>
      <c r="XBI22" s="73" t="str">
        <f t="shared" si="254"/>
        <v/>
      </c>
      <c r="XBJ22" s="73" t="str">
        <f t="shared" si="254"/>
        <v/>
      </c>
      <c r="XBK22" s="73" t="str">
        <f t="shared" si="254"/>
        <v/>
      </c>
      <c r="XBL22" s="73" t="str">
        <f t="shared" si="254"/>
        <v/>
      </c>
      <c r="XBM22" s="73" t="str">
        <f t="shared" si="254"/>
        <v/>
      </c>
      <c r="XBN22" s="73" t="str">
        <f t="shared" si="254"/>
        <v/>
      </c>
      <c r="XBO22" s="73" t="str">
        <f t="shared" si="254"/>
        <v/>
      </c>
      <c r="XBP22" s="73" t="str">
        <f t="shared" si="254"/>
        <v/>
      </c>
      <c r="XBQ22" s="73" t="str">
        <f t="shared" si="254"/>
        <v/>
      </c>
      <c r="XBR22" s="73" t="str">
        <f t="shared" si="254"/>
        <v/>
      </c>
      <c r="XBS22" s="73" t="str">
        <f t="shared" si="254"/>
        <v/>
      </c>
      <c r="XBT22" s="73" t="str">
        <f t="shared" si="254"/>
        <v/>
      </c>
      <c r="XBU22" s="73" t="str">
        <f t="shared" si="254"/>
        <v/>
      </c>
      <c r="XBV22" s="73" t="str">
        <f t="shared" si="254"/>
        <v/>
      </c>
      <c r="XBW22" s="73" t="str">
        <f t="shared" si="254"/>
        <v/>
      </c>
      <c r="XBX22" s="73" t="str">
        <f t="shared" si="254"/>
        <v/>
      </c>
      <c r="XBY22" s="73" t="str">
        <f t="shared" si="254"/>
        <v/>
      </c>
      <c r="XBZ22" s="73" t="str">
        <f t="shared" si="254"/>
        <v/>
      </c>
      <c r="XCA22" s="73" t="str">
        <f t="shared" si="254"/>
        <v/>
      </c>
      <c r="XCB22" s="73" t="str">
        <f t="shared" si="254"/>
        <v/>
      </c>
      <c r="XCC22" s="73" t="str">
        <f t="shared" si="254"/>
        <v/>
      </c>
      <c r="XCD22" s="73" t="str">
        <f t="shared" si="254"/>
        <v/>
      </c>
      <c r="XCE22" s="73" t="str">
        <f t="shared" si="254"/>
        <v/>
      </c>
      <c r="XCF22" s="73" t="str">
        <f t="shared" si="254"/>
        <v/>
      </c>
      <c r="XCG22" s="73" t="str">
        <f t="shared" si="254"/>
        <v/>
      </c>
      <c r="XCH22" s="73" t="str">
        <f t="shared" si="254"/>
        <v/>
      </c>
      <c r="XCI22" s="73" t="str">
        <f t="shared" si="254"/>
        <v/>
      </c>
      <c r="XCJ22" s="73" t="str">
        <f t="shared" si="254"/>
        <v/>
      </c>
      <c r="XCK22" s="73" t="str">
        <f t="shared" si="254"/>
        <v/>
      </c>
      <c r="XCL22" s="73" t="str">
        <f t="shared" si="254"/>
        <v/>
      </c>
      <c r="XCM22" s="73" t="str">
        <f t="shared" si="254"/>
        <v/>
      </c>
      <c r="XCN22" s="73" t="str">
        <f t="shared" si="254"/>
        <v/>
      </c>
      <c r="XCO22" s="73" t="str">
        <f t="shared" si="254"/>
        <v/>
      </c>
      <c r="XCP22" s="73" t="str">
        <f t="shared" si="254"/>
        <v/>
      </c>
      <c r="XCQ22" s="73" t="str">
        <f t="shared" si="254"/>
        <v/>
      </c>
      <c r="XCR22" s="73" t="str">
        <f t="shared" si="254"/>
        <v/>
      </c>
      <c r="XCS22" s="73" t="str">
        <f t="shared" si="254"/>
        <v/>
      </c>
      <c r="XCT22" s="73" t="str">
        <f t="shared" si="254"/>
        <v/>
      </c>
      <c r="XCU22" s="73" t="str">
        <f t="shared" si="254"/>
        <v/>
      </c>
      <c r="XCV22" s="73" t="str">
        <f t="shared" si="254"/>
        <v/>
      </c>
      <c r="XCW22" s="73" t="str">
        <f t="shared" si="254"/>
        <v/>
      </c>
      <c r="XCX22" s="73" t="str">
        <f t="shared" ref="XCX22:XFD22" si="255">IFERROR(AVERAGE(XCX6:XCX21),"")</f>
        <v/>
      </c>
      <c r="XCY22" s="73" t="str">
        <f t="shared" si="255"/>
        <v/>
      </c>
      <c r="XCZ22" s="73" t="str">
        <f t="shared" si="255"/>
        <v/>
      </c>
      <c r="XDA22" s="73" t="str">
        <f t="shared" si="255"/>
        <v/>
      </c>
      <c r="XDB22" s="73" t="str">
        <f t="shared" si="255"/>
        <v/>
      </c>
      <c r="XDC22" s="73" t="str">
        <f t="shared" si="255"/>
        <v/>
      </c>
      <c r="XDD22" s="73" t="str">
        <f t="shared" si="255"/>
        <v/>
      </c>
      <c r="XDE22" s="73" t="str">
        <f t="shared" si="255"/>
        <v/>
      </c>
      <c r="XDF22" s="73" t="str">
        <f t="shared" si="255"/>
        <v/>
      </c>
      <c r="XDG22" s="73" t="str">
        <f t="shared" si="255"/>
        <v/>
      </c>
      <c r="XDH22" s="73" t="str">
        <f t="shared" si="255"/>
        <v/>
      </c>
      <c r="XDI22" s="73" t="str">
        <f t="shared" si="255"/>
        <v/>
      </c>
      <c r="XDJ22" s="73" t="str">
        <f t="shared" si="255"/>
        <v/>
      </c>
      <c r="XDK22" s="73" t="str">
        <f t="shared" si="255"/>
        <v/>
      </c>
      <c r="XDL22" s="73" t="str">
        <f t="shared" si="255"/>
        <v/>
      </c>
      <c r="XDM22" s="73" t="str">
        <f t="shared" si="255"/>
        <v/>
      </c>
      <c r="XDN22" s="73" t="str">
        <f t="shared" si="255"/>
        <v/>
      </c>
      <c r="XDO22" s="73" t="str">
        <f t="shared" si="255"/>
        <v/>
      </c>
      <c r="XDP22" s="73" t="str">
        <f t="shared" si="255"/>
        <v/>
      </c>
      <c r="XDQ22" s="73" t="str">
        <f t="shared" si="255"/>
        <v/>
      </c>
      <c r="XDR22" s="73" t="str">
        <f t="shared" si="255"/>
        <v/>
      </c>
      <c r="XDS22" s="73" t="str">
        <f t="shared" si="255"/>
        <v/>
      </c>
      <c r="XDT22" s="73" t="str">
        <f t="shared" si="255"/>
        <v/>
      </c>
      <c r="XDU22" s="73" t="str">
        <f t="shared" si="255"/>
        <v/>
      </c>
      <c r="XDV22" s="73" t="str">
        <f t="shared" si="255"/>
        <v/>
      </c>
      <c r="XDW22" s="73" t="str">
        <f t="shared" si="255"/>
        <v/>
      </c>
      <c r="XDX22" s="73" t="str">
        <f t="shared" si="255"/>
        <v/>
      </c>
      <c r="XDY22" s="73" t="str">
        <f t="shared" si="255"/>
        <v/>
      </c>
      <c r="XDZ22" s="73" t="str">
        <f t="shared" si="255"/>
        <v/>
      </c>
      <c r="XEA22" s="73" t="str">
        <f t="shared" si="255"/>
        <v/>
      </c>
      <c r="XEB22" s="73" t="str">
        <f t="shared" si="255"/>
        <v/>
      </c>
      <c r="XEC22" s="73" t="str">
        <f t="shared" si="255"/>
        <v/>
      </c>
      <c r="XED22" s="73" t="str">
        <f t="shared" si="255"/>
        <v/>
      </c>
      <c r="XEE22" s="73" t="str">
        <f t="shared" si="255"/>
        <v/>
      </c>
      <c r="XEF22" s="73" t="str">
        <f t="shared" si="255"/>
        <v/>
      </c>
      <c r="XEG22" s="73" t="str">
        <f t="shared" si="255"/>
        <v/>
      </c>
      <c r="XEH22" s="73" t="str">
        <f t="shared" si="255"/>
        <v/>
      </c>
      <c r="XEI22" s="73" t="str">
        <f t="shared" si="255"/>
        <v/>
      </c>
      <c r="XEJ22" s="73" t="str">
        <f t="shared" si="255"/>
        <v/>
      </c>
      <c r="XEK22" s="73" t="str">
        <f t="shared" si="255"/>
        <v/>
      </c>
      <c r="XEL22" s="73" t="str">
        <f t="shared" si="255"/>
        <v/>
      </c>
      <c r="XEM22" s="73" t="str">
        <f t="shared" si="255"/>
        <v/>
      </c>
      <c r="XEN22" s="73" t="str">
        <f t="shared" si="255"/>
        <v/>
      </c>
      <c r="XEO22" s="73" t="str">
        <f t="shared" si="255"/>
        <v/>
      </c>
      <c r="XEP22" s="73" t="str">
        <f t="shared" si="255"/>
        <v/>
      </c>
      <c r="XEQ22" s="73" t="str">
        <f t="shared" si="255"/>
        <v/>
      </c>
      <c r="XER22" s="73" t="str">
        <f t="shared" si="255"/>
        <v/>
      </c>
      <c r="XES22" s="73" t="str">
        <f t="shared" si="255"/>
        <v/>
      </c>
      <c r="XET22" s="73" t="str">
        <f t="shared" si="255"/>
        <v/>
      </c>
      <c r="XEU22" s="73" t="str">
        <f t="shared" si="255"/>
        <v/>
      </c>
      <c r="XEV22" s="73" t="str">
        <f t="shared" si="255"/>
        <v/>
      </c>
      <c r="XEW22" s="73" t="str">
        <f t="shared" si="255"/>
        <v/>
      </c>
      <c r="XEX22" s="73" t="str">
        <f t="shared" si="255"/>
        <v/>
      </c>
      <c r="XEY22" s="73" t="str">
        <f t="shared" si="255"/>
        <v/>
      </c>
      <c r="XEZ22" s="73" t="str">
        <f t="shared" si="255"/>
        <v/>
      </c>
      <c r="XFA22" s="73" t="str">
        <f t="shared" si="255"/>
        <v/>
      </c>
      <c r="XFB22" s="73" t="str">
        <f t="shared" si="255"/>
        <v/>
      </c>
      <c r="XFC22" s="73" t="str">
        <f t="shared" si="255"/>
        <v/>
      </c>
      <c r="XFD22" s="73" t="str">
        <f t="shared" si="255"/>
        <v/>
      </c>
    </row>
    <row r="23" spans="1:16384" hidden="1">
      <c r="B23" s="31"/>
      <c r="C23" s="31"/>
      <c r="D23" s="32"/>
    </row>
    <row r="24" spans="1:16384" hidden="1">
      <c r="B24" s="31"/>
      <c r="C24" s="31"/>
      <c r="D24" s="32"/>
    </row>
    <row r="25" spans="1:16384" s="29" customFormat="1" hidden="1">
      <c r="B25" s="31"/>
      <c r="C25" s="31"/>
      <c r="D25" s="32"/>
      <c r="AI25"/>
      <c r="AJ25"/>
      <c r="AK25"/>
      <c r="AL25"/>
      <c r="AM25"/>
      <c r="AN25"/>
      <c r="AO25"/>
      <c r="AP25"/>
      <c r="AQ25"/>
      <c r="AR25"/>
      <c r="AS25"/>
      <c r="AT25"/>
      <c r="AU25"/>
      <c r="AV25"/>
      <c r="AW25"/>
    </row>
    <row r="26" spans="1:16384" s="29" customFormat="1" hidden="1">
      <c r="B26" s="31"/>
      <c r="C26" s="31"/>
      <c r="D26" s="32"/>
      <c r="AI26"/>
      <c r="AJ26"/>
      <c r="AK26"/>
      <c r="AL26"/>
      <c r="AM26"/>
      <c r="AN26"/>
      <c r="AO26"/>
      <c r="AP26"/>
      <c r="AQ26"/>
      <c r="AR26"/>
      <c r="AS26"/>
      <c r="AT26"/>
      <c r="AU26"/>
      <c r="AV26"/>
      <c r="AW26"/>
    </row>
    <row r="27" spans="1:16384" s="29" customFormat="1" hidden="1">
      <c r="B27" s="31"/>
      <c r="C27" s="31"/>
      <c r="D27" s="32"/>
      <c r="AI27"/>
      <c r="AJ27"/>
      <c r="AK27"/>
      <c r="AL27"/>
      <c r="AM27"/>
      <c r="AN27"/>
      <c r="AO27"/>
      <c r="AP27"/>
      <c r="AQ27"/>
      <c r="AR27"/>
      <c r="AS27"/>
      <c r="AT27"/>
      <c r="AU27"/>
      <c r="AV27"/>
      <c r="AW27"/>
    </row>
    <row r="28" spans="1:16384" s="29" customFormat="1" hidden="1">
      <c r="B28" s="31"/>
      <c r="C28" s="31"/>
      <c r="D28" s="32"/>
      <c r="AI28"/>
      <c r="AJ28"/>
      <c r="AK28"/>
      <c r="AL28"/>
      <c r="AM28"/>
      <c r="AN28"/>
      <c r="AO28"/>
      <c r="AP28"/>
      <c r="AQ28"/>
      <c r="AR28"/>
      <c r="AS28"/>
      <c r="AT28"/>
      <c r="AU28"/>
      <c r="AV28"/>
      <c r="AW28"/>
    </row>
    <row r="29" spans="1:16384" s="29" customFormat="1" hidden="1">
      <c r="B29" s="31"/>
      <c r="C29" s="31"/>
      <c r="D29" s="32"/>
      <c r="AI29"/>
      <c r="AJ29"/>
      <c r="AK29"/>
      <c r="AL29"/>
      <c r="AM29"/>
      <c r="AN29"/>
      <c r="AO29"/>
      <c r="AP29"/>
      <c r="AQ29"/>
      <c r="AR29"/>
      <c r="AS29"/>
      <c r="AT29"/>
      <c r="AU29"/>
      <c r="AV29"/>
      <c r="AW29"/>
    </row>
    <row r="30" spans="1:16384" s="29" customFormat="1" hidden="1">
      <c r="B30" s="31"/>
      <c r="C30" s="31"/>
      <c r="D30" s="32"/>
      <c r="AI30"/>
      <c r="AJ30"/>
      <c r="AK30"/>
      <c r="AL30"/>
      <c r="AM30"/>
      <c r="AN30"/>
      <c r="AO30"/>
      <c r="AP30"/>
      <c r="AQ30"/>
      <c r="AR30"/>
      <c r="AS30"/>
      <c r="AT30"/>
      <c r="AU30"/>
      <c r="AV30"/>
      <c r="AW30"/>
    </row>
    <row r="31" spans="1:16384" s="29" customFormat="1" hidden="1">
      <c r="B31" s="31"/>
      <c r="C31" s="31"/>
      <c r="D31" s="32"/>
      <c r="AI31"/>
      <c r="AJ31"/>
      <c r="AK31"/>
      <c r="AL31"/>
      <c r="AM31"/>
      <c r="AN31"/>
      <c r="AO31"/>
      <c r="AP31"/>
      <c r="AQ31"/>
      <c r="AR31"/>
      <c r="AS31"/>
      <c r="AT31"/>
      <c r="AU31"/>
      <c r="AV31"/>
      <c r="AW31"/>
    </row>
    <row r="32" spans="1:16384" s="29" customFormat="1" hidden="1">
      <c r="B32" s="31"/>
      <c r="C32" s="31"/>
      <c r="D32" s="32"/>
      <c r="AI32"/>
      <c r="AJ32"/>
      <c r="AK32"/>
      <c r="AL32"/>
      <c r="AM32"/>
      <c r="AN32"/>
      <c r="AO32"/>
      <c r="AP32"/>
      <c r="AQ32"/>
      <c r="AR32"/>
      <c r="AS32"/>
      <c r="AT32"/>
      <c r="AU32"/>
      <c r="AV32"/>
      <c r="AW32"/>
    </row>
    <row r="33" spans="2:49" s="29" customFormat="1" hidden="1">
      <c r="B33" s="31"/>
      <c r="C33" s="31"/>
      <c r="D33" s="32"/>
      <c r="AI33"/>
      <c r="AJ33"/>
      <c r="AK33"/>
      <c r="AL33"/>
      <c r="AM33"/>
      <c r="AN33"/>
      <c r="AO33"/>
      <c r="AP33"/>
      <c r="AQ33"/>
      <c r="AR33"/>
      <c r="AS33"/>
      <c r="AT33"/>
      <c r="AU33"/>
      <c r="AV33"/>
      <c r="AW33"/>
    </row>
    <row r="34" spans="2:49" s="29" customFormat="1" hidden="1">
      <c r="B34" s="31"/>
      <c r="C34" s="31"/>
      <c r="D34" s="32"/>
      <c r="AI34"/>
      <c r="AJ34"/>
      <c r="AK34"/>
      <c r="AL34"/>
      <c r="AM34"/>
      <c r="AN34"/>
      <c r="AO34"/>
      <c r="AP34"/>
      <c r="AQ34"/>
      <c r="AR34"/>
      <c r="AS34"/>
      <c r="AT34"/>
      <c r="AU34"/>
      <c r="AV34"/>
      <c r="AW34"/>
    </row>
    <row r="35" spans="2:49" s="29" customFormat="1" hidden="1">
      <c r="B35" s="31"/>
      <c r="C35" s="31"/>
      <c r="D35" s="32"/>
      <c r="AI35"/>
      <c r="AJ35"/>
      <c r="AK35"/>
      <c r="AL35"/>
      <c r="AM35"/>
      <c r="AN35"/>
      <c r="AO35"/>
      <c r="AP35"/>
      <c r="AQ35"/>
      <c r="AR35"/>
      <c r="AS35"/>
      <c r="AT35"/>
      <c r="AU35"/>
      <c r="AV35"/>
      <c r="AW35"/>
    </row>
    <row r="36" spans="2:49" s="29" customFormat="1" hidden="1">
      <c r="B36" s="31"/>
      <c r="C36" s="31"/>
      <c r="D36" s="32"/>
      <c r="AI36"/>
      <c r="AJ36"/>
      <c r="AK36"/>
      <c r="AL36"/>
      <c r="AM36"/>
      <c r="AN36"/>
      <c r="AO36"/>
      <c r="AP36"/>
      <c r="AQ36"/>
      <c r="AR36"/>
      <c r="AS36"/>
      <c r="AT36"/>
      <c r="AU36"/>
      <c r="AV36"/>
      <c r="AW36"/>
    </row>
    <row r="37" spans="2:49" s="29" customFormat="1" hidden="1">
      <c r="B37" s="31"/>
      <c r="C37" s="31"/>
      <c r="D37" s="32"/>
      <c r="AI37"/>
      <c r="AJ37"/>
      <c r="AK37"/>
      <c r="AL37"/>
      <c r="AM37"/>
      <c r="AN37"/>
      <c r="AO37"/>
      <c r="AP37"/>
      <c r="AQ37"/>
      <c r="AR37"/>
      <c r="AS37"/>
      <c r="AT37"/>
      <c r="AU37"/>
      <c r="AV37"/>
      <c r="AW37"/>
    </row>
    <row r="38" spans="2:49" s="29" customFormat="1" hidden="1">
      <c r="B38" s="31"/>
      <c r="C38" s="31"/>
      <c r="D38" s="32"/>
      <c r="AI38"/>
      <c r="AJ38"/>
      <c r="AK38"/>
      <c r="AL38"/>
      <c r="AM38"/>
      <c r="AN38"/>
      <c r="AO38"/>
      <c r="AP38"/>
      <c r="AQ38"/>
      <c r="AR38"/>
      <c r="AS38"/>
      <c r="AT38"/>
      <c r="AU38"/>
      <c r="AV38"/>
      <c r="AW38"/>
    </row>
    <row r="39" spans="2:49" s="29" customFormat="1" hidden="1">
      <c r="B39" s="31"/>
      <c r="C39" s="31"/>
      <c r="D39" s="32"/>
      <c r="AI39"/>
      <c r="AJ39"/>
      <c r="AK39"/>
      <c r="AL39"/>
      <c r="AM39"/>
      <c r="AN39"/>
      <c r="AO39"/>
      <c r="AP39"/>
      <c r="AQ39"/>
      <c r="AR39"/>
      <c r="AS39"/>
      <c r="AT39"/>
      <c r="AU39"/>
      <c r="AV39"/>
      <c r="AW39"/>
    </row>
    <row r="40" spans="2:49" s="29" customFormat="1" hidden="1">
      <c r="B40" s="31"/>
      <c r="C40" s="31"/>
      <c r="D40" s="32"/>
      <c r="AI40"/>
      <c r="AJ40"/>
      <c r="AK40"/>
      <c r="AL40"/>
      <c r="AM40"/>
      <c r="AN40"/>
      <c r="AO40"/>
      <c r="AP40"/>
      <c r="AQ40"/>
      <c r="AR40"/>
      <c r="AS40"/>
      <c r="AT40"/>
      <c r="AU40"/>
      <c r="AV40"/>
      <c r="AW40"/>
    </row>
    <row r="41" spans="2:49" s="29" customFormat="1" hidden="1">
      <c r="B41" s="31"/>
      <c r="C41" s="31"/>
      <c r="D41" s="32"/>
      <c r="AI41"/>
      <c r="AJ41"/>
      <c r="AK41"/>
      <c r="AL41"/>
      <c r="AM41"/>
      <c r="AN41"/>
      <c r="AO41"/>
      <c r="AP41"/>
      <c r="AQ41"/>
      <c r="AR41"/>
      <c r="AS41"/>
      <c r="AT41"/>
      <c r="AU41"/>
      <c r="AV41"/>
      <c r="AW41"/>
    </row>
    <row r="42" spans="2:49" s="29" customFormat="1" hidden="1">
      <c r="B42" s="31"/>
      <c r="C42" s="31"/>
      <c r="D42" s="32"/>
      <c r="AI42"/>
      <c r="AJ42"/>
      <c r="AK42"/>
      <c r="AL42"/>
      <c r="AM42"/>
      <c r="AN42"/>
      <c r="AO42"/>
      <c r="AP42"/>
      <c r="AQ42"/>
      <c r="AR42"/>
      <c r="AS42"/>
      <c r="AT42"/>
      <c r="AU42"/>
      <c r="AV42"/>
      <c r="AW42"/>
    </row>
    <row r="43" spans="2:49" s="29" customFormat="1" hidden="1">
      <c r="B43" s="31"/>
      <c r="C43" s="31"/>
      <c r="D43" s="32"/>
      <c r="AI43"/>
      <c r="AJ43"/>
      <c r="AK43"/>
      <c r="AL43"/>
      <c r="AM43"/>
      <c r="AN43"/>
      <c r="AO43"/>
      <c r="AP43"/>
      <c r="AQ43"/>
      <c r="AR43"/>
      <c r="AS43"/>
      <c r="AT43"/>
      <c r="AU43"/>
      <c r="AV43"/>
      <c r="AW43"/>
    </row>
    <row r="44" spans="2:49" s="29" customFormat="1" hidden="1">
      <c r="B44" s="31"/>
      <c r="C44" s="31"/>
      <c r="D44" s="32"/>
      <c r="AI44"/>
      <c r="AJ44"/>
      <c r="AK44"/>
      <c r="AL44"/>
      <c r="AM44"/>
      <c r="AN44"/>
      <c r="AO44"/>
      <c r="AP44"/>
      <c r="AQ44"/>
      <c r="AR44"/>
      <c r="AS44"/>
      <c r="AT44"/>
      <c r="AU44"/>
      <c r="AV44"/>
      <c r="AW44"/>
    </row>
    <row r="45" spans="2:49" s="29" customFormat="1" hidden="1">
      <c r="B45" s="31"/>
      <c r="C45" s="31"/>
      <c r="D45" s="32"/>
      <c r="AI45"/>
      <c r="AJ45"/>
      <c r="AK45"/>
      <c r="AL45"/>
      <c r="AM45"/>
      <c r="AN45"/>
      <c r="AO45"/>
      <c r="AP45"/>
      <c r="AQ45"/>
      <c r="AR45"/>
      <c r="AS45"/>
      <c r="AT45"/>
      <c r="AU45"/>
      <c r="AV45"/>
      <c r="AW45"/>
    </row>
    <row r="46" spans="2:49" s="29" customFormat="1" hidden="1">
      <c r="B46" s="31"/>
      <c r="C46" s="31"/>
      <c r="D46" s="32"/>
      <c r="AI46"/>
      <c r="AJ46"/>
      <c r="AK46"/>
      <c r="AL46"/>
      <c r="AM46"/>
      <c r="AN46"/>
      <c r="AO46"/>
      <c r="AP46"/>
      <c r="AQ46"/>
      <c r="AR46"/>
      <c r="AS46"/>
      <c r="AT46"/>
      <c r="AU46"/>
      <c r="AV46"/>
      <c r="AW46"/>
    </row>
    <row r="47" spans="2:49" s="29" customFormat="1" hidden="1">
      <c r="B47" s="31"/>
      <c r="C47" s="31"/>
      <c r="D47" s="32"/>
      <c r="AI47"/>
      <c r="AJ47"/>
      <c r="AK47"/>
      <c r="AL47"/>
      <c r="AM47"/>
      <c r="AN47"/>
      <c r="AO47"/>
      <c r="AP47"/>
      <c r="AQ47"/>
      <c r="AR47"/>
      <c r="AS47"/>
      <c r="AT47"/>
      <c r="AU47"/>
      <c r="AV47"/>
      <c r="AW47"/>
    </row>
    <row r="48" spans="2:49" s="29" customFormat="1" hidden="1">
      <c r="B48" s="31"/>
      <c r="C48" s="31"/>
      <c r="D48" s="32"/>
      <c r="AI48"/>
      <c r="AJ48"/>
      <c r="AK48"/>
      <c r="AL48"/>
      <c r="AM48"/>
      <c r="AN48"/>
      <c r="AO48"/>
      <c r="AP48"/>
      <c r="AQ48"/>
      <c r="AR48"/>
      <c r="AS48"/>
      <c r="AT48"/>
      <c r="AU48"/>
      <c r="AV48"/>
      <c r="AW48"/>
    </row>
    <row r="49" spans="2:49" s="29" customFormat="1" hidden="1">
      <c r="B49" s="31"/>
      <c r="C49" s="31"/>
      <c r="D49" s="32"/>
      <c r="AI49"/>
      <c r="AJ49"/>
      <c r="AK49"/>
      <c r="AL49"/>
      <c r="AM49"/>
      <c r="AN49"/>
      <c r="AO49"/>
      <c r="AP49"/>
      <c r="AQ49"/>
      <c r="AR49"/>
      <c r="AS49"/>
      <c r="AT49"/>
      <c r="AU49"/>
      <c r="AV49"/>
      <c r="AW49"/>
    </row>
    <row r="50" spans="2:49" s="29" customFormat="1" hidden="1">
      <c r="B50" s="31"/>
      <c r="C50" s="31"/>
      <c r="D50" s="32"/>
      <c r="AI50"/>
      <c r="AJ50"/>
      <c r="AK50"/>
      <c r="AL50"/>
      <c r="AM50"/>
      <c r="AN50"/>
      <c r="AO50"/>
      <c r="AP50"/>
      <c r="AQ50"/>
      <c r="AR50"/>
      <c r="AS50"/>
      <c r="AT50"/>
      <c r="AU50"/>
      <c r="AV50"/>
      <c r="AW50"/>
    </row>
    <row r="51" spans="2:49" s="29" customFormat="1" hidden="1">
      <c r="B51" s="31"/>
      <c r="C51" s="31"/>
      <c r="D51" s="32"/>
      <c r="AI51"/>
      <c r="AJ51"/>
      <c r="AK51"/>
      <c r="AL51"/>
      <c r="AM51"/>
      <c r="AN51"/>
      <c r="AO51"/>
      <c r="AP51"/>
      <c r="AQ51"/>
      <c r="AR51"/>
      <c r="AS51"/>
      <c r="AT51"/>
      <c r="AU51"/>
      <c r="AV51"/>
      <c r="AW51"/>
    </row>
    <row r="52" spans="2:49" s="29" customFormat="1" hidden="1">
      <c r="B52" s="31"/>
      <c r="C52" s="31"/>
      <c r="D52" s="32"/>
      <c r="AI52"/>
      <c r="AJ52"/>
      <c r="AK52"/>
      <c r="AL52"/>
      <c r="AM52"/>
      <c r="AN52"/>
      <c r="AO52"/>
      <c r="AP52"/>
      <c r="AQ52"/>
      <c r="AR52"/>
      <c r="AS52"/>
      <c r="AT52"/>
      <c r="AU52"/>
      <c r="AV52"/>
      <c r="AW52"/>
    </row>
    <row r="53" spans="2:49" s="29" customFormat="1" hidden="1">
      <c r="B53" s="31"/>
      <c r="C53" s="31"/>
      <c r="D53" s="32"/>
      <c r="AI53"/>
      <c r="AJ53"/>
      <c r="AK53"/>
      <c r="AL53"/>
      <c r="AM53"/>
      <c r="AN53"/>
      <c r="AO53"/>
      <c r="AP53"/>
      <c r="AQ53"/>
      <c r="AR53"/>
      <c r="AS53"/>
      <c r="AT53"/>
      <c r="AU53"/>
      <c r="AV53"/>
      <c r="AW53"/>
    </row>
    <row r="54" spans="2:49" s="29" customFormat="1" hidden="1">
      <c r="B54" s="31"/>
      <c r="C54" s="31"/>
      <c r="D54" s="32"/>
      <c r="AI54"/>
      <c r="AJ54"/>
      <c r="AK54"/>
      <c r="AL54"/>
      <c r="AM54"/>
      <c r="AN54"/>
      <c r="AO54"/>
      <c r="AP54"/>
      <c r="AQ54"/>
      <c r="AR54"/>
      <c r="AS54"/>
      <c r="AT54"/>
      <c r="AU54"/>
      <c r="AV54"/>
      <c r="AW54"/>
    </row>
    <row r="55" spans="2:49" s="29" customFormat="1" hidden="1">
      <c r="B55" s="31"/>
      <c r="C55" s="31"/>
      <c r="D55" s="32"/>
      <c r="AI55"/>
      <c r="AJ55"/>
      <c r="AK55"/>
      <c r="AL55"/>
      <c r="AM55"/>
      <c r="AN55"/>
      <c r="AO55"/>
      <c r="AP55"/>
      <c r="AQ55"/>
      <c r="AR55"/>
      <c r="AS55"/>
      <c r="AT55"/>
      <c r="AU55"/>
      <c r="AV55"/>
      <c r="AW55"/>
    </row>
    <row r="56" spans="2:49" s="29" customFormat="1" hidden="1">
      <c r="B56" s="31"/>
      <c r="C56" s="31"/>
      <c r="D56" s="32"/>
      <c r="AI56"/>
      <c r="AJ56"/>
      <c r="AK56"/>
      <c r="AL56"/>
      <c r="AM56"/>
      <c r="AN56"/>
      <c r="AO56"/>
      <c r="AP56"/>
      <c r="AQ56"/>
      <c r="AR56"/>
      <c r="AS56"/>
      <c r="AT56"/>
      <c r="AU56"/>
      <c r="AV56"/>
      <c r="AW56"/>
    </row>
    <row r="57" spans="2:49" s="29" customFormat="1" hidden="1">
      <c r="B57" s="31"/>
      <c r="C57" s="31"/>
      <c r="D57" s="32"/>
      <c r="AI57"/>
      <c r="AJ57"/>
      <c r="AK57"/>
      <c r="AL57"/>
      <c r="AM57"/>
      <c r="AN57"/>
      <c r="AO57"/>
      <c r="AP57"/>
      <c r="AQ57"/>
      <c r="AR57"/>
      <c r="AS57"/>
      <c r="AT57"/>
      <c r="AU57"/>
      <c r="AV57"/>
      <c r="AW57"/>
    </row>
    <row r="58" spans="2:49" s="29" customFormat="1" hidden="1">
      <c r="B58" s="31"/>
      <c r="C58" s="31"/>
      <c r="D58" s="32"/>
      <c r="AI58"/>
      <c r="AJ58"/>
      <c r="AK58"/>
      <c r="AL58"/>
      <c r="AM58"/>
      <c r="AN58"/>
      <c r="AO58"/>
      <c r="AP58"/>
      <c r="AQ58"/>
      <c r="AR58"/>
      <c r="AS58"/>
      <c r="AT58"/>
      <c r="AU58"/>
      <c r="AV58"/>
      <c r="AW58"/>
    </row>
    <row r="59" spans="2:49" s="29" customFormat="1" hidden="1">
      <c r="B59" s="31"/>
      <c r="C59" s="31"/>
      <c r="D59" s="32"/>
      <c r="AI59"/>
      <c r="AJ59"/>
      <c r="AK59"/>
      <c r="AL59"/>
      <c r="AM59"/>
      <c r="AN59"/>
      <c r="AO59"/>
      <c r="AP59"/>
      <c r="AQ59"/>
      <c r="AR59"/>
      <c r="AS59"/>
      <c r="AT59"/>
      <c r="AU59"/>
      <c r="AV59"/>
      <c r="AW59"/>
    </row>
    <row r="60" spans="2:49" s="29" customFormat="1" hidden="1">
      <c r="B60" s="31"/>
      <c r="C60" s="31"/>
      <c r="D60" s="32"/>
      <c r="AI60"/>
      <c r="AJ60"/>
      <c r="AK60"/>
      <c r="AL60"/>
      <c r="AM60"/>
      <c r="AN60"/>
      <c r="AO60"/>
      <c r="AP60"/>
      <c r="AQ60"/>
      <c r="AR60"/>
      <c r="AS60"/>
      <c r="AT60"/>
      <c r="AU60"/>
      <c r="AV60"/>
      <c r="AW60"/>
    </row>
    <row r="61" spans="2:49" s="29" customFormat="1" hidden="1">
      <c r="B61" s="31"/>
      <c r="C61" s="31"/>
      <c r="D61" s="32"/>
      <c r="AI61"/>
      <c r="AJ61"/>
      <c r="AK61"/>
      <c r="AL61"/>
      <c r="AM61"/>
      <c r="AN61"/>
      <c r="AO61"/>
      <c r="AP61"/>
      <c r="AQ61"/>
      <c r="AR61"/>
      <c r="AS61"/>
      <c r="AT61"/>
      <c r="AU61"/>
      <c r="AV61"/>
      <c r="AW61"/>
    </row>
    <row r="62" spans="2:49" s="29" customFormat="1" hidden="1">
      <c r="B62" s="31"/>
      <c r="C62" s="31"/>
      <c r="D62" s="32"/>
      <c r="AI62"/>
      <c r="AJ62"/>
      <c r="AK62"/>
      <c r="AL62"/>
      <c r="AM62"/>
      <c r="AN62"/>
      <c r="AO62"/>
      <c r="AP62"/>
      <c r="AQ62"/>
      <c r="AR62"/>
      <c r="AS62"/>
      <c r="AT62"/>
      <c r="AU62"/>
      <c r="AV62"/>
      <c r="AW62"/>
    </row>
    <row r="63" spans="2:49" s="29" customFormat="1" hidden="1">
      <c r="B63" s="31"/>
      <c r="C63" s="31"/>
      <c r="D63" s="32"/>
      <c r="AI63"/>
      <c r="AJ63"/>
      <c r="AK63"/>
      <c r="AL63"/>
      <c r="AM63"/>
      <c r="AN63"/>
      <c r="AO63"/>
      <c r="AP63"/>
      <c r="AQ63"/>
      <c r="AR63"/>
      <c r="AS63"/>
      <c r="AT63"/>
      <c r="AU63"/>
      <c r="AV63"/>
      <c r="AW63"/>
    </row>
    <row r="64" spans="2:49" s="29" customFormat="1" hidden="1">
      <c r="B64" s="31"/>
      <c r="C64" s="31"/>
      <c r="D64" s="32"/>
      <c r="AI64"/>
      <c r="AJ64"/>
      <c r="AK64"/>
      <c r="AL64"/>
      <c r="AM64"/>
      <c r="AN64"/>
      <c r="AO64"/>
      <c r="AP64"/>
      <c r="AQ64"/>
      <c r="AR64"/>
      <c r="AS64"/>
      <c r="AT64"/>
      <c r="AU64"/>
      <c r="AV64"/>
      <c r="AW64"/>
    </row>
    <row r="65" spans="2:49" s="29" customFormat="1" hidden="1">
      <c r="B65" s="31"/>
      <c r="C65" s="31"/>
      <c r="D65" s="32"/>
      <c r="AI65"/>
      <c r="AJ65"/>
      <c r="AK65"/>
      <c r="AL65"/>
      <c r="AM65"/>
      <c r="AN65"/>
      <c r="AO65"/>
      <c r="AP65"/>
      <c r="AQ65"/>
      <c r="AR65"/>
      <c r="AS65"/>
      <c r="AT65"/>
      <c r="AU65"/>
      <c r="AV65"/>
      <c r="AW65"/>
    </row>
    <row r="66" spans="2:49" s="29" customFormat="1" hidden="1">
      <c r="B66" s="31"/>
      <c r="C66" s="31"/>
      <c r="D66" s="32"/>
      <c r="AI66"/>
      <c r="AJ66"/>
      <c r="AK66"/>
      <c r="AL66"/>
      <c r="AM66"/>
      <c r="AN66"/>
      <c r="AO66"/>
      <c r="AP66"/>
      <c r="AQ66"/>
      <c r="AR66"/>
      <c r="AS66"/>
      <c r="AT66"/>
      <c r="AU66"/>
      <c r="AV66"/>
      <c r="AW66"/>
    </row>
    <row r="67" spans="2:49" s="29" customFormat="1" hidden="1">
      <c r="B67" s="31"/>
      <c r="C67" s="31"/>
      <c r="D67" s="32"/>
      <c r="AI67"/>
      <c r="AJ67"/>
      <c r="AK67"/>
      <c r="AL67"/>
      <c r="AM67"/>
      <c r="AN67"/>
      <c r="AO67"/>
      <c r="AP67"/>
      <c r="AQ67"/>
      <c r="AR67"/>
      <c r="AS67"/>
      <c r="AT67"/>
      <c r="AU67"/>
      <c r="AV67"/>
      <c r="AW67"/>
    </row>
    <row r="68" spans="2:49" s="29" customFormat="1" hidden="1">
      <c r="B68" s="31"/>
      <c r="C68" s="31"/>
      <c r="D68" s="32"/>
      <c r="AI68"/>
      <c r="AJ68"/>
      <c r="AK68"/>
      <c r="AL68"/>
      <c r="AM68"/>
      <c r="AN68"/>
      <c r="AO68"/>
      <c r="AP68"/>
      <c r="AQ68"/>
      <c r="AR68"/>
      <c r="AS68"/>
      <c r="AT68"/>
      <c r="AU68"/>
      <c r="AV68"/>
      <c r="AW68"/>
    </row>
    <row r="69" spans="2:49" s="29" customFormat="1" hidden="1">
      <c r="B69" s="31"/>
      <c r="C69" s="31"/>
      <c r="D69" s="32"/>
      <c r="AI69"/>
      <c r="AJ69"/>
      <c r="AK69"/>
      <c r="AL69"/>
      <c r="AM69"/>
      <c r="AN69"/>
      <c r="AO69"/>
      <c r="AP69"/>
      <c r="AQ69"/>
      <c r="AR69"/>
      <c r="AS69"/>
      <c r="AT69"/>
      <c r="AU69"/>
      <c r="AV69"/>
      <c r="AW69"/>
    </row>
    <row r="70" spans="2:49" s="29" customFormat="1" hidden="1">
      <c r="B70" s="31"/>
      <c r="C70" s="31"/>
      <c r="D70" s="32"/>
      <c r="AI70"/>
      <c r="AJ70"/>
      <c r="AK70"/>
      <c r="AL70"/>
      <c r="AM70"/>
      <c r="AN70"/>
      <c r="AO70"/>
      <c r="AP70"/>
      <c r="AQ70"/>
      <c r="AR70"/>
      <c r="AS70"/>
      <c r="AT70"/>
      <c r="AU70"/>
      <c r="AV70"/>
      <c r="AW70"/>
    </row>
    <row r="71" spans="2:49" s="29" customFormat="1" hidden="1">
      <c r="B71" s="31"/>
      <c r="C71" s="31"/>
      <c r="D71" s="32"/>
      <c r="AI71"/>
      <c r="AJ71"/>
      <c r="AK71"/>
      <c r="AL71"/>
      <c r="AM71"/>
      <c r="AN71"/>
      <c r="AO71"/>
      <c r="AP71"/>
      <c r="AQ71"/>
      <c r="AR71"/>
      <c r="AS71"/>
      <c r="AT71"/>
      <c r="AU71"/>
      <c r="AV71"/>
      <c r="AW71"/>
    </row>
    <row r="72" spans="2:49" s="29" customFormat="1" hidden="1">
      <c r="B72" s="31"/>
      <c r="C72" s="31"/>
      <c r="D72" s="32"/>
      <c r="AI72"/>
      <c r="AJ72"/>
      <c r="AK72"/>
      <c r="AL72"/>
      <c r="AM72"/>
      <c r="AN72"/>
      <c r="AO72"/>
      <c r="AP72"/>
      <c r="AQ72"/>
      <c r="AR72"/>
      <c r="AS72"/>
      <c r="AT72"/>
      <c r="AU72"/>
      <c r="AV72"/>
      <c r="AW72"/>
    </row>
    <row r="73" spans="2:49" s="29" customFormat="1" hidden="1">
      <c r="B73" s="31"/>
      <c r="C73" s="31"/>
      <c r="D73" s="32"/>
      <c r="AI73"/>
      <c r="AJ73"/>
      <c r="AK73"/>
      <c r="AL73"/>
      <c r="AM73"/>
      <c r="AN73"/>
      <c r="AO73"/>
      <c r="AP73"/>
      <c r="AQ73"/>
      <c r="AR73"/>
      <c r="AS73"/>
      <c r="AT73"/>
      <c r="AU73"/>
      <c r="AV73"/>
      <c r="AW73"/>
    </row>
    <row r="74" spans="2:49" s="29" customFormat="1" hidden="1">
      <c r="B74" s="31"/>
      <c r="C74" s="31"/>
      <c r="D74" s="32"/>
      <c r="AI74"/>
      <c r="AJ74"/>
      <c r="AK74"/>
      <c r="AL74"/>
      <c r="AM74"/>
      <c r="AN74"/>
      <c r="AO74"/>
      <c r="AP74"/>
      <c r="AQ74"/>
      <c r="AR74"/>
      <c r="AS74"/>
      <c r="AT74"/>
      <c r="AU74"/>
      <c r="AV74"/>
      <c r="AW74"/>
    </row>
    <row r="75" spans="2:49" s="29" customFormat="1" hidden="1">
      <c r="B75" s="31"/>
      <c r="C75" s="31"/>
      <c r="D75" s="32"/>
      <c r="AI75"/>
      <c r="AJ75"/>
      <c r="AK75"/>
      <c r="AL75"/>
      <c r="AM75"/>
      <c r="AN75"/>
      <c r="AO75"/>
      <c r="AP75"/>
      <c r="AQ75"/>
      <c r="AR75"/>
      <c r="AS75"/>
      <c r="AT75"/>
      <c r="AU75"/>
      <c r="AV75"/>
      <c r="AW75"/>
    </row>
    <row r="76" spans="2:49" s="29" customFormat="1" hidden="1">
      <c r="B76" s="31"/>
      <c r="C76" s="31"/>
      <c r="D76" s="32"/>
      <c r="AI76"/>
      <c r="AJ76"/>
      <c r="AK76"/>
      <c r="AL76"/>
      <c r="AM76"/>
      <c r="AN76"/>
      <c r="AO76"/>
      <c r="AP76"/>
      <c r="AQ76"/>
      <c r="AR76"/>
      <c r="AS76"/>
      <c r="AT76"/>
      <c r="AU76"/>
      <c r="AV76"/>
      <c r="AW76"/>
    </row>
    <row r="77" spans="2:49" s="29" customFormat="1" hidden="1">
      <c r="B77" s="31"/>
      <c r="C77" s="31"/>
      <c r="D77" s="32"/>
      <c r="AI77"/>
      <c r="AJ77"/>
      <c r="AK77"/>
      <c r="AL77"/>
      <c r="AM77"/>
      <c r="AN77"/>
      <c r="AO77"/>
      <c r="AP77"/>
      <c r="AQ77"/>
      <c r="AR77"/>
      <c r="AS77"/>
      <c r="AT77"/>
      <c r="AU77"/>
      <c r="AV77"/>
      <c r="AW77"/>
    </row>
    <row r="78" spans="2:49" s="29" customFormat="1" hidden="1">
      <c r="B78" s="31"/>
      <c r="C78" s="31"/>
      <c r="D78" s="32"/>
      <c r="AI78"/>
      <c r="AJ78"/>
      <c r="AK78"/>
      <c r="AL78"/>
      <c r="AM78"/>
      <c r="AN78"/>
      <c r="AO78"/>
      <c r="AP78"/>
      <c r="AQ78"/>
      <c r="AR78"/>
      <c r="AS78"/>
      <c r="AT78"/>
      <c r="AU78"/>
      <c r="AV78"/>
      <c r="AW78"/>
    </row>
    <row r="79" spans="2:49" s="29" customFormat="1" hidden="1">
      <c r="B79" s="31"/>
      <c r="C79" s="31"/>
      <c r="D79" s="32"/>
      <c r="AI79"/>
      <c r="AJ79"/>
      <c r="AK79"/>
      <c r="AL79"/>
      <c r="AM79"/>
      <c r="AN79"/>
      <c r="AO79"/>
      <c r="AP79"/>
      <c r="AQ79"/>
      <c r="AR79"/>
      <c r="AS79"/>
      <c r="AT79"/>
      <c r="AU79"/>
      <c r="AV79"/>
      <c r="AW79"/>
    </row>
    <row r="80" spans="2:49" s="29" customFormat="1" hidden="1">
      <c r="B80" s="31"/>
      <c r="C80" s="31"/>
      <c r="D80" s="32"/>
      <c r="AI80"/>
      <c r="AJ80"/>
      <c r="AK80"/>
      <c r="AL80"/>
      <c r="AM80"/>
      <c r="AN80"/>
      <c r="AO80"/>
      <c r="AP80"/>
      <c r="AQ80"/>
      <c r="AR80"/>
      <c r="AS80"/>
      <c r="AT80"/>
      <c r="AU80"/>
      <c r="AV80"/>
      <c r="AW80"/>
    </row>
    <row r="81" spans="2:49" s="29" customFormat="1" hidden="1">
      <c r="B81" s="31"/>
      <c r="C81" s="31"/>
      <c r="D81" s="32"/>
      <c r="AI81"/>
      <c r="AJ81"/>
      <c r="AK81"/>
      <c r="AL81"/>
      <c r="AM81"/>
      <c r="AN81"/>
      <c r="AO81"/>
      <c r="AP81"/>
      <c r="AQ81"/>
      <c r="AR81"/>
      <c r="AS81"/>
      <c r="AT81"/>
      <c r="AU81"/>
      <c r="AV81"/>
      <c r="AW81"/>
    </row>
    <row r="82" spans="2:49" s="29" customFormat="1" hidden="1">
      <c r="B82" s="31"/>
      <c r="C82" s="31"/>
      <c r="D82" s="32"/>
      <c r="AI82"/>
      <c r="AJ82"/>
      <c r="AK82"/>
      <c r="AL82"/>
      <c r="AM82"/>
      <c r="AN82"/>
      <c r="AO82"/>
      <c r="AP82"/>
      <c r="AQ82"/>
      <c r="AR82"/>
      <c r="AS82"/>
      <c r="AT82"/>
      <c r="AU82"/>
      <c r="AV82"/>
      <c r="AW82"/>
    </row>
  </sheetData>
  <mergeCells count="7">
    <mergeCell ref="B22:D22"/>
    <mergeCell ref="A1:AH2"/>
    <mergeCell ref="B3:D3"/>
    <mergeCell ref="B4:B5"/>
    <mergeCell ref="C4:C5"/>
    <mergeCell ref="D4:D5"/>
    <mergeCell ref="E4:AH4"/>
  </mergeCells>
  <pageMargins left="0.7" right="0.7" top="0.75" bottom="0.75" header="0.3" footer="0.3"/>
  <pageSetup paperSize="9" orientation="portrait" horizontalDpi="4294967293"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6"/>
  <dimension ref="A1:AW170"/>
  <sheetViews>
    <sheetView zoomScale="83" zoomScaleNormal="83" workbookViewId="0">
      <pane ySplit="5" topLeftCell="A30" activePane="bottomLeft" state="frozen"/>
      <selection activeCell="K33" sqref="K33"/>
      <selection pane="bottomLeft" activeCell="L63" sqref="L63"/>
    </sheetView>
  </sheetViews>
  <sheetFormatPr defaultColWidth="0" defaultRowHeight="15" customHeight="1" zeroHeight="1"/>
  <cols>
    <col min="1" max="1" width="1" style="29" customWidth="1"/>
    <col min="2" max="2" width="3.7109375" style="33" customWidth="1"/>
    <col min="3" max="3" width="46.140625" style="33" customWidth="1"/>
    <col min="4" max="4" width="10.28515625" style="29" customWidth="1"/>
    <col min="5" max="34" width="5.7109375" style="29" customWidth="1"/>
    <col min="35" max="49" width="5.7109375" hidden="1" customWidth="1"/>
    <col min="50" max="16384" width="9.140625" hidden="1"/>
  </cols>
  <sheetData>
    <row r="1" spans="1:34" ht="15" customHeight="1">
      <c r="A1" s="864" t="s">
        <v>247</v>
      </c>
      <c r="B1" s="864"/>
      <c r="C1" s="864"/>
      <c r="D1" s="864"/>
      <c r="E1" s="864"/>
      <c r="F1" s="864"/>
      <c r="G1" s="864"/>
      <c r="H1" s="864"/>
      <c r="I1" s="864"/>
      <c r="J1" s="864"/>
      <c r="K1" s="864"/>
      <c r="L1" s="864"/>
      <c r="M1" s="864"/>
      <c r="N1" s="864"/>
      <c r="O1" s="864"/>
      <c r="P1" s="864"/>
      <c r="Q1" s="864"/>
      <c r="R1" s="864"/>
      <c r="S1" s="864"/>
      <c r="T1" s="864"/>
      <c r="U1" s="864"/>
      <c r="V1" s="864"/>
      <c r="W1" s="864"/>
      <c r="X1" s="864"/>
      <c r="Y1" s="864"/>
      <c r="Z1" s="864"/>
      <c r="AA1" s="864"/>
      <c r="AB1" s="864"/>
      <c r="AC1" s="864"/>
      <c r="AD1" s="864"/>
      <c r="AE1" s="864"/>
      <c r="AF1" s="864"/>
      <c r="AG1" s="864"/>
      <c r="AH1" s="864"/>
    </row>
    <row r="2" spans="1:34" ht="15" customHeight="1">
      <c r="A2" s="864"/>
      <c r="B2" s="864"/>
      <c r="C2" s="864"/>
      <c r="D2" s="864"/>
      <c r="E2" s="864"/>
      <c r="F2" s="864"/>
      <c r="G2" s="864"/>
      <c r="H2" s="864"/>
      <c r="I2" s="864"/>
      <c r="J2" s="864"/>
      <c r="K2" s="864"/>
      <c r="L2" s="864"/>
      <c r="M2" s="864"/>
      <c r="N2" s="864"/>
      <c r="O2" s="864"/>
      <c r="P2" s="864"/>
      <c r="Q2" s="864"/>
      <c r="R2" s="864"/>
      <c r="S2" s="864"/>
      <c r="T2" s="864"/>
      <c r="U2" s="864"/>
      <c r="V2" s="864"/>
      <c r="W2" s="864"/>
      <c r="X2" s="864"/>
      <c r="Y2" s="864"/>
      <c r="Z2" s="864"/>
      <c r="AA2" s="864"/>
      <c r="AB2" s="864"/>
      <c r="AC2" s="864"/>
      <c r="AD2" s="864"/>
      <c r="AE2" s="864"/>
      <c r="AF2" s="864"/>
      <c r="AG2" s="864"/>
      <c r="AH2" s="864"/>
    </row>
    <row r="3" spans="1:34" ht="15" customHeight="1">
      <c r="B3" s="804"/>
      <c r="C3" s="804"/>
      <c r="D3" s="80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row>
    <row r="4" spans="1:34" ht="15" customHeight="1">
      <c r="B4" s="805" t="s">
        <v>5</v>
      </c>
      <c r="C4" s="805" t="s">
        <v>125</v>
      </c>
      <c r="D4" s="806" t="s">
        <v>126</v>
      </c>
      <c r="E4" s="807" t="s">
        <v>57</v>
      </c>
      <c r="F4" s="807"/>
      <c r="G4" s="807"/>
      <c r="H4" s="807"/>
      <c r="I4" s="807"/>
      <c r="J4" s="807"/>
      <c r="K4" s="807"/>
      <c r="L4" s="807"/>
      <c r="M4" s="807"/>
      <c r="N4" s="807"/>
      <c r="O4" s="807"/>
      <c r="P4" s="807"/>
      <c r="Q4" s="807"/>
      <c r="R4" s="807"/>
      <c r="S4" s="807"/>
      <c r="T4" s="807"/>
      <c r="U4" s="807"/>
      <c r="V4" s="807"/>
      <c r="W4" s="807"/>
      <c r="X4" s="807"/>
      <c r="Y4" s="807"/>
      <c r="Z4" s="807"/>
      <c r="AA4" s="807"/>
      <c r="AB4" s="807"/>
      <c r="AC4" s="807"/>
      <c r="AD4" s="807"/>
      <c r="AE4" s="807"/>
      <c r="AF4" s="807"/>
      <c r="AG4" s="807"/>
      <c r="AH4" s="807"/>
    </row>
    <row r="5" spans="1:34" ht="12.75" customHeight="1">
      <c r="B5" s="805"/>
      <c r="C5" s="805"/>
      <c r="D5" s="806"/>
      <c r="E5" s="35" t="str">
        <f>DATASISWA!$F$8</f>
        <v>Dita</v>
      </c>
      <c r="F5" s="35" t="str">
        <f>DATASISWA!$F$9</f>
        <v>Annisa</v>
      </c>
      <c r="G5" s="35" t="str">
        <f>DATASISWA!$F$10</f>
        <v>Kiki</v>
      </c>
      <c r="H5" s="35" t="str">
        <f>DATASISWA!$F$11</f>
        <v>Lily</v>
      </c>
      <c r="I5" s="35" t="str">
        <f>DATASISWA!$F$12</f>
        <v>Rere</v>
      </c>
      <c r="J5" s="35" t="str">
        <f>DATASISWA!$F$13</f>
        <v>Fadhil</v>
      </c>
      <c r="K5" s="35" t="str">
        <f>DATASISWA!$F$14</f>
        <v>Yuefa</v>
      </c>
      <c r="L5" s="35" t="str">
        <f>DATASISWA!$F$15</f>
        <v>Ria</v>
      </c>
      <c r="M5" s="35" t="str">
        <f>DATASISWA!$F$16</f>
        <v>Tiara</v>
      </c>
      <c r="N5" s="35" t="str">
        <f>DATASISWA!$F$17</f>
        <v>Alvind</v>
      </c>
      <c r="O5" s="35" t="str">
        <f>DATASISWA!$F$18</f>
        <v>Icha</v>
      </c>
      <c r="P5" s="35" t="str">
        <f>DATASISWA!$F$19</f>
        <v>Qonita</v>
      </c>
      <c r="Q5" s="35" t="str">
        <f>DATASISWA!$F$20</f>
        <v>Anya</v>
      </c>
      <c r="R5" s="35" t="str">
        <f>DATASISWA!$F$21</f>
        <v>Radit</v>
      </c>
      <c r="S5" s="35" t="str">
        <f>DATASISWA!$F$22</f>
        <v>angel</v>
      </c>
      <c r="T5" s="35">
        <f>DATASISWA!$F$23</f>
        <v>0</v>
      </c>
      <c r="U5" s="35">
        <f>DATASISWA!$F$24</f>
        <v>0</v>
      </c>
      <c r="V5" s="35">
        <f>DATASISWA!$F$25</f>
        <v>0</v>
      </c>
      <c r="W5" s="35">
        <f>DATASISWA!$F$26</f>
        <v>0</v>
      </c>
      <c r="X5" s="35">
        <f>DATASISWA!$F$27</f>
        <v>0</v>
      </c>
      <c r="Y5" s="35">
        <f>DATASISWA!$F$28</f>
        <v>0</v>
      </c>
      <c r="Z5" s="35">
        <f>DATASISWA!$F$29</f>
        <v>0</v>
      </c>
      <c r="AA5" s="35">
        <f>DATASISWA!$F$30</f>
        <v>0</v>
      </c>
      <c r="AB5" s="35">
        <f>DATASISWA!$F$31</f>
        <v>0</v>
      </c>
      <c r="AC5" s="35">
        <f>DATASISWA!$F$32</f>
        <v>0</v>
      </c>
      <c r="AD5" s="35">
        <f>DATASISWA!$F$33</f>
        <v>0</v>
      </c>
      <c r="AE5" s="35">
        <f>DATASISWA!$F$34</f>
        <v>0</v>
      </c>
      <c r="AF5" s="35">
        <f>DATASISWA!$F$35</f>
        <v>0</v>
      </c>
      <c r="AG5" s="35">
        <f>DATASISWA!$F$36</f>
        <v>0</v>
      </c>
      <c r="AH5" s="35">
        <f>DATASISWA!$F$37</f>
        <v>0</v>
      </c>
    </row>
    <row r="6" spans="1:34" ht="27" customHeight="1">
      <c r="A6" s="30"/>
      <c r="B6" s="800">
        <v>1</v>
      </c>
      <c r="C6" s="863" t="s">
        <v>1923</v>
      </c>
      <c r="D6" s="810"/>
      <c r="E6" s="97">
        <f>IFERROR(AVERAGE(E7:E13),"")</f>
        <v>100</v>
      </c>
      <c r="F6" s="97">
        <f t="shared" ref="F6:AA6" si="0">IFERROR(AVERAGE(F7:F13),"")</f>
        <v>98.333333333333329</v>
      </c>
      <c r="G6" s="97">
        <f t="shared" si="0"/>
        <v>100</v>
      </c>
      <c r="H6" s="97">
        <f t="shared" si="0"/>
        <v>96.666666666666671</v>
      </c>
      <c r="I6" s="97">
        <f t="shared" si="0"/>
        <v>96.666666666666671</v>
      </c>
      <c r="J6" s="97">
        <f t="shared" si="0"/>
        <v>100</v>
      </c>
      <c r="K6" s="97">
        <f t="shared" si="0"/>
        <v>100</v>
      </c>
      <c r="L6" s="97">
        <f t="shared" si="0"/>
        <v>98.333333333333329</v>
      </c>
      <c r="M6" s="97">
        <f t="shared" si="0"/>
        <v>100</v>
      </c>
      <c r="N6" s="97">
        <f t="shared" si="0"/>
        <v>100</v>
      </c>
      <c r="O6" s="97">
        <f t="shared" si="0"/>
        <v>100</v>
      </c>
      <c r="P6" s="97">
        <f t="shared" si="0"/>
        <v>100</v>
      </c>
      <c r="Q6" s="97">
        <f t="shared" si="0"/>
        <v>100</v>
      </c>
      <c r="R6" s="97">
        <f t="shared" si="0"/>
        <v>100</v>
      </c>
      <c r="S6" s="97">
        <f t="shared" si="0"/>
        <v>100</v>
      </c>
      <c r="T6" s="97">
        <f t="shared" si="0"/>
        <v>96.666666666666671</v>
      </c>
      <c r="U6" s="97">
        <f t="shared" si="0"/>
        <v>100</v>
      </c>
      <c r="V6" s="97">
        <f t="shared" si="0"/>
        <v>100</v>
      </c>
      <c r="W6" s="97">
        <f t="shared" si="0"/>
        <v>100</v>
      </c>
      <c r="X6" s="97">
        <f t="shared" si="0"/>
        <v>100</v>
      </c>
      <c r="Y6" s="97">
        <f t="shared" si="0"/>
        <v>100</v>
      </c>
      <c r="Z6" s="97">
        <f t="shared" si="0"/>
        <v>100</v>
      </c>
      <c r="AA6" s="97">
        <f t="shared" si="0"/>
        <v>100</v>
      </c>
      <c r="AB6" s="97">
        <f t="shared" ref="AB6:AH6" si="1">IFERROR(AVERAGE(AB7:AB13),"")</f>
        <v>100</v>
      </c>
      <c r="AC6" s="97" t="str">
        <f t="shared" si="1"/>
        <v/>
      </c>
      <c r="AD6" s="97" t="str">
        <f t="shared" si="1"/>
        <v/>
      </c>
      <c r="AE6" s="97" t="str">
        <f t="shared" si="1"/>
        <v/>
      </c>
      <c r="AF6" s="97" t="str">
        <f t="shared" si="1"/>
        <v/>
      </c>
      <c r="AG6" s="97" t="str">
        <f t="shared" si="1"/>
        <v/>
      </c>
      <c r="AH6" s="97" t="str">
        <f t="shared" si="1"/>
        <v/>
      </c>
    </row>
    <row r="7" spans="1:34" ht="27" customHeight="1">
      <c r="A7" s="30"/>
      <c r="B7" s="801"/>
      <c r="C7" s="433" t="s">
        <v>1924</v>
      </c>
      <c r="D7" s="403">
        <v>43664</v>
      </c>
      <c r="E7" s="98">
        <v>100</v>
      </c>
      <c r="F7" s="98">
        <v>95</v>
      </c>
      <c r="G7" s="98">
        <v>100</v>
      </c>
      <c r="H7" s="98">
        <v>100</v>
      </c>
      <c r="I7" s="98">
        <v>90</v>
      </c>
      <c r="J7" s="98">
        <v>100</v>
      </c>
      <c r="K7" s="98">
        <v>100</v>
      </c>
      <c r="L7" s="98">
        <v>100</v>
      </c>
      <c r="M7" s="98">
        <v>100</v>
      </c>
      <c r="N7" s="98">
        <v>100</v>
      </c>
      <c r="O7" s="98">
        <v>100</v>
      </c>
      <c r="P7" s="98">
        <v>100</v>
      </c>
      <c r="Q7" s="98">
        <v>100</v>
      </c>
      <c r="R7" s="98">
        <v>100</v>
      </c>
      <c r="S7" s="98">
        <v>100</v>
      </c>
      <c r="T7" s="98">
        <v>100</v>
      </c>
      <c r="U7" s="98">
        <v>100</v>
      </c>
      <c r="V7" s="98">
        <v>100</v>
      </c>
      <c r="W7" s="98">
        <v>100</v>
      </c>
      <c r="X7" s="98">
        <v>100</v>
      </c>
      <c r="Y7" s="98">
        <v>100</v>
      </c>
      <c r="Z7" s="98">
        <v>100</v>
      </c>
      <c r="AA7" s="98">
        <v>100</v>
      </c>
      <c r="AB7" s="98">
        <v>100</v>
      </c>
      <c r="AC7" s="98"/>
      <c r="AD7" s="98"/>
      <c r="AE7" s="98"/>
      <c r="AF7" s="98"/>
      <c r="AG7" s="98"/>
      <c r="AH7" s="98"/>
    </row>
    <row r="8" spans="1:34" ht="27" customHeight="1">
      <c r="A8" s="30"/>
      <c r="B8" s="801"/>
      <c r="C8" s="433" t="s">
        <v>1925</v>
      </c>
      <c r="D8" s="403">
        <v>43671</v>
      </c>
      <c r="E8" s="98">
        <v>100</v>
      </c>
      <c r="F8" s="98">
        <v>100</v>
      </c>
      <c r="G8" s="98">
        <v>100</v>
      </c>
      <c r="H8" s="98">
        <v>100</v>
      </c>
      <c r="I8" s="98">
        <v>100</v>
      </c>
      <c r="J8" s="98">
        <v>100</v>
      </c>
      <c r="K8" s="98">
        <v>100</v>
      </c>
      <c r="L8" s="98">
        <v>100</v>
      </c>
      <c r="M8" s="98">
        <v>100</v>
      </c>
      <c r="N8" s="98">
        <v>100</v>
      </c>
      <c r="O8" s="98">
        <v>100</v>
      </c>
      <c r="P8" s="98">
        <v>100</v>
      </c>
      <c r="Q8" s="98">
        <v>100</v>
      </c>
      <c r="R8" s="98">
        <v>100</v>
      </c>
      <c r="S8" s="98">
        <v>100</v>
      </c>
      <c r="T8" s="98">
        <v>100</v>
      </c>
      <c r="U8" s="98">
        <v>100</v>
      </c>
      <c r="V8" s="98">
        <v>100</v>
      </c>
      <c r="W8" s="98">
        <v>100</v>
      </c>
      <c r="X8" s="98">
        <v>100</v>
      </c>
      <c r="Y8" s="98">
        <v>100</v>
      </c>
      <c r="Z8" s="98">
        <v>100</v>
      </c>
      <c r="AA8" s="98">
        <v>100</v>
      </c>
      <c r="AB8" s="98">
        <v>100</v>
      </c>
      <c r="AC8" s="98"/>
      <c r="AD8" s="98"/>
      <c r="AE8" s="98"/>
      <c r="AF8" s="98"/>
      <c r="AG8" s="98"/>
      <c r="AH8" s="98"/>
    </row>
    <row r="9" spans="1:34" ht="27" customHeight="1">
      <c r="A9" s="30"/>
      <c r="B9" s="801"/>
      <c r="C9" s="433" t="s">
        <v>1926</v>
      </c>
      <c r="D9" s="403">
        <v>43671</v>
      </c>
      <c r="E9" s="98">
        <v>100</v>
      </c>
      <c r="F9" s="98">
        <v>100</v>
      </c>
      <c r="G9" s="98">
        <v>100</v>
      </c>
      <c r="H9" s="98">
        <v>90</v>
      </c>
      <c r="I9" s="98">
        <v>100</v>
      </c>
      <c r="J9" s="98">
        <v>100</v>
      </c>
      <c r="K9" s="98">
        <v>100</v>
      </c>
      <c r="L9" s="98">
        <v>95</v>
      </c>
      <c r="M9" s="98">
        <v>100</v>
      </c>
      <c r="N9" s="98">
        <v>100</v>
      </c>
      <c r="O9" s="98">
        <v>100</v>
      </c>
      <c r="P9" s="98">
        <v>100</v>
      </c>
      <c r="Q9" s="98">
        <v>100</v>
      </c>
      <c r="R9" s="98">
        <v>100</v>
      </c>
      <c r="S9" s="98">
        <v>100</v>
      </c>
      <c r="T9" s="98">
        <v>90</v>
      </c>
      <c r="U9" s="98">
        <v>100</v>
      </c>
      <c r="V9" s="98">
        <v>100</v>
      </c>
      <c r="W9" s="98">
        <v>100</v>
      </c>
      <c r="X9" s="98">
        <v>100</v>
      </c>
      <c r="Y9" s="98">
        <v>100</v>
      </c>
      <c r="Z9" s="98">
        <v>100</v>
      </c>
      <c r="AA9" s="98">
        <v>100</v>
      </c>
      <c r="AB9" s="98">
        <v>100</v>
      </c>
      <c r="AC9" s="98"/>
      <c r="AD9" s="98"/>
      <c r="AE9" s="98"/>
      <c r="AF9" s="98"/>
      <c r="AG9" s="98"/>
      <c r="AH9" s="98"/>
    </row>
    <row r="10" spans="1:34" ht="27" hidden="1" customHeight="1">
      <c r="A10" s="30"/>
      <c r="B10" s="801"/>
      <c r="C10" s="546"/>
      <c r="D10" s="403"/>
      <c r="E10" s="98"/>
      <c r="F10" s="98"/>
      <c r="G10" s="98"/>
      <c r="H10" s="98"/>
      <c r="I10" s="98"/>
      <c r="J10" s="98"/>
      <c r="K10" s="98"/>
      <c r="L10" s="98"/>
      <c r="M10" s="98"/>
      <c r="N10" s="98"/>
      <c r="O10" s="98"/>
      <c r="P10" s="98"/>
      <c r="Q10" s="98"/>
      <c r="R10" s="98"/>
      <c r="S10" s="98"/>
      <c r="T10" s="98"/>
      <c r="U10" s="98"/>
      <c r="V10" s="98"/>
      <c r="W10" s="98"/>
      <c r="X10" s="98"/>
      <c r="Y10" s="98"/>
      <c r="Z10" s="98"/>
      <c r="AA10" s="98"/>
      <c r="AB10" s="98"/>
      <c r="AC10" s="98"/>
      <c r="AD10" s="98"/>
      <c r="AE10" s="98"/>
      <c r="AF10" s="98"/>
      <c r="AG10" s="98"/>
      <c r="AH10" s="98"/>
    </row>
    <row r="11" spans="1:34" ht="27" hidden="1" customHeight="1">
      <c r="A11" s="30"/>
      <c r="B11" s="801"/>
      <c r="C11" s="546"/>
      <c r="D11" s="403"/>
      <c r="E11" s="98"/>
      <c r="F11" s="98"/>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row>
    <row r="12" spans="1:34" ht="27" hidden="1" customHeight="1">
      <c r="A12" s="30"/>
      <c r="B12" s="801"/>
      <c r="C12" s="546" t="s">
        <v>1554</v>
      </c>
      <c r="D12" s="72"/>
      <c r="E12" s="98"/>
      <c r="F12" s="98"/>
      <c r="G12" s="98"/>
      <c r="H12" s="98"/>
      <c r="I12" s="98"/>
      <c r="J12" s="98"/>
      <c r="K12" s="98"/>
      <c r="L12" s="98"/>
      <c r="M12" s="98"/>
      <c r="N12" s="98"/>
      <c r="O12" s="98"/>
      <c r="P12" s="98"/>
      <c r="Q12" s="98"/>
      <c r="R12" s="98"/>
      <c r="S12" s="98"/>
      <c r="T12" s="98"/>
      <c r="U12" s="98"/>
      <c r="V12" s="98"/>
      <c r="W12" s="98"/>
      <c r="X12" s="98"/>
      <c r="Y12" s="98"/>
      <c r="Z12" s="98"/>
      <c r="AA12" s="98"/>
      <c r="AB12" s="98"/>
      <c r="AC12" s="98"/>
      <c r="AD12" s="98"/>
      <c r="AE12" s="98"/>
      <c r="AF12" s="98"/>
      <c r="AG12" s="98"/>
      <c r="AH12" s="98"/>
    </row>
    <row r="13" spans="1:34" ht="27" hidden="1" customHeight="1">
      <c r="A13" s="30"/>
      <c r="B13" s="802"/>
      <c r="C13" s="419" t="s">
        <v>1555</v>
      </c>
      <c r="D13" s="72"/>
      <c r="E13" s="98"/>
      <c r="F13" s="98"/>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row>
    <row r="14" spans="1:34" ht="27" customHeight="1">
      <c r="A14" s="30"/>
      <c r="B14" s="800">
        <v>2</v>
      </c>
      <c r="C14" s="795" t="s">
        <v>1927</v>
      </c>
      <c r="D14" s="796"/>
      <c r="E14" s="97">
        <f>IFERROR(AVERAGE(E15:E21),"")</f>
        <v>86.666666666666671</v>
      </c>
      <c r="F14" s="97">
        <f t="shared" ref="F14:AB14" si="2">IFERROR(AVERAGE(F15:F21),"")</f>
        <v>93.333333333333329</v>
      </c>
      <c r="G14" s="97">
        <f t="shared" si="2"/>
        <v>91.666666666666671</v>
      </c>
      <c r="H14" s="97">
        <f t="shared" si="2"/>
        <v>91.666666666666671</v>
      </c>
      <c r="I14" s="97">
        <f t="shared" si="2"/>
        <v>96.666666666666671</v>
      </c>
      <c r="J14" s="97">
        <f t="shared" si="2"/>
        <v>96.666666666666671</v>
      </c>
      <c r="K14" s="97">
        <f t="shared" si="2"/>
        <v>96.666666666666671</v>
      </c>
      <c r="L14" s="97">
        <f t="shared" si="2"/>
        <v>96.666666666666671</v>
      </c>
      <c r="M14" s="97">
        <f t="shared" si="2"/>
        <v>96.666666666666671</v>
      </c>
      <c r="N14" s="97">
        <f t="shared" si="2"/>
        <v>91.666666666666671</v>
      </c>
      <c r="O14" s="97">
        <f t="shared" si="2"/>
        <v>93.333333333333329</v>
      </c>
      <c r="P14" s="97">
        <f t="shared" si="2"/>
        <v>93.333333333333329</v>
      </c>
      <c r="Q14" s="97">
        <f t="shared" si="2"/>
        <v>96.666666666666671</v>
      </c>
      <c r="R14" s="97">
        <f t="shared" si="2"/>
        <v>93.333333333333329</v>
      </c>
      <c r="S14" s="97">
        <f t="shared" si="2"/>
        <v>93.333333333333329</v>
      </c>
      <c r="T14" s="97">
        <f t="shared" si="2"/>
        <v>90</v>
      </c>
      <c r="U14" s="97">
        <f t="shared" si="2"/>
        <v>95</v>
      </c>
      <c r="V14" s="97">
        <f t="shared" si="2"/>
        <v>100</v>
      </c>
      <c r="W14" s="97">
        <f t="shared" si="2"/>
        <v>90</v>
      </c>
      <c r="X14" s="97">
        <f t="shared" si="2"/>
        <v>88.333333333333329</v>
      </c>
      <c r="Y14" s="97">
        <f t="shared" si="2"/>
        <v>96.666666666666671</v>
      </c>
      <c r="Z14" s="97">
        <f t="shared" si="2"/>
        <v>91.666666666666671</v>
      </c>
      <c r="AA14" s="97">
        <f t="shared" si="2"/>
        <v>91.666666666666671</v>
      </c>
      <c r="AB14" s="97">
        <f t="shared" si="2"/>
        <v>95</v>
      </c>
      <c r="AC14" s="97" t="str">
        <f t="shared" ref="AC14:AH14" si="3">IFERROR(AVERAGE(AC15:AC21),"")</f>
        <v/>
      </c>
      <c r="AD14" s="97" t="str">
        <f t="shared" si="3"/>
        <v/>
      </c>
      <c r="AE14" s="97" t="str">
        <f t="shared" si="3"/>
        <v/>
      </c>
      <c r="AF14" s="97" t="str">
        <f t="shared" si="3"/>
        <v/>
      </c>
      <c r="AG14" s="97" t="str">
        <f t="shared" si="3"/>
        <v/>
      </c>
      <c r="AH14" s="97" t="str">
        <f t="shared" si="3"/>
        <v/>
      </c>
    </row>
    <row r="15" spans="1:34" ht="27" customHeight="1">
      <c r="A15" s="30"/>
      <c r="B15" s="801"/>
      <c r="C15" s="74" t="s">
        <v>1928</v>
      </c>
      <c r="D15" s="72">
        <v>43685</v>
      </c>
      <c r="E15" s="98">
        <v>100</v>
      </c>
      <c r="F15" s="98">
        <v>100</v>
      </c>
      <c r="G15" s="98">
        <v>100</v>
      </c>
      <c r="H15" s="98">
        <v>100</v>
      </c>
      <c r="I15" s="98">
        <v>100</v>
      </c>
      <c r="J15" s="98">
        <v>100</v>
      </c>
      <c r="K15" s="98">
        <v>90</v>
      </c>
      <c r="L15" s="98">
        <v>100</v>
      </c>
      <c r="M15" s="98">
        <v>90</v>
      </c>
      <c r="N15" s="98">
        <v>90</v>
      </c>
      <c r="O15" s="98">
        <v>100</v>
      </c>
      <c r="P15" s="98">
        <v>100</v>
      </c>
      <c r="Q15" s="98">
        <v>100</v>
      </c>
      <c r="R15" s="98">
        <v>100</v>
      </c>
      <c r="S15" s="98">
        <v>100</v>
      </c>
      <c r="T15" s="98">
        <v>90</v>
      </c>
      <c r="U15" s="98">
        <v>100</v>
      </c>
      <c r="V15" s="98">
        <v>100</v>
      </c>
      <c r="W15" s="98">
        <v>100</v>
      </c>
      <c r="X15" s="98">
        <v>95</v>
      </c>
      <c r="Y15" s="98">
        <v>100</v>
      </c>
      <c r="Z15" s="98">
        <v>100</v>
      </c>
      <c r="AA15" s="98">
        <v>100</v>
      </c>
      <c r="AB15" s="98">
        <v>100</v>
      </c>
      <c r="AC15" s="98"/>
      <c r="AD15" s="98"/>
      <c r="AE15" s="98"/>
      <c r="AF15" s="98"/>
      <c r="AG15" s="98"/>
      <c r="AH15" s="98"/>
    </row>
    <row r="16" spans="1:34" ht="27" customHeight="1">
      <c r="A16" s="30"/>
      <c r="B16" s="801"/>
      <c r="C16" s="74" t="s">
        <v>1929</v>
      </c>
      <c r="D16" s="72">
        <v>43692</v>
      </c>
      <c r="E16" s="98">
        <v>80</v>
      </c>
      <c r="F16" s="98">
        <v>100</v>
      </c>
      <c r="G16" s="98">
        <v>100</v>
      </c>
      <c r="H16" s="98">
        <v>100</v>
      </c>
      <c r="I16" s="98">
        <v>90</v>
      </c>
      <c r="J16" s="98">
        <v>90</v>
      </c>
      <c r="K16" s="98">
        <v>100</v>
      </c>
      <c r="L16" s="98">
        <v>100</v>
      </c>
      <c r="M16" s="98">
        <v>100</v>
      </c>
      <c r="N16" s="98">
        <v>95</v>
      </c>
      <c r="O16" s="98">
        <v>100</v>
      </c>
      <c r="P16" s="98">
        <v>100</v>
      </c>
      <c r="Q16" s="98">
        <v>100</v>
      </c>
      <c r="R16" s="98">
        <v>80</v>
      </c>
      <c r="S16" s="98">
        <v>80</v>
      </c>
      <c r="T16" s="98">
        <v>100</v>
      </c>
      <c r="U16" s="98">
        <v>100</v>
      </c>
      <c r="V16" s="98">
        <v>100</v>
      </c>
      <c r="W16" s="98">
        <v>80</v>
      </c>
      <c r="X16" s="98">
        <v>90</v>
      </c>
      <c r="Y16" s="98">
        <v>90</v>
      </c>
      <c r="Z16" s="98">
        <v>100</v>
      </c>
      <c r="AA16" s="98">
        <v>100</v>
      </c>
      <c r="AB16" s="98">
        <v>95</v>
      </c>
      <c r="AC16" s="98"/>
      <c r="AD16" s="98"/>
      <c r="AE16" s="98"/>
      <c r="AF16" s="98"/>
      <c r="AG16" s="98"/>
      <c r="AH16" s="98"/>
    </row>
    <row r="17" spans="1:34" ht="27" customHeight="1">
      <c r="A17" s="30"/>
      <c r="B17" s="801"/>
      <c r="C17" s="74" t="s">
        <v>1930</v>
      </c>
      <c r="D17" s="72">
        <v>43692</v>
      </c>
      <c r="E17" s="98">
        <v>80</v>
      </c>
      <c r="F17" s="98">
        <v>80</v>
      </c>
      <c r="G17" s="98">
        <v>75</v>
      </c>
      <c r="H17" s="98">
        <v>75</v>
      </c>
      <c r="I17" s="98">
        <v>100</v>
      </c>
      <c r="J17" s="98">
        <v>100</v>
      </c>
      <c r="K17" s="98">
        <v>100</v>
      </c>
      <c r="L17" s="98">
        <v>90</v>
      </c>
      <c r="M17" s="98">
        <v>100</v>
      </c>
      <c r="N17" s="98">
        <v>90</v>
      </c>
      <c r="O17" s="98">
        <v>80</v>
      </c>
      <c r="P17" s="98">
        <v>80</v>
      </c>
      <c r="Q17" s="98">
        <v>90</v>
      </c>
      <c r="R17" s="98">
        <v>100</v>
      </c>
      <c r="S17" s="98">
        <v>100</v>
      </c>
      <c r="T17" s="98">
        <v>80</v>
      </c>
      <c r="U17" s="98">
        <v>85</v>
      </c>
      <c r="V17" s="98">
        <v>100</v>
      </c>
      <c r="W17" s="98">
        <v>90</v>
      </c>
      <c r="X17" s="98">
        <v>80</v>
      </c>
      <c r="Y17" s="98">
        <v>100</v>
      </c>
      <c r="Z17" s="98">
        <v>75</v>
      </c>
      <c r="AA17" s="98">
        <v>75</v>
      </c>
      <c r="AB17" s="98">
        <v>90</v>
      </c>
      <c r="AC17" s="98"/>
      <c r="AD17" s="98"/>
      <c r="AE17" s="98"/>
      <c r="AF17" s="98"/>
      <c r="AG17" s="98"/>
      <c r="AH17" s="98"/>
    </row>
    <row r="18" spans="1:34" ht="27" hidden="1" customHeight="1">
      <c r="A18" s="30"/>
      <c r="B18" s="801"/>
      <c r="C18" s="74"/>
      <c r="D18" s="72"/>
      <c r="E18" s="98"/>
      <c r="F18" s="98"/>
      <c r="G18" s="98"/>
      <c r="H18" s="98"/>
      <c r="I18" s="98"/>
      <c r="J18" s="98"/>
      <c r="K18" s="98"/>
      <c r="L18" s="98"/>
      <c r="M18" s="98"/>
      <c r="N18" s="98"/>
      <c r="O18" s="98"/>
      <c r="P18" s="98"/>
      <c r="Q18" s="98"/>
      <c r="R18" s="98"/>
      <c r="S18" s="98"/>
      <c r="T18" s="98"/>
      <c r="U18" s="98"/>
      <c r="V18" s="98"/>
      <c r="W18" s="98"/>
      <c r="X18" s="98"/>
      <c r="Y18" s="98"/>
      <c r="Z18" s="98"/>
      <c r="AA18" s="98"/>
      <c r="AB18" s="98"/>
      <c r="AC18" s="98"/>
      <c r="AD18" s="98"/>
      <c r="AE18" s="98"/>
      <c r="AF18" s="98"/>
      <c r="AG18" s="98"/>
      <c r="AH18" s="98"/>
    </row>
    <row r="19" spans="1:34" ht="27" hidden="1" customHeight="1">
      <c r="A19" s="30"/>
      <c r="B19" s="801"/>
      <c r="C19" s="74"/>
      <c r="D19" s="72"/>
      <c r="E19" s="98"/>
      <c r="F19" s="98"/>
      <c r="G19" s="98"/>
      <c r="H19" s="98"/>
      <c r="I19" s="98"/>
      <c r="J19" s="98"/>
      <c r="K19" s="98"/>
      <c r="L19" s="98"/>
      <c r="M19" s="98"/>
      <c r="N19" s="98"/>
      <c r="O19" s="98"/>
      <c r="P19" s="98"/>
      <c r="Q19" s="98"/>
      <c r="R19" s="98"/>
      <c r="S19" s="98"/>
      <c r="T19" s="98"/>
      <c r="U19" s="98"/>
      <c r="V19" s="98"/>
      <c r="W19" s="98"/>
      <c r="X19" s="98"/>
      <c r="Y19" s="98"/>
      <c r="Z19" s="98"/>
      <c r="AA19" s="98"/>
      <c r="AB19" s="98"/>
      <c r="AC19" s="98"/>
      <c r="AD19" s="98"/>
      <c r="AE19" s="98"/>
      <c r="AF19" s="98"/>
      <c r="AG19" s="98"/>
      <c r="AH19" s="98"/>
    </row>
    <row r="20" spans="1:34" ht="27" hidden="1" customHeight="1">
      <c r="A20" s="30"/>
      <c r="B20" s="801"/>
      <c r="C20" s="74"/>
      <c r="D20" s="72"/>
      <c r="E20" s="98"/>
      <c r="F20" s="98"/>
      <c r="G20" s="98"/>
      <c r="H20" s="98"/>
      <c r="I20" s="98"/>
      <c r="J20" s="98"/>
      <c r="K20" s="98"/>
      <c r="L20" s="98"/>
      <c r="M20" s="98"/>
      <c r="N20" s="98"/>
      <c r="O20" s="98"/>
      <c r="P20" s="98"/>
      <c r="Q20" s="98"/>
      <c r="R20" s="98"/>
      <c r="S20" s="98"/>
      <c r="T20" s="98"/>
      <c r="U20" s="98"/>
      <c r="V20" s="98"/>
      <c r="W20" s="98"/>
      <c r="X20" s="98"/>
      <c r="Y20" s="98"/>
      <c r="Z20" s="98"/>
      <c r="AA20" s="98"/>
      <c r="AB20" s="98"/>
      <c r="AC20" s="98"/>
      <c r="AD20" s="98"/>
      <c r="AE20" s="98"/>
      <c r="AF20" s="98"/>
      <c r="AG20" s="98"/>
      <c r="AH20" s="98"/>
    </row>
    <row r="21" spans="1:34" ht="27" hidden="1" customHeight="1">
      <c r="A21" s="30"/>
      <c r="B21" s="802"/>
      <c r="C21" s="74"/>
      <c r="D21" s="72"/>
      <c r="E21" s="98"/>
      <c r="F21" s="98"/>
      <c r="G21" s="98"/>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row>
    <row r="22" spans="1:34" ht="27" customHeight="1">
      <c r="A22" s="30"/>
      <c r="B22" s="801">
        <v>3</v>
      </c>
      <c r="C22" s="795" t="s">
        <v>1931</v>
      </c>
      <c r="D22" s="796"/>
      <c r="E22" s="97">
        <f>IFERROR(AVERAGE(E23:E29),"")</f>
        <v>100</v>
      </c>
      <c r="F22" s="97">
        <f t="shared" ref="F22:AA22" si="4">IFERROR(AVERAGE(F23:F29),"")</f>
        <v>80</v>
      </c>
      <c r="G22" s="97">
        <f t="shared" si="4"/>
        <v>85</v>
      </c>
      <c r="H22" s="97">
        <f t="shared" si="4"/>
        <v>100</v>
      </c>
      <c r="I22" s="97">
        <f t="shared" si="4"/>
        <v>100</v>
      </c>
      <c r="J22" s="97">
        <f t="shared" si="4"/>
        <v>100</v>
      </c>
      <c r="K22" s="97">
        <f t="shared" si="4"/>
        <v>100</v>
      </c>
      <c r="L22" s="97">
        <f t="shared" si="4"/>
        <v>95</v>
      </c>
      <c r="M22" s="97">
        <f t="shared" si="4"/>
        <v>100</v>
      </c>
      <c r="N22" s="97">
        <f t="shared" si="4"/>
        <v>95</v>
      </c>
      <c r="O22" s="97">
        <f t="shared" si="4"/>
        <v>100</v>
      </c>
      <c r="P22" s="97">
        <f t="shared" si="4"/>
        <v>100</v>
      </c>
      <c r="Q22" s="97">
        <f t="shared" si="4"/>
        <v>100</v>
      </c>
      <c r="R22" s="97">
        <f t="shared" si="4"/>
        <v>95</v>
      </c>
      <c r="S22" s="97">
        <f t="shared" si="4"/>
        <v>85</v>
      </c>
      <c r="T22" s="97">
        <f t="shared" si="4"/>
        <v>90</v>
      </c>
      <c r="U22" s="97">
        <f t="shared" si="4"/>
        <v>100</v>
      </c>
      <c r="V22" s="97">
        <f t="shared" si="4"/>
        <v>100</v>
      </c>
      <c r="W22" s="97">
        <f t="shared" si="4"/>
        <v>100</v>
      </c>
      <c r="X22" s="97">
        <f t="shared" si="4"/>
        <v>90</v>
      </c>
      <c r="Y22" s="97">
        <f t="shared" si="4"/>
        <v>95</v>
      </c>
      <c r="Z22" s="97">
        <f t="shared" si="4"/>
        <v>100</v>
      </c>
      <c r="AA22" s="97">
        <f t="shared" si="4"/>
        <v>100</v>
      </c>
      <c r="AB22" s="97">
        <f t="shared" ref="AB22:AH22" si="5">IFERROR(AVERAGE(AB23:AB29),"")</f>
        <v>90</v>
      </c>
      <c r="AC22" s="97" t="str">
        <f t="shared" si="5"/>
        <v/>
      </c>
      <c r="AD22" s="97" t="str">
        <f t="shared" si="5"/>
        <v/>
      </c>
      <c r="AE22" s="97" t="str">
        <f t="shared" si="5"/>
        <v/>
      </c>
      <c r="AF22" s="97" t="str">
        <f t="shared" si="5"/>
        <v/>
      </c>
      <c r="AG22" s="97" t="str">
        <f t="shared" si="5"/>
        <v/>
      </c>
      <c r="AH22" s="97" t="str">
        <f t="shared" si="5"/>
        <v/>
      </c>
    </row>
    <row r="23" spans="1:34" ht="27" customHeight="1">
      <c r="A23" s="30"/>
      <c r="B23" s="794"/>
      <c r="C23" s="693" t="s">
        <v>1932</v>
      </c>
      <c r="D23" s="72">
        <v>43727</v>
      </c>
      <c r="E23" s="98">
        <v>100</v>
      </c>
      <c r="F23" s="98">
        <v>80</v>
      </c>
      <c r="G23" s="98">
        <v>80</v>
      </c>
      <c r="H23" s="98">
        <v>100</v>
      </c>
      <c r="I23" s="98">
        <v>100</v>
      </c>
      <c r="J23" s="98">
        <v>100</v>
      </c>
      <c r="K23" s="98">
        <v>100</v>
      </c>
      <c r="L23" s="98">
        <v>90</v>
      </c>
      <c r="M23" s="98">
        <v>100</v>
      </c>
      <c r="N23" s="98">
        <v>100</v>
      </c>
      <c r="O23" s="98">
        <v>100</v>
      </c>
      <c r="P23" s="98">
        <v>100</v>
      </c>
      <c r="Q23" s="98">
        <v>100</v>
      </c>
      <c r="R23" s="98">
        <v>100</v>
      </c>
      <c r="S23" s="98">
        <v>80</v>
      </c>
      <c r="T23" s="98">
        <v>80</v>
      </c>
      <c r="U23" s="98">
        <v>100</v>
      </c>
      <c r="V23" s="98">
        <v>100</v>
      </c>
      <c r="W23" s="98">
        <v>100</v>
      </c>
      <c r="X23" s="98">
        <v>80</v>
      </c>
      <c r="Y23" s="98">
        <v>90</v>
      </c>
      <c r="Z23" s="98">
        <v>100</v>
      </c>
      <c r="AA23" s="98">
        <v>100</v>
      </c>
      <c r="AB23" s="98">
        <v>90</v>
      </c>
      <c r="AC23" s="98"/>
      <c r="AD23" s="98"/>
      <c r="AE23" s="98"/>
      <c r="AF23" s="98"/>
      <c r="AG23" s="98"/>
      <c r="AH23" s="98"/>
    </row>
    <row r="24" spans="1:34" ht="27" customHeight="1">
      <c r="A24" s="30"/>
      <c r="B24" s="794"/>
      <c r="C24" s="694" t="s">
        <v>1933</v>
      </c>
      <c r="D24" s="72">
        <v>43727</v>
      </c>
      <c r="E24" s="98">
        <v>100</v>
      </c>
      <c r="F24" s="98">
        <v>80</v>
      </c>
      <c r="G24" s="98">
        <v>90</v>
      </c>
      <c r="H24" s="98">
        <v>100</v>
      </c>
      <c r="I24" s="98">
        <v>100</v>
      </c>
      <c r="J24" s="98">
        <v>100</v>
      </c>
      <c r="K24" s="98">
        <v>100</v>
      </c>
      <c r="L24" s="98">
        <v>100</v>
      </c>
      <c r="M24" s="98">
        <v>100</v>
      </c>
      <c r="N24" s="98">
        <v>90</v>
      </c>
      <c r="O24" s="98">
        <v>100</v>
      </c>
      <c r="P24" s="98">
        <v>100</v>
      </c>
      <c r="Q24" s="98">
        <v>100</v>
      </c>
      <c r="R24" s="98">
        <v>90</v>
      </c>
      <c r="S24" s="98">
        <v>90</v>
      </c>
      <c r="T24" s="98">
        <v>100</v>
      </c>
      <c r="U24" s="98">
        <v>100</v>
      </c>
      <c r="V24" s="98">
        <v>100</v>
      </c>
      <c r="W24" s="98">
        <v>100</v>
      </c>
      <c r="X24" s="98">
        <v>100</v>
      </c>
      <c r="Y24" s="98">
        <v>100</v>
      </c>
      <c r="Z24" s="98">
        <v>100</v>
      </c>
      <c r="AA24" s="98">
        <v>100</v>
      </c>
      <c r="AB24" s="98">
        <v>90</v>
      </c>
      <c r="AC24" s="98"/>
      <c r="AD24" s="98"/>
      <c r="AE24" s="98"/>
      <c r="AF24" s="98"/>
      <c r="AG24" s="98"/>
      <c r="AH24" s="98"/>
    </row>
    <row r="25" spans="1:34" ht="27" hidden="1" customHeight="1">
      <c r="A25" s="30"/>
      <c r="B25" s="794"/>
      <c r="C25" s="547"/>
      <c r="D25" s="72"/>
      <c r="E25" s="98"/>
      <c r="F25" s="98"/>
      <c r="G25" s="98"/>
      <c r="H25" s="98"/>
      <c r="I25" s="98"/>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row>
    <row r="26" spans="1:34" ht="27" hidden="1" customHeight="1">
      <c r="A26" s="30"/>
      <c r="B26" s="794"/>
      <c r="C26" s="74"/>
      <c r="D26" s="72"/>
      <c r="E26" s="98"/>
      <c r="F26" s="98"/>
      <c r="G26" s="98"/>
      <c r="H26" s="98"/>
      <c r="I26" s="98"/>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row>
    <row r="27" spans="1:34" ht="27" hidden="1" customHeight="1">
      <c r="A27" s="30"/>
      <c r="B27" s="794"/>
      <c r="C27" s="74"/>
      <c r="D27" s="72"/>
      <c r="E27" s="98"/>
      <c r="F27" s="98"/>
      <c r="G27" s="98"/>
      <c r="H27" s="98"/>
      <c r="I27" s="98"/>
      <c r="J27" s="98"/>
      <c r="K27" s="98"/>
      <c r="L27" s="98"/>
      <c r="M27" s="98"/>
      <c r="N27" s="98"/>
      <c r="O27" s="98"/>
      <c r="P27" s="98"/>
      <c r="Q27" s="98"/>
      <c r="R27" s="98"/>
      <c r="S27" s="98"/>
      <c r="T27" s="98"/>
      <c r="U27" s="98"/>
      <c r="V27" s="98"/>
      <c r="W27" s="98"/>
      <c r="X27" s="98"/>
      <c r="Y27" s="98"/>
      <c r="Z27" s="98"/>
      <c r="AA27" s="98"/>
      <c r="AB27" s="98"/>
      <c r="AC27" s="98"/>
      <c r="AD27" s="98"/>
      <c r="AE27" s="98"/>
      <c r="AF27" s="98"/>
      <c r="AG27" s="98"/>
      <c r="AH27" s="98"/>
    </row>
    <row r="28" spans="1:34" ht="27" hidden="1" customHeight="1">
      <c r="A28" s="30"/>
      <c r="B28" s="794"/>
      <c r="C28" s="74"/>
      <c r="D28" s="72"/>
      <c r="E28" s="98"/>
      <c r="F28" s="98"/>
      <c r="G28" s="98"/>
      <c r="H28" s="98"/>
      <c r="I28" s="98"/>
      <c r="J28" s="98"/>
      <c r="K28" s="98"/>
      <c r="L28" s="98"/>
      <c r="M28" s="98"/>
      <c r="N28" s="98"/>
      <c r="O28" s="98"/>
      <c r="P28" s="98"/>
      <c r="Q28" s="98"/>
      <c r="R28" s="98"/>
      <c r="S28" s="98"/>
      <c r="T28" s="98"/>
      <c r="U28" s="98"/>
      <c r="V28" s="98"/>
      <c r="W28" s="98"/>
      <c r="X28" s="98"/>
      <c r="Y28" s="98"/>
      <c r="Z28" s="98"/>
      <c r="AA28" s="98"/>
      <c r="AB28" s="98"/>
      <c r="AC28" s="98"/>
      <c r="AD28" s="98"/>
      <c r="AE28" s="98"/>
      <c r="AF28" s="98"/>
      <c r="AG28" s="98"/>
      <c r="AH28" s="98"/>
    </row>
    <row r="29" spans="1:34" ht="27" hidden="1" customHeight="1">
      <c r="A29" s="30"/>
      <c r="B29" s="802"/>
      <c r="C29" s="74"/>
      <c r="D29" s="72"/>
      <c r="E29" s="98"/>
      <c r="F29" s="98"/>
      <c r="G29" s="98"/>
      <c r="H29" s="98"/>
      <c r="I29" s="98"/>
      <c r="J29" s="98"/>
      <c r="K29" s="98"/>
      <c r="L29" s="98"/>
      <c r="M29" s="98"/>
      <c r="N29" s="98"/>
      <c r="O29" s="98"/>
      <c r="P29" s="98"/>
      <c r="Q29" s="98"/>
      <c r="R29" s="98"/>
      <c r="S29" s="98"/>
      <c r="T29" s="98"/>
      <c r="U29" s="98"/>
      <c r="V29" s="98"/>
      <c r="W29" s="98"/>
      <c r="X29" s="98"/>
      <c r="Y29" s="98"/>
      <c r="Z29" s="98"/>
      <c r="AA29" s="98"/>
      <c r="AB29" s="98"/>
      <c r="AC29" s="98"/>
      <c r="AD29" s="98"/>
      <c r="AE29" s="98"/>
      <c r="AF29" s="98"/>
      <c r="AG29" s="98"/>
      <c r="AH29" s="98"/>
    </row>
    <row r="30" spans="1:34" ht="27" customHeight="1">
      <c r="A30" s="30"/>
      <c r="B30" s="800">
        <v>4</v>
      </c>
      <c r="C30" s="795" t="s">
        <v>1934</v>
      </c>
      <c r="D30" s="796"/>
      <c r="E30" s="97">
        <f>IFERROR(AVERAGE(E31:E37),"")</f>
        <v>100</v>
      </c>
      <c r="F30" s="97">
        <f t="shared" ref="F30:AB30" si="6">IFERROR(AVERAGE(F31:F37),"")</f>
        <v>100</v>
      </c>
      <c r="G30" s="97">
        <f t="shared" si="6"/>
        <v>88.333333333333329</v>
      </c>
      <c r="H30" s="97">
        <f t="shared" si="6"/>
        <v>100</v>
      </c>
      <c r="I30" s="97">
        <f t="shared" si="6"/>
        <v>90</v>
      </c>
      <c r="J30" s="97">
        <f t="shared" si="6"/>
        <v>93.333333333333329</v>
      </c>
      <c r="K30" s="97">
        <f t="shared" si="6"/>
        <v>100</v>
      </c>
      <c r="L30" s="97">
        <f t="shared" si="6"/>
        <v>96.666666666666671</v>
      </c>
      <c r="M30" s="97">
        <f t="shared" si="6"/>
        <v>100</v>
      </c>
      <c r="N30" s="97">
        <f t="shared" si="6"/>
        <v>100</v>
      </c>
      <c r="O30" s="97">
        <f t="shared" si="6"/>
        <v>100</v>
      </c>
      <c r="P30" s="97">
        <f t="shared" si="6"/>
        <v>96.666666666666671</v>
      </c>
      <c r="Q30" s="97">
        <f t="shared" si="6"/>
        <v>100</v>
      </c>
      <c r="R30" s="97">
        <f t="shared" si="6"/>
        <v>90</v>
      </c>
      <c r="S30" s="97">
        <f t="shared" si="6"/>
        <v>100</v>
      </c>
      <c r="T30" s="97">
        <f t="shared" si="6"/>
        <v>96.666666666666671</v>
      </c>
      <c r="U30" s="97">
        <f t="shared" si="6"/>
        <v>100</v>
      </c>
      <c r="V30" s="97">
        <f t="shared" si="6"/>
        <v>100</v>
      </c>
      <c r="W30" s="97">
        <f t="shared" si="6"/>
        <v>100</v>
      </c>
      <c r="X30" s="97">
        <f t="shared" si="6"/>
        <v>100</v>
      </c>
      <c r="Y30" s="97">
        <f t="shared" si="6"/>
        <v>100</v>
      </c>
      <c r="Z30" s="97">
        <f t="shared" si="6"/>
        <v>100</v>
      </c>
      <c r="AA30" s="97">
        <f t="shared" si="6"/>
        <v>100</v>
      </c>
      <c r="AB30" s="97">
        <f t="shared" si="6"/>
        <v>100</v>
      </c>
      <c r="AC30" s="97" t="str">
        <f t="shared" ref="AC30:AH30" si="7">IFERROR(AVERAGE(AC31:AC37),"")</f>
        <v/>
      </c>
      <c r="AD30" s="97" t="str">
        <f t="shared" si="7"/>
        <v/>
      </c>
      <c r="AE30" s="97" t="str">
        <f t="shared" si="7"/>
        <v/>
      </c>
      <c r="AF30" s="97" t="str">
        <f t="shared" si="7"/>
        <v/>
      </c>
      <c r="AG30" s="97" t="str">
        <f t="shared" si="7"/>
        <v/>
      </c>
      <c r="AH30" s="97" t="str">
        <f t="shared" si="7"/>
        <v/>
      </c>
    </row>
    <row r="31" spans="1:34" ht="27" customHeight="1">
      <c r="A31" s="30"/>
      <c r="B31" s="801"/>
      <c r="C31" s="74" t="s">
        <v>1935</v>
      </c>
      <c r="D31" s="72">
        <v>43755</v>
      </c>
      <c r="E31" s="98">
        <v>100</v>
      </c>
      <c r="F31" s="98">
        <v>100</v>
      </c>
      <c r="G31" s="98">
        <v>85</v>
      </c>
      <c r="H31" s="98">
        <v>100</v>
      </c>
      <c r="I31" s="98">
        <v>90</v>
      </c>
      <c r="J31" s="98">
        <v>100</v>
      </c>
      <c r="K31" s="98">
        <v>100</v>
      </c>
      <c r="L31" s="98">
        <v>90</v>
      </c>
      <c r="M31" s="98">
        <v>100</v>
      </c>
      <c r="N31" s="98">
        <v>100</v>
      </c>
      <c r="O31" s="98">
        <v>100</v>
      </c>
      <c r="P31" s="98">
        <v>90</v>
      </c>
      <c r="Q31" s="98">
        <v>100</v>
      </c>
      <c r="R31" s="98">
        <v>75</v>
      </c>
      <c r="S31" s="98">
        <v>100</v>
      </c>
      <c r="T31" s="98">
        <v>90</v>
      </c>
      <c r="U31" s="98">
        <v>100</v>
      </c>
      <c r="V31" s="98">
        <v>100</v>
      </c>
      <c r="W31" s="98">
        <v>100</v>
      </c>
      <c r="X31" s="98">
        <v>100</v>
      </c>
      <c r="Y31" s="98">
        <v>100</v>
      </c>
      <c r="Z31" s="98">
        <v>100</v>
      </c>
      <c r="AA31" s="98">
        <v>100</v>
      </c>
      <c r="AB31" s="98">
        <v>100</v>
      </c>
      <c r="AC31" s="98"/>
      <c r="AD31" s="98"/>
      <c r="AE31" s="98"/>
      <c r="AF31" s="98"/>
      <c r="AG31" s="98"/>
      <c r="AH31" s="98"/>
    </row>
    <row r="32" spans="1:34" ht="27" customHeight="1">
      <c r="A32" s="30"/>
      <c r="B32" s="801"/>
      <c r="C32" s="74" t="s">
        <v>1936</v>
      </c>
      <c r="D32" s="72">
        <v>43762</v>
      </c>
      <c r="E32" s="98">
        <v>100</v>
      </c>
      <c r="F32" s="98">
        <v>100</v>
      </c>
      <c r="G32" s="98">
        <v>90</v>
      </c>
      <c r="H32" s="98">
        <v>100</v>
      </c>
      <c r="I32" s="98">
        <v>90</v>
      </c>
      <c r="J32" s="98">
        <v>90</v>
      </c>
      <c r="K32" s="98">
        <v>100</v>
      </c>
      <c r="L32" s="98">
        <v>100</v>
      </c>
      <c r="M32" s="98">
        <v>100</v>
      </c>
      <c r="N32" s="98">
        <v>100</v>
      </c>
      <c r="O32" s="98">
        <v>100</v>
      </c>
      <c r="P32" s="98">
        <v>100</v>
      </c>
      <c r="Q32" s="98">
        <v>100</v>
      </c>
      <c r="R32" s="98">
        <v>100</v>
      </c>
      <c r="S32" s="98">
        <v>100</v>
      </c>
      <c r="T32" s="98">
        <v>100</v>
      </c>
      <c r="U32" s="98">
        <v>100</v>
      </c>
      <c r="V32" s="98">
        <v>100</v>
      </c>
      <c r="W32" s="98">
        <v>100</v>
      </c>
      <c r="X32" s="98">
        <v>100</v>
      </c>
      <c r="Y32" s="98">
        <v>100</v>
      </c>
      <c r="Z32" s="98">
        <v>100</v>
      </c>
      <c r="AA32" s="98">
        <v>100</v>
      </c>
      <c r="AB32" s="98">
        <v>100</v>
      </c>
      <c r="AC32" s="98"/>
      <c r="AD32" s="98"/>
      <c r="AE32" s="98"/>
      <c r="AF32" s="98"/>
      <c r="AG32" s="98"/>
      <c r="AH32" s="98"/>
    </row>
    <row r="33" spans="1:34" ht="27" customHeight="1">
      <c r="A33" s="30"/>
      <c r="B33" s="801"/>
      <c r="C33" s="74" t="s">
        <v>1937</v>
      </c>
      <c r="D33" s="72">
        <v>43762</v>
      </c>
      <c r="E33" s="98">
        <v>100</v>
      </c>
      <c r="F33" s="98">
        <v>100</v>
      </c>
      <c r="G33" s="98">
        <v>90</v>
      </c>
      <c r="H33" s="98">
        <v>100</v>
      </c>
      <c r="I33" s="98">
        <v>90</v>
      </c>
      <c r="J33" s="98">
        <v>90</v>
      </c>
      <c r="K33" s="98">
        <v>100</v>
      </c>
      <c r="L33" s="98">
        <v>100</v>
      </c>
      <c r="M33" s="98">
        <v>100</v>
      </c>
      <c r="N33" s="98">
        <v>100</v>
      </c>
      <c r="O33" s="98">
        <v>100</v>
      </c>
      <c r="P33" s="98">
        <v>100</v>
      </c>
      <c r="Q33" s="98">
        <v>100</v>
      </c>
      <c r="R33" s="98">
        <v>95</v>
      </c>
      <c r="S33" s="98">
        <v>100</v>
      </c>
      <c r="T33" s="98">
        <v>100</v>
      </c>
      <c r="U33" s="98">
        <v>100</v>
      </c>
      <c r="V33" s="98">
        <v>100</v>
      </c>
      <c r="W33" s="98">
        <v>100</v>
      </c>
      <c r="X33" s="98">
        <v>100</v>
      </c>
      <c r="Y33" s="98">
        <v>100</v>
      </c>
      <c r="Z33" s="98">
        <v>100</v>
      </c>
      <c r="AA33" s="98">
        <v>100</v>
      </c>
      <c r="AB33" s="98">
        <v>100</v>
      </c>
      <c r="AC33" s="98"/>
      <c r="AD33" s="98"/>
      <c r="AE33" s="98"/>
      <c r="AF33" s="98"/>
      <c r="AG33" s="98"/>
      <c r="AH33" s="98"/>
    </row>
    <row r="34" spans="1:34" ht="27" hidden="1" customHeight="1">
      <c r="A34" s="30"/>
      <c r="B34" s="801"/>
      <c r="C34" s="74"/>
      <c r="D34" s="72"/>
      <c r="E34" s="98"/>
      <c r="F34" s="98"/>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row>
    <row r="35" spans="1:34" ht="27" hidden="1" customHeight="1">
      <c r="A35" s="30"/>
      <c r="B35" s="801"/>
      <c r="C35" s="74"/>
      <c r="D35" s="72"/>
      <c r="E35" s="98"/>
      <c r="F35" s="98"/>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row>
    <row r="36" spans="1:34" ht="27" hidden="1" customHeight="1">
      <c r="A36" s="30"/>
      <c r="B36" s="801"/>
      <c r="C36" s="74"/>
      <c r="D36" s="72"/>
      <c r="E36" s="98"/>
      <c r="F36" s="98"/>
      <c r="G36" s="98"/>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row>
    <row r="37" spans="1:34" ht="27" hidden="1" customHeight="1">
      <c r="A37" s="30"/>
      <c r="B37" s="802"/>
      <c r="C37" s="74"/>
      <c r="D37" s="72"/>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row>
    <row r="38" spans="1:34" ht="27" customHeight="1">
      <c r="A38" s="30"/>
      <c r="B38" s="800">
        <v>5</v>
      </c>
      <c r="C38" s="795" t="s">
        <v>1938</v>
      </c>
      <c r="D38" s="796"/>
      <c r="E38" s="97">
        <f>IFERROR(AVERAGE(E39:E45),"")</f>
        <v>100</v>
      </c>
      <c r="F38" s="97">
        <f t="shared" ref="F38:AB38" si="8">IFERROR(AVERAGE(F39:F45),"")</f>
        <v>100</v>
      </c>
      <c r="G38" s="97">
        <f t="shared" si="8"/>
        <v>100</v>
      </c>
      <c r="H38" s="97">
        <f t="shared" si="8"/>
        <v>100</v>
      </c>
      <c r="I38" s="97">
        <f t="shared" si="8"/>
        <v>100</v>
      </c>
      <c r="J38" s="97">
        <f t="shared" si="8"/>
        <v>100</v>
      </c>
      <c r="K38" s="97">
        <f t="shared" si="8"/>
        <v>100</v>
      </c>
      <c r="L38" s="97">
        <f t="shared" si="8"/>
        <v>100</v>
      </c>
      <c r="M38" s="97">
        <f t="shared" si="8"/>
        <v>100</v>
      </c>
      <c r="N38" s="97">
        <f t="shared" si="8"/>
        <v>100</v>
      </c>
      <c r="O38" s="97">
        <f t="shared" si="8"/>
        <v>100</v>
      </c>
      <c r="P38" s="97">
        <f t="shared" si="8"/>
        <v>100</v>
      </c>
      <c r="Q38" s="97">
        <f t="shared" si="8"/>
        <v>100</v>
      </c>
      <c r="R38" s="97">
        <f t="shared" si="8"/>
        <v>100</v>
      </c>
      <c r="S38" s="97">
        <f t="shared" si="8"/>
        <v>100</v>
      </c>
      <c r="T38" s="97">
        <f t="shared" si="8"/>
        <v>90</v>
      </c>
      <c r="U38" s="97">
        <f t="shared" si="8"/>
        <v>100</v>
      </c>
      <c r="V38" s="97">
        <f t="shared" si="8"/>
        <v>100</v>
      </c>
      <c r="W38" s="97">
        <f t="shared" si="8"/>
        <v>90</v>
      </c>
      <c r="X38" s="97">
        <f t="shared" si="8"/>
        <v>100</v>
      </c>
      <c r="Y38" s="97">
        <f t="shared" si="8"/>
        <v>100</v>
      </c>
      <c r="Z38" s="97">
        <f t="shared" si="8"/>
        <v>100</v>
      </c>
      <c r="AA38" s="97">
        <f t="shared" si="8"/>
        <v>100</v>
      </c>
      <c r="AB38" s="97">
        <f t="shared" si="8"/>
        <v>100</v>
      </c>
      <c r="AC38" s="97" t="str">
        <f t="shared" ref="AC38:AH38" si="9">IFERROR(AVERAGE(AC39:AC45),"")</f>
        <v/>
      </c>
      <c r="AD38" s="97" t="str">
        <f t="shared" si="9"/>
        <v/>
      </c>
      <c r="AE38" s="97" t="str">
        <f t="shared" si="9"/>
        <v/>
      </c>
      <c r="AF38" s="97" t="str">
        <f t="shared" si="9"/>
        <v/>
      </c>
      <c r="AG38" s="97" t="str">
        <f t="shared" si="9"/>
        <v/>
      </c>
      <c r="AH38" s="97" t="str">
        <f t="shared" si="9"/>
        <v/>
      </c>
    </row>
    <row r="39" spans="1:34" ht="27" customHeight="1">
      <c r="A39" s="30"/>
      <c r="B39" s="801"/>
      <c r="C39" s="434" t="s">
        <v>1939</v>
      </c>
      <c r="D39" s="72">
        <v>43678</v>
      </c>
      <c r="E39" s="98">
        <v>100</v>
      </c>
      <c r="F39" s="98">
        <v>100</v>
      </c>
      <c r="G39" s="98">
        <v>100</v>
      </c>
      <c r="H39" s="98">
        <v>100</v>
      </c>
      <c r="I39" s="98">
        <v>100</v>
      </c>
      <c r="J39" s="98">
        <v>100</v>
      </c>
      <c r="K39" s="98">
        <v>100</v>
      </c>
      <c r="L39" s="98">
        <v>100</v>
      </c>
      <c r="M39" s="98">
        <v>100</v>
      </c>
      <c r="N39" s="98">
        <v>100</v>
      </c>
      <c r="O39" s="98">
        <v>100</v>
      </c>
      <c r="P39" s="98">
        <v>100</v>
      </c>
      <c r="Q39" s="98">
        <v>100</v>
      </c>
      <c r="R39" s="98">
        <v>100</v>
      </c>
      <c r="S39" s="98">
        <v>100</v>
      </c>
      <c r="T39" s="98">
        <v>90</v>
      </c>
      <c r="U39" s="98">
        <v>100</v>
      </c>
      <c r="V39" s="98">
        <v>100</v>
      </c>
      <c r="W39" s="98">
        <v>90</v>
      </c>
      <c r="X39" s="98">
        <v>100</v>
      </c>
      <c r="Y39" s="98">
        <v>100</v>
      </c>
      <c r="Z39" s="98">
        <v>100</v>
      </c>
      <c r="AA39" s="98">
        <v>100</v>
      </c>
      <c r="AB39" s="98">
        <v>100</v>
      </c>
      <c r="AC39" s="98"/>
      <c r="AD39" s="98"/>
      <c r="AE39" s="98"/>
      <c r="AF39" s="98"/>
      <c r="AG39" s="98"/>
      <c r="AH39" s="98"/>
    </row>
    <row r="40" spans="1:34" ht="27" customHeight="1">
      <c r="A40" s="30"/>
      <c r="B40" s="801"/>
      <c r="C40" s="435" t="s">
        <v>1940</v>
      </c>
      <c r="D40" s="72">
        <v>43678</v>
      </c>
      <c r="E40" s="98">
        <v>100</v>
      </c>
      <c r="F40" s="98">
        <v>100</v>
      </c>
      <c r="G40" s="98">
        <v>100</v>
      </c>
      <c r="H40" s="98">
        <v>100</v>
      </c>
      <c r="I40" s="98">
        <v>100</v>
      </c>
      <c r="J40" s="98">
        <v>100</v>
      </c>
      <c r="K40" s="98">
        <v>100</v>
      </c>
      <c r="L40" s="98">
        <v>100</v>
      </c>
      <c r="M40" s="98">
        <v>100</v>
      </c>
      <c r="N40" s="98">
        <v>100</v>
      </c>
      <c r="O40" s="98">
        <v>100</v>
      </c>
      <c r="P40" s="98">
        <v>100</v>
      </c>
      <c r="Q40" s="98">
        <v>100</v>
      </c>
      <c r="R40" s="98">
        <v>100</v>
      </c>
      <c r="S40" s="98">
        <v>100</v>
      </c>
      <c r="T40" s="98">
        <v>90</v>
      </c>
      <c r="U40" s="98">
        <v>100</v>
      </c>
      <c r="V40" s="98">
        <v>100</v>
      </c>
      <c r="W40" s="98">
        <v>90</v>
      </c>
      <c r="X40" s="98">
        <v>100</v>
      </c>
      <c r="Y40" s="98">
        <v>100</v>
      </c>
      <c r="Z40" s="98">
        <v>100</v>
      </c>
      <c r="AA40" s="98">
        <v>100</v>
      </c>
      <c r="AB40" s="98">
        <v>100</v>
      </c>
      <c r="AC40" s="98"/>
      <c r="AD40" s="98"/>
      <c r="AE40" s="98"/>
      <c r="AF40" s="98"/>
      <c r="AG40" s="98"/>
      <c r="AH40" s="98"/>
    </row>
    <row r="41" spans="1:34" ht="27" hidden="1" customHeight="1">
      <c r="A41" s="30"/>
      <c r="B41" s="801"/>
      <c r="C41" s="74"/>
      <c r="D41" s="72"/>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row>
    <row r="42" spans="1:34" ht="27" hidden="1" customHeight="1">
      <c r="A42" s="30"/>
      <c r="B42" s="801"/>
      <c r="C42" s="74"/>
      <c r="D42" s="72"/>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row>
    <row r="43" spans="1:34" ht="27" hidden="1" customHeight="1">
      <c r="A43" s="30"/>
      <c r="B43" s="801"/>
      <c r="C43" s="74"/>
      <c r="D43" s="72"/>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row>
    <row r="44" spans="1:34" ht="27" hidden="1" customHeight="1">
      <c r="A44" s="30"/>
      <c r="B44" s="801"/>
      <c r="C44" s="74"/>
      <c r="D44" s="72"/>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row>
    <row r="45" spans="1:34" ht="27" hidden="1" customHeight="1">
      <c r="A45" s="30"/>
      <c r="B45" s="802"/>
      <c r="C45" s="74"/>
      <c r="D45" s="72"/>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row>
    <row r="46" spans="1:34" ht="27" customHeight="1">
      <c r="A46" s="30"/>
      <c r="B46" s="794">
        <v>6</v>
      </c>
      <c r="C46" s="795" t="s">
        <v>1941</v>
      </c>
      <c r="D46" s="796"/>
      <c r="E46" s="97">
        <f>IFERROR(AVERAGE(E47:E53),"")</f>
        <v>80</v>
      </c>
      <c r="F46" s="97">
        <f t="shared" ref="F46:AB46" si="10">IFERROR(AVERAGE(F47:F53),"")</f>
        <v>80</v>
      </c>
      <c r="G46" s="97">
        <f t="shared" si="10"/>
        <v>75</v>
      </c>
      <c r="H46" s="97">
        <f t="shared" si="10"/>
        <v>75</v>
      </c>
      <c r="I46" s="97">
        <f t="shared" si="10"/>
        <v>100</v>
      </c>
      <c r="J46" s="97">
        <f t="shared" si="10"/>
        <v>100</v>
      </c>
      <c r="K46" s="97">
        <f t="shared" si="10"/>
        <v>100</v>
      </c>
      <c r="L46" s="97">
        <f t="shared" si="10"/>
        <v>90</v>
      </c>
      <c r="M46" s="97">
        <f t="shared" si="10"/>
        <v>100</v>
      </c>
      <c r="N46" s="97">
        <f t="shared" si="10"/>
        <v>90</v>
      </c>
      <c r="O46" s="97">
        <f t="shared" si="10"/>
        <v>80</v>
      </c>
      <c r="P46" s="97">
        <f t="shared" si="10"/>
        <v>80</v>
      </c>
      <c r="Q46" s="97">
        <f t="shared" si="10"/>
        <v>90</v>
      </c>
      <c r="R46" s="97">
        <f t="shared" si="10"/>
        <v>100</v>
      </c>
      <c r="S46" s="97">
        <f t="shared" si="10"/>
        <v>100</v>
      </c>
      <c r="T46" s="97">
        <f t="shared" si="10"/>
        <v>80</v>
      </c>
      <c r="U46" s="97">
        <f t="shared" si="10"/>
        <v>85</v>
      </c>
      <c r="V46" s="97">
        <f t="shared" si="10"/>
        <v>100</v>
      </c>
      <c r="W46" s="97">
        <f t="shared" si="10"/>
        <v>90</v>
      </c>
      <c r="X46" s="97">
        <f t="shared" si="10"/>
        <v>80</v>
      </c>
      <c r="Y46" s="97">
        <f t="shared" si="10"/>
        <v>100</v>
      </c>
      <c r="Z46" s="97">
        <f t="shared" si="10"/>
        <v>75</v>
      </c>
      <c r="AA46" s="97">
        <f t="shared" si="10"/>
        <v>75</v>
      </c>
      <c r="AB46" s="97">
        <f t="shared" si="10"/>
        <v>90</v>
      </c>
      <c r="AC46" s="97" t="str">
        <f t="shared" ref="AC46:AH46" si="11">IFERROR(AVERAGE(AC47:AC53),"")</f>
        <v/>
      </c>
      <c r="AD46" s="97" t="str">
        <f t="shared" si="11"/>
        <v/>
      </c>
      <c r="AE46" s="97" t="str">
        <f t="shared" si="11"/>
        <v/>
      </c>
      <c r="AF46" s="97" t="str">
        <f t="shared" si="11"/>
        <v/>
      </c>
      <c r="AG46" s="97" t="str">
        <f t="shared" si="11"/>
        <v/>
      </c>
      <c r="AH46" s="97" t="str">
        <f t="shared" si="11"/>
        <v/>
      </c>
    </row>
    <row r="47" spans="1:34" ht="27" customHeight="1">
      <c r="A47" s="30"/>
      <c r="B47" s="794"/>
      <c r="C47" s="434" t="s">
        <v>1942</v>
      </c>
      <c r="D47" s="72">
        <v>43706</v>
      </c>
      <c r="E47" s="98">
        <v>80</v>
      </c>
      <c r="F47" s="98">
        <v>80</v>
      </c>
      <c r="G47" s="98">
        <v>75</v>
      </c>
      <c r="H47" s="98">
        <v>75</v>
      </c>
      <c r="I47" s="98">
        <v>100</v>
      </c>
      <c r="J47" s="98">
        <v>100</v>
      </c>
      <c r="K47" s="98">
        <v>100</v>
      </c>
      <c r="L47" s="98">
        <v>90</v>
      </c>
      <c r="M47" s="98">
        <v>100</v>
      </c>
      <c r="N47" s="98">
        <v>90</v>
      </c>
      <c r="O47" s="98">
        <v>80</v>
      </c>
      <c r="P47" s="98">
        <v>80</v>
      </c>
      <c r="Q47" s="98">
        <v>90</v>
      </c>
      <c r="R47" s="98">
        <v>100</v>
      </c>
      <c r="S47" s="98">
        <v>100</v>
      </c>
      <c r="T47" s="98">
        <v>80</v>
      </c>
      <c r="U47" s="98">
        <v>85</v>
      </c>
      <c r="V47" s="98">
        <v>100</v>
      </c>
      <c r="W47" s="98">
        <v>90</v>
      </c>
      <c r="X47" s="98">
        <v>80</v>
      </c>
      <c r="Y47" s="98">
        <v>100</v>
      </c>
      <c r="Z47" s="98">
        <v>75</v>
      </c>
      <c r="AA47" s="98">
        <v>75</v>
      </c>
      <c r="AB47" s="98">
        <v>90</v>
      </c>
      <c r="AC47" s="98"/>
      <c r="AD47" s="98"/>
      <c r="AE47" s="98"/>
      <c r="AF47" s="98"/>
      <c r="AG47" s="98"/>
      <c r="AH47" s="98"/>
    </row>
    <row r="48" spans="1:34" ht="27" customHeight="1">
      <c r="A48" s="30"/>
      <c r="B48" s="794"/>
      <c r="C48" s="435" t="s">
        <v>1943</v>
      </c>
      <c r="D48" s="72">
        <v>43706</v>
      </c>
      <c r="E48" s="98">
        <v>80</v>
      </c>
      <c r="F48" s="98">
        <v>80</v>
      </c>
      <c r="G48" s="98">
        <v>75</v>
      </c>
      <c r="H48" s="98">
        <v>75</v>
      </c>
      <c r="I48" s="98">
        <v>100</v>
      </c>
      <c r="J48" s="98">
        <v>100</v>
      </c>
      <c r="K48" s="98">
        <v>100</v>
      </c>
      <c r="L48" s="98">
        <v>90</v>
      </c>
      <c r="M48" s="98">
        <v>100</v>
      </c>
      <c r="N48" s="98">
        <v>90</v>
      </c>
      <c r="O48" s="98">
        <v>80</v>
      </c>
      <c r="P48" s="98">
        <v>80</v>
      </c>
      <c r="Q48" s="98">
        <v>90</v>
      </c>
      <c r="R48" s="98">
        <v>100</v>
      </c>
      <c r="S48" s="98">
        <v>100</v>
      </c>
      <c r="T48" s="98">
        <v>80</v>
      </c>
      <c r="U48" s="98">
        <v>85</v>
      </c>
      <c r="V48" s="98">
        <v>100</v>
      </c>
      <c r="W48" s="98">
        <v>90</v>
      </c>
      <c r="X48" s="98">
        <v>80</v>
      </c>
      <c r="Y48" s="98">
        <v>100</v>
      </c>
      <c r="Z48" s="98">
        <v>75</v>
      </c>
      <c r="AA48" s="98">
        <v>75</v>
      </c>
      <c r="AB48" s="98">
        <v>90</v>
      </c>
      <c r="AC48" s="98"/>
      <c r="AD48" s="98"/>
      <c r="AE48" s="98"/>
      <c r="AF48" s="98"/>
      <c r="AG48" s="98"/>
      <c r="AH48" s="98"/>
    </row>
    <row r="49" spans="1:34" ht="27" customHeight="1">
      <c r="A49" s="30"/>
      <c r="B49" s="794"/>
      <c r="C49" s="74" t="s">
        <v>1944</v>
      </c>
      <c r="D49" s="72">
        <v>43706</v>
      </c>
      <c r="E49" s="98">
        <v>80</v>
      </c>
      <c r="F49" s="98">
        <v>80</v>
      </c>
      <c r="G49" s="98">
        <v>75</v>
      </c>
      <c r="H49" s="98">
        <v>75</v>
      </c>
      <c r="I49" s="98">
        <v>100</v>
      </c>
      <c r="J49" s="98">
        <v>100</v>
      </c>
      <c r="K49" s="98">
        <v>100</v>
      </c>
      <c r="L49" s="98">
        <v>90</v>
      </c>
      <c r="M49" s="98">
        <v>100</v>
      </c>
      <c r="N49" s="98">
        <v>90</v>
      </c>
      <c r="O49" s="98">
        <v>80</v>
      </c>
      <c r="P49" s="98">
        <v>80</v>
      </c>
      <c r="Q49" s="98">
        <v>90</v>
      </c>
      <c r="R49" s="98">
        <v>100</v>
      </c>
      <c r="S49" s="98">
        <v>100</v>
      </c>
      <c r="T49" s="98">
        <v>80</v>
      </c>
      <c r="U49" s="98">
        <v>85</v>
      </c>
      <c r="V49" s="98">
        <v>100</v>
      </c>
      <c r="W49" s="98">
        <v>90</v>
      </c>
      <c r="X49" s="98">
        <v>80</v>
      </c>
      <c r="Y49" s="98">
        <v>100</v>
      </c>
      <c r="Z49" s="98">
        <v>75</v>
      </c>
      <c r="AA49" s="98">
        <v>75</v>
      </c>
      <c r="AB49" s="98">
        <v>90</v>
      </c>
      <c r="AC49" s="98"/>
      <c r="AD49" s="98"/>
      <c r="AE49" s="98"/>
      <c r="AF49" s="98"/>
      <c r="AG49" s="98"/>
      <c r="AH49" s="98"/>
    </row>
    <row r="50" spans="1:34" ht="27" hidden="1" customHeight="1">
      <c r="A50" s="30"/>
      <c r="B50" s="794"/>
      <c r="C50" s="74"/>
      <c r="D50" s="72"/>
      <c r="E50" s="98"/>
      <c r="F50" s="98"/>
      <c r="G50" s="98"/>
      <c r="H50" s="98"/>
      <c r="I50" s="98"/>
      <c r="J50" s="98"/>
      <c r="K50" s="98"/>
      <c r="L50" s="98"/>
      <c r="M50" s="98"/>
      <c r="N50" s="98"/>
      <c r="O50" s="98"/>
      <c r="P50" s="98"/>
      <c r="Q50" s="98"/>
      <c r="R50" s="98"/>
      <c r="S50" s="98"/>
      <c r="T50" s="98"/>
      <c r="U50" s="98"/>
      <c r="V50" s="98"/>
      <c r="W50" s="98"/>
      <c r="X50" s="98"/>
      <c r="Y50" s="98"/>
      <c r="Z50" s="98"/>
      <c r="AA50" s="98"/>
      <c r="AB50" s="98"/>
      <c r="AC50" s="98"/>
      <c r="AD50" s="98"/>
      <c r="AE50" s="98"/>
      <c r="AF50" s="98"/>
      <c r="AG50" s="98"/>
      <c r="AH50" s="98"/>
    </row>
    <row r="51" spans="1:34" ht="27" hidden="1" customHeight="1">
      <c r="A51" s="30"/>
      <c r="B51" s="794"/>
      <c r="C51" s="74"/>
      <c r="D51" s="72"/>
      <c r="E51" s="98"/>
      <c r="F51" s="98"/>
      <c r="G51" s="98"/>
      <c r="H51" s="98"/>
      <c r="I51" s="98"/>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row>
    <row r="52" spans="1:34" ht="27" hidden="1" customHeight="1">
      <c r="A52" s="30"/>
      <c r="B52" s="794"/>
      <c r="C52" s="74"/>
      <c r="D52" s="72"/>
      <c r="E52" s="98"/>
      <c r="F52" s="98"/>
      <c r="G52" s="98"/>
      <c r="H52" s="98"/>
      <c r="I52" s="98"/>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row>
    <row r="53" spans="1:34" ht="27" hidden="1" customHeight="1">
      <c r="A53" s="30"/>
      <c r="B53" s="794"/>
      <c r="C53" s="74"/>
      <c r="D53" s="72"/>
      <c r="E53" s="98"/>
      <c r="F53" s="98"/>
      <c r="G53" s="98"/>
      <c r="H53" s="98"/>
      <c r="I53" s="98"/>
      <c r="J53" s="98"/>
      <c r="K53" s="98"/>
      <c r="L53" s="98"/>
      <c r="M53" s="98"/>
      <c r="N53" s="98"/>
      <c r="O53" s="98"/>
      <c r="P53" s="98"/>
      <c r="Q53" s="98"/>
      <c r="R53" s="98"/>
      <c r="S53" s="98"/>
      <c r="T53" s="98"/>
      <c r="U53" s="98"/>
      <c r="V53" s="98"/>
      <c r="W53" s="98"/>
      <c r="X53" s="98"/>
      <c r="Y53" s="98"/>
      <c r="Z53" s="98"/>
      <c r="AA53" s="98"/>
      <c r="AB53" s="98"/>
      <c r="AC53" s="98"/>
      <c r="AD53" s="98"/>
      <c r="AE53" s="98"/>
      <c r="AF53" s="98"/>
      <c r="AG53" s="98"/>
      <c r="AH53" s="98"/>
    </row>
    <row r="54" spans="1:34" ht="27" customHeight="1">
      <c r="A54" s="30"/>
      <c r="B54" s="800">
        <v>7</v>
      </c>
      <c r="C54" s="795" t="s">
        <v>1945</v>
      </c>
      <c r="D54" s="796"/>
      <c r="E54" s="97">
        <f>IFERROR(AVERAGE(E55:E61),"")</f>
        <v>75</v>
      </c>
      <c r="F54" s="97">
        <f t="shared" ref="F54:AB54" si="12">IFERROR(AVERAGE(F55:F61),"")</f>
        <v>100</v>
      </c>
      <c r="G54" s="97">
        <f t="shared" si="12"/>
        <v>90</v>
      </c>
      <c r="H54" s="97">
        <f t="shared" si="12"/>
        <v>100</v>
      </c>
      <c r="I54" s="97">
        <f t="shared" si="12"/>
        <v>100</v>
      </c>
      <c r="J54" s="97">
        <f t="shared" si="12"/>
        <v>100</v>
      </c>
      <c r="K54" s="97">
        <f t="shared" si="12"/>
        <v>100</v>
      </c>
      <c r="L54" s="97">
        <f t="shared" si="12"/>
        <v>100</v>
      </c>
      <c r="M54" s="97">
        <f t="shared" si="12"/>
        <v>100</v>
      </c>
      <c r="N54" s="97">
        <f t="shared" si="12"/>
        <v>90</v>
      </c>
      <c r="O54" s="97">
        <f t="shared" si="12"/>
        <v>100</v>
      </c>
      <c r="P54" s="97">
        <f t="shared" si="12"/>
        <v>100</v>
      </c>
      <c r="Q54" s="97">
        <f t="shared" si="12"/>
        <v>100</v>
      </c>
      <c r="R54" s="97">
        <f t="shared" si="12"/>
        <v>90</v>
      </c>
      <c r="S54" s="97">
        <f t="shared" si="12"/>
        <v>90</v>
      </c>
      <c r="T54" s="97">
        <f t="shared" si="12"/>
        <v>100</v>
      </c>
      <c r="U54" s="97">
        <f t="shared" si="12"/>
        <v>100</v>
      </c>
      <c r="V54" s="97">
        <f t="shared" si="12"/>
        <v>100</v>
      </c>
      <c r="W54" s="97">
        <f t="shared" si="12"/>
        <v>75</v>
      </c>
      <c r="X54" s="97">
        <f t="shared" si="12"/>
        <v>100</v>
      </c>
      <c r="Y54" s="97">
        <f t="shared" si="12"/>
        <v>100</v>
      </c>
      <c r="Z54" s="97">
        <f t="shared" si="12"/>
        <v>100</v>
      </c>
      <c r="AA54" s="97">
        <f t="shared" si="12"/>
        <v>100</v>
      </c>
      <c r="AB54" s="97">
        <f t="shared" si="12"/>
        <v>75</v>
      </c>
      <c r="AC54" s="97" t="str">
        <f t="shared" ref="AC54:AH54" si="13">IFERROR(AVERAGE(AC55:AC61),"")</f>
        <v/>
      </c>
      <c r="AD54" s="97" t="str">
        <f t="shared" si="13"/>
        <v/>
      </c>
      <c r="AE54" s="97" t="str">
        <f t="shared" si="13"/>
        <v/>
      </c>
      <c r="AF54" s="97" t="str">
        <f t="shared" si="13"/>
        <v/>
      </c>
      <c r="AG54" s="97" t="str">
        <f t="shared" si="13"/>
        <v/>
      </c>
      <c r="AH54" s="97" t="str">
        <f t="shared" si="13"/>
        <v/>
      </c>
    </row>
    <row r="55" spans="1:34" ht="27" customHeight="1">
      <c r="A55" s="30"/>
      <c r="B55" s="801"/>
      <c r="C55" s="74" t="s">
        <v>1946</v>
      </c>
      <c r="D55" s="72">
        <v>43741</v>
      </c>
      <c r="E55" s="98">
        <v>75</v>
      </c>
      <c r="F55" s="98">
        <v>100</v>
      </c>
      <c r="G55" s="98">
        <v>90</v>
      </c>
      <c r="H55" s="98">
        <v>100</v>
      </c>
      <c r="I55" s="98">
        <v>100</v>
      </c>
      <c r="J55" s="98">
        <v>100</v>
      </c>
      <c r="K55" s="98">
        <v>100</v>
      </c>
      <c r="L55" s="98">
        <v>100</v>
      </c>
      <c r="M55" s="98">
        <v>100</v>
      </c>
      <c r="N55" s="98">
        <v>90</v>
      </c>
      <c r="O55" s="98">
        <v>100</v>
      </c>
      <c r="P55" s="98">
        <v>100</v>
      </c>
      <c r="Q55" s="98">
        <v>100</v>
      </c>
      <c r="R55" s="98">
        <v>90</v>
      </c>
      <c r="S55" s="98">
        <v>90</v>
      </c>
      <c r="T55" s="98">
        <v>100</v>
      </c>
      <c r="U55" s="98">
        <v>100</v>
      </c>
      <c r="V55" s="98">
        <v>100</v>
      </c>
      <c r="W55" s="98">
        <v>75</v>
      </c>
      <c r="X55" s="98">
        <v>100</v>
      </c>
      <c r="Y55" s="98">
        <v>100</v>
      </c>
      <c r="Z55" s="98">
        <v>100</v>
      </c>
      <c r="AA55" s="98">
        <v>100</v>
      </c>
      <c r="AB55" s="98">
        <v>75</v>
      </c>
      <c r="AC55" s="98"/>
      <c r="AD55" s="98"/>
      <c r="AE55" s="98"/>
      <c r="AF55" s="98"/>
      <c r="AG55" s="98"/>
      <c r="AH55" s="98"/>
    </row>
    <row r="56" spans="1:34" ht="27" customHeight="1">
      <c r="A56" s="30"/>
      <c r="B56" s="801"/>
      <c r="C56" s="74" t="s">
        <v>1947</v>
      </c>
      <c r="D56" s="72">
        <v>43741</v>
      </c>
      <c r="E56" s="98">
        <v>75</v>
      </c>
      <c r="F56" s="98">
        <v>100</v>
      </c>
      <c r="G56" s="98">
        <v>90</v>
      </c>
      <c r="H56" s="98">
        <v>100</v>
      </c>
      <c r="I56" s="98">
        <v>100</v>
      </c>
      <c r="J56" s="98">
        <v>100</v>
      </c>
      <c r="K56" s="98">
        <v>100</v>
      </c>
      <c r="L56" s="98">
        <v>100</v>
      </c>
      <c r="M56" s="98">
        <v>100</v>
      </c>
      <c r="N56" s="98">
        <v>90</v>
      </c>
      <c r="O56" s="98">
        <v>100</v>
      </c>
      <c r="P56" s="98">
        <v>100</v>
      </c>
      <c r="Q56" s="98">
        <v>100</v>
      </c>
      <c r="R56" s="98">
        <v>90</v>
      </c>
      <c r="S56" s="98">
        <v>90</v>
      </c>
      <c r="T56" s="98">
        <v>100</v>
      </c>
      <c r="U56" s="98">
        <v>100</v>
      </c>
      <c r="V56" s="98">
        <v>100</v>
      </c>
      <c r="W56" s="98">
        <v>75</v>
      </c>
      <c r="X56" s="98">
        <v>100</v>
      </c>
      <c r="Y56" s="98">
        <v>100</v>
      </c>
      <c r="Z56" s="98">
        <v>100</v>
      </c>
      <c r="AA56" s="98">
        <v>100</v>
      </c>
      <c r="AB56" s="98">
        <v>75</v>
      </c>
      <c r="AC56" s="98"/>
      <c r="AD56" s="98"/>
      <c r="AE56" s="98"/>
      <c r="AF56" s="98"/>
      <c r="AG56" s="98"/>
      <c r="AH56" s="98"/>
    </row>
    <row r="57" spans="1:34" ht="27" hidden="1" customHeight="1">
      <c r="A57" s="30"/>
      <c r="B57" s="801"/>
      <c r="C57" s="74" t="s">
        <v>189</v>
      </c>
      <c r="D57" s="72"/>
      <c r="E57" s="98"/>
      <c r="F57" s="98"/>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row>
    <row r="58" spans="1:34" ht="27" hidden="1" customHeight="1">
      <c r="A58" s="30"/>
      <c r="B58" s="801"/>
      <c r="C58" s="74" t="s">
        <v>190</v>
      </c>
      <c r="D58" s="72"/>
      <c r="E58" s="98"/>
      <c r="F58" s="98"/>
      <c r="G58" s="98"/>
      <c r="H58" s="98"/>
      <c r="I58" s="98"/>
      <c r="J58" s="98"/>
      <c r="K58" s="98"/>
      <c r="L58" s="98"/>
      <c r="M58" s="98"/>
      <c r="N58" s="98"/>
      <c r="O58" s="98"/>
      <c r="P58" s="98"/>
      <c r="Q58" s="98"/>
      <c r="R58" s="98"/>
      <c r="S58" s="98"/>
      <c r="T58" s="98"/>
      <c r="U58" s="98"/>
      <c r="V58" s="98"/>
      <c r="W58" s="98"/>
      <c r="X58" s="98"/>
      <c r="Y58" s="98"/>
      <c r="Z58" s="98"/>
      <c r="AA58" s="98"/>
      <c r="AB58" s="98"/>
      <c r="AC58" s="98"/>
      <c r="AD58" s="98"/>
      <c r="AE58" s="98"/>
      <c r="AF58" s="98"/>
      <c r="AG58" s="98"/>
      <c r="AH58" s="98"/>
    </row>
    <row r="59" spans="1:34" ht="27" hidden="1" customHeight="1">
      <c r="A59" s="30"/>
      <c r="B59" s="801"/>
      <c r="C59" s="74" t="s">
        <v>191</v>
      </c>
      <c r="D59" s="72"/>
      <c r="E59" s="98"/>
      <c r="F59" s="98"/>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F59" s="98"/>
      <c r="AG59" s="98"/>
      <c r="AH59" s="98"/>
    </row>
    <row r="60" spans="1:34" ht="27" hidden="1" customHeight="1">
      <c r="A60" s="30"/>
      <c r="B60" s="801"/>
      <c r="C60" s="74" t="s">
        <v>192</v>
      </c>
      <c r="D60" s="72"/>
      <c r="E60" s="98"/>
      <c r="F60" s="98"/>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F60" s="98"/>
      <c r="AG60" s="98"/>
      <c r="AH60" s="98"/>
    </row>
    <row r="61" spans="1:34" ht="27" hidden="1" customHeight="1">
      <c r="A61" s="30"/>
      <c r="B61" s="802"/>
      <c r="C61" s="74" t="s">
        <v>193</v>
      </c>
      <c r="D61" s="72"/>
      <c r="E61" s="98"/>
      <c r="F61" s="98"/>
      <c r="G61" s="98"/>
      <c r="H61" s="98"/>
      <c r="I61" s="98"/>
      <c r="J61" s="98"/>
      <c r="K61" s="98"/>
      <c r="L61" s="98"/>
      <c r="M61" s="98"/>
      <c r="N61" s="98"/>
      <c r="O61" s="98"/>
      <c r="P61" s="98"/>
      <c r="Q61" s="98"/>
      <c r="R61" s="98"/>
      <c r="S61" s="98"/>
      <c r="T61" s="98"/>
      <c r="U61" s="98"/>
      <c r="V61" s="98"/>
      <c r="W61" s="98"/>
      <c r="X61" s="98"/>
      <c r="Y61" s="98"/>
      <c r="Z61" s="98"/>
      <c r="AA61" s="98"/>
      <c r="AB61" s="98"/>
      <c r="AC61" s="98"/>
      <c r="AD61" s="98"/>
      <c r="AE61" s="98"/>
      <c r="AF61" s="98"/>
      <c r="AG61" s="98"/>
      <c r="AH61" s="98"/>
    </row>
    <row r="62" spans="1:34" ht="27" customHeight="1">
      <c r="A62" s="30"/>
      <c r="B62" s="800">
        <v>8</v>
      </c>
      <c r="C62" s="795" t="s">
        <v>1948</v>
      </c>
      <c r="D62" s="796"/>
      <c r="E62" s="97">
        <f>IFERROR(AVERAGE(E63:E69),"")</f>
        <v>93.333333333333329</v>
      </c>
      <c r="F62" s="97">
        <f t="shared" ref="F62:AB62" si="14">IFERROR(AVERAGE(F63:F69),"")</f>
        <v>93.333333333333329</v>
      </c>
      <c r="G62" s="97">
        <f t="shared" si="14"/>
        <v>86.666666666666671</v>
      </c>
      <c r="H62" s="97">
        <f t="shared" si="14"/>
        <v>96.666666666666671</v>
      </c>
      <c r="I62" s="97">
        <f t="shared" si="14"/>
        <v>91.666666666666671</v>
      </c>
      <c r="J62" s="97">
        <f t="shared" si="14"/>
        <v>90</v>
      </c>
      <c r="K62" s="97">
        <f t="shared" si="14"/>
        <v>96.666666666666671</v>
      </c>
      <c r="L62" s="97">
        <f t="shared" si="14"/>
        <v>100</v>
      </c>
      <c r="M62" s="97">
        <f t="shared" si="14"/>
        <v>93.333333333333329</v>
      </c>
      <c r="N62" s="97">
        <f t="shared" si="14"/>
        <v>95</v>
      </c>
      <c r="O62" s="97">
        <f t="shared" si="14"/>
        <v>98.333333333333329</v>
      </c>
      <c r="P62" s="97">
        <f t="shared" si="14"/>
        <v>93.333333333333329</v>
      </c>
      <c r="Q62" s="97">
        <f t="shared" si="14"/>
        <v>93.333333333333329</v>
      </c>
      <c r="R62" s="97">
        <f t="shared" si="14"/>
        <v>91.666666666666671</v>
      </c>
      <c r="S62" s="97">
        <f t="shared" si="14"/>
        <v>81.666666666666671</v>
      </c>
      <c r="T62" s="97">
        <f t="shared" si="14"/>
        <v>93.333333333333329</v>
      </c>
      <c r="U62" s="97">
        <f t="shared" si="14"/>
        <v>98.333333333333329</v>
      </c>
      <c r="V62" s="97">
        <f t="shared" si="14"/>
        <v>96.666666666666671</v>
      </c>
      <c r="W62" s="97">
        <f t="shared" si="14"/>
        <v>95</v>
      </c>
      <c r="X62" s="97">
        <f t="shared" si="14"/>
        <v>91.666666666666671</v>
      </c>
      <c r="Y62" s="97">
        <f t="shared" si="14"/>
        <v>95</v>
      </c>
      <c r="Z62" s="97">
        <f t="shared" si="14"/>
        <v>95</v>
      </c>
      <c r="AA62" s="97">
        <f t="shared" si="14"/>
        <v>95</v>
      </c>
      <c r="AB62" s="97">
        <f t="shared" si="14"/>
        <v>91.666666666666671</v>
      </c>
      <c r="AC62" s="97" t="str">
        <f t="shared" ref="AC62:AH62" si="15">IFERROR(AVERAGE(AC63:AC69),"")</f>
        <v/>
      </c>
      <c r="AD62" s="97" t="str">
        <f t="shared" si="15"/>
        <v/>
      </c>
      <c r="AE62" s="97" t="str">
        <f t="shared" si="15"/>
        <v/>
      </c>
      <c r="AF62" s="97" t="str">
        <f t="shared" si="15"/>
        <v/>
      </c>
      <c r="AG62" s="97" t="str">
        <f t="shared" si="15"/>
        <v/>
      </c>
      <c r="AH62" s="97" t="str">
        <f t="shared" si="15"/>
        <v/>
      </c>
    </row>
    <row r="63" spans="1:34" ht="27" customHeight="1">
      <c r="A63" s="30"/>
      <c r="B63" s="801"/>
      <c r="C63" s="74" t="s">
        <v>1949</v>
      </c>
      <c r="D63" s="72">
        <v>43769</v>
      </c>
      <c r="E63" s="98">
        <v>80</v>
      </c>
      <c r="F63" s="98">
        <v>80</v>
      </c>
      <c r="G63" s="98">
        <v>80</v>
      </c>
      <c r="H63" s="98">
        <v>90</v>
      </c>
      <c r="I63" s="98">
        <v>95</v>
      </c>
      <c r="J63" s="98">
        <v>90</v>
      </c>
      <c r="K63" s="98">
        <v>90</v>
      </c>
      <c r="L63" s="98"/>
      <c r="M63" s="98">
        <v>80</v>
      </c>
      <c r="N63" s="98">
        <v>85</v>
      </c>
      <c r="O63" s="98">
        <v>95</v>
      </c>
      <c r="P63" s="98">
        <v>80</v>
      </c>
      <c r="Q63" s="98">
        <v>80</v>
      </c>
      <c r="R63" s="98">
        <v>75</v>
      </c>
      <c r="S63" s="98">
        <v>75</v>
      </c>
      <c r="T63" s="98">
        <v>80</v>
      </c>
      <c r="U63" s="98">
        <v>95</v>
      </c>
      <c r="V63" s="98">
        <v>90</v>
      </c>
      <c r="W63" s="98">
        <v>85</v>
      </c>
      <c r="X63" s="98">
        <v>75</v>
      </c>
      <c r="Y63" s="98">
        <v>85</v>
      </c>
      <c r="Z63" s="98">
        <v>85</v>
      </c>
      <c r="AA63" s="98">
        <v>85</v>
      </c>
      <c r="AB63" s="98">
        <v>75</v>
      </c>
      <c r="AC63" s="98"/>
      <c r="AD63" s="98"/>
      <c r="AE63" s="98"/>
      <c r="AF63" s="98"/>
      <c r="AG63" s="98"/>
      <c r="AH63" s="98"/>
    </row>
    <row r="64" spans="1:34" ht="27" customHeight="1">
      <c r="A64" s="30"/>
      <c r="B64" s="801"/>
      <c r="C64" s="74" t="s">
        <v>1950</v>
      </c>
      <c r="D64" s="72">
        <v>43762</v>
      </c>
      <c r="E64" s="98">
        <v>100</v>
      </c>
      <c r="F64" s="98">
        <v>100</v>
      </c>
      <c r="G64" s="98">
        <v>90</v>
      </c>
      <c r="H64" s="98">
        <v>100</v>
      </c>
      <c r="I64" s="98">
        <v>90</v>
      </c>
      <c r="J64" s="98">
        <v>90</v>
      </c>
      <c r="K64" s="98">
        <v>100</v>
      </c>
      <c r="L64" s="98">
        <v>100</v>
      </c>
      <c r="M64" s="98">
        <v>100</v>
      </c>
      <c r="N64" s="98">
        <v>100</v>
      </c>
      <c r="O64" s="98">
        <v>100</v>
      </c>
      <c r="P64" s="98">
        <v>100</v>
      </c>
      <c r="Q64" s="98">
        <v>100</v>
      </c>
      <c r="R64" s="98">
        <v>100</v>
      </c>
      <c r="S64" s="98">
        <v>85</v>
      </c>
      <c r="T64" s="98">
        <v>100</v>
      </c>
      <c r="U64" s="98">
        <v>100</v>
      </c>
      <c r="V64" s="98">
        <v>100</v>
      </c>
      <c r="W64" s="98">
        <v>100</v>
      </c>
      <c r="X64" s="98">
        <v>100</v>
      </c>
      <c r="Y64" s="98">
        <v>100</v>
      </c>
      <c r="Z64" s="98">
        <v>100</v>
      </c>
      <c r="AA64" s="98">
        <v>100</v>
      </c>
      <c r="AB64" s="98">
        <v>100</v>
      </c>
      <c r="AC64" s="98"/>
      <c r="AD64" s="98"/>
      <c r="AE64" s="98"/>
      <c r="AF64" s="98"/>
      <c r="AG64" s="98"/>
      <c r="AH64" s="98"/>
    </row>
    <row r="65" spans="1:34" ht="27" customHeight="1">
      <c r="A65" s="30"/>
      <c r="B65" s="801"/>
      <c r="C65" s="74" t="s">
        <v>1951</v>
      </c>
      <c r="D65" s="72">
        <v>43762</v>
      </c>
      <c r="E65" s="98">
        <v>100</v>
      </c>
      <c r="F65" s="98">
        <v>100</v>
      </c>
      <c r="G65" s="98">
        <v>90</v>
      </c>
      <c r="H65" s="98">
        <v>100</v>
      </c>
      <c r="I65" s="98">
        <v>90</v>
      </c>
      <c r="J65" s="98">
        <v>90</v>
      </c>
      <c r="K65" s="98">
        <v>100</v>
      </c>
      <c r="L65" s="98">
        <v>100</v>
      </c>
      <c r="M65" s="98">
        <v>100</v>
      </c>
      <c r="N65" s="98">
        <v>100</v>
      </c>
      <c r="O65" s="98">
        <v>100</v>
      </c>
      <c r="P65" s="98">
        <v>100</v>
      </c>
      <c r="Q65" s="98">
        <v>100</v>
      </c>
      <c r="R65" s="98">
        <v>100</v>
      </c>
      <c r="S65" s="98">
        <v>85</v>
      </c>
      <c r="T65" s="98">
        <v>100</v>
      </c>
      <c r="U65" s="98">
        <v>100</v>
      </c>
      <c r="V65" s="98">
        <v>100</v>
      </c>
      <c r="W65" s="98">
        <v>100</v>
      </c>
      <c r="X65" s="98">
        <v>100</v>
      </c>
      <c r="Y65" s="98">
        <v>100</v>
      </c>
      <c r="Z65" s="98">
        <v>100</v>
      </c>
      <c r="AA65" s="98">
        <v>100</v>
      </c>
      <c r="AB65" s="98">
        <v>100</v>
      </c>
      <c r="AC65" s="98"/>
      <c r="AD65" s="98"/>
      <c r="AE65" s="98"/>
      <c r="AF65" s="98"/>
      <c r="AG65" s="98"/>
      <c r="AH65" s="98"/>
    </row>
    <row r="66" spans="1:34" ht="27" hidden="1" customHeight="1">
      <c r="A66" s="30"/>
      <c r="B66" s="801"/>
      <c r="C66" s="74" t="s">
        <v>197</v>
      </c>
      <c r="D66" s="72"/>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row>
    <row r="67" spans="1:34" ht="27" hidden="1" customHeight="1">
      <c r="A67" s="30"/>
      <c r="B67" s="801"/>
      <c r="C67" s="74" t="s">
        <v>198</v>
      </c>
      <c r="D67" s="72"/>
      <c r="E67" s="98"/>
      <c r="F67" s="98"/>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row>
    <row r="68" spans="1:34" ht="27" hidden="1" customHeight="1">
      <c r="A68" s="30"/>
      <c r="B68" s="801"/>
      <c r="C68" s="74" t="s">
        <v>199</v>
      </c>
      <c r="D68" s="72"/>
      <c r="E68" s="98"/>
      <c r="F68" s="98"/>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row>
    <row r="69" spans="1:34" ht="27" hidden="1" customHeight="1">
      <c r="A69" s="30"/>
      <c r="B69" s="802"/>
      <c r="C69" s="74" t="s">
        <v>200</v>
      </c>
      <c r="D69" s="72"/>
      <c r="E69" s="98"/>
      <c r="F69" s="98"/>
      <c r="G69" s="98"/>
      <c r="H69" s="98"/>
      <c r="I69" s="98"/>
      <c r="J69" s="98"/>
      <c r="K69" s="98"/>
      <c r="L69" s="98"/>
      <c r="M69" s="98"/>
      <c r="N69" s="98"/>
      <c r="O69" s="98"/>
      <c r="P69" s="98"/>
      <c r="Q69" s="98"/>
      <c r="R69" s="98"/>
      <c r="S69" s="98"/>
      <c r="T69" s="98"/>
      <c r="U69" s="98"/>
      <c r="V69" s="98"/>
      <c r="W69" s="98"/>
      <c r="X69" s="98"/>
      <c r="Y69" s="98"/>
      <c r="Z69" s="98"/>
      <c r="AA69" s="98"/>
      <c r="AB69" s="98"/>
      <c r="AC69" s="98"/>
      <c r="AD69" s="98"/>
      <c r="AE69" s="98"/>
      <c r="AF69" s="98"/>
      <c r="AG69" s="98"/>
      <c r="AH69" s="98"/>
    </row>
    <row r="70" spans="1:34" ht="27" hidden="1" customHeight="1">
      <c r="A70" s="30"/>
      <c r="B70" s="794">
        <v>9</v>
      </c>
      <c r="C70" s="795"/>
      <c r="D70" s="796"/>
      <c r="E70" s="97" t="str">
        <f>IFERROR(AVERAGE(E71:E77),"")</f>
        <v/>
      </c>
      <c r="F70" s="97" t="str">
        <f t="shared" ref="F70:AH70" si="16">IFERROR(AVERAGE(F71:F77),"")</f>
        <v/>
      </c>
      <c r="G70" s="97" t="str">
        <f t="shared" si="16"/>
        <v/>
      </c>
      <c r="H70" s="97" t="str">
        <f t="shared" si="16"/>
        <v/>
      </c>
      <c r="I70" s="97" t="str">
        <f t="shared" si="16"/>
        <v/>
      </c>
      <c r="J70" s="97" t="str">
        <f t="shared" si="16"/>
        <v/>
      </c>
      <c r="K70" s="97" t="str">
        <f t="shared" si="16"/>
        <v/>
      </c>
      <c r="L70" s="97" t="str">
        <f t="shared" si="16"/>
        <v/>
      </c>
      <c r="M70" s="97" t="str">
        <f t="shared" si="16"/>
        <v/>
      </c>
      <c r="N70" s="97" t="str">
        <f t="shared" si="16"/>
        <v/>
      </c>
      <c r="O70" s="97" t="str">
        <f t="shared" si="16"/>
        <v/>
      </c>
      <c r="P70" s="97" t="str">
        <f t="shared" si="16"/>
        <v/>
      </c>
      <c r="Q70" s="97" t="str">
        <f t="shared" si="16"/>
        <v/>
      </c>
      <c r="R70" s="97" t="str">
        <f t="shared" si="16"/>
        <v/>
      </c>
      <c r="S70" s="97" t="str">
        <f t="shared" si="16"/>
        <v/>
      </c>
      <c r="T70" s="97" t="str">
        <f t="shared" si="16"/>
        <v/>
      </c>
      <c r="U70" s="97" t="str">
        <f t="shared" si="16"/>
        <v/>
      </c>
      <c r="V70" s="97" t="str">
        <f t="shared" si="16"/>
        <v/>
      </c>
      <c r="W70" s="97" t="str">
        <f t="shared" si="16"/>
        <v/>
      </c>
      <c r="X70" s="97" t="str">
        <f t="shared" si="16"/>
        <v/>
      </c>
      <c r="Y70" s="97" t="str">
        <f t="shared" si="16"/>
        <v/>
      </c>
      <c r="Z70" s="97" t="str">
        <f t="shared" si="16"/>
        <v/>
      </c>
      <c r="AA70" s="97" t="str">
        <f t="shared" si="16"/>
        <v/>
      </c>
      <c r="AB70" s="97" t="str">
        <f t="shared" si="16"/>
        <v/>
      </c>
      <c r="AC70" s="97" t="str">
        <f t="shared" si="16"/>
        <v/>
      </c>
      <c r="AD70" s="97" t="str">
        <f t="shared" si="16"/>
        <v/>
      </c>
      <c r="AE70" s="97" t="str">
        <f t="shared" si="16"/>
        <v/>
      </c>
      <c r="AF70" s="97" t="str">
        <f t="shared" si="16"/>
        <v/>
      </c>
      <c r="AG70" s="97" t="str">
        <f t="shared" si="16"/>
        <v/>
      </c>
      <c r="AH70" s="97" t="str">
        <f t="shared" si="16"/>
        <v/>
      </c>
    </row>
    <row r="71" spans="1:34" ht="27" hidden="1" customHeight="1">
      <c r="A71" s="30"/>
      <c r="B71" s="794"/>
      <c r="C71" s="74" t="s">
        <v>201</v>
      </c>
      <c r="D71" s="72"/>
      <c r="E71" s="98"/>
      <c r="F71" s="98"/>
      <c r="G71" s="98"/>
      <c r="H71" s="98"/>
      <c r="I71" s="98"/>
      <c r="J71" s="98"/>
      <c r="K71" s="98"/>
      <c r="L71" s="98"/>
      <c r="M71" s="98"/>
      <c r="N71" s="98"/>
      <c r="O71" s="98"/>
      <c r="P71" s="98"/>
      <c r="Q71" s="98"/>
      <c r="R71" s="98"/>
      <c r="S71" s="98"/>
      <c r="T71" s="98"/>
      <c r="U71" s="98"/>
      <c r="V71" s="98"/>
      <c r="W71" s="98"/>
      <c r="X71" s="98"/>
      <c r="Y71" s="98"/>
      <c r="Z71" s="98"/>
      <c r="AA71" s="98"/>
      <c r="AB71" s="98"/>
      <c r="AC71" s="98"/>
      <c r="AD71" s="98"/>
      <c r="AE71" s="98"/>
      <c r="AF71" s="98"/>
      <c r="AG71" s="98"/>
      <c r="AH71" s="98"/>
    </row>
    <row r="72" spans="1:34" ht="27" hidden="1" customHeight="1">
      <c r="A72" s="30"/>
      <c r="B72" s="794"/>
      <c r="C72" s="74" t="s">
        <v>202</v>
      </c>
      <c r="D72" s="72"/>
      <c r="E72" s="98"/>
      <c r="F72" s="98"/>
      <c r="G72" s="98"/>
      <c r="H72" s="98"/>
      <c r="I72" s="98"/>
      <c r="J72" s="98"/>
      <c r="K72" s="98"/>
      <c r="L72" s="98"/>
      <c r="M72" s="98"/>
      <c r="N72" s="98"/>
      <c r="O72" s="98"/>
      <c r="P72" s="98"/>
      <c r="Q72" s="98"/>
      <c r="R72" s="98"/>
      <c r="S72" s="98"/>
      <c r="T72" s="98"/>
      <c r="U72" s="98"/>
      <c r="V72" s="98"/>
      <c r="W72" s="98"/>
      <c r="X72" s="98"/>
      <c r="Y72" s="98"/>
      <c r="Z72" s="98"/>
      <c r="AA72" s="98"/>
      <c r="AB72" s="98"/>
      <c r="AC72" s="98"/>
      <c r="AD72" s="98"/>
      <c r="AE72" s="98"/>
      <c r="AF72" s="98"/>
      <c r="AG72" s="98"/>
      <c r="AH72" s="98"/>
    </row>
    <row r="73" spans="1:34" ht="27" hidden="1" customHeight="1">
      <c r="A73" s="30"/>
      <c r="B73" s="794"/>
      <c r="C73" s="74" t="s">
        <v>203</v>
      </c>
      <c r="D73" s="72"/>
      <c r="E73" s="98"/>
      <c r="F73" s="98"/>
      <c r="G73" s="98"/>
      <c r="H73" s="98"/>
      <c r="I73" s="98"/>
      <c r="J73" s="98"/>
      <c r="K73" s="98"/>
      <c r="L73" s="98"/>
      <c r="M73" s="98"/>
      <c r="N73" s="98"/>
      <c r="O73" s="98"/>
      <c r="P73" s="98"/>
      <c r="Q73" s="98"/>
      <c r="R73" s="98"/>
      <c r="S73" s="98"/>
      <c r="T73" s="98"/>
      <c r="U73" s="98"/>
      <c r="V73" s="98"/>
      <c r="W73" s="98"/>
      <c r="X73" s="98"/>
      <c r="Y73" s="98"/>
      <c r="Z73" s="98"/>
      <c r="AA73" s="98"/>
      <c r="AB73" s="98"/>
      <c r="AC73" s="98"/>
      <c r="AD73" s="98"/>
      <c r="AE73" s="98"/>
      <c r="AF73" s="98"/>
      <c r="AG73" s="98"/>
      <c r="AH73" s="98"/>
    </row>
    <row r="74" spans="1:34" ht="27" hidden="1" customHeight="1">
      <c r="A74" s="30"/>
      <c r="B74" s="794"/>
      <c r="C74" s="74" t="s">
        <v>204</v>
      </c>
      <c r="D74" s="72"/>
      <c r="E74" s="98"/>
      <c r="F74" s="98"/>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row>
    <row r="75" spans="1:34" ht="27" hidden="1" customHeight="1">
      <c r="A75" s="30"/>
      <c r="B75" s="794"/>
      <c r="C75" s="74" t="s">
        <v>205</v>
      </c>
      <c r="D75" s="72"/>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row>
    <row r="76" spans="1:34" ht="27" hidden="1" customHeight="1">
      <c r="A76" s="30"/>
      <c r="B76" s="794"/>
      <c r="C76" s="74" t="s">
        <v>206</v>
      </c>
      <c r="D76" s="72"/>
      <c r="E76" s="98"/>
      <c r="F76" s="98"/>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row>
    <row r="77" spans="1:34" ht="27" hidden="1" customHeight="1">
      <c r="A77" s="30"/>
      <c r="B77" s="794"/>
      <c r="C77" s="74" t="s">
        <v>207</v>
      </c>
      <c r="D77" s="72"/>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row>
    <row r="78" spans="1:34" ht="27" hidden="1" customHeight="1">
      <c r="A78" s="30"/>
      <c r="B78" s="800">
        <v>10</v>
      </c>
      <c r="C78" s="795"/>
      <c r="D78" s="796"/>
      <c r="E78" s="97" t="str">
        <f>IFERROR(AVERAGE(E79:E85),"")</f>
        <v/>
      </c>
      <c r="F78" s="97" t="str">
        <f t="shared" ref="F78:AH78" si="17">IFERROR(AVERAGE(F79:F85),"")</f>
        <v/>
      </c>
      <c r="G78" s="97" t="str">
        <f t="shared" si="17"/>
        <v/>
      </c>
      <c r="H78" s="97" t="str">
        <f t="shared" si="17"/>
        <v/>
      </c>
      <c r="I78" s="97" t="str">
        <f t="shared" si="17"/>
        <v/>
      </c>
      <c r="J78" s="97" t="str">
        <f t="shared" si="17"/>
        <v/>
      </c>
      <c r="K78" s="97" t="str">
        <f t="shared" si="17"/>
        <v/>
      </c>
      <c r="L78" s="97" t="str">
        <f t="shared" si="17"/>
        <v/>
      </c>
      <c r="M78" s="97" t="str">
        <f t="shared" si="17"/>
        <v/>
      </c>
      <c r="N78" s="97" t="str">
        <f t="shared" si="17"/>
        <v/>
      </c>
      <c r="O78" s="97" t="str">
        <f t="shared" si="17"/>
        <v/>
      </c>
      <c r="P78" s="97" t="str">
        <f t="shared" si="17"/>
        <v/>
      </c>
      <c r="Q78" s="97" t="str">
        <f t="shared" si="17"/>
        <v/>
      </c>
      <c r="R78" s="97" t="str">
        <f t="shared" si="17"/>
        <v/>
      </c>
      <c r="S78" s="97" t="str">
        <f t="shared" si="17"/>
        <v/>
      </c>
      <c r="T78" s="97" t="str">
        <f t="shared" si="17"/>
        <v/>
      </c>
      <c r="U78" s="97" t="str">
        <f t="shared" si="17"/>
        <v/>
      </c>
      <c r="V78" s="97" t="str">
        <f t="shared" si="17"/>
        <v/>
      </c>
      <c r="W78" s="97" t="str">
        <f t="shared" si="17"/>
        <v/>
      </c>
      <c r="X78" s="97" t="str">
        <f t="shared" si="17"/>
        <v/>
      </c>
      <c r="Y78" s="97" t="str">
        <f t="shared" si="17"/>
        <v/>
      </c>
      <c r="Z78" s="97" t="str">
        <f t="shared" si="17"/>
        <v/>
      </c>
      <c r="AA78" s="97" t="str">
        <f t="shared" si="17"/>
        <v/>
      </c>
      <c r="AB78" s="97" t="str">
        <f t="shared" si="17"/>
        <v/>
      </c>
      <c r="AC78" s="97" t="str">
        <f t="shared" si="17"/>
        <v/>
      </c>
      <c r="AD78" s="97" t="str">
        <f t="shared" si="17"/>
        <v/>
      </c>
      <c r="AE78" s="97" t="str">
        <f t="shared" si="17"/>
        <v/>
      </c>
      <c r="AF78" s="97" t="str">
        <f t="shared" si="17"/>
        <v/>
      </c>
      <c r="AG78" s="97" t="str">
        <f t="shared" si="17"/>
        <v/>
      </c>
      <c r="AH78" s="97" t="str">
        <f t="shared" si="17"/>
        <v/>
      </c>
    </row>
    <row r="79" spans="1:34" ht="27" hidden="1" customHeight="1">
      <c r="A79" s="30"/>
      <c r="B79" s="801"/>
      <c r="C79" s="74" t="s">
        <v>208</v>
      </c>
      <c r="D79" s="72"/>
      <c r="E79" s="98"/>
      <c r="F79" s="98"/>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row>
    <row r="80" spans="1:34" ht="27" hidden="1" customHeight="1">
      <c r="A80" s="30"/>
      <c r="B80" s="801"/>
      <c r="C80" s="74" t="s">
        <v>209</v>
      </c>
      <c r="D80" s="72"/>
      <c r="E80" s="98"/>
      <c r="F80" s="98"/>
      <c r="G80" s="98"/>
      <c r="H80" s="98"/>
      <c r="I80" s="98"/>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row>
    <row r="81" spans="1:34" ht="27" hidden="1" customHeight="1">
      <c r="A81" s="30"/>
      <c r="B81" s="801"/>
      <c r="C81" s="74" t="s">
        <v>210</v>
      </c>
      <c r="D81" s="72"/>
      <c r="E81" s="98"/>
      <c r="F81" s="98"/>
      <c r="G81" s="98"/>
      <c r="H81" s="98"/>
      <c r="I81" s="98"/>
      <c r="J81" s="98"/>
      <c r="K81" s="98"/>
      <c r="L81" s="98"/>
      <c r="M81" s="98"/>
      <c r="N81" s="98"/>
      <c r="O81" s="98"/>
      <c r="P81" s="98"/>
      <c r="Q81" s="98"/>
      <c r="R81" s="98"/>
      <c r="S81" s="98"/>
      <c r="T81" s="98"/>
      <c r="U81" s="98"/>
      <c r="V81" s="98"/>
      <c r="W81" s="98"/>
      <c r="X81" s="98"/>
      <c r="Y81" s="98"/>
      <c r="Z81" s="98"/>
      <c r="AA81" s="98"/>
      <c r="AB81" s="98"/>
      <c r="AC81" s="98"/>
      <c r="AD81" s="98"/>
      <c r="AE81" s="98"/>
      <c r="AF81" s="98"/>
      <c r="AG81" s="98"/>
      <c r="AH81" s="98"/>
    </row>
    <row r="82" spans="1:34" ht="27" hidden="1" customHeight="1">
      <c r="A82" s="30"/>
      <c r="B82" s="801"/>
      <c r="C82" s="74" t="s">
        <v>211</v>
      </c>
      <c r="D82" s="72"/>
      <c r="E82" s="98"/>
      <c r="F82" s="98"/>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row>
    <row r="83" spans="1:34" ht="27" hidden="1" customHeight="1">
      <c r="A83" s="30"/>
      <c r="B83" s="801"/>
      <c r="C83" s="74" t="s">
        <v>212</v>
      </c>
      <c r="D83" s="72"/>
      <c r="E83" s="98"/>
      <c r="F83" s="98"/>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row>
    <row r="84" spans="1:34" ht="27" hidden="1" customHeight="1">
      <c r="A84" s="30"/>
      <c r="B84" s="801"/>
      <c r="C84" s="74" t="s">
        <v>213</v>
      </c>
      <c r="D84" s="72"/>
      <c r="E84" s="98"/>
      <c r="F84" s="98"/>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row>
    <row r="85" spans="1:34" ht="27" hidden="1" customHeight="1">
      <c r="A85" s="30"/>
      <c r="B85" s="802"/>
      <c r="C85" s="74" t="s">
        <v>214</v>
      </c>
      <c r="D85" s="72"/>
      <c r="E85" s="98"/>
      <c r="F85" s="98"/>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row>
    <row r="86" spans="1:34" ht="27" hidden="1" customHeight="1">
      <c r="A86" s="30"/>
      <c r="B86" s="800">
        <v>11</v>
      </c>
      <c r="C86" s="795"/>
      <c r="D86" s="796"/>
      <c r="E86" s="97" t="str">
        <f>IFERROR(AVERAGE(E87:E93),"")</f>
        <v/>
      </c>
      <c r="F86" s="97" t="str">
        <f t="shared" ref="F86:AH86" si="18">IFERROR(AVERAGE(F87:F93),"")</f>
        <v/>
      </c>
      <c r="G86" s="97" t="str">
        <f t="shared" si="18"/>
        <v/>
      </c>
      <c r="H86" s="97" t="str">
        <f t="shared" si="18"/>
        <v/>
      </c>
      <c r="I86" s="97" t="str">
        <f t="shared" si="18"/>
        <v/>
      </c>
      <c r="J86" s="97" t="str">
        <f t="shared" si="18"/>
        <v/>
      </c>
      <c r="K86" s="97" t="str">
        <f t="shared" si="18"/>
        <v/>
      </c>
      <c r="L86" s="97" t="str">
        <f t="shared" si="18"/>
        <v/>
      </c>
      <c r="M86" s="97" t="str">
        <f t="shared" si="18"/>
        <v/>
      </c>
      <c r="N86" s="97" t="str">
        <f t="shared" si="18"/>
        <v/>
      </c>
      <c r="O86" s="97" t="str">
        <f t="shared" si="18"/>
        <v/>
      </c>
      <c r="P86" s="97" t="str">
        <f t="shared" si="18"/>
        <v/>
      </c>
      <c r="Q86" s="97" t="str">
        <f t="shared" si="18"/>
        <v/>
      </c>
      <c r="R86" s="97" t="str">
        <f t="shared" si="18"/>
        <v/>
      </c>
      <c r="S86" s="97" t="str">
        <f t="shared" si="18"/>
        <v/>
      </c>
      <c r="T86" s="97" t="str">
        <f t="shared" si="18"/>
        <v/>
      </c>
      <c r="U86" s="97" t="str">
        <f t="shared" si="18"/>
        <v/>
      </c>
      <c r="V86" s="97" t="str">
        <f t="shared" si="18"/>
        <v/>
      </c>
      <c r="W86" s="97" t="str">
        <f t="shared" si="18"/>
        <v/>
      </c>
      <c r="X86" s="97" t="str">
        <f t="shared" si="18"/>
        <v/>
      </c>
      <c r="Y86" s="97" t="str">
        <f t="shared" si="18"/>
        <v/>
      </c>
      <c r="Z86" s="97" t="str">
        <f t="shared" si="18"/>
        <v/>
      </c>
      <c r="AA86" s="97" t="str">
        <f t="shared" si="18"/>
        <v/>
      </c>
      <c r="AB86" s="97" t="str">
        <f t="shared" si="18"/>
        <v/>
      </c>
      <c r="AC86" s="97" t="str">
        <f t="shared" si="18"/>
        <v/>
      </c>
      <c r="AD86" s="97" t="str">
        <f t="shared" si="18"/>
        <v/>
      </c>
      <c r="AE86" s="97" t="str">
        <f t="shared" si="18"/>
        <v/>
      </c>
      <c r="AF86" s="97" t="str">
        <f t="shared" si="18"/>
        <v/>
      </c>
      <c r="AG86" s="97" t="str">
        <f t="shared" si="18"/>
        <v/>
      </c>
      <c r="AH86" s="97" t="str">
        <f t="shared" si="18"/>
        <v/>
      </c>
    </row>
    <row r="87" spans="1:34" ht="27" hidden="1" customHeight="1">
      <c r="A87" s="30"/>
      <c r="B87" s="801"/>
      <c r="C87" s="74" t="s">
        <v>215</v>
      </c>
      <c r="D87" s="72"/>
      <c r="E87" s="99"/>
      <c r="F87" s="99"/>
      <c r="G87" s="99"/>
      <c r="H87" s="99"/>
      <c r="I87" s="99"/>
      <c r="J87" s="99"/>
      <c r="K87" s="99"/>
      <c r="L87" s="99"/>
      <c r="M87" s="99"/>
      <c r="N87" s="99"/>
      <c r="O87" s="99"/>
      <c r="P87" s="99"/>
      <c r="Q87" s="99"/>
      <c r="R87" s="99"/>
      <c r="S87" s="99"/>
      <c r="T87" s="99"/>
      <c r="U87" s="99"/>
      <c r="V87" s="99"/>
      <c r="W87" s="99"/>
      <c r="X87" s="99"/>
      <c r="Y87" s="99"/>
      <c r="Z87" s="99"/>
      <c r="AA87" s="99"/>
      <c r="AB87" s="99"/>
      <c r="AC87" s="99"/>
      <c r="AD87" s="99"/>
      <c r="AE87" s="99"/>
      <c r="AF87" s="99"/>
      <c r="AG87" s="99"/>
      <c r="AH87" s="99"/>
    </row>
    <row r="88" spans="1:34" ht="27" hidden="1" customHeight="1">
      <c r="A88" s="30"/>
      <c r="B88" s="801"/>
      <c r="C88" s="74" t="s">
        <v>216</v>
      </c>
      <c r="D88" s="72"/>
      <c r="E88" s="98"/>
      <c r="F88" s="98"/>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row>
    <row r="89" spans="1:34" ht="27" hidden="1" customHeight="1">
      <c r="A89" s="30"/>
      <c r="B89" s="801"/>
      <c r="C89" s="74" t="s">
        <v>217</v>
      </c>
      <c r="D89" s="72"/>
      <c r="E89" s="98"/>
      <c r="F89" s="98"/>
      <c r="G89" s="98"/>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row>
    <row r="90" spans="1:34" ht="27" hidden="1" customHeight="1">
      <c r="A90" s="30"/>
      <c r="B90" s="801"/>
      <c r="C90" s="74" t="s">
        <v>218</v>
      </c>
      <c r="D90" s="72"/>
      <c r="E90" s="98"/>
      <c r="F90" s="98"/>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row>
    <row r="91" spans="1:34" ht="27" hidden="1" customHeight="1">
      <c r="A91" s="30"/>
      <c r="B91" s="801"/>
      <c r="C91" s="74" t="s">
        <v>219</v>
      </c>
      <c r="D91" s="72"/>
      <c r="E91" s="98"/>
      <c r="F91" s="98"/>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row>
    <row r="92" spans="1:34" ht="27" hidden="1" customHeight="1">
      <c r="A92" s="30"/>
      <c r="B92" s="801"/>
      <c r="C92" s="74" t="s">
        <v>220</v>
      </c>
      <c r="D92" s="72"/>
      <c r="E92" s="98"/>
      <c r="F92" s="98"/>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row>
    <row r="93" spans="1:34" ht="27" hidden="1" customHeight="1">
      <c r="A93" s="30"/>
      <c r="B93" s="802"/>
      <c r="C93" s="74" t="s">
        <v>221</v>
      </c>
      <c r="D93" s="72"/>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row>
    <row r="94" spans="1:34" ht="27" hidden="1" customHeight="1">
      <c r="A94" s="30"/>
      <c r="B94" s="800">
        <v>12</v>
      </c>
      <c r="C94" s="795"/>
      <c r="D94" s="796"/>
      <c r="E94" s="97" t="str">
        <f>IFERROR(AVERAGE(E95:E101),"")</f>
        <v/>
      </c>
      <c r="F94" s="97" t="str">
        <f t="shared" ref="F94:AH94" si="19">IFERROR(AVERAGE(F95:F101),"")</f>
        <v/>
      </c>
      <c r="G94" s="97" t="str">
        <f t="shared" si="19"/>
        <v/>
      </c>
      <c r="H94" s="97" t="str">
        <f t="shared" si="19"/>
        <v/>
      </c>
      <c r="I94" s="97" t="str">
        <f t="shared" si="19"/>
        <v/>
      </c>
      <c r="J94" s="97" t="str">
        <f t="shared" si="19"/>
        <v/>
      </c>
      <c r="K94" s="97" t="str">
        <f t="shared" si="19"/>
        <v/>
      </c>
      <c r="L94" s="97" t="str">
        <f t="shared" si="19"/>
        <v/>
      </c>
      <c r="M94" s="97" t="str">
        <f t="shared" si="19"/>
        <v/>
      </c>
      <c r="N94" s="97" t="str">
        <f t="shared" si="19"/>
        <v/>
      </c>
      <c r="O94" s="97" t="str">
        <f t="shared" si="19"/>
        <v/>
      </c>
      <c r="P94" s="97" t="str">
        <f t="shared" si="19"/>
        <v/>
      </c>
      <c r="Q94" s="97" t="str">
        <f t="shared" si="19"/>
        <v/>
      </c>
      <c r="R94" s="97" t="str">
        <f t="shared" si="19"/>
        <v/>
      </c>
      <c r="S94" s="97" t="str">
        <f t="shared" si="19"/>
        <v/>
      </c>
      <c r="T94" s="97" t="str">
        <f t="shared" si="19"/>
        <v/>
      </c>
      <c r="U94" s="97" t="str">
        <f t="shared" si="19"/>
        <v/>
      </c>
      <c r="V94" s="97" t="str">
        <f t="shared" si="19"/>
        <v/>
      </c>
      <c r="W94" s="97" t="str">
        <f t="shared" si="19"/>
        <v/>
      </c>
      <c r="X94" s="97" t="str">
        <f t="shared" si="19"/>
        <v/>
      </c>
      <c r="Y94" s="97" t="str">
        <f t="shared" si="19"/>
        <v/>
      </c>
      <c r="Z94" s="97" t="str">
        <f t="shared" si="19"/>
        <v/>
      </c>
      <c r="AA94" s="97" t="str">
        <f t="shared" si="19"/>
        <v/>
      </c>
      <c r="AB94" s="97" t="str">
        <f t="shared" si="19"/>
        <v/>
      </c>
      <c r="AC94" s="97" t="str">
        <f t="shared" si="19"/>
        <v/>
      </c>
      <c r="AD94" s="97" t="str">
        <f t="shared" si="19"/>
        <v/>
      </c>
      <c r="AE94" s="97" t="str">
        <f t="shared" si="19"/>
        <v/>
      </c>
      <c r="AF94" s="97" t="str">
        <f t="shared" si="19"/>
        <v/>
      </c>
      <c r="AG94" s="97" t="str">
        <f t="shared" si="19"/>
        <v/>
      </c>
      <c r="AH94" s="97" t="str">
        <f t="shared" si="19"/>
        <v/>
      </c>
    </row>
    <row r="95" spans="1:34" ht="27" hidden="1" customHeight="1">
      <c r="A95" s="30"/>
      <c r="B95" s="801"/>
      <c r="C95" s="74" t="s">
        <v>222</v>
      </c>
      <c r="D95" s="72"/>
      <c r="E95" s="98"/>
      <c r="F95" s="98"/>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row>
    <row r="96" spans="1:34" ht="27" hidden="1" customHeight="1">
      <c r="A96" s="30"/>
      <c r="B96" s="801"/>
      <c r="C96" s="74" t="s">
        <v>223</v>
      </c>
      <c r="D96" s="72"/>
      <c r="E96" s="98"/>
      <c r="F96" s="98"/>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row>
    <row r="97" spans="1:34" ht="27" hidden="1" customHeight="1">
      <c r="A97" s="30"/>
      <c r="B97" s="801"/>
      <c r="C97" s="74" t="s">
        <v>224</v>
      </c>
      <c r="D97" s="72"/>
      <c r="E97" s="98"/>
      <c r="F97" s="98"/>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row>
    <row r="98" spans="1:34" ht="27" hidden="1" customHeight="1">
      <c r="A98" s="30"/>
      <c r="B98" s="801"/>
      <c r="C98" s="74" t="s">
        <v>225</v>
      </c>
      <c r="D98" s="72"/>
      <c r="E98" s="98"/>
      <c r="F98" s="98"/>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row>
    <row r="99" spans="1:34" ht="27" hidden="1" customHeight="1">
      <c r="A99" s="30"/>
      <c r="B99" s="801"/>
      <c r="C99" s="74" t="s">
        <v>226</v>
      </c>
      <c r="D99" s="72"/>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row>
    <row r="100" spans="1:34" ht="27" hidden="1" customHeight="1">
      <c r="A100" s="30"/>
      <c r="B100" s="801"/>
      <c r="C100" s="74" t="s">
        <v>227</v>
      </c>
      <c r="D100" s="72"/>
      <c r="E100" s="98"/>
      <c r="F100" s="98"/>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row>
    <row r="101" spans="1:34" ht="27" hidden="1" customHeight="1">
      <c r="A101" s="30"/>
      <c r="B101" s="802"/>
      <c r="C101" s="74" t="s">
        <v>228</v>
      </c>
      <c r="D101" s="72"/>
      <c r="E101" s="98"/>
      <c r="F101" s="98"/>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row>
    <row r="102" spans="1:34" ht="27" hidden="1" customHeight="1">
      <c r="A102" s="30"/>
      <c r="B102" s="794">
        <v>13</v>
      </c>
      <c r="C102" s="795"/>
      <c r="D102" s="796"/>
      <c r="E102" s="97" t="str">
        <f>IFERROR(AVERAGE(E103:E109),"")</f>
        <v/>
      </c>
      <c r="F102" s="97" t="str">
        <f t="shared" ref="F102:AH102" si="20">IFERROR(AVERAGE(F103:F109),"")</f>
        <v/>
      </c>
      <c r="G102" s="97" t="str">
        <f t="shared" si="20"/>
        <v/>
      </c>
      <c r="H102" s="97" t="str">
        <f t="shared" si="20"/>
        <v/>
      </c>
      <c r="I102" s="97" t="str">
        <f t="shared" si="20"/>
        <v/>
      </c>
      <c r="J102" s="97" t="str">
        <f t="shared" si="20"/>
        <v/>
      </c>
      <c r="K102" s="97" t="str">
        <f t="shared" si="20"/>
        <v/>
      </c>
      <c r="L102" s="97" t="str">
        <f t="shared" si="20"/>
        <v/>
      </c>
      <c r="M102" s="97" t="str">
        <f t="shared" si="20"/>
        <v/>
      </c>
      <c r="N102" s="97" t="str">
        <f t="shared" si="20"/>
        <v/>
      </c>
      <c r="O102" s="97" t="str">
        <f t="shared" si="20"/>
        <v/>
      </c>
      <c r="P102" s="97" t="str">
        <f t="shared" si="20"/>
        <v/>
      </c>
      <c r="Q102" s="97" t="str">
        <f t="shared" si="20"/>
        <v/>
      </c>
      <c r="R102" s="97" t="str">
        <f t="shared" si="20"/>
        <v/>
      </c>
      <c r="S102" s="97" t="str">
        <f t="shared" si="20"/>
        <v/>
      </c>
      <c r="T102" s="97" t="str">
        <f t="shared" si="20"/>
        <v/>
      </c>
      <c r="U102" s="97" t="str">
        <f t="shared" si="20"/>
        <v/>
      </c>
      <c r="V102" s="97" t="str">
        <f t="shared" si="20"/>
        <v/>
      </c>
      <c r="W102" s="97" t="str">
        <f t="shared" si="20"/>
        <v/>
      </c>
      <c r="X102" s="97" t="str">
        <f t="shared" si="20"/>
        <v/>
      </c>
      <c r="Y102" s="97" t="str">
        <f t="shared" si="20"/>
        <v/>
      </c>
      <c r="Z102" s="97" t="str">
        <f t="shared" si="20"/>
        <v/>
      </c>
      <c r="AA102" s="97" t="str">
        <f t="shared" si="20"/>
        <v/>
      </c>
      <c r="AB102" s="97" t="str">
        <f t="shared" si="20"/>
        <v/>
      </c>
      <c r="AC102" s="97" t="str">
        <f t="shared" si="20"/>
        <v/>
      </c>
      <c r="AD102" s="97" t="str">
        <f t="shared" si="20"/>
        <v/>
      </c>
      <c r="AE102" s="97" t="str">
        <f t="shared" si="20"/>
        <v/>
      </c>
      <c r="AF102" s="97" t="str">
        <f t="shared" si="20"/>
        <v/>
      </c>
      <c r="AG102" s="97" t="str">
        <f t="shared" si="20"/>
        <v/>
      </c>
      <c r="AH102" s="97" t="str">
        <f t="shared" si="20"/>
        <v/>
      </c>
    </row>
    <row r="103" spans="1:34" ht="27" hidden="1" customHeight="1">
      <c r="A103" s="30"/>
      <c r="B103" s="794"/>
      <c r="C103" s="74" t="s">
        <v>229</v>
      </c>
      <c r="D103" s="72"/>
      <c r="E103" s="98"/>
      <c r="F103" s="98"/>
      <c r="G103" s="98"/>
      <c r="H103" s="98"/>
      <c r="I103" s="98"/>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row>
    <row r="104" spans="1:34" ht="27" hidden="1" customHeight="1">
      <c r="A104" s="30"/>
      <c r="B104" s="794"/>
      <c r="C104" s="74" t="s">
        <v>230</v>
      </c>
      <c r="D104" s="72"/>
      <c r="E104" s="98"/>
      <c r="F104" s="98"/>
      <c r="G104" s="98"/>
      <c r="H104" s="98"/>
      <c r="I104" s="98"/>
      <c r="J104" s="98"/>
      <c r="K104" s="98"/>
      <c r="L104" s="98"/>
      <c r="M104" s="98"/>
      <c r="N104" s="98"/>
      <c r="O104" s="98"/>
      <c r="P104" s="98"/>
      <c r="Q104" s="98"/>
      <c r="R104" s="98"/>
      <c r="S104" s="98"/>
      <c r="T104" s="98"/>
      <c r="U104" s="98"/>
      <c r="V104" s="98"/>
      <c r="W104" s="98"/>
      <c r="X104" s="98"/>
      <c r="Y104" s="98"/>
      <c r="Z104" s="98"/>
      <c r="AA104" s="98"/>
      <c r="AB104" s="98"/>
      <c r="AC104" s="98"/>
      <c r="AD104" s="98"/>
      <c r="AE104" s="98"/>
      <c r="AF104" s="98"/>
      <c r="AG104" s="98"/>
      <c r="AH104" s="98"/>
    </row>
    <row r="105" spans="1:34" ht="27" hidden="1" customHeight="1">
      <c r="A105" s="30"/>
      <c r="B105" s="794"/>
      <c r="C105" s="74" t="s">
        <v>231</v>
      </c>
      <c r="D105" s="72"/>
      <c r="E105" s="98"/>
      <c r="F105" s="98"/>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row>
    <row r="106" spans="1:34" ht="27" hidden="1" customHeight="1">
      <c r="A106" s="30"/>
      <c r="B106" s="794"/>
      <c r="C106" s="74" t="s">
        <v>232</v>
      </c>
      <c r="D106" s="72"/>
      <c r="E106" s="98"/>
      <c r="F106" s="98"/>
      <c r="G106" s="98"/>
      <c r="H106" s="98"/>
      <c r="I106" s="98"/>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row>
    <row r="107" spans="1:34" ht="27" hidden="1" customHeight="1">
      <c r="A107" s="30"/>
      <c r="B107" s="794"/>
      <c r="C107" s="74" t="s">
        <v>233</v>
      </c>
      <c r="D107" s="72"/>
      <c r="E107" s="98"/>
      <c r="F107" s="98"/>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row>
    <row r="108" spans="1:34" ht="27" hidden="1" customHeight="1">
      <c r="A108" s="30"/>
      <c r="B108" s="794"/>
      <c r="C108" s="74" t="s">
        <v>234</v>
      </c>
      <c r="D108" s="72"/>
      <c r="E108" s="98"/>
      <c r="F108" s="98"/>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row>
    <row r="109" spans="1:34" ht="27" hidden="1" customHeight="1">
      <c r="A109" s="30"/>
      <c r="B109" s="794"/>
      <c r="C109" s="74" t="s">
        <v>235</v>
      </c>
      <c r="D109" s="72"/>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row>
    <row r="110" spans="1:34" ht="27" customHeight="1">
      <c r="A110" s="30"/>
      <c r="B110" s="797" t="s">
        <v>143</v>
      </c>
      <c r="C110" s="798"/>
      <c r="D110" s="799"/>
      <c r="E110" s="100">
        <f>IFERROR(AVERAGE(E6,E14,E22,E30,E38,E46,E54,E62,E70,E78,E86,E94,E102),"")</f>
        <v>91.875000000000014</v>
      </c>
      <c r="F110" s="100">
        <f t="shared" ref="F110:AH110" si="21">IFERROR(AVERAGE(F6,F14,F22,F30,F38,F46,F54,F62,F70,F78,F86,F94,F102),"")</f>
        <v>93.125</v>
      </c>
      <c r="G110" s="100">
        <f t="shared" si="21"/>
        <v>89.583333333333329</v>
      </c>
      <c r="H110" s="100">
        <f t="shared" si="21"/>
        <v>95</v>
      </c>
      <c r="I110" s="100">
        <f t="shared" si="21"/>
        <v>96.875</v>
      </c>
      <c r="J110" s="100">
        <f t="shared" si="21"/>
        <v>97.5</v>
      </c>
      <c r="K110" s="100">
        <f t="shared" si="21"/>
        <v>99.166666666666671</v>
      </c>
      <c r="L110" s="100">
        <f t="shared" si="21"/>
        <v>97.083333333333343</v>
      </c>
      <c r="M110" s="100">
        <f t="shared" si="21"/>
        <v>98.750000000000014</v>
      </c>
      <c r="N110" s="100">
        <f t="shared" si="21"/>
        <v>95.208333333333343</v>
      </c>
      <c r="O110" s="100">
        <f t="shared" si="21"/>
        <v>96.458333333333329</v>
      </c>
      <c r="P110" s="100">
        <f t="shared" si="21"/>
        <v>95.416666666666671</v>
      </c>
      <c r="Q110" s="100">
        <f t="shared" si="21"/>
        <v>97.500000000000014</v>
      </c>
      <c r="R110" s="100">
        <f t="shared" si="21"/>
        <v>94.999999999999986</v>
      </c>
      <c r="S110" s="100">
        <f t="shared" si="21"/>
        <v>93.749999999999986</v>
      </c>
      <c r="T110" s="100">
        <f t="shared" si="21"/>
        <v>92.083333333333343</v>
      </c>
      <c r="U110" s="100">
        <f t="shared" si="21"/>
        <v>97.291666666666671</v>
      </c>
      <c r="V110" s="100">
        <f t="shared" si="21"/>
        <v>99.583333333333329</v>
      </c>
      <c r="W110" s="100">
        <f t="shared" si="21"/>
        <v>92.5</v>
      </c>
      <c r="X110" s="100">
        <f t="shared" si="21"/>
        <v>93.749999999999986</v>
      </c>
      <c r="Y110" s="100">
        <f t="shared" si="21"/>
        <v>98.333333333333343</v>
      </c>
      <c r="Z110" s="100">
        <f t="shared" si="21"/>
        <v>95.208333333333343</v>
      </c>
      <c r="AA110" s="100">
        <f t="shared" si="21"/>
        <v>95.208333333333343</v>
      </c>
      <c r="AB110" s="100">
        <f t="shared" si="21"/>
        <v>92.708333333333329</v>
      </c>
      <c r="AC110" s="100" t="str">
        <f t="shared" si="21"/>
        <v/>
      </c>
      <c r="AD110" s="100" t="str">
        <f t="shared" si="21"/>
        <v/>
      </c>
      <c r="AE110" s="100" t="str">
        <f t="shared" si="21"/>
        <v/>
      </c>
      <c r="AF110" s="100" t="str">
        <f t="shared" si="21"/>
        <v/>
      </c>
      <c r="AG110" s="100" t="str">
        <f t="shared" si="21"/>
        <v/>
      </c>
      <c r="AH110" s="100" t="str">
        <f t="shared" si="21"/>
        <v/>
      </c>
    </row>
    <row r="111" spans="1:34" hidden="1">
      <c r="B111" s="31"/>
      <c r="C111" s="31"/>
      <c r="D111" s="32"/>
    </row>
    <row r="112" spans="1:34" hidden="1">
      <c r="B112" s="31"/>
      <c r="C112" s="31"/>
      <c r="D112" s="32"/>
    </row>
    <row r="113" spans="2:4" hidden="1">
      <c r="B113" s="31"/>
      <c r="C113" s="31"/>
      <c r="D113" s="32"/>
    </row>
    <row r="114" spans="2:4" hidden="1">
      <c r="B114" s="31"/>
      <c r="C114" s="31"/>
      <c r="D114" s="32"/>
    </row>
    <row r="115" spans="2:4" hidden="1">
      <c r="B115" s="31"/>
      <c r="C115" s="31"/>
      <c r="D115" s="32"/>
    </row>
    <row r="116" spans="2:4" hidden="1">
      <c r="B116" s="31"/>
      <c r="C116" s="31"/>
      <c r="D116" s="32"/>
    </row>
    <row r="117" spans="2:4" hidden="1">
      <c r="B117" s="31"/>
      <c r="C117" s="31"/>
      <c r="D117" s="32"/>
    </row>
    <row r="118" spans="2:4" hidden="1">
      <c r="B118" s="31"/>
      <c r="C118" s="31"/>
      <c r="D118" s="32"/>
    </row>
    <row r="119" spans="2:4" hidden="1">
      <c r="B119" s="31"/>
      <c r="C119" s="31"/>
      <c r="D119" s="32"/>
    </row>
    <row r="120" spans="2:4" hidden="1">
      <c r="B120" s="31"/>
      <c r="C120" s="31"/>
      <c r="D120" s="32"/>
    </row>
    <row r="121" spans="2:4" hidden="1">
      <c r="B121" s="31"/>
      <c r="C121" s="31"/>
      <c r="D121" s="32"/>
    </row>
    <row r="122" spans="2:4" hidden="1">
      <c r="B122" s="31"/>
      <c r="C122" s="31"/>
      <c r="D122" s="32"/>
    </row>
    <row r="123" spans="2:4" hidden="1">
      <c r="B123" s="31"/>
      <c r="C123" s="31"/>
      <c r="D123" s="32"/>
    </row>
    <row r="124" spans="2:4" hidden="1">
      <c r="B124" s="31"/>
      <c r="C124" s="31"/>
      <c r="D124" s="32"/>
    </row>
    <row r="125" spans="2:4" hidden="1">
      <c r="B125" s="31"/>
      <c r="C125" s="31"/>
      <c r="D125" s="32"/>
    </row>
    <row r="126" spans="2:4" hidden="1">
      <c r="B126" s="31"/>
      <c r="C126" s="31"/>
      <c r="D126" s="32"/>
    </row>
    <row r="127" spans="2:4" hidden="1">
      <c r="B127" s="31"/>
      <c r="C127" s="31"/>
      <c r="D127" s="32"/>
    </row>
    <row r="128" spans="2:4" hidden="1">
      <c r="B128" s="31"/>
      <c r="C128" s="31"/>
      <c r="D128" s="32"/>
    </row>
    <row r="129" spans="2:4" hidden="1">
      <c r="B129" s="31"/>
      <c r="C129" s="31"/>
      <c r="D129" s="32"/>
    </row>
    <row r="130" spans="2:4" hidden="1">
      <c r="B130" s="31"/>
      <c r="C130" s="31"/>
      <c r="D130" s="32"/>
    </row>
    <row r="131" spans="2:4" hidden="1">
      <c r="B131" s="31"/>
      <c r="C131" s="31"/>
      <c r="D131" s="32"/>
    </row>
    <row r="132" spans="2:4" hidden="1">
      <c r="B132" s="31"/>
      <c r="C132" s="31"/>
      <c r="D132" s="32"/>
    </row>
    <row r="133" spans="2:4" hidden="1">
      <c r="B133" s="31"/>
      <c r="C133" s="31"/>
      <c r="D133" s="32"/>
    </row>
    <row r="134" spans="2:4" hidden="1">
      <c r="B134" s="31"/>
      <c r="C134" s="31"/>
      <c r="D134" s="32"/>
    </row>
    <row r="135" spans="2:4" hidden="1">
      <c r="B135" s="31"/>
      <c r="C135" s="31"/>
      <c r="D135" s="32"/>
    </row>
    <row r="136" spans="2:4" hidden="1">
      <c r="B136" s="31"/>
      <c r="C136" s="31"/>
      <c r="D136" s="32"/>
    </row>
    <row r="137" spans="2:4" hidden="1">
      <c r="B137" s="31"/>
      <c r="C137" s="31"/>
      <c r="D137" s="32"/>
    </row>
    <row r="138" spans="2:4" hidden="1">
      <c r="B138" s="31"/>
      <c r="C138" s="31"/>
      <c r="D138" s="32"/>
    </row>
    <row r="139" spans="2:4" hidden="1">
      <c r="B139" s="31"/>
      <c r="C139" s="31"/>
      <c r="D139" s="32"/>
    </row>
    <row r="140" spans="2:4" hidden="1">
      <c r="B140" s="31"/>
      <c r="C140" s="31"/>
      <c r="D140" s="32"/>
    </row>
    <row r="141" spans="2:4" hidden="1">
      <c r="B141" s="31"/>
      <c r="C141" s="31"/>
      <c r="D141" s="32"/>
    </row>
    <row r="142" spans="2:4" hidden="1">
      <c r="B142" s="31"/>
      <c r="C142" s="31"/>
      <c r="D142" s="32"/>
    </row>
    <row r="143" spans="2:4" hidden="1">
      <c r="B143" s="31"/>
      <c r="C143" s="31"/>
      <c r="D143" s="32"/>
    </row>
    <row r="144" spans="2:4" hidden="1">
      <c r="B144" s="31"/>
      <c r="C144" s="31"/>
      <c r="D144" s="32"/>
    </row>
    <row r="145" spans="2:4" hidden="1">
      <c r="B145" s="31"/>
      <c r="C145" s="31"/>
      <c r="D145" s="32"/>
    </row>
    <row r="146" spans="2:4" hidden="1">
      <c r="B146" s="31"/>
      <c r="C146" s="31"/>
      <c r="D146" s="32"/>
    </row>
    <row r="147" spans="2:4" hidden="1">
      <c r="B147" s="31"/>
      <c r="C147" s="31"/>
      <c r="D147" s="32"/>
    </row>
    <row r="148" spans="2:4" hidden="1">
      <c r="B148" s="31"/>
      <c r="C148" s="31"/>
      <c r="D148" s="32"/>
    </row>
    <row r="149" spans="2:4" hidden="1">
      <c r="B149" s="31"/>
      <c r="C149" s="31"/>
      <c r="D149" s="32"/>
    </row>
    <row r="150" spans="2:4" hidden="1">
      <c r="B150" s="31"/>
      <c r="C150" s="31"/>
      <c r="D150" s="32"/>
    </row>
    <row r="151" spans="2:4" hidden="1">
      <c r="B151" s="31"/>
      <c r="C151" s="31"/>
      <c r="D151" s="32"/>
    </row>
    <row r="152" spans="2:4" hidden="1">
      <c r="B152" s="31"/>
      <c r="C152" s="31"/>
      <c r="D152" s="32"/>
    </row>
    <row r="153" spans="2:4" hidden="1">
      <c r="B153" s="31"/>
      <c r="C153" s="31"/>
      <c r="D153" s="32"/>
    </row>
    <row r="154" spans="2:4" hidden="1">
      <c r="B154" s="31"/>
      <c r="C154" s="31"/>
      <c r="D154" s="32"/>
    </row>
    <row r="155" spans="2:4" hidden="1">
      <c r="B155" s="31"/>
      <c r="C155" s="31"/>
      <c r="D155" s="32"/>
    </row>
    <row r="156" spans="2:4" hidden="1">
      <c r="B156" s="31"/>
      <c r="C156" s="31"/>
      <c r="D156" s="32"/>
    </row>
    <row r="157" spans="2:4" hidden="1">
      <c r="B157" s="31"/>
      <c r="C157" s="31"/>
      <c r="D157" s="32"/>
    </row>
    <row r="158" spans="2:4" hidden="1">
      <c r="B158" s="31"/>
      <c r="C158" s="31"/>
      <c r="D158" s="32"/>
    </row>
    <row r="159" spans="2:4" hidden="1">
      <c r="B159" s="31"/>
      <c r="C159" s="31"/>
      <c r="D159" s="32"/>
    </row>
    <row r="160" spans="2:4" hidden="1">
      <c r="B160" s="31"/>
      <c r="C160" s="31"/>
      <c r="D160" s="32"/>
    </row>
    <row r="161" spans="2:4" hidden="1">
      <c r="B161" s="31"/>
      <c r="C161" s="31"/>
      <c r="D161" s="32"/>
    </row>
    <row r="162" spans="2:4" hidden="1">
      <c r="B162" s="31"/>
      <c r="C162" s="31"/>
      <c r="D162" s="32"/>
    </row>
    <row r="163" spans="2:4" hidden="1">
      <c r="B163" s="31"/>
      <c r="C163" s="31"/>
      <c r="D163" s="32"/>
    </row>
    <row r="164" spans="2:4" hidden="1">
      <c r="B164" s="31"/>
      <c r="C164" s="31"/>
      <c r="D164" s="32"/>
    </row>
    <row r="165" spans="2:4" hidden="1">
      <c r="B165" s="31"/>
      <c r="C165" s="31"/>
      <c r="D165" s="32"/>
    </row>
    <row r="166" spans="2:4" hidden="1">
      <c r="B166" s="31"/>
      <c r="C166" s="31"/>
      <c r="D166" s="32"/>
    </row>
    <row r="167" spans="2:4" hidden="1">
      <c r="B167" s="31"/>
      <c r="C167" s="31"/>
      <c r="D167" s="32"/>
    </row>
    <row r="168" spans="2:4" hidden="1">
      <c r="B168" s="31"/>
      <c r="C168" s="31"/>
      <c r="D168" s="32"/>
    </row>
    <row r="169" spans="2:4" hidden="1">
      <c r="B169" s="31"/>
      <c r="C169" s="31"/>
      <c r="D169" s="32"/>
    </row>
    <row r="170" spans="2:4" hidden="1">
      <c r="B170" s="31"/>
      <c r="C170" s="31"/>
      <c r="D170" s="32"/>
    </row>
  </sheetData>
  <mergeCells count="33">
    <mergeCell ref="A1:AH2"/>
    <mergeCell ref="B3:D3"/>
    <mergeCell ref="B4:B5"/>
    <mergeCell ref="C4:C5"/>
    <mergeCell ref="D4:D5"/>
    <mergeCell ref="E4:AH4"/>
    <mergeCell ref="B6:B13"/>
    <mergeCell ref="C6:D6"/>
    <mergeCell ref="B14:B21"/>
    <mergeCell ref="C14:D14"/>
    <mergeCell ref="B22:B29"/>
    <mergeCell ref="C22:D22"/>
    <mergeCell ref="B30:B37"/>
    <mergeCell ref="C30:D30"/>
    <mergeCell ref="B38:B45"/>
    <mergeCell ref="C38:D38"/>
    <mergeCell ref="B46:B53"/>
    <mergeCell ref="C46:D46"/>
    <mergeCell ref="B54:B61"/>
    <mergeCell ref="C54:D54"/>
    <mergeCell ref="B62:B69"/>
    <mergeCell ref="C62:D62"/>
    <mergeCell ref="B70:B77"/>
    <mergeCell ref="C70:D70"/>
    <mergeCell ref="B102:B109"/>
    <mergeCell ref="C102:D102"/>
    <mergeCell ref="B110:D110"/>
    <mergeCell ref="B78:B85"/>
    <mergeCell ref="C78:D78"/>
    <mergeCell ref="B86:B93"/>
    <mergeCell ref="C86:D86"/>
    <mergeCell ref="B94:B101"/>
    <mergeCell ref="C94:D94"/>
  </mergeCells>
  <pageMargins left="0.7" right="0.7" top="0.75" bottom="0.75" header="0.3" footer="0.3"/>
  <pageSetup paperSize="9" orientation="portrait" horizontalDpi="4294967293"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7"/>
  <dimension ref="A1:AW178"/>
  <sheetViews>
    <sheetView showGridLines="0" topLeftCell="B1" zoomScale="85" zoomScaleNormal="85" workbookViewId="0">
      <pane ySplit="5" topLeftCell="A6" activePane="bottomLeft" state="frozen"/>
      <selection activeCell="K33" sqref="K33"/>
      <selection pane="bottomLeft" activeCell="C17" sqref="C17"/>
    </sheetView>
  </sheetViews>
  <sheetFormatPr defaultColWidth="0" defaultRowHeight="15" customHeight="1" zeroHeight="1"/>
  <cols>
    <col min="1" max="1" width="1" style="29" customWidth="1"/>
    <col min="2" max="2" width="3.7109375" style="33" customWidth="1"/>
    <col min="3" max="3" width="46.140625" style="33" customWidth="1"/>
    <col min="4" max="4" width="10.28515625" style="29" customWidth="1"/>
    <col min="5" max="34" width="5.7109375" style="29" customWidth="1"/>
    <col min="35" max="49" width="5.7109375" hidden="1" customWidth="1"/>
    <col min="50" max="16384" width="9.140625" hidden="1"/>
  </cols>
  <sheetData>
    <row r="1" spans="1:34" ht="15" customHeight="1">
      <c r="A1" s="803" t="s">
        <v>252</v>
      </c>
      <c r="B1" s="803"/>
      <c r="C1" s="803"/>
      <c r="D1" s="803"/>
      <c r="E1" s="803"/>
      <c r="F1" s="803"/>
      <c r="G1" s="803"/>
      <c r="H1" s="803"/>
      <c r="I1" s="803"/>
      <c r="J1" s="803"/>
      <c r="K1" s="803"/>
      <c r="L1" s="803"/>
      <c r="M1" s="803"/>
      <c r="N1" s="803"/>
      <c r="O1" s="803"/>
      <c r="P1" s="803"/>
      <c r="Q1" s="803"/>
      <c r="R1" s="803"/>
      <c r="S1" s="803"/>
      <c r="T1" s="803"/>
      <c r="U1" s="803"/>
      <c r="V1" s="803"/>
      <c r="W1" s="803"/>
      <c r="X1" s="803"/>
      <c r="Y1" s="803"/>
      <c r="Z1" s="803"/>
      <c r="AA1" s="803"/>
      <c r="AB1" s="803"/>
      <c r="AC1" s="803"/>
      <c r="AD1" s="803"/>
      <c r="AE1" s="803"/>
      <c r="AF1" s="803"/>
      <c r="AG1" s="803"/>
      <c r="AH1" s="803"/>
    </row>
    <row r="2" spans="1:34" ht="15" customHeight="1">
      <c r="A2" s="803"/>
      <c r="B2" s="803"/>
      <c r="C2" s="803"/>
      <c r="D2" s="803"/>
      <c r="E2" s="803"/>
      <c r="F2" s="803"/>
      <c r="G2" s="803"/>
      <c r="H2" s="803"/>
      <c r="I2" s="803"/>
      <c r="J2" s="803"/>
      <c r="K2" s="803"/>
      <c r="L2" s="803"/>
      <c r="M2" s="803"/>
      <c r="N2" s="803"/>
      <c r="O2" s="803"/>
      <c r="P2" s="803"/>
      <c r="Q2" s="803"/>
      <c r="R2" s="803"/>
      <c r="S2" s="803"/>
      <c r="T2" s="803"/>
      <c r="U2" s="803"/>
      <c r="V2" s="803"/>
      <c r="W2" s="803"/>
      <c r="X2" s="803"/>
      <c r="Y2" s="803"/>
      <c r="Z2" s="803"/>
      <c r="AA2" s="803"/>
      <c r="AB2" s="803"/>
      <c r="AC2" s="803"/>
      <c r="AD2" s="803"/>
      <c r="AE2" s="803"/>
      <c r="AF2" s="803"/>
      <c r="AG2" s="803"/>
      <c r="AH2" s="803"/>
    </row>
    <row r="3" spans="1:34" ht="15" customHeight="1">
      <c r="B3" s="804"/>
      <c r="C3" s="804"/>
      <c r="D3" s="80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row>
    <row r="4" spans="1:34" ht="15" customHeight="1">
      <c r="B4" s="805" t="s">
        <v>5</v>
      </c>
      <c r="C4" s="805" t="s">
        <v>125</v>
      </c>
      <c r="D4" s="806" t="s">
        <v>126</v>
      </c>
      <c r="E4" s="807" t="s">
        <v>57</v>
      </c>
      <c r="F4" s="807"/>
      <c r="G4" s="807"/>
      <c r="H4" s="807"/>
      <c r="I4" s="807"/>
      <c r="J4" s="807"/>
      <c r="K4" s="807"/>
      <c r="L4" s="807"/>
      <c r="M4" s="807"/>
      <c r="N4" s="807"/>
      <c r="O4" s="807"/>
      <c r="P4" s="807"/>
      <c r="Q4" s="807"/>
      <c r="R4" s="807"/>
      <c r="S4" s="807"/>
      <c r="T4" s="807"/>
      <c r="U4" s="807"/>
      <c r="V4" s="807"/>
      <c r="W4" s="807"/>
      <c r="X4" s="807"/>
      <c r="Y4" s="807"/>
      <c r="Z4" s="807"/>
      <c r="AA4" s="807"/>
      <c r="AB4" s="807"/>
      <c r="AC4" s="807"/>
      <c r="AD4" s="807"/>
      <c r="AE4" s="807"/>
      <c r="AF4" s="807"/>
      <c r="AG4" s="807"/>
      <c r="AH4" s="807"/>
    </row>
    <row r="5" spans="1:34" ht="12.75" customHeight="1">
      <c r="B5" s="805"/>
      <c r="C5" s="805"/>
      <c r="D5" s="806"/>
      <c r="E5" s="35" t="str">
        <f>DATASISWA!$F$8</f>
        <v>Dita</v>
      </c>
      <c r="F5" s="35" t="str">
        <f>DATASISWA!$F$9</f>
        <v>Annisa</v>
      </c>
      <c r="G5" s="35" t="str">
        <f>DATASISWA!$F$10</f>
        <v>Kiki</v>
      </c>
      <c r="H5" s="35" t="str">
        <f>DATASISWA!$F$11</f>
        <v>Lily</v>
      </c>
      <c r="I5" s="35" t="str">
        <f>DATASISWA!$F$12</f>
        <v>Rere</v>
      </c>
      <c r="J5" s="35" t="str">
        <f>DATASISWA!$F$13</f>
        <v>Fadhil</v>
      </c>
      <c r="K5" s="35" t="str">
        <f>DATASISWA!$F$14</f>
        <v>Yuefa</v>
      </c>
      <c r="L5" s="35" t="str">
        <f>DATASISWA!$F$15</f>
        <v>Ria</v>
      </c>
      <c r="M5" s="35" t="str">
        <f>DATASISWA!$F$16</f>
        <v>Tiara</v>
      </c>
      <c r="N5" s="35" t="str">
        <f>DATASISWA!$F$17</f>
        <v>Alvind</v>
      </c>
      <c r="O5" s="35" t="str">
        <f>DATASISWA!$F$18</f>
        <v>Icha</v>
      </c>
      <c r="P5" s="35" t="str">
        <f>DATASISWA!$F$19</f>
        <v>Qonita</v>
      </c>
      <c r="Q5" s="35" t="str">
        <f>DATASISWA!$F$20</f>
        <v>Anya</v>
      </c>
      <c r="R5" s="35" t="str">
        <f>DATASISWA!$F$21</f>
        <v>Radit</v>
      </c>
      <c r="S5" s="35" t="str">
        <f>DATASISWA!$F$22</f>
        <v>angel</v>
      </c>
      <c r="T5" s="35">
        <f>DATASISWA!$F$23</f>
        <v>0</v>
      </c>
      <c r="U5" s="35">
        <f>DATASISWA!$F$24</f>
        <v>0</v>
      </c>
      <c r="V5" s="35">
        <f>DATASISWA!$F$25</f>
        <v>0</v>
      </c>
      <c r="W5" s="35">
        <f>DATASISWA!$F$26</f>
        <v>0</v>
      </c>
      <c r="X5" s="35">
        <f>DATASISWA!$F$27</f>
        <v>0</v>
      </c>
      <c r="Y5" s="35">
        <f>DATASISWA!$F$28</f>
        <v>0</v>
      </c>
      <c r="Z5" s="35">
        <f>DATASISWA!$F$29</f>
        <v>0</v>
      </c>
      <c r="AA5" s="35">
        <f>DATASISWA!$F$30</f>
        <v>0</v>
      </c>
      <c r="AB5" s="35">
        <f>DATASISWA!$F$31</f>
        <v>0</v>
      </c>
      <c r="AC5" s="35">
        <f>DATASISWA!$F$32</f>
        <v>0</v>
      </c>
      <c r="AD5" s="35">
        <f>DATASISWA!$F$33</f>
        <v>0</v>
      </c>
      <c r="AE5" s="35">
        <f>DATASISWA!$F$34</f>
        <v>0</v>
      </c>
      <c r="AF5" s="35">
        <f>DATASISWA!$F$35</f>
        <v>0</v>
      </c>
      <c r="AG5" s="35">
        <f>DATASISWA!$F$36</f>
        <v>0</v>
      </c>
      <c r="AH5" s="35">
        <f>DATASISWA!$F$37</f>
        <v>0</v>
      </c>
    </row>
    <row r="6" spans="1:34" ht="27" customHeight="1">
      <c r="A6" s="30"/>
      <c r="B6" s="800">
        <v>1</v>
      </c>
      <c r="C6" s="809" t="s">
        <v>1556</v>
      </c>
      <c r="D6" s="810"/>
      <c r="E6" s="97">
        <f t="shared" ref="E6:AA6" si="0">IFERROR(AVERAGE(E7:E14),"")</f>
        <v>87.5</v>
      </c>
      <c r="F6" s="97">
        <f t="shared" si="0"/>
        <v>92.5</v>
      </c>
      <c r="G6" s="97">
        <f t="shared" si="0"/>
        <v>93.833333333333329</v>
      </c>
      <c r="H6" s="97">
        <f t="shared" si="0"/>
        <v>99.166666666666671</v>
      </c>
      <c r="I6" s="97">
        <f t="shared" si="0"/>
        <v>93.833333333333329</v>
      </c>
      <c r="J6" s="97">
        <f t="shared" si="0"/>
        <v>98</v>
      </c>
      <c r="K6" s="97">
        <f t="shared" si="0"/>
        <v>95</v>
      </c>
      <c r="L6" s="97">
        <f t="shared" si="0"/>
        <v>99.666666666666671</v>
      </c>
      <c r="M6" s="97">
        <f t="shared" si="0"/>
        <v>97</v>
      </c>
      <c r="N6" s="97">
        <f t="shared" si="0"/>
        <v>99.166666666666671</v>
      </c>
      <c r="O6" s="97">
        <f t="shared" si="0"/>
        <v>99.666666666666671</v>
      </c>
      <c r="P6" s="97">
        <f t="shared" si="0"/>
        <v>97.5</v>
      </c>
      <c r="Q6" s="97">
        <f t="shared" si="0"/>
        <v>97.333333333333329</v>
      </c>
      <c r="R6" s="97">
        <f t="shared" si="0"/>
        <v>94.166666666666671</v>
      </c>
      <c r="S6" s="97">
        <f t="shared" si="0"/>
        <v>99.166666666666671</v>
      </c>
      <c r="T6" s="97">
        <f t="shared" si="0"/>
        <v>92.666666666666671</v>
      </c>
      <c r="U6" s="97">
        <f t="shared" si="0"/>
        <v>99.666666666666671</v>
      </c>
      <c r="V6" s="97">
        <f t="shared" si="0"/>
        <v>95.833333333333329</v>
      </c>
      <c r="W6" s="97">
        <f t="shared" si="0"/>
        <v>90</v>
      </c>
      <c r="X6" s="97">
        <f t="shared" si="0"/>
        <v>97</v>
      </c>
      <c r="Y6" s="97">
        <f t="shared" si="0"/>
        <v>98</v>
      </c>
      <c r="Z6" s="97">
        <f t="shared" si="0"/>
        <v>93.666666666666671</v>
      </c>
      <c r="AA6" s="97">
        <f t="shared" si="0"/>
        <v>85.5</v>
      </c>
      <c r="AB6" s="97">
        <f t="shared" ref="AB6:AH6" si="1">IFERROR(AVERAGE(AB7:AB14),"")</f>
        <v>99.833333333333329</v>
      </c>
      <c r="AC6" s="97" t="str">
        <f t="shared" si="1"/>
        <v/>
      </c>
      <c r="AD6" s="97" t="str">
        <f t="shared" si="1"/>
        <v/>
      </c>
      <c r="AE6" s="97" t="str">
        <f t="shared" si="1"/>
        <v/>
      </c>
      <c r="AF6" s="97" t="str">
        <f t="shared" si="1"/>
        <v/>
      </c>
      <c r="AG6" s="97" t="str">
        <f t="shared" si="1"/>
        <v/>
      </c>
      <c r="AH6" s="97" t="str">
        <f t="shared" si="1"/>
        <v/>
      </c>
    </row>
    <row r="7" spans="1:34" ht="27" customHeight="1">
      <c r="A7" s="30"/>
      <c r="B7" s="801"/>
      <c r="C7" s="74"/>
      <c r="D7" s="366">
        <v>43663</v>
      </c>
      <c r="E7" s="367">
        <v>75</v>
      </c>
      <c r="F7" s="367">
        <v>100</v>
      </c>
      <c r="G7" s="367">
        <v>75</v>
      </c>
      <c r="H7" s="367">
        <v>100</v>
      </c>
      <c r="I7" s="367">
        <v>100</v>
      </c>
      <c r="J7" s="367">
        <v>100</v>
      </c>
      <c r="K7" s="367">
        <v>100</v>
      </c>
      <c r="L7" s="367">
        <v>100</v>
      </c>
      <c r="M7" s="367">
        <v>100</v>
      </c>
      <c r="N7" s="367">
        <v>95</v>
      </c>
      <c r="O7" s="367">
        <v>100</v>
      </c>
      <c r="P7" s="367">
        <v>100</v>
      </c>
      <c r="Q7" s="367">
        <v>94</v>
      </c>
      <c r="R7" s="367">
        <v>100</v>
      </c>
      <c r="S7" s="367">
        <v>100</v>
      </c>
      <c r="T7" s="367">
        <v>88</v>
      </c>
      <c r="U7" s="367">
        <v>100</v>
      </c>
      <c r="V7" s="367">
        <v>100</v>
      </c>
      <c r="W7" s="367">
        <v>75</v>
      </c>
      <c r="X7" s="367">
        <v>100</v>
      </c>
      <c r="Y7" s="367">
        <v>100</v>
      </c>
      <c r="Z7" s="367">
        <v>95</v>
      </c>
      <c r="AA7" s="367">
        <v>76</v>
      </c>
      <c r="AB7" s="367">
        <v>100</v>
      </c>
      <c r="AC7" s="98"/>
      <c r="AD7" s="98"/>
      <c r="AE7" s="98"/>
      <c r="AF7" s="98"/>
      <c r="AG7" s="98"/>
      <c r="AH7" s="98"/>
    </row>
    <row r="8" spans="1:34" ht="27" customHeight="1">
      <c r="A8" s="30"/>
      <c r="B8" s="801"/>
      <c r="C8" s="74"/>
      <c r="D8" s="370">
        <v>43677</v>
      </c>
      <c r="E8" s="371">
        <v>90</v>
      </c>
      <c r="F8" s="371">
        <v>95</v>
      </c>
      <c r="G8" s="371">
        <v>100</v>
      </c>
      <c r="H8" s="371">
        <v>95</v>
      </c>
      <c r="I8" s="371">
        <v>98</v>
      </c>
      <c r="J8" s="371">
        <v>90</v>
      </c>
      <c r="K8" s="371">
        <v>95</v>
      </c>
      <c r="L8" s="371">
        <v>100</v>
      </c>
      <c r="M8" s="371">
        <v>90</v>
      </c>
      <c r="N8" s="371">
        <v>100</v>
      </c>
      <c r="O8" s="371">
        <v>100</v>
      </c>
      <c r="P8" s="371">
        <v>100</v>
      </c>
      <c r="Q8" s="371">
        <v>95</v>
      </c>
      <c r="R8" s="371">
        <v>90</v>
      </c>
      <c r="S8" s="371">
        <v>95</v>
      </c>
      <c r="T8" s="371">
        <v>95</v>
      </c>
      <c r="U8" s="371">
        <v>100</v>
      </c>
      <c r="V8" s="371">
        <v>85</v>
      </c>
      <c r="W8" s="371">
        <v>90</v>
      </c>
      <c r="X8" s="371">
        <v>100</v>
      </c>
      <c r="Y8" s="371">
        <v>100</v>
      </c>
      <c r="Z8" s="371">
        <v>100</v>
      </c>
      <c r="AA8" s="371">
        <v>80</v>
      </c>
      <c r="AB8" s="371">
        <v>100</v>
      </c>
      <c r="AC8" s="98"/>
      <c r="AD8" s="98"/>
      <c r="AE8" s="98"/>
      <c r="AF8" s="98"/>
      <c r="AG8" s="98"/>
      <c r="AH8" s="98"/>
    </row>
    <row r="9" spans="1:34" ht="27" customHeight="1">
      <c r="A9" s="30"/>
      <c r="B9" s="801"/>
      <c r="C9" s="74"/>
      <c r="D9" s="558">
        <v>43699</v>
      </c>
      <c r="E9" s="559">
        <v>100</v>
      </c>
      <c r="F9" s="559">
        <v>95</v>
      </c>
      <c r="G9" s="559">
        <v>100</v>
      </c>
      <c r="H9" s="559">
        <v>100</v>
      </c>
      <c r="I9" s="559">
        <v>90</v>
      </c>
      <c r="J9" s="559">
        <v>100</v>
      </c>
      <c r="K9" s="559">
        <v>100</v>
      </c>
      <c r="L9" s="559">
        <v>100</v>
      </c>
      <c r="M9" s="559">
        <v>100</v>
      </c>
      <c r="N9" s="559">
        <v>100</v>
      </c>
      <c r="O9" s="559">
        <v>100</v>
      </c>
      <c r="P9" s="559">
        <v>85</v>
      </c>
      <c r="Q9" s="559">
        <v>100</v>
      </c>
      <c r="R9" s="559">
        <v>100</v>
      </c>
      <c r="S9" s="559">
        <v>100</v>
      </c>
      <c r="T9" s="559">
        <v>100</v>
      </c>
      <c r="U9" s="559">
        <v>100</v>
      </c>
      <c r="V9" s="559">
        <v>90</v>
      </c>
      <c r="W9" s="559">
        <v>85</v>
      </c>
      <c r="X9" s="559">
        <v>95</v>
      </c>
      <c r="Y9" s="559">
        <v>90</v>
      </c>
      <c r="Z9" s="559">
        <v>100</v>
      </c>
      <c r="AA9" s="559">
        <v>100</v>
      </c>
      <c r="AB9" s="559">
        <v>100</v>
      </c>
      <c r="AC9" s="98"/>
      <c r="AD9" s="98"/>
      <c r="AE9" s="98"/>
      <c r="AF9" s="98"/>
      <c r="AG9" s="98"/>
      <c r="AH9" s="98"/>
    </row>
    <row r="10" spans="1:34" ht="27" customHeight="1">
      <c r="A10" s="30"/>
      <c r="B10" s="801"/>
      <c r="C10" s="74"/>
      <c r="D10" s="372">
        <v>43719</v>
      </c>
      <c r="E10" s="373">
        <v>100</v>
      </c>
      <c r="F10" s="373">
        <v>75</v>
      </c>
      <c r="G10" s="373">
        <v>100</v>
      </c>
      <c r="H10" s="373">
        <v>100</v>
      </c>
      <c r="I10" s="373">
        <v>100</v>
      </c>
      <c r="J10" s="373">
        <v>100</v>
      </c>
      <c r="K10" s="373">
        <v>100</v>
      </c>
      <c r="L10" s="373">
        <v>100</v>
      </c>
      <c r="M10" s="373">
        <v>100</v>
      </c>
      <c r="N10" s="373">
        <v>100</v>
      </c>
      <c r="O10" s="373">
        <v>100</v>
      </c>
      <c r="P10" s="373">
        <v>100</v>
      </c>
      <c r="Q10" s="373">
        <v>100</v>
      </c>
      <c r="R10" s="373">
        <v>100</v>
      </c>
      <c r="S10" s="373">
        <v>100</v>
      </c>
      <c r="T10" s="373">
        <v>75</v>
      </c>
      <c r="U10" s="373">
        <v>100</v>
      </c>
      <c r="V10" s="373">
        <v>100</v>
      </c>
      <c r="W10" s="373">
        <v>100</v>
      </c>
      <c r="X10" s="373">
        <v>95</v>
      </c>
      <c r="Y10" s="373">
        <v>100</v>
      </c>
      <c r="Z10" s="373">
        <v>75</v>
      </c>
      <c r="AA10" s="373">
        <v>75</v>
      </c>
      <c r="AB10" s="373">
        <v>100</v>
      </c>
      <c r="AC10" s="98"/>
      <c r="AD10" s="98"/>
      <c r="AE10" s="98"/>
      <c r="AF10" s="98"/>
      <c r="AG10" s="98"/>
      <c r="AH10" s="98"/>
    </row>
    <row r="11" spans="1:34" s="548" customFormat="1" ht="27" customHeight="1">
      <c r="A11" s="30"/>
      <c r="B11" s="801"/>
      <c r="C11" s="74"/>
      <c r="D11" s="552">
        <v>43754</v>
      </c>
      <c r="E11" s="553">
        <v>75</v>
      </c>
      <c r="F11" s="553">
        <v>90</v>
      </c>
      <c r="G11" s="577">
        <v>100</v>
      </c>
      <c r="H11" s="577">
        <v>100</v>
      </c>
      <c r="I11" s="577">
        <v>100</v>
      </c>
      <c r="J11" s="577">
        <v>100</v>
      </c>
      <c r="K11" s="577">
        <v>100</v>
      </c>
      <c r="L11" s="577">
        <v>100</v>
      </c>
      <c r="M11" s="577">
        <v>100</v>
      </c>
      <c r="N11" s="577">
        <v>100</v>
      </c>
      <c r="O11" s="577">
        <v>100</v>
      </c>
      <c r="P11" s="577">
        <v>100</v>
      </c>
      <c r="Q11" s="577">
        <v>100</v>
      </c>
      <c r="R11" s="577">
        <v>100</v>
      </c>
      <c r="S11" s="577">
        <v>100</v>
      </c>
      <c r="T11" s="577">
        <v>100</v>
      </c>
      <c r="U11" s="577">
        <v>100</v>
      </c>
      <c r="V11" s="577">
        <v>100</v>
      </c>
      <c r="W11" s="577">
        <v>100</v>
      </c>
      <c r="X11" s="577">
        <v>100</v>
      </c>
      <c r="Y11" s="577">
        <v>100</v>
      </c>
      <c r="Z11" s="577">
        <v>100</v>
      </c>
      <c r="AA11" s="577">
        <v>100</v>
      </c>
      <c r="AB11" s="577">
        <v>100</v>
      </c>
      <c r="AC11" s="98"/>
      <c r="AD11" s="98"/>
      <c r="AE11" s="98"/>
      <c r="AF11" s="98"/>
      <c r="AG11" s="98"/>
      <c r="AH11" s="98"/>
    </row>
    <row r="12" spans="1:34" s="548" customFormat="1" ht="27" customHeight="1">
      <c r="A12" s="30"/>
      <c r="B12" s="801"/>
      <c r="C12" s="74"/>
      <c r="D12" s="554">
        <v>43775</v>
      </c>
      <c r="E12" s="555">
        <v>85</v>
      </c>
      <c r="F12" s="555">
        <v>100</v>
      </c>
      <c r="G12" s="555">
        <v>88</v>
      </c>
      <c r="H12" s="555">
        <v>100</v>
      </c>
      <c r="I12" s="555">
        <v>75</v>
      </c>
      <c r="J12" s="555">
        <v>98</v>
      </c>
      <c r="K12" s="555">
        <v>75</v>
      </c>
      <c r="L12" s="555">
        <v>98</v>
      </c>
      <c r="M12" s="555">
        <v>92</v>
      </c>
      <c r="N12" s="555">
        <v>100</v>
      </c>
      <c r="O12" s="555">
        <v>98</v>
      </c>
      <c r="P12" s="555">
        <v>100</v>
      </c>
      <c r="Q12" s="555">
        <v>95</v>
      </c>
      <c r="R12" s="555">
        <v>75</v>
      </c>
      <c r="S12" s="555">
        <v>100</v>
      </c>
      <c r="T12" s="555">
        <v>98</v>
      </c>
      <c r="U12" s="555">
        <v>98</v>
      </c>
      <c r="V12" s="555">
        <v>100</v>
      </c>
      <c r="W12" s="555">
        <v>90</v>
      </c>
      <c r="X12" s="555">
        <v>92</v>
      </c>
      <c r="Y12" s="555">
        <v>98</v>
      </c>
      <c r="Z12" s="555">
        <v>92</v>
      </c>
      <c r="AA12" s="555">
        <v>82</v>
      </c>
      <c r="AB12" s="555">
        <v>99</v>
      </c>
      <c r="AC12" s="98"/>
      <c r="AD12" s="98"/>
      <c r="AE12" s="98"/>
      <c r="AF12" s="98"/>
      <c r="AG12" s="98"/>
      <c r="AH12" s="98"/>
    </row>
    <row r="13" spans="1:34" ht="27" hidden="1" customHeight="1">
      <c r="A13" s="30"/>
      <c r="B13" s="801"/>
      <c r="C13" s="74"/>
      <c r="D13" s="72"/>
      <c r="E13" s="98"/>
      <c r="F13" s="98"/>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row>
    <row r="14" spans="1:34" ht="27" hidden="1" customHeight="1">
      <c r="A14" s="30"/>
      <c r="B14" s="802"/>
      <c r="C14" s="74"/>
      <c r="D14" s="72"/>
      <c r="E14" s="98"/>
      <c r="F14" s="98"/>
      <c r="G14" s="98"/>
      <c r="H14" s="98"/>
      <c r="I14" s="98"/>
      <c r="J14" s="98"/>
      <c r="K14" s="98"/>
      <c r="L14" s="98"/>
      <c r="M14" s="98"/>
      <c r="N14" s="98"/>
      <c r="O14" s="98"/>
      <c r="P14" s="98"/>
      <c r="Q14" s="98"/>
      <c r="R14" s="98"/>
      <c r="S14" s="98"/>
      <c r="T14" s="98"/>
      <c r="U14" s="98"/>
      <c r="V14" s="98"/>
      <c r="W14" s="98"/>
      <c r="X14" s="98"/>
      <c r="Y14" s="98"/>
      <c r="Z14" s="98"/>
      <c r="AA14" s="98"/>
      <c r="AB14" s="98"/>
      <c r="AC14" s="98"/>
      <c r="AD14" s="98"/>
      <c r="AE14" s="98"/>
      <c r="AF14" s="98"/>
      <c r="AG14" s="98"/>
      <c r="AH14" s="98"/>
    </row>
    <row r="15" spans="1:34" ht="27" customHeight="1">
      <c r="A15" s="30"/>
      <c r="B15" s="800">
        <v>2</v>
      </c>
      <c r="C15" s="795" t="s">
        <v>1557</v>
      </c>
      <c r="D15" s="796"/>
      <c r="E15" s="97">
        <f>AVERAGE(E16:E21)</f>
        <v>87.5</v>
      </c>
      <c r="F15" s="97">
        <f t="shared" ref="F15:AB15" si="2">AVERAGE(F16:F21)</f>
        <v>92.5</v>
      </c>
      <c r="G15" s="97">
        <f t="shared" si="2"/>
        <v>93.833333333333329</v>
      </c>
      <c r="H15" s="97">
        <f t="shared" si="2"/>
        <v>99.166666666666671</v>
      </c>
      <c r="I15" s="97">
        <f t="shared" si="2"/>
        <v>93.833333333333329</v>
      </c>
      <c r="J15" s="97">
        <f t="shared" si="2"/>
        <v>98</v>
      </c>
      <c r="K15" s="97">
        <f t="shared" si="2"/>
        <v>95</v>
      </c>
      <c r="L15" s="97">
        <f t="shared" si="2"/>
        <v>99.666666666666671</v>
      </c>
      <c r="M15" s="97">
        <f t="shared" si="2"/>
        <v>97</v>
      </c>
      <c r="N15" s="97">
        <f t="shared" si="2"/>
        <v>99.166666666666671</v>
      </c>
      <c r="O15" s="97">
        <f t="shared" si="2"/>
        <v>99.666666666666671</v>
      </c>
      <c r="P15" s="97">
        <f t="shared" si="2"/>
        <v>97.5</v>
      </c>
      <c r="Q15" s="97">
        <f t="shared" si="2"/>
        <v>97.333333333333329</v>
      </c>
      <c r="R15" s="97">
        <f t="shared" si="2"/>
        <v>94.166666666666671</v>
      </c>
      <c r="S15" s="97">
        <f t="shared" si="2"/>
        <v>99.166666666666671</v>
      </c>
      <c r="T15" s="97">
        <f t="shared" si="2"/>
        <v>92.666666666666671</v>
      </c>
      <c r="U15" s="97">
        <f t="shared" si="2"/>
        <v>99.666666666666671</v>
      </c>
      <c r="V15" s="97">
        <f t="shared" si="2"/>
        <v>95.833333333333329</v>
      </c>
      <c r="W15" s="97">
        <f t="shared" si="2"/>
        <v>90</v>
      </c>
      <c r="X15" s="97">
        <f t="shared" si="2"/>
        <v>97</v>
      </c>
      <c r="Y15" s="97">
        <f t="shared" si="2"/>
        <v>98</v>
      </c>
      <c r="Z15" s="97">
        <f t="shared" si="2"/>
        <v>93.666666666666671</v>
      </c>
      <c r="AA15" s="97">
        <f t="shared" si="2"/>
        <v>85.5</v>
      </c>
      <c r="AB15" s="97">
        <f t="shared" si="2"/>
        <v>99.833333333333329</v>
      </c>
      <c r="AC15" s="97" t="str">
        <f t="shared" ref="AC15:AH15" si="3">IFERROR(AVERAGE(AC16:AC23),"")</f>
        <v/>
      </c>
      <c r="AD15" s="97" t="str">
        <f t="shared" si="3"/>
        <v/>
      </c>
      <c r="AE15" s="97" t="str">
        <f t="shared" si="3"/>
        <v/>
      </c>
      <c r="AF15" s="97" t="str">
        <f t="shared" si="3"/>
        <v/>
      </c>
      <c r="AG15" s="97" t="str">
        <f t="shared" si="3"/>
        <v/>
      </c>
      <c r="AH15" s="97" t="str">
        <f t="shared" si="3"/>
        <v/>
      </c>
    </row>
    <row r="16" spans="1:34" ht="27" customHeight="1">
      <c r="A16" s="30"/>
      <c r="B16" s="801"/>
      <c r="C16" s="74"/>
      <c r="D16" s="366">
        <v>43663</v>
      </c>
      <c r="E16" s="367">
        <v>75</v>
      </c>
      <c r="F16" s="367">
        <v>100</v>
      </c>
      <c r="G16" s="367">
        <v>75</v>
      </c>
      <c r="H16" s="367">
        <v>100</v>
      </c>
      <c r="I16" s="367">
        <v>100</v>
      </c>
      <c r="J16" s="367">
        <v>100</v>
      </c>
      <c r="K16" s="367">
        <v>100</v>
      </c>
      <c r="L16" s="367">
        <v>100</v>
      </c>
      <c r="M16" s="367">
        <v>100</v>
      </c>
      <c r="N16" s="367">
        <v>95</v>
      </c>
      <c r="O16" s="367">
        <v>100</v>
      </c>
      <c r="P16" s="367">
        <v>100</v>
      </c>
      <c r="Q16" s="367">
        <v>94</v>
      </c>
      <c r="R16" s="367">
        <v>100</v>
      </c>
      <c r="S16" s="367">
        <v>100</v>
      </c>
      <c r="T16" s="367">
        <v>88</v>
      </c>
      <c r="U16" s="367">
        <v>100</v>
      </c>
      <c r="V16" s="367">
        <v>100</v>
      </c>
      <c r="W16" s="367">
        <v>75</v>
      </c>
      <c r="X16" s="367">
        <v>100</v>
      </c>
      <c r="Y16" s="367">
        <v>100</v>
      </c>
      <c r="Z16" s="367">
        <v>95</v>
      </c>
      <c r="AA16" s="367">
        <v>76</v>
      </c>
      <c r="AB16" s="367">
        <v>100</v>
      </c>
      <c r="AC16" s="98"/>
      <c r="AD16" s="98"/>
      <c r="AE16" s="98"/>
      <c r="AF16" s="98"/>
      <c r="AG16" s="98"/>
      <c r="AH16" s="98"/>
    </row>
    <row r="17" spans="1:34" ht="27" customHeight="1">
      <c r="A17" s="30"/>
      <c r="B17" s="801"/>
      <c r="C17" s="74"/>
      <c r="D17" s="370">
        <v>43677</v>
      </c>
      <c r="E17" s="371">
        <v>90</v>
      </c>
      <c r="F17" s="371">
        <v>95</v>
      </c>
      <c r="G17" s="371">
        <v>100</v>
      </c>
      <c r="H17" s="371">
        <v>95</v>
      </c>
      <c r="I17" s="371">
        <v>98</v>
      </c>
      <c r="J17" s="371">
        <v>90</v>
      </c>
      <c r="K17" s="371">
        <v>95</v>
      </c>
      <c r="L17" s="371">
        <v>100</v>
      </c>
      <c r="M17" s="371">
        <v>90</v>
      </c>
      <c r="N17" s="371">
        <v>100</v>
      </c>
      <c r="O17" s="371">
        <v>100</v>
      </c>
      <c r="P17" s="371">
        <v>100</v>
      </c>
      <c r="Q17" s="371">
        <v>95</v>
      </c>
      <c r="R17" s="371">
        <v>90</v>
      </c>
      <c r="S17" s="371">
        <v>95</v>
      </c>
      <c r="T17" s="371">
        <v>95</v>
      </c>
      <c r="U17" s="371">
        <v>100</v>
      </c>
      <c r="V17" s="371">
        <v>85</v>
      </c>
      <c r="W17" s="371">
        <v>90</v>
      </c>
      <c r="X17" s="371">
        <v>100</v>
      </c>
      <c r="Y17" s="371">
        <v>100</v>
      </c>
      <c r="Z17" s="371">
        <v>100</v>
      </c>
      <c r="AA17" s="371">
        <v>80</v>
      </c>
      <c r="AB17" s="371">
        <v>100</v>
      </c>
      <c r="AC17" s="98"/>
      <c r="AD17" s="98"/>
      <c r="AE17" s="98"/>
      <c r="AF17" s="98"/>
      <c r="AG17" s="98"/>
      <c r="AH17" s="98"/>
    </row>
    <row r="18" spans="1:34" ht="27" customHeight="1">
      <c r="A18" s="30"/>
      <c r="B18" s="801"/>
      <c r="C18" s="74"/>
      <c r="D18" s="558">
        <v>43699</v>
      </c>
      <c r="E18" s="559">
        <v>100</v>
      </c>
      <c r="F18" s="559">
        <v>95</v>
      </c>
      <c r="G18" s="559">
        <v>100</v>
      </c>
      <c r="H18" s="559">
        <v>100</v>
      </c>
      <c r="I18" s="559">
        <v>90</v>
      </c>
      <c r="J18" s="559">
        <v>100</v>
      </c>
      <c r="K18" s="559">
        <v>100</v>
      </c>
      <c r="L18" s="559">
        <v>100</v>
      </c>
      <c r="M18" s="559">
        <v>100</v>
      </c>
      <c r="N18" s="559">
        <v>100</v>
      </c>
      <c r="O18" s="559">
        <v>100</v>
      </c>
      <c r="P18" s="559">
        <v>85</v>
      </c>
      <c r="Q18" s="559">
        <v>100</v>
      </c>
      <c r="R18" s="559">
        <v>100</v>
      </c>
      <c r="S18" s="559">
        <v>100</v>
      </c>
      <c r="T18" s="559">
        <v>100</v>
      </c>
      <c r="U18" s="559">
        <v>100</v>
      </c>
      <c r="V18" s="559">
        <v>90</v>
      </c>
      <c r="W18" s="559">
        <v>85</v>
      </c>
      <c r="X18" s="559">
        <v>95</v>
      </c>
      <c r="Y18" s="559">
        <v>90</v>
      </c>
      <c r="Z18" s="559">
        <v>100</v>
      </c>
      <c r="AA18" s="559">
        <v>100</v>
      </c>
      <c r="AB18" s="559">
        <v>100</v>
      </c>
      <c r="AC18" s="98"/>
      <c r="AD18" s="98"/>
      <c r="AE18" s="98"/>
      <c r="AF18" s="98"/>
      <c r="AG18" s="98"/>
      <c r="AH18" s="98"/>
    </row>
    <row r="19" spans="1:34" s="548" customFormat="1" ht="27" customHeight="1">
      <c r="A19" s="30"/>
      <c r="B19" s="801"/>
      <c r="C19" s="74"/>
      <c r="D19" s="372">
        <v>43719</v>
      </c>
      <c r="E19" s="373">
        <v>100</v>
      </c>
      <c r="F19" s="373">
        <v>75</v>
      </c>
      <c r="G19" s="373">
        <v>100</v>
      </c>
      <c r="H19" s="373">
        <v>100</v>
      </c>
      <c r="I19" s="373">
        <v>100</v>
      </c>
      <c r="J19" s="373">
        <v>100</v>
      </c>
      <c r="K19" s="373">
        <v>100</v>
      </c>
      <c r="L19" s="373">
        <v>100</v>
      </c>
      <c r="M19" s="373">
        <v>100</v>
      </c>
      <c r="N19" s="373">
        <v>100</v>
      </c>
      <c r="O19" s="373">
        <v>100</v>
      </c>
      <c r="P19" s="373">
        <v>100</v>
      </c>
      <c r="Q19" s="373">
        <v>100</v>
      </c>
      <c r="R19" s="373">
        <v>100</v>
      </c>
      <c r="S19" s="373">
        <v>100</v>
      </c>
      <c r="T19" s="373">
        <v>75</v>
      </c>
      <c r="U19" s="373">
        <v>100</v>
      </c>
      <c r="V19" s="373">
        <v>100</v>
      </c>
      <c r="W19" s="373">
        <v>100</v>
      </c>
      <c r="X19" s="373">
        <v>95</v>
      </c>
      <c r="Y19" s="373">
        <v>100</v>
      </c>
      <c r="Z19" s="373">
        <v>75</v>
      </c>
      <c r="AA19" s="373">
        <v>75</v>
      </c>
      <c r="AB19" s="373">
        <v>100</v>
      </c>
      <c r="AC19" s="98"/>
      <c r="AD19" s="98"/>
      <c r="AE19" s="98"/>
      <c r="AF19" s="98"/>
      <c r="AG19" s="98"/>
      <c r="AH19" s="98"/>
    </row>
    <row r="20" spans="1:34" s="548" customFormat="1" ht="27" customHeight="1">
      <c r="A20" s="30"/>
      <c r="B20" s="801"/>
      <c r="C20" s="74"/>
      <c r="D20" s="552">
        <v>43754</v>
      </c>
      <c r="E20" s="553">
        <v>75</v>
      </c>
      <c r="F20" s="553">
        <v>90</v>
      </c>
      <c r="G20" s="577">
        <v>100</v>
      </c>
      <c r="H20" s="577">
        <v>100</v>
      </c>
      <c r="I20" s="577">
        <v>100</v>
      </c>
      <c r="J20" s="577">
        <v>100</v>
      </c>
      <c r="K20" s="577">
        <v>100</v>
      </c>
      <c r="L20" s="577">
        <v>100</v>
      </c>
      <c r="M20" s="577">
        <v>100</v>
      </c>
      <c r="N20" s="577">
        <v>100</v>
      </c>
      <c r="O20" s="577">
        <v>100</v>
      </c>
      <c r="P20" s="577">
        <v>100</v>
      </c>
      <c r="Q20" s="577">
        <v>100</v>
      </c>
      <c r="R20" s="577">
        <v>100</v>
      </c>
      <c r="S20" s="577">
        <v>100</v>
      </c>
      <c r="T20" s="577">
        <v>100</v>
      </c>
      <c r="U20" s="577">
        <v>100</v>
      </c>
      <c r="V20" s="577">
        <v>100</v>
      </c>
      <c r="W20" s="577">
        <v>100</v>
      </c>
      <c r="X20" s="577">
        <v>100</v>
      </c>
      <c r="Y20" s="577">
        <v>100</v>
      </c>
      <c r="Z20" s="577">
        <v>100</v>
      </c>
      <c r="AA20" s="577">
        <v>100</v>
      </c>
      <c r="AB20" s="577">
        <v>100</v>
      </c>
      <c r="AC20" s="98"/>
      <c r="AD20" s="98"/>
      <c r="AE20" s="98"/>
      <c r="AF20" s="98"/>
      <c r="AG20" s="98"/>
      <c r="AH20" s="98"/>
    </row>
    <row r="21" spans="1:34" ht="27" customHeight="1">
      <c r="A21" s="30"/>
      <c r="B21" s="801"/>
      <c r="C21" s="74"/>
      <c r="D21" s="554">
        <v>43775</v>
      </c>
      <c r="E21" s="555">
        <v>85</v>
      </c>
      <c r="F21" s="555">
        <v>100</v>
      </c>
      <c r="G21" s="555">
        <v>88</v>
      </c>
      <c r="H21" s="555">
        <v>100</v>
      </c>
      <c r="I21" s="555">
        <v>75</v>
      </c>
      <c r="J21" s="555">
        <v>98</v>
      </c>
      <c r="K21" s="555">
        <v>75</v>
      </c>
      <c r="L21" s="555">
        <v>98</v>
      </c>
      <c r="M21" s="555">
        <v>92</v>
      </c>
      <c r="N21" s="555">
        <v>100</v>
      </c>
      <c r="O21" s="555">
        <v>98</v>
      </c>
      <c r="P21" s="555">
        <v>100</v>
      </c>
      <c r="Q21" s="555">
        <v>95</v>
      </c>
      <c r="R21" s="555">
        <v>75</v>
      </c>
      <c r="S21" s="555">
        <v>100</v>
      </c>
      <c r="T21" s="555">
        <v>98</v>
      </c>
      <c r="U21" s="555">
        <v>98</v>
      </c>
      <c r="V21" s="555">
        <v>100</v>
      </c>
      <c r="W21" s="555">
        <v>90</v>
      </c>
      <c r="X21" s="555">
        <v>92</v>
      </c>
      <c r="Y21" s="555">
        <v>98</v>
      </c>
      <c r="Z21" s="555">
        <v>92</v>
      </c>
      <c r="AA21" s="555">
        <v>82</v>
      </c>
      <c r="AB21" s="555">
        <v>99</v>
      </c>
      <c r="AC21" s="98"/>
      <c r="AD21" s="98"/>
      <c r="AE21" s="98"/>
      <c r="AF21" s="98"/>
      <c r="AG21" s="98"/>
      <c r="AH21" s="98"/>
    </row>
    <row r="22" spans="1:34" ht="27" hidden="1" customHeight="1">
      <c r="A22" s="30"/>
      <c r="B22" s="801"/>
      <c r="C22" s="74"/>
      <c r="D22" s="72"/>
      <c r="E22" s="98"/>
      <c r="F22" s="98"/>
      <c r="G22" s="98"/>
      <c r="H22" s="98"/>
      <c r="I22" s="98"/>
      <c r="J22" s="98"/>
      <c r="K22" s="98"/>
      <c r="L22" s="98"/>
      <c r="M22" s="98"/>
      <c r="N22" s="98"/>
      <c r="O22" s="98"/>
      <c r="P22" s="98"/>
      <c r="Q22" s="98"/>
      <c r="R22" s="98"/>
      <c r="S22" s="98"/>
      <c r="T22" s="98"/>
      <c r="U22" s="98"/>
      <c r="V22" s="98"/>
      <c r="W22" s="98"/>
      <c r="X22" s="98"/>
      <c r="Y22" s="98"/>
      <c r="Z22" s="98"/>
      <c r="AA22" s="98"/>
      <c r="AB22" s="98"/>
      <c r="AC22" s="98"/>
      <c r="AD22" s="98"/>
      <c r="AE22" s="98"/>
      <c r="AF22" s="98"/>
      <c r="AG22" s="98"/>
      <c r="AH22" s="98"/>
    </row>
    <row r="23" spans="1:34" ht="27" hidden="1" customHeight="1">
      <c r="A23" s="30"/>
      <c r="B23" s="802"/>
      <c r="C23" s="74"/>
      <c r="D23" s="72"/>
      <c r="E23" s="98"/>
      <c r="F23" s="98"/>
      <c r="G23" s="98"/>
      <c r="H23" s="98"/>
      <c r="I23" s="98"/>
      <c r="J23" s="98"/>
      <c r="K23" s="98"/>
      <c r="L23" s="98"/>
      <c r="M23" s="98"/>
      <c r="N23" s="98"/>
      <c r="O23" s="98"/>
      <c r="P23" s="98"/>
      <c r="Q23" s="98"/>
      <c r="R23" s="98"/>
      <c r="S23" s="98"/>
      <c r="T23" s="98"/>
      <c r="U23" s="98"/>
      <c r="V23" s="98"/>
      <c r="W23" s="98"/>
      <c r="X23" s="98"/>
      <c r="Y23" s="98"/>
      <c r="Z23" s="98"/>
      <c r="AA23" s="98"/>
      <c r="AB23" s="98"/>
      <c r="AC23" s="98"/>
      <c r="AD23" s="98"/>
      <c r="AE23" s="98"/>
      <c r="AF23" s="98"/>
      <c r="AG23" s="98"/>
      <c r="AH23" s="98"/>
    </row>
    <row r="24" spans="1:34" ht="27" customHeight="1">
      <c r="A24" s="30"/>
      <c r="B24" s="801">
        <v>3</v>
      </c>
      <c r="C24" s="795" t="s">
        <v>1558</v>
      </c>
      <c r="D24" s="796"/>
      <c r="E24" s="97">
        <f>IFERROR(AVERAGE(E25:E32),"")</f>
        <v>89.166666666666671</v>
      </c>
      <c r="F24" s="97">
        <f t="shared" ref="F24:AH24" si="4">IFERROR(AVERAGE(F25:F32),"")</f>
        <v>86.666666666666671</v>
      </c>
      <c r="G24" s="97">
        <f t="shared" si="4"/>
        <v>86.666666666666671</v>
      </c>
      <c r="H24" s="97">
        <f t="shared" si="4"/>
        <v>93.333333333333329</v>
      </c>
      <c r="I24" s="97">
        <f t="shared" si="4"/>
        <v>96.666666666666671</v>
      </c>
      <c r="J24" s="97">
        <f t="shared" si="4"/>
        <v>95</v>
      </c>
      <c r="K24" s="97">
        <f t="shared" si="4"/>
        <v>98.333333333333329</v>
      </c>
      <c r="L24" s="97">
        <f t="shared" si="4"/>
        <v>95.5</v>
      </c>
      <c r="M24" s="97">
        <f t="shared" si="4"/>
        <v>93.333333333333329</v>
      </c>
      <c r="N24" s="97">
        <f t="shared" si="4"/>
        <v>97.5</v>
      </c>
      <c r="O24" s="97">
        <f t="shared" si="4"/>
        <v>96.666666666666671</v>
      </c>
      <c r="P24" s="97">
        <f t="shared" si="4"/>
        <v>93.333333333333329</v>
      </c>
      <c r="Q24" s="97">
        <f t="shared" si="4"/>
        <v>95</v>
      </c>
      <c r="R24" s="97">
        <f t="shared" si="4"/>
        <v>92.5</v>
      </c>
      <c r="S24" s="97">
        <f t="shared" si="4"/>
        <v>82.5</v>
      </c>
      <c r="T24" s="97">
        <f t="shared" si="4"/>
        <v>98</v>
      </c>
      <c r="U24" s="97">
        <f t="shared" si="4"/>
        <v>91.666666666666671</v>
      </c>
      <c r="V24" s="97">
        <f t="shared" si="4"/>
        <v>96.666666666666671</v>
      </c>
      <c r="W24" s="97">
        <f t="shared" si="4"/>
        <v>90</v>
      </c>
      <c r="X24" s="97">
        <f t="shared" si="4"/>
        <v>85.833333333333329</v>
      </c>
      <c r="Y24" s="97">
        <f t="shared" si="4"/>
        <v>96.833333333333329</v>
      </c>
      <c r="Z24" s="97">
        <f t="shared" si="4"/>
        <v>82.5</v>
      </c>
      <c r="AA24" s="97">
        <f t="shared" si="4"/>
        <v>87.5</v>
      </c>
      <c r="AB24" s="97">
        <f t="shared" si="4"/>
        <v>95</v>
      </c>
      <c r="AC24" s="97" t="str">
        <f t="shared" si="4"/>
        <v/>
      </c>
      <c r="AD24" s="97" t="str">
        <f t="shared" si="4"/>
        <v/>
      </c>
      <c r="AE24" s="97" t="str">
        <f t="shared" si="4"/>
        <v/>
      </c>
      <c r="AF24" s="97" t="str">
        <f t="shared" si="4"/>
        <v/>
      </c>
      <c r="AG24" s="97" t="str">
        <f t="shared" si="4"/>
        <v/>
      </c>
      <c r="AH24" s="97" t="str">
        <f t="shared" si="4"/>
        <v/>
      </c>
    </row>
    <row r="25" spans="1:34" ht="27" customHeight="1">
      <c r="A25" s="30"/>
      <c r="B25" s="794"/>
      <c r="C25" s="74"/>
      <c r="D25" s="368">
        <v>43670</v>
      </c>
      <c r="E25" s="369">
        <v>85</v>
      </c>
      <c r="F25" s="369">
        <v>90</v>
      </c>
      <c r="G25" s="369">
        <v>85</v>
      </c>
      <c r="H25" s="369">
        <v>100</v>
      </c>
      <c r="I25" s="369">
        <v>100</v>
      </c>
      <c r="J25" s="369">
        <v>100</v>
      </c>
      <c r="K25" s="369">
        <v>100</v>
      </c>
      <c r="L25" s="369">
        <v>95</v>
      </c>
      <c r="M25" s="369">
        <v>95</v>
      </c>
      <c r="N25" s="369">
        <v>100</v>
      </c>
      <c r="O25" s="369">
        <v>100</v>
      </c>
      <c r="P25" s="369">
        <v>100</v>
      </c>
      <c r="Q25" s="369">
        <v>95</v>
      </c>
      <c r="R25" s="369">
        <v>100</v>
      </c>
      <c r="S25" s="369">
        <v>75</v>
      </c>
      <c r="T25" s="369">
        <v>100</v>
      </c>
      <c r="U25" s="369">
        <v>100</v>
      </c>
      <c r="V25" s="369">
        <v>100</v>
      </c>
      <c r="W25" s="369">
        <v>90</v>
      </c>
      <c r="X25" s="369">
        <v>85</v>
      </c>
      <c r="Y25" s="369">
        <v>100</v>
      </c>
      <c r="Z25" s="369">
        <v>100</v>
      </c>
      <c r="AA25" s="369">
        <v>85</v>
      </c>
      <c r="AB25" s="369">
        <v>100</v>
      </c>
      <c r="AC25" s="98"/>
      <c r="AD25" s="98"/>
      <c r="AE25" s="98"/>
      <c r="AF25" s="98"/>
      <c r="AG25" s="98"/>
      <c r="AH25" s="98"/>
    </row>
    <row r="26" spans="1:34" ht="27" customHeight="1">
      <c r="A26" s="30"/>
      <c r="B26" s="794"/>
      <c r="C26" s="74"/>
      <c r="D26" s="370">
        <v>43684</v>
      </c>
      <c r="E26" s="371">
        <v>85</v>
      </c>
      <c r="F26" s="371">
        <v>100</v>
      </c>
      <c r="G26" s="371">
        <v>85</v>
      </c>
      <c r="H26" s="371">
        <v>90</v>
      </c>
      <c r="I26" s="371">
        <v>100</v>
      </c>
      <c r="J26" s="371">
        <v>95</v>
      </c>
      <c r="K26" s="371">
        <v>100</v>
      </c>
      <c r="L26" s="371">
        <v>90</v>
      </c>
      <c r="M26" s="371">
        <v>100</v>
      </c>
      <c r="N26" s="371">
        <v>100</v>
      </c>
      <c r="O26" s="371">
        <v>100</v>
      </c>
      <c r="P26" s="371">
        <v>90</v>
      </c>
      <c r="Q26" s="371">
        <v>85</v>
      </c>
      <c r="R26" s="371">
        <v>100</v>
      </c>
      <c r="S26" s="371">
        <v>90</v>
      </c>
      <c r="T26" s="371">
        <v>100</v>
      </c>
      <c r="U26" s="371">
        <v>100</v>
      </c>
      <c r="V26" s="371">
        <v>90</v>
      </c>
      <c r="W26" s="371">
        <v>100</v>
      </c>
      <c r="X26" s="371">
        <v>90</v>
      </c>
      <c r="Y26" s="371">
        <v>100</v>
      </c>
      <c r="Z26" s="371">
        <v>75</v>
      </c>
      <c r="AA26" s="371">
        <v>75</v>
      </c>
      <c r="AB26" s="371">
        <v>90</v>
      </c>
      <c r="AC26" s="98"/>
      <c r="AD26" s="98"/>
      <c r="AE26" s="98"/>
      <c r="AF26" s="98"/>
      <c r="AG26" s="98"/>
      <c r="AH26" s="98"/>
    </row>
    <row r="27" spans="1:34" ht="27" customHeight="1">
      <c r="A27" s="30"/>
      <c r="B27" s="794"/>
      <c r="C27" s="74"/>
      <c r="D27" s="560">
        <v>43705</v>
      </c>
      <c r="E27" s="561">
        <v>90</v>
      </c>
      <c r="F27" s="561">
        <v>75</v>
      </c>
      <c r="G27" s="561">
        <v>95</v>
      </c>
      <c r="H27" s="561">
        <v>90</v>
      </c>
      <c r="I27" s="561">
        <v>90</v>
      </c>
      <c r="J27" s="561">
        <v>95</v>
      </c>
      <c r="K27" s="561">
        <v>100</v>
      </c>
      <c r="L27" s="561">
        <v>98</v>
      </c>
      <c r="M27" s="561">
        <v>100</v>
      </c>
      <c r="N27" s="561">
        <v>100</v>
      </c>
      <c r="O27" s="561">
        <v>95</v>
      </c>
      <c r="P27" s="561">
        <v>90</v>
      </c>
      <c r="Q27" s="561">
        <v>100</v>
      </c>
      <c r="R27" s="561">
        <v>90</v>
      </c>
      <c r="S27" s="561">
        <v>80</v>
      </c>
      <c r="T27" s="561">
        <v>90</v>
      </c>
      <c r="U27" s="561">
        <v>90</v>
      </c>
      <c r="V27" s="561">
        <v>95</v>
      </c>
      <c r="W27" s="561">
        <v>80</v>
      </c>
      <c r="X27" s="561">
        <v>75</v>
      </c>
      <c r="Y27" s="561">
        <v>96</v>
      </c>
      <c r="Z27" s="561">
        <v>95</v>
      </c>
      <c r="AA27" s="561">
        <v>100</v>
      </c>
      <c r="AB27" s="561">
        <v>90</v>
      </c>
      <c r="AC27" s="98"/>
      <c r="AD27" s="98"/>
      <c r="AE27" s="98"/>
      <c r="AF27" s="98"/>
      <c r="AG27" s="98"/>
      <c r="AH27" s="98"/>
    </row>
    <row r="28" spans="1:34" s="548" customFormat="1" ht="27" customHeight="1">
      <c r="A28" s="30"/>
      <c r="B28" s="794"/>
      <c r="C28" s="74"/>
      <c r="D28" s="558">
        <v>43726</v>
      </c>
      <c r="E28" s="559">
        <v>90</v>
      </c>
      <c r="F28" s="559">
        <v>75</v>
      </c>
      <c r="G28" s="559">
        <v>75</v>
      </c>
      <c r="H28" s="559">
        <v>80</v>
      </c>
      <c r="I28" s="559">
        <v>90</v>
      </c>
      <c r="J28" s="559">
        <v>80</v>
      </c>
      <c r="K28" s="559">
        <v>90</v>
      </c>
      <c r="L28" s="559">
        <v>90</v>
      </c>
      <c r="M28" s="559">
        <v>90</v>
      </c>
      <c r="N28" s="559">
        <v>90</v>
      </c>
      <c r="O28" s="559">
        <v>90</v>
      </c>
      <c r="P28" s="559">
        <v>95</v>
      </c>
      <c r="Q28" s="559">
        <v>90</v>
      </c>
      <c r="R28" s="559">
        <v>90</v>
      </c>
      <c r="S28" s="559">
        <v>75</v>
      </c>
      <c r="T28" s="559">
        <v>98</v>
      </c>
      <c r="U28" s="559">
        <v>85</v>
      </c>
      <c r="V28" s="559">
        <v>100</v>
      </c>
      <c r="W28" s="559">
        <v>100</v>
      </c>
      <c r="X28" s="559">
        <v>90</v>
      </c>
      <c r="Y28" s="559">
        <v>90</v>
      </c>
      <c r="Z28" s="559">
        <v>75</v>
      </c>
      <c r="AA28" s="559">
        <v>90</v>
      </c>
      <c r="AB28" s="559">
        <v>90</v>
      </c>
      <c r="AC28" s="98"/>
      <c r="AD28" s="98"/>
      <c r="AE28" s="98"/>
      <c r="AF28" s="98"/>
      <c r="AG28" s="98"/>
      <c r="AH28" s="98"/>
    </row>
    <row r="29" spans="1:34" s="548" customFormat="1" ht="27" customHeight="1">
      <c r="A29" s="30"/>
      <c r="B29" s="794"/>
      <c r="C29" s="74"/>
      <c r="D29" s="556">
        <v>43761</v>
      </c>
      <c r="E29" s="557">
        <v>95</v>
      </c>
      <c r="F29" s="557">
        <v>100</v>
      </c>
      <c r="G29" s="557">
        <v>100</v>
      </c>
      <c r="H29" s="557">
        <v>100</v>
      </c>
      <c r="I29" s="557">
        <v>100</v>
      </c>
      <c r="J29" s="557">
        <v>100</v>
      </c>
      <c r="K29" s="557">
        <v>100</v>
      </c>
      <c r="L29" s="557">
        <v>100</v>
      </c>
      <c r="M29" s="557">
        <v>100</v>
      </c>
      <c r="N29" s="557">
        <v>95</v>
      </c>
      <c r="O29" s="557">
        <v>95</v>
      </c>
      <c r="P29" s="557">
        <v>95</v>
      </c>
      <c r="Q29" s="557">
        <v>100</v>
      </c>
      <c r="R29" s="557">
        <v>75</v>
      </c>
      <c r="S29" s="557">
        <v>85</v>
      </c>
      <c r="T29" s="557">
        <v>100</v>
      </c>
      <c r="U29" s="557">
        <v>100</v>
      </c>
      <c r="V29" s="557">
        <v>100</v>
      </c>
      <c r="W29" s="557">
        <v>75</v>
      </c>
      <c r="X29" s="557">
        <v>100</v>
      </c>
      <c r="Y29" s="557">
        <v>95</v>
      </c>
      <c r="Z29" s="557">
        <v>75</v>
      </c>
      <c r="AA29" s="557">
        <v>85</v>
      </c>
      <c r="AB29" s="557">
        <v>100</v>
      </c>
      <c r="AC29" s="98"/>
      <c r="AD29" s="98"/>
      <c r="AE29" s="98"/>
      <c r="AF29" s="98"/>
      <c r="AG29" s="98"/>
      <c r="AH29" s="98"/>
    </row>
    <row r="30" spans="1:34" ht="27" customHeight="1">
      <c r="A30" s="30"/>
      <c r="B30" s="794"/>
      <c r="C30" s="74"/>
      <c r="D30" s="550">
        <v>43781</v>
      </c>
      <c r="E30" s="551">
        <v>90</v>
      </c>
      <c r="F30" s="551">
        <v>80</v>
      </c>
      <c r="G30" s="551">
        <v>80</v>
      </c>
      <c r="H30" s="551">
        <v>100</v>
      </c>
      <c r="I30" s="551">
        <v>100</v>
      </c>
      <c r="J30" s="551">
        <v>100</v>
      </c>
      <c r="K30" s="551">
        <v>100</v>
      </c>
      <c r="L30" s="551">
        <v>100</v>
      </c>
      <c r="M30" s="551">
        <v>75</v>
      </c>
      <c r="N30" s="551">
        <v>100</v>
      </c>
      <c r="O30" s="551">
        <v>100</v>
      </c>
      <c r="P30" s="551">
        <v>90</v>
      </c>
      <c r="Q30" s="551">
        <v>100</v>
      </c>
      <c r="R30" s="551">
        <v>100</v>
      </c>
      <c r="S30" s="551">
        <v>90</v>
      </c>
      <c r="T30" s="551">
        <v>100</v>
      </c>
      <c r="U30" s="551">
        <v>75</v>
      </c>
      <c r="V30" s="551">
        <v>95</v>
      </c>
      <c r="W30" s="551">
        <v>95</v>
      </c>
      <c r="X30" s="551">
        <v>75</v>
      </c>
      <c r="Y30" s="551">
        <v>100</v>
      </c>
      <c r="Z30" s="551">
        <v>75</v>
      </c>
      <c r="AA30" s="551">
        <v>90</v>
      </c>
      <c r="AB30" s="551">
        <v>100</v>
      </c>
      <c r="AC30" s="98"/>
      <c r="AD30" s="98"/>
      <c r="AE30" s="98"/>
      <c r="AF30" s="98"/>
      <c r="AG30" s="98"/>
      <c r="AH30" s="98"/>
    </row>
    <row r="31" spans="1:34" ht="27" hidden="1" customHeight="1">
      <c r="A31" s="30"/>
      <c r="B31" s="794"/>
      <c r="C31" s="74"/>
      <c r="D31" s="72"/>
      <c r="E31" s="98"/>
      <c r="F31" s="98"/>
      <c r="G31" s="98"/>
      <c r="H31" s="98"/>
      <c r="I31" s="98"/>
      <c r="J31" s="98"/>
      <c r="K31" s="98"/>
      <c r="L31" s="98"/>
      <c r="M31" s="98"/>
      <c r="N31" s="98"/>
      <c r="O31" s="98"/>
      <c r="P31" s="98"/>
      <c r="Q31" s="98"/>
      <c r="R31" s="98"/>
      <c r="S31" s="98"/>
      <c r="T31" s="98"/>
      <c r="U31" s="98"/>
      <c r="V31" s="98"/>
      <c r="W31" s="98"/>
      <c r="X31" s="98"/>
      <c r="Y31" s="98"/>
      <c r="Z31" s="98"/>
      <c r="AA31" s="98"/>
      <c r="AB31" s="98"/>
      <c r="AC31" s="98"/>
      <c r="AD31" s="98"/>
      <c r="AE31" s="98"/>
      <c r="AF31" s="98"/>
      <c r="AG31" s="98"/>
      <c r="AH31" s="98"/>
    </row>
    <row r="32" spans="1:34" ht="27" hidden="1" customHeight="1">
      <c r="A32" s="30"/>
      <c r="B32" s="802"/>
      <c r="C32" s="74"/>
      <c r="D32" s="72"/>
      <c r="E32" s="98"/>
      <c r="F32" s="98"/>
      <c r="G32" s="98"/>
      <c r="H32" s="98"/>
      <c r="I32" s="98"/>
      <c r="J32" s="98"/>
      <c r="K32" s="98"/>
      <c r="L32" s="98"/>
      <c r="M32" s="98"/>
      <c r="N32" s="98"/>
      <c r="O32" s="98"/>
      <c r="P32" s="98"/>
      <c r="Q32" s="98"/>
      <c r="R32" s="98"/>
      <c r="S32" s="98"/>
      <c r="T32" s="98"/>
      <c r="U32" s="98"/>
      <c r="V32" s="98"/>
      <c r="W32" s="98"/>
      <c r="X32" s="98"/>
      <c r="Y32" s="98"/>
      <c r="Z32" s="98"/>
      <c r="AA32" s="98"/>
      <c r="AB32" s="98"/>
      <c r="AC32" s="98"/>
      <c r="AD32" s="98"/>
      <c r="AE32" s="98"/>
      <c r="AF32" s="98"/>
      <c r="AG32" s="98"/>
      <c r="AH32" s="98"/>
    </row>
    <row r="33" spans="1:34" ht="27" customHeight="1">
      <c r="A33" s="30"/>
      <c r="B33" s="800">
        <v>4</v>
      </c>
      <c r="C33" s="795" t="s">
        <v>1559</v>
      </c>
      <c r="D33" s="796"/>
      <c r="E33" s="97">
        <f>IFERROR(AVERAGE(E34:E41),"")</f>
        <v>89.166666666666671</v>
      </c>
      <c r="F33" s="97">
        <f t="shared" ref="F33:AH33" si="5">IFERROR(AVERAGE(F34:F41),"")</f>
        <v>86.666666666666671</v>
      </c>
      <c r="G33" s="97">
        <f t="shared" si="5"/>
        <v>86.666666666666671</v>
      </c>
      <c r="H33" s="97">
        <f t="shared" si="5"/>
        <v>93.333333333333329</v>
      </c>
      <c r="I33" s="97">
        <f t="shared" si="5"/>
        <v>96.666666666666671</v>
      </c>
      <c r="J33" s="97">
        <f t="shared" si="5"/>
        <v>95</v>
      </c>
      <c r="K33" s="97">
        <f t="shared" si="5"/>
        <v>98.333333333333329</v>
      </c>
      <c r="L33" s="97">
        <f t="shared" si="5"/>
        <v>95.5</v>
      </c>
      <c r="M33" s="97">
        <f t="shared" si="5"/>
        <v>93.333333333333329</v>
      </c>
      <c r="N33" s="97">
        <f t="shared" si="5"/>
        <v>97.5</v>
      </c>
      <c r="O33" s="97">
        <f t="shared" si="5"/>
        <v>96.666666666666671</v>
      </c>
      <c r="P33" s="97">
        <f t="shared" si="5"/>
        <v>93.333333333333329</v>
      </c>
      <c r="Q33" s="97">
        <f t="shared" si="5"/>
        <v>95</v>
      </c>
      <c r="R33" s="97">
        <f t="shared" si="5"/>
        <v>92.5</v>
      </c>
      <c r="S33" s="97">
        <f t="shared" si="5"/>
        <v>82.5</v>
      </c>
      <c r="T33" s="97">
        <f t="shared" si="5"/>
        <v>98</v>
      </c>
      <c r="U33" s="97">
        <f t="shared" si="5"/>
        <v>91.666666666666671</v>
      </c>
      <c r="V33" s="97">
        <f t="shared" si="5"/>
        <v>96.666666666666671</v>
      </c>
      <c r="W33" s="97">
        <f t="shared" si="5"/>
        <v>90</v>
      </c>
      <c r="X33" s="97">
        <f t="shared" si="5"/>
        <v>85.833333333333329</v>
      </c>
      <c r="Y33" s="97">
        <f t="shared" si="5"/>
        <v>96.833333333333329</v>
      </c>
      <c r="Z33" s="97">
        <f t="shared" si="5"/>
        <v>82.5</v>
      </c>
      <c r="AA33" s="97">
        <f t="shared" si="5"/>
        <v>87.5</v>
      </c>
      <c r="AB33" s="97">
        <f t="shared" si="5"/>
        <v>95</v>
      </c>
      <c r="AC33" s="97" t="str">
        <f t="shared" si="5"/>
        <v/>
      </c>
      <c r="AD33" s="97" t="str">
        <f t="shared" si="5"/>
        <v/>
      </c>
      <c r="AE33" s="97" t="str">
        <f t="shared" si="5"/>
        <v/>
      </c>
      <c r="AF33" s="97" t="str">
        <f t="shared" si="5"/>
        <v/>
      </c>
      <c r="AG33" s="97" t="str">
        <f t="shared" si="5"/>
        <v/>
      </c>
      <c r="AH33" s="97" t="str">
        <f t="shared" si="5"/>
        <v/>
      </c>
    </row>
    <row r="34" spans="1:34" ht="27" customHeight="1">
      <c r="A34" s="30"/>
      <c r="B34" s="801"/>
      <c r="C34" s="74"/>
      <c r="D34" s="368">
        <v>43670</v>
      </c>
      <c r="E34" s="369">
        <v>85</v>
      </c>
      <c r="F34" s="369">
        <v>90</v>
      </c>
      <c r="G34" s="369">
        <v>85</v>
      </c>
      <c r="H34" s="369">
        <v>100</v>
      </c>
      <c r="I34" s="369">
        <v>100</v>
      </c>
      <c r="J34" s="369">
        <v>100</v>
      </c>
      <c r="K34" s="369">
        <v>100</v>
      </c>
      <c r="L34" s="369">
        <v>95</v>
      </c>
      <c r="M34" s="369">
        <v>95</v>
      </c>
      <c r="N34" s="369">
        <v>100</v>
      </c>
      <c r="O34" s="369">
        <v>100</v>
      </c>
      <c r="P34" s="369">
        <v>100</v>
      </c>
      <c r="Q34" s="369">
        <v>95</v>
      </c>
      <c r="R34" s="369">
        <v>100</v>
      </c>
      <c r="S34" s="369">
        <v>75</v>
      </c>
      <c r="T34" s="369">
        <v>100</v>
      </c>
      <c r="U34" s="369">
        <v>100</v>
      </c>
      <c r="V34" s="369">
        <v>100</v>
      </c>
      <c r="W34" s="369">
        <v>90</v>
      </c>
      <c r="X34" s="369">
        <v>85</v>
      </c>
      <c r="Y34" s="369">
        <v>100</v>
      </c>
      <c r="Z34" s="369">
        <v>100</v>
      </c>
      <c r="AA34" s="369">
        <v>85</v>
      </c>
      <c r="AB34" s="369">
        <v>100</v>
      </c>
      <c r="AC34" s="98"/>
      <c r="AD34" s="98"/>
      <c r="AE34" s="98"/>
      <c r="AF34" s="98"/>
      <c r="AG34" s="98"/>
      <c r="AH34" s="98"/>
    </row>
    <row r="35" spans="1:34" ht="27" customHeight="1">
      <c r="A35" s="30"/>
      <c r="B35" s="801"/>
      <c r="C35" s="74"/>
      <c r="D35" s="370">
        <v>43684</v>
      </c>
      <c r="E35" s="371">
        <v>85</v>
      </c>
      <c r="F35" s="371">
        <v>100</v>
      </c>
      <c r="G35" s="371">
        <v>85</v>
      </c>
      <c r="H35" s="371">
        <v>90</v>
      </c>
      <c r="I35" s="371">
        <v>100</v>
      </c>
      <c r="J35" s="371">
        <v>95</v>
      </c>
      <c r="K35" s="371">
        <v>100</v>
      </c>
      <c r="L35" s="371">
        <v>90</v>
      </c>
      <c r="M35" s="371">
        <v>100</v>
      </c>
      <c r="N35" s="371">
        <v>100</v>
      </c>
      <c r="O35" s="371">
        <v>100</v>
      </c>
      <c r="P35" s="371">
        <v>90</v>
      </c>
      <c r="Q35" s="371">
        <v>85</v>
      </c>
      <c r="R35" s="371">
        <v>100</v>
      </c>
      <c r="S35" s="371">
        <v>90</v>
      </c>
      <c r="T35" s="371">
        <v>100</v>
      </c>
      <c r="U35" s="371">
        <v>100</v>
      </c>
      <c r="V35" s="371">
        <v>90</v>
      </c>
      <c r="W35" s="371">
        <v>100</v>
      </c>
      <c r="X35" s="371">
        <v>90</v>
      </c>
      <c r="Y35" s="371">
        <v>100</v>
      </c>
      <c r="Z35" s="371">
        <v>75</v>
      </c>
      <c r="AA35" s="371">
        <v>75</v>
      </c>
      <c r="AB35" s="371">
        <v>90</v>
      </c>
      <c r="AC35" s="98"/>
      <c r="AD35" s="98"/>
      <c r="AE35" s="98"/>
      <c r="AF35" s="98"/>
      <c r="AG35" s="98"/>
      <c r="AH35" s="98"/>
    </row>
    <row r="36" spans="1:34" ht="27" customHeight="1">
      <c r="A36" s="30"/>
      <c r="B36" s="801"/>
      <c r="C36" s="74"/>
      <c r="D36" s="560" t="s">
        <v>1560</v>
      </c>
      <c r="E36" s="561">
        <v>90</v>
      </c>
      <c r="F36" s="561">
        <v>75</v>
      </c>
      <c r="G36" s="561">
        <v>95</v>
      </c>
      <c r="H36" s="561">
        <v>90</v>
      </c>
      <c r="I36" s="561">
        <v>90</v>
      </c>
      <c r="J36" s="561">
        <v>95</v>
      </c>
      <c r="K36" s="561">
        <v>100</v>
      </c>
      <c r="L36" s="561">
        <v>98</v>
      </c>
      <c r="M36" s="561">
        <v>100</v>
      </c>
      <c r="N36" s="561">
        <v>100</v>
      </c>
      <c r="O36" s="561">
        <v>95</v>
      </c>
      <c r="P36" s="561">
        <v>90</v>
      </c>
      <c r="Q36" s="561">
        <v>100</v>
      </c>
      <c r="R36" s="561">
        <v>90</v>
      </c>
      <c r="S36" s="561">
        <v>80</v>
      </c>
      <c r="T36" s="561">
        <v>90</v>
      </c>
      <c r="U36" s="561">
        <v>90</v>
      </c>
      <c r="V36" s="561">
        <v>95</v>
      </c>
      <c r="W36" s="561">
        <v>80</v>
      </c>
      <c r="X36" s="561">
        <v>75</v>
      </c>
      <c r="Y36" s="561">
        <v>96</v>
      </c>
      <c r="Z36" s="561">
        <v>95</v>
      </c>
      <c r="AA36" s="561">
        <v>100</v>
      </c>
      <c r="AB36" s="561">
        <v>90</v>
      </c>
      <c r="AC36" s="98"/>
      <c r="AD36" s="98"/>
      <c r="AE36" s="98"/>
      <c r="AF36" s="98"/>
      <c r="AG36" s="98"/>
      <c r="AH36" s="98"/>
    </row>
    <row r="37" spans="1:34" s="548" customFormat="1" ht="27" customHeight="1">
      <c r="A37" s="30"/>
      <c r="B37" s="801"/>
      <c r="C37" s="74"/>
      <c r="D37" s="558">
        <v>43726</v>
      </c>
      <c r="E37" s="559">
        <v>90</v>
      </c>
      <c r="F37" s="559">
        <v>75</v>
      </c>
      <c r="G37" s="559">
        <v>75</v>
      </c>
      <c r="H37" s="559">
        <v>80</v>
      </c>
      <c r="I37" s="559">
        <v>90</v>
      </c>
      <c r="J37" s="559">
        <v>80</v>
      </c>
      <c r="K37" s="559">
        <v>90</v>
      </c>
      <c r="L37" s="559">
        <v>90</v>
      </c>
      <c r="M37" s="559">
        <v>90</v>
      </c>
      <c r="N37" s="559">
        <v>90</v>
      </c>
      <c r="O37" s="559">
        <v>90</v>
      </c>
      <c r="P37" s="559">
        <v>95</v>
      </c>
      <c r="Q37" s="559">
        <v>90</v>
      </c>
      <c r="R37" s="559">
        <v>90</v>
      </c>
      <c r="S37" s="559">
        <v>75</v>
      </c>
      <c r="T37" s="559">
        <v>98</v>
      </c>
      <c r="U37" s="559">
        <v>85</v>
      </c>
      <c r="V37" s="559">
        <v>100</v>
      </c>
      <c r="W37" s="559">
        <v>100</v>
      </c>
      <c r="X37" s="559">
        <v>90</v>
      </c>
      <c r="Y37" s="559">
        <v>90</v>
      </c>
      <c r="Z37" s="559">
        <v>75</v>
      </c>
      <c r="AA37" s="559">
        <v>90</v>
      </c>
      <c r="AB37" s="559">
        <v>90</v>
      </c>
      <c r="AC37" s="98"/>
      <c r="AD37" s="98"/>
      <c r="AE37" s="98"/>
      <c r="AF37" s="98"/>
      <c r="AG37" s="98"/>
      <c r="AH37" s="98"/>
    </row>
    <row r="38" spans="1:34" s="548" customFormat="1" ht="27" customHeight="1">
      <c r="A38" s="30"/>
      <c r="B38" s="801"/>
      <c r="C38" s="74"/>
      <c r="D38" s="556">
        <v>43761</v>
      </c>
      <c r="E38" s="557">
        <v>95</v>
      </c>
      <c r="F38" s="557">
        <v>100</v>
      </c>
      <c r="G38" s="557">
        <v>100</v>
      </c>
      <c r="H38" s="557">
        <v>100</v>
      </c>
      <c r="I38" s="557">
        <v>100</v>
      </c>
      <c r="J38" s="557">
        <v>100</v>
      </c>
      <c r="K38" s="557">
        <v>100</v>
      </c>
      <c r="L38" s="557">
        <v>100</v>
      </c>
      <c r="M38" s="557">
        <v>100</v>
      </c>
      <c r="N38" s="557">
        <v>95</v>
      </c>
      <c r="O38" s="557">
        <v>95</v>
      </c>
      <c r="P38" s="557">
        <v>95</v>
      </c>
      <c r="Q38" s="557">
        <v>100</v>
      </c>
      <c r="R38" s="557">
        <v>75</v>
      </c>
      <c r="S38" s="557">
        <v>85</v>
      </c>
      <c r="T38" s="557">
        <v>100</v>
      </c>
      <c r="U38" s="557">
        <v>100</v>
      </c>
      <c r="V38" s="557">
        <v>100</v>
      </c>
      <c r="W38" s="557">
        <v>75</v>
      </c>
      <c r="X38" s="557">
        <v>100</v>
      </c>
      <c r="Y38" s="557">
        <v>95</v>
      </c>
      <c r="Z38" s="557">
        <v>75</v>
      </c>
      <c r="AA38" s="557">
        <v>85</v>
      </c>
      <c r="AB38" s="557">
        <v>100</v>
      </c>
      <c r="AC38" s="98"/>
      <c r="AD38" s="98"/>
      <c r="AE38" s="98"/>
      <c r="AF38" s="98"/>
      <c r="AG38" s="98"/>
      <c r="AH38" s="98"/>
    </row>
    <row r="39" spans="1:34" ht="27" customHeight="1">
      <c r="A39" s="30"/>
      <c r="B39" s="801"/>
      <c r="C39" s="74"/>
      <c r="D39" s="550">
        <v>43781</v>
      </c>
      <c r="E39" s="551">
        <v>90</v>
      </c>
      <c r="F39" s="551">
        <v>80</v>
      </c>
      <c r="G39" s="551">
        <v>80</v>
      </c>
      <c r="H39" s="551">
        <v>100</v>
      </c>
      <c r="I39" s="551">
        <v>100</v>
      </c>
      <c r="J39" s="551">
        <v>100</v>
      </c>
      <c r="K39" s="551">
        <v>100</v>
      </c>
      <c r="L39" s="551">
        <v>100</v>
      </c>
      <c r="M39" s="551">
        <v>75</v>
      </c>
      <c r="N39" s="551">
        <v>100</v>
      </c>
      <c r="O39" s="551">
        <v>100</v>
      </c>
      <c r="P39" s="551">
        <v>90</v>
      </c>
      <c r="Q39" s="551">
        <v>100</v>
      </c>
      <c r="R39" s="551">
        <v>100</v>
      </c>
      <c r="S39" s="551">
        <v>90</v>
      </c>
      <c r="T39" s="551">
        <v>100</v>
      </c>
      <c r="U39" s="551">
        <v>75</v>
      </c>
      <c r="V39" s="551">
        <v>95</v>
      </c>
      <c r="W39" s="551">
        <v>95</v>
      </c>
      <c r="X39" s="551">
        <v>75</v>
      </c>
      <c r="Y39" s="551">
        <v>100</v>
      </c>
      <c r="Z39" s="551">
        <v>75</v>
      </c>
      <c r="AA39" s="551">
        <v>90</v>
      </c>
      <c r="AB39" s="551">
        <v>100</v>
      </c>
      <c r="AC39" s="98"/>
      <c r="AD39" s="98"/>
      <c r="AE39" s="98"/>
      <c r="AF39" s="98"/>
      <c r="AG39" s="98"/>
      <c r="AH39" s="98"/>
    </row>
    <row r="40" spans="1:34" ht="27" hidden="1" customHeight="1">
      <c r="A40" s="30"/>
      <c r="B40" s="801"/>
      <c r="C40" s="74" t="s">
        <v>171</v>
      </c>
      <c r="D40" s="72"/>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row>
    <row r="41" spans="1:34" ht="27" hidden="1" customHeight="1">
      <c r="A41" s="30"/>
      <c r="B41" s="802"/>
      <c r="C41" s="74" t="s">
        <v>172</v>
      </c>
      <c r="D41" s="72"/>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row>
    <row r="42" spans="1:34" ht="27" hidden="1" customHeight="1">
      <c r="A42" s="30"/>
      <c r="B42" s="800">
        <v>5</v>
      </c>
      <c r="C42" s="795"/>
      <c r="D42" s="796"/>
      <c r="E42" s="97" t="str">
        <f>IFERROR(AVERAGE(E43:E49),"")</f>
        <v/>
      </c>
      <c r="F42" s="97" t="str">
        <f t="shared" ref="F42:AH42" si="6">IFERROR(AVERAGE(F43:F49),"")</f>
        <v/>
      </c>
      <c r="G42" s="97" t="str">
        <f t="shared" si="6"/>
        <v/>
      </c>
      <c r="H42" s="97" t="str">
        <f t="shared" si="6"/>
        <v/>
      </c>
      <c r="I42" s="97" t="str">
        <f t="shared" si="6"/>
        <v/>
      </c>
      <c r="J42" s="97" t="str">
        <f t="shared" si="6"/>
        <v/>
      </c>
      <c r="K42" s="97" t="str">
        <f t="shared" si="6"/>
        <v/>
      </c>
      <c r="L42" s="97" t="str">
        <f t="shared" si="6"/>
        <v/>
      </c>
      <c r="M42" s="97" t="str">
        <f t="shared" si="6"/>
        <v/>
      </c>
      <c r="N42" s="97" t="str">
        <f t="shared" si="6"/>
        <v/>
      </c>
      <c r="O42" s="97" t="str">
        <f t="shared" si="6"/>
        <v/>
      </c>
      <c r="P42" s="97" t="str">
        <f t="shared" si="6"/>
        <v/>
      </c>
      <c r="Q42" s="97" t="str">
        <f t="shared" si="6"/>
        <v/>
      </c>
      <c r="R42" s="97" t="str">
        <f t="shared" si="6"/>
        <v/>
      </c>
      <c r="S42" s="97" t="str">
        <f t="shared" si="6"/>
        <v/>
      </c>
      <c r="T42" s="97" t="str">
        <f t="shared" si="6"/>
        <v/>
      </c>
      <c r="U42" s="97" t="str">
        <f t="shared" si="6"/>
        <v/>
      </c>
      <c r="V42" s="97" t="str">
        <f t="shared" si="6"/>
        <v/>
      </c>
      <c r="W42" s="97" t="str">
        <f t="shared" si="6"/>
        <v/>
      </c>
      <c r="X42" s="97" t="str">
        <f t="shared" si="6"/>
        <v/>
      </c>
      <c r="Y42" s="97" t="str">
        <f t="shared" si="6"/>
        <v/>
      </c>
      <c r="Z42" s="97" t="str">
        <f t="shared" si="6"/>
        <v/>
      </c>
      <c r="AA42" s="97" t="str">
        <f t="shared" si="6"/>
        <v/>
      </c>
      <c r="AB42" s="97" t="str">
        <f t="shared" si="6"/>
        <v/>
      </c>
      <c r="AC42" s="97" t="str">
        <f t="shared" si="6"/>
        <v/>
      </c>
      <c r="AD42" s="97" t="str">
        <f t="shared" si="6"/>
        <v/>
      </c>
      <c r="AE42" s="97" t="str">
        <f t="shared" si="6"/>
        <v/>
      </c>
      <c r="AF42" s="97" t="str">
        <f t="shared" si="6"/>
        <v/>
      </c>
      <c r="AG42" s="97" t="str">
        <f t="shared" si="6"/>
        <v/>
      </c>
      <c r="AH42" s="97" t="str">
        <f t="shared" si="6"/>
        <v/>
      </c>
    </row>
    <row r="43" spans="1:34" ht="27" hidden="1" customHeight="1">
      <c r="A43" s="30"/>
      <c r="B43" s="801"/>
      <c r="C43" s="74" t="s">
        <v>173</v>
      </c>
      <c r="D43" s="72"/>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row>
    <row r="44" spans="1:34" ht="27" hidden="1" customHeight="1">
      <c r="A44" s="30"/>
      <c r="B44" s="801"/>
      <c r="C44" s="74" t="s">
        <v>174</v>
      </c>
      <c r="D44" s="72"/>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row>
    <row r="45" spans="1:34" ht="27" hidden="1" customHeight="1">
      <c r="A45" s="30"/>
      <c r="B45" s="801"/>
      <c r="C45" s="74" t="s">
        <v>175</v>
      </c>
      <c r="D45" s="72"/>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row>
    <row r="46" spans="1:34" ht="27" hidden="1" customHeight="1">
      <c r="A46" s="30"/>
      <c r="B46" s="801"/>
      <c r="C46" s="74" t="s">
        <v>176</v>
      </c>
      <c r="D46" s="72"/>
      <c r="E46" s="98"/>
      <c r="F46" s="98"/>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row>
    <row r="47" spans="1:34" ht="27" hidden="1" customHeight="1">
      <c r="A47" s="30"/>
      <c r="B47" s="801"/>
      <c r="C47" s="74" t="s">
        <v>177</v>
      </c>
      <c r="D47" s="72"/>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row>
    <row r="48" spans="1:34" ht="27" hidden="1" customHeight="1">
      <c r="A48" s="30"/>
      <c r="B48" s="801"/>
      <c r="C48" s="74" t="s">
        <v>178</v>
      </c>
      <c r="D48" s="72"/>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row>
    <row r="49" spans="1:34" ht="27" hidden="1" customHeight="1">
      <c r="A49" s="30"/>
      <c r="B49" s="802"/>
      <c r="C49" s="74" t="s">
        <v>179</v>
      </c>
      <c r="D49" s="72"/>
      <c r="E49" s="98"/>
      <c r="F49" s="98"/>
      <c r="G49" s="98"/>
      <c r="H49" s="98"/>
      <c r="I49" s="98"/>
      <c r="J49" s="98"/>
      <c r="K49" s="98"/>
      <c r="L49" s="98"/>
      <c r="M49" s="98"/>
      <c r="N49" s="98"/>
      <c r="O49" s="98"/>
      <c r="P49" s="98"/>
      <c r="Q49" s="98"/>
      <c r="R49" s="98"/>
      <c r="S49" s="98"/>
      <c r="T49" s="98"/>
      <c r="U49" s="98"/>
      <c r="V49" s="98"/>
      <c r="W49" s="98"/>
      <c r="X49" s="98"/>
      <c r="Y49" s="98"/>
      <c r="Z49" s="98"/>
      <c r="AA49" s="98"/>
      <c r="AB49" s="98"/>
      <c r="AC49" s="98"/>
      <c r="AD49" s="98"/>
      <c r="AE49" s="98"/>
      <c r="AF49" s="98"/>
      <c r="AG49" s="98"/>
      <c r="AH49" s="98"/>
    </row>
    <row r="50" spans="1:34" ht="27" hidden="1" customHeight="1">
      <c r="A50" s="30"/>
      <c r="B50" s="794">
        <v>6</v>
      </c>
      <c r="C50" s="795"/>
      <c r="D50" s="796"/>
      <c r="E50" s="97" t="str">
        <f>IFERROR(AVERAGE(E51:E57),"")</f>
        <v/>
      </c>
      <c r="F50" s="97" t="str">
        <f t="shared" ref="F50:AH50" si="7">IFERROR(AVERAGE(F51:F57),"")</f>
        <v/>
      </c>
      <c r="G50" s="97" t="str">
        <f t="shared" si="7"/>
        <v/>
      </c>
      <c r="H50" s="97" t="str">
        <f t="shared" si="7"/>
        <v/>
      </c>
      <c r="I50" s="97" t="str">
        <f t="shared" si="7"/>
        <v/>
      </c>
      <c r="J50" s="97" t="str">
        <f t="shared" si="7"/>
        <v/>
      </c>
      <c r="K50" s="97" t="str">
        <f t="shared" si="7"/>
        <v/>
      </c>
      <c r="L50" s="97" t="str">
        <f t="shared" si="7"/>
        <v/>
      </c>
      <c r="M50" s="97" t="str">
        <f t="shared" si="7"/>
        <v/>
      </c>
      <c r="N50" s="97" t="str">
        <f t="shared" si="7"/>
        <v/>
      </c>
      <c r="O50" s="97" t="str">
        <f t="shared" si="7"/>
        <v/>
      </c>
      <c r="P50" s="97" t="str">
        <f t="shared" si="7"/>
        <v/>
      </c>
      <c r="Q50" s="97" t="str">
        <f t="shared" si="7"/>
        <v/>
      </c>
      <c r="R50" s="97" t="str">
        <f t="shared" si="7"/>
        <v/>
      </c>
      <c r="S50" s="97" t="str">
        <f t="shared" si="7"/>
        <v/>
      </c>
      <c r="T50" s="97" t="str">
        <f t="shared" si="7"/>
        <v/>
      </c>
      <c r="U50" s="97" t="str">
        <f t="shared" si="7"/>
        <v/>
      </c>
      <c r="V50" s="97" t="str">
        <f t="shared" si="7"/>
        <v/>
      </c>
      <c r="W50" s="97" t="str">
        <f t="shared" si="7"/>
        <v/>
      </c>
      <c r="X50" s="97" t="str">
        <f t="shared" si="7"/>
        <v/>
      </c>
      <c r="Y50" s="97" t="str">
        <f t="shared" si="7"/>
        <v/>
      </c>
      <c r="Z50" s="97" t="str">
        <f t="shared" si="7"/>
        <v/>
      </c>
      <c r="AA50" s="97" t="str">
        <f t="shared" si="7"/>
        <v/>
      </c>
      <c r="AB50" s="97" t="str">
        <f t="shared" si="7"/>
        <v/>
      </c>
      <c r="AC50" s="97" t="str">
        <f t="shared" si="7"/>
        <v/>
      </c>
      <c r="AD50" s="97" t="str">
        <f t="shared" si="7"/>
        <v/>
      </c>
      <c r="AE50" s="97" t="str">
        <f t="shared" si="7"/>
        <v/>
      </c>
      <c r="AF50" s="97" t="str">
        <f t="shared" si="7"/>
        <v/>
      </c>
      <c r="AG50" s="97" t="str">
        <f t="shared" si="7"/>
        <v/>
      </c>
      <c r="AH50" s="97" t="str">
        <f t="shared" si="7"/>
        <v/>
      </c>
    </row>
    <row r="51" spans="1:34" ht="27" hidden="1" customHeight="1">
      <c r="A51" s="30"/>
      <c r="B51" s="794"/>
      <c r="C51" s="74" t="s">
        <v>180</v>
      </c>
      <c r="D51" s="72"/>
      <c r="E51" s="98"/>
      <c r="F51" s="98"/>
      <c r="G51" s="98"/>
      <c r="H51" s="98"/>
      <c r="I51" s="98"/>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row>
    <row r="52" spans="1:34" ht="27" hidden="1" customHeight="1">
      <c r="A52" s="30"/>
      <c r="B52" s="794"/>
      <c r="C52" s="74" t="s">
        <v>181</v>
      </c>
      <c r="D52" s="72"/>
      <c r="E52" s="98"/>
      <c r="F52" s="98"/>
      <c r="G52" s="98"/>
      <c r="H52" s="98"/>
      <c r="I52" s="98"/>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row>
    <row r="53" spans="1:34" ht="27" hidden="1" customHeight="1">
      <c r="A53" s="30"/>
      <c r="B53" s="794"/>
      <c r="C53" s="74" t="s">
        <v>182</v>
      </c>
      <c r="D53" s="72"/>
      <c r="E53" s="98"/>
      <c r="F53" s="98"/>
      <c r="G53" s="98"/>
      <c r="H53" s="98"/>
      <c r="I53" s="98"/>
      <c r="J53" s="98"/>
      <c r="K53" s="98"/>
      <c r="L53" s="98"/>
      <c r="M53" s="98"/>
      <c r="N53" s="98"/>
      <c r="O53" s="98"/>
      <c r="P53" s="98"/>
      <c r="Q53" s="98"/>
      <c r="R53" s="98"/>
      <c r="S53" s="98"/>
      <c r="T53" s="98"/>
      <c r="U53" s="98"/>
      <c r="V53" s="98"/>
      <c r="W53" s="98"/>
      <c r="X53" s="98"/>
      <c r="Y53" s="98"/>
      <c r="Z53" s="98"/>
      <c r="AA53" s="98"/>
      <c r="AB53" s="98"/>
      <c r="AC53" s="98"/>
      <c r="AD53" s="98"/>
      <c r="AE53" s="98"/>
      <c r="AF53" s="98"/>
      <c r="AG53" s="98"/>
      <c r="AH53" s="98"/>
    </row>
    <row r="54" spans="1:34" ht="27" hidden="1" customHeight="1">
      <c r="A54" s="30"/>
      <c r="B54" s="794"/>
      <c r="C54" s="74" t="s">
        <v>183</v>
      </c>
      <c r="D54" s="72"/>
      <c r="E54" s="98"/>
      <c r="F54" s="98"/>
      <c r="G54" s="98"/>
      <c r="H54" s="98"/>
      <c r="I54" s="98"/>
      <c r="J54" s="98"/>
      <c r="K54" s="98"/>
      <c r="L54" s="98"/>
      <c r="M54" s="98"/>
      <c r="N54" s="98"/>
      <c r="O54" s="98"/>
      <c r="P54" s="98"/>
      <c r="Q54" s="98"/>
      <c r="R54" s="98"/>
      <c r="S54" s="98"/>
      <c r="T54" s="98"/>
      <c r="U54" s="98"/>
      <c r="V54" s="98"/>
      <c r="W54" s="98"/>
      <c r="X54" s="98"/>
      <c r="Y54" s="98"/>
      <c r="Z54" s="98"/>
      <c r="AA54" s="98"/>
      <c r="AB54" s="98"/>
      <c r="AC54" s="98"/>
      <c r="AD54" s="98"/>
      <c r="AE54" s="98"/>
      <c r="AF54" s="98"/>
      <c r="AG54" s="98"/>
      <c r="AH54" s="98"/>
    </row>
    <row r="55" spans="1:34" ht="27" hidden="1" customHeight="1">
      <c r="A55" s="30"/>
      <c r="B55" s="794"/>
      <c r="C55" s="74" t="s">
        <v>184</v>
      </c>
      <c r="D55" s="72"/>
      <c r="E55" s="98"/>
      <c r="F55" s="98"/>
      <c r="G55" s="98"/>
      <c r="H55" s="98"/>
      <c r="I55" s="98"/>
      <c r="J55" s="98"/>
      <c r="K55" s="98"/>
      <c r="L55" s="98"/>
      <c r="M55" s="98"/>
      <c r="N55" s="98"/>
      <c r="O55" s="98"/>
      <c r="P55" s="98"/>
      <c r="Q55" s="98"/>
      <c r="R55" s="98"/>
      <c r="S55" s="98"/>
      <c r="T55" s="98"/>
      <c r="U55" s="98"/>
      <c r="V55" s="98"/>
      <c r="W55" s="98"/>
      <c r="X55" s="98"/>
      <c r="Y55" s="98"/>
      <c r="Z55" s="98"/>
      <c r="AA55" s="98"/>
      <c r="AB55" s="98"/>
      <c r="AC55" s="98"/>
      <c r="AD55" s="98"/>
      <c r="AE55" s="98"/>
      <c r="AF55" s="98"/>
      <c r="AG55" s="98"/>
      <c r="AH55" s="98"/>
    </row>
    <row r="56" spans="1:34" ht="27" hidden="1" customHeight="1">
      <c r="A56" s="30"/>
      <c r="B56" s="794"/>
      <c r="C56" s="74" t="s">
        <v>185</v>
      </c>
      <c r="D56" s="72"/>
      <c r="E56" s="98"/>
      <c r="F56" s="98"/>
      <c r="G56" s="98"/>
      <c r="H56" s="98"/>
      <c r="I56" s="98"/>
      <c r="J56" s="98"/>
      <c r="K56" s="98"/>
      <c r="L56" s="98"/>
      <c r="M56" s="98"/>
      <c r="N56" s="98"/>
      <c r="O56" s="98"/>
      <c r="P56" s="98"/>
      <c r="Q56" s="98"/>
      <c r="R56" s="98"/>
      <c r="S56" s="98"/>
      <c r="T56" s="98"/>
      <c r="U56" s="98"/>
      <c r="V56" s="98"/>
      <c r="W56" s="98"/>
      <c r="X56" s="98"/>
      <c r="Y56" s="98"/>
      <c r="Z56" s="98"/>
      <c r="AA56" s="98"/>
      <c r="AB56" s="98"/>
      <c r="AC56" s="98"/>
      <c r="AD56" s="98"/>
      <c r="AE56" s="98"/>
      <c r="AF56" s="98"/>
      <c r="AG56" s="98"/>
      <c r="AH56" s="98"/>
    </row>
    <row r="57" spans="1:34" ht="27" hidden="1" customHeight="1">
      <c r="A57" s="30"/>
      <c r="B57" s="794"/>
      <c r="C57" s="74" t="s">
        <v>186</v>
      </c>
      <c r="D57" s="72"/>
      <c r="E57" s="98"/>
      <c r="F57" s="98"/>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row>
    <row r="58" spans="1:34" ht="27" hidden="1" customHeight="1">
      <c r="A58" s="30"/>
      <c r="B58" s="800">
        <v>7</v>
      </c>
      <c r="C58" s="795"/>
      <c r="D58" s="796"/>
      <c r="E58" s="97" t="str">
        <f>IFERROR(AVERAGE(E59:E65),"")</f>
        <v/>
      </c>
      <c r="F58" s="97" t="str">
        <f t="shared" ref="F58:AH58" si="8">IFERROR(AVERAGE(F59:F65),"")</f>
        <v/>
      </c>
      <c r="G58" s="97" t="str">
        <f t="shared" si="8"/>
        <v/>
      </c>
      <c r="H58" s="97" t="str">
        <f t="shared" si="8"/>
        <v/>
      </c>
      <c r="I58" s="97" t="str">
        <f t="shared" si="8"/>
        <v/>
      </c>
      <c r="J58" s="97" t="str">
        <f t="shared" si="8"/>
        <v/>
      </c>
      <c r="K58" s="97" t="str">
        <f t="shared" si="8"/>
        <v/>
      </c>
      <c r="L58" s="97" t="str">
        <f t="shared" si="8"/>
        <v/>
      </c>
      <c r="M58" s="97" t="str">
        <f t="shared" si="8"/>
        <v/>
      </c>
      <c r="N58" s="97" t="str">
        <f t="shared" si="8"/>
        <v/>
      </c>
      <c r="O58" s="97" t="str">
        <f t="shared" si="8"/>
        <v/>
      </c>
      <c r="P58" s="97" t="str">
        <f t="shared" si="8"/>
        <v/>
      </c>
      <c r="Q58" s="97" t="str">
        <f t="shared" si="8"/>
        <v/>
      </c>
      <c r="R58" s="97" t="str">
        <f t="shared" si="8"/>
        <v/>
      </c>
      <c r="S58" s="97" t="str">
        <f t="shared" si="8"/>
        <v/>
      </c>
      <c r="T58" s="97" t="str">
        <f t="shared" si="8"/>
        <v/>
      </c>
      <c r="U58" s="97" t="str">
        <f t="shared" si="8"/>
        <v/>
      </c>
      <c r="V58" s="97" t="str">
        <f t="shared" si="8"/>
        <v/>
      </c>
      <c r="W58" s="97" t="str">
        <f t="shared" si="8"/>
        <v/>
      </c>
      <c r="X58" s="97" t="str">
        <f t="shared" si="8"/>
        <v/>
      </c>
      <c r="Y58" s="97" t="str">
        <f t="shared" si="8"/>
        <v/>
      </c>
      <c r="Z58" s="97" t="str">
        <f t="shared" si="8"/>
        <v/>
      </c>
      <c r="AA58" s="97" t="str">
        <f t="shared" si="8"/>
        <v/>
      </c>
      <c r="AB58" s="97" t="str">
        <f t="shared" si="8"/>
        <v/>
      </c>
      <c r="AC58" s="97" t="str">
        <f t="shared" si="8"/>
        <v/>
      </c>
      <c r="AD58" s="97" t="str">
        <f t="shared" si="8"/>
        <v/>
      </c>
      <c r="AE58" s="97" t="str">
        <f t="shared" si="8"/>
        <v/>
      </c>
      <c r="AF58" s="97" t="str">
        <f t="shared" si="8"/>
        <v/>
      </c>
      <c r="AG58" s="97" t="str">
        <f t="shared" si="8"/>
        <v/>
      </c>
      <c r="AH58" s="97" t="str">
        <f t="shared" si="8"/>
        <v/>
      </c>
    </row>
    <row r="59" spans="1:34" ht="27" hidden="1" customHeight="1">
      <c r="A59" s="30"/>
      <c r="B59" s="801"/>
      <c r="C59" s="74" t="s">
        <v>187</v>
      </c>
      <c r="D59" s="72"/>
      <c r="E59" s="98"/>
      <c r="F59" s="98"/>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F59" s="98"/>
      <c r="AG59" s="98"/>
      <c r="AH59" s="98"/>
    </row>
    <row r="60" spans="1:34" ht="27" hidden="1" customHeight="1">
      <c r="A60" s="30"/>
      <c r="B60" s="801"/>
      <c r="C60" s="74" t="s">
        <v>188</v>
      </c>
      <c r="D60" s="72"/>
      <c r="E60" s="98"/>
      <c r="F60" s="98"/>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F60" s="98"/>
      <c r="AG60" s="98"/>
      <c r="AH60" s="98"/>
    </row>
    <row r="61" spans="1:34" ht="27" hidden="1" customHeight="1">
      <c r="A61" s="30"/>
      <c r="B61" s="801"/>
      <c r="C61" s="74" t="s">
        <v>189</v>
      </c>
      <c r="D61" s="72"/>
      <c r="E61" s="98"/>
      <c r="F61" s="98"/>
      <c r="G61" s="98"/>
      <c r="H61" s="98"/>
      <c r="I61" s="98"/>
      <c r="J61" s="98"/>
      <c r="K61" s="98"/>
      <c r="L61" s="98"/>
      <c r="M61" s="98"/>
      <c r="N61" s="98"/>
      <c r="O61" s="98"/>
      <c r="P61" s="98"/>
      <c r="Q61" s="98"/>
      <c r="R61" s="98"/>
      <c r="S61" s="98"/>
      <c r="T61" s="98"/>
      <c r="U61" s="98"/>
      <c r="V61" s="98"/>
      <c r="W61" s="98"/>
      <c r="X61" s="98"/>
      <c r="Y61" s="98"/>
      <c r="Z61" s="98"/>
      <c r="AA61" s="98"/>
      <c r="AB61" s="98"/>
      <c r="AC61" s="98"/>
      <c r="AD61" s="98"/>
      <c r="AE61" s="98"/>
      <c r="AF61" s="98"/>
      <c r="AG61" s="98"/>
      <c r="AH61" s="98"/>
    </row>
    <row r="62" spans="1:34" ht="27" hidden="1" customHeight="1">
      <c r="A62" s="30"/>
      <c r="B62" s="801"/>
      <c r="C62" s="74" t="s">
        <v>190</v>
      </c>
      <c r="D62" s="72"/>
      <c r="E62" s="98"/>
      <c r="F62" s="98"/>
      <c r="G62" s="98"/>
      <c r="H62" s="98"/>
      <c r="I62" s="98"/>
      <c r="J62" s="98"/>
      <c r="K62" s="98"/>
      <c r="L62" s="98"/>
      <c r="M62" s="98"/>
      <c r="N62" s="98"/>
      <c r="O62" s="98"/>
      <c r="P62" s="98"/>
      <c r="Q62" s="98"/>
      <c r="R62" s="98"/>
      <c r="S62" s="98"/>
      <c r="T62" s="98"/>
      <c r="U62" s="98"/>
      <c r="V62" s="98"/>
      <c r="W62" s="98"/>
      <c r="X62" s="98"/>
      <c r="Y62" s="98"/>
      <c r="Z62" s="98"/>
      <c r="AA62" s="98"/>
      <c r="AB62" s="98"/>
      <c r="AC62" s="98"/>
      <c r="AD62" s="98"/>
      <c r="AE62" s="98"/>
      <c r="AF62" s="98"/>
      <c r="AG62" s="98"/>
      <c r="AH62" s="98"/>
    </row>
    <row r="63" spans="1:34" ht="27" hidden="1" customHeight="1">
      <c r="A63" s="30"/>
      <c r="B63" s="801"/>
      <c r="C63" s="74" t="s">
        <v>191</v>
      </c>
      <c r="D63" s="72"/>
      <c r="E63" s="98"/>
      <c r="F63" s="98"/>
      <c r="G63" s="98"/>
      <c r="H63" s="98"/>
      <c r="I63" s="98"/>
      <c r="J63" s="98"/>
      <c r="K63" s="98"/>
      <c r="L63" s="98"/>
      <c r="M63" s="98"/>
      <c r="N63" s="98"/>
      <c r="O63" s="98"/>
      <c r="P63" s="98"/>
      <c r="Q63" s="98"/>
      <c r="R63" s="98"/>
      <c r="S63" s="98"/>
      <c r="T63" s="98"/>
      <c r="U63" s="98"/>
      <c r="V63" s="98"/>
      <c r="W63" s="98"/>
      <c r="X63" s="98"/>
      <c r="Y63" s="98"/>
      <c r="Z63" s="98"/>
      <c r="AA63" s="98"/>
      <c r="AB63" s="98"/>
      <c r="AC63" s="98"/>
      <c r="AD63" s="98"/>
      <c r="AE63" s="98"/>
      <c r="AF63" s="98"/>
      <c r="AG63" s="98"/>
      <c r="AH63" s="98"/>
    </row>
    <row r="64" spans="1:34" ht="27" hidden="1" customHeight="1">
      <c r="A64" s="30"/>
      <c r="B64" s="801"/>
      <c r="C64" s="74" t="s">
        <v>192</v>
      </c>
      <c r="D64" s="72"/>
      <c r="E64" s="98"/>
      <c r="F64" s="98"/>
      <c r="G64" s="98"/>
      <c r="H64" s="98"/>
      <c r="I64" s="98"/>
      <c r="J64" s="98"/>
      <c r="K64" s="98"/>
      <c r="L64" s="98"/>
      <c r="M64" s="98"/>
      <c r="N64" s="98"/>
      <c r="O64" s="98"/>
      <c r="P64" s="98"/>
      <c r="Q64" s="98"/>
      <c r="R64" s="98"/>
      <c r="S64" s="98"/>
      <c r="T64" s="98"/>
      <c r="U64" s="98"/>
      <c r="V64" s="98"/>
      <c r="W64" s="98"/>
      <c r="X64" s="98"/>
      <c r="Y64" s="98"/>
      <c r="Z64" s="98"/>
      <c r="AA64" s="98"/>
      <c r="AB64" s="98"/>
      <c r="AC64" s="98"/>
      <c r="AD64" s="98"/>
      <c r="AE64" s="98"/>
      <c r="AF64" s="98"/>
      <c r="AG64" s="98"/>
      <c r="AH64" s="98"/>
    </row>
    <row r="65" spans="1:34" ht="27" hidden="1" customHeight="1">
      <c r="A65" s="30"/>
      <c r="B65" s="802"/>
      <c r="C65" s="74" t="s">
        <v>193</v>
      </c>
      <c r="D65" s="72"/>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row>
    <row r="66" spans="1:34" ht="27" hidden="1" customHeight="1">
      <c r="A66" s="30"/>
      <c r="B66" s="800">
        <v>8</v>
      </c>
      <c r="C66" s="795"/>
      <c r="D66" s="796"/>
      <c r="E66" s="97" t="str">
        <f>IFERROR(AVERAGE(E67:E73),"")</f>
        <v/>
      </c>
      <c r="F66" s="97" t="str">
        <f t="shared" ref="F66:AH66" si="9">IFERROR(AVERAGE(F67:F73),"")</f>
        <v/>
      </c>
      <c r="G66" s="97" t="str">
        <f t="shared" si="9"/>
        <v/>
      </c>
      <c r="H66" s="97" t="str">
        <f t="shared" si="9"/>
        <v/>
      </c>
      <c r="I66" s="97" t="str">
        <f t="shared" si="9"/>
        <v/>
      </c>
      <c r="J66" s="97" t="str">
        <f t="shared" si="9"/>
        <v/>
      </c>
      <c r="K66" s="97" t="str">
        <f t="shared" si="9"/>
        <v/>
      </c>
      <c r="L66" s="97" t="str">
        <f t="shared" si="9"/>
        <v/>
      </c>
      <c r="M66" s="97" t="str">
        <f t="shared" si="9"/>
        <v/>
      </c>
      <c r="N66" s="97" t="str">
        <f t="shared" si="9"/>
        <v/>
      </c>
      <c r="O66" s="97" t="str">
        <f t="shared" si="9"/>
        <v/>
      </c>
      <c r="P66" s="97" t="str">
        <f t="shared" si="9"/>
        <v/>
      </c>
      <c r="Q66" s="97" t="str">
        <f t="shared" si="9"/>
        <v/>
      </c>
      <c r="R66" s="97" t="str">
        <f t="shared" si="9"/>
        <v/>
      </c>
      <c r="S66" s="97" t="str">
        <f t="shared" si="9"/>
        <v/>
      </c>
      <c r="T66" s="97" t="str">
        <f t="shared" si="9"/>
        <v/>
      </c>
      <c r="U66" s="97" t="str">
        <f t="shared" si="9"/>
        <v/>
      </c>
      <c r="V66" s="97" t="str">
        <f t="shared" si="9"/>
        <v/>
      </c>
      <c r="W66" s="97" t="str">
        <f t="shared" si="9"/>
        <v/>
      </c>
      <c r="X66" s="97" t="str">
        <f t="shared" si="9"/>
        <v/>
      </c>
      <c r="Y66" s="97" t="str">
        <f t="shared" si="9"/>
        <v/>
      </c>
      <c r="Z66" s="97" t="str">
        <f t="shared" si="9"/>
        <v/>
      </c>
      <c r="AA66" s="97" t="str">
        <f t="shared" si="9"/>
        <v/>
      </c>
      <c r="AB66" s="97" t="str">
        <f t="shared" si="9"/>
        <v/>
      </c>
      <c r="AC66" s="97" t="str">
        <f t="shared" si="9"/>
        <v/>
      </c>
      <c r="AD66" s="97" t="str">
        <f t="shared" si="9"/>
        <v/>
      </c>
      <c r="AE66" s="97" t="str">
        <f t="shared" si="9"/>
        <v/>
      </c>
      <c r="AF66" s="97" t="str">
        <f t="shared" si="9"/>
        <v/>
      </c>
      <c r="AG66" s="97" t="str">
        <f t="shared" si="9"/>
        <v/>
      </c>
      <c r="AH66" s="97" t="str">
        <f t="shared" si="9"/>
        <v/>
      </c>
    </row>
    <row r="67" spans="1:34" ht="27" hidden="1" customHeight="1">
      <c r="A67" s="30"/>
      <c r="B67" s="801"/>
      <c r="C67" s="74" t="s">
        <v>194</v>
      </c>
      <c r="D67" s="72"/>
      <c r="E67" s="98"/>
      <c r="F67" s="98"/>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row>
    <row r="68" spans="1:34" ht="27" hidden="1" customHeight="1">
      <c r="A68" s="30"/>
      <c r="B68" s="801"/>
      <c r="C68" s="74" t="s">
        <v>195</v>
      </c>
      <c r="D68" s="72"/>
      <c r="E68" s="98"/>
      <c r="F68" s="98"/>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row>
    <row r="69" spans="1:34" ht="27" hidden="1" customHeight="1">
      <c r="A69" s="30"/>
      <c r="B69" s="801"/>
      <c r="C69" s="74" t="s">
        <v>196</v>
      </c>
      <c r="D69" s="72"/>
      <c r="E69" s="98"/>
      <c r="F69" s="98"/>
      <c r="G69" s="98"/>
      <c r="H69" s="98"/>
      <c r="I69" s="98"/>
      <c r="J69" s="98"/>
      <c r="K69" s="98"/>
      <c r="L69" s="98"/>
      <c r="M69" s="98"/>
      <c r="N69" s="98"/>
      <c r="O69" s="98"/>
      <c r="P69" s="98"/>
      <c r="Q69" s="98"/>
      <c r="R69" s="98"/>
      <c r="S69" s="98"/>
      <c r="T69" s="98"/>
      <c r="U69" s="98"/>
      <c r="V69" s="98"/>
      <c r="W69" s="98"/>
      <c r="X69" s="98"/>
      <c r="Y69" s="98"/>
      <c r="Z69" s="98"/>
      <c r="AA69" s="98"/>
      <c r="AB69" s="98"/>
      <c r="AC69" s="98"/>
      <c r="AD69" s="98"/>
      <c r="AE69" s="98"/>
      <c r="AF69" s="98"/>
      <c r="AG69" s="98"/>
      <c r="AH69" s="98"/>
    </row>
    <row r="70" spans="1:34" ht="27" hidden="1" customHeight="1">
      <c r="A70" s="30"/>
      <c r="B70" s="801"/>
      <c r="C70" s="74" t="s">
        <v>197</v>
      </c>
      <c r="D70" s="72"/>
      <c r="E70" s="98"/>
      <c r="F70" s="98"/>
      <c r="G70" s="98"/>
      <c r="H70" s="98"/>
      <c r="I70" s="98"/>
      <c r="J70" s="98"/>
      <c r="K70" s="98"/>
      <c r="L70" s="98"/>
      <c r="M70" s="98"/>
      <c r="N70" s="98"/>
      <c r="O70" s="98"/>
      <c r="P70" s="98"/>
      <c r="Q70" s="98"/>
      <c r="R70" s="98"/>
      <c r="S70" s="98"/>
      <c r="T70" s="98"/>
      <c r="U70" s="98"/>
      <c r="V70" s="98"/>
      <c r="W70" s="98"/>
      <c r="X70" s="98"/>
      <c r="Y70" s="98"/>
      <c r="Z70" s="98"/>
      <c r="AA70" s="98"/>
      <c r="AB70" s="98"/>
      <c r="AC70" s="98"/>
      <c r="AD70" s="98"/>
      <c r="AE70" s="98"/>
      <c r="AF70" s="98"/>
      <c r="AG70" s="98"/>
      <c r="AH70" s="98"/>
    </row>
    <row r="71" spans="1:34" ht="27" hidden="1" customHeight="1">
      <c r="A71" s="30"/>
      <c r="B71" s="801"/>
      <c r="C71" s="74" t="s">
        <v>198</v>
      </c>
      <c r="D71" s="72"/>
      <c r="E71" s="98"/>
      <c r="F71" s="98"/>
      <c r="G71" s="98"/>
      <c r="H71" s="98"/>
      <c r="I71" s="98"/>
      <c r="J71" s="98"/>
      <c r="K71" s="98"/>
      <c r="L71" s="98"/>
      <c r="M71" s="98"/>
      <c r="N71" s="98"/>
      <c r="O71" s="98"/>
      <c r="P71" s="98"/>
      <c r="Q71" s="98"/>
      <c r="R71" s="98"/>
      <c r="S71" s="98"/>
      <c r="T71" s="98"/>
      <c r="U71" s="98"/>
      <c r="V71" s="98"/>
      <c r="W71" s="98"/>
      <c r="X71" s="98"/>
      <c r="Y71" s="98"/>
      <c r="Z71" s="98"/>
      <c r="AA71" s="98"/>
      <c r="AB71" s="98"/>
      <c r="AC71" s="98"/>
      <c r="AD71" s="98"/>
      <c r="AE71" s="98"/>
      <c r="AF71" s="98"/>
      <c r="AG71" s="98"/>
      <c r="AH71" s="98"/>
    </row>
    <row r="72" spans="1:34" ht="27" hidden="1" customHeight="1">
      <c r="A72" s="30"/>
      <c r="B72" s="801"/>
      <c r="C72" s="74" t="s">
        <v>199</v>
      </c>
      <c r="D72" s="72"/>
      <c r="E72" s="98"/>
      <c r="F72" s="98"/>
      <c r="G72" s="98"/>
      <c r="H72" s="98"/>
      <c r="I72" s="98"/>
      <c r="J72" s="98"/>
      <c r="K72" s="98"/>
      <c r="L72" s="98"/>
      <c r="M72" s="98"/>
      <c r="N72" s="98"/>
      <c r="O72" s="98"/>
      <c r="P72" s="98"/>
      <c r="Q72" s="98"/>
      <c r="R72" s="98"/>
      <c r="S72" s="98"/>
      <c r="T72" s="98"/>
      <c r="U72" s="98"/>
      <c r="V72" s="98"/>
      <c r="W72" s="98"/>
      <c r="X72" s="98"/>
      <c r="Y72" s="98"/>
      <c r="Z72" s="98"/>
      <c r="AA72" s="98"/>
      <c r="AB72" s="98"/>
      <c r="AC72" s="98"/>
      <c r="AD72" s="98"/>
      <c r="AE72" s="98"/>
      <c r="AF72" s="98"/>
      <c r="AG72" s="98"/>
      <c r="AH72" s="98"/>
    </row>
    <row r="73" spans="1:34" ht="27" hidden="1" customHeight="1">
      <c r="A73" s="30"/>
      <c r="B73" s="802"/>
      <c r="C73" s="74" t="s">
        <v>200</v>
      </c>
      <c r="D73" s="72"/>
      <c r="E73" s="98"/>
      <c r="F73" s="98"/>
      <c r="G73" s="98"/>
      <c r="H73" s="98"/>
      <c r="I73" s="98"/>
      <c r="J73" s="98"/>
      <c r="K73" s="98"/>
      <c r="L73" s="98"/>
      <c r="M73" s="98"/>
      <c r="N73" s="98"/>
      <c r="O73" s="98"/>
      <c r="P73" s="98"/>
      <c r="Q73" s="98"/>
      <c r="R73" s="98"/>
      <c r="S73" s="98"/>
      <c r="T73" s="98"/>
      <c r="U73" s="98"/>
      <c r="V73" s="98"/>
      <c r="W73" s="98"/>
      <c r="X73" s="98"/>
      <c r="Y73" s="98"/>
      <c r="Z73" s="98"/>
      <c r="AA73" s="98"/>
      <c r="AB73" s="98"/>
      <c r="AC73" s="98"/>
      <c r="AD73" s="98"/>
      <c r="AE73" s="98"/>
      <c r="AF73" s="98"/>
      <c r="AG73" s="98"/>
      <c r="AH73" s="98"/>
    </row>
    <row r="74" spans="1:34" ht="27" hidden="1" customHeight="1">
      <c r="A74" s="30"/>
      <c r="B74" s="794">
        <v>9</v>
      </c>
      <c r="C74" s="795"/>
      <c r="D74" s="796"/>
      <c r="E74" s="97" t="str">
        <f>IFERROR(AVERAGE(E75:E81),"")</f>
        <v/>
      </c>
      <c r="F74" s="97" t="str">
        <f t="shared" ref="F74:AH74" si="10">IFERROR(AVERAGE(F75:F81),"")</f>
        <v/>
      </c>
      <c r="G74" s="97" t="str">
        <f t="shared" si="10"/>
        <v/>
      </c>
      <c r="H74" s="97" t="str">
        <f t="shared" si="10"/>
        <v/>
      </c>
      <c r="I74" s="97" t="str">
        <f t="shared" si="10"/>
        <v/>
      </c>
      <c r="J74" s="97" t="str">
        <f t="shared" si="10"/>
        <v/>
      </c>
      <c r="K74" s="97" t="str">
        <f t="shared" si="10"/>
        <v/>
      </c>
      <c r="L74" s="97" t="str">
        <f t="shared" si="10"/>
        <v/>
      </c>
      <c r="M74" s="97" t="str">
        <f t="shared" si="10"/>
        <v/>
      </c>
      <c r="N74" s="97" t="str">
        <f t="shared" si="10"/>
        <v/>
      </c>
      <c r="O74" s="97" t="str">
        <f t="shared" si="10"/>
        <v/>
      </c>
      <c r="P74" s="97" t="str">
        <f t="shared" si="10"/>
        <v/>
      </c>
      <c r="Q74" s="97" t="str">
        <f t="shared" si="10"/>
        <v/>
      </c>
      <c r="R74" s="97" t="str">
        <f t="shared" si="10"/>
        <v/>
      </c>
      <c r="S74" s="97" t="str">
        <f t="shared" si="10"/>
        <v/>
      </c>
      <c r="T74" s="97" t="str">
        <f t="shared" si="10"/>
        <v/>
      </c>
      <c r="U74" s="97" t="str">
        <f t="shared" si="10"/>
        <v/>
      </c>
      <c r="V74" s="97" t="str">
        <f t="shared" si="10"/>
        <v/>
      </c>
      <c r="W74" s="97" t="str">
        <f t="shared" si="10"/>
        <v/>
      </c>
      <c r="X74" s="97" t="str">
        <f t="shared" si="10"/>
        <v/>
      </c>
      <c r="Y74" s="97" t="str">
        <f t="shared" si="10"/>
        <v/>
      </c>
      <c r="Z74" s="97" t="str">
        <f t="shared" si="10"/>
        <v/>
      </c>
      <c r="AA74" s="97" t="str">
        <f t="shared" si="10"/>
        <v/>
      </c>
      <c r="AB74" s="97" t="str">
        <f t="shared" si="10"/>
        <v/>
      </c>
      <c r="AC74" s="97" t="str">
        <f t="shared" si="10"/>
        <v/>
      </c>
      <c r="AD74" s="97" t="str">
        <f t="shared" si="10"/>
        <v/>
      </c>
      <c r="AE74" s="97" t="str">
        <f t="shared" si="10"/>
        <v/>
      </c>
      <c r="AF74" s="97" t="str">
        <f t="shared" si="10"/>
        <v/>
      </c>
      <c r="AG74" s="97" t="str">
        <f t="shared" si="10"/>
        <v/>
      </c>
      <c r="AH74" s="97" t="str">
        <f t="shared" si="10"/>
        <v/>
      </c>
    </row>
    <row r="75" spans="1:34" ht="27" hidden="1" customHeight="1">
      <c r="A75" s="30"/>
      <c r="B75" s="794"/>
      <c r="C75" s="74" t="s">
        <v>201</v>
      </c>
      <c r="D75" s="72"/>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row>
    <row r="76" spans="1:34" ht="27" hidden="1" customHeight="1">
      <c r="A76" s="30"/>
      <c r="B76" s="794"/>
      <c r="C76" s="74" t="s">
        <v>202</v>
      </c>
      <c r="D76" s="72"/>
      <c r="E76" s="98"/>
      <c r="F76" s="98"/>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row>
    <row r="77" spans="1:34" ht="27" hidden="1" customHeight="1">
      <c r="A77" s="30"/>
      <c r="B77" s="794"/>
      <c r="C77" s="74" t="s">
        <v>203</v>
      </c>
      <c r="D77" s="72"/>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row>
    <row r="78" spans="1:34" ht="27" hidden="1" customHeight="1">
      <c r="A78" s="30"/>
      <c r="B78" s="794"/>
      <c r="C78" s="74" t="s">
        <v>204</v>
      </c>
      <c r="D78" s="72"/>
      <c r="E78" s="98"/>
      <c r="F78" s="98"/>
      <c r="G78" s="98"/>
      <c r="H78" s="98"/>
      <c r="I78" s="98"/>
      <c r="J78" s="98"/>
      <c r="K78" s="98"/>
      <c r="L78" s="98"/>
      <c r="M78" s="98"/>
      <c r="N78" s="98"/>
      <c r="O78" s="98"/>
      <c r="P78" s="98"/>
      <c r="Q78" s="98"/>
      <c r="R78" s="98"/>
      <c r="S78" s="98"/>
      <c r="T78" s="98"/>
      <c r="U78" s="98"/>
      <c r="V78" s="98"/>
      <c r="W78" s="98"/>
      <c r="X78" s="98"/>
      <c r="Y78" s="98"/>
      <c r="Z78" s="98"/>
      <c r="AA78" s="98"/>
      <c r="AB78" s="98"/>
      <c r="AC78" s="98"/>
      <c r="AD78" s="98"/>
      <c r="AE78" s="98"/>
      <c r="AF78" s="98"/>
      <c r="AG78" s="98"/>
      <c r="AH78" s="98"/>
    </row>
    <row r="79" spans="1:34" ht="27" hidden="1" customHeight="1">
      <c r="A79" s="30"/>
      <c r="B79" s="794"/>
      <c r="C79" s="74" t="s">
        <v>205</v>
      </c>
      <c r="D79" s="72"/>
      <c r="E79" s="98"/>
      <c r="F79" s="98"/>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row>
    <row r="80" spans="1:34" ht="27" hidden="1" customHeight="1">
      <c r="A80" s="30"/>
      <c r="B80" s="794"/>
      <c r="C80" s="74" t="s">
        <v>206</v>
      </c>
      <c r="D80" s="72"/>
      <c r="E80" s="98"/>
      <c r="F80" s="98"/>
      <c r="G80" s="98"/>
      <c r="H80" s="98"/>
      <c r="I80" s="98"/>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row>
    <row r="81" spans="1:34" ht="27" hidden="1" customHeight="1">
      <c r="A81" s="30"/>
      <c r="B81" s="794"/>
      <c r="C81" s="74" t="s">
        <v>207</v>
      </c>
      <c r="D81" s="72"/>
      <c r="E81" s="98"/>
      <c r="F81" s="98"/>
      <c r="G81" s="98"/>
      <c r="H81" s="98"/>
      <c r="I81" s="98"/>
      <c r="J81" s="98"/>
      <c r="K81" s="98"/>
      <c r="L81" s="98"/>
      <c r="M81" s="98"/>
      <c r="N81" s="98"/>
      <c r="O81" s="98"/>
      <c r="P81" s="98"/>
      <c r="Q81" s="98"/>
      <c r="R81" s="98"/>
      <c r="S81" s="98"/>
      <c r="T81" s="98"/>
      <c r="U81" s="98"/>
      <c r="V81" s="98"/>
      <c r="W81" s="98"/>
      <c r="X81" s="98"/>
      <c r="Y81" s="98"/>
      <c r="Z81" s="98"/>
      <c r="AA81" s="98"/>
      <c r="AB81" s="98"/>
      <c r="AC81" s="98"/>
      <c r="AD81" s="98"/>
      <c r="AE81" s="98"/>
      <c r="AF81" s="98"/>
      <c r="AG81" s="98"/>
      <c r="AH81" s="98"/>
    </row>
    <row r="82" spans="1:34" ht="27" hidden="1" customHeight="1">
      <c r="A82" s="30"/>
      <c r="B82" s="800">
        <v>10</v>
      </c>
      <c r="C82" s="795"/>
      <c r="D82" s="796"/>
      <c r="E82" s="97" t="str">
        <f>IFERROR(AVERAGE(E83:E89),"")</f>
        <v/>
      </c>
      <c r="F82" s="97" t="str">
        <f t="shared" ref="F82:AH82" si="11">IFERROR(AVERAGE(F83:F89),"")</f>
        <v/>
      </c>
      <c r="G82" s="97" t="str">
        <f t="shared" si="11"/>
        <v/>
      </c>
      <c r="H82" s="97" t="str">
        <f t="shared" si="11"/>
        <v/>
      </c>
      <c r="I82" s="97" t="str">
        <f t="shared" si="11"/>
        <v/>
      </c>
      <c r="J82" s="97" t="str">
        <f t="shared" si="11"/>
        <v/>
      </c>
      <c r="K82" s="97" t="str">
        <f t="shared" si="11"/>
        <v/>
      </c>
      <c r="L82" s="97" t="str">
        <f t="shared" si="11"/>
        <v/>
      </c>
      <c r="M82" s="97" t="str">
        <f t="shared" si="11"/>
        <v/>
      </c>
      <c r="N82" s="97" t="str">
        <f t="shared" si="11"/>
        <v/>
      </c>
      <c r="O82" s="97" t="str">
        <f t="shared" si="11"/>
        <v/>
      </c>
      <c r="P82" s="97" t="str">
        <f t="shared" si="11"/>
        <v/>
      </c>
      <c r="Q82" s="97" t="str">
        <f t="shared" si="11"/>
        <v/>
      </c>
      <c r="R82" s="97" t="str">
        <f t="shared" si="11"/>
        <v/>
      </c>
      <c r="S82" s="97" t="str">
        <f t="shared" si="11"/>
        <v/>
      </c>
      <c r="T82" s="97" t="str">
        <f t="shared" si="11"/>
        <v/>
      </c>
      <c r="U82" s="97" t="str">
        <f t="shared" si="11"/>
        <v/>
      </c>
      <c r="V82" s="97" t="str">
        <f t="shared" si="11"/>
        <v/>
      </c>
      <c r="W82" s="97" t="str">
        <f t="shared" si="11"/>
        <v/>
      </c>
      <c r="X82" s="97" t="str">
        <f t="shared" si="11"/>
        <v/>
      </c>
      <c r="Y82" s="97" t="str">
        <f t="shared" si="11"/>
        <v/>
      </c>
      <c r="Z82" s="97" t="str">
        <f t="shared" si="11"/>
        <v/>
      </c>
      <c r="AA82" s="97" t="str">
        <f t="shared" si="11"/>
        <v/>
      </c>
      <c r="AB82" s="97" t="str">
        <f t="shared" si="11"/>
        <v/>
      </c>
      <c r="AC82" s="97" t="str">
        <f t="shared" si="11"/>
        <v/>
      </c>
      <c r="AD82" s="97" t="str">
        <f t="shared" si="11"/>
        <v/>
      </c>
      <c r="AE82" s="97" t="str">
        <f t="shared" si="11"/>
        <v/>
      </c>
      <c r="AF82" s="97" t="str">
        <f t="shared" si="11"/>
        <v/>
      </c>
      <c r="AG82" s="97" t="str">
        <f t="shared" si="11"/>
        <v/>
      </c>
      <c r="AH82" s="97" t="str">
        <f t="shared" si="11"/>
        <v/>
      </c>
    </row>
    <row r="83" spans="1:34" ht="27" hidden="1" customHeight="1">
      <c r="A83" s="30"/>
      <c r="B83" s="801"/>
      <c r="C83" s="74" t="s">
        <v>208</v>
      </c>
      <c r="D83" s="72"/>
      <c r="E83" s="98"/>
      <c r="F83" s="98"/>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row>
    <row r="84" spans="1:34" ht="27" hidden="1" customHeight="1">
      <c r="A84" s="30"/>
      <c r="B84" s="801"/>
      <c r="C84" s="74" t="s">
        <v>209</v>
      </c>
      <c r="D84" s="72"/>
      <c r="E84" s="98"/>
      <c r="F84" s="98"/>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row>
    <row r="85" spans="1:34" ht="27" hidden="1" customHeight="1">
      <c r="A85" s="30"/>
      <c r="B85" s="801"/>
      <c r="C85" s="74" t="s">
        <v>210</v>
      </c>
      <c r="D85" s="72"/>
      <c r="E85" s="98"/>
      <c r="F85" s="98"/>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row>
    <row r="86" spans="1:34" ht="27" hidden="1" customHeight="1">
      <c r="A86" s="30"/>
      <c r="B86" s="801"/>
      <c r="C86" s="74" t="s">
        <v>211</v>
      </c>
      <c r="D86" s="72"/>
      <c r="E86" s="98"/>
      <c r="F86" s="98"/>
      <c r="G86" s="98"/>
      <c r="H86" s="98"/>
      <c r="I86" s="98"/>
      <c r="J86" s="98"/>
      <c r="K86" s="98"/>
      <c r="L86" s="98"/>
      <c r="M86" s="98"/>
      <c r="N86" s="98"/>
      <c r="O86" s="98"/>
      <c r="P86" s="98"/>
      <c r="Q86" s="98"/>
      <c r="R86" s="98"/>
      <c r="S86" s="98"/>
      <c r="T86" s="98"/>
      <c r="U86" s="98"/>
      <c r="V86" s="98"/>
      <c r="W86" s="98"/>
      <c r="X86" s="98"/>
      <c r="Y86" s="98"/>
      <c r="Z86" s="98"/>
      <c r="AA86" s="98"/>
      <c r="AB86" s="98"/>
      <c r="AC86" s="98"/>
      <c r="AD86" s="98"/>
      <c r="AE86" s="98"/>
      <c r="AF86" s="98"/>
      <c r="AG86" s="98"/>
      <c r="AH86" s="98"/>
    </row>
    <row r="87" spans="1:34" ht="27" hidden="1" customHeight="1">
      <c r="A87" s="30"/>
      <c r="B87" s="801"/>
      <c r="C87" s="74" t="s">
        <v>212</v>
      </c>
      <c r="D87" s="72"/>
      <c r="E87" s="98"/>
      <c r="F87" s="98"/>
      <c r="G87" s="98"/>
      <c r="H87" s="98"/>
      <c r="I87" s="98"/>
      <c r="J87" s="98"/>
      <c r="K87" s="98"/>
      <c r="L87" s="98"/>
      <c r="M87" s="98"/>
      <c r="N87" s="98"/>
      <c r="O87" s="98"/>
      <c r="P87" s="98"/>
      <c r="Q87" s="98"/>
      <c r="R87" s="98"/>
      <c r="S87" s="98"/>
      <c r="T87" s="98"/>
      <c r="U87" s="98"/>
      <c r="V87" s="98"/>
      <c r="W87" s="98"/>
      <c r="X87" s="98"/>
      <c r="Y87" s="98"/>
      <c r="Z87" s="98"/>
      <c r="AA87" s="98"/>
      <c r="AB87" s="98"/>
      <c r="AC87" s="98"/>
      <c r="AD87" s="98"/>
      <c r="AE87" s="98"/>
      <c r="AF87" s="98"/>
      <c r="AG87" s="98"/>
      <c r="AH87" s="98"/>
    </row>
    <row r="88" spans="1:34" ht="27" hidden="1" customHeight="1">
      <c r="A88" s="30"/>
      <c r="B88" s="801"/>
      <c r="C88" s="74" t="s">
        <v>213</v>
      </c>
      <c r="D88" s="72"/>
      <c r="E88" s="98"/>
      <c r="F88" s="98"/>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row>
    <row r="89" spans="1:34" ht="27" hidden="1" customHeight="1">
      <c r="A89" s="30"/>
      <c r="B89" s="802"/>
      <c r="C89" s="74" t="s">
        <v>214</v>
      </c>
      <c r="D89" s="72"/>
      <c r="E89" s="98"/>
      <c r="F89" s="98"/>
      <c r="G89" s="98"/>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row>
    <row r="90" spans="1:34" ht="27" hidden="1" customHeight="1">
      <c r="A90" s="30"/>
      <c r="B90" s="800">
        <v>11</v>
      </c>
      <c r="C90" s="795"/>
      <c r="D90" s="796"/>
      <c r="E90" s="97" t="str">
        <f>IFERROR(AVERAGE(E91:E97),"")</f>
        <v/>
      </c>
      <c r="F90" s="97" t="str">
        <f t="shared" ref="F90:AH90" si="12">IFERROR(AVERAGE(F91:F97),"")</f>
        <v/>
      </c>
      <c r="G90" s="97" t="str">
        <f t="shared" si="12"/>
        <v/>
      </c>
      <c r="H90" s="97" t="str">
        <f t="shared" si="12"/>
        <v/>
      </c>
      <c r="I90" s="97" t="str">
        <f t="shared" si="12"/>
        <v/>
      </c>
      <c r="J90" s="97" t="str">
        <f t="shared" si="12"/>
        <v/>
      </c>
      <c r="K90" s="97" t="str">
        <f t="shared" si="12"/>
        <v/>
      </c>
      <c r="L90" s="97" t="str">
        <f t="shared" si="12"/>
        <v/>
      </c>
      <c r="M90" s="97" t="str">
        <f t="shared" si="12"/>
        <v/>
      </c>
      <c r="N90" s="97" t="str">
        <f t="shared" si="12"/>
        <v/>
      </c>
      <c r="O90" s="97" t="str">
        <f t="shared" si="12"/>
        <v/>
      </c>
      <c r="P90" s="97" t="str">
        <f t="shared" si="12"/>
        <v/>
      </c>
      <c r="Q90" s="97" t="str">
        <f t="shared" si="12"/>
        <v/>
      </c>
      <c r="R90" s="97" t="str">
        <f t="shared" si="12"/>
        <v/>
      </c>
      <c r="S90" s="97" t="str">
        <f t="shared" si="12"/>
        <v/>
      </c>
      <c r="T90" s="97" t="str">
        <f t="shared" si="12"/>
        <v/>
      </c>
      <c r="U90" s="97" t="str">
        <f t="shared" si="12"/>
        <v/>
      </c>
      <c r="V90" s="97" t="str">
        <f t="shared" si="12"/>
        <v/>
      </c>
      <c r="W90" s="97" t="str">
        <f t="shared" si="12"/>
        <v/>
      </c>
      <c r="X90" s="97" t="str">
        <f t="shared" si="12"/>
        <v/>
      </c>
      <c r="Y90" s="97" t="str">
        <f t="shared" si="12"/>
        <v/>
      </c>
      <c r="Z90" s="97" t="str">
        <f t="shared" si="12"/>
        <v/>
      </c>
      <c r="AA90" s="97" t="str">
        <f t="shared" si="12"/>
        <v/>
      </c>
      <c r="AB90" s="97" t="str">
        <f t="shared" si="12"/>
        <v/>
      </c>
      <c r="AC90" s="97" t="str">
        <f t="shared" si="12"/>
        <v/>
      </c>
      <c r="AD90" s="97" t="str">
        <f t="shared" si="12"/>
        <v/>
      </c>
      <c r="AE90" s="97" t="str">
        <f t="shared" si="12"/>
        <v/>
      </c>
      <c r="AF90" s="97" t="str">
        <f t="shared" si="12"/>
        <v/>
      </c>
      <c r="AG90" s="97" t="str">
        <f t="shared" si="12"/>
        <v/>
      </c>
      <c r="AH90" s="97" t="str">
        <f t="shared" si="12"/>
        <v/>
      </c>
    </row>
    <row r="91" spans="1:34" ht="27" hidden="1" customHeight="1">
      <c r="A91" s="30"/>
      <c r="B91" s="801"/>
      <c r="C91" s="74" t="s">
        <v>215</v>
      </c>
      <c r="D91" s="72"/>
      <c r="E91" s="99"/>
      <c r="F91" s="99"/>
      <c r="G91" s="99"/>
      <c r="H91" s="99"/>
      <c r="I91" s="99"/>
      <c r="J91" s="99"/>
      <c r="K91" s="99"/>
      <c r="L91" s="99"/>
      <c r="M91" s="99"/>
      <c r="N91" s="99"/>
      <c r="O91" s="99"/>
      <c r="P91" s="99"/>
      <c r="Q91" s="99"/>
      <c r="R91" s="99"/>
      <c r="S91" s="99"/>
      <c r="T91" s="99"/>
      <c r="U91" s="99"/>
      <c r="V91" s="99"/>
      <c r="W91" s="99"/>
      <c r="X91" s="99"/>
      <c r="Y91" s="99"/>
      <c r="Z91" s="99"/>
      <c r="AA91" s="99"/>
      <c r="AB91" s="99"/>
      <c r="AC91" s="99"/>
      <c r="AD91" s="99"/>
      <c r="AE91" s="99"/>
      <c r="AF91" s="99"/>
      <c r="AG91" s="99"/>
      <c r="AH91" s="99"/>
    </row>
    <row r="92" spans="1:34" ht="27" hidden="1" customHeight="1">
      <c r="A92" s="30"/>
      <c r="B92" s="801"/>
      <c r="C92" s="74" t="s">
        <v>216</v>
      </c>
      <c r="D92" s="72"/>
      <c r="E92" s="98"/>
      <c r="F92" s="98"/>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row>
    <row r="93" spans="1:34" ht="27" hidden="1" customHeight="1">
      <c r="A93" s="30"/>
      <c r="B93" s="801"/>
      <c r="C93" s="74" t="s">
        <v>217</v>
      </c>
      <c r="D93" s="72"/>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row>
    <row r="94" spans="1:34" ht="27" hidden="1" customHeight="1">
      <c r="A94" s="30"/>
      <c r="B94" s="801"/>
      <c r="C94" s="74" t="s">
        <v>218</v>
      </c>
      <c r="D94" s="72"/>
      <c r="E94" s="98"/>
      <c r="F94" s="98"/>
      <c r="G94" s="98"/>
      <c r="H94" s="98"/>
      <c r="I94" s="98"/>
      <c r="J94" s="98"/>
      <c r="K94" s="98"/>
      <c r="L94" s="98"/>
      <c r="M94" s="98"/>
      <c r="N94" s="98"/>
      <c r="O94" s="98"/>
      <c r="P94" s="98"/>
      <c r="Q94" s="98"/>
      <c r="R94" s="98"/>
      <c r="S94" s="98"/>
      <c r="T94" s="98"/>
      <c r="U94" s="98"/>
      <c r="V94" s="98"/>
      <c r="W94" s="98"/>
      <c r="X94" s="98"/>
      <c r="Y94" s="98"/>
      <c r="Z94" s="98"/>
      <c r="AA94" s="98"/>
      <c r="AB94" s="98"/>
      <c r="AC94" s="98"/>
      <c r="AD94" s="98"/>
      <c r="AE94" s="98"/>
      <c r="AF94" s="98"/>
      <c r="AG94" s="98"/>
      <c r="AH94" s="98"/>
    </row>
    <row r="95" spans="1:34" ht="27" hidden="1" customHeight="1">
      <c r="A95" s="30"/>
      <c r="B95" s="801"/>
      <c r="C95" s="74" t="s">
        <v>219</v>
      </c>
      <c r="D95" s="72"/>
      <c r="E95" s="98"/>
      <c r="F95" s="98"/>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row>
    <row r="96" spans="1:34" ht="27" hidden="1" customHeight="1">
      <c r="A96" s="30"/>
      <c r="B96" s="801"/>
      <c r="C96" s="74" t="s">
        <v>220</v>
      </c>
      <c r="D96" s="72"/>
      <c r="E96" s="98"/>
      <c r="F96" s="98"/>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row>
    <row r="97" spans="1:34" ht="27" hidden="1" customHeight="1">
      <c r="A97" s="30"/>
      <c r="B97" s="802"/>
      <c r="C97" s="74" t="s">
        <v>221</v>
      </c>
      <c r="D97" s="72"/>
      <c r="E97" s="98"/>
      <c r="F97" s="98"/>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row>
    <row r="98" spans="1:34" ht="27" hidden="1" customHeight="1">
      <c r="A98" s="30"/>
      <c r="B98" s="800">
        <v>12</v>
      </c>
      <c r="C98" s="795"/>
      <c r="D98" s="796"/>
      <c r="E98" s="97" t="str">
        <f>IFERROR(AVERAGE(E99:E105),"")</f>
        <v/>
      </c>
      <c r="F98" s="97" t="str">
        <f t="shared" ref="F98:AH98" si="13">IFERROR(AVERAGE(F99:F105),"")</f>
        <v/>
      </c>
      <c r="G98" s="97" t="str">
        <f t="shared" si="13"/>
        <v/>
      </c>
      <c r="H98" s="97" t="str">
        <f t="shared" si="13"/>
        <v/>
      </c>
      <c r="I98" s="97" t="str">
        <f t="shared" si="13"/>
        <v/>
      </c>
      <c r="J98" s="97" t="str">
        <f t="shared" si="13"/>
        <v/>
      </c>
      <c r="K98" s="97" t="str">
        <f t="shared" si="13"/>
        <v/>
      </c>
      <c r="L98" s="97" t="str">
        <f t="shared" si="13"/>
        <v/>
      </c>
      <c r="M98" s="97" t="str">
        <f t="shared" si="13"/>
        <v/>
      </c>
      <c r="N98" s="97" t="str">
        <f t="shared" si="13"/>
        <v/>
      </c>
      <c r="O98" s="97" t="str">
        <f t="shared" si="13"/>
        <v/>
      </c>
      <c r="P98" s="97" t="str">
        <f t="shared" si="13"/>
        <v/>
      </c>
      <c r="Q98" s="97" t="str">
        <f t="shared" si="13"/>
        <v/>
      </c>
      <c r="R98" s="97" t="str">
        <f t="shared" si="13"/>
        <v/>
      </c>
      <c r="S98" s="97" t="str">
        <f t="shared" si="13"/>
        <v/>
      </c>
      <c r="T98" s="97" t="str">
        <f t="shared" si="13"/>
        <v/>
      </c>
      <c r="U98" s="97" t="str">
        <f t="shared" si="13"/>
        <v/>
      </c>
      <c r="V98" s="97" t="str">
        <f t="shared" si="13"/>
        <v/>
      </c>
      <c r="W98" s="97" t="str">
        <f t="shared" si="13"/>
        <v/>
      </c>
      <c r="X98" s="97" t="str">
        <f t="shared" si="13"/>
        <v/>
      </c>
      <c r="Y98" s="97" t="str">
        <f t="shared" si="13"/>
        <v/>
      </c>
      <c r="Z98" s="97" t="str">
        <f t="shared" si="13"/>
        <v/>
      </c>
      <c r="AA98" s="97" t="str">
        <f t="shared" si="13"/>
        <v/>
      </c>
      <c r="AB98" s="97" t="str">
        <f t="shared" si="13"/>
        <v/>
      </c>
      <c r="AC98" s="97" t="str">
        <f t="shared" si="13"/>
        <v/>
      </c>
      <c r="AD98" s="97" t="str">
        <f t="shared" si="13"/>
        <v/>
      </c>
      <c r="AE98" s="97" t="str">
        <f t="shared" si="13"/>
        <v/>
      </c>
      <c r="AF98" s="97" t="str">
        <f t="shared" si="13"/>
        <v/>
      </c>
      <c r="AG98" s="97" t="str">
        <f t="shared" si="13"/>
        <v/>
      </c>
      <c r="AH98" s="97" t="str">
        <f t="shared" si="13"/>
        <v/>
      </c>
    </row>
    <row r="99" spans="1:34" ht="27" hidden="1" customHeight="1">
      <c r="A99" s="30"/>
      <c r="B99" s="801"/>
      <c r="C99" s="74" t="s">
        <v>222</v>
      </c>
      <c r="D99" s="72"/>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row>
    <row r="100" spans="1:34" ht="27" hidden="1" customHeight="1">
      <c r="A100" s="30"/>
      <c r="B100" s="801"/>
      <c r="C100" s="74" t="s">
        <v>223</v>
      </c>
      <c r="D100" s="72"/>
      <c r="E100" s="98"/>
      <c r="F100" s="98"/>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row>
    <row r="101" spans="1:34" ht="27" hidden="1" customHeight="1">
      <c r="A101" s="30"/>
      <c r="B101" s="801"/>
      <c r="C101" s="74" t="s">
        <v>224</v>
      </c>
      <c r="D101" s="72"/>
      <c r="E101" s="98"/>
      <c r="F101" s="98"/>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row>
    <row r="102" spans="1:34" ht="27" hidden="1" customHeight="1">
      <c r="A102" s="30"/>
      <c r="B102" s="801"/>
      <c r="C102" s="74" t="s">
        <v>225</v>
      </c>
      <c r="D102" s="72"/>
      <c r="E102" s="98"/>
      <c r="F102" s="98"/>
      <c r="G102" s="98"/>
      <c r="H102" s="98"/>
      <c r="I102" s="98"/>
      <c r="J102" s="98"/>
      <c r="K102" s="98"/>
      <c r="L102" s="98"/>
      <c r="M102" s="98"/>
      <c r="N102" s="98"/>
      <c r="O102" s="98"/>
      <c r="P102" s="98"/>
      <c r="Q102" s="98"/>
      <c r="R102" s="98"/>
      <c r="S102" s="98"/>
      <c r="T102" s="98"/>
      <c r="U102" s="98"/>
      <c r="V102" s="98"/>
      <c r="W102" s="98"/>
      <c r="X102" s="98"/>
      <c r="Y102" s="98"/>
      <c r="Z102" s="98"/>
      <c r="AA102" s="98"/>
      <c r="AB102" s="98"/>
      <c r="AC102" s="98"/>
      <c r="AD102" s="98"/>
      <c r="AE102" s="98"/>
      <c r="AF102" s="98"/>
      <c r="AG102" s="98"/>
      <c r="AH102" s="98"/>
    </row>
    <row r="103" spans="1:34" ht="27" hidden="1" customHeight="1">
      <c r="A103" s="30"/>
      <c r="B103" s="801"/>
      <c r="C103" s="74" t="s">
        <v>226</v>
      </c>
      <c r="D103" s="72"/>
      <c r="E103" s="98"/>
      <c r="F103" s="98"/>
      <c r="G103" s="98"/>
      <c r="H103" s="98"/>
      <c r="I103" s="98"/>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row>
    <row r="104" spans="1:34" ht="27" hidden="1" customHeight="1">
      <c r="A104" s="30"/>
      <c r="B104" s="801"/>
      <c r="C104" s="74" t="s">
        <v>227</v>
      </c>
      <c r="D104" s="72"/>
      <c r="E104" s="98"/>
      <c r="F104" s="98"/>
      <c r="G104" s="98"/>
      <c r="H104" s="98"/>
      <c r="I104" s="98"/>
      <c r="J104" s="98"/>
      <c r="K104" s="98"/>
      <c r="L104" s="98"/>
      <c r="M104" s="98"/>
      <c r="N104" s="98"/>
      <c r="O104" s="98"/>
      <c r="P104" s="98"/>
      <c r="Q104" s="98"/>
      <c r="R104" s="98"/>
      <c r="S104" s="98"/>
      <c r="T104" s="98"/>
      <c r="U104" s="98"/>
      <c r="V104" s="98"/>
      <c r="W104" s="98"/>
      <c r="X104" s="98"/>
      <c r="Y104" s="98"/>
      <c r="Z104" s="98"/>
      <c r="AA104" s="98"/>
      <c r="AB104" s="98"/>
      <c r="AC104" s="98"/>
      <c r="AD104" s="98"/>
      <c r="AE104" s="98"/>
      <c r="AF104" s="98"/>
      <c r="AG104" s="98"/>
      <c r="AH104" s="98"/>
    </row>
    <row r="105" spans="1:34" ht="27" hidden="1" customHeight="1">
      <c r="A105" s="30"/>
      <c r="B105" s="802"/>
      <c r="C105" s="74" t="s">
        <v>228</v>
      </c>
      <c r="D105" s="72"/>
      <c r="E105" s="98"/>
      <c r="F105" s="98"/>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row>
    <row r="106" spans="1:34" ht="27" hidden="1" customHeight="1">
      <c r="A106" s="30"/>
      <c r="B106" s="794">
        <v>13</v>
      </c>
      <c r="C106" s="795"/>
      <c r="D106" s="796"/>
      <c r="E106" s="97" t="str">
        <f>IFERROR(AVERAGE(E107:E113),"")</f>
        <v/>
      </c>
      <c r="F106" s="97" t="str">
        <f t="shared" ref="F106:AH106" si="14">IFERROR(AVERAGE(F107:F113),"")</f>
        <v/>
      </c>
      <c r="G106" s="97" t="str">
        <f t="shared" si="14"/>
        <v/>
      </c>
      <c r="H106" s="97" t="str">
        <f t="shared" si="14"/>
        <v/>
      </c>
      <c r="I106" s="97" t="str">
        <f t="shared" si="14"/>
        <v/>
      </c>
      <c r="J106" s="97" t="str">
        <f t="shared" si="14"/>
        <v/>
      </c>
      <c r="K106" s="97" t="str">
        <f t="shared" si="14"/>
        <v/>
      </c>
      <c r="L106" s="97" t="str">
        <f t="shared" si="14"/>
        <v/>
      </c>
      <c r="M106" s="97" t="str">
        <f t="shared" si="14"/>
        <v/>
      </c>
      <c r="N106" s="97" t="str">
        <f t="shared" si="14"/>
        <v/>
      </c>
      <c r="O106" s="97" t="str">
        <f t="shared" si="14"/>
        <v/>
      </c>
      <c r="P106" s="97" t="str">
        <f t="shared" si="14"/>
        <v/>
      </c>
      <c r="Q106" s="97" t="str">
        <f t="shared" si="14"/>
        <v/>
      </c>
      <c r="R106" s="97" t="str">
        <f t="shared" si="14"/>
        <v/>
      </c>
      <c r="S106" s="97" t="str">
        <f t="shared" si="14"/>
        <v/>
      </c>
      <c r="T106" s="97" t="str">
        <f t="shared" si="14"/>
        <v/>
      </c>
      <c r="U106" s="97" t="str">
        <f t="shared" si="14"/>
        <v/>
      </c>
      <c r="V106" s="97" t="str">
        <f t="shared" si="14"/>
        <v/>
      </c>
      <c r="W106" s="97" t="str">
        <f t="shared" si="14"/>
        <v/>
      </c>
      <c r="X106" s="97" t="str">
        <f t="shared" si="14"/>
        <v/>
      </c>
      <c r="Y106" s="97" t="str">
        <f t="shared" si="14"/>
        <v/>
      </c>
      <c r="Z106" s="97" t="str">
        <f t="shared" si="14"/>
        <v/>
      </c>
      <c r="AA106" s="97" t="str">
        <f t="shared" si="14"/>
        <v/>
      </c>
      <c r="AB106" s="97" t="str">
        <f t="shared" si="14"/>
        <v/>
      </c>
      <c r="AC106" s="97" t="str">
        <f t="shared" si="14"/>
        <v/>
      </c>
      <c r="AD106" s="97" t="str">
        <f t="shared" si="14"/>
        <v/>
      </c>
      <c r="AE106" s="97" t="str">
        <f t="shared" si="14"/>
        <v/>
      </c>
      <c r="AF106" s="97" t="str">
        <f t="shared" si="14"/>
        <v/>
      </c>
      <c r="AG106" s="97" t="str">
        <f t="shared" si="14"/>
        <v/>
      </c>
      <c r="AH106" s="97" t="str">
        <f t="shared" si="14"/>
        <v/>
      </c>
    </row>
    <row r="107" spans="1:34" ht="27" hidden="1" customHeight="1">
      <c r="A107" s="30"/>
      <c r="B107" s="794"/>
      <c r="C107" s="74" t="s">
        <v>229</v>
      </c>
      <c r="D107" s="72"/>
      <c r="E107" s="98"/>
      <c r="F107" s="98"/>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row>
    <row r="108" spans="1:34" ht="27" hidden="1" customHeight="1">
      <c r="A108" s="30"/>
      <c r="B108" s="794"/>
      <c r="C108" s="74" t="s">
        <v>230</v>
      </c>
      <c r="D108" s="72"/>
      <c r="E108" s="98"/>
      <c r="F108" s="98"/>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row>
    <row r="109" spans="1:34" ht="27" hidden="1" customHeight="1">
      <c r="A109" s="30"/>
      <c r="B109" s="794"/>
      <c r="C109" s="74" t="s">
        <v>231</v>
      </c>
      <c r="D109" s="72"/>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row>
    <row r="110" spans="1:34" ht="27" hidden="1" customHeight="1">
      <c r="A110" s="30"/>
      <c r="B110" s="794"/>
      <c r="C110" s="74" t="s">
        <v>232</v>
      </c>
      <c r="D110" s="72"/>
      <c r="E110" s="98"/>
      <c r="F110" s="98"/>
      <c r="G110" s="98"/>
      <c r="H110" s="98"/>
      <c r="I110" s="98"/>
      <c r="J110" s="98"/>
      <c r="K110" s="98"/>
      <c r="L110" s="98"/>
      <c r="M110" s="98"/>
      <c r="N110" s="98"/>
      <c r="O110" s="98"/>
      <c r="P110" s="98"/>
      <c r="Q110" s="98"/>
      <c r="R110" s="98"/>
      <c r="S110" s="98"/>
      <c r="T110" s="98"/>
      <c r="U110" s="98"/>
      <c r="V110" s="98"/>
      <c r="W110" s="98"/>
      <c r="X110" s="98"/>
      <c r="Y110" s="98"/>
      <c r="Z110" s="98"/>
      <c r="AA110" s="98"/>
      <c r="AB110" s="98"/>
      <c r="AC110" s="98"/>
      <c r="AD110" s="98"/>
      <c r="AE110" s="98"/>
      <c r="AF110" s="98"/>
      <c r="AG110" s="98"/>
      <c r="AH110" s="98"/>
    </row>
    <row r="111" spans="1:34" ht="27" hidden="1" customHeight="1">
      <c r="A111" s="30"/>
      <c r="B111" s="794"/>
      <c r="C111" s="74" t="s">
        <v>233</v>
      </c>
      <c r="D111" s="72"/>
      <c r="E111" s="98"/>
      <c r="F111" s="98"/>
      <c r="G111" s="98"/>
      <c r="H111" s="98"/>
      <c r="I111" s="98"/>
      <c r="J111" s="98"/>
      <c r="K111" s="98"/>
      <c r="L111" s="98"/>
      <c r="M111" s="98"/>
      <c r="N111" s="98"/>
      <c r="O111" s="98"/>
      <c r="P111" s="98"/>
      <c r="Q111" s="98"/>
      <c r="R111" s="98"/>
      <c r="S111" s="98"/>
      <c r="T111" s="98"/>
      <c r="U111" s="98"/>
      <c r="V111" s="98"/>
      <c r="W111" s="98"/>
      <c r="X111" s="98"/>
      <c r="Y111" s="98"/>
      <c r="Z111" s="98"/>
      <c r="AA111" s="98"/>
      <c r="AB111" s="98"/>
      <c r="AC111" s="98"/>
      <c r="AD111" s="98"/>
      <c r="AE111" s="98"/>
      <c r="AF111" s="98"/>
      <c r="AG111" s="98"/>
      <c r="AH111" s="98"/>
    </row>
    <row r="112" spans="1:34" ht="27" hidden="1" customHeight="1">
      <c r="A112" s="30"/>
      <c r="B112" s="794"/>
      <c r="C112" s="74" t="s">
        <v>234</v>
      </c>
      <c r="D112" s="72"/>
      <c r="E112" s="98"/>
      <c r="F112" s="98"/>
      <c r="G112" s="98"/>
      <c r="H112" s="98"/>
      <c r="I112" s="98"/>
      <c r="J112" s="98"/>
      <c r="K112" s="98"/>
      <c r="L112" s="98"/>
      <c r="M112" s="98"/>
      <c r="N112" s="98"/>
      <c r="O112" s="98"/>
      <c r="P112" s="98"/>
      <c r="Q112" s="98"/>
      <c r="R112" s="98"/>
      <c r="S112" s="98"/>
      <c r="T112" s="98"/>
      <c r="U112" s="98"/>
      <c r="V112" s="98"/>
      <c r="W112" s="98"/>
      <c r="X112" s="98"/>
      <c r="Y112" s="98"/>
      <c r="Z112" s="98"/>
      <c r="AA112" s="98"/>
      <c r="AB112" s="98"/>
      <c r="AC112" s="98"/>
      <c r="AD112" s="98"/>
      <c r="AE112" s="98"/>
      <c r="AF112" s="98"/>
      <c r="AG112" s="98"/>
      <c r="AH112" s="98"/>
    </row>
    <row r="113" spans="1:34" ht="27" hidden="1" customHeight="1">
      <c r="A113" s="30"/>
      <c r="B113" s="794"/>
      <c r="C113" s="74" t="s">
        <v>235</v>
      </c>
      <c r="D113" s="72"/>
      <c r="E113" s="98"/>
      <c r="F113" s="98"/>
      <c r="G113" s="98"/>
      <c r="H113" s="98"/>
      <c r="I113" s="98"/>
      <c r="J113" s="98"/>
      <c r="K113" s="98"/>
      <c r="L113" s="98"/>
      <c r="M113" s="98"/>
      <c r="N113" s="98"/>
      <c r="O113" s="98"/>
      <c r="P113" s="98"/>
      <c r="Q113" s="98"/>
      <c r="R113" s="98"/>
      <c r="S113" s="98"/>
      <c r="T113" s="98"/>
      <c r="U113" s="98"/>
      <c r="V113" s="98"/>
      <c r="W113" s="98"/>
      <c r="X113" s="98"/>
      <c r="Y113" s="98"/>
      <c r="Z113" s="98"/>
      <c r="AA113" s="98"/>
      <c r="AB113" s="98"/>
      <c r="AC113" s="98"/>
      <c r="AD113" s="98"/>
      <c r="AE113" s="98"/>
      <c r="AF113" s="98"/>
      <c r="AG113" s="98"/>
      <c r="AH113" s="98"/>
    </row>
    <row r="114" spans="1:34" ht="27" customHeight="1">
      <c r="A114" s="30"/>
      <c r="B114" s="797" t="s">
        <v>143</v>
      </c>
      <c r="C114" s="798"/>
      <c r="D114" s="799"/>
      <c r="E114" s="100">
        <f t="shared" ref="E114:AH114" si="15">IFERROR(AVERAGE(E6,E15,E24,E33,E42,E50,E58,E66,E74,E82,E90,E98,E106),"")</f>
        <v>88.333333333333343</v>
      </c>
      <c r="F114" s="100">
        <f t="shared" si="15"/>
        <v>89.583333333333343</v>
      </c>
      <c r="G114" s="100">
        <f t="shared" si="15"/>
        <v>90.25</v>
      </c>
      <c r="H114" s="100">
        <f t="shared" si="15"/>
        <v>96.25</v>
      </c>
      <c r="I114" s="100">
        <f t="shared" si="15"/>
        <v>95.25</v>
      </c>
      <c r="J114" s="100">
        <f t="shared" si="15"/>
        <v>96.5</v>
      </c>
      <c r="K114" s="100">
        <f t="shared" si="15"/>
        <v>96.666666666666657</v>
      </c>
      <c r="L114" s="100">
        <f t="shared" si="15"/>
        <v>97.583333333333343</v>
      </c>
      <c r="M114" s="100">
        <f t="shared" si="15"/>
        <v>95.166666666666657</v>
      </c>
      <c r="N114" s="100">
        <f t="shared" si="15"/>
        <v>98.333333333333343</v>
      </c>
      <c r="O114" s="100">
        <f t="shared" si="15"/>
        <v>98.166666666666671</v>
      </c>
      <c r="P114" s="100">
        <f t="shared" si="15"/>
        <v>95.416666666666657</v>
      </c>
      <c r="Q114" s="100">
        <f t="shared" si="15"/>
        <v>96.166666666666657</v>
      </c>
      <c r="R114" s="100">
        <f t="shared" si="15"/>
        <v>93.333333333333343</v>
      </c>
      <c r="S114" s="100">
        <f t="shared" si="15"/>
        <v>90.833333333333343</v>
      </c>
      <c r="T114" s="100">
        <f t="shared" si="15"/>
        <v>95.333333333333343</v>
      </c>
      <c r="U114" s="100">
        <f t="shared" si="15"/>
        <v>95.666666666666671</v>
      </c>
      <c r="V114" s="100">
        <f t="shared" si="15"/>
        <v>96.25</v>
      </c>
      <c r="W114" s="100">
        <f t="shared" si="15"/>
        <v>90</v>
      </c>
      <c r="X114" s="100">
        <f t="shared" si="15"/>
        <v>91.416666666666657</v>
      </c>
      <c r="Y114" s="100">
        <f t="shared" si="15"/>
        <v>97.416666666666657</v>
      </c>
      <c r="Z114" s="100">
        <f t="shared" si="15"/>
        <v>88.083333333333343</v>
      </c>
      <c r="AA114" s="100">
        <f t="shared" si="15"/>
        <v>86.5</v>
      </c>
      <c r="AB114" s="100">
        <f t="shared" si="15"/>
        <v>97.416666666666657</v>
      </c>
      <c r="AC114" s="100" t="str">
        <f t="shared" si="15"/>
        <v/>
      </c>
      <c r="AD114" s="100" t="str">
        <f t="shared" si="15"/>
        <v/>
      </c>
      <c r="AE114" s="100" t="str">
        <f t="shared" si="15"/>
        <v/>
      </c>
      <c r="AF114" s="100" t="str">
        <f t="shared" si="15"/>
        <v/>
      </c>
      <c r="AG114" s="100" t="str">
        <f t="shared" si="15"/>
        <v/>
      </c>
      <c r="AH114" s="100" t="str">
        <f t="shared" si="15"/>
        <v/>
      </c>
    </row>
    <row r="115" spans="1:34" hidden="1">
      <c r="B115" s="31"/>
      <c r="C115" s="31"/>
      <c r="D115" s="32"/>
    </row>
    <row r="116" spans="1:34" hidden="1">
      <c r="B116" s="31"/>
      <c r="C116" s="31"/>
      <c r="D116" s="32"/>
    </row>
    <row r="117" spans="1:34" hidden="1">
      <c r="B117" s="31"/>
      <c r="C117" s="31"/>
      <c r="D117" s="32"/>
    </row>
    <row r="118" spans="1:34" hidden="1">
      <c r="B118" s="31"/>
      <c r="C118" s="31"/>
      <c r="D118" s="32"/>
    </row>
    <row r="119" spans="1:34" hidden="1">
      <c r="B119" s="31"/>
      <c r="C119" s="31"/>
      <c r="D119" s="32"/>
    </row>
    <row r="120" spans="1:34" hidden="1">
      <c r="B120" s="31"/>
      <c r="C120" s="31"/>
      <c r="D120" s="32"/>
    </row>
    <row r="121" spans="1:34" hidden="1">
      <c r="B121" s="31"/>
      <c r="C121" s="31"/>
      <c r="D121" s="32"/>
    </row>
    <row r="122" spans="1:34" hidden="1">
      <c r="B122" s="31"/>
      <c r="C122" s="31"/>
      <c r="D122" s="32"/>
    </row>
    <row r="123" spans="1:34" hidden="1">
      <c r="B123" s="31"/>
      <c r="C123" s="31"/>
      <c r="D123" s="32"/>
    </row>
    <row r="124" spans="1:34" hidden="1">
      <c r="B124" s="31"/>
      <c r="C124" s="31"/>
      <c r="D124" s="32"/>
    </row>
    <row r="125" spans="1:34" hidden="1">
      <c r="B125" s="31"/>
      <c r="C125" s="31"/>
      <c r="D125" s="32"/>
    </row>
    <row r="126" spans="1:34" hidden="1">
      <c r="B126" s="31"/>
      <c r="C126" s="31"/>
      <c r="D126" s="32"/>
    </row>
    <row r="127" spans="1:34" hidden="1">
      <c r="B127" s="31"/>
      <c r="C127" s="31"/>
      <c r="D127" s="32"/>
    </row>
    <row r="128" spans="1:34" hidden="1">
      <c r="B128" s="31"/>
      <c r="C128" s="31"/>
      <c r="D128" s="32"/>
    </row>
    <row r="129" spans="2:4" hidden="1">
      <c r="B129" s="31"/>
      <c r="C129" s="31"/>
      <c r="D129" s="32"/>
    </row>
    <row r="130" spans="2:4" hidden="1">
      <c r="B130" s="31"/>
      <c r="C130" s="31"/>
      <c r="D130" s="32"/>
    </row>
    <row r="131" spans="2:4" hidden="1">
      <c r="B131" s="31"/>
      <c r="C131" s="31"/>
      <c r="D131" s="32"/>
    </row>
    <row r="132" spans="2:4" hidden="1">
      <c r="B132" s="31"/>
      <c r="C132" s="31"/>
      <c r="D132" s="32"/>
    </row>
    <row r="133" spans="2:4" hidden="1">
      <c r="B133" s="31"/>
      <c r="C133" s="31"/>
      <c r="D133" s="32"/>
    </row>
    <row r="134" spans="2:4" hidden="1">
      <c r="B134" s="31"/>
      <c r="C134" s="31"/>
      <c r="D134" s="32"/>
    </row>
    <row r="135" spans="2:4" hidden="1">
      <c r="B135" s="31"/>
      <c r="C135" s="31"/>
      <c r="D135" s="32"/>
    </row>
    <row r="136" spans="2:4" hidden="1">
      <c r="B136" s="31"/>
      <c r="C136" s="31"/>
      <c r="D136" s="32"/>
    </row>
    <row r="137" spans="2:4" hidden="1">
      <c r="B137" s="31"/>
      <c r="C137" s="31"/>
      <c r="D137" s="32"/>
    </row>
    <row r="138" spans="2:4" hidden="1">
      <c r="B138" s="31"/>
      <c r="C138" s="31"/>
      <c r="D138" s="32"/>
    </row>
    <row r="139" spans="2:4" hidden="1">
      <c r="B139" s="31"/>
      <c r="C139" s="31"/>
      <c r="D139" s="32"/>
    </row>
    <row r="140" spans="2:4" hidden="1">
      <c r="B140" s="31"/>
      <c r="C140" s="31"/>
      <c r="D140" s="32"/>
    </row>
    <row r="141" spans="2:4" hidden="1">
      <c r="B141" s="31"/>
      <c r="C141" s="31"/>
      <c r="D141" s="32"/>
    </row>
    <row r="142" spans="2:4" hidden="1">
      <c r="B142" s="31"/>
      <c r="C142" s="31"/>
      <c r="D142" s="32"/>
    </row>
    <row r="143" spans="2:4" hidden="1">
      <c r="B143" s="31"/>
      <c r="C143" s="31"/>
      <c r="D143" s="32"/>
    </row>
    <row r="144" spans="2:4" hidden="1">
      <c r="B144" s="31"/>
      <c r="C144" s="31"/>
      <c r="D144" s="32"/>
    </row>
    <row r="145" spans="2:4" hidden="1">
      <c r="B145" s="31"/>
      <c r="C145" s="31"/>
      <c r="D145" s="32"/>
    </row>
    <row r="146" spans="2:4" hidden="1">
      <c r="B146" s="31"/>
      <c r="C146" s="31"/>
      <c r="D146" s="32"/>
    </row>
    <row r="147" spans="2:4" hidden="1">
      <c r="B147" s="31"/>
      <c r="C147" s="31"/>
      <c r="D147" s="32"/>
    </row>
    <row r="148" spans="2:4" hidden="1">
      <c r="B148" s="31"/>
      <c r="C148" s="31"/>
      <c r="D148" s="32"/>
    </row>
    <row r="149" spans="2:4" hidden="1">
      <c r="B149" s="31"/>
      <c r="C149" s="31"/>
      <c r="D149" s="32"/>
    </row>
    <row r="150" spans="2:4" hidden="1">
      <c r="B150" s="31"/>
      <c r="C150" s="31"/>
      <c r="D150" s="32"/>
    </row>
    <row r="151" spans="2:4" hidden="1">
      <c r="B151" s="31"/>
      <c r="C151" s="31"/>
      <c r="D151" s="32"/>
    </row>
    <row r="152" spans="2:4" hidden="1">
      <c r="B152" s="31"/>
      <c r="C152" s="31"/>
      <c r="D152" s="32"/>
    </row>
    <row r="153" spans="2:4" hidden="1">
      <c r="B153" s="31"/>
      <c r="C153" s="31"/>
      <c r="D153" s="32"/>
    </row>
    <row r="154" spans="2:4" hidden="1">
      <c r="B154" s="31"/>
      <c r="C154" s="31"/>
      <c r="D154" s="32"/>
    </row>
    <row r="155" spans="2:4" hidden="1">
      <c r="B155" s="31"/>
      <c r="C155" s="31"/>
      <c r="D155" s="32"/>
    </row>
    <row r="156" spans="2:4" hidden="1">
      <c r="B156" s="31"/>
      <c r="C156" s="31"/>
      <c r="D156" s="32"/>
    </row>
    <row r="157" spans="2:4" hidden="1">
      <c r="B157" s="31"/>
      <c r="C157" s="31"/>
      <c r="D157" s="32"/>
    </row>
    <row r="158" spans="2:4" hidden="1">
      <c r="B158" s="31"/>
      <c r="C158" s="31"/>
      <c r="D158" s="32"/>
    </row>
    <row r="159" spans="2:4" hidden="1">
      <c r="B159" s="31"/>
      <c r="C159" s="31"/>
      <c r="D159" s="32"/>
    </row>
    <row r="160" spans="2:4" hidden="1">
      <c r="B160" s="31"/>
      <c r="C160" s="31"/>
      <c r="D160" s="32"/>
    </row>
    <row r="161" spans="2:4" hidden="1">
      <c r="B161" s="31"/>
      <c r="C161" s="31"/>
      <c r="D161" s="32"/>
    </row>
    <row r="162" spans="2:4" hidden="1">
      <c r="B162" s="31"/>
      <c r="C162" s="31"/>
      <c r="D162" s="32"/>
    </row>
    <row r="163" spans="2:4" hidden="1">
      <c r="B163" s="31"/>
      <c r="C163" s="31"/>
      <c r="D163" s="32"/>
    </row>
    <row r="164" spans="2:4" hidden="1">
      <c r="B164" s="31"/>
      <c r="C164" s="31"/>
      <c r="D164" s="32"/>
    </row>
    <row r="165" spans="2:4" hidden="1">
      <c r="B165" s="31"/>
      <c r="C165" s="31"/>
      <c r="D165" s="32"/>
    </row>
    <row r="166" spans="2:4" hidden="1">
      <c r="B166" s="31"/>
      <c r="C166" s="31"/>
      <c r="D166" s="32"/>
    </row>
    <row r="167" spans="2:4" hidden="1">
      <c r="B167" s="31"/>
      <c r="C167" s="31"/>
      <c r="D167" s="32"/>
    </row>
    <row r="168" spans="2:4" hidden="1">
      <c r="B168" s="31"/>
      <c r="C168" s="31"/>
      <c r="D168" s="32"/>
    </row>
    <row r="169" spans="2:4" hidden="1">
      <c r="B169" s="31"/>
      <c r="C169" s="31"/>
      <c r="D169" s="32"/>
    </row>
    <row r="170" spans="2:4" hidden="1">
      <c r="B170" s="31"/>
      <c r="C170" s="31"/>
      <c r="D170" s="32"/>
    </row>
    <row r="171" spans="2:4" hidden="1">
      <c r="B171" s="31"/>
      <c r="C171" s="31"/>
      <c r="D171" s="32"/>
    </row>
    <row r="172" spans="2:4" hidden="1">
      <c r="B172" s="31"/>
      <c r="C172" s="31"/>
      <c r="D172" s="32"/>
    </row>
    <row r="173" spans="2:4" hidden="1">
      <c r="B173" s="31"/>
      <c r="C173" s="31"/>
      <c r="D173" s="32"/>
    </row>
    <row r="174" spans="2:4" hidden="1">
      <c r="B174" s="31"/>
      <c r="C174" s="31"/>
      <c r="D174" s="32"/>
    </row>
    <row r="175" spans="2:4" ht="15" customHeight="1"/>
    <row r="176" spans="2:4" ht="15" customHeight="1"/>
    <row r="177" ht="15" customHeight="1"/>
    <row r="178" ht="15" customHeight="1"/>
  </sheetData>
  <mergeCells count="33">
    <mergeCell ref="A1:AH2"/>
    <mergeCell ref="B3:D3"/>
    <mergeCell ref="B4:B5"/>
    <mergeCell ref="C4:C5"/>
    <mergeCell ref="D4:D5"/>
    <mergeCell ref="E4:AH4"/>
    <mergeCell ref="B6:B14"/>
    <mergeCell ref="C6:D6"/>
    <mergeCell ref="B15:B23"/>
    <mergeCell ref="C15:D15"/>
    <mergeCell ref="B24:B32"/>
    <mergeCell ref="C24:D24"/>
    <mergeCell ref="B33:B41"/>
    <mergeCell ref="C33:D33"/>
    <mergeCell ref="B42:B49"/>
    <mergeCell ref="C42:D42"/>
    <mergeCell ref="B50:B57"/>
    <mergeCell ref="C50:D50"/>
    <mergeCell ref="B58:B65"/>
    <mergeCell ref="C58:D58"/>
    <mergeCell ref="B66:B73"/>
    <mergeCell ref="C66:D66"/>
    <mergeCell ref="B74:B81"/>
    <mergeCell ref="C74:D74"/>
    <mergeCell ref="B106:B113"/>
    <mergeCell ref="C106:D106"/>
    <mergeCell ref="B114:D114"/>
    <mergeCell ref="B82:B89"/>
    <mergeCell ref="C82:D82"/>
    <mergeCell ref="B90:B97"/>
    <mergeCell ref="C90:D90"/>
    <mergeCell ref="B98:B105"/>
    <mergeCell ref="C98:D98"/>
  </mergeCells>
  <pageMargins left="0.7" right="0.7" top="0.75" bottom="0.75" header="0.3" footer="0.3"/>
  <pageSetup paperSize="9" orientation="portrait" horizontalDpi="4294967293"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9"/>
  <dimension ref="A1:AW170"/>
  <sheetViews>
    <sheetView showGridLines="0" zoomScale="83" zoomScaleNormal="83" workbookViewId="0">
      <pane ySplit="5" topLeftCell="A6" activePane="bottomLeft" state="frozen"/>
      <selection activeCell="K33" sqref="K33"/>
      <selection pane="bottomLeft" activeCell="A3" sqref="A3"/>
    </sheetView>
  </sheetViews>
  <sheetFormatPr defaultColWidth="0" defaultRowHeight="15" customHeight="1" zeroHeight="1"/>
  <cols>
    <col min="1" max="1" width="1" style="29" customWidth="1"/>
    <col min="2" max="2" width="3.7109375" style="33" customWidth="1"/>
    <col min="3" max="3" width="46.140625" style="33" customWidth="1"/>
    <col min="4" max="4" width="10.28515625" style="29" customWidth="1"/>
    <col min="5" max="34" width="5.7109375" style="29" customWidth="1"/>
    <col min="35" max="49" width="5.7109375" hidden="1" customWidth="1"/>
    <col min="50" max="16384" width="9.140625" hidden="1"/>
  </cols>
  <sheetData>
    <row r="1" spans="1:34" ht="15" customHeight="1">
      <c r="A1" s="803" t="s">
        <v>255</v>
      </c>
      <c r="B1" s="803"/>
      <c r="C1" s="803"/>
      <c r="D1" s="803"/>
      <c r="E1" s="803"/>
      <c r="F1" s="803"/>
      <c r="G1" s="803"/>
      <c r="H1" s="803"/>
      <c r="I1" s="803"/>
      <c r="J1" s="803"/>
      <c r="K1" s="803"/>
      <c r="L1" s="803"/>
      <c r="M1" s="803"/>
      <c r="N1" s="803"/>
      <c r="O1" s="803"/>
      <c r="P1" s="803"/>
      <c r="Q1" s="803"/>
      <c r="R1" s="803"/>
      <c r="S1" s="803"/>
      <c r="T1" s="803"/>
      <c r="U1" s="803"/>
      <c r="V1" s="803"/>
      <c r="W1" s="803"/>
      <c r="X1" s="803"/>
      <c r="Y1" s="803"/>
      <c r="Z1" s="803"/>
      <c r="AA1" s="803"/>
      <c r="AB1" s="803"/>
      <c r="AC1" s="803"/>
      <c r="AD1" s="803"/>
      <c r="AE1" s="803"/>
      <c r="AF1" s="803"/>
      <c r="AG1" s="803"/>
      <c r="AH1" s="803"/>
    </row>
    <row r="2" spans="1:34" ht="15" customHeight="1">
      <c r="A2" s="803"/>
      <c r="B2" s="803"/>
      <c r="C2" s="803"/>
      <c r="D2" s="803"/>
      <c r="E2" s="803"/>
      <c r="F2" s="803"/>
      <c r="G2" s="803"/>
      <c r="H2" s="803"/>
      <c r="I2" s="803"/>
      <c r="J2" s="803"/>
      <c r="K2" s="803"/>
      <c r="L2" s="803"/>
      <c r="M2" s="803"/>
      <c r="N2" s="803"/>
      <c r="O2" s="803"/>
      <c r="P2" s="803"/>
      <c r="Q2" s="803"/>
      <c r="R2" s="803"/>
      <c r="S2" s="803"/>
      <c r="T2" s="803"/>
      <c r="U2" s="803"/>
      <c r="V2" s="803"/>
      <c r="W2" s="803"/>
      <c r="X2" s="803"/>
      <c r="Y2" s="803"/>
      <c r="Z2" s="803"/>
      <c r="AA2" s="803"/>
      <c r="AB2" s="803"/>
      <c r="AC2" s="803"/>
      <c r="AD2" s="803"/>
      <c r="AE2" s="803"/>
      <c r="AF2" s="803"/>
      <c r="AG2" s="803"/>
      <c r="AH2" s="803"/>
    </row>
    <row r="3" spans="1:34" ht="15" customHeight="1">
      <c r="B3" s="804"/>
      <c r="C3" s="804"/>
      <c r="D3" s="80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row>
    <row r="4" spans="1:34" ht="15" customHeight="1">
      <c r="B4" s="805" t="s">
        <v>5</v>
      </c>
      <c r="C4" s="805" t="s">
        <v>125</v>
      </c>
      <c r="D4" s="806" t="s">
        <v>126</v>
      </c>
      <c r="E4" s="807" t="s">
        <v>57</v>
      </c>
      <c r="F4" s="807"/>
      <c r="G4" s="807"/>
      <c r="H4" s="807"/>
      <c r="I4" s="807"/>
      <c r="J4" s="807"/>
      <c r="K4" s="807"/>
      <c r="L4" s="807"/>
      <c r="M4" s="807"/>
      <c r="N4" s="807"/>
      <c r="O4" s="807"/>
      <c r="P4" s="807"/>
      <c r="Q4" s="807"/>
      <c r="R4" s="807"/>
      <c r="S4" s="807"/>
      <c r="T4" s="807"/>
      <c r="U4" s="807"/>
      <c r="V4" s="807"/>
      <c r="W4" s="807"/>
      <c r="X4" s="807"/>
      <c r="Y4" s="807"/>
      <c r="Z4" s="807"/>
      <c r="AA4" s="807"/>
      <c r="AB4" s="807"/>
      <c r="AC4" s="807"/>
      <c r="AD4" s="807"/>
      <c r="AE4" s="807"/>
      <c r="AF4" s="807"/>
      <c r="AG4" s="807"/>
      <c r="AH4" s="807"/>
    </row>
    <row r="5" spans="1:34" ht="12.75" customHeight="1">
      <c r="B5" s="805"/>
      <c r="C5" s="805"/>
      <c r="D5" s="806"/>
      <c r="E5" s="35" t="str">
        <f>DATASISWA!$F$8</f>
        <v>Dita</v>
      </c>
      <c r="F5" s="35" t="str">
        <f>DATASISWA!$F$9</f>
        <v>Annisa</v>
      </c>
      <c r="G5" s="35" t="str">
        <f>DATASISWA!$F$10</f>
        <v>Kiki</v>
      </c>
      <c r="H5" s="35" t="str">
        <f>DATASISWA!$F$11</f>
        <v>Lily</v>
      </c>
      <c r="I5" s="35" t="str">
        <f>DATASISWA!$F$12</f>
        <v>Rere</v>
      </c>
      <c r="J5" s="35" t="str">
        <f>DATASISWA!$F$13</f>
        <v>Fadhil</v>
      </c>
      <c r="K5" s="35" t="str">
        <f>DATASISWA!$F$14</f>
        <v>Yuefa</v>
      </c>
      <c r="L5" s="35" t="str">
        <f>DATASISWA!$F$15</f>
        <v>Ria</v>
      </c>
      <c r="M5" s="35" t="str">
        <f>DATASISWA!$F$16</f>
        <v>Tiara</v>
      </c>
      <c r="N5" s="35" t="str">
        <f>DATASISWA!$F$17</f>
        <v>Alvind</v>
      </c>
      <c r="O5" s="35" t="str">
        <f>DATASISWA!$F$18</f>
        <v>Icha</v>
      </c>
      <c r="P5" s="35" t="str">
        <f>DATASISWA!$F$19</f>
        <v>Qonita</v>
      </c>
      <c r="Q5" s="35" t="str">
        <f>DATASISWA!$F$20</f>
        <v>Anya</v>
      </c>
      <c r="R5" s="35" t="str">
        <f>DATASISWA!$F$21</f>
        <v>Radit</v>
      </c>
      <c r="S5" s="35" t="str">
        <f>DATASISWA!$F$22</f>
        <v>angel</v>
      </c>
      <c r="T5" s="35">
        <f>DATASISWA!$F$23</f>
        <v>0</v>
      </c>
      <c r="U5" s="35">
        <f>DATASISWA!$F$24</f>
        <v>0</v>
      </c>
      <c r="V5" s="35">
        <f>DATASISWA!$F$25</f>
        <v>0</v>
      </c>
      <c r="W5" s="35">
        <f>DATASISWA!$F$26</f>
        <v>0</v>
      </c>
      <c r="X5" s="35">
        <f>DATASISWA!$F$27</f>
        <v>0</v>
      </c>
      <c r="Y5" s="35">
        <f>DATASISWA!$F$28</f>
        <v>0</v>
      </c>
      <c r="Z5" s="35">
        <f>DATASISWA!$F$29</f>
        <v>0</v>
      </c>
      <c r="AA5" s="35">
        <f>DATASISWA!$F$30</f>
        <v>0</v>
      </c>
      <c r="AB5" s="35">
        <f>DATASISWA!$F$31</f>
        <v>0</v>
      </c>
      <c r="AC5" s="35">
        <f>DATASISWA!$F$32</f>
        <v>0</v>
      </c>
      <c r="AD5" s="35">
        <f>DATASISWA!$F$33</f>
        <v>0</v>
      </c>
      <c r="AE5" s="35">
        <f>DATASISWA!$F$34</f>
        <v>0</v>
      </c>
      <c r="AF5" s="35">
        <f>DATASISWA!$F$35</f>
        <v>0</v>
      </c>
      <c r="AG5" s="35">
        <f>DATASISWA!$F$36</f>
        <v>0</v>
      </c>
      <c r="AH5" s="35">
        <f>DATASISWA!$F$37</f>
        <v>0</v>
      </c>
    </row>
    <row r="6" spans="1:34" ht="27" customHeight="1">
      <c r="A6" s="30"/>
      <c r="B6" s="800">
        <v>1</v>
      </c>
      <c r="C6" s="809"/>
      <c r="D6" s="810"/>
      <c r="E6" s="97" t="str">
        <f>IFERROR(AVERAGE(E7:E13),"")</f>
        <v/>
      </c>
      <c r="F6" s="97" t="str">
        <f t="shared" ref="F6:AH6" si="0">IFERROR(AVERAGE(F7:F13),"")</f>
        <v/>
      </c>
      <c r="G6" s="97" t="str">
        <f t="shared" si="0"/>
        <v/>
      </c>
      <c r="H6" s="97" t="str">
        <f t="shared" si="0"/>
        <v/>
      </c>
      <c r="I6" s="97" t="str">
        <f t="shared" si="0"/>
        <v/>
      </c>
      <c r="J6" s="97" t="str">
        <f t="shared" si="0"/>
        <v/>
      </c>
      <c r="K6" s="97" t="str">
        <f t="shared" si="0"/>
        <v/>
      </c>
      <c r="L6" s="97" t="str">
        <f t="shared" si="0"/>
        <v/>
      </c>
      <c r="M6" s="97" t="str">
        <f t="shared" si="0"/>
        <v/>
      </c>
      <c r="N6" s="97" t="str">
        <f t="shared" si="0"/>
        <v/>
      </c>
      <c r="O6" s="97" t="str">
        <f t="shared" si="0"/>
        <v/>
      </c>
      <c r="P6" s="97" t="str">
        <f t="shared" si="0"/>
        <v/>
      </c>
      <c r="Q6" s="97" t="str">
        <f t="shared" si="0"/>
        <v/>
      </c>
      <c r="R6" s="97" t="str">
        <f t="shared" si="0"/>
        <v/>
      </c>
      <c r="S6" s="97" t="str">
        <f t="shared" si="0"/>
        <v/>
      </c>
      <c r="T6" s="97" t="str">
        <f t="shared" si="0"/>
        <v/>
      </c>
      <c r="U6" s="97" t="str">
        <f t="shared" si="0"/>
        <v/>
      </c>
      <c r="V6" s="97" t="str">
        <f t="shared" si="0"/>
        <v/>
      </c>
      <c r="W6" s="97" t="str">
        <f t="shared" si="0"/>
        <v/>
      </c>
      <c r="X6" s="97" t="str">
        <f t="shared" si="0"/>
        <v/>
      </c>
      <c r="Y6" s="97" t="str">
        <f t="shared" si="0"/>
        <v/>
      </c>
      <c r="Z6" s="97" t="str">
        <f t="shared" si="0"/>
        <v/>
      </c>
      <c r="AA6" s="97" t="str">
        <f t="shared" si="0"/>
        <v/>
      </c>
      <c r="AB6" s="97" t="str">
        <f t="shared" si="0"/>
        <v/>
      </c>
      <c r="AC6" s="97" t="str">
        <f t="shared" si="0"/>
        <v/>
      </c>
      <c r="AD6" s="97" t="str">
        <f t="shared" si="0"/>
        <v/>
      </c>
      <c r="AE6" s="97" t="str">
        <f t="shared" si="0"/>
        <v/>
      </c>
      <c r="AF6" s="97" t="str">
        <f t="shared" si="0"/>
        <v/>
      </c>
      <c r="AG6" s="97" t="str">
        <f t="shared" si="0"/>
        <v/>
      </c>
      <c r="AH6" s="97" t="str">
        <f t="shared" si="0"/>
        <v/>
      </c>
    </row>
    <row r="7" spans="1:34" ht="27" customHeight="1">
      <c r="A7" s="30"/>
      <c r="B7" s="801"/>
      <c r="C7" s="74" t="s">
        <v>145</v>
      </c>
      <c r="D7" s="72"/>
      <c r="E7" s="98"/>
      <c r="F7" s="98"/>
      <c r="G7" s="98"/>
      <c r="H7" s="98"/>
      <c r="I7" s="98"/>
      <c r="J7" s="98"/>
      <c r="K7" s="98"/>
      <c r="L7" s="98"/>
      <c r="M7" s="98"/>
      <c r="N7" s="98"/>
      <c r="O7" s="98"/>
      <c r="P7" s="98"/>
      <c r="Q7" s="98"/>
      <c r="R7" s="98"/>
      <c r="S7" s="98"/>
      <c r="T7" s="98"/>
      <c r="U7" s="98"/>
      <c r="V7" s="98"/>
      <c r="W7" s="98"/>
      <c r="X7" s="98"/>
      <c r="Y7" s="98"/>
      <c r="Z7" s="98"/>
      <c r="AA7" s="98"/>
      <c r="AB7" s="98"/>
      <c r="AC7" s="98"/>
      <c r="AD7" s="98"/>
      <c r="AE7" s="98"/>
      <c r="AF7" s="98"/>
      <c r="AG7" s="98"/>
      <c r="AH7" s="98"/>
    </row>
    <row r="8" spans="1:34" ht="27" customHeight="1">
      <c r="A8" s="30"/>
      <c r="B8" s="801"/>
      <c r="C8" s="74" t="s">
        <v>146</v>
      </c>
      <c r="D8" s="72"/>
      <c r="E8" s="98"/>
      <c r="F8" s="98"/>
      <c r="G8" s="98"/>
      <c r="H8" s="98"/>
      <c r="I8" s="98"/>
      <c r="J8" s="98"/>
      <c r="K8" s="98"/>
      <c r="L8" s="98"/>
      <c r="M8" s="98"/>
      <c r="N8" s="98"/>
      <c r="O8" s="98"/>
      <c r="P8" s="98"/>
      <c r="Q8" s="98"/>
      <c r="R8" s="98"/>
      <c r="S8" s="98"/>
      <c r="T8" s="98"/>
      <c r="U8" s="98"/>
      <c r="V8" s="98"/>
      <c r="W8" s="98"/>
      <c r="X8" s="98"/>
      <c r="Y8" s="98"/>
      <c r="Z8" s="98"/>
      <c r="AA8" s="98"/>
      <c r="AB8" s="98"/>
      <c r="AC8" s="98"/>
      <c r="AD8" s="98"/>
      <c r="AE8" s="98"/>
      <c r="AF8" s="98"/>
      <c r="AG8" s="98"/>
      <c r="AH8" s="98"/>
    </row>
    <row r="9" spans="1:34" ht="27" customHeight="1">
      <c r="A9" s="30"/>
      <c r="B9" s="801"/>
      <c r="C9" s="74" t="s">
        <v>147</v>
      </c>
      <c r="D9" s="72"/>
      <c r="E9" s="98"/>
      <c r="F9" s="98"/>
      <c r="G9" s="98"/>
      <c r="H9" s="98"/>
      <c r="I9" s="98"/>
      <c r="J9" s="98"/>
      <c r="K9" s="98"/>
      <c r="L9" s="98"/>
      <c r="M9" s="98"/>
      <c r="N9" s="98"/>
      <c r="O9" s="98"/>
      <c r="P9" s="98"/>
      <c r="Q9" s="98"/>
      <c r="R9" s="98"/>
      <c r="S9" s="98"/>
      <c r="T9" s="98"/>
      <c r="U9" s="98"/>
      <c r="V9" s="98"/>
      <c r="W9" s="98"/>
      <c r="X9" s="98"/>
      <c r="Y9" s="98"/>
      <c r="Z9" s="98"/>
      <c r="AA9" s="98"/>
      <c r="AB9" s="98"/>
      <c r="AC9" s="98"/>
      <c r="AD9" s="98"/>
      <c r="AE9" s="98"/>
      <c r="AF9" s="98"/>
      <c r="AG9" s="98"/>
      <c r="AH9" s="98"/>
    </row>
    <row r="10" spans="1:34" ht="27" customHeight="1">
      <c r="A10" s="30"/>
      <c r="B10" s="801"/>
      <c r="C10" s="74" t="s">
        <v>148</v>
      </c>
      <c r="D10" s="72"/>
      <c r="E10" s="98"/>
      <c r="F10" s="98"/>
      <c r="G10" s="98"/>
      <c r="H10" s="98"/>
      <c r="I10" s="98"/>
      <c r="J10" s="98"/>
      <c r="K10" s="98"/>
      <c r="L10" s="98"/>
      <c r="M10" s="98"/>
      <c r="N10" s="98"/>
      <c r="O10" s="98"/>
      <c r="P10" s="98"/>
      <c r="Q10" s="98"/>
      <c r="R10" s="98"/>
      <c r="S10" s="98"/>
      <c r="T10" s="98"/>
      <c r="U10" s="98"/>
      <c r="V10" s="98"/>
      <c r="W10" s="98"/>
      <c r="X10" s="98"/>
      <c r="Y10" s="98"/>
      <c r="Z10" s="98"/>
      <c r="AA10" s="98"/>
      <c r="AB10" s="98"/>
      <c r="AC10" s="98"/>
      <c r="AD10" s="98"/>
      <c r="AE10" s="98"/>
      <c r="AF10" s="98"/>
      <c r="AG10" s="98"/>
      <c r="AH10" s="98"/>
    </row>
    <row r="11" spans="1:34" ht="27" customHeight="1">
      <c r="A11" s="30"/>
      <c r="B11" s="801"/>
      <c r="C11" s="74" t="s">
        <v>149</v>
      </c>
      <c r="D11" s="72"/>
      <c r="E11" s="98"/>
      <c r="F11" s="98"/>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row>
    <row r="12" spans="1:34" ht="27" customHeight="1">
      <c r="A12" s="30"/>
      <c r="B12" s="801"/>
      <c r="C12" s="74" t="s">
        <v>150</v>
      </c>
      <c r="D12" s="72"/>
      <c r="E12" s="98"/>
      <c r="F12" s="98"/>
      <c r="G12" s="98"/>
      <c r="H12" s="98"/>
      <c r="I12" s="98"/>
      <c r="J12" s="98"/>
      <c r="K12" s="98"/>
      <c r="L12" s="98"/>
      <c r="M12" s="98"/>
      <c r="N12" s="98"/>
      <c r="O12" s="98"/>
      <c r="P12" s="98"/>
      <c r="Q12" s="98"/>
      <c r="R12" s="98"/>
      <c r="S12" s="98"/>
      <c r="T12" s="98"/>
      <c r="U12" s="98"/>
      <c r="V12" s="98"/>
      <c r="W12" s="98"/>
      <c r="X12" s="98"/>
      <c r="Y12" s="98"/>
      <c r="Z12" s="98"/>
      <c r="AA12" s="98"/>
      <c r="AB12" s="98"/>
      <c r="AC12" s="98"/>
      <c r="AD12" s="98"/>
      <c r="AE12" s="98"/>
      <c r="AF12" s="98"/>
      <c r="AG12" s="98"/>
      <c r="AH12" s="98"/>
    </row>
    <row r="13" spans="1:34" ht="27" customHeight="1">
      <c r="A13" s="30"/>
      <c r="B13" s="802"/>
      <c r="C13" s="74" t="s">
        <v>151</v>
      </c>
      <c r="D13" s="72"/>
      <c r="E13" s="98"/>
      <c r="F13" s="98"/>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row>
    <row r="14" spans="1:34" ht="27" customHeight="1">
      <c r="A14" s="30"/>
      <c r="B14" s="800">
        <v>2</v>
      </c>
      <c r="C14" s="795"/>
      <c r="D14" s="796"/>
      <c r="E14" s="97" t="str">
        <f>IFERROR(AVERAGE(E15:E21),"")</f>
        <v/>
      </c>
      <c r="F14" s="97" t="str">
        <f t="shared" ref="F14:AH14" si="1">IFERROR(AVERAGE(F15:F21),"")</f>
        <v/>
      </c>
      <c r="G14" s="97" t="str">
        <f t="shared" si="1"/>
        <v/>
      </c>
      <c r="H14" s="97" t="str">
        <f t="shared" si="1"/>
        <v/>
      </c>
      <c r="I14" s="97" t="str">
        <f t="shared" si="1"/>
        <v/>
      </c>
      <c r="J14" s="97" t="str">
        <f t="shared" si="1"/>
        <v/>
      </c>
      <c r="K14" s="97" t="str">
        <f t="shared" si="1"/>
        <v/>
      </c>
      <c r="L14" s="97" t="str">
        <f t="shared" si="1"/>
        <v/>
      </c>
      <c r="M14" s="97" t="str">
        <f t="shared" si="1"/>
        <v/>
      </c>
      <c r="N14" s="97" t="str">
        <f t="shared" si="1"/>
        <v/>
      </c>
      <c r="O14" s="97" t="str">
        <f t="shared" si="1"/>
        <v/>
      </c>
      <c r="P14" s="97" t="str">
        <f t="shared" si="1"/>
        <v/>
      </c>
      <c r="Q14" s="97" t="str">
        <f t="shared" si="1"/>
        <v/>
      </c>
      <c r="R14" s="97" t="str">
        <f t="shared" si="1"/>
        <v/>
      </c>
      <c r="S14" s="97" t="str">
        <f t="shared" si="1"/>
        <v/>
      </c>
      <c r="T14" s="97" t="str">
        <f t="shared" si="1"/>
        <v/>
      </c>
      <c r="U14" s="97" t="str">
        <f t="shared" si="1"/>
        <v/>
      </c>
      <c r="V14" s="97" t="str">
        <f t="shared" si="1"/>
        <v/>
      </c>
      <c r="W14" s="97" t="str">
        <f t="shared" si="1"/>
        <v/>
      </c>
      <c r="X14" s="97" t="str">
        <f t="shared" si="1"/>
        <v/>
      </c>
      <c r="Y14" s="97" t="str">
        <f t="shared" si="1"/>
        <v/>
      </c>
      <c r="Z14" s="97" t="str">
        <f t="shared" si="1"/>
        <v/>
      </c>
      <c r="AA14" s="97" t="str">
        <f t="shared" si="1"/>
        <v/>
      </c>
      <c r="AB14" s="97" t="str">
        <f t="shared" si="1"/>
        <v/>
      </c>
      <c r="AC14" s="97" t="str">
        <f t="shared" si="1"/>
        <v/>
      </c>
      <c r="AD14" s="97" t="str">
        <f t="shared" si="1"/>
        <v/>
      </c>
      <c r="AE14" s="97" t="str">
        <f t="shared" si="1"/>
        <v/>
      </c>
      <c r="AF14" s="97" t="str">
        <f t="shared" si="1"/>
        <v/>
      </c>
      <c r="AG14" s="97" t="str">
        <f t="shared" si="1"/>
        <v/>
      </c>
      <c r="AH14" s="97" t="str">
        <f t="shared" si="1"/>
        <v/>
      </c>
    </row>
    <row r="15" spans="1:34" ht="27" customHeight="1">
      <c r="A15" s="30"/>
      <c r="B15" s="801"/>
      <c r="C15" s="74" t="s">
        <v>152</v>
      </c>
      <c r="D15" s="72"/>
      <c r="E15" s="98"/>
      <c r="F15" s="98"/>
      <c r="G15" s="98"/>
      <c r="H15" s="98"/>
      <c r="I15" s="98"/>
      <c r="J15" s="98"/>
      <c r="K15" s="98"/>
      <c r="L15" s="98"/>
      <c r="M15" s="98"/>
      <c r="N15" s="98"/>
      <c r="O15" s="98"/>
      <c r="P15" s="98"/>
      <c r="Q15" s="98"/>
      <c r="R15" s="98"/>
      <c r="S15" s="98"/>
      <c r="T15" s="98"/>
      <c r="U15" s="98"/>
      <c r="V15" s="98"/>
      <c r="W15" s="98"/>
      <c r="X15" s="98"/>
      <c r="Y15" s="98"/>
      <c r="Z15" s="98"/>
      <c r="AA15" s="98"/>
      <c r="AB15" s="98"/>
      <c r="AC15" s="98"/>
      <c r="AD15" s="98"/>
      <c r="AE15" s="98"/>
      <c r="AF15" s="98"/>
      <c r="AG15" s="98"/>
      <c r="AH15" s="98"/>
    </row>
    <row r="16" spans="1:34" ht="27" customHeight="1">
      <c r="A16" s="30"/>
      <c r="B16" s="801"/>
      <c r="C16" s="74" t="s">
        <v>153</v>
      </c>
      <c r="D16" s="72"/>
      <c r="E16" s="98"/>
      <c r="F16" s="98"/>
      <c r="G16" s="98"/>
      <c r="H16" s="98"/>
      <c r="I16" s="98"/>
      <c r="J16" s="98"/>
      <c r="K16" s="98"/>
      <c r="L16" s="98"/>
      <c r="M16" s="98"/>
      <c r="N16" s="98"/>
      <c r="O16" s="98"/>
      <c r="P16" s="98"/>
      <c r="Q16" s="98"/>
      <c r="R16" s="98"/>
      <c r="S16" s="98"/>
      <c r="T16" s="98"/>
      <c r="U16" s="98"/>
      <c r="V16" s="98"/>
      <c r="W16" s="98"/>
      <c r="X16" s="98"/>
      <c r="Y16" s="98"/>
      <c r="Z16" s="98"/>
      <c r="AA16" s="98"/>
      <c r="AB16" s="98"/>
      <c r="AC16" s="98"/>
      <c r="AD16" s="98"/>
      <c r="AE16" s="98"/>
      <c r="AF16" s="98"/>
      <c r="AG16" s="98"/>
      <c r="AH16" s="98"/>
    </row>
    <row r="17" spans="1:34" ht="27" customHeight="1">
      <c r="A17" s="30"/>
      <c r="B17" s="801"/>
      <c r="C17" s="74" t="s">
        <v>154</v>
      </c>
      <c r="D17" s="72"/>
      <c r="E17" s="98"/>
      <c r="F17" s="98"/>
      <c r="G17" s="98"/>
      <c r="H17" s="98"/>
      <c r="I17" s="98"/>
      <c r="J17" s="98"/>
      <c r="K17" s="98"/>
      <c r="L17" s="98"/>
      <c r="M17" s="98"/>
      <c r="N17" s="98"/>
      <c r="O17" s="98"/>
      <c r="P17" s="98"/>
      <c r="Q17" s="98"/>
      <c r="R17" s="98"/>
      <c r="S17" s="98"/>
      <c r="T17" s="98"/>
      <c r="U17" s="98"/>
      <c r="V17" s="98"/>
      <c r="W17" s="98"/>
      <c r="X17" s="98"/>
      <c r="Y17" s="98"/>
      <c r="Z17" s="98"/>
      <c r="AA17" s="98"/>
      <c r="AB17" s="98"/>
      <c r="AC17" s="98"/>
      <c r="AD17" s="98"/>
      <c r="AE17" s="98"/>
      <c r="AF17" s="98"/>
      <c r="AG17" s="98"/>
      <c r="AH17" s="98"/>
    </row>
    <row r="18" spans="1:34" ht="27" customHeight="1">
      <c r="A18" s="30"/>
      <c r="B18" s="801"/>
      <c r="C18" s="74" t="s">
        <v>155</v>
      </c>
      <c r="D18" s="72"/>
      <c r="E18" s="98"/>
      <c r="F18" s="98"/>
      <c r="G18" s="98"/>
      <c r="H18" s="98"/>
      <c r="I18" s="98"/>
      <c r="J18" s="98"/>
      <c r="K18" s="98"/>
      <c r="L18" s="98"/>
      <c r="M18" s="98"/>
      <c r="N18" s="98"/>
      <c r="O18" s="98"/>
      <c r="P18" s="98"/>
      <c r="Q18" s="98"/>
      <c r="R18" s="98"/>
      <c r="S18" s="98"/>
      <c r="T18" s="98"/>
      <c r="U18" s="98"/>
      <c r="V18" s="98"/>
      <c r="W18" s="98"/>
      <c r="X18" s="98"/>
      <c r="Y18" s="98"/>
      <c r="Z18" s="98"/>
      <c r="AA18" s="98"/>
      <c r="AB18" s="98"/>
      <c r="AC18" s="98"/>
      <c r="AD18" s="98"/>
      <c r="AE18" s="98"/>
      <c r="AF18" s="98"/>
      <c r="AG18" s="98"/>
      <c r="AH18" s="98"/>
    </row>
    <row r="19" spans="1:34" ht="27" customHeight="1">
      <c r="A19" s="30"/>
      <c r="B19" s="801"/>
      <c r="C19" s="74" t="s">
        <v>156</v>
      </c>
      <c r="D19" s="72"/>
      <c r="E19" s="98"/>
      <c r="F19" s="98"/>
      <c r="G19" s="98"/>
      <c r="H19" s="98"/>
      <c r="I19" s="98"/>
      <c r="J19" s="98"/>
      <c r="K19" s="98"/>
      <c r="L19" s="98"/>
      <c r="M19" s="98"/>
      <c r="N19" s="98"/>
      <c r="O19" s="98"/>
      <c r="P19" s="98"/>
      <c r="Q19" s="98"/>
      <c r="R19" s="98"/>
      <c r="S19" s="98"/>
      <c r="T19" s="98"/>
      <c r="U19" s="98"/>
      <c r="V19" s="98"/>
      <c r="W19" s="98"/>
      <c r="X19" s="98"/>
      <c r="Y19" s="98"/>
      <c r="Z19" s="98"/>
      <c r="AA19" s="98"/>
      <c r="AB19" s="98"/>
      <c r="AC19" s="98"/>
      <c r="AD19" s="98"/>
      <c r="AE19" s="98"/>
      <c r="AF19" s="98"/>
      <c r="AG19" s="98"/>
      <c r="AH19" s="98"/>
    </row>
    <row r="20" spans="1:34" ht="27" customHeight="1">
      <c r="A20" s="30"/>
      <c r="B20" s="801"/>
      <c r="C20" s="74" t="s">
        <v>157</v>
      </c>
      <c r="D20" s="72"/>
      <c r="E20" s="98"/>
      <c r="F20" s="98"/>
      <c r="G20" s="98"/>
      <c r="H20" s="98"/>
      <c r="I20" s="98"/>
      <c r="J20" s="98"/>
      <c r="K20" s="98"/>
      <c r="L20" s="98"/>
      <c r="M20" s="98"/>
      <c r="N20" s="98"/>
      <c r="O20" s="98"/>
      <c r="P20" s="98"/>
      <c r="Q20" s="98"/>
      <c r="R20" s="98"/>
      <c r="S20" s="98"/>
      <c r="T20" s="98"/>
      <c r="U20" s="98"/>
      <c r="V20" s="98"/>
      <c r="W20" s="98"/>
      <c r="X20" s="98"/>
      <c r="Y20" s="98"/>
      <c r="Z20" s="98"/>
      <c r="AA20" s="98"/>
      <c r="AB20" s="98"/>
      <c r="AC20" s="98"/>
      <c r="AD20" s="98"/>
      <c r="AE20" s="98"/>
      <c r="AF20" s="98"/>
      <c r="AG20" s="98"/>
      <c r="AH20" s="98"/>
    </row>
    <row r="21" spans="1:34" ht="27" customHeight="1">
      <c r="A21" s="30"/>
      <c r="B21" s="802"/>
      <c r="C21" s="74" t="s">
        <v>158</v>
      </c>
      <c r="D21" s="72"/>
      <c r="E21" s="98"/>
      <c r="F21" s="98"/>
      <c r="G21" s="98"/>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row>
    <row r="22" spans="1:34" ht="27" customHeight="1">
      <c r="A22" s="30"/>
      <c r="B22" s="801">
        <v>3</v>
      </c>
      <c r="C22" s="795"/>
      <c r="D22" s="796"/>
      <c r="E22" s="97" t="str">
        <f>IFERROR(AVERAGE(E23:E29),"")</f>
        <v/>
      </c>
      <c r="F22" s="97" t="str">
        <f t="shared" ref="F22:AH22" si="2">IFERROR(AVERAGE(F23:F29),"")</f>
        <v/>
      </c>
      <c r="G22" s="97" t="str">
        <f t="shared" si="2"/>
        <v/>
      </c>
      <c r="H22" s="97" t="str">
        <f t="shared" si="2"/>
        <v/>
      </c>
      <c r="I22" s="97" t="str">
        <f t="shared" si="2"/>
        <v/>
      </c>
      <c r="J22" s="97" t="str">
        <f t="shared" si="2"/>
        <v/>
      </c>
      <c r="K22" s="97" t="str">
        <f t="shared" si="2"/>
        <v/>
      </c>
      <c r="L22" s="97" t="str">
        <f t="shared" si="2"/>
        <v/>
      </c>
      <c r="M22" s="97" t="str">
        <f t="shared" si="2"/>
        <v/>
      </c>
      <c r="N22" s="97" t="str">
        <f t="shared" si="2"/>
        <v/>
      </c>
      <c r="O22" s="97" t="str">
        <f t="shared" si="2"/>
        <v/>
      </c>
      <c r="P22" s="97" t="str">
        <f t="shared" si="2"/>
        <v/>
      </c>
      <c r="Q22" s="97" t="str">
        <f t="shared" si="2"/>
        <v/>
      </c>
      <c r="R22" s="97" t="str">
        <f t="shared" si="2"/>
        <v/>
      </c>
      <c r="S22" s="97" t="str">
        <f t="shared" si="2"/>
        <v/>
      </c>
      <c r="T22" s="97" t="str">
        <f t="shared" si="2"/>
        <v/>
      </c>
      <c r="U22" s="97" t="str">
        <f t="shared" si="2"/>
        <v/>
      </c>
      <c r="V22" s="97" t="str">
        <f t="shared" si="2"/>
        <v/>
      </c>
      <c r="W22" s="97" t="str">
        <f t="shared" si="2"/>
        <v/>
      </c>
      <c r="X22" s="97" t="str">
        <f t="shared" si="2"/>
        <v/>
      </c>
      <c r="Y22" s="97" t="str">
        <f t="shared" si="2"/>
        <v/>
      </c>
      <c r="Z22" s="97" t="str">
        <f t="shared" si="2"/>
        <v/>
      </c>
      <c r="AA22" s="97" t="str">
        <f t="shared" si="2"/>
        <v/>
      </c>
      <c r="AB22" s="97" t="str">
        <f t="shared" si="2"/>
        <v/>
      </c>
      <c r="AC22" s="97" t="str">
        <f t="shared" si="2"/>
        <v/>
      </c>
      <c r="AD22" s="97" t="str">
        <f t="shared" si="2"/>
        <v/>
      </c>
      <c r="AE22" s="97" t="str">
        <f t="shared" si="2"/>
        <v/>
      </c>
      <c r="AF22" s="97" t="str">
        <f t="shared" si="2"/>
        <v/>
      </c>
      <c r="AG22" s="97" t="str">
        <f t="shared" si="2"/>
        <v/>
      </c>
      <c r="AH22" s="97" t="str">
        <f t="shared" si="2"/>
        <v/>
      </c>
    </row>
    <row r="23" spans="1:34" ht="27" customHeight="1">
      <c r="A23" s="30"/>
      <c r="B23" s="794"/>
      <c r="C23" s="74" t="s">
        <v>159</v>
      </c>
      <c r="D23" s="72"/>
      <c r="E23" s="98"/>
      <c r="F23" s="98"/>
      <c r="G23" s="98"/>
      <c r="H23" s="98"/>
      <c r="I23" s="98"/>
      <c r="J23" s="98"/>
      <c r="K23" s="98"/>
      <c r="L23" s="98"/>
      <c r="M23" s="98"/>
      <c r="N23" s="98"/>
      <c r="O23" s="98"/>
      <c r="P23" s="98"/>
      <c r="Q23" s="98"/>
      <c r="R23" s="98"/>
      <c r="S23" s="98"/>
      <c r="T23" s="98"/>
      <c r="U23" s="98"/>
      <c r="V23" s="98"/>
      <c r="W23" s="98"/>
      <c r="X23" s="98"/>
      <c r="Y23" s="98"/>
      <c r="Z23" s="98"/>
      <c r="AA23" s="98"/>
      <c r="AB23" s="98"/>
      <c r="AC23" s="98"/>
      <c r="AD23" s="98"/>
      <c r="AE23" s="98"/>
      <c r="AF23" s="98"/>
      <c r="AG23" s="98"/>
      <c r="AH23" s="98"/>
    </row>
    <row r="24" spans="1:34" ht="27" customHeight="1">
      <c r="A24" s="30"/>
      <c r="B24" s="794"/>
      <c r="C24" s="74" t="s">
        <v>160</v>
      </c>
      <c r="D24" s="72"/>
      <c r="E24" s="98"/>
      <c r="F24" s="98"/>
      <c r="G24" s="98"/>
      <c r="H24" s="98"/>
      <c r="I24" s="98"/>
      <c r="J24" s="98"/>
      <c r="K24" s="98"/>
      <c r="L24" s="98"/>
      <c r="M24" s="98"/>
      <c r="N24" s="98"/>
      <c r="O24" s="98"/>
      <c r="P24" s="98"/>
      <c r="Q24" s="98"/>
      <c r="R24" s="98"/>
      <c r="S24" s="98"/>
      <c r="T24" s="98"/>
      <c r="U24" s="98"/>
      <c r="V24" s="98"/>
      <c r="W24" s="98"/>
      <c r="X24" s="98"/>
      <c r="Y24" s="98"/>
      <c r="Z24" s="98"/>
      <c r="AA24" s="98"/>
      <c r="AB24" s="98"/>
      <c r="AC24" s="98"/>
      <c r="AD24" s="98"/>
      <c r="AE24" s="98"/>
      <c r="AF24" s="98"/>
      <c r="AG24" s="98"/>
      <c r="AH24" s="98"/>
    </row>
    <row r="25" spans="1:34" ht="27" customHeight="1">
      <c r="A25" s="30"/>
      <c r="B25" s="794"/>
      <c r="C25" s="74" t="s">
        <v>161</v>
      </c>
      <c r="D25" s="72"/>
      <c r="E25" s="98"/>
      <c r="F25" s="98"/>
      <c r="G25" s="98"/>
      <c r="H25" s="98"/>
      <c r="I25" s="98"/>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row>
    <row r="26" spans="1:34" ht="27" customHeight="1">
      <c r="A26" s="30"/>
      <c r="B26" s="794"/>
      <c r="C26" s="74" t="s">
        <v>162</v>
      </c>
      <c r="D26" s="72"/>
      <c r="E26" s="98"/>
      <c r="F26" s="98"/>
      <c r="G26" s="98"/>
      <c r="H26" s="98"/>
      <c r="I26" s="98"/>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row>
    <row r="27" spans="1:34" ht="27" customHeight="1">
      <c r="A27" s="30"/>
      <c r="B27" s="794"/>
      <c r="C27" s="74" t="s">
        <v>163</v>
      </c>
      <c r="D27" s="72"/>
      <c r="E27" s="98"/>
      <c r="F27" s="98"/>
      <c r="G27" s="98"/>
      <c r="H27" s="98"/>
      <c r="I27" s="98"/>
      <c r="J27" s="98"/>
      <c r="K27" s="98"/>
      <c r="L27" s="98"/>
      <c r="M27" s="98"/>
      <c r="N27" s="98"/>
      <c r="O27" s="98"/>
      <c r="P27" s="98"/>
      <c r="Q27" s="98"/>
      <c r="R27" s="98"/>
      <c r="S27" s="98"/>
      <c r="T27" s="98"/>
      <c r="U27" s="98"/>
      <c r="V27" s="98"/>
      <c r="W27" s="98"/>
      <c r="X27" s="98"/>
      <c r="Y27" s="98"/>
      <c r="Z27" s="98"/>
      <c r="AA27" s="98"/>
      <c r="AB27" s="98"/>
      <c r="AC27" s="98"/>
      <c r="AD27" s="98"/>
      <c r="AE27" s="98"/>
      <c r="AF27" s="98"/>
      <c r="AG27" s="98"/>
      <c r="AH27" s="98"/>
    </row>
    <row r="28" spans="1:34" ht="27" customHeight="1">
      <c r="A28" s="30"/>
      <c r="B28" s="794"/>
      <c r="C28" s="74" t="s">
        <v>164</v>
      </c>
      <c r="D28" s="72"/>
      <c r="E28" s="98"/>
      <c r="F28" s="98"/>
      <c r="G28" s="98"/>
      <c r="H28" s="98"/>
      <c r="I28" s="98"/>
      <c r="J28" s="98"/>
      <c r="K28" s="98"/>
      <c r="L28" s="98"/>
      <c r="M28" s="98"/>
      <c r="N28" s="98"/>
      <c r="O28" s="98"/>
      <c r="P28" s="98"/>
      <c r="Q28" s="98"/>
      <c r="R28" s="98"/>
      <c r="S28" s="98"/>
      <c r="T28" s="98"/>
      <c r="U28" s="98"/>
      <c r="V28" s="98"/>
      <c r="W28" s="98"/>
      <c r="X28" s="98"/>
      <c r="Y28" s="98"/>
      <c r="Z28" s="98"/>
      <c r="AA28" s="98"/>
      <c r="AB28" s="98"/>
      <c r="AC28" s="98"/>
      <c r="AD28" s="98"/>
      <c r="AE28" s="98"/>
      <c r="AF28" s="98"/>
      <c r="AG28" s="98"/>
      <c r="AH28" s="98"/>
    </row>
    <row r="29" spans="1:34" ht="27" customHeight="1">
      <c r="A29" s="30"/>
      <c r="B29" s="802"/>
      <c r="C29" s="74" t="s">
        <v>165</v>
      </c>
      <c r="D29" s="72"/>
      <c r="E29" s="98"/>
      <c r="F29" s="98"/>
      <c r="G29" s="98"/>
      <c r="H29" s="98"/>
      <c r="I29" s="98"/>
      <c r="J29" s="98"/>
      <c r="K29" s="98"/>
      <c r="L29" s="98"/>
      <c r="M29" s="98"/>
      <c r="N29" s="98"/>
      <c r="O29" s="98"/>
      <c r="P29" s="98"/>
      <c r="Q29" s="98"/>
      <c r="R29" s="98"/>
      <c r="S29" s="98"/>
      <c r="T29" s="98"/>
      <c r="U29" s="98"/>
      <c r="V29" s="98"/>
      <c r="W29" s="98"/>
      <c r="X29" s="98"/>
      <c r="Y29" s="98"/>
      <c r="Z29" s="98"/>
      <c r="AA29" s="98"/>
      <c r="AB29" s="98"/>
      <c r="AC29" s="98"/>
      <c r="AD29" s="98"/>
      <c r="AE29" s="98"/>
      <c r="AF29" s="98"/>
      <c r="AG29" s="98"/>
      <c r="AH29" s="98"/>
    </row>
    <row r="30" spans="1:34" ht="27" customHeight="1">
      <c r="A30" s="30"/>
      <c r="B30" s="800">
        <v>4</v>
      </c>
      <c r="C30" s="795"/>
      <c r="D30" s="796"/>
      <c r="E30" s="97" t="str">
        <f>IFERROR(AVERAGE(E31:E37),"")</f>
        <v/>
      </c>
      <c r="F30" s="97" t="str">
        <f t="shared" ref="F30:AH30" si="3">IFERROR(AVERAGE(F31:F37),"")</f>
        <v/>
      </c>
      <c r="G30" s="97" t="str">
        <f t="shared" si="3"/>
        <v/>
      </c>
      <c r="H30" s="97" t="str">
        <f t="shared" si="3"/>
        <v/>
      </c>
      <c r="I30" s="97" t="str">
        <f t="shared" si="3"/>
        <v/>
      </c>
      <c r="J30" s="97" t="str">
        <f t="shared" si="3"/>
        <v/>
      </c>
      <c r="K30" s="97" t="str">
        <f t="shared" si="3"/>
        <v/>
      </c>
      <c r="L30" s="97" t="str">
        <f t="shared" si="3"/>
        <v/>
      </c>
      <c r="M30" s="97" t="str">
        <f t="shared" si="3"/>
        <v/>
      </c>
      <c r="N30" s="97" t="str">
        <f t="shared" si="3"/>
        <v/>
      </c>
      <c r="O30" s="97" t="str">
        <f t="shared" si="3"/>
        <v/>
      </c>
      <c r="P30" s="97" t="str">
        <f t="shared" si="3"/>
        <v/>
      </c>
      <c r="Q30" s="97" t="str">
        <f t="shared" si="3"/>
        <v/>
      </c>
      <c r="R30" s="97" t="str">
        <f t="shared" si="3"/>
        <v/>
      </c>
      <c r="S30" s="97" t="str">
        <f t="shared" si="3"/>
        <v/>
      </c>
      <c r="T30" s="97" t="str">
        <f t="shared" si="3"/>
        <v/>
      </c>
      <c r="U30" s="97" t="str">
        <f t="shared" si="3"/>
        <v/>
      </c>
      <c r="V30" s="97" t="str">
        <f t="shared" si="3"/>
        <v/>
      </c>
      <c r="W30" s="97" t="str">
        <f t="shared" si="3"/>
        <v/>
      </c>
      <c r="X30" s="97" t="str">
        <f t="shared" si="3"/>
        <v/>
      </c>
      <c r="Y30" s="97" t="str">
        <f t="shared" si="3"/>
        <v/>
      </c>
      <c r="Z30" s="97" t="str">
        <f t="shared" si="3"/>
        <v/>
      </c>
      <c r="AA30" s="97" t="str">
        <f t="shared" si="3"/>
        <v/>
      </c>
      <c r="AB30" s="97" t="str">
        <f t="shared" si="3"/>
        <v/>
      </c>
      <c r="AC30" s="97" t="str">
        <f t="shared" si="3"/>
        <v/>
      </c>
      <c r="AD30" s="97" t="str">
        <f t="shared" si="3"/>
        <v/>
      </c>
      <c r="AE30" s="97" t="str">
        <f t="shared" si="3"/>
        <v/>
      </c>
      <c r="AF30" s="97" t="str">
        <f t="shared" si="3"/>
        <v/>
      </c>
      <c r="AG30" s="97" t="str">
        <f t="shared" si="3"/>
        <v/>
      </c>
      <c r="AH30" s="97" t="str">
        <f t="shared" si="3"/>
        <v/>
      </c>
    </row>
    <row r="31" spans="1:34" ht="27" customHeight="1">
      <c r="A31" s="30"/>
      <c r="B31" s="801"/>
      <c r="C31" s="74" t="s">
        <v>166</v>
      </c>
      <c r="D31" s="72"/>
      <c r="E31" s="98"/>
      <c r="F31" s="98"/>
      <c r="G31" s="98"/>
      <c r="H31" s="98"/>
      <c r="I31" s="98"/>
      <c r="J31" s="98"/>
      <c r="K31" s="98"/>
      <c r="L31" s="98"/>
      <c r="M31" s="98"/>
      <c r="N31" s="98"/>
      <c r="O31" s="98"/>
      <c r="P31" s="98"/>
      <c r="Q31" s="98"/>
      <c r="R31" s="98"/>
      <c r="S31" s="98"/>
      <c r="T31" s="98"/>
      <c r="U31" s="98"/>
      <c r="V31" s="98"/>
      <c r="W31" s="98"/>
      <c r="X31" s="98"/>
      <c r="Y31" s="98"/>
      <c r="Z31" s="98"/>
      <c r="AA31" s="98"/>
      <c r="AB31" s="98"/>
      <c r="AC31" s="98"/>
      <c r="AD31" s="98"/>
      <c r="AE31" s="98"/>
      <c r="AF31" s="98"/>
      <c r="AG31" s="98"/>
      <c r="AH31" s="98"/>
    </row>
    <row r="32" spans="1:34" ht="27" customHeight="1">
      <c r="A32" s="30"/>
      <c r="B32" s="801"/>
      <c r="C32" s="74" t="s">
        <v>167</v>
      </c>
      <c r="D32" s="72"/>
      <c r="E32" s="98"/>
      <c r="F32" s="98"/>
      <c r="G32" s="98"/>
      <c r="H32" s="98"/>
      <c r="I32" s="98"/>
      <c r="J32" s="98"/>
      <c r="K32" s="98"/>
      <c r="L32" s="98"/>
      <c r="M32" s="98"/>
      <c r="N32" s="98"/>
      <c r="O32" s="98"/>
      <c r="P32" s="98"/>
      <c r="Q32" s="98"/>
      <c r="R32" s="98"/>
      <c r="S32" s="98"/>
      <c r="T32" s="98"/>
      <c r="U32" s="98"/>
      <c r="V32" s="98"/>
      <c r="W32" s="98"/>
      <c r="X32" s="98"/>
      <c r="Y32" s="98"/>
      <c r="Z32" s="98"/>
      <c r="AA32" s="98"/>
      <c r="AB32" s="98"/>
      <c r="AC32" s="98"/>
      <c r="AD32" s="98"/>
      <c r="AE32" s="98"/>
      <c r="AF32" s="98"/>
      <c r="AG32" s="98"/>
      <c r="AH32" s="98"/>
    </row>
    <row r="33" spans="1:34" ht="27" customHeight="1">
      <c r="A33" s="30"/>
      <c r="B33" s="801"/>
      <c r="C33" s="74" t="s">
        <v>168</v>
      </c>
      <c r="D33" s="72"/>
      <c r="E33" s="98"/>
      <c r="F33" s="98"/>
      <c r="G33" s="98"/>
      <c r="H33" s="98"/>
      <c r="I33" s="98"/>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row>
    <row r="34" spans="1:34" ht="27" customHeight="1">
      <c r="A34" s="30"/>
      <c r="B34" s="801"/>
      <c r="C34" s="74" t="s">
        <v>169</v>
      </c>
      <c r="D34" s="72"/>
      <c r="E34" s="98"/>
      <c r="F34" s="98"/>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row>
    <row r="35" spans="1:34" ht="27" customHeight="1">
      <c r="A35" s="30"/>
      <c r="B35" s="801"/>
      <c r="C35" s="74" t="s">
        <v>170</v>
      </c>
      <c r="D35" s="72"/>
      <c r="E35" s="98"/>
      <c r="F35" s="98"/>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row>
    <row r="36" spans="1:34" ht="27" customHeight="1">
      <c r="A36" s="30"/>
      <c r="B36" s="801"/>
      <c r="C36" s="74" t="s">
        <v>171</v>
      </c>
      <c r="D36" s="72"/>
      <c r="E36" s="98"/>
      <c r="F36" s="98"/>
      <c r="G36" s="98"/>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row>
    <row r="37" spans="1:34" ht="27" customHeight="1">
      <c r="A37" s="30"/>
      <c r="B37" s="802"/>
      <c r="C37" s="74" t="s">
        <v>172</v>
      </c>
      <c r="D37" s="72"/>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row>
    <row r="38" spans="1:34" ht="27" customHeight="1">
      <c r="A38" s="30"/>
      <c r="B38" s="800">
        <v>5</v>
      </c>
      <c r="C38" s="795"/>
      <c r="D38" s="796"/>
      <c r="E38" s="97" t="str">
        <f>IFERROR(AVERAGE(E39:E45),"")</f>
        <v/>
      </c>
      <c r="F38" s="97" t="str">
        <f t="shared" ref="F38:AH38" si="4">IFERROR(AVERAGE(F39:F45),"")</f>
        <v/>
      </c>
      <c r="G38" s="97" t="str">
        <f t="shared" si="4"/>
        <v/>
      </c>
      <c r="H38" s="97" t="str">
        <f t="shared" si="4"/>
        <v/>
      </c>
      <c r="I38" s="97" t="str">
        <f t="shared" si="4"/>
        <v/>
      </c>
      <c r="J38" s="97" t="str">
        <f t="shared" si="4"/>
        <v/>
      </c>
      <c r="K38" s="97" t="str">
        <f t="shared" si="4"/>
        <v/>
      </c>
      <c r="L38" s="97" t="str">
        <f t="shared" si="4"/>
        <v/>
      </c>
      <c r="M38" s="97" t="str">
        <f t="shared" si="4"/>
        <v/>
      </c>
      <c r="N38" s="97" t="str">
        <f t="shared" si="4"/>
        <v/>
      </c>
      <c r="O38" s="97" t="str">
        <f t="shared" si="4"/>
        <v/>
      </c>
      <c r="P38" s="97" t="str">
        <f t="shared" si="4"/>
        <v/>
      </c>
      <c r="Q38" s="97" t="str">
        <f t="shared" si="4"/>
        <v/>
      </c>
      <c r="R38" s="97" t="str">
        <f t="shared" si="4"/>
        <v/>
      </c>
      <c r="S38" s="97" t="str">
        <f t="shared" si="4"/>
        <v/>
      </c>
      <c r="T38" s="97" t="str">
        <f t="shared" si="4"/>
        <v/>
      </c>
      <c r="U38" s="97" t="str">
        <f t="shared" si="4"/>
        <v/>
      </c>
      <c r="V38" s="97" t="str">
        <f t="shared" si="4"/>
        <v/>
      </c>
      <c r="W38" s="97" t="str">
        <f t="shared" si="4"/>
        <v/>
      </c>
      <c r="X38" s="97" t="str">
        <f t="shared" si="4"/>
        <v/>
      </c>
      <c r="Y38" s="97" t="str">
        <f t="shared" si="4"/>
        <v/>
      </c>
      <c r="Z38" s="97" t="str">
        <f t="shared" si="4"/>
        <v/>
      </c>
      <c r="AA38" s="97" t="str">
        <f t="shared" si="4"/>
        <v/>
      </c>
      <c r="AB38" s="97" t="str">
        <f t="shared" si="4"/>
        <v/>
      </c>
      <c r="AC38" s="97" t="str">
        <f t="shared" si="4"/>
        <v/>
      </c>
      <c r="AD38" s="97" t="str">
        <f t="shared" si="4"/>
        <v/>
      </c>
      <c r="AE38" s="97" t="str">
        <f t="shared" si="4"/>
        <v/>
      </c>
      <c r="AF38" s="97" t="str">
        <f t="shared" si="4"/>
        <v/>
      </c>
      <c r="AG38" s="97" t="str">
        <f t="shared" si="4"/>
        <v/>
      </c>
      <c r="AH38" s="97" t="str">
        <f t="shared" si="4"/>
        <v/>
      </c>
    </row>
    <row r="39" spans="1:34" ht="27" customHeight="1">
      <c r="A39" s="30"/>
      <c r="B39" s="801"/>
      <c r="C39" s="74" t="s">
        <v>173</v>
      </c>
      <c r="D39" s="72"/>
      <c r="E39" s="98"/>
      <c r="F39" s="98"/>
      <c r="G39" s="98"/>
      <c r="H39" s="98"/>
      <c r="I39" s="98"/>
      <c r="J39" s="98"/>
      <c r="K39" s="98"/>
      <c r="L39" s="98"/>
      <c r="M39" s="98"/>
      <c r="N39" s="98"/>
      <c r="O39" s="98"/>
      <c r="P39" s="98"/>
      <c r="Q39" s="98"/>
      <c r="R39" s="98"/>
      <c r="S39" s="98"/>
      <c r="T39" s="98"/>
      <c r="U39" s="98"/>
      <c r="V39" s="98"/>
      <c r="W39" s="98"/>
      <c r="X39" s="98"/>
      <c r="Y39" s="98"/>
      <c r="Z39" s="98"/>
      <c r="AA39" s="98"/>
      <c r="AB39" s="98"/>
      <c r="AC39" s="98"/>
      <c r="AD39" s="98"/>
      <c r="AE39" s="98"/>
      <c r="AF39" s="98"/>
      <c r="AG39" s="98"/>
      <c r="AH39" s="98"/>
    </row>
    <row r="40" spans="1:34" ht="27" customHeight="1">
      <c r="A40" s="30"/>
      <c r="B40" s="801"/>
      <c r="C40" s="74" t="s">
        <v>174</v>
      </c>
      <c r="D40" s="72"/>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row>
    <row r="41" spans="1:34" ht="27" customHeight="1">
      <c r="A41" s="30"/>
      <c r="B41" s="801"/>
      <c r="C41" s="74" t="s">
        <v>175</v>
      </c>
      <c r="D41" s="72"/>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row>
    <row r="42" spans="1:34" ht="27" customHeight="1">
      <c r="A42" s="30"/>
      <c r="B42" s="801"/>
      <c r="C42" s="74" t="s">
        <v>176</v>
      </c>
      <c r="D42" s="72"/>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row>
    <row r="43" spans="1:34" ht="27" customHeight="1">
      <c r="A43" s="30"/>
      <c r="B43" s="801"/>
      <c r="C43" s="74" t="s">
        <v>177</v>
      </c>
      <c r="D43" s="72"/>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row>
    <row r="44" spans="1:34" ht="27" customHeight="1">
      <c r="A44" s="30"/>
      <c r="B44" s="801"/>
      <c r="C44" s="74" t="s">
        <v>178</v>
      </c>
      <c r="D44" s="72"/>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row>
    <row r="45" spans="1:34" ht="27" customHeight="1">
      <c r="A45" s="30"/>
      <c r="B45" s="802"/>
      <c r="C45" s="74" t="s">
        <v>179</v>
      </c>
      <c r="D45" s="72"/>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row>
    <row r="46" spans="1:34" ht="27" customHeight="1">
      <c r="A46" s="30"/>
      <c r="B46" s="794">
        <v>6</v>
      </c>
      <c r="C46" s="795"/>
      <c r="D46" s="796"/>
      <c r="E46" s="97" t="str">
        <f>IFERROR(AVERAGE(E47:E53),"")</f>
        <v/>
      </c>
      <c r="F46" s="97" t="str">
        <f t="shared" ref="F46:AH46" si="5">IFERROR(AVERAGE(F47:F53),"")</f>
        <v/>
      </c>
      <c r="G46" s="97" t="str">
        <f t="shared" si="5"/>
        <v/>
      </c>
      <c r="H46" s="97" t="str">
        <f t="shared" si="5"/>
        <v/>
      </c>
      <c r="I46" s="97" t="str">
        <f t="shared" si="5"/>
        <v/>
      </c>
      <c r="J46" s="97" t="str">
        <f t="shared" si="5"/>
        <v/>
      </c>
      <c r="K46" s="97" t="str">
        <f t="shared" si="5"/>
        <v/>
      </c>
      <c r="L46" s="97" t="str">
        <f t="shared" si="5"/>
        <v/>
      </c>
      <c r="M46" s="97" t="str">
        <f t="shared" si="5"/>
        <v/>
      </c>
      <c r="N46" s="97" t="str">
        <f t="shared" si="5"/>
        <v/>
      </c>
      <c r="O46" s="97" t="str">
        <f t="shared" si="5"/>
        <v/>
      </c>
      <c r="P46" s="97" t="str">
        <f t="shared" si="5"/>
        <v/>
      </c>
      <c r="Q46" s="97" t="str">
        <f t="shared" si="5"/>
        <v/>
      </c>
      <c r="R46" s="97" t="str">
        <f t="shared" si="5"/>
        <v/>
      </c>
      <c r="S46" s="97" t="str">
        <f t="shared" si="5"/>
        <v/>
      </c>
      <c r="T46" s="97" t="str">
        <f t="shared" si="5"/>
        <v/>
      </c>
      <c r="U46" s="97" t="str">
        <f t="shared" si="5"/>
        <v/>
      </c>
      <c r="V46" s="97" t="str">
        <f t="shared" si="5"/>
        <v/>
      </c>
      <c r="W46" s="97" t="str">
        <f t="shared" si="5"/>
        <v/>
      </c>
      <c r="X46" s="97" t="str">
        <f t="shared" si="5"/>
        <v/>
      </c>
      <c r="Y46" s="97" t="str">
        <f t="shared" si="5"/>
        <v/>
      </c>
      <c r="Z46" s="97" t="str">
        <f t="shared" si="5"/>
        <v/>
      </c>
      <c r="AA46" s="97" t="str">
        <f t="shared" si="5"/>
        <v/>
      </c>
      <c r="AB46" s="97" t="str">
        <f t="shared" si="5"/>
        <v/>
      </c>
      <c r="AC46" s="97" t="str">
        <f t="shared" si="5"/>
        <v/>
      </c>
      <c r="AD46" s="97" t="str">
        <f t="shared" si="5"/>
        <v/>
      </c>
      <c r="AE46" s="97" t="str">
        <f t="shared" si="5"/>
        <v/>
      </c>
      <c r="AF46" s="97" t="str">
        <f t="shared" si="5"/>
        <v/>
      </c>
      <c r="AG46" s="97" t="str">
        <f t="shared" si="5"/>
        <v/>
      </c>
      <c r="AH46" s="97" t="str">
        <f t="shared" si="5"/>
        <v/>
      </c>
    </row>
    <row r="47" spans="1:34" ht="27" customHeight="1">
      <c r="A47" s="30"/>
      <c r="B47" s="794"/>
      <c r="C47" s="74" t="s">
        <v>180</v>
      </c>
      <c r="D47" s="72"/>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row>
    <row r="48" spans="1:34" ht="27" customHeight="1">
      <c r="A48" s="30"/>
      <c r="B48" s="794"/>
      <c r="C48" s="74" t="s">
        <v>181</v>
      </c>
      <c r="D48" s="72"/>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row>
    <row r="49" spans="1:34" ht="27" customHeight="1">
      <c r="A49" s="30"/>
      <c r="B49" s="794"/>
      <c r="C49" s="74" t="s">
        <v>182</v>
      </c>
      <c r="D49" s="72"/>
      <c r="E49" s="98"/>
      <c r="F49" s="98"/>
      <c r="G49" s="98"/>
      <c r="H49" s="98"/>
      <c r="I49" s="98"/>
      <c r="J49" s="98"/>
      <c r="K49" s="98"/>
      <c r="L49" s="98"/>
      <c r="M49" s="98"/>
      <c r="N49" s="98"/>
      <c r="O49" s="98"/>
      <c r="P49" s="98"/>
      <c r="Q49" s="98"/>
      <c r="R49" s="98"/>
      <c r="S49" s="98"/>
      <c r="T49" s="98"/>
      <c r="U49" s="98"/>
      <c r="V49" s="98"/>
      <c r="W49" s="98"/>
      <c r="X49" s="98"/>
      <c r="Y49" s="98"/>
      <c r="Z49" s="98"/>
      <c r="AA49" s="98"/>
      <c r="AB49" s="98"/>
      <c r="AC49" s="98"/>
      <c r="AD49" s="98"/>
      <c r="AE49" s="98"/>
      <c r="AF49" s="98"/>
      <c r="AG49" s="98"/>
      <c r="AH49" s="98"/>
    </row>
    <row r="50" spans="1:34" ht="27" customHeight="1">
      <c r="A50" s="30"/>
      <c r="B50" s="794"/>
      <c r="C50" s="74" t="s">
        <v>183</v>
      </c>
      <c r="D50" s="72"/>
      <c r="E50" s="98"/>
      <c r="F50" s="98"/>
      <c r="G50" s="98"/>
      <c r="H50" s="98"/>
      <c r="I50" s="98"/>
      <c r="J50" s="98"/>
      <c r="K50" s="98"/>
      <c r="L50" s="98"/>
      <c r="M50" s="98"/>
      <c r="N50" s="98"/>
      <c r="O50" s="98"/>
      <c r="P50" s="98"/>
      <c r="Q50" s="98"/>
      <c r="R50" s="98"/>
      <c r="S50" s="98"/>
      <c r="T50" s="98"/>
      <c r="U50" s="98"/>
      <c r="V50" s="98"/>
      <c r="W50" s="98"/>
      <c r="X50" s="98"/>
      <c r="Y50" s="98"/>
      <c r="Z50" s="98"/>
      <c r="AA50" s="98"/>
      <c r="AB50" s="98"/>
      <c r="AC50" s="98"/>
      <c r="AD50" s="98"/>
      <c r="AE50" s="98"/>
      <c r="AF50" s="98"/>
      <c r="AG50" s="98"/>
      <c r="AH50" s="98"/>
    </row>
    <row r="51" spans="1:34" ht="27" customHeight="1">
      <c r="A51" s="30"/>
      <c r="B51" s="794"/>
      <c r="C51" s="74" t="s">
        <v>184</v>
      </c>
      <c r="D51" s="72"/>
      <c r="E51" s="98"/>
      <c r="F51" s="98"/>
      <c r="G51" s="98"/>
      <c r="H51" s="98"/>
      <c r="I51" s="98"/>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row>
    <row r="52" spans="1:34" ht="27" customHeight="1">
      <c r="A52" s="30"/>
      <c r="B52" s="794"/>
      <c r="C52" s="74" t="s">
        <v>185</v>
      </c>
      <c r="D52" s="72"/>
      <c r="E52" s="98"/>
      <c r="F52" s="98"/>
      <c r="G52" s="98"/>
      <c r="H52" s="98"/>
      <c r="I52" s="98"/>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row>
    <row r="53" spans="1:34" ht="27" customHeight="1">
      <c r="A53" s="30"/>
      <c r="B53" s="794"/>
      <c r="C53" s="74" t="s">
        <v>186</v>
      </c>
      <c r="D53" s="72"/>
      <c r="E53" s="98"/>
      <c r="F53" s="98"/>
      <c r="G53" s="98"/>
      <c r="H53" s="98"/>
      <c r="I53" s="98"/>
      <c r="J53" s="98"/>
      <c r="K53" s="98"/>
      <c r="L53" s="98"/>
      <c r="M53" s="98"/>
      <c r="N53" s="98"/>
      <c r="O53" s="98"/>
      <c r="P53" s="98"/>
      <c r="Q53" s="98"/>
      <c r="R53" s="98"/>
      <c r="S53" s="98"/>
      <c r="T53" s="98"/>
      <c r="U53" s="98"/>
      <c r="V53" s="98"/>
      <c r="W53" s="98"/>
      <c r="X53" s="98"/>
      <c r="Y53" s="98"/>
      <c r="Z53" s="98"/>
      <c r="AA53" s="98"/>
      <c r="AB53" s="98"/>
      <c r="AC53" s="98"/>
      <c r="AD53" s="98"/>
      <c r="AE53" s="98"/>
      <c r="AF53" s="98"/>
      <c r="AG53" s="98"/>
      <c r="AH53" s="98"/>
    </row>
    <row r="54" spans="1:34" ht="27" customHeight="1">
      <c r="A54" s="30"/>
      <c r="B54" s="800">
        <v>7</v>
      </c>
      <c r="C54" s="795"/>
      <c r="D54" s="796"/>
      <c r="E54" s="97" t="str">
        <f>IFERROR(AVERAGE(E55:E61),"")</f>
        <v/>
      </c>
      <c r="F54" s="97" t="str">
        <f t="shared" ref="F54:AH54" si="6">IFERROR(AVERAGE(F55:F61),"")</f>
        <v/>
      </c>
      <c r="G54" s="97" t="str">
        <f t="shared" si="6"/>
        <v/>
      </c>
      <c r="H54" s="97" t="str">
        <f t="shared" si="6"/>
        <v/>
      </c>
      <c r="I54" s="97" t="str">
        <f t="shared" si="6"/>
        <v/>
      </c>
      <c r="J54" s="97" t="str">
        <f t="shared" si="6"/>
        <v/>
      </c>
      <c r="K54" s="97" t="str">
        <f t="shared" si="6"/>
        <v/>
      </c>
      <c r="L54" s="97" t="str">
        <f t="shared" si="6"/>
        <v/>
      </c>
      <c r="M54" s="97" t="str">
        <f t="shared" si="6"/>
        <v/>
      </c>
      <c r="N54" s="97" t="str">
        <f t="shared" si="6"/>
        <v/>
      </c>
      <c r="O54" s="97" t="str">
        <f t="shared" si="6"/>
        <v/>
      </c>
      <c r="P54" s="97" t="str">
        <f t="shared" si="6"/>
        <v/>
      </c>
      <c r="Q54" s="97" t="str">
        <f t="shared" si="6"/>
        <v/>
      </c>
      <c r="R54" s="97" t="str">
        <f t="shared" si="6"/>
        <v/>
      </c>
      <c r="S54" s="97" t="str">
        <f t="shared" si="6"/>
        <v/>
      </c>
      <c r="T54" s="97" t="str">
        <f t="shared" si="6"/>
        <v/>
      </c>
      <c r="U54" s="97" t="str">
        <f t="shared" si="6"/>
        <v/>
      </c>
      <c r="V54" s="97" t="str">
        <f t="shared" si="6"/>
        <v/>
      </c>
      <c r="W54" s="97" t="str">
        <f t="shared" si="6"/>
        <v/>
      </c>
      <c r="X54" s="97" t="str">
        <f t="shared" si="6"/>
        <v/>
      </c>
      <c r="Y54" s="97" t="str">
        <f t="shared" si="6"/>
        <v/>
      </c>
      <c r="Z54" s="97" t="str">
        <f t="shared" si="6"/>
        <v/>
      </c>
      <c r="AA54" s="97" t="str">
        <f t="shared" si="6"/>
        <v/>
      </c>
      <c r="AB54" s="97" t="str">
        <f t="shared" si="6"/>
        <v/>
      </c>
      <c r="AC54" s="97" t="str">
        <f t="shared" si="6"/>
        <v/>
      </c>
      <c r="AD54" s="97" t="str">
        <f t="shared" si="6"/>
        <v/>
      </c>
      <c r="AE54" s="97" t="str">
        <f t="shared" si="6"/>
        <v/>
      </c>
      <c r="AF54" s="97" t="str">
        <f t="shared" si="6"/>
        <v/>
      </c>
      <c r="AG54" s="97" t="str">
        <f t="shared" si="6"/>
        <v/>
      </c>
      <c r="AH54" s="97" t="str">
        <f t="shared" si="6"/>
        <v/>
      </c>
    </row>
    <row r="55" spans="1:34" ht="27" customHeight="1">
      <c r="A55" s="30"/>
      <c r="B55" s="801"/>
      <c r="C55" s="74" t="s">
        <v>187</v>
      </c>
      <c r="D55" s="72"/>
      <c r="E55" s="98"/>
      <c r="F55" s="98"/>
      <c r="G55" s="98"/>
      <c r="H55" s="98"/>
      <c r="I55" s="98"/>
      <c r="J55" s="98"/>
      <c r="K55" s="98"/>
      <c r="L55" s="98"/>
      <c r="M55" s="98"/>
      <c r="N55" s="98"/>
      <c r="O55" s="98"/>
      <c r="P55" s="98"/>
      <c r="Q55" s="98"/>
      <c r="R55" s="98"/>
      <c r="S55" s="98"/>
      <c r="T55" s="98"/>
      <c r="U55" s="98"/>
      <c r="V55" s="98"/>
      <c r="W55" s="98"/>
      <c r="X55" s="98"/>
      <c r="Y55" s="98"/>
      <c r="Z55" s="98"/>
      <c r="AA55" s="98"/>
      <c r="AB55" s="98"/>
      <c r="AC55" s="98"/>
      <c r="AD55" s="98"/>
      <c r="AE55" s="98"/>
      <c r="AF55" s="98"/>
      <c r="AG55" s="98"/>
      <c r="AH55" s="98"/>
    </row>
    <row r="56" spans="1:34" ht="27" customHeight="1">
      <c r="A56" s="30"/>
      <c r="B56" s="801"/>
      <c r="C56" s="74" t="s">
        <v>188</v>
      </c>
      <c r="D56" s="72"/>
      <c r="E56" s="98"/>
      <c r="F56" s="98"/>
      <c r="G56" s="98"/>
      <c r="H56" s="98"/>
      <c r="I56" s="98"/>
      <c r="J56" s="98"/>
      <c r="K56" s="98"/>
      <c r="L56" s="98"/>
      <c r="M56" s="98"/>
      <c r="N56" s="98"/>
      <c r="O56" s="98"/>
      <c r="P56" s="98"/>
      <c r="Q56" s="98"/>
      <c r="R56" s="98"/>
      <c r="S56" s="98"/>
      <c r="T56" s="98"/>
      <c r="U56" s="98"/>
      <c r="V56" s="98"/>
      <c r="W56" s="98"/>
      <c r="X56" s="98"/>
      <c r="Y56" s="98"/>
      <c r="Z56" s="98"/>
      <c r="AA56" s="98"/>
      <c r="AB56" s="98"/>
      <c r="AC56" s="98"/>
      <c r="AD56" s="98"/>
      <c r="AE56" s="98"/>
      <c r="AF56" s="98"/>
      <c r="AG56" s="98"/>
      <c r="AH56" s="98"/>
    </row>
    <row r="57" spans="1:34" ht="27" customHeight="1">
      <c r="A57" s="30"/>
      <c r="B57" s="801"/>
      <c r="C57" s="74" t="s">
        <v>189</v>
      </c>
      <c r="D57" s="72"/>
      <c r="E57" s="98"/>
      <c r="F57" s="98"/>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row>
    <row r="58" spans="1:34" ht="27" customHeight="1">
      <c r="A58" s="30"/>
      <c r="B58" s="801"/>
      <c r="C58" s="74" t="s">
        <v>190</v>
      </c>
      <c r="D58" s="72"/>
      <c r="E58" s="98"/>
      <c r="F58" s="98"/>
      <c r="G58" s="98"/>
      <c r="H58" s="98"/>
      <c r="I58" s="98"/>
      <c r="J58" s="98"/>
      <c r="K58" s="98"/>
      <c r="L58" s="98"/>
      <c r="M58" s="98"/>
      <c r="N58" s="98"/>
      <c r="O58" s="98"/>
      <c r="P58" s="98"/>
      <c r="Q58" s="98"/>
      <c r="R58" s="98"/>
      <c r="S58" s="98"/>
      <c r="T58" s="98"/>
      <c r="U58" s="98"/>
      <c r="V58" s="98"/>
      <c r="W58" s="98"/>
      <c r="X58" s="98"/>
      <c r="Y58" s="98"/>
      <c r="Z58" s="98"/>
      <c r="AA58" s="98"/>
      <c r="AB58" s="98"/>
      <c r="AC58" s="98"/>
      <c r="AD58" s="98"/>
      <c r="AE58" s="98"/>
      <c r="AF58" s="98"/>
      <c r="AG58" s="98"/>
      <c r="AH58" s="98"/>
    </row>
    <row r="59" spans="1:34" ht="27" customHeight="1">
      <c r="A59" s="30"/>
      <c r="B59" s="801"/>
      <c r="C59" s="74" t="s">
        <v>191</v>
      </c>
      <c r="D59" s="72"/>
      <c r="E59" s="98"/>
      <c r="F59" s="98"/>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F59" s="98"/>
      <c r="AG59" s="98"/>
      <c r="AH59" s="98"/>
    </row>
    <row r="60" spans="1:34" ht="27" customHeight="1">
      <c r="A60" s="30"/>
      <c r="B60" s="801"/>
      <c r="C60" s="74" t="s">
        <v>192</v>
      </c>
      <c r="D60" s="72"/>
      <c r="E60" s="98"/>
      <c r="F60" s="98"/>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F60" s="98"/>
      <c r="AG60" s="98"/>
      <c r="AH60" s="98"/>
    </row>
    <row r="61" spans="1:34" ht="27" customHeight="1">
      <c r="A61" s="30"/>
      <c r="B61" s="802"/>
      <c r="C61" s="74" t="s">
        <v>193</v>
      </c>
      <c r="D61" s="72"/>
      <c r="E61" s="98"/>
      <c r="F61" s="98"/>
      <c r="G61" s="98"/>
      <c r="H61" s="98"/>
      <c r="I61" s="98"/>
      <c r="J61" s="98"/>
      <c r="K61" s="98"/>
      <c r="L61" s="98"/>
      <c r="M61" s="98"/>
      <c r="N61" s="98"/>
      <c r="O61" s="98"/>
      <c r="P61" s="98"/>
      <c r="Q61" s="98"/>
      <c r="R61" s="98"/>
      <c r="S61" s="98"/>
      <c r="T61" s="98"/>
      <c r="U61" s="98"/>
      <c r="V61" s="98"/>
      <c r="W61" s="98"/>
      <c r="X61" s="98"/>
      <c r="Y61" s="98"/>
      <c r="Z61" s="98"/>
      <c r="AA61" s="98"/>
      <c r="AB61" s="98"/>
      <c r="AC61" s="98"/>
      <c r="AD61" s="98"/>
      <c r="AE61" s="98"/>
      <c r="AF61" s="98"/>
      <c r="AG61" s="98"/>
      <c r="AH61" s="98"/>
    </row>
    <row r="62" spans="1:34" ht="27" customHeight="1">
      <c r="A62" s="30"/>
      <c r="B62" s="800">
        <v>8</v>
      </c>
      <c r="C62" s="795"/>
      <c r="D62" s="796"/>
      <c r="E62" s="97" t="str">
        <f>IFERROR(AVERAGE(E63:E69),"")</f>
        <v/>
      </c>
      <c r="F62" s="97" t="str">
        <f t="shared" ref="F62:AH62" si="7">IFERROR(AVERAGE(F63:F69),"")</f>
        <v/>
      </c>
      <c r="G62" s="97" t="str">
        <f t="shared" si="7"/>
        <v/>
      </c>
      <c r="H62" s="97" t="str">
        <f t="shared" si="7"/>
        <v/>
      </c>
      <c r="I62" s="97" t="str">
        <f t="shared" si="7"/>
        <v/>
      </c>
      <c r="J62" s="97" t="str">
        <f t="shared" si="7"/>
        <v/>
      </c>
      <c r="K62" s="97" t="str">
        <f t="shared" si="7"/>
        <v/>
      </c>
      <c r="L62" s="97" t="str">
        <f t="shared" si="7"/>
        <v/>
      </c>
      <c r="M62" s="97" t="str">
        <f t="shared" si="7"/>
        <v/>
      </c>
      <c r="N62" s="97" t="str">
        <f t="shared" si="7"/>
        <v/>
      </c>
      <c r="O62" s="97" t="str">
        <f t="shared" si="7"/>
        <v/>
      </c>
      <c r="P62" s="97" t="str">
        <f t="shared" si="7"/>
        <v/>
      </c>
      <c r="Q62" s="97" t="str">
        <f t="shared" si="7"/>
        <v/>
      </c>
      <c r="R62" s="97" t="str">
        <f t="shared" si="7"/>
        <v/>
      </c>
      <c r="S62" s="97" t="str">
        <f t="shared" si="7"/>
        <v/>
      </c>
      <c r="T62" s="97" t="str">
        <f t="shared" si="7"/>
        <v/>
      </c>
      <c r="U62" s="97" t="str">
        <f t="shared" si="7"/>
        <v/>
      </c>
      <c r="V62" s="97" t="str">
        <f t="shared" si="7"/>
        <v/>
      </c>
      <c r="W62" s="97" t="str">
        <f t="shared" si="7"/>
        <v/>
      </c>
      <c r="X62" s="97" t="str">
        <f t="shared" si="7"/>
        <v/>
      </c>
      <c r="Y62" s="97" t="str">
        <f t="shared" si="7"/>
        <v/>
      </c>
      <c r="Z62" s="97" t="str">
        <f t="shared" si="7"/>
        <v/>
      </c>
      <c r="AA62" s="97" t="str">
        <f t="shared" si="7"/>
        <v/>
      </c>
      <c r="AB62" s="97" t="str">
        <f t="shared" si="7"/>
        <v/>
      </c>
      <c r="AC62" s="97" t="str">
        <f t="shared" si="7"/>
        <v/>
      </c>
      <c r="AD62" s="97" t="str">
        <f t="shared" si="7"/>
        <v/>
      </c>
      <c r="AE62" s="97" t="str">
        <f t="shared" si="7"/>
        <v/>
      </c>
      <c r="AF62" s="97" t="str">
        <f t="shared" si="7"/>
        <v/>
      </c>
      <c r="AG62" s="97" t="str">
        <f t="shared" si="7"/>
        <v/>
      </c>
      <c r="AH62" s="97" t="str">
        <f t="shared" si="7"/>
        <v/>
      </c>
    </row>
    <row r="63" spans="1:34" ht="27" customHeight="1">
      <c r="A63" s="30"/>
      <c r="B63" s="801"/>
      <c r="C63" s="74" t="s">
        <v>194</v>
      </c>
      <c r="D63" s="72"/>
      <c r="E63" s="98"/>
      <c r="F63" s="98"/>
      <c r="G63" s="98"/>
      <c r="H63" s="98"/>
      <c r="I63" s="98"/>
      <c r="J63" s="98"/>
      <c r="K63" s="98"/>
      <c r="L63" s="98"/>
      <c r="M63" s="98"/>
      <c r="N63" s="98"/>
      <c r="O63" s="98"/>
      <c r="P63" s="98"/>
      <c r="Q63" s="98"/>
      <c r="R63" s="98"/>
      <c r="S63" s="98"/>
      <c r="T63" s="98"/>
      <c r="U63" s="98"/>
      <c r="V63" s="98"/>
      <c r="W63" s="98"/>
      <c r="X63" s="98"/>
      <c r="Y63" s="98"/>
      <c r="Z63" s="98"/>
      <c r="AA63" s="98"/>
      <c r="AB63" s="98"/>
      <c r="AC63" s="98"/>
      <c r="AD63" s="98"/>
      <c r="AE63" s="98"/>
      <c r="AF63" s="98"/>
      <c r="AG63" s="98"/>
      <c r="AH63" s="98"/>
    </row>
    <row r="64" spans="1:34" ht="27" customHeight="1">
      <c r="A64" s="30"/>
      <c r="B64" s="801"/>
      <c r="C64" s="74" t="s">
        <v>195</v>
      </c>
      <c r="D64" s="72"/>
      <c r="E64" s="98"/>
      <c r="F64" s="98"/>
      <c r="G64" s="98"/>
      <c r="H64" s="98"/>
      <c r="I64" s="98"/>
      <c r="J64" s="98"/>
      <c r="K64" s="98"/>
      <c r="L64" s="98"/>
      <c r="M64" s="98"/>
      <c r="N64" s="98"/>
      <c r="O64" s="98"/>
      <c r="P64" s="98"/>
      <c r="Q64" s="98"/>
      <c r="R64" s="98"/>
      <c r="S64" s="98"/>
      <c r="T64" s="98"/>
      <c r="U64" s="98"/>
      <c r="V64" s="98"/>
      <c r="W64" s="98"/>
      <c r="X64" s="98"/>
      <c r="Y64" s="98"/>
      <c r="Z64" s="98"/>
      <c r="AA64" s="98"/>
      <c r="AB64" s="98"/>
      <c r="AC64" s="98"/>
      <c r="AD64" s="98"/>
      <c r="AE64" s="98"/>
      <c r="AF64" s="98"/>
      <c r="AG64" s="98"/>
      <c r="AH64" s="98"/>
    </row>
    <row r="65" spans="1:34" ht="27" customHeight="1">
      <c r="A65" s="30"/>
      <c r="B65" s="801"/>
      <c r="C65" s="74" t="s">
        <v>196</v>
      </c>
      <c r="D65" s="72"/>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row>
    <row r="66" spans="1:34" ht="27" customHeight="1">
      <c r="A66" s="30"/>
      <c r="B66" s="801"/>
      <c r="C66" s="74" t="s">
        <v>197</v>
      </c>
      <c r="D66" s="72"/>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row>
    <row r="67" spans="1:34" ht="27" customHeight="1">
      <c r="A67" s="30"/>
      <c r="B67" s="801"/>
      <c r="C67" s="74" t="s">
        <v>198</v>
      </c>
      <c r="D67" s="72"/>
      <c r="E67" s="98"/>
      <c r="F67" s="98"/>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row>
    <row r="68" spans="1:34" ht="27" customHeight="1">
      <c r="A68" s="30"/>
      <c r="B68" s="801"/>
      <c r="C68" s="74" t="s">
        <v>199</v>
      </c>
      <c r="D68" s="72"/>
      <c r="E68" s="98"/>
      <c r="F68" s="98"/>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row>
    <row r="69" spans="1:34" ht="27" customHeight="1">
      <c r="A69" s="30"/>
      <c r="B69" s="802"/>
      <c r="C69" s="74" t="s">
        <v>200</v>
      </c>
      <c r="D69" s="72"/>
      <c r="E69" s="98"/>
      <c r="F69" s="98"/>
      <c r="G69" s="98"/>
      <c r="H69" s="98"/>
      <c r="I69" s="98"/>
      <c r="J69" s="98"/>
      <c r="K69" s="98"/>
      <c r="L69" s="98"/>
      <c r="M69" s="98"/>
      <c r="N69" s="98"/>
      <c r="O69" s="98"/>
      <c r="P69" s="98"/>
      <c r="Q69" s="98"/>
      <c r="R69" s="98"/>
      <c r="S69" s="98"/>
      <c r="T69" s="98"/>
      <c r="U69" s="98"/>
      <c r="V69" s="98"/>
      <c r="W69" s="98"/>
      <c r="X69" s="98"/>
      <c r="Y69" s="98"/>
      <c r="Z69" s="98"/>
      <c r="AA69" s="98"/>
      <c r="AB69" s="98"/>
      <c r="AC69" s="98"/>
      <c r="AD69" s="98"/>
      <c r="AE69" s="98"/>
      <c r="AF69" s="98"/>
      <c r="AG69" s="98"/>
      <c r="AH69" s="98"/>
    </row>
    <row r="70" spans="1:34" ht="27" customHeight="1">
      <c r="A70" s="30"/>
      <c r="B70" s="794">
        <v>9</v>
      </c>
      <c r="C70" s="795"/>
      <c r="D70" s="796"/>
      <c r="E70" s="97" t="str">
        <f>IFERROR(AVERAGE(E71:E77),"")</f>
        <v/>
      </c>
      <c r="F70" s="97" t="str">
        <f t="shared" ref="F70:AH70" si="8">IFERROR(AVERAGE(F71:F77),"")</f>
        <v/>
      </c>
      <c r="G70" s="97" t="str">
        <f t="shared" si="8"/>
        <v/>
      </c>
      <c r="H70" s="97" t="str">
        <f t="shared" si="8"/>
        <v/>
      </c>
      <c r="I70" s="97" t="str">
        <f t="shared" si="8"/>
        <v/>
      </c>
      <c r="J70" s="97" t="str">
        <f t="shared" si="8"/>
        <v/>
      </c>
      <c r="K70" s="97" t="str">
        <f t="shared" si="8"/>
        <v/>
      </c>
      <c r="L70" s="97" t="str">
        <f t="shared" si="8"/>
        <v/>
      </c>
      <c r="M70" s="97" t="str">
        <f t="shared" si="8"/>
        <v/>
      </c>
      <c r="N70" s="97" t="str">
        <f t="shared" si="8"/>
        <v/>
      </c>
      <c r="O70" s="97" t="str">
        <f t="shared" si="8"/>
        <v/>
      </c>
      <c r="P70" s="97" t="str">
        <f t="shared" si="8"/>
        <v/>
      </c>
      <c r="Q70" s="97" t="str">
        <f t="shared" si="8"/>
        <v/>
      </c>
      <c r="R70" s="97" t="str">
        <f t="shared" si="8"/>
        <v/>
      </c>
      <c r="S70" s="97" t="str">
        <f t="shared" si="8"/>
        <v/>
      </c>
      <c r="T70" s="97" t="str">
        <f t="shared" si="8"/>
        <v/>
      </c>
      <c r="U70" s="97" t="str">
        <f t="shared" si="8"/>
        <v/>
      </c>
      <c r="V70" s="97" t="str">
        <f t="shared" si="8"/>
        <v/>
      </c>
      <c r="W70" s="97" t="str">
        <f t="shared" si="8"/>
        <v/>
      </c>
      <c r="X70" s="97" t="str">
        <f t="shared" si="8"/>
        <v/>
      </c>
      <c r="Y70" s="97" t="str">
        <f t="shared" si="8"/>
        <v/>
      </c>
      <c r="Z70" s="97" t="str">
        <f t="shared" si="8"/>
        <v/>
      </c>
      <c r="AA70" s="97" t="str">
        <f t="shared" si="8"/>
        <v/>
      </c>
      <c r="AB70" s="97" t="str">
        <f t="shared" si="8"/>
        <v/>
      </c>
      <c r="AC70" s="97" t="str">
        <f t="shared" si="8"/>
        <v/>
      </c>
      <c r="AD70" s="97" t="str">
        <f t="shared" si="8"/>
        <v/>
      </c>
      <c r="AE70" s="97" t="str">
        <f t="shared" si="8"/>
        <v/>
      </c>
      <c r="AF70" s="97" t="str">
        <f t="shared" si="8"/>
        <v/>
      </c>
      <c r="AG70" s="97" t="str">
        <f t="shared" si="8"/>
        <v/>
      </c>
      <c r="AH70" s="97" t="str">
        <f t="shared" si="8"/>
        <v/>
      </c>
    </row>
    <row r="71" spans="1:34" ht="27" customHeight="1">
      <c r="A71" s="30"/>
      <c r="B71" s="794"/>
      <c r="C71" s="74" t="s">
        <v>201</v>
      </c>
      <c r="D71" s="72"/>
      <c r="E71" s="98"/>
      <c r="F71" s="98"/>
      <c r="G71" s="98"/>
      <c r="H71" s="98"/>
      <c r="I71" s="98"/>
      <c r="J71" s="98"/>
      <c r="K71" s="98"/>
      <c r="L71" s="98"/>
      <c r="M71" s="98"/>
      <c r="N71" s="98"/>
      <c r="O71" s="98"/>
      <c r="P71" s="98"/>
      <c r="Q71" s="98"/>
      <c r="R71" s="98"/>
      <c r="S71" s="98"/>
      <c r="T71" s="98"/>
      <c r="U71" s="98"/>
      <c r="V71" s="98"/>
      <c r="W71" s="98"/>
      <c r="X71" s="98"/>
      <c r="Y71" s="98"/>
      <c r="Z71" s="98"/>
      <c r="AA71" s="98"/>
      <c r="AB71" s="98"/>
      <c r="AC71" s="98"/>
      <c r="AD71" s="98"/>
      <c r="AE71" s="98"/>
      <c r="AF71" s="98"/>
      <c r="AG71" s="98"/>
      <c r="AH71" s="98"/>
    </row>
    <row r="72" spans="1:34" ht="27" customHeight="1">
      <c r="A72" s="30"/>
      <c r="B72" s="794"/>
      <c r="C72" s="74" t="s">
        <v>202</v>
      </c>
      <c r="D72" s="72"/>
      <c r="E72" s="98"/>
      <c r="F72" s="98"/>
      <c r="G72" s="98"/>
      <c r="H72" s="98"/>
      <c r="I72" s="98"/>
      <c r="J72" s="98"/>
      <c r="K72" s="98"/>
      <c r="L72" s="98"/>
      <c r="M72" s="98"/>
      <c r="N72" s="98"/>
      <c r="O72" s="98"/>
      <c r="P72" s="98"/>
      <c r="Q72" s="98"/>
      <c r="R72" s="98"/>
      <c r="S72" s="98"/>
      <c r="T72" s="98"/>
      <c r="U72" s="98"/>
      <c r="V72" s="98"/>
      <c r="W72" s="98"/>
      <c r="X72" s="98"/>
      <c r="Y72" s="98"/>
      <c r="Z72" s="98"/>
      <c r="AA72" s="98"/>
      <c r="AB72" s="98"/>
      <c r="AC72" s="98"/>
      <c r="AD72" s="98"/>
      <c r="AE72" s="98"/>
      <c r="AF72" s="98"/>
      <c r="AG72" s="98"/>
      <c r="AH72" s="98"/>
    </row>
    <row r="73" spans="1:34" ht="27" customHeight="1">
      <c r="A73" s="30"/>
      <c r="B73" s="794"/>
      <c r="C73" s="74" t="s">
        <v>203</v>
      </c>
      <c r="D73" s="72"/>
      <c r="E73" s="98"/>
      <c r="F73" s="98"/>
      <c r="G73" s="98"/>
      <c r="H73" s="98"/>
      <c r="I73" s="98"/>
      <c r="J73" s="98"/>
      <c r="K73" s="98"/>
      <c r="L73" s="98"/>
      <c r="M73" s="98"/>
      <c r="N73" s="98"/>
      <c r="O73" s="98"/>
      <c r="P73" s="98"/>
      <c r="Q73" s="98"/>
      <c r="R73" s="98"/>
      <c r="S73" s="98"/>
      <c r="T73" s="98"/>
      <c r="U73" s="98"/>
      <c r="V73" s="98"/>
      <c r="W73" s="98"/>
      <c r="X73" s="98"/>
      <c r="Y73" s="98"/>
      <c r="Z73" s="98"/>
      <c r="AA73" s="98"/>
      <c r="AB73" s="98"/>
      <c r="AC73" s="98"/>
      <c r="AD73" s="98"/>
      <c r="AE73" s="98"/>
      <c r="AF73" s="98"/>
      <c r="AG73" s="98"/>
      <c r="AH73" s="98"/>
    </row>
    <row r="74" spans="1:34" ht="27" customHeight="1">
      <c r="A74" s="30"/>
      <c r="B74" s="794"/>
      <c r="C74" s="74" t="s">
        <v>204</v>
      </c>
      <c r="D74" s="72"/>
      <c r="E74" s="98"/>
      <c r="F74" s="98"/>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row>
    <row r="75" spans="1:34" ht="27" customHeight="1">
      <c r="A75" s="30"/>
      <c r="B75" s="794"/>
      <c r="C75" s="74" t="s">
        <v>205</v>
      </c>
      <c r="D75" s="72"/>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row>
    <row r="76" spans="1:34" ht="27" customHeight="1">
      <c r="A76" s="30"/>
      <c r="B76" s="794"/>
      <c r="C76" s="74" t="s">
        <v>206</v>
      </c>
      <c r="D76" s="72"/>
      <c r="E76" s="98"/>
      <c r="F76" s="98"/>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row>
    <row r="77" spans="1:34" ht="27" customHeight="1">
      <c r="A77" s="30"/>
      <c r="B77" s="794"/>
      <c r="C77" s="74" t="s">
        <v>207</v>
      </c>
      <c r="D77" s="72"/>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row>
    <row r="78" spans="1:34" ht="27" customHeight="1">
      <c r="A78" s="30"/>
      <c r="B78" s="800">
        <v>10</v>
      </c>
      <c r="C78" s="795"/>
      <c r="D78" s="796"/>
      <c r="E78" s="97" t="str">
        <f>IFERROR(AVERAGE(E79:E85),"")</f>
        <v/>
      </c>
      <c r="F78" s="97" t="str">
        <f t="shared" ref="F78:AH78" si="9">IFERROR(AVERAGE(F79:F85),"")</f>
        <v/>
      </c>
      <c r="G78" s="97" t="str">
        <f t="shared" si="9"/>
        <v/>
      </c>
      <c r="H78" s="97" t="str">
        <f t="shared" si="9"/>
        <v/>
      </c>
      <c r="I78" s="97" t="str">
        <f t="shared" si="9"/>
        <v/>
      </c>
      <c r="J78" s="97" t="str">
        <f t="shared" si="9"/>
        <v/>
      </c>
      <c r="K78" s="97" t="str">
        <f t="shared" si="9"/>
        <v/>
      </c>
      <c r="L78" s="97" t="str">
        <f t="shared" si="9"/>
        <v/>
      </c>
      <c r="M78" s="97" t="str">
        <f t="shared" si="9"/>
        <v/>
      </c>
      <c r="N78" s="97" t="str">
        <f t="shared" si="9"/>
        <v/>
      </c>
      <c r="O78" s="97" t="str">
        <f t="shared" si="9"/>
        <v/>
      </c>
      <c r="P78" s="97" t="str">
        <f t="shared" si="9"/>
        <v/>
      </c>
      <c r="Q78" s="97" t="str">
        <f t="shared" si="9"/>
        <v/>
      </c>
      <c r="R78" s="97" t="str">
        <f t="shared" si="9"/>
        <v/>
      </c>
      <c r="S78" s="97" t="str">
        <f t="shared" si="9"/>
        <v/>
      </c>
      <c r="T78" s="97" t="str">
        <f t="shared" si="9"/>
        <v/>
      </c>
      <c r="U78" s="97" t="str">
        <f t="shared" si="9"/>
        <v/>
      </c>
      <c r="V78" s="97" t="str">
        <f t="shared" si="9"/>
        <v/>
      </c>
      <c r="W78" s="97" t="str">
        <f t="shared" si="9"/>
        <v/>
      </c>
      <c r="X78" s="97" t="str">
        <f t="shared" si="9"/>
        <v/>
      </c>
      <c r="Y78" s="97" t="str">
        <f t="shared" si="9"/>
        <v/>
      </c>
      <c r="Z78" s="97" t="str">
        <f t="shared" si="9"/>
        <v/>
      </c>
      <c r="AA78" s="97" t="str">
        <f t="shared" si="9"/>
        <v/>
      </c>
      <c r="AB78" s="97" t="str">
        <f t="shared" si="9"/>
        <v/>
      </c>
      <c r="AC78" s="97" t="str">
        <f t="shared" si="9"/>
        <v/>
      </c>
      <c r="AD78" s="97" t="str">
        <f t="shared" si="9"/>
        <v/>
      </c>
      <c r="AE78" s="97" t="str">
        <f t="shared" si="9"/>
        <v/>
      </c>
      <c r="AF78" s="97" t="str">
        <f t="shared" si="9"/>
        <v/>
      </c>
      <c r="AG78" s="97" t="str">
        <f t="shared" si="9"/>
        <v/>
      </c>
      <c r="AH78" s="97" t="str">
        <f t="shared" si="9"/>
        <v/>
      </c>
    </row>
    <row r="79" spans="1:34" ht="27" customHeight="1">
      <c r="A79" s="30"/>
      <c r="B79" s="801"/>
      <c r="C79" s="74" t="s">
        <v>208</v>
      </c>
      <c r="D79" s="72"/>
      <c r="E79" s="98"/>
      <c r="F79" s="98"/>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row>
    <row r="80" spans="1:34" ht="27" customHeight="1">
      <c r="A80" s="30"/>
      <c r="B80" s="801"/>
      <c r="C80" s="74" t="s">
        <v>209</v>
      </c>
      <c r="D80" s="72"/>
      <c r="E80" s="98"/>
      <c r="F80" s="98"/>
      <c r="G80" s="98"/>
      <c r="H80" s="98"/>
      <c r="I80" s="98"/>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row>
    <row r="81" spans="1:34" ht="27" customHeight="1">
      <c r="A81" s="30"/>
      <c r="B81" s="801"/>
      <c r="C81" s="74" t="s">
        <v>210</v>
      </c>
      <c r="D81" s="72"/>
      <c r="E81" s="98"/>
      <c r="F81" s="98"/>
      <c r="G81" s="98"/>
      <c r="H81" s="98"/>
      <c r="I81" s="98"/>
      <c r="J81" s="98"/>
      <c r="K81" s="98"/>
      <c r="L81" s="98"/>
      <c r="M81" s="98"/>
      <c r="N81" s="98"/>
      <c r="O81" s="98"/>
      <c r="P81" s="98"/>
      <c r="Q81" s="98"/>
      <c r="R81" s="98"/>
      <c r="S81" s="98"/>
      <c r="T81" s="98"/>
      <c r="U81" s="98"/>
      <c r="V81" s="98"/>
      <c r="W81" s="98"/>
      <c r="X81" s="98"/>
      <c r="Y81" s="98"/>
      <c r="Z81" s="98"/>
      <c r="AA81" s="98"/>
      <c r="AB81" s="98"/>
      <c r="AC81" s="98"/>
      <c r="AD81" s="98"/>
      <c r="AE81" s="98"/>
      <c r="AF81" s="98"/>
      <c r="AG81" s="98"/>
      <c r="AH81" s="98"/>
    </row>
    <row r="82" spans="1:34" ht="27" customHeight="1">
      <c r="A82" s="30"/>
      <c r="B82" s="801"/>
      <c r="C82" s="74" t="s">
        <v>211</v>
      </c>
      <c r="D82" s="72"/>
      <c r="E82" s="98"/>
      <c r="F82" s="98"/>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row>
    <row r="83" spans="1:34" ht="27" customHeight="1">
      <c r="A83" s="30"/>
      <c r="B83" s="801"/>
      <c r="C83" s="74" t="s">
        <v>212</v>
      </c>
      <c r="D83" s="72"/>
      <c r="E83" s="98"/>
      <c r="F83" s="98"/>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row>
    <row r="84" spans="1:34" ht="27" customHeight="1">
      <c r="A84" s="30"/>
      <c r="B84" s="801"/>
      <c r="C84" s="74" t="s">
        <v>213</v>
      </c>
      <c r="D84" s="72"/>
      <c r="E84" s="98"/>
      <c r="F84" s="98"/>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row>
    <row r="85" spans="1:34" ht="27" customHeight="1">
      <c r="A85" s="30"/>
      <c r="B85" s="802"/>
      <c r="C85" s="74" t="s">
        <v>214</v>
      </c>
      <c r="D85" s="72"/>
      <c r="E85" s="98"/>
      <c r="F85" s="98"/>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row>
    <row r="86" spans="1:34" ht="27" customHeight="1">
      <c r="A86" s="30"/>
      <c r="B86" s="800">
        <v>11</v>
      </c>
      <c r="C86" s="795"/>
      <c r="D86" s="796"/>
      <c r="E86" s="97" t="str">
        <f>IFERROR(AVERAGE(E87:E93),"")</f>
        <v/>
      </c>
      <c r="F86" s="97" t="str">
        <f t="shared" ref="F86:AH86" si="10">IFERROR(AVERAGE(F87:F93),"")</f>
        <v/>
      </c>
      <c r="G86" s="97" t="str">
        <f t="shared" si="10"/>
        <v/>
      </c>
      <c r="H86" s="97" t="str">
        <f t="shared" si="10"/>
        <v/>
      </c>
      <c r="I86" s="97" t="str">
        <f t="shared" si="10"/>
        <v/>
      </c>
      <c r="J86" s="97" t="str">
        <f t="shared" si="10"/>
        <v/>
      </c>
      <c r="K86" s="97" t="str">
        <f t="shared" si="10"/>
        <v/>
      </c>
      <c r="L86" s="97" t="str">
        <f t="shared" si="10"/>
        <v/>
      </c>
      <c r="M86" s="97" t="str">
        <f t="shared" si="10"/>
        <v/>
      </c>
      <c r="N86" s="97" t="str">
        <f t="shared" si="10"/>
        <v/>
      </c>
      <c r="O86" s="97" t="str">
        <f t="shared" si="10"/>
        <v/>
      </c>
      <c r="P86" s="97" t="str">
        <f t="shared" si="10"/>
        <v/>
      </c>
      <c r="Q86" s="97" t="str">
        <f t="shared" si="10"/>
        <v/>
      </c>
      <c r="R86" s="97" t="str">
        <f t="shared" si="10"/>
        <v/>
      </c>
      <c r="S86" s="97" t="str">
        <f t="shared" si="10"/>
        <v/>
      </c>
      <c r="T86" s="97" t="str">
        <f t="shared" si="10"/>
        <v/>
      </c>
      <c r="U86" s="97" t="str">
        <f t="shared" si="10"/>
        <v/>
      </c>
      <c r="V86" s="97" t="str">
        <f t="shared" si="10"/>
        <v/>
      </c>
      <c r="W86" s="97" t="str">
        <f t="shared" si="10"/>
        <v/>
      </c>
      <c r="X86" s="97" t="str">
        <f t="shared" si="10"/>
        <v/>
      </c>
      <c r="Y86" s="97" t="str">
        <f t="shared" si="10"/>
        <v/>
      </c>
      <c r="Z86" s="97" t="str">
        <f t="shared" si="10"/>
        <v/>
      </c>
      <c r="AA86" s="97" t="str">
        <f t="shared" si="10"/>
        <v/>
      </c>
      <c r="AB86" s="97" t="str">
        <f t="shared" si="10"/>
        <v/>
      </c>
      <c r="AC86" s="97" t="str">
        <f t="shared" si="10"/>
        <v/>
      </c>
      <c r="AD86" s="97" t="str">
        <f t="shared" si="10"/>
        <v/>
      </c>
      <c r="AE86" s="97" t="str">
        <f t="shared" si="10"/>
        <v/>
      </c>
      <c r="AF86" s="97" t="str">
        <f t="shared" si="10"/>
        <v/>
      </c>
      <c r="AG86" s="97" t="str">
        <f t="shared" si="10"/>
        <v/>
      </c>
      <c r="AH86" s="97" t="str">
        <f t="shared" si="10"/>
        <v/>
      </c>
    </row>
    <row r="87" spans="1:34" ht="27" customHeight="1">
      <c r="A87" s="30"/>
      <c r="B87" s="801"/>
      <c r="C87" s="74" t="s">
        <v>215</v>
      </c>
      <c r="D87" s="72"/>
      <c r="E87" s="99"/>
      <c r="F87" s="99"/>
      <c r="G87" s="99"/>
      <c r="H87" s="99"/>
      <c r="I87" s="99"/>
      <c r="J87" s="99"/>
      <c r="K87" s="99"/>
      <c r="L87" s="99"/>
      <c r="M87" s="99"/>
      <c r="N87" s="99"/>
      <c r="O87" s="99"/>
      <c r="P87" s="99"/>
      <c r="Q87" s="99"/>
      <c r="R87" s="99"/>
      <c r="S87" s="99"/>
      <c r="T87" s="99"/>
      <c r="U87" s="99"/>
      <c r="V87" s="99"/>
      <c r="W87" s="99"/>
      <c r="X87" s="99"/>
      <c r="Y87" s="99"/>
      <c r="Z87" s="99"/>
      <c r="AA87" s="99"/>
      <c r="AB87" s="99"/>
      <c r="AC87" s="99"/>
      <c r="AD87" s="99"/>
      <c r="AE87" s="99"/>
      <c r="AF87" s="99"/>
      <c r="AG87" s="99"/>
      <c r="AH87" s="99"/>
    </row>
    <row r="88" spans="1:34" ht="27" customHeight="1">
      <c r="A88" s="30"/>
      <c r="B88" s="801"/>
      <c r="C88" s="74" t="s">
        <v>216</v>
      </c>
      <c r="D88" s="72"/>
      <c r="E88" s="98"/>
      <c r="F88" s="98"/>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row>
    <row r="89" spans="1:34" ht="27" customHeight="1">
      <c r="A89" s="30"/>
      <c r="B89" s="801"/>
      <c r="C89" s="74" t="s">
        <v>217</v>
      </c>
      <c r="D89" s="72"/>
      <c r="E89" s="98"/>
      <c r="F89" s="98"/>
      <c r="G89" s="98"/>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row>
    <row r="90" spans="1:34" ht="27" customHeight="1">
      <c r="A90" s="30"/>
      <c r="B90" s="801"/>
      <c r="C90" s="74" t="s">
        <v>218</v>
      </c>
      <c r="D90" s="72"/>
      <c r="E90" s="98"/>
      <c r="F90" s="98"/>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row>
    <row r="91" spans="1:34" ht="27" customHeight="1">
      <c r="A91" s="30"/>
      <c r="B91" s="801"/>
      <c r="C91" s="74" t="s">
        <v>219</v>
      </c>
      <c r="D91" s="72"/>
      <c r="E91" s="98"/>
      <c r="F91" s="98"/>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row>
    <row r="92" spans="1:34" ht="27" customHeight="1">
      <c r="A92" s="30"/>
      <c r="B92" s="801"/>
      <c r="C92" s="74" t="s">
        <v>220</v>
      </c>
      <c r="D92" s="72"/>
      <c r="E92" s="98"/>
      <c r="F92" s="98"/>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row>
    <row r="93" spans="1:34" ht="27" customHeight="1">
      <c r="A93" s="30"/>
      <c r="B93" s="802"/>
      <c r="C93" s="74" t="s">
        <v>221</v>
      </c>
      <c r="D93" s="72"/>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row>
    <row r="94" spans="1:34" ht="27" customHeight="1">
      <c r="A94" s="30"/>
      <c r="B94" s="800">
        <v>12</v>
      </c>
      <c r="C94" s="795"/>
      <c r="D94" s="796"/>
      <c r="E94" s="97" t="str">
        <f>IFERROR(AVERAGE(E95:E101),"")</f>
        <v/>
      </c>
      <c r="F94" s="97" t="str">
        <f t="shared" ref="F94:AH94" si="11">IFERROR(AVERAGE(F95:F101),"")</f>
        <v/>
      </c>
      <c r="G94" s="97" t="str">
        <f t="shared" si="11"/>
        <v/>
      </c>
      <c r="H94" s="97" t="str">
        <f t="shared" si="11"/>
        <v/>
      </c>
      <c r="I94" s="97" t="str">
        <f t="shared" si="11"/>
        <v/>
      </c>
      <c r="J94" s="97" t="str">
        <f t="shared" si="11"/>
        <v/>
      </c>
      <c r="K94" s="97" t="str">
        <f t="shared" si="11"/>
        <v/>
      </c>
      <c r="L94" s="97" t="str">
        <f t="shared" si="11"/>
        <v/>
      </c>
      <c r="M94" s="97" t="str">
        <f t="shared" si="11"/>
        <v/>
      </c>
      <c r="N94" s="97" t="str">
        <f t="shared" si="11"/>
        <v/>
      </c>
      <c r="O94" s="97" t="str">
        <f t="shared" si="11"/>
        <v/>
      </c>
      <c r="P94" s="97" t="str">
        <f t="shared" si="11"/>
        <v/>
      </c>
      <c r="Q94" s="97" t="str">
        <f t="shared" si="11"/>
        <v/>
      </c>
      <c r="R94" s="97" t="str">
        <f t="shared" si="11"/>
        <v/>
      </c>
      <c r="S94" s="97" t="str">
        <f t="shared" si="11"/>
        <v/>
      </c>
      <c r="T94" s="97" t="str">
        <f t="shared" si="11"/>
        <v/>
      </c>
      <c r="U94" s="97" t="str">
        <f t="shared" si="11"/>
        <v/>
      </c>
      <c r="V94" s="97" t="str">
        <f t="shared" si="11"/>
        <v/>
      </c>
      <c r="W94" s="97" t="str">
        <f t="shared" si="11"/>
        <v/>
      </c>
      <c r="X94" s="97" t="str">
        <f t="shared" si="11"/>
        <v/>
      </c>
      <c r="Y94" s="97" t="str">
        <f t="shared" si="11"/>
        <v/>
      </c>
      <c r="Z94" s="97" t="str">
        <f t="shared" si="11"/>
        <v/>
      </c>
      <c r="AA94" s="97" t="str">
        <f t="shared" si="11"/>
        <v/>
      </c>
      <c r="AB94" s="97" t="str">
        <f t="shared" si="11"/>
        <v/>
      </c>
      <c r="AC94" s="97" t="str">
        <f t="shared" si="11"/>
        <v/>
      </c>
      <c r="AD94" s="97" t="str">
        <f t="shared" si="11"/>
        <v/>
      </c>
      <c r="AE94" s="97" t="str">
        <f t="shared" si="11"/>
        <v/>
      </c>
      <c r="AF94" s="97" t="str">
        <f t="shared" si="11"/>
        <v/>
      </c>
      <c r="AG94" s="97" t="str">
        <f t="shared" si="11"/>
        <v/>
      </c>
      <c r="AH94" s="97" t="str">
        <f t="shared" si="11"/>
        <v/>
      </c>
    </row>
    <row r="95" spans="1:34" ht="27" customHeight="1">
      <c r="A95" s="30"/>
      <c r="B95" s="801"/>
      <c r="C95" s="74" t="s">
        <v>222</v>
      </c>
      <c r="D95" s="72"/>
      <c r="E95" s="98"/>
      <c r="F95" s="98"/>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row>
    <row r="96" spans="1:34" ht="27" customHeight="1">
      <c r="A96" s="30"/>
      <c r="B96" s="801"/>
      <c r="C96" s="74" t="s">
        <v>223</v>
      </c>
      <c r="D96" s="72"/>
      <c r="E96" s="98"/>
      <c r="F96" s="98"/>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row>
    <row r="97" spans="1:34" ht="27" customHeight="1">
      <c r="A97" s="30"/>
      <c r="B97" s="801"/>
      <c r="C97" s="74" t="s">
        <v>224</v>
      </c>
      <c r="D97" s="72"/>
      <c r="E97" s="98"/>
      <c r="F97" s="98"/>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row>
    <row r="98" spans="1:34" ht="27" customHeight="1">
      <c r="A98" s="30"/>
      <c r="B98" s="801"/>
      <c r="C98" s="74" t="s">
        <v>225</v>
      </c>
      <c r="D98" s="72"/>
      <c r="E98" s="98"/>
      <c r="F98" s="98"/>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row>
    <row r="99" spans="1:34" ht="27" customHeight="1">
      <c r="A99" s="30"/>
      <c r="B99" s="801"/>
      <c r="C99" s="74" t="s">
        <v>226</v>
      </c>
      <c r="D99" s="72"/>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row>
    <row r="100" spans="1:34" ht="27" customHeight="1">
      <c r="A100" s="30"/>
      <c r="B100" s="801"/>
      <c r="C100" s="74" t="s">
        <v>227</v>
      </c>
      <c r="D100" s="72"/>
      <c r="E100" s="98"/>
      <c r="F100" s="98"/>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row>
    <row r="101" spans="1:34" ht="27" customHeight="1">
      <c r="A101" s="30"/>
      <c r="B101" s="802"/>
      <c r="C101" s="74" t="s">
        <v>228</v>
      </c>
      <c r="D101" s="72"/>
      <c r="E101" s="98"/>
      <c r="F101" s="98"/>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row>
    <row r="102" spans="1:34" ht="27" customHeight="1">
      <c r="A102" s="30"/>
      <c r="B102" s="794">
        <v>13</v>
      </c>
      <c r="C102" s="795"/>
      <c r="D102" s="796"/>
      <c r="E102" s="97" t="str">
        <f>IFERROR(AVERAGE(E103:E109),"")</f>
        <v/>
      </c>
      <c r="F102" s="97" t="str">
        <f t="shared" ref="F102:AH102" si="12">IFERROR(AVERAGE(F103:F109),"")</f>
        <v/>
      </c>
      <c r="G102" s="97" t="str">
        <f t="shared" si="12"/>
        <v/>
      </c>
      <c r="H102" s="97" t="str">
        <f t="shared" si="12"/>
        <v/>
      </c>
      <c r="I102" s="97" t="str">
        <f t="shared" si="12"/>
        <v/>
      </c>
      <c r="J102" s="97" t="str">
        <f t="shared" si="12"/>
        <v/>
      </c>
      <c r="K102" s="97" t="str">
        <f t="shared" si="12"/>
        <v/>
      </c>
      <c r="L102" s="97" t="str">
        <f t="shared" si="12"/>
        <v/>
      </c>
      <c r="M102" s="97" t="str">
        <f t="shared" si="12"/>
        <v/>
      </c>
      <c r="N102" s="97" t="str">
        <f t="shared" si="12"/>
        <v/>
      </c>
      <c r="O102" s="97" t="str">
        <f t="shared" si="12"/>
        <v/>
      </c>
      <c r="P102" s="97" t="str">
        <f t="shared" si="12"/>
        <v/>
      </c>
      <c r="Q102" s="97" t="str">
        <f t="shared" si="12"/>
        <v/>
      </c>
      <c r="R102" s="97" t="str">
        <f t="shared" si="12"/>
        <v/>
      </c>
      <c r="S102" s="97" t="str">
        <f t="shared" si="12"/>
        <v/>
      </c>
      <c r="T102" s="97" t="str">
        <f t="shared" si="12"/>
        <v/>
      </c>
      <c r="U102" s="97" t="str">
        <f t="shared" si="12"/>
        <v/>
      </c>
      <c r="V102" s="97" t="str">
        <f t="shared" si="12"/>
        <v/>
      </c>
      <c r="W102" s="97" t="str">
        <f t="shared" si="12"/>
        <v/>
      </c>
      <c r="X102" s="97" t="str">
        <f t="shared" si="12"/>
        <v/>
      </c>
      <c r="Y102" s="97" t="str">
        <f t="shared" si="12"/>
        <v/>
      </c>
      <c r="Z102" s="97" t="str">
        <f t="shared" si="12"/>
        <v/>
      </c>
      <c r="AA102" s="97" t="str">
        <f t="shared" si="12"/>
        <v/>
      </c>
      <c r="AB102" s="97" t="str">
        <f t="shared" si="12"/>
        <v/>
      </c>
      <c r="AC102" s="97" t="str">
        <f t="shared" si="12"/>
        <v/>
      </c>
      <c r="AD102" s="97" t="str">
        <f t="shared" si="12"/>
        <v/>
      </c>
      <c r="AE102" s="97" t="str">
        <f t="shared" si="12"/>
        <v/>
      </c>
      <c r="AF102" s="97" t="str">
        <f t="shared" si="12"/>
        <v/>
      </c>
      <c r="AG102" s="97" t="str">
        <f t="shared" si="12"/>
        <v/>
      </c>
      <c r="AH102" s="97" t="str">
        <f t="shared" si="12"/>
        <v/>
      </c>
    </row>
    <row r="103" spans="1:34" ht="27" customHeight="1">
      <c r="A103" s="30"/>
      <c r="B103" s="794"/>
      <c r="C103" s="74" t="s">
        <v>229</v>
      </c>
      <c r="D103" s="72"/>
      <c r="E103" s="98"/>
      <c r="F103" s="98"/>
      <c r="G103" s="98"/>
      <c r="H103" s="98"/>
      <c r="I103" s="98"/>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row>
    <row r="104" spans="1:34" ht="27" customHeight="1">
      <c r="A104" s="30"/>
      <c r="B104" s="794"/>
      <c r="C104" s="74" t="s">
        <v>230</v>
      </c>
      <c r="D104" s="72"/>
      <c r="E104" s="98"/>
      <c r="F104" s="98"/>
      <c r="G104" s="98"/>
      <c r="H104" s="98"/>
      <c r="I104" s="98"/>
      <c r="J104" s="98"/>
      <c r="K104" s="98"/>
      <c r="L104" s="98"/>
      <c r="M104" s="98"/>
      <c r="N104" s="98"/>
      <c r="O104" s="98"/>
      <c r="P104" s="98"/>
      <c r="Q104" s="98"/>
      <c r="R104" s="98"/>
      <c r="S104" s="98"/>
      <c r="T104" s="98"/>
      <c r="U104" s="98"/>
      <c r="V104" s="98"/>
      <c r="W104" s="98"/>
      <c r="X104" s="98"/>
      <c r="Y104" s="98"/>
      <c r="Z104" s="98"/>
      <c r="AA104" s="98"/>
      <c r="AB104" s="98"/>
      <c r="AC104" s="98"/>
      <c r="AD104" s="98"/>
      <c r="AE104" s="98"/>
      <c r="AF104" s="98"/>
      <c r="AG104" s="98"/>
      <c r="AH104" s="98"/>
    </row>
    <row r="105" spans="1:34" ht="27" customHeight="1">
      <c r="A105" s="30"/>
      <c r="B105" s="794"/>
      <c r="C105" s="74" t="s">
        <v>231</v>
      </c>
      <c r="D105" s="72"/>
      <c r="E105" s="98"/>
      <c r="F105" s="98"/>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row>
    <row r="106" spans="1:34" ht="27" customHeight="1">
      <c r="A106" s="30"/>
      <c r="B106" s="794"/>
      <c r="C106" s="74" t="s">
        <v>232</v>
      </c>
      <c r="D106" s="72"/>
      <c r="E106" s="98"/>
      <c r="F106" s="98"/>
      <c r="G106" s="98"/>
      <c r="H106" s="98"/>
      <c r="I106" s="98"/>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row>
    <row r="107" spans="1:34" ht="27" customHeight="1">
      <c r="A107" s="30"/>
      <c r="B107" s="794"/>
      <c r="C107" s="74" t="s">
        <v>233</v>
      </c>
      <c r="D107" s="72"/>
      <c r="E107" s="98"/>
      <c r="F107" s="98"/>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row>
    <row r="108" spans="1:34" ht="27" customHeight="1">
      <c r="A108" s="30"/>
      <c r="B108" s="794"/>
      <c r="C108" s="74" t="s">
        <v>234</v>
      </c>
      <c r="D108" s="72"/>
      <c r="E108" s="98"/>
      <c r="F108" s="98"/>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row>
    <row r="109" spans="1:34" ht="27" customHeight="1">
      <c r="A109" s="30"/>
      <c r="B109" s="794"/>
      <c r="C109" s="74" t="s">
        <v>235</v>
      </c>
      <c r="D109" s="72"/>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row>
    <row r="110" spans="1:34" ht="27" customHeight="1">
      <c r="A110" s="30"/>
      <c r="B110" s="797" t="s">
        <v>143</v>
      </c>
      <c r="C110" s="798"/>
      <c r="D110" s="799"/>
      <c r="E110" s="100" t="str">
        <f>IFERROR(AVERAGE(E6,E14,E22,E30,E38,E46,E54,E62,E70,E78,E86,E94,E102),"")</f>
        <v/>
      </c>
      <c r="F110" s="100" t="str">
        <f t="shared" ref="F110:AH110" si="13">IFERROR(AVERAGE(F6,F14,F22,F30,F38,F46,F54,F62,F70,F78,F86,F94,F102),"")</f>
        <v/>
      </c>
      <c r="G110" s="100" t="str">
        <f t="shared" si="13"/>
        <v/>
      </c>
      <c r="H110" s="100" t="str">
        <f t="shared" si="13"/>
        <v/>
      </c>
      <c r="I110" s="100" t="str">
        <f t="shared" si="13"/>
        <v/>
      </c>
      <c r="J110" s="100" t="str">
        <f t="shared" si="13"/>
        <v/>
      </c>
      <c r="K110" s="100" t="str">
        <f t="shared" si="13"/>
        <v/>
      </c>
      <c r="L110" s="100" t="str">
        <f t="shared" si="13"/>
        <v/>
      </c>
      <c r="M110" s="100" t="str">
        <f t="shared" si="13"/>
        <v/>
      </c>
      <c r="N110" s="100" t="str">
        <f t="shared" si="13"/>
        <v/>
      </c>
      <c r="O110" s="100" t="str">
        <f t="shared" si="13"/>
        <v/>
      </c>
      <c r="P110" s="100" t="str">
        <f t="shared" si="13"/>
        <v/>
      </c>
      <c r="Q110" s="100" t="str">
        <f t="shared" si="13"/>
        <v/>
      </c>
      <c r="R110" s="100" t="str">
        <f t="shared" si="13"/>
        <v/>
      </c>
      <c r="S110" s="100" t="str">
        <f t="shared" si="13"/>
        <v/>
      </c>
      <c r="T110" s="100" t="str">
        <f t="shared" si="13"/>
        <v/>
      </c>
      <c r="U110" s="100" t="str">
        <f t="shared" si="13"/>
        <v/>
      </c>
      <c r="V110" s="100" t="str">
        <f t="shared" si="13"/>
        <v/>
      </c>
      <c r="W110" s="100" t="str">
        <f t="shared" si="13"/>
        <v/>
      </c>
      <c r="X110" s="100" t="str">
        <f t="shared" si="13"/>
        <v/>
      </c>
      <c r="Y110" s="100" t="str">
        <f t="shared" si="13"/>
        <v/>
      </c>
      <c r="Z110" s="100" t="str">
        <f t="shared" si="13"/>
        <v/>
      </c>
      <c r="AA110" s="100" t="str">
        <f t="shared" si="13"/>
        <v/>
      </c>
      <c r="AB110" s="100" t="str">
        <f t="shared" si="13"/>
        <v/>
      </c>
      <c r="AC110" s="100" t="str">
        <f t="shared" si="13"/>
        <v/>
      </c>
      <c r="AD110" s="100" t="str">
        <f t="shared" si="13"/>
        <v/>
      </c>
      <c r="AE110" s="100" t="str">
        <f t="shared" si="13"/>
        <v/>
      </c>
      <c r="AF110" s="100" t="str">
        <f t="shared" si="13"/>
        <v/>
      </c>
      <c r="AG110" s="100" t="str">
        <f t="shared" si="13"/>
        <v/>
      </c>
      <c r="AH110" s="100" t="str">
        <f t="shared" si="13"/>
        <v/>
      </c>
    </row>
    <row r="111" spans="1:34" hidden="1">
      <c r="B111" s="31"/>
      <c r="C111" s="31"/>
      <c r="D111" s="32"/>
    </row>
    <row r="112" spans="1:34" hidden="1">
      <c r="B112" s="31"/>
      <c r="C112" s="31"/>
      <c r="D112" s="32"/>
    </row>
    <row r="113" spans="2:4" hidden="1">
      <c r="B113" s="31"/>
      <c r="C113" s="31"/>
      <c r="D113" s="32"/>
    </row>
    <row r="114" spans="2:4" hidden="1">
      <c r="B114" s="31"/>
      <c r="C114" s="31"/>
      <c r="D114" s="32"/>
    </row>
    <row r="115" spans="2:4" hidden="1">
      <c r="B115" s="31"/>
      <c r="C115" s="31"/>
      <c r="D115" s="32"/>
    </row>
    <row r="116" spans="2:4" hidden="1">
      <c r="B116" s="31"/>
      <c r="C116" s="31"/>
      <c r="D116" s="32"/>
    </row>
    <row r="117" spans="2:4" hidden="1">
      <c r="B117" s="31"/>
      <c r="C117" s="31"/>
      <c r="D117" s="32"/>
    </row>
    <row r="118" spans="2:4" hidden="1">
      <c r="B118" s="31"/>
      <c r="C118" s="31"/>
      <c r="D118" s="32"/>
    </row>
    <row r="119" spans="2:4" hidden="1">
      <c r="B119" s="31"/>
      <c r="C119" s="31"/>
      <c r="D119" s="32"/>
    </row>
    <row r="120" spans="2:4" hidden="1">
      <c r="B120" s="31"/>
      <c r="C120" s="31"/>
      <c r="D120" s="32"/>
    </row>
    <row r="121" spans="2:4" hidden="1">
      <c r="B121" s="31"/>
      <c r="C121" s="31"/>
      <c r="D121" s="32"/>
    </row>
    <row r="122" spans="2:4" hidden="1">
      <c r="B122" s="31"/>
      <c r="C122" s="31"/>
      <c r="D122" s="32"/>
    </row>
    <row r="123" spans="2:4" hidden="1">
      <c r="B123" s="31"/>
      <c r="C123" s="31"/>
      <c r="D123" s="32"/>
    </row>
    <row r="124" spans="2:4" hidden="1">
      <c r="B124" s="31"/>
      <c r="C124" s="31"/>
      <c r="D124" s="32"/>
    </row>
    <row r="125" spans="2:4" hidden="1">
      <c r="B125" s="31"/>
      <c r="C125" s="31"/>
      <c r="D125" s="32"/>
    </row>
    <row r="126" spans="2:4" hidden="1">
      <c r="B126" s="31"/>
      <c r="C126" s="31"/>
      <c r="D126" s="32"/>
    </row>
    <row r="127" spans="2:4" hidden="1">
      <c r="B127" s="31"/>
      <c r="C127" s="31"/>
      <c r="D127" s="32"/>
    </row>
    <row r="128" spans="2:4" hidden="1">
      <c r="B128" s="31"/>
      <c r="C128" s="31"/>
      <c r="D128" s="32"/>
    </row>
    <row r="129" spans="2:4" hidden="1">
      <c r="B129" s="31"/>
      <c r="C129" s="31"/>
      <c r="D129" s="32"/>
    </row>
    <row r="130" spans="2:4" hidden="1">
      <c r="B130" s="31"/>
      <c r="C130" s="31"/>
      <c r="D130" s="32"/>
    </row>
    <row r="131" spans="2:4" hidden="1">
      <c r="B131" s="31"/>
      <c r="C131" s="31"/>
      <c r="D131" s="32"/>
    </row>
    <row r="132" spans="2:4" hidden="1">
      <c r="B132" s="31"/>
      <c r="C132" s="31"/>
      <c r="D132" s="32"/>
    </row>
    <row r="133" spans="2:4" hidden="1">
      <c r="B133" s="31"/>
      <c r="C133" s="31"/>
      <c r="D133" s="32"/>
    </row>
    <row r="134" spans="2:4" hidden="1">
      <c r="B134" s="31"/>
      <c r="C134" s="31"/>
      <c r="D134" s="32"/>
    </row>
    <row r="135" spans="2:4" hidden="1">
      <c r="B135" s="31"/>
      <c r="C135" s="31"/>
      <c r="D135" s="32"/>
    </row>
    <row r="136" spans="2:4" hidden="1">
      <c r="B136" s="31"/>
      <c r="C136" s="31"/>
      <c r="D136" s="32"/>
    </row>
    <row r="137" spans="2:4" hidden="1">
      <c r="B137" s="31"/>
      <c r="C137" s="31"/>
      <c r="D137" s="32"/>
    </row>
    <row r="138" spans="2:4" hidden="1">
      <c r="B138" s="31"/>
      <c r="C138" s="31"/>
      <c r="D138" s="32"/>
    </row>
    <row r="139" spans="2:4" hidden="1">
      <c r="B139" s="31"/>
      <c r="C139" s="31"/>
      <c r="D139" s="32"/>
    </row>
    <row r="140" spans="2:4" hidden="1">
      <c r="B140" s="31"/>
      <c r="C140" s="31"/>
      <c r="D140" s="32"/>
    </row>
    <row r="141" spans="2:4" hidden="1">
      <c r="B141" s="31"/>
      <c r="C141" s="31"/>
      <c r="D141" s="32"/>
    </row>
    <row r="142" spans="2:4" hidden="1">
      <c r="B142" s="31"/>
      <c r="C142" s="31"/>
      <c r="D142" s="32"/>
    </row>
    <row r="143" spans="2:4" hidden="1">
      <c r="B143" s="31"/>
      <c r="C143" s="31"/>
      <c r="D143" s="32"/>
    </row>
    <row r="144" spans="2:4" hidden="1">
      <c r="B144" s="31"/>
      <c r="C144" s="31"/>
      <c r="D144" s="32"/>
    </row>
    <row r="145" spans="2:4" hidden="1">
      <c r="B145" s="31"/>
      <c r="C145" s="31"/>
      <c r="D145" s="32"/>
    </row>
    <row r="146" spans="2:4" hidden="1">
      <c r="B146" s="31"/>
      <c r="C146" s="31"/>
      <c r="D146" s="32"/>
    </row>
    <row r="147" spans="2:4" hidden="1">
      <c r="B147" s="31"/>
      <c r="C147" s="31"/>
      <c r="D147" s="32"/>
    </row>
    <row r="148" spans="2:4" hidden="1">
      <c r="B148" s="31"/>
      <c r="C148" s="31"/>
      <c r="D148" s="32"/>
    </row>
    <row r="149" spans="2:4" hidden="1">
      <c r="B149" s="31"/>
      <c r="C149" s="31"/>
      <c r="D149" s="32"/>
    </row>
    <row r="150" spans="2:4" hidden="1">
      <c r="B150" s="31"/>
      <c r="C150" s="31"/>
      <c r="D150" s="32"/>
    </row>
    <row r="151" spans="2:4" hidden="1">
      <c r="B151" s="31"/>
      <c r="C151" s="31"/>
      <c r="D151" s="32"/>
    </row>
    <row r="152" spans="2:4" hidden="1">
      <c r="B152" s="31"/>
      <c r="C152" s="31"/>
      <c r="D152" s="32"/>
    </row>
    <row r="153" spans="2:4" hidden="1">
      <c r="B153" s="31"/>
      <c r="C153" s="31"/>
      <c r="D153" s="32"/>
    </row>
    <row r="154" spans="2:4" hidden="1">
      <c r="B154" s="31"/>
      <c r="C154" s="31"/>
      <c r="D154" s="32"/>
    </row>
    <row r="155" spans="2:4" hidden="1">
      <c r="B155" s="31"/>
      <c r="C155" s="31"/>
      <c r="D155" s="32"/>
    </row>
    <row r="156" spans="2:4" hidden="1">
      <c r="B156" s="31"/>
      <c r="C156" s="31"/>
      <c r="D156" s="32"/>
    </row>
    <row r="157" spans="2:4" hidden="1">
      <c r="B157" s="31"/>
      <c r="C157" s="31"/>
      <c r="D157" s="32"/>
    </row>
    <row r="158" spans="2:4" hidden="1">
      <c r="B158" s="31"/>
      <c r="C158" s="31"/>
      <c r="D158" s="32"/>
    </row>
    <row r="159" spans="2:4" hidden="1">
      <c r="B159" s="31"/>
      <c r="C159" s="31"/>
      <c r="D159" s="32"/>
    </row>
    <row r="160" spans="2:4" hidden="1">
      <c r="B160" s="31"/>
      <c r="C160" s="31"/>
      <c r="D160" s="32"/>
    </row>
    <row r="161" spans="2:4" hidden="1">
      <c r="B161" s="31"/>
      <c r="C161" s="31"/>
      <c r="D161" s="32"/>
    </row>
    <row r="162" spans="2:4" hidden="1">
      <c r="B162" s="31"/>
      <c r="C162" s="31"/>
      <c r="D162" s="32"/>
    </row>
    <row r="163" spans="2:4" hidden="1">
      <c r="B163" s="31"/>
      <c r="C163" s="31"/>
      <c r="D163" s="32"/>
    </row>
    <row r="164" spans="2:4" hidden="1">
      <c r="B164" s="31"/>
      <c r="C164" s="31"/>
      <c r="D164" s="32"/>
    </row>
    <row r="165" spans="2:4" hidden="1">
      <c r="B165" s="31"/>
      <c r="C165" s="31"/>
      <c r="D165" s="32"/>
    </row>
    <row r="166" spans="2:4" hidden="1">
      <c r="B166" s="31"/>
      <c r="C166" s="31"/>
      <c r="D166" s="32"/>
    </row>
    <row r="167" spans="2:4" hidden="1">
      <c r="B167" s="31"/>
      <c r="C167" s="31"/>
      <c r="D167" s="32"/>
    </row>
    <row r="168" spans="2:4" hidden="1">
      <c r="B168" s="31"/>
      <c r="C168" s="31"/>
      <c r="D168" s="32"/>
    </row>
    <row r="169" spans="2:4" hidden="1">
      <c r="B169" s="31"/>
      <c r="C169" s="31"/>
      <c r="D169" s="32"/>
    </row>
    <row r="170" spans="2:4" hidden="1">
      <c r="B170" s="31"/>
      <c r="C170" s="31"/>
      <c r="D170" s="32"/>
    </row>
  </sheetData>
  <mergeCells count="33">
    <mergeCell ref="A1:AH2"/>
    <mergeCell ref="B3:D3"/>
    <mergeCell ref="B4:B5"/>
    <mergeCell ref="C4:C5"/>
    <mergeCell ref="D4:D5"/>
    <mergeCell ref="E4:AH4"/>
    <mergeCell ref="B6:B13"/>
    <mergeCell ref="C6:D6"/>
    <mergeCell ref="B14:B21"/>
    <mergeCell ref="C14:D14"/>
    <mergeCell ref="B22:B29"/>
    <mergeCell ref="C22:D22"/>
    <mergeCell ref="B30:B37"/>
    <mergeCell ref="C30:D30"/>
    <mergeCell ref="B38:B45"/>
    <mergeCell ref="C38:D38"/>
    <mergeCell ref="B46:B53"/>
    <mergeCell ref="C46:D46"/>
    <mergeCell ref="B54:B61"/>
    <mergeCell ref="C54:D54"/>
    <mergeCell ref="B62:B69"/>
    <mergeCell ref="C62:D62"/>
    <mergeCell ref="B70:B77"/>
    <mergeCell ref="C70:D70"/>
    <mergeCell ref="B102:B109"/>
    <mergeCell ref="C102:D102"/>
    <mergeCell ref="B110:D110"/>
    <mergeCell ref="B78:B85"/>
    <mergeCell ref="C78:D78"/>
    <mergeCell ref="B86:B93"/>
    <mergeCell ref="C86:D86"/>
    <mergeCell ref="B94:B101"/>
    <mergeCell ref="C94:D94"/>
  </mergeCells>
  <pageMargins left="0.7" right="0.7" top="0.75" bottom="0.75" header="0.3" footer="0.3"/>
  <pageSetup paperSize="9" orientation="portrait" horizontalDpi="4294967293" verticalDpi="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44"/>
  <dimension ref="A1:AW170"/>
  <sheetViews>
    <sheetView showGridLines="0" zoomScale="83" zoomScaleNormal="83" workbookViewId="0">
      <pane ySplit="5" topLeftCell="A6" activePane="bottomLeft" state="frozen"/>
      <selection activeCell="K33" sqref="K33"/>
      <selection pane="bottomLeft" sqref="A1:AH2 A1:AH2"/>
    </sheetView>
  </sheetViews>
  <sheetFormatPr defaultColWidth="0" defaultRowHeight="15" customHeight="1" zeroHeight="1"/>
  <cols>
    <col min="1" max="1" width="1" style="29" customWidth="1"/>
    <col min="2" max="2" width="3.7109375" style="33" customWidth="1"/>
    <col min="3" max="3" width="46.140625" style="33" customWidth="1"/>
    <col min="4" max="4" width="10.28515625" style="29" customWidth="1"/>
    <col min="5" max="34" width="5.7109375" style="29" customWidth="1"/>
    <col min="35" max="49" width="5.7109375" hidden="1" customWidth="1"/>
    <col min="50" max="16384" width="9.140625" hidden="1"/>
  </cols>
  <sheetData>
    <row r="1" spans="1:34" ht="15" customHeight="1">
      <c r="A1" s="803" t="s">
        <v>256</v>
      </c>
      <c r="B1" s="803"/>
      <c r="C1" s="803"/>
      <c r="D1" s="803"/>
      <c r="E1" s="803"/>
      <c r="F1" s="803"/>
      <c r="G1" s="803"/>
      <c r="H1" s="803"/>
      <c r="I1" s="803"/>
      <c r="J1" s="803"/>
      <c r="K1" s="803"/>
      <c r="L1" s="803"/>
      <c r="M1" s="803"/>
      <c r="N1" s="803"/>
      <c r="O1" s="803"/>
      <c r="P1" s="803"/>
      <c r="Q1" s="803"/>
      <c r="R1" s="803"/>
      <c r="S1" s="803"/>
      <c r="T1" s="803"/>
      <c r="U1" s="803"/>
      <c r="V1" s="803"/>
      <c r="W1" s="803"/>
      <c r="X1" s="803"/>
      <c r="Y1" s="803"/>
      <c r="Z1" s="803"/>
      <c r="AA1" s="803"/>
      <c r="AB1" s="803"/>
      <c r="AC1" s="803"/>
      <c r="AD1" s="803"/>
      <c r="AE1" s="803"/>
      <c r="AF1" s="803"/>
      <c r="AG1" s="803"/>
      <c r="AH1" s="803"/>
    </row>
    <row r="2" spans="1:34" ht="15" customHeight="1">
      <c r="A2" s="803"/>
      <c r="B2" s="803"/>
      <c r="C2" s="803"/>
      <c r="D2" s="803"/>
      <c r="E2" s="803"/>
      <c r="F2" s="803"/>
      <c r="G2" s="803"/>
      <c r="H2" s="803"/>
      <c r="I2" s="803"/>
      <c r="J2" s="803"/>
      <c r="K2" s="803"/>
      <c r="L2" s="803"/>
      <c r="M2" s="803"/>
      <c r="N2" s="803"/>
      <c r="O2" s="803"/>
      <c r="P2" s="803"/>
      <c r="Q2" s="803"/>
      <c r="R2" s="803"/>
      <c r="S2" s="803"/>
      <c r="T2" s="803"/>
      <c r="U2" s="803"/>
      <c r="V2" s="803"/>
      <c r="W2" s="803"/>
      <c r="X2" s="803"/>
      <c r="Y2" s="803"/>
      <c r="Z2" s="803"/>
      <c r="AA2" s="803"/>
      <c r="AB2" s="803"/>
      <c r="AC2" s="803"/>
      <c r="AD2" s="803"/>
      <c r="AE2" s="803"/>
      <c r="AF2" s="803"/>
      <c r="AG2" s="803"/>
      <c r="AH2" s="803"/>
    </row>
    <row r="3" spans="1:34" ht="15" customHeight="1">
      <c r="B3" s="804"/>
      <c r="C3" s="804"/>
      <c r="D3" s="80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row>
    <row r="4" spans="1:34" ht="15" customHeight="1">
      <c r="B4" s="805" t="s">
        <v>5</v>
      </c>
      <c r="C4" s="805" t="s">
        <v>125</v>
      </c>
      <c r="D4" s="806" t="s">
        <v>126</v>
      </c>
      <c r="E4" s="807" t="s">
        <v>57</v>
      </c>
      <c r="F4" s="807"/>
      <c r="G4" s="807"/>
      <c r="H4" s="807"/>
      <c r="I4" s="807"/>
      <c r="J4" s="807"/>
      <c r="K4" s="807"/>
      <c r="L4" s="807"/>
      <c r="M4" s="807"/>
      <c r="N4" s="807"/>
      <c r="O4" s="807"/>
      <c r="P4" s="807"/>
      <c r="Q4" s="807"/>
      <c r="R4" s="807"/>
      <c r="S4" s="807"/>
      <c r="T4" s="807"/>
      <c r="U4" s="807"/>
      <c r="V4" s="807"/>
      <c r="W4" s="807"/>
      <c r="X4" s="807"/>
      <c r="Y4" s="807"/>
      <c r="Z4" s="807"/>
      <c r="AA4" s="807"/>
      <c r="AB4" s="807"/>
      <c r="AC4" s="807"/>
      <c r="AD4" s="807"/>
      <c r="AE4" s="807"/>
      <c r="AF4" s="807"/>
      <c r="AG4" s="807"/>
      <c r="AH4" s="807"/>
    </row>
    <row r="5" spans="1:34" ht="12.75" customHeight="1">
      <c r="B5" s="805"/>
      <c r="C5" s="805"/>
      <c r="D5" s="806"/>
      <c r="E5" s="35" t="str">
        <f>DATASISWA!$F$8</f>
        <v>Dita</v>
      </c>
      <c r="F5" s="35" t="str">
        <f>DATASISWA!$F$9</f>
        <v>Annisa</v>
      </c>
      <c r="G5" s="35" t="str">
        <f>DATASISWA!$F$10</f>
        <v>Kiki</v>
      </c>
      <c r="H5" s="35" t="str">
        <f>DATASISWA!$F$11</f>
        <v>Lily</v>
      </c>
      <c r="I5" s="35" t="str">
        <f>DATASISWA!$F$12</f>
        <v>Rere</v>
      </c>
      <c r="J5" s="35" t="str">
        <f>DATASISWA!$F$13</f>
        <v>Fadhil</v>
      </c>
      <c r="K5" s="35" t="str">
        <f>DATASISWA!$F$14</f>
        <v>Yuefa</v>
      </c>
      <c r="L5" s="35" t="str">
        <f>DATASISWA!$F$15</f>
        <v>Ria</v>
      </c>
      <c r="M5" s="35" t="str">
        <f>DATASISWA!$F$16</f>
        <v>Tiara</v>
      </c>
      <c r="N5" s="35" t="str">
        <f>DATASISWA!$F$17</f>
        <v>Alvind</v>
      </c>
      <c r="O5" s="35" t="str">
        <f>DATASISWA!$F$18</f>
        <v>Icha</v>
      </c>
      <c r="P5" s="35" t="str">
        <f>DATASISWA!$F$19</f>
        <v>Qonita</v>
      </c>
      <c r="Q5" s="35" t="str">
        <f>DATASISWA!$F$20</f>
        <v>Anya</v>
      </c>
      <c r="R5" s="35" t="str">
        <f>DATASISWA!$F$21</f>
        <v>Radit</v>
      </c>
      <c r="S5" s="35" t="str">
        <f>DATASISWA!$F$22</f>
        <v>angel</v>
      </c>
      <c r="T5" s="35">
        <f>DATASISWA!$F$23</f>
        <v>0</v>
      </c>
      <c r="U5" s="35">
        <f>DATASISWA!$F$24</f>
        <v>0</v>
      </c>
      <c r="V5" s="35">
        <f>DATASISWA!$F$25</f>
        <v>0</v>
      </c>
      <c r="W5" s="35">
        <f>DATASISWA!$F$26</f>
        <v>0</v>
      </c>
      <c r="X5" s="35">
        <f>DATASISWA!$F$27</f>
        <v>0</v>
      </c>
      <c r="Y5" s="35">
        <f>DATASISWA!$F$28</f>
        <v>0</v>
      </c>
      <c r="Z5" s="35">
        <f>DATASISWA!$F$29</f>
        <v>0</v>
      </c>
      <c r="AA5" s="35">
        <f>DATASISWA!$F$30</f>
        <v>0</v>
      </c>
      <c r="AB5" s="35">
        <f>DATASISWA!$F$31</f>
        <v>0</v>
      </c>
      <c r="AC5" s="35">
        <f>DATASISWA!$F$32</f>
        <v>0</v>
      </c>
      <c r="AD5" s="35">
        <f>DATASISWA!$F$33</f>
        <v>0</v>
      </c>
      <c r="AE5" s="35">
        <f>DATASISWA!$F$34</f>
        <v>0</v>
      </c>
      <c r="AF5" s="35">
        <f>DATASISWA!$F$35</f>
        <v>0</v>
      </c>
      <c r="AG5" s="35">
        <f>DATASISWA!$F$36</f>
        <v>0</v>
      </c>
      <c r="AH5" s="35">
        <f>DATASISWA!$F$37</f>
        <v>0</v>
      </c>
    </row>
    <row r="6" spans="1:34" ht="27" customHeight="1">
      <c r="A6" s="30"/>
      <c r="B6" s="800">
        <v>1</v>
      </c>
      <c r="C6" s="809"/>
      <c r="D6" s="810"/>
      <c r="E6" s="97" t="str">
        <f>IFERROR(AVERAGE(E7:E13),"")</f>
        <v/>
      </c>
      <c r="F6" s="97" t="str">
        <f t="shared" ref="F6:AH6" si="0">IFERROR(AVERAGE(F7:F13),"")</f>
        <v/>
      </c>
      <c r="G6" s="97" t="str">
        <f t="shared" si="0"/>
        <v/>
      </c>
      <c r="H6" s="97" t="str">
        <f t="shared" si="0"/>
        <v/>
      </c>
      <c r="I6" s="97" t="str">
        <f t="shared" si="0"/>
        <v/>
      </c>
      <c r="J6" s="97" t="str">
        <f t="shared" si="0"/>
        <v/>
      </c>
      <c r="K6" s="97" t="str">
        <f t="shared" si="0"/>
        <v/>
      </c>
      <c r="L6" s="97" t="str">
        <f t="shared" si="0"/>
        <v/>
      </c>
      <c r="M6" s="97" t="str">
        <f t="shared" si="0"/>
        <v/>
      </c>
      <c r="N6" s="97" t="str">
        <f t="shared" si="0"/>
        <v/>
      </c>
      <c r="O6" s="97" t="str">
        <f t="shared" si="0"/>
        <v/>
      </c>
      <c r="P6" s="97" t="str">
        <f t="shared" si="0"/>
        <v/>
      </c>
      <c r="Q6" s="97" t="str">
        <f t="shared" si="0"/>
        <v/>
      </c>
      <c r="R6" s="97" t="str">
        <f t="shared" si="0"/>
        <v/>
      </c>
      <c r="S6" s="97" t="str">
        <f t="shared" si="0"/>
        <v/>
      </c>
      <c r="T6" s="97" t="str">
        <f t="shared" si="0"/>
        <v/>
      </c>
      <c r="U6" s="97" t="str">
        <f t="shared" si="0"/>
        <v/>
      </c>
      <c r="V6" s="97" t="str">
        <f t="shared" si="0"/>
        <v/>
      </c>
      <c r="W6" s="97" t="str">
        <f t="shared" si="0"/>
        <v/>
      </c>
      <c r="X6" s="97" t="str">
        <f t="shared" si="0"/>
        <v/>
      </c>
      <c r="Y6" s="97" t="str">
        <f t="shared" si="0"/>
        <v/>
      </c>
      <c r="Z6" s="97" t="str">
        <f t="shared" si="0"/>
        <v/>
      </c>
      <c r="AA6" s="97" t="str">
        <f t="shared" si="0"/>
        <v/>
      </c>
      <c r="AB6" s="97" t="str">
        <f t="shared" si="0"/>
        <v/>
      </c>
      <c r="AC6" s="97" t="str">
        <f t="shared" si="0"/>
        <v/>
      </c>
      <c r="AD6" s="97" t="str">
        <f t="shared" si="0"/>
        <v/>
      </c>
      <c r="AE6" s="97" t="str">
        <f t="shared" si="0"/>
        <v/>
      </c>
      <c r="AF6" s="97" t="str">
        <f t="shared" si="0"/>
        <v/>
      </c>
      <c r="AG6" s="97" t="str">
        <f t="shared" si="0"/>
        <v/>
      </c>
      <c r="AH6" s="97" t="str">
        <f t="shared" si="0"/>
        <v/>
      </c>
    </row>
    <row r="7" spans="1:34" ht="27" customHeight="1">
      <c r="A7" s="30"/>
      <c r="B7" s="801"/>
      <c r="C7" s="74" t="s">
        <v>145</v>
      </c>
      <c r="D7" s="72"/>
      <c r="E7" s="98"/>
      <c r="F7" s="98"/>
      <c r="G7" s="98"/>
      <c r="H7" s="98"/>
      <c r="I7" s="98"/>
      <c r="J7" s="98"/>
      <c r="K7" s="98"/>
      <c r="L7" s="98"/>
      <c r="M7" s="98"/>
      <c r="N7" s="98"/>
      <c r="O7" s="98"/>
      <c r="P7" s="98"/>
      <c r="Q7" s="98"/>
      <c r="R7" s="98"/>
      <c r="S7" s="98"/>
      <c r="T7" s="98"/>
      <c r="U7" s="98"/>
      <c r="V7" s="98"/>
      <c r="W7" s="98"/>
      <c r="X7" s="98"/>
      <c r="Y7" s="98"/>
      <c r="Z7" s="98"/>
      <c r="AA7" s="98"/>
      <c r="AB7" s="98"/>
      <c r="AC7" s="98"/>
      <c r="AD7" s="98"/>
      <c r="AE7" s="98"/>
      <c r="AF7" s="98"/>
      <c r="AG7" s="98"/>
      <c r="AH7" s="98"/>
    </row>
    <row r="8" spans="1:34" ht="27" customHeight="1">
      <c r="A8" s="30"/>
      <c r="B8" s="801"/>
      <c r="C8" s="74" t="s">
        <v>146</v>
      </c>
      <c r="D8" s="72"/>
      <c r="E8" s="98"/>
      <c r="F8" s="98"/>
      <c r="G8" s="98"/>
      <c r="H8" s="98"/>
      <c r="I8" s="98"/>
      <c r="J8" s="98"/>
      <c r="K8" s="98"/>
      <c r="L8" s="98"/>
      <c r="M8" s="98"/>
      <c r="N8" s="98"/>
      <c r="O8" s="98"/>
      <c r="P8" s="98"/>
      <c r="Q8" s="98"/>
      <c r="R8" s="98"/>
      <c r="S8" s="98"/>
      <c r="T8" s="98"/>
      <c r="U8" s="98"/>
      <c r="V8" s="98"/>
      <c r="W8" s="98"/>
      <c r="X8" s="98"/>
      <c r="Y8" s="98"/>
      <c r="Z8" s="98"/>
      <c r="AA8" s="98"/>
      <c r="AB8" s="98"/>
      <c r="AC8" s="98"/>
      <c r="AD8" s="98"/>
      <c r="AE8" s="98"/>
      <c r="AF8" s="98"/>
      <c r="AG8" s="98"/>
      <c r="AH8" s="98"/>
    </row>
    <row r="9" spans="1:34" ht="27" customHeight="1">
      <c r="A9" s="30"/>
      <c r="B9" s="801"/>
      <c r="C9" s="74" t="s">
        <v>147</v>
      </c>
      <c r="D9" s="72"/>
      <c r="E9" s="98"/>
      <c r="F9" s="98"/>
      <c r="G9" s="98"/>
      <c r="H9" s="98"/>
      <c r="I9" s="98"/>
      <c r="J9" s="98"/>
      <c r="K9" s="98"/>
      <c r="L9" s="98"/>
      <c r="M9" s="98"/>
      <c r="N9" s="98"/>
      <c r="O9" s="98"/>
      <c r="P9" s="98"/>
      <c r="Q9" s="98"/>
      <c r="R9" s="98"/>
      <c r="S9" s="98"/>
      <c r="T9" s="98"/>
      <c r="U9" s="98"/>
      <c r="V9" s="98"/>
      <c r="W9" s="98"/>
      <c r="X9" s="98"/>
      <c r="Y9" s="98"/>
      <c r="Z9" s="98"/>
      <c r="AA9" s="98"/>
      <c r="AB9" s="98"/>
      <c r="AC9" s="98"/>
      <c r="AD9" s="98"/>
      <c r="AE9" s="98"/>
      <c r="AF9" s="98"/>
      <c r="AG9" s="98"/>
      <c r="AH9" s="98"/>
    </row>
    <row r="10" spans="1:34" ht="27" customHeight="1">
      <c r="A10" s="30"/>
      <c r="B10" s="801"/>
      <c r="C10" s="74" t="s">
        <v>148</v>
      </c>
      <c r="D10" s="72"/>
      <c r="E10" s="98"/>
      <c r="F10" s="98"/>
      <c r="G10" s="98"/>
      <c r="H10" s="98"/>
      <c r="I10" s="98"/>
      <c r="J10" s="98"/>
      <c r="K10" s="98"/>
      <c r="L10" s="98"/>
      <c r="M10" s="98"/>
      <c r="N10" s="98"/>
      <c r="O10" s="98"/>
      <c r="P10" s="98"/>
      <c r="Q10" s="98"/>
      <c r="R10" s="98"/>
      <c r="S10" s="98"/>
      <c r="T10" s="98"/>
      <c r="U10" s="98"/>
      <c r="V10" s="98"/>
      <c r="W10" s="98"/>
      <c r="X10" s="98"/>
      <c r="Y10" s="98"/>
      <c r="Z10" s="98"/>
      <c r="AA10" s="98"/>
      <c r="AB10" s="98"/>
      <c r="AC10" s="98"/>
      <c r="AD10" s="98"/>
      <c r="AE10" s="98"/>
      <c r="AF10" s="98"/>
      <c r="AG10" s="98"/>
      <c r="AH10" s="98"/>
    </row>
    <row r="11" spans="1:34" ht="27" customHeight="1">
      <c r="A11" s="30"/>
      <c r="B11" s="801"/>
      <c r="C11" s="74" t="s">
        <v>149</v>
      </c>
      <c r="D11" s="72"/>
      <c r="E11" s="98"/>
      <c r="F11" s="98"/>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row>
    <row r="12" spans="1:34" ht="27" customHeight="1">
      <c r="A12" s="30"/>
      <c r="B12" s="801"/>
      <c r="C12" s="74" t="s">
        <v>150</v>
      </c>
      <c r="D12" s="72"/>
      <c r="E12" s="98"/>
      <c r="F12" s="98"/>
      <c r="G12" s="98"/>
      <c r="H12" s="98"/>
      <c r="I12" s="98"/>
      <c r="J12" s="98"/>
      <c r="K12" s="98"/>
      <c r="L12" s="98"/>
      <c r="M12" s="98"/>
      <c r="N12" s="98"/>
      <c r="O12" s="98"/>
      <c r="P12" s="98"/>
      <c r="Q12" s="98"/>
      <c r="R12" s="98"/>
      <c r="S12" s="98"/>
      <c r="T12" s="98"/>
      <c r="U12" s="98"/>
      <c r="V12" s="98"/>
      <c r="W12" s="98"/>
      <c r="X12" s="98"/>
      <c r="Y12" s="98"/>
      <c r="Z12" s="98"/>
      <c r="AA12" s="98"/>
      <c r="AB12" s="98"/>
      <c r="AC12" s="98"/>
      <c r="AD12" s="98"/>
      <c r="AE12" s="98"/>
      <c r="AF12" s="98"/>
      <c r="AG12" s="98"/>
      <c r="AH12" s="98"/>
    </row>
    <row r="13" spans="1:34" ht="27" customHeight="1">
      <c r="A13" s="30"/>
      <c r="B13" s="802"/>
      <c r="C13" s="74" t="s">
        <v>151</v>
      </c>
      <c r="D13" s="72"/>
      <c r="E13" s="98"/>
      <c r="F13" s="98"/>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row>
    <row r="14" spans="1:34" ht="27" customHeight="1">
      <c r="A14" s="30"/>
      <c r="B14" s="800">
        <v>2</v>
      </c>
      <c r="C14" s="795"/>
      <c r="D14" s="796"/>
      <c r="E14" s="97" t="str">
        <f>IFERROR(AVERAGE(E15:E21),"")</f>
        <v/>
      </c>
      <c r="F14" s="97" t="str">
        <f t="shared" ref="F14:AH14" si="1">IFERROR(AVERAGE(F15:F21),"")</f>
        <v/>
      </c>
      <c r="G14" s="97" t="str">
        <f t="shared" si="1"/>
        <v/>
      </c>
      <c r="H14" s="97" t="str">
        <f t="shared" si="1"/>
        <v/>
      </c>
      <c r="I14" s="97" t="str">
        <f t="shared" si="1"/>
        <v/>
      </c>
      <c r="J14" s="97" t="str">
        <f t="shared" si="1"/>
        <v/>
      </c>
      <c r="K14" s="97" t="str">
        <f t="shared" si="1"/>
        <v/>
      </c>
      <c r="L14" s="97" t="str">
        <f t="shared" si="1"/>
        <v/>
      </c>
      <c r="M14" s="97" t="str">
        <f t="shared" si="1"/>
        <v/>
      </c>
      <c r="N14" s="97" t="str">
        <f t="shared" si="1"/>
        <v/>
      </c>
      <c r="O14" s="97" t="str">
        <f t="shared" si="1"/>
        <v/>
      </c>
      <c r="P14" s="97" t="str">
        <f t="shared" si="1"/>
        <v/>
      </c>
      <c r="Q14" s="97" t="str">
        <f t="shared" si="1"/>
        <v/>
      </c>
      <c r="R14" s="97" t="str">
        <f t="shared" si="1"/>
        <v/>
      </c>
      <c r="S14" s="97" t="str">
        <f t="shared" si="1"/>
        <v/>
      </c>
      <c r="T14" s="97" t="str">
        <f t="shared" si="1"/>
        <v/>
      </c>
      <c r="U14" s="97" t="str">
        <f t="shared" si="1"/>
        <v/>
      </c>
      <c r="V14" s="97" t="str">
        <f t="shared" si="1"/>
        <v/>
      </c>
      <c r="W14" s="97" t="str">
        <f t="shared" si="1"/>
        <v/>
      </c>
      <c r="X14" s="97" t="str">
        <f t="shared" si="1"/>
        <v/>
      </c>
      <c r="Y14" s="97" t="str">
        <f t="shared" si="1"/>
        <v/>
      </c>
      <c r="Z14" s="97" t="str">
        <f t="shared" si="1"/>
        <v/>
      </c>
      <c r="AA14" s="97" t="str">
        <f t="shared" si="1"/>
        <v/>
      </c>
      <c r="AB14" s="97" t="str">
        <f t="shared" si="1"/>
        <v/>
      </c>
      <c r="AC14" s="97" t="str">
        <f t="shared" si="1"/>
        <v/>
      </c>
      <c r="AD14" s="97" t="str">
        <f t="shared" si="1"/>
        <v/>
      </c>
      <c r="AE14" s="97" t="str">
        <f t="shared" si="1"/>
        <v/>
      </c>
      <c r="AF14" s="97" t="str">
        <f t="shared" si="1"/>
        <v/>
      </c>
      <c r="AG14" s="97" t="str">
        <f t="shared" si="1"/>
        <v/>
      </c>
      <c r="AH14" s="97" t="str">
        <f t="shared" si="1"/>
        <v/>
      </c>
    </row>
    <row r="15" spans="1:34" ht="27" customHeight="1">
      <c r="A15" s="30"/>
      <c r="B15" s="801"/>
      <c r="C15" s="74" t="s">
        <v>152</v>
      </c>
      <c r="D15" s="72"/>
      <c r="E15" s="98"/>
      <c r="F15" s="98"/>
      <c r="G15" s="98"/>
      <c r="H15" s="98"/>
      <c r="I15" s="98"/>
      <c r="J15" s="98"/>
      <c r="K15" s="98"/>
      <c r="L15" s="98"/>
      <c r="M15" s="98"/>
      <c r="N15" s="98"/>
      <c r="O15" s="98"/>
      <c r="P15" s="98"/>
      <c r="Q15" s="98"/>
      <c r="R15" s="98"/>
      <c r="S15" s="98"/>
      <c r="T15" s="98"/>
      <c r="U15" s="98"/>
      <c r="V15" s="98"/>
      <c r="W15" s="98"/>
      <c r="X15" s="98"/>
      <c r="Y15" s="98"/>
      <c r="Z15" s="98"/>
      <c r="AA15" s="98"/>
      <c r="AB15" s="98"/>
      <c r="AC15" s="98"/>
      <c r="AD15" s="98"/>
      <c r="AE15" s="98"/>
      <c r="AF15" s="98"/>
      <c r="AG15" s="98"/>
      <c r="AH15" s="98"/>
    </row>
    <row r="16" spans="1:34" ht="27" customHeight="1">
      <c r="A16" s="30"/>
      <c r="B16" s="801"/>
      <c r="C16" s="74" t="s">
        <v>153</v>
      </c>
      <c r="D16" s="72"/>
      <c r="E16" s="98"/>
      <c r="F16" s="98"/>
      <c r="G16" s="98"/>
      <c r="H16" s="98"/>
      <c r="I16" s="98"/>
      <c r="J16" s="98"/>
      <c r="K16" s="98"/>
      <c r="L16" s="98"/>
      <c r="M16" s="98"/>
      <c r="N16" s="98"/>
      <c r="O16" s="98"/>
      <c r="P16" s="98"/>
      <c r="Q16" s="98"/>
      <c r="R16" s="98"/>
      <c r="S16" s="98"/>
      <c r="T16" s="98"/>
      <c r="U16" s="98"/>
      <c r="V16" s="98"/>
      <c r="W16" s="98"/>
      <c r="X16" s="98"/>
      <c r="Y16" s="98"/>
      <c r="Z16" s="98"/>
      <c r="AA16" s="98"/>
      <c r="AB16" s="98"/>
      <c r="AC16" s="98"/>
      <c r="AD16" s="98"/>
      <c r="AE16" s="98"/>
      <c r="AF16" s="98"/>
      <c r="AG16" s="98"/>
      <c r="AH16" s="98"/>
    </row>
    <row r="17" spans="1:34" ht="27" customHeight="1">
      <c r="A17" s="30"/>
      <c r="B17" s="801"/>
      <c r="C17" s="74" t="s">
        <v>154</v>
      </c>
      <c r="D17" s="72"/>
      <c r="E17" s="98"/>
      <c r="F17" s="98"/>
      <c r="G17" s="98"/>
      <c r="H17" s="98"/>
      <c r="I17" s="98"/>
      <c r="J17" s="98"/>
      <c r="K17" s="98"/>
      <c r="L17" s="98"/>
      <c r="M17" s="98"/>
      <c r="N17" s="98"/>
      <c r="O17" s="98"/>
      <c r="P17" s="98"/>
      <c r="Q17" s="98"/>
      <c r="R17" s="98"/>
      <c r="S17" s="98"/>
      <c r="T17" s="98"/>
      <c r="U17" s="98"/>
      <c r="V17" s="98"/>
      <c r="W17" s="98"/>
      <c r="X17" s="98"/>
      <c r="Y17" s="98"/>
      <c r="Z17" s="98"/>
      <c r="AA17" s="98"/>
      <c r="AB17" s="98"/>
      <c r="AC17" s="98"/>
      <c r="AD17" s="98"/>
      <c r="AE17" s="98"/>
      <c r="AF17" s="98"/>
      <c r="AG17" s="98"/>
      <c r="AH17" s="98"/>
    </row>
    <row r="18" spans="1:34" ht="27" customHeight="1">
      <c r="A18" s="30"/>
      <c r="B18" s="801"/>
      <c r="C18" s="74" t="s">
        <v>155</v>
      </c>
      <c r="D18" s="72"/>
      <c r="E18" s="98"/>
      <c r="F18" s="98"/>
      <c r="G18" s="98"/>
      <c r="H18" s="98"/>
      <c r="I18" s="98"/>
      <c r="J18" s="98"/>
      <c r="K18" s="98"/>
      <c r="L18" s="98"/>
      <c r="M18" s="98"/>
      <c r="N18" s="98"/>
      <c r="O18" s="98"/>
      <c r="P18" s="98"/>
      <c r="Q18" s="98"/>
      <c r="R18" s="98"/>
      <c r="S18" s="98"/>
      <c r="T18" s="98"/>
      <c r="U18" s="98"/>
      <c r="V18" s="98"/>
      <c r="W18" s="98"/>
      <c r="X18" s="98"/>
      <c r="Y18" s="98"/>
      <c r="Z18" s="98"/>
      <c r="AA18" s="98"/>
      <c r="AB18" s="98"/>
      <c r="AC18" s="98"/>
      <c r="AD18" s="98"/>
      <c r="AE18" s="98"/>
      <c r="AF18" s="98"/>
      <c r="AG18" s="98"/>
      <c r="AH18" s="98"/>
    </row>
    <row r="19" spans="1:34" ht="27" customHeight="1">
      <c r="A19" s="30"/>
      <c r="B19" s="801"/>
      <c r="C19" s="74" t="s">
        <v>156</v>
      </c>
      <c r="D19" s="72"/>
      <c r="E19" s="98"/>
      <c r="F19" s="98"/>
      <c r="G19" s="98"/>
      <c r="H19" s="98"/>
      <c r="I19" s="98"/>
      <c r="J19" s="98"/>
      <c r="K19" s="98"/>
      <c r="L19" s="98"/>
      <c r="M19" s="98"/>
      <c r="N19" s="98"/>
      <c r="O19" s="98"/>
      <c r="P19" s="98"/>
      <c r="Q19" s="98"/>
      <c r="R19" s="98"/>
      <c r="S19" s="98"/>
      <c r="T19" s="98"/>
      <c r="U19" s="98"/>
      <c r="V19" s="98"/>
      <c r="W19" s="98"/>
      <c r="X19" s="98"/>
      <c r="Y19" s="98"/>
      <c r="Z19" s="98"/>
      <c r="AA19" s="98"/>
      <c r="AB19" s="98"/>
      <c r="AC19" s="98"/>
      <c r="AD19" s="98"/>
      <c r="AE19" s="98"/>
      <c r="AF19" s="98"/>
      <c r="AG19" s="98"/>
      <c r="AH19" s="98"/>
    </row>
    <row r="20" spans="1:34" ht="27" customHeight="1">
      <c r="A20" s="30"/>
      <c r="B20" s="801"/>
      <c r="C20" s="74" t="s">
        <v>157</v>
      </c>
      <c r="D20" s="72"/>
      <c r="E20" s="98"/>
      <c r="F20" s="98"/>
      <c r="G20" s="98"/>
      <c r="H20" s="98"/>
      <c r="I20" s="98"/>
      <c r="J20" s="98"/>
      <c r="K20" s="98"/>
      <c r="L20" s="98"/>
      <c r="M20" s="98"/>
      <c r="N20" s="98"/>
      <c r="O20" s="98"/>
      <c r="P20" s="98"/>
      <c r="Q20" s="98"/>
      <c r="R20" s="98"/>
      <c r="S20" s="98"/>
      <c r="T20" s="98"/>
      <c r="U20" s="98"/>
      <c r="V20" s="98"/>
      <c r="W20" s="98"/>
      <c r="X20" s="98"/>
      <c r="Y20" s="98"/>
      <c r="Z20" s="98"/>
      <c r="AA20" s="98"/>
      <c r="AB20" s="98"/>
      <c r="AC20" s="98"/>
      <c r="AD20" s="98"/>
      <c r="AE20" s="98"/>
      <c r="AF20" s="98"/>
      <c r="AG20" s="98"/>
      <c r="AH20" s="98"/>
    </row>
    <row r="21" spans="1:34" ht="27" customHeight="1">
      <c r="A21" s="30"/>
      <c r="B21" s="802"/>
      <c r="C21" s="74" t="s">
        <v>158</v>
      </c>
      <c r="D21" s="72"/>
      <c r="E21" s="98"/>
      <c r="F21" s="98"/>
      <c r="G21" s="98"/>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row>
    <row r="22" spans="1:34" ht="27" customHeight="1">
      <c r="A22" s="30"/>
      <c r="B22" s="801">
        <v>3</v>
      </c>
      <c r="C22" s="795"/>
      <c r="D22" s="796"/>
      <c r="E22" s="97" t="str">
        <f>IFERROR(AVERAGE(E23:E29),"")</f>
        <v/>
      </c>
      <c r="F22" s="97" t="str">
        <f t="shared" ref="F22:AH22" si="2">IFERROR(AVERAGE(F23:F29),"")</f>
        <v/>
      </c>
      <c r="G22" s="97" t="str">
        <f t="shared" si="2"/>
        <v/>
      </c>
      <c r="H22" s="97" t="str">
        <f t="shared" si="2"/>
        <v/>
      </c>
      <c r="I22" s="97" t="str">
        <f t="shared" si="2"/>
        <v/>
      </c>
      <c r="J22" s="97" t="str">
        <f t="shared" si="2"/>
        <v/>
      </c>
      <c r="K22" s="97" t="str">
        <f t="shared" si="2"/>
        <v/>
      </c>
      <c r="L22" s="97" t="str">
        <f t="shared" si="2"/>
        <v/>
      </c>
      <c r="M22" s="97" t="str">
        <f t="shared" si="2"/>
        <v/>
      </c>
      <c r="N22" s="97" t="str">
        <f t="shared" si="2"/>
        <v/>
      </c>
      <c r="O22" s="97" t="str">
        <f t="shared" si="2"/>
        <v/>
      </c>
      <c r="P22" s="97" t="str">
        <f t="shared" si="2"/>
        <v/>
      </c>
      <c r="Q22" s="97" t="str">
        <f t="shared" si="2"/>
        <v/>
      </c>
      <c r="R22" s="97" t="str">
        <f t="shared" si="2"/>
        <v/>
      </c>
      <c r="S22" s="97" t="str">
        <f t="shared" si="2"/>
        <v/>
      </c>
      <c r="T22" s="97" t="str">
        <f t="shared" si="2"/>
        <v/>
      </c>
      <c r="U22" s="97" t="str">
        <f t="shared" si="2"/>
        <v/>
      </c>
      <c r="V22" s="97" t="str">
        <f t="shared" si="2"/>
        <v/>
      </c>
      <c r="W22" s="97" t="str">
        <f t="shared" si="2"/>
        <v/>
      </c>
      <c r="X22" s="97" t="str">
        <f t="shared" si="2"/>
        <v/>
      </c>
      <c r="Y22" s="97" t="str">
        <f t="shared" si="2"/>
        <v/>
      </c>
      <c r="Z22" s="97" t="str">
        <f t="shared" si="2"/>
        <v/>
      </c>
      <c r="AA22" s="97" t="str">
        <f t="shared" si="2"/>
        <v/>
      </c>
      <c r="AB22" s="97" t="str">
        <f t="shared" si="2"/>
        <v/>
      </c>
      <c r="AC22" s="97" t="str">
        <f t="shared" si="2"/>
        <v/>
      </c>
      <c r="AD22" s="97" t="str">
        <f t="shared" si="2"/>
        <v/>
      </c>
      <c r="AE22" s="97" t="str">
        <f t="shared" si="2"/>
        <v/>
      </c>
      <c r="AF22" s="97" t="str">
        <f t="shared" si="2"/>
        <v/>
      </c>
      <c r="AG22" s="97" t="str">
        <f t="shared" si="2"/>
        <v/>
      </c>
      <c r="AH22" s="97" t="str">
        <f t="shared" si="2"/>
        <v/>
      </c>
    </row>
    <row r="23" spans="1:34" ht="27" customHeight="1">
      <c r="A23" s="30"/>
      <c r="B23" s="794"/>
      <c r="C23" s="74" t="s">
        <v>159</v>
      </c>
      <c r="D23" s="72"/>
      <c r="E23" s="98"/>
      <c r="F23" s="98"/>
      <c r="G23" s="98"/>
      <c r="H23" s="98"/>
      <c r="I23" s="98"/>
      <c r="J23" s="98"/>
      <c r="K23" s="98"/>
      <c r="L23" s="98"/>
      <c r="M23" s="98"/>
      <c r="N23" s="98"/>
      <c r="O23" s="98"/>
      <c r="P23" s="98"/>
      <c r="Q23" s="98"/>
      <c r="R23" s="98"/>
      <c r="S23" s="98"/>
      <c r="T23" s="98"/>
      <c r="U23" s="98"/>
      <c r="V23" s="98"/>
      <c r="W23" s="98"/>
      <c r="X23" s="98"/>
      <c r="Y23" s="98"/>
      <c r="Z23" s="98"/>
      <c r="AA23" s="98"/>
      <c r="AB23" s="98"/>
      <c r="AC23" s="98"/>
      <c r="AD23" s="98"/>
      <c r="AE23" s="98"/>
      <c r="AF23" s="98"/>
      <c r="AG23" s="98"/>
      <c r="AH23" s="98"/>
    </row>
    <row r="24" spans="1:34" ht="27" customHeight="1">
      <c r="A24" s="30"/>
      <c r="B24" s="794"/>
      <c r="C24" s="74" t="s">
        <v>160</v>
      </c>
      <c r="D24" s="72"/>
      <c r="E24" s="98"/>
      <c r="F24" s="98"/>
      <c r="G24" s="98"/>
      <c r="H24" s="98"/>
      <c r="I24" s="98"/>
      <c r="J24" s="98"/>
      <c r="K24" s="98"/>
      <c r="L24" s="98"/>
      <c r="M24" s="98"/>
      <c r="N24" s="98"/>
      <c r="O24" s="98"/>
      <c r="P24" s="98"/>
      <c r="Q24" s="98"/>
      <c r="R24" s="98"/>
      <c r="S24" s="98"/>
      <c r="T24" s="98"/>
      <c r="U24" s="98"/>
      <c r="V24" s="98"/>
      <c r="W24" s="98"/>
      <c r="X24" s="98"/>
      <c r="Y24" s="98"/>
      <c r="Z24" s="98"/>
      <c r="AA24" s="98"/>
      <c r="AB24" s="98"/>
      <c r="AC24" s="98"/>
      <c r="AD24" s="98"/>
      <c r="AE24" s="98"/>
      <c r="AF24" s="98"/>
      <c r="AG24" s="98"/>
      <c r="AH24" s="98"/>
    </row>
    <row r="25" spans="1:34" ht="27" customHeight="1">
      <c r="A25" s="30"/>
      <c r="B25" s="794"/>
      <c r="C25" s="74" t="s">
        <v>161</v>
      </c>
      <c r="D25" s="72"/>
      <c r="E25" s="98"/>
      <c r="F25" s="98"/>
      <c r="G25" s="98"/>
      <c r="H25" s="98"/>
      <c r="I25" s="98"/>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row>
    <row r="26" spans="1:34" ht="27" customHeight="1">
      <c r="A26" s="30"/>
      <c r="B26" s="794"/>
      <c r="C26" s="74" t="s">
        <v>162</v>
      </c>
      <c r="D26" s="72"/>
      <c r="E26" s="98"/>
      <c r="F26" s="98"/>
      <c r="G26" s="98"/>
      <c r="H26" s="98"/>
      <c r="I26" s="98"/>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row>
    <row r="27" spans="1:34" ht="27" customHeight="1">
      <c r="A27" s="30"/>
      <c r="B27" s="794"/>
      <c r="C27" s="74" t="s">
        <v>163</v>
      </c>
      <c r="D27" s="72"/>
      <c r="E27" s="98"/>
      <c r="F27" s="98"/>
      <c r="G27" s="98"/>
      <c r="H27" s="98"/>
      <c r="I27" s="98"/>
      <c r="J27" s="98"/>
      <c r="K27" s="98"/>
      <c r="L27" s="98"/>
      <c r="M27" s="98"/>
      <c r="N27" s="98"/>
      <c r="O27" s="98"/>
      <c r="P27" s="98"/>
      <c r="Q27" s="98"/>
      <c r="R27" s="98"/>
      <c r="S27" s="98"/>
      <c r="T27" s="98"/>
      <c r="U27" s="98"/>
      <c r="V27" s="98"/>
      <c r="W27" s="98"/>
      <c r="X27" s="98"/>
      <c r="Y27" s="98"/>
      <c r="Z27" s="98"/>
      <c r="AA27" s="98"/>
      <c r="AB27" s="98"/>
      <c r="AC27" s="98"/>
      <c r="AD27" s="98"/>
      <c r="AE27" s="98"/>
      <c r="AF27" s="98"/>
      <c r="AG27" s="98"/>
      <c r="AH27" s="98"/>
    </row>
    <row r="28" spans="1:34" ht="27" customHeight="1">
      <c r="A28" s="30"/>
      <c r="B28" s="794"/>
      <c r="C28" s="74" t="s">
        <v>164</v>
      </c>
      <c r="D28" s="72"/>
      <c r="E28" s="98"/>
      <c r="F28" s="98"/>
      <c r="G28" s="98"/>
      <c r="H28" s="98"/>
      <c r="I28" s="98"/>
      <c r="J28" s="98"/>
      <c r="K28" s="98"/>
      <c r="L28" s="98"/>
      <c r="M28" s="98"/>
      <c r="N28" s="98"/>
      <c r="O28" s="98"/>
      <c r="P28" s="98"/>
      <c r="Q28" s="98"/>
      <c r="R28" s="98"/>
      <c r="S28" s="98"/>
      <c r="T28" s="98"/>
      <c r="U28" s="98"/>
      <c r="V28" s="98"/>
      <c r="W28" s="98"/>
      <c r="X28" s="98"/>
      <c r="Y28" s="98"/>
      <c r="Z28" s="98"/>
      <c r="AA28" s="98"/>
      <c r="AB28" s="98"/>
      <c r="AC28" s="98"/>
      <c r="AD28" s="98"/>
      <c r="AE28" s="98"/>
      <c r="AF28" s="98"/>
      <c r="AG28" s="98"/>
      <c r="AH28" s="98"/>
    </row>
    <row r="29" spans="1:34" ht="27" customHeight="1">
      <c r="A29" s="30"/>
      <c r="B29" s="802"/>
      <c r="C29" s="74" t="s">
        <v>165</v>
      </c>
      <c r="D29" s="72"/>
      <c r="E29" s="98"/>
      <c r="F29" s="98"/>
      <c r="G29" s="98"/>
      <c r="H29" s="98"/>
      <c r="I29" s="98"/>
      <c r="J29" s="98"/>
      <c r="K29" s="98"/>
      <c r="L29" s="98"/>
      <c r="M29" s="98"/>
      <c r="N29" s="98"/>
      <c r="O29" s="98"/>
      <c r="P29" s="98"/>
      <c r="Q29" s="98"/>
      <c r="R29" s="98"/>
      <c r="S29" s="98"/>
      <c r="T29" s="98"/>
      <c r="U29" s="98"/>
      <c r="V29" s="98"/>
      <c r="W29" s="98"/>
      <c r="X29" s="98"/>
      <c r="Y29" s="98"/>
      <c r="Z29" s="98"/>
      <c r="AA29" s="98"/>
      <c r="AB29" s="98"/>
      <c r="AC29" s="98"/>
      <c r="AD29" s="98"/>
      <c r="AE29" s="98"/>
      <c r="AF29" s="98"/>
      <c r="AG29" s="98"/>
      <c r="AH29" s="98"/>
    </row>
    <row r="30" spans="1:34" ht="27" customHeight="1">
      <c r="A30" s="30"/>
      <c r="B30" s="800">
        <v>4</v>
      </c>
      <c r="C30" s="795"/>
      <c r="D30" s="796"/>
      <c r="E30" s="97" t="str">
        <f>IFERROR(AVERAGE(E31:E37),"")</f>
        <v/>
      </c>
      <c r="F30" s="97" t="str">
        <f t="shared" ref="F30:AH30" si="3">IFERROR(AVERAGE(F31:F37),"")</f>
        <v/>
      </c>
      <c r="G30" s="97" t="str">
        <f t="shared" si="3"/>
        <v/>
      </c>
      <c r="H30" s="97" t="str">
        <f t="shared" si="3"/>
        <v/>
      </c>
      <c r="I30" s="97" t="str">
        <f t="shared" si="3"/>
        <v/>
      </c>
      <c r="J30" s="97" t="str">
        <f t="shared" si="3"/>
        <v/>
      </c>
      <c r="K30" s="97" t="str">
        <f t="shared" si="3"/>
        <v/>
      </c>
      <c r="L30" s="97" t="str">
        <f t="shared" si="3"/>
        <v/>
      </c>
      <c r="M30" s="97" t="str">
        <f t="shared" si="3"/>
        <v/>
      </c>
      <c r="N30" s="97" t="str">
        <f t="shared" si="3"/>
        <v/>
      </c>
      <c r="O30" s="97" t="str">
        <f t="shared" si="3"/>
        <v/>
      </c>
      <c r="P30" s="97" t="str">
        <f t="shared" si="3"/>
        <v/>
      </c>
      <c r="Q30" s="97" t="str">
        <f t="shared" si="3"/>
        <v/>
      </c>
      <c r="R30" s="97" t="str">
        <f t="shared" si="3"/>
        <v/>
      </c>
      <c r="S30" s="97" t="str">
        <f t="shared" si="3"/>
        <v/>
      </c>
      <c r="T30" s="97" t="str">
        <f t="shared" si="3"/>
        <v/>
      </c>
      <c r="U30" s="97" t="str">
        <f t="shared" si="3"/>
        <v/>
      </c>
      <c r="V30" s="97" t="str">
        <f t="shared" si="3"/>
        <v/>
      </c>
      <c r="W30" s="97" t="str">
        <f t="shared" si="3"/>
        <v/>
      </c>
      <c r="X30" s="97" t="str">
        <f t="shared" si="3"/>
        <v/>
      </c>
      <c r="Y30" s="97" t="str">
        <f t="shared" si="3"/>
        <v/>
      </c>
      <c r="Z30" s="97" t="str">
        <f t="shared" si="3"/>
        <v/>
      </c>
      <c r="AA30" s="97" t="str">
        <f t="shared" si="3"/>
        <v/>
      </c>
      <c r="AB30" s="97" t="str">
        <f t="shared" si="3"/>
        <v/>
      </c>
      <c r="AC30" s="97" t="str">
        <f t="shared" si="3"/>
        <v/>
      </c>
      <c r="AD30" s="97" t="str">
        <f t="shared" si="3"/>
        <v/>
      </c>
      <c r="AE30" s="97" t="str">
        <f t="shared" si="3"/>
        <v/>
      </c>
      <c r="AF30" s="97" t="str">
        <f t="shared" si="3"/>
        <v/>
      </c>
      <c r="AG30" s="97" t="str">
        <f t="shared" si="3"/>
        <v/>
      </c>
      <c r="AH30" s="97" t="str">
        <f t="shared" si="3"/>
        <v/>
      </c>
    </row>
    <row r="31" spans="1:34" ht="27" customHeight="1">
      <c r="A31" s="30"/>
      <c r="B31" s="801"/>
      <c r="C31" s="74" t="s">
        <v>166</v>
      </c>
      <c r="D31" s="72"/>
      <c r="E31" s="98"/>
      <c r="F31" s="98"/>
      <c r="G31" s="98"/>
      <c r="H31" s="98"/>
      <c r="I31" s="98"/>
      <c r="J31" s="98"/>
      <c r="K31" s="98"/>
      <c r="L31" s="98"/>
      <c r="M31" s="98"/>
      <c r="N31" s="98"/>
      <c r="O31" s="98"/>
      <c r="P31" s="98"/>
      <c r="Q31" s="98"/>
      <c r="R31" s="98"/>
      <c r="S31" s="98"/>
      <c r="T31" s="98"/>
      <c r="U31" s="98"/>
      <c r="V31" s="98"/>
      <c r="W31" s="98"/>
      <c r="X31" s="98"/>
      <c r="Y31" s="98"/>
      <c r="Z31" s="98"/>
      <c r="AA31" s="98"/>
      <c r="AB31" s="98"/>
      <c r="AC31" s="98"/>
      <c r="AD31" s="98"/>
      <c r="AE31" s="98"/>
      <c r="AF31" s="98"/>
      <c r="AG31" s="98"/>
      <c r="AH31" s="98"/>
    </row>
    <row r="32" spans="1:34" ht="27" customHeight="1">
      <c r="A32" s="30"/>
      <c r="B32" s="801"/>
      <c r="C32" s="74" t="s">
        <v>167</v>
      </c>
      <c r="D32" s="72"/>
      <c r="E32" s="98"/>
      <c r="F32" s="98"/>
      <c r="G32" s="98"/>
      <c r="H32" s="98"/>
      <c r="I32" s="98"/>
      <c r="J32" s="98"/>
      <c r="K32" s="98"/>
      <c r="L32" s="98"/>
      <c r="M32" s="98"/>
      <c r="N32" s="98"/>
      <c r="O32" s="98"/>
      <c r="P32" s="98"/>
      <c r="Q32" s="98"/>
      <c r="R32" s="98"/>
      <c r="S32" s="98"/>
      <c r="T32" s="98"/>
      <c r="U32" s="98"/>
      <c r="V32" s="98"/>
      <c r="W32" s="98"/>
      <c r="X32" s="98"/>
      <c r="Y32" s="98"/>
      <c r="Z32" s="98"/>
      <c r="AA32" s="98"/>
      <c r="AB32" s="98"/>
      <c r="AC32" s="98"/>
      <c r="AD32" s="98"/>
      <c r="AE32" s="98"/>
      <c r="AF32" s="98"/>
      <c r="AG32" s="98"/>
      <c r="AH32" s="98"/>
    </row>
    <row r="33" spans="1:34" ht="27" customHeight="1">
      <c r="A33" s="30"/>
      <c r="B33" s="801"/>
      <c r="C33" s="74" t="s">
        <v>168</v>
      </c>
      <c r="D33" s="72"/>
      <c r="E33" s="98"/>
      <c r="F33" s="98"/>
      <c r="G33" s="98"/>
      <c r="H33" s="98"/>
      <c r="I33" s="98"/>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row>
    <row r="34" spans="1:34" ht="27" customHeight="1">
      <c r="A34" s="30"/>
      <c r="B34" s="801"/>
      <c r="C34" s="74" t="s">
        <v>169</v>
      </c>
      <c r="D34" s="72"/>
      <c r="E34" s="98"/>
      <c r="F34" s="98"/>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row>
    <row r="35" spans="1:34" ht="27" customHeight="1">
      <c r="A35" s="30"/>
      <c r="B35" s="801"/>
      <c r="C35" s="74" t="s">
        <v>170</v>
      </c>
      <c r="D35" s="72"/>
      <c r="E35" s="98"/>
      <c r="F35" s="98"/>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row>
    <row r="36" spans="1:34" ht="27" customHeight="1">
      <c r="A36" s="30"/>
      <c r="B36" s="801"/>
      <c r="C36" s="74" t="s">
        <v>171</v>
      </c>
      <c r="D36" s="72"/>
      <c r="E36" s="98"/>
      <c r="F36" s="98"/>
      <c r="G36" s="98"/>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row>
    <row r="37" spans="1:34" ht="27" customHeight="1">
      <c r="A37" s="30"/>
      <c r="B37" s="802"/>
      <c r="C37" s="74" t="s">
        <v>172</v>
      </c>
      <c r="D37" s="72"/>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row>
    <row r="38" spans="1:34" ht="27" customHeight="1">
      <c r="A38" s="30"/>
      <c r="B38" s="800">
        <v>5</v>
      </c>
      <c r="C38" s="795"/>
      <c r="D38" s="796"/>
      <c r="E38" s="97" t="str">
        <f>IFERROR(AVERAGE(E39:E45),"")</f>
        <v/>
      </c>
      <c r="F38" s="97" t="str">
        <f t="shared" ref="F38:AH38" si="4">IFERROR(AVERAGE(F39:F45),"")</f>
        <v/>
      </c>
      <c r="G38" s="97" t="str">
        <f t="shared" si="4"/>
        <v/>
      </c>
      <c r="H38" s="97" t="str">
        <f t="shared" si="4"/>
        <v/>
      </c>
      <c r="I38" s="97" t="str">
        <f t="shared" si="4"/>
        <v/>
      </c>
      <c r="J38" s="97" t="str">
        <f t="shared" si="4"/>
        <v/>
      </c>
      <c r="K38" s="97" t="str">
        <f t="shared" si="4"/>
        <v/>
      </c>
      <c r="L38" s="97" t="str">
        <f t="shared" si="4"/>
        <v/>
      </c>
      <c r="M38" s="97" t="str">
        <f t="shared" si="4"/>
        <v/>
      </c>
      <c r="N38" s="97" t="str">
        <f t="shared" si="4"/>
        <v/>
      </c>
      <c r="O38" s="97" t="str">
        <f t="shared" si="4"/>
        <v/>
      </c>
      <c r="P38" s="97" t="str">
        <f t="shared" si="4"/>
        <v/>
      </c>
      <c r="Q38" s="97" t="str">
        <f t="shared" si="4"/>
        <v/>
      </c>
      <c r="R38" s="97" t="str">
        <f t="shared" si="4"/>
        <v/>
      </c>
      <c r="S38" s="97" t="str">
        <f t="shared" si="4"/>
        <v/>
      </c>
      <c r="T38" s="97" t="str">
        <f t="shared" si="4"/>
        <v/>
      </c>
      <c r="U38" s="97" t="str">
        <f t="shared" si="4"/>
        <v/>
      </c>
      <c r="V38" s="97" t="str">
        <f t="shared" si="4"/>
        <v/>
      </c>
      <c r="W38" s="97" t="str">
        <f t="shared" si="4"/>
        <v/>
      </c>
      <c r="X38" s="97" t="str">
        <f t="shared" si="4"/>
        <v/>
      </c>
      <c r="Y38" s="97" t="str">
        <f t="shared" si="4"/>
        <v/>
      </c>
      <c r="Z38" s="97" t="str">
        <f t="shared" si="4"/>
        <v/>
      </c>
      <c r="AA38" s="97" t="str">
        <f t="shared" si="4"/>
        <v/>
      </c>
      <c r="AB38" s="97" t="str">
        <f t="shared" si="4"/>
        <v/>
      </c>
      <c r="AC38" s="97" t="str">
        <f t="shared" si="4"/>
        <v/>
      </c>
      <c r="AD38" s="97" t="str">
        <f t="shared" si="4"/>
        <v/>
      </c>
      <c r="AE38" s="97" t="str">
        <f t="shared" si="4"/>
        <v/>
      </c>
      <c r="AF38" s="97" t="str">
        <f t="shared" si="4"/>
        <v/>
      </c>
      <c r="AG38" s="97" t="str">
        <f t="shared" si="4"/>
        <v/>
      </c>
      <c r="AH38" s="97" t="str">
        <f t="shared" si="4"/>
        <v/>
      </c>
    </row>
    <row r="39" spans="1:34" ht="27" customHeight="1">
      <c r="A39" s="30"/>
      <c r="B39" s="801"/>
      <c r="C39" s="74" t="s">
        <v>173</v>
      </c>
      <c r="D39" s="72"/>
      <c r="E39" s="98"/>
      <c r="F39" s="98"/>
      <c r="G39" s="98"/>
      <c r="H39" s="98"/>
      <c r="I39" s="98"/>
      <c r="J39" s="98"/>
      <c r="K39" s="98"/>
      <c r="L39" s="98"/>
      <c r="M39" s="98"/>
      <c r="N39" s="98"/>
      <c r="O39" s="98"/>
      <c r="P39" s="98"/>
      <c r="Q39" s="98"/>
      <c r="R39" s="98"/>
      <c r="S39" s="98"/>
      <c r="T39" s="98"/>
      <c r="U39" s="98"/>
      <c r="V39" s="98"/>
      <c r="W39" s="98"/>
      <c r="X39" s="98"/>
      <c r="Y39" s="98"/>
      <c r="Z39" s="98"/>
      <c r="AA39" s="98"/>
      <c r="AB39" s="98"/>
      <c r="AC39" s="98"/>
      <c r="AD39" s="98"/>
      <c r="AE39" s="98"/>
      <c r="AF39" s="98"/>
      <c r="AG39" s="98"/>
      <c r="AH39" s="98"/>
    </row>
    <row r="40" spans="1:34" ht="27" customHeight="1">
      <c r="A40" s="30"/>
      <c r="B40" s="801"/>
      <c r="C40" s="74" t="s">
        <v>174</v>
      </c>
      <c r="D40" s="72"/>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row>
    <row r="41" spans="1:34" ht="27" customHeight="1">
      <c r="A41" s="30"/>
      <c r="B41" s="801"/>
      <c r="C41" s="74" t="s">
        <v>175</v>
      </c>
      <c r="D41" s="72"/>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row>
    <row r="42" spans="1:34" ht="27" customHeight="1">
      <c r="A42" s="30"/>
      <c r="B42" s="801"/>
      <c r="C42" s="74" t="s">
        <v>176</v>
      </c>
      <c r="D42" s="72"/>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row>
    <row r="43" spans="1:34" ht="27" customHeight="1">
      <c r="A43" s="30"/>
      <c r="B43" s="801"/>
      <c r="C43" s="74" t="s">
        <v>177</v>
      </c>
      <c r="D43" s="72"/>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row>
    <row r="44" spans="1:34" ht="27" customHeight="1">
      <c r="A44" s="30"/>
      <c r="B44" s="801"/>
      <c r="C44" s="74" t="s">
        <v>178</v>
      </c>
      <c r="D44" s="72"/>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row>
    <row r="45" spans="1:34" ht="27" customHeight="1">
      <c r="A45" s="30"/>
      <c r="B45" s="802"/>
      <c r="C45" s="74" t="s">
        <v>179</v>
      </c>
      <c r="D45" s="72"/>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row>
    <row r="46" spans="1:34" ht="27" customHeight="1">
      <c r="A46" s="30"/>
      <c r="B46" s="794">
        <v>6</v>
      </c>
      <c r="C46" s="795"/>
      <c r="D46" s="796"/>
      <c r="E46" s="97" t="str">
        <f>IFERROR(AVERAGE(E47:E53),"")</f>
        <v/>
      </c>
      <c r="F46" s="97" t="str">
        <f t="shared" ref="F46:AH46" si="5">IFERROR(AVERAGE(F47:F53),"")</f>
        <v/>
      </c>
      <c r="G46" s="97" t="str">
        <f t="shared" si="5"/>
        <v/>
      </c>
      <c r="H46" s="97" t="str">
        <f t="shared" si="5"/>
        <v/>
      </c>
      <c r="I46" s="97" t="str">
        <f t="shared" si="5"/>
        <v/>
      </c>
      <c r="J46" s="97" t="str">
        <f t="shared" si="5"/>
        <v/>
      </c>
      <c r="K46" s="97" t="str">
        <f t="shared" si="5"/>
        <v/>
      </c>
      <c r="L46" s="97" t="str">
        <f t="shared" si="5"/>
        <v/>
      </c>
      <c r="M46" s="97" t="str">
        <f t="shared" si="5"/>
        <v/>
      </c>
      <c r="N46" s="97" t="str">
        <f t="shared" si="5"/>
        <v/>
      </c>
      <c r="O46" s="97" t="str">
        <f t="shared" si="5"/>
        <v/>
      </c>
      <c r="P46" s="97" t="str">
        <f t="shared" si="5"/>
        <v/>
      </c>
      <c r="Q46" s="97" t="str">
        <f t="shared" si="5"/>
        <v/>
      </c>
      <c r="R46" s="97" t="str">
        <f t="shared" si="5"/>
        <v/>
      </c>
      <c r="S46" s="97" t="str">
        <f t="shared" si="5"/>
        <v/>
      </c>
      <c r="T46" s="97" t="str">
        <f t="shared" si="5"/>
        <v/>
      </c>
      <c r="U46" s="97" t="str">
        <f t="shared" si="5"/>
        <v/>
      </c>
      <c r="V46" s="97" t="str">
        <f t="shared" si="5"/>
        <v/>
      </c>
      <c r="W46" s="97" t="str">
        <f t="shared" si="5"/>
        <v/>
      </c>
      <c r="X46" s="97" t="str">
        <f t="shared" si="5"/>
        <v/>
      </c>
      <c r="Y46" s="97" t="str">
        <f t="shared" si="5"/>
        <v/>
      </c>
      <c r="Z46" s="97" t="str">
        <f t="shared" si="5"/>
        <v/>
      </c>
      <c r="AA46" s="97" t="str">
        <f t="shared" si="5"/>
        <v/>
      </c>
      <c r="AB46" s="97" t="str">
        <f t="shared" si="5"/>
        <v/>
      </c>
      <c r="AC46" s="97" t="str">
        <f t="shared" si="5"/>
        <v/>
      </c>
      <c r="AD46" s="97" t="str">
        <f t="shared" si="5"/>
        <v/>
      </c>
      <c r="AE46" s="97" t="str">
        <f t="shared" si="5"/>
        <v/>
      </c>
      <c r="AF46" s="97" t="str">
        <f t="shared" si="5"/>
        <v/>
      </c>
      <c r="AG46" s="97" t="str">
        <f t="shared" si="5"/>
        <v/>
      </c>
      <c r="AH46" s="97" t="str">
        <f t="shared" si="5"/>
        <v/>
      </c>
    </row>
    <row r="47" spans="1:34" ht="27" customHeight="1">
      <c r="A47" s="30"/>
      <c r="B47" s="794"/>
      <c r="C47" s="74" t="s">
        <v>180</v>
      </c>
      <c r="D47" s="72"/>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row>
    <row r="48" spans="1:34" ht="27" customHeight="1">
      <c r="A48" s="30"/>
      <c r="B48" s="794"/>
      <c r="C48" s="74" t="s">
        <v>181</v>
      </c>
      <c r="D48" s="72"/>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row>
    <row r="49" spans="1:34" ht="27" customHeight="1">
      <c r="A49" s="30"/>
      <c r="B49" s="794"/>
      <c r="C49" s="74" t="s">
        <v>182</v>
      </c>
      <c r="D49" s="72"/>
      <c r="E49" s="98"/>
      <c r="F49" s="98"/>
      <c r="G49" s="98"/>
      <c r="H49" s="98"/>
      <c r="I49" s="98"/>
      <c r="J49" s="98"/>
      <c r="K49" s="98"/>
      <c r="L49" s="98"/>
      <c r="M49" s="98"/>
      <c r="N49" s="98"/>
      <c r="O49" s="98"/>
      <c r="P49" s="98"/>
      <c r="Q49" s="98"/>
      <c r="R49" s="98"/>
      <c r="S49" s="98"/>
      <c r="T49" s="98"/>
      <c r="U49" s="98"/>
      <c r="V49" s="98"/>
      <c r="W49" s="98"/>
      <c r="X49" s="98"/>
      <c r="Y49" s="98"/>
      <c r="Z49" s="98"/>
      <c r="AA49" s="98"/>
      <c r="AB49" s="98"/>
      <c r="AC49" s="98"/>
      <c r="AD49" s="98"/>
      <c r="AE49" s="98"/>
      <c r="AF49" s="98"/>
      <c r="AG49" s="98"/>
      <c r="AH49" s="98"/>
    </row>
    <row r="50" spans="1:34" ht="27" customHeight="1">
      <c r="A50" s="30"/>
      <c r="B50" s="794"/>
      <c r="C50" s="74" t="s">
        <v>183</v>
      </c>
      <c r="D50" s="72"/>
      <c r="E50" s="98"/>
      <c r="F50" s="98"/>
      <c r="G50" s="98"/>
      <c r="H50" s="98"/>
      <c r="I50" s="98"/>
      <c r="J50" s="98"/>
      <c r="K50" s="98"/>
      <c r="L50" s="98"/>
      <c r="M50" s="98"/>
      <c r="N50" s="98"/>
      <c r="O50" s="98"/>
      <c r="P50" s="98"/>
      <c r="Q50" s="98"/>
      <c r="R50" s="98"/>
      <c r="S50" s="98"/>
      <c r="T50" s="98"/>
      <c r="U50" s="98"/>
      <c r="V50" s="98"/>
      <c r="W50" s="98"/>
      <c r="X50" s="98"/>
      <c r="Y50" s="98"/>
      <c r="Z50" s="98"/>
      <c r="AA50" s="98"/>
      <c r="AB50" s="98"/>
      <c r="AC50" s="98"/>
      <c r="AD50" s="98"/>
      <c r="AE50" s="98"/>
      <c r="AF50" s="98"/>
      <c r="AG50" s="98"/>
      <c r="AH50" s="98"/>
    </row>
    <row r="51" spans="1:34" ht="27" customHeight="1">
      <c r="A51" s="30"/>
      <c r="B51" s="794"/>
      <c r="C51" s="74" t="s">
        <v>184</v>
      </c>
      <c r="D51" s="72"/>
      <c r="E51" s="98"/>
      <c r="F51" s="98"/>
      <c r="G51" s="98"/>
      <c r="H51" s="98"/>
      <c r="I51" s="98"/>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row>
    <row r="52" spans="1:34" ht="27" customHeight="1">
      <c r="A52" s="30"/>
      <c r="B52" s="794"/>
      <c r="C52" s="74" t="s">
        <v>185</v>
      </c>
      <c r="D52" s="72"/>
      <c r="E52" s="98"/>
      <c r="F52" s="98"/>
      <c r="G52" s="98"/>
      <c r="H52" s="98"/>
      <c r="I52" s="98"/>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row>
    <row r="53" spans="1:34" ht="27" customHeight="1">
      <c r="A53" s="30"/>
      <c r="B53" s="794"/>
      <c r="C53" s="74" t="s">
        <v>186</v>
      </c>
      <c r="D53" s="72"/>
      <c r="E53" s="98"/>
      <c r="F53" s="98"/>
      <c r="G53" s="98"/>
      <c r="H53" s="98"/>
      <c r="I53" s="98"/>
      <c r="J53" s="98"/>
      <c r="K53" s="98"/>
      <c r="L53" s="98"/>
      <c r="M53" s="98"/>
      <c r="N53" s="98"/>
      <c r="O53" s="98"/>
      <c r="P53" s="98"/>
      <c r="Q53" s="98"/>
      <c r="R53" s="98"/>
      <c r="S53" s="98"/>
      <c r="T53" s="98"/>
      <c r="U53" s="98"/>
      <c r="V53" s="98"/>
      <c r="W53" s="98"/>
      <c r="X53" s="98"/>
      <c r="Y53" s="98"/>
      <c r="Z53" s="98"/>
      <c r="AA53" s="98"/>
      <c r="AB53" s="98"/>
      <c r="AC53" s="98"/>
      <c r="AD53" s="98"/>
      <c r="AE53" s="98"/>
      <c r="AF53" s="98"/>
      <c r="AG53" s="98"/>
      <c r="AH53" s="98"/>
    </row>
    <row r="54" spans="1:34" ht="27" customHeight="1">
      <c r="A54" s="30"/>
      <c r="B54" s="800">
        <v>7</v>
      </c>
      <c r="C54" s="795"/>
      <c r="D54" s="796"/>
      <c r="E54" s="97" t="str">
        <f>IFERROR(AVERAGE(E55:E61),"")</f>
        <v/>
      </c>
      <c r="F54" s="97" t="str">
        <f t="shared" ref="F54:AH54" si="6">IFERROR(AVERAGE(F55:F61),"")</f>
        <v/>
      </c>
      <c r="G54" s="97" t="str">
        <f t="shared" si="6"/>
        <v/>
      </c>
      <c r="H54" s="97" t="str">
        <f t="shared" si="6"/>
        <v/>
      </c>
      <c r="I54" s="97" t="str">
        <f t="shared" si="6"/>
        <v/>
      </c>
      <c r="J54" s="97" t="str">
        <f t="shared" si="6"/>
        <v/>
      </c>
      <c r="K54" s="97" t="str">
        <f t="shared" si="6"/>
        <v/>
      </c>
      <c r="L54" s="97" t="str">
        <f t="shared" si="6"/>
        <v/>
      </c>
      <c r="M54" s="97" t="str">
        <f t="shared" si="6"/>
        <v/>
      </c>
      <c r="N54" s="97" t="str">
        <f t="shared" si="6"/>
        <v/>
      </c>
      <c r="O54" s="97" t="str">
        <f t="shared" si="6"/>
        <v/>
      </c>
      <c r="P54" s="97" t="str">
        <f t="shared" si="6"/>
        <v/>
      </c>
      <c r="Q54" s="97" t="str">
        <f t="shared" si="6"/>
        <v/>
      </c>
      <c r="R54" s="97" t="str">
        <f t="shared" si="6"/>
        <v/>
      </c>
      <c r="S54" s="97" t="str">
        <f t="shared" si="6"/>
        <v/>
      </c>
      <c r="T54" s="97" t="str">
        <f t="shared" si="6"/>
        <v/>
      </c>
      <c r="U54" s="97" t="str">
        <f t="shared" si="6"/>
        <v/>
      </c>
      <c r="V54" s="97" t="str">
        <f t="shared" si="6"/>
        <v/>
      </c>
      <c r="W54" s="97" t="str">
        <f t="shared" si="6"/>
        <v/>
      </c>
      <c r="X54" s="97" t="str">
        <f t="shared" si="6"/>
        <v/>
      </c>
      <c r="Y54" s="97" t="str">
        <f t="shared" si="6"/>
        <v/>
      </c>
      <c r="Z54" s="97" t="str">
        <f t="shared" si="6"/>
        <v/>
      </c>
      <c r="AA54" s="97" t="str">
        <f t="shared" si="6"/>
        <v/>
      </c>
      <c r="AB54" s="97" t="str">
        <f t="shared" si="6"/>
        <v/>
      </c>
      <c r="AC54" s="97" t="str">
        <f t="shared" si="6"/>
        <v/>
      </c>
      <c r="AD54" s="97" t="str">
        <f t="shared" si="6"/>
        <v/>
      </c>
      <c r="AE54" s="97" t="str">
        <f t="shared" si="6"/>
        <v/>
      </c>
      <c r="AF54" s="97" t="str">
        <f t="shared" si="6"/>
        <v/>
      </c>
      <c r="AG54" s="97" t="str">
        <f t="shared" si="6"/>
        <v/>
      </c>
      <c r="AH54" s="97" t="str">
        <f t="shared" si="6"/>
        <v/>
      </c>
    </row>
    <row r="55" spans="1:34" ht="27" customHeight="1">
      <c r="A55" s="30"/>
      <c r="B55" s="801"/>
      <c r="C55" s="74" t="s">
        <v>187</v>
      </c>
      <c r="D55" s="72"/>
      <c r="E55" s="98"/>
      <c r="F55" s="98"/>
      <c r="G55" s="98"/>
      <c r="H55" s="98"/>
      <c r="I55" s="98"/>
      <c r="J55" s="98"/>
      <c r="K55" s="98"/>
      <c r="L55" s="98"/>
      <c r="M55" s="98"/>
      <c r="N55" s="98"/>
      <c r="O55" s="98"/>
      <c r="P55" s="98"/>
      <c r="Q55" s="98"/>
      <c r="R55" s="98"/>
      <c r="S55" s="98"/>
      <c r="T55" s="98"/>
      <c r="U55" s="98"/>
      <c r="V55" s="98"/>
      <c r="W55" s="98"/>
      <c r="X55" s="98"/>
      <c r="Y55" s="98"/>
      <c r="Z55" s="98"/>
      <c r="AA55" s="98"/>
      <c r="AB55" s="98"/>
      <c r="AC55" s="98"/>
      <c r="AD55" s="98"/>
      <c r="AE55" s="98"/>
      <c r="AF55" s="98"/>
      <c r="AG55" s="98"/>
      <c r="AH55" s="98"/>
    </row>
    <row r="56" spans="1:34" ht="27" customHeight="1">
      <c r="A56" s="30"/>
      <c r="B56" s="801"/>
      <c r="C56" s="74" t="s">
        <v>188</v>
      </c>
      <c r="D56" s="72"/>
      <c r="E56" s="98"/>
      <c r="F56" s="98"/>
      <c r="G56" s="98"/>
      <c r="H56" s="98"/>
      <c r="I56" s="98"/>
      <c r="J56" s="98"/>
      <c r="K56" s="98"/>
      <c r="L56" s="98"/>
      <c r="M56" s="98"/>
      <c r="N56" s="98"/>
      <c r="O56" s="98"/>
      <c r="P56" s="98"/>
      <c r="Q56" s="98"/>
      <c r="R56" s="98"/>
      <c r="S56" s="98"/>
      <c r="T56" s="98"/>
      <c r="U56" s="98"/>
      <c r="V56" s="98"/>
      <c r="W56" s="98"/>
      <c r="X56" s="98"/>
      <c r="Y56" s="98"/>
      <c r="Z56" s="98"/>
      <c r="AA56" s="98"/>
      <c r="AB56" s="98"/>
      <c r="AC56" s="98"/>
      <c r="AD56" s="98"/>
      <c r="AE56" s="98"/>
      <c r="AF56" s="98"/>
      <c r="AG56" s="98"/>
      <c r="AH56" s="98"/>
    </row>
    <row r="57" spans="1:34" ht="27" customHeight="1">
      <c r="A57" s="30"/>
      <c r="B57" s="801"/>
      <c r="C57" s="74" t="s">
        <v>189</v>
      </c>
      <c r="D57" s="72"/>
      <c r="E57" s="98"/>
      <c r="F57" s="98"/>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row>
    <row r="58" spans="1:34" ht="27" customHeight="1">
      <c r="A58" s="30"/>
      <c r="B58" s="801"/>
      <c r="C58" s="74" t="s">
        <v>190</v>
      </c>
      <c r="D58" s="72"/>
      <c r="E58" s="98"/>
      <c r="F58" s="98"/>
      <c r="G58" s="98"/>
      <c r="H58" s="98"/>
      <c r="I58" s="98"/>
      <c r="J58" s="98"/>
      <c r="K58" s="98"/>
      <c r="L58" s="98"/>
      <c r="M58" s="98"/>
      <c r="N58" s="98"/>
      <c r="O58" s="98"/>
      <c r="P58" s="98"/>
      <c r="Q58" s="98"/>
      <c r="R58" s="98"/>
      <c r="S58" s="98"/>
      <c r="T58" s="98"/>
      <c r="U58" s="98"/>
      <c r="V58" s="98"/>
      <c r="W58" s="98"/>
      <c r="X58" s="98"/>
      <c r="Y58" s="98"/>
      <c r="Z58" s="98"/>
      <c r="AA58" s="98"/>
      <c r="AB58" s="98"/>
      <c r="AC58" s="98"/>
      <c r="AD58" s="98"/>
      <c r="AE58" s="98"/>
      <c r="AF58" s="98"/>
      <c r="AG58" s="98"/>
      <c r="AH58" s="98"/>
    </row>
    <row r="59" spans="1:34" ht="27" customHeight="1">
      <c r="A59" s="30"/>
      <c r="B59" s="801"/>
      <c r="C59" s="74" t="s">
        <v>191</v>
      </c>
      <c r="D59" s="72"/>
      <c r="E59" s="98"/>
      <c r="F59" s="98"/>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F59" s="98"/>
      <c r="AG59" s="98"/>
      <c r="AH59" s="98"/>
    </row>
    <row r="60" spans="1:34" ht="27" customHeight="1">
      <c r="A60" s="30"/>
      <c r="B60" s="801"/>
      <c r="C60" s="74" t="s">
        <v>192</v>
      </c>
      <c r="D60" s="72"/>
      <c r="E60" s="98"/>
      <c r="F60" s="98"/>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F60" s="98"/>
      <c r="AG60" s="98"/>
      <c r="AH60" s="98"/>
    </row>
    <row r="61" spans="1:34" ht="27" customHeight="1">
      <c r="A61" s="30"/>
      <c r="B61" s="802"/>
      <c r="C61" s="74" t="s">
        <v>193</v>
      </c>
      <c r="D61" s="72"/>
      <c r="E61" s="98"/>
      <c r="F61" s="98"/>
      <c r="G61" s="98"/>
      <c r="H61" s="98"/>
      <c r="I61" s="98"/>
      <c r="J61" s="98"/>
      <c r="K61" s="98"/>
      <c r="L61" s="98"/>
      <c r="M61" s="98"/>
      <c r="N61" s="98"/>
      <c r="O61" s="98"/>
      <c r="P61" s="98"/>
      <c r="Q61" s="98"/>
      <c r="R61" s="98"/>
      <c r="S61" s="98"/>
      <c r="T61" s="98"/>
      <c r="U61" s="98"/>
      <c r="V61" s="98"/>
      <c r="W61" s="98"/>
      <c r="X61" s="98"/>
      <c r="Y61" s="98"/>
      <c r="Z61" s="98"/>
      <c r="AA61" s="98"/>
      <c r="AB61" s="98"/>
      <c r="AC61" s="98"/>
      <c r="AD61" s="98"/>
      <c r="AE61" s="98"/>
      <c r="AF61" s="98"/>
      <c r="AG61" s="98"/>
      <c r="AH61" s="98"/>
    </row>
    <row r="62" spans="1:34" ht="27" customHeight="1">
      <c r="A62" s="30"/>
      <c r="B62" s="800">
        <v>8</v>
      </c>
      <c r="C62" s="795"/>
      <c r="D62" s="796"/>
      <c r="E62" s="97" t="str">
        <f>IFERROR(AVERAGE(E63:E69),"")</f>
        <v/>
      </c>
      <c r="F62" s="97" t="str">
        <f t="shared" ref="F62:AH62" si="7">IFERROR(AVERAGE(F63:F69),"")</f>
        <v/>
      </c>
      <c r="G62" s="97" t="str">
        <f t="shared" si="7"/>
        <v/>
      </c>
      <c r="H62" s="97" t="str">
        <f t="shared" si="7"/>
        <v/>
      </c>
      <c r="I62" s="97" t="str">
        <f t="shared" si="7"/>
        <v/>
      </c>
      <c r="J62" s="97" t="str">
        <f t="shared" si="7"/>
        <v/>
      </c>
      <c r="K62" s="97" t="str">
        <f t="shared" si="7"/>
        <v/>
      </c>
      <c r="L62" s="97" t="str">
        <f t="shared" si="7"/>
        <v/>
      </c>
      <c r="M62" s="97" t="str">
        <f t="shared" si="7"/>
        <v/>
      </c>
      <c r="N62" s="97" t="str">
        <f t="shared" si="7"/>
        <v/>
      </c>
      <c r="O62" s="97" t="str">
        <f t="shared" si="7"/>
        <v/>
      </c>
      <c r="P62" s="97" t="str">
        <f t="shared" si="7"/>
        <v/>
      </c>
      <c r="Q62" s="97" t="str">
        <f t="shared" si="7"/>
        <v/>
      </c>
      <c r="R62" s="97" t="str">
        <f t="shared" si="7"/>
        <v/>
      </c>
      <c r="S62" s="97" t="str">
        <f t="shared" si="7"/>
        <v/>
      </c>
      <c r="T62" s="97" t="str">
        <f t="shared" si="7"/>
        <v/>
      </c>
      <c r="U62" s="97" t="str">
        <f t="shared" si="7"/>
        <v/>
      </c>
      <c r="V62" s="97" t="str">
        <f t="shared" si="7"/>
        <v/>
      </c>
      <c r="W62" s="97" t="str">
        <f t="shared" si="7"/>
        <v/>
      </c>
      <c r="X62" s="97" t="str">
        <f t="shared" si="7"/>
        <v/>
      </c>
      <c r="Y62" s="97" t="str">
        <f t="shared" si="7"/>
        <v/>
      </c>
      <c r="Z62" s="97" t="str">
        <f t="shared" si="7"/>
        <v/>
      </c>
      <c r="AA62" s="97" t="str">
        <f t="shared" si="7"/>
        <v/>
      </c>
      <c r="AB62" s="97" t="str">
        <f t="shared" si="7"/>
        <v/>
      </c>
      <c r="AC62" s="97" t="str">
        <f t="shared" si="7"/>
        <v/>
      </c>
      <c r="AD62" s="97" t="str">
        <f t="shared" si="7"/>
        <v/>
      </c>
      <c r="AE62" s="97" t="str">
        <f t="shared" si="7"/>
        <v/>
      </c>
      <c r="AF62" s="97" t="str">
        <f t="shared" si="7"/>
        <v/>
      </c>
      <c r="AG62" s="97" t="str">
        <f t="shared" si="7"/>
        <v/>
      </c>
      <c r="AH62" s="97" t="str">
        <f t="shared" si="7"/>
        <v/>
      </c>
    </row>
    <row r="63" spans="1:34" ht="27" customHeight="1">
      <c r="A63" s="30"/>
      <c r="B63" s="801"/>
      <c r="C63" s="74" t="s">
        <v>194</v>
      </c>
      <c r="D63" s="72"/>
      <c r="E63" s="98"/>
      <c r="F63" s="98"/>
      <c r="G63" s="98"/>
      <c r="H63" s="98"/>
      <c r="I63" s="98"/>
      <c r="J63" s="98"/>
      <c r="K63" s="98"/>
      <c r="L63" s="98"/>
      <c r="M63" s="98"/>
      <c r="N63" s="98"/>
      <c r="O63" s="98"/>
      <c r="P63" s="98"/>
      <c r="Q63" s="98"/>
      <c r="R63" s="98"/>
      <c r="S63" s="98"/>
      <c r="T63" s="98"/>
      <c r="U63" s="98"/>
      <c r="V63" s="98"/>
      <c r="W63" s="98"/>
      <c r="X63" s="98"/>
      <c r="Y63" s="98"/>
      <c r="Z63" s="98"/>
      <c r="AA63" s="98"/>
      <c r="AB63" s="98"/>
      <c r="AC63" s="98"/>
      <c r="AD63" s="98"/>
      <c r="AE63" s="98"/>
      <c r="AF63" s="98"/>
      <c r="AG63" s="98"/>
      <c r="AH63" s="98"/>
    </row>
    <row r="64" spans="1:34" ht="27" customHeight="1">
      <c r="A64" s="30"/>
      <c r="B64" s="801"/>
      <c r="C64" s="74" t="s">
        <v>195</v>
      </c>
      <c r="D64" s="72"/>
      <c r="E64" s="98"/>
      <c r="F64" s="98"/>
      <c r="G64" s="98"/>
      <c r="H64" s="98"/>
      <c r="I64" s="98"/>
      <c r="J64" s="98"/>
      <c r="K64" s="98"/>
      <c r="L64" s="98"/>
      <c r="M64" s="98"/>
      <c r="N64" s="98"/>
      <c r="O64" s="98"/>
      <c r="P64" s="98"/>
      <c r="Q64" s="98"/>
      <c r="R64" s="98"/>
      <c r="S64" s="98"/>
      <c r="T64" s="98"/>
      <c r="U64" s="98"/>
      <c r="V64" s="98"/>
      <c r="W64" s="98"/>
      <c r="X64" s="98"/>
      <c r="Y64" s="98"/>
      <c r="Z64" s="98"/>
      <c r="AA64" s="98"/>
      <c r="AB64" s="98"/>
      <c r="AC64" s="98"/>
      <c r="AD64" s="98"/>
      <c r="AE64" s="98"/>
      <c r="AF64" s="98"/>
      <c r="AG64" s="98"/>
      <c r="AH64" s="98"/>
    </row>
    <row r="65" spans="1:34" ht="27" customHeight="1">
      <c r="A65" s="30"/>
      <c r="B65" s="801"/>
      <c r="C65" s="74" t="s">
        <v>196</v>
      </c>
      <c r="D65" s="72"/>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row>
    <row r="66" spans="1:34" ht="27" customHeight="1">
      <c r="A66" s="30"/>
      <c r="B66" s="801"/>
      <c r="C66" s="74" t="s">
        <v>197</v>
      </c>
      <c r="D66" s="72"/>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row>
    <row r="67" spans="1:34" ht="27" customHeight="1">
      <c r="A67" s="30"/>
      <c r="B67" s="801"/>
      <c r="C67" s="74" t="s">
        <v>198</v>
      </c>
      <c r="D67" s="72"/>
      <c r="E67" s="98"/>
      <c r="F67" s="98"/>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row>
    <row r="68" spans="1:34" ht="27" customHeight="1">
      <c r="A68" s="30"/>
      <c r="B68" s="801"/>
      <c r="C68" s="74" t="s">
        <v>199</v>
      </c>
      <c r="D68" s="72"/>
      <c r="E68" s="98"/>
      <c r="F68" s="98"/>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row>
    <row r="69" spans="1:34" ht="27" customHeight="1">
      <c r="A69" s="30"/>
      <c r="B69" s="802"/>
      <c r="C69" s="74" t="s">
        <v>200</v>
      </c>
      <c r="D69" s="72"/>
      <c r="E69" s="98"/>
      <c r="F69" s="98"/>
      <c r="G69" s="98"/>
      <c r="H69" s="98"/>
      <c r="I69" s="98"/>
      <c r="J69" s="98"/>
      <c r="K69" s="98"/>
      <c r="L69" s="98"/>
      <c r="M69" s="98"/>
      <c r="N69" s="98"/>
      <c r="O69" s="98"/>
      <c r="P69" s="98"/>
      <c r="Q69" s="98"/>
      <c r="R69" s="98"/>
      <c r="S69" s="98"/>
      <c r="T69" s="98"/>
      <c r="U69" s="98"/>
      <c r="V69" s="98"/>
      <c r="W69" s="98"/>
      <c r="X69" s="98"/>
      <c r="Y69" s="98"/>
      <c r="Z69" s="98"/>
      <c r="AA69" s="98"/>
      <c r="AB69" s="98"/>
      <c r="AC69" s="98"/>
      <c r="AD69" s="98"/>
      <c r="AE69" s="98"/>
      <c r="AF69" s="98"/>
      <c r="AG69" s="98"/>
      <c r="AH69" s="98"/>
    </row>
    <row r="70" spans="1:34" ht="27" customHeight="1">
      <c r="A70" s="30"/>
      <c r="B70" s="794">
        <v>9</v>
      </c>
      <c r="C70" s="795"/>
      <c r="D70" s="796"/>
      <c r="E70" s="97" t="str">
        <f>IFERROR(AVERAGE(E71:E77),"")</f>
        <v/>
      </c>
      <c r="F70" s="97" t="str">
        <f t="shared" ref="F70:AH70" si="8">IFERROR(AVERAGE(F71:F77),"")</f>
        <v/>
      </c>
      <c r="G70" s="97" t="str">
        <f t="shared" si="8"/>
        <v/>
      </c>
      <c r="H70" s="97" t="str">
        <f t="shared" si="8"/>
        <v/>
      </c>
      <c r="I70" s="97" t="str">
        <f t="shared" si="8"/>
        <v/>
      </c>
      <c r="J70" s="97" t="str">
        <f t="shared" si="8"/>
        <v/>
      </c>
      <c r="K70" s="97" t="str">
        <f t="shared" si="8"/>
        <v/>
      </c>
      <c r="L70" s="97" t="str">
        <f t="shared" si="8"/>
        <v/>
      </c>
      <c r="M70" s="97" t="str">
        <f t="shared" si="8"/>
        <v/>
      </c>
      <c r="N70" s="97" t="str">
        <f t="shared" si="8"/>
        <v/>
      </c>
      <c r="O70" s="97" t="str">
        <f t="shared" si="8"/>
        <v/>
      </c>
      <c r="P70" s="97" t="str">
        <f t="shared" si="8"/>
        <v/>
      </c>
      <c r="Q70" s="97" t="str">
        <f t="shared" si="8"/>
        <v/>
      </c>
      <c r="R70" s="97" t="str">
        <f t="shared" si="8"/>
        <v/>
      </c>
      <c r="S70" s="97" t="str">
        <f t="shared" si="8"/>
        <v/>
      </c>
      <c r="T70" s="97" t="str">
        <f t="shared" si="8"/>
        <v/>
      </c>
      <c r="U70" s="97" t="str">
        <f t="shared" si="8"/>
        <v/>
      </c>
      <c r="V70" s="97" t="str">
        <f t="shared" si="8"/>
        <v/>
      </c>
      <c r="W70" s="97" t="str">
        <f t="shared" si="8"/>
        <v/>
      </c>
      <c r="X70" s="97" t="str">
        <f t="shared" si="8"/>
        <v/>
      </c>
      <c r="Y70" s="97" t="str">
        <f t="shared" si="8"/>
        <v/>
      </c>
      <c r="Z70" s="97" t="str">
        <f t="shared" si="8"/>
        <v/>
      </c>
      <c r="AA70" s="97" t="str">
        <f t="shared" si="8"/>
        <v/>
      </c>
      <c r="AB70" s="97" t="str">
        <f t="shared" si="8"/>
        <v/>
      </c>
      <c r="AC70" s="97" t="str">
        <f t="shared" si="8"/>
        <v/>
      </c>
      <c r="AD70" s="97" t="str">
        <f t="shared" si="8"/>
        <v/>
      </c>
      <c r="AE70" s="97" t="str">
        <f t="shared" si="8"/>
        <v/>
      </c>
      <c r="AF70" s="97" t="str">
        <f t="shared" si="8"/>
        <v/>
      </c>
      <c r="AG70" s="97" t="str">
        <f t="shared" si="8"/>
        <v/>
      </c>
      <c r="AH70" s="97" t="str">
        <f t="shared" si="8"/>
        <v/>
      </c>
    </row>
    <row r="71" spans="1:34" ht="27" customHeight="1">
      <c r="A71" s="30"/>
      <c r="B71" s="794"/>
      <c r="C71" s="74" t="s">
        <v>201</v>
      </c>
      <c r="D71" s="72"/>
      <c r="E71" s="98"/>
      <c r="F71" s="98"/>
      <c r="G71" s="98"/>
      <c r="H71" s="98"/>
      <c r="I71" s="98"/>
      <c r="J71" s="98"/>
      <c r="K71" s="98"/>
      <c r="L71" s="98"/>
      <c r="M71" s="98"/>
      <c r="N71" s="98"/>
      <c r="O71" s="98"/>
      <c r="P71" s="98"/>
      <c r="Q71" s="98"/>
      <c r="R71" s="98"/>
      <c r="S71" s="98"/>
      <c r="T71" s="98"/>
      <c r="U71" s="98"/>
      <c r="V71" s="98"/>
      <c r="W71" s="98"/>
      <c r="X71" s="98"/>
      <c r="Y71" s="98"/>
      <c r="Z71" s="98"/>
      <c r="AA71" s="98"/>
      <c r="AB71" s="98"/>
      <c r="AC71" s="98"/>
      <c r="AD71" s="98"/>
      <c r="AE71" s="98"/>
      <c r="AF71" s="98"/>
      <c r="AG71" s="98"/>
      <c r="AH71" s="98"/>
    </row>
    <row r="72" spans="1:34" ht="27" customHeight="1">
      <c r="A72" s="30"/>
      <c r="B72" s="794"/>
      <c r="C72" s="74" t="s">
        <v>202</v>
      </c>
      <c r="D72" s="72"/>
      <c r="E72" s="98"/>
      <c r="F72" s="98"/>
      <c r="G72" s="98"/>
      <c r="H72" s="98"/>
      <c r="I72" s="98"/>
      <c r="J72" s="98"/>
      <c r="K72" s="98"/>
      <c r="L72" s="98"/>
      <c r="M72" s="98"/>
      <c r="N72" s="98"/>
      <c r="O72" s="98"/>
      <c r="P72" s="98"/>
      <c r="Q72" s="98"/>
      <c r="R72" s="98"/>
      <c r="S72" s="98"/>
      <c r="T72" s="98"/>
      <c r="U72" s="98"/>
      <c r="V72" s="98"/>
      <c r="W72" s="98"/>
      <c r="X72" s="98"/>
      <c r="Y72" s="98"/>
      <c r="Z72" s="98"/>
      <c r="AA72" s="98"/>
      <c r="AB72" s="98"/>
      <c r="AC72" s="98"/>
      <c r="AD72" s="98"/>
      <c r="AE72" s="98"/>
      <c r="AF72" s="98"/>
      <c r="AG72" s="98"/>
      <c r="AH72" s="98"/>
    </row>
    <row r="73" spans="1:34" ht="27" customHeight="1">
      <c r="A73" s="30"/>
      <c r="B73" s="794"/>
      <c r="C73" s="74" t="s">
        <v>203</v>
      </c>
      <c r="D73" s="72"/>
      <c r="E73" s="98"/>
      <c r="F73" s="98"/>
      <c r="G73" s="98"/>
      <c r="H73" s="98"/>
      <c r="I73" s="98"/>
      <c r="J73" s="98"/>
      <c r="K73" s="98"/>
      <c r="L73" s="98"/>
      <c r="M73" s="98"/>
      <c r="N73" s="98"/>
      <c r="O73" s="98"/>
      <c r="P73" s="98"/>
      <c r="Q73" s="98"/>
      <c r="R73" s="98"/>
      <c r="S73" s="98"/>
      <c r="T73" s="98"/>
      <c r="U73" s="98"/>
      <c r="V73" s="98"/>
      <c r="W73" s="98"/>
      <c r="X73" s="98"/>
      <c r="Y73" s="98"/>
      <c r="Z73" s="98"/>
      <c r="AA73" s="98"/>
      <c r="AB73" s="98"/>
      <c r="AC73" s="98"/>
      <c r="AD73" s="98"/>
      <c r="AE73" s="98"/>
      <c r="AF73" s="98"/>
      <c r="AG73" s="98"/>
      <c r="AH73" s="98"/>
    </row>
    <row r="74" spans="1:34" ht="27" customHeight="1">
      <c r="A74" s="30"/>
      <c r="B74" s="794"/>
      <c r="C74" s="74" t="s">
        <v>204</v>
      </c>
      <c r="D74" s="72"/>
      <c r="E74" s="98"/>
      <c r="F74" s="98"/>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row>
    <row r="75" spans="1:34" ht="27" customHeight="1">
      <c r="A75" s="30"/>
      <c r="B75" s="794"/>
      <c r="C75" s="74" t="s">
        <v>205</v>
      </c>
      <c r="D75" s="72"/>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row>
    <row r="76" spans="1:34" ht="27" customHeight="1">
      <c r="A76" s="30"/>
      <c r="B76" s="794"/>
      <c r="C76" s="74" t="s">
        <v>206</v>
      </c>
      <c r="D76" s="72"/>
      <c r="E76" s="98"/>
      <c r="F76" s="98"/>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row>
    <row r="77" spans="1:34" ht="27" customHeight="1">
      <c r="A77" s="30"/>
      <c r="B77" s="794"/>
      <c r="C77" s="74" t="s">
        <v>207</v>
      </c>
      <c r="D77" s="72"/>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row>
    <row r="78" spans="1:34" ht="27" customHeight="1">
      <c r="A78" s="30"/>
      <c r="B78" s="800">
        <v>10</v>
      </c>
      <c r="C78" s="795"/>
      <c r="D78" s="796"/>
      <c r="E78" s="97" t="str">
        <f>IFERROR(AVERAGE(E79:E85),"")</f>
        <v/>
      </c>
      <c r="F78" s="97" t="str">
        <f t="shared" ref="F78:AH78" si="9">IFERROR(AVERAGE(F79:F85),"")</f>
        <v/>
      </c>
      <c r="G78" s="97" t="str">
        <f t="shared" si="9"/>
        <v/>
      </c>
      <c r="H78" s="97" t="str">
        <f t="shared" si="9"/>
        <v/>
      </c>
      <c r="I78" s="97" t="str">
        <f t="shared" si="9"/>
        <v/>
      </c>
      <c r="J78" s="97" t="str">
        <f t="shared" si="9"/>
        <v/>
      </c>
      <c r="K78" s="97" t="str">
        <f t="shared" si="9"/>
        <v/>
      </c>
      <c r="L78" s="97" t="str">
        <f t="shared" si="9"/>
        <v/>
      </c>
      <c r="M78" s="97" t="str">
        <f t="shared" si="9"/>
        <v/>
      </c>
      <c r="N78" s="97" t="str">
        <f t="shared" si="9"/>
        <v/>
      </c>
      <c r="O78" s="97" t="str">
        <f t="shared" si="9"/>
        <v/>
      </c>
      <c r="P78" s="97" t="str">
        <f t="shared" si="9"/>
        <v/>
      </c>
      <c r="Q78" s="97" t="str">
        <f t="shared" si="9"/>
        <v/>
      </c>
      <c r="R78" s="97" t="str">
        <f t="shared" si="9"/>
        <v/>
      </c>
      <c r="S78" s="97" t="str">
        <f t="shared" si="9"/>
        <v/>
      </c>
      <c r="T78" s="97" t="str">
        <f t="shared" si="9"/>
        <v/>
      </c>
      <c r="U78" s="97" t="str">
        <f t="shared" si="9"/>
        <v/>
      </c>
      <c r="V78" s="97" t="str">
        <f t="shared" si="9"/>
        <v/>
      </c>
      <c r="W78" s="97" t="str">
        <f t="shared" si="9"/>
        <v/>
      </c>
      <c r="X78" s="97" t="str">
        <f t="shared" si="9"/>
        <v/>
      </c>
      <c r="Y78" s="97" t="str">
        <f t="shared" si="9"/>
        <v/>
      </c>
      <c r="Z78" s="97" t="str">
        <f t="shared" si="9"/>
        <v/>
      </c>
      <c r="AA78" s="97" t="str">
        <f t="shared" si="9"/>
        <v/>
      </c>
      <c r="AB78" s="97" t="str">
        <f t="shared" si="9"/>
        <v/>
      </c>
      <c r="AC78" s="97" t="str">
        <f t="shared" si="9"/>
        <v/>
      </c>
      <c r="AD78" s="97" t="str">
        <f t="shared" si="9"/>
        <v/>
      </c>
      <c r="AE78" s="97" t="str">
        <f t="shared" si="9"/>
        <v/>
      </c>
      <c r="AF78" s="97" t="str">
        <f t="shared" si="9"/>
        <v/>
      </c>
      <c r="AG78" s="97" t="str">
        <f t="shared" si="9"/>
        <v/>
      </c>
      <c r="AH78" s="97" t="str">
        <f t="shared" si="9"/>
        <v/>
      </c>
    </row>
    <row r="79" spans="1:34" ht="27" customHeight="1">
      <c r="A79" s="30"/>
      <c r="B79" s="801"/>
      <c r="C79" s="74" t="s">
        <v>208</v>
      </c>
      <c r="D79" s="72"/>
      <c r="E79" s="98"/>
      <c r="F79" s="98"/>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row>
    <row r="80" spans="1:34" ht="27" customHeight="1">
      <c r="A80" s="30"/>
      <c r="B80" s="801"/>
      <c r="C80" s="74" t="s">
        <v>209</v>
      </c>
      <c r="D80" s="72"/>
      <c r="E80" s="98"/>
      <c r="F80" s="98"/>
      <c r="G80" s="98"/>
      <c r="H80" s="98"/>
      <c r="I80" s="98"/>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row>
    <row r="81" spans="1:34" ht="27" customHeight="1">
      <c r="A81" s="30"/>
      <c r="B81" s="801"/>
      <c r="C81" s="74" t="s">
        <v>210</v>
      </c>
      <c r="D81" s="72"/>
      <c r="E81" s="98"/>
      <c r="F81" s="98"/>
      <c r="G81" s="98"/>
      <c r="H81" s="98"/>
      <c r="I81" s="98"/>
      <c r="J81" s="98"/>
      <c r="K81" s="98"/>
      <c r="L81" s="98"/>
      <c r="M81" s="98"/>
      <c r="N81" s="98"/>
      <c r="O81" s="98"/>
      <c r="P81" s="98"/>
      <c r="Q81" s="98"/>
      <c r="R81" s="98"/>
      <c r="S81" s="98"/>
      <c r="T81" s="98"/>
      <c r="U81" s="98"/>
      <c r="V81" s="98"/>
      <c r="W81" s="98"/>
      <c r="X81" s="98"/>
      <c r="Y81" s="98"/>
      <c r="Z81" s="98"/>
      <c r="AA81" s="98"/>
      <c r="AB81" s="98"/>
      <c r="AC81" s="98"/>
      <c r="AD81" s="98"/>
      <c r="AE81" s="98"/>
      <c r="AF81" s="98"/>
      <c r="AG81" s="98"/>
      <c r="AH81" s="98"/>
    </row>
    <row r="82" spans="1:34" ht="27" customHeight="1">
      <c r="A82" s="30"/>
      <c r="B82" s="801"/>
      <c r="C82" s="74" t="s">
        <v>211</v>
      </c>
      <c r="D82" s="72"/>
      <c r="E82" s="98"/>
      <c r="F82" s="98"/>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row>
    <row r="83" spans="1:34" ht="27" customHeight="1">
      <c r="A83" s="30"/>
      <c r="B83" s="801"/>
      <c r="C83" s="74" t="s">
        <v>212</v>
      </c>
      <c r="D83" s="72"/>
      <c r="E83" s="98"/>
      <c r="F83" s="98"/>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row>
    <row r="84" spans="1:34" ht="27" customHeight="1">
      <c r="A84" s="30"/>
      <c r="B84" s="801"/>
      <c r="C84" s="74" t="s">
        <v>213</v>
      </c>
      <c r="D84" s="72"/>
      <c r="E84" s="98"/>
      <c r="F84" s="98"/>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row>
    <row r="85" spans="1:34" ht="27" customHeight="1">
      <c r="A85" s="30"/>
      <c r="B85" s="802"/>
      <c r="C85" s="74" t="s">
        <v>214</v>
      </c>
      <c r="D85" s="72"/>
      <c r="E85" s="98"/>
      <c r="F85" s="98"/>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row>
    <row r="86" spans="1:34" ht="27" customHeight="1">
      <c r="A86" s="30"/>
      <c r="B86" s="800">
        <v>11</v>
      </c>
      <c r="C86" s="795"/>
      <c r="D86" s="796"/>
      <c r="E86" s="97" t="str">
        <f>IFERROR(AVERAGE(E87:E93),"")</f>
        <v/>
      </c>
      <c r="F86" s="97" t="str">
        <f t="shared" ref="F86:AH86" si="10">IFERROR(AVERAGE(F87:F93),"")</f>
        <v/>
      </c>
      <c r="G86" s="97" t="str">
        <f t="shared" si="10"/>
        <v/>
      </c>
      <c r="H86" s="97" t="str">
        <f t="shared" si="10"/>
        <v/>
      </c>
      <c r="I86" s="97" t="str">
        <f t="shared" si="10"/>
        <v/>
      </c>
      <c r="J86" s="97" t="str">
        <f t="shared" si="10"/>
        <v/>
      </c>
      <c r="K86" s="97" t="str">
        <f t="shared" si="10"/>
        <v/>
      </c>
      <c r="L86" s="97" t="str">
        <f t="shared" si="10"/>
        <v/>
      </c>
      <c r="M86" s="97" t="str">
        <f t="shared" si="10"/>
        <v/>
      </c>
      <c r="N86" s="97" t="str">
        <f t="shared" si="10"/>
        <v/>
      </c>
      <c r="O86" s="97" t="str">
        <f t="shared" si="10"/>
        <v/>
      </c>
      <c r="P86" s="97" t="str">
        <f t="shared" si="10"/>
        <v/>
      </c>
      <c r="Q86" s="97" t="str">
        <f t="shared" si="10"/>
        <v/>
      </c>
      <c r="R86" s="97" t="str">
        <f t="shared" si="10"/>
        <v/>
      </c>
      <c r="S86" s="97" t="str">
        <f t="shared" si="10"/>
        <v/>
      </c>
      <c r="T86" s="97" t="str">
        <f t="shared" si="10"/>
        <v/>
      </c>
      <c r="U86" s="97" t="str">
        <f t="shared" si="10"/>
        <v/>
      </c>
      <c r="V86" s="97" t="str">
        <f t="shared" si="10"/>
        <v/>
      </c>
      <c r="W86" s="97" t="str">
        <f t="shared" si="10"/>
        <v/>
      </c>
      <c r="X86" s="97" t="str">
        <f t="shared" si="10"/>
        <v/>
      </c>
      <c r="Y86" s="97" t="str">
        <f t="shared" si="10"/>
        <v/>
      </c>
      <c r="Z86" s="97" t="str">
        <f t="shared" si="10"/>
        <v/>
      </c>
      <c r="AA86" s="97" t="str">
        <f t="shared" si="10"/>
        <v/>
      </c>
      <c r="AB86" s="97" t="str">
        <f t="shared" si="10"/>
        <v/>
      </c>
      <c r="AC86" s="97" t="str">
        <f t="shared" si="10"/>
        <v/>
      </c>
      <c r="AD86" s="97" t="str">
        <f t="shared" si="10"/>
        <v/>
      </c>
      <c r="AE86" s="97" t="str">
        <f t="shared" si="10"/>
        <v/>
      </c>
      <c r="AF86" s="97" t="str">
        <f t="shared" si="10"/>
        <v/>
      </c>
      <c r="AG86" s="97" t="str">
        <f t="shared" si="10"/>
        <v/>
      </c>
      <c r="AH86" s="97" t="str">
        <f t="shared" si="10"/>
        <v/>
      </c>
    </row>
    <row r="87" spans="1:34" ht="27" customHeight="1">
      <c r="A87" s="30"/>
      <c r="B87" s="801"/>
      <c r="C87" s="74" t="s">
        <v>215</v>
      </c>
      <c r="D87" s="72"/>
      <c r="E87" s="99"/>
      <c r="F87" s="99"/>
      <c r="G87" s="99"/>
      <c r="H87" s="99"/>
      <c r="I87" s="99"/>
      <c r="J87" s="99"/>
      <c r="K87" s="99"/>
      <c r="L87" s="99"/>
      <c r="M87" s="99"/>
      <c r="N87" s="99"/>
      <c r="O87" s="99"/>
      <c r="P87" s="99"/>
      <c r="Q87" s="99"/>
      <c r="R87" s="99"/>
      <c r="S87" s="99"/>
      <c r="T87" s="99"/>
      <c r="U87" s="99"/>
      <c r="V87" s="99"/>
      <c r="W87" s="99"/>
      <c r="X87" s="99"/>
      <c r="Y87" s="99"/>
      <c r="Z87" s="99"/>
      <c r="AA87" s="99"/>
      <c r="AB87" s="99"/>
      <c r="AC87" s="99"/>
      <c r="AD87" s="99"/>
      <c r="AE87" s="99"/>
      <c r="AF87" s="99"/>
      <c r="AG87" s="99"/>
      <c r="AH87" s="99"/>
    </row>
    <row r="88" spans="1:34" ht="27" customHeight="1">
      <c r="A88" s="30"/>
      <c r="B88" s="801"/>
      <c r="C88" s="74" t="s">
        <v>216</v>
      </c>
      <c r="D88" s="72"/>
      <c r="E88" s="98"/>
      <c r="F88" s="98"/>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row>
    <row r="89" spans="1:34" ht="27" customHeight="1">
      <c r="A89" s="30"/>
      <c r="B89" s="801"/>
      <c r="C89" s="74" t="s">
        <v>217</v>
      </c>
      <c r="D89" s="72"/>
      <c r="E89" s="98"/>
      <c r="F89" s="98"/>
      <c r="G89" s="98"/>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row>
    <row r="90" spans="1:34" ht="27" customHeight="1">
      <c r="A90" s="30"/>
      <c r="B90" s="801"/>
      <c r="C90" s="74" t="s">
        <v>218</v>
      </c>
      <c r="D90" s="72"/>
      <c r="E90" s="98"/>
      <c r="F90" s="98"/>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row>
    <row r="91" spans="1:34" ht="27" customHeight="1">
      <c r="A91" s="30"/>
      <c r="B91" s="801"/>
      <c r="C91" s="74" t="s">
        <v>219</v>
      </c>
      <c r="D91" s="72"/>
      <c r="E91" s="98"/>
      <c r="F91" s="98"/>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row>
    <row r="92" spans="1:34" ht="27" customHeight="1">
      <c r="A92" s="30"/>
      <c r="B92" s="801"/>
      <c r="C92" s="74" t="s">
        <v>220</v>
      </c>
      <c r="D92" s="72"/>
      <c r="E92" s="98"/>
      <c r="F92" s="98"/>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row>
    <row r="93" spans="1:34" ht="27" customHeight="1">
      <c r="A93" s="30"/>
      <c r="B93" s="802"/>
      <c r="C93" s="74" t="s">
        <v>221</v>
      </c>
      <c r="D93" s="72"/>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row>
    <row r="94" spans="1:34" ht="27" customHeight="1">
      <c r="A94" s="30"/>
      <c r="B94" s="800">
        <v>12</v>
      </c>
      <c r="C94" s="795"/>
      <c r="D94" s="796"/>
      <c r="E94" s="97" t="str">
        <f>IFERROR(AVERAGE(E95:E101),"")</f>
        <v/>
      </c>
      <c r="F94" s="97" t="str">
        <f t="shared" ref="F94:AH94" si="11">IFERROR(AVERAGE(F95:F101),"")</f>
        <v/>
      </c>
      <c r="G94" s="97" t="str">
        <f t="shared" si="11"/>
        <v/>
      </c>
      <c r="H94" s="97" t="str">
        <f t="shared" si="11"/>
        <v/>
      </c>
      <c r="I94" s="97" t="str">
        <f t="shared" si="11"/>
        <v/>
      </c>
      <c r="J94" s="97" t="str">
        <f t="shared" si="11"/>
        <v/>
      </c>
      <c r="K94" s="97" t="str">
        <f t="shared" si="11"/>
        <v/>
      </c>
      <c r="L94" s="97" t="str">
        <f t="shared" si="11"/>
        <v/>
      </c>
      <c r="M94" s="97" t="str">
        <f t="shared" si="11"/>
        <v/>
      </c>
      <c r="N94" s="97" t="str">
        <f t="shared" si="11"/>
        <v/>
      </c>
      <c r="O94" s="97" t="str">
        <f t="shared" si="11"/>
        <v/>
      </c>
      <c r="P94" s="97" t="str">
        <f t="shared" si="11"/>
        <v/>
      </c>
      <c r="Q94" s="97" t="str">
        <f t="shared" si="11"/>
        <v/>
      </c>
      <c r="R94" s="97" t="str">
        <f t="shared" si="11"/>
        <v/>
      </c>
      <c r="S94" s="97" t="str">
        <f t="shared" si="11"/>
        <v/>
      </c>
      <c r="T94" s="97" t="str">
        <f t="shared" si="11"/>
        <v/>
      </c>
      <c r="U94" s="97" t="str">
        <f t="shared" si="11"/>
        <v/>
      </c>
      <c r="V94" s="97" t="str">
        <f t="shared" si="11"/>
        <v/>
      </c>
      <c r="W94" s="97" t="str">
        <f t="shared" si="11"/>
        <v/>
      </c>
      <c r="X94" s="97" t="str">
        <f t="shared" si="11"/>
        <v/>
      </c>
      <c r="Y94" s="97" t="str">
        <f t="shared" si="11"/>
        <v/>
      </c>
      <c r="Z94" s="97" t="str">
        <f t="shared" si="11"/>
        <v/>
      </c>
      <c r="AA94" s="97" t="str">
        <f t="shared" si="11"/>
        <v/>
      </c>
      <c r="AB94" s="97" t="str">
        <f t="shared" si="11"/>
        <v/>
      </c>
      <c r="AC94" s="97" t="str">
        <f t="shared" si="11"/>
        <v/>
      </c>
      <c r="AD94" s="97" t="str">
        <f t="shared" si="11"/>
        <v/>
      </c>
      <c r="AE94" s="97" t="str">
        <f t="shared" si="11"/>
        <v/>
      </c>
      <c r="AF94" s="97" t="str">
        <f t="shared" si="11"/>
        <v/>
      </c>
      <c r="AG94" s="97" t="str">
        <f t="shared" si="11"/>
        <v/>
      </c>
      <c r="AH94" s="97" t="str">
        <f t="shared" si="11"/>
        <v/>
      </c>
    </row>
    <row r="95" spans="1:34" ht="27" customHeight="1">
      <c r="A95" s="30"/>
      <c r="B95" s="801"/>
      <c r="C95" s="74" t="s">
        <v>222</v>
      </c>
      <c r="D95" s="72"/>
      <c r="E95" s="98"/>
      <c r="F95" s="98"/>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row>
    <row r="96" spans="1:34" ht="27" customHeight="1">
      <c r="A96" s="30"/>
      <c r="B96" s="801"/>
      <c r="C96" s="74" t="s">
        <v>223</v>
      </c>
      <c r="D96" s="72"/>
      <c r="E96" s="98"/>
      <c r="F96" s="98"/>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row>
    <row r="97" spans="1:34" ht="27" customHeight="1">
      <c r="A97" s="30"/>
      <c r="B97" s="801"/>
      <c r="C97" s="74" t="s">
        <v>224</v>
      </c>
      <c r="D97" s="72"/>
      <c r="E97" s="98"/>
      <c r="F97" s="98"/>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row>
    <row r="98" spans="1:34" ht="27" customHeight="1">
      <c r="A98" s="30"/>
      <c r="B98" s="801"/>
      <c r="C98" s="74" t="s">
        <v>225</v>
      </c>
      <c r="D98" s="72"/>
      <c r="E98" s="98"/>
      <c r="F98" s="98"/>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row>
    <row r="99" spans="1:34" ht="27" customHeight="1">
      <c r="A99" s="30"/>
      <c r="B99" s="801"/>
      <c r="C99" s="74" t="s">
        <v>226</v>
      </c>
      <c r="D99" s="72"/>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row>
    <row r="100" spans="1:34" ht="27" customHeight="1">
      <c r="A100" s="30"/>
      <c r="B100" s="801"/>
      <c r="C100" s="74" t="s">
        <v>227</v>
      </c>
      <c r="D100" s="72"/>
      <c r="E100" s="98"/>
      <c r="F100" s="98"/>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row>
    <row r="101" spans="1:34" ht="27" customHeight="1">
      <c r="A101" s="30"/>
      <c r="B101" s="802"/>
      <c r="C101" s="74" t="s">
        <v>228</v>
      </c>
      <c r="D101" s="72"/>
      <c r="E101" s="98"/>
      <c r="F101" s="98"/>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row>
    <row r="102" spans="1:34" ht="27" customHeight="1">
      <c r="A102" s="30"/>
      <c r="B102" s="794">
        <v>13</v>
      </c>
      <c r="C102" s="795"/>
      <c r="D102" s="796"/>
      <c r="E102" s="97" t="str">
        <f>IFERROR(AVERAGE(E103:E109),"")</f>
        <v/>
      </c>
      <c r="F102" s="97" t="str">
        <f t="shared" ref="F102:AH102" si="12">IFERROR(AVERAGE(F103:F109),"")</f>
        <v/>
      </c>
      <c r="G102" s="97" t="str">
        <f t="shared" si="12"/>
        <v/>
      </c>
      <c r="H102" s="97" t="str">
        <f t="shared" si="12"/>
        <v/>
      </c>
      <c r="I102" s="97" t="str">
        <f t="shared" si="12"/>
        <v/>
      </c>
      <c r="J102" s="97" t="str">
        <f t="shared" si="12"/>
        <v/>
      </c>
      <c r="K102" s="97" t="str">
        <f t="shared" si="12"/>
        <v/>
      </c>
      <c r="L102" s="97" t="str">
        <f t="shared" si="12"/>
        <v/>
      </c>
      <c r="M102" s="97" t="str">
        <f t="shared" si="12"/>
        <v/>
      </c>
      <c r="N102" s="97" t="str">
        <f t="shared" si="12"/>
        <v/>
      </c>
      <c r="O102" s="97" t="str">
        <f t="shared" si="12"/>
        <v/>
      </c>
      <c r="P102" s="97" t="str">
        <f t="shared" si="12"/>
        <v/>
      </c>
      <c r="Q102" s="97" t="str">
        <f t="shared" si="12"/>
        <v/>
      </c>
      <c r="R102" s="97" t="str">
        <f t="shared" si="12"/>
        <v/>
      </c>
      <c r="S102" s="97" t="str">
        <f t="shared" si="12"/>
        <v/>
      </c>
      <c r="T102" s="97" t="str">
        <f t="shared" si="12"/>
        <v/>
      </c>
      <c r="U102" s="97" t="str">
        <f t="shared" si="12"/>
        <v/>
      </c>
      <c r="V102" s="97" t="str">
        <f t="shared" si="12"/>
        <v/>
      </c>
      <c r="W102" s="97" t="str">
        <f t="shared" si="12"/>
        <v/>
      </c>
      <c r="X102" s="97" t="str">
        <f t="shared" si="12"/>
        <v/>
      </c>
      <c r="Y102" s="97" t="str">
        <f t="shared" si="12"/>
        <v/>
      </c>
      <c r="Z102" s="97" t="str">
        <f t="shared" si="12"/>
        <v/>
      </c>
      <c r="AA102" s="97" t="str">
        <f t="shared" si="12"/>
        <v/>
      </c>
      <c r="AB102" s="97" t="str">
        <f t="shared" si="12"/>
        <v/>
      </c>
      <c r="AC102" s="97" t="str">
        <f t="shared" si="12"/>
        <v/>
      </c>
      <c r="AD102" s="97" t="str">
        <f t="shared" si="12"/>
        <v/>
      </c>
      <c r="AE102" s="97" t="str">
        <f t="shared" si="12"/>
        <v/>
      </c>
      <c r="AF102" s="97" t="str">
        <f t="shared" si="12"/>
        <v/>
      </c>
      <c r="AG102" s="97" t="str">
        <f t="shared" si="12"/>
        <v/>
      </c>
      <c r="AH102" s="97" t="str">
        <f t="shared" si="12"/>
        <v/>
      </c>
    </row>
    <row r="103" spans="1:34" ht="27" customHeight="1">
      <c r="A103" s="30"/>
      <c r="B103" s="794"/>
      <c r="C103" s="74" t="s">
        <v>229</v>
      </c>
      <c r="D103" s="72"/>
      <c r="E103" s="98"/>
      <c r="F103" s="98"/>
      <c r="G103" s="98"/>
      <c r="H103" s="98"/>
      <c r="I103" s="98"/>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row>
    <row r="104" spans="1:34" ht="27" customHeight="1">
      <c r="A104" s="30"/>
      <c r="B104" s="794"/>
      <c r="C104" s="74" t="s">
        <v>230</v>
      </c>
      <c r="D104" s="72"/>
      <c r="E104" s="98"/>
      <c r="F104" s="98"/>
      <c r="G104" s="98"/>
      <c r="H104" s="98"/>
      <c r="I104" s="98"/>
      <c r="J104" s="98"/>
      <c r="K104" s="98"/>
      <c r="L104" s="98"/>
      <c r="M104" s="98"/>
      <c r="N104" s="98"/>
      <c r="O104" s="98"/>
      <c r="P104" s="98"/>
      <c r="Q104" s="98"/>
      <c r="R104" s="98"/>
      <c r="S104" s="98"/>
      <c r="T104" s="98"/>
      <c r="U104" s="98"/>
      <c r="V104" s="98"/>
      <c r="W104" s="98"/>
      <c r="X104" s="98"/>
      <c r="Y104" s="98"/>
      <c r="Z104" s="98"/>
      <c r="AA104" s="98"/>
      <c r="AB104" s="98"/>
      <c r="AC104" s="98"/>
      <c r="AD104" s="98"/>
      <c r="AE104" s="98"/>
      <c r="AF104" s="98"/>
      <c r="AG104" s="98"/>
      <c r="AH104" s="98"/>
    </row>
    <row r="105" spans="1:34" ht="27" customHeight="1">
      <c r="A105" s="30"/>
      <c r="B105" s="794"/>
      <c r="C105" s="74" t="s">
        <v>231</v>
      </c>
      <c r="D105" s="72"/>
      <c r="E105" s="98"/>
      <c r="F105" s="98"/>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row>
    <row r="106" spans="1:34" ht="27" customHeight="1">
      <c r="A106" s="30"/>
      <c r="B106" s="794"/>
      <c r="C106" s="74" t="s">
        <v>232</v>
      </c>
      <c r="D106" s="72"/>
      <c r="E106" s="98"/>
      <c r="F106" s="98"/>
      <c r="G106" s="98"/>
      <c r="H106" s="98"/>
      <c r="I106" s="98"/>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row>
    <row r="107" spans="1:34" ht="27" customHeight="1">
      <c r="A107" s="30"/>
      <c r="B107" s="794"/>
      <c r="C107" s="74" t="s">
        <v>233</v>
      </c>
      <c r="D107" s="72"/>
      <c r="E107" s="98"/>
      <c r="F107" s="98"/>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row>
    <row r="108" spans="1:34" ht="27" customHeight="1">
      <c r="A108" s="30"/>
      <c r="B108" s="794"/>
      <c r="C108" s="74" t="s">
        <v>234</v>
      </c>
      <c r="D108" s="72"/>
      <c r="E108" s="98"/>
      <c r="F108" s="98"/>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row>
    <row r="109" spans="1:34" ht="27" customHeight="1">
      <c r="A109" s="30"/>
      <c r="B109" s="794"/>
      <c r="C109" s="74" t="s">
        <v>235</v>
      </c>
      <c r="D109" s="72"/>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row>
    <row r="110" spans="1:34" ht="27" customHeight="1">
      <c r="A110" s="30"/>
      <c r="B110" s="797" t="s">
        <v>143</v>
      </c>
      <c r="C110" s="798"/>
      <c r="D110" s="799"/>
      <c r="E110" s="100" t="str">
        <f>IFERROR(AVERAGE(E6,E14,E22,E30,E38,E46,E54,E62,E70,E78,E86,E94,E102),"")</f>
        <v/>
      </c>
      <c r="F110" s="100" t="str">
        <f t="shared" ref="F110:AH110" si="13">IFERROR(AVERAGE(F6,F14,F22,F30,F38,F46,F54,F62,F70,F78,F86,F94,F102),"")</f>
        <v/>
      </c>
      <c r="G110" s="100" t="str">
        <f t="shared" si="13"/>
        <v/>
      </c>
      <c r="H110" s="100" t="str">
        <f t="shared" si="13"/>
        <v/>
      </c>
      <c r="I110" s="100" t="str">
        <f t="shared" si="13"/>
        <v/>
      </c>
      <c r="J110" s="100" t="str">
        <f t="shared" si="13"/>
        <v/>
      </c>
      <c r="K110" s="100" t="str">
        <f t="shared" si="13"/>
        <v/>
      </c>
      <c r="L110" s="100" t="str">
        <f t="shared" si="13"/>
        <v/>
      </c>
      <c r="M110" s="100" t="str">
        <f t="shared" si="13"/>
        <v/>
      </c>
      <c r="N110" s="100" t="str">
        <f t="shared" si="13"/>
        <v/>
      </c>
      <c r="O110" s="100" t="str">
        <f t="shared" si="13"/>
        <v/>
      </c>
      <c r="P110" s="100" t="str">
        <f t="shared" si="13"/>
        <v/>
      </c>
      <c r="Q110" s="100" t="str">
        <f t="shared" si="13"/>
        <v/>
      </c>
      <c r="R110" s="100" t="str">
        <f t="shared" si="13"/>
        <v/>
      </c>
      <c r="S110" s="100" t="str">
        <f t="shared" si="13"/>
        <v/>
      </c>
      <c r="T110" s="100" t="str">
        <f t="shared" si="13"/>
        <v/>
      </c>
      <c r="U110" s="100" t="str">
        <f t="shared" si="13"/>
        <v/>
      </c>
      <c r="V110" s="100" t="str">
        <f t="shared" si="13"/>
        <v/>
      </c>
      <c r="W110" s="100" t="str">
        <f t="shared" si="13"/>
        <v/>
      </c>
      <c r="X110" s="100" t="str">
        <f t="shared" si="13"/>
        <v/>
      </c>
      <c r="Y110" s="100" t="str">
        <f t="shared" si="13"/>
        <v/>
      </c>
      <c r="Z110" s="100" t="str">
        <f t="shared" si="13"/>
        <v/>
      </c>
      <c r="AA110" s="100" t="str">
        <f t="shared" si="13"/>
        <v/>
      </c>
      <c r="AB110" s="100" t="str">
        <f t="shared" si="13"/>
        <v/>
      </c>
      <c r="AC110" s="100" t="str">
        <f t="shared" si="13"/>
        <v/>
      </c>
      <c r="AD110" s="100" t="str">
        <f t="shared" si="13"/>
        <v/>
      </c>
      <c r="AE110" s="100" t="str">
        <f t="shared" si="13"/>
        <v/>
      </c>
      <c r="AF110" s="100" t="str">
        <f t="shared" si="13"/>
        <v/>
      </c>
      <c r="AG110" s="100" t="str">
        <f t="shared" si="13"/>
        <v/>
      </c>
      <c r="AH110" s="100" t="str">
        <f t="shared" si="13"/>
        <v/>
      </c>
    </row>
    <row r="111" spans="1:34" hidden="1">
      <c r="B111" s="31"/>
      <c r="C111" s="31"/>
      <c r="D111" s="32"/>
    </row>
    <row r="112" spans="1:34" hidden="1">
      <c r="B112" s="31"/>
      <c r="C112" s="31"/>
      <c r="D112" s="32"/>
    </row>
    <row r="113" spans="2:4" hidden="1">
      <c r="B113" s="31"/>
      <c r="C113" s="31"/>
      <c r="D113" s="32"/>
    </row>
    <row r="114" spans="2:4" hidden="1">
      <c r="B114" s="31"/>
      <c r="C114" s="31"/>
      <c r="D114" s="32"/>
    </row>
    <row r="115" spans="2:4" hidden="1">
      <c r="B115" s="31"/>
      <c r="C115" s="31"/>
      <c r="D115" s="32"/>
    </row>
    <row r="116" spans="2:4" hidden="1">
      <c r="B116" s="31"/>
      <c r="C116" s="31"/>
      <c r="D116" s="32"/>
    </row>
    <row r="117" spans="2:4" hidden="1">
      <c r="B117" s="31"/>
      <c r="C117" s="31"/>
      <c r="D117" s="32"/>
    </row>
    <row r="118" spans="2:4" hidden="1">
      <c r="B118" s="31"/>
      <c r="C118" s="31"/>
      <c r="D118" s="32"/>
    </row>
    <row r="119" spans="2:4" hidden="1">
      <c r="B119" s="31"/>
      <c r="C119" s="31"/>
      <c r="D119" s="32"/>
    </row>
    <row r="120" spans="2:4" hidden="1">
      <c r="B120" s="31"/>
      <c r="C120" s="31"/>
      <c r="D120" s="32"/>
    </row>
    <row r="121" spans="2:4" hidden="1">
      <c r="B121" s="31"/>
      <c r="C121" s="31"/>
      <c r="D121" s="32"/>
    </row>
    <row r="122" spans="2:4" hidden="1">
      <c r="B122" s="31"/>
      <c r="C122" s="31"/>
      <c r="D122" s="32"/>
    </row>
    <row r="123" spans="2:4" hidden="1">
      <c r="B123" s="31"/>
      <c r="C123" s="31"/>
      <c r="D123" s="32"/>
    </row>
    <row r="124" spans="2:4" hidden="1">
      <c r="B124" s="31"/>
      <c r="C124" s="31"/>
      <c r="D124" s="32"/>
    </row>
    <row r="125" spans="2:4" hidden="1">
      <c r="B125" s="31"/>
      <c r="C125" s="31"/>
      <c r="D125" s="32"/>
    </row>
    <row r="126" spans="2:4" hidden="1">
      <c r="B126" s="31"/>
      <c r="C126" s="31"/>
      <c r="D126" s="32"/>
    </row>
    <row r="127" spans="2:4" hidden="1">
      <c r="B127" s="31"/>
      <c r="C127" s="31"/>
      <c r="D127" s="32"/>
    </row>
    <row r="128" spans="2:4" hidden="1">
      <c r="B128" s="31"/>
      <c r="C128" s="31"/>
      <c r="D128" s="32"/>
    </row>
    <row r="129" spans="2:4" hidden="1">
      <c r="B129" s="31"/>
      <c r="C129" s="31"/>
      <c r="D129" s="32"/>
    </row>
    <row r="130" spans="2:4" hidden="1">
      <c r="B130" s="31"/>
      <c r="C130" s="31"/>
      <c r="D130" s="32"/>
    </row>
    <row r="131" spans="2:4" hidden="1">
      <c r="B131" s="31"/>
      <c r="C131" s="31"/>
      <c r="D131" s="32"/>
    </row>
    <row r="132" spans="2:4" hidden="1">
      <c r="B132" s="31"/>
      <c r="C132" s="31"/>
      <c r="D132" s="32"/>
    </row>
    <row r="133" spans="2:4" hidden="1">
      <c r="B133" s="31"/>
      <c r="C133" s="31"/>
      <c r="D133" s="32"/>
    </row>
    <row r="134" spans="2:4" hidden="1">
      <c r="B134" s="31"/>
      <c r="C134" s="31"/>
      <c r="D134" s="32"/>
    </row>
    <row r="135" spans="2:4" hidden="1">
      <c r="B135" s="31"/>
      <c r="C135" s="31"/>
      <c r="D135" s="32"/>
    </row>
    <row r="136" spans="2:4" hidden="1">
      <c r="B136" s="31"/>
      <c r="C136" s="31"/>
      <c r="D136" s="32"/>
    </row>
    <row r="137" spans="2:4" hidden="1">
      <c r="B137" s="31"/>
      <c r="C137" s="31"/>
      <c r="D137" s="32"/>
    </row>
    <row r="138" spans="2:4" hidden="1">
      <c r="B138" s="31"/>
      <c r="C138" s="31"/>
      <c r="D138" s="32"/>
    </row>
    <row r="139" spans="2:4" hidden="1">
      <c r="B139" s="31"/>
      <c r="C139" s="31"/>
      <c r="D139" s="32"/>
    </row>
    <row r="140" spans="2:4" hidden="1">
      <c r="B140" s="31"/>
      <c r="C140" s="31"/>
      <c r="D140" s="32"/>
    </row>
    <row r="141" spans="2:4" hidden="1">
      <c r="B141" s="31"/>
      <c r="C141" s="31"/>
      <c r="D141" s="32"/>
    </row>
    <row r="142" spans="2:4" hidden="1">
      <c r="B142" s="31"/>
      <c r="C142" s="31"/>
      <c r="D142" s="32"/>
    </row>
    <row r="143" spans="2:4" hidden="1">
      <c r="B143" s="31"/>
      <c r="C143" s="31"/>
      <c r="D143" s="32"/>
    </row>
    <row r="144" spans="2:4" hidden="1">
      <c r="B144" s="31"/>
      <c r="C144" s="31"/>
      <c r="D144" s="32"/>
    </row>
    <row r="145" spans="2:4" hidden="1">
      <c r="B145" s="31"/>
      <c r="C145" s="31"/>
      <c r="D145" s="32"/>
    </row>
    <row r="146" spans="2:4" hidden="1">
      <c r="B146" s="31"/>
      <c r="C146" s="31"/>
      <c r="D146" s="32"/>
    </row>
    <row r="147" spans="2:4" hidden="1">
      <c r="B147" s="31"/>
      <c r="C147" s="31"/>
      <c r="D147" s="32"/>
    </row>
    <row r="148" spans="2:4" hidden="1">
      <c r="B148" s="31"/>
      <c r="C148" s="31"/>
      <c r="D148" s="32"/>
    </row>
    <row r="149" spans="2:4" hidden="1">
      <c r="B149" s="31"/>
      <c r="C149" s="31"/>
      <c r="D149" s="32"/>
    </row>
    <row r="150" spans="2:4" hidden="1">
      <c r="B150" s="31"/>
      <c r="C150" s="31"/>
      <c r="D150" s="32"/>
    </row>
    <row r="151" spans="2:4" hidden="1">
      <c r="B151" s="31"/>
      <c r="C151" s="31"/>
      <c r="D151" s="32"/>
    </row>
    <row r="152" spans="2:4" hidden="1">
      <c r="B152" s="31"/>
      <c r="C152" s="31"/>
      <c r="D152" s="32"/>
    </row>
    <row r="153" spans="2:4" hidden="1">
      <c r="B153" s="31"/>
      <c r="C153" s="31"/>
      <c r="D153" s="32"/>
    </row>
    <row r="154" spans="2:4" hidden="1">
      <c r="B154" s="31"/>
      <c r="C154" s="31"/>
      <c r="D154" s="32"/>
    </row>
    <row r="155" spans="2:4" hidden="1">
      <c r="B155" s="31"/>
      <c r="C155" s="31"/>
      <c r="D155" s="32"/>
    </row>
    <row r="156" spans="2:4" hidden="1">
      <c r="B156" s="31"/>
      <c r="C156" s="31"/>
      <c r="D156" s="32"/>
    </row>
    <row r="157" spans="2:4" hidden="1">
      <c r="B157" s="31"/>
      <c r="C157" s="31"/>
      <c r="D157" s="32"/>
    </row>
    <row r="158" spans="2:4" hidden="1">
      <c r="B158" s="31"/>
      <c r="C158" s="31"/>
      <c r="D158" s="32"/>
    </row>
    <row r="159" spans="2:4" hidden="1">
      <c r="B159" s="31"/>
      <c r="C159" s="31"/>
      <c r="D159" s="32"/>
    </row>
    <row r="160" spans="2:4" hidden="1">
      <c r="B160" s="31"/>
      <c r="C160" s="31"/>
      <c r="D160" s="32"/>
    </row>
    <row r="161" spans="2:4" hidden="1">
      <c r="B161" s="31"/>
      <c r="C161" s="31"/>
      <c r="D161" s="32"/>
    </row>
    <row r="162" spans="2:4" hidden="1">
      <c r="B162" s="31"/>
      <c r="C162" s="31"/>
      <c r="D162" s="32"/>
    </row>
    <row r="163" spans="2:4" hidden="1">
      <c r="B163" s="31"/>
      <c r="C163" s="31"/>
      <c r="D163" s="32"/>
    </row>
    <row r="164" spans="2:4" hidden="1">
      <c r="B164" s="31"/>
      <c r="C164" s="31"/>
      <c r="D164" s="32"/>
    </row>
    <row r="165" spans="2:4" hidden="1">
      <c r="B165" s="31"/>
      <c r="C165" s="31"/>
      <c r="D165" s="32"/>
    </row>
    <row r="166" spans="2:4" hidden="1">
      <c r="B166" s="31"/>
      <c r="C166" s="31"/>
      <c r="D166" s="32"/>
    </row>
    <row r="167" spans="2:4" hidden="1">
      <c r="B167" s="31"/>
      <c r="C167" s="31"/>
      <c r="D167" s="32"/>
    </row>
    <row r="168" spans="2:4" hidden="1">
      <c r="B168" s="31"/>
      <c r="C168" s="31"/>
      <c r="D168" s="32"/>
    </row>
    <row r="169" spans="2:4" hidden="1">
      <c r="B169" s="31"/>
      <c r="C169" s="31"/>
      <c r="D169" s="32"/>
    </row>
    <row r="170" spans="2:4" hidden="1">
      <c r="B170" s="31"/>
      <c r="C170" s="31"/>
      <c r="D170" s="32"/>
    </row>
  </sheetData>
  <mergeCells count="33">
    <mergeCell ref="A1:AH2"/>
    <mergeCell ref="B3:D3"/>
    <mergeCell ref="B4:B5"/>
    <mergeCell ref="C4:C5"/>
    <mergeCell ref="D4:D5"/>
    <mergeCell ref="E4:AH4"/>
    <mergeCell ref="B6:B13"/>
    <mergeCell ref="C6:D6"/>
    <mergeCell ref="B14:B21"/>
    <mergeCell ref="C14:D14"/>
    <mergeCell ref="B22:B29"/>
    <mergeCell ref="C22:D22"/>
    <mergeCell ref="B30:B37"/>
    <mergeCell ref="C30:D30"/>
    <mergeCell ref="B38:B45"/>
    <mergeCell ref="C38:D38"/>
    <mergeCell ref="B46:B53"/>
    <mergeCell ref="C46:D46"/>
    <mergeCell ref="B54:B61"/>
    <mergeCell ref="C54:D54"/>
    <mergeCell ref="B62:B69"/>
    <mergeCell ref="C62:D62"/>
    <mergeCell ref="B70:B77"/>
    <mergeCell ref="C70:D70"/>
    <mergeCell ref="B102:B109"/>
    <mergeCell ref="C102:D102"/>
    <mergeCell ref="B110:D110"/>
    <mergeCell ref="B78:B85"/>
    <mergeCell ref="C78:D78"/>
    <mergeCell ref="B86:B93"/>
    <mergeCell ref="C86:D86"/>
    <mergeCell ref="B94:B101"/>
    <mergeCell ref="C94:D94"/>
  </mergeCells>
  <pageMargins left="0.7" right="0.7" top="0.75" bottom="0.75" header="0.3" footer="0.3"/>
  <pageSetup paperSize="9" orientation="portrait" horizontalDpi="4294967293"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8"/>
  <dimension ref="A1:AW170"/>
  <sheetViews>
    <sheetView showGridLines="0" zoomScale="83" zoomScaleNormal="83" workbookViewId="0">
      <pane ySplit="5" topLeftCell="A102" activePane="bottomLeft" state="frozen"/>
      <selection activeCell="K33" sqref="K33"/>
      <selection pane="bottomLeft" activeCell="G10" sqref="G10"/>
    </sheetView>
  </sheetViews>
  <sheetFormatPr defaultColWidth="0" defaultRowHeight="15" zeroHeight="1"/>
  <cols>
    <col min="1" max="1" width="1" style="29" customWidth="1"/>
    <col min="2" max="2" width="3.7109375" style="33" customWidth="1"/>
    <col min="3" max="3" width="46.140625" style="33" customWidth="1"/>
    <col min="4" max="4" width="10.28515625" style="29" customWidth="1"/>
    <col min="5" max="34" width="5.7109375" style="29" customWidth="1"/>
    <col min="35" max="49" width="5.7109375" hidden="1" customWidth="1"/>
    <col min="50" max="16384" width="9.140625" hidden="1"/>
  </cols>
  <sheetData>
    <row r="1" spans="1:34" ht="15" customHeight="1">
      <c r="A1" s="803" t="s">
        <v>144</v>
      </c>
      <c r="B1" s="803"/>
      <c r="C1" s="803"/>
      <c r="D1" s="803"/>
      <c r="E1" s="803"/>
      <c r="F1" s="803"/>
      <c r="G1" s="803"/>
      <c r="H1" s="803"/>
      <c r="I1" s="803"/>
      <c r="J1" s="803"/>
      <c r="K1" s="803"/>
      <c r="L1" s="803"/>
      <c r="M1" s="803"/>
      <c r="N1" s="803"/>
      <c r="O1" s="803"/>
      <c r="P1" s="803"/>
      <c r="Q1" s="803"/>
      <c r="R1" s="803"/>
      <c r="S1" s="803"/>
      <c r="T1" s="803"/>
      <c r="U1" s="803"/>
      <c r="V1" s="803"/>
      <c r="W1" s="803"/>
      <c r="X1" s="803"/>
      <c r="Y1" s="803"/>
      <c r="Z1" s="803"/>
      <c r="AA1" s="803"/>
      <c r="AB1" s="803"/>
      <c r="AC1" s="803"/>
      <c r="AD1" s="803"/>
      <c r="AE1" s="803"/>
      <c r="AF1" s="803"/>
      <c r="AG1" s="803"/>
      <c r="AH1" s="803"/>
    </row>
    <row r="2" spans="1:34" ht="15" customHeight="1">
      <c r="A2" s="803"/>
      <c r="B2" s="803"/>
      <c r="C2" s="803"/>
      <c r="D2" s="803"/>
      <c r="E2" s="803"/>
      <c r="F2" s="803"/>
      <c r="G2" s="803"/>
      <c r="H2" s="803"/>
      <c r="I2" s="803"/>
      <c r="J2" s="803"/>
      <c r="K2" s="803"/>
      <c r="L2" s="803"/>
      <c r="M2" s="803"/>
      <c r="N2" s="803"/>
      <c r="O2" s="803"/>
      <c r="P2" s="803"/>
      <c r="Q2" s="803"/>
      <c r="R2" s="803"/>
      <c r="S2" s="803"/>
      <c r="T2" s="803"/>
      <c r="U2" s="803"/>
      <c r="V2" s="803"/>
      <c r="W2" s="803"/>
      <c r="X2" s="803"/>
      <c r="Y2" s="803"/>
      <c r="Z2" s="803"/>
      <c r="AA2" s="803"/>
      <c r="AB2" s="803"/>
      <c r="AC2" s="803"/>
      <c r="AD2" s="803"/>
      <c r="AE2" s="803"/>
      <c r="AF2" s="803"/>
      <c r="AG2" s="803"/>
      <c r="AH2" s="803"/>
    </row>
    <row r="3" spans="1:34" ht="15" customHeight="1">
      <c r="B3" s="804"/>
      <c r="C3" s="804"/>
      <c r="D3" s="80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row>
    <row r="4" spans="1:34" ht="15" customHeight="1">
      <c r="B4" s="805" t="s">
        <v>5</v>
      </c>
      <c r="C4" s="805" t="s">
        <v>125</v>
      </c>
      <c r="D4" s="806" t="s">
        <v>126</v>
      </c>
      <c r="E4" s="807" t="s">
        <v>57</v>
      </c>
      <c r="F4" s="807"/>
      <c r="G4" s="807"/>
      <c r="H4" s="807"/>
      <c r="I4" s="807"/>
      <c r="J4" s="807"/>
      <c r="K4" s="807"/>
      <c r="L4" s="807"/>
      <c r="M4" s="807"/>
      <c r="N4" s="807"/>
      <c r="O4" s="807"/>
      <c r="P4" s="807"/>
      <c r="Q4" s="807"/>
      <c r="R4" s="807"/>
      <c r="S4" s="807"/>
      <c r="T4" s="807"/>
      <c r="U4" s="807"/>
      <c r="V4" s="807"/>
      <c r="W4" s="807"/>
      <c r="X4" s="807"/>
      <c r="Y4" s="807"/>
      <c r="Z4" s="807"/>
      <c r="AA4" s="807"/>
      <c r="AB4" s="807"/>
      <c r="AC4" s="807"/>
      <c r="AD4" s="807"/>
      <c r="AE4" s="807"/>
      <c r="AF4" s="807"/>
      <c r="AG4" s="807"/>
      <c r="AH4" s="807"/>
    </row>
    <row r="5" spans="1:34" ht="12.75" customHeight="1">
      <c r="B5" s="805"/>
      <c r="C5" s="805"/>
      <c r="D5" s="806"/>
      <c r="E5" s="35" t="str">
        <f>DATASISWA!$F$8</f>
        <v>Dita</v>
      </c>
      <c r="F5" s="35" t="str">
        <f>DATASISWA!$F$9</f>
        <v>Annisa</v>
      </c>
      <c r="G5" s="35" t="str">
        <f>DATASISWA!$F$10</f>
        <v>Kiki</v>
      </c>
      <c r="H5" s="35" t="str">
        <f>DATASISWA!$F$11</f>
        <v>Lily</v>
      </c>
      <c r="I5" s="35" t="str">
        <f>DATASISWA!$F$12</f>
        <v>Rere</v>
      </c>
      <c r="J5" s="35" t="str">
        <f>DATASISWA!$F$13</f>
        <v>Fadhil</v>
      </c>
      <c r="K5" s="35" t="str">
        <f>DATASISWA!$F$14</f>
        <v>Yuefa</v>
      </c>
      <c r="L5" s="35" t="str">
        <f>DATASISWA!$F$15</f>
        <v>Ria</v>
      </c>
      <c r="M5" s="35" t="str">
        <f>DATASISWA!$F$16</f>
        <v>Tiara</v>
      </c>
      <c r="N5" s="35" t="str">
        <f>DATASISWA!$F$17</f>
        <v>Alvind</v>
      </c>
      <c r="O5" s="35" t="str">
        <f>DATASISWA!$F$18</f>
        <v>Icha</v>
      </c>
      <c r="P5" s="35" t="str">
        <f>DATASISWA!$F$19</f>
        <v>Qonita</v>
      </c>
      <c r="Q5" s="35" t="str">
        <f>DATASISWA!$F$20</f>
        <v>Anya</v>
      </c>
      <c r="R5" s="35" t="str">
        <f>DATASISWA!$F$21</f>
        <v>Radit</v>
      </c>
      <c r="S5" s="35" t="str">
        <f>DATASISWA!$F$22</f>
        <v>angel</v>
      </c>
      <c r="T5" s="35">
        <f>DATASISWA!$F$23</f>
        <v>0</v>
      </c>
      <c r="U5" s="35">
        <f>DATASISWA!$F$24</f>
        <v>0</v>
      </c>
      <c r="V5" s="35">
        <f>DATASISWA!$F$25</f>
        <v>0</v>
      </c>
      <c r="W5" s="35">
        <f>DATASISWA!$F$26</f>
        <v>0</v>
      </c>
      <c r="X5" s="35">
        <f>DATASISWA!$F$27</f>
        <v>0</v>
      </c>
      <c r="Y5" s="35">
        <f>DATASISWA!$F$28</f>
        <v>0</v>
      </c>
      <c r="Z5" s="35">
        <f>DATASISWA!$F$29</f>
        <v>0</v>
      </c>
      <c r="AA5" s="35">
        <f>DATASISWA!$F$30</f>
        <v>0</v>
      </c>
      <c r="AB5" s="35">
        <f>DATASISWA!$F$31</f>
        <v>0</v>
      </c>
      <c r="AC5" s="35">
        <f>DATASISWA!$F$32</f>
        <v>0</v>
      </c>
      <c r="AD5" s="35">
        <f>DATASISWA!$F$33</f>
        <v>0</v>
      </c>
      <c r="AE5" s="35">
        <f>DATASISWA!$F$34</f>
        <v>0</v>
      </c>
      <c r="AF5" s="35">
        <f>DATASISWA!$F$35</f>
        <v>0</v>
      </c>
      <c r="AG5" s="35">
        <f>DATASISWA!$F$36</f>
        <v>0</v>
      </c>
      <c r="AH5" s="35">
        <f>DATASISWA!$F$37</f>
        <v>0</v>
      </c>
    </row>
    <row r="6" spans="1:34" ht="27" customHeight="1">
      <c r="A6" s="30"/>
      <c r="B6" s="800">
        <v>1</v>
      </c>
      <c r="C6" s="809"/>
      <c r="D6" s="810"/>
      <c r="E6" s="97" t="str">
        <f>IFERROR(AVERAGE(E7:E13),"")</f>
        <v/>
      </c>
      <c r="F6" s="97" t="str">
        <f t="shared" ref="F6:AG6" si="0">IFERROR(AVERAGE(F7:F13),"")</f>
        <v/>
      </c>
      <c r="G6" s="97" t="str">
        <f t="shared" si="0"/>
        <v/>
      </c>
      <c r="H6" s="97" t="str">
        <f t="shared" si="0"/>
        <v/>
      </c>
      <c r="I6" s="97" t="str">
        <f t="shared" si="0"/>
        <v/>
      </c>
      <c r="J6" s="97" t="str">
        <f t="shared" si="0"/>
        <v/>
      </c>
      <c r="K6" s="97" t="str">
        <f t="shared" si="0"/>
        <v/>
      </c>
      <c r="L6" s="97" t="str">
        <f t="shared" si="0"/>
        <v/>
      </c>
      <c r="M6" s="97" t="str">
        <f t="shared" si="0"/>
        <v/>
      </c>
      <c r="N6" s="97" t="str">
        <f t="shared" si="0"/>
        <v/>
      </c>
      <c r="O6" s="97" t="str">
        <f t="shared" si="0"/>
        <v/>
      </c>
      <c r="P6" s="97" t="str">
        <f t="shared" si="0"/>
        <v/>
      </c>
      <c r="Q6" s="97" t="str">
        <f t="shared" si="0"/>
        <v/>
      </c>
      <c r="R6" s="97" t="str">
        <f t="shared" si="0"/>
        <v/>
      </c>
      <c r="S6" s="97" t="str">
        <f t="shared" si="0"/>
        <v/>
      </c>
      <c r="T6" s="97" t="str">
        <f t="shared" si="0"/>
        <v/>
      </c>
      <c r="U6" s="97" t="str">
        <f t="shared" si="0"/>
        <v/>
      </c>
      <c r="V6" s="97" t="str">
        <f t="shared" si="0"/>
        <v/>
      </c>
      <c r="W6" s="97" t="str">
        <f t="shared" si="0"/>
        <v/>
      </c>
      <c r="X6" s="97" t="str">
        <f t="shared" si="0"/>
        <v/>
      </c>
      <c r="Y6" s="97" t="str">
        <f t="shared" si="0"/>
        <v/>
      </c>
      <c r="Z6" s="97" t="str">
        <f t="shared" si="0"/>
        <v/>
      </c>
      <c r="AA6" s="97" t="str">
        <f t="shared" si="0"/>
        <v/>
      </c>
      <c r="AB6" s="97" t="str">
        <f t="shared" si="0"/>
        <v/>
      </c>
      <c r="AC6" s="97" t="str">
        <f t="shared" si="0"/>
        <v/>
      </c>
      <c r="AD6" s="97" t="str">
        <f t="shared" si="0"/>
        <v/>
      </c>
      <c r="AE6" s="97" t="str">
        <f t="shared" si="0"/>
        <v/>
      </c>
      <c r="AF6" s="97" t="str">
        <f t="shared" si="0"/>
        <v/>
      </c>
      <c r="AG6" s="97" t="str">
        <f t="shared" si="0"/>
        <v/>
      </c>
      <c r="AH6" s="97"/>
    </row>
    <row r="7" spans="1:34" ht="27" customHeight="1">
      <c r="A7" s="30"/>
      <c r="B7" s="801"/>
      <c r="C7" s="74" t="s">
        <v>145</v>
      </c>
      <c r="D7" s="72"/>
      <c r="E7" s="98"/>
      <c r="F7" s="98"/>
      <c r="G7" s="98"/>
      <c r="H7" s="98"/>
      <c r="I7" s="98"/>
      <c r="J7" s="98"/>
      <c r="K7" s="98"/>
      <c r="L7" s="98"/>
      <c r="M7" s="98"/>
      <c r="N7" s="98"/>
      <c r="O7" s="98"/>
      <c r="P7" s="98"/>
      <c r="Q7" s="98"/>
      <c r="R7" s="98"/>
      <c r="S7" s="98"/>
      <c r="T7" s="98"/>
      <c r="U7" s="98"/>
      <c r="V7" s="98"/>
      <c r="W7" s="98"/>
      <c r="X7" s="98"/>
      <c r="Y7" s="98"/>
      <c r="Z7" s="98"/>
      <c r="AA7" s="98"/>
      <c r="AB7" s="98"/>
      <c r="AC7" s="98"/>
      <c r="AD7" s="98"/>
      <c r="AE7" s="98"/>
      <c r="AF7" s="98"/>
      <c r="AG7" s="98"/>
      <c r="AH7" s="98"/>
    </row>
    <row r="8" spans="1:34" ht="27" customHeight="1">
      <c r="A8" s="30"/>
      <c r="B8" s="801"/>
      <c r="C8" s="74" t="s">
        <v>146</v>
      </c>
      <c r="D8" s="72"/>
      <c r="E8" s="98"/>
      <c r="F8" s="98"/>
      <c r="G8" s="98"/>
      <c r="H8" s="98"/>
      <c r="I8" s="98"/>
      <c r="J8" s="98"/>
      <c r="K8" s="98"/>
      <c r="L8" s="98"/>
      <c r="M8" s="98"/>
      <c r="N8" s="98"/>
      <c r="O8" s="98"/>
      <c r="P8" s="98"/>
      <c r="Q8" s="98"/>
      <c r="R8" s="98"/>
      <c r="S8" s="98"/>
      <c r="T8" s="98"/>
      <c r="U8" s="98"/>
      <c r="V8" s="98"/>
      <c r="W8" s="98"/>
      <c r="X8" s="98"/>
      <c r="Y8" s="98"/>
      <c r="Z8" s="98"/>
      <c r="AA8" s="98"/>
      <c r="AB8" s="98"/>
      <c r="AC8" s="98"/>
      <c r="AD8" s="98"/>
      <c r="AE8" s="98"/>
      <c r="AF8" s="98"/>
      <c r="AG8" s="98"/>
      <c r="AH8" s="98"/>
    </row>
    <row r="9" spans="1:34" ht="27" customHeight="1">
      <c r="A9" s="30"/>
      <c r="B9" s="801"/>
      <c r="C9" s="74" t="s">
        <v>147</v>
      </c>
      <c r="D9" s="72"/>
      <c r="E9" s="98"/>
      <c r="F9" s="98"/>
      <c r="G9" s="98"/>
      <c r="H9" s="98"/>
      <c r="I9" s="98"/>
      <c r="J9" s="98"/>
      <c r="K9" s="98"/>
      <c r="L9" s="98"/>
      <c r="M9" s="98"/>
      <c r="N9" s="98"/>
      <c r="O9" s="98"/>
      <c r="P9" s="98"/>
      <c r="Q9" s="98"/>
      <c r="R9" s="98"/>
      <c r="S9" s="98"/>
      <c r="T9" s="98"/>
      <c r="U9" s="98"/>
      <c r="V9" s="98"/>
      <c r="W9" s="98"/>
      <c r="X9" s="98"/>
      <c r="Y9" s="98"/>
      <c r="Z9" s="98"/>
      <c r="AA9" s="98"/>
      <c r="AB9" s="98"/>
      <c r="AC9" s="98"/>
      <c r="AD9" s="98"/>
      <c r="AE9" s="98"/>
      <c r="AF9" s="98"/>
      <c r="AG9" s="98"/>
      <c r="AH9" s="98"/>
    </row>
    <row r="10" spans="1:34" ht="27" customHeight="1">
      <c r="A10" s="30"/>
      <c r="B10" s="801"/>
      <c r="C10" s="74" t="s">
        <v>148</v>
      </c>
      <c r="D10" s="72"/>
      <c r="E10" s="98"/>
      <c r="F10" s="98"/>
      <c r="G10" s="98"/>
      <c r="H10" s="98"/>
      <c r="I10" s="98"/>
      <c r="J10" s="98"/>
      <c r="K10" s="98"/>
      <c r="L10" s="98"/>
      <c r="M10" s="98"/>
      <c r="N10" s="98"/>
      <c r="O10" s="98"/>
      <c r="P10" s="98"/>
      <c r="Q10" s="98"/>
      <c r="R10" s="98"/>
      <c r="S10" s="98"/>
      <c r="T10" s="98"/>
      <c r="U10" s="98"/>
      <c r="V10" s="98"/>
      <c r="W10" s="98"/>
      <c r="X10" s="98"/>
      <c r="Y10" s="98"/>
      <c r="Z10" s="98"/>
      <c r="AA10" s="98"/>
      <c r="AB10" s="98"/>
      <c r="AC10" s="98"/>
      <c r="AD10" s="98"/>
      <c r="AE10" s="98"/>
      <c r="AF10" s="98"/>
      <c r="AG10" s="98"/>
      <c r="AH10" s="98"/>
    </row>
    <row r="11" spans="1:34" ht="27" customHeight="1">
      <c r="A11" s="30"/>
      <c r="B11" s="801"/>
      <c r="C11" s="74" t="s">
        <v>149</v>
      </c>
      <c r="D11" s="72"/>
      <c r="E11" s="98"/>
      <c r="F11" s="98"/>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row>
    <row r="12" spans="1:34" ht="27" customHeight="1">
      <c r="A12" s="30"/>
      <c r="B12" s="801"/>
      <c r="C12" s="74" t="s">
        <v>150</v>
      </c>
      <c r="D12" s="72"/>
      <c r="E12" s="98"/>
      <c r="F12" s="98"/>
      <c r="G12" s="98"/>
      <c r="H12" s="98"/>
      <c r="I12" s="98"/>
      <c r="J12" s="98"/>
      <c r="K12" s="98"/>
      <c r="L12" s="98"/>
      <c r="M12" s="98"/>
      <c r="N12" s="98"/>
      <c r="O12" s="98"/>
      <c r="P12" s="98"/>
      <c r="Q12" s="98"/>
      <c r="R12" s="98"/>
      <c r="S12" s="98"/>
      <c r="T12" s="98"/>
      <c r="U12" s="98"/>
      <c r="V12" s="98"/>
      <c r="W12" s="98"/>
      <c r="X12" s="98"/>
      <c r="Y12" s="98"/>
      <c r="Z12" s="98"/>
      <c r="AA12" s="98"/>
      <c r="AB12" s="98"/>
      <c r="AC12" s="98"/>
      <c r="AD12" s="98"/>
      <c r="AE12" s="98"/>
      <c r="AF12" s="98"/>
      <c r="AG12" s="98"/>
      <c r="AH12" s="98"/>
    </row>
    <row r="13" spans="1:34" ht="27" customHeight="1">
      <c r="A13" s="30"/>
      <c r="B13" s="802"/>
      <c r="C13" s="74" t="s">
        <v>151</v>
      </c>
      <c r="D13" s="72"/>
      <c r="E13" s="98"/>
      <c r="F13" s="98"/>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row>
    <row r="14" spans="1:34" ht="27" customHeight="1">
      <c r="A14" s="30"/>
      <c r="B14" s="800">
        <v>2</v>
      </c>
      <c r="C14" s="795"/>
      <c r="D14" s="796"/>
      <c r="E14" s="97" t="str">
        <f>IFERROR(AVERAGE(E15:E21),"")</f>
        <v/>
      </c>
      <c r="F14" s="97" t="str">
        <f t="shared" ref="F14:AH14" si="1">IFERROR(AVERAGE(F15:F21),"")</f>
        <v/>
      </c>
      <c r="G14" s="97" t="str">
        <f t="shared" si="1"/>
        <v/>
      </c>
      <c r="H14" s="97" t="str">
        <f t="shared" si="1"/>
        <v/>
      </c>
      <c r="I14" s="97" t="str">
        <f t="shared" si="1"/>
        <v/>
      </c>
      <c r="J14" s="97" t="str">
        <f t="shared" si="1"/>
        <v/>
      </c>
      <c r="K14" s="97" t="str">
        <f t="shared" si="1"/>
        <v/>
      </c>
      <c r="L14" s="97" t="str">
        <f t="shared" si="1"/>
        <v/>
      </c>
      <c r="M14" s="97" t="str">
        <f t="shared" si="1"/>
        <v/>
      </c>
      <c r="N14" s="97" t="str">
        <f t="shared" si="1"/>
        <v/>
      </c>
      <c r="O14" s="97" t="str">
        <f t="shared" si="1"/>
        <v/>
      </c>
      <c r="P14" s="97" t="str">
        <f t="shared" si="1"/>
        <v/>
      </c>
      <c r="Q14" s="97" t="str">
        <f t="shared" si="1"/>
        <v/>
      </c>
      <c r="R14" s="97" t="str">
        <f t="shared" si="1"/>
        <v/>
      </c>
      <c r="S14" s="97" t="str">
        <f t="shared" si="1"/>
        <v/>
      </c>
      <c r="T14" s="97" t="str">
        <f t="shared" si="1"/>
        <v/>
      </c>
      <c r="U14" s="97" t="str">
        <f t="shared" si="1"/>
        <v/>
      </c>
      <c r="V14" s="97" t="str">
        <f t="shared" si="1"/>
        <v/>
      </c>
      <c r="W14" s="97" t="str">
        <f t="shared" si="1"/>
        <v/>
      </c>
      <c r="X14" s="97" t="str">
        <f t="shared" si="1"/>
        <v/>
      </c>
      <c r="Y14" s="97" t="str">
        <f t="shared" si="1"/>
        <v/>
      </c>
      <c r="Z14" s="97" t="str">
        <f t="shared" si="1"/>
        <v/>
      </c>
      <c r="AA14" s="97" t="str">
        <f t="shared" si="1"/>
        <v/>
      </c>
      <c r="AB14" s="97" t="str">
        <f t="shared" si="1"/>
        <v/>
      </c>
      <c r="AC14" s="97" t="str">
        <f t="shared" si="1"/>
        <v/>
      </c>
      <c r="AD14" s="97" t="str">
        <f t="shared" si="1"/>
        <v/>
      </c>
      <c r="AE14" s="97" t="str">
        <f t="shared" si="1"/>
        <v/>
      </c>
      <c r="AF14" s="97" t="str">
        <f t="shared" si="1"/>
        <v/>
      </c>
      <c r="AG14" s="97" t="str">
        <f t="shared" si="1"/>
        <v/>
      </c>
      <c r="AH14" s="97" t="str">
        <f t="shared" si="1"/>
        <v/>
      </c>
    </row>
    <row r="15" spans="1:34" ht="27" customHeight="1">
      <c r="A15" s="30"/>
      <c r="B15" s="801"/>
      <c r="C15" s="74" t="s">
        <v>152</v>
      </c>
      <c r="D15" s="72"/>
      <c r="E15" s="98"/>
      <c r="F15" s="98"/>
      <c r="G15" s="98"/>
      <c r="H15" s="98"/>
      <c r="I15" s="98"/>
      <c r="J15" s="98"/>
      <c r="K15" s="98"/>
      <c r="L15" s="98"/>
      <c r="M15" s="98"/>
      <c r="N15" s="98"/>
      <c r="O15" s="98"/>
      <c r="P15" s="98"/>
      <c r="Q15" s="98"/>
      <c r="R15" s="98"/>
      <c r="S15" s="98"/>
      <c r="T15" s="98"/>
      <c r="U15" s="98"/>
      <c r="V15" s="98"/>
      <c r="W15" s="98"/>
      <c r="X15" s="98"/>
      <c r="Y15" s="98"/>
      <c r="Z15" s="98"/>
      <c r="AA15" s="98"/>
      <c r="AB15" s="98"/>
      <c r="AC15" s="98"/>
      <c r="AD15" s="98"/>
      <c r="AE15" s="98"/>
      <c r="AF15" s="98"/>
      <c r="AG15" s="98"/>
      <c r="AH15" s="98"/>
    </row>
    <row r="16" spans="1:34" ht="27" customHeight="1">
      <c r="A16" s="30"/>
      <c r="B16" s="801"/>
      <c r="C16" s="74" t="s">
        <v>153</v>
      </c>
      <c r="D16" s="72"/>
      <c r="E16" s="98"/>
      <c r="F16" s="98"/>
      <c r="G16" s="98"/>
      <c r="H16" s="98"/>
      <c r="I16" s="98"/>
      <c r="J16" s="98"/>
      <c r="K16" s="98"/>
      <c r="L16" s="98"/>
      <c r="M16" s="98"/>
      <c r="N16" s="98"/>
      <c r="O16" s="98"/>
      <c r="P16" s="98"/>
      <c r="Q16" s="98"/>
      <c r="R16" s="98"/>
      <c r="S16" s="98"/>
      <c r="T16" s="98"/>
      <c r="U16" s="98"/>
      <c r="V16" s="98"/>
      <c r="W16" s="98"/>
      <c r="X16" s="98"/>
      <c r="Y16" s="98"/>
      <c r="Z16" s="98"/>
      <c r="AA16" s="98"/>
      <c r="AB16" s="98"/>
      <c r="AC16" s="98"/>
      <c r="AD16" s="98"/>
      <c r="AE16" s="98"/>
      <c r="AF16" s="98"/>
      <c r="AG16" s="98"/>
      <c r="AH16" s="98"/>
    </row>
    <row r="17" spans="1:34" ht="27" customHeight="1">
      <c r="A17" s="30"/>
      <c r="B17" s="801"/>
      <c r="C17" s="74" t="s">
        <v>154</v>
      </c>
      <c r="D17" s="72"/>
      <c r="E17" s="98"/>
      <c r="F17" s="98"/>
      <c r="G17" s="98"/>
      <c r="H17" s="98"/>
      <c r="I17" s="98"/>
      <c r="J17" s="98"/>
      <c r="K17" s="98"/>
      <c r="L17" s="98"/>
      <c r="M17" s="98"/>
      <c r="N17" s="98"/>
      <c r="O17" s="98"/>
      <c r="P17" s="98"/>
      <c r="Q17" s="98"/>
      <c r="R17" s="98"/>
      <c r="S17" s="98"/>
      <c r="T17" s="98"/>
      <c r="U17" s="98"/>
      <c r="V17" s="98"/>
      <c r="W17" s="98"/>
      <c r="X17" s="98"/>
      <c r="Y17" s="98"/>
      <c r="Z17" s="98"/>
      <c r="AA17" s="98"/>
      <c r="AB17" s="98"/>
      <c r="AC17" s="98"/>
      <c r="AD17" s="98"/>
      <c r="AE17" s="98"/>
      <c r="AF17" s="98"/>
      <c r="AG17" s="98"/>
      <c r="AH17" s="98"/>
    </row>
    <row r="18" spans="1:34" ht="27" customHeight="1">
      <c r="A18" s="30"/>
      <c r="B18" s="801"/>
      <c r="C18" s="74" t="s">
        <v>155</v>
      </c>
      <c r="D18" s="72"/>
      <c r="E18" s="98"/>
      <c r="F18" s="98"/>
      <c r="G18" s="98"/>
      <c r="H18" s="98"/>
      <c r="I18" s="98"/>
      <c r="J18" s="98"/>
      <c r="K18" s="98"/>
      <c r="L18" s="98"/>
      <c r="M18" s="98"/>
      <c r="N18" s="98"/>
      <c r="O18" s="98"/>
      <c r="P18" s="98"/>
      <c r="Q18" s="98"/>
      <c r="R18" s="98"/>
      <c r="S18" s="98"/>
      <c r="T18" s="98"/>
      <c r="U18" s="98"/>
      <c r="V18" s="98"/>
      <c r="W18" s="98"/>
      <c r="X18" s="98"/>
      <c r="Y18" s="98"/>
      <c r="Z18" s="98"/>
      <c r="AA18" s="98"/>
      <c r="AB18" s="98"/>
      <c r="AC18" s="98"/>
      <c r="AD18" s="98"/>
      <c r="AE18" s="98"/>
      <c r="AF18" s="98"/>
      <c r="AG18" s="98"/>
      <c r="AH18" s="98"/>
    </row>
    <row r="19" spans="1:34" ht="27" customHeight="1">
      <c r="A19" s="30"/>
      <c r="B19" s="801"/>
      <c r="C19" s="74" t="s">
        <v>156</v>
      </c>
      <c r="D19" s="72"/>
      <c r="E19" s="98"/>
      <c r="F19" s="98"/>
      <c r="G19" s="98"/>
      <c r="H19" s="98"/>
      <c r="I19" s="98"/>
      <c r="J19" s="98"/>
      <c r="K19" s="98"/>
      <c r="L19" s="98"/>
      <c r="M19" s="98"/>
      <c r="N19" s="98"/>
      <c r="O19" s="98"/>
      <c r="P19" s="98"/>
      <c r="Q19" s="98"/>
      <c r="R19" s="98"/>
      <c r="S19" s="98"/>
      <c r="T19" s="98"/>
      <c r="U19" s="98"/>
      <c r="V19" s="98"/>
      <c r="W19" s="98"/>
      <c r="X19" s="98"/>
      <c r="Y19" s="98"/>
      <c r="Z19" s="98"/>
      <c r="AA19" s="98"/>
      <c r="AB19" s="98"/>
      <c r="AC19" s="98"/>
      <c r="AD19" s="98"/>
      <c r="AE19" s="98"/>
      <c r="AF19" s="98"/>
      <c r="AG19" s="98"/>
      <c r="AH19" s="98"/>
    </row>
    <row r="20" spans="1:34" ht="27" customHeight="1">
      <c r="A20" s="30"/>
      <c r="B20" s="801"/>
      <c r="C20" s="74" t="s">
        <v>157</v>
      </c>
      <c r="D20" s="72"/>
      <c r="E20" s="98"/>
      <c r="F20" s="98"/>
      <c r="G20" s="98"/>
      <c r="H20" s="98"/>
      <c r="I20" s="98"/>
      <c r="J20" s="98"/>
      <c r="K20" s="98"/>
      <c r="L20" s="98"/>
      <c r="M20" s="98"/>
      <c r="N20" s="98"/>
      <c r="O20" s="98"/>
      <c r="P20" s="98"/>
      <c r="Q20" s="98"/>
      <c r="R20" s="98"/>
      <c r="S20" s="98"/>
      <c r="T20" s="98"/>
      <c r="U20" s="98"/>
      <c r="V20" s="98"/>
      <c r="W20" s="98"/>
      <c r="X20" s="98"/>
      <c r="Y20" s="98"/>
      <c r="Z20" s="98"/>
      <c r="AA20" s="98"/>
      <c r="AB20" s="98"/>
      <c r="AC20" s="98"/>
      <c r="AD20" s="98"/>
      <c r="AE20" s="98"/>
      <c r="AF20" s="98"/>
      <c r="AG20" s="98"/>
      <c r="AH20" s="98"/>
    </row>
    <row r="21" spans="1:34" ht="27" customHeight="1">
      <c r="A21" s="30"/>
      <c r="B21" s="802"/>
      <c r="C21" s="74" t="s">
        <v>158</v>
      </c>
      <c r="D21" s="72"/>
      <c r="E21" s="98"/>
      <c r="F21" s="98"/>
      <c r="G21" s="98"/>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row>
    <row r="22" spans="1:34" ht="27" customHeight="1">
      <c r="A22" s="30"/>
      <c r="B22" s="801">
        <v>3</v>
      </c>
      <c r="C22" s="795"/>
      <c r="D22" s="796"/>
      <c r="E22" s="97" t="str">
        <f>IFERROR(AVERAGE(E23:E29),"")</f>
        <v/>
      </c>
      <c r="F22" s="97" t="str">
        <f t="shared" ref="F22:AH22" si="2">IFERROR(AVERAGE(F23:F29),"")</f>
        <v/>
      </c>
      <c r="G22" s="97" t="str">
        <f t="shared" si="2"/>
        <v/>
      </c>
      <c r="H22" s="97" t="str">
        <f t="shared" si="2"/>
        <v/>
      </c>
      <c r="I22" s="97" t="str">
        <f t="shared" si="2"/>
        <v/>
      </c>
      <c r="J22" s="97" t="str">
        <f t="shared" si="2"/>
        <v/>
      </c>
      <c r="K22" s="97" t="str">
        <f t="shared" si="2"/>
        <v/>
      </c>
      <c r="L22" s="97" t="str">
        <f t="shared" si="2"/>
        <v/>
      </c>
      <c r="M22" s="97" t="str">
        <f t="shared" si="2"/>
        <v/>
      </c>
      <c r="N22" s="97" t="str">
        <f t="shared" si="2"/>
        <v/>
      </c>
      <c r="O22" s="97" t="str">
        <f t="shared" si="2"/>
        <v/>
      </c>
      <c r="P22" s="97" t="str">
        <f t="shared" si="2"/>
        <v/>
      </c>
      <c r="Q22" s="97" t="str">
        <f t="shared" si="2"/>
        <v/>
      </c>
      <c r="R22" s="97" t="str">
        <f t="shared" si="2"/>
        <v/>
      </c>
      <c r="S22" s="97" t="str">
        <f t="shared" si="2"/>
        <v/>
      </c>
      <c r="T22" s="97" t="str">
        <f t="shared" si="2"/>
        <v/>
      </c>
      <c r="U22" s="97" t="str">
        <f t="shared" si="2"/>
        <v/>
      </c>
      <c r="V22" s="97" t="str">
        <f t="shared" si="2"/>
        <v/>
      </c>
      <c r="W22" s="97" t="str">
        <f t="shared" si="2"/>
        <v/>
      </c>
      <c r="X22" s="97" t="str">
        <f t="shared" si="2"/>
        <v/>
      </c>
      <c r="Y22" s="97" t="str">
        <f t="shared" si="2"/>
        <v/>
      </c>
      <c r="Z22" s="97" t="str">
        <f t="shared" si="2"/>
        <v/>
      </c>
      <c r="AA22" s="97" t="str">
        <f t="shared" si="2"/>
        <v/>
      </c>
      <c r="AB22" s="97" t="str">
        <f t="shared" si="2"/>
        <v/>
      </c>
      <c r="AC22" s="97" t="str">
        <f t="shared" si="2"/>
        <v/>
      </c>
      <c r="AD22" s="97" t="str">
        <f t="shared" si="2"/>
        <v/>
      </c>
      <c r="AE22" s="97" t="str">
        <f t="shared" si="2"/>
        <v/>
      </c>
      <c r="AF22" s="97" t="str">
        <f t="shared" si="2"/>
        <v/>
      </c>
      <c r="AG22" s="97" t="str">
        <f t="shared" si="2"/>
        <v/>
      </c>
      <c r="AH22" s="97" t="str">
        <f t="shared" si="2"/>
        <v/>
      </c>
    </row>
    <row r="23" spans="1:34" ht="27" customHeight="1">
      <c r="A23" s="30"/>
      <c r="B23" s="794"/>
      <c r="C23" s="74" t="s">
        <v>159</v>
      </c>
      <c r="D23" s="72"/>
      <c r="E23" s="98"/>
      <c r="F23" s="98"/>
      <c r="G23" s="98"/>
      <c r="H23" s="98"/>
      <c r="I23" s="98"/>
      <c r="J23" s="98"/>
      <c r="K23" s="98"/>
      <c r="L23" s="98"/>
      <c r="M23" s="98"/>
      <c r="N23" s="98"/>
      <c r="O23" s="98"/>
      <c r="P23" s="98"/>
      <c r="Q23" s="98"/>
      <c r="R23" s="98"/>
      <c r="S23" s="98"/>
      <c r="T23" s="98"/>
      <c r="U23" s="98"/>
      <c r="V23" s="98"/>
      <c r="W23" s="98"/>
      <c r="X23" s="98"/>
      <c r="Y23" s="98"/>
      <c r="Z23" s="98"/>
      <c r="AA23" s="98"/>
      <c r="AB23" s="98"/>
      <c r="AC23" s="98"/>
      <c r="AD23" s="98"/>
      <c r="AE23" s="98"/>
      <c r="AF23" s="98"/>
      <c r="AG23" s="98"/>
      <c r="AH23" s="98"/>
    </row>
    <row r="24" spans="1:34" ht="27" customHeight="1">
      <c r="A24" s="30"/>
      <c r="B24" s="794"/>
      <c r="C24" s="74" t="s">
        <v>160</v>
      </c>
      <c r="D24" s="72"/>
      <c r="E24" s="98"/>
      <c r="F24" s="98"/>
      <c r="G24" s="98"/>
      <c r="H24" s="98"/>
      <c r="I24" s="98"/>
      <c r="J24" s="98"/>
      <c r="K24" s="98"/>
      <c r="L24" s="98"/>
      <c r="M24" s="98"/>
      <c r="N24" s="98"/>
      <c r="O24" s="98"/>
      <c r="P24" s="98"/>
      <c r="Q24" s="98"/>
      <c r="R24" s="98"/>
      <c r="S24" s="98"/>
      <c r="T24" s="98"/>
      <c r="U24" s="98"/>
      <c r="V24" s="98"/>
      <c r="W24" s="98"/>
      <c r="X24" s="98"/>
      <c r="Y24" s="98"/>
      <c r="Z24" s="98"/>
      <c r="AA24" s="98"/>
      <c r="AB24" s="98"/>
      <c r="AC24" s="98"/>
      <c r="AD24" s="98"/>
      <c r="AE24" s="98"/>
      <c r="AF24" s="98"/>
      <c r="AG24" s="98"/>
      <c r="AH24" s="98"/>
    </row>
    <row r="25" spans="1:34" ht="27" customHeight="1">
      <c r="A25" s="30"/>
      <c r="B25" s="794"/>
      <c r="C25" s="74" t="s">
        <v>161</v>
      </c>
      <c r="D25" s="72"/>
      <c r="E25" s="98"/>
      <c r="F25" s="98"/>
      <c r="G25" s="98"/>
      <c r="H25" s="98"/>
      <c r="I25" s="98"/>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row>
    <row r="26" spans="1:34" ht="27" customHeight="1">
      <c r="A26" s="30"/>
      <c r="B26" s="794"/>
      <c r="C26" s="74" t="s">
        <v>162</v>
      </c>
      <c r="D26" s="72"/>
      <c r="E26" s="98"/>
      <c r="F26" s="98"/>
      <c r="G26" s="98"/>
      <c r="H26" s="98"/>
      <c r="I26" s="98"/>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row>
    <row r="27" spans="1:34" ht="27" customHeight="1">
      <c r="A27" s="30"/>
      <c r="B27" s="794"/>
      <c r="C27" s="74" t="s">
        <v>163</v>
      </c>
      <c r="D27" s="72"/>
      <c r="E27" s="98"/>
      <c r="F27" s="98"/>
      <c r="G27" s="98"/>
      <c r="H27" s="98"/>
      <c r="I27" s="98"/>
      <c r="J27" s="98"/>
      <c r="K27" s="98"/>
      <c r="L27" s="98"/>
      <c r="M27" s="98"/>
      <c r="N27" s="98"/>
      <c r="O27" s="98"/>
      <c r="P27" s="98"/>
      <c r="Q27" s="98"/>
      <c r="R27" s="98"/>
      <c r="S27" s="98"/>
      <c r="T27" s="98"/>
      <c r="U27" s="98"/>
      <c r="V27" s="98"/>
      <c r="W27" s="98"/>
      <c r="X27" s="98"/>
      <c r="Y27" s="98"/>
      <c r="Z27" s="98"/>
      <c r="AA27" s="98"/>
      <c r="AB27" s="98"/>
      <c r="AC27" s="98"/>
      <c r="AD27" s="98"/>
      <c r="AE27" s="98"/>
      <c r="AF27" s="98"/>
      <c r="AG27" s="98"/>
      <c r="AH27" s="98"/>
    </row>
    <row r="28" spans="1:34" ht="27" customHeight="1">
      <c r="A28" s="30"/>
      <c r="B28" s="794"/>
      <c r="C28" s="74" t="s">
        <v>164</v>
      </c>
      <c r="D28" s="72"/>
      <c r="E28" s="98"/>
      <c r="F28" s="98"/>
      <c r="G28" s="98"/>
      <c r="H28" s="98"/>
      <c r="I28" s="98"/>
      <c r="J28" s="98"/>
      <c r="K28" s="98"/>
      <c r="L28" s="98"/>
      <c r="M28" s="98"/>
      <c r="N28" s="98"/>
      <c r="O28" s="98"/>
      <c r="P28" s="98"/>
      <c r="Q28" s="98"/>
      <c r="R28" s="98"/>
      <c r="S28" s="98"/>
      <c r="T28" s="98"/>
      <c r="U28" s="98"/>
      <c r="V28" s="98"/>
      <c r="W28" s="98"/>
      <c r="X28" s="98"/>
      <c r="Y28" s="98"/>
      <c r="Z28" s="98"/>
      <c r="AA28" s="98"/>
      <c r="AB28" s="98"/>
      <c r="AC28" s="98"/>
      <c r="AD28" s="98"/>
      <c r="AE28" s="98"/>
      <c r="AF28" s="98"/>
      <c r="AG28" s="98"/>
      <c r="AH28" s="98"/>
    </row>
    <row r="29" spans="1:34" ht="27" customHeight="1">
      <c r="A29" s="30"/>
      <c r="B29" s="802"/>
      <c r="C29" s="74" t="s">
        <v>165</v>
      </c>
      <c r="D29" s="72"/>
      <c r="E29" s="98"/>
      <c r="F29" s="98"/>
      <c r="G29" s="98"/>
      <c r="H29" s="98"/>
      <c r="I29" s="98"/>
      <c r="J29" s="98"/>
      <c r="K29" s="98"/>
      <c r="L29" s="98"/>
      <c r="M29" s="98"/>
      <c r="N29" s="98"/>
      <c r="O29" s="98"/>
      <c r="P29" s="98"/>
      <c r="Q29" s="98"/>
      <c r="R29" s="98"/>
      <c r="S29" s="98"/>
      <c r="T29" s="98"/>
      <c r="U29" s="98"/>
      <c r="V29" s="98"/>
      <c r="W29" s="98"/>
      <c r="X29" s="98"/>
      <c r="Y29" s="98"/>
      <c r="Z29" s="98"/>
      <c r="AA29" s="98"/>
      <c r="AB29" s="98"/>
      <c r="AC29" s="98"/>
      <c r="AD29" s="98"/>
      <c r="AE29" s="98"/>
      <c r="AF29" s="98"/>
      <c r="AG29" s="98"/>
      <c r="AH29" s="98"/>
    </row>
    <row r="30" spans="1:34" ht="27" customHeight="1">
      <c r="A30" s="30"/>
      <c r="B30" s="800">
        <v>4</v>
      </c>
      <c r="C30" s="795"/>
      <c r="D30" s="796"/>
      <c r="E30" s="97" t="str">
        <f>IFERROR(AVERAGE(E31:E37),"")</f>
        <v/>
      </c>
      <c r="F30" s="97" t="str">
        <f t="shared" ref="F30:AH30" si="3">IFERROR(AVERAGE(F31:F37),"")</f>
        <v/>
      </c>
      <c r="G30" s="97" t="str">
        <f t="shared" si="3"/>
        <v/>
      </c>
      <c r="H30" s="97" t="str">
        <f t="shared" si="3"/>
        <v/>
      </c>
      <c r="I30" s="97" t="str">
        <f t="shared" si="3"/>
        <v/>
      </c>
      <c r="J30" s="97" t="str">
        <f t="shared" si="3"/>
        <v/>
      </c>
      <c r="K30" s="97" t="str">
        <f t="shared" si="3"/>
        <v/>
      </c>
      <c r="L30" s="97" t="str">
        <f t="shared" si="3"/>
        <v/>
      </c>
      <c r="M30" s="97" t="str">
        <f t="shared" si="3"/>
        <v/>
      </c>
      <c r="N30" s="97" t="str">
        <f t="shared" si="3"/>
        <v/>
      </c>
      <c r="O30" s="97" t="str">
        <f t="shared" si="3"/>
        <v/>
      </c>
      <c r="P30" s="97" t="str">
        <f t="shared" si="3"/>
        <v/>
      </c>
      <c r="Q30" s="97" t="str">
        <f t="shared" si="3"/>
        <v/>
      </c>
      <c r="R30" s="97" t="str">
        <f t="shared" si="3"/>
        <v/>
      </c>
      <c r="S30" s="97" t="str">
        <f t="shared" si="3"/>
        <v/>
      </c>
      <c r="T30" s="97" t="str">
        <f t="shared" si="3"/>
        <v/>
      </c>
      <c r="U30" s="97" t="str">
        <f t="shared" si="3"/>
        <v/>
      </c>
      <c r="V30" s="97" t="str">
        <f t="shared" si="3"/>
        <v/>
      </c>
      <c r="W30" s="97" t="str">
        <f t="shared" si="3"/>
        <v/>
      </c>
      <c r="X30" s="97" t="str">
        <f t="shared" si="3"/>
        <v/>
      </c>
      <c r="Y30" s="97" t="str">
        <f t="shared" si="3"/>
        <v/>
      </c>
      <c r="Z30" s="97" t="str">
        <f t="shared" si="3"/>
        <v/>
      </c>
      <c r="AA30" s="97" t="str">
        <f t="shared" si="3"/>
        <v/>
      </c>
      <c r="AB30" s="97" t="str">
        <f t="shared" si="3"/>
        <v/>
      </c>
      <c r="AC30" s="97" t="str">
        <f t="shared" si="3"/>
        <v/>
      </c>
      <c r="AD30" s="97" t="str">
        <f t="shared" si="3"/>
        <v/>
      </c>
      <c r="AE30" s="97" t="str">
        <f t="shared" si="3"/>
        <v/>
      </c>
      <c r="AF30" s="97" t="str">
        <f t="shared" si="3"/>
        <v/>
      </c>
      <c r="AG30" s="97" t="str">
        <f t="shared" si="3"/>
        <v/>
      </c>
      <c r="AH30" s="97" t="str">
        <f t="shared" si="3"/>
        <v/>
      </c>
    </row>
    <row r="31" spans="1:34" ht="27" customHeight="1">
      <c r="A31" s="30"/>
      <c r="B31" s="801"/>
      <c r="C31" s="74" t="s">
        <v>166</v>
      </c>
      <c r="D31" s="72"/>
      <c r="E31" s="98"/>
      <c r="F31" s="98"/>
      <c r="G31" s="98"/>
      <c r="H31" s="98"/>
      <c r="I31" s="98"/>
      <c r="J31" s="98"/>
      <c r="K31" s="98"/>
      <c r="L31" s="98"/>
      <c r="M31" s="98"/>
      <c r="N31" s="98"/>
      <c r="O31" s="98"/>
      <c r="P31" s="98"/>
      <c r="Q31" s="98"/>
      <c r="R31" s="98"/>
      <c r="S31" s="98"/>
      <c r="T31" s="98"/>
      <c r="U31" s="98"/>
      <c r="V31" s="98"/>
      <c r="W31" s="98"/>
      <c r="X31" s="98"/>
      <c r="Y31" s="98"/>
      <c r="Z31" s="98"/>
      <c r="AA31" s="98"/>
      <c r="AB31" s="98"/>
      <c r="AC31" s="98"/>
      <c r="AD31" s="98"/>
      <c r="AE31" s="98"/>
      <c r="AF31" s="98"/>
      <c r="AG31" s="98"/>
      <c r="AH31" s="98"/>
    </row>
    <row r="32" spans="1:34" ht="27" customHeight="1">
      <c r="A32" s="30"/>
      <c r="B32" s="801"/>
      <c r="C32" s="74" t="s">
        <v>167</v>
      </c>
      <c r="D32" s="72"/>
      <c r="E32" s="98"/>
      <c r="F32" s="98"/>
      <c r="G32" s="98"/>
      <c r="H32" s="98"/>
      <c r="I32" s="98"/>
      <c r="J32" s="98"/>
      <c r="K32" s="98"/>
      <c r="L32" s="98"/>
      <c r="M32" s="98"/>
      <c r="N32" s="98"/>
      <c r="O32" s="98"/>
      <c r="P32" s="98"/>
      <c r="Q32" s="98"/>
      <c r="R32" s="98"/>
      <c r="S32" s="98"/>
      <c r="T32" s="98"/>
      <c r="U32" s="98"/>
      <c r="V32" s="98"/>
      <c r="W32" s="98"/>
      <c r="X32" s="98"/>
      <c r="Y32" s="98"/>
      <c r="Z32" s="98"/>
      <c r="AA32" s="98"/>
      <c r="AB32" s="98"/>
      <c r="AC32" s="98"/>
      <c r="AD32" s="98"/>
      <c r="AE32" s="98"/>
      <c r="AF32" s="98"/>
      <c r="AG32" s="98"/>
      <c r="AH32" s="98"/>
    </row>
    <row r="33" spans="1:34" ht="27" customHeight="1">
      <c r="A33" s="30"/>
      <c r="B33" s="801"/>
      <c r="C33" s="74" t="s">
        <v>168</v>
      </c>
      <c r="D33" s="72"/>
      <c r="E33" s="98"/>
      <c r="F33" s="98"/>
      <c r="G33" s="98"/>
      <c r="H33" s="98"/>
      <c r="I33" s="98"/>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row>
    <row r="34" spans="1:34" ht="27" customHeight="1">
      <c r="A34" s="30"/>
      <c r="B34" s="801"/>
      <c r="C34" s="74" t="s">
        <v>169</v>
      </c>
      <c r="D34" s="72"/>
      <c r="E34" s="98"/>
      <c r="F34" s="98"/>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row>
    <row r="35" spans="1:34" ht="27" customHeight="1">
      <c r="A35" s="30"/>
      <c r="B35" s="801"/>
      <c r="C35" s="74" t="s">
        <v>170</v>
      </c>
      <c r="D35" s="72"/>
      <c r="E35" s="98"/>
      <c r="F35" s="98"/>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row>
    <row r="36" spans="1:34" ht="27" customHeight="1">
      <c r="A36" s="30"/>
      <c r="B36" s="801"/>
      <c r="C36" s="74" t="s">
        <v>171</v>
      </c>
      <c r="D36" s="72"/>
      <c r="E36" s="98"/>
      <c r="F36" s="98"/>
      <c r="G36" s="98"/>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row>
    <row r="37" spans="1:34" ht="27" customHeight="1">
      <c r="A37" s="30"/>
      <c r="B37" s="802"/>
      <c r="C37" s="74" t="s">
        <v>172</v>
      </c>
      <c r="D37" s="72"/>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row>
    <row r="38" spans="1:34" ht="27" customHeight="1">
      <c r="A38" s="30"/>
      <c r="B38" s="800">
        <v>5</v>
      </c>
      <c r="C38" s="795"/>
      <c r="D38" s="796"/>
      <c r="E38" s="97" t="str">
        <f>IFERROR(AVERAGE(E39:E45),"")</f>
        <v/>
      </c>
      <c r="F38" s="97" t="str">
        <f t="shared" ref="F38:AH38" si="4">IFERROR(AVERAGE(F39:F45),"")</f>
        <v/>
      </c>
      <c r="G38" s="97" t="str">
        <f t="shared" si="4"/>
        <v/>
      </c>
      <c r="H38" s="97" t="str">
        <f t="shared" si="4"/>
        <v/>
      </c>
      <c r="I38" s="97" t="str">
        <f t="shared" si="4"/>
        <v/>
      </c>
      <c r="J38" s="97" t="str">
        <f t="shared" si="4"/>
        <v/>
      </c>
      <c r="K38" s="97" t="str">
        <f t="shared" si="4"/>
        <v/>
      </c>
      <c r="L38" s="97" t="str">
        <f t="shared" si="4"/>
        <v/>
      </c>
      <c r="M38" s="97" t="str">
        <f t="shared" si="4"/>
        <v/>
      </c>
      <c r="N38" s="97" t="str">
        <f t="shared" si="4"/>
        <v/>
      </c>
      <c r="O38" s="97" t="str">
        <f t="shared" si="4"/>
        <v/>
      </c>
      <c r="P38" s="97" t="str">
        <f t="shared" si="4"/>
        <v/>
      </c>
      <c r="Q38" s="97" t="str">
        <f t="shared" si="4"/>
        <v/>
      </c>
      <c r="R38" s="97" t="str">
        <f t="shared" si="4"/>
        <v/>
      </c>
      <c r="S38" s="97" t="str">
        <f t="shared" si="4"/>
        <v/>
      </c>
      <c r="T38" s="97" t="str">
        <f t="shared" si="4"/>
        <v/>
      </c>
      <c r="U38" s="97" t="str">
        <f t="shared" si="4"/>
        <v/>
      </c>
      <c r="V38" s="97" t="str">
        <f t="shared" si="4"/>
        <v/>
      </c>
      <c r="W38" s="97" t="str">
        <f t="shared" si="4"/>
        <v/>
      </c>
      <c r="X38" s="97" t="str">
        <f t="shared" si="4"/>
        <v/>
      </c>
      <c r="Y38" s="97" t="str">
        <f t="shared" si="4"/>
        <v/>
      </c>
      <c r="Z38" s="97" t="str">
        <f t="shared" si="4"/>
        <v/>
      </c>
      <c r="AA38" s="97" t="str">
        <f t="shared" si="4"/>
        <v/>
      </c>
      <c r="AB38" s="97" t="str">
        <f t="shared" si="4"/>
        <v/>
      </c>
      <c r="AC38" s="97" t="str">
        <f t="shared" si="4"/>
        <v/>
      </c>
      <c r="AD38" s="97" t="str">
        <f t="shared" si="4"/>
        <v/>
      </c>
      <c r="AE38" s="97" t="str">
        <f t="shared" si="4"/>
        <v/>
      </c>
      <c r="AF38" s="97" t="str">
        <f t="shared" si="4"/>
        <v/>
      </c>
      <c r="AG38" s="97" t="str">
        <f t="shared" si="4"/>
        <v/>
      </c>
      <c r="AH38" s="97" t="str">
        <f t="shared" si="4"/>
        <v/>
      </c>
    </row>
    <row r="39" spans="1:34" ht="27" customHeight="1">
      <c r="A39" s="30"/>
      <c r="B39" s="801"/>
      <c r="C39" s="74" t="s">
        <v>173</v>
      </c>
      <c r="D39" s="72"/>
      <c r="E39" s="98"/>
      <c r="F39" s="98"/>
      <c r="G39" s="98"/>
      <c r="H39" s="98"/>
      <c r="I39" s="98"/>
      <c r="J39" s="98"/>
      <c r="K39" s="98"/>
      <c r="L39" s="98"/>
      <c r="M39" s="98"/>
      <c r="N39" s="98"/>
      <c r="O39" s="98"/>
      <c r="P39" s="98"/>
      <c r="Q39" s="98"/>
      <c r="R39" s="98"/>
      <c r="S39" s="98"/>
      <c r="T39" s="98"/>
      <c r="U39" s="98"/>
      <c r="V39" s="98"/>
      <c r="W39" s="98"/>
      <c r="X39" s="98"/>
      <c r="Y39" s="98"/>
      <c r="Z39" s="98"/>
      <c r="AA39" s="98"/>
      <c r="AB39" s="98"/>
      <c r="AC39" s="98"/>
      <c r="AD39" s="98"/>
      <c r="AE39" s="98"/>
      <c r="AF39" s="98"/>
      <c r="AG39" s="98"/>
      <c r="AH39" s="98"/>
    </row>
    <row r="40" spans="1:34" ht="27" customHeight="1">
      <c r="A40" s="30"/>
      <c r="B40" s="801"/>
      <c r="C40" s="74" t="s">
        <v>174</v>
      </c>
      <c r="D40" s="72"/>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row>
    <row r="41" spans="1:34" ht="27" customHeight="1">
      <c r="A41" s="30"/>
      <c r="B41" s="801"/>
      <c r="C41" s="74" t="s">
        <v>175</v>
      </c>
      <c r="D41" s="72"/>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row>
    <row r="42" spans="1:34" ht="27" customHeight="1">
      <c r="A42" s="30"/>
      <c r="B42" s="801"/>
      <c r="C42" s="74" t="s">
        <v>176</v>
      </c>
      <c r="D42" s="72"/>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row>
    <row r="43" spans="1:34" ht="27" customHeight="1">
      <c r="A43" s="30"/>
      <c r="B43" s="801"/>
      <c r="C43" s="74" t="s">
        <v>177</v>
      </c>
      <c r="D43" s="72"/>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row>
    <row r="44" spans="1:34" ht="27" customHeight="1">
      <c r="A44" s="30"/>
      <c r="B44" s="801"/>
      <c r="C44" s="74" t="s">
        <v>178</v>
      </c>
      <c r="D44" s="72"/>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row>
    <row r="45" spans="1:34" ht="27" customHeight="1">
      <c r="A45" s="30"/>
      <c r="B45" s="802"/>
      <c r="C45" s="74" t="s">
        <v>179</v>
      </c>
      <c r="D45" s="72"/>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row>
    <row r="46" spans="1:34" ht="27" customHeight="1">
      <c r="A46" s="30"/>
      <c r="B46" s="794">
        <v>6</v>
      </c>
      <c r="C46" s="795"/>
      <c r="D46" s="796"/>
      <c r="E46" s="97" t="str">
        <f>IFERROR(AVERAGE(E47:E53),"")</f>
        <v/>
      </c>
      <c r="F46" s="97" t="str">
        <f t="shared" ref="F46:AH46" si="5">IFERROR(AVERAGE(F47:F53),"")</f>
        <v/>
      </c>
      <c r="G46" s="97" t="str">
        <f t="shared" si="5"/>
        <v/>
      </c>
      <c r="H46" s="97" t="str">
        <f t="shared" si="5"/>
        <v/>
      </c>
      <c r="I46" s="97" t="str">
        <f t="shared" si="5"/>
        <v/>
      </c>
      <c r="J46" s="97" t="str">
        <f t="shared" si="5"/>
        <v/>
      </c>
      <c r="K46" s="97" t="str">
        <f t="shared" si="5"/>
        <v/>
      </c>
      <c r="L46" s="97" t="str">
        <f t="shared" si="5"/>
        <v/>
      </c>
      <c r="M46" s="97" t="str">
        <f t="shared" si="5"/>
        <v/>
      </c>
      <c r="N46" s="97" t="str">
        <f t="shared" si="5"/>
        <v/>
      </c>
      <c r="O46" s="97" t="str">
        <f t="shared" si="5"/>
        <v/>
      </c>
      <c r="P46" s="97" t="str">
        <f t="shared" si="5"/>
        <v/>
      </c>
      <c r="Q46" s="97" t="str">
        <f t="shared" si="5"/>
        <v/>
      </c>
      <c r="R46" s="97" t="str">
        <f t="shared" si="5"/>
        <v/>
      </c>
      <c r="S46" s="97" t="str">
        <f t="shared" si="5"/>
        <v/>
      </c>
      <c r="T46" s="97" t="str">
        <f t="shared" si="5"/>
        <v/>
      </c>
      <c r="U46" s="97" t="str">
        <f t="shared" si="5"/>
        <v/>
      </c>
      <c r="V46" s="97" t="str">
        <f t="shared" si="5"/>
        <v/>
      </c>
      <c r="W46" s="97" t="str">
        <f t="shared" si="5"/>
        <v/>
      </c>
      <c r="X46" s="97" t="str">
        <f t="shared" si="5"/>
        <v/>
      </c>
      <c r="Y46" s="97" t="str">
        <f t="shared" si="5"/>
        <v/>
      </c>
      <c r="Z46" s="97" t="str">
        <f t="shared" si="5"/>
        <v/>
      </c>
      <c r="AA46" s="97" t="str">
        <f t="shared" si="5"/>
        <v/>
      </c>
      <c r="AB46" s="97" t="str">
        <f t="shared" si="5"/>
        <v/>
      </c>
      <c r="AC46" s="97" t="str">
        <f t="shared" si="5"/>
        <v/>
      </c>
      <c r="AD46" s="97" t="str">
        <f t="shared" si="5"/>
        <v/>
      </c>
      <c r="AE46" s="97" t="str">
        <f t="shared" si="5"/>
        <v/>
      </c>
      <c r="AF46" s="97" t="str">
        <f t="shared" si="5"/>
        <v/>
      </c>
      <c r="AG46" s="97" t="str">
        <f t="shared" si="5"/>
        <v/>
      </c>
      <c r="AH46" s="97" t="str">
        <f t="shared" si="5"/>
        <v/>
      </c>
    </row>
    <row r="47" spans="1:34" ht="27" customHeight="1">
      <c r="A47" s="30"/>
      <c r="B47" s="794"/>
      <c r="C47" s="74" t="s">
        <v>180</v>
      </c>
      <c r="D47" s="72"/>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row>
    <row r="48" spans="1:34" ht="27" customHeight="1">
      <c r="A48" s="30"/>
      <c r="B48" s="794"/>
      <c r="C48" s="74" t="s">
        <v>181</v>
      </c>
      <c r="D48" s="72"/>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row>
    <row r="49" spans="1:34" ht="27" customHeight="1">
      <c r="A49" s="30"/>
      <c r="B49" s="794"/>
      <c r="C49" s="74" t="s">
        <v>182</v>
      </c>
      <c r="D49" s="72"/>
      <c r="E49" s="98"/>
      <c r="F49" s="98"/>
      <c r="G49" s="98"/>
      <c r="H49" s="98"/>
      <c r="I49" s="98"/>
      <c r="J49" s="98"/>
      <c r="K49" s="98"/>
      <c r="L49" s="98"/>
      <c r="M49" s="98"/>
      <c r="N49" s="98"/>
      <c r="O49" s="98"/>
      <c r="P49" s="98"/>
      <c r="Q49" s="98"/>
      <c r="R49" s="98"/>
      <c r="S49" s="98"/>
      <c r="T49" s="98"/>
      <c r="U49" s="98"/>
      <c r="V49" s="98"/>
      <c r="W49" s="98"/>
      <c r="X49" s="98"/>
      <c r="Y49" s="98"/>
      <c r="Z49" s="98"/>
      <c r="AA49" s="98"/>
      <c r="AB49" s="98"/>
      <c r="AC49" s="98"/>
      <c r="AD49" s="98"/>
      <c r="AE49" s="98"/>
      <c r="AF49" s="98"/>
      <c r="AG49" s="98"/>
      <c r="AH49" s="98"/>
    </row>
    <row r="50" spans="1:34" ht="27" customHeight="1">
      <c r="A50" s="30"/>
      <c r="B50" s="794"/>
      <c r="C50" s="74" t="s">
        <v>183</v>
      </c>
      <c r="D50" s="72"/>
      <c r="E50" s="98"/>
      <c r="F50" s="98"/>
      <c r="G50" s="98"/>
      <c r="H50" s="98"/>
      <c r="I50" s="98"/>
      <c r="J50" s="98"/>
      <c r="K50" s="98"/>
      <c r="L50" s="98"/>
      <c r="M50" s="98"/>
      <c r="N50" s="98"/>
      <c r="O50" s="98"/>
      <c r="P50" s="98"/>
      <c r="Q50" s="98"/>
      <c r="R50" s="98"/>
      <c r="S50" s="98"/>
      <c r="T50" s="98"/>
      <c r="U50" s="98"/>
      <c r="V50" s="98"/>
      <c r="W50" s="98"/>
      <c r="X50" s="98"/>
      <c r="Y50" s="98"/>
      <c r="Z50" s="98"/>
      <c r="AA50" s="98"/>
      <c r="AB50" s="98"/>
      <c r="AC50" s="98"/>
      <c r="AD50" s="98"/>
      <c r="AE50" s="98"/>
      <c r="AF50" s="98"/>
      <c r="AG50" s="98"/>
      <c r="AH50" s="98"/>
    </row>
    <row r="51" spans="1:34" ht="27" customHeight="1">
      <c r="A51" s="30"/>
      <c r="B51" s="794"/>
      <c r="C51" s="74" t="s">
        <v>184</v>
      </c>
      <c r="D51" s="72"/>
      <c r="E51" s="98"/>
      <c r="F51" s="98"/>
      <c r="G51" s="98"/>
      <c r="H51" s="98"/>
      <c r="I51" s="98"/>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row>
    <row r="52" spans="1:34" ht="27" customHeight="1">
      <c r="A52" s="30"/>
      <c r="B52" s="794"/>
      <c r="C52" s="74" t="s">
        <v>185</v>
      </c>
      <c r="D52" s="72"/>
      <c r="E52" s="98"/>
      <c r="F52" s="98"/>
      <c r="G52" s="98"/>
      <c r="H52" s="98"/>
      <c r="I52" s="98"/>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row>
    <row r="53" spans="1:34" ht="27" customHeight="1">
      <c r="A53" s="30"/>
      <c r="B53" s="794"/>
      <c r="C53" s="74" t="s">
        <v>186</v>
      </c>
      <c r="D53" s="72"/>
      <c r="E53" s="98"/>
      <c r="F53" s="98"/>
      <c r="G53" s="98"/>
      <c r="H53" s="98"/>
      <c r="I53" s="98"/>
      <c r="J53" s="98"/>
      <c r="K53" s="98"/>
      <c r="L53" s="98"/>
      <c r="M53" s="98"/>
      <c r="N53" s="98"/>
      <c r="O53" s="98"/>
      <c r="P53" s="98"/>
      <c r="Q53" s="98"/>
      <c r="R53" s="98"/>
      <c r="S53" s="98"/>
      <c r="T53" s="98"/>
      <c r="U53" s="98"/>
      <c r="V53" s="98"/>
      <c r="W53" s="98"/>
      <c r="X53" s="98"/>
      <c r="Y53" s="98"/>
      <c r="Z53" s="98"/>
      <c r="AA53" s="98"/>
      <c r="AB53" s="98"/>
      <c r="AC53" s="98"/>
      <c r="AD53" s="98"/>
      <c r="AE53" s="98"/>
      <c r="AF53" s="98"/>
      <c r="AG53" s="98"/>
      <c r="AH53" s="98"/>
    </row>
    <row r="54" spans="1:34" ht="27" customHeight="1">
      <c r="A54" s="30"/>
      <c r="B54" s="800">
        <v>7</v>
      </c>
      <c r="C54" s="795"/>
      <c r="D54" s="796"/>
      <c r="E54" s="97" t="str">
        <f>IFERROR(AVERAGE(E55:E61),"")</f>
        <v/>
      </c>
      <c r="F54" s="97" t="str">
        <f t="shared" ref="F54:AH54" si="6">IFERROR(AVERAGE(F55:F61),"")</f>
        <v/>
      </c>
      <c r="G54" s="97" t="str">
        <f t="shared" si="6"/>
        <v/>
      </c>
      <c r="H54" s="97" t="str">
        <f t="shared" si="6"/>
        <v/>
      </c>
      <c r="I54" s="97" t="str">
        <f t="shared" si="6"/>
        <v/>
      </c>
      <c r="J54" s="97" t="str">
        <f t="shared" si="6"/>
        <v/>
      </c>
      <c r="K54" s="97" t="str">
        <f t="shared" si="6"/>
        <v/>
      </c>
      <c r="L54" s="97" t="str">
        <f t="shared" si="6"/>
        <v/>
      </c>
      <c r="M54" s="97" t="str">
        <f t="shared" si="6"/>
        <v/>
      </c>
      <c r="N54" s="97" t="str">
        <f t="shared" si="6"/>
        <v/>
      </c>
      <c r="O54" s="97" t="str">
        <f t="shared" si="6"/>
        <v/>
      </c>
      <c r="P54" s="97" t="str">
        <f t="shared" si="6"/>
        <v/>
      </c>
      <c r="Q54" s="97" t="str">
        <f t="shared" si="6"/>
        <v/>
      </c>
      <c r="R54" s="97" t="str">
        <f t="shared" si="6"/>
        <v/>
      </c>
      <c r="S54" s="97" t="str">
        <f t="shared" si="6"/>
        <v/>
      </c>
      <c r="T54" s="97" t="str">
        <f t="shared" si="6"/>
        <v/>
      </c>
      <c r="U54" s="97" t="str">
        <f t="shared" si="6"/>
        <v/>
      </c>
      <c r="V54" s="97" t="str">
        <f t="shared" si="6"/>
        <v/>
      </c>
      <c r="W54" s="97" t="str">
        <f t="shared" si="6"/>
        <v/>
      </c>
      <c r="X54" s="97" t="str">
        <f t="shared" si="6"/>
        <v/>
      </c>
      <c r="Y54" s="97" t="str">
        <f t="shared" si="6"/>
        <v/>
      </c>
      <c r="Z54" s="97" t="str">
        <f t="shared" si="6"/>
        <v/>
      </c>
      <c r="AA54" s="97" t="str">
        <f t="shared" si="6"/>
        <v/>
      </c>
      <c r="AB54" s="97" t="str">
        <f t="shared" si="6"/>
        <v/>
      </c>
      <c r="AC54" s="97" t="str">
        <f t="shared" si="6"/>
        <v/>
      </c>
      <c r="AD54" s="97" t="str">
        <f t="shared" si="6"/>
        <v/>
      </c>
      <c r="AE54" s="97" t="str">
        <f t="shared" si="6"/>
        <v/>
      </c>
      <c r="AF54" s="97" t="str">
        <f t="shared" si="6"/>
        <v/>
      </c>
      <c r="AG54" s="97" t="str">
        <f t="shared" si="6"/>
        <v/>
      </c>
      <c r="AH54" s="97" t="str">
        <f t="shared" si="6"/>
        <v/>
      </c>
    </row>
    <row r="55" spans="1:34" ht="27" customHeight="1">
      <c r="A55" s="30"/>
      <c r="B55" s="801"/>
      <c r="C55" s="74" t="s">
        <v>187</v>
      </c>
      <c r="D55" s="72"/>
      <c r="E55" s="98"/>
      <c r="F55" s="98"/>
      <c r="G55" s="98"/>
      <c r="H55" s="98"/>
      <c r="I55" s="98"/>
      <c r="J55" s="98"/>
      <c r="K55" s="98"/>
      <c r="L55" s="98"/>
      <c r="M55" s="98"/>
      <c r="N55" s="98"/>
      <c r="O55" s="98"/>
      <c r="P55" s="98"/>
      <c r="Q55" s="98"/>
      <c r="R55" s="98"/>
      <c r="S55" s="98"/>
      <c r="T55" s="98"/>
      <c r="U55" s="98"/>
      <c r="V55" s="98"/>
      <c r="W55" s="98"/>
      <c r="X55" s="98"/>
      <c r="Y55" s="98"/>
      <c r="Z55" s="98"/>
      <c r="AA55" s="98"/>
      <c r="AB55" s="98"/>
      <c r="AC55" s="98"/>
      <c r="AD55" s="98"/>
      <c r="AE55" s="98"/>
      <c r="AF55" s="98"/>
      <c r="AG55" s="98"/>
      <c r="AH55" s="98"/>
    </row>
    <row r="56" spans="1:34" ht="27" customHeight="1">
      <c r="A56" s="30"/>
      <c r="B56" s="801"/>
      <c r="C56" s="74" t="s">
        <v>188</v>
      </c>
      <c r="D56" s="72"/>
      <c r="E56" s="98"/>
      <c r="F56" s="98"/>
      <c r="G56" s="98"/>
      <c r="H56" s="98"/>
      <c r="I56" s="98"/>
      <c r="J56" s="98"/>
      <c r="K56" s="98"/>
      <c r="L56" s="98"/>
      <c r="M56" s="98"/>
      <c r="N56" s="98"/>
      <c r="O56" s="98"/>
      <c r="P56" s="98"/>
      <c r="Q56" s="98"/>
      <c r="R56" s="98"/>
      <c r="S56" s="98"/>
      <c r="T56" s="98"/>
      <c r="U56" s="98"/>
      <c r="V56" s="98"/>
      <c r="W56" s="98"/>
      <c r="X56" s="98"/>
      <c r="Y56" s="98"/>
      <c r="Z56" s="98"/>
      <c r="AA56" s="98"/>
      <c r="AB56" s="98"/>
      <c r="AC56" s="98"/>
      <c r="AD56" s="98"/>
      <c r="AE56" s="98"/>
      <c r="AF56" s="98"/>
      <c r="AG56" s="98"/>
      <c r="AH56" s="98"/>
    </row>
    <row r="57" spans="1:34" ht="27" customHeight="1">
      <c r="A57" s="30"/>
      <c r="B57" s="801"/>
      <c r="C57" s="74" t="s">
        <v>189</v>
      </c>
      <c r="D57" s="72"/>
      <c r="E57" s="98"/>
      <c r="F57" s="98"/>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row>
    <row r="58" spans="1:34" ht="27" customHeight="1">
      <c r="A58" s="30"/>
      <c r="B58" s="801"/>
      <c r="C58" s="74" t="s">
        <v>190</v>
      </c>
      <c r="D58" s="72"/>
      <c r="E58" s="98"/>
      <c r="F58" s="98"/>
      <c r="G58" s="98"/>
      <c r="H58" s="98"/>
      <c r="I58" s="98"/>
      <c r="J58" s="98"/>
      <c r="K58" s="98"/>
      <c r="L58" s="98"/>
      <c r="M58" s="98"/>
      <c r="N58" s="98"/>
      <c r="O58" s="98"/>
      <c r="P58" s="98"/>
      <c r="Q58" s="98"/>
      <c r="R58" s="98"/>
      <c r="S58" s="98"/>
      <c r="T58" s="98"/>
      <c r="U58" s="98"/>
      <c r="V58" s="98"/>
      <c r="W58" s="98"/>
      <c r="X58" s="98"/>
      <c r="Y58" s="98"/>
      <c r="Z58" s="98"/>
      <c r="AA58" s="98"/>
      <c r="AB58" s="98"/>
      <c r="AC58" s="98"/>
      <c r="AD58" s="98"/>
      <c r="AE58" s="98"/>
      <c r="AF58" s="98"/>
      <c r="AG58" s="98"/>
      <c r="AH58" s="98"/>
    </row>
    <row r="59" spans="1:34" ht="27" customHeight="1">
      <c r="A59" s="30"/>
      <c r="B59" s="801"/>
      <c r="C59" s="74" t="s">
        <v>191</v>
      </c>
      <c r="D59" s="72"/>
      <c r="E59" s="98"/>
      <c r="F59" s="98"/>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F59" s="98"/>
      <c r="AG59" s="98"/>
      <c r="AH59" s="98"/>
    </row>
    <row r="60" spans="1:34" ht="27" customHeight="1">
      <c r="A60" s="30"/>
      <c r="B60" s="801"/>
      <c r="C60" s="74" t="s">
        <v>192</v>
      </c>
      <c r="D60" s="72"/>
      <c r="E60" s="98"/>
      <c r="F60" s="98"/>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F60" s="98"/>
      <c r="AG60" s="98"/>
      <c r="AH60" s="98"/>
    </row>
    <row r="61" spans="1:34" ht="27" customHeight="1">
      <c r="A61" s="30"/>
      <c r="B61" s="802"/>
      <c r="C61" s="74" t="s">
        <v>193</v>
      </c>
      <c r="D61" s="72"/>
      <c r="E61" s="98"/>
      <c r="F61" s="98"/>
      <c r="G61" s="98"/>
      <c r="H61" s="98"/>
      <c r="I61" s="98"/>
      <c r="J61" s="98"/>
      <c r="K61" s="98"/>
      <c r="L61" s="98"/>
      <c r="M61" s="98"/>
      <c r="N61" s="98"/>
      <c r="O61" s="98"/>
      <c r="P61" s="98"/>
      <c r="Q61" s="98"/>
      <c r="R61" s="98"/>
      <c r="S61" s="98"/>
      <c r="T61" s="98"/>
      <c r="U61" s="98"/>
      <c r="V61" s="98"/>
      <c r="W61" s="98"/>
      <c r="X61" s="98"/>
      <c r="Y61" s="98"/>
      <c r="Z61" s="98"/>
      <c r="AA61" s="98"/>
      <c r="AB61" s="98"/>
      <c r="AC61" s="98"/>
      <c r="AD61" s="98"/>
      <c r="AE61" s="98"/>
      <c r="AF61" s="98"/>
      <c r="AG61" s="98"/>
      <c r="AH61" s="98"/>
    </row>
    <row r="62" spans="1:34" ht="27" customHeight="1">
      <c r="A62" s="30"/>
      <c r="B62" s="800">
        <v>8</v>
      </c>
      <c r="C62" s="795"/>
      <c r="D62" s="796"/>
      <c r="E62" s="97" t="str">
        <f>IFERROR(AVERAGE(E63:E69),"")</f>
        <v/>
      </c>
      <c r="F62" s="97" t="str">
        <f t="shared" ref="F62:AH62" si="7">IFERROR(AVERAGE(F63:F69),"")</f>
        <v/>
      </c>
      <c r="G62" s="97" t="str">
        <f t="shared" si="7"/>
        <v/>
      </c>
      <c r="H62" s="97" t="str">
        <f t="shared" si="7"/>
        <v/>
      </c>
      <c r="I62" s="97" t="str">
        <f t="shared" si="7"/>
        <v/>
      </c>
      <c r="J62" s="97" t="str">
        <f t="shared" si="7"/>
        <v/>
      </c>
      <c r="K62" s="97" t="str">
        <f t="shared" si="7"/>
        <v/>
      </c>
      <c r="L62" s="97" t="str">
        <f t="shared" si="7"/>
        <v/>
      </c>
      <c r="M62" s="97" t="str">
        <f t="shared" si="7"/>
        <v/>
      </c>
      <c r="N62" s="97" t="str">
        <f t="shared" si="7"/>
        <v/>
      </c>
      <c r="O62" s="97" t="str">
        <f t="shared" si="7"/>
        <v/>
      </c>
      <c r="P62" s="97" t="str">
        <f t="shared" si="7"/>
        <v/>
      </c>
      <c r="Q62" s="97" t="str">
        <f t="shared" si="7"/>
        <v/>
      </c>
      <c r="R62" s="97" t="str">
        <f t="shared" si="7"/>
        <v/>
      </c>
      <c r="S62" s="97" t="str">
        <f t="shared" si="7"/>
        <v/>
      </c>
      <c r="T62" s="97" t="str">
        <f t="shared" si="7"/>
        <v/>
      </c>
      <c r="U62" s="97" t="str">
        <f t="shared" si="7"/>
        <v/>
      </c>
      <c r="V62" s="97" t="str">
        <f t="shared" si="7"/>
        <v/>
      </c>
      <c r="W62" s="97" t="str">
        <f t="shared" si="7"/>
        <v/>
      </c>
      <c r="X62" s="97" t="str">
        <f t="shared" si="7"/>
        <v/>
      </c>
      <c r="Y62" s="97" t="str">
        <f t="shared" si="7"/>
        <v/>
      </c>
      <c r="Z62" s="97" t="str">
        <f t="shared" si="7"/>
        <v/>
      </c>
      <c r="AA62" s="97" t="str">
        <f t="shared" si="7"/>
        <v/>
      </c>
      <c r="AB62" s="97" t="str">
        <f t="shared" si="7"/>
        <v/>
      </c>
      <c r="AC62" s="97" t="str">
        <f t="shared" si="7"/>
        <v/>
      </c>
      <c r="AD62" s="97" t="str">
        <f t="shared" si="7"/>
        <v/>
      </c>
      <c r="AE62" s="97" t="str">
        <f t="shared" si="7"/>
        <v/>
      </c>
      <c r="AF62" s="97" t="str">
        <f t="shared" si="7"/>
        <v/>
      </c>
      <c r="AG62" s="97" t="str">
        <f t="shared" si="7"/>
        <v/>
      </c>
      <c r="AH62" s="97" t="str">
        <f t="shared" si="7"/>
        <v/>
      </c>
    </row>
    <row r="63" spans="1:34" ht="27" customHeight="1">
      <c r="A63" s="30"/>
      <c r="B63" s="801"/>
      <c r="C63" s="74" t="s">
        <v>194</v>
      </c>
      <c r="D63" s="72"/>
      <c r="E63" s="98"/>
      <c r="F63" s="98"/>
      <c r="G63" s="98"/>
      <c r="H63" s="98"/>
      <c r="I63" s="98"/>
      <c r="J63" s="98"/>
      <c r="K63" s="98"/>
      <c r="L63" s="98"/>
      <c r="M63" s="98"/>
      <c r="N63" s="98"/>
      <c r="O63" s="98"/>
      <c r="P63" s="98"/>
      <c r="Q63" s="98"/>
      <c r="R63" s="98"/>
      <c r="S63" s="98"/>
      <c r="T63" s="98"/>
      <c r="U63" s="98"/>
      <c r="V63" s="98"/>
      <c r="W63" s="98"/>
      <c r="X63" s="98"/>
      <c r="Y63" s="98"/>
      <c r="Z63" s="98"/>
      <c r="AA63" s="98"/>
      <c r="AB63" s="98"/>
      <c r="AC63" s="98"/>
      <c r="AD63" s="98"/>
      <c r="AE63" s="98"/>
      <c r="AF63" s="98"/>
      <c r="AG63" s="98"/>
      <c r="AH63" s="98"/>
    </row>
    <row r="64" spans="1:34" ht="27" customHeight="1">
      <c r="A64" s="30"/>
      <c r="B64" s="801"/>
      <c r="C64" s="74" t="s">
        <v>195</v>
      </c>
      <c r="D64" s="72"/>
      <c r="E64" s="98"/>
      <c r="F64" s="98"/>
      <c r="G64" s="98"/>
      <c r="H64" s="98"/>
      <c r="I64" s="98"/>
      <c r="J64" s="98"/>
      <c r="K64" s="98"/>
      <c r="L64" s="98"/>
      <c r="M64" s="98"/>
      <c r="N64" s="98"/>
      <c r="O64" s="98"/>
      <c r="P64" s="98"/>
      <c r="Q64" s="98"/>
      <c r="R64" s="98"/>
      <c r="S64" s="98"/>
      <c r="T64" s="98"/>
      <c r="U64" s="98"/>
      <c r="V64" s="98"/>
      <c r="W64" s="98"/>
      <c r="X64" s="98"/>
      <c r="Y64" s="98"/>
      <c r="Z64" s="98"/>
      <c r="AA64" s="98"/>
      <c r="AB64" s="98"/>
      <c r="AC64" s="98"/>
      <c r="AD64" s="98"/>
      <c r="AE64" s="98"/>
      <c r="AF64" s="98"/>
      <c r="AG64" s="98"/>
      <c r="AH64" s="98"/>
    </row>
    <row r="65" spans="1:34" ht="27" customHeight="1">
      <c r="A65" s="30"/>
      <c r="B65" s="801"/>
      <c r="C65" s="74" t="s">
        <v>196</v>
      </c>
      <c r="D65" s="72"/>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row>
    <row r="66" spans="1:34" ht="27" customHeight="1">
      <c r="A66" s="30"/>
      <c r="B66" s="801"/>
      <c r="C66" s="74" t="s">
        <v>197</v>
      </c>
      <c r="D66" s="72"/>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row>
    <row r="67" spans="1:34" ht="27" customHeight="1">
      <c r="A67" s="30"/>
      <c r="B67" s="801"/>
      <c r="C67" s="74" t="s">
        <v>198</v>
      </c>
      <c r="D67" s="72"/>
      <c r="E67" s="98"/>
      <c r="F67" s="98"/>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row>
    <row r="68" spans="1:34" ht="27" customHeight="1">
      <c r="A68" s="30"/>
      <c r="B68" s="801"/>
      <c r="C68" s="74" t="s">
        <v>199</v>
      </c>
      <c r="D68" s="72"/>
      <c r="E68" s="98"/>
      <c r="F68" s="98"/>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row>
    <row r="69" spans="1:34" ht="27" customHeight="1">
      <c r="A69" s="30"/>
      <c r="B69" s="802"/>
      <c r="C69" s="74" t="s">
        <v>200</v>
      </c>
      <c r="D69" s="72"/>
      <c r="E69" s="98"/>
      <c r="F69" s="98"/>
      <c r="G69" s="98"/>
      <c r="H69" s="98"/>
      <c r="I69" s="98"/>
      <c r="J69" s="98"/>
      <c r="K69" s="98"/>
      <c r="L69" s="98"/>
      <c r="M69" s="98"/>
      <c r="N69" s="98"/>
      <c r="O69" s="98"/>
      <c r="P69" s="98"/>
      <c r="Q69" s="98"/>
      <c r="R69" s="98"/>
      <c r="S69" s="98"/>
      <c r="T69" s="98"/>
      <c r="U69" s="98"/>
      <c r="V69" s="98"/>
      <c r="W69" s="98"/>
      <c r="X69" s="98"/>
      <c r="Y69" s="98"/>
      <c r="Z69" s="98"/>
      <c r="AA69" s="98"/>
      <c r="AB69" s="98"/>
      <c r="AC69" s="98"/>
      <c r="AD69" s="98"/>
      <c r="AE69" s="98"/>
      <c r="AF69" s="98"/>
      <c r="AG69" s="98"/>
      <c r="AH69" s="98"/>
    </row>
    <row r="70" spans="1:34" ht="27" customHeight="1">
      <c r="A70" s="30"/>
      <c r="B70" s="794">
        <v>9</v>
      </c>
      <c r="C70" s="795"/>
      <c r="D70" s="796"/>
      <c r="E70" s="97" t="str">
        <f>IFERROR(AVERAGE(E71:E77),"")</f>
        <v/>
      </c>
      <c r="F70" s="97" t="str">
        <f t="shared" ref="F70:AH70" si="8">IFERROR(AVERAGE(F71:F77),"")</f>
        <v/>
      </c>
      <c r="G70" s="97" t="str">
        <f t="shared" si="8"/>
        <v/>
      </c>
      <c r="H70" s="97" t="str">
        <f t="shared" si="8"/>
        <v/>
      </c>
      <c r="I70" s="97" t="str">
        <f t="shared" si="8"/>
        <v/>
      </c>
      <c r="J70" s="97" t="str">
        <f t="shared" si="8"/>
        <v/>
      </c>
      <c r="K70" s="97" t="str">
        <f t="shared" si="8"/>
        <v/>
      </c>
      <c r="L70" s="97" t="str">
        <f t="shared" si="8"/>
        <v/>
      </c>
      <c r="M70" s="97" t="str">
        <f t="shared" si="8"/>
        <v/>
      </c>
      <c r="N70" s="97" t="str">
        <f t="shared" si="8"/>
        <v/>
      </c>
      <c r="O70" s="97" t="str">
        <f t="shared" si="8"/>
        <v/>
      </c>
      <c r="P70" s="97" t="str">
        <f t="shared" si="8"/>
        <v/>
      </c>
      <c r="Q70" s="97" t="str">
        <f t="shared" si="8"/>
        <v/>
      </c>
      <c r="R70" s="97" t="str">
        <f t="shared" si="8"/>
        <v/>
      </c>
      <c r="S70" s="97" t="str">
        <f t="shared" si="8"/>
        <v/>
      </c>
      <c r="T70" s="97" t="str">
        <f t="shared" si="8"/>
        <v/>
      </c>
      <c r="U70" s="97" t="str">
        <f t="shared" si="8"/>
        <v/>
      </c>
      <c r="V70" s="97" t="str">
        <f t="shared" si="8"/>
        <v/>
      </c>
      <c r="W70" s="97" t="str">
        <f t="shared" si="8"/>
        <v/>
      </c>
      <c r="X70" s="97" t="str">
        <f t="shared" si="8"/>
        <v/>
      </c>
      <c r="Y70" s="97" t="str">
        <f t="shared" si="8"/>
        <v/>
      </c>
      <c r="Z70" s="97" t="str">
        <f t="shared" si="8"/>
        <v/>
      </c>
      <c r="AA70" s="97" t="str">
        <f t="shared" si="8"/>
        <v/>
      </c>
      <c r="AB70" s="97" t="str">
        <f t="shared" si="8"/>
        <v/>
      </c>
      <c r="AC70" s="97" t="str">
        <f t="shared" si="8"/>
        <v/>
      </c>
      <c r="AD70" s="97" t="str">
        <f t="shared" si="8"/>
        <v/>
      </c>
      <c r="AE70" s="97" t="str">
        <f t="shared" si="8"/>
        <v/>
      </c>
      <c r="AF70" s="97" t="str">
        <f t="shared" si="8"/>
        <v/>
      </c>
      <c r="AG70" s="97" t="str">
        <f t="shared" si="8"/>
        <v/>
      </c>
      <c r="AH70" s="97" t="str">
        <f t="shared" si="8"/>
        <v/>
      </c>
    </row>
    <row r="71" spans="1:34" ht="27" customHeight="1">
      <c r="A71" s="30"/>
      <c r="B71" s="794"/>
      <c r="C71" s="74" t="s">
        <v>201</v>
      </c>
      <c r="D71" s="72"/>
      <c r="E71" s="98"/>
      <c r="F71" s="98"/>
      <c r="G71" s="98"/>
      <c r="H71" s="98"/>
      <c r="I71" s="98"/>
      <c r="J71" s="98"/>
      <c r="K71" s="98"/>
      <c r="L71" s="98"/>
      <c r="M71" s="98"/>
      <c r="N71" s="98"/>
      <c r="O71" s="98"/>
      <c r="P71" s="98"/>
      <c r="Q71" s="98"/>
      <c r="R71" s="98"/>
      <c r="S71" s="98"/>
      <c r="T71" s="98"/>
      <c r="U71" s="98"/>
      <c r="V71" s="98"/>
      <c r="W71" s="98"/>
      <c r="X71" s="98"/>
      <c r="Y71" s="98"/>
      <c r="Z71" s="98"/>
      <c r="AA71" s="98"/>
      <c r="AB71" s="98"/>
      <c r="AC71" s="98"/>
      <c r="AD71" s="98"/>
      <c r="AE71" s="98"/>
      <c r="AF71" s="98"/>
      <c r="AG71" s="98"/>
      <c r="AH71" s="98"/>
    </row>
    <row r="72" spans="1:34" ht="27" customHeight="1">
      <c r="A72" s="30"/>
      <c r="B72" s="794"/>
      <c r="C72" s="74" t="s">
        <v>202</v>
      </c>
      <c r="D72" s="72"/>
      <c r="E72" s="98"/>
      <c r="F72" s="98"/>
      <c r="G72" s="98"/>
      <c r="H72" s="98"/>
      <c r="I72" s="98"/>
      <c r="J72" s="98"/>
      <c r="K72" s="98"/>
      <c r="L72" s="98"/>
      <c r="M72" s="98"/>
      <c r="N72" s="98"/>
      <c r="O72" s="98"/>
      <c r="P72" s="98"/>
      <c r="Q72" s="98"/>
      <c r="R72" s="98"/>
      <c r="S72" s="98"/>
      <c r="T72" s="98"/>
      <c r="U72" s="98"/>
      <c r="V72" s="98"/>
      <c r="W72" s="98"/>
      <c r="X72" s="98"/>
      <c r="Y72" s="98"/>
      <c r="Z72" s="98"/>
      <c r="AA72" s="98"/>
      <c r="AB72" s="98"/>
      <c r="AC72" s="98"/>
      <c r="AD72" s="98"/>
      <c r="AE72" s="98"/>
      <c r="AF72" s="98"/>
      <c r="AG72" s="98"/>
      <c r="AH72" s="98"/>
    </row>
    <row r="73" spans="1:34" ht="27" customHeight="1">
      <c r="A73" s="30"/>
      <c r="B73" s="794"/>
      <c r="C73" s="74" t="s">
        <v>203</v>
      </c>
      <c r="D73" s="72"/>
      <c r="E73" s="98"/>
      <c r="F73" s="98"/>
      <c r="G73" s="98"/>
      <c r="H73" s="98"/>
      <c r="I73" s="98"/>
      <c r="J73" s="98"/>
      <c r="K73" s="98"/>
      <c r="L73" s="98"/>
      <c r="M73" s="98"/>
      <c r="N73" s="98"/>
      <c r="O73" s="98"/>
      <c r="P73" s="98"/>
      <c r="Q73" s="98"/>
      <c r="R73" s="98"/>
      <c r="S73" s="98"/>
      <c r="T73" s="98"/>
      <c r="U73" s="98"/>
      <c r="V73" s="98"/>
      <c r="W73" s="98"/>
      <c r="X73" s="98"/>
      <c r="Y73" s="98"/>
      <c r="Z73" s="98"/>
      <c r="AA73" s="98"/>
      <c r="AB73" s="98"/>
      <c r="AC73" s="98"/>
      <c r="AD73" s="98"/>
      <c r="AE73" s="98"/>
      <c r="AF73" s="98"/>
      <c r="AG73" s="98"/>
      <c r="AH73" s="98"/>
    </row>
    <row r="74" spans="1:34" ht="27" customHeight="1">
      <c r="A74" s="30"/>
      <c r="B74" s="794"/>
      <c r="C74" s="74" t="s">
        <v>204</v>
      </c>
      <c r="D74" s="72"/>
      <c r="E74" s="98"/>
      <c r="F74" s="98"/>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row>
    <row r="75" spans="1:34" ht="27" customHeight="1">
      <c r="A75" s="30"/>
      <c r="B75" s="794"/>
      <c r="C75" s="74" t="s">
        <v>205</v>
      </c>
      <c r="D75" s="72"/>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row>
    <row r="76" spans="1:34" ht="27" customHeight="1">
      <c r="A76" s="30"/>
      <c r="B76" s="794"/>
      <c r="C76" s="74" t="s">
        <v>206</v>
      </c>
      <c r="D76" s="72"/>
      <c r="E76" s="98"/>
      <c r="F76" s="98"/>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row>
    <row r="77" spans="1:34" ht="27" customHeight="1">
      <c r="A77" s="30"/>
      <c r="B77" s="794"/>
      <c r="C77" s="74" t="s">
        <v>207</v>
      </c>
      <c r="D77" s="72"/>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row>
    <row r="78" spans="1:34" ht="27" customHeight="1">
      <c r="A78" s="30"/>
      <c r="B78" s="800">
        <v>10</v>
      </c>
      <c r="C78" s="795"/>
      <c r="D78" s="796"/>
      <c r="E78" s="97" t="str">
        <f>IFERROR(AVERAGE(E79:E85),"")</f>
        <v/>
      </c>
      <c r="F78" s="97" t="str">
        <f t="shared" ref="F78:AH78" si="9">IFERROR(AVERAGE(F79:F85),"")</f>
        <v/>
      </c>
      <c r="G78" s="97" t="str">
        <f t="shared" si="9"/>
        <v/>
      </c>
      <c r="H78" s="97" t="str">
        <f t="shared" si="9"/>
        <v/>
      </c>
      <c r="I78" s="97" t="str">
        <f t="shared" si="9"/>
        <v/>
      </c>
      <c r="J78" s="97" t="str">
        <f t="shared" si="9"/>
        <v/>
      </c>
      <c r="K78" s="97" t="str">
        <f t="shared" si="9"/>
        <v/>
      </c>
      <c r="L78" s="97" t="str">
        <f t="shared" si="9"/>
        <v/>
      </c>
      <c r="M78" s="97" t="str">
        <f t="shared" si="9"/>
        <v/>
      </c>
      <c r="N78" s="97" t="str">
        <f t="shared" si="9"/>
        <v/>
      </c>
      <c r="O78" s="97" t="str">
        <f t="shared" si="9"/>
        <v/>
      </c>
      <c r="P78" s="97" t="str">
        <f t="shared" si="9"/>
        <v/>
      </c>
      <c r="Q78" s="97" t="str">
        <f t="shared" si="9"/>
        <v/>
      </c>
      <c r="R78" s="97" t="str">
        <f t="shared" si="9"/>
        <v/>
      </c>
      <c r="S78" s="97" t="str">
        <f t="shared" si="9"/>
        <v/>
      </c>
      <c r="T78" s="97" t="str">
        <f t="shared" si="9"/>
        <v/>
      </c>
      <c r="U78" s="97" t="str">
        <f t="shared" si="9"/>
        <v/>
      </c>
      <c r="V78" s="97" t="str">
        <f t="shared" si="9"/>
        <v/>
      </c>
      <c r="W78" s="97" t="str">
        <f t="shared" si="9"/>
        <v/>
      </c>
      <c r="X78" s="97" t="str">
        <f t="shared" si="9"/>
        <v/>
      </c>
      <c r="Y78" s="97" t="str">
        <f t="shared" si="9"/>
        <v/>
      </c>
      <c r="Z78" s="97" t="str">
        <f t="shared" si="9"/>
        <v/>
      </c>
      <c r="AA78" s="97" t="str">
        <f t="shared" si="9"/>
        <v/>
      </c>
      <c r="AB78" s="97" t="str">
        <f t="shared" si="9"/>
        <v/>
      </c>
      <c r="AC78" s="97" t="str">
        <f t="shared" si="9"/>
        <v/>
      </c>
      <c r="AD78" s="97" t="str">
        <f t="shared" si="9"/>
        <v/>
      </c>
      <c r="AE78" s="97" t="str">
        <f t="shared" si="9"/>
        <v/>
      </c>
      <c r="AF78" s="97" t="str">
        <f t="shared" si="9"/>
        <v/>
      </c>
      <c r="AG78" s="97" t="str">
        <f t="shared" si="9"/>
        <v/>
      </c>
      <c r="AH78" s="97" t="str">
        <f t="shared" si="9"/>
        <v/>
      </c>
    </row>
    <row r="79" spans="1:34" ht="27" customHeight="1">
      <c r="A79" s="30"/>
      <c r="B79" s="801"/>
      <c r="C79" s="74" t="s">
        <v>208</v>
      </c>
      <c r="D79" s="72"/>
      <c r="E79" s="98"/>
      <c r="F79" s="98"/>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row>
    <row r="80" spans="1:34" ht="27" customHeight="1">
      <c r="A80" s="30"/>
      <c r="B80" s="801"/>
      <c r="C80" s="74" t="s">
        <v>209</v>
      </c>
      <c r="D80" s="72"/>
      <c r="E80" s="98"/>
      <c r="F80" s="98"/>
      <c r="G80" s="98"/>
      <c r="H80" s="98"/>
      <c r="I80" s="98"/>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row>
    <row r="81" spans="1:34" ht="27" customHeight="1">
      <c r="A81" s="30"/>
      <c r="B81" s="801"/>
      <c r="C81" s="74" t="s">
        <v>210</v>
      </c>
      <c r="D81" s="72"/>
      <c r="E81" s="98"/>
      <c r="F81" s="98"/>
      <c r="G81" s="98"/>
      <c r="H81" s="98"/>
      <c r="I81" s="98"/>
      <c r="J81" s="98"/>
      <c r="K81" s="98"/>
      <c r="L81" s="98"/>
      <c r="M81" s="98"/>
      <c r="N81" s="98"/>
      <c r="O81" s="98"/>
      <c r="P81" s="98"/>
      <c r="Q81" s="98"/>
      <c r="R81" s="98"/>
      <c r="S81" s="98"/>
      <c r="T81" s="98"/>
      <c r="U81" s="98"/>
      <c r="V81" s="98"/>
      <c r="W81" s="98"/>
      <c r="X81" s="98"/>
      <c r="Y81" s="98"/>
      <c r="Z81" s="98"/>
      <c r="AA81" s="98"/>
      <c r="AB81" s="98"/>
      <c r="AC81" s="98"/>
      <c r="AD81" s="98"/>
      <c r="AE81" s="98"/>
      <c r="AF81" s="98"/>
      <c r="AG81" s="98"/>
      <c r="AH81" s="98"/>
    </row>
    <row r="82" spans="1:34" ht="27" customHeight="1">
      <c r="A82" s="30"/>
      <c r="B82" s="801"/>
      <c r="C82" s="74" t="s">
        <v>211</v>
      </c>
      <c r="D82" s="72"/>
      <c r="E82" s="98"/>
      <c r="F82" s="98"/>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row>
    <row r="83" spans="1:34" ht="27" customHeight="1">
      <c r="A83" s="30"/>
      <c r="B83" s="801"/>
      <c r="C83" s="74" t="s">
        <v>212</v>
      </c>
      <c r="D83" s="72"/>
      <c r="E83" s="98"/>
      <c r="F83" s="98"/>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row>
    <row r="84" spans="1:34" ht="27" customHeight="1">
      <c r="A84" s="30"/>
      <c r="B84" s="801"/>
      <c r="C84" s="74" t="s">
        <v>213</v>
      </c>
      <c r="D84" s="72"/>
      <c r="E84" s="98"/>
      <c r="F84" s="98"/>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row>
    <row r="85" spans="1:34" ht="27" customHeight="1">
      <c r="A85" s="30"/>
      <c r="B85" s="802"/>
      <c r="C85" s="74" t="s">
        <v>214</v>
      </c>
      <c r="D85" s="72"/>
      <c r="E85" s="98"/>
      <c r="F85" s="98"/>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row>
    <row r="86" spans="1:34" ht="27" customHeight="1">
      <c r="A86" s="30"/>
      <c r="B86" s="800">
        <v>11</v>
      </c>
      <c r="C86" s="795"/>
      <c r="D86" s="796"/>
      <c r="E86" s="97" t="str">
        <f>IFERROR(AVERAGE(E87:E93),"")</f>
        <v/>
      </c>
      <c r="F86" s="97" t="str">
        <f t="shared" ref="F86:AH86" si="10">IFERROR(AVERAGE(F87:F93),"")</f>
        <v/>
      </c>
      <c r="G86" s="97" t="str">
        <f t="shared" si="10"/>
        <v/>
      </c>
      <c r="H86" s="97" t="str">
        <f t="shared" si="10"/>
        <v/>
      </c>
      <c r="I86" s="97" t="str">
        <f t="shared" si="10"/>
        <v/>
      </c>
      <c r="J86" s="97" t="str">
        <f t="shared" si="10"/>
        <v/>
      </c>
      <c r="K86" s="97" t="str">
        <f t="shared" si="10"/>
        <v/>
      </c>
      <c r="L86" s="97" t="str">
        <f t="shared" si="10"/>
        <v/>
      </c>
      <c r="M86" s="97" t="str">
        <f t="shared" si="10"/>
        <v/>
      </c>
      <c r="N86" s="97" t="str">
        <f t="shared" si="10"/>
        <v/>
      </c>
      <c r="O86" s="97" t="str">
        <f t="shared" si="10"/>
        <v/>
      </c>
      <c r="P86" s="97" t="str">
        <f t="shared" si="10"/>
        <v/>
      </c>
      <c r="Q86" s="97" t="str">
        <f t="shared" si="10"/>
        <v/>
      </c>
      <c r="R86" s="97" t="str">
        <f t="shared" si="10"/>
        <v/>
      </c>
      <c r="S86" s="97" t="str">
        <f t="shared" si="10"/>
        <v/>
      </c>
      <c r="T86" s="97" t="str">
        <f t="shared" si="10"/>
        <v/>
      </c>
      <c r="U86" s="97" t="str">
        <f t="shared" si="10"/>
        <v/>
      </c>
      <c r="V86" s="97" t="str">
        <f t="shared" si="10"/>
        <v/>
      </c>
      <c r="W86" s="97" t="str">
        <f t="shared" si="10"/>
        <v/>
      </c>
      <c r="X86" s="97" t="str">
        <f t="shared" si="10"/>
        <v/>
      </c>
      <c r="Y86" s="97" t="str">
        <f t="shared" si="10"/>
        <v/>
      </c>
      <c r="Z86" s="97" t="str">
        <f t="shared" si="10"/>
        <v/>
      </c>
      <c r="AA86" s="97" t="str">
        <f t="shared" si="10"/>
        <v/>
      </c>
      <c r="AB86" s="97" t="str">
        <f t="shared" si="10"/>
        <v/>
      </c>
      <c r="AC86" s="97" t="str">
        <f t="shared" si="10"/>
        <v/>
      </c>
      <c r="AD86" s="97" t="str">
        <f t="shared" si="10"/>
        <v/>
      </c>
      <c r="AE86" s="97" t="str">
        <f t="shared" si="10"/>
        <v/>
      </c>
      <c r="AF86" s="97" t="str">
        <f t="shared" si="10"/>
        <v/>
      </c>
      <c r="AG86" s="97" t="str">
        <f t="shared" si="10"/>
        <v/>
      </c>
      <c r="AH86" s="97" t="str">
        <f t="shared" si="10"/>
        <v/>
      </c>
    </row>
    <row r="87" spans="1:34" ht="27" customHeight="1">
      <c r="A87" s="30"/>
      <c r="B87" s="801"/>
      <c r="C87" s="74" t="s">
        <v>215</v>
      </c>
      <c r="D87" s="72"/>
      <c r="E87" s="99"/>
      <c r="F87" s="99"/>
      <c r="G87" s="99"/>
      <c r="H87" s="99"/>
      <c r="I87" s="99"/>
      <c r="J87" s="99"/>
      <c r="K87" s="99"/>
      <c r="L87" s="99"/>
      <c r="M87" s="99"/>
      <c r="N87" s="99"/>
      <c r="O87" s="99"/>
      <c r="P87" s="99"/>
      <c r="Q87" s="99"/>
      <c r="R87" s="99"/>
      <c r="S87" s="99"/>
      <c r="T87" s="99"/>
      <c r="U87" s="99"/>
      <c r="V87" s="99"/>
      <c r="W87" s="99"/>
      <c r="X87" s="99"/>
      <c r="Y87" s="99"/>
      <c r="Z87" s="99"/>
      <c r="AA87" s="99"/>
      <c r="AB87" s="99"/>
      <c r="AC87" s="99"/>
      <c r="AD87" s="99"/>
      <c r="AE87" s="99"/>
      <c r="AF87" s="99"/>
      <c r="AG87" s="99"/>
      <c r="AH87" s="99"/>
    </row>
    <row r="88" spans="1:34" ht="27" customHeight="1">
      <c r="A88" s="30"/>
      <c r="B88" s="801"/>
      <c r="C88" s="74" t="s">
        <v>216</v>
      </c>
      <c r="D88" s="72"/>
      <c r="E88" s="98"/>
      <c r="F88" s="98"/>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row>
    <row r="89" spans="1:34" ht="27" customHeight="1">
      <c r="A89" s="30"/>
      <c r="B89" s="801"/>
      <c r="C89" s="74" t="s">
        <v>217</v>
      </c>
      <c r="D89" s="72"/>
      <c r="E89" s="98"/>
      <c r="F89" s="98"/>
      <c r="G89" s="98"/>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row>
    <row r="90" spans="1:34" ht="27" customHeight="1">
      <c r="A90" s="30"/>
      <c r="B90" s="801"/>
      <c r="C90" s="74" t="s">
        <v>218</v>
      </c>
      <c r="D90" s="72"/>
      <c r="E90" s="98"/>
      <c r="F90" s="98"/>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row>
    <row r="91" spans="1:34" ht="27" customHeight="1">
      <c r="A91" s="30"/>
      <c r="B91" s="801"/>
      <c r="C91" s="74" t="s">
        <v>219</v>
      </c>
      <c r="D91" s="72"/>
      <c r="E91" s="98"/>
      <c r="F91" s="98"/>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row>
    <row r="92" spans="1:34" ht="27" customHeight="1">
      <c r="A92" s="30"/>
      <c r="B92" s="801"/>
      <c r="C92" s="74" t="s">
        <v>220</v>
      </c>
      <c r="D92" s="72"/>
      <c r="E92" s="98"/>
      <c r="F92" s="98"/>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row>
    <row r="93" spans="1:34" ht="27" customHeight="1">
      <c r="A93" s="30"/>
      <c r="B93" s="802"/>
      <c r="C93" s="74" t="s">
        <v>221</v>
      </c>
      <c r="D93" s="72"/>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row>
    <row r="94" spans="1:34" ht="27" customHeight="1">
      <c r="A94" s="30"/>
      <c r="B94" s="800">
        <v>12</v>
      </c>
      <c r="C94" s="795"/>
      <c r="D94" s="796"/>
      <c r="E94" s="97" t="str">
        <f>IFERROR(AVERAGE(E95:E101),"")</f>
        <v/>
      </c>
      <c r="F94" s="97" t="str">
        <f t="shared" ref="F94:AH94" si="11">IFERROR(AVERAGE(F95:F101),"")</f>
        <v/>
      </c>
      <c r="G94" s="97" t="str">
        <f t="shared" si="11"/>
        <v/>
      </c>
      <c r="H94" s="97" t="str">
        <f t="shared" si="11"/>
        <v/>
      </c>
      <c r="I94" s="97" t="str">
        <f t="shared" si="11"/>
        <v/>
      </c>
      <c r="J94" s="97" t="str">
        <f t="shared" si="11"/>
        <v/>
      </c>
      <c r="K94" s="97" t="str">
        <f t="shared" si="11"/>
        <v/>
      </c>
      <c r="L94" s="97" t="str">
        <f t="shared" si="11"/>
        <v/>
      </c>
      <c r="M94" s="97" t="str">
        <f t="shared" si="11"/>
        <v/>
      </c>
      <c r="N94" s="97" t="str">
        <f t="shared" si="11"/>
        <v/>
      </c>
      <c r="O94" s="97" t="str">
        <f t="shared" si="11"/>
        <v/>
      </c>
      <c r="P94" s="97" t="str">
        <f t="shared" si="11"/>
        <v/>
      </c>
      <c r="Q94" s="97" t="str">
        <f t="shared" si="11"/>
        <v/>
      </c>
      <c r="R94" s="97" t="str">
        <f t="shared" si="11"/>
        <v/>
      </c>
      <c r="S94" s="97" t="str">
        <f t="shared" si="11"/>
        <v/>
      </c>
      <c r="T94" s="97" t="str">
        <f t="shared" si="11"/>
        <v/>
      </c>
      <c r="U94" s="97" t="str">
        <f t="shared" si="11"/>
        <v/>
      </c>
      <c r="V94" s="97" t="str">
        <f t="shared" si="11"/>
        <v/>
      </c>
      <c r="W94" s="97" t="str">
        <f t="shared" si="11"/>
        <v/>
      </c>
      <c r="X94" s="97" t="str">
        <f t="shared" si="11"/>
        <v/>
      </c>
      <c r="Y94" s="97" t="str">
        <f t="shared" si="11"/>
        <v/>
      </c>
      <c r="Z94" s="97" t="str">
        <f t="shared" si="11"/>
        <v/>
      </c>
      <c r="AA94" s="97" t="str">
        <f t="shared" si="11"/>
        <v/>
      </c>
      <c r="AB94" s="97" t="str">
        <f t="shared" si="11"/>
        <v/>
      </c>
      <c r="AC94" s="97" t="str">
        <f t="shared" si="11"/>
        <v/>
      </c>
      <c r="AD94" s="97" t="str">
        <f t="shared" si="11"/>
        <v/>
      </c>
      <c r="AE94" s="97" t="str">
        <f t="shared" si="11"/>
        <v/>
      </c>
      <c r="AF94" s="97" t="str">
        <f t="shared" si="11"/>
        <v/>
      </c>
      <c r="AG94" s="97" t="str">
        <f t="shared" si="11"/>
        <v/>
      </c>
      <c r="AH94" s="97" t="str">
        <f t="shared" si="11"/>
        <v/>
      </c>
    </row>
    <row r="95" spans="1:34" ht="27" customHeight="1">
      <c r="A95" s="30"/>
      <c r="B95" s="801"/>
      <c r="C95" s="74" t="s">
        <v>222</v>
      </c>
      <c r="D95" s="72"/>
      <c r="E95" s="98"/>
      <c r="F95" s="98"/>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row>
    <row r="96" spans="1:34" ht="27" customHeight="1">
      <c r="A96" s="30"/>
      <c r="B96" s="801"/>
      <c r="C96" s="74" t="s">
        <v>223</v>
      </c>
      <c r="D96" s="72"/>
      <c r="E96" s="98"/>
      <c r="F96" s="98"/>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row>
    <row r="97" spans="1:34" ht="27" customHeight="1">
      <c r="A97" s="30"/>
      <c r="B97" s="801"/>
      <c r="C97" s="74" t="s">
        <v>224</v>
      </c>
      <c r="D97" s="72"/>
      <c r="E97" s="98"/>
      <c r="F97" s="98"/>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row>
    <row r="98" spans="1:34" ht="27" customHeight="1">
      <c r="A98" s="30"/>
      <c r="B98" s="801"/>
      <c r="C98" s="74" t="s">
        <v>225</v>
      </c>
      <c r="D98" s="72"/>
      <c r="E98" s="98"/>
      <c r="F98" s="98"/>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row>
    <row r="99" spans="1:34" ht="27" customHeight="1">
      <c r="A99" s="30"/>
      <c r="B99" s="801"/>
      <c r="C99" s="74" t="s">
        <v>226</v>
      </c>
      <c r="D99" s="72"/>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row>
    <row r="100" spans="1:34" ht="27" customHeight="1">
      <c r="A100" s="30"/>
      <c r="B100" s="801"/>
      <c r="C100" s="74" t="s">
        <v>227</v>
      </c>
      <c r="D100" s="72"/>
      <c r="E100" s="98"/>
      <c r="F100" s="98"/>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row>
    <row r="101" spans="1:34" ht="27" customHeight="1">
      <c r="A101" s="30"/>
      <c r="B101" s="802"/>
      <c r="C101" s="74" t="s">
        <v>228</v>
      </c>
      <c r="D101" s="72"/>
      <c r="E101" s="98"/>
      <c r="F101" s="98"/>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row>
    <row r="102" spans="1:34" ht="27" customHeight="1">
      <c r="A102" s="30"/>
      <c r="B102" s="794">
        <v>13</v>
      </c>
      <c r="C102" s="795"/>
      <c r="D102" s="796"/>
      <c r="E102" s="97" t="str">
        <f>IFERROR(AVERAGE(E103:E109),"")</f>
        <v/>
      </c>
      <c r="F102" s="97" t="str">
        <f t="shared" ref="F102:AH102" si="12">IFERROR(AVERAGE(F103:F109),"")</f>
        <v/>
      </c>
      <c r="G102" s="97" t="str">
        <f t="shared" si="12"/>
        <v/>
      </c>
      <c r="H102" s="97" t="str">
        <f t="shared" si="12"/>
        <v/>
      </c>
      <c r="I102" s="97" t="str">
        <f t="shared" si="12"/>
        <v/>
      </c>
      <c r="J102" s="97" t="str">
        <f t="shared" si="12"/>
        <v/>
      </c>
      <c r="K102" s="97" t="str">
        <f t="shared" si="12"/>
        <v/>
      </c>
      <c r="L102" s="97" t="str">
        <f t="shared" si="12"/>
        <v/>
      </c>
      <c r="M102" s="97" t="str">
        <f t="shared" si="12"/>
        <v/>
      </c>
      <c r="N102" s="97" t="str">
        <f t="shared" si="12"/>
        <v/>
      </c>
      <c r="O102" s="97" t="str">
        <f t="shared" si="12"/>
        <v/>
      </c>
      <c r="P102" s="97" t="str">
        <f t="shared" si="12"/>
        <v/>
      </c>
      <c r="Q102" s="97" t="str">
        <f t="shared" si="12"/>
        <v/>
      </c>
      <c r="R102" s="97" t="str">
        <f t="shared" si="12"/>
        <v/>
      </c>
      <c r="S102" s="97" t="str">
        <f t="shared" si="12"/>
        <v/>
      </c>
      <c r="T102" s="97" t="str">
        <f t="shared" si="12"/>
        <v/>
      </c>
      <c r="U102" s="97" t="str">
        <f t="shared" si="12"/>
        <v/>
      </c>
      <c r="V102" s="97" t="str">
        <f t="shared" si="12"/>
        <v/>
      </c>
      <c r="W102" s="97" t="str">
        <f t="shared" si="12"/>
        <v/>
      </c>
      <c r="X102" s="97" t="str">
        <f t="shared" si="12"/>
        <v/>
      </c>
      <c r="Y102" s="97" t="str">
        <f t="shared" si="12"/>
        <v/>
      </c>
      <c r="Z102" s="97" t="str">
        <f t="shared" si="12"/>
        <v/>
      </c>
      <c r="AA102" s="97" t="str">
        <f t="shared" si="12"/>
        <v/>
      </c>
      <c r="AB102" s="97" t="str">
        <f t="shared" si="12"/>
        <v/>
      </c>
      <c r="AC102" s="97" t="str">
        <f t="shared" si="12"/>
        <v/>
      </c>
      <c r="AD102" s="97" t="str">
        <f t="shared" si="12"/>
        <v/>
      </c>
      <c r="AE102" s="97" t="str">
        <f t="shared" si="12"/>
        <v/>
      </c>
      <c r="AF102" s="97" t="str">
        <f t="shared" si="12"/>
        <v/>
      </c>
      <c r="AG102" s="97" t="str">
        <f t="shared" si="12"/>
        <v/>
      </c>
      <c r="AH102" s="97" t="str">
        <f t="shared" si="12"/>
        <v/>
      </c>
    </row>
    <row r="103" spans="1:34" ht="27" customHeight="1">
      <c r="A103" s="30"/>
      <c r="B103" s="794"/>
      <c r="C103" s="74" t="s">
        <v>229</v>
      </c>
      <c r="D103" s="72"/>
      <c r="E103" s="98"/>
      <c r="F103" s="98"/>
      <c r="G103" s="98"/>
      <c r="H103" s="98"/>
      <c r="I103" s="98"/>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row>
    <row r="104" spans="1:34" ht="27" customHeight="1">
      <c r="A104" s="30"/>
      <c r="B104" s="794"/>
      <c r="C104" s="74" t="s">
        <v>230</v>
      </c>
      <c r="D104" s="72"/>
      <c r="E104" s="98"/>
      <c r="F104" s="98"/>
      <c r="G104" s="98"/>
      <c r="H104" s="98"/>
      <c r="I104" s="98"/>
      <c r="J104" s="98"/>
      <c r="K104" s="98"/>
      <c r="L104" s="98"/>
      <c r="M104" s="98"/>
      <c r="N104" s="98"/>
      <c r="O104" s="98"/>
      <c r="P104" s="98"/>
      <c r="Q104" s="98"/>
      <c r="R104" s="98"/>
      <c r="S104" s="98"/>
      <c r="T104" s="98"/>
      <c r="U104" s="98"/>
      <c r="V104" s="98"/>
      <c r="W104" s="98"/>
      <c r="X104" s="98"/>
      <c r="Y104" s="98"/>
      <c r="Z104" s="98"/>
      <c r="AA104" s="98"/>
      <c r="AB104" s="98"/>
      <c r="AC104" s="98"/>
      <c r="AD104" s="98"/>
      <c r="AE104" s="98"/>
      <c r="AF104" s="98"/>
      <c r="AG104" s="98"/>
      <c r="AH104" s="98"/>
    </row>
    <row r="105" spans="1:34" ht="27" customHeight="1">
      <c r="A105" s="30"/>
      <c r="B105" s="794"/>
      <c r="C105" s="74" t="s">
        <v>231</v>
      </c>
      <c r="D105" s="72"/>
      <c r="E105" s="98"/>
      <c r="F105" s="98"/>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row>
    <row r="106" spans="1:34" ht="27" customHeight="1">
      <c r="A106" s="30"/>
      <c r="B106" s="794"/>
      <c r="C106" s="74" t="s">
        <v>232</v>
      </c>
      <c r="D106" s="72"/>
      <c r="E106" s="98"/>
      <c r="F106" s="98"/>
      <c r="G106" s="98"/>
      <c r="H106" s="98"/>
      <c r="I106" s="98"/>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row>
    <row r="107" spans="1:34" ht="27" customHeight="1">
      <c r="A107" s="30"/>
      <c r="B107" s="794"/>
      <c r="C107" s="74" t="s">
        <v>233</v>
      </c>
      <c r="D107" s="72"/>
      <c r="E107" s="98"/>
      <c r="F107" s="98"/>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row>
    <row r="108" spans="1:34" ht="27" customHeight="1">
      <c r="A108" s="30"/>
      <c r="B108" s="794"/>
      <c r="C108" s="74" t="s">
        <v>234</v>
      </c>
      <c r="D108" s="72"/>
      <c r="E108" s="98"/>
      <c r="F108" s="98"/>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row>
    <row r="109" spans="1:34" ht="27" customHeight="1">
      <c r="A109" s="30"/>
      <c r="B109" s="794"/>
      <c r="C109" s="74" t="s">
        <v>235</v>
      </c>
      <c r="D109" s="72"/>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row>
    <row r="110" spans="1:34" ht="27" customHeight="1">
      <c r="A110" s="30"/>
      <c r="B110" s="797" t="s">
        <v>143</v>
      </c>
      <c r="C110" s="798"/>
      <c r="D110" s="799"/>
      <c r="E110" s="100" t="str">
        <f>IFERROR(AVERAGE(E6,E14,E22,E30,E38,E46,E54,E62,E70,E78,E86,E94,E102),"")</f>
        <v/>
      </c>
      <c r="F110" s="100" t="str">
        <f t="shared" ref="F110:AH110" si="13">IFERROR(AVERAGE(F6,F14,F22,F30,F38,F46,F54,F62,F70,F78,F86,F94,F102),"")</f>
        <v/>
      </c>
      <c r="G110" s="100" t="str">
        <f t="shared" si="13"/>
        <v/>
      </c>
      <c r="H110" s="100" t="str">
        <f t="shared" si="13"/>
        <v/>
      </c>
      <c r="I110" s="100" t="str">
        <f t="shared" si="13"/>
        <v/>
      </c>
      <c r="J110" s="100" t="str">
        <f t="shared" si="13"/>
        <v/>
      </c>
      <c r="K110" s="100" t="str">
        <f t="shared" si="13"/>
        <v/>
      </c>
      <c r="L110" s="100" t="str">
        <f t="shared" si="13"/>
        <v/>
      </c>
      <c r="M110" s="100" t="str">
        <f t="shared" si="13"/>
        <v/>
      </c>
      <c r="N110" s="100" t="str">
        <f t="shared" si="13"/>
        <v/>
      </c>
      <c r="O110" s="100" t="str">
        <f t="shared" si="13"/>
        <v/>
      </c>
      <c r="P110" s="100" t="str">
        <f t="shared" si="13"/>
        <v/>
      </c>
      <c r="Q110" s="100" t="str">
        <f t="shared" si="13"/>
        <v/>
      </c>
      <c r="R110" s="100" t="str">
        <f t="shared" si="13"/>
        <v/>
      </c>
      <c r="S110" s="100" t="str">
        <f t="shared" si="13"/>
        <v/>
      </c>
      <c r="T110" s="100" t="str">
        <f t="shared" si="13"/>
        <v/>
      </c>
      <c r="U110" s="100" t="str">
        <f t="shared" si="13"/>
        <v/>
      </c>
      <c r="V110" s="100" t="str">
        <f t="shared" si="13"/>
        <v/>
      </c>
      <c r="W110" s="100" t="str">
        <f t="shared" si="13"/>
        <v/>
      </c>
      <c r="X110" s="100" t="str">
        <f t="shared" si="13"/>
        <v/>
      </c>
      <c r="Y110" s="100" t="str">
        <f t="shared" si="13"/>
        <v/>
      </c>
      <c r="Z110" s="100" t="str">
        <f t="shared" si="13"/>
        <v/>
      </c>
      <c r="AA110" s="100" t="str">
        <f t="shared" si="13"/>
        <v/>
      </c>
      <c r="AB110" s="100" t="str">
        <f t="shared" si="13"/>
        <v/>
      </c>
      <c r="AC110" s="100" t="str">
        <f t="shared" si="13"/>
        <v/>
      </c>
      <c r="AD110" s="100" t="str">
        <f t="shared" si="13"/>
        <v/>
      </c>
      <c r="AE110" s="100" t="str">
        <f t="shared" si="13"/>
        <v/>
      </c>
      <c r="AF110" s="100" t="str">
        <f t="shared" si="13"/>
        <v/>
      </c>
      <c r="AG110" s="100" t="str">
        <f t="shared" si="13"/>
        <v/>
      </c>
      <c r="AH110" s="100" t="str">
        <f t="shared" si="13"/>
        <v/>
      </c>
    </row>
    <row r="111" spans="1:34" hidden="1">
      <c r="B111" s="31"/>
      <c r="C111" s="31"/>
      <c r="D111" s="32"/>
    </row>
    <row r="112" spans="1:34" hidden="1">
      <c r="B112" s="31"/>
      <c r="C112" s="31"/>
      <c r="D112" s="32"/>
    </row>
    <row r="113" spans="2:4" hidden="1">
      <c r="B113" s="31"/>
      <c r="C113" s="31"/>
      <c r="D113" s="32"/>
    </row>
    <row r="114" spans="2:4" hidden="1">
      <c r="B114" s="31"/>
      <c r="C114" s="31"/>
      <c r="D114" s="32"/>
    </row>
    <row r="115" spans="2:4" hidden="1">
      <c r="B115" s="31"/>
      <c r="C115" s="31"/>
      <c r="D115" s="32"/>
    </row>
    <row r="116" spans="2:4" hidden="1">
      <c r="B116" s="31"/>
      <c r="C116" s="31"/>
      <c r="D116" s="32"/>
    </row>
    <row r="117" spans="2:4" hidden="1">
      <c r="B117" s="31"/>
      <c r="C117" s="31"/>
      <c r="D117" s="32"/>
    </row>
    <row r="118" spans="2:4" hidden="1">
      <c r="B118" s="31"/>
      <c r="C118" s="31"/>
      <c r="D118" s="32"/>
    </row>
    <row r="119" spans="2:4" hidden="1">
      <c r="B119" s="31"/>
      <c r="C119" s="31"/>
      <c r="D119" s="32"/>
    </row>
    <row r="120" spans="2:4" hidden="1">
      <c r="B120" s="31"/>
      <c r="C120" s="31"/>
      <c r="D120" s="32"/>
    </row>
    <row r="121" spans="2:4" hidden="1">
      <c r="B121" s="31"/>
      <c r="C121" s="31"/>
      <c r="D121" s="32"/>
    </row>
    <row r="122" spans="2:4" hidden="1">
      <c r="B122" s="31"/>
      <c r="C122" s="31"/>
      <c r="D122" s="32"/>
    </row>
    <row r="123" spans="2:4" hidden="1">
      <c r="B123" s="31"/>
      <c r="C123" s="31"/>
      <c r="D123" s="32"/>
    </row>
    <row r="124" spans="2:4" hidden="1">
      <c r="B124" s="31"/>
      <c r="C124" s="31"/>
      <c r="D124" s="32"/>
    </row>
    <row r="125" spans="2:4" hidden="1">
      <c r="B125" s="31"/>
      <c r="C125" s="31"/>
      <c r="D125" s="32"/>
    </row>
    <row r="126" spans="2:4" hidden="1">
      <c r="B126" s="31"/>
      <c r="C126" s="31"/>
      <c r="D126" s="32"/>
    </row>
    <row r="127" spans="2:4" hidden="1">
      <c r="B127" s="31"/>
      <c r="C127" s="31"/>
      <c r="D127" s="32"/>
    </row>
    <row r="128" spans="2:4" hidden="1">
      <c r="B128" s="31"/>
      <c r="C128" s="31"/>
      <c r="D128" s="32"/>
    </row>
    <row r="129" spans="2:4" hidden="1">
      <c r="B129" s="31"/>
      <c r="C129" s="31"/>
      <c r="D129" s="32"/>
    </row>
    <row r="130" spans="2:4" hidden="1">
      <c r="B130" s="31"/>
      <c r="C130" s="31"/>
      <c r="D130" s="32"/>
    </row>
    <row r="131" spans="2:4" hidden="1">
      <c r="B131" s="31"/>
      <c r="C131" s="31"/>
      <c r="D131" s="32"/>
    </row>
    <row r="132" spans="2:4" hidden="1">
      <c r="B132" s="31"/>
      <c r="C132" s="31"/>
      <c r="D132" s="32"/>
    </row>
    <row r="133" spans="2:4" hidden="1">
      <c r="B133" s="31"/>
      <c r="C133" s="31"/>
      <c r="D133" s="32"/>
    </row>
    <row r="134" spans="2:4" hidden="1">
      <c r="B134" s="31"/>
      <c r="C134" s="31"/>
      <c r="D134" s="32"/>
    </row>
    <row r="135" spans="2:4" hidden="1">
      <c r="B135" s="31"/>
      <c r="C135" s="31"/>
      <c r="D135" s="32"/>
    </row>
    <row r="136" spans="2:4" hidden="1">
      <c r="B136" s="31"/>
      <c r="C136" s="31"/>
      <c r="D136" s="32"/>
    </row>
    <row r="137" spans="2:4" hidden="1">
      <c r="B137" s="31"/>
      <c r="C137" s="31"/>
      <c r="D137" s="32"/>
    </row>
    <row r="138" spans="2:4" hidden="1">
      <c r="B138" s="31"/>
      <c r="C138" s="31"/>
      <c r="D138" s="32"/>
    </row>
    <row r="139" spans="2:4" hidden="1">
      <c r="B139" s="31"/>
      <c r="C139" s="31"/>
      <c r="D139" s="32"/>
    </row>
    <row r="140" spans="2:4" hidden="1">
      <c r="B140" s="31"/>
      <c r="C140" s="31"/>
      <c r="D140" s="32"/>
    </row>
    <row r="141" spans="2:4" hidden="1">
      <c r="B141" s="31"/>
      <c r="C141" s="31"/>
      <c r="D141" s="32"/>
    </row>
    <row r="142" spans="2:4" hidden="1">
      <c r="B142" s="31"/>
      <c r="C142" s="31"/>
      <c r="D142" s="32"/>
    </row>
    <row r="143" spans="2:4" hidden="1">
      <c r="B143" s="31"/>
      <c r="C143" s="31"/>
      <c r="D143" s="32"/>
    </row>
    <row r="144" spans="2:4" hidden="1">
      <c r="B144" s="31"/>
      <c r="C144" s="31"/>
      <c r="D144" s="32"/>
    </row>
    <row r="145" spans="2:4" hidden="1">
      <c r="B145" s="31"/>
      <c r="C145" s="31"/>
      <c r="D145" s="32"/>
    </row>
    <row r="146" spans="2:4" hidden="1">
      <c r="B146" s="31"/>
      <c r="C146" s="31"/>
      <c r="D146" s="32"/>
    </row>
    <row r="147" spans="2:4" hidden="1">
      <c r="B147" s="31"/>
      <c r="C147" s="31"/>
      <c r="D147" s="32"/>
    </row>
    <row r="148" spans="2:4" hidden="1">
      <c r="B148" s="31"/>
      <c r="C148" s="31"/>
      <c r="D148" s="32"/>
    </row>
    <row r="149" spans="2:4" hidden="1">
      <c r="B149" s="31"/>
      <c r="C149" s="31"/>
      <c r="D149" s="32"/>
    </row>
    <row r="150" spans="2:4" hidden="1">
      <c r="B150" s="31"/>
      <c r="C150" s="31"/>
      <c r="D150" s="32"/>
    </row>
    <row r="151" spans="2:4" hidden="1">
      <c r="B151" s="31"/>
      <c r="C151" s="31"/>
      <c r="D151" s="32"/>
    </row>
    <row r="152" spans="2:4" hidden="1">
      <c r="B152" s="31"/>
      <c r="C152" s="31"/>
      <c r="D152" s="32"/>
    </row>
    <row r="153" spans="2:4" hidden="1">
      <c r="B153" s="31"/>
      <c r="C153" s="31"/>
      <c r="D153" s="32"/>
    </row>
    <row r="154" spans="2:4" hidden="1">
      <c r="B154" s="31"/>
      <c r="C154" s="31"/>
      <c r="D154" s="32"/>
    </row>
    <row r="155" spans="2:4" hidden="1">
      <c r="B155" s="31"/>
      <c r="C155" s="31"/>
      <c r="D155" s="32"/>
    </row>
    <row r="156" spans="2:4" hidden="1">
      <c r="B156" s="31"/>
      <c r="C156" s="31"/>
      <c r="D156" s="32"/>
    </row>
    <row r="157" spans="2:4" hidden="1">
      <c r="B157" s="31"/>
      <c r="C157" s="31"/>
      <c r="D157" s="32"/>
    </row>
    <row r="158" spans="2:4" hidden="1">
      <c r="B158" s="31"/>
      <c r="C158" s="31"/>
      <c r="D158" s="32"/>
    </row>
    <row r="159" spans="2:4" hidden="1">
      <c r="B159" s="31"/>
      <c r="C159" s="31"/>
      <c r="D159" s="32"/>
    </row>
    <row r="160" spans="2:4" hidden="1">
      <c r="B160" s="31"/>
      <c r="C160" s="31"/>
      <c r="D160" s="32"/>
    </row>
    <row r="161" spans="2:4" hidden="1">
      <c r="B161" s="31"/>
      <c r="C161" s="31"/>
      <c r="D161" s="32"/>
    </row>
    <row r="162" spans="2:4" hidden="1">
      <c r="B162" s="31"/>
      <c r="C162" s="31"/>
      <c r="D162" s="32"/>
    </row>
    <row r="163" spans="2:4" hidden="1">
      <c r="B163" s="31"/>
      <c r="C163" s="31"/>
      <c r="D163" s="32"/>
    </row>
    <row r="164" spans="2:4" hidden="1">
      <c r="B164" s="31"/>
      <c r="C164" s="31"/>
      <c r="D164" s="32"/>
    </row>
    <row r="165" spans="2:4" hidden="1">
      <c r="B165" s="31"/>
      <c r="C165" s="31"/>
      <c r="D165" s="32"/>
    </row>
    <row r="166" spans="2:4" hidden="1">
      <c r="B166" s="31"/>
      <c r="C166" s="31"/>
      <c r="D166" s="32"/>
    </row>
    <row r="167" spans="2:4" hidden="1">
      <c r="B167" s="31"/>
      <c r="C167" s="31"/>
      <c r="D167" s="32"/>
    </row>
    <row r="168" spans="2:4" hidden="1">
      <c r="B168" s="31"/>
      <c r="C168" s="31"/>
      <c r="D168" s="32"/>
    </row>
    <row r="169" spans="2:4" hidden="1">
      <c r="B169" s="31"/>
      <c r="C169" s="31"/>
      <c r="D169" s="32"/>
    </row>
    <row r="170" spans="2:4" hidden="1">
      <c r="B170" s="31"/>
      <c r="C170" s="31"/>
      <c r="D170" s="32"/>
    </row>
  </sheetData>
  <mergeCells count="33">
    <mergeCell ref="A1:AH2"/>
    <mergeCell ref="B3:D3"/>
    <mergeCell ref="B4:B5"/>
    <mergeCell ref="C4:C5"/>
    <mergeCell ref="D4:D5"/>
    <mergeCell ref="E4:AH4"/>
    <mergeCell ref="B6:B13"/>
    <mergeCell ref="C6:D6"/>
    <mergeCell ref="B14:B21"/>
    <mergeCell ref="C14:D14"/>
    <mergeCell ref="B22:B29"/>
    <mergeCell ref="C22:D22"/>
    <mergeCell ref="B30:B37"/>
    <mergeCell ref="C30:D30"/>
    <mergeCell ref="B38:B45"/>
    <mergeCell ref="C38:D38"/>
    <mergeCell ref="B46:B53"/>
    <mergeCell ref="C46:D46"/>
    <mergeCell ref="B54:B61"/>
    <mergeCell ref="C54:D54"/>
    <mergeCell ref="B62:B69"/>
    <mergeCell ref="C62:D62"/>
    <mergeCell ref="B70:B77"/>
    <mergeCell ref="C70:D70"/>
    <mergeCell ref="B102:B109"/>
    <mergeCell ref="C102:D102"/>
    <mergeCell ref="B110:D110"/>
    <mergeCell ref="B78:B85"/>
    <mergeCell ref="C78:D78"/>
    <mergeCell ref="B86:B93"/>
    <mergeCell ref="C86:D86"/>
    <mergeCell ref="B94:B101"/>
    <mergeCell ref="C94:D94"/>
  </mergeCells>
  <pageMargins left="0.7" right="0.7" top="0.75" bottom="0.75" header="0.3" footer="0.3"/>
  <pageSetup paperSize="9" orientation="portrait" horizontalDpi="4294967293"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42"/>
  <dimension ref="A1:CH38"/>
  <sheetViews>
    <sheetView showGridLines="0" zoomScale="130" zoomScaleNormal="130" workbookViewId="0">
      <pane xSplit="3" ySplit="8" topLeftCell="D9" activePane="bottomRight" state="frozen"/>
      <selection pane="topRight" activeCell="D1" sqref="D1"/>
      <selection pane="bottomLeft" activeCell="A9" sqref="A9"/>
      <selection pane="bottomRight" activeCell="D5" sqref="D5:W5"/>
    </sheetView>
  </sheetViews>
  <sheetFormatPr defaultColWidth="0" defaultRowHeight="15" customHeight="1" zeroHeight="1"/>
  <cols>
    <col min="1" max="1" width="3.140625" style="76" customWidth="1"/>
    <col min="2" max="2" width="32.28515625" style="76" customWidth="1"/>
    <col min="3" max="3" width="6.42578125" style="76" customWidth="1"/>
    <col min="4" max="4" width="5.42578125" style="78" customWidth="1"/>
    <col min="5" max="8" width="5.28515625" style="78" customWidth="1"/>
    <col min="9" max="9" width="5.42578125" style="78" customWidth="1"/>
    <col min="10" max="68" width="5.28515625" style="78" customWidth="1"/>
    <col min="69" max="72" width="5.28515625" style="167" customWidth="1"/>
    <col min="73" max="83" width="5.28515625" style="78" customWidth="1"/>
    <col min="84" max="85" width="5.28515625" style="76" customWidth="1"/>
    <col min="86" max="86" width="1" style="76" customWidth="1"/>
    <col min="87" max="16384" width="9.140625" style="76" hidden="1"/>
  </cols>
  <sheetData>
    <row r="1" spans="1:86" ht="15" customHeight="1">
      <c r="A1" s="880" t="s">
        <v>249</v>
      </c>
      <c r="B1" s="880"/>
      <c r="C1" s="880"/>
      <c r="D1" s="176"/>
      <c r="E1" s="176"/>
      <c r="F1" s="176"/>
      <c r="G1" s="176"/>
      <c r="H1" s="176"/>
      <c r="I1" s="176"/>
      <c r="J1" s="176"/>
      <c r="K1" s="176"/>
      <c r="L1" s="176"/>
      <c r="M1" s="176"/>
      <c r="N1" s="176"/>
      <c r="O1" s="176"/>
      <c r="P1" s="176"/>
      <c r="Q1" s="176"/>
      <c r="R1" s="176"/>
      <c r="S1" s="176"/>
      <c r="T1" s="176"/>
      <c r="U1" s="176"/>
      <c r="V1" s="176"/>
      <c r="W1" s="176"/>
      <c r="X1" s="176"/>
      <c r="Y1" s="176"/>
      <c r="Z1" s="176"/>
      <c r="AA1" s="176"/>
      <c r="AB1" s="176"/>
      <c r="AC1" s="176"/>
      <c r="AD1" s="176"/>
      <c r="AE1" s="176"/>
      <c r="AF1" s="176"/>
      <c r="AG1" s="176"/>
      <c r="AH1" s="176"/>
      <c r="AI1" s="176"/>
      <c r="AJ1" s="176"/>
      <c r="AK1" s="176"/>
      <c r="AL1" s="176"/>
      <c r="AM1" s="176"/>
      <c r="AN1" s="176"/>
      <c r="AO1" s="176"/>
      <c r="AP1" s="176"/>
      <c r="AQ1" s="176"/>
      <c r="AR1" s="176"/>
      <c r="AS1" s="176"/>
      <c r="AT1" s="176"/>
      <c r="AU1" s="176"/>
      <c r="AV1" s="176"/>
      <c r="AW1" s="176"/>
      <c r="AX1" s="176"/>
      <c r="AY1" s="176"/>
      <c r="AZ1" s="176"/>
      <c r="BA1" s="176"/>
      <c r="BB1" s="176"/>
      <c r="BC1" s="176"/>
      <c r="BD1" s="176"/>
      <c r="BE1" s="176"/>
      <c r="BF1" s="176"/>
      <c r="BG1" s="176"/>
      <c r="BH1" s="176"/>
      <c r="BI1" s="176"/>
      <c r="BJ1" s="176"/>
      <c r="BK1" s="176"/>
      <c r="BL1" s="176"/>
      <c r="BM1" s="176"/>
      <c r="BN1" s="176"/>
      <c r="BO1" s="176"/>
      <c r="BP1" s="176"/>
      <c r="BQ1" s="176"/>
      <c r="BR1" s="176"/>
      <c r="BS1" s="176"/>
      <c r="BT1" s="176"/>
      <c r="BU1" s="176"/>
      <c r="BV1" s="176"/>
      <c r="BW1" s="176"/>
      <c r="BX1" s="176"/>
      <c r="BY1" s="176"/>
      <c r="BZ1" s="176"/>
      <c r="CA1" s="176"/>
      <c r="CB1" s="176"/>
      <c r="CC1" s="176"/>
      <c r="CD1" s="176"/>
      <c r="CE1" s="176"/>
      <c r="CF1" s="176"/>
      <c r="CG1" s="176"/>
      <c r="CH1" s="176"/>
    </row>
    <row r="2" spans="1:86" ht="15" customHeight="1">
      <c r="A2" s="880"/>
      <c r="B2" s="880"/>
      <c r="C2" s="880"/>
      <c r="D2" s="176"/>
      <c r="E2" s="176"/>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c r="AS2" s="176"/>
      <c r="AT2" s="176"/>
      <c r="AU2" s="176"/>
      <c r="AV2" s="176"/>
      <c r="AW2" s="176"/>
      <c r="AX2" s="176"/>
      <c r="AY2" s="176"/>
      <c r="AZ2" s="176"/>
      <c r="BA2" s="176"/>
      <c r="BB2" s="176"/>
      <c r="BC2" s="176"/>
      <c r="BD2" s="176"/>
      <c r="BE2" s="176"/>
      <c r="BF2" s="176"/>
      <c r="BG2" s="176"/>
      <c r="BH2" s="176"/>
      <c r="BI2" s="176"/>
      <c r="BJ2" s="176"/>
      <c r="BK2" s="176"/>
      <c r="BL2" s="176"/>
      <c r="BM2" s="176"/>
      <c r="BN2" s="176"/>
      <c r="BO2" s="176"/>
      <c r="BP2" s="176"/>
      <c r="BQ2" s="176"/>
      <c r="BR2" s="176"/>
      <c r="BS2" s="176"/>
      <c r="BT2" s="176"/>
      <c r="BU2" s="176"/>
      <c r="BV2" s="176"/>
      <c r="BW2" s="176"/>
      <c r="BX2" s="176"/>
      <c r="BY2" s="176"/>
      <c r="BZ2" s="176"/>
      <c r="CA2" s="176"/>
      <c r="CB2" s="176"/>
      <c r="CC2" s="176"/>
      <c r="CD2" s="176"/>
      <c r="CE2" s="176"/>
      <c r="CF2" s="176"/>
      <c r="CG2" s="176"/>
      <c r="CH2" s="176"/>
    </row>
    <row r="3" spans="1:86" ht="4.5" customHeight="1">
      <c r="D3" s="76"/>
      <c r="E3" s="76"/>
      <c r="F3" s="76"/>
      <c r="G3" s="76"/>
      <c r="H3" s="76"/>
      <c r="I3" s="76"/>
      <c r="J3" s="76"/>
      <c r="K3" s="76"/>
      <c r="L3" s="76"/>
      <c r="M3" s="76"/>
      <c r="N3" s="76"/>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c r="BR3" s="76"/>
      <c r="BS3" s="76"/>
      <c r="BT3" s="76"/>
      <c r="BU3" s="76"/>
      <c r="BV3" s="76"/>
      <c r="BW3" s="76"/>
      <c r="BX3" s="76"/>
      <c r="BY3" s="76"/>
      <c r="BZ3" s="76"/>
      <c r="CA3" s="76"/>
      <c r="CB3" s="76"/>
      <c r="CC3" s="76"/>
      <c r="CD3" s="76"/>
      <c r="CE3" s="76"/>
    </row>
    <row r="4" spans="1:86" ht="3" customHeight="1">
      <c r="A4" s="787"/>
      <c r="B4" s="787"/>
      <c r="C4" s="787"/>
      <c r="D4" s="787"/>
      <c r="E4" s="787"/>
      <c r="F4" s="787"/>
      <c r="G4" s="787"/>
      <c r="H4" s="787"/>
      <c r="I4" s="787"/>
      <c r="J4" s="787"/>
      <c r="K4" s="787"/>
      <c r="L4" s="787"/>
      <c r="M4" s="787"/>
      <c r="N4" s="787"/>
      <c r="O4" s="787"/>
      <c r="P4" s="787"/>
      <c r="Q4" s="787"/>
      <c r="R4" s="787"/>
      <c r="S4" s="787"/>
      <c r="T4" s="787"/>
      <c r="U4" s="787"/>
      <c r="V4" s="787"/>
      <c r="W4" s="787"/>
      <c r="X4" s="787"/>
      <c r="Y4" s="787"/>
      <c r="Z4" s="787"/>
      <c r="AA4" s="787"/>
      <c r="AB4" s="787"/>
      <c r="AC4" s="787"/>
      <c r="AD4" s="787"/>
      <c r="AE4" s="787"/>
      <c r="AF4" s="787"/>
      <c r="AG4" s="787"/>
      <c r="AH4" s="787"/>
      <c r="AI4" s="787"/>
      <c r="AJ4" s="787"/>
      <c r="AK4" s="787"/>
      <c r="AL4" s="787"/>
      <c r="AM4" s="787"/>
      <c r="AN4" s="787"/>
      <c r="AO4" s="787"/>
      <c r="AP4" s="787"/>
      <c r="AQ4" s="787"/>
      <c r="AR4" s="787"/>
      <c r="AS4" s="787"/>
      <c r="AT4" s="787"/>
      <c r="AU4" s="787"/>
      <c r="AV4" s="787"/>
      <c r="AW4" s="787"/>
      <c r="AX4" s="787"/>
      <c r="AY4" s="787"/>
      <c r="AZ4" s="787"/>
      <c r="BA4" s="787"/>
      <c r="BB4" s="787"/>
      <c r="BC4" s="787"/>
      <c r="BD4" s="787"/>
      <c r="BE4" s="787"/>
      <c r="BF4" s="787"/>
      <c r="BG4" s="787"/>
      <c r="BH4" s="787"/>
      <c r="BI4" s="787"/>
      <c r="BJ4" s="787"/>
      <c r="BK4" s="787"/>
      <c r="BL4" s="787"/>
      <c r="BM4" s="787"/>
      <c r="BN4" s="787"/>
      <c r="BO4" s="787"/>
      <c r="BP4" s="787"/>
      <c r="BQ4" s="787"/>
      <c r="BR4" s="787"/>
      <c r="BS4" s="787"/>
      <c r="BT4" s="787"/>
      <c r="BU4" s="787"/>
      <c r="BV4" s="787"/>
      <c r="BW4" s="787"/>
      <c r="BX4" s="787"/>
      <c r="BY4" s="787"/>
      <c r="BZ4" s="787"/>
      <c r="CA4" s="787"/>
      <c r="CB4" s="787"/>
      <c r="CC4" s="787"/>
      <c r="CD4" s="787"/>
      <c r="CE4" s="787"/>
      <c r="CF4" s="787"/>
      <c r="CG4" s="787"/>
    </row>
    <row r="5" spans="1:86" ht="15" customHeight="1">
      <c r="A5" s="865" t="s">
        <v>5</v>
      </c>
      <c r="B5" s="865" t="s">
        <v>57</v>
      </c>
      <c r="C5" s="865" t="s">
        <v>7</v>
      </c>
      <c r="D5" s="884" t="s">
        <v>74</v>
      </c>
      <c r="E5" s="885"/>
      <c r="F5" s="885"/>
      <c r="G5" s="885"/>
      <c r="H5" s="885"/>
      <c r="I5" s="885"/>
      <c r="J5" s="885"/>
      <c r="K5" s="885"/>
      <c r="L5" s="885"/>
      <c r="M5" s="885"/>
      <c r="N5" s="885"/>
      <c r="O5" s="885"/>
      <c r="P5" s="885"/>
      <c r="Q5" s="885"/>
      <c r="R5" s="885"/>
      <c r="S5" s="885"/>
      <c r="T5" s="885"/>
      <c r="U5" s="885"/>
      <c r="V5" s="885"/>
      <c r="W5" s="886"/>
      <c r="X5" s="871" t="s">
        <v>78</v>
      </c>
      <c r="Y5" s="872"/>
      <c r="Z5" s="872"/>
      <c r="AA5" s="872"/>
      <c r="AB5" s="872"/>
      <c r="AC5" s="872"/>
      <c r="AD5" s="872"/>
      <c r="AE5" s="872"/>
      <c r="AF5" s="872"/>
      <c r="AG5" s="872"/>
      <c r="AH5" s="872"/>
      <c r="AI5" s="872"/>
      <c r="AJ5" s="872"/>
      <c r="AK5" s="872"/>
      <c r="AL5" s="872"/>
      <c r="AM5" s="872"/>
      <c r="AN5" s="872"/>
      <c r="AO5" s="872"/>
      <c r="AP5" s="872"/>
      <c r="AQ5" s="872"/>
      <c r="AR5" s="872"/>
      <c r="AS5" s="872"/>
      <c r="AT5" s="872"/>
      <c r="AU5" s="872"/>
      <c r="AV5" s="872"/>
      <c r="AW5" s="872"/>
      <c r="AX5" s="872"/>
      <c r="AY5" s="872"/>
      <c r="AZ5" s="872"/>
      <c r="BA5" s="872"/>
      <c r="BB5" s="872"/>
      <c r="BC5" s="872"/>
      <c r="BD5" s="872"/>
      <c r="BE5" s="872"/>
      <c r="BF5" s="872"/>
      <c r="BG5" s="872"/>
      <c r="BH5" s="872"/>
      <c r="BI5" s="872"/>
      <c r="BJ5" s="872"/>
      <c r="BK5" s="873"/>
      <c r="BL5" s="874" t="s">
        <v>79</v>
      </c>
      <c r="BM5" s="875"/>
      <c r="BN5" s="875"/>
      <c r="BO5" s="875"/>
      <c r="BP5" s="875"/>
      <c r="BQ5" s="875"/>
      <c r="BR5" s="875"/>
      <c r="BS5" s="875"/>
      <c r="BT5" s="875"/>
      <c r="BU5" s="875"/>
      <c r="BV5" s="875"/>
      <c r="BW5" s="875"/>
      <c r="BX5" s="875"/>
      <c r="BY5" s="875"/>
      <c r="BZ5" s="875"/>
      <c r="CA5" s="875"/>
      <c r="CB5" s="875"/>
      <c r="CC5" s="875"/>
      <c r="CD5" s="875"/>
      <c r="CE5" s="876"/>
      <c r="CF5" s="865" t="s">
        <v>58</v>
      </c>
      <c r="CG5" s="865" t="s">
        <v>75</v>
      </c>
    </row>
    <row r="6" spans="1:86" ht="16.5" customHeight="1">
      <c r="A6" s="866"/>
      <c r="B6" s="866"/>
      <c r="C6" s="866"/>
      <c r="D6" s="881" t="s">
        <v>49</v>
      </c>
      <c r="E6" s="882"/>
      <c r="F6" s="882"/>
      <c r="G6" s="882"/>
      <c r="H6" s="883"/>
      <c r="I6" s="881" t="s">
        <v>59</v>
      </c>
      <c r="J6" s="882"/>
      <c r="K6" s="882"/>
      <c r="L6" s="882"/>
      <c r="M6" s="883"/>
      <c r="N6" s="881" t="s">
        <v>77</v>
      </c>
      <c r="O6" s="882"/>
      <c r="P6" s="882"/>
      <c r="Q6" s="882"/>
      <c r="R6" s="883"/>
      <c r="S6" s="881" t="s">
        <v>60</v>
      </c>
      <c r="T6" s="882"/>
      <c r="U6" s="882"/>
      <c r="V6" s="882"/>
      <c r="W6" s="883"/>
      <c r="X6" s="877" t="s">
        <v>61</v>
      </c>
      <c r="Y6" s="878"/>
      <c r="Z6" s="878"/>
      <c r="AA6" s="878"/>
      <c r="AB6" s="879"/>
      <c r="AC6" s="877" t="s">
        <v>62</v>
      </c>
      <c r="AD6" s="878"/>
      <c r="AE6" s="878"/>
      <c r="AF6" s="878"/>
      <c r="AG6" s="879"/>
      <c r="AH6" s="877" t="s">
        <v>63</v>
      </c>
      <c r="AI6" s="878"/>
      <c r="AJ6" s="878"/>
      <c r="AK6" s="878"/>
      <c r="AL6" s="879"/>
      <c r="AM6" s="877" t="s">
        <v>64</v>
      </c>
      <c r="AN6" s="878"/>
      <c r="AO6" s="878"/>
      <c r="AP6" s="878"/>
      <c r="AQ6" s="879"/>
      <c r="AR6" s="877" t="s">
        <v>65</v>
      </c>
      <c r="AS6" s="878"/>
      <c r="AT6" s="878"/>
      <c r="AU6" s="878"/>
      <c r="AV6" s="879"/>
      <c r="AW6" s="877" t="s">
        <v>66</v>
      </c>
      <c r="AX6" s="878"/>
      <c r="AY6" s="878"/>
      <c r="AZ6" s="878"/>
      <c r="BA6" s="879"/>
      <c r="BB6" s="877" t="s">
        <v>67</v>
      </c>
      <c r="BC6" s="878"/>
      <c r="BD6" s="878"/>
      <c r="BE6" s="878"/>
      <c r="BF6" s="879"/>
      <c r="BG6" s="877" t="s">
        <v>68</v>
      </c>
      <c r="BH6" s="878"/>
      <c r="BI6" s="878"/>
      <c r="BJ6" s="878"/>
      <c r="BK6" s="879"/>
      <c r="BL6" s="868" t="s">
        <v>81</v>
      </c>
      <c r="BM6" s="869"/>
      <c r="BN6" s="869"/>
      <c r="BO6" s="869"/>
      <c r="BP6" s="870"/>
      <c r="BQ6" s="868" t="s">
        <v>82</v>
      </c>
      <c r="BR6" s="869"/>
      <c r="BS6" s="869"/>
      <c r="BT6" s="869"/>
      <c r="BU6" s="870"/>
      <c r="BV6" s="868" t="s">
        <v>69</v>
      </c>
      <c r="BW6" s="869"/>
      <c r="BX6" s="869"/>
      <c r="BY6" s="869"/>
      <c r="BZ6" s="870"/>
      <c r="CA6" s="868" t="s">
        <v>76</v>
      </c>
      <c r="CB6" s="869"/>
      <c r="CC6" s="869"/>
      <c r="CD6" s="869"/>
      <c r="CE6" s="870"/>
      <c r="CF6" s="866"/>
      <c r="CG6" s="866"/>
    </row>
    <row r="7" spans="1:86" ht="30.75" customHeight="1">
      <c r="A7" s="867"/>
      <c r="B7" s="867"/>
      <c r="C7" s="867"/>
      <c r="D7" s="88" t="s">
        <v>250</v>
      </c>
      <c r="E7" s="88" t="s">
        <v>251</v>
      </c>
      <c r="F7" s="88" t="s">
        <v>257</v>
      </c>
      <c r="G7" s="88" t="s">
        <v>258</v>
      </c>
      <c r="H7" s="88" t="s">
        <v>259</v>
      </c>
      <c r="I7" s="88" t="s">
        <v>250</v>
      </c>
      <c r="J7" s="88" t="s">
        <v>251</v>
      </c>
      <c r="K7" s="88" t="s">
        <v>257</v>
      </c>
      <c r="L7" s="88" t="s">
        <v>258</v>
      </c>
      <c r="M7" s="88" t="s">
        <v>259</v>
      </c>
      <c r="N7" s="88" t="s">
        <v>250</v>
      </c>
      <c r="O7" s="88" t="s">
        <v>251</v>
      </c>
      <c r="P7" s="88" t="s">
        <v>257</v>
      </c>
      <c r="Q7" s="88" t="s">
        <v>258</v>
      </c>
      <c r="R7" s="88" t="s">
        <v>259</v>
      </c>
      <c r="S7" s="88" t="s">
        <v>250</v>
      </c>
      <c r="T7" s="88" t="s">
        <v>251</v>
      </c>
      <c r="U7" s="88" t="s">
        <v>257</v>
      </c>
      <c r="V7" s="88" t="s">
        <v>258</v>
      </c>
      <c r="W7" s="88" t="s">
        <v>259</v>
      </c>
      <c r="X7" s="89" t="s">
        <v>250</v>
      </c>
      <c r="Y7" s="89" t="s">
        <v>251</v>
      </c>
      <c r="Z7" s="89" t="s">
        <v>257</v>
      </c>
      <c r="AA7" s="89" t="s">
        <v>258</v>
      </c>
      <c r="AB7" s="89" t="s">
        <v>259</v>
      </c>
      <c r="AC7" s="89" t="s">
        <v>250</v>
      </c>
      <c r="AD7" s="89" t="s">
        <v>251</v>
      </c>
      <c r="AE7" s="89" t="s">
        <v>257</v>
      </c>
      <c r="AF7" s="89" t="s">
        <v>258</v>
      </c>
      <c r="AG7" s="89" t="s">
        <v>259</v>
      </c>
      <c r="AH7" s="89" t="s">
        <v>250</v>
      </c>
      <c r="AI7" s="89" t="s">
        <v>251</v>
      </c>
      <c r="AJ7" s="89" t="s">
        <v>257</v>
      </c>
      <c r="AK7" s="89" t="s">
        <v>258</v>
      </c>
      <c r="AL7" s="89" t="s">
        <v>259</v>
      </c>
      <c r="AM7" s="89" t="s">
        <v>250</v>
      </c>
      <c r="AN7" s="89" t="s">
        <v>251</v>
      </c>
      <c r="AO7" s="89" t="s">
        <v>257</v>
      </c>
      <c r="AP7" s="89" t="s">
        <v>258</v>
      </c>
      <c r="AQ7" s="89" t="s">
        <v>259</v>
      </c>
      <c r="AR7" s="89" t="s">
        <v>250</v>
      </c>
      <c r="AS7" s="89" t="s">
        <v>251</v>
      </c>
      <c r="AT7" s="89" t="s">
        <v>257</v>
      </c>
      <c r="AU7" s="89" t="s">
        <v>258</v>
      </c>
      <c r="AV7" s="89" t="s">
        <v>259</v>
      </c>
      <c r="AW7" s="89" t="s">
        <v>250</v>
      </c>
      <c r="AX7" s="89" t="s">
        <v>251</v>
      </c>
      <c r="AY7" s="89" t="s">
        <v>257</v>
      </c>
      <c r="AZ7" s="89" t="s">
        <v>258</v>
      </c>
      <c r="BA7" s="89" t="s">
        <v>259</v>
      </c>
      <c r="BB7" s="89" t="s">
        <v>250</v>
      </c>
      <c r="BC7" s="89" t="s">
        <v>251</v>
      </c>
      <c r="BD7" s="89" t="s">
        <v>257</v>
      </c>
      <c r="BE7" s="89" t="s">
        <v>258</v>
      </c>
      <c r="BF7" s="89" t="s">
        <v>259</v>
      </c>
      <c r="BG7" s="89" t="s">
        <v>250</v>
      </c>
      <c r="BH7" s="89" t="s">
        <v>251</v>
      </c>
      <c r="BI7" s="89" t="s">
        <v>257</v>
      </c>
      <c r="BJ7" s="89" t="s">
        <v>258</v>
      </c>
      <c r="BK7" s="89" t="s">
        <v>259</v>
      </c>
      <c r="BL7" s="90" t="s">
        <v>250</v>
      </c>
      <c r="BM7" s="90" t="s">
        <v>251</v>
      </c>
      <c r="BN7" s="90" t="s">
        <v>257</v>
      </c>
      <c r="BO7" s="90" t="s">
        <v>258</v>
      </c>
      <c r="BP7" s="90" t="s">
        <v>259</v>
      </c>
      <c r="BQ7" s="90" t="s">
        <v>250</v>
      </c>
      <c r="BR7" s="90" t="s">
        <v>251</v>
      </c>
      <c r="BS7" s="90" t="s">
        <v>257</v>
      </c>
      <c r="BT7" s="90" t="s">
        <v>258</v>
      </c>
      <c r="BU7" s="90" t="s">
        <v>259</v>
      </c>
      <c r="BV7" s="90" t="s">
        <v>250</v>
      </c>
      <c r="BW7" s="90" t="s">
        <v>251</v>
      </c>
      <c r="BX7" s="90" t="s">
        <v>257</v>
      </c>
      <c r="BY7" s="90" t="s">
        <v>258</v>
      </c>
      <c r="BZ7" s="90" t="s">
        <v>259</v>
      </c>
      <c r="CA7" s="90" t="s">
        <v>250</v>
      </c>
      <c r="CB7" s="90" t="s">
        <v>251</v>
      </c>
      <c r="CC7" s="90" t="s">
        <v>257</v>
      </c>
      <c r="CD7" s="90" t="s">
        <v>258</v>
      </c>
      <c r="CE7" s="90" t="s">
        <v>259</v>
      </c>
      <c r="CF7" s="867"/>
      <c r="CG7" s="867"/>
    </row>
    <row r="8" spans="1:86" ht="12.95" customHeight="1">
      <c r="A8" s="81">
        <v>1</v>
      </c>
      <c r="B8" s="81">
        <v>2</v>
      </c>
      <c r="C8" s="81">
        <v>3</v>
      </c>
      <c r="D8" s="81">
        <v>4</v>
      </c>
      <c r="E8" s="81">
        <v>5</v>
      </c>
      <c r="F8" s="81">
        <v>6</v>
      </c>
      <c r="G8" s="81">
        <v>7</v>
      </c>
      <c r="H8" s="81">
        <v>8</v>
      </c>
      <c r="I8" s="81">
        <v>9</v>
      </c>
      <c r="J8" s="81">
        <v>10</v>
      </c>
      <c r="K8" s="81">
        <v>11</v>
      </c>
      <c r="L8" s="81">
        <v>12</v>
      </c>
      <c r="M8" s="81">
        <v>13</v>
      </c>
      <c r="N8" s="81">
        <v>14</v>
      </c>
      <c r="O8" s="81">
        <v>15</v>
      </c>
      <c r="P8" s="81">
        <v>16</v>
      </c>
      <c r="Q8" s="81">
        <v>17</v>
      </c>
      <c r="R8" s="81">
        <v>18</v>
      </c>
      <c r="S8" s="81">
        <v>19</v>
      </c>
      <c r="T8" s="81">
        <v>20</v>
      </c>
      <c r="U8" s="81">
        <v>21</v>
      </c>
      <c r="V8" s="81">
        <v>22</v>
      </c>
      <c r="W8" s="81">
        <v>23</v>
      </c>
      <c r="X8" s="81">
        <v>24</v>
      </c>
      <c r="Y8" s="81">
        <v>25</v>
      </c>
      <c r="Z8" s="81">
        <v>26</v>
      </c>
      <c r="AA8" s="81">
        <v>27</v>
      </c>
      <c r="AB8" s="81">
        <v>28</v>
      </c>
      <c r="AC8" s="81">
        <v>29</v>
      </c>
      <c r="AD8" s="81">
        <v>30</v>
      </c>
      <c r="AE8" s="81">
        <v>31</v>
      </c>
      <c r="AF8" s="81">
        <v>32</v>
      </c>
      <c r="AG8" s="81">
        <v>33</v>
      </c>
      <c r="AH8" s="81">
        <v>34</v>
      </c>
      <c r="AI8" s="81">
        <v>35</v>
      </c>
      <c r="AJ8" s="81">
        <v>36</v>
      </c>
      <c r="AK8" s="81">
        <v>37</v>
      </c>
      <c r="AL8" s="81">
        <v>38</v>
      </c>
      <c r="AM8" s="81">
        <v>39</v>
      </c>
      <c r="AN8" s="81">
        <v>40</v>
      </c>
      <c r="AO8" s="81">
        <v>41</v>
      </c>
      <c r="AP8" s="81">
        <v>42</v>
      </c>
      <c r="AQ8" s="81">
        <v>43</v>
      </c>
      <c r="AR8" s="81">
        <v>44</v>
      </c>
      <c r="AS8" s="81">
        <v>45</v>
      </c>
      <c r="AT8" s="81">
        <v>46</v>
      </c>
      <c r="AU8" s="81">
        <v>47</v>
      </c>
      <c r="AV8" s="81">
        <v>48</v>
      </c>
      <c r="AW8" s="81">
        <v>49</v>
      </c>
      <c r="AX8" s="81">
        <v>50</v>
      </c>
      <c r="AY8" s="81">
        <v>51</v>
      </c>
      <c r="AZ8" s="81">
        <v>52</v>
      </c>
      <c r="BA8" s="81">
        <v>53</v>
      </c>
      <c r="BB8" s="81">
        <v>54</v>
      </c>
      <c r="BC8" s="81">
        <v>55</v>
      </c>
      <c r="BD8" s="81">
        <v>56</v>
      </c>
      <c r="BE8" s="81">
        <v>57</v>
      </c>
      <c r="BF8" s="81">
        <v>58</v>
      </c>
      <c r="BG8" s="81">
        <v>59</v>
      </c>
      <c r="BH8" s="81">
        <v>60</v>
      </c>
      <c r="BI8" s="81">
        <v>61</v>
      </c>
      <c r="BJ8" s="81">
        <v>62</v>
      </c>
      <c r="BK8" s="81">
        <v>63</v>
      </c>
      <c r="BL8" s="81">
        <v>64</v>
      </c>
      <c r="BM8" s="81">
        <v>65</v>
      </c>
      <c r="BN8" s="81">
        <v>66</v>
      </c>
      <c r="BO8" s="81">
        <v>67</v>
      </c>
      <c r="BP8" s="81">
        <v>68</v>
      </c>
      <c r="BQ8" s="81">
        <v>69</v>
      </c>
      <c r="BR8" s="81">
        <v>70</v>
      </c>
      <c r="BS8" s="81">
        <v>71</v>
      </c>
      <c r="BT8" s="81">
        <v>72</v>
      </c>
      <c r="BU8" s="81">
        <v>73</v>
      </c>
      <c r="BV8" s="81">
        <v>74</v>
      </c>
      <c r="BW8" s="81">
        <v>75</v>
      </c>
      <c r="BX8" s="81">
        <v>76</v>
      </c>
      <c r="BY8" s="81">
        <v>77</v>
      </c>
      <c r="BZ8" s="81">
        <v>78</v>
      </c>
      <c r="CA8" s="81">
        <v>79</v>
      </c>
      <c r="CB8" s="81">
        <v>80</v>
      </c>
      <c r="CC8" s="81">
        <v>81</v>
      </c>
      <c r="CD8" s="81">
        <v>82</v>
      </c>
      <c r="CE8" s="81">
        <v>83</v>
      </c>
      <c r="CF8" s="81">
        <v>84</v>
      </c>
      <c r="CG8" s="81">
        <v>85</v>
      </c>
    </row>
    <row r="9" spans="1:86" s="96" customFormat="1" ht="12.95" customHeight="1">
      <c r="A9" s="82">
        <v>1</v>
      </c>
      <c r="B9" s="83" t="str">
        <f>DATASISWA!E8</f>
        <v>Anindita Alya Magfiroh</v>
      </c>
      <c r="C9" s="84">
        <f>DATASISWA!G8</f>
        <v>0</v>
      </c>
      <c r="D9" s="93">
        <f>WSALQURAN!$E$110</f>
        <v>86.857142857142861</v>
      </c>
      <c r="E9" s="93" t="str">
        <f>PROSES!K6</f>
        <v/>
      </c>
      <c r="F9" s="93">
        <f>PROSES!I6</f>
        <v>0</v>
      </c>
      <c r="G9" s="93">
        <f>PROSES!J6</f>
        <v>0</v>
      </c>
      <c r="H9" s="93">
        <f>IFERROR(AVERAGE(D9:G9),"")</f>
        <v>28.952380952380953</v>
      </c>
      <c r="I9" s="93">
        <f>WSAQIDAH!$E$110</f>
        <v>90.5</v>
      </c>
      <c r="J9" s="93" t="str">
        <f>PROSES!T6</f>
        <v/>
      </c>
      <c r="K9" s="93">
        <f>PROSES!R6</f>
        <v>0</v>
      </c>
      <c r="L9" s="93">
        <f>PROSES!S6</f>
        <v>0</v>
      </c>
      <c r="M9" s="93">
        <f>IFERROR(AVERAGE(I9:L9),"")</f>
        <v>30.166666666666668</v>
      </c>
      <c r="N9" s="93">
        <f>WSFIQIH!$E$128</f>
        <v>87.678571428571431</v>
      </c>
      <c r="O9" s="93" t="str">
        <f>PROSES!AC6</f>
        <v/>
      </c>
      <c r="P9" s="93">
        <f>PROSES!AA6</f>
        <v>0</v>
      </c>
      <c r="Q9" s="93">
        <f>PROSES!AB6</f>
        <v>0</v>
      </c>
      <c r="R9" s="93">
        <f>IFERROR(AVERAGE(N9:Q9),"")</f>
        <v>29.226190476190478</v>
      </c>
      <c r="S9" s="93">
        <f>WSSKI!$E$112</f>
        <v>82.75</v>
      </c>
      <c r="T9" s="93" t="str">
        <f>PROSES!AL6</f>
        <v/>
      </c>
      <c r="U9" s="93">
        <f>PROSES!AJ6</f>
        <v>0</v>
      </c>
      <c r="V9" s="93">
        <f>PROSES!AK6</f>
        <v>0</v>
      </c>
      <c r="W9" s="93">
        <f>IFERROR(AVERAGE(S9:V9),"")</f>
        <v>27.583333333333332</v>
      </c>
      <c r="X9" s="94">
        <f>WSPKN!$E$205</f>
        <v>95.730902777777771</v>
      </c>
      <c r="Y9" s="94">
        <f>PROSES!AV6</f>
        <v>0</v>
      </c>
      <c r="Z9" s="94">
        <f>PROSES!AS6</f>
        <v>95</v>
      </c>
      <c r="AA9" s="94">
        <f>PROSES!AT6</f>
        <v>94</v>
      </c>
      <c r="AB9" s="93">
        <f>IFERROR(AVERAGE(X9:AA9),"")</f>
        <v>71.182725694444443</v>
      </c>
      <c r="AC9" s="94">
        <f>WSIND!$E$353</f>
        <v>95.053225491631281</v>
      </c>
      <c r="AD9" s="94" t="str">
        <f>PROSES!BD6</f>
        <v/>
      </c>
      <c r="AE9" s="94">
        <f>PROSES!BB6</f>
        <v>0</v>
      </c>
      <c r="AF9" s="94">
        <f>PROSES!BC6</f>
        <v>0</v>
      </c>
      <c r="AG9" s="93">
        <f>IFERROR(AVERAGE(AC9:AF9),"")</f>
        <v>31.684408497210427</v>
      </c>
      <c r="AH9" s="94" t="str">
        <f>WSARAB!$E$121</f>
        <v/>
      </c>
      <c r="AI9" s="94" t="str">
        <f>PROSES!BM6</f>
        <v/>
      </c>
      <c r="AJ9" s="94">
        <f>PROSES!BK6</f>
        <v>0</v>
      </c>
      <c r="AK9" s="94">
        <f>PROSES!BL6</f>
        <v>0</v>
      </c>
      <c r="AL9" s="93">
        <f>IFERROR(AVERAGE(AH9:AK9),"")</f>
        <v>0</v>
      </c>
      <c r="AM9" s="94">
        <f>WSMTK!$E$208</f>
        <v>94.333961925287369</v>
      </c>
      <c r="AN9" s="94" t="str">
        <f>PROSES!BV6</f>
        <v/>
      </c>
      <c r="AO9" s="94">
        <f>PROSES!BT6</f>
        <v>0</v>
      </c>
      <c r="AP9" s="94">
        <f>PROSES!BU6</f>
        <v>0</v>
      </c>
      <c r="AQ9" s="93">
        <f>IFERROR(AVERAGE(AM9:AP9),"")</f>
        <v>31.44465397509579</v>
      </c>
      <c r="AR9" s="94" t="str">
        <f>WSIPA!$E$110</f>
        <v/>
      </c>
      <c r="AS9" s="94" t="str">
        <f>PROSES!CE6</f>
        <v/>
      </c>
      <c r="AT9" s="94">
        <f>PROSES!CC6</f>
        <v>0</v>
      </c>
      <c r="AU9" s="94">
        <f>PROSES!CD6</f>
        <v>0</v>
      </c>
      <c r="AV9" s="93">
        <f>IFERROR(AVERAGE(AR9:AU9),"")</f>
        <v>0</v>
      </c>
      <c r="AW9" s="94" t="str">
        <f>WSIPS!$E$110</f>
        <v/>
      </c>
      <c r="AX9" s="94" t="str">
        <f>PROSES!CN6</f>
        <v/>
      </c>
      <c r="AY9" s="94">
        <f>PROSES!CL6</f>
        <v>0</v>
      </c>
      <c r="AZ9" s="94">
        <f>PROSES!CM6</f>
        <v>0</v>
      </c>
      <c r="BA9" s="93">
        <f>IFERROR(AVERAGE(AW9:AZ9),"")</f>
        <v>0</v>
      </c>
      <c r="BB9" s="94">
        <f>WSSBK!$E$127</f>
        <v>94.0625</v>
      </c>
      <c r="BC9" s="94" t="str">
        <f>PROSES!CW6</f>
        <v/>
      </c>
      <c r="BD9" s="94">
        <f>PROSES!CU6</f>
        <v>0</v>
      </c>
      <c r="BE9" s="94">
        <f>PROSES!CV6</f>
        <v>0</v>
      </c>
      <c r="BF9" s="93">
        <f>IFERROR(AVERAGE(BB9:BE9),"")</f>
        <v>31.354166666666668</v>
      </c>
      <c r="BG9" s="94">
        <f>WSPENJAS!$E$22</f>
        <v>95</v>
      </c>
      <c r="BH9" s="94">
        <f>PROSES!DF6</f>
        <v>96.666666666666671</v>
      </c>
      <c r="BI9" s="94">
        <f>PROSES!DD6</f>
        <v>97</v>
      </c>
      <c r="BJ9" s="94">
        <f>PROSES!DE6</f>
        <v>84</v>
      </c>
      <c r="BK9" s="93">
        <f>IFERROR(AVERAGE(BG9:BJ9),"")</f>
        <v>93.166666666666671</v>
      </c>
      <c r="BL9" s="95">
        <f>WSJAWA!$E$110</f>
        <v>91.875000000000014</v>
      </c>
      <c r="BM9" s="95" t="str">
        <f>PROSES!DO6</f>
        <v/>
      </c>
      <c r="BN9" s="95">
        <f>PROSES!DM6</f>
        <v>0</v>
      </c>
      <c r="BO9" s="95">
        <f>PROSES!DN6</f>
        <v>0</v>
      </c>
      <c r="BP9" s="93">
        <f>IFERROR(AVERAGE(BL9:BO9),"")</f>
        <v>30.625000000000004</v>
      </c>
      <c r="BQ9" s="95">
        <f>WSING!$E$114</f>
        <v>88.333333333333343</v>
      </c>
      <c r="BR9" s="95" t="str">
        <f>PROSES!DX6</f>
        <v/>
      </c>
      <c r="BS9" s="95">
        <f>PROSES!DV6</f>
        <v>0</v>
      </c>
      <c r="BT9" s="95">
        <f>PROSES!DW6</f>
        <v>0</v>
      </c>
      <c r="BU9" s="93">
        <f>IFERROR(AVERAGE(BQ9:BT9),"")</f>
        <v>29.444444444444446</v>
      </c>
      <c r="BV9" s="95" t="str">
        <f>WSTIK!$E$110</f>
        <v/>
      </c>
      <c r="BW9" s="95">
        <f>PROSES!EG6</f>
        <v>86</v>
      </c>
      <c r="BX9" s="95">
        <f>PROSES!EE6</f>
        <v>86</v>
      </c>
      <c r="BY9" s="95">
        <f>PROSES!EF6</f>
        <v>0</v>
      </c>
      <c r="BZ9" s="93">
        <f>IFERROR(AVERAGE(BV9:BY9),"")</f>
        <v>57.333333333333336</v>
      </c>
      <c r="CA9" s="95" t="str">
        <f>WSASWAJA!$E$110</f>
        <v/>
      </c>
      <c r="CB9" s="95">
        <f>PROSES!EP6</f>
        <v>90</v>
      </c>
      <c r="CC9" s="95">
        <f>PROSES!EN6</f>
        <v>89</v>
      </c>
      <c r="CD9" s="95">
        <f>PROSES!EO6</f>
        <v>0</v>
      </c>
      <c r="CE9" s="93">
        <f>IFERROR(AVERAGE(CA9:CD9),"")</f>
        <v>59.666666666666664</v>
      </c>
      <c r="CF9" s="92">
        <f>IFERROR(AVERAGE(H9,M9,R9,W9,AB9,AG9,AL9,AQ9,AV9,BA9,BF9,BK9,BP9,BU9,BZ9,CE9),"")</f>
        <v>34.489414835818742</v>
      </c>
      <c r="CG9" s="85">
        <f t="shared" ref="CG9:CG38" si="0">IF(CF9&gt;0,RANK(CF9,$CF$9:$CF$38),IF(CF9="","",))</f>
        <v>1</v>
      </c>
    </row>
    <row r="10" spans="1:86" s="96" customFormat="1" ht="12.95" customHeight="1">
      <c r="A10" s="86">
        <v>2</v>
      </c>
      <c r="B10" s="83" t="str">
        <f>DATASISWA!E9</f>
        <v>Annisa Zahirotus. S</v>
      </c>
      <c r="C10" s="84">
        <f>DATASISWA!G9</f>
        <v>0</v>
      </c>
      <c r="D10" s="93">
        <f>WSALQURAN!$F$110</f>
        <v>86.642857142857139</v>
      </c>
      <c r="E10" s="93" t="str">
        <f>PROSES!K7</f>
        <v/>
      </c>
      <c r="F10" s="93">
        <f>PROSES!I7</f>
        <v>0</v>
      </c>
      <c r="G10" s="93">
        <f>PROSES!J7</f>
        <v>0</v>
      </c>
      <c r="H10" s="93">
        <f>IFERROR(AVERAGE(D10:G10),"")</f>
        <v>28.88095238095238</v>
      </c>
      <c r="I10" s="93">
        <f>WSAQIDAH!$F$110</f>
        <v>82</v>
      </c>
      <c r="J10" s="93" t="str">
        <f>PROSES!T7</f>
        <v/>
      </c>
      <c r="K10" s="93">
        <f>PROSES!R7</f>
        <v>0</v>
      </c>
      <c r="L10" s="93">
        <f>PROSES!S7</f>
        <v>0</v>
      </c>
      <c r="M10" s="93">
        <f t="shared" ref="M10:M38" si="1">IFERROR(AVERAGE(I10:L10),"")</f>
        <v>27.333333333333332</v>
      </c>
      <c r="N10" s="93">
        <f>WSFIQIH!$F$128</f>
        <v>92.40625</v>
      </c>
      <c r="O10" s="93" t="str">
        <f>PROSES!AC7</f>
        <v/>
      </c>
      <c r="P10" s="93">
        <f>PROSES!AA7</f>
        <v>0</v>
      </c>
      <c r="Q10" s="93">
        <f>PROSES!AB7</f>
        <v>0</v>
      </c>
      <c r="R10" s="93">
        <f t="shared" ref="R10:R38" si="2">IFERROR(AVERAGE(N10:Q10),"")</f>
        <v>30.802083333333332</v>
      </c>
      <c r="S10" s="93">
        <f>WSSKI!$F$112</f>
        <v>91.777777777777786</v>
      </c>
      <c r="T10" s="93" t="str">
        <f>PROSES!AL7</f>
        <v/>
      </c>
      <c r="U10" s="93">
        <f>PROSES!AJ7</f>
        <v>0</v>
      </c>
      <c r="V10" s="93">
        <f>PROSES!AK7</f>
        <v>0</v>
      </c>
      <c r="W10" s="93">
        <f t="shared" ref="W10:W38" si="3">IFERROR(AVERAGE(S10:V10),"")</f>
        <v>30.592592592592595</v>
      </c>
      <c r="X10" s="94">
        <f>WSPKN!$F$205</f>
        <v>92.174197330447328</v>
      </c>
      <c r="Y10" s="94">
        <f>PROSES!AV7</f>
        <v>0</v>
      </c>
      <c r="Z10" s="94">
        <f>PROSES!AS7</f>
        <v>0</v>
      </c>
      <c r="AA10" s="94">
        <f>PROSES!AT7</f>
        <v>0</v>
      </c>
      <c r="AB10" s="93">
        <f t="shared" ref="AB10:AB38" si="4">IFERROR(AVERAGE(X10:AA10),"")</f>
        <v>23.043549332611832</v>
      </c>
      <c r="AC10" s="94">
        <f>WSIND!$F$353</f>
        <v>91.094771241830074</v>
      </c>
      <c r="AD10" s="94" t="str">
        <f>PROSES!BD7</f>
        <v/>
      </c>
      <c r="AE10" s="94">
        <f>PROSES!BB7</f>
        <v>0</v>
      </c>
      <c r="AF10" s="94">
        <f>PROSES!BC7</f>
        <v>0</v>
      </c>
      <c r="AG10" s="93">
        <f t="shared" ref="AG10:AG38" si="5">IFERROR(AVERAGE(AC10:AF10),"")</f>
        <v>30.364923747276691</v>
      </c>
      <c r="AH10" s="94" t="str">
        <f>WSARAB!$F$121</f>
        <v/>
      </c>
      <c r="AI10" s="94" t="str">
        <f>PROSES!BM7</f>
        <v/>
      </c>
      <c r="AJ10" s="94">
        <f>PROSES!BK7</f>
        <v>0</v>
      </c>
      <c r="AK10" s="94">
        <f>PROSES!BL7</f>
        <v>0</v>
      </c>
      <c r="AL10" s="93">
        <f t="shared" ref="AL10:AL38" si="6">IFERROR(AVERAGE(AH10:AK10),"")</f>
        <v>0</v>
      </c>
      <c r="AM10" s="94">
        <f>WSMTK!$F$208</f>
        <v>89.059116809116802</v>
      </c>
      <c r="AN10" s="94" t="str">
        <f>PROSES!BV7</f>
        <v/>
      </c>
      <c r="AO10" s="94">
        <f>PROSES!BT7</f>
        <v>0</v>
      </c>
      <c r="AP10" s="94">
        <f>PROSES!BU7</f>
        <v>0</v>
      </c>
      <c r="AQ10" s="93">
        <f t="shared" ref="AQ10:AQ38" si="7">IFERROR(AVERAGE(AM10:AP10),"")</f>
        <v>29.686372269705601</v>
      </c>
      <c r="AR10" s="94" t="str">
        <f>WSIPA!$F$110</f>
        <v/>
      </c>
      <c r="AS10" s="94" t="str">
        <f>PROSES!CE7</f>
        <v/>
      </c>
      <c r="AT10" s="94">
        <f>PROSES!CC7</f>
        <v>0</v>
      </c>
      <c r="AU10" s="94">
        <f>PROSES!CD7</f>
        <v>0</v>
      </c>
      <c r="AV10" s="93">
        <f t="shared" ref="AV10:AV38" si="8">IFERROR(AVERAGE(AR10:AU10),"")</f>
        <v>0</v>
      </c>
      <c r="AW10" s="94" t="str">
        <f>WSIPS!$F$110</f>
        <v/>
      </c>
      <c r="AX10" s="94" t="str">
        <f>PROSES!CN7</f>
        <v/>
      </c>
      <c r="AY10" s="94">
        <f>PROSES!CL7</f>
        <v>0</v>
      </c>
      <c r="AZ10" s="94">
        <f>PROSES!CM7</f>
        <v>0</v>
      </c>
      <c r="BA10" s="93">
        <f t="shared" ref="BA10:BA38" si="9">IFERROR(AVERAGE(AW10:AZ10),"")</f>
        <v>0</v>
      </c>
      <c r="BB10" s="94">
        <f>WSSBK!$F$127</f>
        <v>90.37202380952381</v>
      </c>
      <c r="BC10" s="94" t="str">
        <f>PROSES!CW7</f>
        <v/>
      </c>
      <c r="BD10" s="94">
        <f>PROSES!CU7</f>
        <v>0</v>
      </c>
      <c r="BE10" s="94">
        <f>PROSES!CV7</f>
        <v>0</v>
      </c>
      <c r="BF10" s="93">
        <f t="shared" ref="BF10:BF38" si="10">IFERROR(AVERAGE(BB10:BE10),"")</f>
        <v>30.124007936507937</v>
      </c>
      <c r="BG10" s="94">
        <f>WSPENJAS!$F$22</f>
        <v>85</v>
      </c>
      <c r="BH10" s="94">
        <f>PROSES!DF7</f>
        <v>78.333333333333329</v>
      </c>
      <c r="BI10" s="94">
        <f>PROSES!DD7</f>
        <v>78</v>
      </c>
      <c r="BJ10" s="94">
        <f>PROSES!DE7</f>
        <v>91</v>
      </c>
      <c r="BK10" s="93">
        <f t="shared" ref="BK10:BK38" si="11">IFERROR(AVERAGE(BG10:BJ10),"")</f>
        <v>83.083333333333329</v>
      </c>
      <c r="BL10" s="95">
        <f>WSJAWA!$F$110</f>
        <v>93.125</v>
      </c>
      <c r="BM10" s="95" t="str">
        <f>PROSES!DO7</f>
        <v/>
      </c>
      <c r="BN10" s="95">
        <f>PROSES!DM7</f>
        <v>0</v>
      </c>
      <c r="BO10" s="95">
        <f>PROSES!DN7</f>
        <v>0</v>
      </c>
      <c r="BP10" s="93">
        <f t="shared" ref="BP10:BP38" si="12">IFERROR(AVERAGE(BL10:BO10),"")</f>
        <v>31.041666666666668</v>
      </c>
      <c r="BQ10" s="95">
        <f>WSING!$F$114</f>
        <v>89.583333333333343</v>
      </c>
      <c r="BR10" s="95" t="str">
        <f>PROSES!DX7</f>
        <v/>
      </c>
      <c r="BS10" s="95">
        <f>PROSES!DV7</f>
        <v>0</v>
      </c>
      <c r="BT10" s="95">
        <f>PROSES!DW7</f>
        <v>0</v>
      </c>
      <c r="BU10" s="93">
        <f t="shared" ref="BU10:BU38" si="13">IFERROR(AVERAGE(BQ10:BT10),"")</f>
        <v>29.861111111111114</v>
      </c>
      <c r="BV10" s="95" t="str">
        <f>WSTIK!$F$110</f>
        <v/>
      </c>
      <c r="BW10" s="95">
        <f>PROSES!EG7</f>
        <v>96.5</v>
      </c>
      <c r="BX10" s="95">
        <f>PROSES!EE7</f>
        <v>97</v>
      </c>
      <c r="BY10" s="95">
        <f>PROSES!EF7</f>
        <v>0</v>
      </c>
      <c r="BZ10" s="93">
        <f t="shared" ref="BZ10:BZ38" si="14">IFERROR(AVERAGE(BV10:BY10),"")</f>
        <v>64.5</v>
      </c>
      <c r="CA10" s="95" t="str">
        <f>WSASWAJA!$F$110</f>
        <v/>
      </c>
      <c r="CB10" s="95">
        <f>PROSES!EP7</f>
        <v>95</v>
      </c>
      <c r="CC10" s="95">
        <f>PROSES!EN7</f>
        <v>98</v>
      </c>
      <c r="CD10" s="95">
        <f>PROSES!EO7</f>
        <v>0</v>
      </c>
      <c r="CE10" s="93">
        <f t="shared" ref="CE10:CE38" si="15">IFERROR(AVERAGE(CA10:CD10),"")</f>
        <v>64.333333333333329</v>
      </c>
      <c r="CF10" s="92">
        <f t="shared" ref="CF10:CF38" si="16">IFERROR(AVERAGE(H10,M10,R10,W10,AB10,AG10,AL10,AQ10,AV10,BA10,BF10,BK10,BP10,BU10,BZ10,CE10),"")</f>
        <v>31.477953710672384</v>
      </c>
      <c r="CG10" s="85">
        <f t="shared" si="0"/>
        <v>18</v>
      </c>
    </row>
    <row r="11" spans="1:86" s="96" customFormat="1" ht="12.95" customHeight="1">
      <c r="A11" s="86">
        <v>3</v>
      </c>
      <c r="B11" s="83" t="str">
        <f>DATASISWA!E10</f>
        <v>A.Risky Syarifunnazal</v>
      </c>
      <c r="C11" s="84">
        <f>DATASISWA!G10</f>
        <v>0</v>
      </c>
      <c r="D11" s="93">
        <f>WSALQURAN!$G$110</f>
        <v>90</v>
      </c>
      <c r="E11" s="93" t="str">
        <f>PROSES!K8</f>
        <v/>
      </c>
      <c r="F11" s="93">
        <f>PROSES!I8</f>
        <v>0</v>
      </c>
      <c r="G11" s="93">
        <f>PROSES!J8</f>
        <v>0</v>
      </c>
      <c r="H11" s="93">
        <f t="shared" ref="H11:H38" si="17">IFERROR(AVERAGE(D11:G11),"")</f>
        <v>30</v>
      </c>
      <c r="I11" s="93">
        <f>WSAQIDAH!$G$110</f>
        <v>80</v>
      </c>
      <c r="J11" s="93" t="str">
        <f>PROSES!T8</f>
        <v/>
      </c>
      <c r="K11" s="93">
        <f>PROSES!R8</f>
        <v>0</v>
      </c>
      <c r="L11" s="93">
        <f>PROSES!S8</f>
        <v>0</v>
      </c>
      <c r="M11" s="93">
        <f t="shared" si="1"/>
        <v>26.666666666666668</v>
      </c>
      <c r="N11" s="93">
        <f>WSFIQIH!$G$128</f>
        <v>85.46875</v>
      </c>
      <c r="O11" s="93" t="str">
        <f>PROSES!AC8</f>
        <v/>
      </c>
      <c r="P11" s="93">
        <f>PROSES!AA8</f>
        <v>0</v>
      </c>
      <c r="Q11" s="93">
        <f>PROSES!AB8</f>
        <v>0</v>
      </c>
      <c r="R11" s="93">
        <f t="shared" si="2"/>
        <v>28.489583333333332</v>
      </c>
      <c r="S11" s="93">
        <f>WSSKI!$G$112</f>
        <v>79.016666666666666</v>
      </c>
      <c r="T11" s="93" t="str">
        <f>PROSES!AL8</f>
        <v/>
      </c>
      <c r="U11" s="93">
        <f>PROSES!AJ8</f>
        <v>0</v>
      </c>
      <c r="V11" s="93">
        <f>PROSES!AK8</f>
        <v>0</v>
      </c>
      <c r="W11" s="93">
        <f t="shared" si="3"/>
        <v>26.338888888888889</v>
      </c>
      <c r="X11" s="94">
        <f>WSPKN!$G$205</f>
        <v>92.951569264069249</v>
      </c>
      <c r="Y11" s="94">
        <f>PROSES!AV8</f>
        <v>0</v>
      </c>
      <c r="Z11" s="94">
        <f>PROSES!AS8</f>
        <v>0</v>
      </c>
      <c r="AA11" s="94">
        <f>PROSES!AT8</f>
        <v>0</v>
      </c>
      <c r="AB11" s="93">
        <f t="shared" si="4"/>
        <v>23.237892316017312</v>
      </c>
      <c r="AC11" s="94">
        <f>WSIND!$G$353</f>
        <v>92.294417606011805</v>
      </c>
      <c r="AD11" s="94" t="str">
        <f>PROSES!BD8</f>
        <v/>
      </c>
      <c r="AE11" s="94">
        <f>PROSES!BB8</f>
        <v>0</v>
      </c>
      <c r="AF11" s="94">
        <f>PROSES!BC8</f>
        <v>0</v>
      </c>
      <c r="AG11" s="93">
        <f t="shared" si="5"/>
        <v>30.764805868670603</v>
      </c>
      <c r="AH11" s="94" t="str">
        <f>WSARAB!$G$121</f>
        <v/>
      </c>
      <c r="AI11" s="94" t="str">
        <f>PROSES!BM8</f>
        <v/>
      </c>
      <c r="AJ11" s="94">
        <f>PROSES!BK8</f>
        <v>0</v>
      </c>
      <c r="AK11" s="94">
        <f>PROSES!BL8</f>
        <v>0</v>
      </c>
      <c r="AL11" s="93">
        <f t="shared" si="6"/>
        <v>0</v>
      </c>
      <c r="AM11" s="94">
        <f>WSMTK!$G$208</f>
        <v>90.679326923076928</v>
      </c>
      <c r="AN11" s="94" t="str">
        <f>PROSES!BV8</f>
        <v/>
      </c>
      <c r="AO11" s="94">
        <f>PROSES!BT8</f>
        <v>0</v>
      </c>
      <c r="AP11" s="94">
        <f>PROSES!BU8</f>
        <v>0</v>
      </c>
      <c r="AQ11" s="93">
        <f t="shared" si="7"/>
        <v>30.226442307692309</v>
      </c>
      <c r="AR11" s="94" t="str">
        <f>WSIPA!$G$110</f>
        <v/>
      </c>
      <c r="AS11" s="94" t="str">
        <f>PROSES!CE8</f>
        <v/>
      </c>
      <c r="AT11" s="94">
        <f>PROSES!CC8</f>
        <v>0</v>
      </c>
      <c r="AU11" s="94">
        <f>PROSES!CD8</f>
        <v>0</v>
      </c>
      <c r="AV11" s="93">
        <f t="shared" si="8"/>
        <v>0</v>
      </c>
      <c r="AW11" s="94" t="str">
        <f>WSIPS!$G$110</f>
        <v/>
      </c>
      <c r="AX11" s="94" t="str">
        <f>PROSES!CN8</f>
        <v/>
      </c>
      <c r="AY11" s="94">
        <f>PROSES!CL8</f>
        <v>0</v>
      </c>
      <c r="AZ11" s="94">
        <f>PROSES!CM8</f>
        <v>0</v>
      </c>
      <c r="BA11" s="93">
        <f t="shared" si="9"/>
        <v>0</v>
      </c>
      <c r="BB11" s="94">
        <f>WSSBK!$G$127</f>
        <v>90.053571428571431</v>
      </c>
      <c r="BC11" s="94" t="str">
        <f>PROSES!CW8</f>
        <v/>
      </c>
      <c r="BD11" s="94">
        <f>PROSES!CU8</f>
        <v>0</v>
      </c>
      <c r="BE11" s="94">
        <f>PROSES!CV8</f>
        <v>0</v>
      </c>
      <c r="BF11" s="93">
        <f t="shared" si="10"/>
        <v>30.017857142857142</v>
      </c>
      <c r="BG11" s="94">
        <f>WSPENJAS!$G$22</f>
        <v>90</v>
      </c>
      <c r="BH11" s="94">
        <f>PROSES!DF8</f>
        <v>92.333333333333329</v>
      </c>
      <c r="BI11" s="94">
        <f>PROSES!DD8</f>
        <v>92</v>
      </c>
      <c r="BJ11" s="94">
        <f>PROSES!DE8</f>
        <v>88</v>
      </c>
      <c r="BK11" s="93">
        <f t="shared" si="11"/>
        <v>90.583333333333329</v>
      </c>
      <c r="BL11" s="95">
        <f>WSJAWA!$G$110</f>
        <v>89.583333333333329</v>
      </c>
      <c r="BM11" s="95" t="str">
        <f>PROSES!DO8</f>
        <v/>
      </c>
      <c r="BN11" s="95">
        <f>PROSES!DM8</f>
        <v>0</v>
      </c>
      <c r="BO11" s="95">
        <f>PROSES!DN8</f>
        <v>0</v>
      </c>
      <c r="BP11" s="93">
        <f t="shared" si="12"/>
        <v>29.861111111111111</v>
      </c>
      <c r="BQ11" s="95">
        <f>WSING!$G$114</f>
        <v>90.25</v>
      </c>
      <c r="BR11" s="95" t="str">
        <f>PROSES!DX8</f>
        <v/>
      </c>
      <c r="BS11" s="95">
        <f>PROSES!DV8</f>
        <v>0</v>
      </c>
      <c r="BT11" s="95">
        <f>PROSES!DW8</f>
        <v>0</v>
      </c>
      <c r="BU11" s="93">
        <f t="shared" si="13"/>
        <v>30.083333333333332</v>
      </c>
      <c r="BV11" s="95" t="str">
        <f>WSTIK!$G$110</f>
        <v/>
      </c>
      <c r="BW11" s="95">
        <f>PROSES!EG8</f>
        <v>88.5</v>
      </c>
      <c r="BX11" s="95">
        <f>PROSES!EE8</f>
        <v>89</v>
      </c>
      <c r="BY11" s="95">
        <f>PROSES!EF8</f>
        <v>0</v>
      </c>
      <c r="BZ11" s="93">
        <f t="shared" si="14"/>
        <v>59.166666666666664</v>
      </c>
      <c r="CA11" s="95" t="str">
        <f>WSASWAJA!$G$110</f>
        <v/>
      </c>
      <c r="CB11" s="95">
        <f>PROSES!EP8</f>
        <v>96.666666666666671</v>
      </c>
      <c r="CC11" s="95">
        <f>PROSES!EN8</f>
        <v>86</v>
      </c>
      <c r="CD11" s="95">
        <f>PROSES!EO8</f>
        <v>0</v>
      </c>
      <c r="CE11" s="93">
        <f t="shared" si="15"/>
        <v>60.888888888888893</v>
      </c>
      <c r="CF11" s="92">
        <f t="shared" si="16"/>
        <v>31.020341866091226</v>
      </c>
      <c r="CG11" s="85">
        <f t="shared" si="0"/>
        <v>20</v>
      </c>
    </row>
    <row r="12" spans="1:86" s="96" customFormat="1" ht="12.95" customHeight="1">
      <c r="A12" s="86">
        <v>4</v>
      </c>
      <c r="B12" s="83" t="str">
        <f>DATASISWA!E11</f>
        <v>Aliya Noura K</v>
      </c>
      <c r="C12" s="84">
        <f>DATASISWA!G11</f>
        <v>0</v>
      </c>
      <c r="D12" s="93">
        <f>WSALQURAN!$H$110</f>
        <v>92.666666666666671</v>
      </c>
      <c r="E12" s="93" t="str">
        <f>PROSES!K9</f>
        <v/>
      </c>
      <c r="F12" s="93">
        <f>PROSES!I9</f>
        <v>0</v>
      </c>
      <c r="G12" s="93">
        <f>PROSES!J9</f>
        <v>0</v>
      </c>
      <c r="H12" s="93">
        <f t="shared" si="17"/>
        <v>30.888888888888889</v>
      </c>
      <c r="I12" s="93">
        <f>WSAQIDAH!$H$110</f>
        <v>91</v>
      </c>
      <c r="J12" s="93" t="str">
        <f>PROSES!T9</f>
        <v/>
      </c>
      <c r="K12" s="93">
        <f>PROSES!R9</f>
        <v>0</v>
      </c>
      <c r="L12" s="93">
        <f>PROSES!S9</f>
        <v>0</v>
      </c>
      <c r="M12" s="93">
        <f t="shared" si="1"/>
        <v>30.333333333333332</v>
      </c>
      <c r="N12" s="93">
        <f>WSFIQIH!$H$128</f>
        <v>88.46875</v>
      </c>
      <c r="O12" s="93" t="str">
        <f>PROSES!AC9</f>
        <v/>
      </c>
      <c r="P12" s="93">
        <f>PROSES!AA9</f>
        <v>0</v>
      </c>
      <c r="Q12" s="93">
        <f>PROSES!AB9</f>
        <v>0</v>
      </c>
      <c r="R12" s="93">
        <f t="shared" si="2"/>
        <v>29.489583333333332</v>
      </c>
      <c r="S12" s="93">
        <f>WSSKI!$H$112</f>
        <v>83.25</v>
      </c>
      <c r="T12" s="93" t="str">
        <f>PROSES!AL9</f>
        <v/>
      </c>
      <c r="U12" s="93">
        <f>PROSES!AJ9</f>
        <v>0</v>
      </c>
      <c r="V12" s="93">
        <f>PROSES!AK9</f>
        <v>0</v>
      </c>
      <c r="W12" s="93">
        <f t="shared" si="3"/>
        <v>27.75</v>
      </c>
      <c r="X12" s="94">
        <f>WSPKN!$H$205</f>
        <v>95.772445436507951</v>
      </c>
      <c r="Y12" s="94">
        <f>PROSES!AV9</f>
        <v>0</v>
      </c>
      <c r="Z12" s="94">
        <f>PROSES!AS9</f>
        <v>0</v>
      </c>
      <c r="AA12" s="94">
        <f>PROSES!AT9</f>
        <v>0</v>
      </c>
      <c r="AB12" s="93">
        <f t="shared" si="4"/>
        <v>23.943111359126988</v>
      </c>
      <c r="AC12" s="94">
        <f>WSIND!$H$353</f>
        <v>95.01999463231347</v>
      </c>
      <c r="AD12" s="94" t="str">
        <f>PROSES!BD9</f>
        <v/>
      </c>
      <c r="AE12" s="94">
        <f>PROSES!BB9</f>
        <v>0</v>
      </c>
      <c r="AF12" s="94">
        <f>PROSES!BC9</f>
        <v>0</v>
      </c>
      <c r="AG12" s="93">
        <f t="shared" si="5"/>
        <v>31.673331544104489</v>
      </c>
      <c r="AH12" s="94" t="str">
        <f>WSARAB!$H$121</f>
        <v/>
      </c>
      <c r="AI12" s="94" t="str">
        <f>PROSES!BM9</f>
        <v/>
      </c>
      <c r="AJ12" s="94">
        <f>PROSES!BK9</f>
        <v>0</v>
      </c>
      <c r="AK12" s="94">
        <f>PROSES!BL9</f>
        <v>0</v>
      </c>
      <c r="AL12" s="93">
        <f t="shared" si="6"/>
        <v>0</v>
      </c>
      <c r="AM12" s="94">
        <f>WSMTK!$H$208</f>
        <v>95.078125</v>
      </c>
      <c r="AN12" s="94" t="str">
        <f>PROSES!BV9</f>
        <v/>
      </c>
      <c r="AO12" s="94">
        <f>PROSES!BT9</f>
        <v>0</v>
      </c>
      <c r="AP12" s="94">
        <f>PROSES!BU9</f>
        <v>0</v>
      </c>
      <c r="AQ12" s="93">
        <f t="shared" si="7"/>
        <v>31.692708333333332</v>
      </c>
      <c r="AR12" s="94" t="str">
        <f>WSIPA!$H$110</f>
        <v/>
      </c>
      <c r="AS12" s="94" t="str">
        <f>PROSES!CE9</f>
        <v/>
      </c>
      <c r="AT12" s="94">
        <f>PROSES!CC9</f>
        <v>0</v>
      </c>
      <c r="AU12" s="94">
        <f>PROSES!CD9</f>
        <v>0</v>
      </c>
      <c r="AV12" s="93">
        <f t="shared" si="8"/>
        <v>0</v>
      </c>
      <c r="AW12" s="94" t="str">
        <f>WSIPS!$H$110</f>
        <v/>
      </c>
      <c r="AX12" s="94" t="str">
        <f>PROSES!CN9</f>
        <v/>
      </c>
      <c r="AY12" s="94">
        <f>PROSES!CL9</f>
        <v>0</v>
      </c>
      <c r="AZ12" s="94">
        <f>PROSES!CM9</f>
        <v>0</v>
      </c>
      <c r="BA12" s="93">
        <f t="shared" si="9"/>
        <v>0</v>
      </c>
      <c r="BB12" s="94">
        <f>WSSBK!$H$127</f>
        <v>94.6875</v>
      </c>
      <c r="BC12" s="94" t="str">
        <f>PROSES!CW9</f>
        <v/>
      </c>
      <c r="BD12" s="94">
        <f>PROSES!CU9</f>
        <v>0</v>
      </c>
      <c r="BE12" s="94">
        <f>PROSES!CV9</f>
        <v>0</v>
      </c>
      <c r="BF12" s="93">
        <f t="shared" si="10"/>
        <v>31.5625</v>
      </c>
      <c r="BG12" s="94">
        <f>WSPENJAS!$H$22</f>
        <v>92</v>
      </c>
      <c r="BH12" s="94">
        <f>PROSES!DF9</f>
        <v>88.333333333333329</v>
      </c>
      <c r="BI12" s="94">
        <f>PROSES!DD9</f>
        <v>88</v>
      </c>
      <c r="BJ12" s="94">
        <f>PROSES!DE9</f>
        <v>97</v>
      </c>
      <c r="BK12" s="93">
        <f t="shared" si="11"/>
        <v>91.333333333333329</v>
      </c>
      <c r="BL12" s="95">
        <f>WSJAWA!$H$110</f>
        <v>95</v>
      </c>
      <c r="BM12" s="95" t="str">
        <f>PROSES!DO9</f>
        <v/>
      </c>
      <c r="BN12" s="95">
        <f>PROSES!DM9</f>
        <v>0</v>
      </c>
      <c r="BO12" s="95">
        <f>PROSES!DN9</f>
        <v>0</v>
      </c>
      <c r="BP12" s="93">
        <f t="shared" si="12"/>
        <v>31.666666666666668</v>
      </c>
      <c r="BQ12" s="95">
        <f>WSING!$H$114</f>
        <v>96.25</v>
      </c>
      <c r="BR12" s="95" t="str">
        <f>PROSES!DX9</f>
        <v/>
      </c>
      <c r="BS12" s="95">
        <f>PROSES!DV9</f>
        <v>0</v>
      </c>
      <c r="BT12" s="95">
        <f>PROSES!DW9</f>
        <v>0</v>
      </c>
      <c r="BU12" s="93">
        <f t="shared" si="13"/>
        <v>32.083333333333336</v>
      </c>
      <c r="BV12" s="95" t="str">
        <f>WSTIK!$H$110</f>
        <v/>
      </c>
      <c r="BW12" s="95">
        <f>PROSES!EG9</f>
        <v>88.5</v>
      </c>
      <c r="BX12" s="95">
        <f>PROSES!EE9</f>
        <v>89</v>
      </c>
      <c r="BY12" s="95">
        <f>PROSES!EF9</f>
        <v>0</v>
      </c>
      <c r="BZ12" s="93">
        <f t="shared" si="14"/>
        <v>59.166666666666664</v>
      </c>
      <c r="CA12" s="95" t="str">
        <f>WSASWAJA!$H$110</f>
        <v/>
      </c>
      <c r="CB12" s="95">
        <f>PROSES!EP9</f>
        <v>90.333333333333329</v>
      </c>
      <c r="CC12" s="95">
        <f>PROSES!EN9</f>
        <v>87</v>
      </c>
      <c r="CD12" s="95">
        <f>PROSES!EO9</f>
        <v>0</v>
      </c>
      <c r="CE12" s="93">
        <f t="shared" si="15"/>
        <v>59.111111111111107</v>
      </c>
      <c r="CF12" s="92">
        <f t="shared" si="16"/>
        <v>31.918410493951967</v>
      </c>
      <c r="CG12" s="85">
        <f t="shared" si="0"/>
        <v>15</v>
      </c>
    </row>
    <row r="13" spans="1:86" s="96" customFormat="1" ht="12.95" customHeight="1">
      <c r="A13" s="86">
        <v>5</v>
      </c>
      <c r="B13" s="83" t="str">
        <f>DATASISWA!E12</f>
        <v>Alifia Resya Putri Ramadhani</v>
      </c>
      <c r="C13" s="84">
        <f>DATASISWA!G12</f>
        <v>0</v>
      </c>
      <c r="D13" s="93">
        <f>WSALQURAN!$I$110</f>
        <v>93.238095238095227</v>
      </c>
      <c r="E13" s="93" t="str">
        <f>PROSES!K10</f>
        <v/>
      </c>
      <c r="F13" s="93">
        <f>PROSES!I10</f>
        <v>0</v>
      </c>
      <c r="G13" s="93">
        <f>PROSES!J10</f>
        <v>0</v>
      </c>
      <c r="H13" s="93">
        <f t="shared" si="17"/>
        <v>31.079365079365076</v>
      </c>
      <c r="I13" s="93">
        <f>WSAQIDAH!$I$110</f>
        <v>85</v>
      </c>
      <c r="J13" s="93" t="str">
        <f>PROSES!T10</f>
        <v/>
      </c>
      <c r="K13" s="93">
        <f>PROSES!R10</f>
        <v>0</v>
      </c>
      <c r="L13" s="93">
        <f>PROSES!S10</f>
        <v>0</v>
      </c>
      <c r="M13" s="93">
        <f t="shared" si="1"/>
        <v>28.333333333333332</v>
      </c>
      <c r="N13" s="93">
        <f>WSFIQIH!$I$128</f>
        <v>92.90625</v>
      </c>
      <c r="O13" s="93" t="str">
        <f>PROSES!AC10</f>
        <v/>
      </c>
      <c r="P13" s="93">
        <f>PROSES!AA10</f>
        <v>0</v>
      </c>
      <c r="Q13" s="93">
        <f>PROSES!AB10</f>
        <v>0</v>
      </c>
      <c r="R13" s="93">
        <f t="shared" si="2"/>
        <v>30.96875</v>
      </c>
      <c r="S13" s="93">
        <f>WSSKI!$I$112</f>
        <v>89.083333333333329</v>
      </c>
      <c r="T13" s="93" t="str">
        <f>PROSES!AL10</f>
        <v/>
      </c>
      <c r="U13" s="93">
        <f>PROSES!AJ10</f>
        <v>0</v>
      </c>
      <c r="V13" s="93">
        <f>PROSES!AK10</f>
        <v>0</v>
      </c>
      <c r="W13" s="93">
        <f t="shared" si="3"/>
        <v>29.694444444444443</v>
      </c>
      <c r="X13" s="94">
        <f>WSPKN!$I$205</f>
        <v>97.074652777777771</v>
      </c>
      <c r="Y13" s="94">
        <f>PROSES!AV10</f>
        <v>0</v>
      </c>
      <c r="Z13" s="94">
        <f>PROSES!AS10</f>
        <v>0</v>
      </c>
      <c r="AA13" s="94">
        <f>PROSES!AT10</f>
        <v>0</v>
      </c>
      <c r="AB13" s="93">
        <f t="shared" si="4"/>
        <v>24.268663194444443</v>
      </c>
      <c r="AC13" s="94">
        <f>WSIND!$I$353</f>
        <v>96.510907905835438</v>
      </c>
      <c r="AD13" s="94" t="str">
        <f>PROSES!BD10</f>
        <v/>
      </c>
      <c r="AE13" s="94">
        <f>PROSES!BB10</f>
        <v>0</v>
      </c>
      <c r="AF13" s="94">
        <f>PROSES!BC10</f>
        <v>0</v>
      </c>
      <c r="AG13" s="93">
        <f t="shared" si="5"/>
        <v>32.170302635278482</v>
      </c>
      <c r="AH13" s="94" t="str">
        <f>WSARAB!$I$121</f>
        <v/>
      </c>
      <c r="AI13" s="94" t="str">
        <f>PROSES!BM10</f>
        <v/>
      </c>
      <c r="AJ13" s="94">
        <f>PROSES!BK10</f>
        <v>0</v>
      </c>
      <c r="AK13" s="94">
        <f>PROSES!BL10</f>
        <v>0</v>
      </c>
      <c r="AL13" s="93">
        <f t="shared" si="6"/>
        <v>0</v>
      </c>
      <c r="AM13" s="94">
        <f>WSMTK!$I$208</f>
        <v>96.036458333333329</v>
      </c>
      <c r="AN13" s="94" t="str">
        <f>PROSES!BV10</f>
        <v/>
      </c>
      <c r="AO13" s="94">
        <f>PROSES!BT10</f>
        <v>0</v>
      </c>
      <c r="AP13" s="94">
        <f>PROSES!BU10</f>
        <v>0</v>
      </c>
      <c r="AQ13" s="93">
        <f t="shared" si="7"/>
        <v>32.012152777777779</v>
      </c>
      <c r="AR13" s="94" t="str">
        <f>WSIPA!$I$110</f>
        <v/>
      </c>
      <c r="AS13" s="94" t="str">
        <f>PROSES!CE10</f>
        <v/>
      </c>
      <c r="AT13" s="94">
        <f>PROSES!CC10</f>
        <v>0</v>
      </c>
      <c r="AU13" s="94">
        <f>PROSES!CD10</f>
        <v>0</v>
      </c>
      <c r="AV13" s="93">
        <f t="shared" si="8"/>
        <v>0</v>
      </c>
      <c r="AW13" s="94" t="str">
        <f>WSIPS!$I$110</f>
        <v/>
      </c>
      <c r="AX13" s="94" t="str">
        <f>PROSES!CN10</f>
        <v/>
      </c>
      <c r="AY13" s="94">
        <f>PROSES!CL10</f>
        <v>0</v>
      </c>
      <c r="AZ13" s="94">
        <f>PROSES!CM10</f>
        <v>0</v>
      </c>
      <c r="BA13" s="93">
        <f t="shared" si="9"/>
        <v>0</v>
      </c>
      <c r="BB13" s="94">
        <f>WSSBK!$I$127</f>
        <v>95.46875</v>
      </c>
      <c r="BC13" s="94" t="str">
        <f>PROSES!CW10</f>
        <v/>
      </c>
      <c r="BD13" s="94">
        <f>PROSES!CU10</f>
        <v>0</v>
      </c>
      <c r="BE13" s="94">
        <f>PROSES!CV10</f>
        <v>0</v>
      </c>
      <c r="BF13" s="93">
        <f t="shared" si="10"/>
        <v>31.822916666666668</v>
      </c>
      <c r="BG13" s="94">
        <f>WSPENJAS!$I$22</f>
        <v>96</v>
      </c>
      <c r="BH13" s="94">
        <f>PROSES!DF10</f>
        <v>91.666666666666671</v>
      </c>
      <c r="BI13" s="94">
        <f>PROSES!DD10</f>
        <v>92</v>
      </c>
      <c r="BJ13" s="94">
        <f>PROSES!DE10</f>
        <v>94</v>
      </c>
      <c r="BK13" s="93">
        <f t="shared" si="11"/>
        <v>93.416666666666671</v>
      </c>
      <c r="BL13" s="95">
        <f>WSJAWA!$I$110</f>
        <v>96.875</v>
      </c>
      <c r="BM13" s="95" t="str">
        <f>PROSES!DO10</f>
        <v/>
      </c>
      <c r="BN13" s="95">
        <f>PROSES!DM10</f>
        <v>0</v>
      </c>
      <c r="BO13" s="95">
        <f>PROSES!DN10</f>
        <v>0</v>
      </c>
      <c r="BP13" s="93">
        <f t="shared" si="12"/>
        <v>32.291666666666664</v>
      </c>
      <c r="BQ13" s="95">
        <f>WSING!$I$114</f>
        <v>95.25</v>
      </c>
      <c r="BR13" s="95" t="str">
        <f>PROSES!DX10</f>
        <v/>
      </c>
      <c r="BS13" s="95">
        <f>PROSES!DV10</f>
        <v>0</v>
      </c>
      <c r="BT13" s="95">
        <f>PROSES!DW10</f>
        <v>0</v>
      </c>
      <c r="BU13" s="93">
        <f t="shared" si="13"/>
        <v>31.75</v>
      </c>
      <c r="BV13" s="95" t="str">
        <f>WSTIK!$I$110</f>
        <v/>
      </c>
      <c r="BW13" s="95">
        <f>PROSES!EG10</f>
        <v>92.5</v>
      </c>
      <c r="BX13" s="95">
        <f>PROSES!EE10</f>
        <v>93</v>
      </c>
      <c r="BY13" s="95">
        <f>PROSES!EF10</f>
        <v>0</v>
      </c>
      <c r="BZ13" s="93">
        <f t="shared" si="14"/>
        <v>61.833333333333336</v>
      </c>
      <c r="CA13" s="95" t="str">
        <f>WSASWAJA!$I$110</f>
        <v/>
      </c>
      <c r="CB13" s="95">
        <f>PROSES!EP10</f>
        <v>100</v>
      </c>
      <c r="CC13" s="95">
        <f>PROSES!EN10</f>
        <v>92</v>
      </c>
      <c r="CD13" s="95">
        <f>PROSES!EO10</f>
        <v>0</v>
      </c>
      <c r="CE13" s="93">
        <f t="shared" si="15"/>
        <v>64</v>
      </c>
      <c r="CF13" s="92">
        <f t="shared" si="16"/>
        <v>32.727599674873559</v>
      </c>
      <c r="CG13" s="85">
        <f t="shared" si="0"/>
        <v>7</v>
      </c>
    </row>
    <row r="14" spans="1:86" s="96" customFormat="1" ht="12.95" customHeight="1">
      <c r="A14" s="87">
        <v>6</v>
      </c>
      <c r="B14" s="83" t="str">
        <f>DATASISWA!E13</f>
        <v>Fadhil Rahman</v>
      </c>
      <c r="C14" s="84">
        <f>DATASISWA!G13</f>
        <v>0</v>
      </c>
      <c r="D14" s="93">
        <f>WSALQURAN!$J$110</f>
        <v>94.619047619047606</v>
      </c>
      <c r="E14" s="93" t="str">
        <f>PROSES!K11</f>
        <v/>
      </c>
      <c r="F14" s="93">
        <f>PROSES!I11</f>
        <v>0</v>
      </c>
      <c r="G14" s="93">
        <f>PROSES!J11</f>
        <v>0</v>
      </c>
      <c r="H14" s="93">
        <f t="shared" si="17"/>
        <v>31.539682539682534</v>
      </c>
      <c r="I14" s="93">
        <f>WSAQIDAH!$J$110</f>
        <v>93.8</v>
      </c>
      <c r="J14" s="93" t="str">
        <f>PROSES!T11</f>
        <v/>
      </c>
      <c r="K14" s="93">
        <f>PROSES!R11</f>
        <v>0</v>
      </c>
      <c r="L14" s="93">
        <f>PROSES!S11</f>
        <v>0</v>
      </c>
      <c r="M14" s="93">
        <f t="shared" si="1"/>
        <v>31.266666666666666</v>
      </c>
      <c r="N14" s="93">
        <f>WSFIQIH!$J$128</f>
        <v>91.09375</v>
      </c>
      <c r="O14" s="93" t="str">
        <f>PROSES!AC11</f>
        <v/>
      </c>
      <c r="P14" s="93">
        <f>PROSES!AA11</f>
        <v>0</v>
      </c>
      <c r="Q14" s="93">
        <f>PROSES!AB11</f>
        <v>0</v>
      </c>
      <c r="R14" s="93">
        <f t="shared" si="2"/>
        <v>30.364583333333332</v>
      </c>
      <c r="S14" s="93">
        <f>WSSKI!$J$112</f>
        <v>97.744444444444454</v>
      </c>
      <c r="T14" s="93" t="str">
        <f>PROSES!AL11</f>
        <v/>
      </c>
      <c r="U14" s="93">
        <f>PROSES!AJ11</f>
        <v>0</v>
      </c>
      <c r="V14" s="93">
        <f>PROSES!AK11</f>
        <v>0</v>
      </c>
      <c r="W14" s="93">
        <f t="shared" si="3"/>
        <v>32.581481481481482</v>
      </c>
      <c r="X14" s="94">
        <f>WSPKN!$J$205</f>
        <v>97.803368506493513</v>
      </c>
      <c r="Y14" s="94">
        <f>PROSES!AV11</f>
        <v>0</v>
      </c>
      <c r="Z14" s="94">
        <f>PROSES!AS11</f>
        <v>0</v>
      </c>
      <c r="AA14" s="94">
        <f>PROSES!AT11</f>
        <v>0</v>
      </c>
      <c r="AB14" s="93">
        <f t="shared" si="4"/>
        <v>24.450842126623378</v>
      </c>
      <c r="AC14" s="94">
        <f>WSIND!$J$353</f>
        <v>98.296503684184856</v>
      </c>
      <c r="AD14" s="94" t="str">
        <f>PROSES!BD11</f>
        <v/>
      </c>
      <c r="AE14" s="94">
        <f>PROSES!BB11</f>
        <v>0</v>
      </c>
      <c r="AF14" s="94">
        <f>PROSES!BC11</f>
        <v>0</v>
      </c>
      <c r="AG14" s="93">
        <f t="shared" si="5"/>
        <v>32.765501228061616</v>
      </c>
      <c r="AH14" s="94" t="str">
        <f>WSARAB!$J$121</f>
        <v/>
      </c>
      <c r="AI14" s="94" t="str">
        <f>PROSES!BM11</f>
        <v/>
      </c>
      <c r="AJ14" s="94">
        <f>PROSES!BK11</f>
        <v>0</v>
      </c>
      <c r="AK14" s="94">
        <f>PROSES!BL11</f>
        <v>0</v>
      </c>
      <c r="AL14" s="93">
        <f t="shared" si="6"/>
        <v>0</v>
      </c>
      <c r="AM14" s="94">
        <f>WSMTK!$J$208</f>
        <v>98.010416666666671</v>
      </c>
      <c r="AN14" s="94" t="str">
        <f>PROSES!BV11</f>
        <v/>
      </c>
      <c r="AO14" s="94">
        <f>PROSES!BT11</f>
        <v>0</v>
      </c>
      <c r="AP14" s="94">
        <f>PROSES!BU11</f>
        <v>0</v>
      </c>
      <c r="AQ14" s="93">
        <f t="shared" si="7"/>
        <v>32.670138888888893</v>
      </c>
      <c r="AR14" s="94" t="str">
        <f>WSIPA!$J$110</f>
        <v/>
      </c>
      <c r="AS14" s="94" t="str">
        <f>PROSES!CE11</f>
        <v/>
      </c>
      <c r="AT14" s="94">
        <f>PROSES!CC11</f>
        <v>0</v>
      </c>
      <c r="AU14" s="94">
        <f>PROSES!CD11</f>
        <v>0</v>
      </c>
      <c r="AV14" s="93">
        <f t="shared" si="8"/>
        <v>0</v>
      </c>
      <c r="AW14" s="94" t="str">
        <f>WSIPS!$J$110</f>
        <v/>
      </c>
      <c r="AX14" s="94" t="str">
        <f>PROSES!CN11</f>
        <v/>
      </c>
      <c r="AY14" s="94">
        <f>PROSES!CL11</f>
        <v>0</v>
      </c>
      <c r="AZ14" s="94">
        <f>PROSES!CM11</f>
        <v>0</v>
      </c>
      <c r="BA14" s="93">
        <f t="shared" si="9"/>
        <v>0</v>
      </c>
      <c r="BB14" s="94">
        <f>WSSBK!$J$127</f>
        <v>97.96875</v>
      </c>
      <c r="BC14" s="94" t="str">
        <f>PROSES!CW11</f>
        <v/>
      </c>
      <c r="BD14" s="94">
        <f>PROSES!CU11</f>
        <v>0</v>
      </c>
      <c r="BE14" s="94">
        <f>PROSES!CV11</f>
        <v>0</v>
      </c>
      <c r="BF14" s="93">
        <f t="shared" si="10"/>
        <v>32.65625</v>
      </c>
      <c r="BG14" s="94">
        <f>WSPENJAS!$J$22</f>
        <v>89</v>
      </c>
      <c r="BH14" s="94">
        <f>PROSES!DF11</f>
        <v>91.666666666666671</v>
      </c>
      <c r="BI14" s="94">
        <f>PROSES!DD11</f>
        <v>92</v>
      </c>
      <c r="BJ14" s="94">
        <f>PROSES!DE11</f>
        <v>91</v>
      </c>
      <c r="BK14" s="93">
        <f t="shared" si="11"/>
        <v>90.916666666666671</v>
      </c>
      <c r="BL14" s="95">
        <f>WSJAWA!$J$110</f>
        <v>97.5</v>
      </c>
      <c r="BM14" s="95" t="str">
        <f>PROSES!DO11</f>
        <v/>
      </c>
      <c r="BN14" s="95">
        <f>PROSES!DM11</f>
        <v>0</v>
      </c>
      <c r="BO14" s="95">
        <f>PROSES!DN11</f>
        <v>0</v>
      </c>
      <c r="BP14" s="93">
        <f t="shared" si="12"/>
        <v>32.5</v>
      </c>
      <c r="BQ14" s="95">
        <f>WSING!$J$114</f>
        <v>96.5</v>
      </c>
      <c r="BR14" s="95" t="str">
        <f>PROSES!DX11</f>
        <v/>
      </c>
      <c r="BS14" s="95">
        <f>PROSES!DV11</f>
        <v>0</v>
      </c>
      <c r="BT14" s="95">
        <f>PROSES!DW11</f>
        <v>0</v>
      </c>
      <c r="BU14" s="93">
        <f t="shared" si="13"/>
        <v>32.166666666666664</v>
      </c>
      <c r="BV14" s="95" t="str">
        <f>WSTIK!$J$110</f>
        <v/>
      </c>
      <c r="BW14" s="95">
        <f>PROSES!EG11</f>
        <v>93.5</v>
      </c>
      <c r="BX14" s="95">
        <f>PROSES!EE11</f>
        <v>94</v>
      </c>
      <c r="BY14" s="95">
        <f>PROSES!EF11</f>
        <v>0</v>
      </c>
      <c r="BZ14" s="93">
        <f t="shared" si="14"/>
        <v>62.5</v>
      </c>
      <c r="CA14" s="95" t="str">
        <f>WSASWAJA!$J$110</f>
        <v/>
      </c>
      <c r="CB14" s="95">
        <f>PROSES!EP11</f>
        <v>91.666666666666671</v>
      </c>
      <c r="CC14" s="95">
        <f>PROSES!EN11</f>
        <v>95</v>
      </c>
      <c r="CD14" s="95">
        <f>PROSES!EO11</f>
        <v>0</v>
      </c>
      <c r="CE14" s="93">
        <f t="shared" si="15"/>
        <v>62.222222222222229</v>
      </c>
      <c r="CF14" s="92">
        <f t="shared" si="16"/>
        <v>33.037543863768342</v>
      </c>
      <c r="CG14" s="85">
        <f t="shared" si="0"/>
        <v>5</v>
      </c>
    </row>
    <row r="15" spans="1:86" s="96" customFormat="1" ht="12.95" customHeight="1">
      <c r="A15" s="87">
        <v>7</v>
      </c>
      <c r="B15" s="83" t="str">
        <f>DATASISWA!E14</f>
        <v>Griffin Uefa Syam Sabrin</v>
      </c>
      <c r="C15" s="84">
        <f>DATASISWA!G14</f>
        <v>0</v>
      </c>
      <c r="D15" s="93">
        <f>WSALQURAN!$K$110</f>
        <v>98.476190476190467</v>
      </c>
      <c r="E15" s="93" t="str">
        <f>PROSES!K12</f>
        <v/>
      </c>
      <c r="F15" s="93">
        <f>PROSES!I12</f>
        <v>0</v>
      </c>
      <c r="G15" s="93">
        <f>PROSES!J12</f>
        <v>0</v>
      </c>
      <c r="H15" s="93">
        <f t="shared" si="17"/>
        <v>32.825396825396822</v>
      </c>
      <c r="I15" s="93">
        <f>WSAQIDAH!$K$110</f>
        <v>96.5</v>
      </c>
      <c r="J15" s="93" t="str">
        <f>PROSES!T12</f>
        <v/>
      </c>
      <c r="K15" s="93">
        <f>PROSES!R12</f>
        <v>0</v>
      </c>
      <c r="L15" s="93">
        <f>PROSES!S12</f>
        <v>0</v>
      </c>
      <c r="M15" s="93">
        <f t="shared" si="1"/>
        <v>32.166666666666664</v>
      </c>
      <c r="N15" s="93">
        <f>WSFIQIH!$K$128</f>
        <v>94.375</v>
      </c>
      <c r="O15" s="93" t="str">
        <f>PROSES!AC12</f>
        <v/>
      </c>
      <c r="P15" s="93">
        <f>PROSES!AA12</f>
        <v>0</v>
      </c>
      <c r="Q15" s="93">
        <f>PROSES!AB12</f>
        <v>0</v>
      </c>
      <c r="R15" s="93">
        <f t="shared" si="2"/>
        <v>31.458333333333332</v>
      </c>
      <c r="S15" s="93">
        <f>WSSKI!$K$112</f>
        <v>89.988888888888894</v>
      </c>
      <c r="T15" s="93" t="str">
        <f>PROSES!AL12</f>
        <v/>
      </c>
      <c r="U15" s="93">
        <f>PROSES!AJ12</f>
        <v>0</v>
      </c>
      <c r="V15" s="93">
        <f>PROSES!AK12</f>
        <v>0</v>
      </c>
      <c r="W15" s="93">
        <f t="shared" si="3"/>
        <v>29.996296296296297</v>
      </c>
      <c r="X15" s="94">
        <f>WSPKN!$K$205</f>
        <v>99.178075396825392</v>
      </c>
      <c r="Y15" s="94">
        <f>PROSES!AV12</f>
        <v>0</v>
      </c>
      <c r="Z15" s="94">
        <f>PROSES!AS12</f>
        <v>0</v>
      </c>
      <c r="AA15" s="94">
        <f>PROSES!AT12</f>
        <v>0</v>
      </c>
      <c r="AB15" s="93">
        <f t="shared" si="4"/>
        <v>24.794518849206348</v>
      </c>
      <c r="AC15" s="94">
        <f>WSIND!$K$353</f>
        <v>98.20679012345677</v>
      </c>
      <c r="AD15" s="94" t="str">
        <f>PROSES!BD12</f>
        <v/>
      </c>
      <c r="AE15" s="94">
        <f>PROSES!BB12</f>
        <v>0</v>
      </c>
      <c r="AF15" s="94">
        <f>PROSES!BC12</f>
        <v>0</v>
      </c>
      <c r="AG15" s="93">
        <f t="shared" si="5"/>
        <v>32.735596707818921</v>
      </c>
      <c r="AH15" s="94" t="str">
        <f>WSARAB!$K$121</f>
        <v/>
      </c>
      <c r="AI15" s="94" t="str">
        <f>PROSES!BM12</f>
        <v/>
      </c>
      <c r="AJ15" s="94">
        <f>PROSES!BK12</f>
        <v>0</v>
      </c>
      <c r="AK15" s="94">
        <f>PROSES!BL12</f>
        <v>0</v>
      </c>
      <c r="AL15" s="93">
        <f t="shared" si="6"/>
        <v>0</v>
      </c>
      <c r="AM15" s="94">
        <f>WSMTK!$K$208</f>
        <v>97.630208333333329</v>
      </c>
      <c r="AN15" s="94" t="str">
        <f>PROSES!BV12</f>
        <v/>
      </c>
      <c r="AO15" s="94">
        <f>PROSES!BT12</f>
        <v>0</v>
      </c>
      <c r="AP15" s="94">
        <f>PROSES!BU12</f>
        <v>0</v>
      </c>
      <c r="AQ15" s="93">
        <f t="shared" si="7"/>
        <v>32.543402777777779</v>
      </c>
      <c r="AR15" s="94" t="str">
        <f>WSIPA!$K$110</f>
        <v/>
      </c>
      <c r="AS15" s="94" t="str">
        <f>PROSES!CE12</f>
        <v/>
      </c>
      <c r="AT15" s="94">
        <f>PROSES!CC12</f>
        <v>0</v>
      </c>
      <c r="AU15" s="94">
        <f>PROSES!CD12</f>
        <v>0</v>
      </c>
      <c r="AV15" s="93">
        <f t="shared" si="8"/>
        <v>0</v>
      </c>
      <c r="AW15" s="94" t="str">
        <f>WSIPS!$K$110</f>
        <v/>
      </c>
      <c r="AX15" s="94" t="str">
        <f>PROSES!CN12</f>
        <v/>
      </c>
      <c r="AY15" s="94">
        <f>PROSES!CL12</f>
        <v>0</v>
      </c>
      <c r="AZ15" s="94">
        <f>PROSES!CM12</f>
        <v>0</v>
      </c>
      <c r="BA15" s="93">
        <f t="shared" si="9"/>
        <v>0</v>
      </c>
      <c r="BB15" s="94">
        <f>WSSBK!$K$127</f>
        <v>96.25</v>
      </c>
      <c r="BC15" s="94" t="str">
        <f>PROSES!CW12</f>
        <v/>
      </c>
      <c r="BD15" s="94">
        <f>PROSES!CU12</f>
        <v>0</v>
      </c>
      <c r="BE15" s="94">
        <f>PROSES!CV12</f>
        <v>0</v>
      </c>
      <c r="BF15" s="93">
        <f t="shared" si="10"/>
        <v>32.083333333333336</v>
      </c>
      <c r="BG15" s="94">
        <f>WSPENJAS!$K$22</f>
        <v>90</v>
      </c>
      <c r="BH15" s="94">
        <f>PROSES!DF12</f>
        <v>91.333333333333329</v>
      </c>
      <c r="BI15" s="94">
        <f>PROSES!DD12</f>
        <v>91</v>
      </c>
      <c r="BJ15" s="94">
        <f>PROSES!DE12</f>
        <v>94</v>
      </c>
      <c r="BK15" s="93">
        <f t="shared" si="11"/>
        <v>91.583333333333329</v>
      </c>
      <c r="BL15" s="95">
        <f>WSJAWA!$K$110</f>
        <v>99.166666666666671</v>
      </c>
      <c r="BM15" s="95" t="str">
        <f>PROSES!DO12</f>
        <v/>
      </c>
      <c r="BN15" s="95">
        <f>PROSES!DM12</f>
        <v>0</v>
      </c>
      <c r="BO15" s="95">
        <f>PROSES!DN12</f>
        <v>0</v>
      </c>
      <c r="BP15" s="93">
        <f t="shared" si="12"/>
        <v>33.055555555555557</v>
      </c>
      <c r="BQ15" s="95">
        <f>WSING!$K$114</f>
        <v>96.666666666666657</v>
      </c>
      <c r="BR15" s="95" t="str">
        <f>PROSES!DX12</f>
        <v/>
      </c>
      <c r="BS15" s="95">
        <f>PROSES!DV12</f>
        <v>0</v>
      </c>
      <c r="BT15" s="95">
        <f>PROSES!DW12</f>
        <v>0</v>
      </c>
      <c r="BU15" s="93">
        <f t="shared" si="13"/>
        <v>32.222222222222221</v>
      </c>
      <c r="BV15" s="95" t="str">
        <f>WSTIK!$K$110</f>
        <v/>
      </c>
      <c r="BW15" s="95">
        <f>PROSES!EG12</f>
        <v>93.5</v>
      </c>
      <c r="BX15" s="95">
        <f>PROSES!EE12</f>
        <v>94</v>
      </c>
      <c r="BY15" s="95">
        <f>PROSES!EF12</f>
        <v>0</v>
      </c>
      <c r="BZ15" s="93">
        <f t="shared" si="14"/>
        <v>62.5</v>
      </c>
      <c r="CA15" s="95" t="str">
        <f>WSASWAJA!$K$110</f>
        <v/>
      </c>
      <c r="CB15" s="95">
        <f>PROSES!EP12</f>
        <v>98.333333333333329</v>
      </c>
      <c r="CC15" s="95">
        <f>PROSES!EN12</f>
        <v>96</v>
      </c>
      <c r="CD15" s="95">
        <f>PROSES!EO12</f>
        <v>0</v>
      </c>
      <c r="CE15" s="93">
        <f t="shared" si="15"/>
        <v>64.777777777777771</v>
      </c>
      <c r="CF15" s="92">
        <f t="shared" si="16"/>
        <v>33.296402104919899</v>
      </c>
      <c r="CG15" s="85">
        <f t="shared" si="0"/>
        <v>2</v>
      </c>
    </row>
    <row r="16" spans="1:86" s="96" customFormat="1" ht="12.95" customHeight="1">
      <c r="A16" s="87">
        <v>8</v>
      </c>
      <c r="B16" s="83" t="str">
        <f>DATASISWA!E15</f>
        <v>Khoiriya Uzlivatul Jannah</v>
      </c>
      <c r="C16" s="84">
        <f>DATASISWA!G15</f>
        <v>0</v>
      </c>
      <c r="D16" s="93">
        <f>WSALQURAN!$L$110</f>
        <v>90.952380952380963</v>
      </c>
      <c r="E16" s="93" t="str">
        <f>PROSES!K13</f>
        <v/>
      </c>
      <c r="F16" s="93">
        <f>PROSES!I13</f>
        <v>0</v>
      </c>
      <c r="G16" s="93">
        <f>PROSES!J13</f>
        <v>0</v>
      </c>
      <c r="H16" s="93">
        <f t="shared" si="17"/>
        <v>30.31746031746032</v>
      </c>
      <c r="I16" s="93">
        <f>WSAQIDAH!$L$110</f>
        <v>91.25</v>
      </c>
      <c r="J16" s="93" t="str">
        <f>PROSES!T13</f>
        <v/>
      </c>
      <c r="K16" s="93">
        <f>PROSES!R13</f>
        <v>0</v>
      </c>
      <c r="L16" s="93">
        <f>PROSES!S13</f>
        <v>0</v>
      </c>
      <c r="M16" s="93">
        <f t="shared" si="1"/>
        <v>30.416666666666668</v>
      </c>
      <c r="N16" s="93">
        <f>WSFIQIH!$L$128</f>
        <v>95.428571428571431</v>
      </c>
      <c r="O16" s="93" t="str">
        <f>PROSES!AC13</f>
        <v/>
      </c>
      <c r="P16" s="93">
        <f>PROSES!AA13</f>
        <v>0</v>
      </c>
      <c r="Q16" s="93">
        <f>PROSES!AB13</f>
        <v>0</v>
      </c>
      <c r="R16" s="93">
        <f t="shared" si="2"/>
        <v>31.80952380952381</v>
      </c>
      <c r="S16" s="93">
        <f>WSSKI!$L$112</f>
        <v>88.722222222222214</v>
      </c>
      <c r="T16" s="93" t="str">
        <f>PROSES!AL13</f>
        <v/>
      </c>
      <c r="U16" s="93">
        <f>PROSES!AJ13</f>
        <v>0</v>
      </c>
      <c r="V16" s="93">
        <f>PROSES!AK13</f>
        <v>0</v>
      </c>
      <c r="W16" s="93">
        <f t="shared" si="3"/>
        <v>29.574074074074073</v>
      </c>
      <c r="X16" s="94">
        <f>WSPKN!$L$205</f>
        <v>97.233506944444443</v>
      </c>
      <c r="Y16" s="94">
        <f>PROSES!AV13</f>
        <v>0</v>
      </c>
      <c r="Z16" s="94">
        <f>PROSES!AS13</f>
        <v>0</v>
      </c>
      <c r="AA16" s="94">
        <f>PROSES!AT13</f>
        <v>0</v>
      </c>
      <c r="AB16" s="93">
        <f t="shared" si="4"/>
        <v>24.308376736111111</v>
      </c>
      <c r="AC16" s="94">
        <f>WSIND!$L$353</f>
        <v>96.774154589371989</v>
      </c>
      <c r="AD16" s="94" t="str">
        <f>PROSES!BD13</f>
        <v/>
      </c>
      <c r="AE16" s="94">
        <f>PROSES!BB13</f>
        <v>0</v>
      </c>
      <c r="AF16" s="94">
        <f>PROSES!BC13</f>
        <v>0</v>
      </c>
      <c r="AG16" s="93">
        <f t="shared" si="5"/>
        <v>32.258051529790663</v>
      </c>
      <c r="AH16" s="94" t="str">
        <f>WSARAB!$L$121</f>
        <v/>
      </c>
      <c r="AI16" s="94" t="str">
        <f>PROSES!BM13</f>
        <v/>
      </c>
      <c r="AJ16" s="94">
        <f>PROSES!BK13</f>
        <v>0</v>
      </c>
      <c r="AK16" s="94">
        <f>PROSES!BL13</f>
        <v>0</v>
      </c>
      <c r="AL16" s="93">
        <f t="shared" si="6"/>
        <v>0</v>
      </c>
      <c r="AM16" s="94">
        <f>WSMTK!$L$208</f>
        <v>96.973958333333329</v>
      </c>
      <c r="AN16" s="94" t="str">
        <f>PROSES!BV13</f>
        <v/>
      </c>
      <c r="AO16" s="94">
        <f>PROSES!BT13</f>
        <v>0</v>
      </c>
      <c r="AP16" s="94">
        <f>PROSES!BU13</f>
        <v>0</v>
      </c>
      <c r="AQ16" s="93">
        <f t="shared" si="7"/>
        <v>32.324652777777779</v>
      </c>
      <c r="AR16" s="94" t="str">
        <f>WSIPA!$L$110</f>
        <v/>
      </c>
      <c r="AS16" s="94" t="str">
        <f>PROSES!CE13</f>
        <v/>
      </c>
      <c r="AT16" s="94">
        <f>PROSES!CC13</f>
        <v>0</v>
      </c>
      <c r="AU16" s="94">
        <f>PROSES!CD13</f>
        <v>0</v>
      </c>
      <c r="AV16" s="93">
        <f t="shared" si="8"/>
        <v>0</v>
      </c>
      <c r="AW16" s="94" t="str">
        <f>WSIPS!$L$110</f>
        <v/>
      </c>
      <c r="AX16" s="94" t="str">
        <f>PROSES!CN13</f>
        <v/>
      </c>
      <c r="AY16" s="94">
        <f>PROSES!CL13</f>
        <v>0</v>
      </c>
      <c r="AZ16" s="94">
        <f>PROSES!CM13</f>
        <v>0</v>
      </c>
      <c r="BA16" s="93">
        <f t="shared" si="9"/>
        <v>0</v>
      </c>
      <c r="BB16" s="94">
        <f>WSSBK!$L$127</f>
        <v>95.9375</v>
      </c>
      <c r="BC16" s="94" t="str">
        <f>PROSES!CW13</f>
        <v/>
      </c>
      <c r="BD16" s="94">
        <f>PROSES!CU13</f>
        <v>0</v>
      </c>
      <c r="BE16" s="94">
        <f>PROSES!CV13</f>
        <v>0</v>
      </c>
      <c r="BF16" s="93">
        <f t="shared" si="10"/>
        <v>31.979166666666668</v>
      </c>
      <c r="BG16" s="94">
        <f>WSPENJAS!$L$22</f>
        <v>94</v>
      </c>
      <c r="BH16" s="94">
        <f>PROSES!DF13</f>
        <v>96.666666666666671</v>
      </c>
      <c r="BI16" s="94">
        <f>PROSES!DD13</f>
        <v>97</v>
      </c>
      <c r="BJ16" s="94">
        <f>PROSES!DE13</f>
        <v>97</v>
      </c>
      <c r="BK16" s="93">
        <f t="shared" si="11"/>
        <v>96.166666666666671</v>
      </c>
      <c r="BL16" s="95">
        <f>WSJAWA!$L$110</f>
        <v>97.083333333333343</v>
      </c>
      <c r="BM16" s="95" t="str">
        <f>PROSES!DO13</f>
        <v/>
      </c>
      <c r="BN16" s="95">
        <f>PROSES!DM13</f>
        <v>0</v>
      </c>
      <c r="BO16" s="95">
        <f>PROSES!DN13</f>
        <v>0</v>
      </c>
      <c r="BP16" s="93">
        <f t="shared" si="12"/>
        <v>32.361111111111114</v>
      </c>
      <c r="BQ16" s="95">
        <f>WSING!$L$114</f>
        <v>97.583333333333343</v>
      </c>
      <c r="BR16" s="95" t="str">
        <f>PROSES!DX13</f>
        <v/>
      </c>
      <c r="BS16" s="95">
        <f>PROSES!DV13</f>
        <v>0</v>
      </c>
      <c r="BT16" s="95">
        <f>PROSES!DW13</f>
        <v>0</v>
      </c>
      <c r="BU16" s="93">
        <f t="shared" si="13"/>
        <v>32.527777777777779</v>
      </c>
      <c r="BV16" s="95" t="str">
        <f>WSTIK!$L$110</f>
        <v/>
      </c>
      <c r="BW16" s="95">
        <f>PROSES!EG13</f>
        <v>92.5</v>
      </c>
      <c r="BX16" s="95">
        <f>PROSES!EE13</f>
        <v>93</v>
      </c>
      <c r="BY16" s="95">
        <f>PROSES!EF13</f>
        <v>0</v>
      </c>
      <c r="BZ16" s="93">
        <f t="shared" si="14"/>
        <v>61.833333333333336</v>
      </c>
      <c r="CA16" s="95" t="str">
        <f>WSASWAJA!$L$110</f>
        <v/>
      </c>
      <c r="CB16" s="95">
        <f>PROSES!EP13</f>
        <v>98.333333333333329</v>
      </c>
      <c r="CC16" s="95">
        <f>PROSES!EN13</f>
        <v>100</v>
      </c>
      <c r="CD16" s="95">
        <f>PROSES!EO13</f>
        <v>0</v>
      </c>
      <c r="CE16" s="93">
        <f t="shared" si="15"/>
        <v>66.1111111111111</v>
      </c>
      <c r="CF16" s="92">
        <f t="shared" si="16"/>
        <v>33.249248286129436</v>
      </c>
      <c r="CG16" s="85">
        <f t="shared" si="0"/>
        <v>3</v>
      </c>
    </row>
    <row r="17" spans="1:85" s="96" customFormat="1" ht="12.95" customHeight="1">
      <c r="A17" s="87">
        <v>9</v>
      </c>
      <c r="B17" s="83" t="str">
        <f>DATASISWA!E16</f>
        <v>Nazlia Azelea Tiarany</v>
      </c>
      <c r="C17" s="84">
        <f>DATASISWA!G16</f>
        <v>0</v>
      </c>
      <c r="D17" s="93">
        <f>WSALQURAN!$M$110</f>
        <v>90.904761904761912</v>
      </c>
      <c r="E17" s="93" t="str">
        <f>PROSES!K14</f>
        <v/>
      </c>
      <c r="F17" s="93">
        <f>PROSES!I14</f>
        <v>0</v>
      </c>
      <c r="G17" s="93">
        <f>PROSES!J14</f>
        <v>0</v>
      </c>
      <c r="H17" s="93">
        <f t="shared" si="17"/>
        <v>30.301587301587304</v>
      </c>
      <c r="I17" s="93">
        <f>WSAQIDAH!$M$110</f>
        <v>89.55</v>
      </c>
      <c r="J17" s="93" t="str">
        <f>PROSES!T14</f>
        <v/>
      </c>
      <c r="K17" s="93">
        <f>PROSES!R14</f>
        <v>0</v>
      </c>
      <c r="L17" s="93">
        <f>PROSES!S14</f>
        <v>0</v>
      </c>
      <c r="M17" s="93">
        <f t="shared" si="1"/>
        <v>29.849999999999998</v>
      </c>
      <c r="N17" s="93">
        <f>WSFIQIH!$M$128</f>
        <v>89.1875</v>
      </c>
      <c r="O17" s="93" t="str">
        <f>PROSES!AC14</f>
        <v/>
      </c>
      <c r="P17" s="93">
        <f>PROSES!AA14</f>
        <v>0</v>
      </c>
      <c r="Q17" s="93">
        <f>PROSES!AB14</f>
        <v>0</v>
      </c>
      <c r="R17" s="93">
        <f t="shared" si="2"/>
        <v>29.729166666666668</v>
      </c>
      <c r="S17" s="93">
        <f>WSSKI!$M$112</f>
        <v>85.11666666666666</v>
      </c>
      <c r="T17" s="93" t="str">
        <f>PROSES!AL14</f>
        <v/>
      </c>
      <c r="U17" s="93">
        <f>PROSES!AJ14</f>
        <v>0</v>
      </c>
      <c r="V17" s="93">
        <f>PROSES!AK14</f>
        <v>0</v>
      </c>
      <c r="W17" s="93">
        <f t="shared" si="3"/>
        <v>28.37222222222222</v>
      </c>
      <c r="X17" s="94">
        <f>WSPKN!$M$205</f>
        <v>94.912202380952394</v>
      </c>
      <c r="Y17" s="94">
        <f>PROSES!AV14</f>
        <v>0</v>
      </c>
      <c r="Z17" s="94">
        <f>PROSES!AS14</f>
        <v>0</v>
      </c>
      <c r="AA17" s="94">
        <f>PROSES!AT14</f>
        <v>0</v>
      </c>
      <c r="AB17" s="93">
        <f t="shared" si="4"/>
        <v>23.728050595238098</v>
      </c>
      <c r="AC17" s="94">
        <f>WSIND!$M$353</f>
        <v>94.646537842190014</v>
      </c>
      <c r="AD17" s="94" t="str">
        <f>PROSES!BD14</f>
        <v/>
      </c>
      <c r="AE17" s="94">
        <f>PROSES!BB14</f>
        <v>0</v>
      </c>
      <c r="AF17" s="94">
        <f>PROSES!BC14</f>
        <v>0</v>
      </c>
      <c r="AG17" s="93">
        <f t="shared" si="5"/>
        <v>31.548845947396671</v>
      </c>
      <c r="AH17" s="94" t="str">
        <f>WSARAB!$M$121</f>
        <v/>
      </c>
      <c r="AI17" s="94" t="str">
        <f>PROSES!BM14</f>
        <v/>
      </c>
      <c r="AJ17" s="94">
        <f>PROSES!BK14</f>
        <v>0</v>
      </c>
      <c r="AK17" s="94">
        <f>PROSES!BL14</f>
        <v>0</v>
      </c>
      <c r="AL17" s="93">
        <f t="shared" si="6"/>
        <v>0</v>
      </c>
      <c r="AM17" s="94">
        <f>WSMTK!$M$208</f>
        <v>94.40625</v>
      </c>
      <c r="AN17" s="94" t="str">
        <f>PROSES!BV14</f>
        <v/>
      </c>
      <c r="AO17" s="94">
        <f>PROSES!BT14</f>
        <v>0</v>
      </c>
      <c r="AP17" s="94">
        <f>PROSES!BU14</f>
        <v>0</v>
      </c>
      <c r="AQ17" s="93">
        <f t="shared" si="7"/>
        <v>31.46875</v>
      </c>
      <c r="AR17" s="94" t="str">
        <f>WSIPA!$M$110</f>
        <v/>
      </c>
      <c r="AS17" s="94" t="str">
        <f>PROSES!CE14</f>
        <v/>
      </c>
      <c r="AT17" s="94">
        <f>PROSES!CC14</f>
        <v>0</v>
      </c>
      <c r="AU17" s="94">
        <f>PROSES!CD14</f>
        <v>0</v>
      </c>
      <c r="AV17" s="93">
        <f t="shared" si="8"/>
        <v>0</v>
      </c>
      <c r="AW17" s="94" t="str">
        <f>WSIPS!$M$110</f>
        <v/>
      </c>
      <c r="AX17" s="94" t="str">
        <f>PROSES!CN14</f>
        <v/>
      </c>
      <c r="AY17" s="94">
        <f>PROSES!CL14</f>
        <v>0</v>
      </c>
      <c r="AZ17" s="94">
        <f>PROSES!CM14</f>
        <v>0</v>
      </c>
      <c r="BA17" s="93">
        <f t="shared" si="9"/>
        <v>0</v>
      </c>
      <c r="BB17" s="94">
        <f>WSSBK!$M$127</f>
        <v>92.65625</v>
      </c>
      <c r="BC17" s="94" t="str">
        <f>PROSES!CW14</f>
        <v/>
      </c>
      <c r="BD17" s="94">
        <f>PROSES!CU14</f>
        <v>0</v>
      </c>
      <c r="BE17" s="94">
        <f>PROSES!CV14</f>
        <v>0</v>
      </c>
      <c r="BF17" s="93">
        <f t="shared" si="10"/>
        <v>30.885416666666668</v>
      </c>
      <c r="BG17" s="94">
        <f>WSPENJAS!$M$22</f>
        <v>90</v>
      </c>
      <c r="BH17" s="94">
        <f>PROSES!DF14</f>
        <v>93.333333333333329</v>
      </c>
      <c r="BI17" s="94">
        <f>PROSES!DD14</f>
        <v>93</v>
      </c>
      <c r="BJ17" s="94">
        <f>PROSES!DE14</f>
        <v>94</v>
      </c>
      <c r="BK17" s="93">
        <f t="shared" si="11"/>
        <v>92.583333333333329</v>
      </c>
      <c r="BL17" s="95">
        <f>WSJAWA!$M$110</f>
        <v>98.750000000000014</v>
      </c>
      <c r="BM17" s="95" t="str">
        <f>PROSES!DO14</f>
        <v/>
      </c>
      <c r="BN17" s="95">
        <f>PROSES!DM14</f>
        <v>0</v>
      </c>
      <c r="BO17" s="95">
        <f>PROSES!DN14</f>
        <v>0</v>
      </c>
      <c r="BP17" s="93">
        <f t="shared" si="12"/>
        <v>32.916666666666671</v>
      </c>
      <c r="BQ17" s="95">
        <f>WSING!$M$114</f>
        <v>95.166666666666657</v>
      </c>
      <c r="BR17" s="95" t="str">
        <f>PROSES!DX14</f>
        <v/>
      </c>
      <c r="BS17" s="95">
        <f>PROSES!DV14</f>
        <v>0</v>
      </c>
      <c r="BT17" s="95">
        <f>PROSES!DW14</f>
        <v>0</v>
      </c>
      <c r="BU17" s="93">
        <f t="shared" si="13"/>
        <v>31.722222222222218</v>
      </c>
      <c r="BV17" s="95" t="str">
        <f>WSTIK!$M$110</f>
        <v/>
      </c>
      <c r="BW17" s="95">
        <f>PROSES!EG14</f>
        <v>91</v>
      </c>
      <c r="BX17" s="95">
        <f>PROSES!EE14</f>
        <v>91</v>
      </c>
      <c r="BY17" s="95">
        <f>PROSES!EF14</f>
        <v>0</v>
      </c>
      <c r="BZ17" s="93">
        <f t="shared" si="14"/>
        <v>60.666666666666664</v>
      </c>
      <c r="CA17" s="95" t="str">
        <f>WSASWAJA!$M$110</f>
        <v/>
      </c>
      <c r="CB17" s="95">
        <f>PROSES!EP14</f>
        <v>99.333333333333329</v>
      </c>
      <c r="CC17" s="95">
        <f>PROSES!EN14</f>
        <v>94</v>
      </c>
      <c r="CD17" s="95">
        <f>PROSES!EO14</f>
        <v>0</v>
      </c>
      <c r="CE17" s="93">
        <f t="shared" si="15"/>
        <v>64.444444444444443</v>
      </c>
      <c r="CF17" s="92">
        <f t="shared" si="16"/>
        <v>32.388585795819438</v>
      </c>
      <c r="CG17" s="85">
        <f t="shared" si="0"/>
        <v>10</v>
      </c>
    </row>
    <row r="18" spans="1:85" s="96" customFormat="1" ht="12.95" customHeight="1">
      <c r="A18" s="87">
        <v>10</v>
      </c>
      <c r="B18" s="83" t="str">
        <f>DATASISWA!E17</f>
        <v>Nero Alvind Nur Pratama</v>
      </c>
      <c r="C18" s="84">
        <f>DATASISWA!G17</f>
        <v>0</v>
      </c>
      <c r="D18" s="93">
        <f>WSALQURAN!$N$110</f>
        <v>95.023809523809533</v>
      </c>
      <c r="E18" s="93" t="str">
        <f>PROSES!K15</f>
        <v/>
      </c>
      <c r="F18" s="93">
        <f>PROSES!I15</f>
        <v>0</v>
      </c>
      <c r="G18" s="93">
        <f>PROSES!J15</f>
        <v>0</v>
      </c>
      <c r="H18" s="93">
        <f t="shared" si="17"/>
        <v>31.674603174603178</v>
      </c>
      <c r="I18" s="93">
        <f>WSAQIDAH!$N$110</f>
        <v>92.5</v>
      </c>
      <c r="J18" s="93" t="str">
        <f>PROSES!T15</f>
        <v/>
      </c>
      <c r="K18" s="93">
        <f>PROSES!R15</f>
        <v>0</v>
      </c>
      <c r="L18" s="93">
        <f>PROSES!S15</f>
        <v>0</v>
      </c>
      <c r="M18" s="93">
        <f t="shared" si="1"/>
        <v>30.833333333333332</v>
      </c>
      <c r="N18" s="93">
        <f>WSFIQIH!$N$128</f>
        <v>92.875</v>
      </c>
      <c r="O18" s="93" t="str">
        <f>PROSES!AC15</f>
        <v/>
      </c>
      <c r="P18" s="93">
        <f>PROSES!AA15</f>
        <v>0</v>
      </c>
      <c r="Q18" s="93">
        <f>PROSES!AB15</f>
        <v>0</v>
      </c>
      <c r="R18" s="93">
        <f t="shared" si="2"/>
        <v>30.958333333333332</v>
      </c>
      <c r="S18" s="93">
        <f>WSSKI!$N$112</f>
        <v>90.805555555555543</v>
      </c>
      <c r="T18" s="93" t="str">
        <f>PROSES!AL15</f>
        <v/>
      </c>
      <c r="U18" s="93">
        <f>PROSES!AJ15</f>
        <v>0</v>
      </c>
      <c r="V18" s="93">
        <f>PROSES!AK15</f>
        <v>0</v>
      </c>
      <c r="W18" s="93">
        <f t="shared" si="3"/>
        <v>30.268518518518515</v>
      </c>
      <c r="X18" s="94">
        <f>WSPKN!$N$205</f>
        <v>97.399801587301596</v>
      </c>
      <c r="Y18" s="94">
        <f>PROSES!AV15</f>
        <v>0</v>
      </c>
      <c r="Z18" s="94">
        <f>PROSES!AS15</f>
        <v>0</v>
      </c>
      <c r="AA18" s="94">
        <f>PROSES!AT15</f>
        <v>0</v>
      </c>
      <c r="AB18" s="93">
        <f t="shared" si="4"/>
        <v>24.349950396825399</v>
      </c>
      <c r="AC18" s="94">
        <f>WSIND!$N$353</f>
        <v>97.287976382179266</v>
      </c>
      <c r="AD18" s="94" t="str">
        <f>PROSES!BD15</f>
        <v/>
      </c>
      <c r="AE18" s="94">
        <f>PROSES!BB15</f>
        <v>0</v>
      </c>
      <c r="AF18" s="94">
        <f>PROSES!BC15</f>
        <v>0</v>
      </c>
      <c r="AG18" s="93">
        <f t="shared" si="5"/>
        <v>32.429325460726425</v>
      </c>
      <c r="AH18" s="94" t="str">
        <f>WSARAB!$N$121</f>
        <v/>
      </c>
      <c r="AI18" s="94" t="str">
        <f>PROSES!BM15</f>
        <v/>
      </c>
      <c r="AJ18" s="94">
        <f>PROSES!BK15</f>
        <v>0</v>
      </c>
      <c r="AK18" s="94">
        <f>PROSES!BL15</f>
        <v>0</v>
      </c>
      <c r="AL18" s="93">
        <f t="shared" si="6"/>
        <v>0</v>
      </c>
      <c r="AM18" s="94">
        <f>WSMTK!$N$208</f>
        <v>97.640625</v>
      </c>
      <c r="AN18" s="94" t="str">
        <f>PROSES!BV15</f>
        <v/>
      </c>
      <c r="AO18" s="94">
        <f>PROSES!BT15</f>
        <v>0</v>
      </c>
      <c r="AP18" s="94">
        <f>PROSES!BU15</f>
        <v>0</v>
      </c>
      <c r="AQ18" s="93">
        <f t="shared" si="7"/>
        <v>32.546875</v>
      </c>
      <c r="AR18" s="94" t="str">
        <f>WSIPA!$N$110</f>
        <v/>
      </c>
      <c r="AS18" s="94" t="str">
        <f>PROSES!CE15</f>
        <v/>
      </c>
      <c r="AT18" s="94">
        <f>PROSES!CC15</f>
        <v>0</v>
      </c>
      <c r="AU18" s="94">
        <f>PROSES!CD15</f>
        <v>0</v>
      </c>
      <c r="AV18" s="93">
        <f t="shared" si="8"/>
        <v>0</v>
      </c>
      <c r="AW18" s="94" t="str">
        <f>WSIPS!$N$110</f>
        <v/>
      </c>
      <c r="AX18" s="94" t="str">
        <f>PROSES!CN15</f>
        <v/>
      </c>
      <c r="AY18" s="94">
        <f>PROSES!CL15</f>
        <v>0</v>
      </c>
      <c r="AZ18" s="94">
        <f>PROSES!CM15</f>
        <v>0</v>
      </c>
      <c r="BA18" s="93">
        <f t="shared" si="9"/>
        <v>0</v>
      </c>
      <c r="BB18" s="94">
        <f>WSSBK!$N$127</f>
        <v>96.40625</v>
      </c>
      <c r="BC18" s="94" t="str">
        <f>PROSES!CW15</f>
        <v/>
      </c>
      <c r="BD18" s="94">
        <f>PROSES!CU15</f>
        <v>0</v>
      </c>
      <c r="BE18" s="94">
        <f>PROSES!CV15</f>
        <v>0</v>
      </c>
      <c r="BF18" s="93">
        <f t="shared" si="10"/>
        <v>32.135416666666664</v>
      </c>
      <c r="BG18" s="94">
        <f>WSPENJAS!$N$22</f>
        <v>89</v>
      </c>
      <c r="BH18" s="94">
        <f>PROSES!DF15</f>
        <v>90.333333333333329</v>
      </c>
      <c r="BI18" s="94">
        <f>PROSES!DD15</f>
        <v>90</v>
      </c>
      <c r="BJ18" s="94">
        <f>PROSES!DE15</f>
        <v>97</v>
      </c>
      <c r="BK18" s="93">
        <f t="shared" si="11"/>
        <v>91.583333333333329</v>
      </c>
      <c r="BL18" s="95">
        <f>WSJAWA!$N$110</f>
        <v>95.208333333333343</v>
      </c>
      <c r="BM18" s="95" t="str">
        <f>PROSES!DO15</f>
        <v/>
      </c>
      <c r="BN18" s="95">
        <f>PROSES!DM15</f>
        <v>0</v>
      </c>
      <c r="BO18" s="95">
        <f>PROSES!DN15</f>
        <v>0</v>
      </c>
      <c r="BP18" s="93">
        <f t="shared" si="12"/>
        <v>31.736111111111114</v>
      </c>
      <c r="BQ18" s="95">
        <f>WSING!$N$114</f>
        <v>98.333333333333343</v>
      </c>
      <c r="BR18" s="95" t="str">
        <f>PROSES!DX15</f>
        <v/>
      </c>
      <c r="BS18" s="95">
        <f>PROSES!DV15</f>
        <v>0</v>
      </c>
      <c r="BT18" s="95">
        <f>PROSES!DW15</f>
        <v>0</v>
      </c>
      <c r="BU18" s="93">
        <f t="shared" si="13"/>
        <v>32.777777777777779</v>
      </c>
      <c r="BV18" s="95" t="str">
        <f>WSTIK!$N$110</f>
        <v/>
      </c>
      <c r="BW18" s="95">
        <f>PROSES!EG15</f>
        <v>88.5</v>
      </c>
      <c r="BX18" s="95">
        <f>PROSES!EE15</f>
        <v>89</v>
      </c>
      <c r="BY18" s="95">
        <f>PROSES!EF15</f>
        <v>0</v>
      </c>
      <c r="BZ18" s="93">
        <f t="shared" si="14"/>
        <v>59.166666666666664</v>
      </c>
      <c r="CA18" s="95" t="str">
        <f>WSASWAJA!$N$110</f>
        <v/>
      </c>
      <c r="CB18" s="95">
        <f>PROSES!EP15</f>
        <v>92</v>
      </c>
      <c r="CC18" s="95">
        <f>PROSES!EN15</f>
        <v>88</v>
      </c>
      <c r="CD18" s="95">
        <f>PROSES!EO15</f>
        <v>0</v>
      </c>
      <c r="CE18" s="93">
        <f t="shared" si="15"/>
        <v>60</v>
      </c>
      <c r="CF18" s="92">
        <f t="shared" si="16"/>
        <v>32.528765298305984</v>
      </c>
      <c r="CG18" s="85">
        <f t="shared" si="0"/>
        <v>8</v>
      </c>
    </row>
    <row r="19" spans="1:85" s="96" customFormat="1" ht="12.95" customHeight="1">
      <c r="A19" s="87">
        <v>11</v>
      </c>
      <c r="B19" s="83" t="str">
        <f>DATASISWA!E18</f>
        <v>Prischa al maira rozida</v>
      </c>
      <c r="C19" s="84">
        <f>DATASISWA!G18</f>
        <v>0</v>
      </c>
      <c r="D19" s="93">
        <f>WSALQURAN!$O$110</f>
        <v>98.404761904761898</v>
      </c>
      <c r="E19" s="93" t="str">
        <f>PROSES!K16</f>
        <v/>
      </c>
      <c r="F19" s="93">
        <f>PROSES!I16</f>
        <v>0</v>
      </c>
      <c r="G19" s="93">
        <f>PROSES!J16</f>
        <v>0</v>
      </c>
      <c r="H19" s="93">
        <f t="shared" si="17"/>
        <v>32.801587301587297</v>
      </c>
      <c r="I19" s="93">
        <f>WSAQIDAH!$O$110</f>
        <v>92.5</v>
      </c>
      <c r="J19" s="93" t="str">
        <f>PROSES!T16</f>
        <v/>
      </c>
      <c r="K19" s="93">
        <f>PROSES!R16</f>
        <v>0</v>
      </c>
      <c r="L19" s="93">
        <f>PROSES!S16</f>
        <v>0</v>
      </c>
      <c r="M19" s="93">
        <f t="shared" si="1"/>
        <v>30.833333333333332</v>
      </c>
      <c r="N19" s="93">
        <f>WSFIQIH!$O$128</f>
        <v>95.375</v>
      </c>
      <c r="O19" s="93" t="str">
        <f>PROSES!AC16</f>
        <v/>
      </c>
      <c r="P19" s="93">
        <f>PROSES!AA16</f>
        <v>0</v>
      </c>
      <c r="Q19" s="93">
        <f>PROSES!AB16</f>
        <v>0</v>
      </c>
      <c r="R19" s="93">
        <f t="shared" si="2"/>
        <v>31.791666666666668</v>
      </c>
      <c r="S19" s="93">
        <f>WSSKI!$O$112</f>
        <v>85.705555555555563</v>
      </c>
      <c r="T19" s="93" t="str">
        <f>PROSES!AL16</f>
        <v/>
      </c>
      <c r="U19" s="93">
        <f>PROSES!AJ16</f>
        <v>0</v>
      </c>
      <c r="V19" s="93">
        <f>PROSES!AK16</f>
        <v>0</v>
      </c>
      <c r="W19" s="93">
        <f t="shared" si="3"/>
        <v>28.56851851851852</v>
      </c>
      <c r="X19" s="94">
        <f>WSPKN!$O$205</f>
        <v>98.830977182539698</v>
      </c>
      <c r="Y19" s="94">
        <f>PROSES!AV16</f>
        <v>0</v>
      </c>
      <c r="Z19" s="94">
        <f>PROSES!AS16</f>
        <v>0</v>
      </c>
      <c r="AA19" s="94">
        <f>PROSES!AT16</f>
        <v>0</v>
      </c>
      <c r="AB19" s="93">
        <f t="shared" si="4"/>
        <v>24.707744295634924</v>
      </c>
      <c r="AC19" s="94">
        <f>WSIND!$O$353</f>
        <v>98.499060654857757</v>
      </c>
      <c r="AD19" s="94" t="str">
        <f>PROSES!BD16</f>
        <v/>
      </c>
      <c r="AE19" s="94">
        <f>PROSES!BB16</f>
        <v>0</v>
      </c>
      <c r="AF19" s="94">
        <f>PROSES!BC16</f>
        <v>0</v>
      </c>
      <c r="AG19" s="93">
        <f t="shared" si="5"/>
        <v>32.833020218285917</v>
      </c>
      <c r="AH19" s="94" t="str">
        <f>WSARAB!$O$121</f>
        <v/>
      </c>
      <c r="AI19" s="94" t="str">
        <f>PROSES!BM16</f>
        <v/>
      </c>
      <c r="AJ19" s="94">
        <f>PROSES!BK16</f>
        <v>0</v>
      </c>
      <c r="AK19" s="94">
        <f>PROSES!BL16</f>
        <v>0</v>
      </c>
      <c r="AL19" s="93">
        <f t="shared" si="6"/>
        <v>0</v>
      </c>
      <c r="AM19" s="94">
        <f>WSMTK!$O$208</f>
        <v>97.973958333333329</v>
      </c>
      <c r="AN19" s="94" t="str">
        <f>PROSES!BV16</f>
        <v/>
      </c>
      <c r="AO19" s="94">
        <f>PROSES!BT16</f>
        <v>0</v>
      </c>
      <c r="AP19" s="94">
        <f>PROSES!BU16</f>
        <v>0</v>
      </c>
      <c r="AQ19" s="93">
        <f t="shared" si="7"/>
        <v>32.657986111111107</v>
      </c>
      <c r="AR19" s="94" t="str">
        <f>WSIPA!$O$110</f>
        <v/>
      </c>
      <c r="AS19" s="94" t="str">
        <f>PROSES!CE16</f>
        <v/>
      </c>
      <c r="AT19" s="94">
        <f>PROSES!CC16</f>
        <v>0</v>
      </c>
      <c r="AU19" s="94">
        <f>PROSES!CD16</f>
        <v>0</v>
      </c>
      <c r="AV19" s="93">
        <f t="shared" si="8"/>
        <v>0</v>
      </c>
      <c r="AW19" s="94" t="str">
        <f>WSIPS!$O$110</f>
        <v/>
      </c>
      <c r="AX19" s="94" t="str">
        <f>PROSES!CN16</f>
        <v/>
      </c>
      <c r="AY19" s="94">
        <f>PROSES!CL16</f>
        <v>0</v>
      </c>
      <c r="AZ19" s="94">
        <f>PROSES!CM16</f>
        <v>0</v>
      </c>
      <c r="BA19" s="93">
        <f t="shared" si="9"/>
        <v>0</v>
      </c>
      <c r="BB19" s="94">
        <f>WSSBK!$O$127</f>
        <v>97.34375</v>
      </c>
      <c r="BC19" s="94" t="str">
        <f>PROSES!CW16</f>
        <v/>
      </c>
      <c r="BD19" s="94">
        <f>PROSES!CU16</f>
        <v>0</v>
      </c>
      <c r="BE19" s="94">
        <f>PROSES!CV16</f>
        <v>0</v>
      </c>
      <c r="BF19" s="93">
        <f t="shared" si="10"/>
        <v>32.447916666666664</v>
      </c>
      <c r="BG19" s="94">
        <f>WSPENJAS!$O$22</f>
        <v>90</v>
      </c>
      <c r="BH19" s="94">
        <f>PROSES!DF16</f>
        <v>88.333333333333329</v>
      </c>
      <c r="BI19" s="94">
        <f>PROSES!DD16</f>
        <v>88</v>
      </c>
      <c r="BJ19" s="94">
        <f>PROSES!DE16</f>
        <v>91</v>
      </c>
      <c r="BK19" s="93">
        <f t="shared" si="11"/>
        <v>89.333333333333329</v>
      </c>
      <c r="BL19" s="95">
        <f>WSJAWA!$O$110</f>
        <v>96.458333333333329</v>
      </c>
      <c r="BM19" s="95" t="str">
        <f>PROSES!DO16</f>
        <v/>
      </c>
      <c r="BN19" s="95">
        <f>PROSES!DM16</f>
        <v>0</v>
      </c>
      <c r="BO19" s="95">
        <f>PROSES!DN16</f>
        <v>0</v>
      </c>
      <c r="BP19" s="93">
        <f t="shared" si="12"/>
        <v>32.152777777777779</v>
      </c>
      <c r="BQ19" s="95">
        <f>WSING!$O$114</f>
        <v>98.166666666666671</v>
      </c>
      <c r="BR19" s="95" t="str">
        <f>PROSES!DX16</f>
        <v/>
      </c>
      <c r="BS19" s="95">
        <f>PROSES!DV16</f>
        <v>0</v>
      </c>
      <c r="BT19" s="95">
        <f>PROSES!DW16</f>
        <v>0</v>
      </c>
      <c r="BU19" s="93">
        <f t="shared" si="13"/>
        <v>32.722222222222221</v>
      </c>
      <c r="BV19" s="95" t="str">
        <f>WSTIK!$O$110</f>
        <v/>
      </c>
      <c r="BW19" s="95">
        <f>PROSES!EG16</f>
        <v>91</v>
      </c>
      <c r="BX19" s="95">
        <f>PROSES!EE16</f>
        <v>91</v>
      </c>
      <c r="BY19" s="95">
        <f>PROSES!EF16</f>
        <v>0</v>
      </c>
      <c r="BZ19" s="93">
        <f t="shared" si="14"/>
        <v>60.666666666666664</v>
      </c>
      <c r="CA19" s="95" t="str">
        <f>WSASWAJA!$O$110</f>
        <v/>
      </c>
      <c r="CB19" s="95">
        <f>PROSES!EP16</f>
        <v>89.333333333333329</v>
      </c>
      <c r="CC19" s="95">
        <f>PROSES!EN16</f>
        <v>85</v>
      </c>
      <c r="CD19" s="95">
        <f>PROSES!EO16</f>
        <v>0</v>
      </c>
      <c r="CE19" s="93">
        <f t="shared" si="15"/>
        <v>58.111111111111107</v>
      </c>
      <c r="CF19" s="92">
        <f t="shared" si="16"/>
        <v>32.476742763932222</v>
      </c>
      <c r="CG19" s="85">
        <f t="shared" si="0"/>
        <v>9</v>
      </c>
    </row>
    <row r="20" spans="1:85" s="96" customFormat="1" ht="12.95" customHeight="1">
      <c r="A20" s="87">
        <v>12</v>
      </c>
      <c r="B20" s="83" t="str">
        <f>DATASISWA!E19</f>
        <v>Qonita Aulia Nashiroh</v>
      </c>
      <c r="C20" s="84">
        <f>DATASISWA!G19</f>
        <v>0</v>
      </c>
      <c r="D20" s="93">
        <f>WSALQURAN!$P$110</f>
        <v>97.904761904761898</v>
      </c>
      <c r="E20" s="93" t="str">
        <f>PROSES!K17</f>
        <v/>
      </c>
      <c r="F20" s="93">
        <f>PROSES!I17</f>
        <v>0</v>
      </c>
      <c r="G20" s="93">
        <f>PROSES!J17</f>
        <v>0</v>
      </c>
      <c r="H20" s="93">
        <f t="shared" si="17"/>
        <v>32.634920634920633</v>
      </c>
      <c r="I20" s="93">
        <f>WSAQIDAH!$P$110</f>
        <v>91.5</v>
      </c>
      <c r="J20" s="93" t="str">
        <f>PROSES!T17</f>
        <v/>
      </c>
      <c r="K20" s="93">
        <f>PROSES!R17</f>
        <v>0</v>
      </c>
      <c r="L20" s="93">
        <f>PROSES!S17</f>
        <v>0</v>
      </c>
      <c r="M20" s="93">
        <f t="shared" si="1"/>
        <v>30.5</v>
      </c>
      <c r="N20" s="93">
        <f>WSFIQIH!$P$128</f>
        <v>93.0625</v>
      </c>
      <c r="O20" s="93" t="str">
        <f>PROSES!AC17</f>
        <v/>
      </c>
      <c r="P20" s="93">
        <f>PROSES!AA17</f>
        <v>0</v>
      </c>
      <c r="Q20" s="93">
        <f>PROSES!AB17</f>
        <v>0</v>
      </c>
      <c r="R20" s="93">
        <f t="shared" si="2"/>
        <v>31.020833333333332</v>
      </c>
      <c r="S20" s="93">
        <f>WSSKI!$P$112</f>
        <v>88.416666666666671</v>
      </c>
      <c r="T20" s="93" t="str">
        <f>PROSES!AL17</f>
        <v/>
      </c>
      <c r="U20" s="93">
        <f>PROSES!AJ17</f>
        <v>0</v>
      </c>
      <c r="V20" s="93">
        <f>PROSES!AK17</f>
        <v>0</v>
      </c>
      <c r="W20" s="93">
        <f t="shared" si="3"/>
        <v>29.472222222222225</v>
      </c>
      <c r="X20" s="94">
        <f>WSPKN!$P$205</f>
        <v>98.365079365079367</v>
      </c>
      <c r="Y20" s="94">
        <f>PROSES!AV17</f>
        <v>0</v>
      </c>
      <c r="Z20" s="94">
        <f>PROSES!AS17</f>
        <v>0</v>
      </c>
      <c r="AA20" s="94">
        <f>PROSES!AT17</f>
        <v>0</v>
      </c>
      <c r="AB20" s="93">
        <f t="shared" si="4"/>
        <v>24.591269841269842</v>
      </c>
      <c r="AC20" s="94">
        <f>WSIND!$P$353</f>
        <v>97.061460010735374</v>
      </c>
      <c r="AD20" s="94" t="str">
        <f>PROSES!BD17</f>
        <v/>
      </c>
      <c r="AE20" s="94">
        <f>PROSES!BB17</f>
        <v>0</v>
      </c>
      <c r="AF20" s="94">
        <f>PROSES!BC17</f>
        <v>0</v>
      </c>
      <c r="AG20" s="93">
        <f t="shared" si="5"/>
        <v>32.353820003578456</v>
      </c>
      <c r="AH20" s="94" t="str">
        <f>WSARAB!$P$121</f>
        <v/>
      </c>
      <c r="AI20" s="94" t="str">
        <f>PROSES!BM17</f>
        <v/>
      </c>
      <c r="AJ20" s="94">
        <f>PROSES!BK17</f>
        <v>0</v>
      </c>
      <c r="AK20" s="94">
        <f>PROSES!BL17</f>
        <v>0</v>
      </c>
      <c r="AL20" s="93">
        <f t="shared" si="6"/>
        <v>0</v>
      </c>
      <c r="AM20" s="94">
        <f>WSMTK!$P$208</f>
        <v>96.583333333333329</v>
      </c>
      <c r="AN20" s="94" t="str">
        <f>PROSES!BV17</f>
        <v/>
      </c>
      <c r="AO20" s="94">
        <f>PROSES!BT17</f>
        <v>0</v>
      </c>
      <c r="AP20" s="94">
        <f>PROSES!BU17</f>
        <v>0</v>
      </c>
      <c r="AQ20" s="93">
        <f t="shared" si="7"/>
        <v>32.194444444444443</v>
      </c>
      <c r="AR20" s="94" t="str">
        <f>WSIPA!$P$110</f>
        <v/>
      </c>
      <c r="AS20" s="94" t="str">
        <f>PROSES!CE17</f>
        <v/>
      </c>
      <c r="AT20" s="94">
        <f>PROSES!CC17</f>
        <v>0</v>
      </c>
      <c r="AU20" s="94">
        <f>PROSES!CD17</f>
        <v>0</v>
      </c>
      <c r="AV20" s="93">
        <f t="shared" si="8"/>
        <v>0</v>
      </c>
      <c r="AW20" s="94" t="str">
        <f>WSIPS!$P$110</f>
        <v/>
      </c>
      <c r="AX20" s="94" t="str">
        <f>PROSES!CN17</f>
        <v/>
      </c>
      <c r="AY20" s="94">
        <f>PROSES!CL17</f>
        <v>0</v>
      </c>
      <c r="AZ20" s="94">
        <f>PROSES!CM17</f>
        <v>0</v>
      </c>
      <c r="BA20" s="93">
        <f t="shared" si="9"/>
        <v>0</v>
      </c>
      <c r="BB20" s="94">
        <f>WSSBK!$P$127</f>
        <v>95.15625</v>
      </c>
      <c r="BC20" s="94" t="str">
        <f>PROSES!CW17</f>
        <v/>
      </c>
      <c r="BD20" s="94">
        <f>PROSES!CU17</f>
        <v>0</v>
      </c>
      <c r="BE20" s="94">
        <f>PROSES!CV17</f>
        <v>0</v>
      </c>
      <c r="BF20" s="93">
        <f t="shared" si="10"/>
        <v>31.71875</v>
      </c>
      <c r="BG20" s="94">
        <f>WSPENJAS!$P$22</f>
        <v>95</v>
      </c>
      <c r="BH20" s="94">
        <f>PROSES!DF17</f>
        <v>97.333333333333329</v>
      </c>
      <c r="BI20" s="94">
        <f>PROSES!DD17</f>
        <v>97</v>
      </c>
      <c r="BJ20" s="94">
        <f>PROSES!DE17</f>
        <v>100</v>
      </c>
      <c r="BK20" s="93">
        <f t="shared" si="11"/>
        <v>97.333333333333329</v>
      </c>
      <c r="BL20" s="95">
        <f>WSJAWA!$P$110</f>
        <v>95.416666666666671</v>
      </c>
      <c r="BM20" s="95" t="str">
        <f>PROSES!DO17</f>
        <v/>
      </c>
      <c r="BN20" s="95">
        <f>PROSES!DM17</f>
        <v>0</v>
      </c>
      <c r="BO20" s="95">
        <f>PROSES!DN17</f>
        <v>0</v>
      </c>
      <c r="BP20" s="93">
        <f t="shared" si="12"/>
        <v>31.805555555555557</v>
      </c>
      <c r="BQ20" s="95">
        <f>WSING!$P$114</f>
        <v>95.416666666666657</v>
      </c>
      <c r="BR20" s="95" t="str">
        <f>PROSES!DX17</f>
        <v/>
      </c>
      <c r="BS20" s="95">
        <f>PROSES!DV17</f>
        <v>0</v>
      </c>
      <c r="BT20" s="95">
        <f>PROSES!DW17</f>
        <v>0</v>
      </c>
      <c r="BU20" s="93">
        <f t="shared" si="13"/>
        <v>31.805555555555554</v>
      </c>
      <c r="BV20" s="95" t="str">
        <f>WSTIK!$P$110</f>
        <v/>
      </c>
      <c r="BW20" s="95">
        <f>PROSES!EG17</f>
        <v>82.5</v>
      </c>
      <c r="BX20" s="95">
        <f>PROSES!EE17</f>
        <v>83</v>
      </c>
      <c r="BY20" s="95">
        <f>PROSES!EF17</f>
        <v>0</v>
      </c>
      <c r="BZ20" s="93">
        <f t="shared" si="14"/>
        <v>55.166666666666664</v>
      </c>
      <c r="CA20" s="95" t="str">
        <f>WSASWAJA!$P$110</f>
        <v/>
      </c>
      <c r="CB20" s="95">
        <f>PROSES!EP17</f>
        <v>91</v>
      </c>
      <c r="CC20" s="95">
        <f>PROSES!EN17</f>
        <v>76</v>
      </c>
      <c r="CD20" s="95">
        <f>PROSES!EO17</f>
        <v>0</v>
      </c>
      <c r="CE20" s="93">
        <f t="shared" si="15"/>
        <v>55.666666666666664</v>
      </c>
      <c r="CF20" s="92">
        <f t="shared" si="16"/>
        <v>32.266502391096665</v>
      </c>
      <c r="CG20" s="85">
        <f t="shared" si="0"/>
        <v>12</v>
      </c>
    </row>
    <row r="21" spans="1:85" s="96" customFormat="1" ht="12.95" customHeight="1">
      <c r="A21" s="87">
        <v>13</v>
      </c>
      <c r="B21" s="83" t="str">
        <f>DATASISWA!E20</f>
        <v>Diajeng Pradnya Paramita</v>
      </c>
      <c r="C21" s="84">
        <f>DATASISWA!G20</f>
        <v>0</v>
      </c>
      <c r="D21" s="93">
        <f>WSALQURAN!$Q$110</f>
        <v>94.404761904761898</v>
      </c>
      <c r="E21" s="93" t="str">
        <f>PROSES!K18</f>
        <v/>
      </c>
      <c r="F21" s="93">
        <f>PROSES!I18</f>
        <v>0</v>
      </c>
      <c r="G21" s="93">
        <f>PROSES!J18</f>
        <v>0</v>
      </c>
      <c r="H21" s="93">
        <f t="shared" si="17"/>
        <v>31.468253968253965</v>
      </c>
      <c r="I21" s="93">
        <f>WSAQIDAH!$Q$110</f>
        <v>92.3</v>
      </c>
      <c r="J21" s="93" t="str">
        <f>PROSES!T18</f>
        <v/>
      </c>
      <c r="K21" s="93">
        <f>PROSES!R18</f>
        <v>0</v>
      </c>
      <c r="L21" s="93">
        <f>PROSES!S18</f>
        <v>0</v>
      </c>
      <c r="M21" s="93">
        <f t="shared" si="1"/>
        <v>30.766666666666666</v>
      </c>
      <c r="N21" s="93">
        <f>WSFIQIH!$Q$128</f>
        <v>95.84375</v>
      </c>
      <c r="O21" s="93" t="str">
        <f>PROSES!AC18</f>
        <v/>
      </c>
      <c r="P21" s="93">
        <f>PROSES!AA18</f>
        <v>0</v>
      </c>
      <c r="Q21" s="93">
        <f>PROSES!AB18</f>
        <v>0</v>
      </c>
      <c r="R21" s="93">
        <f t="shared" si="2"/>
        <v>31.947916666666668</v>
      </c>
      <c r="S21" s="93">
        <f>WSSKI!$Q$112</f>
        <v>90.649999999999991</v>
      </c>
      <c r="T21" s="93" t="str">
        <f>PROSES!AL18</f>
        <v/>
      </c>
      <c r="U21" s="93">
        <f>PROSES!AJ18</f>
        <v>0</v>
      </c>
      <c r="V21" s="93">
        <f>PROSES!AK18</f>
        <v>0</v>
      </c>
      <c r="W21" s="93">
        <f t="shared" si="3"/>
        <v>30.216666666666665</v>
      </c>
      <c r="X21" s="94">
        <f>WSPKN!$Q$205</f>
        <v>97.768105158730165</v>
      </c>
      <c r="Y21" s="94">
        <f>PROSES!AV18</f>
        <v>0</v>
      </c>
      <c r="Z21" s="94">
        <f>PROSES!AS18</f>
        <v>0</v>
      </c>
      <c r="AA21" s="94">
        <f>PROSES!AT18</f>
        <v>0</v>
      </c>
      <c r="AB21" s="93">
        <f t="shared" si="4"/>
        <v>24.442026289682541</v>
      </c>
      <c r="AC21" s="94">
        <f>WSIND!$Q$353</f>
        <v>96.718599033816432</v>
      </c>
      <c r="AD21" s="94" t="str">
        <f>PROSES!BD18</f>
        <v/>
      </c>
      <c r="AE21" s="94">
        <f>PROSES!BB18</f>
        <v>0</v>
      </c>
      <c r="AF21" s="94">
        <f>PROSES!BC18</f>
        <v>0</v>
      </c>
      <c r="AG21" s="93">
        <f t="shared" si="5"/>
        <v>32.239533011272144</v>
      </c>
      <c r="AH21" s="94" t="str">
        <f>WSARAB!$Q$121</f>
        <v/>
      </c>
      <c r="AI21" s="94" t="str">
        <f>PROSES!BM18</f>
        <v/>
      </c>
      <c r="AJ21" s="94">
        <f>PROSES!BK18</f>
        <v>0</v>
      </c>
      <c r="AK21" s="94">
        <f>PROSES!BL18</f>
        <v>0</v>
      </c>
      <c r="AL21" s="93">
        <f t="shared" si="6"/>
        <v>0</v>
      </c>
      <c r="AM21" s="94">
        <f>WSMTK!$Q$208</f>
        <v>96.135416666666671</v>
      </c>
      <c r="AN21" s="94" t="str">
        <f>PROSES!BV18</f>
        <v/>
      </c>
      <c r="AO21" s="94">
        <f>PROSES!BT18</f>
        <v>0</v>
      </c>
      <c r="AP21" s="94">
        <f>PROSES!BU18</f>
        <v>0</v>
      </c>
      <c r="AQ21" s="93">
        <f t="shared" si="7"/>
        <v>32.045138888888893</v>
      </c>
      <c r="AR21" s="94" t="str">
        <f>WSIPA!$Q$110</f>
        <v/>
      </c>
      <c r="AS21" s="94" t="str">
        <f>PROSES!CE18</f>
        <v/>
      </c>
      <c r="AT21" s="94">
        <f>PROSES!CC18</f>
        <v>0</v>
      </c>
      <c r="AU21" s="94">
        <f>PROSES!CD18</f>
        <v>0</v>
      </c>
      <c r="AV21" s="93">
        <f t="shared" si="8"/>
        <v>0</v>
      </c>
      <c r="AW21" s="94" t="str">
        <f>WSIPS!$Q$110</f>
        <v/>
      </c>
      <c r="AX21" s="94" t="str">
        <f>PROSES!CN18</f>
        <v/>
      </c>
      <c r="AY21" s="94">
        <f>PROSES!CL18</f>
        <v>0</v>
      </c>
      <c r="AZ21" s="94">
        <f>PROSES!CM18</f>
        <v>0</v>
      </c>
      <c r="BA21" s="93">
        <f t="shared" si="9"/>
        <v>0</v>
      </c>
      <c r="BB21" s="94">
        <f>WSSBK!$Q$127</f>
        <v>95.15625</v>
      </c>
      <c r="BC21" s="94" t="str">
        <f>PROSES!CW18</f>
        <v/>
      </c>
      <c r="BD21" s="94">
        <f>PROSES!CU18</f>
        <v>0</v>
      </c>
      <c r="BE21" s="94">
        <f>PROSES!CV18</f>
        <v>0</v>
      </c>
      <c r="BF21" s="93">
        <f t="shared" si="10"/>
        <v>31.71875</v>
      </c>
      <c r="BG21" s="94">
        <f>WSPENJAS!$Q$22</f>
        <v>90</v>
      </c>
      <c r="BH21" s="94">
        <f>PROSES!DF18</f>
        <v>97</v>
      </c>
      <c r="BI21" s="94">
        <f>PROSES!DD18</f>
        <v>97</v>
      </c>
      <c r="BJ21" s="94">
        <f>PROSES!DE18</f>
        <v>94</v>
      </c>
      <c r="BK21" s="93">
        <f t="shared" si="11"/>
        <v>94.5</v>
      </c>
      <c r="BL21" s="95">
        <f>WSJAWA!$Q$110</f>
        <v>97.500000000000014</v>
      </c>
      <c r="BM21" s="95" t="str">
        <f>PROSES!DO18</f>
        <v/>
      </c>
      <c r="BN21" s="95">
        <f>PROSES!DM18</f>
        <v>0</v>
      </c>
      <c r="BO21" s="95">
        <f>PROSES!DN18</f>
        <v>0</v>
      </c>
      <c r="BP21" s="93">
        <f t="shared" si="12"/>
        <v>32.500000000000007</v>
      </c>
      <c r="BQ21" s="95">
        <f>WSING!$Q$114</f>
        <v>96.166666666666657</v>
      </c>
      <c r="BR21" s="95" t="str">
        <f>PROSES!DX18</f>
        <v/>
      </c>
      <c r="BS21" s="95">
        <f>PROSES!DV18</f>
        <v>0</v>
      </c>
      <c r="BT21" s="95">
        <f>PROSES!DW18</f>
        <v>0</v>
      </c>
      <c r="BU21" s="93">
        <f t="shared" si="13"/>
        <v>32.05555555555555</v>
      </c>
      <c r="BV21" s="95" t="str">
        <f>WSTIK!$Q$110</f>
        <v/>
      </c>
      <c r="BW21" s="95">
        <f>PROSES!EG18</f>
        <v>82.5</v>
      </c>
      <c r="BX21" s="95">
        <f>PROSES!EE18</f>
        <v>83</v>
      </c>
      <c r="BY21" s="95">
        <f>PROSES!EF18</f>
        <v>0</v>
      </c>
      <c r="BZ21" s="93">
        <f t="shared" si="14"/>
        <v>55.166666666666664</v>
      </c>
      <c r="CA21" s="95" t="str">
        <f>WSASWAJA!$Q$110</f>
        <v/>
      </c>
      <c r="CB21" s="95">
        <f>PROSES!EP18</f>
        <v>90</v>
      </c>
      <c r="CC21" s="95">
        <f>PROSES!EN18</f>
        <v>75</v>
      </c>
      <c r="CD21" s="95">
        <f>PROSES!EO18</f>
        <v>0</v>
      </c>
      <c r="CE21" s="93">
        <f t="shared" si="15"/>
        <v>55</v>
      </c>
      <c r="CF21" s="92">
        <f t="shared" si="16"/>
        <v>32.129198398769987</v>
      </c>
      <c r="CG21" s="85">
        <f t="shared" si="0"/>
        <v>14</v>
      </c>
    </row>
    <row r="22" spans="1:85" s="96" customFormat="1" ht="12.95" customHeight="1">
      <c r="A22" s="87">
        <v>14</v>
      </c>
      <c r="B22" s="83" t="str">
        <f>DATASISWA!E21</f>
        <v>Moch. Radit Danu Arta</v>
      </c>
      <c r="C22" s="84">
        <f>DATASISWA!G21</f>
        <v>0</v>
      </c>
      <c r="D22" s="93">
        <f>WSALQURAN!$R$110</f>
        <v>89.357142857142861</v>
      </c>
      <c r="E22" s="93" t="str">
        <f>PROSES!K19</f>
        <v/>
      </c>
      <c r="F22" s="93">
        <f>PROSES!I19</f>
        <v>0</v>
      </c>
      <c r="G22" s="93">
        <f>PROSES!J19</f>
        <v>0</v>
      </c>
      <c r="H22" s="93">
        <f t="shared" si="17"/>
        <v>29.785714285714288</v>
      </c>
      <c r="I22" s="93">
        <f>WSAQIDAH!$R$110</f>
        <v>94</v>
      </c>
      <c r="J22" s="93" t="str">
        <f>PROSES!T19</f>
        <v/>
      </c>
      <c r="K22" s="93">
        <f>PROSES!R19</f>
        <v>0</v>
      </c>
      <c r="L22" s="93">
        <f>PROSES!S19</f>
        <v>0</v>
      </c>
      <c r="M22" s="93">
        <f t="shared" si="1"/>
        <v>31.333333333333332</v>
      </c>
      <c r="N22" s="93">
        <f>WSFIQIH!$R$128</f>
        <v>88.96875</v>
      </c>
      <c r="O22" s="93" t="str">
        <f>PROSES!AC19</f>
        <v/>
      </c>
      <c r="P22" s="93">
        <f>PROSES!AA19</f>
        <v>0</v>
      </c>
      <c r="Q22" s="93">
        <f>PROSES!AB19</f>
        <v>0</v>
      </c>
      <c r="R22" s="93">
        <f t="shared" si="2"/>
        <v>29.65625</v>
      </c>
      <c r="S22" s="93">
        <f>WSSKI!$R$112</f>
        <v>80.694444444444443</v>
      </c>
      <c r="T22" s="93" t="str">
        <f>PROSES!AL19</f>
        <v/>
      </c>
      <c r="U22" s="93">
        <f>PROSES!AJ19</f>
        <v>0</v>
      </c>
      <c r="V22" s="93">
        <f>PROSES!AK19</f>
        <v>0</v>
      </c>
      <c r="W22" s="93">
        <f t="shared" si="3"/>
        <v>26.898148148148149</v>
      </c>
      <c r="X22" s="94">
        <f>WSPKN!$R$205</f>
        <v>96.757192460317469</v>
      </c>
      <c r="Y22" s="94">
        <f>PROSES!AV19</f>
        <v>0</v>
      </c>
      <c r="Z22" s="94">
        <f>PROSES!AS19</f>
        <v>0</v>
      </c>
      <c r="AA22" s="94">
        <f>PROSES!AT19</f>
        <v>0</v>
      </c>
      <c r="AB22" s="93">
        <f t="shared" si="4"/>
        <v>24.189298115079367</v>
      </c>
      <c r="AC22" s="94">
        <f>WSIND!$R$353</f>
        <v>95.298885415679948</v>
      </c>
      <c r="AD22" s="94" t="str">
        <f>PROSES!BD19</f>
        <v/>
      </c>
      <c r="AE22" s="94">
        <f>PROSES!BB19</f>
        <v>0</v>
      </c>
      <c r="AF22" s="94">
        <f>PROSES!BC19</f>
        <v>0</v>
      </c>
      <c r="AG22" s="93">
        <f t="shared" si="5"/>
        <v>31.766295138559983</v>
      </c>
      <c r="AH22" s="94" t="str">
        <f>WSARAB!$R$121</f>
        <v/>
      </c>
      <c r="AI22" s="94" t="str">
        <f>PROSES!BM19</f>
        <v/>
      </c>
      <c r="AJ22" s="94">
        <f>PROSES!BK19</f>
        <v>0</v>
      </c>
      <c r="AK22" s="94">
        <f>PROSES!BL19</f>
        <v>0</v>
      </c>
      <c r="AL22" s="93">
        <f t="shared" si="6"/>
        <v>0</v>
      </c>
      <c r="AM22" s="94">
        <f>WSMTK!$R$208</f>
        <v>94.836566091954026</v>
      </c>
      <c r="AN22" s="94" t="str">
        <f>PROSES!BV19</f>
        <v/>
      </c>
      <c r="AO22" s="94">
        <f>PROSES!BT19</f>
        <v>0</v>
      </c>
      <c r="AP22" s="94">
        <f>PROSES!BU19</f>
        <v>0</v>
      </c>
      <c r="AQ22" s="93">
        <f t="shared" si="7"/>
        <v>31.612188697318008</v>
      </c>
      <c r="AR22" s="94" t="str">
        <f>WSIPA!$R$110</f>
        <v/>
      </c>
      <c r="AS22" s="94" t="str">
        <f>PROSES!CE19</f>
        <v/>
      </c>
      <c r="AT22" s="94">
        <f>PROSES!CC19</f>
        <v>0</v>
      </c>
      <c r="AU22" s="94">
        <f>PROSES!CD19</f>
        <v>0</v>
      </c>
      <c r="AV22" s="93">
        <f t="shared" si="8"/>
        <v>0</v>
      </c>
      <c r="AW22" s="94" t="str">
        <f>WSIPS!$R$110</f>
        <v/>
      </c>
      <c r="AX22" s="94" t="str">
        <f>PROSES!CN19</f>
        <v/>
      </c>
      <c r="AY22" s="94">
        <f>PROSES!CL19</f>
        <v>0</v>
      </c>
      <c r="AZ22" s="94">
        <f>PROSES!CM19</f>
        <v>0</v>
      </c>
      <c r="BA22" s="93">
        <f t="shared" si="9"/>
        <v>0</v>
      </c>
      <c r="BB22" s="94">
        <f>WSSBK!$R$127</f>
        <v>93.15625</v>
      </c>
      <c r="BC22" s="94" t="str">
        <f>PROSES!CW19</f>
        <v/>
      </c>
      <c r="BD22" s="94">
        <f>PROSES!CU19</f>
        <v>0</v>
      </c>
      <c r="BE22" s="94">
        <f>PROSES!CV19</f>
        <v>0</v>
      </c>
      <c r="BF22" s="93">
        <f t="shared" si="10"/>
        <v>31.052083333333332</v>
      </c>
      <c r="BG22" s="94">
        <f>WSPENJAS!$R$22</f>
        <v>95</v>
      </c>
      <c r="BH22" s="94">
        <f>PROSES!DF19</f>
        <v>91.333333333333329</v>
      </c>
      <c r="BI22" s="94">
        <f>PROSES!DD19</f>
        <v>91</v>
      </c>
      <c r="BJ22" s="94">
        <f>PROSES!DE19</f>
        <v>97</v>
      </c>
      <c r="BK22" s="93">
        <f t="shared" si="11"/>
        <v>93.583333333333329</v>
      </c>
      <c r="BL22" s="95">
        <f>WSJAWA!$R$110</f>
        <v>94.999999999999986</v>
      </c>
      <c r="BM22" s="95" t="str">
        <f>PROSES!DO19</f>
        <v/>
      </c>
      <c r="BN22" s="95">
        <f>PROSES!DM19</f>
        <v>0</v>
      </c>
      <c r="BO22" s="95">
        <f>PROSES!DN19</f>
        <v>0</v>
      </c>
      <c r="BP22" s="93">
        <f t="shared" si="12"/>
        <v>31.666666666666661</v>
      </c>
      <c r="BQ22" s="95">
        <f>WSING!$R$114</f>
        <v>93.333333333333343</v>
      </c>
      <c r="BR22" s="95" t="str">
        <f>PROSES!DX19</f>
        <v/>
      </c>
      <c r="BS22" s="95">
        <f>PROSES!DV19</f>
        <v>0</v>
      </c>
      <c r="BT22" s="95">
        <f>PROSES!DW19</f>
        <v>0</v>
      </c>
      <c r="BU22" s="93">
        <f t="shared" si="13"/>
        <v>31.111111111111114</v>
      </c>
      <c r="BV22" s="95" t="str">
        <f>WSTIK!$R$110</f>
        <v/>
      </c>
      <c r="BW22" s="95">
        <f>PROSES!EG19</f>
        <v>91.5</v>
      </c>
      <c r="BX22" s="95">
        <f>PROSES!EE19</f>
        <v>91</v>
      </c>
      <c r="BY22" s="95">
        <f>PROSES!EF19</f>
        <v>0</v>
      </c>
      <c r="BZ22" s="93">
        <f t="shared" si="14"/>
        <v>60.833333333333336</v>
      </c>
      <c r="CA22" s="95" t="str">
        <f>WSASWAJA!$R$110</f>
        <v/>
      </c>
      <c r="CB22" s="95">
        <f>PROSES!EP19</f>
        <v>84.333333333333329</v>
      </c>
      <c r="CC22" s="95">
        <f>PROSES!EN19</f>
        <v>87</v>
      </c>
      <c r="CD22" s="95">
        <f>PROSES!EO19</f>
        <v>0</v>
      </c>
      <c r="CE22" s="93">
        <f t="shared" si="15"/>
        <v>57.111111111111107</v>
      </c>
      <c r="CF22" s="92">
        <f t="shared" si="16"/>
        <v>31.912429162940125</v>
      </c>
      <c r="CG22" s="85">
        <f t="shared" si="0"/>
        <v>16</v>
      </c>
    </row>
    <row r="23" spans="1:85" s="96" customFormat="1" ht="12.95" customHeight="1">
      <c r="A23" s="87">
        <v>15</v>
      </c>
      <c r="B23" s="83" t="str">
        <f>DATASISWA!E22</f>
        <v>Titania Angelina Saputri</v>
      </c>
      <c r="C23" s="84">
        <f>DATASISWA!G22</f>
        <v>28</v>
      </c>
      <c r="D23" s="93">
        <f>WSALQURAN!$S$110</f>
        <v>87.285714285714292</v>
      </c>
      <c r="E23" s="93" t="str">
        <f>PROSES!K20</f>
        <v/>
      </c>
      <c r="F23" s="93">
        <f>PROSES!I20</f>
        <v>0</v>
      </c>
      <c r="G23" s="93">
        <f>PROSES!J20</f>
        <v>0</v>
      </c>
      <c r="H23" s="93">
        <f t="shared" si="17"/>
        <v>29.095238095238098</v>
      </c>
      <c r="I23" s="93">
        <f>WSAQIDAH!$S$110</f>
        <v>80.5</v>
      </c>
      <c r="J23" s="93" t="str">
        <f>PROSES!T20</f>
        <v/>
      </c>
      <c r="K23" s="93">
        <f>PROSES!R20</f>
        <v>0</v>
      </c>
      <c r="L23" s="93">
        <f>PROSES!S20</f>
        <v>0</v>
      </c>
      <c r="M23" s="93">
        <f t="shared" si="1"/>
        <v>26.833333333333332</v>
      </c>
      <c r="N23" s="93">
        <f>WSFIQIH!$S$128</f>
        <v>80.03125</v>
      </c>
      <c r="O23" s="93" t="str">
        <f>PROSES!AC20</f>
        <v/>
      </c>
      <c r="P23" s="93">
        <f>PROSES!AA20</f>
        <v>0</v>
      </c>
      <c r="Q23" s="93">
        <f>PROSES!AB20</f>
        <v>0</v>
      </c>
      <c r="R23" s="93">
        <f t="shared" si="2"/>
        <v>26.677083333333332</v>
      </c>
      <c r="S23" s="93">
        <f>WSSKI!$S$112</f>
        <v>81.333333333333329</v>
      </c>
      <c r="T23" s="93" t="str">
        <f>PROSES!AL20</f>
        <v/>
      </c>
      <c r="U23" s="93">
        <f>PROSES!AJ20</f>
        <v>0</v>
      </c>
      <c r="V23" s="93">
        <f>PROSES!AK20</f>
        <v>0</v>
      </c>
      <c r="W23" s="93">
        <f t="shared" si="3"/>
        <v>27.111111111111111</v>
      </c>
      <c r="X23" s="94">
        <f>WSPKN!$S$205</f>
        <v>90.719312805250297</v>
      </c>
      <c r="Y23" s="94">
        <f>PROSES!AV20</f>
        <v>0</v>
      </c>
      <c r="Z23" s="94">
        <f>PROSES!AS20</f>
        <v>0</v>
      </c>
      <c r="AA23" s="94">
        <f>PROSES!AT20</f>
        <v>0</v>
      </c>
      <c r="AB23" s="93">
        <f t="shared" si="4"/>
        <v>22.679828201312574</v>
      </c>
      <c r="AC23" s="94">
        <f>WSIND!$S$353</f>
        <v>90.462522045855394</v>
      </c>
      <c r="AD23" s="94" t="str">
        <f>PROSES!BD20</f>
        <v/>
      </c>
      <c r="AE23" s="94">
        <f>PROSES!BB20</f>
        <v>0</v>
      </c>
      <c r="AF23" s="94">
        <f>PROSES!BC20</f>
        <v>0</v>
      </c>
      <c r="AG23" s="93">
        <f t="shared" si="5"/>
        <v>30.154174015285133</v>
      </c>
      <c r="AH23" s="94" t="str">
        <f>WSARAB!$S$121</f>
        <v/>
      </c>
      <c r="AI23" s="94" t="str">
        <f>PROSES!BM20</f>
        <v/>
      </c>
      <c r="AJ23" s="94">
        <f>PROSES!BK20</f>
        <v>0</v>
      </c>
      <c r="AK23" s="94">
        <f>PROSES!BL20</f>
        <v>0</v>
      </c>
      <c r="AL23" s="93">
        <f t="shared" si="6"/>
        <v>0</v>
      </c>
      <c r="AM23" s="94">
        <f>WSMTK!$S$208</f>
        <v>89.3125</v>
      </c>
      <c r="AN23" s="94" t="str">
        <f>PROSES!BV20</f>
        <v/>
      </c>
      <c r="AO23" s="94">
        <f>PROSES!BT20</f>
        <v>0</v>
      </c>
      <c r="AP23" s="94">
        <f>PROSES!BU20</f>
        <v>0</v>
      </c>
      <c r="AQ23" s="93">
        <f t="shared" si="7"/>
        <v>29.770833333333332</v>
      </c>
      <c r="AR23" s="94" t="str">
        <f>WSIPA!$S$110</f>
        <v/>
      </c>
      <c r="AS23" s="94" t="str">
        <f>PROSES!CE20</f>
        <v/>
      </c>
      <c r="AT23" s="94">
        <f>PROSES!CC20</f>
        <v>0</v>
      </c>
      <c r="AU23" s="94">
        <f>PROSES!CD20</f>
        <v>0</v>
      </c>
      <c r="AV23" s="93">
        <f t="shared" si="8"/>
        <v>0</v>
      </c>
      <c r="AW23" s="94" t="str">
        <f>WSIPS!$S$110</f>
        <v/>
      </c>
      <c r="AX23" s="94" t="str">
        <f>PROSES!CN20</f>
        <v/>
      </c>
      <c r="AY23" s="94">
        <f>PROSES!CL20</f>
        <v>0</v>
      </c>
      <c r="AZ23" s="94">
        <f>PROSES!CM20</f>
        <v>0</v>
      </c>
      <c r="BA23" s="93">
        <f t="shared" si="9"/>
        <v>0</v>
      </c>
      <c r="BB23" s="94">
        <f>WSSBK!$S$127</f>
        <v>89.270833333333329</v>
      </c>
      <c r="BC23" s="94" t="str">
        <f>PROSES!CW20</f>
        <v/>
      </c>
      <c r="BD23" s="94">
        <f>PROSES!CU20</f>
        <v>0</v>
      </c>
      <c r="BE23" s="94">
        <f>PROSES!CV20</f>
        <v>0</v>
      </c>
      <c r="BF23" s="93">
        <f t="shared" si="10"/>
        <v>29.756944444444443</v>
      </c>
      <c r="BG23" s="94">
        <f>WSPENJAS!$S$22</f>
        <v>85</v>
      </c>
      <c r="BH23" s="94">
        <f>PROSES!DF20</f>
        <v>88.333333333333329</v>
      </c>
      <c r="BI23" s="94">
        <f>PROSES!DD20</f>
        <v>88</v>
      </c>
      <c r="BJ23" s="94">
        <f>PROSES!DE20</f>
        <v>75</v>
      </c>
      <c r="BK23" s="93">
        <f t="shared" si="11"/>
        <v>84.083333333333329</v>
      </c>
      <c r="BL23" s="95">
        <f>WSJAWA!$S$110</f>
        <v>93.749999999999986</v>
      </c>
      <c r="BM23" s="95" t="str">
        <f>PROSES!DO20</f>
        <v/>
      </c>
      <c r="BN23" s="95">
        <f>PROSES!DM20</f>
        <v>0</v>
      </c>
      <c r="BO23" s="95">
        <f>PROSES!DN20</f>
        <v>0</v>
      </c>
      <c r="BP23" s="93">
        <f t="shared" si="12"/>
        <v>31.249999999999996</v>
      </c>
      <c r="BQ23" s="95">
        <f>WSING!$S$114</f>
        <v>90.833333333333343</v>
      </c>
      <c r="BR23" s="95" t="str">
        <f>PROSES!DX20</f>
        <v/>
      </c>
      <c r="BS23" s="95">
        <f>PROSES!DV20</f>
        <v>0</v>
      </c>
      <c r="BT23" s="95">
        <f>PROSES!DW20</f>
        <v>0</v>
      </c>
      <c r="BU23" s="93">
        <f t="shared" si="13"/>
        <v>30.277777777777782</v>
      </c>
      <c r="BV23" s="95" t="str">
        <f>WSTIK!$S$110</f>
        <v/>
      </c>
      <c r="BW23" s="95">
        <f>PROSES!EG20</f>
        <v>89.5</v>
      </c>
      <c r="BX23" s="95">
        <f>PROSES!EE20</f>
        <v>89</v>
      </c>
      <c r="BY23" s="95">
        <f>PROSES!EF20</f>
        <v>0</v>
      </c>
      <c r="BZ23" s="93">
        <f t="shared" si="14"/>
        <v>59.5</v>
      </c>
      <c r="CA23" s="95" t="str">
        <f>WSASWAJA!$S$110</f>
        <v/>
      </c>
      <c r="CB23" s="95">
        <f>PROSES!EP20</f>
        <v>83.666666666666671</v>
      </c>
      <c r="CC23" s="95">
        <f>PROSES!EN20</f>
        <v>82</v>
      </c>
      <c r="CD23" s="95">
        <f>PROSES!EO20</f>
        <v>0</v>
      </c>
      <c r="CE23" s="93">
        <f t="shared" si="15"/>
        <v>55.222222222222229</v>
      </c>
      <c r="CF23" s="92">
        <f t="shared" si="16"/>
        <v>30.150742450045293</v>
      </c>
      <c r="CG23" s="85">
        <f t="shared" si="0"/>
        <v>23</v>
      </c>
    </row>
    <row r="24" spans="1:85" s="96" customFormat="1" ht="12.95" customHeight="1">
      <c r="A24" s="86">
        <v>16</v>
      </c>
      <c r="B24" s="83">
        <f>DATASISWA!E23</f>
        <v>0</v>
      </c>
      <c r="C24" s="84">
        <f>DATASISWA!G23</f>
        <v>0</v>
      </c>
      <c r="D24" s="93">
        <f>WSALQURAN!$T$110</f>
        <v>91.666666666666671</v>
      </c>
      <c r="E24" s="93" t="str">
        <f>PROSES!K21</f>
        <v/>
      </c>
      <c r="F24" s="93">
        <f>PROSES!I21</f>
        <v>0</v>
      </c>
      <c r="G24" s="93">
        <f>PROSES!J21</f>
        <v>0</v>
      </c>
      <c r="H24" s="93">
        <f t="shared" si="17"/>
        <v>30.555555555555557</v>
      </c>
      <c r="I24" s="93">
        <f>WSAQIDAH!$T$110</f>
        <v>82.2</v>
      </c>
      <c r="J24" s="93" t="str">
        <f>PROSES!T21</f>
        <v/>
      </c>
      <c r="K24" s="93">
        <f>PROSES!R21</f>
        <v>0</v>
      </c>
      <c r="L24" s="93">
        <f>PROSES!S21</f>
        <v>0</v>
      </c>
      <c r="M24" s="93">
        <f t="shared" si="1"/>
        <v>27.400000000000002</v>
      </c>
      <c r="N24" s="93">
        <f>WSFIQIH!$T$128</f>
        <v>89.375</v>
      </c>
      <c r="O24" s="93" t="str">
        <f>PROSES!AC21</f>
        <v/>
      </c>
      <c r="P24" s="93">
        <f>PROSES!AA21</f>
        <v>0</v>
      </c>
      <c r="Q24" s="93">
        <f>PROSES!AB21</f>
        <v>0</v>
      </c>
      <c r="R24" s="93">
        <f t="shared" si="2"/>
        <v>29.791666666666668</v>
      </c>
      <c r="S24" s="93">
        <f>WSSKI!$T$112</f>
        <v>79.694444444444443</v>
      </c>
      <c r="T24" s="93" t="str">
        <f>PROSES!AL21</f>
        <v/>
      </c>
      <c r="U24" s="93">
        <f>PROSES!AJ21</f>
        <v>0</v>
      </c>
      <c r="V24" s="93">
        <f>PROSES!AK21</f>
        <v>0</v>
      </c>
      <c r="W24" s="93">
        <f t="shared" si="3"/>
        <v>26.564814814814813</v>
      </c>
      <c r="X24" s="94">
        <f>WSPKN!$T$205</f>
        <v>96.432043650793645</v>
      </c>
      <c r="Y24" s="94">
        <f>PROSES!AV21</f>
        <v>0</v>
      </c>
      <c r="Z24" s="94">
        <f>PROSES!AS21</f>
        <v>0</v>
      </c>
      <c r="AA24" s="94">
        <f>PROSES!AT21</f>
        <v>0</v>
      </c>
      <c r="AB24" s="93">
        <f t="shared" si="4"/>
        <v>24.108010912698411</v>
      </c>
      <c r="AC24" s="94">
        <f>WSIND!$T$353</f>
        <v>95.471819645732694</v>
      </c>
      <c r="AD24" s="94" t="str">
        <f>PROSES!BD21</f>
        <v/>
      </c>
      <c r="AE24" s="94">
        <f>PROSES!BB21</f>
        <v>0</v>
      </c>
      <c r="AF24" s="94">
        <f>PROSES!BC21</f>
        <v>0</v>
      </c>
      <c r="AG24" s="93">
        <f t="shared" si="5"/>
        <v>31.823939881910899</v>
      </c>
      <c r="AH24" s="94" t="str">
        <f>WSARAB!$T$121</f>
        <v/>
      </c>
      <c r="AI24" s="94" t="str">
        <f>PROSES!BM21</f>
        <v/>
      </c>
      <c r="AJ24" s="94">
        <f>PROSES!BK21</f>
        <v>0</v>
      </c>
      <c r="AK24" s="94">
        <f>PROSES!BL21</f>
        <v>0</v>
      </c>
      <c r="AL24" s="93">
        <f t="shared" si="6"/>
        <v>0</v>
      </c>
      <c r="AM24" s="94">
        <f>WSMTK!$T$208</f>
        <v>95.046875</v>
      </c>
      <c r="AN24" s="94" t="str">
        <f>PROSES!BV21</f>
        <v/>
      </c>
      <c r="AO24" s="94">
        <f>PROSES!BT21</f>
        <v>0</v>
      </c>
      <c r="AP24" s="94">
        <f>PROSES!BU21</f>
        <v>0</v>
      </c>
      <c r="AQ24" s="93">
        <f t="shared" si="7"/>
        <v>31.682291666666668</v>
      </c>
      <c r="AR24" s="94" t="str">
        <f>WSIPA!$T$110</f>
        <v/>
      </c>
      <c r="AS24" s="94" t="str">
        <f>PROSES!CE21</f>
        <v/>
      </c>
      <c r="AT24" s="94">
        <f>PROSES!CC21</f>
        <v>0</v>
      </c>
      <c r="AU24" s="94">
        <f>PROSES!CD21</f>
        <v>0</v>
      </c>
      <c r="AV24" s="93">
        <f t="shared" si="8"/>
        <v>0</v>
      </c>
      <c r="AW24" s="94" t="str">
        <f>WSIPS!$T$110</f>
        <v/>
      </c>
      <c r="AX24" s="94" t="str">
        <f>PROSES!CN21</f>
        <v/>
      </c>
      <c r="AY24" s="94">
        <f>PROSES!CL21</f>
        <v>0</v>
      </c>
      <c r="AZ24" s="94">
        <f>PROSES!CM21</f>
        <v>0</v>
      </c>
      <c r="BA24" s="93">
        <f t="shared" si="9"/>
        <v>0</v>
      </c>
      <c r="BB24" s="94">
        <f>WSSBK!$T$127</f>
        <v>93.28125</v>
      </c>
      <c r="BC24" s="94" t="str">
        <f>PROSES!CW21</f>
        <v/>
      </c>
      <c r="BD24" s="94">
        <f>PROSES!CU21</f>
        <v>0</v>
      </c>
      <c r="BE24" s="94">
        <f>PROSES!CV21</f>
        <v>0</v>
      </c>
      <c r="BF24" s="93">
        <f t="shared" si="10"/>
        <v>31.09375</v>
      </c>
      <c r="BG24" s="94">
        <f>WSPENJAS!$T$22</f>
        <v>92</v>
      </c>
      <c r="BH24" s="94">
        <f>PROSES!DF21</f>
        <v>91.666666666666671</v>
      </c>
      <c r="BI24" s="94">
        <f>PROSES!DD21</f>
        <v>92</v>
      </c>
      <c r="BJ24" s="94">
        <f>PROSES!DE21</f>
        <v>97</v>
      </c>
      <c r="BK24" s="93">
        <f t="shared" si="11"/>
        <v>93.166666666666671</v>
      </c>
      <c r="BL24" s="95">
        <f>WSJAWA!$T$110</f>
        <v>92.083333333333343</v>
      </c>
      <c r="BM24" s="95" t="str">
        <f>PROSES!DO21</f>
        <v/>
      </c>
      <c r="BN24" s="95">
        <f>PROSES!DM21</f>
        <v>0</v>
      </c>
      <c r="BO24" s="95">
        <f>PROSES!DN21</f>
        <v>0</v>
      </c>
      <c r="BP24" s="93">
        <f t="shared" si="12"/>
        <v>30.694444444444446</v>
      </c>
      <c r="BQ24" s="95">
        <f>WSING!$T$114</f>
        <v>95.333333333333343</v>
      </c>
      <c r="BR24" s="95" t="str">
        <f>PROSES!DX21</f>
        <v/>
      </c>
      <c r="BS24" s="95">
        <f>PROSES!DV21</f>
        <v>0</v>
      </c>
      <c r="BT24" s="95">
        <f>PROSES!DW21</f>
        <v>0</v>
      </c>
      <c r="BU24" s="93">
        <f t="shared" si="13"/>
        <v>31.777777777777782</v>
      </c>
      <c r="BV24" s="95" t="str">
        <f>WSTIK!$T$110</f>
        <v/>
      </c>
      <c r="BW24" s="95">
        <f>PROSES!EG21</f>
        <v>88.5</v>
      </c>
      <c r="BX24" s="95">
        <f>PROSES!EE21</f>
        <v>89</v>
      </c>
      <c r="BY24" s="95">
        <f>PROSES!EF21</f>
        <v>0</v>
      </c>
      <c r="BZ24" s="93">
        <f t="shared" si="14"/>
        <v>59.166666666666664</v>
      </c>
      <c r="CA24" s="95" t="str">
        <f>WSASWAJA!$T$110</f>
        <v/>
      </c>
      <c r="CB24" s="95">
        <f>PROSES!EP21</f>
        <v>94.333333333333329</v>
      </c>
      <c r="CC24" s="95">
        <f>PROSES!EN21</f>
        <v>89</v>
      </c>
      <c r="CD24" s="95">
        <f>PROSES!EO21</f>
        <v>0</v>
      </c>
      <c r="CE24" s="93">
        <f t="shared" si="15"/>
        <v>61.111111111111107</v>
      </c>
      <c r="CF24" s="92">
        <f t="shared" si="16"/>
        <v>31.808543510311228</v>
      </c>
      <c r="CG24" s="85">
        <f t="shared" si="0"/>
        <v>17</v>
      </c>
    </row>
    <row r="25" spans="1:85" s="96" customFormat="1" ht="12.95" customHeight="1">
      <c r="A25" s="86">
        <v>17</v>
      </c>
      <c r="B25" s="83">
        <f>DATASISWA!E24</f>
        <v>0</v>
      </c>
      <c r="C25" s="84">
        <f>DATASISWA!G24</f>
        <v>0</v>
      </c>
      <c r="D25" s="93">
        <f>WSALQURAN!$U$110</f>
        <v>91.595238095238102</v>
      </c>
      <c r="E25" s="93" t="str">
        <f>PROSES!K22</f>
        <v/>
      </c>
      <c r="F25" s="93">
        <f>PROSES!I22</f>
        <v>0</v>
      </c>
      <c r="G25" s="93">
        <f>PROSES!J22</f>
        <v>0</v>
      </c>
      <c r="H25" s="93">
        <f t="shared" si="17"/>
        <v>30.531746031746035</v>
      </c>
      <c r="I25" s="93">
        <f>WSAQIDAH!$U$110</f>
        <v>97.55</v>
      </c>
      <c r="J25" s="93" t="str">
        <f>PROSES!T22</f>
        <v/>
      </c>
      <c r="K25" s="93">
        <f>PROSES!R22</f>
        <v>0</v>
      </c>
      <c r="L25" s="93">
        <f>PROSES!S22</f>
        <v>0</v>
      </c>
      <c r="M25" s="93">
        <f t="shared" si="1"/>
        <v>32.516666666666666</v>
      </c>
      <c r="N25" s="93">
        <f>WSFIQIH!$U$128</f>
        <v>93.84375</v>
      </c>
      <c r="O25" s="93" t="str">
        <f>PROSES!AC22</f>
        <v/>
      </c>
      <c r="P25" s="93">
        <f>PROSES!AA22</f>
        <v>0</v>
      </c>
      <c r="Q25" s="93">
        <f>PROSES!AB22</f>
        <v>0</v>
      </c>
      <c r="R25" s="93">
        <f t="shared" si="2"/>
        <v>31.28125</v>
      </c>
      <c r="S25" s="93">
        <f>WSSKI!$U$112</f>
        <v>95.555555555555543</v>
      </c>
      <c r="T25" s="93" t="str">
        <f>PROSES!AL22</f>
        <v/>
      </c>
      <c r="U25" s="93">
        <f>PROSES!AJ22</f>
        <v>0</v>
      </c>
      <c r="V25" s="93">
        <f>PROSES!AK22</f>
        <v>0</v>
      </c>
      <c r="W25" s="93">
        <f t="shared" si="3"/>
        <v>31.851851851851848</v>
      </c>
      <c r="X25" s="94">
        <f>WSPKN!$U$205</f>
        <v>98.917906746031747</v>
      </c>
      <c r="Y25" s="94">
        <f>PROSES!AV22</f>
        <v>0</v>
      </c>
      <c r="Z25" s="94">
        <f>PROSES!AS22</f>
        <v>0</v>
      </c>
      <c r="AA25" s="94">
        <f>PROSES!AT22</f>
        <v>0</v>
      </c>
      <c r="AB25" s="93">
        <f t="shared" si="4"/>
        <v>24.729476686507937</v>
      </c>
      <c r="AC25" s="94">
        <f>WSIND!$U$353</f>
        <v>98.564546430488463</v>
      </c>
      <c r="AD25" s="94" t="str">
        <f>PROSES!BD22</f>
        <v/>
      </c>
      <c r="AE25" s="94">
        <f>PROSES!BB22</f>
        <v>0</v>
      </c>
      <c r="AF25" s="94">
        <f>PROSES!BC22</f>
        <v>0</v>
      </c>
      <c r="AG25" s="93">
        <f t="shared" si="5"/>
        <v>32.854848810162821</v>
      </c>
      <c r="AH25" s="94" t="str">
        <f>WSARAB!$U$121</f>
        <v/>
      </c>
      <c r="AI25" s="94" t="str">
        <f>PROSES!BM22</f>
        <v/>
      </c>
      <c r="AJ25" s="94">
        <f>PROSES!BK22</f>
        <v>0</v>
      </c>
      <c r="AK25" s="94">
        <f>PROSES!BL22</f>
        <v>0</v>
      </c>
      <c r="AL25" s="93">
        <f t="shared" si="6"/>
        <v>0</v>
      </c>
      <c r="AM25" s="94">
        <f>WSMTK!$U$208</f>
        <v>98.463541666666671</v>
      </c>
      <c r="AN25" s="94" t="str">
        <f>PROSES!BV22</f>
        <v/>
      </c>
      <c r="AO25" s="94">
        <f>PROSES!BT22</f>
        <v>0</v>
      </c>
      <c r="AP25" s="94">
        <f>PROSES!BU22</f>
        <v>0</v>
      </c>
      <c r="AQ25" s="93">
        <f t="shared" si="7"/>
        <v>32.821180555555557</v>
      </c>
      <c r="AR25" s="94" t="str">
        <f>WSIPA!$U$110</f>
        <v/>
      </c>
      <c r="AS25" s="94" t="str">
        <f>PROSES!CE22</f>
        <v/>
      </c>
      <c r="AT25" s="94">
        <f>PROSES!CC22</f>
        <v>0</v>
      </c>
      <c r="AU25" s="94">
        <f>PROSES!CD22</f>
        <v>0</v>
      </c>
      <c r="AV25" s="93">
        <f t="shared" si="8"/>
        <v>0</v>
      </c>
      <c r="AW25" s="94" t="str">
        <f>WSIPS!$U$110</f>
        <v/>
      </c>
      <c r="AX25" s="94" t="str">
        <f>PROSES!CN22</f>
        <v/>
      </c>
      <c r="AY25" s="94">
        <f>PROSES!CL22</f>
        <v>0</v>
      </c>
      <c r="AZ25" s="94">
        <f>PROSES!CM22</f>
        <v>0</v>
      </c>
      <c r="BA25" s="93">
        <f t="shared" si="9"/>
        <v>0</v>
      </c>
      <c r="BB25" s="94">
        <f>WSSBK!$U$127</f>
        <v>98.28125</v>
      </c>
      <c r="BC25" s="94" t="str">
        <f>PROSES!CW22</f>
        <v/>
      </c>
      <c r="BD25" s="94">
        <f>PROSES!CU22</f>
        <v>0</v>
      </c>
      <c r="BE25" s="94">
        <f>PROSES!CV22</f>
        <v>0</v>
      </c>
      <c r="BF25" s="93">
        <f t="shared" si="10"/>
        <v>32.760416666666664</v>
      </c>
      <c r="BG25" s="94">
        <f>WSPENJAS!$U$22</f>
        <v>94</v>
      </c>
      <c r="BH25" s="94">
        <f>PROSES!DF22</f>
        <v>88.666666666666671</v>
      </c>
      <c r="BI25" s="94">
        <f>PROSES!DD22</f>
        <v>89</v>
      </c>
      <c r="BJ25" s="94">
        <f>PROSES!DE22</f>
        <v>97</v>
      </c>
      <c r="BK25" s="93">
        <f t="shared" si="11"/>
        <v>92.166666666666671</v>
      </c>
      <c r="BL25" s="95">
        <f>WSJAWA!$U$110</f>
        <v>97.291666666666671</v>
      </c>
      <c r="BM25" s="95" t="str">
        <f>PROSES!DO22</f>
        <v/>
      </c>
      <c r="BN25" s="95">
        <f>PROSES!DM22</f>
        <v>0</v>
      </c>
      <c r="BO25" s="95">
        <f>PROSES!DN22</f>
        <v>0</v>
      </c>
      <c r="BP25" s="93">
        <f t="shared" si="12"/>
        <v>32.430555555555557</v>
      </c>
      <c r="BQ25" s="95">
        <f>WSING!$U$114</f>
        <v>95.666666666666671</v>
      </c>
      <c r="BR25" s="95" t="str">
        <f>PROSES!DX22</f>
        <v/>
      </c>
      <c r="BS25" s="95">
        <f>PROSES!DV22</f>
        <v>0</v>
      </c>
      <c r="BT25" s="95">
        <f>PROSES!DW22</f>
        <v>0</v>
      </c>
      <c r="BU25" s="93">
        <f t="shared" si="13"/>
        <v>31.888888888888889</v>
      </c>
      <c r="BV25" s="95" t="str">
        <f>WSTIK!$U$110</f>
        <v/>
      </c>
      <c r="BW25" s="95">
        <f>PROSES!EG22</f>
        <v>90</v>
      </c>
      <c r="BX25" s="95">
        <f>PROSES!EE22</f>
        <v>90</v>
      </c>
      <c r="BY25" s="95">
        <f>PROSES!EF22</f>
        <v>0</v>
      </c>
      <c r="BZ25" s="93">
        <f t="shared" si="14"/>
        <v>60</v>
      </c>
      <c r="CA25" s="95" t="str">
        <f>WSASWAJA!$U$110</f>
        <v/>
      </c>
      <c r="CB25" s="95">
        <f>PROSES!EP22</f>
        <v>93.333333333333329</v>
      </c>
      <c r="CC25" s="95">
        <f>PROSES!EN22</f>
        <v>100</v>
      </c>
      <c r="CD25" s="95">
        <f>PROSES!EO22</f>
        <v>0</v>
      </c>
      <c r="CE25" s="93">
        <f t="shared" si="15"/>
        <v>64.444444444444443</v>
      </c>
      <c r="CF25" s="92">
        <f t="shared" si="16"/>
        <v>33.142374551544563</v>
      </c>
      <c r="CG25" s="85">
        <f t="shared" si="0"/>
        <v>4</v>
      </c>
    </row>
    <row r="26" spans="1:85" s="96" customFormat="1" ht="12.95" customHeight="1">
      <c r="A26" s="87">
        <v>18</v>
      </c>
      <c r="B26" s="83">
        <f>DATASISWA!E25</f>
        <v>0</v>
      </c>
      <c r="C26" s="84">
        <f>DATASISWA!G25</f>
        <v>0</v>
      </c>
      <c r="D26" s="93">
        <f>WSALQURAN!$V$110</f>
        <v>95.238095238095255</v>
      </c>
      <c r="E26" s="93" t="str">
        <f>PROSES!K23</f>
        <v/>
      </c>
      <c r="F26" s="93">
        <f>PROSES!I23</f>
        <v>0</v>
      </c>
      <c r="G26" s="93">
        <f>PROSES!J23</f>
        <v>0</v>
      </c>
      <c r="H26" s="93">
        <f t="shared" si="17"/>
        <v>31.74603174603175</v>
      </c>
      <c r="I26" s="93">
        <f>WSAQIDAH!$V$110</f>
        <v>90.7</v>
      </c>
      <c r="J26" s="93" t="str">
        <f>PROSES!T23</f>
        <v/>
      </c>
      <c r="K26" s="93">
        <f>PROSES!R23</f>
        <v>0</v>
      </c>
      <c r="L26" s="93">
        <f>PROSES!S23</f>
        <v>0</v>
      </c>
      <c r="M26" s="93">
        <f t="shared" si="1"/>
        <v>30.233333333333334</v>
      </c>
      <c r="N26" s="93">
        <f>WSFIQIH!$V$128</f>
        <v>95.375</v>
      </c>
      <c r="O26" s="93" t="str">
        <f>PROSES!AC23</f>
        <v/>
      </c>
      <c r="P26" s="93">
        <f>PROSES!AA23</f>
        <v>0</v>
      </c>
      <c r="Q26" s="93">
        <f>PROSES!AB23</f>
        <v>0</v>
      </c>
      <c r="R26" s="93">
        <f t="shared" si="2"/>
        <v>31.791666666666668</v>
      </c>
      <c r="S26" s="93">
        <f>WSSKI!$V$112</f>
        <v>85.3</v>
      </c>
      <c r="T26" s="93" t="str">
        <f>PROSES!AL23</f>
        <v/>
      </c>
      <c r="U26" s="93">
        <f>PROSES!AJ23</f>
        <v>0</v>
      </c>
      <c r="V26" s="93">
        <f>PROSES!AK23</f>
        <v>0</v>
      </c>
      <c r="W26" s="93">
        <f t="shared" si="3"/>
        <v>28.433333333333334</v>
      </c>
      <c r="X26" s="94">
        <f>WSPKN!$V$205</f>
        <v>94.376984126984141</v>
      </c>
      <c r="Y26" s="94">
        <f>PROSES!AV23</f>
        <v>0</v>
      </c>
      <c r="Z26" s="94">
        <f>PROSES!AS23</f>
        <v>0</v>
      </c>
      <c r="AA26" s="94">
        <f>PROSES!AT23</f>
        <v>0</v>
      </c>
      <c r="AB26" s="93">
        <f t="shared" si="4"/>
        <v>23.594246031746035</v>
      </c>
      <c r="AC26" s="94">
        <f>WSIND!$V$353</f>
        <v>93.909899547580707</v>
      </c>
      <c r="AD26" s="94" t="str">
        <f>PROSES!BD23</f>
        <v/>
      </c>
      <c r="AE26" s="94">
        <f>PROSES!BB23</f>
        <v>0</v>
      </c>
      <c r="AF26" s="94">
        <f>PROSES!BC23</f>
        <v>0</v>
      </c>
      <c r="AG26" s="93">
        <f t="shared" si="5"/>
        <v>31.303299849193568</v>
      </c>
      <c r="AH26" s="94" t="str">
        <f>WSARAB!$V$121</f>
        <v/>
      </c>
      <c r="AI26" s="94" t="str">
        <f>PROSES!BM23</f>
        <v/>
      </c>
      <c r="AJ26" s="94">
        <f>PROSES!BK23</f>
        <v>0</v>
      </c>
      <c r="AK26" s="94">
        <f>PROSES!BL23</f>
        <v>0</v>
      </c>
      <c r="AL26" s="93">
        <f t="shared" si="6"/>
        <v>0</v>
      </c>
      <c r="AM26" s="94">
        <f>WSMTK!$V$208</f>
        <v>93.948814655172413</v>
      </c>
      <c r="AN26" s="94" t="str">
        <f>PROSES!BV23</f>
        <v/>
      </c>
      <c r="AO26" s="94">
        <f>PROSES!BT23</f>
        <v>0</v>
      </c>
      <c r="AP26" s="94">
        <f>PROSES!BU23</f>
        <v>0</v>
      </c>
      <c r="AQ26" s="93">
        <f t="shared" si="7"/>
        <v>31.316271551724139</v>
      </c>
      <c r="AR26" s="94" t="str">
        <f>WSIPA!$V$110</f>
        <v/>
      </c>
      <c r="AS26" s="94" t="str">
        <f>PROSES!CE23</f>
        <v/>
      </c>
      <c r="AT26" s="94">
        <f>PROSES!CC23</f>
        <v>0</v>
      </c>
      <c r="AU26" s="94">
        <f>PROSES!CD23</f>
        <v>0</v>
      </c>
      <c r="AV26" s="93">
        <f t="shared" si="8"/>
        <v>0</v>
      </c>
      <c r="AW26" s="94" t="str">
        <f>WSIPS!$V$110</f>
        <v/>
      </c>
      <c r="AX26" s="94" t="str">
        <f>PROSES!CN23</f>
        <v/>
      </c>
      <c r="AY26" s="94">
        <f>PROSES!CL23</f>
        <v>0</v>
      </c>
      <c r="AZ26" s="94">
        <f>PROSES!CM23</f>
        <v>0</v>
      </c>
      <c r="BA26" s="93">
        <f t="shared" si="9"/>
        <v>0</v>
      </c>
      <c r="BB26" s="94">
        <f>WSSBK!$V$127</f>
        <v>93.325892857142861</v>
      </c>
      <c r="BC26" s="94" t="str">
        <f>PROSES!CW23</f>
        <v/>
      </c>
      <c r="BD26" s="94">
        <f>PROSES!CU23</f>
        <v>0</v>
      </c>
      <c r="BE26" s="94">
        <f>PROSES!CV23</f>
        <v>0</v>
      </c>
      <c r="BF26" s="93">
        <f t="shared" si="10"/>
        <v>31.108630952380953</v>
      </c>
      <c r="BG26" s="94">
        <f>WSPENJAS!$V$22</f>
        <v>89</v>
      </c>
      <c r="BH26" s="94">
        <f>PROSES!DF23</f>
        <v>93</v>
      </c>
      <c r="BI26" s="94">
        <f>PROSES!DD23</f>
        <v>93</v>
      </c>
      <c r="BJ26" s="94">
        <f>PROSES!DE23</f>
        <v>84</v>
      </c>
      <c r="BK26" s="93">
        <f t="shared" si="11"/>
        <v>89.75</v>
      </c>
      <c r="BL26" s="95">
        <f>WSJAWA!$V$110</f>
        <v>99.583333333333329</v>
      </c>
      <c r="BM26" s="95" t="str">
        <f>PROSES!DO23</f>
        <v/>
      </c>
      <c r="BN26" s="95">
        <f>PROSES!DM23</f>
        <v>0</v>
      </c>
      <c r="BO26" s="95">
        <f>PROSES!DN23</f>
        <v>0</v>
      </c>
      <c r="BP26" s="93">
        <f t="shared" si="12"/>
        <v>33.194444444444443</v>
      </c>
      <c r="BQ26" s="95">
        <f>WSING!$V$114</f>
        <v>96.25</v>
      </c>
      <c r="BR26" s="95" t="str">
        <f>PROSES!DX23</f>
        <v/>
      </c>
      <c r="BS26" s="95">
        <f>PROSES!DV23</f>
        <v>0</v>
      </c>
      <c r="BT26" s="95">
        <f>PROSES!DW23</f>
        <v>0</v>
      </c>
      <c r="BU26" s="93">
        <f t="shared" si="13"/>
        <v>32.083333333333336</v>
      </c>
      <c r="BV26" s="95" t="str">
        <f>WSTIK!$V$110</f>
        <v/>
      </c>
      <c r="BW26" s="95">
        <f>PROSES!EG23</f>
        <v>87.5</v>
      </c>
      <c r="BX26" s="95">
        <f>PROSES!EE23</f>
        <v>88</v>
      </c>
      <c r="BY26" s="95">
        <f>PROSES!EF23</f>
        <v>0</v>
      </c>
      <c r="BZ26" s="93">
        <f t="shared" si="14"/>
        <v>58.5</v>
      </c>
      <c r="CA26" s="95" t="str">
        <f>WSASWAJA!$V$110</f>
        <v/>
      </c>
      <c r="CB26" s="95">
        <f>PROSES!EP23</f>
        <v>96</v>
      </c>
      <c r="CC26" s="95">
        <f>PROSES!EN23</f>
        <v>95</v>
      </c>
      <c r="CD26" s="95">
        <f>PROSES!EO23</f>
        <v>0</v>
      </c>
      <c r="CE26" s="93">
        <f t="shared" si="15"/>
        <v>63.666666666666664</v>
      </c>
      <c r="CF26" s="92">
        <f t="shared" si="16"/>
        <v>32.295078619303389</v>
      </c>
      <c r="CG26" s="85">
        <f t="shared" si="0"/>
        <v>11</v>
      </c>
    </row>
    <row r="27" spans="1:85" s="96" customFormat="1" ht="12.95" customHeight="1">
      <c r="A27" s="86">
        <v>19</v>
      </c>
      <c r="B27" s="83">
        <f>DATASISWA!E26</f>
        <v>0</v>
      </c>
      <c r="C27" s="84">
        <f>DATASISWA!G26</f>
        <v>0</v>
      </c>
      <c r="D27" s="93">
        <f>WSALQURAN!$W$110</f>
        <v>84.571428571428569</v>
      </c>
      <c r="E27" s="93" t="str">
        <f>PROSES!K24</f>
        <v/>
      </c>
      <c r="F27" s="93">
        <f>PROSES!I24</f>
        <v>0</v>
      </c>
      <c r="G27" s="93">
        <f>PROSES!J24</f>
        <v>0</v>
      </c>
      <c r="H27" s="93">
        <f t="shared" si="17"/>
        <v>28.19047619047619</v>
      </c>
      <c r="I27" s="93">
        <f>WSAQIDAH!$W$110</f>
        <v>86.25</v>
      </c>
      <c r="J27" s="93" t="str">
        <f>PROSES!T24</f>
        <v/>
      </c>
      <c r="K27" s="93">
        <f>PROSES!R24</f>
        <v>0</v>
      </c>
      <c r="L27" s="93">
        <f>PROSES!S24</f>
        <v>0</v>
      </c>
      <c r="M27" s="93">
        <f t="shared" si="1"/>
        <v>28.75</v>
      </c>
      <c r="N27" s="93">
        <f>WSFIQIH!$W$128</f>
        <v>83.375</v>
      </c>
      <c r="O27" s="93" t="str">
        <f>PROSES!AC24</f>
        <v/>
      </c>
      <c r="P27" s="93">
        <f>PROSES!AA24</f>
        <v>0</v>
      </c>
      <c r="Q27" s="93">
        <f>PROSES!AB24</f>
        <v>0</v>
      </c>
      <c r="R27" s="93">
        <f t="shared" si="2"/>
        <v>27.791666666666668</v>
      </c>
      <c r="S27" s="93">
        <f>WSSKI!$W$112</f>
        <v>80.37222222222222</v>
      </c>
      <c r="T27" s="93" t="str">
        <f>PROSES!AL24</f>
        <v/>
      </c>
      <c r="U27" s="93">
        <f>PROSES!AJ24</f>
        <v>0</v>
      </c>
      <c r="V27" s="93">
        <f>PROSES!AK24</f>
        <v>0</v>
      </c>
      <c r="W27" s="93">
        <f t="shared" si="3"/>
        <v>26.790740740740741</v>
      </c>
      <c r="X27" s="94">
        <f>WSPKN!$W$205</f>
        <v>94.266865079365076</v>
      </c>
      <c r="Y27" s="94">
        <f>PROSES!AV24</f>
        <v>0</v>
      </c>
      <c r="Z27" s="94">
        <f>PROSES!AS24</f>
        <v>0</v>
      </c>
      <c r="AA27" s="94">
        <f>PROSES!AT24</f>
        <v>0</v>
      </c>
      <c r="AB27" s="93">
        <f t="shared" si="4"/>
        <v>23.566716269841269</v>
      </c>
      <c r="AC27" s="94">
        <f>WSIND!$W$353</f>
        <v>93.369431025228124</v>
      </c>
      <c r="AD27" s="94" t="str">
        <f>PROSES!BD24</f>
        <v/>
      </c>
      <c r="AE27" s="94">
        <f>PROSES!BB24</f>
        <v>0</v>
      </c>
      <c r="AF27" s="94">
        <f>PROSES!BC24</f>
        <v>0</v>
      </c>
      <c r="AG27" s="93">
        <f t="shared" si="5"/>
        <v>31.12314367507604</v>
      </c>
      <c r="AH27" s="94" t="str">
        <f>WSARAB!$W$121</f>
        <v/>
      </c>
      <c r="AI27" s="94" t="str">
        <f>PROSES!BM24</f>
        <v/>
      </c>
      <c r="AJ27" s="94">
        <f>PROSES!BK24</f>
        <v>0</v>
      </c>
      <c r="AK27" s="94">
        <f>PROSES!BL24</f>
        <v>0</v>
      </c>
      <c r="AL27" s="93">
        <f t="shared" si="6"/>
        <v>0</v>
      </c>
      <c r="AM27" s="94">
        <f>WSMTK!$W$208</f>
        <v>92.126041666666666</v>
      </c>
      <c r="AN27" s="94" t="str">
        <f>PROSES!BV24</f>
        <v/>
      </c>
      <c r="AO27" s="94">
        <f>PROSES!BT24</f>
        <v>0</v>
      </c>
      <c r="AP27" s="94">
        <f>PROSES!BU24</f>
        <v>0</v>
      </c>
      <c r="AQ27" s="93">
        <f t="shared" si="7"/>
        <v>30.708680555555556</v>
      </c>
      <c r="AR27" s="94" t="str">
        <f>WSIPA!$W$110</f>
        <v/>
      </c>
      <c r="AS27" s="94" t="str">
        <f>PROSES!CE24</f>
        <v/>
      </c>
      <c r="AT27" s="94">
        <f>PROSES!CC24</f>
        <v>0</v>
      </c>
      <c r="AU27" s="94">
        <f>PROSES!CD24</f>
        <v>0</v>
      </c>
      <c r="AV27" s="93">
        <f t="shared" si="8"/>
        <v>0</v>
      </c>
      <c r="AW27" s="94" t="str">
        <f>WSIPS!$W$110</f>
        <v/>
      </c>
      <c r="AX27" s="94" t="str">
        <f>PROSES!CN24</f>
        <v/>
      </c>
      <c r="AY27" s="94">
        <f>PROSES!CL24</f>
        <v>0</v>
      </c>
      <c r="AZ27" s="94">
        <f>PROSES!CM24</f>
        <v>0</v>
      </c>
      <c r="BA27" s="93">
        <f t="shared" si="9"/>
        <v>0</v>
      </c>
      <c r="BB27" s="94">
        <f>WSSBK!$W$127</f>
        <v>92.78125</v>
      </c>
      <c r="BC27" s="94" t="str">
        <f>PROSES!CW24</f>
        <v/>
      </c>
      <c r="BD27" s="94">
        <f>PROSES!CU24</f>
        <v>0</v>
      </c>
      <c r="BE27" s="94">
        <f>PROSES!CV24</f>
        <v>0</v>
      </c>
      <c r="BF27" s="93">
        <f t="shared" si="10"/>
        <v>30.927083333333332</v>
      </c>
      <c r="BG27" s="94">
        <f>WSPENJAS!$W$22</f>
        <v>85</v>
      </c>
      <c r="BH27" s="94">
        <f>PROSES!DF24</f>
        <v>89</v>
      </c>
      <c r="BI27" s="94">
        <f>PROSES!DD24</f>
        <v>89</v>
      </c>
      <c r="BJ27" s="94">
        <f>PROSES!DE24</f>
        <v>78</v>
      </c>
      <c r="BK27" s="93">
        <f t="shared" si="11"/>
        <v>85.25</v>
      </c>
      <c r="BL27" s="95">
        <f>WSJAWA!$W$110</f>
        <v>92.5</v>
      </c>
      <c r="BM27" s="95" t="str">
        <f>PROSES!DO24</f>
        <v/>
      </c>
      <c r="BN27" s="95">
        <f>PROSES!DM24</f>
        <v>0</v>
      </c>
      <c r="BO27" s="95">
        <f>PROSES!DN24</f>
        <v>0</v>
      </c>
      <c r="BP27" s="93">
        <f t="shared" si="12"/>
        <v>30.833333333333332</v>
      </c>
      <c r="BQ27" s="95">
        <f>WSING!$W$114</f>
        <v>90</v>
      </c>
      <c r="BR27" s="95" t="str">
        <f>PROSES!DX24</f>
        <v/>
      </c>
      <c r="BS27" s="95">
        <f>PROSES!DV24</f>
        <v>0</v>
      </c>
      <c r="BT27" s="95">
        <f>PROSES!DW24</f>
        <v>0</v>
      </c>
      <c r="BU27" s="93">
        <f t="shared" si="13"/>
        <v>30</v>
      </c>
      <c r="BV27" s="95" t="str">
        <f>WSTIK!$W$110</f>
        <v/>
      </c>
      <c r="BW27" s="95">
        <f>PROSES!EG24</f>
        <v>77.5</v>
      </c>
      <c r="BX27" s="95">
        <f>PROSES!EE24</f>
        <v>78</v>
      </c>
      <c r="BY27" s="95">
        <f>PROSES!EF24</f>
        <v>0</v>
      </c>
      <c r="BZ27" s="93">
        <f t="shared" si="14"/>
        <v>51.833333333333336</v>
      </c>
      <c r="CA27" s="95" t="str">
        <f>WSASWAJA!$W$110</f>
        <v/>
      </c>
      <c r="CB27" s="95">
        <f>PROSES!EP24</f>
        <v>75</v>
      </c>
      <c r="CC27" s="95">
        <f>PROSES!EN24</f>
        <v>75</v>
      </c>
      <c r="CD27" s="95">
        <f>PROSES!EO24</f>
        <v>0</v>
      </c>
      <c r="CE27" s="93">
        <f t="shared" si="15"/>
        <v>50</v>
      </c>
      <c r="CF27" s="92">
        <f t="shared" si="16"/>
        <v>29.735323381147278</v>
      </c>
      <c r="CG27" s="85">
        <f t="shared" si="0"/>
        <v>24</v>
      </c>
    </row>
    <row r="28" spans="1:85" s="96" customFormat="1" ht="12.95" customHeight="1">
      <c r="A28" s="87">
        <v>20</v>
      </c>
      <c r="B28" s="83">
        <f>DATASISWA!E27</f>
        <v>0</v>
      </c>
      <c r="C28" s="84">
        <f>DATASISWA!G27</f>
        <v>0</v>
      </c>
      <c r="D28" s="93">
        <f>WSALQURAN!$X$110</f>
        <v>86.928571428571431</v>
      </c>
      <c r="E28" s="93" t="str">
        <f>PROSES!K25</f>
        <v/>
      </c>
      <c r="F28" s="93">
        <f>PROSES!I25</f>
        <v>0</v>
      </c>
      <c r="G28" s="93">
        <f>PROSES!J25</f>
        <v>0</v>
      </c>
      <c r="H28" s="93">
        <f t="shared" si="17"/>
        <v>28.976190476190478</v>
      </c>
      <c r="I28" s="93">
        <f>WSAQIDAH!$X$110</f>
        <v>90.7</v>
      </c>
      <c r="J28" s="93" t="str">
        <f>PROSES!T25</f>
        <v/>
      </c>
      <c r="K28" s="93">
        <f>PROSES!R25</f>
        <v>0</v>
      </c>
      <c r="L28" s="93">
        <f>PROSES!S25</f>
        <v>0</v>
      </c>
      <c r="M28" s="93">
        <f t="shared" si="1"/>
        <v>30.233333333333334</v>
      </c>
      <c r="N28" s="93">
        <f>WSFIQIH!$X$128</f>
        <v>81.84375</v>
      </c>
      <c r="O28" s="93" t="str">
        <f>PROSES!AC25</f>
        <v/>
      </c>
      <c r="P28" s="93">
        <f>PROSES!AA25</f>
        <v>0</v>
      </c>
      <c r="Q28" s="93">
        <f>PROSES!AB25</f>
        <v>0</v>
      </c>
      <c r="R28" s="93">
        <f t="shared" si="2"/>
        <v>27.28125</v>
      </c>
      <c r="S28" s="93">
        <f>WSSKI!$X$112</f>
        <v>79.333333333333329</v>
      </c>
      <c r="T28" s="93" t="str">
        <f>PROSES!AL25</f>
        <v/>
      </c>
      <c r="U28" s="93">
        <f>PROSES!AJ25</f>
        <v>0</v>
      </c>
      <c r="V28" s="93">
        <f>PROSES!AK25</f>
        <v>0</v>
      </c>
      <c r="W28" s="93">
        <f t="shared" si="3"/>
        <v>26.444444444444443</v>
      </c>
      <c r="X28" s="94">
        <f>WSPKN!$X$205</f>
        <v>93.351438492063508</v>
      </c>
      <c r="Y28" s="94">
        <f>PROSES!AV25</f>
        <v>0</v>
      </c>
      <c r="Z28" s="94">
        <f>PROSES!AS25</f>
        <v>0</v>
      </c>
      <c r="AA28" s="94">
        <f>PROSES!AT25</f>
        <v>0</v>
      </c>
      <c r="AB28" s="93">
        <f t="shared" si="4"/>
        <v>23.337859623015877</v>
      </c>
      <c r="AC28" s="94">
        <f>WSIND!$X$353</f>
        <v>91.854535695115402</v>
      </c>
      <c r="AD28" s="94" t="str">
        <f>PROSES!BD25</f>
        <v/>
      </c>
      <c r="AE28" s="94">
        <f>PROSES!BB25</f>
        <v>0</v>
      </c>
      <c r="AF28" s="94">
        <f>PROSES!BC25</f>
        <v>0</v>
      </c>
      <c r="AG28" s="93">
        <f t="shared" si="5"/>
        <v>30.618178565038466</v>
      </c>
      <c r="AH28" s="94" t="str">
        <f>WSARAB!$X$121</f>
        <v/>
      </c>
      <c r="AI28" s="94" t="str">
        <f>PROSES!BM25</f>
        <v/>
      </c>
      <c r="AJ28" s="94">
        <f>PROSES!BK25</f>
        <v>0</v>
      </c>
      <c r="AK28" s="94">
        <f>PROSES!BL25</f>
        <v>0</v>
      </c>
      <c r="AL28" s="93">
        <f t="shared" si="6"/>
        <v>0</v>
      </c>
      <c r="AM28" s="94">
        <f>WSMTK!$X$208</f>
        <v>92.520833333333329</v>
      </c>
      <c r="AN28" s="94" t="str">
        <f>PROSES!BV25</f>
        <v/>
      </c>
      <c r="AO28" s="94">
        <f>PROSES!BT25</f>
        <v>0</v>
      </c>
      <c r="AP28" s="94">
        <f>PROSES!BU25</f>
        <v>0</v>
      </c>
      <c r="AQ28" s="93">
        <f t="shared" si="7"/>
        <v>30.840277777777775</v>
      </c>
      <c r="AR28" s="94" t="str">
        <f>WSIPA!$X$110</f>
        <v/>
      </c>
      <c r="AS28" s="94" t="str">
        <f>PROSES!CE25</f>
        <v/>
      </c>
      <c r="AT28" s="94">
        <f>PROSES!CC25</f>
        <v>0</v>
      </c>
      <c r="AU28" s="94">
        <f>PROSES!CD25</f>
        <v>0</v>
      </c>
      <c r="AV28" s="93">
        <f t="shared" si="8"/>
        <v>0</v>
      </c>
      <c r="AW28" s="94" t="str">
        <f>WSIPS!$X$110</f>
        <v/>
      </c>
      <c r="AX28" s="94" t="str">
        <f>PROSES!CN25</f>
        <v/>
      </c>
      <c r="AY28" s="94">
        <f>PROSES!CL25</f>
        <v>0</v>
      </c>
      <c r="AZ28" s="94">
        <f>PROSES!CM25</f>
        <v>0</v>
      </c>
      <c r="BA28" s="93">
        <f t="shared" si="9"/>
        <v>0</v>
      </c>
      <c r="BB28" s="94">
        <f>WSSBK!$X$127</f>
        <v>90.9375</v>
      </c>
      <c r="BC28" s="94" t="str">
        <f>PROSES!CW25</f>
        <v/>
      </c>
      <c r="BD28" s="94">
        <f>PROSES!CU25</f>
        <v>0</v>
      </c>
      <c r="BE28" s="94">
        <f>PROSES!CV25</f>
        <v>0</v>
      </c>
      <c r="BF28" s="93">
        <f t="shared" si="10"/>
        <v>30.3125</v>
      </c>
      <c r="BG28" s="94">
        <f>WSPENJAS!$X$22</f>
        <v>85</v>
      </c>
      <c r="BH28" s="94">
        <f>PROSES!DF25</f>
        <v>90.333333333333329</v>
      </c>
      <c r="BI28" s="94">
        <f>PROSES!DD25</f>
        <v>90</v>
      </c>
      <c r="BJ28" s="94">
        <f>PROSES!DE25</f>
        <v>75</v>
      </c>
      <c r="BK28" s="93">
        <f t="shared" si="11"/>
        <v>85.083333333333329</v>
      </c>
      <c r="BL28" s="95">
        <f>WSJAWA!$X$110</f>
        <v>93.749999999999986</v>
      </c>
      <c r="BM28" s="95" t="str">
        <f>PROSES!DO25</f>
        <v/>
      </c>
      <c r="BN28" s="95">
        <f>PROSES!DM25</f>
        <v>0</v>
      </c>
      <c r="BO28" s="95">
        <f>PROSES!DN25</f>
        <v>0</v>
      </c>
      <c r="BP28" s="93">
        <f t="shared" si="12"/>
        <v>31.249999999999996</v>
      </c>
      <c r="BQ28" s="95">
        <f>WSING!$X$114</f>
        <v>91.416666666666657</v>
      </c>
      <c r="BR28" s="95" t="str">
        <f>PROSES!DX25</f>
        <v/>
      </c>
      <c r="BS28" s="95">
        <f>PROSES!DV25</f>
        <v>0</v>
      </c>
      <c r="BT28" s="95">
        <f>PROSES!DW25</f>
        <v>0</v>
      </c>
      <c r="BU28" s="93">
        <f t="shared" si="13"/>
        <v>30.472222222222218</v>
      </c>
      <c r="BV28" s="95" t="str">
        <f>WSTIK!$X$110</f>
        <v/>
      </c>
      <c r="BW28" s="95">
        <f>PROSES!EG25</f>
        <v>90</v>
      </c>
      <c r="BX28" s="95">
        <f>PROSES!EE25</f>
        <v>90</v>
      </c>
      <c r="BY28" s="95">
        <f>PROSES!EF25</f>
        <v>0</v>
      </c>
      <c r="BZ28" s="93">
        <f t="shared" si="14"/>
        <v>60</v>
      </c>
      <c r="CA28" s="95" t="str">
        <f>WSASWAJA!$X$110</f>
        <v/>
      </c>
      <c r="CB28" s="95">
        <f>PROSES!EP25</f>
        <v>90</v>
      </c>
      <c r="CC28" s="95">
        <f>PROSES!EN25</f>
        <v>93</v>
      </c>
      <c r="CD28" s="95">
        <f>PROSES!EO25</f>
        <v>0</v>
      </c>
      <c r="CE28" s="93">
        <f t="shared" si="15"/>
        <v>61</v>
      </c>
      <c r="CF28" s="92">
        <f t="shared" si="16"/>
        <v>30.990599360959745</v>
      </c>
      <c r="CG28" s="85">
        <f t="shared" si="0"/>
        <v>21</v>
      </c>
    </row>
    <row r="29" spans="1:85" s="96" customFormat="1" ht="12.95" customHeight="1">
      <c r="A29" s="86">
        <v>21</v>
      </c>
      <c r="B29" s="83">
        <f>DATASISWA!E28</f>
        <v>0</v>
      </c>
      <c r="C29" s="84">
        <f>DATASISWA!G28</f>
        <v>0</v>
      </c>
      <c r="D29" s="93">
        <f>WSALQURAN!$Y$110</f>
        <v>94.5</v>
      </c>
      <c r="E29" s="93" t="str">
        <f>PROSES!K26</f>
        <v/>
      </c>
      <c r="F29" s="93">
        <f>PROSES!I26</f>
        <v>0</v>
      </c>
      <c r="G29" s="93">
        <f>PROSES!J26</f>
        <v>0</v>
      </c>
      <c r="H29" s="93">
        <f t="shared" si="17"/>
        <v>31.5</v>
      </c>
      <c r="I29" s="93">
        <f>WSAQIDAH!$Y$110</f>
        <v>91.2</v>
      </c>
      <c r="J29" s="93" t="str">
        <f>PROSES!T26</f>
        <v/>
      </c>
      <c r="K29" s="93">
        <f>PROSES!R26</f>
        <v>0</v>
      </c>
      <c r="L29" s="93">
        <f>PROSES!S26</f>
        <v>0</v>
      </c>
      <c r="M29" s="93">
        <f t="shared" si="1"/>
        <v>30.400000000000002</v>
      </c>
      <c r="N29" s="93">
        <f>WSFIQIH!$Y$128</f>
        <v>89.25</v>
      </c>
      <c r="O29" s="93" t="str">
        <f>PROSES!AC26</f>
        <v/>
      </c>
      <c r="P29" s="93">
        <f>PROSES!AA26</f>
        <v>0</v>
      </c>
      <c r="Q29" s="93">
        <f>PROSES!AB26</f>
        <v>0</v>
      </c>
      <c r="R29" s="93">
        <f t="shared" si="2"/>
        <v>29.75</v>
      </c>
      <c r="S29" s="93">
        <f>WSSKI!$Y$112</f>
        <v>89.277777777777786</v>
      </c>
      <c r="T29" s="93" t="str">
        <f>PROSES!AL26</f>
        <v/>
      </c>
      <c r="U29" s="93">
        <f>PROSES!AJ26</f>
        <v>0</v>
      </c>
      <c r="V29" s="93">
        <f>PROSES!AK26</f>
        <v>0</v>
      </c>
      <c r="W29" s="93">
        <f t="shared" si="3"/>
        <v>29.759259259259263</v>
      </c>
      <c r="X29" s="94">
        <f>WSPKN!$Y$205</f>
        <v>97.187127976190467</v>
      </c>
      <c r="Y29" s="94">
        <f>PROSES!AV26</f>
        <v>0</v>
      </c>
      <c r="Z29" s="94">
        <f>PROSES!AS26</f>
        <v>0</v>
      </c>
      <c r="AA29" s="94">
        <f>PROSES!AT26</f>
        <v>0</v>
      </c>
      <c r="AB29" s="93">
        <f t="shared" si="4"/>
        <v>24.296781994047617</v>
      </c>
      <c r="AC29" s="94">
        <f>WSIND!$Y$353</f>
        <v>96.907139023081058</v>
      </c>
      <c r="AD29" s="94" t="str">
        <f>PROSES!BD26</f>
        <v/>
      </c>
      <c r="AE29" s="94">
        <f>PROSES!BB26</f>
        <v>0</v>
      </c>
      <c r="AF29" s="94">
        <f>PROSES!BC26</f>
        <v>0</v>
      </c>
      <c r="AG29" s="93">
        <f t="shared" si="5"/>
        <v>32.302379674360353</v>
      </c>
      <c r="AH29" s="94" t="str">
        <f>WSARAB!$Y$121</f>
        <v/>
      </c>
      <c r="AI29" s="94" t="str">
        <f>PROSES!BM26</f>
        <v/>
      </c>
      <c r="AJ29" s="94">
        <f>PROSES!BK26</f>
        <v>0</v>
      </c>
      <c r="AK29" s="94">
        <f>PROSES!BL26</f>
        <v>0</v>
      </c>
      <c r="AL29" s="93">
        <f t="shared" si="6"/>
        <v>0</v>
      </c>
      <c r="AM29" s="94">
        <f>WSMTK!$Y$208</f>
        <v>96.885416666666671</v>
      </c>
      <c r="AN29" s="94" t="str">
        <f>PROSES!BV26</f>
        <v/>
      </c>
      <c r="AO29" s="94">
        <f>PROSES!BT26</f>
        <v>0</v>
      </c>
      <c r="AP29" s="94">
        <f>PROSES!BU26</f>
        <v>0</v>
      </c>
      <c r="AQ29" s="93">
        <f t="shared" si="7"/>
        <v>32.295138888888893</v>
      </c>
      <c r="AR29" s="94" t="str">
        <f>WSIPA!$Y$110</f>
        <v/>
      </c>
      <c r="AS29" s="94" t="str">
        <f>PROSES!CE26</f>
        <v/>
      </c>
      <c r="AT29" s="94">
        <f>PROSES!CC26</f>
        <v>0</v>
      </c>
      <c r="AU29" s="94">
        <f>PROSES!CD26</f>
        <v>0</v>
      </c>
      <c r="AV29" s="93">
        <f t="shared" si="8"/>
        <v>0</v>
      </c>
      <c r="AW29" s="94" t="str">
        <f>WSIPS!$Y$110</f>
        <v/>
      </c>
      <c r="AX29" s="94" t="str">
        <f>PROSES!CN26</f>
        <v/>
      </c>
      <c r="AY29" s="94">
        <f>PROSES!CL26</f>
        <v>0</v>
      </c>
      <c r="AZ29" s="94">
        <f>PROSES!CM26</f>
        <v>0</v>
      </c>
      <c r="BA29" s="93">
        <f t="shared" si="9"/>
        <v>0</v>
      </c>
      <c r="BB29" s="94">
        <f>WSSBK!$Y$127</f>
        <v>95.3125</v>
      </c>
      <c r="BC29" s="94" t="str">
        <f>PROSES!CW26</f>
        <v/>
      </c>
      <c r="BD29" s="94">
        <f>PROSES!CU26</f>
        <v>0</v>
      </c>
      <c r="BE29" s="94">
        <f>PROSES!CV26</f>
        <v>0</v>
      </c>
      <c r="BF29" s="93">
        <f t="shared" si="10"/>
        <v>31.770833333333332</v>
      </c>
      <c r="BG29" s="94">
        <f>WSPENJAS!$Y$22</f>
        <v>91</v>
      </c>
      <c r="BH29" s="94">
        <f>PROSES!DF26</f>
        <v>90.333333333333329</v>
      </c>
      <c r="BI29" s="94">
        <f>PROSES!DD26</f>
        <v>90</v>
      </c>
      <c r="BJ29" s="94">
        <f>PROSES!DE26</f>
        <v>97</v>
      </c>
      <c r="BK29" s="93">
        <f t="shared" si="11"/>
        <v>92.083333333333329</v>
      </c>
      <c r="BL29" s="95">
        <f>WSJAWA!$Y$110</f>
        <v>98.333333333333343</v>
      </c>
      <c r="BM29" s="95" t="str">
        <f>PROSES!DO26</f>
        <v/>
      </c>
      <c r="BN29" s="95">
        <f>PROSES!DM26</f>
        <v>0</v>
      </c>
      <c r="BO29" s="95">
        <f>PROSES!DN26</f>
        <v>0</v>
      </c>
      <c r="BP29" s="93">
        <f t="shared" si="12"/>
        <v>32.777777777777779</v>
      </c>
      <c r="BQ29" s="95">
        <f>WSING!$Y$114</f>
        <v>97.416666666666657</v>
      </c>
      <c r="BR29" s="95" t="str">
        <f>PROSES!DX26</f>
        <v/>
      </c>
      <c r="BS29" s="95">
        <f>PROSES!DV26</f>
        <v>0</v>
      </c>
      <c r="BT29" s="95">
        <f>PROSES!DW26</f>
        <v>0</v>
      </c>
      <c r="BU29" s="93">
        <f t="shared" si="13"/>
        <v>32.472222222222221</v>
      </c>
      <c r="BV29" s="95" t="str">
        <f>WSTIK!$Y$110</f>
        <v/>
      </c>
      <c r="BW29" s="95">
        <f>PROSES!EG26</f>
        <v>87</v>
      </c>
      <c r="BX29" s="95">
        <f>PROSES!EE26</f>
        <v>87</v>
      </c>
      <c r="BY29" s="95">
        <f>PROSES!EF26</f>
        <v>0</v>
      </c>
      <c r="BZ29" s="93">
        <f t="shared" si="14"/>
        <v>58</v>
      </c>
      <c r="CA29" s="95" t="str">
        <f>WSASWAJA!$Y$110</f>
        <v/>
      </c>
      <c r="CB29" s="95">
        <f>PROSES!EP26</f>
        <v>86</v>
      </c>
      <c r="CC29" s="95">
        <f>PROSES!EN26</f>
        <v>89</v>
      </c>
      <c r="CD29" s="95">
        <f>PROSES!EO26</f>
        <v>0</v>
      </c>
      <c r="CE29" s="93">
        <f t="shared" si="15"/>
        <v>58.333333333333336</v>
      </c>
      <c r="CF29" s="92">
        <f t="shared" si="16"/>
        <v>32.233816238534757</v>
      </c>
      <c r="CG29" s="85">
        <f t="shared" si="0"/>
        <v>13</v>
      </c>
    </row>
    <row r="30" spans="1:85" s="96" customFormat="1" ht="12.95" customHeight="1">
      <c r="A30" s="86">
        <v>22</v>
      </c>
      <c r="B30" s="83">
        <f>DATASISWA!E29</f>
        <v>0</v>
      </c>
      <c r="C30" s="84">
        <f>DATASISWA!G29</f>
        <v>0</v>
      </c>
      <c r="D30" s="93">
        <f>WSALQURAN!$Z$110</f>
        <v>87.142857142857139</v>
      </c>
      <c r="E30" s="93" t="str">
        <f>PROSES!K27</f>
        <v/>
      </c>
      <c r="F30" s="93">
        <f>PROSES!I27</f>
        <v>0</v>
      </c>
      <c r="G30" s="93">
        <f>PROSES!J27</f>
        <v>0</v>
      </c>
      <c r="H30" s="93">
        <f t="shared" si="17"/>
        <v>29.047619047619047</v>
      </c>
      <c r="I30" s="93">
        <f>WSAQIDAH!$Z$110</f>
        <v>80</v>
      </c>
      <c r="J30" s="93" t="str">
        <f>PROSES!T27</f>
        <v/>
      </c>
      <c r="K30" s="93">
        <f>PROSES!R27</f>
        <v>0</v>
      </c>
      <c r="L30" s="93">
        <f>PROSES!S27</f>
        <v>0</v>
      </c>
      <c r="M30" s="93">
        <f t="shared" si="1"/>
        <v>26.666666666666668</v>
      </c>
      <c r="N30" s="93">
        <f>WSFIQIH!$Z$128</f>
        <v>88.96875</v>
      </c>
      <c r="O30" s="93" t="str">
        <f>PROSES!AC27</f>
        <v/>
      </c>
      <c r="P30" s="93">
        <f>PROSES!AA27</f>
        <v>0</v>
      </c>
      <c r="Q30" s="93">
        <f>PROSES!AB27</f>
        <v>0</v>
      </c>
      <c r="R30" s="93">
        <f t="shared" si="2"/>
        <v>29.65625</v>
      </c>
      <c r="S30" s="93">
        <f>WSSKI!$Z$112</f>
        <v>88.083333333333329</v>
      </c>
      <c r="T30" s="93" t="str">
        <f>PROSES!AL27</f>
        <v/>
      </c>
      <c r="U30" s="93">
        <f>PROSES!AJ27</f>
        <v>0</v>
      </c>
      <c r="V30" s="93">
        <f>PROSES!AK27</f>
        <v>0</v>
      </c>
      <c r="W30" s="93">
        <f t="shared" si="3"/>
        <v>29.361111111111111</v>
      </c>
      <c r="X30" s="94">
        <f>WSPKN!$Z$205</f>
        <v>94.783606150793659</v>
      </c>
      <c r="Y30" s="94">
        <f>PROSES!AV27</f>
        <v>0</v>
      </c>
      <c r="Z30" s="94">
        <f>PROSES!AS27</f>
        <v>0</v>
      </c>
      <c r="AA30" s="94">
        <f>PROSES!AT27</f>
        <v>0</v>
      </c>
      <c r="AB30" s="93">
        <f t="shared" si="4"/>
        <v>23.695901537698415</v>
      </c>
      <c r="AC30" s="94">
        <f>WSIND!$Z$353</f>
        <v>94.974024231270619</v>
      </c>
      <c r="AD30" s="94" t="str">
        <f>PROSES!BD27</f>
        <v/>
      </c>
      <c r="AE30" s="94">
        <f>PROSES!BB27</f>
        <v>0</v>
      </c>
      <c r="AF30" s="94">
        <f>PROSES!BC27</f>
        <v>0</v>
      </c>
      <c r="AG30" s="93">
        <f t="shared" si="5"/>
        <v>31.658008077090205</v>
      </c>
      <c r="AH30" s="94" t="str">
        <f>WSARAB!$Z$121</f>
        <v/>
      </c>
      <c r="AI30" s="94" t="str">
        <f>PROSES!BM27</f>
        <v/>
      </c>
      <c r="AJ30" s="94">
        <f>PROSES!BK27</f>
        <v>0</v>
      </c>
      <c r="AK30" s="94">
        <f>PROSES!BL27</f>
        <v>0</v>
      </c>
      <c r="AL30" s="93">
        <f t="shared" si="6"/>
        <v>0</v>
      </c>
      <c r="AM30" s="94">
        <f>WSMTK!$Z$208</f>
        <v>93.426339285714278</v>
      </c>
      <c r="AN30" s="94" t="str">
        <f>PROSES!BV27</f>
        <v/>
      </c>
      <c r="AO30" s="94">
        <f>PROSES!BT27</f>
        <v>0</v>
      </c>
      <c r="AP30" s="94">
        <f>PROSES!BU27</f>
        <v>0</v>
      </c>
      <c r="AQ30" s="93">
        <f t="shared" si="7"/>
        <v>31.142113095238091</v>
      </c>
      <c r="AR30" s="94" t="str">
        <f>WSIPA!$Z$110</f>
        <v/>
      </c>
      <c r="AS30" s="94" t="str">
        <f>PROSES!CE27</f>
        <v/>
      </c>
      <c r="AT30" s="94">
        <f>PROSES!CC27</f>
        <v>0</v>
      </c>
      <c r="AU30" s="94">
        <f>PROSES!CD27</f>
        <v>0</v>
      </c>
      <c r="AV30" s="93">
        <f t="shared" si="8"/>
        <v>0</v>
      </c>
      <c r="AW30" s="94" t="str">
        <f>WSIPS!$Z$110</f>
        <v/>
      </c>
      <c r="AX30" s="94" t="str">
        <f>PROSES!CN27</f>
        <v/>
      </c>
      <c r="AY30" s="94">
        <f>PROSES!CL27</f>
        <v>0</v>
      </c>
      <c r="AZ30" s="94">
        <f>PROSES!CM27</f>
        <v>0</v>
      </c>
      <c r="BA30" s="93">
        <f t="shared" si="9"/>
        <v>0</v>
      </c>
      <c r="BB30" s="94">
        <f>WSSBK!$Z$127</f>
        <v>94.375</v>
      </c>
      <c r="BC30" s="94" t="str">
        <f>PROSES!CW27</f>
        <v/>
      </c>
      <c r="BD30" s="94">
        <f>PROSES!CU27</f>
        <v>0</v>
      </c>
      <c r="BE30" s="94">
        <f>PROSES!CV27</f>
        <v>0</v>
      </c>
      <c r="BF30" s="93">
        <f t="shared" si="10"/>
        <v>31.458333333333332</v>
      </c>
      <c r="BG30" s="94">
        <f>WSPENJAS!$Z$22</f>
        <v>94</v>
      </c>
      <c r="BH30" s="94">
        <f>PROSES!DF27</f>
        <v>90</v>
      </c>
      <c r="BI30" s="94">
        <f>PROSES!DD27</f>
        <v>90</v>
      </c>
      <c r="BJ30" s="94">
        <f>PROSES!DE27</f>
        <v>75</v>
      </c>
      <c r="BK30" s="93">
        <f t="shared" si="11"/>
        <v>87.25</v>
      </c>
      <c r="BL30" s="95">
        <f>WSJAWA!$Z$110</f>
        <v>95.208333333333343</v>
      </c>
      <c r="BM30" s="95" t="str">
        <f>PROSES!DO27</f>
        <v/>
      </c>
      <c r="BN30" s="95">
        <f>PROSES!DM27</f>
        <v>0</v>
      </c>
      <c r="BO30" s="95">
        <f>PROSES!DN27</f>
        <v>0</v>
      </c>
      <c r="BP30" s="93">
        <f t="shared" si="12"/>
        <v>31.736111111111114</v>
      </c>
      <c r="BQ30" s="95">
        <f>WSING!$Z$114</f>
        <v>88.083333333333343</v>
      </c>
      <c r="BR30" s="95" t="str">
        <f>PROSES!DX27</f>
        <v/>
      </c>
      <c r="BS30" s="95">
        <f>PROSES!DV27</f>
        <v>0</v>
      </c>
      <c r="BT30" s="95">
        <f>PROSES!DW27</f>
        <v>0</v>
      </c>
      <c r="BU30" s="93">
        <f t="shared" si="13"/>
        <v>29.361111111111114</v>
      </c>
      <c r="BV30" s="95" t="str">
        <f>WSTIK!$Z$110</f>
        <v/>
      </c>
      <c r="BW30" s="95">
        <f>PROSES!EG27</f>
        <v>84.5</v>
      </c>
      <c r="BX30" s="95">
        <f>PROSES!EE27</f>
        <v>85</v>
      </c>
      <c r="BY30" s="95">
        <f>PROSES!EF27</f>
        <v>0</v>
      </c>
      <c r="BZ30" s="93">
        <f t="shared" si="14"/>
        <v>56.5</v>
      </c>
      <c r="CA30" s="95" t="str">
        <f>WSASWAJA!$Z$110</f>
        <v/>
      </c>
      <c r="CB30" s="95">
        <f>PROSES!EP27</f>
        <v>78.666666666666671</v>
      </c>
      <c r="CC30" s="95">
        <f>PROSES!EN27</f>
        <v>82</v>
      </c>
      <c r="CD30" s="95">
        <f>PROSES!EO27</f>
        <v>0</v>
      </c>
      <c r="CE30" s="93">
        <f t="shared" si="15"/>
        <v>53.555555555555564</v>
      </c>
      <c r="CF30" s="92">
        <f t="shared" si="16"/>
        <v>30.693048790408412</v>
      </c>
      <c r="CG30" s="85">
        <f t="shared" si="0"/>
        <v>22</v>
      </c>
    </row>
    <row r="31" spans="1:85" s="96" customFormat="1" ht="12.95" customHeight="1">
      <c r="A31" s="86">
        <v>23</v>
      </c>
      <c r="B31" s="83">
        <f>DATASISWA!E30</f>
        <v>0</v>
      </c>
      <c r="C31" s="84">
        <f>DATASISWA!G30</f>
        <v>0</v>
      </c>
      <c r="D31" s="93">
        <f>WSALQURAN!$AA$110</f>
        <v>84.904761904761898</v>
      </c>
      <c r="E31" s="93" t="str">
        <f>PROSES!K28</f>
        <v/>
      </c>
      <c r="F31" s="93">
        <f>PROSES!I28</f>
        <v>0</v>
      </c>
      <c r="G31" s="93">
        <f>PROSES!J28</f>
        <v>0</v>
      </c>
      <c r="H31" s="93">
        <f t="shared" si="17"/>
        <v>28.301587301587301</v>
      </c>
      <c r="I31" s="93">
        <f>WSAQIDAH!$AA$110</f>
        <v>91.75</v>
      </c>
      <c r="J31" s="93" t="str">
        <f>PROSES!T28</f>
        <v/>
      </c>
      <c r="K31" s="93">
        <f>PROSES!R28</f>
        <v>0</v>
      </c>
      <c r="L31" s="93">
        <f>PROSES!S28</f>
        <v>0</v>
      </c>
      <c r="M31" s="93">
        <f t="shared" si="1"/>
        <v>30.583333333333332</v>
      </c>
      <c r="N31" s="93">
        <f>WSFIQIH!$AA$128</f>
        <v>90.8125</v>
      </c>
      <c r="O31" s="93" t="str">
        <f>PROSES!AC28</f>
        <v/>
      </c>
      <c r="P31" s="93">
        <f>PROSES!AA28</f>
        <v>0</v>
      </c>
      <c r="Q31" s="93">
        <f>PROSES!AB28</f>
        <v>0</v>
      </c>
      <c r="R31" s="93">
        <f t="shared" si="2"/>
        <v>30.270833333333332</v>
      </c>
      <c r="S31" s="93">
        <f>WSSKI!$AA$112</f>
        <v>86.766666666666666</v>
      </c>
      <c r="T31" s="93" t="str">
        <f>PROSES!AL28</f>
        <v/>
      </c>
      <c r="U31" s="93">
        <f>PROSES!AJ28</f>
        <v>0</v>
      </c>
      <c r="V31" s="93">
        <f>PROSES!AK28</f>
        <v>0</v>
      </c>
      <c r="W31" s="93">
        <f t="shared" si="3"/>
        <v>28.922222222222221</v>
      </c>
      <c r="X31" s="94">
        <f>WSPKN!$AA$205</f>
        <v>97.554067460317469</v>
      </c>
      <c r="Y31" s="94">
        <f>PROSES!AV28</f>
        <v>0</v>
      </c>
      <c r="Z31" s="94">
        <f>PROSES!AS28</f>
        <v>0</v>
      </c>
      <c r="AA31" s="94">
        <f>PROSES!AT28</f>
        <v>0</v>
      </c>
      <c r="AB31" s="93">
        <f t="shared" si="4"/>
        <v>24.388516865079367</v>
      </c>
      <c r="AC31" s="94">
        <f>WSIND!$AA$353</f>
        <v>97.716049382716037</v>
      </c>
      <c r="AD31" s="94" t="str">
        <f>PROSES!BD28</f>
        <v/>
      </c>
      <c r="AE31" s="94">
        <f>PROSES!BB28</f>
        <v>0</v>
      </c>
      <c r="AF31" s="94">
        <f>PROSES!BC28</f>
        <v>0</v>
      </c>
      <c r="AG31" s="93">
        <f t="shared" si="5"/>
        <v>32.572016460905346</v>
      </c>
      <c r="AH31" s="94" t="str">
        <f>WSARAB!$AA$121</f>
        <v/>
      </c>
      <c r="AI31" s="94" t="str">
        <f>PROSES!BM28</f>
        <v/>
      </c>
      <c r="AJ31" s="94">
        <f>PROSES!BK28</f>
        <v>0</v>
      </c>
      <c r="AK31" s="94">
        <f>PROSES!BL28</f>
        <v>0</v>
      </c>
      <c r="AL31" s="93">
        <f t="shared" si="6"/>
        <v>0</v>
      </c>
      <c r="AM31" s="94">
        <f>WSMTK!$AA$208</f>
        <v>97.223958333333329</v>
      </c>
      <c r="AN31" s="94" t="str">
        <f>PROSES!BV28</f>
        <v/>
      </c>
      <c r="AO31" s="94">
        <f>PROSES!BT28</f>
        <v>0</v>
      </c>
      <c r="AP31" s="94">
        <f>PROSES!BU28</f>
        <v>0</v>
      </c>
      <c r="AQ31" s="93">
        <f t="shared" si="7"/>
        <v>32.407986111111107</v>
      </c>
      <c r="AR31" s="94" t="str">
        <f>WSIPA!$AA$110</f>
        <v/>
      </c>
      <c r="AS31" s="94" t="str">
        <f>PROSES!CE28</f>
        <v/>
      </c>
      <c r="AT31" s="94">
        <f>PROSES!CC28</f>
        <v>0</v>
      </c>
      <c r="AU31" s="94">
        <f>PROSES!CD28</f>
        <v>0</v>
      </c>
      <c r="AV31" s="93">
        <f t="shared" si="8"/>
        <v>0</v>
      </c>
      <c r="AW31" s="94" t="str">
        <f>WSIPS!$AA$110</f>
        <v/>
      </c>
      <c r="AX31" s="94" t="str">
        <f>PROSES!CN28</f>
        <v/>
      </c>
      <c r="AY31" s="94">
        <f>PROSES!CL28</f>
        <v>0</v>
      </c>
      <c r="AZ31" s="94">
        <f>PROSES!CM28</f>
        <v>0</v>
      </c>
      <c r="BA31" s="93">
        <f t="shared" si="9"/>
        <v>0</v>
      </c>
      <c r="BB31" s="94">
        <f>WSSBK!$AA$127</f>
        <v>97.65625</v>
      </c>
      <c r="BC31" s="94" t="str">
        <f>PROSES!CW28</f>
        <v/>
      </c>
      <c r="BD31" s="94">
        <f>PROSES!CU28</f>
        <v>0</v>
      </c>
      <c r="BE31" s="94">
        <f>PROSES!CV28</f>
        <v>0</v>
      </c>
      <c r="BF31" s="93">
        <f t="shared" si="10"/>
        <v>32.552083333333336</v>
      </c>
      <c r="BG31" s="94">
        <f>WSPENJAS!$AA$22</f>
        <v>94</v>
      </c>
      <c r="BH31" s="94">
        <f>PROSES!DF28</f>
        <v>94</v>
      </c>
      <c r="BI31" s="94">
        <f>PROSES!DD28</f>
        <v>94</v>
      </c>
      <c r="BJ31" s="94">
        <f>PROSES!DE28</f>
        <v>97</v>
      </c>
      <c r="BK31" s="93">
        <f t="shared" si="11"/>
        <v>94.75</v>
      </c>
      <c r="BL31" s="95">
        <f>WSJAWA!$AA$110</f>
        <v>95.208333333333343</v>
      </c>
      <c r="BM31" s="95" t="str">
        <f>PROSES!DO28</f>
        <v/>
      </c>
      <c r="BN31" s="95">
        <f>PROSES!DM28</f>
        <v>0</v>
      </c>
      <c r="BO31" s="95">
        <f>PROSES!DN28</f>
        <v>0</v>
      </c>
      <c r="BP31" s="93">
        <f t="shared" si="12"/>
        <v>31.736111111111114</v>
      </c>
      <c r="BQ31" s="95">
        <f>WSING!$AA$114</f>
        <v>86.5</v>
      </c>
      <c r="BR31" s="95" t="str">
        <f>PROSES!DX28</f>
        <v/>
      </c>
      <c r="BS31" s="95">
        <f>PROSES!DV28</f>
        <v>0</v>
      </c>
      <c r="BT31" s="95">
        <f>PROSES!DW28</f>
        <v>0</v>
      </c>
      <c r="BU31" s="93">
        <f t="shared" si="13"/>
        <v>28.833333333333332</v>
      </c>
      <c r="BV31" s="95" t="str">
        <f>WSTIK!$AA$110</f>
        <v/>
      </c>
      <c r="BW31" s="95">
        <f>PROSES!EG28</f>
        <v>97.5</v>
      </c>
      <c r="BX31" s="95">
        <f>PROSES!EE28</f>
        <v>98</v>
      </c>
      <c r="BY31" s="95">
        <f>PROSES!EF28</f>
        <v>0</v>
      </c>
      <c r="BZ31" s="93">
        <f t="shared" si="14"/>
        <v>65.166666666666671</v>
      </c>
      <c r="CA31" s="95" t="str">
        <f>WSASWAJA!$AA$110</f>
        <v/>
      </c>
      <c r="CB31" s="95">
        <f>PROSES!EP28</f>
        <v>98.333333333333329</v>
      </c>
      <c r="CC31" s="95">
        <f>PROSES!EN28</f>
        <v>98</v>
      </c>
      <c r="CD31" s="95">
        <f>PROSES!EO28</f>
        <v>0</v>
      </c>
      <c r="CE31" s="93">
        <f t="shared" si="15"/>
        <v>65.444444444444443</v>
      </c>
      <c r="CF31" s="92">
        <f t="shared" si="16"/>
        <v>32.870570907278804</v>
      </c>
      <c r="CG31" s="85">
        <f t="shared" si="0"/>
        <v>6</v>
      </c>
    </row>
    <row r="32" spans="1:85" s="96" customFormat="1" ht="12.95" customHeight="1">
      <c r="A32" s="86">
        <v>24</v>
      </c>
      <c r="B32" s="83">
        <f>DATASISWA!E31</f>
        <v>0</v>
      </c>
      <c r="C32" s="84">
        <f>DATASISWA!G31</f>
        <v>0</v>
      </c>
      <c r="D32" s="93">
        <f>WSALQURAN!$AB$110</f>
        <v>94.19047619047619</v>
      </c>
      <c r="E32" s="93" t="str">
        <f>PROSES!K29</f>
        <v/>
      </c>
      <c r="F32" s="93">
        <f>PROSES!I29</f>
        <v>0</v>
      </c>
      <c r="G32" s="93">
        <f>PROSES!J29</f>
        <v>0</v>
      </c>
      <c r="H32" s="93">
        <f t="shared" si="17"/>
        <v>31.396825396825395</v>
      </c>
      <c r="I32" s="93">
        <f>WSAQIDAH!$AB$110</f>
        <v>93.45</v>
      </c>
      <c r="J32" s="93" t="str">
        <f>PROSES!T29</f>
        <v/>
      </c>
      <c r="K32" s="93">
        <f>PROSES!R29</f>
        <v>0</v>
      </c>
      <c r="L32" s="93">
        <f>PROSES!S29</f>
        <v>0</v>
      </c>
      <c r="M32" s="93">
        <f t="shared" si="1"/>
        <v>31.150000000000002</v>
      </c>
      <c r="N32" s="93">
        <f>WSFIQIH!$AB$128</f>
        <v>81.875</v>
      </c>
      <c r="O32" s="93" t="str">
        <f>PROSES!AC29</f>
        <v/>
      </c>
      <c r="P32" s="93">
        <f>PROSES!AA29</f>
        <v>0</v>
      </c>
      <c r="Q32" s="93">
        <f>PROSES!AB29</f>
        <v>0</v>
      </c>
      <c r="R32" s="93">
        <f t="shared" si="2"/>
        <v>27.291666666666668</v>
      </c>
      <c r="S32" s="93">
        <f>WSSKI!$AB$112</f>
        <v>93.111111111111128</v>
      </c>
      <c r="T32" s="93" t="str">
        <f>PROSES!AL29</f>
        <v/>
      </c>
      <c r="U32" s="93">
        <f>PROSES!AJ29</f>
        <v>0</v>
      </c>
      <c r="V32" s="93">
        <f>PROSES!AK29</f>
        <v>0</v>
      </c>
      <c r="W32" s="93">
        <f t="shared" si="3"/>
        <v>31.037037037037042</v>
      </c>
      <c r="X32" s="94">
        <f>WSPKN!$AB$205</f>
        <v>94.11323051948051</v>
      </c>
      <c r="Y32" s="94">
        <f>PROSES!AV29</f>
        <v>0</v>
      </c>
      <c r="Z32" s="94">
        <f>PROSES!AS29</f>
        <v>0</v>
      </c>
      <c r="AA32" s="94">
        <f>PROSES!AT29</f>
        <v>0</v>
      </c>
      <c r="AB32" s="93">
        <f t="shared" si="4"/>
        <v>23.528307629870127</v>
      </c>
      <c r="AC32" s="94">
        <f>WSIND!$AB$353</f>
        <v>93.983896940418674</v>
      </c>
      <c r="AD32" s="94" t="str">
        <f>PROSES!BD29</f>
        <v/>
      </c>
      <c r="AE32" s="94">
        <f>PROSES!BB29</f>
        <v>0</v>
      </c>
      <c r="AF32" s="94">
        <f>PROSES!BC29</f>
        <v>0</v>
      </c>
      <c r="AG32" s="93">
        <f t="shared" si="5"/>
        <v>31.327965646806224</v>
      </c>
      <c r="AH32" s="94" t="str">
        <f>WSARAB!$AB$121</f>
        <v/>
      </c>
      <c r="AI32" s="94" t="str">
        <f>PROSES!BM29</f>
        <v/>
      </c>
      <c r="AJ32" s="94">
        <f>PROSES!BK29</f>
        <v>0</v>
      </c>
      <c r="AK32" s="94">
        <f>PROSES!BL29</f>
        <v>0</v>
      </c>
      <c r="AL32" s="93">
        <f t="shared" si="6"/>
        <v>0</v>
      </c>
      <c r="AM32" s="94">
        <f>WSMTK!$AB$208</f>
        <v>93.192708333333329</v>
      </c>
      <c r="AN32" s="94" t="str">
        <f>PROSES!BV29</f>
        <v/>
      </c>
      <c r="AO32" s="94">
        <f>PROSES!BT29</f>
        <v>0</v>
      </c>
      <c r="AP32" s="94">
        <f>PROSES!BU29</f>
        <v>0</v>
      </c>
      <c r="AQ32" s="93">
        <f t="shared" si="7"/>
        <v>31.064236111111111</v>
      </c>
      <c r="AR32" s="94" t="str">
        <f>WSIPA!$AB$110</f>
        <v/>
      </c>
      <c r="AS32" s="94" t="str">
        <f>PROSES!CE29</f>
        <v/>
      </c>
      <c r="AT32" s="94">
        <f>PROSES!CC29</f>
        <v>0</v>
      </c>
      <c r="AU32" s="94">
        <f>PROSES!CD29</f>
        <v>0</v>
      </c>
      <c r="AV32" s="93">
        <f t="shared" si="8"/>
        <v>0</v>
      </c>
      <c r="AW32" s="94" t="str">
        <f>WSIPS!$AB$110</f>
        <v/>
      </c>
      <c r="AX32" s="94" t="str">
        <f>PROSES!CN29</f>
        <v/>
      </c>
      <c r="AY32" s="94">
        <f>PROSES!CL29</f>
        <v>0</v>
      </c>
      <c r="AZ32" s="94">
        <f>PROSES!CM29</f>
        <v>0</v>
      </c>
      <c r="BA32" s="93">
        <f t="shared" si="9"/>
        <v>0</v>
      </c>
      <c r="BB32" s="94">
        <f>WSSBK!$AB$127</f>
        <v>92.96875</v>
      </c>
      <c r="BC32" s="94" t="str">
        <f>PROSES!CW29</f>
        <v/>
      </c>
      <c r="BD32" s="94">
        <f>PROSES!CU29</f>
        <v>0</v>
      </c>
      <c r="BE32" s="94">
        <f>PROSES!CV29</f>
        <v>0</v>
      </c>
      <c r="BF32" s="93">
        <f t="shared" si="10"/>
        <v>30.989583333333332</v>
      </c>
      <c r="BG32" s="94">
        <f>WSPENJAS!$AB$22</f>
        <v>90</v>
      </c>
      <c r="BH32" s="94">
        <f>PROSES!DF29</f>
        <v>93.666666666666671</v>
      </c>
      <c r="BI32" s="94">
        <f>PROSES!DD29</f>
        <v>95</v>
      </c>
      <c r="BJ32" s="94">
        <f>PROSES!DE29</f>
        <v>88</v>
      </c>
      <c r="BK32" s="93">
        <f t="shared" si="11"/>
        <v>91.666666666666671</v>
      </c>
      <c r="BL32" s="95">
        <f>WSJAWA!$AB$110</f>
        <v>92.708333333333329</v>
      </c>
      <c r="BM32" s="95" t="str">
        <f>PROSES!DO29</f>
        <v/>
      </c>
      <c r="BN32" s="95">
        <f>PROSES!DM29</f>
        <v>0</v>
      </c>
      <c r="BO32" s="95">
        <f>PROSES!DN29</f>
        <v>0</v>
      </c>
      <c r="BP32" s="93">
        <f t="shared" si="12"/>
        <v>30.902777777777775</v>
      </c>
      <c r="BQ32" s="95">
        <f>WSING!$AB$114</f>
        <v>97.416666666666657</v>
      </c>
      <c r="BR32" s="95" t="str">
        <f>PROSES!DX29</f>
        <v/>
      </c>
      <c r="BS32" s="95">
        <f>PROSES!DV29</f>
        <v>0</v>
      </c>
      <c r="BT32" s="95">
        <f>PROSES!DW29</f>
        <v>0</v>
      </c>
      <c r="BU32" s="93">
        <f t="shared" si="13"/>
        <v>32.472222222222221</v>
      </c>
      <c r="BV32" s="95" t="str">
        <f>WSTIK!$AB$110</f>
        <v/>
      </c>
      <c r="BW32" s="95">
        <f>PROSES!EG29</f>
        <v>83.5</v>
      </c>
      <c r="BX32" s="95">
        <f>PROSES!EE29</f>
        <v>84</v>
      </c>
      <c r="BY32" s="95">
        <f>PROSES!EF29</f>
        <v>0</v>
      </c>
      <c r="BZ32" s="93">
        <f t="shared" si="14"/>
        <v>55.833333333333336</v>
      </c>
      <c r="CA32" s="95" t="str">
        <f>WSASWAJA!$AB$110</f>
        <v/>
      </c>
      <c r="CB32" s="95">
        <f>PROSES!EP29</f>
        <v>75</v>
      </c>
      <c r="CC32" s="95">
        <f>PROSES!EN29</f>
        <v>75</v>
      </c>
      <c r="CD32" s="95">
        <f>PROSES!EO29</f>
        <v>0</v>
      </c>
      <c r="CE32" s="93">
        <f t="shared" si="15"/>
        <v>50</v>
      </c>
      <c r="CF32" s="92">
        <f t="shared" si="16"/>
        <v>31.166288863853119</v>
      </c>
      <c r="CG32" s="85">
        <f>IF(CF32&gt;0,RANK(CF32,$CF$9:$CF$38),IF(CF32="","",))</f>
        <v>19</v>
      </c>
    </row>
    <row r="33" spans="1:85" s="96" customFormat="1" ht="12.95" customHeight="1">
      <c r="A33" s="87">
        <v>25</v>
      </c>
      <c r="B33" s="83">
        <f>DATASISWA!E32</f>
        <v>0</v>
      </c>
      <c r="C33" s="84">
        <f>DATASISWA!G32</f>
        <v>0</v>
      </c>
      <c r="D33" s="93" t="str">
        <f>WSALQURAN!$AC$110</f>
        <v/>
      </c>
      <c r="E33" s="93" t="str">
        <f>PROSES!K30</f>
        <v/>
      </c>
      <c r="F33" s="93">
        <f>PROSES!I30</f>
        <v>0</v>
      </c>
      <c r="G33" s="93">
        <f>PROSES!J30</f>
        <v>0</v>
      </c>
      <c r="H33" s="93">
        <f t="shared" si="17"/>
        <v>0</v>
      </c>
      <c r="I33" s="93" t="str">
        <f>WSAQIDAH!$AC$110</f>
        <v/>
      </c>
      <c r="J33" s="93" t="str">
        <f>PROSES!T30</f>
        <v/>
      </c>
      <c r="K33" s="93">
        <f>PROSES!R30</f>
        <v>0</v>
      </c>
      <c r="L33" s="93">
        <f>PROSES!S30</f>
        <v>0</v>
      </c>
      <c r="M33" s="93">
        <f t="shared" si="1"/>
        <v>0</v>
      </c>
      <c r="N33" s="93" t="str">
        <f>WSFIQIH!$AC$128</f>
        <v/>
      </c>
      <c r="O33" s="93" t="str">
        <f>PROSES!AC30</f>
        <v/>
      </c>
      <c r="P33" s="93">
        <f>PROSES!AA30</f>
        <v>0</v>
      </c>
      <c r="Q33" s="93">
        <f>PROSES!AB30</f>
        <v>0</v>
      </c>
      <c r="R33" s="93">
        <f t="shared" si="2"/>
        <v>0</v>
      </c>
      <c r="S33" s="93" t="str">
        <f>WSSKI!$AC$112</f>
        <v/>
      </c>
      <c r="T33" s="93" t="str">
        <f>PROSES!AL30</f>
        <v/>
      </c>
      <c r="U33" s="93">
        <f>PROSES!AJ30</f>
        <v>0</v>
      </c>
      <c r="V33" s="93">
        <f>PROSES!AK30</f>
        <v>0</v>
      </c>
      <c r="W33" s="93">
        <f t="shared" si="3"/>
        <v>0</v>
      </c>
      <c r="X33" s="94" t="str">
        <f>WSPKN!$AC$205</f>
        <v/>
      </c>
      <c r="Y33" s="94">
        <f>PROSES!AV30</f>
        <v>0</v>
      </c>
      <c r="Z33" s="94">
        <f>PROSES!AS30</f>
        <v>0</v>
      </c>
      <c r="AA33" s="94">
        <f>PROSES!AT30</f>
        <v>0</v>
      </c>
      <c r="AB33" s="93">
        <f t="shared" si="4"/>
        <v>0</v>
      </c>
      <c r="AC33" s="94" t="str">
        <f>WSIND!$AC$353</f>
        <v/>
      </c>
      <c r="AD33" s="94" t="str">
        <f>PROSES!BD30</f>
        <v/>
      </c>
      <c r="AE33" s="94">
        <f>PROSES!BB30</f>
        <v>0</v>
      </c>
      <c r="AF33" s="94">
        <f>PROSES!BC30</f>
        <v>0</v>
      </c>
      <c r="AG33" s="93">
        <f t="shared" si="5"/>
        <v>0</v>
      </c>
      <c r="AH33" s="94" t="str">
        <f>WSARAB!$AC$121</f>
        <v/>
      </c>
      <c r="AI33" s="94" t="str">
        <f>PROSES!BM30</f>
        <v/>
      </c>
      <c r="AJ33" s="94">
        <f>PROSES!BK30</f>
        <v>0</v>
      </c>
      <c r="AK33" s="94">
        <f>PROSES!BL30</f>
        <v>0</v>
      </c>
      <c r="AL33" s="93">
        <f t="shared" si="6"/>
        <v>0</v>
      </c>
      <c r="AM33" s="94" t="str">
        <f>WSMTK!$AC$208</f>
        <v/>
      </c>
      <c r="AN33" s="94" t="str">
        <f>PROSES!BV30</f>
        <v/>
      </c>
      <c r="AO33" s="94">
        <f>PROSES!BT30</f>
        <v>0</v>
      </c>
      <c r="AP33" s="94">
        <f>PROSES!BU30</f>
        <v>0</v>
      </c>
      <c r="AQ33" s="93">
        <f t="shared" si="7"/>
        <v>0</v>
      </c>
      <c r="AR33" s="94" t="str">
        <f>WSIPA!$AC$110</f>
        <v/>
      </c>
      <c r="AS33" s="94" t="str">
        <f>PROSES!CE30</f>
        <v/>
      </c>
      <c r="AT33" s="94">
        <f>PROSES!CC30</f>
        <v>0</v>
      </c>
      <c r="AU33" s="94">
        <f>PROSES!CD30</f>
        <v>0</v>
      </c>
      <c r="AV33" s="93">
        <f t="shared" si="8"/>
        <v>0</v>
      </c>
      <c r="AW33" s="94" t="str">
        <f>WSIPS!$AC$110</f>
        <v/>
      </c>
      <c r="AX33" s="94" t="str">
        <f>PROSES!CN30</f>
        <v/>
      </c>
      <c r="AY33" s="94">
        <f>PROSES!CL30</f>
        <v>0</v>
      </c>
      <c r="AZ33" s="94">
        <f>PROSES!CM30</f>
        <v>0</v>
      </c>
      <c r="BA33" s="93">
        <f t="shared" si="9"/>
        <v>0</v>
      </c>
      <c r="BB33" s="94" t="str">
        <f>WSSBK!$AC$127</f>
        <v/>
      </c>
      <c r="BC33" s="94" t="str">
        <f>PROSES!CW30</f>
        <v/>
      </c>
      <c r="BD33" s="94">
        <f>PROSES!CU30</f>
        <v>0</v>
      </c>
      <c r="BE33" s="94">
        <f>PROSES!CV30</f>
        <v>0</v>
      </c>
      <c r="BF33" s="93">
        <f t="shared" si="10"/>
        <v>0</v>
      </c>
      <c r="BG33" s="94" t="str">
        <f>WSPENJAS!$AC$22</f>
        <v/>
      </c>
      <c r="BH33" s="94" t="str">
        <f>PROSES!DF30</f>
        <v/>
      </c>
      <c r="BI33" s="94">
        <f>PROSES!DD30</f>
        <v>0</v>
      </c>
      <c r="BJ33" s="94">
        <f>PROSES!DE30</f>
        <v>0</v>
      </c>
      <c r="BK33" s="93">
        <f t="shared" si="11"/>
        <v>0</v>
      </c>
      <c r="BL33" s="95" t="str">
        <f>WSJAWA!$AC$110</f>
        <v/>
      </c>
      <c r="BM33" s="95" t="str">
        <f>PROSES!DO30</f>
        <v/>
      </c>
      <c r="BN33" s="95">
        <f>PROSES!DM30</f>
        <v>0</v>
      </c>
      <c r="BO33" s="95">
        <f>PROSES!DN30</f>
        <v>0</v>
      </c>
      <c r="BP33" s="93">
        <f t="shared" si="12"/>
        <v>0</v>
      </c>
      <c r="BQ33" s="95" t="str">
        <f>WSING!$AC$114</f>
        <v/>
      </c>
      <c r="BR33" s="95" t="str">
        <f>PROSES!DX30</f>
        <v/>
      </c>
      <c r="BS33" s="95">
        <f>PROSES!DV30</f>
        <v>0</v>
      </c>
      <c r="BT33" s="95">
        <f>PROSES!DW30</f>
        <v>0</v>
      </c>
      <c r="BU33" s="93">
        <f t="shared" si="13"/>
        <v>0</v>
      </c>
      <c r="BV33" s="95" t="str">
        <f>WSTIK!$AC$110</f>
        <v/>
      </c>
      <c r="BW33" s="95" t="str">
        <f>PROSES!EG30</f>
        <v/>
      </c>
      <c r="BX33" s="95">
        <f>PROSES!EE30</f>
        <v>0</v>
      </c>
      <c r="BY33" s="95">
        <f>PROSES!EF30</f>
        <v>0</v>
      </c>
      <c r="BZ33" s="93">
        <f t="shared" si="14"/>
        <v>0</v>
      </c>
      <c r="CA33" s="95" t="str">
        <f>WSASWAJA!$AC$110</f>
        <v/>
      </c>
      <c r="CB33" s="95" t="str">
        <f>PROSES!EP30</f>
        <v/>
      </c>
      <c r="CC33" s="95">
        <f>PROSES!EN30</f>
        <v>0</v>
      </c>
      <c r="CD33" s="95">
        <f>PROSES!EO30</f>
        <v>0</v>
      </c>
      <c r="CE33" s="93">
        <f t="shared" si="15"/>
        <v>0</v>
      </c>
      <c r="CF33" s="92">
        <f t="shared" si="16"/>
        <v>0</v>
      </c>
      <c r="CG33" s="85">
        <f t="shared" si="0"/>
        <v>0</v>
      </c>
    </row>
    <row r="34" spans="1:85" s="96" customFormat="1" ht="12.95" customHeight="1">
      <c r="A34" s="86">
        <v>26</v>
      </c>
      <c r="B34" s="83">
        <f>DATASISWA!E33</f>
        <v>0</v>
      </c>
      <c r="C34" s="84">
        <f>DATASISWA!G33</f>
        <v>0</v>
      </c>
      <c r="D34" s="93" t="str">
        <f>WSALQURAN!$AD$110</f>
        <v/>
      </c>
      <c r="E34" s="93" t="str">
        <f>PROSES!K31</f>
        <v/>
      </c>
      <c r="F34" s="93">
        <f>PROSES!I31</f>
        <v>0</v>
      </c>
      <c r="G34" s="93">
        <f>PROSES!J31</f>
        <v>0</v>
      </c>
      <c r="H34" s="93">
        <f t="shared" si="17"/>
        <v>0</v>
      </c>
      <c r="I34" s="93" t="str">
        <f>WSAQIDAH!$AD$110</f>
        <v/>
      </c>
      <c r="J34" s="93" t="str">
        <f>PROSES!T31</f>
        <v/>
      </c>
      <c r="K34" s="93">
        <f>PROSES!R31</f>
        <v>0</v>
      </c>
      <c r="L34" s="93">
        <f>PROSES!S31</f>
        <v>0</v>
      </c>
      <c r="M34" s="93">
        <f t="shared" si="1"/>
        <v>0</v>
      </c>
      <c r="N34" s="93" t="str">
        <f>WSFIQIH!$AD$128</f>
        <v/>
      </c>
      <c r="O34" s="93" t="str">
        <f>PROSES!AC31</f>
        <v/>
      </c>
      <c r="P34" s="93">
        <f>PROSES!AA31</f>
        <v>0</v>
      </c>
      <c r="Q34" s="93">
        <f>PROSES!AB31</f>
        <v>0</v>
      </c>
      <c r="R34" s="93">
        <f t="shared" si="2"/>
        <v>0</v>
      </c>
      <c r="S34" s="93" t="str">
        <f>WSSKI!$AD$112</f>
        <v/>
      </c>
      <c r="T34" s="93" t="str">
        <f>PROSES!AL31</f>
        <v/>
      </c>
      <c r="U34" s="93">
        <f>PROSES!AJ31</f>
        <v>0</v>
      </c>
      <c r="V34" s="93">
        <f>PROSES!AK31</f>
        <v>0</v>
      </c>
      <c r="W34" s="93">
        <f t="shared" si="3"/>
        <v>0</v>
      </c>
      <c r="X34" s="94" t="str">
        <f>WSPKN!$AD$205</f>
        <v/>
      </c>
      <c r="Y34" s="94">
        <f>PROSES!AV31</f>
        <v>0</v>
      </c>
      <c r="Z34" s="94">
        <f>PROSES!AS31</f>
        <v>0</v>
      </c>
      <c r="AA34" s="94">
        <f>PROSES!AT31</f>
        <v>0</v>
      </c>
      <c r="AB34" s="93">
        <f t="shared" si="4"/>
        <v>0</v>
      </c>
      <c r="AC34" s="94" t="str">
        <f>WSIND!$AD$353</f>
        <v/>
      </c>
      <c r="AD34" s="94" t="str">
        <f>PROSES!BD31</f>
        <v/>
      </c>
      <c r="AE34" s="94">
        <f>PROSES!BB31</f>
        <v>0</v>
      </c>
      <c r="AF34" s="94">
        <f>PROSES!BC31</f>
        <v>0</v>
      </c>
      <c r="AG34" s="93">
        <f t="shared" si="5"/>
        <v>0</v>
      </c>
      <c r="AH34" s="94" t="str">
        <f>WSARAB!$AD$121</f>
        <v/>
      </c>
      <c r="AI34" s="94" t="str">
        <f>PROSES!BM31</f>
        <v/>
      </c>
      <c r="AJ34" s="94">
        <f>PROSES!BK31</f>
        <v>0</v>
      </c>
      <c r="AK34" s="94">
        <f>PROSES!BL31</f>
        <v>0</v>
      </c>
      <c r="AL34" s="93">
        <f t="shared" si="6"/>
        <v>0</v>
      </c>
      <c r="AM34" s="94" t="str">
        <f>WSMTK!$AD$208</f>
        <v/>
      </c>
      <c r="AN34" s="94" t="str">
        <f>PROSES!BV31</f>
        <v/>
      </c>
      <c r="AO34" s="94">
        <f>PROSES!BT31</f>
        <v>0</v>
      </c>
      <c r="AP34" s="94">
        <f>PROSES!BU31</f>
        <v>0</v>
      </c>
      <c r="AQ34" s="93">
        <f t="shared" si="7"/>
        <v>0</v>
      </c>
      <c r="AR34" s="94" t="str">
        <f>WSIPA!$AD$110</f>
        <v/>
      </c>
      <c r="AS34" s="94" t="str">
        <f>PROSES!CE31</f>
        <v/>
      </c>
      <c r="AT34" s="94">
        <f>PROSES!CC31</f>
        <v>0</v>
      </c>
      <c r="AU34" s="94">
        <f>PROSES!CD31</f>
        <v>0</v>
      </c>
      <c r="AV34" s="93">
        <f t="shared" si="8"/>
        <v>0</v>
      </c>
      <c r="AW34" s="94" t="str">
        <f>WSIPS!$AD$110</f>
        <v/>
      </c>
      <c r="AX34" s="94" t="str">
        <f>PROSES!CN31</f>
        <v/>
      </c>
      <c r="AY34" s="94">
        <f>PROSES!CL31</f>
        <v>0</v>
      </c>
      <c r="AZ34" s="94">
        <f>PROSES!CM31</f>
        <v>0</v>
      </c>
      <c r="BA34" s="93">
        <f t="shared" si="9"/>
        <v>0</v>
      </c>
      <c r="BB34" s="94" t="str">
        <f>WSSBK!$AD$127</f>
        <v/>
      </c>
      <c r="BC34" s="94" t="str">
        <f>PROSES!CW31</f>
        <v/>
      </c>
      <c r="BD34" s="94">
        <f>PROSES!CU31</f>
        <v>0</v>
      </c>
      <c r="BE34" s="94">
        <f>PROSES!CV31</f>
        <v>0</v>
      </c>
      <c r="BF34" s="93">
        <f t="shared" si="10"/>
        <v>0</v>
      </c>
      <c r="BG34" s="94" t="str">
        <f>WSPENJAS!$AD$22</f>
        <v/>
      </c>
      <c r="BH34" s="94" t="str">
        <f>PROSES!DF31</f>
        <v/>
      </c>
      <c r="BI34" s="94">
        <f>PROSES!DD31</f>
        <v>0</v>
      </c>
      <c r="BJ34" s="94">
        <f>PROSES!DE31</f>
        <v>0</v>
      </c>
      <c r="BK34" s="93">
        <f t="shared" si="11"/>
        <v>0</v>
      </c>
      <c r="BL34" s="95" t="str">
        <f>WSJAWA!$AD$110</f>
        <v/>
      </c>
      <c r="BM34" s="95" t="str">
        <f>PROSES!DO31</f>
        <v/>
      </c>
      <c r="BN34" s="95">
        <f>PROSES!DM31</f>
        <v>0</v>
      </c>
      <c r="BO34" s="95">
        <f>PROSES!DN31</f>
        <v>0</v>
      </c>
      <c r="BP34" s="93">
        <f t="shared" si="12"/>
        <v>0</v>
      </c>
      <c r="BQ34" s="95" t="str">
        <f>WSING!$AD$114</f>
        <v/>
      </c>
      <c r="BR34" s="95" t="str">
        <f>PROSES!DX31</f>
        <v/>
      </c>
      <c r="BS34" s="95">
        <f>PROSES!DV31</f>
        <v>0</v>
      </c>
      <c r="BT34" s="95">
        <f>PROSES!DW31</f>
        <v>0</v>
      </c>
      <c r="BU34" s="93">
        <f t="shared" si="13"/>
        <v>0</v>
      </c>
      <c r="BV34" s="95" t="str">
        <f>WSTIK!$AD$110</f>
        <v/>
      </c>
      <c r="BW34" s="95" t="str">
        <f>PROSES!EG31</f>
        <v/>
      </c>
      <c r="BX34" s="95">
        <f>PROSES!EE31</f>
        <v>0</v>
      </c>
      <c r="BY34" s="95">
        <f>PROSES!EF31</f>
        <v>0</v>
      </c>
      <c r="BZ34" s="93">
        <f t="shared" si="14"/>
        <v>0</v>
      </c>
      <c r="CA34" s="95" t="str">
        <f>WSASWAJA!$AD$110</f>
        <v/>
      </c>
      <c r="CB34" s="95" t="str">
        <f>PROSES!EP31</f>
        <v/>
      </c>
      <c r="CC34" s="95">
        <f>PROSES!EN31</f>
        <v>0</v>
      </c>
      <c r="CD34" s="95">
        <f>PROSES!EO31</f>
        <v>0</v>
      </c>
      <c r="CE34" s="93">
        <f t="shared" si="15"/>
        <v>0</v>
      </c>
      <c r="CF34" s="92">
        <f t="shared" si="16"/>
        <v>0</v>
      </c>
      <c r="CG34" s="85">
        <f t="shared" si="0"/>
        <v>0</v>
      </c>
    </row>
    <row r="35" spans="1:85" s="96" customFormat="1" ht="12.95" customHeight="1">
      <c r="A35" s="86">
        <v>27</v>
      </c>
      <c r="B35" s="83">
        <f>DATASISWA!E34</f>
        <v>0</v>
      </c>
      <c r="C35" s="84">
        <f>DATASISWA!G34</f>
        <v>0</v>
      </c>
      <c r="D35" s="93" t="str">
        <f>WSALQURAN!$AE$110</f>
        <v/>
      </c>
      <c r="E35" s="93" t="str">
        <f>PROSES!K32</f>
        <v/>
      </c>
      <c r="F35" s="93">
        <f>PROSES!I32</f>
        <v>0</v>
      </c>
      <c r="G35" s="93">
        <f>PROSES!J32</f>
        <v>0</v>
      </c>
      <c r="H35" s="93">
        <f t="shared" si="17"/>
        <v>0</v>
      </c>
      <c r="I35" s="93" t="str">
        <f>WSAQIDAH!$AE$110</f>
        <v/>
      </c>
      <c r="J35" s="93" t="str">
        <f>PROSES!T32</f>
        <v/>
      </c>
      <c r="K35" s="93">
        <f>PROSES!R32</f>
        <v>0</v>
      </c>
      <c r="L35" s="93">
        <f>PROSES!S32</f>
        <v>0</v>
      </c>
      <c r="M35" s="93">
        <f t="shared" si="1"/>
        <v>0</v>
      </c>
      <c r="N35" s="93" t="str">
        <f>WSFIQIH!$AE$128</f>
        <v/>
      </c>
      <c r="O35" s="93" t="str">
        <f>PROSES!AC32</f>
        <v/>
      </c>
      <c r="P35" s="93">
        <f>PROSES!AA32</f>
        <v>0</v>
      </c>
      <c r="Q35" s="93">
        <f>PROSES!AB32</f>
        <v>0</v>
      </c>
      <c r="R35" s="93">
        <f t="shared" si="2"/>
        <v>0</v>
      </c>
      <c r="S35" s="93" t="str">
        <f>WSSKI!$AE$112</f>
        <v/>
      </c>
      <c r="T35" s="93" t="str">
        <f>PROSES!AL32</f>
        <v/>
      </c>
      <c r="U35" s="93">
        <f>PROSES!AJ32</f>
        <v>0</v>
      </c>
      <c r="V35" s="93">
        <f>PROSES!AK32</f>
        <v>0</v>
      </c>
      <c r="W35" s="93">
        <f t="shared" si="3"/>
        <v>0</v>
      </c>
      <c r="X35" s="94" t="str">
        <f>WSPKN!$AE$205</f>
        <v/>
      </c>
      <c r="Y35" s="94">
        <f>PROSES!AV32</f>
        <v>0</v>
      </c>
      <c r="Z35" s="94">
        <f>PROSES!AS32</f>
        <v>0</v>
      </c>
      <c r="AA35" s="94">
        <f>PROSES!AT32</f>
        <v>0</v>
      </c>
      <c r="AB35" s="93">
        <f t="shared" si="4"/>
        <v>0</v>
      </c>
      <c r="AC35" s="94" t="str">
        <f>WSIND!$AE$353</f>
        <v/>
      </c>
      <c r="AD35" s="94" t="str">
        <f>PROSES!BD32</f>
        <v/>
      </c>
      <c r="AE35" s="94">
        <f>PROSES!BB32</f>
        <v>0</v>
      </c>
      <c r="AF35" s="94">
        <f>PROSES!BC32</f>
        <v>0</v>
      </c>
      <c r="AG35" s="93">
        <f t="shared" si="5"/>
        <v>0</v>
      </c>
      <c r="AH35" s="94" t="str">
        <f>WSARAB!$AE$121</f>
        <v/>
      </c>
      <c r="AI35" s="94" t="str">
        <f>PROSES!BM32</f>
        <v/>
      </c>
      <c r="AJ35" s="94">
        <f>PROSES!BK32</f>
        <v>0</v>
      </c>
      <c r="AK35" s="94">
        <f>PROSES!BL32</f>
        <v>0</v>
      </c>
      <c r="AL35" s="93">
        <f t="shared" si="6"/>
        <v>0</v>
      </c>
      <c r="AM35" s="94" t="str">
        <f>WSMTK!$AE$208</f>
        <v/>
      </c>
      <c r="AN35" s="94" t="str">
        <f>PROSES!BV32</f>
        <v/>
      </c>
      <c r="AO35" s="94">
        <f>PROSES!BT32</f>
        <v>0</v>
      </c>
      <c r="AP35" s="94">
        <f>PROSES!BU32</f>
        <v>0</v>
      </c>
      <c r="AQ35" s="93">
        <f t="shared" si="7"/>
        <v>0</v>
      </c>
      <c r="AR35" s="94" t="str">
        <f>WSIPA!$AE$110</f>
        <v/>
      </c>
      <c r="AS35" s="94" t="str">
        <f>PROSES!CE32</f>
        <v/>
      </c>
      <c r="AT35" s="94">
        <f>PROSES!CC32</f>
        <v>0</v>
      </c>
      <c r="AU35" s="94">
        <f>PROSES!CD32</f>
        <v>0</v>
      </c>
      <c r="AV35" s="93">
        <f t="shared" si="8"/>
        <v>0</v>
      </c>
      <c r="AW35" s="94" t="str">
        <f>WSIPS!$AE$110</f>
        <v/>
      </c>
      <c r="AX35" s="94" t="str">
        <f>PROSES!CN32</f>
        <v/>
      </c>
      <c r="AY35" s="94">
        <f>PROSES!CL32</f>
        <v>0</v>
      </c>
      <c r="AZ35" s="94">
        <f>PROSES!CM32</f>
        <v>0</v>
      </c>
      <c r="BA35" s="93">
        <f t="shared" si="9"/>
        <v>0</v>
      </c>
      <c r="BB35" s="94" t="str">
        <f>WSSBK!$AE$127</f>
        <v/>
      </c>
      <c r="BC35" s="94" t="str">
        <f>PROSES!CW32</f>
        <v/>
      </c>
      <c r="BD35" s="94">
        <f>PROSES!CU32</f>
        <v>0</v>
      </c>
      <c r="BE35" s="94">
        <f>PROSES!CV32</f>
        <v>0</v>
      </c>
      <c r="BF35" s="93">
        <f t="shared" si="10"/>
        <v>0</v>
      </c>
      <c r="BG35" s="94" t="str">
        <f>WSPENJAS!$AE$22</f>
        <v/>
      </c>
      <c r="BH35" s="94" t="str">
        <f>PROSES!DF32</f>
        <v/>
      </c>
      <c r="BI35" s="94">
        <f>PROSES!DD32</f>
        <v>0</v>
      </c>
      <c r="BJ35" s="94">
        <f>PROSES!DE32</f>
        <v>0</v>
      </c>
      <c r="BK35" s="93">
        <f t="shared" si="11"/>
        <v>0</v>
      </c>
      <c r="BL35" s="95" t="str">
        <f>WSJAWA!$AE$110</f>
        <v/>
      </c>
      <c r="BM35" s="95" t="str">
        <f>PROSES!DO32</f>
        <v/>
      </c>
      <c r="BN35" s="95">
        <f>PROSES!DM32</f>
        <v>0</v>
      </c>
      <c r="BO35" s="95">
        <f>PROSES!DN32</f>
        <v>0</v>
      </c>
      <c r="BP35" s="93">
        <f t="shared" si="12"/>
        <v>0</v>
      </c>
      <c r="BQ35" s="95" t="str">
        <f>WSING!$AE$114</f>
        <v/>
      </c>
      <c r="BR35" s="95" t="str">
        <f>PROSES!DX32</f>
        <v/>
      </c>
      <c r="BS35" s="95">
        <f>PROSES!DV32</f>
        <v>0</v>
      </c>
      <c r="BT35" s="95">
        <f>PROSES!DW32</f>
        <v>0</v>
      </c>
      <c r="BU35" s="93">
        <f t="shared" si="13"/>
        <v>0</v>
      </c>
      <c r="BV35" s="95" t="str">
        <f>WSTIK!$AE$110</f>
        <v/>
      </c>
      <c r="BW35" s="95" t="str">
        <f>PROSES!EG32</f>
        <v/>
      </c>
      <c r="BX35" s="95">
        <f>PROSES!EE32</f>
        <v>0</v>
      </c>
      <c r="BY35" s="95">
        <f>PROSES!EF32</f>
        <v>0</v>
      </c>
      <c r="BZ35" s="93">
        <f t="shared" si="14"/>
        <v>0</v>
      </c>
      <c r="CA35" s="95" t="str">
        <f>WSASWAJA!$AE$110</f>
        <v/>
      </c>
      <c r="CB35" s="95" t="str">
        <f>PROSES!EP32</f>
        <v/>
      </c>
      <c r="CC35" s="95">
        <f>PROSES!EN32</f>
        <v>0</v>
      </c>
      <c r="CD35" s="95">
        <f>PROSES!EO32</f>
        <v>0</v>
      </c>
      <c r="CE35" s="93">
        <f t="shared" si="15"/>
        <v>0</v>
      </c>
      <c r="CF35" s="92">
        <f t="shared" si="16"/>
        <v>0</v>
      </c>
      <c r="CG35" s="85">
        <f t="shared" si="0"/>
        <v>0</v>
      </c>
    </row>
    <row r="36" spans="1:85" s="96" customFormat="1" ht="12.95" customHeight="1">
      <c r="A36" s="87">
        <v>28</v>
      </c>
      <c r="B36" s="83">
        <f>DATASISWA!E35</f>
        <v>0</v>
      </c>
      <c r="C36" s="84">
        <f>DATASISWA!G35</f>
        <v>0</v>
      </c>
      <c r="D36" s="93" t="str">
        <f>WSALQURAN!$AF$110</f>
        <v/>
      </c>
      <c r="E36" s="93" t="str">
        <f>PROSES!K33</f>
        <v/>
      </c>
      <c r="F36" s="93">
        <f>PROSES!I33</f>
        <v>0</v>
      </c>
      <c r="G36" s="93">
        <f>PROSES!J33</f>
        <v>0</v>
      </c>
      <c r="H36" s="93">
        <f t="shared" si="17"/>
        <v>0</v>
      </c>
      <c r="I36" s="93" t="str">
        <f>WSAQIDAH!$AF$110</f>
        <v/>
      </c>
      <c r="J36" s="93" t="str">
        <f>PROSES!T33</f>
        <v/>
      </c>
      <c r="K36" s="93">
        <f>PROSES!R33</f>
        <v>0</v>
      </c>
      <c r="L36" s="93">
        <f>PROSES!S33</f>
        <v>0</v>
      </c>
      <c r="M36" s="93">
        <f t="shared" si="1"/>
        <v>0</v>
      </c>
      <c r="N36" s="93" t="str">
        <f>WSFIQIH!$AF$128</f>
        <v/>
      </c>
      <c r="O36" s="93" t="str">
        <f>PROSES!AC33</f>
        <v/>
      </c>
      <c r="P36" s="93">
        <f>PROSES!AA33</f>
        <v>0</v>
      </c>
      <c r="Q36" s="93">
        <f>PROSES!AB33</f>
        <v>0</v>
      </c>
      <c r="R36" s="93">
        <f t="shared" si="2"/>
        <v>0</v>
      </c>
      <c r="S36" s="93" t="str">
        <f>WSSKI!$AF$112</f>
        <v/>
      </c>
      <c r="T36" s="93" t="str">
        <f>PROSES!AL33</f>
        <v/>
      </c>
      <c r="U36" s="93">
        <f>PROSES!AJ33</f>
        <v>0</v>
      </c>
      <c r="V36" s="93">
        <f>PROSES!AK33</f>
        <v>0</v>
      </c>
      <c r="W36" s="93">
        <f t="shared" si="3"/>
        <v>0</v>
      </c>
      <c r="X36" s="94" t="str">
        <f>WSPKN!$AF$205</f>
        <v/>
      </c>
      <c r="Y36" s="94">
        <f>PROSES!AV33</f>
        <v>0</v>
      </c>
      <c r="Z36" s="94">
        <f>PROSES!AS33</f>
        <v>0</v>
      </c>
      <c r="AA36" s="94">
        <f>PROSES!AT33</f>
        <v>0</v>
      </c>
      <c r="AB36" s="93">
        <f t="shared" si="4"/>
        <v>0</v>
      </c>
      <c r="AC36" s="94" t="str">
        <f>WSIND!$AF$353</f>
        <v/>
      </c>
      <c r="AD36" s="94" t="str">
        <f>PROSES!BD33</f>
        <v/>
      </c>
      <c r="AE36" s="94">
        <f>PROSES!BB33</f>
        <v>0</v>
      </c>
      <c r="AF36" s="94">
        <f>PROSES!BC33</f>
        <v>0</v>
      </c>
      <c r="AG36" s="93">
        <f t="shared" si="5"/>
        <v>0</v>
      </c>
      <c r="AH36" s="94" t="str">
        <f>WSARAB!$AF$121</f>
        <v/>
      </c>
      <c r="AI36" s="94" t="str">
        <f>PROSES!BM33</f>
        <v/>
      </c>
      <c r="AJ36" s="94">
        <f>PROSES!BK33</f>
        <v>0</v>
      </c>
      <c r="AK36" s="94">
        <f>PROSES!BL33</f>
        <v>0</v>
      </c>
      <c r="AL36" s="93">
        <f t="shared" si="6"/>
        <v>0</v>
      </c>
      <c r="AM36" s="94" t="str">
        <f>WSMTK!$AF$208</f>
        <v/>
      </c>
      <c r="AN36" s="94" t="str">
        <f>PROSES!BV33</f>
        <v/>
      </c>
      <c r="AO36" s="94">
        <f>PROSES!BT33</f>
        <v>0</v>
      </c>
      <c r="AP36" s="94">
        <f>PROSES!BU33</f>
        <v>0</v>
      </c>
      <c r="AQ36" s="93">
        <f t="shared" si="7"/>
        <v>0</v>
      </c>
      <c r="AR36" s="94" t="str">
        <f>WSIPA!$AF$110</f>
        <v/>
      </c>
      <c r="AS36" s="94" t="str">
        <f>PROSES!CE33</f>
        <v/>
      </c>
      <c r="AT36" s="94">
        <f>PROSES!CC33</f>
        <v>0</v>
      </c>
      <c r="AU36" s="94">
        <f>PROSES!CD33</f>
        <v>0</v>
      </c>
      <c r="AV36" s="93">
        <f t="shared" si="8"/>
        <v>0</v>
      </c>
      <c r="AW36" s="94" t="str">
        <f>WSIPS!$AF$110</f>
        <v/>
      </c>
      <c r="AX36" s="94" t="str">
        <f>PROSES!CN33</f>
        <v/>
      </c>
      <c r="AY36" s="94">
        <f>PROSES!CL33</f>
        <v>0</v>
      </c>
      <c r="AZ36" s="94">
        <f>PROSES!CM33</f>
        <v>0</v>
      </c>
      <c r="BA36" s="93">
        <f t="shared" si="9"/>
        <v>0</v>
      </c>
      <c r="BB36" s="94" t="str">
        <f>WSSBK!$AF$127</f>
        <v/>
      </c>
      <c r="BC36" s="94" t="str">
        <f>PROSES!CW33</f>
        <v/>
      </c>
      <c r="BD36" s="94">
        <f>PROSES!CU33</f>
        <v>0</v>
      </c>
      <c r="BE36" s="94">
        <f>PROSES!CV33</f>
        <v>0</v>
      </c>
      <c r="BF36" s="93">
        <f t="shared" si="10"/>
        <v>0</v>
      </c>
      <c r="BG36" s="94" t="str">
        <f>WSPENJAS!$AF$22</f>
        <v/>
      </c>
      <c r="BH36" s="94" t="str">
        <f>PROSES!DF33</f>
        <v/>
      </c>
      <c r="BI36" s="94">
        <f>PROSES!DD33</f>
        <v>0</v>
      </c>
      <c r="BJ36" s="94">
        <f>PROSES!DE33</f>
        <v>0</v>
      </c>
      <c r="BK36" s="93">
        <f t="shared" si="11"/>
        <v>0</v>
      </c>
      <c r="BL36" s="95" t="str">
        <f>WSJAWA!$AF$110</f>
        <v/>
      </c>
      <c r="BM36" s="95" t="str">
        <f>PROSES!DO33</f>
        <v/>
      </c>
      <c r="BN36" s="95">
        <f>PROSES!DM33</f>
        <v>0</v>
      </c>
      <c r="BO36" s="95">
        <f>PROSES!DN33</f>
        <v>0</v>
      </c>
      <c r="BP36" s="93">
        <f t="shared" si="12"/>
        <v>0</v>
      </c>
      <c r="BQ36" s="95" t="str">
        <f>WSING!$AF$114</f>
        <v/>
      </c>
      <c r="BR36" s="95" t="str">
        <f>PROSES!DX33</f>
        <v/>
      </c>
      <c r="BS36" s="95">
        <f>PROSES!DV33</f>
        <v>0</v>
      </c>
      <c r="BT36" s="95">
        <f>PROSES!DW33</f>
        <v>0</v>
      </c>
      <c r="BU36" s="93">
        <f t="shared" si="13"/>
        <v>0</v>
      </c>
      <c r="BV36" s="95" t="str">
        <f>WSTIK!$AF$110</f>
        <v/>
      </c>
      <c r="BW36" s="95" t="str">
        <f>PROSES!EG33</f>
        <v/>
      </c>
      <c r="BX36" s="95">
        <f>PROSES!EE33</f>
        <v>0</v>
      </c>
      <c r="BY36" s="95">
        <f>PROSES!EF33</f>
        <v>0</v>
      </c>
      <c r="BZ36" s="93">
        <f t="shared" si="14"/>
        <v>0</v>
      </c>
      <c r="CA36" s="95" t="str">
        <f>WSASWAJA!$AF$110</f>
        <v/>
      </c>
      <c r="CB36" s="95" t="str">
        <f>PROSES!EP33</f>
        <v/>
      </c>
      <c r="CC36" s="95">
        <f>PROSES!EN33</f>
        <v>0</v>
      </c>
      <c r="CD36" s="95">
        <f>PROSES!EO33</f>
        <v>0</v>
      </c>
      <c r="CE36" s="93">
        <f t="shared" si="15"/>
        <v>0</v>
      </c>
      <c r="CF36" s="92">
        <f t="shared" si="16"/>
        <v>0</v>
      </c>
      <c r="CG36" s="85">
        <f t="shared" si="0"/>
        <v>0</v>
      </c>
    </row>
    <row r="37" spans="1:85" s="96" customFormat="1" ht="12.95" customHeight="1">
      <c r="A37" s="86">
        <v>29</v>
      </c>
      <c r="B37" s="83">
        <f>DATASISWA!E36</f>
        <v>0</v>
      </c>
      <c r="C37" s="84">
        <f>DATASISWA!G36</f>
        <v>0</v>
      </c>
      <c r="D37" s="93" t="str">
        <f>WSALQURAN!$AG$110</f>
        <v/>
      </c>
      <c r="E37" s="93" t="str">
        <f>PROSES!K34</f>
        <v/>
      </c>
      <c r="F37" s="93">
        <f>PROSES!I34</f>
        <v>0</v>
      </c>
      <c r="G37" s="93">
        <f>PROSES!J34</f>
        <v>0</v>
      </c>
      <c r="H37" s="93">
        <f t="shared" si="17"/>
        <v>0</v>
      </c>
      <c r="I37" s="93" t="str">
        <f>WSAQIDAH!$AG$110</f>
        <v/>
      </c>
      <c r="J37" s="93" t="str">
        <f>PROSES!T34</f>
        <v/>
      </c>
      <c r="K37" s="93">
        <f>PROSES!R34</f>
        <v>0</v>
      </c>
      <c r="L37" s="93">
        <f>PROSES!S34</f>
        <v>0</v>
      </c>
      <c r="M37" s="93">
        <f t="shared" si="1"/>
        <v>0</v>
      </c>
      <c r="N37" s="93" t="str">
        <f>WSFIQIH!$AG$128</f>
        <v/>
      </c>
      <c r="O37" s="93" t="str">
        <f>PROSES!AC34</f>
        <v/>
      </c>
      <c r="P37" s="93">
        <f>PROSES!AA34</f>
        <v>0</v>
      </c>
      <c r="Q37" s="93">
        <f>PROSES!AB34</f>
        <v>0</v>
      </c>
      <c r="R37" s="93">
        <f t="shared" si="2"/>
        <v>0</v>
      </c>
      <c r="S37" s="93" t="str">
        <f>WSSKI!$AG$112</f>
        <v/>
      </c>
      <c r="T37" s="93" t="str">
        <f>PROSES!AL34</f>
        <v/>
      </c>
      <c r="U37" s="93">
        <f>PROSES!AJ34</f>
        <v>0</v>
      </c>
      <c r="V37" s="93">
        <f>PROSES!AK34</f>
        <v>0</v>
      </c>
      <c r="W37" s="93">
        <f t="shared" si="3"/>
        <v>0</v>
      </c>
      <c r="X37" s="94" t="str">
        <f>WSPKN!$AG$205</f>
        <v/>
      </c>
      <c r="Y37" s="94">
        <f>PROSES!AV34</f>
        <v>0</v>
      </c>
      <c r="Z37" s="94">
        <f>PROSES!AS34</f>
        <v>0</v>
      </c>
      <c r="AA37" s="94">
        <f>PROSES!AT34</f>
        <v>0</v>
      </c>
      <c r="AB37" s="93">
        <f t="shared" si="4"/>
        <v>0</v>
      </c>
      <c r="AC37" s="94" t="str">
        <f>WSIND!$AG$353</f>
        <v/>
      </c>
      <c r="AD37" s="94" t="str">
        <f>PROSES!BD34</f>
        <v/>
      </c>
      <c r="AE37" s="94">
        <f>PROSES!BB34</f>
        <v>0</v>
      </c>
      <c r="AF37" s="94">
        <f>PROSES!BC34</f>
        <v>0</v>
      </c>
      <c r="AG37" s="93">
        <f t="shared" si="5"/>
        <v>0</v>
      </c>
      <c r="AH37" s="94" t="str">
        <f>WSARAB!$AG$121</f>
        <v/>
      </c>
      <c r="AI37" s="94" t="str">
        <f>PROSES!BM34</f>
        <v/>
      </c>
      <c r="AJ37" s="94">
        <f>PROSES!BK34</f>
        <v>0</v>
      </c>
      <c r="AK37" s="94">
        <f>PROSES!BL34</f>
        <v>0</v>
      </c>
      <c r="AL37" s="93">
        <f t="shared" si="6"/>
        <v>0</v>
      </c>
      <c r="AM37" s="94" t="str">
        <f>WSMTK!$AG$208</f>
        <v/>
      </c>
      <c r="AN37" s="94" t="str">
        <f>PROSES!BV34</f>
        <v/>
      </c>
      <c r="AO37" s="94">
        <f>PROSES!BT34</f>
        <v>0</v>
      </c>
      <c r="AP37" s="94">
        <f>PROSES!BU34</f>
        <v>0</v>
      </c>
      <c r="AQ37" s="93">
        <f t="shared" si="7"/>
        <v>0</v>
      </c>
      <c r="AR37" s="94" t="str">
        <f>WSIPA!$AG$110</f>
        <v/>
      </c>
      <c r="AS37" s="94" t="str">
        <f>PROSES!CE34</f>
        <v/>
      </c>
      <c r="AT37" s="94">
        <f>PROSES!CC34</f>
        <v>0</v>
      </c>
      <c r="AU37" s="94">
        <f>PROSES!CD34</f>
        <v>0</v>
      </c>
      <c r="AV37" s="93">
        <f t="shared" si="8"/>
        <v>0</v>
      </c>
      <c r="AW37" s="94" t="str">
        <f>WSIPS!$AG$110</f>
        <v/>
      </c>
      <c r="AX37" s="94" t="str">
        <f>PROSES!CN34</f>
        <v/>
      </c>
      <c r="AY37" s="94">
        <f>PROSES!CL34</f>
        <v>0</v>
      </c>
      <c r="AZ37" s="94">
        <f>PROSES!CM34</f>
        <v>0</v>
      </c>
      <c r="BA37" s="93">
        <f t="shared" si="9"/>
        <v>0</v>
      </c>
      <c r="BB37" s="94" t="str">
        <f>WSSBK!$AG$127</f>
        <v/>
      </c>
      <c r="BC37" s="94" t="str">
        <f>PROSES!CW34</f>
        <v/>
      </c>
      <c r="BD37" s="94">
        <f>PROSES!CU34</f>
        <v>0</v>
      </c>
      <c r="BE37" s="94">
        <f>PROSES!CV34</f>
        <v>0</v>
      </c>
      <c r="BF37" s="93">
        <f t="shared" si="10"/>
        <v>0</v>
      </c>
      <c r="BG37" s="94" t="str">
        <f>WSPENJAS!$AG$22</f>
        <v/>
      </c>
      <c r="BH37" s="94" t="str">
        <f>PROSES!DF34</f>
        <v/>
      </c>
      <c r="BI37" s="94">
        <f>PROSES!DD34</f>
        <v>0</v>
      </c>
      <c r="BJ37" s="94">
        <f>PROSES!DE34</f>
        <v>0</v>
      </c>
      <c r="BK37" s="93">
        <f t="shared" si="11"/>
        <v>0</v>
      </c>
      <c r="BL37" s="95" t="str">
        <f>WSJAWA!$AG$110</f>
        <v/>
      </c>
      <c r="BM37" s="95" t="str">
        <f>PROSES!DO34</f>
        <v/>
      </c>
      <c r="BN37" s="95">
        <f>PROSES!DM34</f>
        <v>0</v>
      </c>
      <c r="BO37" s="95">
        <f>PROSES!DN34</f>
        <v>0</v>
      </c>
      <c r="BP37" s="93">
        <f t="shared" si="12"/>
        <v>0</v>
      </c>
      <c r="BQ37" s="95" t="str">
        <f>WSING!$AG$114</f>
        <v/>
      </c>
      <c r="BR37" s="95" t="str">
        <f>PROSES!DX34</f>
        <v/>
      </c>
      <c r="BS37" s="95">
        <f>PROSES!DV34</f>
        <v>0</v>
      </c>
      <c r="BT37" s="95">
        <f>PROSES!DW34</f>
        <v>0</v>
      </c>
      <c r="BU37" s="93">
        <f t="shared" si="13"/>
        <v>0</v>
      </c>
      <c r="BV37" s="95" t="str">
        <f>WSTIK!$AG$110</f>
        <v/>
      </c>
      <c r="BW37" s="95" t="str">
        <f>PROSES!EG34</f>
        <v/>
      </c>
      <c r="BX37" s="95">
        <f>PROSES!EE34</f>
        <v>0</v>
      </c>
      <c r="BY37" s="95">
        <f>PROSES!EF34</f>
        <v>0</v>
      </c>
      <c r="BZ37" s="93">
        <f t="shared" si="14"/>
        <v>0</v>
      </c>
      <c r="CA37" s="95" t="str">
        <f>WSASWAJA!$AG$110</f>
        <v/>
      </c>
      <c r="CB37" s="95" t="str">
        <f>PROSES!EP34</f>
        <v/>
      </c>
      <c r="CC37" s="95">
        <f>PROSES!EN34</f>
        <v>0</v>
      </c>
      <c r="CD37" s="95">
        <f>PROSES!EO34</f>
        <v>0</v>
      </c>
      <c r="CE37" s="93">
        <f t="shared" si="15"/>
        <v>0</v>
      </c>
      <c r="CF37" s="92">
        <f t="shared" si="16"/>
        <v>0</v>
      </c>
      <c r="CG37" s="85">
        <f t="shared" si="0"/>
        <v>0</v>
      </c>
    </row>
    <row r="38" spans="1:85" s="96" customFormat="1" ht="12.95" customHeight="1">
      <c r="A38" s="86">
        <v>30</v>
      </c>
      <c r="B38" s="83">
        <f>DATASISWA!E37</f>
        <v>0</v>
      </c>
      <c r="C38" s="84">
        <f>DATASISWA!G37</f>
        <v>0</v>
      </c>
      <c r="D38" s="93" t="str">
        <f>WSALQURAN!$AH$110</f>
        <v/>
      </c>
      <c r="E38" s="93" t="str">
        <f>PROSES!K35</f>
        <v/>
      </c>
      <c r="F38" s="93">
        <f>PROSES!I35</f>
        <v>0</v>
      </c>
      <c r="G38" s="93">
        <f>PROSES!J35</f>
        <v>0</v>
      </c>
      <c r="H38" s="93">
        <f t="shared" si="17"/>
        <v>0</v>
      </c>
      <c r="I38" s="93" t="str">
        <f>WSAQIDAH!$AH$110</f>
        <v/>
      </c>
      <c r="J38" s="93" t="str">
        <f>PROSES!T35</f>
        <v/>
      </c>
      <c r="K38" s="93">
        <f>PROSES!R35</f>
        <v>0</v>
      </c>
      <c r="L38" s="93">
        <f>PROSES!S35</f>
        <v>0</v>
      </c>
      <c r="M38" s="93">
        <f t="shared" si="1"/>
        <v>0</v>
      </c>
      <c r="N38" s="93" t="str">
        <f>WSFIQIH!$AH$128</f>
        <v/>
      </c>
      <c r="O38" s="93" t="str">
        <f>PROSES!AC35</f>
        <v/>
      </c>
      <c r="P38" s="93">
        <f>PROSES!AA35</f>
        <v>0</v>
      </c>
      <c r="Q38" s="93">
        <f>PROSES!AB35</f>
        <v>0</v>
      </c>
      <c r="R38" s="93">
        <f t="shared" si="2"/>
        <v>0</v>
      </c>
      <c r="S38" s="93" t="str">
        <f>WSSKI!$AH$112</f>
        <v/>
      </c>
      <c r="T38" s="93" t="str">
        <f>PROSES!AL35</f>
        <v/>
      </c>
      <c r="U38" s="93">
        <f>PROSES!AJ35</f>
        <v>0</v>
      </c>
      <c r="V38" s="93">
        <f>PROSES!AK35</f>
        <v>0</v>
      </c>
      <c r="W38" s="93">
        <f t="shared" si="3"/>
        <v>0</v>
      </c>
      <c r="X38" s="94" t="str">
        <f>WSPKN!$AH$205</f>
        <v/>
      </c>
      <c r="Y38" s="94">
        <f>PROSES!AV35</f>
        <v>0</v>
      </c>
      <c r="Z38" s="94">
        <f>PROSES!AS35</f>
        <v>0</v>
      </c>
      <c r="AA38" s="94">
        <f>PROSES!AT35</f>
        <v>0</v>
      </c>
      <c r="AB38" s="93">
        <f t="shared" si="4"/>
        <v>0</v>
      </c>
      <c r="AC38" s="94" t="str">
        <f>WSIND!$AH$353</f>
        <v/>
      </c>
      <c r="AD38" s="94" t="str">
        <f>PROSES!BD35</f>
        <v/>
      </c>
      <c r="AE38" s="94">
        <f>PROSES!BB35</f>
        <v>0</v>
      </c>
      <c r="AF38" s="94">
        <f>PROSES!BC35</f>
        <v>0</v>
      </c>
      <c r="AG38" s="93">
        <f t="shared" si="5"/>
        <v>0</v>
      </c>
      <c r="AH38" s="94" t="str">
        <f>WSARAB!$AH$121</f>
        <v/>
      </c>
      <c r="AI38" s="94" t="str">
        <f>PROSES!BM35</f>
        <v/>
      </c>
      <c r="AJ38" s="94">
        <f>PROSES!BK35</f>
        <v>0</v>
      </c>
      <c r="AK38" s="94">
        <f>PROSES!BL35</f>
        <v>0</v>
      </c>
      <c r="AL38" s="93">
        <f t="shared" si="6"/>
        <v>0</v>
      </c>
      <c r="AM38" s="94" t="str">
        <f>WSMTK!$AH$208</f>
        <v/>
      </c>
      <c r="AN38" s="94" t="str">
        <f>PROSES!BV35</f>
        <v/>
      </c>
      <c r="AO38" s="94">
        <f>PROSES!BT35</f>
        <v>0</v>
      </c>
      <c r="AP38" s="94">
        <f>PROSES!BU35</f>
        <v>0</v>
      </c>
      <c r="AQ38" s="93">
        <f t="shared" si="7"/>
        <v>0</v>
      </c>
      <c r="AR38" s="94" t="str">
        <f>WSIPA!$AH$110</f>
        <v/>
      </c>
      <c r="AS38" s="94" t="str">
        <f>PROSES!CE35</f>
        <v/>
      </c>
      <c r="AT38" s="94">
        <f>PROSES!CC35</f>
        <v>0</v>
      </c>
      <c r="AU38" s="94">
        <f>PROSES!CD35</f>
        <v>0</v>
      </c>
      <c r="AV38" s="93">
        <f t="shared" si="8"/>
        <v>0</v>
      </c>
      <c r="AW38" s="94" t="str">
        <f>WSIPS!$AH$110</f>
        <v/>
      </c>
      <c r="AX38" s="94" t="str">
        <f>PROSES!CN35</f>
        <v/>
      </c>
      <c r="AY38" s="94">
        <f>PROSES!CL35</f>
        <v>0</v>
      </c>
      <c r="AZ38" s="94">
        <f>PROSES!CM35</f>
        <v>0</v>
      </c>
      <c r="BA38" s="93">
        <f t="shared" si="9"/>
        <v>0</v>
      </c>
      <c r="BB38" s="94" t="str">
        <f>WSSBK!$AH$127</f>
        <v/>
      </c>
      <c r="BC38" s="94" t="str">
        <f>PROSES!CW35</f>
        <v/>
      </c>
      <c r="BD38" s="94">
        <f>PROSES!CU35</f>
        <v>0</v>
      </c>
      <c r="BE38" s="94">
        <f>PROSES!CV35</f>
        <v>0</v>
      </c>
      <c r="BF38" s="93">
        <f t="shared" si="10"/>
        <v>0</v>
      </c>
      <c r="BG38" s="94" t="str">
        <f>WSPENJAS!$AH$22</f>
        <v/>
      </c>
      <c r="BH38" s="94" t="str">
        <f>PROSES!DF35</f>
        <v/>
      </c>
      <c r="BI38" s="94">
        <f>PROSES!DD35</f>
        <v>0</v>
      </c>
      <c r="BJ38" s="94">
        <f>PROSES!DE35</f>
        <v>0</v>
      </c>
      <c r="BK38" s="93">
        <f t="shared" si="11"/>
        <v>0</v>
      </c>
      <c r="BL38" s="95" t="str">
        <f>WSJAWA!$AH$110</f>
        <v/>
      </c>
      <c r="BM38" s="95" t="str">
        <f>PROSES!DO35</f>
        <v/>
      </c>
      <c r="BN38" s="95">
        <f>PROSES!DM35</f>
        <v>0</v>
      </c>
      <c r="BO38" s="95">
        <f>PROSES!DN35</f>
        <v>0</v>
      </c>
      <c r="BP38" s="93">
        <f t="shared" si="12"/>
        <v>0</v>
      </c>
      <c r="BQ38" s="95" t="str">
        <f>WSING!$AH$114</f>
        <v/>
      </c>
      <c r="BR38" s="95" t="str">
        <f>PROSES!DX35</f>
        <v/>
      </c>
      <c r="BS38" s="95">
        <f>PROSES!DV35</f>
        <v>0</v>
      </c>
      <c r="BT38" s="95">
        <f>PROSES!DW35</f>
        <v>0</v>
      </c>
      <c r="BU38" s="93">
        <f t="shared" si="13"/>
        <v>0</v>
      </c>
      <c r="BV38" s="95" t="str">
        <f>WSTIK!$AH$110</f>
        <v/>
      </c>
      <c r="BW38" s="95" t="str">
        <f>PROSES!EG35</f>
        <v/>
      </c>
      <c r="BX38" s="95">
        <f>PROSES!EE35</f>
        <v>0</v>
      </c>
      <c r="BY38" s="95">
        <f>PROSES!EF35</f>
        <v>0</v>
      </c>
      <c r="BZ38" s="93">
        <f t="shared" si="14"/>
        <v>0</v>
      </c>
      <c r="CA38" s="95" t="str">
        <f>WSASWAJA!$AH$110</f>
        <v/>
      </c>
      <c r="CB38" s="95" t="str">
        <f>PROSES!EP35</f>
        <v/>
      </c>
      <c r="CC38" s="95">
        <f>PROSES!EN35</f>
        <v>0</v>
      </c>
      <c r="CD38" s="95">
        <f>PROSES!EO35</f>
        <v>0</v>
      </c>
      <c r="CE38" s="93">
        <f t="shared" si="15"/>
        <v>0</v>
      </c>
      <c r="CF38" s="92">
        <f t="shared" si="16"/>
        <v>0</v>
      </c>
      <c r="CG38" s="85">
        <f t="shared" si="0"/>
        <v>0</v>
      </c>
    </row>
  </sheetData>
  <mergeCells count="26">
    <mergeCell ref="A1:C2"/>
    <mergeCell ref="A4:CG4"/>
    <mergeCell ref="D6:H6"/>
    <mergeCell ref="D5:W5"/>
    <mergeCell ref="I6:M6"/>
    <mergeCell ref="N6:R6"/>
    <mergeCell ref="S6:W6"/>
    <mergeCell ref="X6:AB6"/>
    <mergeCell ref="CF5:CF7"/>
    <mergeCell ref="CG5:CG7"/>
    <mergeCell ref="BB6:BF6"/>
    <mergeCell ref="BG6:BK6"/>
    <mergeCell ref="BL6:BP6"/>
    <mergeCell ref="BQ6:BU6"/>
    <mergeCell ref="BV6:BZ6"/>
    <mergeCell ref="A5:A7"/>
    <mergeCell ref="B5:B7"/>
    <mergeCell ref="C5:C7"/>
    <mergeCell ref="CA6:CE6"/>
    <mergeCell ref="X5:BK5"/>
    <mergeCell ref="BL5:CE5"/>
    <mergeCell ref="AC6:AG6"/>
    <mergeCell ref="AH6:AL6"/>
    <mergeCell ref="AM6:AQ6"/>
    <mergeCell ref="AR6:AV6"/>
    <mergeCell ref="AW6:BA6"/>
  </mergeCells>
  <conditionalFormatting sqref="H9:H38">
    <cfRule type="colorScale" priority="192">
      <colorScale>
        <cfvo type="min"/>
        <cfvo type="percentile" val="50"/>
        <cfvo type="max"/>
        <color rgb="FFF8696B"/>
        <color rgb="FFFFEB84"/>
        <color rgb="FF63BE7B"/>
      </colorScale>
    </cfRule>
  </conditionalFormatting>
  <conditionalFormatting sqref="M9:M38">
    <cfRule type="colorScale" priority="191">
      <colorScale>
        <cfvo type="min"/>
        <cfvo type="percentile" val="50"/>
        <cfvo type="max"/>
        <color rgb="FFF8696B"/>
        <color rgb="FFFFEB84"/>
        <color rgb="FF63BE7B"/>
      </colorScale>
    </cfRule>
  </conditionalFormatting>
  <conditionalFormatting sqref="R9:R38">
    <cfRule type="colorScale" priority="190">
      <colorScale>
        <cfvo type="min"/>
        <cfvo type="percentile" val="50"/>
        <cfvo type="max"/>
        <color rgb="FFF8696B"/>
        <color rgb="FFFFEB84"/>
        <color rgb="FF63BE7B"/>
      </colorScale>
    </cfRule>
  </conditionalFormatting>
  <conditionalFormatting sqref="W9:W38">
    <cfRule type="colorScale" priority="189">
      <colorScale>
        <cfvo type="min"/>
        <cfvo type="percentile" val="50"/>
        <cfvo type="max"/>
        <color rgb="FFF8696B"/>
        <color rgb="FFFFEB84"/>
        <color rgb="FF63BE7B"/>
      </colorScale>
    </cfRule>
  </conditionalFormatting>
  <conditionalFormatting sqref="AB9:AB38">
    <cfRule type="colorScale" priority="188">
      <colorScale>
        <cfvo type="min"/>
        <cfvo type="percentile" val="50"/>
        <cfvo type="max"/>
        <color rgb="FFF8696B"/>
        <color rgb="FFFFEB84"/>
        <color rgb="FF63BE7B"/>
      </colorScale>
    </cfRule>
  </conditionalFormatting>
  <conditionalFormatting sqref="AG9:AG38">
    <cfRule type="colorScale" priority="187">
      <colorScale>
        <cfvo type="min"/>
        <cfvo type="percentile" val="50"/>
        <cfvo type="max"/>
        <color rgb="FFF8696B"/>
        <color rgb="FFFFEB84"/>
        <color rgb="FF63BE7B"/>
      </colorScale>
    </cfRule>
  </conditionalFormatting>
  <conditionalFormatting sqref="AL9:AL38">
    <cfRule type="colorScale" priority="186">
      <colorScale>
        <cfvo type="min"/>
        <cfvo type="percentile" val="50"/>
        <cfvo type="max"/>
        <color rgb="FFF8696B"/>
        <color rgb="FFFFEB84"/>
        <color rgb="FF63BE7B"/>
      </colorScale>
    </cfRule>
  </conditionalFormatting>
  <conditionalFormatting sqref="AQ9:AQ38">
    <cfRule type="colorScale" priority="185">
      <colorScale>
        <cfvo type="min"/>
        <cfvo type="percentile" val="50"/>
        <cfvo type="max"/>
        <color rgb="FFF8696B"/>
        <color rgb="FFFFEB84"/>
        <color rgb="FF63BE7B"/>
      </colorScale>
    </cfRule>
  </conditionalFormatting>
  <conditionalFormatting sqref="AV9:AV38">
    <cfRule type="colorScale" priority="184">
      <colorScale>
        <cfvo type="min"/>
        <cfvo type="percentile" val="50"/>
        <cfvo type="max"/>
        <color rgb="FFF8696B"/>
        <color rgb="FFFFEB84"/>
        <color rgb="FF63BE7B"/>
      </colorScale>
    </cfRule>
  </conditionalFormatting>
  <conditionalFormatting sqref="BA9:BA38">
    <cfRule type="colorScale" priority="183">
      <colorScale>
        <cfvo type="min"/>
        <cfvo type="percentile" val="50"/>
        <cfvo type="max"/>
        <color rgb="FFF8696B"/>
        <color rgb="FFFFEB84"/>
        <color rgb="FF63BE7B"/>
      </colorScale>
    </cfRule>
  </conditionalFormatting>
  <conditionalFormatting sqref="BF9:BF38">
    <cfRule type="colorScale" priority="182">
      <colorScale>
        <cfvo type="min"/>
        <cfvo type="percentile" val="50"/>
        <cfvo type="max"/>
        <color rgb="FFF8696B"/>
        <color rgb="FFFFEB84"/>
        <color rgb="FF63BE7B"/>
      </colorScale>
    </cfRule>
  </conditionalFormatting>
  <conditionalFormatting sqref="BK9:BK38">
    <cfRule type="colorScale" priority="181">
      <colorScale>
        <cfvo type="min"/>
        <cfvo type="percentile" val="50"/>
        <cfvo type="max"/>
        <color rgb="FFF8696B"/>
        <color rgb="FFFFEB84"/>
        <color rgb="FF63BE7B"/>
      </colorScale>
    </cfRule>
  </conditionalFormatting>
  <conditionalFormatting sqref="BP9:BP38">
    <cfRule type="colorScale" priority="180">
      <colorScale>
        <cfvo type="min"/>
        <cfvo type="percentile" val="50"/>
        <cfvo type="max"/>
        <color rgb="FFF8696B"/>
        <color rgb="FFFFEB84"/>
        <color rgb="FF63BE7B"/>
      </colorScale>
    </cfRule>
  </conditionalFormatting>
  <conditionalFormatting sqref="BU9:BU38">
    <cfRule type="colorScale" priority="179">
      <colorScale>
        <cfvo type="min"/>
        <cfvo type="percentile" val="50"/>
        <cfvo type="max"/>
        <color rgb="FFF8696B"/>
        <color rgb="FFFFEB84"/>
        <color rgb="FF63BE7B"/>
      </colorScale>
    </cfRule>
  </conditionalFormatting>
  <conditionalFormatting sqref="BZ9:BZ38">
    <cfRule type="colorScale" priority="178">
      <colorScale>
        <cfvo type="min"/>
        <cfvo type="percentile" val="50"/>
        <cfvo type="max"/>
        <color rgb="FFF8696B"/>
        <color rgb="FFFFEB84"/>
        <color rgb="FF63BE7B"/>
      </colorScale>
    </cfRule>
  </conditionalFormatting>
  <conditionalFormatting sqref="CE9:CE38">
    <cfRule type="colorScale" priority="177">
      <colorScale>
        <cfvo type="min"/>
        <cfvo type="percentile" val="50"/>
        <cfvo type="max"/>
        <color rgb="FFF8696B"/>
        <color rgb="FFFFEB84"/>
        <color rgb="FF63BE7B"/>
      </colorScale>
    </cfRule>
  </conditionalFormatting>
  <conditionalFormatting sqref="M9:M38">
    <cfRule type="colorScale" priority="176">
      <colorScale>
        <cfvo type="min"/>
        <cfvo type="percentile" val="50"/>
        <cfvo type="max"/>
        <color rgb="FFF8696B"/>
        <color rgb="FFFFEB84"/>
        <color rgb="FF63BE7B"/>
      </colorScale>
    </cfRule>
  </conditionalFormatting>
  <conditionalFormatting sqref="R9:R38">
    <cfRule type="colorScale" priority="175">
      <colorScale>
        <cfvo type="min"/>
        <cfvo type="percentile" val="50"/>
        <cfvo type="max"/>
        <color rgb="FFF8696B"/>
        <color rgb="FFFFEB84"/>
        <color rgb="FF63BE7B"/>
      </colorScale>
    </cfRule>
  </conditionalFormatting>
  <conditionalFormatting sqref="W9:W30">
    <cfRule type="colorScale" priority="174">
      <colorScale>
        <cfvo type="min"/>
        <cfvo type="percentile" val="50"/>
        <cfvo type="max"/>
        <color rgb="FFF8696B"/>
        <color rgb="FFFFEB84"/>
        <color rgb="FF63BE7B"/>
      </colorScale>
    </cfRule>
  </conditionalFormatting>
  <conditionalFormatting sqref="W9:W30">
    <cfRule type="colorScale" priority="173">
      <colorScale>
        <cfvo type="min"/>
        <cfvo type="percentile" val="50"/>
        <cfvo type="max"/>
        <color rgb="FFF8696B"/>
        <color rgb="FFFFEB84"/>
        <color rgb="FF63BE7B"/>
      </colorScale>
    </cfRule>
  </conditionalFormatting>
  <conditionalFormatting sqref="R9:R38">
    <cfRule type="colorScale" priority="172">
      <colorScale>
        <cfvo type="min"/>
        <cfvo type="percentile" val="50"/>
        <cfvo type="max"/>
        <color rgb="FFF8696B"/>
        <color rgb="FFFFEB84"/>
        <color rgb="FF63BE7B"/>
      </colorScale>
    </cfRule>
  </conditionalFormatting>
  <conditionalFormatting sqref="H9:H38">
    <cfRule type="colorScale" priority="171">
      <colorScale>
        <cfvo type="min"/>
        <cfvo type="percentile" val="50"/>
        <cfvo type="max"/>
        <color rgb="FFF8696B"/>
        <color rgb="FFFFEB84"/>
        <color rgb="FF63BE7B"/>
      </colorScale>
    </cfRule>
  </conditionalFormatting>
  <conditionalFormatting sqref="H9:H38">
    <cfRule type="colorScale" priority="170">
      <colorScale>
        <cfvo type="min"/>
        <cfvo type="percentile" val="50"/>
        <cfvo type="max"/>
        <color rgb="FFF8696B"/>
        <color rgb="FFFFEB84"/>
        <color rgb="FF63BE7B"/>
      </colorScale>
    </cfRule>
  </conditionalFormatting>
  <conditionalFormatting sqref="R9:R38">
    <cfRule type="colorScale" priority="169">
      <colorScale>
        <cfvo type="min"/>
        <cfvo type="percentile" val="50"/>
        <cfvo type="max"/>
        <color rgb="FFF8696B"/>
        <color rgb="FFFFEB84"/>
        <color rgb="FF63BE7B"/>
      </colorScale>
    </cfRule>
  </conditionalFormatting>
  <conditionalFormatting sqref="R9:R38">
    <cfRule type="colorScale" priority="168">
      <colorScale>
        <cfvo type="min"/>
        <cfvo type="percentile" val="50"/>
        <cfvo type="max"/>
        <color rgb="FFF8696B"/>
        <color rgb="FFFFEB84"/>
        <color rgb="FF63BE7B"/>
      </colorScale>
    </cfRule>
  </conditionalFormatting>
  <conditionalFormatting sqref="W9:W38">
    <cfRule type="colorScale" priority="167">
      <colorScale>
        <cfvo type="min"/>
        <cfvo type="percentile" val="50"/>
        <cfvo type="max"/>
        <color rgb="FFF8696B"/>
        <color rgb="FFFFEB84"/>
        <color rgb="FF63BE7B"/>
      </colorScale>
    </cfRule>
  </conditionalFormatting>
  <conditionalFormatting sqref="W9:W38">
    <cfRule type="colorScale" priority="166">
      <colorScale>
        <cfvo type="min"/>
        <cfvo type="percentile" val="50"/>
        <cfvo type="max"/>
        <color rgb="FFF8696B"/>
        <color rgb="FFFFEB84"/>
        <color rgb="FF63BE7B"/>
      </colorScale>
    </cfRule>
  </conditionalFormatting>
  <conditionalFormatting sqref="AB9:AB38">
    <cfRule type="colorScale" priority="165">
      <colorScale>
        <cfvo type="min"/>
        <cfvo type="percentile" val="50"/>
        <cfvo type="max"/>
        <color rgb="FFF8696B"/>
        <color rgb="FFFFEB84"/>
        <color rgb="FF63BE7B"/>
      </colorScale>
    </cfRule>
  </conditionalFormatting>
  <conditionalFormatting sqref="AB9:AB38">
    <cfRule type="colorScale" priority="164">
      <colorScale>
        <cfvo type="min"/>
        <cfvo type="percentile" val="50"/>
        <cfvo type="max"/>
        <color rgb="FFF8696B"/>
        <color rgb="FFFFEB84"/>
        <color rgb="FF63BE7B"/>
      </colorScale>
    </cfRule>
  </conditionalFormatting>
  <conditionalFormatting sqref="AG9:AG38">
    <cfRule type="colorScale" priority="163">
      <colorScale>
        <cfvo type="min"/>
        <cfvo type="percentile" val="50"/>
        <cfvo type="max"/>
        <color rgb="FFF8696B"/>
        <color rgb="FFFFEB84"/>
        <color rgb="FF63BE7B"/>
      </colorScale>
    </cfRule>
  </conditionalFormatting>
  <conditionalFormatting sqref="AG9:AG38">
    <cfRule type="colorScale" priority="162">
      <colorScale>
        <cfvo type="min"/>
        <cfvo type="percentile" val="50"/>
        <cfvo type="max"/>
        <color rgb="FFF8696B"/>
        <color rgb="FFFFEB84"/>
        <color rgb="FF63BE7B"/>
      </colorScale>
    </cfRule>
  </conditionalFormatting>
  <conditionalFormatting sqref="AL9:AL38">
    <cfRule type="colorScale" priority="161">
      <colorScale>
        <cfvo type="min"/>
        <cfvo type="percentile" val="50"/>
        <cfvo type="max"/>
        <color rgb="FFF8696B"/>
        <color rgb="FFFFEB84"/>
        <color rgb="FF63BE7B"/>
      </colorScale>
    </cfRule>
  </conditionalFormatting>
  <conditionalFormatting sqref="AL9:AL38">
    <cfRule type="colorScale" priority="160">
      <colorScale>
        <cfvo type="min"/>
        <cfvo type="percentile" val="50"/>
        <cfvo type="max"/>
        <color rgb="FFF8696B"/>
        <color rgb="FFFFEB84"/>
        <color rgb="FF63BE7B"/>
      </colorScale>
    </cfRule>
  </conditionalFormatting>
  <conditionalFormatting sqref="AQ9:AQ38">
    <cfRule type="colorScale" priority="159">
      <colorScale>
        <cfvo type="min"/>
        <cfvo type="percentile" val="50"/>
        <cfvo type="max"/>
        <color rgb="FFF8696B"/>
        <color rgb="FFFFEB84"/>
        <color rgb="FF63BE7B"/>
      </colorScale>
    </cfRule>
  </conditionalFormatting>
  <conditionalFormatting sqref="AQ9:AQ38">
    <cfRule type="colorScale" priority="158">
      <colorScale>
        <cfvo type="min"/>
        <cfvo type="percentile" val="50"/>
        <cfvo type="max"/>
        <color rgb="FFF8696B"/>
        <color rgb="FFFFEB84"/>
        <color rgb="FF63BE7B"/>
      </colorScale>
    </cfRule>
  </conditionalFormatting>
  <conditionalFormatting sqref="AV9:AV38">
    <cfRule type="colorScale" priority="157">
      <colorScale>
        <cfvo type="min"/>
        <cfvo type="percentile" val="50"/>
        <cfvo type="max"/>
        <color rgb="FFF8696B"/>
        <color rgb="FFFFEB84"/>
        <color rgb="FF63BE7B"/>
      </colorScale>
    </cfRule>
  </conditionalFormatting>
  <conditionalFormatting sqref="AV9:AV38">
    <cfRule type="colorScale" priority="156">
      <colorScale>
        <cfvo type="min"/>
        <cfvo type="percentile" val="50"/>
        <cfvo type="max"/>
        <color rgb="FFF8696B"/>
        <color rgb="FFFFEB84"/>
        <color rgb="FF63BE7B"/>
      </colorScale>
    </cfRule>
  </conditionalFormatting>
  <conditionalFormatting sqref="BA9:BA38">
    <cfRule type="colorScale" priority="155">
      <colorScale>
        <cfvo type="min"/>
        <cfvo type="percentile" val="50"/>
        <cfvo type="max"/>
        <color rgb="FFF8696B"/>
        <color rgb="FFFFEB84"/>
        <color rgb="FF63BE7B"/>
      </colorScale>
    </cfRule>
  </conditionalFormatting>
  <conditionalFormatting sqref="BA9:BA38">
    <cfRule type="colorScale" priority="154">
      <colorScale>
        <cfvo type="min"/>
        <cfvo type="percentile" val="50"/>
        <cfvo type="max"/>
        <color rgb="FFF8696B"/>
        <color rgb="FFFFEB84"/>
        <color rgb="FF63BE7B"/>
      </colorScale>
    </cfRule>
  </conditionalFormatting>
  <conditionalFormatting sqref="BF9:BF38">
    <cfRule type="colorScale" priority="153">
      <colorScale>
        <cfvo type="min"/>
        <cfvo type="percentile" val="50"/>
        <cfvo type="max"/>
        <color rgb="FFF8696B"/>
        <color rgb="FFFFEB84"/>
        <color rgb="FF63BE7B"/>
      </colorScale>
    </cfRule>
  </conditionalFormatting>
  <conditionalFormatting sqref="BF9:BF38">
    <cfRule type="colorScale" priority="152">
      <colorScale>
        <cfvo type="min"/>
        <cfvo type="percentile" val="50"/>
        <cfvo type="max"/>
        <color rgb="FFF8696B"/>
        <color rgb="FFFFEB84"/>
        <color rgb="FF63BE7B"/>
      </colorScale>
    </cfRule>
  </conditionalFormatting>
  <conditionalFormatting sqref="BK9:BK38">
    <cfRule type="colorScale" priority="151">
      <colorScale>
        <cfvo type="min"/>
        <cfvo type="percentile" val="50"/>
        <cfvo type="max"/>
        <color rgb="FFF8696B"/>
        <color rgb="FFFFEB84"/>
        <color rgb="FF63BE7B"/>
      </colorScale>
    </cfRule>
  </conditionalFormatting>
  <conditionalFormatting sqref="BK9:BK38">
    <cfRule type="colorScale" priority="150">
      <colorScale>
        <cfvo type="min"/>
        <cfvo type="percentile" val="50"/>
        <cfvo type="max"/>
        <color rgb="FFF8696B"/>
        <color rgb="FFFFEB84"/>
        <color rgb="FF63BE7B"/>
      </colorScale>
    </cfRule>
  </conditionalFormatting>
  <conditionalFormatting sqref="BP9:BP38">
    <cfRule type="colorScale" priority="149">
      <colorScale>
        <cfvo type="min"/>
        <cfvo type="percentile" val="50"/>
        <cfvo type="max"/>
        <color rgb="FFF8696B"/>
        <color rgb="FFFFEB84"/>
        <color rgb="FF63BE7B"/>
      </colorScale>
    </cfRule>
  </conditionalFormatting>
  <conditionalFormatting sqref="BP9:BP38">
    <cfRule type="colorScale" priority="148">
      <colorScale>
        <cfvo type="min"/>
        <cfvo type="percentile" val="50"/>
        <cfvo type="max"/>
        <color rgb="FFF8696B"/>
        <color rgb="FFFFEB84"/>
        <color rgb="FF63BE7B"/>
      </colorScale>
    </cfRule>
  </conditionalFormatting>
  <conditionalFormatting sqref="BU9:BU38">
    <cfRule type="colorScale" priority="147">
      <colorScale>
        <cfvo type="min"/>
        <cfvo type="percentile" val="50"/>
        <cfvo type="max"/>
        <color rgb="FFF8696B"/>
        <color rgb="FFFFEB84"/>
        <color rgb="FF63BE7B"/>
      </colorScale>
    </cfRule>
  </conditionalFormatting>
  <conditionalFormatting sqref="BU9:BU38">
    <cfRule type="colorScale" priority="146">
      <colorScale>
        <cfvo type="min"/>
        <cfvo type="percentile" val="50"/>
        <cfvo type="max"/>
        <color rgb="FFF8696B"/>
        <color rgb="FFFFEB84"/>
        <color rgb="FF63BE7B"/>
      </colorScale>
    </cfRule>
  </conditionalFormatting>
  <conditionalFormatting sqref="BZ9:BZ38">
    <cfRule type="colorScale" priority="145">
      <colorScale>
        <cfvo type="min"/>
        <cfvo type="percentile" val="50"/>
        <cfvo type="max"/>
        <color rgb="FFF8696B"/>
        <color rgb="FFFFEB84"/>
        <color rgb="FF63BE7B"/>
      </colorScale>
    </cfRule>
  </conditionalFormatting>
  <conditionalFormatting sqref="BZ9:BZ38">
    <cfRule type="colorScale" priority="144">
      <colorScale>
        <cfvo type="min"/>
        <cfvo type="percentile" val="50"/>
        <cfvo type="max"/>
        <color rgb="FFF8696B"/>
        <color rgb="FFFFEB84"/>
        <color rgb="FF63BE7B"/>
      </colorScale>
    </cfRule>
  </conditionalFormatting>
  <conditionalFormatting sqref="CE9:CE38">
    <cfRule type="colorScale" priority="143">
      <colorScale>
        <cfvo type="min"/>
        <cfvo type="percentile" val="50"/>
        <cfvo type="max"/>
        <color rgb="FFF8696B"/>
        <color rgb="FFFFEB84"/>
        <color rgb="FF63BE7B"/>
      </colorScale>
    </cfRule>
  </conditionalFormatting>
  <conditionalFormatting sqref="CE9:CE38">
    <cfRule type="colorScale" priority="142">
      <colorScale>
        <cfvo type="min"/>
        <cfvo type="percentile" val="50"/>
        <cfvo type="max"/>
        <color rgb="FFF8696B"/>
        <color rgb="FFFFEB84"/>
        <color rgb="FF63BE7B"/>
      </colorScale>
    </cfRule>
  </conditionalFormatting>
  <conditionalFormatting sqref="M9:M38">
    <cfRule type="colorScale" priority="141">
      <colorScale>
        <cfvo type="min"/>
        <cfvo type="percentile" val="50"/>
        <cfvo type="max"/>
        <color rgb="FFF8696B"/>
        <color rgb="FFFFEB84"/>
        <color rgb="FF63BE7B"/>
      </colorScale>
    </cfRule>
  </conditionalFormatting>
  <conditionalFormatting sqref="M9:M38">
    <cfRule type="colorScale" priority="140">
      <colorScale>
        <cfvo type="min"/>
        <cfvo type="percentile" val="50"/>
        <cfvo type="max"/>
        <color rgb="FFF8696B"/>
        <color rgb="FFFFEB84"/>
        <color rgb="FF63BE7B"/>
      </colorScale>
    </cfRule>
  </conditionalFormatting>
  <conditionalFormatting sqref="M9:M38">
    <cfRule type="colorScale" priority="139">
      <colorScale>
        <cfvo type="min"/>
        <cfvo type="percentile" val="50"/>
        <cfvo type="max"/>
        <color rgb="FFF8696B"/>
        <color rgb="FFFFEB84"/>
        <color rgb="FF63BE7B"/>
      </colorScale>
    </cfRule>
  </conditionalFormatting>
  <conditionalFormatting sqref="R9:R38">
    <cfRule type="colorScale" priority="138">
      <colorScale>
        <cfvo type="min"/>
        <cfvo type="percentile" val="50"/>
        <cfvo type="max"/>
        <color rgb="FFF8696B"/>
        <color rgb="FFFFEB84"/>
        <color rgb="FF63BE7B"/>
      </colorScale>
    </cfRule>
  </conditionalFormatting>
  <conditionalFormatting sqref="R9:R38">
    <cfRule type="colorScale" priority="137">
      <colorScale>
        <cfvo type="min"/>
        <cfvo type="percentile" val="50"/>
        <cfvo type="max"/>
        <color rgb="FFF8696B"/>
        <color rgb="FFFFEB84"/>
        <color rgb="FF63BE7B"/>
      </colorScale>
    </cfRule>
  </conditionalFormatting>
  <conditionalFormatting sqref="R9:R38">
    <cfRule type="colorScale" priority="136">
      <colorScale>
        <cfvo type="min"/>
        <cfvo type="percentile" val="50"/>
        <cfvo type="max"/>
        <color rgb="FFF8696B"/>
        <color rgb="FFFFEB84"/>
        <color rgb="FF63BE7B"/>
      </colorScale>
    </cfRule>
  </conditionalFormatting>
  <conditionalFormatting sqref="W9:W38">
    <cfRule type="colorScale" priority="135">
      <colorScale>
        <cfvo type="min"/>
        <cfvo type="percentile" val="50"/>
        <cfvo type="max"/>
        <color rgb="FFF8696B"/>
        <color rgb="FFFFEB84"/>
        <color rgb="FF63BE7B"/>
      </colorScale>
    </cfRule>
  </conditionalFormatting>
  <conditionalFormatting sqref="W9:W38">
    <cfRule type="colorScale" priority="134">
      <colorScale>
        <cfvo type="min"/>
        <cfvo type="percentile" val="50"/>
        <cfvo type="max"/>
        <color rgb="FFF8696B"/>
        <color rgb="FFFFEB84"/>
        <color rgb="FF63BE7B"/>
      </colorScale>
    </cfRule>
  </conditionalFormatting>
  <conditionalFormatting sqref="W9:W38">
    <cfRule type="colorScale" priority="133">
      <colorScale>
        <cfvo type="min"/>
        <cfvo type="percentile" val="50"/>
        <cfvo type="max"/>
        <color rgb="FFF8696B"/>
        <color rgb="FFFFEB84"/>
        <color rgb="FF63BE7B"/>
      </colorScale>
    </cfRule>
  </conditionalFormatting>
  <conditionalFormatting sqref="AB9:AB38">
    <cfRule type="colorScale" priority="132">
      <colorScale>
        <cfvo type="min"/>
        <cfvo type="percentile" val="50"/>
        <cfvo type="max"/>
        <color rgb="FFF8696B"/>
        <color rgb="FFFFEB84"/>
        <color rgb="FF63BE7B"/>
      </colorScale>
    </cfRule>
  </conditionalFormatting>
  <conditionalFormatting sqref="AB9:AB38">
    <cfRule type="colorScale" priority="131">
      <colorScale>
        <cfvo type="min"/>
        <cfvo type="percentile" val="50"/>
        <cfvo type="max"/>
        <color rgb="FFF8696B"/>
        <color rgb="FFFFEB84"/>
        <color rgb="FF63BE7B"/>
      </colorScale>
    </cfRule>
  </conditionalFormatting>
  <conditionalFormatting sqref="AB9:AB38">
    <cfRule type="colorScale" priority="130">
      <colorScale>
        <cfvo type="min"/>
        <cfvo type="percentile" val="50"/>
        <cfvo type="max"/>
        <color rgb="FFF8696B"/>
        <color rgb="FFFFEB84"/>
        <color rgb="FF63BE7B"/>
      </colorScale>
    </cfRule>
  </conditionalFormatting>
  <conditionalFormatting sqref="AG9:AG38">
    <cfRule type="colorScale" priority="129">
      <colorScale>
        <cfvo type="min"/>
        <cfvo type="percentile" val="50"/>
        <cfvo type="max"/>
        <color rgb="FFF8696B"/>
        <color rgb="FFFFEB84"/>
        <color rgb="FF63BE7B"/>
      </colorScale>
    </cfRule>
  </conditionalFormatting>
  <conditionalFormatting sqref="AG9:AG38">
    <cfRule type="colorScale" priority="128">
      <colorScale>
        <cfvo type="min"/>
        <cfvo type="percentile" val="50"/>
        <cfvo type="max"/>
        <color rgb="FFF8696B"/>
        <color rgb="FFFFEB84"/>
        <color rgb="FF63BE7B"/>
      </colorScale>
    </cfRule>
  </conditionalFormatting>
  <conditionalFormatting sqref="AG9:AG38">
    <cfRule type="colorScale" priority="127">
      <colorScale>
        <cfvo type="min"/>
        <cfvo type="percentile" val="50"/>
        <cfvo type="max"/>
        <color rgb="FFF8696B"/>
        <color rgb="FFFFEB84"/>
        <color rgb="FF63BE7B"/>
      </colorScale>
    </cfRule>
  </conditionalFormatting>
  <conditionalFormatting sqref="AL9:AL38">
    <cfRule type="colorScale" priority="126">
      <colorScale>
        <cfvo type="min"/>
        <cfvo type="percentile" val="50"/>
        <cfvo type="max"/>
        <color rgb="FFF8696B"/>
        <color rgb="FFFFEB84"/>
        <color rgb="FF63BE7B"/>
      </colorScale>
    </cfRule>
  </conditionalFormatting>
  <conditionalFormatting sqref="AL9:AL38">
    <cfRule type="colorScale" priority="125">
      <colorScale>
        <cfvo type="min"/>
        <cfvo type="percentile" val="50"/>
        <cfvo type="max"/>
        <color rgb="FFF8696B"/>
        <color rgb="FFFFEB84"/>
        <color rgb="FF63BE7B"/>
      </colorScale>
    </cfRule>
  </conditionalFormatting>
  <conditionalFormatting sqref="AL9:AL38">
    <cfRule type="colorScale" priority="124">
      <colorScale>
        <cfvo type="min"/>
        <cfvo type="percentile" val="50"/>
        <cfvo type="max"/>
        <color rgb="FFF8696B"/>
        <color rgb="FFFFEB84"/>
        <color rgb="FF63BE7B"/>
      </colorScale>
    </cfRule>
  </conditionalFormatting>
  <conditionalFormatting sqref="AQ9:AQ38">
    <cfRule type="colorScale" priority="123">
      <colorScale>
        <cfvo type="min"/>
        <cfvo type="percentile" val="50"/>
        <cfvo type="max"/>
        <color rgb="FFF8696B"/>
        <color rgb="FFFFEB84"/>
        <color rgb="FF63BE7B"/>
      </colorScale>
    </cfRule>
  </conditionalFormatting>
  <conditionalFormatting sqref="AQ9:AQ38">
    <cfRule type="colorScale" priority="122">
      <colorScale>
        <cfvo type="min"/>
        <cfvo type="percentile" val="50"/>
        <cfvo type="max"/>
        <color rgb="FFF8696B"/>
        <color rgb="FFFFEB84"/>
        <color rgb="FF63BE7B"/>
      </colorScale>
    </cfRule>
  </conditionalFormatting>
  <conditionalFormatting sqref="AQ9:AQ38">
    <cfRule type="colorScale" priority="121">
      <colorScale>
        <cfvo type="min"/>
        <cfvo type="percentile" val="50"/>
        <cfvo type="max"/>
        <color rgb="FFF8696B"/>
        <color rgb="FFFFEB84"/>
        <color rgb="FF63BE7B"/>
      </colorScale>
    </cfRule>
  </conditionalFormatting>
  <conditionalFormatting sqref="AV9:AV38">
    <cfRule type="colorScale" priority="120">
      <colorScale>
        <cfvo type="min"/>
        <cfvo type="percentile" val="50"/>
        <cfvo type="max"/>
        <color rgb="FFF8696B"/>
        <color rgb="FFFFEB84"/>
        <color rgb="FF63BE7B"/>
      </colorScale>
    </cfRule>
  </conditionalFormatting>
  <conditionalFormatting sqref="AV9:AV38">
    <cfRule type="colorScale" priority="119">
      <colorScale>
        <cfvo type="min"/>
        <cfvo type="percentile" val="50"/>
        <cfvo type="max"/>
        <color rgb="FFF8696B"/>
        <color rgb="FFFFEB84"/>
        <color rgb="FF63BE7B"/>
      </colorScale>
    </cfRule>
  </conditionalFormatting>
  <conditionalFormatting sqref="AV9:AV38">
    <cfRule type="colorScale" priority="118">
      <colorScale>
        <cfvo type="min"/>
        <cfvo type="percentile" val="50"/>
        <cfvo type="max"/>
        <color rgb="FFF8696B"/>
        <color rgb="FFFFEB84"/>
        <color rgb="FF63BE7B"/>
      </colorScale>
    </cfRule>
  </conditionalFormatting>
  <conditionalFormatting sqref="BA9:BA38">
    <cfRule type="colorScale" priority="117">
      <colorScale>
        <cfvo type="min"/>
        <cfvo type="percentile" val="50"/>
        <cfvo type="max"/>
        <color rgb="FFF8696B"/>
        <color rgb="FFFFEB84"/>
        <color rgb="FF63BE7B"/>
      </colorScale>
    </cfRule>
  </conditionalFormatting>
  <conditionalFormatting sqref="BA9:BA38">
    <cfRule type="colorScale" priority="116">
      <colorScale>
        <cfvo type="min"/>
        <cfvo type="percentile" val="50"/>
        <cfvo type="max"/>
        <color rgb="FFF8696B"/>
        <color rgb="FFFFEB84"/>
        <color rgb="FF63BE7B"/>
      </colorScale>
    </cfRule>
  </conditionalFormatting>
  <conditionalFormatting sqref="BA9:BA38">
    <cfRule type="colorScale" priority="115">
      <colorScale>
        <cfvo type="min"/>
        <cfvo type="percentile" val="50"/>
        <cfvo type="max"/>
        <color rgb="FFF8696B"/>
        <color rgb="FFFFEB84"/>
        <color rgb="FF63BE7B"/>
      </colorScale>
    </cfRule>
  </conditionalFormatting>
  <conditionalFormatting sqref="BF9:BF38">
    <cfRule type="colorScale" priority="114">
      <colorScale>
        <cfvo type="min"/>
        <cfvo type="percentile" val="50"/>
        <cfvo type="max"/>
        <color rgb="FFF8696B"/>
        <color rgb="FFFFEB84"/>
        <color rgb="FF63BE7B"/>
      </colorScale>
    </cfRule>
  </conditionalFormatting>
  <conditionalFormatting sqref="BF9:BF38">
    <cfRule type="colorScale" priority="113">
      <colorScale>
        <cfvo type="min"/>
        <cfvo type="percentile" val="50"/>
        <cfvo type="max"/>
        <color rgb="FFF8696B"/>
        <color rgb="FFFFEB84"/>
        <color rgb="FF63BE7B"/>
      </colorScale>
    </cfRule>
  </conditionalFormatting>
  <conditionalFormatting sqref="BF9:BF38">
    <cfRule type="colorScale" priority="112">
      <colorScale>
        <cfvo type="min"/>
        <cfvo type="percentile" val="50"/>
        <cfvo type="max"/>
        <color rgb="FFF8696B"/>
        <color rgb="FFFFEB84"/>
        <color rgb="FF63BE7B"/>
      </colorScale>
    </cfRule>
  </conditionalFormatting>
  <conditionalFormatting sqref="BK9:BK38">
    <cfRule type="colorScale" priority="111">
      <colorScale>
        <cfvo type="min"/>
        <cfvo type="percentile" val="50"/>
        <cfvo type="max"/>
        <color rgb="FFF8696B"/>
        <color rgb="FFFFEB84"/>
        <color rgb="FF63BE7B"/>
      </colorScale>
    </cfRule>
  </conditionalFormatting>
  <conditionalFormatting sqref="BK9:BK38">
    <cfRule type="colorScale" priority="110">
      <colorScale>
        <cfvo type="min"/>
        <cfvo type="percentile" val="50"/>
        <cfvo type="max"/>
        <color rgb="FFF8696B"/>
        <color rgb="FFFFEB84"/>
        <color rgb="FF63BE7B"/>
      </colorScale>
    </cfRule>
  </conditionalFormatting>
  <conditionalFormatting sqref="BK9:BK38">
    <cfRule type="colorScale" priority="109">
      <colorScale>
        <cfvo type="min"/>
        <cfvo type="percentile" val="50"/>
        <cfvo type="max"/>
        <color rgb="FFF8696B"/>
        <color rgb="FFFFEB84"/>
        <color rgb="FF63BE7B"/>
      </colorScale>
    </cfRule>
  </conditionalFormatting>
  <conditionalFormatting sqref="BP9:BP38">
    <cfRule type="colorScale" priority="108">
      <colorScale>
        <cfvo type="min"/>
        <cfvo type="percentile" val="50"/>
        <cfvo type="max"/>
        <color rgb="FFF8696B"/>
        <color rgb="FFFFEB84"/>
        <color rgb="FF63BE7B"/>
      </colorScale>
    </cfRule>
  </conditionalFormatting>
  <conditionalFormatting sqref="BP9:BP38">
    <cfRule type="colorScale" priority="107">
      <colorScale>
        <cfvo type="min"/>
        <cfvo type="percentile" val="50"/>
        <cfvo type="max"/>
        <color rgb="FFF8696B"/>
        <color rgb="FFFFEB84"/>
        <color rgb="FF63BE7B"/>
      </colorScale>
    </cfRule>
  </conditionalFormatting>
  <conditionalFormatting sqref="BP9:BP38">
    <cfRule type="colorScale" priority="106">
      <colorScale>
        <cfvo type="min"/>
        <cfvo type="percentile" val="50"/>
        <cfvo type="max"/>
        <color rgb="FFF8696B"/>
        <color rgb="FFFFEB84"/>
        <color rgb="FF63BE7B"/>
      </colorScale>
    </cfRule>
  </conditionalFormatting>
  <conditionalFormatting sqref="BU9:BU38">
    <cfRule type="colorScale" priority="105">
      <colorScale>
        <cfvo type="min"/>
        <cfvo type="percentile" val="50"/>
        <cfvo type="max"/>
        <color rgb="FFF8696B"/>
        <color rgb="FFFFEB84"/>
        <color rgb="FF63BE7B"/>
      </colorScale>
    </cfRule>
  </conditionalFormatting>
  <conditionalFormatting sqref="BU9:BU38">
    <cfRule type="colorScale" priority="104">
      <colorScale>
        <cfvo type="min"/>
        <cfvo type="percentile" val="50"/>
        <cfvo type="max"/>
        <color rgb="FFF8696B"/>
        <color rgb="FFFFEB84"/>
        <color rgb="FF63BE7B"/>
      </colorScale>
    </cfRule>
  </conditionalFormatting>
  <conditionalFormatting sqref="BU9:BU38">
    <cfRule type="colorScale" priority="103">
      <colorScale>
        <cfvo type="min"/>
        <cfvo type="percentile" val="50"/>
        <cfvo type="max"/>
        <color rgb="FFF8696B"/>
        <color rgb="FFFFEB84"/>
        <color rgb="FF63BE7B"/>
      </colorScale>
    </cfRule>
  </conditionalFormatting>
  <conditionalFormatting sqref="BZ9:BZ38">
    <cfRule type="colorScale" priority="102">
      <colorScale>
        <cfvo type="min"/>
        <cfvo type="percentile" val="50"/>
        <cfvo type="max"/>
        <color rgb="FFF8696B"/>
        <color rgb="FFFFEB84"/>
        <color rgb="FF63BE7B"/>
      </colorScale>
    </cfRule>
  </conditionalFormatting>
  <conditionalFormatting sqref="BZ9:BZ38">
    <cfRule type="colorScale" priority="101">
      <colorScale>
        <cfvo type="min"/>
        <cfvo type="percentile" val="50"/>
        <cfvo type="max"/>
        <color rgb="FFF8696B"/>
        <color rgb="FFFFEB84"/>
        <color rgb="FF63BE7B"/>
      </colorScale>
    </cfRule>
  </conditionalFormatting>
  <conditionalFormatting sqref="BZ9:BZ38">
    <cfRule type="colorScale" priority="100">
      <colorScale>
        <cfvo type="min"/>
        <cfvo type="percentile" val="50"/>
        <cfvo type="max"/>
        <color rgb="FFF8696B"/>
        <color rgb="FFFFEB84"/>
        <color rgb="FF63BE7B"/>
      </colorScale>
    </cfRule>
  </conditionalFormatting>
  <conditionalFormatting sqref="CE9:CE38">
    <cfRule type="colorScale" priority="99">
      <colorScale>
        <cfvo type="min"/>
        <cfvo type="percentile" val="50"/>
        <cfvo type="max"/>
        <color rgb="FFF8696B"/>
        <color rgb="FFFFEB84"/>
        <color rgb="FF63BE7B"/>
      </colorScale>
    </cfRule>
  </conditionalFormatting>
  <conditionalFormatting sqref="CE9:CE38">
    <cfRule type="colorScale" priority="98">
      <colorScale>
        <cfvo type="min"/>
        <cfvo type="percentile" val="50"/>
        <cfvo type="max"/>
        <color rgb="FFF8696B"/>
        <color rgb="FFFFEB84"/>
        <color rgb="FF63BE7B"/>
      </colorScale>
    </cfRule>
  </conditionalFormatting>
  <conditionalFormatting sqref="CE9:CE38">
    <cfRule type="colorScale" priority="97">
      <colorScale>
        <cfvo type="min"/>
        <cfvo type="percentile" val="50"/>
        <cfvo type="max"/>
        <color rgb="FFF8696B"/>
        <color rgb="FFFFEB84"/>
        <color rgb="FF63BE7B"/>
      </colorScale>
    </cfRule>
  </conditionalFormatting>
  <conditionalFormatting sqref="H9:H38">
    <cfRule type="colorScale" priority="96">
      <colorScale>
        <cfvo type="min"/>
        <cfvo type="percentile" val="50"/>
        <cfvo type="max"/>
        <color rgb="FFF8696B"/>
        <color rgb="FFFFEB84"/>
        <color rgb="FF63BE7B"/>
      </colorScale>
    </cfRule>
  </conditionalFormatting>
  <conditionalFormatting sqref="M9:M38">
    <cfRule type="colorScale" priority="95">
      <colorScale>
        <cfvo type="min"/>
        <cfvo type="percentile" val="50"/>
        <cfvo type="max"/>
        <color rgb="FFF8696B"/>
        <color rgb="FFFFEB84"/>
        <color rgb="FF63BE7B"/>
      </colorScale>
    </cfRule>
  </conditionalFormatting>
  <conditionalFormatting sqref="R9:R38">
    <cfRule type="colorScale" priority="94">
      <colorScale>
        <cfvo type="min"/>
        <cfvo type="percentile" val="50"/>
        <cfvo type="max"/>
        <color rgb="FFF8696B"/>
        <color rgb="FFFFEB84"/>
        <color rgb="FF63BE7B"/>
      </colorScale>
    </cfRule>
  </conditionalFormatting>
  <conditionalFormatting sqref="W9:W38">
    <cfRule type="colorScale" priority="93">
      <colorScale>
        <cfvo type="min"/>
        <cfvo type="percentile" val="50"/>
        <cfvo type="max"/>
        <color rgb="FFF8696B"/>
        <color rgb="FFFFEB84"/>
        <color rgb="FF63BE7B"/>
      </colorScale>
    </cfRule>
  </conditionalFormatting>
  <conditionalFormatting sqref="AB9:AB38">
    <cfRule type="colorScale" priority="92">
      <colorScale>
        <cfvo type="min"/>
        <cfvo type="percentile" val="50"/>
        <cfvo type="max"/>
        <color rgb="FFF8696B"/>
        <color rgb="FFFFEB84"/>
        <color rgb="FF63BE7B"/>
      </colorScale>
    </cfRule>
  </conditionalFormatting>
  <conditionalFormatting sqref="AG9:AG38">
    <cfRule type="colorScale" priority="91">
      <colorScale>
        <cfvo type="min"/>
        <cfvo type="percentile" val="50"/>
        <cfvo type="max"/>
        <color rgb="FFF8696B"/>
        <color rgb="FFFFEB84"/>
        <color rgb="FF63BE7B"/>
      </colorScale>
    </cfRule>
  </conditionalFormatting>
  <conditionalFormatting sqref="AL9:AL38">
    <cfRule type="colorScale" priority="90">
      <colorScale>
        <cfvo type="min"/>
        <cfvo type="percentile" val="50"/>
        <cfvo type="max"/>
        <color rgb="FFF8696B"/>
        <color rgb="FFFFEB84"/>
        <color rgb="FF63BE7B"/>
      </colorScale>
    </cfRule>
  </conditionalFormatting>
  <conditionalFormatting sqref="AQ9:AQ38">
    <cfRule type="colorScale" priority="89">
      <colorScale>
        <cfvo type="min"/>
        <cfvo type="percentile" val="50"/>
        <cfvo type="max"/>
        <color rgb="FFF8696B"/>
        <color rgb="FFFFEB84"/>
        <color rgb="FF63BE7B"/>
      </colorScale>
    </cfRule>
  </conditionalFormatting>
  <conditionalFormatting sqref="AV9:AV38">
    <cfRule type="colorScale" priority="88">
      <colorScale>
        <cfvo type="min"/>
        <cfvo type="percentile" val="50"/>
        <cfvo type="max"/>
        <color rgb="FFF8696B"/>
        <color rgb="FFFFEB84"/>
        <color rgb="FF63BE7B"/>
      </colorScale>
    </cfRule>
  </conditionalFormatting>
  <conditionalFormatting sqref="BA9:BA38">
    <cfRule type="colorScale" priority="87">
      <colorScale>
        <cfvo type="min"/>
        <cfvo type="percentile" val="50"/>
        <cfvo type="max"/>
        <color rgb="FFF8696B"/>
        <color rgb="FFFFEB84"/>
        <color rgb="FF63BE7B"/>
      </colorScale>
    </cfRule>
  </conditionalFormatting>
  <conditionalFormatting sqref="BF9:BF38">
    <cfRule type="colorScale" priority="86">
      <colorScale>
        <cfvo type="min"/>
        <cfvo type="percentile" val="50"/>
        <cfvo type="max"/>
        <color rgb="FFF8696B"/>
        <color rgb="FFFFEB84"/>
        <color rgb="FF63BE7B"/>
      </colorScale>
    </cfRule>
  </conditionalFormatting>
  <conditionalFormatting sqref="BK9:BK38">
    <cfRule type="colorScale" priority="85">
      <colorScale>
        <cfvo type="min"/>
        <cfvo type="percentile" val="50"/>
        <cfvo type="max"/>
        <color rgb="FFF8696B"/>
        <color rgb="FFFFEB84"/>
        <color rgb="FF63BE7B"/>
      </colorScale>
    </cfRule>
  </conditionalFormatting>
  <conditionalFormatting sqref="BP9:BP38">
    <cfRule type="colorScale" priority="84">
      <colorScale>
        <cfvo type="min"/>
        <cfvo type="percentile" val="50"/>
        <cfvo type="max"/>
        <color rgb="FFF8696B"/>
        <color rgb="FFFFEB84"/>
        <color rgb="FF63BE7B"/>
      </colorScale>
    </cfRule>
  </conditionalFormatting>
  <conditionalFormatting sqref="BU9:BU38">
    <cfRule type="colorScale" priority="83">
      <colorScale>
        <cfvo type="min"/>
        <cfvo type="percentile" val="50"/>
        <cfvo type="max"/>
        <color rgb="FFF8696B"/>
        <color rgb="FFFFEB84"/>
        <color rgb="FF63BE7B"/>
      </colorScale>
    </cfRule>
  </conditionalFormatting>
  <conditionalFormatting sqref="BZ9:BZ38">
    <cfRule type="colorScale" priority="82">
      <colorScale>
        <cfvo type="min"/>
        <cfvo type="percentile" val="50"/>
        <cfvo type="max"/>
        <color rgb="FFF8696B"/>
        <color rgb="FFFFEB84"/>
        <color rgb="FF63BE7B"/>
      </colorScale>
    </cfRule>
  </conditionalFormatting>
  <conditionalFormatting sqref="CE9:CE38">
    <cfRule type="colorScale" priority="81">
      <colorScale>
        <cfvo type="min"/>
        <cfvo type="percentile" val="50"/>
        <cfvo type="max"/>
        <color rgb="FFF8696B"/>
        <color rgb="FFFFEB84"/>
        <color rgb="FF63BE7B"/>
      </colorScale>
    </cfRule>
  </conditionalFormatting>
  <conditionalFormatting sqref="M9:M38">
    <cfRule type="colorScale" priority="80">
      <colorScale>
        <cfvo type="min"/>
        <cfvo type="percentile" val="50"/>
        <cfvo type="max"/>
        <color rgb="FFF8696B"/>
        <color rgb="FFFFEB84"/>
        <color rgb="FF63BE7B"/>
      </colorScale>
    </cfRule>
  </conditionalFormatting>
  <conditionalFormatting sqref="R9:R38">
    <cfRule type="colorScale" priority="79">
      <colorScale>
        <cfvo type="min"/>
        <cfvo type="percentile" val="50"/>
        <cfvo type="max"/>
        <color rgb="FFF8696B"/>
        <color rgb="FFFFEB84"/>
        <color rgb="FF63BE7B"/>
      </colorScale>
    </cfRule>
  </conditionalFormatting>
  <conditionalFormatting sqref="W9:W30">
    <cfRule type="colorScale" priority="78">
      <colorScale>
        <cfvo type="min"/>
        <cfvo type="percentile" val="50"/>
        <cfvo type="max"/>
        <color rgb="FFF8696B"/>
        <color rgb="FFFFEB84"/>
        <color rgb="FF63BE7B"/>
      </colorScale>
    </cfRule>
  </conditionalFormatting>
  <conditionalFormatting sqref="W9:W30">
    <cfRule type="colorScale" priority="77">
      <colorScale>
        <cfvo type="min"/>
        <cfvo type="percentile" val="50"/>
        <cfvo type="max"/>
        <color rgb="FFF8696B"/>
        <color rgb="FFFFEB84"/>
        <color rgb="FF63BE7B"/>
      </colorScale>
    </cfRule>
  </conditionalFormatting>
  <conditionalFormatting sqref="R9:R38">
    <cfRule type="colorScale" priority="76">
      <colorScale>
        <cfvo type="min"/>
        <cfvo type="percentile" val="50"/>
        <cfvo type="max"/>
        <color rgb="FFF8696B"/>
        <color rgb="FFFFEB84"/>
        <color rgb="FF63BE7B"/>
      </colorScale>
    </cfRule>
  </conditionalFormatting>
  <conditionalFormatting sqref="H9:H38">
    <cfRule type="colorScale" priority="75">
      <colorScale>
        <cfvo type="min"/>
        <cfvo type="percentile" val="50"/>
        <cfvo type="max"/>
        <color rgb="FFF8696B"/>
        <color rgb="FFFFEB84"/>
        <color rgb="FF63BE7B"/>
      </colorScale>
    </cfRule>
  </conditionalFormatting>
  <conditionalFormatting sqref="H9:H38">
    <cfRule type="colorScale" priority="74">
      <colorScale>
        <cfvo type="min"/>
        <cfvo type="percentile" val="50"/>
        <cfvo type="max"/>
        <color rgb="FFF8696B"/>
        <color rgb="FFFFEB84"/>
        <color rgb="FF63BE7B"/>
      </colorScale>
    </cfRule>
  </conditionalFormatting>
  <conditionalFormatting sqref="R9:R38">
    <cfRule type="colorScale" priority="73">
      <colorScale>
        <cfvo type="min"/>
        <cfvo type="percentile" val="50"/>
        <cfvo type="max"/>
        <color rgb="FFF8696B"/>
        <color rgb="FFFFEB84"/>
        <color rgb="FF63BE7B"/>
      </colorScale>
    </cfRule>
  </conditionalFormatting>
  <conditionalFormatting sqref="R9:R38">
    <cfRule type="colorScale" priority="72">
      <colorScale>
        <cfvo type="min"/>
        <cfvo type="percentile" val="50"/>
        <cfvo type="max"/>
        <color rgb="FFF8696B"/>
        <color rgb="FFFFEB84"/>
        <color rgb="FF63BE7B"/>
      </colorScale>
    </cfRule>
  </conditionalFormatting>
  <conditionalFormatting sqref="W9:W38">
    <cfRule type="colorScale" priority="71">
      <colorScale>
        <cfvo type="min"/>
        <cfvo type="percentile" val="50"/>
        <cfvo type="max"/>
        <color rgb="FFF8696B"/>
        <color rgb="FFFFEB84"/>
        <color rgb="FF63BE7B"/>
      </colorScale>
    </cfRule>
  </conditionalFormatting>
  <conditionalFormatting sqref="W9:W38">
    <cfRule type="colorScale" priority="70">
      <colorScale>
        <cfvo type="min"/>
        <cfvo type="percentile" val="50"/>
        <cfvo type="max"/>
        <color rgb="FFF8696B"/>
        <color rgb="FFFFEB84"/>
        <color rgb="FF63BE7B"/>
      </colorScale>
    </cfRule>
  </conditionalFormatting>
  <conditionalFormatting sqref="AB9:AB38">
    <cfRule type="colorScale" priority="69">
      <colorScale>
        <cfvo type="min"/>
        <cfvo type="percentile" val="50"/>
        <cfvo type="max"/>
        <color rgb="FFF8696B"/>
        <color rgb="FFFFEB84"/>
        <color rgb="FF63BE7B"/>
      </colorScale>
    </cfRule>
  </conditionalFormatting>
  <conditionalFormatting sqref="AB9:AB38">
    <cfRule type="colorScale" priority="68">
      <colorScale>
        <cfvo type="min"/>
        <cfvo type="percentile" val="50"/>
        <cfvo type="max"/>
        <color rgb="FFF8696B"/>
        <color rgb="FFFFEB84"/>
        <color rgb="FF63BE7B"/>
      </colorScale>
    </cfRule>
  </conditionalFormatting>
  <conditionalFormatting sqref="AG9:AG38">
    <cfRule type="colorScale" priority="67">
      <colorScale>
        <cfvo type="min"/>
        <cfvo type="percentile" val="50"/>
        <cfvo type="max"/>
        <color rgb="FFF8696B"/>
        <color rgb="FFFFEB84"/>
        <color rgb="FF63BE7B"/>
      </colorScale>
    </cfRule>
  </conditionalFormatting>
  <conditionalFormatting sqref="AG9:AG38">
    <cfRule type="colorScale" priority="66">
      <colorScale>
        <cfvo type="min"/>
        <cfvo type="percentile" val="50"/>
        <cfvo type="max"/>
        <color rgb="FFF8696B"/>
        <color rgb="FFFFEB84"/>
        <color rgb="FF63BE7B"/>
      </colorScale>
    </cfRule>
  </conditionalFormatting>
  <conditionalFormatting sqref="AL9:AL38">
    <cfRule type="colorScale" priority="65">
      <colorScale>
        <cfvo type="min"/>
        <cfvo type="percentile" val="50"/>
        <cfvo type="max"/>
        <color rgb="FFF8696B"/>
        <color rgb="FFFFEB84"/>
        <color rgb="FF63BE7B"/>
      </colorScale>
    </cfRule>
  </conditionalFormatting>
  <conditionalFormatting sqref="AL9:AL38">
    <cfRule type="colorScale" priority="64">
      <colorScale>
        <cfvo type="min"/>
        <cfvo type="percentile" val="50"/>
        <cfvo type="max"/>
        <color rgb="FFF8696B"/>
        <color rgb="FFFFEB84"/>
        <color rgb="FF63BE7B"/>
      </colorScale>
    </cfRule>
  </conditionalFormatting>
  <conditionalFormatting sqref="AQ9:AQ38">
    <cfRule type="colorScale" priority="63">
      <colorScale>
        <cfvo type="min"/>
        <cfvo type="percentile" val="50"/>
        <cfvo type="max"/>
        <color rgb="FFF8696B"/>
        <color rgb="FFFFEB84"/>
        <color rgb="FF63BE7B"/>
      </colorScale>
    </cfRule>
  </conditionalFormatting>
  <conditionalFormatting sqref="AQ9:AQ38">
    <cfRule type="colorScale" priority="62">
      <colorScale>
        <cfvo type="min"/>
        <cfvo type="percentile" val="50"/>
        <cfvo type="max"/>
        <color rgb="FFF8696B"/>
        <color rgb="FFFFEB84"/>
        <color rgb="FF63BE7B"/>
      </colorScale>
    </cfRule>
  </conditionalFormatting>
  <conditionalFormatting sqref="AV9:AV38">
    <cfRule type="colorScale" priority="61">
      <colorScale>
        <cfvo type="min"/>
        <cfvo type="percentile" val="50"/>
        <cfvo type="max"/>
        <color rgb="FFF8696B"/>
        <color rgb="FFFFEB84"/>
        <color rgb="FF63BE7B"/>
      </colorScale>
    </cfRule>
  </conditionalFormatting>
  <conditionalFormatting sqref="AV9:AV38">
    <cfRule type="colorScale" priority="60">
      <colorScale>
        <cfvo type="min"/>
        <cfvo type="percentile" val="50"/>
        <cfvo type="max"/>
        <color rgb="FFF8696B"/>
        <color rgb="FFFFEB84"/>
        <color rgb="FF63BE7B"/>
      </colorScale>
    </cfRule>
  </conditionalFormatting>
  <conditionalFormatting sqref="BA9:BA38">
    <cfRule type="colorScale" priority="59">
      <colorScale>
        <cfvo type="min"/>
        <cfvo type="percentile" val="50"/>
        <cfvo type="max"/>
        <color rgb="FFF8696B"/>
        <color rgb="FFFFEB84"/>
        <color rgb="FF63BE7B"/>
      </colorScale>
    </cfRule>
  </conditionalFormatting>
  <conditionalFormatting sqref="BA9:BA38">
    <cfRule type="colorScale" priority="58">
      <colorScale>
        <cfvo type="min"/>
        <cfvo type="percentile" val="50"/>
        <cfvo type="max"/>
        <color rgb="FFF8696B"/>
        <color rgb="FFFFEB84"/>
        <color rgb="FF63BE7B"/>
      </colorScale>
    </cfRule>
  </conditionalFormatting>
  <conditionalFormatting sqref="BF9:BF38">
    <cfRule type="colorScale" priority="57">
      <colorScale>
        <cfvo type="min"/>
        <cfvo type="percentile" val="50"/>
        <cfvo type="max"/>
        <color rgb="FFF8696B"/>
        <color rgb="FFFFEB84"/>
        <color rgb="FF63BE7B"/>
      </colorScale>
    </cfRule>
  </conditionalFormatting>
  <conditionalFormatting sqref="BF9:BF38">
    <cfRule type="colorScale" priority="56">
      <colorScale>
        <cfvo type="min"/>
        <cfvo type="percentile" val="50"/>
        <cfvo type="max"/>
        <color rgb="FFF8696B"/>
        <color rgb="FFFFEB84"/>
        <color rgb="FF63BE7B"/>
      </colorScale>
    </cfRule>
  </conditionalFormatting>
  <conditionalFormatting sqref="BK9:BK38">
    <cfRule type="colorScale" priority="55">
      <colorScale>
        <cfvo type="min"/>
        <cfvo type="percentile" val="50"/>
        <cfvo type="max"/>
        <color rgb="FFF8696B"/>
        <color rgb="FFFFEB84"/>
        <color rgb="FF63BE7B"/>
      </colorScale>
    </cfRule>
  </conditionalFormatting>
  <conditionalFormatting sqref="BK9:BK38">
    <cfRule type="colorScale" priority="54">
      <colorScale>
        <cfvo type="min"/>
        <cfvo type="percentile" val="50"/>
        <cfvo type="max"/>
        <color rgb="FFF8696B"/>
        <color rgb="FFFFEB84"/>
        <color rgb="FF63BE7B"/>
      </colorScale>
    </cfRule>
  </conditionalFormatting>
  <conditionalFormatting sqref="BP9:BP38">
    <cfRule type="colorScale" priority="53">
      <colorScale>
        <cfvo type="min"/>
        <cfvo type="percentile" val="50"/>
        <cfvo type="max"/>
        <color rgb="FFF8696B"/>
        <color rgb="FFFFEB84"/>
        <color rgb="FF63BE7B"/>
      </colorScale>
    </cfRule>
  </conditionalFormatting>
  <conditionalFormatting sqref="BP9:BP38">
    <cfRule type="colorScale" priority="52">
      <colorScale>
        <cfvo type="min"/>
        <cfvo type="percentile" val="50"/>
        <cfvo type="max"/>
        <color rgb="FFF8696B"/>
        <color rgb="FFFFEB84"/>
        <color rgb="FF63BE7B"/>
      </colorScale>
    </cfRule>
  </conditionalFormatting>
  <conditionalFormatting sqref="BU9:BU38">
    <cfRule type="colorScale" priority="51">
      <colorScale>
        <cfvo type="min"/>
        <cfvo type="percentile" val="50"/>
        <cfvo type="max"/>
        <color rgb="FFF8696B"/>
        <color rgb="FFFFEB84"/>
        <color rgb="FF63BE7B"/>
      </colorScale>
    </cfRule>
  </conditionalFormatting>
  <conditionalFormatting sqref="BU9:BU38">
    <cfRule type="colorScale" priority="50">
      <colorScale>
        <cfvo type="min"/>
        <cfvo type="percentile" val="50"/>
        <cfvo type="max"/>
        <color rgb="FFF8696B"/>
        <color rgb="FFFFEB84"/>
        <color rgb="FF63BE7B"/>
      </colorScale>
    </cfRule>
  </conditionalFormatting>
  <conditionalFormatting sqref="BZ9:BZ38">
    <cfRule type="colorScale" priority="49">
      <colorScale>
        <cfvo type="min"/>
        <cfvo type="percentile" val="50"/>
        <cfvo type="max"/>
        <color rgb="FFF8696B"/>
        <color rgb="FFFFEB84"/>
        <color rgb="FF63BE7B"/>
      </colorScale>
    </cfRule>
  </conditionalFormatting>
  <conditionalFormatting sqref="BZ9:BZ38">
    <cfRule type="colorScale" priority="48">
      <colorScale>
        <cfvo type="min"/>
        <cfvo type="percentile" val="50"/>
        <cfvo type="max"/>
        <color rgb="FFF8696B"/>
        <color rgb="FFFFEB84"/>
        <color rgb="FF63BE7B"/>
      </colorScale>
    </cfRule>
  </conditionalFormatting>
  <conditionalFormatting sqref="CE9:CE38">
    <cfRule type="colorScale" priority="47">
      <colorScale>
        <cfvo type="min"/>
        <cfvo type="percentile" val="50"/>
        <cfvo type="max"/>
        <color rgb="FFF8696B"/>
        <color rgb="FFFFEB84"/>
        <color rgb="FF63BE7B"/>
      </colorScale>
    </cfRule>
  </conditionalFormatting>
  <conditionalFormatting sqref="CE9:CE38">
    <cfRule type="colorScale" priority="46">
      <colorScale>
        <cfvo type="min"/>
        <cfvo type="percentile" val="50"/>
        <cfvo type="max"/>
        <color rgb="FFF8696B"/>
        <color rgb="FFFFEB84"/>
        <color rgb="FF63BE7B"/>
      </colorScale>
    </cfRule>
  </conditionalFormatting>
  <conditionalFormatting sqref="M9:M38">
    <cfRule type="colorScale" priority="45">
      <colorScale>
        <cfvo type="min"/>
        <cfvo type="percentile" val="50"/>
        <cfvo type="max"/>
        <color rgb="FFF8696B"/>
        <color rgb="FFFFEB84"/>
        <color rgb="FF63BE7B"/>
      </colorScale>
    </cfRule>
  </conditionalFormatting>
  <conditionalFormatting sqref="M9:M38">
    <cfRule type="colorScale" priority="44">
      <colorScale>
        <cfvo type="min"/>
        <cfvo type="percentile" val="50"/>
        <cfvo type="max"/>
        <color rgb="FFF8696B"/>
        <color rgb="FFFFEB84"/>
        <color rgb="FF63BE7B"/>
      </colorScale>
    </cfRule>
  </conditionalFormatting>
  <conditionalFormatting sqref="M9:M38">
    <cfRule type="colorScale" priority="43">
      <colorScale>
        <cfvo type="min"/>
        <cfvo type="percentile" val="50"/>
        <cfvo type="max"/>
        <color rgb="FFF8696B"/>
        <color rgb="FFFFEB84"/>
        <color rgb="FF63BE7B"/>
      </colorScale>
    </cfRule>
  </conditionalFormatting>
  <conditionalFormatting sqref="R9:R38">
    <cfRule type="colorScale" priority="42">
      <colorScale>
        <cfvo type="min"/>
        <cfvo type="percentile" val="50"/>
        <cfvo type="max"/>
        <color rgb="FFF8696B"/>
        <color rgb="FFFFEB84"/>
        <color rgb="FF63BE7B"/>
      </colorScale>
    </cfRule>
  </conditionalFormatting>
  <conditionalFormatting sqref="R9:R38">
    <cfRule type="colorScale" priority="41">
      <colorScale>
        <cfvo type="min"/>
        <cfvo type="percentile" val="50"/>
        <cfvo type="max"/>
        <color rgb="FFF8696B"/>
        <color rgb="FFFFEB84"/>
        <color rgb="FF63BE7B"/>
      </colorScale>
    </cfRule>
  </conditionalFormatting>
  <conditionalFormatting sqref="R9:R38">
    <cfRule type="colorScale" priority="40">
      <colorScale>
        <cfvo type="min"/>
        <cfvo type="percentile" val="50"/>
        <cfvo type="max"/>
        <color rgb="FFF8696B"/>
        <color rgb="FFFFEB84"/>
        <color rgb="FF63BE7B"/>
      </colorScale>
    </cfRule>
  </conditionalFormatting>
  <conditionalFormatting sqref="W9:W38">
    <cfRule type="colorScale" priority="39">
      <colorScale>
        <cfvo type="min"/>
        <cfvo type="percentile" val="50"/>
        <cfvo type="max"/>
        <color rgb="FFF8696B"/>
        <color rgb="FFFFEB84"/>
        <color rgb="FF63BE7B"/>
      </colorScale>
    </cfRule>
  </conditionalFormatting>
  <conditionalFormatting sqref="W9:W38">
    <cfRule type="colorScale" priority="38">
      <colorScale>
        <cfvo type="min"/>
        <cfvo type="percentile" val="50"/>
        <cfvo type="max"/>
        <color rgb="FFF8696B"/>
        <color rgb="FFFFEB84"/>
        <color rgb="FF63BE7B"/>
      </colorScale>
    </cfRule>
  </conditionalFormatting>
  <conditionalFormatting sqref="W9:W38">
    <cfRule type="colorScale" priority="37">
      <colorScale>
        <cfvo type="min"/>
        <cfvo type="percentile" val="50"/>
        <cfvo type="max"/>
        <color rgb="FFF8696B"/>
        <color rgb="FFFFEB84"/>
        <color rgb="FF63BE7B"/>
      </colorScale>
    </cfRule>
  </conditionalFormatting>
  <conditionalFormatting sqref="AB9:AB38">
    <cfRule type="colorScale" priority="36">
      <colorScale>
        <cfvo type="min"/>
        <cfvo type="percentile" val="50"/>
        <cfvo type="max"/>
        <color rgb="FFF8696B"/>
        <color rgb="FFFFEB84"/>
        <color rgb="FF63BE7B"/>
      </colorScale>
    </cfRule>
  </conditionalFormatting>
  <conditionalFormatting sqref="AB9:AB38">
    <cfRule type="colorScale" priority="35">
      <colorScale>
        <cfvo type="min"/>
        <cfvo type="percentile" val="50"/>
        <cfvo type="max"/>
        <color rgb="FFF8696B"/>
        <color rgb="FFFFEB84"/>
        <color rgb="FF63BE7B"/>
      </colorScale>
    </cfRule>
  </conditionalFormatting>
  <conditionalFormatting sqref="AB9:AB38">
    <cfRule type="colorScale" priority="34">
      <colorScale>
        <cfvo type="min"/>
        <cfvo type="percentile" val="50"/>
        <cfvo type="max"/>
        <color rgb="FFF8696B"/>
        <color rgb="FFFFEB84"/>
        <color rgb="FF63BE7B"/>
      </colorScale>
    </cfRule>
  </conditionalFormatting>
  <conditionalFormatting sqref="AG9:AG38">
    <cfRule type="colorScale" priority="33">
      <colorScale>
        <cfvo type="min"/>
        <cfvo type="percentile" val="50"/>
        <cfvo type="max"/>
        <color rgb="FFF8696B"/>
        <color rgb="FFFFEB84"/>
        <color rgb="FF63BE7B"/>
      </colorScale>
    </cfRule>
  </conditionalFormatting>
  <conditionalFormatting sqref="AG9:AG38">
    <cfRule type="colorScale" priority="32">
      <colorScale>
        <cfvo type="min"/>
        <cfvo type="percentile" val="50"/>
        <cfvo type="max"/>
        <color rgb="FFF8696B"/>
        <color rgb="FFFFEB84"/>
        <color rgb="FF63BE7B"/>
      </colorScale>
    </cfRule>
  </conditionalFormatting>
  <conditionalFormatting sqref="AG9:AG38">
    <cfRule type="colorScale" priority="31">
      <colorScale>
        <cfvo type="min"/>
        <cfvo type="percentile" val="50"/>
        <cfvo type="max"/>
        <color rgb="FFF8696B"/>
        <color rgb="FFFFEB84"/>
        <color rgb="FF63BE7B"/>
      </colorScale>
    </cfRule>
  </conditionalFormatting>
  <conditionalFormatting sqref="AL9:AL38">
    <cfRule type="colorScale" priority="30">
      <colorScale>
        <cfvo type="min"/>
        <cfvo type="percentile" val="50"/>
        <cfvo type="max"/>
        <color rgb="FFF8696B"/>
        <color rgb="FFFFEB84"/>
        <color rgb="FF63BE7B"/>
      </colorScale>
    </cfRule>
  </conditionalFormatting>
  <conditionalFormatting sqref="AL9:AL38">
    <cfRule type="colorScale" priority="29">
      <colorScale>
        <cfvo type="min"/>
        <cfvo type="percentile" val="50"/>
        <cfvo type="max"/>
        <color rgb="FFF8696B"/>
        <color rgb="FFFFEB84"/>
        <color rgb="FF63BE7B"/>
      </colorScale>
    </cfRule>
  </conditionalFormatting>
  <conditionalFormatting sqref="AL9:AL38">
    <cfRule type="colorScale" priority="28">
      <colorScale>
        <cfvo type="min"/>
        <cfvo type="percentile" val="50"/>
        <cfvo type="max"/>
        <color rgb="FFF8696B"/>
        <color rgb="FFFFEB84"/>
        <color rgb="FF63BE7B"/>
      </colorScale>
    </cfRule>
  </conditionalFormatting>
  <conditionalFormatting sqref="AQ9:AQ38">
    <cfRule type="colorScale" priority="27">
      <colorScale>
        <cfvo type="min"/>
        <cfvo type="percentile" val="50"/>
        <cfvo type="max"/>
        <color rgb="FFF8696B"/>
        <color rgb="FFFFEB84"/>
        <color rgb="FF63BE7B"/>
      </colorScale>
    </cfRule>
  </conditionalFormatting>
  <conditionalFormatting sqref="AQ9:AQ38">
    <cfRule type="colorScale" priority="26">
      <colorScale>
        <cfvo type="min"/>
        <cfvo type="percentile" val="50"/>
        <cfvo type="max"/>
        <color rgb="FFF8696B"/>
        <color rgb="FFFFEB84"/>
        <color rgb="FF63BE7B"/>
      </colorScale>
    </cfRule>
  </conditionalFormatting>
  <conditionalFormatting sqref="AQ9:AQ38">
    <cfRule type="colorScale" priority="25">
      <colorScale>
        <cfvo type="min"/>
        <cfvo type="percentile" val="50"/>
        <cfvo type="max"/>
        <color rgb="FFF8696B"/>
        <color rgb="FFFFEB84"/>
        <color rgb="FF63BE7B"/>
      </colorScale>
    </cfRule>
  </conditionalFormatting>
  <conditionalFormatting sqref="AV9:AV38">
    <cfRule type="colorScale" priority="24">
      <colorScale>
        <cfvo type="min"/>
        <cfvo type="percentile" val="50"/>
        <cfvo type="max"/>
        <color rgb="FFF8696B"/>
        <color rgb="FFFFEB84"/>
        <color rgb="FF63BE7B"/>
      </colorScale>
    </cfRule>
  </conditionalFormatting>
  <conditionalFormatting sqref="AV9:AV38">
    <cfRule type="colorScale" priority="23">
      <colorScale>
        <cfvo type="min"/>
        <cfvo type="percentile" val="50"/>
        <cfvo type="max"/>
        <color rgb="FFF8696B"/>
        <color rgb="FFFFEB84"/>
        <color rgb="FF63BE7B"/>
      </colorScale>
    </cfRule>
  </conditionalFormatting>
  <conditionalFormatting sqref="AV9:AV38">
    <cfRule type="colorScale" priority="22">
      <colorScale>
        <cfvo type="min"/>
        <cfvo type="percentile" val="50"/>
        <cfvo type="max"/>
        <color rgb="FFF8696B"/>
        <color rgb="FFFFEB84"/>
        <color rgb="FF63BE7B"/>
      </colorScale>
    </cfRule>
  </conditionalFormatting>
  <conditionalFormatting sqref="BA9:BA38">
    <cfRule type="colorScale" priority="21">
      <colorScale>
        <cfvo type="min"/>
        <cfvo type="percentile" val="50"/>
        <cfvo type="max"/>
        <color rgb="FFF8696B"/>
        <color rgb="FFFFEB84"/>
        <color rgb="FF63BE7B"/>
      </colorScale>
    </cfRule>
  </conditionalFormatting>
  <conditionalFormatting sqref="BA9:BA38">
    <cfRule type="colorScale" priority="20">
      <colorScale>
        <cfvo type="min"/>
        <cfvo type="percentile" val="50"/>
        <cfvo type="max"/>
        <color rgb="FFF8696B"/>
        <color rgb="FFFFEB84"/>
        <color rgb="FF63BE7B"/>
      </colorScale>
    </cfRule>
  </conditionalFormatting>
  <conditionalFormatting sqref="BA9:BA38">
    <cfRule type="colorScale" priority="19">
      <colorScale>
        <cfvo type="min"/>
        <cfvo type="percentile" val="50"/>
        <cfvo type="max"/>
        <color rgb="FFF8696B"/>
        <color rgb="FFFFEB84"/>
        <color rgb="FF63BE7B"/>
      </colorScale>
    </cfRule>
  </conditionalFormatting>
  <conditionalFormatting sqref="BF9:BF38">
    <cfRule type="colorScale" priority="18">
      <colorScale>
        <cfvo type="min"/>
        <cfvo type="percentile" val="50"/>
        <cfvo type="max"/>
        <color rgb="FFF8696B"/>
        <color rgb="FFFFEB84"/>
        <color rgb="FF63BE7B"/>
      </colorScale>
    </cfRule>
  </conditionalFormatting>
  <conditionalFormatting sqref="BF9:BF38">
    <cfRule type="colorScale" priority="17">
      <colorScale>
        <cfvo type="min"/>
        <cfvo type="percentile" val="50"/>
        <cfvo type="max"/>
        <color rgb="FFF8696B"/>
        <color rgb="FFFFEB84"/>
        <color rgb="FF63BE7B"/>
      </colorScale>
    </cfRule>
  </conditionalFormatting>
  <conditionalFormatting sqref="BF9:BF38">
    <cfRule type="colorScale" priority="16">
      <colorScale>
        <cfvo type="min"/>
        <cfvo type="percentile" val="50"/>
        <cfvo type="max"/>
        <color rgb="FFF8696B"/>
        <color rgb="FFFFEB84"/>
        <color rgb="FF63BE7B"/>
      </colorScale>
    </cfRule>
  </conditionalFormatting>
  <conditionalFormatting sqref="BK9:BK38">
    <cfRule type="colorScale" priority="15">
      <colorScale>
        <cfvo type="min"/>
        <cfvo type="percentile" val="50"/>
        <cfvo type="max"/>
        <color rgb="FFF8696B"/>
        <color rgb="FFFFEB84"/>
        <color rgb="FF63BE7B"/>
      </colorScale>
    </cfRule>
  </conditionalFormatting>
  <conditionalFormatting sqref="BK9:BK38">
    <cfRule type="colorScale" priority="14">
      <colorScale>
        <cfvo type="min"/>
        <cfvo type="percentile" val="50"/>
        <cfvo type="max"/>
        <color rgb="FFF8696B"/>
        <color rgb="FFFFEB84"/>
        <color rgb="FF63BE7B"/>
      </colorScale>
    </cfRule>
  </conditionalFormatting>
  <conditionalFormatting sqref="BK9:BK38">
    <cfRule type="colorScale" priority="13">
      <colorScale>
        <cfvo type="min"/>
        <cfvo type="percentile" val="50"/>
        <cfvo type="max"/>
        <color rgb="FFF8696B"/>
        <color rgb="FFFFEB84"/>
        <color rgb="FF63BE7B"/>
      </colorScale>
    </cfRule>
  </conditionalFormatting>
  <conditionalFormatting sqref="BP9:BP38">
    <cfRule type="colorScale" priority="12">
      <colorScale>
        <cfvo type="min"/>
        <cfvo type="percentile" val="50"/>
        <cfvo type="max"/>
        <color rgb="FFF8696B"/>
        <color rgb="FFFFEB84"/>
        <color rgb="FF63BE7B"/>
      </colorScale>
    </cfRule>
  </conditionalFormatting>
  <conditionalFormatting sqref="BP9:BP38">
    <cfRule type="colorScale" priority="11">
      <colorScale>
        <cfvo type="min"/>
        <cfvo type="percentile" val="50"/>
        <cfvo type="max"/>
        <color rgb="FFF8696B"/>
        <color rgb="FFFFEB84"/>
        <color rgb="FF63BE7B"/>
      </colorScale>
    </cfRule>
  </conditionalFormatting>
  <conditionalFormatting sqref="BP9:BP38">
    <cfRule type="colorScale" priority="10">
      <colorScale>
        <cfvo type="min"/>
        <cfvo type="percentile" val="50"/>
        <cfvo type="max"/>
        <color rgb="FFF8696B"/>
        <color rgb="FFFFEB84"/>
        <color rgb="FF63BE7B"/>
      </colorScale>
    </cfRule>
  </conditionalFormatting>
  <conditionalFormatting sqref="BU9:BU38">
    <cfRule type="colorScale" priority="9">
      <colorScale>
        <cfvo type="min"/>
        <cfvo type="percentile" val="50"/>
        <cfvo type="max"/>
        <color rgb="FFF8696B"/>
        <color rgb="FFFFEB84"/>
        <color rgb="FF63BE7B"/>
      </colorScale>
    </cfRule>
  </conditionalFormatting>
  <conditionalFormatting sqref="BU9:BU38">
    <cfRule type="colorScale" priority="8">
      <colorScale>
        <cfvo type="min"/>
        <cfvo type="percentile" val="50"/>
        <cfvo type="max"/>
        <color rgb="FFF8696B"/>
        <color rgb="FFFFEB84"/>
        <color rgb="FF63BE7B"/>
      </colorScale>
    </cfRule>
  </conditionalFormatting>
  <conditionalFormatting sqref="BU9:BU38">
    <cfRule type="colorScale" priority="7">
      <colorScale>
        <cfvo type="min"/>
        <cfvo type="percentile" val="50"/>
        <cfvo type="max"/>
        <color rgb="FFF8696B"/>
        <color rgb="FFFFEB84"/>
        <color rgb="FF63BE7B"/>
      </colorScale>
    </cfRule>
  </conditionalFormatting>
  <conditionalFormatting sqref="BZ9:BZ38">
    <cfRule type="colorScale" priority="6">
      <colorScale>
        <cfvo type="min"/>
        <cfvo type="percentile" val="50"/>
        <cfvo type="max"/>
        <color rgb="FFF8696B"/>
        <color rgb="FFFFEB84"/>
        <color rgb="FF63BE7B"/>
      </colorScale>
    </cfRule>
  </conditionalFormatting>
  <conditionalFormatting sqref="BZ9:BZ38">
    <cfRule type="colorScale" priority="5">
      <colorScale>
        <cfvo type="min"/>
        <cfvo type="percentile" val="50"/>
        <cfvo type="max"/>
        <color rgb="FFF8696B"/>
        <color rgb="FFFFEB84"/>
        <color rgb="FF63BE7B"/>
      </colorScale>
    </cfRule>
  </conditionalFormatting>
  <conditionalFormatting sqref="BZ9:BZ38">
    <cfRule type="colorScale" priority="4">
      <colorScale>
        <cfvo type="min"/>
        <cfvo type="percentile" val="50"/>
        <cfvo type="max"/>
        <color rgb="FFF8696B"/>
        <color rgb="FFFFEB84"/>
        <color rgb="FF63BE7B"/>
      </colorScale>
    </cfRule>
  </conditionalFormatting>
  <conditionalFormatting sqref="CE9:CE38">
    <cfRule type="colorScale" priority="3">
      <colorScale>
        <cfvo type="min"/>
        <cfvo type="percentile" val="50"/>
        <cfvo type="max"/>
        <color rgb="FFF8696B"/>
        <color rgb="FFFFEB84"/>
        <color rgb="FF63BE7B"/>
      </colorScale>
    </cfRule>
  </conditionalFormatting>
  <conditionalFormatting sqref="CE9:CE38">
    <cfRule type="colorScale" priority="2">
      <colorScale>
        <cfvo type="min"/>
        <cfvo type="percentile" val="50"/>
        <cfvo type="max"/>
        <color rgb="FFF8696B"/>
        <color rgb="FFFFEB84"/>
        <color rgb="FF63BE7B"/>
      </colorScale>
    </cfRule>
  </conditionalFormatting>
  <conditionalFormatting sqref="CE9:CE38">
    <cfRule type="colorScale" priority="1">
      <colorScale>
        <cfvo type="min"/>
        <cfvo type="percentile" val="50"/>
        <cfvo type="max"/>
        <color rgb="FFF8696B"/>
        <color rgb="FFFFEB84"/>
        <color rgb="FF63BE7B"/>
      </colorScale>
    </cfRule>
  </conditionalFormatting>
  <pageMargins left="0.70866141732283472" right="0.70866141732283472" top="0.39370078740157483" bottom="0.39370078740157483" header="0.31496062992125984" footer="0.31496062992125984"/>
  <pageSetup paperSize="9" orientation="landscape" horizontalDpi="4294967293"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46"/>
  <dimension ref="A1:EDR49"/>
  <sheetViews>
    <sheetView showGridLines="0" zoomScale="85" zoomScaleNormal="85" workbookViewId="0">
      <pane ySplit="11" topLeftCell="A18" activePane="bottomLeft" state="frozen"/>
      <selection activeCell="K33" sqref="K33"/>
      <selection pane="bottomLeft" activeCell="J34" sqref="J34"/>
    </sheetView>
  </sheetViews>
  <sheetFormatPr defaultColWidth="0" defaultRowHeight="15" customHeight="1" zeroHeight="1"/>
  <cols>
    <col min="1" max="1" width="16.7109375" customWidth="1"/>
    <col min="2" max="2" width="3.140625" customWidth="1"/>
    <col min="3" max="3" width="32.28515625" customWidth="1"/>
    <col min="4" max="4" width="6.42578125" customWidth="1"/>
    <col min="5" max="30" width="4.7109375" customWidth="1"/>
    <col min="31" max="31" width="5.42578125" customWidth="1"/>
    <col min="32" max="3501" width="9.140625" hidden="1" customWidth="1"/>
    <col min="3502" max="3502" width="7.85546875" hidden="1" customWidth="1"/>
    <col min="3503" max="16384" width="9.140625" hidden="1"/>
  </cols>
  <sheetData>
    <row r="1" spans="1:31" ht="15" customHeight="1">
      <c r="A1" s="126"/>
      <c r="B1" s="126"/>
      <c r="C1" s="126"/>
      <c r="D1" s="126"/>
      <c r="E1" s="126"/>
      <c r="F1" s="126"/>
      <c r="G1" s="126"/>
      <c r="H1" s="126"/>
      <c r="I1" s="126"/>
      <c r="J1" s="126"/>
      <c r="K1" s="126"/>
      <c r="L1" s="126"/>
      <c r="M1" s="126"/>
      <c r="N1" s="126"/>
      <c r="O1" s="126"/>
      <c r="P1" s="126"/>
      <c r="Q1" s="126"/>
      <c r="R1" s="126"/>
      <c r="S1" s="126"/>
      <c r="T1" s="126"/>
      <c r="U1" s="126"/>
      <c r="V1" s="126"/>
      <c r="W1" s="126"/>
      <c r="X1" s="126"/>
      <c r="Y1" s="126"/>
      <c r="Z1" s="126"/>
      <c r="AA1" s="126"/>
      <c r="AB1" s="126"/>
      <c r="AC1" s="126"/>
      <c r="AD1" s="126"/>
      <c r="AE1" s="126"/>
    </row>
    <row r="2" spans="1:31" ht="15" customHeight="1">
      <c r="A2" s="126"/>
      <c r="B2" s="126"/>
      <c r="C2" s="126"/>
      <c r="D2" s="126"/>
      <c r="E2" s="126"/>
      <c r="F2" s="126"/>
      <c r="G2" s="126"/>
      <c r="H2" s="126"/>
      <c r="I2" s="126"/>
      <c r="J2" s="126"/>
      <c r="K2" s="126"/>
      <c r="L2" s="126"/>
      <c r="M2" s="126"/>
      <c r="N2" s="126"/>
      <c r="O2" s="126"/>
      <c r="P2" s="126"/>
      <c r="Q2" s="126"/>
      <c r="R2" s="126"/>
      <c r="S2" s="126"/>
      <c r="T2" s="126"/>
      <c r="U2" s="126"/>
      <c r="V2" s="126"/>
      <c r="W2" s="126"/>
      <c r="X2" s="126"/>
      <c r="Y2" s="126"/>
      <c r="Z2" s="126"/>
      <c r="AA2" s="126"/>
      <c r="AB2" s="126"/>
      <c r="AC2" s="126"/>
      <c r="AD2" s="126"/>
      <c r="AE2" s="126"/>
    </row>
    <row r="3" spans="1:31" ht="4.5" customHeight="1">
      <c r="A3" s="126"/>
      <c r="B3" s="126"/>
      <c r="C3" s="126"/>
      <c r="D3" s="126"/>
      <c r="E3" s="126"/>
      <c r="F3" s="126"/>
      <c r="G3" s="126"/>
      <c r="H3" s="126"/>
      <c r="I3" s="126"/>
      <c r="J3" s="126"/>
      <c r="K3" s="126"/>
      <c r="L3" s="126"/>
      <c r="M3" s="126"/>
      <c r="N3" s="126"/>
      <c r="O3" s="126"/>
      <c r="P3" s="126"/>
      <c r="Q3" s="126"/>
      <c r="R3" s="126"/>
      <c r="S3" s="126"/>
      <c r="T3" s="126"/>
      <c r="U3" s="126"/>
      <c r="V3" s="126"/>
      <c r="W3" s="126"/>
      <c r="X3" s="126"/>
      <c r="Y3" s="126"/>
      <c r="Z3" s="126"/>
      <c r="AA3" s="126"/>
      <c r="AB3" s="126"/>
      <c r="AC3" s="126"/>
      <c r="AD3" s="126"/>
      <c r="AE3" s="126"/>
    </row>
    <row r="4" spans="1:31" ht="16.5" customHeight="1">
      <c r="A4" s="126"/>
      <c r="B4" s="888" t="str">
        <f>"DAFTAR NILAI SEMESTER "&amp;HOME!D28</f>
        <v>DAFTAR NILAI SEMESTER GANJIL</v>
      </c>
      <c r="C4" s="888"/>
      <c r="D4" s="888"/>
      <c r="E4" s="888"/>
      <c r="F4" s="888"/>
      <c r="G4" s="888"/>
      <c r="H4" s="888"/>
      <c r="I4" s="888"/>
      <c r="J4" s="888"/>
      <c r="K4" s="888"/>
      <c r="L4" s="888"/>
      <c r="M4" s="888"/>
      <c r="N4" s="888"/>
      <c r="O4" s="888"/>
      <c r="P4" s="888"/>
      <c r="Q4" s="888"/>
      <c r="R4" s="888"/>
      <c r="S4" s="888"/>
      <c r="T4" s="888"/>
      <c r="U4" s="888"/>
      <c r="V4" s="888"/>
      <c r="W4" s="888"/>
      <c r="X4" s="888"/>
      <c r="Y4" s="888"/>
      <c r="Z4" s="888"/>
      <c r="AA4" s="888"/>
      <c r="AB4" s="888"/>
      <c r="AC4" s="888"/>
      <c r="AD4" s="888"/>
      <c r="AE4" s="126"/>
    </row>
    <row r="5" spans="1:31" ht="6" customHeight="1">
      <c r="A5" s="126"/>
      <c r="B5" s="101"/>
      <c r="C5" s="101"/>
      <c r="D5" s="101"/>
      <c r="E5" s="101"/>
      <c r="F5" s="101"/>
      <c r="G5" s="101"/>
      <c r="H5" s="101"/>
      <c r="I5" s="101"/>
      <c r="J5" s="101"/>
      <c r="K5" s="101"/>
      <c r="L5" s="101"/>
      <c r="M5" s="101"/>
      <c r="N5" s="101"/>
      <c r="O5" s="101"/>
      <c r="P5" s="101"/>
      <c r="Q5" s="101"/>
      <c r="R5" s="101"/>
      <c r="S5" s="101"/>
      <c r="T5" s="101"/>
      <c r="U5" s="101"/>
      <c r="V5" s="101"/>
      <c r="W5" s="101"/>
      <c r="X5" s="101"/>
      <c r="Y5" s="101"/>
      <c r="Z5" s="101"/>
      <c r="AA5" s="101"/>
      <c r="AB5" s="101"/>
      <c r="AC5" s="101"/>
      <c r="AD5" s="101"/>
      <c r="AE5" s="126"/>
    </row>
    <row r="6" spans="1:31" ht="12.6" customHeight="1">
      <c r="A6" s="126"/>
      <c r="B6" s="5" t="s">
        <v>127</v>
      </c>
      <c r="C6" s="5"/>
      <c r="D6" s="6" t="s">
        <v>0</v>
      </c>
      <c r="E6" s="7" t="str">
        <f>HOME!D16</f>
        <v>MINU KARAKTER BOJONEGORO</v>
      </c>
      <c r="F6" s="7"/>
      <c r="G6" s="3"/>
      <c r="H6" s="7"/>
      <c r="I6" s="3"/>
      <c r="J6" s="3"/>
      <c r="K6" s="7"/>
      <c r="L6" s="7"/>
      <c r="M6" s="5" t="s">
        <v>1</v>
      </c>
      <c r="N6" s="7"/>
      <c r="O6" s="7"/>
      <c r="P6" s="7"/>
      <c r="Q6" s="7"/>
      <c r="R6" s="6" t="s">
        <v>0</v>
      </c>
      <c r="S6" s="3" t="str">
        <f>HOME!D26</f>
        <v>III (TIGA)</v>
      </c>
      <c r="T6" s="8"/>
      <c r="U6" s="8"/>
      <c r="V6" s="8"/>
      <c r="W6" s="9"/>
      <c r="X6" s="9"/>
      <c r="Y6" s="9"/>
      <c r="Z6" s="9"/>
      <c r="AA6" s="9"/>
      <c r="AB6" s="9"/>
      <c r="AC6" s="9"/>
      <c r="AD6" s="9"/>
      <c r="AE6" s="126"/>
    </row>
    <row r="7" spans="1:31" ht="12.6" customHeight="1">
      <c r="A7" s="126"/>
      <c r="B7" s="5" t="s">
        <v>2</v>
      </c>
      <c r="C7" s="7"/>
      <c r="D7" s="6" t="s">
        <v>0</v>
      </c>
      <c r="E7" s="7" t="str">
        <f>HOME!D17</f>
        <v>Jl Basuki Rahmad Sukorejo BJN</v>
      </c>
      <c r="F7" s="7"/>
      <c r="G7" s="3"/>
      <c r="H7" s="7"/>
      <c r="I7" s="3"/>
      <c r="J7" s="3"/>
      <c r="K7" s="7"/>
      <c r="L7" s="7"/>
      <c r="M7" s="7" t="s">
        <v>4</v>
      </c>
      <c r="N7" s="7"/>
      <c r="O7" s="7"/>
      <c r="P7" s="11"/>
      <c r="Q7" s="7"/>
      <c r="R7" s="13" t="s">
        <v>0</v>
      </c>
      <c r="S7" s="7" t="str">
        <f>HOME!D27</f>
        <v>2019/2020</v>
      </c>
      <c r="T7" s="12"/>
      <c r="U7" s="12"/>
      <c r="V7" s="12"/>
      <c r="W7" s="9"/>
      <c r="X7" s="9"/>
      <c r="Y7" s="9"/>
      <c r="Z7" s="9"/>
      <c r="AA7" s="9"/>
      <c r="AB7" s="9"/>
      <c r="AC7" s="9"/>
      <c r="AD7" s="9"/>
      <c r="AE7" s="126"/>
    </row>
    <row r="8" spans="1:31" ht="12.6" customHeight="1">
      <c r="A8" s="126"/>
      <c r="B8" s="5" t="s">
        <v>248</v>
      </c>
      <c r="C8" s="7"/>
      <c r="D8" s="13" t="s">
        <v>0</v>
      </c>
      <c r="E8" s="7" t="str">
        <f>HOME!D22</f>
        <v>Risti Fauziah, S.Pd.</v>
      </c>
      <c r="F8" s="7"/>
      <c r="G8" s="7"/>
      <c r="H8" s="7"/>
      <c r="I8" s="3"/>
      <c r="J8" s="3"/>
      <c r="K8" s="7"/>
      <c r="L8" s="7"/>
      <c r="M8" s="7" t="s">
        <v>3</v>
      </c>
      <c r="N8" s="7"/>
      <c r="O8" s="7"/>
      <c r="P8" s="7"/>
      <c r="Q8" s="7"/>
      <c r="R8" s="13" t="s">
        <v>0</v>
      </c>
      <c r="S8" s="7" t="str">
        <f>HOME!D28</f>
        <v>GANJIL</v>
      </c>
      <c r="T8" s="12"/>
      <c r="U8" s="12"/>
      <c r="V8" s="12"/>
      <c r="W8" s="9"/>
      <c r="X8" s="9"/>
      <c r="Y8" s="9"/>
      <c r="Z8" s="9"/>
      <c r="AA8" s="9"/>
      <c r="AB8" s="9"/>
      <c r="AC8" s="9"/>
      <c r="AD8" s="9"/>
      <c r="AE8" s="126"/>
    </row>
    <row r="9" spans="1:31" ht="12.6" customHeight="1">
      <c r="A9" s="126"/>
      <c r="B9" s="5"/>
      <c r="C9" s="7"/>
      <c r="D9" s="7"/>
      <c r="E9" s="7"/>
      <c r="F9" s="7"/>
      <c r="G9" s="7"/>
      <c r="H9" s="7"/>
      <c r="I9" s="7"/>
      <c r="J9" s="7"/>
      <c r="K9" s="7"/>
      <c r="L9" s="7"/>
      <c r="M9" s="10"/>
      <c r="N9" s="7"/>
      <c r="O9" s="7"/>
      <c r="P9" s="7"/>
      <c r="Q9" s="7"/>
      <c r="R9" s="13"/>
      <c r="S9" s="7"/>
      <c r="T9" s="12"/>
      <c r="U9" s="12"/>
      <c r="V9" s="12"/>
      <c r="W9" s="9"/>
      <c r="X9" s="9"/>
      <c r="Y9" s="9"/>
      <c r="Z9" s="9"/>
      <c r="AA9" s="9"/>
      <c r="AB9" s="9"/>
      <c r="AC9" s="9"/>
      <c r="AD9" s="9"/>
      <c r="AE9" s="126"/>
    </row>
    <row r="10" spans="1:31" ht="15" customHeight="1">
      <c r="A10" s="126"/>
      <c r="B10" s="890" t="s">
        <v>5</v>
      </c>
      <c r="C10" s="890" t="s">
        <v>57</v>
      </c>
      <c r="D10" s="890" t="s">
        <v>7</v>
      </c>
      <c r="E10" s="891" t="s">
        <v>74</v>
      </c>
      <c r="F10" s="891"/>
      <c r="G10" s="891"/>
      <c r="H10" s="891"/>
      <c r="I10" s="891" t="s">
        <v>78</v>
      </c>
      <c r="J10" s="891"/>
      <c r="K10" s="891"/>
      <c r="L10" s="891"/>
      <c r="M10" s="891"/>
      <c r="N10" s="891"/>
      <c r="O10" s="891"/>
      <c r="P10" s="891"/>
      <c r="Q10" s="891" t="s">
        <v>79</v>
      </c>
      <c r="R10" s="891"/>
      <c r="S10" s="891"/>
      <c r="T10" s="891"/>
      <c r="U10" s="890" t="s">
        <v>260</v>
      </c>
      <c r="V10" s="890" t="s">
        <v>58</v>
      </c>
      <c r="W10" s="887" t="s">
        <v>75</v>
      </c>
      <c r="X10" s="892" t="s">
        <v>262</v>
      </c>
      <c r="Y10" s="893"/>
      <c r="Z10" s="893"/>
      <c r="AA10" s="894"/>
      <c r="AB10" s="889" t="s">
        <v>263</v>
      </c>
      <c r="AC10" s="889"/>
      <c r="AD10" s="889"/>
      <c r="AE10" s="126"/>
    </row>
    <row r="11" spans="1:31" ht="56.25" customHeight="1">
      <c r="A11" s="126"/>
      <c r="B11" s="890"/>
      <c r="C11" s="890"/>
      <c r="D11" s="890"/>
      <c r="E11" s="173" t="s">
        <v>49</v>
      </c>
      <c r="F11" s="173" t="s">
        <v>59</v>
      </c>
      <c r="G11" s="173" t="s">
        <v>77</v>
      </c>
      <c r="H11" s="173" t="s">
        <v>60</v>
      </c>
      <c r="I11" s="173" t="s">
        <v>61</v>
      </c>
      <c r="J11" s="173" t="s">
        <v>62</v>
      </c>
      <c r="K11" s="173" t="s">
        <v>63</v>
      </c>
      <c r="L11" s="173" t="s">
        <v>64</v>
      </c>
      <c r="M11" s="173" t="s">
        <v>65</v>
      </c>
      <c r="N11" s="173" t="s">
        <v>66</v>
      </c>
      <c r="O11" s="173" t="s">
        <v>67</v>
      </c>
      <c r="P11" s="173" t="s">
        <v>68</v>
      </c>
      <c r="Q11" s="173" t="s">
        <v>81</v>
      </c>
      <c r="R11" s="173" t="s">
        <v>82</v>
      </c>
      <c r="S11" s="173" t="s">
        <v>69</v>
      </c>
      <c r="T11" s="173" t="s">
        <v>76</v>
      </c>
      <c r="U11" s="890"/>
      <c r="V11" s="890"/>
      <c r="W11" s="887"/>
      <c r="X11" s="201" t="s">
        <v>44</v>
      </c>
      <c r="Y11" s="201" t="s">
        <v>1204</v>
      </c>
      <c r="Z11" s="201" t="s">
        <v>1205</v>
      </c>
      <c r="AA11" s="201" t="s">
        <v>1207</v>
      </c>
      <c r="AB11" s="201" t="s">
        <v>45</v>
      </c>
      <c r="AC11" s="201" t="s">
        <v>46</v>
      </c>
      <c r="AD11" s="201" t="s">
        <v>261</v>
      </c>
      <c r="AE11" s="126"/>
    </row>
    <row r="12" spans="1:31" ht="12.95" customHeight="1">
      <c r="A12" s="126"/>
      <c r="B12" s="81">
        <v>1</v>
      </c>
      <c r="C12" s="81">
        <v>2</v>
      </c>
      <c r="D12" s="81">
        <v>3</v>
      </c>
      <c r="E12" s="81">
        <v>4</v>
      </c>
      <c r="F12" s="81">
        <v>5</v>
      </c>
      <c r="G12" s="81">
        <v>6</v>
      </c>
      <c r="H12" s="81">
        <v>7</v>
      </c>
      <c r="I12" s="81">
        <v>8</v>
      </c>
      <c r="J12" s="81">
        <v>9</v>
      </c>
      <c r="K12" s="81">
        <v>10</v>
      </c>
      <c r="L12" s="81">
        <v>11</v>
      </c>
      <c r="M12" s="81">
        <v>12</v>
      </c>
      <c r="N12" s="81">
        <v>13</v>
      </c>
      <c r="O12" s="81">
        <v>14</v>
      </c>
      <c r="P12" s="81">
        <v>15</v>
      </c>
      <c r="Q12" s="81">
        <v>16</v>
      </c>
      <c r="R12" s="81">
        <v>17</v>
      </c>
      <c r="S12" s="81">
        <v>18</v>
      </c>
      <c r="T12" s="81">
        <v>19</v>
      </c>
      <c r="U12" s="81">
        <v>20</v>
      </c>
      <c r="V12" s="81">
        <v>21</v>
      </c>
      <c r="W12" s="81">
        <v>22</v>
      </c>
      <c r="X12" s="81">
        <v>23</v>
      </c>
      <c r="Y12" s="81">
        <v>24</v>
      </c>
      <c r="Z12" s="81">
        <v>25</v>
      </c>
      <c r="AA12" s="81">
        <v>26</v>
      </c>
      <c r="AB12" s="81">
        <v>27</v>
      </c>
      <c r="AC12" s="81">
        <v>28</v>
      </c>
      <c r="AD12" s="81">
        <v>29</v>
      </c>
      <c r="AE12" s="126"/>
    </row>
    <row r="13" spans="1:31" ht="12.95" customHeight="1">
      <c r="A13" s="126"/>
      <c r="B13" s="190">
        <v>1</v>
      </c>
      <c r="C13" s="191" t="str">
        <f>DATASISWA!E8</f>
        <v>Anindita Alya Magfiroh</v>
      </c>
      <c r="D13" s="192">
        <f>DATASISWA!G8</f>
        <v>0</v>
      </c>
      <c r="E13" s="193">
        <f>RKPALL!H9</f>
        <v>28.952380952380953</v>
      </c>
      <c r="F13" s="194">
        <f>RKPALL!M9</f>
        <v>30.166666666666668</v>
      </c>
      <c r="G13" s="195">
        <f>RKPALL!R9</f>
        <v>29.226190476190478</v>
      </c>
      <c r="H13" s="196">
        <f>RKPALL!W9</f>
        <v>27.583333333333332</v>
      </c>
      <c r="I13" s="194">
        <f>RKPALL!AB9</f>
        <v>71.182725694444443</v>
      </c>
      <c r="J13" s="195">
        <f>RKPALL!AG9</f>
        <v>31.684408497210427</v>
      </c>
      <c r="K13" s="193">
        <f>RKPALL!AL9</f>
        <v>0</v>
      </c>
      <c r="L13" s="194">
        <f>RKPALL!AQ9</f>
        <v>31.44465397509579</v>
      </c>
      <c r="M13" s="194">
        <f>RKPALL!AV9</f>
        <v>0</v>
      </c>
      <c r="N13" s="195">
        <f>RKPALL!BA9</f>
        <v>0</v>
      </c>
      <c r="O13" s="194">
        <f>RKPALL!BF9</f>
        <v>31.354166666666668</v>
      </c>
      <c r="P13" s="195">
        <f>RKPALL!BK9</f>
        <v>93.166666666666671</v>
      </c>
      <c r="Q13" s="193">
        <f>RKPALL!BP9</f>
        <v>30.625000000000004</v>
      </c>
      <c r="R13" s="193">
        <f>RKPALL!BU9</f>
        <v>29.444444444444446</v>
      </c>
      <c r="S13" s="195">
        <f>RKPALL!BZ9</f>
        <v>57.333333333333336</v>
      </c>
      <c r="T13" s="196">
        <f>RKPALL!CE9</f>
        <v>59.666666666666664</v>
      </c>
      <c r="U13" s="197">
        <f>SUM(E13:T13)</f>
        <v>551.83063737309988</v>
      </c>
      <c r="V13" s="198">
        <f>IFERROR(AVERAGE(E13:T13),"")</f>
        <v>34.489414835818742</v>
      </c>
      <c r="W13" s="199">
        <f>IF(V13&gt;0,RANK(V13,$V$13:$V$42),IF(V13="","",))</f>
        <v>1</v>
      </c>
      <c r="X13" s="200" t="str">
        <f>PERKEMBANGAN!I5</f>
        <v>B+</v>
      </c>
      <c r="Y13" s="200" t="str">
        <f>PERKEMBANGAN!J5</f>
        <v>B+</v>
      </c>
      <c r="Z13" s="200" t="str">
        <f>PERKEMBANGAN!K5</f>
        <v>B+/B</v>
      </c>
      <c r="AA13" s="200" t="str">
        <f>PERKEMBANGAN!L5</f>
        <v>A-</v>
      </c>
      <c r="AB13" s="200">
        <f>PERKEMBANGAN!D5</f>
        <v>0</v>
      </c>
      <c r="AC13" s="200">
        <f>PERKEMBANGAN!E5</f>
        <v>0</v>
      </c>
      <c r="AD13" s="200">
        <f>PERKEMBANGAN!F5</f>
        <v>0</v>
      </c>
      <c r="AE13" s="126"/>
    </row>
    <row r="14" spans="1:31" ht="12.95" customHeight="1">
      <c r="A14" s="126"/>
      <c r="B14" s="187">
        <v>2</v>
      </c>
      <c r="C14" s="177" t="str">
        <f>DATASISWA!E9</f>
        <v>Annisa Zahirotus. S</v>
      </c>
      <c r="D14" s="178">
        <f>DATASISWA!G9</f>
        <v>0</v>
      </c>
      <c r="E14" s="179">
        <f>RKPALL!H10</f>
        <v>28.88095238095238</v>
      </c>
      <c r="F14" s="180">
        <f>RKPALL!M10</f>
        <v>27.333333333333332</v>
      </c>
      <c r="G14" s="181">
        <f>RKPALL!R10</f>
        <v>30.802083333333332</v>
      </c>
      <c r="H14" s="182">
        <f>RKPALL!W10</f>
        <v>30.592592592592595</v>
      </c>
      <c r="I14" s="180">
        <f>RKPALL!AB10</f>
        <v>23.043549332611832</v>
      </c>
      <c r="J14" s="181">
        <f>RKPALL!AG10</f>
        <v>30.364923747276691</v>
      </c>
      <c r="K14" s="179">
        <f>RKPALL!AL10</f>
        <v>0</v>
      </c>
      <c r="L14" s="180">
        <f>RKPALL!AQ10</f>
        <v>29.686372269705601</v>
      </c>
      <c r="M14" s="180">
        <f>RKPALL!AV10</f>
        <v>0</v>
      </c>
      <c r="N14" s="181">
        <f>RKPALL!BA10</f>
        <v>0</v>
      </c>
      <c r="O14" s="180">
        <f>RKPALL!BF10</f>
        <v>30.124007936507937</v>
      </c>
      <c r="P14" s="181">
        <f>RKPALL!BK10</f>
        <v>83.083333333333329</v>
      </c>
      <c r="Q14" s="179">
        <f>RKPALL!BP10</f>
        <v>31.041666666666668</v>
      </c>
      <c r="R14" s="179">
        <f>RKPALL!BU10</f>
        <v>29.861111111111114</v>
      </c>
      <c r="S14" s="181">
        <f>RKPALL!BZ10</f>
        <v>64.5</v>
      </c>
      <c r="T14" s="182">
        <f>RKPALL!CE10</f>
        <v>64.333333333333329</v>
      </c>
      <c r="U14" s="183">
        <f t="shared" ref="U14:U42" si="0">SUM(E14:T14)</f>
        <v>503.64725937075815</v>
      </c>
      <c r="V14" s="184">
        <f t="shared" ref="V14:V42" si="1">IFERROR(AVERAGE(E14:T14),"")</f>
        <v>31.477953710672384</v>
      </c>
      <c r="W14" s="185">
        <f t="shared" ref="W14:W42" si="2">IF(V14&gt;0,RANK(V14,$V$13:$V$42),IF(V14="","",))</f>
        <v>18</v>
      </c>
      <c r="X14" s="200" t="str">
        <f>PERKEMBANGAN!I6</f>
        <v>B</v>
      </c>
      <c r="Y14" s="200" t="str">
        <f>PERKEMBANGAN!J6</f>
        <v>B+</v>
      </c>
      <c r="Z14" s="200" t="str">
        <f>PERKEMBANGAN!K6</f>
        <v>B-/C</v>
      </c>
      <c r="AA14" s="200" t="str">
        <f>PERKEMBANGAN!L6</f>
        <v>B+</v>
      </c>
      <c r="AB14" s="186">
        <f>PERKEMBANGAN!D6</f>
        <v>0</v>
      </c>
      <c r="AC14" s="186">
        <f>PERKEMBANGAN!E6</f>
        <v>0</v>
      </c>
      <c r="AD14" s="186">
        <f>PERKEMBANGAN!F6</f>
        <v>0</v>
      </c>
      <c r="AE14" s="126"/>
    </row>
    <row r="15" spans="1:31" ht="12.95" customHeight="1">
      <c r="A15" s="126"/>
      <c r="B15" s="187">
        <v>3</v>
      </c>
      <c r="C15" s="177" t="str">
        <f>DATASISWA!E10</f>
        <v>A.Risky Syarifunnazal</v>
      </c>
      <c r="D15" s="178">
        <f>DATASISWA!G10</f>
        <v>0</v>
      </c>
      <c r="E15" s="179">
        <f>RKPALL!H11</f>
        <v>30</v>
      </c>
      <c r="F15" s="180">
        <f>RKPALL!M11</f>
        <v>26.666666666666668</v>
      </c>
      <c r="G15" s="181">
        <f>RKPALL!R11</f>
        <v>28.489583333333332</v>
      </c>
      <c r="H15" s="182">
        <f>RKPALL!W11</f>
        <v>26.338888888888889</v>
      </c>
      <c r="I15" s="180">
        <f>RKPALL!AB11</f>
        <v>23.237892316017312</v>
      </c>
      <c r="J15" s="181">
        <f>RKPALL!AG11</f>
        <v>30.764805868670603</v>
      </c>
      <c r="K15" s="179">
        <f>RKPALL!AL11</f>
        <v>0</v>
      </c>
      <c r="L15" s="180">
        <f>RKPALL!AQ11</f>
        <v>30.226442307692309</v>
      </c>
      <c r="M15" s="180">
        <f>RKPALL!AV11</f>
        <v>0</v>
      </c>
      <c r="N15" s="181">
        <f>RKPALL!BA11</f>
        <v>0</v>
      </c>
      <c r="O15" s="180">
        <f>RKPALL!BF11</f>
        <v>30.017857142857142</v>
      </c>
      <c r="P15" s="181">
        <f>RKPALL!BK11</f>
        <v>90.583333333333329</v>
      </c>
      <c r="Q15" s="179">
        <f>RKPALL!BP11</f>
        <v>29.861111111111111</v>
      </c>
      <c r="R15" s="179">
        <f>RKPALL!BU11</f>
        <v>30.083333333333332</v>
      </c>
      <c r="S15" s="181">
        <f>RKPALL!BZ11</f>
        <v>59.166666666666664</v>
      </c>
      <c r="T15" s="182">
        <f>RKPALL!CE11</f>
        <v>60.888888888888893</v>
      </c>
      <c r="U15" s="183">
        <f t="shared" si="0"/>
        <v>496.32546985745961</v>
      </c>
      <c r="V15" s="184">
        <f t="shared" si="1"/>
        <v>31.020341866091226</v>
      </c>
      <c r="W15" s="185">
        <f t="shared" si="2"/>
        <v>20</v>
      </c>
      <c r="X15" s="200" t="str">
        <f>PERKEMBANGAN!I7</f>
        <v>B</v>
      </c>
      <c r="Y15" s="200" t="str">
        <f>PERKEMBANGAN!J7</f>
        <v>B+</v>
      </c>
      <c r="Z15" s="200" t="str">
        <f>PERKEMBANGAN!K7</f>
        <v>B/B</v>
      </c>
      <c r="AA15" s="200" t="str">
        <f>PERKEMBANGAN!L7</f>
        <v>B+</v>
      </c>
      <c r="AB15" s="186">
        <f>PERKEMBANGAN!D7</f>
        <v>0</v>
      </c>
      <c r="AC15" s="186">
        <f>PERKEMBANGAN!E7</f>
        <v>0</v>
      </c>
      <c r="AD15" s="186">
        <f>PERKEMBANGAN!F7</f>
        <v>0</v>
      </c>
      <c r="AE15" s="126"/>
    </row>
    <row r="16" spans="1:31" ht="12.95" customHeight="1">
      <c r="A16" s="126"/>
      <c r="B16" s="187">
        <v>4</v>
      </c>
      <c r="C16" s="177" t="str">
        <f>DATASISWA!E11</f>
        <v>Aliya Noura K</v>
      </c>
      <c r="D16" s="178">
        <f>DATASISWA!G11</f>
        <v>0</v>
      </c>
      <c r="E16" s="179">
        <f>RKPALL!H12</f>
        <v>30.888888888888889</v>
      </c>
      <c r="F16" s="180">
        <f>RKPALL!M12</f>
        <v>30.333333333333332</v>
      </c>
      <c r="G16" s="181">
        <f>RKPALL!R12</f>
        <v>29.489583333333332</v>
      </c>
      <c r="H16" s="182">
        <f>RKPALL!W12</f>
        <v>27.75</v>
      </c>
      <c r="I16" s="180">
        <f>RKPALL!AB12</f>
        <v>23.943111359126988</v>
      </c>
      <c r="J16" s="181">
        <f>RKPALL!AG12</f>
        <v>31.673331544104489</v>
      </c>
      <c r="K16" s="179">
        <f>RKPALL!AL12</f>
        <v>0</v>
      </c>
      <c r="L16" s="180">
        <f>RKPALL!AQ12</f>
        <v>31.692708333333332</v>
      </c>
      <c r="M16" s="180">
        <f>RKPALL!AV12</f>
        <v>0</v>
      </c>
      <c r="N16" s="181">
        <f>RKPALL!BA12</f>
        <v>0</v>
      </c>
      <c r="O16" s="180">
        <f>RKPALL!BF12</f>
        <v>31.5625</v>
      </c>
      <c r="P16" s="181">
        <f>RKPALL!BK12</f>
        <v>91.333333333333329</v>
      </c>
      <c r="Q16" s="179">
        <f>RKPALL!BP12</f>
        <v>31.666666666666668</v>
      </c>
      <c r="R16" s="179">
        <f>RKPALL!BU12</f>
        <v>32.083333333333336</v>
      </c>
      <c r="S16" s="181">
        <f>RKPALL!BZ12</f>
        <v>59.166666666666664</v>
      </c>
      <c r="T16" s="182">
        <f>RKPALL!CE12</f>
        <v>59.111111111111107</v>
      </c>
      <c r="U16" s="183">
        <f t="shared" si="0"/>
        <v>510.69456790323147</v>
      </c>
      <c r="V16" s="184">
        <f t="shared" si="1"/>
        <v>31.918410493951967</v>
      </c>
      <c r="W16" s="185">
        <f t="shared" si="2"/>
        <v>15</v>
      </c>
      <c r="X16" s="200" t="str">
        <f>PERKEMBANGAN!I8</f>
        <v>A+</v>
      </c>
      <c r="Y16" s="200" t="str">
        <f>PERKEMBANGAN!J8</f>
        <v>A+</v>
      </c>
      <c r="Z16" s="200" t="str">
        <f>PERKEMBANGAN!K8</f>
        <v>B+/A</v>
      </c>
      <c r="AA16" s="200" t="str">
        <f>PERKEMBANGAN!L8</f>
        <v>B+</v>
      </c>
      <c r="AB16" s="186">
        <f>PERKEMBANGAN!D8</f>
        <v>0</v>
      </c>
      <c r="AC16" s="186">
        <f>PERKEMBANGAN!E8</f>
        <v>0</v>
      </c>
      <c r="AD16" s="186">
        <f>PERKEMBANGAN!F8</f>
        <v>0</v>
      </c>
      <c r="AE16" s="126"/>
    </row>
    <row r="17" spans="1:31" ht="12.95" customHeight="1">
      <c r="A17" s="126"/>
      <c r="B17" s="187">
        <v>5</v>
      </c>
      <c r="C17" s="177" t="str">
        <f>DATASISWA!E12</f>
        <v>Alifia Resya Putri Ramadhani</v>
      </c>
      <c r="D17" s="178">
        <f>DATASISWA!G12</f>
        <v>0</v>
      </c>
      <c r="E17" s="179">
        <f>RKPALL!H13</f>
        <v>31.079365079365076</v>
      </c>
      <c r="F17" s="180">
        <f>RKPALL!M13</f>
        <v>28.333333333333332</v>
      </c>
      <c r="G17" s="181">
        <f>RKPALL!R13</f>
        <v>30.96875</v>
      </c>
      <c r="H17" s="182">
        <f>RKPALL!W13</f>
        <v>29.694444444444443</v>
      </c>
      <c r="I17" s="180">
        <f>RKPALL!AB13</f>
        <v>24.268663194444443</v>
      </c>
      <c r="J17" s="181">
        <f>RKPALL!AG13</f>
        <v>32.170302635278482</v>
      </c>
      <c r="K17" s="179">
        <f>RKPALL!AL13</f>
        <v>0</v>
      </c>
      <c r="L17" s="180">
        <f>RKPALL!AQ13</f>
        <v>32.012152777777779</v>
      </c>
      <c r="M17" s="180">
        <f>RKPALL!AV13</f>
        <v>0</v>
      </c>
      <c r="N17" s="181">
        <f>RKPALL!BA13</f>
        <v>0</v>
      </c>
      <c r="O17" s="180">
        <f>RKPALL!BF13</f>
        <v>31.822916666666668</v>
      </c>
      <c r="P17" s="181">
        <f>RKPALL!BK13</f>
        <v>93.416666666666671</v>
      </c>
      <c r="Q17" s="179">
        <f>RKPALL!BP13</f>
        <v>32.291666666666664</v>
      </c>
      <c r="R17" s="179">
        <f>RKPALL!BU13</f>
        <v>31.75</v>
      </c>
      <c r="S17" s="181">
        <f>RKPALL!BZ13</f>
        <v>61.833333333333336</v>
      </c>
      <c r="T17" s="182">
        <f>RKPALL!CE13</f>
        <v>64</v>
      </c>
      <c r="U17" s="183">
        <f t="shared" si="0"/>
        <v>523.64159479797695</v>
      </c>
      <c r="V17" s="184">
        <f t="shared" si="1"/>
        <v>32.727599674873559</v>
      </c>
      <c r="W17" s="185">
        <f t="shared" si="2"/>
        <v>7</v>
      </c>
      <c r="X17" s="200" t="str">
        <f>PERKEMBANGAN!I9</f>
        <v>A+</v>
      </c>
      <c r="Y17" s="200" t="str">
        <f>PERKEMBANGAN!J9</f>
        <v>A+</v>
      </c>
      <c r="Z17" s="200" t="str">
        <f>PERKEMBANGAN!K9</f>
        <v>A-/A+</v>
      </c>
      <c r="AA17" s="200" t="str">
        <f>PERKEMBANGAN!L9</f>
        <v>A-</v>
      </c>
      <c r="AB17" s="186">
        <f>PERKEMBANGAN!D9</f>
        <v>0</v>
      </c>
      <c r="AC17" s="186">
        <f>PERKEMBANGAN!E9</f>
        <v>0</v>
      </c>
      <c r="AD17" s="186">
        <f>PERKEMBANGAN!F9</f>
        <v>0</v>
      </c>
      <c r="AE17" s="126"/>
    </row>
    <row r="18" spans="1:31" ht="12.95" customHeight="1">
      <c r="A18" s="126"/>
      <c r="B18" s="188">
        <v>6</v>
      </c>
      <c r="C18" s="177" t="str">
        <f>DATASISWA!E13</f>
        <v>Fadhil Rahman</v>
      </c>
      <c r="D18" s="178">
        <f>DATASISWA!G13</f>
        <v>0</v>
      </c>
      <c r="E18" s="179">
        <f>RKPALL!H14</f>
        <v>31.539682539682534</v>
      </c>
      <c r="F18" s="180">
        <f>RKPALL!M14</f>
        <v>31.266666666666666</v>
      </c>
      <c r="G18" s="181">
        <f>RKPALL!R14</f>
        <v>30.364583333333332</v>
      </c>
      <c r="H18" s="182">
        <f>RKPALL!W14</f>
        <v>32.581481481481482</v>
      </c>
      <c r="I18" s="180">
        <f>RKPALL!AB14</f>
        <v>24.450842126623378</v>
      </c>
      <c r="J18" s="181">
        <f>RKPALL!AG14</f>
        <v>32.765501228061616</v>
      </c>
      <c r="K18" s="179">
        <f>RKPALL!AL14</f>
        <v>0</v>
      </c>
      <c r="L18" s="180">
        <f>RKPALL!AQ14</f>
        <v>32.670138888888893</v>
      </c>
      <c r="M18" s="180">
        <f>RKPALL!AV14</f>
        <v>0</v>
      </c>
      <c r="N18" s="181">
        <f>RKPALL!BA14</f>
        <v>0</v>
      </c>
      <c r="O18" s="180">
        <f>RKPALL!BF14</f>
        <v>32.65625</v>
      </c>
      <c r="P18" s="181">
        <f>RKPALL!BK14</f>
        <v>90.916666666666671</v>
      </c>
      <c r="Q18" s="179">
        <f>RKPALL!BP14</f>
        <v>32.5</v>
      </c>
      <c r="R18" s="179">
        <f>RKPALL!BU14</f>
        <v>32.166666666666664</v>
      </c>
      <c r="S18" s="181">
        <f>RKPALL!BZ14</f>
        <v>62.5</v>
      </c>
      <c r="T18" s="182">
        <f>RKPALL!CE14</f>
        <v>62.222222222222229</v>
      </c>
      <c r="U18" s="183">
        <f t="shared" si="0"/>
        <v>528.60070182029347</v>
      </c>
      <c r="V18" s="184">
        <f t="shared" si="1"/>
        <v>33.037543863768342</v>
      </c>
      <c r="W18" s="185">
        <f t="shared" si="2"/>
        <v>5</v>
      </c>
      <c r="X18" s="200" t="str">
        <f>PERKEMBANGAN!I10</f>
        <v>A+</v>
      </c>
      <c r="Y18" s="200" t="str">
        <f>PERKEMBANGAN!J10</f>
        <v>A+</v>
      </c>
      <c r="Z18" s="200" t="str">
        <f>PERKEMBANGAN!K10</f>
        <v>A-/A</v>
      </c>
      <c r="AA18" s="200" t="str">
        <f>PERKEMBANGAN!L10</f>
        <v>B+</v>
      </c>
      <c r="AB18" s="186">
        <f>PERKEMBANGAN!D10</f>
        <v>0</v>
      </c>
      <c r="AC18" s="186">
        <f>PERKEMBANGAN!E10</f>
        <v>0</v>
      </c>
      <c r="AD18" s="186">
        <f>PERKEMBANGAN!F10</f>
        <v>0</v>
      </c>
      <c r="AE18" s="126"/>
    </row>
    <row r="19" spans="1:31" ht="12.95" customHeight="1">
      <c r="A19" s="126"/>
      <c r="B19" s="188">
        <v>7</v>
      </c>
      <c r="C19" s="177" t="str">
        <f>DATASISWA!E14</f>
        <v>Griffin Uefa Syam Sabrin</v>
      </c>
      <c r="D19" s="178">
        <f>DATASISWA!G14</f>
        <v>0</v>
      </c>
      <c r="E19" s="179">
        <f>RKPALL!H15</f>
        <v>32.825396825396822</v>
      </c>
      <c r="F19" s="180">
        <f>RKPALL!M15</f>
        <v>32.166666666666664</v>
      </c>
      <c r="G19" s="181">
        <f>RKPALL!R15</f>
        <v>31.458333333333332</v>
      </c>
      <c r="H19" s="182">
        <f>RKPALL!W15</f>
        <v>29.996296296296297</v>
      </c>
      <c r="I19" s="180">
        <f>RKPALL!AB15</f>
        <v>24.794518849206348</v>
      </c>
      <c r="J19" s="181">
        <f>RKPALL!AG15</f>
        <v>32.735596707818921</v>
      </c>
      <c r="K19" s="179">
        <f>RKPALL!AL15</f>
        <v>0</v>
      </c>
      <c r="L19" s="180">
        <f>RKPALL!AQ15</f>
        <v>32.543402777777779</v>
      </c>
      <c r="M19" s="180">
        <f>RKPALL!AV15</f>
        <v>0</v>
      </c>
      <c r="N19" s="181">
        <f>RKPALL!BA15</f>
        <v>0</v>
      </c>
      <c r="O19" s="180">
        <f>RKPALL!BF15</f>
        <v>32.083333333333336</v>
      </c>
      <c r="P19" s="181">
        <f>RKPALL!BK15</f>
        <v>91.583333333333329</v>
      </c>
      <c r="Q19" s="179">
        <f>RKPALL!BP15</f>
        <v>33.055555555555557</v>
      </c>
      <c r="R19" s="179">
        <f>RKPALL!BU15</f>
        <v>32.222222222222221</v>
      </c>
      <c r="S19" s="181">
        <f>RKPALL!BZ15</f>
        <v>62.5</v>
      </c>
      <c r="T19" s="182">
        <f>RKPALL!CE15</f>
        <v>64.777777777777771</v>
      </c>
      <c r="U19" s="183">
        <f t="shared" si="0"/>
        <v>532.74243367871838</v>
      </c>
      <c r="V19" s="184">
        <f t="shared" si="1"/>
        <v>33.296402104919899</v>
      </c>
      <c r="W19" s="185">
        <f t="shared" si="2"/>
        <v>2</v>
      </c>
      <c r="X19" s="200" t="str">
        <f>PERKEMBANGAN!I11</f>
        <v>A+</v>
      </c>
      <c r="Y19" s="200" t="str">
        <f>PERKEMBANGAN!J11</f>
        <v>A+</v>
      </c>
      <c r="Z19" s="200" t="str">
        <f>PERKEMBANGAN!K11</f>
        <v>A-/A</v>
      </c>
      <c r="AA19" s="200" t="str">
        <f>PERKEMBANGAN!L11</f>
        <v>A</v>
      </c>
      <c r="AB19" s="186">
        <f>PERKEMBANGAN!D11</f>
        <v>0</v>
      </c>
      <c r="AC19" s="186">
        <f>PERKEMBANGAN!E11</f>
        <v>0</v>
      </c>
      <c r="AD19" s="186">
        <f>PERKEMBANGAN!F11</f>
        <v>0</v>
      </c>
      <c r="AE19" s="126"/>
    </row>
    <row r="20" spans="1:31" ht="12.95" customHeight="1">
      <c r="A20" s="126"/>
      <c r="B20" s="188">
        <v>8</v>
      </c>
      <c r="C20" s="177" t="str">
        <f>DATASISWA!E15</f>
        <v>Khoiriya Uzlivatul Jannah</v>
      </c>
      <c r="D20" s="178">
        <f>DATASISWA!G15</f>
        <v>0</v>
      </c>
      <c r="E20" s="179">
        <f>RKPALL!H16</f>
        <v>30.31746031746032</v>
      </c>
      <c r="F20" s="180">
        <f>RKPALL!M16</f>
        <v>30.416666666666668</v>
      </c>
      <c r="G20" s="181">
        <f>RKPALL!R16</f>
        <v>31.80952380952381</v>
      </c>
      <c r="H20" s="182">
        <f>RKPALL!W16</f>
        <v>29.574074074074073</v>
      </c>
      <c r="I20" s="180">
        <f>RKPALL!AB16</f>
        <v>24.308376736111111</v>
      </c>
      <c r="J20" s="181">
        <f>RKPALL!AG16</f>
        <v>32.258051529790663</v>
      </c>
      <c r="K20" s="179">
        <f>RKPALL!AL16</f>
        <v>0</v>
      </c>
      <c r="L20" s="180">
        <f>RKPALL!AQ16</f>
        <v>32.324652777777779</v>
      </c>
      <c r="M20" s="180">
        <f>RKPALL!AV16</f>
        <v>0</v>
      </c>
      <c r="N20" s="181">
        <f>RKPALL!BA16</f>
        <v>0</v>
      </c>
      <c r="O20" s="180">
        <f>RKPALL!BF16</f>
        <v>31.979166666666668</v>
      </c>
      <c r="P20" s="181">
        <f>RKPALL!BK16</f>
        <v>96.166666666666671</v>
      </c>
      <c r="Q20" s="179">
        <f>RKPALL!BP16</f>
        <v>32.361111111111114</v>
      </c>
      <c r="R20" s="179">
        <f>RKPALL!BU16</f>
        <v>32.527777777777779</v>
      </c>
      <c r="S20" s="181">
        <f>RKPALL!BZ16</f>
        <v>61.833333333333336</v>
      </c>
      <c r="T20" s="182">
        <f>RKPALL!CE16</f>
        <v>66.1111111111111</v>
      </c>
      <c r="U20" s="183">
        <f t="shared" si="0"/>
        <v>531.98797257807098</v>
      </c>
      <c r="V20" s="184">
        <f t="shared" si="1"/>
        <v>33.249248286129436</v>
      </c>
      <c r="W20" s="185">
        <f t="shared" si="2"/>
        <v>3</v>
      </c>
      <c r="X20" s="200" t="str">
        <f>PERKEMBANGAN!I12</f>
        <v>A+</v>
      </c>
      <c r="Y20" s="200" t="str">
        <f>PERKEMBANGAN!J12</f>
        <v>A+</v>
      </c>
      <c r="Z20" s="200" t="str">
        <f>PERKEMBANGAN!K12</f>
        <v>A-/A</v>
      </c>
      <c r="AA20" s="200" t="str">
        <f>PERKEMBANGAN!L12</f>
        <v>A-</v>
      </c>
      <c r="AB20" s="186">
        <f>PERKEMBANGAN!D12</f>
        <v>0</v>
      </c>
      <c r="AC20" s="186">
        <f>PERKEMBANGAN!E12</f>
        <v>0</v>
      </c>
      <c r="AD20" s="186">
        <f>PERKEMBANGAN!F12</f>
        <v>0</v>
      </c>
      <c r="AE20" s="126"/>
    </row>
    <row r="21" spans="1:31" ht="12.95" customHeight="1">
      <c r="A21" s="126"/>
      <c r="B21" s="188">
        <v>9</v>
      </c>
      <c r="C21" s="177" t="str">
        <f>DATASISWA!E16</f>
        <v>Nazlia Azelea Tiarany</v>
      </c>
      <c r="D21" s="178">
        <f>DATASISWA!G16</f>
        <v>0</v>
      </c>
      <c r="E21" s="179">
        <f>RKPALL!H17</f>
        <v>30.301587301587304</v>
      </c>
      <c r="F21" s="180">
        <f>RKPALL!M17</f>
        <v>29.849999999999998</v>
      </c>
      <c r="G21" s="181">
        <f>RKPALL!R17</f>
        <v>29.729166666666668</v>
      </c>
      <c r="H21" s="182">
        <f>RKPALL!W17</f>
        <v>28.37222222222222</v>
      </c>
      <c r="I21" s="180">
        <f>RKPALL!AB17</f>
        <v>23.728050595238098</v>
      </c>
      <c r="J21" s="181">
        <f>RKPALL!AG17</f>
        <v>31.548845947396671</v>
      </c>
      <c r="K21" s="179">
        <f>RKPALL!AL17</f>
        <v>0</v>
      </c>
      <c r="L21" s="180">
        <f>RKPALL!AQ17</f>
        <v>31.46875</v>
      </c>
      <c r="M21" s="180">
        <f>RKPALL!AV17</f>
        <v>0</v>
      </c>
      <c r="N21" s="181">
        <f>RKPALL!BA17</f>
        <v>0</v>
      </c>
      <c r="O21" s="180">
        <f>RKPALL!BF17</f>
        <v>30.885416666666668</v>
      </c>
      <c r="P21" s="181">
        <f>RKPALL!BK17</f>
        <v>92.583333333333329</v>
      </c>
      <c r="Q21" s="179">
        <f>RKPALL!BP17</f>
        <v>32.916666666666671</v>
      </c>
      <c r="R21" s="179">
        <f>RKPALL!BU17</f>
        <v>31.722222222222218</v>
      </c>
      <c r="S21" s="181">
        <f>RKPALL!BZ17</f>
        <v>60.666666666666664</v>
      </c>
      <c r="T21" s="182">
        <f>RKPALL!CE17</f>
        <v>64.444444444444443</v>
      </c>
      <c r="U21" s="183">
        <f t="shared" si="0"/>
        <v>518.21737273311101</v>
      </c>
      <c r="V21" s="184">
        <f t="shared" si="1"/>
        <v>32.388585795819438</v>
      </c>
      <c r="W21" s="185">
        <f t="shared" si="2"/>
        <v>10</v>
      </c>
      <c r="X21" s="200" t="str">
        <f>PERKEMBANGAN!I13</f>
        <v>B-</v>
      </c>
      <c r="Y21" s="200" t="str">
        <f>PERKEMBANGAN!J13</f>
        <v>B+</v>
      </c>
      <c r="Z21" s="200" t="str">
        <f>PERKEMBANGAN!K13</f>
        <v>B/B</v>
      </c>
      <c r="AA21" s="200" t="str">
        <f>PERKEMBANGAN!L13</f>
        <v>B+</v>
      </c>
      <c r="AB21" s="186">
        <f>PERKEMBANGAN!D13</f>
        <v>0</v>
      </c>
      <c r="AC21" s="186">
        <f>PERKEMBANGAN!E13</f>
        <v>0</v>
      </c>
      <c r="AD21" s="186">
        <f>PERKEMBANGAN!F13</f>
        <v>0</v>
      </c>
      <c r="AE21" s="126"/>
    </row>
    <row r="22" spans="1:31" ht="12.95" customHeight="1">
      <c r="A22" s="126"/>
      <c r="B22" s="188">
        <v>10</v>
      </c>
      <c r="C22" s="177" t="str">
        <f>DATASISWA!E17</f>
        <v>Nero Alvind Nur Pratama</v>
      </c>
      <c r="D22" s="178">
        <f>DATASISWA!G17</f>
        <v>0</v>
      </c>
      <c r="E22" s="179">
        <f>RKPALL!H18</f>
        <v>31.674603174603178</v>
      </c>
      <c r="F22" s="180">
        <f>RKPALL!M18</f>
        <v>30.833333333333332</v>
      </c>
      <c r="G22" s="181">
        <f>RKPALL!R18</f>
        <v>30.958333333333332</v>
      </c>
      <c r="H22" s="182">
        <f>RKPALL!W18</f>
        <v>30.268518518518515</v>
      </c>
      <c r="I22" s="180">
        <f>RKPALL!AB18</f>
        <v>24.349950396825399</v>
      </c>
      <c r="J22" s="181">
        <f>RKPALL!AG18</f>
        <v>32.429325460726425</v>
      </c>
      <c r="K22" s="179">
        <f>RKPALL!AL18</f>
        <v>0</v>
      </c>
      <c r="L22" s="180">
        <f>RKPALL!AQ18</f>
        <v>32.546875</v>
      </c>
      <c r="M22" s="180">
        <f>RKPALL!AV18</f>
        <v>0</v>
      </c>
      <c r="N22" s="181">
        <f>RKPALL!BA18</f>
        <v>0</v>
      </c>
      <c r="O22" s="180">
        <f>RKPALL!BF18</f>
        <v>32.135416666666664</v>
      </c>
      <c r="P22" s="181">
        <f>RKPALL!BK18</f>
        <v>91.583333333333329</v>
      </c>
      <c r="Q22" s="179">
        <f>RKPALL!BP18</f>
        <v>31.736111111111114</v>
      </c>
      <c r="R22" s="179">
        <f>RKPALL!BU18</f>
        <v>32.777777777777779</v>
      </c>
      <c r="S22" s="181">
        <f>RKPALL!BZ18</f>
        <v>59.166666666666664</v>
      </c>
      <c r="T22" s="182">
        <f>RKPALL!CE18</f>
        <v>60</v>
      </c>
      <c r="U22" s="183">
        <f t="shared" si="0"/>
        <v>520.46024477289575</v>
      </c>
      <c r="V22" s="184">
        <f t="shared" si="1"/>
        <v>32.528765298305984</v>
      </c>
      <c r="W22" s="185">
        <f t="shared" si="2"/>
        <v>8</v>
      </c>
      <c r="X22" s="200" t="str">
        <f>PERKEMBANGAN!I14</f>
        <v>A+</v>
      </c>
      <c r="Y22" s="200" t="str">
        <f>PERKEMBANGAN!J14</f>
        <v>A-</v>
      </c>
      <c r="Z22" s="200" t="str">
        <f>PERKEMBANGAN!K14</f>
        <v>A-/B</v>
      </c>
      <c r="AA22" s="200" t="str">
        <f>PERKEMBANGAN!L14</f>
        <v>B+</v>
      </c>
      <c r="AB22" s="186">
        <f>PERKEMBANGAN!D14</f>
        <v>0</v>
      </c>
      <c r="AC22" s="186">
        <f>PERKEMBANGAN!E14</f>
        <v>0</v>
      </c>
      <c r="AD22" s="186">
        <f>PERKEMBANGAN!F14</f>
        <v>0</v>
      </c>
      <c r="AE22" s="126"/>
    </row>
    <row r="23" spans="1:31" ht="12.95" customHeight="1">
      <c r="A23" s="126"/>
      <c r="B23" s="188">
        <v>11</v>
      </c>
      <c r="C23" s="177" t="str">
        <f>DATASISWA!E18</f>
        <v>Prischa al maira rozida</v>
      </c>
      <c r="D23" s="178">
        <f>DATASISWA!G18</f>
        <v>0</v>
      </c>
      <c r="E23" s="179">
        <f>RKPALL!H19</f>
        <v>32.801587301587297</v>
      </c>
      <c r="F23" s="180">
        <f>RKPALL!M19</f>
        <v>30.833333333333332</v>
      </c>
      <c r="G23" s="181">
        <f>RKPALL!R19</f>
        <v>31.791666666666668</v>
      </c>
      <c r="H23" s="182">
        <f>RKPALL!W19</f>
        <v>28.56851851851852</v>
      </c>
      <c r="I23" s="180">
        <f>RKPALL!AB19</f>
        <v>24.707744295634924</v>
      </c>
      <c r="J23" s="181">
        <f>RKPALL!AG19</f>
        <v>32.833020218285917</v>
      </c>
      <c r="K23" s="179">
        <f>RKPALL!AL19</f>
        <v>0</v>
      </c>
      <c r="L23" s="180">
        <f>RKPALL!AQ19</f>
        <v>32.657986111111107</v>
      </c>
      <c r="M23" s="180">
        <f>RKPALL!AV19</f>
        <v>0</v>
      </c>
      <c r="N23" s="181">
        <f>RKPALL!BA19</f>
        <v>0</v>
      </c>
      <c r="O23" s="180">
        <f>RKPALL!BF19</f>
        <v>32.447916666666664</v>
      </c>
      <c r="P23" s="181">
        <f>RKPALL!BK19</f>
        <v>89.333333333333329</v>
      </c>
      <c r="Q23" s="179">
        <f>RKPALL!BP19</f>
        <v>32.152777777777779</v>
      </c>
      <c r="R23" s="179">
        <f>RKPALL!BU19</f>
        <v>32.722222222222221</v>
      </c>
      <c r="S23" s="181">
        <f>RKPALL!BZ19</f>
        <v>60.666666666666664</v>
      </c>
      <c r="T23" s="182">
        <f>RKPALL!CE19</f>
        <v>58.111111111111107</v>
      </c>
      <c r="U23" s="183">
        <f t="shared" si="0"/>
        <v>519.62788422291555</v>
      </c>
      <c r="V23" s="184">
        <f t="shared" si="1"/>
        <v>32.476742763932222</v>
      </c>
      <c r="W23" s="185">
        <f t="shared" si="2"/>
        <v>9</v>
      </c>
      <c r="X23" s="200" t="str">
        <f>PERKEMBANGAN!I15</f>
        <v>A+</v>
      </c>
      <c r="Y23" s="200" t="str">
        <f>PERKEMBANGAN!J15</f>
        <v>A</v>
      </c>
      <c r="Z23" s="200" t="str">
        <f>PERKEMBANGAN!K15</f>
        <v>A-/A</v>
      </c>
      <c r="AA23" s="200" t="str">
        <f>PERKEMBANGAN!L15</f>
        <v>B+</v>
      </c>
      <c r="AB23" s="186">
        <f>PERKEMBANGAN!D15</f>
        <v>0</v>
      </c>
      <c r="AC23" s="186">
        <f>PERKEMBANGAN!E15</f>
        <v>0</v>
      </c>
      <c r="AD23" s="186">
        <f>PERKEMBANGAN!F15</f>
        <v>0</v>
      </c>
      <c r="AE23" s="126"/>
    </row>
    <row r="24" spans="1:31" ht="12.95" customHeight="1">
      <c r="A24" s="126"/>
      <c r="B24" s="188">
        <v>12</v>
      </c>
      <c r="C24" s="177" t="str">
        <f>DATASISWA!E19</f>
        <v>Qonita Aulia Nashiroh</v>
      </c>
      <c r="D24" s="178">
        <f>DATASISWA!G19</f>
        <v>0</v>
      </c>
      <c r="E24" s="179">
        <f>RKPALL!H20</f>
        <v>32.634920634920633</v>
      </c>
      <c r="F24" s="180">
        <f>RKPALL!M20</f>
        <v>30.5</v>
      </c>
      <c r="G24" s="181">
        <f>RKPALL!R20</f>
        <v>31.020833333333332</v>
      </c>
      <c r="H24" s="182">
        <f>RKPALL!W20</f>
        <v>29.472222222222225</v>
      </c>
      <c r="I24" s="180">
        <f>RKPALL!AB20</f>
        <v>24.591269841269842</v>
      </c>
      <c r="J24" s="181">
        <f>RKPALL!AG20</f>
        <v>32.353820003578456</v>
      </c>
      <c r="K24" s="179">
        <f>RKPALL!AL20</f>
        <v>0</v>
      </c>
      <c r="L24" s="180">
        <f>RKPALL!AQ20</f>
        <v>32.194444444444443</v>
      </c>
      <c r="M24" s="180">
        <f>RKPALL!AV20</f>
        <v>0</v>
      </c>
      <c r="N24" s="181">
        <f>RKPALL!BA20</f>
        <v>0</v>
      </c>
      <c r="O24" s="180">
        <f>RKPALL!BF20</f>
        <v>31.71875</v>
      </c>
      <c r="P24" s="181">
        <f>RKPALL!BK20</f>
        <v>97.333333333333329</v>
      </c>
      <c r="Q24" s="179">
        <f>RKPALL!BP20</f>
        <v>31.805555555555557</v>
      </c>
      <c r="R24" s="179">
        <f>RKPALL!BU20</f>
        <v>31.805555555555554</v>
      </c>
      <c r="S24" s="181">
        <f>RKPALL!BZ20</f>
        <v>55.166666666666664</v>
      </c>
      <c r="T24" s="182">
        <f>RKPALL!CE20</f>
        <v>55.666666666666664</v>
      </c>
      <c r="U24" s="183">
        <f t="shared" si="0"/>
        <v>516.26403825754664</v>
      </c>
      <c r="V24" s="184">
        <f t="shared" si="1"/>
        <v>32.266502391096665</v>
      </c>
      <c r="W24" s="185">
        <f t="shared" si="2"/>
        <v>12</v>
      </c>
      <c r="X24" s="200" t="str">
        <f>PERKEMBANGAN!I16</f>
        <v>A-</v>
      </c>
      <c r="Y24" s="200" t="str">
        <f>PERKEMBANGAN!J16</f>
        <v>B+</v>
      </c>
      <c r="Z24" s="200" t="str">
        <f>PERKEMBANGAN!K16</f>
        <v>B+/B</v>
      </c>
      <c r="AA24" s="200" t="str">
        <f>PERKEMBANGAN!L16</f>
        <v>A-</v>
      </c>
      <c r="AB24" s="186">
        <f>PERKEMBANGAN!D16</f>
        <v>0</v>
      </c>
      <c r="AC24" s="186">
        <f>PERKEMBANGAN!E16</f>
        <v>0</v>
      </c>
      <c r="AD24" s="186">
        <f>PERKEMBANGAN!F16</f>
        <v>0</v>
      </c>
      <c r="AE24" s="126"/>
    </row>
    <row r="25" spans="1:31" ht="12.95" customHeight="1">
      <c r="A25" s="126"/>
      <c r="B25" s="188">
        <v>13</v>
      </c>
      <c r="C25" s="177" t="str">
        <f>DATASISWA!E20</f>
        <v>Diajeng Pradnya Paramita</v>
      </c>
      <c r="D25" s="178">
        <f>DATASISWA!G20</f>
        <v>0</v>
      </c>
      <c r="E25" s="179">
        <f>RKPALL!H21</f>
        <v>31.468253968253965</v>
      </c>
      <c r="F25" s="180">
        <f>RKPALL!M21</f>
        <v>30.766666666666666</v>
      </c>
      <c r="G25" s="181">
        <f>RKPALL!R21</f>
        <v>31.947916666666668</v>
      </c>
      <c r="H25" s="182">
        <f>RKPALL!W21</f>
        <v>30.216666666666665</v>
      </c>
      <c r="I25" s="180">
        <f>RKPALL!AB21</f>
        <v>24.442026289682541</v>
      </c>
      <c r="J25" s="181">
        <f>RKPALL!AG21</f>
        <v>32.239533011272144</v>
      </c>
      <c r="K25" s="179">
        <f>RKPALL!AL21</f>
        <v>0</v>
      </c>
      <c r="L25" s="180">
        <f>RKPALL!AQ21</f>
        <v>32.045138888888893</v>
      </c>
      <c r="M25" s="180">
        <f>RKPALL!AV21</f>
        <v>0</v>
      </c>
      <c r="N25" s="181">
        <f>RKPALL!BA21</f>
        <v>0</v>
      </c>
      <c r="O25" s="180">
        <f>RKPALL!BF21</f>
        <v>31.71875</v>
      </c>
      <c r="P25" s="181">
        <f>RKPALL!BK21</f>
        <v>94.5</v>
      </c>
      <c r="Q25" s="179">
        <f>RKPALL!BP21</f>
        <v>32.500000000000007</v>
      </c>
      <c r="R25" s="179">
        <f>RKPALL!BU21</f>
        <v>32.05555555555555</v>
      </c>
      <c r="S25" s="181">
        <f>RKPALL!BZ21</f>
        <v>55.166666666666664</v>
      </c>
      <c r="T25" s="182">
        <f>RKPALL!CE21</f>
        <v>55</v>
      </c>
      <c r="U25" s="183">
        <f t="shared" si="0"/>
        <v>514.06717438031978</v>
      </c>
      <c r="V25" s="184">
        <f t="shared" si="1"/>
        <v>32.129198398769987</v>
      </c>
      <c r="W25" s="185">
        <f t="shared" si="2"/>
        <v>14</v>
      </c>
      <c r="X25" s="200" t="str">
        <f>PERKEMBANGAN!I17</f>
        <v>B+</v>
      </c>
      <c r="Y25" s="200" t="str">
        <f>PERKEMBANGAN!J17</f>
        <v>B+</v>
      </c>
      <c r="Z25" s="200" t="str">
        <f>PERKEMBANGAN!K17</f>
        <v>B+/A</v>
      </c>
      <c r="AA25" s="200" t="str">
        <f>PERKEMBANGAN!L17</f>
        <v>B+</v>
      </c>
      <c r="AB25" s="186">
        <f>PERKEMBANGAN!D17</f>
        <v>0</v>
      </c>
      <c r="AC25" s="186">
        <f>PERKEMBANGAN!E17</f>
        <v>0</v>
      </c>
      <c r="AD25" s="186">
        <f>PERKEMBANGAN!F17</f>
        <v>0</v>
      </c>
      <c r="AE25" s="126"/>
    </row>
    <row r="26" spans="1:31" ht="12.95" customHeight="1">
      <c r="A26" s="126"/>
      <c r="B26" s="188">
        <v>14</v>
      </c>
      <c r="C26" s="177" t="str">
        <f>DATASISWA!E21</f>
        <v>Moch. Radit Danu Arta</v>
      </c>
      <c r="D26" s="178">
        <f>DATASISWA!G21</f>
        <v>0</v>
      </c>
      <c r="E26" s="179">
        <f>RKPALL!H22</f>
        <v>29.785714285714288</v>
      </c>
      <c r="F26" s="180">
        <f>RKPALL!M22</f>
        <v>31.333333333333332</v>
      </c>
      <c r="G26" s="181">
        <f>RKPALL!R22</f>
        <v>29.65625</v>
      </c>
      <c r="H26" s="182">
        <f>RKPALL!W22</f>
        <v>26.898148148148149</v>
      </c>
      <c r="I26" s="180">
        <f>RKPALL!AB22</f>
        <v>24.189298115079367</v>
      </c>
      <c r="J26" s="181">
        <f>RKPALL!AG22</f>
        <v>31.766295138559983</v>
      </c>
      <c r="K26" s="179">
        <f>RKPALL!AL22</f>
        <v>0</v>
      </c>
      <c r="L26" s="180">
        <f>RKPALL!AQ22</f>
        <v>31.612188697318008</v>
      </c>
      <c r="M26" s="180">
        <f>RKPALL!AV22</f>
        <v>0</v>
      </c>
      <c r="N26" s="181">
        <f>RKPALL!BA22</f>
        <v>0</v>
      </c>
      <c r="O26" s="180">
        <f>RKPALL!BF22</f>
        <v>31.052083333333332</v>
      </c>
      <c r="P26" s="181">
        <f>RKPALL!BK22</f>
        <v>93.583333333333329</v>
      </c>
      <c r="Q26" s="179">
        <f>RKPALL!BP22</f>
        <v>31.666666666666661</v>
      </c>
      <c r="R26" s="179">
        <f>RKPALL!BU22</f>
        <v>31.111111111111114</v>
      </c>
      <c r="S26" s="181">
        <f>RKPALL!BZ22</f>
        <v>60.833333333333336</v>
      </c>
      <c r="T26" s="182">
        <f>RKPALL!CE22</f>
        <v>57.111111111111107</v>
      </c>
      <c r="U26" s="183">
        <f t="shared" si="0"/>
        <v>510.598866607042</v>
      </c>
      <c r="V26" s="184">
        <f t="shared" si="1"/>
        <v>31.912429162940125</v>
      </c>
      <c r="W26" s="185">
        <f t="shared" si="2"/>
        <v>16</v>
      </c>
      <c r="X26" s="200" t="str">
        <f>PERKEMBANGAN!I18</f>
        <v>B+</v>
      </c>
      <c r="Y26" s="200" t="str">
        <f>PERKEMBANGAN!J18</f>
        <v>A-</v>
      </c>
      <c r="Z26" s="200" t="str">
        <f>PERKEMBANGAN!K18</f>
        <v>B/B</v>
      </c>
      <c r="AA26" s="200" t="str">
        <f>PERKEMBANGAN!L18</f>
        <v>B+</v>
      </c>
      <c r="AB26" s="186">
        <f>PERKEMBANGAN!D18</f>
        <v>0</v>
      </c>
      <c r="AC26" s="186">
        <f>PERKEMBANGAN!E18</f>
        <v>0</v>
      </c>
      <c r="AD26" s="186">
        <f>PERKEMBANGAN!F18</f>
        <v>0</v>
      </c>
      <c r="AE26" s="126"/>
    </row>
    <row r="27" spans="1:31" ht="12.95" customHeight="1">
      <c r="A27" s="126"/>
      <c r="B27" s="188">
        <v>15</v>
      </c>
      <c r="C27" s="177" t="str">
        <f>DATASISWA!E22</f>
        <v>Titania Angelina Saputri</v>
      </c>
      <c r="D27" s="178">
        <f>DATASISWA!G22</f>
        <v>28</v>
      </c>
      <c r="E27" s="179">
        <f>RKPALL!H23</f>
        <v>29.095238095238098</v>
      </c>
      <c r="F27" s="180">
        <f>RKPALL!M23</f>
        <v>26.833333333333332</v>
      </c>
      <c r="G27" s="181">
        <f>RKPALL!R23</f>
        <v>26.677083333333332</v>
      </c>
      <c r="H27" s="182">
        <f>RKPALL!W23</f>
        <v>27.111111111111111</v>
      </c>
      <c r="I27" s="180">
        <f>RKPALL!AB23</f>
        <v>22.679828201312574</v>
      </c>
      <c r="J27" s="181">
        <f>RKPALL!AG23</f>
        <v>30.154174015285133</v>
      </c>
      <c r="K27" s="179">
        <f>RKPALL!AL23</f>
        <v>0</v>
      </c>
      <c r="L27" s="180">
        <f>RKPALL!AQ23</f>
        <v>29.770833333333332</v>
      </c>
      <c r="M27" s="180">
        <f>RKPALL!AV23</f>
        <v>0</v>
      </c>
      <c r="N27" s="181">
        <f>RKPALL!BA23</f>
        <v>0</v>
      </c>
      <c r="O27" s="180">
        <f>RKPALL!BF23</f>
        <v>29.756944444444443</v>
      </c>
      <c r="P27" s="181">
        <f>RKPALL!BK23</f>
        <v>84.083333333333329</v>
      </c>
      <c r="Q27" s="179">
        <f>RKPALL!BP23</f>
        <v>31.249999999999996</v>
      </c>
      <c r="R27" s="179">
        <f>RKPALL!BU23</f>
        <v>30.277777777777782</v>
      </c>
      <c r="S27" s="181">
        <f>RKPALL!BZ23</f>
        <v>59.5</v>
      </c>
      <c r="T27" s="182">
        <f>RKPALL!CE23</f>
        <v>55.222222222222229</v>
      </c>
      <c r="U27" s="183">
        <f t="shared" si="0"/>
        <v>482.41187920072468</v>
      </c>
      <c r="V27" s="184">
        <f t="shared" si="1"/>
        <v>30.150742450045293</v>
      </c>
      <c r="W27" s="185">
        <f t="shared" si="2"/>
        <v>23</v>
      </c>
      <c r="X27" s="200" t="str">
        <f>PERKEMBANGAN!I19</f>
        <v>B-</v>
      </c>
      <c r="Y27" s="200" t="str">
        <f>PERKEMBANGAN!J19</f>
        <v>A+</v>
      </c>
      <c r="Z27" s="200" t="str">
        <f>PERKEMBANGAN!K19</f>
        <v>B-/B</v>
      </c>
      <c r="AA27" s="200" t="str">
        <f>PERKEMBANGAN!L19</f>
        <v>B+</v>
      </c>
      <c r="AB27" s="186">
        <f>PERKEMBANGAN!D19</f>
        <v>0</v>
      </c>
      <c r="AC27" s="186">
        <f>PERKEMBANGAN!E19</f>
        <v>0</v>
      </c>
      <c r="AD27" s="186">
        <f>PERKEMBANGAN!F19</f>
        <v>0</v>
      </c>
      <c r="AE27" s="126"/>
    </row>
    <row r="28" spans="1:31" ht="12.95" customHeight="1">
      <c r="A28" s="126"/>
      <c r="B28" s="187">
        <v>16</v>
      </c>
      <c r="C28" s="177">
        <f>DATASISWA!E23</f>
        <v>0</v>
      </c>
      <c r="D28" s="178">
        <f>DATASISWA!G23</f>
        <v>0</v>
      </c>
      <c r="E28" s="179">
        <f>RKPALL!H24</f>
        <v>30.555555555555557</v>
      </c>
      <c r="F28" s="180">
        <f>RKPALL!M24</f>
        <v>27.400000000000002</v>
      </c>
      <c r="G28" s="181">
        <f>RKPALL!R24</f>
        <v>29.791666666666668</v>
      </c>
      <c r="H28" s="182">
        <f>RKPALL!W24</f>
        <v>26.564814814814813</v>
      </c>
      <c r="I28" s="180">
        <f>RKPALL!AB24</f>
        <v>24.108010912698411</v>
      </c>
      <c r="J28" s="181">
        <f>RKPALL!AG24</f>
        <v>31.823939881910899</v>
      </c>
      <c r="K28" s="179">
        <f>RKPALL!AL24</f>
        <v>0</v>
      </c>
      <c r="L28" s="180">
        <f>RKPALL!AQ24</f>
        <v>31.682291666666668</v>
      </c>
      <c r="M28" s="180">
        <f>RKPALL!AV24</f>
        <v>0</v>
      </c>
      <c r="N28" s="181">
        <f>RKPALL!BA24</f>
        <v>0</v>
      </c>
      <c r="O28" s="180">
        <f>RKPALL!BF24</f>
        <v>31.09375</v>
      </c>
      <c r="P28" s="181">
        <f>RKPALL!BK24</f>
        <v>93.166666666666671</v>
      </c>
      <c r="Q28" s="179">
        <f>RKPALL!BP24</f>
        <v>30.694444444444446</v>
      </c>
      <c r="R28" s="179">
        <f>RKPALL!BU24</f>
        <v>31.777777777777782</v>
      </c>
      <c r="S28" s="181">
        <f>RKPALL!BZ24</f>
        <v>59.166666666666664</v>
      </c>
      <c r="T28" s="182">
        <f>RKPALL!CE24</f>
        <v>61.111111111111107</v>
      </c>
      <c r="U28" s="183">
        <f t="shared" si="0"/>
        <v>508.93669616497965</v>
      </c>
      <c r="V28" s="184">
        <f t="shared" si="1"/>
        <v>31.808543510311228</v>
      </c>
      <c r="W28" s="185">
        <f t="shared" si="2"/>
        <v>17</v>
      </c>
      <c r="X28" s="200" t="str">
        <f>PERKEMBANGAN!I20</f>
        <v>B+</v>
      </c>
      <c r="Y28" s="200" t="str">
        <f>PERKEMBANGAN!J20</f>
        <v>B+</v>
      </c>
      <c r="Z28" s="200" t="str">
        <f>PERKEMBANGAN!K20</f>
        <v>B+/A</v>
      </c>
      <c r="AA28" s="200" t="str">
        <f>PERKEMBANGAN!L20</f>
        <v>B+</v>
      </c>
      <c r="AB28" s="186">
        <f>PERKEMBANGAN!D20</f>
        <v>0</v>
      </c>
      <c r="AC28" s="186">
        <f>PERKEMBANGAN!E20</f>
        <v>0</v>
      </c>
      <c r="AD28" s="186">
        <f>PERKEMBANGAN!F20</f>
        <v>0</v>
      </c>
      <c r="AE28" s="126"/>
    </row>
    <row r="29" spans="1:31" ht="12.95" customHeight="1">
      <c r="A29" s="126"/>
      <c r="B29" s="187">
        <v>17</v>
      </c>
      <c r="C29" s="177">
        <f>DATASISWA!E24</f>
        <v>0</v>
      </c>
      <c r="D29" s="178">
        <f>DATASISWA!G24</f>
        <v>0</v>
      </c>
      <c r="E29" s="179">
        <f>RKPALL!H25</f>
        <v>30.531746031746035</v>
      </c>
      <c r="F29" s="180">
        <f>RKPALL!M25</f>
        <v>32.516666666666666</v>
      </c>
      <c r="G29" s="181">
        <f>RKPALL!R25</f>
        <v>31.28125</v>
      </c>
      <c r="H29" s="182">
        <f>RKPALL!W25</f>
        <v>31.851851851851848</v>
      </c>
      <c r="I29" s="180">
        <f>RKPALL!AB25</f>
        <v>24.729476686507937</v>
      </c>
      <c r="J29" s="181">
        <f>RKPALL!AG25</f>
        <v>32.854848810162821</v>
      </c>
      <c r="K29" s="179">
        <f>RKPALL!AL25</f>
        <v>0</v>
      </c>
      <c r="L29" s="180">
        <f>RKPALL!AQ25</f>
        <v>32.821180555555557</v>
      </c>
      <c r="M29" s="180">
        <f>RKPALL!AV25</f>
        <v>0</v>
      </c>
      <c r="N29" s="181">
        <f>RKPALL!BA25</f>
        <v>0</v>
      </c>
      <c r="O29" s="180">
        <f>RKPALL!BF25</f>
        <v>32.760416666666664</v>
      </c>
      <c r="P29" s="181">
        <f>RKPALL!BK25</f>
        <v>92.166666666666671</v>
      </c>
      <c r="Q29" s="179">
        <f>RKPALL!BP25</f>
        <v>32.430555555555557</v>
      </c>
      <c r="R29" s="179">
        <f>RKPALL!BU25</f>
        <v>31.888888888888889</v>
      </c>
      <c r="S29" s="181">
        <f>RKPALL!BZ25</f>
        <v>60</v>
      </c>
      <c r="T29" s="182">
        <f>RKPALL!CE25</f>
        <v>64.444444444444443</v>
      </c>
      <c r="U29" s="183">
        <f t="shared" si="0"/>
        <v>530.27799282471301</v>
      </c>
      <c r="V29" s="184">
        <f t="shared" si="1"/>
        <v>33.142374551544563</v>
      </c>
      <c r="W29" s="185">
        <f t="shared" si="2"/>
        <v>4</v>
      </c>
      <c r="X29" s="200" t="str">
        <f>PERKEMBANGAN!I21</f>
        <v>A+</v>
      </c>
      <c r="Y29" s="200" t="str">
        <f>PERKEMBANGAN!J21</f>
        <v>A+</v>
      </c>
      <c r="Z29" s="200" t="str">
        <f>PERKEMBANGAN!K21</f>
        <v>A-/B</v>
      </c>
      <c r="AA29" s="200" t="str">
        <f>PERKEMBANGAN!L21</f>
        <v>A-</v>
      </c>
      <c r="AB29" s="186">
        <f>PERKEMBANGAN!D21</f>
        <v>0</v>
      </c>
      <c r="AC29" s="186">
        <f>PERKEMBANGAN!E21</f>
        <v>0</v>
      </c>
      <c r="AD29" s="186">
        <f>PERKEMBANGAN!F21</f>
        <v>0</v>
      </c>
      <c r="AE29" s="126"/>
    </row>
    <row r="30" spans="1:31" ht="12.95" customHeight="1">
      <c r="A30" s="126"/>
      <c r="B30" s="188">
        <v>18</v>
      </c>
      <c r="C30" s="177">
        <f>DATASISWA!E25</f>
        <v>0</v>
      </c>
      <c r="D30" s="178">
        <f>DATASISWA!G25</f>
        <v>0</v>
      </c>
      <c r="E30" s="179">
        <f>RKPALL!H26</f>
        <v>31.74603174603175</v>
      </c>
      <c r="F30" s="180">
        <f>RKPALL!M26</f>
        <v>30.233333333333334</v>
      </c>
      <c r="G30" s="181">
        <f>RKPALL!R26</f>
        <v>31.791666666666668</v>
      </c>
      <c r="H30" s="182">
        <f>RKPALL!W26</f>
        <v>28.433333333333334</v>
      </c>
      <c r="I30" s="180">
        <f>RKPALL!AB26</f>
        <v>23.594246031746035</v>
      </c>
      <c r="J30" s="181">
        <f>RKPALL!AG26</f>
        <v>31.303299849193568</v>
      </c>
      <c r="K30" s="179">
        <f>RKPALL!AL26</f>
        <v>0</v>
      </c>
      <c r="L30" s="180">
        <f>RKPALL!AQ26</f>
        <v>31.316271551724139</v>
      </c>
      <c r="M30" s="180">
        <f>RKPALL!AV26</f>
        <v>0</v>
      </c>
      <c r="N30" s="181">
        <f>RKPALL!BA26</f>
        <v>0</v>
      </c>
      <c r="O30" s="180">
        <f>RKPALL!BF26</f>
        <v>31.108630952380953</v>
      </c>
      <c r="P30" s="181">
        <f>RKPALL!BK26</f>
        <v>89.75</v>
      </c>
      <c r="Q30" s="179">
        <f>RKPALL!BP26</f>
        <v>33.194444444444443</v>
      </c>
      <c r="R30" s="179">
        <f>RKPALL!BU26</f>
        <v>32.083333333333336</v>
      </c>
      <c r="S30" s="181">
        <f>RKPALL!BZ26</f>
        <v>58.5</v>
      </c>
      <c r="T30" s="182">
        <f>RKPALL!CE26</f>
        <v>63.666666666666664</v>
      </c>
      <c r="U30" s="183">
        <f t="shared" si="0"/>
        <v>516.72125790885423</v>
      </c>
      <c r="V30" s="184">
        <f t="shared" si="1"/>
        <v>32.295078619303389</v>
      </c>
      <c r="W30" s="185">
        <f t="shared" si="2"/>
        <v>11</v>
      </c>
      <c r="X30" s="200" t="str">
        <f>PERKEMBANGAN!I22</f>
        <v>A+</v>
      </c>
      <c r="Y30" s="200" t="str">
        <f>PERKEMBANGAN!J22</f>
        <v>A+</v>
      </c>
      <c r="Z30" s="200" t="str">
        <f>PERKEMBANGAN!K22</f>
        <v>A-/A+</v>
      </c>
      <c r="AA30" s="200" t="str">
        <f>PERKEMBANGAN!L22</f>
        <v>B+</v>
      </c>
      <c r="AB30" s="186">
        <f>PERKEMBANGAN!D22</f>
        <v>0</v>
      </c>
      <c r="AC30" s="186">
        <f>PERKEMBANGAN!E22</f>
        <v>0</v>
      </c>
      <c r="AD30" s="186">
        <f>PERKEMBANGAN!F22</f>
        <v>0</v>
      </c>
      <c r="AE30" s="126"/>
    </row>
    <row r="31" spans="1:31" ht="12.95" customHeight="1">
      <c r="A31" s="126"/>
      <c r="B31" s="187">
        <v>19</v>
      </c>
      <c r="C31" s="177">
        <f>DATASISWA!E26</f>
        <v>0</v>
      </c>
      <c r="D31" s="178">
        <f>DATASISWA!G26</f>
        <v>0</v>
      </c>
      <c r="E31" s="179">
        <f>RKPALL!H27</f>
        <v>28.19047619047619</v>
      </c>
      <c r="F31" s="180">
        <f>RKPALL!M27</f>
        <v>28.75</v>
      </c>
      <c r="G31" s="181">
        <f>RKPALL!R27</f>
        <v>27.791666666666668</v>
      </c>
      <c r="H31" s="182">
        <f>RKPALL!W27</f>
        <v>26.790740740740741</v>
      </c>
      <c r="I31" s="180">
        <f>RKPALL!AB27</f>
        <v>23.566716269841269</v>
      </c>
      <c r="J31" s="181">
        <f>RKPALL!AG27</f>
        <v>31.12314367507604</v>
      </c>
      <c r="K31" s="179">
        <f>RKPALL!AL27</f>
        <v>0</v>
      </c>
      <c r="L31" s="180">
        <f>RKPALL!AQ27</f>
        <v>30.708680555555556</v>
      </c>
      <c r="M31" s="180">
        <f>RKPALL!AV27</f>
        <v>0</v>
      </c>
      <c r="N31" s="181">
        <f>RKPALL!BA27</f>
        <v>0</v>
      </c>
      <c r="O31" s="180">
        <f>RKPALL!BF27</f>
        <v>30.927083333333332</v>
      </c>
      <c r="P31" s="181">
        <f>RKPALL!BK27</f>
        <v>85.25</v>
      </c>
      <c r="Q31" s="179">
        <f>RKPALL!BP27</f>
        <v>30.833333333333332</v>
      </c>
      <c r="R31" s="179">
        <f>RKPALL!BU27</f>
        <v>30</v>
      </c>
      <c r="S31" s="181">
        <f>RKPALL!BZ27</f>
        <v>51.833333333333336</v>
      </c>
      <c r="T31" s="182">
        <f>RKPALL!CE27</f>
        <v>50</v>
      </c>
      <c r="U31" s="183">
        <f t="shared" si="0"/>
        <v>475.76517409835645</v>
      </c>
      <c r="V31" s="184">
        <f t="shared" si="1"/>
        <v>29.735323381147278</v>
      </c>
      <c r="W31" s="185">
        <f t="shared" si="2"/>
        <v>24</v>
      </c>
      <c r="X31" s="200" t="str">
        <f>PERKEMBANGAN!I23</f>
        <v>B</v>
      </c>
      <c r="Y31" s="200" t="str">
        <f>PERKEMBANGAN!J23</f>
        <v>B</v>
      </c>
      <c r="Z31" s="200" t="str">
        <f>PERKEMBANGAN!K23</f>
        <v>B-/D</v>
      </c>
      <c r="AA31" s="200" t="str">
        <f>PERKEMBANGAN!L23</f>
        <v>B+</v>
      </c>
      <c r="AB31" s="186">
        <f>PERKEMBANGAN!D23</f>
        <v>0</v>
      </c>
      <c r="AC31" s="186">
        <f>PERKEMBANGAN!E23</f>
        <v>0</v>
      </c>
      <c r="AD31" s="186">
        <f>PERKEMBANGAN!F23</f>
        <v>0</v>
      </c>
      <c r="AE31" s="126"/>
    </row>
    <row r="32" spans="1:31" ht="12.95" customHeight="1">
      <c r="A32" s="126"/>
      <c r="B32" s="188">
        <v>20</v>
      </c>
      <c r="C32" s="177">
        <f>DATASISWA!E27</f>
        <v>0</v>
      </c>
      <c r="D32" s="178">
        <f>DATASISWA!G27</f>
        <v>0</v>
      </c>
      <c r="E32" s="179">
        <f>RKPALL!H28</f>
        <v>28.976190476190478</v>
      </c>
      <c r="F32" s="180">
        <f>RKPALL!M28</f>
        <v>30.233333333333334</v>
      </c>
      <c r="G32" s="181">
        <f>RKPALL!R28</f>
        <v>27.28125</v>
      </c>
      <c r="H32" s="182">
        <f>RKPALL!W28</f>
        <v>26.444444444444443</v>
      </c>
      <c r="I32" s="180">
        <f>RKPALL!AB28</f>
        <v>23.337859623015877</v>
      </c>
      <c r="J32" s="181">
        <f>RKPALL!AG28</f>
        <v>30.618178565038466</v>
      </c>
      <c r="K32" s="179">
        <f>RKPALL!AL28</f>
        <v>0</v>
      </c>
      <c r="L32" s="180">
        <f>RKPALL!AQ28</f>
        <v>30.840277777777775</v>
      </c>
      <c r="M32" s="180">
        <f>RKPALL!AV28</f>
        <v>0</v>
      </c>
      <c r="N32" s="181">
        <f>RKPALL!BA28</f>
        <v>0</v>
      </c>
      <c r="O32" s="180">
        <f>RKPALL!BF28</f>
        <v>30.3125</v>
      </c>
      <c r="P32" s="181">
        <f>RKPALL!BK28</f>
        <v>85.083333333333329</v>
      </c>
      <c r="Q32" s="179">
        <f>RKPALL!BP28</f>
        <v>31.249999999999996</v>
      </c>
      <c r="R32" s="179">
        <f>RKPALL!BU28</f>
        <v>30.472222222222218</v>
      </c>
      <c r="S32" s="181">
        <f>RKPALL!BZ28</f>
        <v>60</v>
      </c>
      <c r="T32" s="182">
        <f>RKPALL!CE28</f>
        <v>61</v>
      </c>
      <c r="U32" s="183">
        <f t="shared" si="0"/>
        <v>495.84958977535592</v>
      </c>
      <c r="V32" s="184">
        <f t="shared" si="1"/>
        <v>30.990599360959745</v>
      </c>
      <c r="W32" s="185">
        <f t="shared" si="2"/>
        <v>21</v>
      </c>
      <c r="X32" s="200" t="str">
        <f>PERKEMBANGAN!I24</f>
        <v>B-</v>
      </c>
      <c r="Y32" s="200" t="str">
        <f>PERKEMBANGAN!J24</f>
        <v>A-</v>
      </c>
      <c r="Z32" s="200" t="str">
        <f>PERKEMBANGAN!K24</f>
        <v>B-/B</v>
      </c>
      <c r="AA32" s="200" t="str">
        <f>PERKEMBANGAN!L24</f>
        <v>B+</v>
      </c>
      <c r="AB32" s="186">
        <f>PERKEMBANGAN!D24</f>
        <v>0</v>
      </c>
      <c r="AC32" s="186">
        <f>PERKEMBANGAN!E24</f>
        <v>0</v>
      </c>
      <c r="AD32" s="186">
        <f>PERKEMBANGAN!F24</f>
        <v>0</v>
      </c>
      <c r="AE32" s="126"/>
    </row>
    <row r="33" spans="1:31" ht="12.95" customHeight="1">
      <c r="A33" s="126"/>
      <c r="B33" s="187">
        <v>21</v>
      </c>
      <c r="C33" s="177">
        <f>DATASISWA!E28</f>
        <v>0</v>
      </c>
      <c r="D33" s="178">
        <f>DATASISWA!G28</f>
        <v>0</v>
      </c>
      <c r="E33" s="179">
        <f>RKPALL!H29</f>
        <v>31.5</v>
      </c>
      <c r="F33" s="180">
        <f>RKPALL!M29</f>
        <v>30.400000000000002</v>
      </c>
      <c r="G33" s="181">
        <f>RKPALL!R29</f>
        <v>29.75</v>
      </c>
      <c r="H33" s="182">
        <f>RKPALL!W29</f>
        <v>29.759259259259263</v>
      </c>
      <c r="I33" s="180">
        <f>RKPALL!AB29</f>
        <v>24.296781994047617</v>
      </c>
      <c r="J33" s="181">
        <f>RKPALL!AG29</f>
        <v>32.302379674360353</v>
      </c>
      <c r="K33" s="179">
        <f>RKPALL!AL29</f>
        <v>0</v>
      </c>
      <c r="L33" s="180">
        <f>RKPALL!AQ29</f>
        <v>32.295138888888893</v>
      </c>
      <c r="M33" s="180">
        <f>RKPALL!AV29</f>
        <v>0</v>
      </c>
      <c r="N33" s="181">
        <f>RKPALL!BA29</f>
        <v>0</v>
      </c>
      <c r="O33" s="180">
        <f>RKPALL!BF29</f>
        <v>31.770833333333332</v>
      </c>
      <c r="P33" s="181">
        <f>RKPALL!BK29</f>
        <v>92.083333333333329</v>
      </c>
      <c r="Q33" s="179">
        <f>RKPALL!BP29</f>
        <v>32.777777777777779</v>
      </c>
      <c r="R33" s="179">
        <f>RKPALL!BU29</f>
        <v>32.472222222222221</v>
      </c>
      <c r="S33" s="181">
        <f>RKPALL!BZ29</f>
        <v>58</v>
      </c>
      <c r="T33" s="182">
        <f>RKPALL!CE29</f>
        <v>58.333333333333336</v>
      </c>
      <c r="U33" s="183">
        <f t="shared" si="0"/>
        <v>515.74105981655612</v>
      </c>
      <c r="V33" s="184">
        <f t="shared" si="1"/>
        <v>32.233816238534757</v>
      </c>
      <c r="W33" s="185">
        <f t="shared" si="2"/>
        <v>13</v>
      </c>
      <c r="X33" s="200" t="str">
        <f>PERKEMBANGAN!I25</f>
        <v>A+</v>
      </c>
      <c r="Y33" s="200" t="str">
        <f>PERKEMBANGAN!J25</f>
        <v>A+</v>
      </c>
      <c r="Z33" s="200" t="str">
        <f>PERKEMBANGAN!K25</f>
        <v>A-/A</v>
      </c>
      <c r="AA33" s="200" t="str">
        <f>PERKEMBANGAN!L25</f>
        <v>A-</v>
      </c>
      <c r="AB33" s="186">
        <f>PERKEMBANGAN!D25</f>
        <v>0</v>
      </c>
      <c r="AC33" s="186">
        <f>PERKEMBANGAN!E25</f>
        <v>0</v>
      </c>
      <c r="AD33" s="186">
        <f>PERKEMBANGAN!F25</f>
        <v>0</v>
      </c>
      <c r="AE33" s="126"/>
    </row>
    <row r="34" spans="1:31" ht="12.95" customHeight="1">
      <c r="A34" s="126"/>
      <c r="B34" s="187">
        <v>22</v>
      </c>
      <c r="C34" s="177">
        <f>DATASISWA!E29</f>
        <v>0</v>
      </c>
      <c r="D34" s="178">
        <f>DATASISWA!G29</f>
        <v>0</v>
      </c>
      <c r="E34" s="179">
        <f>RKPALL!H30</f>
        <v>29.047619047619047</v>
      </c>
      <c r="F34" s="180">
        <f>RKPALL!M30</f>
        <v>26.666666666666668</v>
      </c>
      <c r="G34" s="181">
        <f>RKPALL!R30</f>
        <v>29.65625</v>
      </c>
      <c r="H34" s="182">
        <f>RKPALL!W30</f>
        <v>29.361111111111111</v>
      </c>
      <c r="I34" s="180">
        <f>RKPALL!AB30</f>
        <v>23.695901537698415</v>
      </c>
      <c r="J34" s="181">
        <f>RKPALL!AG30</f>
        <v>31.658008077090205</v>
      </c>
      <c r="K34" s="179">
        <f>RKPALL!AL30</f>
        <v>0</v>
      </c>
      <c r="L34" s="180">
        <f>RKPALL!AQ30</f>
        <v>31.142113095238091</v>
      </c>
      <c r="M34" s="180">
        <f>RKPALL!AV30</f>
        <v>0</v>
      </c>
      <c r="N34" s="181">
        <f>RKPALL!BA30</f>
        <v>0</v>
      </c>
      <c r="O34" s="180">
        <f>RKPALL!BF30</f>
        <v>31.458333333333332</v>
      </c>
      <c r="P34" s="181">
        <f>RKPALL!BK30</f>
        <v>87.25</v>
      </c>
      <c r="Q34" s="179">
        <f>RKPALL!BP30</f>
        <v>31.736111111111114</v>
      </c>
      <c r="R34" s="179">
        <f>RKPALL!BU30</f>
        <v>29.361111111111114</v>
      </c>
      <c r="S34" s="181">
        <f>RKPALL!BZ30</f>
        <v>56.5</v>
      </c>
      <c r="T34" s="182">
        <f>RKPALL!CE30</f>
        <v>53.555555555555564</v>
      </c>
      <c r="U34" s="183">
        <f t="shared" si="0"/>
        <v>491.08878064653459</v>
      </c>
      <c r="V34" s="184">
        <f t="shared" si="1"/>
        <v>30.693048790408412</v>
      </c>
      <c r="W34" s="185">
        <f t="shared" si="2"/>
        <v>22</v>
      </c>
      <c r="X34" s="200" t="str">
        <f>PERKEMBANGAN!I26</f>
        <v>A-</v>
      </c>
      <c r="Y34" s="200" t="str">
        <f>PERKEMBANGAN!J26</f>
        <v>A-</v>
      </c>
      <c r="Z34" s="200" t="str">
        <f>PERKEMBANGAN!K26</f>
        <v>B+/B</v>
      </c>
      <c r="AA34" s="200" t="str">
        <f>PERKEMBANGAN!L26</f>
        <v>B+</v>
      </c>
      <c r="AB34" s="186">
        <f>PERKEMBANGAN!D26</f>
        <v>0</v>
      </c>
      <c r="AC34" s="186">
        <f>PERKEMBANGAN!E26</f>
        <v>0</v>
      </c>
      <c r="AD34" s="186">
        <f>PERKEMBANGAN!F26</f>
        <v>0</v>
      </c>
      <c r="AE34" s="126"/>
    </row>
    <row r="35" spans="1:31" ht="12.95" customHeight="1">
      <c r="A35" s="126"/>
      <c r="B35" s="187">
        <v>23</v>
      </c>
      <c r="C35" s="177">
        <f>DATASISWA!E30</f>
        <v>0</v>
      </c>
      <c r="D35" s="178">
        <f>DATASISWA!G30</f>
        <v>0</v>
      </c>
      <c r="E35" s="179">
        <f>RKPALL!H31</f>
        <v>28.301587301587301</v>
      </c>
      <c r="F35" s="180">
        <f>RKPALL!M31</f>
        <v>30.583333333333332</v>
      </c>
      <c r="G35" s="181">
        <f>RKPALL!R31</f>
        <v>30.270833333333332</v>
      </c>
      <c r="H35" s="182">
        <f>RKPALL!W31</f>
        <v>28.922222222222221</v>
      </c>
      <c r="I35" s="180">
        <f>RKPALL!AB31</f>
        <v>24.388516865079367</v>
      </c>
      <c r="J35" s="181">
        <f>RKPALL!AG31</f>
        <v>32.572016460905346</v>
      </c>
      <c r="K35" s="179">
        <f>RKPALL!AL31</f>
        <v>0</v>
      </c>
      <c r="L35" s="180">
        <f>RKPALL!AQ31</f>
        <v>32.407986111111107</v>
      </c>
      <c r="M35" s="180">
        <f>RKPALL!AV31</f>
        <v>0</v>
      </c>
      <c r="N35" s="181">
        <f>RKPALL!BA31</f>
        <v>0</v>
      </c>
      <c r="O35" s="180">
        <f>RKPALL!BF31</f>
        <v>32.552083333333336</v>
      </c>
      <c r="P35" s="181">
        <f>RKPALL!BK31</f>
        <v>94.75</v>
      </c>
      <c r="Q35" s="179">
        <f>RKPALL!BP31</f>
        <v>31.736111111111114</v>
      </c>
      <c r="R35" s="179">
        <f>RKPALL!BU31</f>
        <v>28.833333333333332</v>
      </c>
      <c r="S35" s="181">
        <f>RKPALL!BZ31</f>
        <v>65.166666666666671</v>
      </c>
      <c r="T35" s="182">
        <f>RKPALL!CE31</f>
        <v>65.444444444444443</v>
      </c>
      <c r="U35" s="183">
        <f t="shared" si="0"/>
        <v>525.92913451646086</v>
      </c>
      <c r="V35" s="189">
        <f t="shared" si="1"/>
        <v>32.870570907278804</v>
      </c>
      <c r="W35" s="185">
        <f t="shared" si="2"/>
        <v>6</v>
      </c>
      <c r="X35" s="200" t="str">
        <f>PERKEMBANGAN!I27</f>
        <v>A+</v>
      </c>
      <c r="Y35" s="200" t="str">
        <f>PERKEMBANGAN!J27</f>
        <v>A+</v>
      </c>
      <c r="Z35" s="200" t="str">
        <f>PERKEMBANGAN!K27</f>
        <v>B+/A</v>
      </c>
      <c r="AA35" s="200" t="str">
        <f>PERKEMBANGAN!L27</f>
        <v>B+</v>
      </c>
      <c r="AB35" s="186">
        <f>PERKEMBANGAN!D27</f>
        <v>0</v>
      </c>
      <c r="AC35" s="186">
        <f>PERKEMBANGAN!E27</f>
        <v>0</v>
      </c>
      <c r="AD35" s="186">
        <f>PERKEMBANGAN!F27</f>
        <v>0</v>
      </c>
      <c r="AE35" s="126"/>
    </row>
    <row r="36" spans="1:31" ht="12.95" customHeight="1">
      <c r="A36" s="126"/>
      <c r="B36" s="187">
        <v>24</v>
      </c>
      <c r="C36" s="177">
        <f>DATASISWA!E31</f>
        <v>0</v>
      </c>
      <c r="D36" s="178">
        <f>DATASISWA!G31</f>
        <v>0</v>
      </c>
      <c r="E36" s="179">
        <f>RKPALL!H32</f>
        <v>31.396825396825395</v>
      </c>
      <c r="F36" s="180">
        <f>RKPALL!M32</f>
        <v>31.150000000000002</v>
      </c>
      <c r="G36" s="181">
        <f>RKPALL!R32</f>
        <v>27.291666666666668</v>
      </c>
      <c r="H36" s="182">
        <f>RKPALL!W32</f>
        <v>31.037037037037042</v>
      </c>
      <c r="I36" s="180">
        <f>RKPALL!AB32</f>
        <v>23.528307629870127</v>
      </c>
      <c r="J36" s="181">
        <f>RKPALL!AG32</f>
        <v>31.327965646806224</v>
      </c>
      <c r="K36" s="179">
        <f>RKPALL!AL32</f>
        <v>0</v>
      </c>
      <c r="L36" s="180">
        <f>RKPALL!AQ32</f>
        <v>31.064236111111111</v>
      </c>
      <c r="M36" s="180">
        <f>RKPALL!AV32</f>
        <v>0</v>
      </c>
      <c r="N36" s="181">
        <f>RKPALL!BA32</f>
        <v>0</v>
      </c>
      <c r="O36" s="180">
        <f>RKPALL!BF32</f>
        <v>30.989583333333332</v>
      </c>
      <c r="P36" s="181">
        <f>RKPALL!BK32</f>
        <v>91.666666666666671</v>
      </c>
      <c r="Q36" s="179">
        <f>RKPALL!BP32</f>
        <v>30.902777777777775</v>
      </c>
      <c r="R36" s="179">
        <f>RKPALL!BU32</f>
        <v>32.472222222222221</v>
      </c>
      <c r="S36" s="181">
        <f>RKPALL!BZ32</f>
        <v>55.833333333333336</v>
      </c>
      <c r="T36" s="182">
        <f>RKPALL!CE32</f>
        <v>50</v>
      </c>
      <c r="U36" s="183">
        <f t="shared" si="0"/>
        <v>498.6606218216499</v>
      </c>
      <c r="V36" s="189">
        <f t="shared" si="1"/>
        <v>31.166288863853119</v>
      </c>
      <c r="W36" s="185">
        <f t="shared" si="2"/>
        <v>19</v>
      </c>
      <c r="X36" s="200" t="str">
        <f>PERKEMBANGAN!I28</f>
        <v>B+</v>
      </c>
      <c r="Y36" s="200" t="str">
        <f>PERKEMBANGAN!J28</f>
        <v>B+</v>
      </c>
      <c r="Z36" s="200" t="str">
        <f>PERKEMBANGAN!K28</f>
        <v>B-/B</v>
      </c>
      <c r="AA36" s="200" t="str">
        <f>PERKEMBANGAN!L28</f>
        <v>A-</v>
      </c>
      <c r="AB36" s="186">
        <f>PERKEMBANGAN!D28</f>
        <v>0</v>
      </c>
      <c r="AC36" s="186">
        <f>PERKEMBANGAN!E28</f>
        <v>0</v>
      </c>
      <c r="AD36" s="186">
        <f>PERKEMBANGAN!F28</f>
        <v>0</v>
      </c>
      <c r="AE36" s="126"/>
    </row>
    <row r="37" spans="1:31" ht="12.95" customHeight="1">
      <c r="A37" s="126"/>
      <c r="B37" s="188">
        <v>25</v>
      </c>
      <c r="C37" s="177">
        <f>DATASISWA!E32</f>
        <v>0</v>
      </c>
      <c r="D37" s="178">
        <f>DATASISWA!G32</f>
        <v>0</v>
      </c>
      <c r="E37" s="179">
        <f>RKPALL!H33</f>
        <v>0</v>
      </c>
      <c r="F37" s="180">
        <f>RKPALL!M33</f>
        <v>0</v>
      </c>
      <c r="G37" s="181">
        <f>RKPALL!R33</f>
        <v>0</v>
      </c>
      <c r="H37" s="182">
        <f>RKPALL!W33</f>
        <v>0</v>
      </c>
      <c r="I37" s="180">
        <f>RKPALL!AB33</f>
        <v>0</v>
      </c>
      <c r="J37" s="181">
        <f>RKPALL!AG33</f>
        <v>0</v>
      </c>
      <c r="K37" s="179">
        <f>RKPALL!AL33</f>
        <v>0</v>
      </c>
      <c r="L37" s="180">
        <f>RKPALL!AQ33</f>
        <v>0</v>
      </c>
      <c r="M37" s="180">
        <f>RKPALL!AV33</f>
        <v>0</v>
      </c>
      <c r="N37" s="181">
        <f>RKPALL!BA33</f>
        <v>0</v>
      </c>
      <c r="O37" s="180">
        <f>RKPALL!BF33</f>
        <v>0</v>
      </c>
      <c r="P37" s="181">
        <f>RKPALL!BK33</f>
        <v>0</v>
      </c>
      <c r="Q37" s="179">
        <f>RKPALL!BP33</f>
        <v>0</v>
      </c>
      <c r="R37" s="179">
        <f>RKPALL!BU33</f>
        <v>0</v>
      </c>
      <c r="S37" s="181">
        <f>RKPALL!BZ33</f>
        <v>0</v>
      </c>
      <c r="T37" s="182">
        <f>RKPALL!CE33</f>
        <v>0</v>
      </c>
      <c r="U37" s="183">
        <f t="shared" si="0"/>
        <v>0</v>
      </c>
      <c r="V37" s="189">
        <f t="shared" si="1"/>
        <v>0</v>
      </c>
      <c r="W37" s="185">
        <f t="shared" si="2"/>
        <v>0</v>
      </c>
      <c r="X37" s="200">
        <f>PERKEMBANGAN!I29</f>
        <v>0</v>
      </c>
      <c r="Y37" s="200">
        <f>PERKEMBANGAN!J29</f>
        <v>0</v>
      </c>
      <c r="Z37" s="200">
        <f>PERKEMBANGAN!K29</f>
        <v>0</v>
      </c>
      <c r="AA37" s="200">
        <f>PERKEMBANGAN!L29</f>
        <v>0</v>
      </c>
      <c r="AB37" s="186">
        <f>PERKEMBANGAN!D29</f>
        <v>0</v>
      </c>
      <c r="AC37" s="186">
        <f>PERKEMBANGAN!E29</f>
        <v>0</v>
      </c>
      <c r="AD37" s="186">
        <f>PERKEMBANGAN!F29</f>
        <v>0</v>
      </c>
      <c r="AE37" s="126"/>
    </row>
    <row r="38" spans="1:31" ht="12.95" customHeight="1">
      <c r="A38" s="126"/>
      <c r="B38" s="187">
        <v>26</v>
      </c>
      <c r="C38" s="177">
        <f>DATASISWA!E33</f>
        <v>0</v>
      </c>
      <c r="D38" s="178">
        <f>DATASISWA!G33</f>
        <v>0</v>
      </c>
      <c r="E38" s="179">
        <f>RKPALL!H34</f>
        <v>0</v>
      </c>
      <c r="F38" s="180">
        <f>RKPALL!M34</f>
        <v>0</v>
      </c>
      <c r="G38" s="181">
        <f>RKPALL!R34</f>
        <v>0</v>
      </c>
      <c r="H38" s="182">
        <f>RKPALL!W34</f>
        <v>0</v>
      </c>
      <c r="I38" s="180">
        <f>RKPALL!AB34</f>
        <v>0</v>
      </c>
      <c r="J38" s="181">
        <f>RKPALL!AG34</f>
        <v>0</v>
      </c>
      <c r="K38" s="179">
        <f>RKPALL!AL34</f>
        <v>0</v>
      </c>
      <c r="L38" s="180">
        <f>RKPALL!AQ34</f>
        <v>0</v>
      </c>
      <c r="M38" s="180">
        <f>RKPALL!AV34</f>
        <v>0</v>
      </c>
      <c r="N38" s="181">
        <f>RKPALL!BA34</f>
        <v>0</v>
      </c>
      <c r="O38" s="180">
        <f>RKPALL!BF34</f>
        <v>0</v>
      </c>
      <c r="P38" s="181">
        <f>RKPALL!BK34</f>
        <v>0</v>
      </c>
      <c r="Q38" s="179">
        <f>RKPALL!BP34</f>
        <v>0</v>
      </c>
      <c r="R38" s="179">
        <f>RKPALL!BU34</f>
        <v>0</v>
      </c>
      <c r="S38" s="181">
        <f>RKPALL!BZ34</f>
        <v>0</v>
      </c>
      <c r="T38" s="182">
        <f>RKPALL!CE34</f>
        <v>0</v>
      </c>
      <c r="U38" s="183">
        <f t="shared" si="0"/>
        <v>0</v>
      </c>
      <c r="V38" s="189">
        <f t="shared" si="1"/>
        <v>0</v>
      </c>
      <c r="W38" s="185">
        <f t="shared" si="2"/>
        <v>0</v>
      </c>
      <c r="X38" s="200">
        <f>PERKEMBANGAN!I30</f>
        <v>0</v>
      </c>
      <c r="Y38" s="200">
        <f>PERKEMBANGAN!J30</f>
        <v>0</v>
      </c>
      <c r="Z38" s="200">
        <f>PERKEMBANGAN!K30</f>
        <v>0</v>
      </c>
      <c r="AA38" s="200">
        <f>PERKEMBANGAN!L30</f>
        <v>0</v>
      </c>
      <c r="AB38" s="186">
        <f>PERKEMBANGAN!D30</f>
        <v>0</v>
      </c>
      <c r="AC38" s="186">
        <f>PERKEMBANGAN!E30</f>
        <v>0</v>
      </c>
      <c r="AD38" s="186">
        <f>PERKEMBANGAN!F30</f>
        <v>0</v>
      </c>
      <c r="AE38" s="126"/>
    </row>
    <row r="39" spans="1:31" ht="12.95" customHeight="1">
      <c r="A39" s="126"/>
      <c r="B39" s="187">
        <v>27</v>
      </c>
      <c r="C39" s="177">
        <f>DATASISWA!E34</f>
        <v>0</v>
      </c>
      <c r="D39" s="178">
        <f>DATASISWA!G34</f>
        <v>0</v>
      </c>
      <c r="E39" s="179">
        <f>RKPALL!H35</f>
        <v>0</v>
      </c>
      <c r="F39" s="180">
        <f>RKPALL!M35</f>
        <v>0</v>
      </c>
      <c r="G39" s="181">
        <f>RKPALL!R35</f>
        <v>0</v>
      </c>
      <c r="H39" s="182">
        <f>RKPALL!W35</f>
        <v>0</v>
      </c>
      <c r="I39" s="180">
        <f>RKPALL!AB35</f>
        <v>0</v>
      </c>
      <c r="J39" s="181">
        <f>RKPALL!AG35</f>
        <v>0</v>
      </c>
      <c r="K39" s="179">
        <f>RKPALL!AL35</f>
        <v>0</v>
      </c>
      <c r="L39" s="180">
        <f>RKPALL!AQ35</f>
        <v>0</v>
      </c>
      <c r="M39" s="180">
        <f>RKPALL!AV35</f>
        <v>0</v>
      </c>
      <c r="N39" s="181">
        <f>RKPALL!BA35</f>
        <v>0</v>
      </c>
      <c r="O39" s="180">
        <f>RKPALL!BF35</f>
        <v>0</v>
      </c>
      <c r="P39" s="181">
        <f>RKPALL!BK35</f>
        <v>0</v>
      </c>
      <c r="Q39" s="179">
        <f>RKPALL!BP35</f>
        <v>0</v>
      </c>
      <c r="R39" s="179">
        <f>RKPALL!BU35</f>
        <v>0</v>
      </c>
      <c r="S39" s="181">
        <f>RKPALL!BZ35</f>
        <v>0</v>
      </c>
      <c r="T39" s="182">
        <f>RKPALL!CE35</f>
        <v>0</v>
      </c>
      <c r="U39" s="183">
        <f t="shared" si="0"/>
        <v>0</v>
      </c>
      <c r="V39" s="189">
        <f t="shared" si="1"/>
        <v>0</v>
      </c>
      <c r="W39" s="185">
        <f t="shared" si="2"/>
        <v>0</v>
      </c>
      <c r="X39" s="200">
        <f>PERKEMBANGAN!I31</f>
        <v>0</v>
      </c>
      <c r="Y39" s="200">
        <f>PERKEMBANGAN!J31</f>
        <v>0</v>
      </c>
      <c r="Z39" s="200">
        <f>PERKEMBANGAN!K31</f>
        <v>0</v>
      </c>
      <c r="AA39" s="200">
        <f>PERKEMBANGAN!L31</f>
        <v>0</v>
      </c>
      <c r="AB39" s="186">
        <f>PERKEMBANGAN!D31</f>
        <v>0</v>
      </c>
      <c r="AC39" s="186">
        <f>PERKEMBANGAN!E31</f>
        <v>0</v>
      </c>
      <c r="AD39" s="186">
        <f>PERKEMBANGAN!F31</f>
        <v>0</v>
      </c>
      <c r="AE39" s="126"/>
    </row>
    <row r="40" spans="1:31" ht="12.95" customHeight="1">
      <c r="A40" s="126"/>
      <c r="B40" s="188">
        <v>28</v>
      </c>
      <c r="C40" s="177">
        <f>DATASISWA!E35</f>
        <v>0</v>
      </c>
      <c r="D40" s="178">
        <f>DATASISWA!G35</f>
        <v>0</v>
      </c>
      <c r="E40" s="179">
        <f>RKPALL!H36</f>
        <v>0</v>
      </c>
      <c r="F40" s="180">
        <f>RKPALL!M36</f>
        <v>0</v>
      </c>
      <c r="G40" s="181">
        <f>RKPALL!R36</f>
        <v>0</v>
      </c>
      <c r="H40" s="182">
        <f>RKPALL!W36</f>
        <v>0</v>
      </c>
      <c r="I40" s="180">
        <f>RKPALL!AB36</f>
        <v>0</v>
      </c>
      <c r="J40" s="181">
        <f>RKPALL!AG36</f>
        <v>0</v>
      </c>
      <c r="K40" s="179">
        <f>RKPALL!AL36</f>
        <v>0</v>
      </c>
      <c r="L40" s="180">
        <f>RKPALL!AQ36</f>
        <v>0</v>
      </c>
      <c r="M40" s="180">
        <f>RKPALL!AV36</f>
        <v>0</v>
      </c>
      <c r="N40" s="181">
        <f>RKPALL!BA36</f>
        <v>0</v>
      </c>
      <c r="O40" s="180">
        <f>RKPALL!BF36</f>
        <v>0</v>
      </c>
      <c r="P40" s="181">
        <f>RKPALL!BK36</f>
        <v>0</v>
      </c>
      <c r="Q40" s="179">
        <f>RKPALL!BP36</f>
        <v>0</v>
      </c>
      <c r="R40" s="179">
        <f>RKPALL!BU36</f>
        <v>0</v>
      </c>
      <c r="S40" s="181">
        <f>RKPALL!BZ36</f>
        <v>0</v>
      </c>
      <c r="T40" s="182">
        <f>RKPALL!CE36</f>
        <v>0</v>
      </c>
      <c r="U40" s="183">
        <f t="shared" si="0"/>
        <v>0</v>
      </c>
      <c r="V40" s="189">
        <f t="shared" si="1"/>
        <v>0</v>
      </c>
      <c r="W40" s="185">
        <f t="shared" si="2"/>
        <v>0</v>
      </c>
      <c r="X40" s="200">
        <f>PERKEMBANGAN!I32</f>
        <v>0</v>
      </c>
      <c r="Y40" s="200">
        <f>PERKEMBANGAN!J32</f>
        <v>0</v>
      </c>
      <c r="Z40" s="200">
        <f>PERKEMBANGAN!K32</f>
        <v>0</v>
      </c>
      <c r="AA40" s="200">
        <f>PERKEMBANGAN!L32</f>
        <v>0</v>
      </c>
      <c r="AB40" s="186">
        <f>PERKEMBANGAN!D32</f>
        <v>0</v>
      </c>
      <c r="AC40" s="186">
        <f>PERKEMBANGAN!E32</f>
        <v>0</v>
      </c>
      <c r="AD40" s="186">
        <f>PERKEMBANGAN!F32</f>
        <v>0</v>
      </c>
      <c r="AE40" s="126"/>
    </row>
    <row r="41" spans="1:31" ht="12.95" customHeight="1">
      <c r="A41" s="126"/>
      <c r="B41" s="187">
        <v>29</v>
      </c>
      <c r="C41" s="177">
        <f>DATASISWA!E36</f>
        <v>0</v>
      </c>
      <c r="D41" s="178">
        <f>DATASISWA!G36</f>
        <v>0</v>
      </c>
      <c r="E41" s="179">
        <f>RKPALL!H37</f>
        <v>0</v>
      </c>
      <c r="F41" s="180">
        <f>RKPALL!M37</f>
        <v>0</v>
      </c>
      <c r="G41" s="181">
        <f>RKPALL!R37</f>
        <v>0</v>
      </c>
      <c r="H41" s="182">
        <f>RKPALL!W37</f>
        <v>0</v>
      </c>
      <c r="I41" s="180">
        <f>RKPALL!AB37</f>
        <v>0</v>
      </c>
      <c r="J41" s="181">
        <f>RKPALL!AG37</f>
        <v>0</v>
      </c>
      <c r="K41" s="179">
        <f>RKPALL!AL37</f>
        <v>0</v>
      </c>
      <c r="L41" s="180">
        <f>RKPALL!AQ37</f>
        <v>0</v>
      </c>
      <c r="M41" s="180">
        <f>RKPALL!AV37</f>
        <v>0</v>
      </c>
      <c r="N41" s="181">
        <f>RKPALL!BA37</f>
        <v>0</v>
      </c>
      <c r="O41" s="180">
        <f>RKPALL!BF37</f>
        <v>0</v>
      </c>
      <c r="P41" s="181">
        <f>RKPALL!BK37</f>
        <v>0</v>
      </c>
      <c r="Q41" s="179">
        <f>RKPALL!BP37</f>
        <v>0</v>
      </c>
      <c r="R41" s="179">
        <f>RKPALL!BU37</f>
        <v>0</v>
      </c>
      <c r="S41" s="181">
        <f>RKPALL!BZ37</f>
        <v>0</v>
      </c>
      <c r="T41" s="182">
        <f>RKPALL!CE37</f>
        <v>0</v>
      </c>
      <c r="U41" s="183">
        <f t="shared" si="0"/>
        <v>0</v>
      </c>
      <c r="V41" s="189">
        <f t="shared" si="1"/>
        <v>0</v>
      </c>
      <c r="W41" s="185">
        <f t="shared" si="2"/>
        <v>0</v>
      </c>
      <c r="X41" s="200">
        <f>PERKEMBANGAN!I33</f>
        <v>0</v>
      </c>
      <c r="Y41" s="200">
        <f>PERKEMBANGAN!J33</f>
        <v>0</v>
      </c>
      <c r="Z41" s="200">
        <f>PERKEMBANGAN!K33</f>
        <v>0</v>
      </c>
      <c r="AA41" s="200">
        <f>PERKEMBANGAN!L33</f>
        <v>0</v>
      </c>
      <c r="AB41" s="186">
        <f>PERKEMBANGAN!D33</f>
        <v>0</v>
      </c>
      <c r="AC41" s="186">
        <f>PERKEMBANGAN!E33</f>
        <v>0</v>
      </c>
      <c r="AD41" s="186">
        <f>PERKEMBANGAN!F33</f>
        <v>0</v>
      </c>
      <c r="AE41" s="126"/>
    </row>
    <row r="42" spans="1:31" ht="12.95" customHeight="1">
      <c r="A42" s="126"/>
      <c r="B42" s="187">
        <v>30</v>
      </c>
      <c r="C42" s="177">
        <f>DATASISWA!E37</f>
        <v>0</v>
      </c>
      <c r="D42" s="178">
        <f>DATASISWA!G37</f>
        <v>0</v>
      </c>
      <c r="E42" s="179">
        <f>RKPALL!H38</f>
        <v>0</v>
      </c>
      <c r="F42" s="180">
        <f>RKPALL!M38</f>
        <v>0</v>
      </c>
      <c r="G42" s="181">
        <f>RKPALL!R38</f>
        <v>0</v>
      </c>
      <c r="H42" s="182">
        <f>RKPALL!W38</f>
        <v>0</v>
      </c>
      <c r="I42" s="180">
        <f>RKPALL!AB38</f>
        <v>0</v>
      </c>
      <c r="J42" s="181">
        <f>RKPALL!AG38</f>
        <v>0</v>
      </c>
      <c r="K42" s="179">
        <f>RKPALL!AL38</f>
        <v>0</v>
      </c>
      <c r="L42" s="180">
        <f>RKPALL!AQ38</f>
        <v>0</v>
      </c>
      <c r="M42" s="180">
        <f>RKPALL!AV38</f>
        <v>0</v>
      </c>
      <c r="N42" s="181">
        <f>RKPALL!BA38</f>
        <v>0</v>
      </c>
      <c r="O42" s="180">
        <f>RKPALL!BF38</f>
        <v>0</v>
      </c>
      <c r="P42" s="181">
        <f>RKPALL!BK38</f>
        <v>0</v>
      </c>
      <c r="Q42" s="179">
        <f>RKPALL!BP38</f>
        <v>0</v>
      </c>
      <c r="R42" s="179">
        <f>RKPALL!BU38</f>
        <v>0</v>
      </c>
      <c r="S42" s="181">
        <f>RKPALL!BZ38</f>
        <v>0</v>
      </c>
      <c r="T42" s="182">
        <f>RKPALL!CE38</f>
        <v>0</v>
      </c>
      <c r="U42" s="183">
        <f t="shared" si="0"/>
        <v>0</v>
      </c>
      <c r="V42" s="189">
        <f t="shared" si="1"/>
        <v>0</v>
      </c>
      <c r="W42" s="185">
        <f t="shared" si="2"/>
        <v>0</v>
      </c>
      <c r="X42" s="200">
        <f>PERKEMBANGAN!I34</f>
        <v>0</v>
      </c>
      <c r="Y42" s="200">
        <f>PERKEMBANGAN!J34</f>
        <v>0</v>
      </c>
      <c r="Z42" s="200">
        <f>PERKEMBANGAN!K34</f>
        <v>0</v>
      </c>
      <c r="AA42" s="200">
        <f>PERKEMBANGAN!L34</f>
        <v>0</v>
      </c>
      <c r="AB42" s="186">
        <f>PERKEMBANGAN!D34</f>
        <v>0</v>
      </c>
      <c r="AC42" s="186">
        <f>PERKEMBANGAN!E34</f>
        <v>0</v>
      </c>
      <c r="AD42" s="186">
        <f>PERKEMBANGAN!F34</f>
        <v>0</v>
      </c>
      <c r="AE42" s="126"/>
    </row>
    <row r="43" spans="1:31" ht="15" customHeight="1">
      <c r="A43" s="126"/>
      <c r="B43" s="78"/>
      <c r="C43" s="78"/>
      <c r="D43" s="78"/>
      <c r="E43" s="78"/>
      <c r="F43" s="78"/>
      <c r="G43" s="78"/>
      <c r="H43" s="78"/>
      <c r="I43" s="78"/>
      <c r="J43" s="78"/>
      <c r="K43" s="78"/>
      <c r="L43" s="78"/>
      <c r="M43" s="78"/>
      <c r="N43" s="78"/>
      <c r="O43" s="78"/>
      <c r="P43" s="78"/>
      <c r="Q43" s="78"/>
      <c r="R43" s="78"/>
      <c r="S43" s="78"/>
      <c r="T43" s="78"/>
      <c r="U43" s="78"/>
      <c r="V43" s="78"/>
      <c r="W43" s="78"/>
      <c r="X43" s="78"/>
      <c r="Y43" s="78"/>
      <c r="Z43" s="78"/>
      <c r="AA43" s="78"/>
      <c r="AB43" s="78"/>
      <c r="AC43" s="78"/>
      <c r="AD43" s="78"/>
      <c r="AE43" s="126"/>
    </row>
    <row r="44" spans="1:31" ht="15" customHeight="1">
      <c r="A44" s="126"/>
      <c r="B44" s="78"/>
      <c r="C44" s="78"/>
      <c r="D44" s="78"/>
      <c r="E44" s="78"/>
      <c r="F44" s="78"/>
      <c r="G44" s="78"/>
      <c r="H44" s="78"/>
      <c r="I44" s="78"/>
      <c r="J44" s="78"/>
      <c r="K44" s="78"/>
      <c r="L44" s="78"/>
      <c r="M44" s="78"/>
      <c r="N44" s="78"/>
      <c r="O44" s="78"/>
      <c r="P44" s="78"/>
      <c r="Q44" s="78"/>
      <c r="R44" s="78"/>
      <c r="S44" s="78"/>
      <c r="T44" s="78"/>
      <c r="U44" s="78"/>
      <c r="V44" s="78"/>
      <c r="W44" s="78"/>
      <c r="X44" s="78"/>
      <c r="Y44" s="78"/>
      <c r="Z44" s="78"/>
      <c r="AA44" s="78"/>
      <c r="AB44" s="78"/>
      <c r="AC44" s="78"/>
      <c r="AD44" s="78"/>
      <c r="AE44" s="126"/>
    </row>
    <row r="45" spans="1:31" ht="15" customHeight="1">
      <c r="A45" s="126"/>
      <c r="B45" s="78"/>
      <c r="C45" s="78"/>
      <c r="D45" s="78"/>
      <c r="E45" s="78"/>
      <c r="F45" s="78"/>
      <c r="G45" s="78"/>
      <c r="H45" s="78"/>
      <c r="I45" s="78"/>
      <c r="J45" s="78"/>
      <c r="K45" s="78"/>
      <c r="L45" s="78"/>
      <c r="M45" s="78"/>
      <c r="N45" s="78"/>
      <c r="O45" s="78"/>
      <c r="P45" s="78"/>
      <c r="Q45" s="78"/>
      <c r="R45" s="78"/>
      <c r="S45" s="78"/>
      <c r="T45" s="78"/>
      <c r="U45" s="78"/>
      <c r="V45" s="78"/>
      <c r="W45" s="78"/>
      <c r="X45" s="78"/>
      <c r="Y45" s="78"/>
      <c r="Z45" s="78"/>
      <c r="AA45" s="78"/>
      <c r="AB45" s="78"/>
      <c r="AC45" s="78"/>
      <c r="AD45" s="78"/>
      <c r="AE45" s="126"/>
    </row>
    <row r="46" spans="1:31" ht="15" customHeight="1">
      <c r="A46" s="126"/>
      <c r="B46" s="78"/>
      <c r="C46" s="78"/>
      <c r="D46" s="78"/>
      <c r="E46" s="78"/>
      <c r="F46" s="78"/>
      <c r="G46" s="78"/>
      <c r="H46" s="78"/>
      <c r="I46" s="78"/>
      <c r="J46" s="78"/>
      <c r="K46" s="78"/>
      <c r="L46" s="78"/>
      <c r="M46" s="78"/>
      <c r="N46" s="78"/>
      <c r="O46" s="78"/>
      <c r="P46" s="78"/>
      <c r="Q46" s="78"/>
      <c r="R46" s="78"/>
      <c r="S46" s="78"/>
      <c r="T46" s="78"/>
      <c r="U46" s="78"/>
      <c r="V46" s="78"/>
      <c r="W46" s="78"/>
      <c r="X46" s="78"/>
      <c r="Y46" s="78"/>
      <c r="Z46" s="78"/>
      <c r="AA46" s="78"/>
      <c r="AB46" s="78"/>
      <c r="AC46" s="78"/>
      <c r="AD46" s="78"/>
      <c r="AE46" s="126"/>
    </row>
    <row r="47" spans="1:31" ht="15" customHeight="1">
      <c r="A47" s="126"/>
      <c r="B47" s="78"/>
      <c r="C47" s="78"/>
      <c r="D47" s="78"/>
      <c r="E47" s="78"/>
      <c r="F47" s="78"/>
      <c r="G47" s="78"/>
      <c r="H47" s="78"/>
      <c r="I47" s="78"/>
      <c r="J47" s="78"/>
      <c r="K47" s="78"/>
      <c r="L47" s="78"/>
      <c r="M47" s="78"/>
      <c r="N47" s="78"/>
      <c r="O47" s="78"/>
      <c r="P47" s="78"/>
      <c r="Q47" s="78"/>
      <c r="R47" s="78"/>
      <c r="S47" s="78"/>
      <c r="T47" s="78"/>
      <c r="U47" s="78"/>
      <c r="V47" s="78"/>
      <c r="W47" s="78"/>
      <c r="X47" s="78"/>
      <c r="Y47" s="78"/>
      <c r="Z47" s="78"/>
      <c r="AA47" s="78"/>
      <c r="AB47" s="78"/>
      <c r="AC47" s="78"/>
      <c r="AD47" s="78"/>
      <c r="AE47" s="126"/>
    </row>
    <row r="48" spans="1:31" ht="15" customHeight="1">
      <c r="A48" s="126"/>
      <c r="B48" s="78"/>
      <c r="C48" s="78"/>
      <c r="D48" s="78"/>
      <c r="E48" s="78"/>
      <c r="F48" s="78"/>
      <c r="G48" s="78"/>
      <c r="H48" s="78"/>
      <c r="I48" s="78"/>
      <c r="J48" s="78"/>
      <c r="K48" s="78"/>
      <c r="L48" s="78"/>
      <c r="M48" s="78"/>
      <c r="N48" s="78"/>
      <c r="O48" s="78"/>
      <c r="P48" s="78"/>
      <c r="Q48" s="78"/>
      <c r="R48" s="78"/>
      <c r="S48" s="78"/>
      <c r="T48" s="78"/>
      <c r="U48" s="78"/>
      <c r="V48" s="78"/>
      <c r="W48" s="78"/>
      <c r="X48" s="78"/>
      <c r="Y48" s="78"/>
      <c r="Z48" s="78"/>
      <c r="AA48" s="78"/>
      <c r="AB48" s="78"/>
      <c r="AC48" s="78"/>
      <c r="AD48" s="78"/>
      <c r="AE48" s="126"/>
    </row>
    <row r="49" spans="1:31" ht="15" customHeight="1">
      <c r="A49" s="126"/>
      <c r="B49" s="126"/>
      <c r="C49" s="126"/>
      <c r="D49" s="126"/>
      <c r="E49" s="126"/>
      <c r="F49" s="126"/>
      <c r="G49" s="126"/>
      <c r="H49" s="126"/>
      <c r="I49" s="126"/>
      <c r="J49" s="126"/>
      <c r="K49" s="126"/>
      <c r="L49" s="126"/>
      <c r="M49" s="126"/>
      <c r="N49" s="126"/>
      <c r="O49" s="126"/>
      <c r="P49" s="126"/>
      <c r="Q49" s="126"/>
      <c r="R49" s="126"/>
      <c r="S49" s="126"/>
      <c r="T49" s="126"/>
      <c r="U49" s="126"/>
      <c r="V49" s="126"/>
      <c r="W49" s="126"/>
      <c r="X49" s="126"/>
      <c r="Y49" s="126"/>
      <c r="Z49" s="126"/>
      <c r="AA49" s="126"/>
      <c r="AB49" s="126"/>
      <c r="AC49" s="126"/>
      <c r="AD49" s="126"/>
      <c r="AE49" s="126"/>
    </row>
  </sheetData>
  <mergeCells count="12">
    <mergeCell ref="W10:W11"/>
    <mergeCell ref="B4:AD4"/>
    <mergeCell ref="AB10:AD10"/>
    <mergeCell ref="U10:U11"/>
    <mergeCell ref="B10:B11"/>
    <mergeCell ref="C10:C11"/>
    <mergeCell ref="D10:D11"/>
    <mergeCell ref="E10:H10"/>
    <mergeCell ref="I10:P10"/>
    <mergeCell ref="Q10:T10"/>
    <mergeCell ref="V10:V11"/>
    <mergeCell ref="X10:AA10"/>
  </mergeCells>
  <pageMargins left="0.70866141732283472" right="0.70866141732283472" top="0.39370078740157483" bottom="0.39370078740157483" header="0.31496062992125984" footer="0.31496062992125984"/>
  <pageSetup paperSize="9" scale="80" orientation="landscape" horizontalDpi="4294967293" verticalDpi="0" r:id="rId1"/>
  <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
  <dimension ref="A1:U57"/>
  <sheetViews>
    <sheetView showGridLines="0" zoomScale="130" zoomScaleNormal="130" zoomScaleSheetLayoutView="130" zoomScalePageLayoutView="80" workbookViewId="0">
      <pane ySplit="3" topLeftCell="A4" activePane="bottomLeft" state="frozen"/>
      <selection pane="bottomLeft" activeCell="O3" sqref="O3:P3"/>
    </sheetView>
  </sheetViews>
  <sheetFormatPr defaultColWidth="0" defaultRowHeight="14.25" zeroHeight="1"/>
  <cols>
    <col min="1" max="1" width="16.7109375" style="2" customWidth="1"/>
    <col min="2" max="2" width="5.28515625" style="2" customWidth="1"/>
    <col min="3" max="9" width="6.28515625" style="2" customWidth="1"/>
    <col min="10" max="10" width="5.42578125" style="2" customWidth="1"/>
    <col min="11" max="15" width="5.28515625" style="2" customWidth="1"/>
    <col min="16" max="16" width="6.28515625" style="2" customWidth="1"/>
    <col min="17" max="17" width="5.28515625" style="2" customWidth="1"/>
    <col min="18" max="18" width="12" style="2" customWidth="1"/>
    <col min="19" max="19" width="18.28515625" style="2" hidden="1" customWidth="1"/>
    <col min="20" max="21" width="0" style="2" hidden="1" customWidth="1"/>
    <col min="22" max="16384" width="9.140625" style="2" hidden="1"/>
  </cols>
  <sheetData>
    <row r="1" spans="1:18" s="207" customFormat="1" ht="15.75" customHeight="1">
      <c r="A1" s="206"/>
      <c r="B1" s="775" t="s">
        <v>1189</v>
      </c>
      <c r="C1" s="775"/>
      <c r="D1" s="775"/>
      <c r="E1" s="775"/>
      <c r="F1" s="775"/>
      <c r="G1" s="775"/>
      <c r="H1" s="776">
        <v>1</v>
      </c>
      <c r="I1" s="776"/>
      <c r="J1" s="122"/>
      <c r="K1" s="206"/>
      <c r="L1" s="896" t="s">
        <v>1158</v>
      </c>
      <c r="M1" s="896"/>
      <c r="N1" s="896"/>
      <c r="O1" s="896"/>
      <c r="P1" s="896"/>
      <c r="Q1" s="206"/>
      <c r="R1" s="206"/>
    </row>
    <row r="2" spans="1:18" s="207" customFormat="1" ht="15.75">
      <c r="A2" s="206"/>
      <c r="B2" s="775"/>
      <c r="C2" s="775"/>
      <c r="D2" s="775"/>
      <c r="E2" s="775"/>
      <c r="F2" s="775"/>
      <c r="G2" s="775"/>
      <c r="H2" s="776"/>
      <c r="I2" s="776"/>
      <c r="J2" s="770"/>
      <c r="K2" s="206"/>
      <c r="L2" s="895" t="s">
        <v>1159</v>
      </c>
      <c r="M2" s="895"/>
      <c r="N2" s="895"/>
      <c r="O2" s="897">
        <v>1</v>
      </c>
      <c r="P2" s="898"/>
      <c r="Q2" s="206"/>
      <c r="R2" s="206"/>
    </row>
    <row r="3" spans="1:18" s="207" customFormat="1" ht="15.75">
      <c r="A3" s="206"/>
      <c r="B3" s="775"/>
      <c r="C3" s="775"/>
      <c r="D3" s="775"/>
      <c r="E3" s="775"/>
      <c r="F3" s="775"/>
      <c r="G3" s="775"/>
      <c r="H3" s="776"/>
      <c r="I3" s="776"/>
      <c r="J3" s="770"/>
      <c r="K3" s="206"/>
      <c r="L3" s="895" t="s">
        <v>1160</v>
      </c>
      <c r="M3" s="895"/>
      <c r="N3" s="895"/>
      <c r="O3" s="897">
        <v>1</v>
      </c>
      <c r="P3" s="898"/>
      <c r="Q3" s="206"/>
      <c r="R3" s="206"/>
    </row>
    <row r="4" spans="1:18" s="207" customFormat="1" ht="18" customHeight="1">
      <c r="A4" s="206"/>
      <c r="R4" s="206"/>
    </row>
    <row r="5" spans="1:18" s="207" customFormat="1" ht="18" customHeight="1">
      <c r="A5" s="206"/>
      <c r="R5" s="206"/>
    </row>
    <row r="6" spans="1:18" s="207" customFormat="1" ht="18" customHeight="1">
      <c r="A6" s="206"/>
      <c r="R6" s="206"/>
    </row>
    <row r="7" spans="1:18" s="207" customFormat="1" ht="18" customHeight="1">
      <c r="A7" s="206"/>
      <c r="R7" s="206"/>
    </row>
    <row r="8" spans="1:18" s="207" customFormat="1" ht="18" customHeight="1">
      <c r="A8" s="206"/>
      <c r="R8" s="206"/>
    </row>
    <row r="9" spans="1:18" s="207" customFormat="1" ht="18" customHeight="1">
      <c r="A9" s="206"/>
      <c r="R9" s="206"/>
    </row>
    <row r="10" spans="1:18" s="207" customFormat="1" ht="24" customHeight="1">
      <c r="A10" s="206"/>
      <c r="B10" s="911" t="str">
        <f>"LAPORAN HASIL BELAJAR TENGAH SEMESTER " &amp;HOME!D28</f>
        <v>LAPORAN HASIL BELAJAR TENGAH SEMESTER GANJIL</v>
      </c>
      <c r="C10" s="911"/>
      <c r="D10" s="911"/>
      <c r="E10" s="911"/>
      <c r="F10" s="911"/>
      <c r="G10" s="911"/>
      <c r="H10" s="911"/>
      <c r="I10" s="911"/>
      <c r="J10" s="911"/>
      <c r="K10" s="911"/>
      <c r="L10" s="911"/>
      <c r="M10" s="911"/>
      <c r="N10" s="911"/>
      <c r="O10" s="911"/>
      <c r="P10" s="911"/>
      <c r="Q10" s="911"/>
      <c r="R10" s="206"/>
    </row>
    <row r="11" spans="1:18" s="207" customFormat="1" ht="18.75">
      <c r="A11" s="206"/>
      <c r="B11" s="912" t="s">
        <v>1347</v>
      </c>
      <c r="C11" s="912"/>
      <c r="D11" s="912"/>
      <c r="E11" s="912"/>
      <c r="F11" s="912"/>
      <c r="G11" s="912"/>
      <c r="H11" s="912"/>
      <c r="I11" s="912"/>
      <c r="J11" s="912"/>
      <c r="K11" s="912"/>
      <c r="L11" s="912"/>
      <c r="M11" s="912"/>
      <c r="N11" s="912"/>
      <c r="O11" s="912"/>
      <c r="P11" s="912"/>
      <c r="Q11" s="912"/>
      <c r="R11" s="206"/>
    </row>
    <row r="12" spans="1:18" s="207" customFormat="1" ht="18">
      <c r="A12" s="206"/>
      <c r="B12" s="913" t="str">
        <f>"TAHUN PELAJARAN "&amp;HOME!D27</f>
        <v>TAHUN PELAJARAN 2019/2020</v>
      </c>
      <c r="C12" s="913"/>
      <c r="D12" s="913"/>
      <c r="E12" s="913"/>
      <c r="F12" s="913"/>
      <c r="G12" s="913"/>
      <c r="H12" s="913"/>
      <c r="I12" s="913"/>
      <c r="J12" s="913"/>
      <c r="K12" s="913"/>
      <c r="L12" s="913"/>
      <c r="M12" s="913"/>
      <c r="N12" s="913"/>
      <c r="O12" s="913"/>
      <c r="P12" s="913"/>
      <c r="Q12" s="913"/>
      <c r="R12" s="206"/>
    </row>
    <row r="13" spans="1:18" s="207" customFormat="1" ht="15" customHeight="1">
      <c r="A13" s="206"/>
      <c r="R13" s="206"/>
    </row>
    <row r="14" spans="1:18" s="207" customFormat="1" ht="16.5" customHeight="1">
      <c r="A14" s="206"/>
      <c r="B14" s="942" t="s">
        <v>114</v>
      </c>
      <c r="C14" s="942"/>
      <c r="D14" s="942"/>
      <c r="E14" s="208" t="s">
        <v>0</v>
      </c>
      <c r="F14" s="209" t="str">
        <f>VLOOKUP($H$1,datasiswa,2)</f>
        <v>Anindita Alya Magfiroh</v>
      </c>
      <c r="R14" s="206"/>
    </row>
    <row r="15" spans="1:18" s="207" customFormat="1" ht="15.75" customHeight="1">
      <c r="A15" s="206"/>
      <c r="B15" s="942" t="s">
        <v>115</v>
      </c>
      <c r="C15" s="942"/>
      <c r="D15" s="942"/>
      <c r="E15" s="208" t="s">
        <v>0</v>
      </c>
      <c r="F15" s="210">
        <f>VLOOKUP($H$1,datasiswa,4)</f>
        <v>0</v>
      </c>
      <c r="R15" s="206"/>
    </row>
    <row r="16" spans="1:18" s="207" customFormat="1" ht="16.5" customHeight="1">
      <c r="A16" s="206"/>
      <c r="B16" s="942" t="s">
        <v>42</v>
      </c>
      <c r="C16" s="942"/>
      <c r="D16" s="942"/>
      <c r="E16" s="208" t="s">
        <v>0</v>
      </c>
      <c r="F16" s="209" t="str">
        <f>HOME!D26</f>
        <v>III (TIGA)</v>
      </c>
      <c r="R16" s="206"/>
    </row>
    <row r="17" spans="1:18" s="207" customFormat="1" ht="15.75">
      <c r="A17" s="206"/>
      <c r="B17" s="942" t="s">
        <v>83</v>
      </c>
      <c r="C17" s="942"/>
      <c r="D17" s="942"/>
      <c r="E17" s="208" t="s">
        <v>0</v>
      </c>
      <c r="F17" s="209" t="s">
        <v>1215</v>
      </c>
      <c r="R17" s="206"/>
    </row>
    <row r="18" spans="1:18" s="207" customFormat="1" ht="17.25" customHeight="1" thickBot="1">
      <c r="A18" s="206"/>
      <c r="R18" s="206"/>
    </row>
    <row r="19" spans="1:18" s="207" customFormat="1" ht="20.100000000000001" customHeight="1" thickTop="1">
      <c r="A19" s="206"/>
      <c r="B19" s="914" t="s">
        <v>71</v>
      </c>
      <c r="C19" s="916" t="s">
        <v>116</v>
      </c>
      <c r="D19" s="917"/>
      <c r="E19" s="917"/>
      <c r="F19" s="917"/>
      <c r="G19" s="917"/>
      <c r="H19" s="917"/>
      <c r="I19" s="917"/>
      <c r="J19" s="922" t="s">
        <v>84</v>
      </c>
      <c r="K19" s="922"/>
      <c r="L19" s="922"/>
      <c r="M19" s="922"/>
      <c r="N19" s="922"/>
      <c r="O19" s="922"/>
      <c r="P19" s="917" t="s">
        <v>1346</v>
      </c>
      <c r="Q19" s="920"/>
      <c r="R19" s="206"/>
    </row>
    <row r="20" spans="1:18" s="207" customFormat="1" ht="20.100000000000001" customHeight="1" thickBot="1">
      <c r="A20" s="206"/>
      <c r="B20" s="915"/>
      <c r="C20" s="918"/>
      <c r="D20" s="919"/>
      <c r="E20" s="919"/>
      <c r="F20" s="919"/>
      <c r="G20" s="919"/>
      <c r="H20" s="919"/>
      <c r="I20" s="919"/>
      <c r="J20" s="910" t="s">
        <v>85</v>
      </c>
      <c r="K20" s="910"/>
      <c r="L20" s="910" t="s">
        <v>86</v>
      </c>
      <c r="M20" s="910"/>
      <c r="N20" s="910" t="s">
        <v>117</v>
      </c>
      <c r="O20" s="910"/>
      <c r="P20" s="919"/>
      <c r="Q20" s="921"/>
      <c r="R20" s="206"/>
    </row>
    <row r="21" spans="1:18" s="207" customFormat="1" ht="20.100000000000001" customHeight="1" thickTop="1">
      <c r="A21" s="206"/>
      <c r="B21" s="940">
        <v>1</v>
      </c>
      <c r="C21" s="906" t="s">
        <v>87</v>
      </c>
      <c r="D21" s="907"/>
      <c r="E21" s="907"/>
      <c r="F21" s="907"/>
      <c r="G21" s="907"/>
      <c r="H21" s="907"/>
      <c r="I21" s="907"/>
      <c r="J21" s="907"/>
      <c r="K21" s="907"/>
      <c r="L21" s="907"/>
      <c r="M21" s="907"/>
      <c r="N21" s="907"/>
      <c r="O21" s="907"/>
      <c r="P21" s="907"/>
      <c r="Q21" s="908"/>
      <c r="R21" s="206"/>
    </row>
    <row r="22" spans="1:18" s="207" customFormat="1" ht="20.100000000000001" customHeight="1">
      <c r="A22" s="206"/>
      <c r="B22" s="941"/>
      <c r="C22" s="909" t="s">
        <v>88</v>
      </c>
      <c r="D22" s="905"/>
      <c r="E22" s="905"/>
      <c r="F22" s="905"/>
      <c r="G22" s="905"/>
      <c r="H22" s="905"/>
      <c r="I22" s="905"/>
      <c r="J22" s="211" t="str">
        <f>IF(VLOOKUP($H$1,nilai,2)&lt;58.25,"-",IF(AND(VLOOKUP($H$1,nilai,2)&gt;=58.25,VLOOKUP($H$1,nilai,2)&lt;=66.4),"B",IF(AND(VLOOKUP($H$1,nilai,2)&gt;=66.5,VLOOKUP($H$1,nilai,2)&lt;=74.9),"B",IF(AND(VLOOKUP($H$1,nilai,2)&gt;=75,VLOOKUP($H$1,nilai,2)&lt;=83.24),"B",IF(AND(VLOOKUP($H$1,nilai,2)&gt;=83.25,VLOOKUP($H$1,nilai,2)&lt;=91.14),"A",IF(AND(VLOOKUP($H$1,nilai,2)&gt;=91.5,VLOOKUP($H$1,nilai,2)&lt;=100),"A"))))))</f>
        <v>-</v>
      </c>
      <c r="K22" s="212" t="str">
        <f>IF(VLOOKUP($H$1,nilai,2)&lt;58.25,"",IF(AND(VLOOKUP($H$1,nilai,2)&gt;=58.25,VLOOKUP($H$1,nilai,2)&lt;=66.4),"-",IF(AND(VLOOKUP($H$1,nilai,2)&gt;=66.5,VLOOKUP($H$1,nilai,2)&lt;=74.9),"",IF(AND(VLOOKUP($H$1,nilai,2)&gt;=75,VLOOKUP($H$1,nilai,2)&lt;=83.24),"+",IF(AND(VLOOKUP($H$1,nilai,2)&gt;=83.25,VLOOKUP($H$1,nilai,2)&lt;=91.14),"-",IF(AND(VLOOKUP($H$1,nilai,2)&gt;=91.5,VLOOKUP($H$1,nilai,2)&lt;=100),""))))))</f>
        <v/>
      </c>
      <c r="L22" s="211" t="str">
        <f>IF(VLOOKUP($H$1,nilai,3)&lt;58.25,"-",IF(AND(VLOOKUP($H$1,nilai,3)&gt;=58.25,VLOOKUP($H$1,nilai,3)&lt;=66.4),"B",IF(AND(VLOOKUP($H$1,nilai,3)&gt;=66.5,VLOOKUP($H$1,nilai,3)&lt;=74.9),"B",IF(AND(VLOOKUP($H$1,nilai,3)&gt;=75,VLOOKUP($H$1,nilai,3)&lt;=83.24),"B",IF(AND(VLOOKUP($H$1,nilai,3)&gt;=83.25,VLOOKUP($H$1,nilai,3)&lt;=91.14),"A",IF(AND(VLOOKUP($H$1,nilai,3)&gt;=91.5,VLOOKUP($H$1,nilai,3)&lt;=100),"A"))))))</f>
        <v>-</v>
      </c>
      <c r="M22" s="212" t="str">
        <f>IF(VLOOKUP($H$1,nilai,3)&lt;58.25,"",IF(AND(VLOOKUP($H$1,nilai,3)&gt;=58.25,VLOOKUP($H$1,nilai,3)&lt;=66.4),"-",IF(AND(VLOOKUP($H$1,nilai,3)&gt;=66.5,VLOOKUP($H$1,nilai,3)&lt;=74.9),"",IF(AND(VLOOKUP($H$1,nilai,3)&gt;=75,VLOOKUP($H$1,nilai,3)&lt;=83.24),"+",IF(AND(VLOOKUP($H$1,nilai,3)&gt;=83.25,VLOOKUP($H$1,nilai,3)&lt;=91.14),"-",IF(AND(VLOOKUP($H$1,nilai,3)&gt;=91.5,VLOOKUP($H$1,nilai,3)&lt;=100),""))))))</f>
        <v/>
      </c>
      <c r="N22" s="211" t="str">
        <f>IF(VLOOKUP($H$1,nilai,4)&lt;58.25,"-",IF(AND(VLOOKUP($H$1,nilai,4)&gt;=58.25,VLOOKUP($H$1,nilai,4)&lt;=66.4),"B",IF(AND(VLOOKUP($H$1,nilai,4)&gt;=66.5,VLOOKUP($H$1,nilai,4)&lt;=74.9),"B",IF(AND(VLOOKUP($H$1,nilai,4)&gt;=75,VLOOKUP($H$1,nilai,4)&lt;=83.24),"B",IF(AND(VLOOKUP($H$1,nilai,4)&gt;=83.25,VLOOKUP($H$1,nilai,4)&lt;=91.14),"A",IF(AND(VLOOKUP($H$1,nilai,4)&gt;=91.5,VLOOKUP($H$1,nilai,4)&lt;=100),"A"))))))</f>
        <v>-</v>
      </c>
      <c r="O22" s="212" t="str">
        <f>IF(VLOOKUP($H$1,nilai,4)&lt;58.25,"",IF(AND(VLOOKUP($H$1,nilai,4)&gt;=58.25,VLOOKUP($H$1,nilai,4)&lt;=66.4),"-",IF(AND(VLOOKUP($H$1,nilai,4)&gt;=66.5,VLOOKUP($H$1,nilai,4)&lt;=74.9),"",IF(AND(VLOOKUP($H$1,nilai,4)&gt;=75,VLOOKUP($H$1,nilai,4)&lt;=83.24),"+",IF(AND(VLOOKUP($H$1,nilai,4)&gt;=83.25,VLOOKUP($H$1,nilai,4)&lt;=91.14),"-",IF(AND(VLOOKUP($H$1,nilai,4)&gt;=91.5,VLOOKUP($H$1,nilai,4)&lt;=100),""))))))</f>
        <v/>
      </c>
      <c r="P22" s="211" t="str">
        <f>IF(VLOOKUP($H$1,nilai,8)&lt;58.25,"-",IF(AND(VLOOKUP($H$1,nilai,8)&gt;=58.25,VLOOKUP($H$1,nilai,8)&lt;=66.4),"B",IF(AND(VLOOKUP($H$1,nilai,8)&gt;=66.5,VLOOKUP($H$1,nilai,8)&lt;=74.9),"B",IF(AND(VLOOKUP($H$1,nilai,8)&gt;=75,VLOOKUP($H$1,nilai,8)&lt;=83.24),"B",IF(AND(VLOOKUP($H$1,nilai,8)&gt;=83.25,VLOOKUP($H$1,nilai,8)&lt;=91.14),"A",IF(AND(VLOOKUP($H$1,nilai,8)&gt;=91.5,VLOOKUP($H$1,nilai,8)&lt;=100),"A"))))))</f>
        <v>-</v>
      </c>
      <c r="Q22" s="376" t="str">
        <f>IF(VLOOKUP($H$1,nilai,8)&lt;58.25,"",IF(AND(VLOOKUP($H$1,nilai,8)&gt;=58.25,VLOOKUP($H$1,nilai,8)&lt;=66.4),"-",IF(AND(VLOOKUP($H$1,nilai,8)&gt;=66.5,VLOOKUP($H$1,nilai,8)&lt;=74.9),"",IF(AND(VLOOKUP($H$1,nilai,8)&gt;=75,VLOOKUP($H$1,nilai,8)&lt;=83.24),"+",IF(AND(VLOOKUP($H$1,nilai,8)&gt;=83.25,VLOOKUP($H$1,nilai,8)&lt;=91.14),"-",IF(AND(VLOOKUP($H$1,nilai,8)&gt;=91.5,VLOOKUP($H$1,nilai,8)&lt;=100),""))))))</f>
        <v/>
      </c>
      <c r="R22" s="206"/>
    </row>
    <row r="23" spans="1:18" s="207" customFormat="1" ht="20.100000000000001" customHeight="1">
      <c r="A23" s="206"/>
      <c r="B23" s="941"/>
      <c r="C23" s="909" t="s">
        <v>89</v>
      </c>
      <c r="D23" s="905"/>
      <c r="E23" s="905"/>
      <c r="F23" s="905"/>
      <c r="G23" s="905"/>
      <c r="H23" s="905"/>
      <c r="I23" s="905"/>
      <c r="J23" s="211" t="str">
        <f>IF(VLOOKUP($H$1,nilai,11)&lt;58.25,"-",IF(AND(VLOOKUP($H$1,nilai,11)&gt;=58.25,VLOOKUP($H$1,nilai,11)&lt;=66.4),"B",IF(AND(VLOOKUP($H$1,nilai,11)&gt;=66.5,VLOOKUP($H$1,nilai,11)&lt;=74.9),"B",IF(AND(VLOOKUP($H$1,nilai,11)&gt;=75,VLOOKUP($H$1,nilai,11)&lt;=83.24),"B",IF(AND(VLOOKUP($H$1,nilai,11)&gt;=83.25,VLOOKUP($H$1,nilai,11)&lt;=91.14),"A",IF(AND(VLOOKUP($H$1,nilai,11)&gt;=91.5,VLOOKUP($H$1,nilai,11)&lt;=100),"A"))))))</f>
        <v>-</v>
      </c>
      <c r="K23" s="212" t="str">
        <f>IF(VLOOKUP($H$1,nilai,11)&lt;58.25,"",IF(AND(VLOOKUP($H$1,nilai,11)&gt;=58.25,VLOOKUP($H$1,nilai,11)&lt;=66.4),"-",IF(AND(VLOOKUP($H$1,nilai,11)&gt;=66.5,VLOOKUP($H$1,nilai,11)&lt;=74.9),"",IF(AND(VLOOKUP($H$1,nilai,11)&gt;=75,VLOOKUP($H$1,nilai,11)&lt;=83.24),"+",IF(AND(VLOOKUP($H$1,nilai,11)&gt;=83.25,VLOOKUP($H$1,nilai,11)&lt;=91.14),"-",IF(AND(VLOOKUP($H$1,nilai,11)&gt;=91.5,VLOOKUP($H$1,nilai,11)&lt;=100),""))))))</f>
        <v/>
      </c>
      <c r="L23" s="211" t="str">
        <f>IF(VLOOKUP($H$1,nilai,12)&lt;58.25,"-",IF(AND(VLOOKUP($H$1,nilai,12)&gt;=58.25,VLOOKUP($H$1,nilai,12)&lt;=66.4),"B",IF(AND(VLOOKUP($H$1,nilai,12)&gt;=66.5,VLOOKUP($H$1,nilai,12)&lt;=74.9),"B",IF(AND(VLOOKUP($H$1,nilai,12)&gt;=75,VLOOKUP($H$1,nilai,12)&lt;=83.24),"B",IF(AND(VLOOKUP($H$1,nilai,12)&gt;=83.25,VLOOKUP($H$1,nilai,12)&lt;=91.14),"A",IF(AND(VLOOKUP($H$1,nilai,12)&gt;=91.5,VLOOKUP($H$1,nilai,12)&lt;=100),"A"))))))</f>
        <v>-</v>
      </c>
      <c r="M23" s="212" t="str">
        <f>IF(VLOOKUP($H$1,nilai,12)&lt;58.25,"",IF(AND(VLOOKUP($H$1,nilai,12)&gt;=58.25,VLOOKUP($H$1,nilai,12)&lt;=66.4),"-",IF(AND(VLOOKUP($H$1,nilai,12)&gt;=66.5,VLOOKUP($H$1,nilai,12)&lt;=74.9),"",IF(AND(VLOOKUP($H$1,nilai,12)&gt;=75,VLOOKUP($H$1,nilai,12)&lt;=83.24),"+",IF(AND(VLOOKUP($H$1,nilai,12)&gt;=83.25,VLOOKUP($H$1,nilai,12)&lt;=91.14),"-",IF(AND(VLOOKUP($H$1,nilai,12)&gt;=91.5,VLOOKUP($H$1,nilai,12)&lt;=100),""))))))</f>
        <v/>
      </c>
      <c r="N23" s="211" t="str">
        <f>IF(VLOOKUP($H$1,nilai,13)&lt;58.25,"-",IF(AND(VLOOKUP($H$1,nilai,13)&gt;=58.25,VLOOKUP($H$1,nilai,13)&lt;=66.4),"B",IF(AND(VLOOKUP($H$1,nilai,13)&gt;=66.5,VLOOKUP($H$1,nilai,13)&lt;=74.9),"B",IF(AND(VLOOKUP($H$1,nilai,13)&gt;=75,VLOOKUP($H$1,nilai,13)&lt;=83.24),"B",IF(AND(VLOOKUP($H$1,nilai,13)&gt;=83.25,VLOOKUP($H$1,nilai,13)&lt;=91.14),"A",IF(AND(VLOOKUP($H$1,nilai,13)&gt;=91.5,VLOOKUP($H$1,nilai,13)&lt;=100),"A"))))))</f>
        <v>-</v>
      </c>
      <c r="O23" s="212" t="str">
        <f>IF(VLOOKUP($H$1,nilai,13)&lt;58.25,"",IF(AND(VLOOKUP($H$1,nilai,13)&gt;=58.25,VLOOKUP($H$1,nilai,13)&lt;=66.4),"-",IF(AND(VLOOKUP($H$1,nilai,13)&gt;=66.5,VLOOKUP($H$1,nilai,13)&lt;=74.9),"",IF(AND(VLOOKUP($H$1,nilai,13)&gt;=75,VLOOKUP($H$1,nilai,13)&lt;=83.24),"+",IF(AND(VLOOKUP($H$1,nilai,13)&gt;=83.25,VLOOKUP($H$1,nilai,13)&lt;=91.14),"-",IF(AND(VLOOKUP($H$1,nilai,13)&gt;=91.5,VLOOKUP($H$1,nilai,13)&lt;=100),""))))))</f>
        <v/>
      </c>
      <c r="P23" s="211" t="str">
        <f>IF(VLOOKUP($H$1,nilai,17)&lt;58.25,"-",IF(AND(VLOOKUP($H$1,nilai,17)&gt;=58.25,VLOOKUP($H$1,nilai,17)&lt;=66.4),"B",IF(AND(VLOOKUP($H$1,nilai,17)&gt;=66.5,VLOOKUP($H$1,nilai,17)&lt;=74.9),"B",IF(AND(VLOOKUP($H$1,nilai,17)&gt;=75,VLOOKUP($H$1,nilai,17)&lt;=83.24),"B",IF(AND(VLOOKUP($H$1,nilai,17)&gt;=83.25,VLOOKUP($H$1,nilai,17)&lt;=91.14),"A",IF(AND(VLOOKUP($H$1,nilai,17)&gt;=91.5,VLOOKUP($H$1,nilai,17)&lt;=100),"A"))))))</f>
        <v>-</v>
      </c>
      <c r="Q23" s="376" t="str">
        <f>IF(VLOOKUP($H$1,nilai,17)&lt;58.25,"",IF(AND(VLOOKUP($H$1,nilai,17)&gt;=58.25,VLOOKUP($H$1,nilai,17)&lt;=66.4),"-",IF(AND(VLOOKUP($H$1,nilai,17)&gt;=66.5,VLOOKUP($H$1,nilai,17)&lt;=74.9),"",IF(AND(VLOOKUP($H$1,nilai,17)&gt;=75,VLOOKUP($H$1,nilai,17)&lt;=83.24),"+",IF(AND(VLOOKUP($H$1,nilai,17)&gt;=83.25,VLOOKUP($H$1,nilai,17)&lt;=91.14),"-",IF(AND(VLOOKUP($H$1,nilai,17)&gt;=91.5,VLOOKUP($H$1,nilai,17)&lt;=100),""))))))</f>
        <v/>
      </c>
      <c r="R23" s="206"/>
    </row>
    <row r="24" spans="1:18" s="207" customFormat="1" ht="20.100000000000001" customHeight="1">
      <c r="A24" s="206"/>
      <c r="B24" s="941"/>
      <c r="C24" s="943" t="s">
        <v>90</v>
      </c>
      <c r="D24" s="944"/>
      <c r="E24" s="944"/>
      <c r="F24" s="944"/>
      <c r="G24" s="944"/>
      <c r="H24" s="944"/>
      <c r="I24" s="944"/>
      <c r="J24" s="377" t="str">
        <f>IF(VLOOKUP($H$1,nilai,20)&lt;58.25,"-",IF(AND(VLOOKUP($H$1,nilai,20)&gt;=58.25,VLOOKUP($H$1,nilai,20)&lt;=66.4),"B",IF(AND(VLOOKUP($H$1,nilai,20)&gt;=66.5,VLOOKUP($H$1,nilai,20)&lt;=74.9),"B",IF(AND(VLOOKUP($H$1,nilai,20)&gt;=75,VLOOKUP($H$1,nilai,20)&lt;=83.24),"B",IF(AND(VLOOKUP($H$1,nilai,20)&gt;=83.25,VLOOKUP($H$1,nilai,20)&lt;=91.14),"A",IF(AND(VLOOKUP($H$1,nilai,20)&gt;=91.5,VLOOKUP($H$1,nilai,20)&lt;=100),"A"))))))</f>
        <v>-</v>
      </c>
      <c r="K24" s="378" t="str">
        <f>IF(VLOOKUP($H$1,nilai,20)&lt;58.25,"",IF(AND(VLOOKUP($H$1,nilai,20)&gt;=58.25,VLOOKUP($H$1,nilai,20)&lt;=66.4),"-",IF(AND(VLOOKUP($H$1,nilai,20)&gt;=66.5,VLOOKUP($H$1,nilai,20)&lt;=74.9),"",IF(AND(VLOOKUP($H$1,nilai,20)&gt;=75,VLOOKUP($H$1,nilai,20)&lt;=83.24),"+",IF(AND(VLOOKUP($H$1,nilai,20)&gt;=83.25,VLOOKUP($H$1,nilai,20)&lt;=91.14),"-",IF(AND(VLOOKUP($H$1,nilai,20)&gt;=91.5,VLOOKUP($H$1,nilai,20)&lt;=100),""))))))</f>
        <v/>
      </c>
      <c r="L24" s="377" t="str">
        <f>IF(VLOOKUP($H$1,nilai,21)&lt;58.25,"-",IF(AND(VLOOKUP($H$1,nilai,21)&gt;=58.25,VLOOKUP($H$1,nilai,21)&lt;=66.4),"B",IF(AND(VLOOKUP($H$1,nilai,21)&gt;=66.5,VLOOKUP($H$1,nilai,21)&lt;=74.9),"B",IF(AND(VLOOKUP($H$1,nilai,21)&gt;=75,VLOOKUP($H$1,nilai,21)&lt;=83.24),"B",IF(AND(VLOOKUP($H$1,nilai,21)&gt;=83.25,VLOOKUP($H$1,nilai,21)&lt;=91.14),"A",IF(AND(VLOOKUP($H$1,nilai,21)&gt;=91.5,VLOOKUP($H$1,nilai,21)&lt;=100),"A"))))))</f>
        <v>-</v>
      </c>
      <c r="M24" s="378" t="str">
        <f>IF(VLOOKUP($H$1,nilai,21)&lt;58.25,"",IF(AND(VLOOKUP($H$1,nilai,21)&gt;=58.25,VLOOKUP($H$1,nilai,21)&lt;=66.4),"-",IF(AND(VLOOKUP($H$1,nilai,21)&gt;=66.5,VLOOKUP($H$1,nilai,21)&lt;=74.9),"",IF(AND(VLOOKUP($H$1,nilai,21)&gt;=75,VLOOKUP($H$1,nilai,21)&lt;=83.24),"+",IF(AND(VLOOKUP($H$1,nilai,21)&gt;=83.25,VLOOKUP($H$1,nilai,21)&lt;=91.14),"-",IF(AND(VLOOKUP($H$1,nilai,21)&gt;=91.5,VLOOKUP($H$1,nilai,21)&lt;=100),""))))))</f>
        <v/>
      </c>
      <c r="N24" s="377" t="str">
        <f>IF(VLOOKUP($H$1,nilai,22)&lt;58.25,"-",IF(AND(VLOOKUP($H$1,nilai,22)&gt;=58.25,VLOOKUP($H$1,nilai,22)&lt;=66.4),"B",IF(AND(VLOOKUP($H$1,nilai,22)&gt;=66.5,VLOOKUP($H$1,nilai,22)&lt;=74.9),"B",IF(AND(VLOOKUP($H$1,nilai,22)&gt;=75,VLOOKUP($H$1,nilai,22)&lt;=83.24),"B",IF(AND(VLOOKUP($H$1,nilai,22)&gt;=83.25,VLOOKUP($H$1,nilai,22)&lt;=91.14),"A",IF(AND(VLOOKUP($H$1,nilai,22)&gt;=91.5,VLOOKUP($H$1,nilai,22)&lt;=100),"A"))))))</f>
        <v>-</v>
      </c>
      <c r="O24" s="378" t="str">
        <f>IF(VLOOKUP($H$1,nilai,22)&lt;58.25,"",IF(AND(VLOOKUP($H$1,nilai,22)&gt;=58.25,VLOOKUP($H$1,nilai,22)&lt;=66.4),"-",IF(AND(VLOOKUP($H$1,nilai,22)&gt;=66.5,VLOOKUP($H$1,nilai,22)&lt;=74.9),"",IF(AND(VLOOKUP($H$1,nilai,22)&gt;=75,VLOOKUP($H$1,nilai,22)&lt;=83.24),"+",IF(AND(VLOOKUP($H$1,nilai,22)&gt;=83.25,VLOOKUP($H$1,nilai,22)&lt;=91.14),"-",IF(AND(VLOOKUP($H$1,nilai,22)&gt;=91.5,VLOOKUP($H$1,nilai,22)&lt;=100),""))))))</f>
        <v/>
      </c>
      <c r="P24" s="377" t="str">
        <f>IF(VLOOKUP($H$1,nilai,26)&lt;58.25,"-",IF(AND(VLOOKUP($H$1,nilai,26)&gt;=58.25,VLOOKUP($H$1,nilai,26)&lt;=66.4),"B",IF(AND(VLOOKUP($H$1,nilai,26)&gt;=66.5,VLOOKUP($H$1,nilai,26)&lt;=74.9),"B",IF(AND(VLOOKUP($H$1,nilai,26)&gt;=75,VLOOKUP($H$1,nilai,26)&lt;=83.24),"B",IF(AND(VLOOKUP($H$1,nilai,26)&gt;=83.25,VLOOKUP($H$1,nilai,26)&lt;=91.14),"A",IF(AND(VLOOKUP($H$1,nilai,26)&gt;=91.5,VLOOKUP($H$1,nilai,26)&lt;=100),"A"))))))</f>
        <v>-</v>
      </c>
      <c r="Q24" s="379" t="str">
        <f>IF(VLOOKUP($H$1,nilai,26)&lt;58.25,"",IF(AND(VLOOKUP($H$1,nilai,26)&gt;=58.25,VLOOKUP($H$1,nilai,26)&lt;=66.4),"-",IF(AND(VLOOKUP($H$1,nilai,26)&gt;=66.5,VLOOKUP($H$1,nilai,26)&lt;=74.9),"",IF(AND(VLOOKUP($H$1,nilai,26)&gt;=75,VLOOKUP($H$1,nilai,26)&lt;=83.24),"+",IF(AND(VLOOKUP($H$1,nilai,26)&gt;=83.25,VLOOKUP($H$1,nilai,26)&lt;=91.14),"-",IF(AND(VLOOKUP($H$1,nilai,26)&gt;=91.5,VLOOKUP($H$1,nilai,26)&lt;=100),""))))))</f>
        <v/>
      </c>
      <c r="R24" s="206"/>
    </row>
    <row r="25" spans="1:18" s="207" customFormat="1" ht="20.100000000000001" customHeight="1">
      <c r="A25" s="206"/>
      <c r="B25" s="398"/>
      <c r="C25" s="902" t="s">
        <v>1345</v>
      </c>
      <c r="D25" s="903"/>
      <c r="E25" s="903"/>
      <c r="F25" s="903"/>
      <c r="G25" s="903"/>
      <c r="H25" s="903"/>
      <c r="I25" s="903"/>
      <c r="J25" s="400" t="str">
        <f>IF(VLOOKUP($H$1,nilai,29)&lt;58.25,"-",IF(AND(VLOOKUP($H$1,nilai,29)&gt;=58.25,VLOOKUP($H$1,nilai,29)&lt;=66.4),"B",IF(AND(VLOOKUP($H$1,nilai,29)&gt;=66.5,VLOOKUP($H$1,nilai,29)&lt;=74.9),"B",IF(AND(VLOOKUP($H$1,nilai,29)&gt;=75,VLOOKUP($H$1,nilai,29)&lt;=83.24),"B",IF(AND(VLOOKUP($H$1,nilai,29)&gt;=83.25,VLOOKUP($H$1,nilai,29)&lt;=91.14),"A",IF(AND(VLOOKUP($H$1,nilai,29)&gt;=91.5,VLOOKUP($H$1,nilai,29)&lt;=100),"A"))))))</f>
        <v>-</v>
      </c>
      <c r="K25" s="401" t="str">
        <f>IF(VLOOKUP($H$1,nilai,29)&lt;58.25,"",IF(AND(VLOOKUP($H$1,nilai,29)&gt;=58.25,VLOOKUP($H$1,nilai,29)&lt;=66.4),"-",IF(AND(VLOOKUP($H$1,nilai,29)&gt;=66.5,VLOOKUP($H$1,nilai,29)&lt;=74.9),"",IF(AND(VLOOKUP($H$1,nilai,29)&gt;=75,VLOOKUP($H$1,nilai,29)&lt;=83.24),"+",IF(AND(VLOOKUP($H$1,nilai,29)&gt;=83.25,VLOOKUP($H$1,nilai,29)&lt;=91.14),"-",IF(AND(VLOOKUP($H$1,nilai,29)&gt;=91.5,VLOOKUP($H$1,nilai,29)&lt;=100),""))))))</f>
        <v/>
      </c>
      <c r="L25" s="400" t="str">
        <f>IF(VLOOKUP($H$1,nilai,30)&lt;58.25,"-",IF(AND(VLOOKUP($H$1,nilai,30)&gt;=58.25,VLOOKUP($H$1,nilai,30)&lt;=66.4),"B",IF(AND(VLOOKUP($H$1,nilai,30)&gt;=66.5,VLOOKUP($H$1,nilai,30)&lt;=74.9),"B",IF(AND(VLOOKUP($H$1,nilai,30)&gt;=75,VLOOKUP($H$1,nilai,30)&lt;=83.24),"B",IF(AND(VLOOKUP($H$1,nilai,30)&gt;=83.25,VLOOKUP($H$1,nilai,30)&lt;=91.14),"A",IF(AND(VLOOKUP($H$1,nilai,30)&gt;=91.5,VLOOKUP($H$1,nilai,30)&lt;=100),"A"))))))</f>
        <v>-</v>
      </c>
      <c r="M25" s="401" t="str">
        <f>IF(VLOOKUP($H$1,nilai,30)&lt;58.25,"",IF(AND(VLOOKUP($H$1,nilai,30)&gt;=58.25,VLOOKUP($H$1,nilai,30)&lt;=66.4),"-",IF(AND(VLOOKUP($H$1,nilai,30)&gt;=66.5,VLOOKUP($H$1,nilai,30)&lt;=74.9),"",IF(AND(VLOOKUP($H$1,nilai,30)&gt;=75,VLOOKUP($H$1,nilai,30)&lt;=83.24),"+",IF(AND(VLOOKUP($H$1,nilai,30)&gt;=83.25,VLOOKUP($H$1,nilai,30)&lt;=91.14),"-",IF(AND(VLOOKUP($H$1,nilai,30)&gt;=91.5,VLOOKUP($H$1,nilai,30)&lt;=100),""))))))</f>
        <v/>
      </c>
      <c r="N25" s="400" t="str">
        <f>IF(VLOOKUP($H$1,nilai,31)&lt;58.25,"-",IF(AND(VLOOKUP($H$1,nilai,31)&gt;=58.25,VLOOKUP($H$1,nilai,31)&lt;=66.4),"B",IF(AND(VLOOKUP($H$1,nilai,31)&gt;=66.5,VLOOKUP($H$1,nilai,31)&lt;=74.9),"B",IF(AND(VLOOKUP($H$1,nilai,31)&gt;=75,VLOOKUP($H$1,nilai,31)&lt;=83.24),"B",IF(AND(VLOOKUP($H$1,nilai,31)&gt;=83.25,VLOOKUP($H$1,nilai,31)&lt;=91.14),"A",IF(AND(VLOOKUP($H$1,nilai,31)&gt;=91.5,VLOOKUP($H$1,nilai,31)&lt;=100),"A"))))))</f>
        <v>-</v>
      </c>
      <c r="O25" s="401" t="str">
        <f>IF(VLOOKUP($H$1,nilai,31)&lt;58.25,"",IF(AND(VLOOKUP($H$1,nilai,31)&gt;=58.25,VLOOKUP($H$1,nilai,31)&lt;=66.4),"-",IF(AND(VLOOKUP($H$1,nilai,31)&gt;=66.5,VLOOKUP($H$1,nilai,31)&lt;=74.9),"",IF(AND(VLOOKUP($H$1,nilai,31)&gt;=75,VLOOKUP($H$1,nilai,31)&lt;=83.24),"+",IF(AND(VLOOKUP($H$1,nilai,31)&gt;=83.25,VLOOKUP($H$1,nilai,31)&lt;=91.14),"-",IF(AND(VLOOKUP($H$1,nilai,31)&gt;=91.5,VLOOKUP($H$1,nilai,31)&lt;=100),""))))))</f>
        <v/>
      </c>
      <c r="P25" s="400" t="str">
        <f>IF(VLOOKUP($H$1,nilai,35)&lt;58.25,"-",IF(AND(VLOOKUP($H$1,nilai,35)&gt;=58.25,VLOOKUP($H$1,nilai,35)&lt;=66.4),"B",IF(AND(VLOOKUP($H$1,nilai,35)&gt;=66.5,VLOOKUP($H$1,nilai,35)&lt;=74.9),"B",IF(AND(VLOOKUP($H$1,nilai,35)&gt;=75,VLOOKUP($H$1,nilai,35)&lt;=83.24),"B",IF(AND(VLOOKUP($H$1,nilai,35)&gt;=83.25,VLOOKUP($H$1,nilai,35)&lt;=91.14),"A",IF(AND(VLOOKUP($H$1,nilai,35)&gt;=91.5,VLOOKUP($H$1,nilai,35)&lt;=100),"A"))))))</f>
        <v>-</v>
      </c>
      <c r="Q25" s="402" t="str">
        <f>IF(VLOOKUP($H$1,nilai,35)&lt;58.25,"",IF(AND(VLOOKUP($H$1,nilai,35)&gt;=58.25,VLOOKUP($H$1,nilai,35)&lt;=66.4),"-",IF(AND(VLOOKUP($H$1,nilai,35)&gt;=66.5,VLOOKUP($H$1,nilai,35)&lt;=74.9),"",IF(AND(VLOOKUP($H$1,nilai,35)&gt;=75,VLOOKUP($H$1,nilai,35)&lt;=83.24),"+",IF(AND(VLOOKUP($H$1,nilai,35)&gt;=83.25,VLOOKUP($H$1,nilai,35)&lt;=91.14),"-",IF(AND(VLOOKUP($H$1,nilai,35)&gt;=91.5,VLOOKUP($H$1,nilai,35)&lt;=100),""))))))</f>
        <v/>
      </c>
      <c r="R25" s="206"/>
    </row>
    <row r="26" spans="1:18" s="207" customFormat="1" ht="20.100000000000001" customHeight="1">
      <c r="A26" s="206"/>
      <c r="B26" s="399">
        <v>2</v>
      </c>
      <c r="C26" s="904" t="s">
        <v>1343</v>
      </c>
      <c r="D26" s="905"/>
      <c r="E26" s="905"/>
      <c r="F26" s="905"/>
      <c r="G26" s="905"/>
      <c r="H26" s="905"/>
      <c r="I26" s="905"/>
      <c r="J26" s="211" t="str">
        <f>IF(VLOOKUP($H$1,nilai,38)&lt;58.25,"-",IF(AND(VLOOKUP($H$1,nilai,38)&gt;=58.25,VLOOKUP($H$1,nilai,38)&lt;=66.4),"B",IF(AND(VLOOKUP($H$1,nilai,38)&gt;=66.5,VLOOKUP($H$1,nilai,38)&lt;=74.9),"B",IF(AND(VLOOKUP($H$1,nilai,38)&gt;=75,VLOOKUP($H$1,nilai,38)&lt;=83.24),"B",IF(AND(VLOOKUP($H$1,nilai,38)&gt;=83.25,VLOOKUP($H$1,nilai,38)&lt;=91.14),"A",IF(AND(VLOOKUP($H$1,nilai,38)&gt;=91.5,VLOOKUP($H$1,nilai,38)&lt;=100),"A"))))))</f>
        <v>A</v>
      </c>
      <c r="K26" s="212" t="str">
        <f>IF(VLOOKUP($H$1,nilai,38)&lt;58.25,"",IF(AND(VLOOKUP($H$1,nilai,38)&gt;=58.25,VLOOKUP($H$1,nilai,38)&lt;=66.4),"-",IF(AND(VLOOKUP($H$1,nilai,38)&gt;=66.5,VLOOKUP($H$1,nilai,38)&lt;=74.9),"",IF(AND(VLOOKUP($H$1,nilai,38)&gt;=75,VLOOKUP($H$1,nilai,38)&lt;=83.24),"+",IF(AND(VLOOKUP($H$1,nilai,38)&gt;=83.25,VLOOKUP($H$1,nilai,38)&lt;=91.14),"-",IF(AND(VLOOKUP($H$1,nilai,38)&gt;=91.5,VLOOKUP($H$1,nilai,38)&lt;=100),""))))))</f>
        <v/>
      </c>
      <c r="L26" s="211" t="str">
        <f>IF(VLOOKUP($H$1,nilai,39)&lt;58.25,"-",IF(AND(VLOOKUP($H$1,nilai,39)&gt;=58.25,VLOOKUP($H$1,nilai,39)&lt;=66.4),"B",IF(AND(VLOOKUP($H$1,nilai,39)&gt;=66.5,VLOOKUP($H$1,nilai,39)&lt;=74.9),"B",IF(AND(VLOOKUP($H$1,nilai,39)&gt;=75,VLOOKUP($H$1,nilai,39)&lt;=83.24),"B",IF(AND(VLOOKUP($H$1,nilai,39)&gt;=83.25,VLOOKUP($H$1,nilai,39)&lt;=91.14),"A",IF(AND(VLOOKUP($H$1,nilai,39)&gt;=91.5,VLOOKUP($H$1,nilai,39)&lt;=100),"A"))))))</f>
        <v>A</v>
      </c>
      <c r="M26" s="212" t="str">
        <f>IF(VLOOKUP($H$1,nilai,39)&lt;58.25,"",IF(AND(VLOOKUP($H$1,nilai,39)&gt;=58.25,VLOOKUP($H$1,nilai,39)&lt;=66.4),"-",IF(AND(VLOOKUP($H$1,nilai,39)&gt;=66.5,VLOOKUP($H$1,nilai,39)&lt;=74.9),"",IF(AND(VLOOKUP($H$1,nilai,39)&gt;=75,VLOOKUP($H$1,nilai,39)&lt;=83.24),"+",IF(AND(VLOOKUP($H$1,nilai,39)&gt;=83.25,VLOOKUP($H$1,nilai,39)&lt;=91.14),"-",IF(AND(VLOOKUP($H$1,nilai,39)&gt;=91.5,VLOOKUP($H$1,nilai,39)&lt;=100),""))))))</f>
        <v/>
      </c>
      <c r="N26" s="211" t="str">
        <f>IF(VLOOKUP($H$1,nilai,40)&lt;58.25,"-",IF(AND(VLOOKUP($H$1,nilai,40)&gt;=58.25,VLOOKUP($H$1,nilai,40)&lt;=66.4),"B",IF(AND(VLOOKUP($H$1,nilai,40)&gt;=66.5,VLOOKUP($H$1,nilai,40)&lt;=74.9),"B",IF(AND(VLOOKUP($H$1,nilai,40)&gt;=75,VLOOKUP($H$1,nilai,40)&lt;=83.24),"B",IF(AND(VLOOKUP($H$1,nilai,40)&gt;=83.25,VLOOKUP($H$1,nilai,40)&lt;=91.14),"A",IF(AND(VLOOKUP($H$1,nilai,40)&gt;=91.5,VLOOKUP($H$1,nilai,40)&lt;=100),"A"))))))</f>
        <v>A</v>
      </c>
      <c r="O26" s="212" t="str">
        <f>IF(VLOOKUP($H$1,nilai,40)&lt;58.25,"",IF(AND(VLOOKUP($H$1,nilai,40)&gt;=58.25,VLOOKUP($H$1,nilai,40)&lt;=66.4),"-",IF(AND(VLOOKUP($H$1,nilai,40)&gt;=66.5,VLOOKUP($H$1,nilai,40)&lt;=74.9),"",IF(AND(VLOOKUP($H$1,nilai,40)&gt;=75,VLOOKUP($H$1,nilai,40)&lt;=83.24),"+",IF(AND(VLOOKUP($H$1,nilai,40)&gt;=83.25,VLOOKUP($H$1,nilai,40)&lt;=91.14),"-",IF(AND(VLOOKUP($H$1,nilai,40)&gt;=91.5,VLOOKUP($H$1,nilai,40)&lt;=100),""))))))</f>
        <v/>
      </c>
      <c r="P26" s="211" t="str">
        <f>IF(VLOOKUP($H$1,nilai,44)&lt;58.25,"-",IF(AND(VLOOKUP($H$1,nilai,44)&gt;=58.25,VLOOKUP($H$1,nilai,44)&lt;=66.4),"B",IF(AND(VLOOKUP($H$1,nilai,44)&gt;=66.5,VLOOKUP($H$1,nilai,44)&lt;=74.9),"B",IF(AND(VLOOKUP($H$1,nilai,44)&gt;=75,VLOOKUP($H$1,nilai,44)&lt;=83.24),"B",IF(AND(VLOOKUP($H$1,nilai,44)&gt;=83.25,VLOOKUP($H$1,nilai,44)&lt;=91.14),"A",IF(AND(VLOOKUP($H$1,nilai,44)&gt;=91.5,VLOOKUP($H$1,nilai,44)&lt;=100),"A"))))))</f>
        <v>A</v>
      </c>
      <c r="Q26" s="376" t="str">
        <f>IF(VLOOKUP($H$1,nilai,44)&lt;58.25,"",IF(AND(VLOOKUP($H$1,nilai,44)&gt;=58.25,VLOOKUP($H$1,nilai,44)&lt;=66.4),"-",IF(AND(VLOOKUP($H$1,nilai,44)&gt;=66.5,VLOOKUP($H$1,nilai,44)&lt;=74.9),"",IF(AND(VLOOKUP($H$1,nilai,44)&gt;=75,VLOOKUP($H$1,nilai,44)&lt;=83.24),"+",IF(AND(VLOOKUP($H$1,nilai,44)&gt;=83.25,VLOOKUP($H$1,nilai,44)&lt;=91.14),"-",IF(AND(VLOOKUP($H$1,nilai,44)&gt;=91.5,VLOOKUP($H$1,nilai,44)&lt;=100),""))))))</f>
        <v/>
      </c>
      <c r="R26" s="206"/>
    </row>
    <row r="27" spans="1:18" s="207" customFormat="1" ht="20.100000000000001" customHeight="1">
      <c r="A27" s="206"/>
      <c r="B27" s="399">
        <v>3</v>
      </c>
      <c r="C27" s="904" t="s">
        <v>91</v>
      </c>
      <c r="D27" s="905"/>
      <c r="E27" s="905"/>
      <c r="F27" s="905"/>
      <c r="G27" s="905"/>
      <c r="H27" s="905"/>
      <c r="I27" s="905"/>
      <c r="J27" s="211" t="str">
        <f>IF(VLOOKUP($H$1,nilai,47)&lt;58.25,"-",IF(AND(VLOOKUP($H$1,nilai,47)&gt;=58.25,VLOOKUP($H$1,nilai,47)&lt;=66.4),"B",IF(AND(VLOOKUP($H$1,nilai,47)&gt;=66.5,VLOOKUP($H$1,nilai,47)&lt;=74.9),"B",IF(AND(VLOOKUP($H$1,nilai,47)&gt;=75,VLOOKUP($H$1,nilai,47)&lt;=83.24),"B",IF(AND(VLOOKUP($H$1,nilai,47)&gt;=83.25,VLOOKUP($H$1,nilai,47)&lt;=91.14),"A",IF(AND(VLOOKUP($H$1,nilai,47)&gt;=91.5,VLOOKUP($H$1,nilai,47)&lt;=100),"A"))))))</f>
        <v>-</v>
      </c>
      <c r="K27" s="212" t="str">
        <f>IF(VLOOKUP($H$1,nilai,47)&lt;58.25,"",IF(AND(VLOOKUP($H$1,nilai,47)&gt;=58.25,VLOOKUP($H$1,nilai,47)&lt;=66.4),"-",IF(AND(VLOOKUP($H$1,nilai,47)&gt;=66.5,VLOOKUP($H$1,nilai,47)&lt;=74.9),"",IF(AND(VLOOKUP($H$1,nilai,47)&gt;=75,VLOOKUP($H$1,nilai,47)&lt;=83.24),"+",IF(AND(VLOOKUP($H$1,nilai,47)&gt;=83.25,VLOOKUP($H$1,nilai,47)&lt;=91.14),"-",IF(AND(VLOOKUP($H$1,nilai,47)&gt;=91.5,VLOOKUP($H$1,nilai,47)&lt;=100),""))))))</f>
        <v/>
      </c>
      <c r="L27" s="211" t="str">
        <f>IF(VLOOKUP($H$1,nilai,48)&lt;58.25,"-",IF(AND(VLOOKUP($H$1,nilai,48)&gt;=58.25,VLOOKUP($H$1,nilai,48)&lt;=66.4),"B",IF(AND(VLOOKUP($H$1,nilai,48)&gt;=66.5,VLOOKUP($H$1,nilai,48)&lt;=74.9),"B",IF(AND(VLOOKUP($H$1,nilai,48)&gt;=75,VLOOKUP($H$1,nilai,48)&lt;=83.24),"B",IF(AND(VLOOKUP($H$1,nilai,48)&gt;=83.25,VLOOKUP($H$1,nilai,48)&lt;=91.14),"A",IF(AND(VLOOKUP($H$1,nilai,48)&gt;=91.5,VLOOKUP($H$1,nilai,48)&lt;=100),"A"))))))</f>
        <v>-</v>
      </c>
      <c r="M27" s="212" t="str">
        <f>IF(VLOOKUP($H$1,nilai,48)&lt;58.25,"",IF(AND(VLOOKUP($H$1,nilai,48)&gt;=58.25,VLOOKUP($H$1,nilai,48)&lt;=66.4),"-",IF(AND(VLOOKUP($H$1,nilai,48)&gt;=66.5,VLOOKUP($H$1,nilai,48)&lt;=74.9),"",IF(AND(VLOOKUP($H$1,nilai,48)&gt;=75,VLOOKUP($H$1,nilai,48)&lt;=83.24),"+",IF(AND(VLOOKUP($H$1,nilai,48)&gt;=83.25,VLOOKUP($H$1,nilai,48)&lt;=91.14),"-",IF(AND(VLOOKUP($H$1,nilai,48)&gt;=91.5,VLOOKUP($H$1,nilai,48)&lt;=100),""))))))</f>
        <v/>
      </c>
      <c r="N27" s="211" t="str">
        <f>IF(VLOOKUP($H$1,nilai,49)&lt;58.25,"-",IF(AND(VLOOKUP($H$1,nilai,49)&gt;=58.25,VLOOKUP($H$1,nilai,49)&lt;=66.4),"B",IF(AND(VLOOKUP($H$1,nilai,49)&gt;=66.5,VLOOKUP($H$1,nilai,49)&lt;=74.9),"B",IF(AND(VLOOKUP($H$1,nilai,49)&gt;=75,VLOOKUP($H$1,nilai,49)&lt;=83.24),"B",IF(AND(VLOOKUP($H$1,nilai,49)&gt;=83.25,VLOOKUP($H$1,nilai,49)&lt;=91.14),"A",IF(AND(VLOOKUP($H$1,nilai,49)&gt;=91.5,VLOOKUP($H$1,nilai,49)&lt;=100),"A"))))))</f>
        <v>-</v>
      </c>
      <c r="O27" s="212" t="str">
        <f>IF(VLOOKUP($H$1,nilai,49)&lt;58.25,"",IF(AND(VLOOKUP($H$1,nilai,49)&gt;=58.25,VLOOKUP($H$1,nilai,49)&lt;=66.4),"-",IF(AND(VLOOKUP($H$1,nilai,49)&gt;=66.5,VLOOKUP($H$1,nilai,49)&lt;=74.9),"",IF(AND(VLOOKUP($H$1,nilai,49)&gt;=75,VLOOKUP($H$1,nilai,49)&lt;=83.24),"+",IF(AND(VLOOKUP($H$1,nilai,49)&gt;=83.25,VLOOKUP($H$1,nilai,49)&lt;=91.14),"-",IF(AND(VLOOKUP($H$1,nilai,49)&gt;=91.5,VLOOKUP($H$1,nilai,49)&lt;=100),""))))))</f>
        <v/>
      </c>
      <c r="P27" s="211" t="str">
        <f>IF(VLOOKUP($H$1,nilai,53)&lt;58.25,"-",IF(AND(VLOOKUP($H$1,nilai,53)&gt;=58.25,VLOOKUP($H$1,nilai,53)&lt;=66.4),"B",IF(AND(VLOOKUP($H$1,nilai,53)&gt;=66.5,VLOOKUP($H$1,nilai,53)&lt;=74.9),"B",IF(AND(VLOOKUP($H$1,nilai,53)&gt;=75,VLOOKUP($H$1,nilai,53)&lt;=83.24),"B",IF(AND(VLOOKUP($H$1,nilai,53)&gt;=83.25,VLOOKUP($H$1,nilai,53)&lt;=91.14),"A",IF(AND(VLOOKUP($H$1,nilai,53)&gt;=91.5,VLOOKUP($H$1,nilai,53)&lt;=100),"A"))))))</f>
        <v>-</v>
      </c>
      <c r="Q27" s="376" t="str">
        <f>IF(VLOOKUP($H$1,nilai,53)&lt;58.25,"",IF(AND(VLOOKUP($H$1,nilai,53)&gt;=58.25,VLOOKUP($H$1,nilai,53)&lt;=66.4),"-",IF(AND(VLOOKUP($H$1,nilai,53)&gt;=66.5,VLOOKUP($H$1,nilai,53)&lt;=74.9),"",IF(AND(VLOOKUP($H$1,nilai,53)&gt;=75,VLOOKUP($H$1,nilai,53)&lt;=83.24),"+",IF(AND(VLOOKUP($H$1,nilai,53)&gt;=83.25,VLOOKUP($H$1,nilai,53)&lt;=91.14),"-",IF(AND(VLOOKUP($H$1,nilai,53)&gt;=91.5,VLOOKUP($H$1,nilai,53)&lt;=100),""))))))</f>
        <v/>
      </c>
      <c r="R27" s="206"/>
    </row>
    <row r="28" spans="1:18" s="207" customFormat="1" ht="20.100000000000001" customHeight="1">
      <c r="A28" s="206"/>
      <c r="B28" s="399">
        <v>4</v>
      </c>
      <c r="C28" s="904" t="s">
        <v>92</v>
      </c>
      <c r="D28" s="905"/>
      <c r="E28" s="905"/>
      <c r="F28" s="905"/>
      <c r="G28" s="905"/>
      <c r="H28" s="905"/>
      <c r="I28" s="905"/>
      <c r="J28" s="211" t="str">
        <f>IF(VLOOKUP($H$1,nilai,65)&lt;58.25,"-",IF(AND(VLOOKUP($H$1,nilai,65)&gt;=58.25,VLOOKUP($H$1,nilai,65)&lt;=66.4),"B",IF(AND(VLOOKUP($H$1,nilai,65)&gt;=66.5,VLOOKUP($H$1,nilai,65)&lt;=74.9),"B",IF(AND(VLOOKUP($H$1,nilai,65)&gt;=75,VLOOKUP($H$1,nilai,65)&lt;=83.24),"B",IF(AND(VLOOKUP($H$1,nilai,65)&gt;=83.25,VLOOKUP($H$1,nilai,65)&lt;=91.14),"A",IF(AND(VLOOKUP($H$1,nilai,65)&gt;=91.5,VLOOKUP($H$1,nilai,65)&lt;=100),"A"))))))</f>
        <v>-</v>
      </c>
      <c r="K28" s="212" t="str">
        <f>IF(VLOOKUP($H$1,nilai,65)&lt;58.25,"",IF(AND(VLOOKUP($H$1,nilai,65)&gt;=58.25,VLOOKUP($H$1,nilai,65)&lt;=66.4),"-",IF(AND(VLOOKUP($H$1,nilai,65)&gt;=66.5,VLOOKUP($H$1,nilai,65)&lt;=74.9),"",IF(AND(VLOOKUP($H$1,nilai,65)&gt;=75,VLOOKUP($H$1,nilai,65)&lt;=83.24),"+",IF(AND(VLOOKUP($H$1,nilai,65)&gt;=83.25,VLOOKUP($H$1,nilai,65)&lt;=91.14),"-",IF(AND(VLOOKUP($H$1,nilai,65)&gt;=91.5,VLOOKUP($H$1,nilai,65)&lt;=100),""))))))</f>
        <v/>
      </c>
      <c r="L28" s="211" t="str">
        <f>IF(VLOOKUP($H$1,nilai,66)&lt;58.25,"-",IF(AND(VLOOKUP($H$1,nilai,66)&gt;=58.25,VLOOKUP($H$1,nilai,66)&lt;=66.4),"B",IF(AND(VLOOKUP($H$1,nilai,66)&gt;=66.5,VLOOKUP($H$1,nilai,66)&lt;=74.9),"B",IF(AND(VLOOKUP($H$1,nilai,66)&gt;=75,VLOOKUP($H$1,nilai,66)&lt;=83.24),"B",IF(AND(VLOOKUP($H$1,nilai,66)&gt;=83.25,VLOOKUP($H$1,nilai,66)&lt;=91.14),"A",IF(AND(VLOOKUP($H$1,nilai,66)&gt;=91.5,VLOOKUP($H$1,nilai,66)&lt;=100),"A"))))))</f>
        <v>-</v>
      </c>
      <c r="M28" s="212" t="str">
        <f>IF(VLOOKUP($H$1,nilai,66)&lt;58.25,"",IF(AND(VLOOKUP($H$1,nilai,66)&gt;=58.25,VLOOKUP($H$1,nilai,66)&lt;=66.4),"-",IF(AND(VLOOKUP($H$1,nilai,66)&gt;=66.5,VLOOKUP($H$1,nilai,66)&lt;=74.9),"",IF(AND(VLOOKUP($H$1,nilai,66)&gt;=75,VLOOKUP($H$1,nilai,66)&lt;=83.24),"+",IF(AND(VLOOKUP($H$1,nilai,66)&gt;=83.25,VLOOKUP($H$1,nilai,66)&lt;=91.14),"-",IF(AND(VLOOKUP($H$1,nilai,66)&gt;=91.5,VLOOKUP($H$1,nilai,66)&lt;=100),""))))))</f>
        <v/>
      </c>
      <c r="N28" s="211" t="str">
        <f>IF(VLOOKUP($H$1,nilai,67)&lt;58.25,"-",IF(AND(VLOOKUP($H$1,nilai,67)&gt;=58.25,VLOOKUP($H$1,nilai,67)&lt;=66.4),"B",IF(AND(VLOOKUP($H$1,nilai,67)&gt;=66.5,VLOOKUP($H$1,nilai,67)&lt;=74.9),"B",IF(AND(VLOOKUP($H$1,nilai,67)&gt;=75,VLOOKUP($H$1,nilai,67)&lt;=83.24),"B",IF(AND(VLOOKUP($H$1,nilai,67)&gt;=83.25,VLOOKUP($H$1,nilai,67)&lt;=91.14),"A",IF(AND(VLOOKUP($H$1,nilai,67)&gt;=91.5,VLOOKUP($H$1,nilai,67)&lt;=100),"A"))))))</f>
        <v>-</v>
      </c>
      <c r="O28" s="212" t="str">
        <f>IF(VLOOKUP($H$1,nilai,67)&lt;58.25,"",IF(AND(VLOOKUP($H$1,nilai,67)&gt;=58.25,VLOOKUP($H$1,nilai,67)&lt;=66.4),"-",IF(AND(VLOOKUP($H$1,nilai,67)&gt;=66.5,VLOOKUP($H$1,nilai,67)&lt;=74.9),"",IF(AND(VLOOKUP($H$1,nilai,67)&gt;=75,VLOOKUP($H$1,nilai,67)&lt;=83.24),"+",IF(AND(VLOOKUP($H$1,nilai,67)&gt;=83.25,VLOOKUP($H$1,nilai,67)&lt;=91.14),"-",IF(AND(VLOOKUP($H$1,nilai,67)&gt;=91.5,VLOOKUP($H$1,nilai,67)&lt;=100),""))))))</f>
        <v/>
      </c>
      <c r="P28" s="211" t="str">
        <f>IF(VLOOKUP($H$1,nilai,71)&lt;58.25,"-",IF(AND(VLOOKUP($H$1,nilai,71)&gt;=58.25,VLOOKUP($H$1,nilai,71)&lt;=66.4),"B",IF(AND(VLOOKUP($H$1,nilai,71)&gt;=66.5,VLOOKUP($H$1,nilai,71)&lt;=74.9),"B",IF(AND(VLOOKUP($H$1,nilai,71)&gt;=75,VLOOKUP($H$1,nilai,71)&lt;=83.24),"B",IF(AND(VLOOKUP($H$1,nilai,71)&gt;=83.25,VLOOKUP($H$1,nilai,71)&lt;=91.14),"A",IF(AND(VLOOKUP($H$1,nilai,71)&gt;=91.5,VLOOKUP($H$1,nilai,71)&lt;=100),"A"))))))</f>
        <v>-</v>
      </c>
      <c r="Q28" s="376" t="str">
        <f>IF(VLOOKUP($H$1,nilai,71)&lt;58.25,"",IF(AND(VLOOKUP($H$1,nilai,71)&gt;=58.25,VLOOKUP($H$1,nilai,71)&lt;=66.4),"-",IF(AND(VLOOKUP($H$1,nilai,71)&gt;=66.5,VLOOKUP($H$1,nilai,71)&lt;=74.9),"",IF(AND(VLOOKUP($H$1,nilai,71)&gt;=75,VLOOKUP($H$1,nilai,71)&lt;=83.24),"+",IF(AND(VLOOKUP($H$1,nilai,71)&gt;=83.25,VLOOKUP($H$1,nilai,71)&lt;=91.14),"-",IF(AND(VLOOKUP($H$1,nilai,71)&gt;=91.5,VLOOKUP($H$1,nilai,71)&lt;=100),""))))))</f>
        <v/>
      </c>
      <c r="R28" s="206"/>
    </row>
    <row r="29" spans="1:18" s="207" customFormat="1" ht="20.100000000000001" customHeight="1">
      <c r="A29" s="206"/>
      <c r="B29" s="399">
        <v>5</v>
      </c>
      <c r="C29" s="904" t="s">
        <v>93</v>
      </c>
      <c r="D29" s="905"/>
      <c r="E29" s="905"/>
      <c r="F29" s="905"/>
      <c r="G29" s="905"/>
      <c r="H29" s="905"/>
      <c r="I29" s="905"/>
      <c r="J29" s="211" t="str">
        <f>IF(VLOOKUP($H$1,nilai,74)&lt;58.25,"-",IF(AND(VLOOKUP($H$1,nilai,74)&gt;=58.25,VLOOKUP($H$1,nilai,74)&lt;=66.4),"B",IF(AND(VLOOKUP($H$1,nilai,74)&gt;=66.5,VLOOKUP($H$1,nilai,74)&lt;=74.9),"B",IF(AND(VLOOKUP($H$1,nilai,74)&gt;=75,VLOOKUP($H$1,nilai,74)&lt;=83.24),"B",IF(AND(VLOOKUP($H$1,nilai,74)&gt;=83.25,VLOOKUP($H$1,nilai,74)&lt;=91.14),"A",IF(AND(VLOOKUP($H$1,nilai,74)&gt;=91.5,VLOOKUP($H$1,nilai,74)&lt;=100),"A"))))))</f>
        <v>-</v>
      </c>
      <c r="K29" s="212" t="str">
        <f>IF(VLOOKUP($H$1,nilai,74)&lt;58.25,"",IF(AND(VLOOKUP($H$1,nilai,74)&gt;=58.25,VLOOKUP($H$1,nilai,74)&lt;=66.4),"-",IF(AND(VLOOKUP($H$1,nilai,74)&gt;=66.5,VLOOKUP($H$1,nilai,74)&lt;=74.9),"",IF(AND(VLOOKUP($H$1,nilai,74)&gt;=75,VLOOKUP($H$1,nilai,74)&lt;=83.24),"+",IF(AND(VLOOKUP($H$1,nilai,74)&gt;=83.25,VLOOKUP($H$1,nilai,74)&lt;=91.14),"-",IF(AND(VLOOKUP($H$1,nilai,74)&gt;=91.5,VLOOKUP($H$1,nilai,74)&lt;=100),""))))))</f>
        <v/>
      </c>
      <c r="L29" s="211" t="str">
        <f>IF(VLOOKUP($H$1,nilai,75)&lt;58.25,"-",IF(AND(VLOOKUP($H$1,nilai,75)&gt;=58.25,VLOOKUP($H$1,nilai,75)&lt;=66.4),"B",IF(AND(VLOOKUP($H$1,nilai,75)&gt;=66.5,VLOOKUP($H$1,nilai,75)&lt;=74.9),"B",IF(AND(VLOOKUP($H$1,nilai,75)&gt;=75,VLOOKUP($H$1,nilai,75)&lt;=83.24),"B",IF(AND(VLOOKUP($H$1,nilai,75)&gt;=83.25,VLOOKUP($H$1,nilai,75)&lt;=91.14),"A",IF(AND(VLOOKUP($H$1,nilai,75)&gt;=91.5,VLOOKUP($H$1,nilai,75)&lt;=100),"A"))))))</f>
        <v>-</v>
      </c>
      <c r="M29" s="212" t="str">
        <f>IF(VLOOKUP($H$1,nilai,75)&lt;58.25,"",IF(AND(VLOOKUP($H$1,nilai,75)&gt;=58.25,VLOOKUP($H$1,nilai,75)&lt;=66.4),"-",IF(AND(VLOOKUP($H$1,nilai,75)&gt;=66.5,VLOOKUP($H$1,nilai,75)&lt;=74.9),"",IF(AND(VLOOKUP($H$1,nilai,75)&gt;=75,VLOOKUP($H$1,nilai,75)&lt;=83.24),"+",IF(AND(VLOOKUP($H$1,nilai,75)&gt;=83.25,VLOOKUP($H$1,nilai,75)&lt;=91.14),"-",IF(AND(VLOOKUP($H$1,nilai,75)&gt;=91.5,VLOOKUP($H$1,nilai,75)&lt;=100),""))))))</f>
        <v/>
      </c>
      <c r="N29" s="211" t="str">
        <f>IF(VLOOKUP($H$1,nilai,76)&lt;58.25,"-",IF(AND(VLOOKUP($H$1,nilai,76)&gt;=58.25,VLOOKUP($H$1,nilai,76)&lt;=66.4),"B",IF(AND(VLOOKUP($H$1,nilai,76)&gt;=66.5,VLOOKUP($H$1,nilai,76)&lt;=74.9),"B",IF(AND(VLOOKUP($H$1,nilai,76)&gt;=75,VLOOKUP($H$1,nilai,76)&lt;=83.24),"B",IF(AND(VLOOKUP($H$1,nilai,76)&gt;=83.25,VLOOKUP($H$1,nilai,76)&lt;=91.14),"A",IF(AND(VLOOKUP($H$1,nilai,76)&gt;=91.5,VLOOKUP($H$1,nilai,76)&lt;=100),"A"))))))</f>
        <v>-</v>
      </c>
      <c r="O29" s="212" t="str">
        <f>IF(VLOOKUP($H$1,nilai,76)&lt;58.25,"",IF(AND(VLOOKUP($H$1,nilai,76)&gt;=58.25,VLOOKUP($H$1,nilai,76)&lt;=66.4),"-",IF(AND(VLOOKUP($H$1,nilai,76)&gt;=66.5,VLOOKUP($H$1,nilai,76)&lt;=74.9),"",IF(AND(VLOOKUP($H$1,nilai,76)&gt;=75,VLOOKUP($H$1,nilai,76)&lt;=83.24),"+",IF(AND(VLOOKUP($H$1,nilai,76)&gt;=83.25,VLOOKUP($H$1,nilai,76)&lt;=91.14),"-",IF(AND(VLOOKUP($H$1,nilai,76)&gt;=91.5,VLOOKUP($H$1,nilai,76)&lt;=100),""))))))</f>
        <v/>
      </c>
      <c r="P29" s="211" t="str">
        <f>IF(VLOOKUP($H$1,nilai,80)&lt;58.25,"-",IF(AND(VLOOKUP($H$1,nilai,80)&gt;=58.25,VLOOKUP($H$1,nilai,80)&lt;=66.4),"B",IF(AND(VLOOKUP($H$1,nilai,80)&gt;=66.5,VLOOKUP($H$1,nilai,80)&lt;=74.9),"B",IF(AND(VLOOKUP($H$1,nilai,80)&gt;=75,VLOOKUP($H$1,nilai,80)&lt;=83.24),"B",IF(AND(VLOOKUP($H$1,nilai,80)&gt;=83.25,VLOOKUP($H$1,nilai,80)&lt;=91.14),"A",IF(AND(VLOOKUP($H$1,nilai,80)&gt;=91.5,VLOOKUP($H$1,nilai,80)&lt;=100),"A"))))))</f>
        <v>-</v>
      </c>
      <c r="Q29" s="376" t="str">
        <f>IF(VLOOKUP($H$1,nilai,80)&lt;58.25,"",IF(AND(VLOOKUP($H$1,nilai,80)&gt;=58.25,VLOOKUP($H$1,nilai,80)&lt;=66.4),"-",IF(AND(VLOOKUP($H$1,nilai,80)&gt;=66.5,VLOOKUP($H$1,nilai,80)&lt;=74.9),"",IF(AND(VLOOKUP($H$1,nilai,80)&gt;=75,VLOOKUP($H$1,nilai,80)&lt;=83.24),"+",IF(AND(VLOOKUP($H$1,nilai,80)&gt;=83.25,VLOOKUP($H$1,nilai,80)&lt;=91.14),"-",IF(AND(VLOOKUP($H$1,nilai,80)&gt;=91.5,VLOOKUP($H$1,nilai,80)&lt;=100),""))))))</f>
        <v/>
      </c>
      <c r="R29" s="206"/>
    </row>
    <row r="30" spans="1:18" s="207" customFormat="1" ht="20.100000000000001" customHeight="1">
      <c r="A30" s="206"/>
      <c r="B30" s="399">
        <v>6</v>
      </c>
      <c r="C30" s="904" t="s">
        <v>94</v>
      </c>
      <c r="D30" s="905"/>
      <c r="E30" s="905"/>
      <c r="F30" s="905"/>
      <c r="G30" s="905"/>
      <c r="H30" s="905"/>
      <c r="I30" s="905"/>
      <c r="J30" s="211" t="str">
        <f>IF(VLOOKUP($H$1,nilai,83)&lt;58.25,"-",IF(AND(VLOOKUP($H$1,nilai,83)&gt;=58.25,VLOOKUP($H$1,nilai,83)&lt;=66.4),"B",IF(AND(VLOOKUP($H$1,nilai,83)&gt;=66.5,VLOOKUP($H$1,nilai,83)&lt;=74.9),"B",IF(AND(VLOOKUP($H$1,nilai,83)&gt;=75,VLOOKUP($H$1,nilai,83)&lt;=83.24),"B",IF(AND(VLOOKUP($H$1,nilai,83)&gt;=83.25,VLOOKUP($H$1,nilai,83)&lt;=91.14),"A",IF(AND(VLOOKUP($H$1,nilai,83)&gt;=91.5,VLOOKUP($H$1,nilai,83)&lt;=100),"A"))))))</f>
        <v>-</v>
      </c>
      <c r="K30" s="212" t="str">
        <f>IF(VLOOKUP($H$1,nilai,83)&lt;58.25,"",IF(AND(VLOOKUP($H$1,nilai,83)&gt;=58.25,VLOOKUP($H$1,nilai,83)&lt;=66.4),"-",IF(AND(VLOOKUP($H$1,nilai,83)&gt;=66.5,VLOOKUP($H$1,nilai,83)&lt;=74.9),"",IF(AND(VLOOKUP($H$1,nilai,83)&gt;=75,VLOOKUP($H$1,nilai,83)&lt;=83.24),"+",IF(AND(VLOOKUP($H$1,nilai,83)&gt;=83.25,VLOOKUP($H$1,nilai,83)&lt;=91.14),"-",IF(AND(VLOOKUP($H$1,nilai,83)&gt;=91.5,VLOOKUP($H$1,nilai,83)&lt;=100),""))))))</f>
        <v/>
      </c>
      <c r="L30" s="211" t="str">
        <f>IF(VLOOKUP($H$1,nilai,84)&lt;58.25,"-",IF(AND(VLOOKUP($H$1,nilai,84)&gt;=58.25,VLOOKUP($H$1,nilai,84)&lt;=66.4),"B",IF(AND(VLOOKUP($H$1,nilai,84)&gt;=66.5,VLOOKUP($H$1,nilai,84)&lt;=74.9),"B",IF(AND(VLOOKUP($H$1,nilai,84)&gt;=75,VLOOKUP($H$1,nilai,84)&lt;=83.24),"B",IF(AND(VLOOKUP($H$1,nilai,84)&gt;=83.25,VLOOKUP($H$1,nilai,84)&lt;=91.14),"A",IF(AND(VLOOKUP($H$1,nilai,84)&gt;=91.5,VLOOKUP($H$1,nilai,84)&lt;=100),"A"))))))</f>
        <v>-</v>
      </c>
      <c r="M30" s="212" t="str">
        <f>IF(VLOOKUP($H$1,nilai,84)&lt;58.25,"",IF(AND(VLOOKUP($H$1,nilai,84)&gt;=58.25,VLOOKUP($H$1,nilai,84)&lt;=66.4),"-",IF(AND(VLOOKUP($H$1,nilai,84)&gt;=66.5,VLOOKUP($H$1,nilai,84)&lt;=74.9),"",IF(AND(VLOOKUP($H$1,nilai,84)&gt;=75,VLOOKUP($H$1,nilai,84)&lt;=83.24),"+",IF(AND(VLOOKUP($H$1,nilai,84)&gt;=83.25,VLOOKUP($H$1,nilai,84)&lt;=91.14),"-",IF(AND(VLOOKUP($H$1,nilai,84)&gt;=91.5,VLOOKUP($H$1,nilai,84)&lt;=100),""))))))</f>
        <v/>
      </c>
      <c r="N30" s="211" t="str">
        <f>IF(VLOOKUP($H$1,nilai,85)&lt;58.25,"-",IF(AND(VLOOKUP($H$1,nilai,85)&gt;=58.25,VLOOKUP($H$1,nilai,85)&lt;=66.4),"B",IF(AND(VLOOKUP($H$1,nilai,85)&gt;=66.5,VLOOKUP($H$1,nilai,85)&lt;=74.9),"B",IF(AND(VLOOKUP($H$1,nilai,85)&gt;=75,VLOOKUP($H$1,nilai,85)&lt;=83.24),"B",IF(AND(VLOOKUP($H$1,nilai,85)&gt;=83.25,VLOOKUP($H$1,nilai,85)&lt;=91.14),"A",IF(AND(VLOOKUP($H$1,nilai,85)&gt;=91.5,VLOOKUP($H$1,nilai,85)&lt;=100),"A"))))))</f>
        <v>-</v>
      </c>
      <c r="O30" s="212" t="str">
        <f>IF(VLOOKUP($H$1,nilai,85)&lt;58.25,"",IF(AND(VLOOKUP($H$1,nilai,85)&gt;=58.25,VLOOKUP($H$1,nilai,85)&lt;=66.4),"-",IF(AND(VLOOKUP($H$1,nilai,85)&gt;=66.5,VLOOKUP($H$1,nilai,85)&lt;=74.9),"",IF(AND(VLOOKUP($H$1,nilai,85)&gt;=75,VLOOKUP($H$1,nilai,85)&lt;=83.24),"+",IF(AND(VLOOKUP($H$1,nilai,85)&gt;=83.25,VLOOKUP($H$1,nilai,85)&lt;=91.14),"-",IF(AND(VLOOKUP($H$1,nilai,85)&gt;=91.5,VLOOKUP($H$1,nilai,85)&lt;=100),""))))))</f>
        <v/>
      </c>
      <c r="P30" s="211" t="str">
        <f>IF(VLOOKUP($H$1,nilai,89)&lt;58.25,"-",IF(AND(VLOOKUP($H$1,nilai,89)&gt;=58.25,VLOOKUP($H$1,nilai,89)&lt;=66.4),"B",IF(AND(VLOOKUP($H$1,nilai,89)&gt;=66.5,VLOOKUP($H$1,nilai,89)&lt;=74.9),"B",IF(AND(VLOOKUP($H$1,nilai,89)&gt;=75,VLOOKUP($H$1,nilai,89)&lt;=83.24),"B",IF(AND(VLOOKUP($H$1,nilai,89)&gt;=83.25,VLOOKUP($H$1,nilai,89)&lt;=91.14),"A",IF(AND(VLOOKUP($H$1,nilai,89)&gt;=91.5,VLOOKUP($H$1,nilai,89)&lt;=100),"A"))))))</f>
        <v>-</v>
      </c>
      <c r="Q30" s="376" t="str">
        <f>IF(VLOOKUP($H$1,nilai,89)&lt;58.25,"",IF(AND(VLOOKUP($H$1,nilai,89)&gt;=58.25,VLOOKUP($H$1,nilai,89)&lt;=66.4),"-",IF(AND(VLOOKUP($H$1,nilai,89)&gt;=66.5,VLOOKUP($H$1,nilai,89)&lt;=74.9),"",IF(AND(VLOOKUP($H$1,nilai,89)&gt;=75,VLOOKUP($H$1,nilai,89)&lt;=83.24),"+",IF(AND(VLOOKUP($H$1,nilai,89)&gt;=83.25,VLOOKUP($H$1,nilai,89)&lt;=91.14),"-",IF(AND(VLOOKUP($H$1,nilai,89)&gt;=91.5,VLOOKUP($H$1,nilai,89)&lt;=100),""))))))</f>
        <v/>
      </c>
      <c r="R30" s="206"/>
    </row>
    <row r="31" spans="1:18" s="207" customFormat="1" ht="20.100000000000001" customHeight="1">
      <c r="A31" s="206"/>
      <c r="B31" s="399">
        <v>7</v>
      </c>
      <c r="C31" s="947" t="s">
        <v>1344</v>
      </c>
      <c r="D31" s="903"/>
      <c r="E31" s="903"/>
      <c r="F31" s="903"/>
      <c r="G31" s="903"/>
      <c r="H31" s="903"/>
      <c r="I31" s="903"/>
      <c r="J31" s="383" t="str">
        <f>IF(VLOOKUP($H$1,nilai,92)&lt;58.25,"-",IF(AND(VLOOKUP($H$1,nilai,92)&gt;=58.25,VLOOKUP($H$1,nilai,92)&lt;=66.4),"B",IF(AND(VLOOKUP($H$1,nilai,92)&gt;=66.5,VLOOKUP($H$1,nilai,92)&lt;=74.9),"B",IF(AND(VLOOKUP($H$1,nilai,92)&gt;=75,VLOOKUP($H$1,nilai,92)&lt;=83.24),"B",IF(AND(VLOOKUP($H$1,nilai,92)&gt;=83.25,VLOOKUP($H$1,nilai,92)&lt;=91.14),"A",IF(AND(VLOOKUP($H$1,nilai,92)&gt;=91.5,VLOOKUP($H$1,nilai,92)&lt;=100),"A"))))))</f>
        <v>-</v>
      </c>
      <c r="K31" s="384" t="str">
        <f>IF(VLOOKUP($H$1,nilai,92)&lt;58.25,"",IF(AND(VLOOKUP($H$1,nilai,92)&gt;=58.25,VLOOKUP($H$1,nilai,92)&lt;=66.4),"-",IF(AND(VLOOKUP($H$1,nilai,92)&gt;=66.5,VLOOKUP($H$1,nilai,92)&lt;=74.9),"",IF(AND(VLOOKUP($H$1,nilai,92)&gt;=75,VLOOKUP($H$1,nilai,92)&lt;=83.24),"+",IF(AND(VLOOKUP($H$1,nilai,92)&gt;=83.25,VLOOKUP($H$1,nilai,92)&lt;=91.14),"-",IF(AND(VLOOKUP($H$1,nilai,92)&gt;=91.5,VLOOKUP($H$1,nilai,92)&lt;=100),""))))))</f>
        <v/>
      </c>
      <c r="L31" s="383" t="str">
        <f>IF(VLOOKUP($H$1,nilai,93)&lt;58.25,"-",IF(AND(VLOOKUP($H$1,nilai,93)&gt;=58.25,VLOOKUP($H$1,nilai,93)&lt;=66.4),"B",IF(AND(VLOOKUP($H$1,nilai,93)&gt;=66.5,VLOOKUP($H$1,nilai,93)&lt;=74.9),"B",IF(AND(VLOOKUP($H$1,nilai,93)&gt;=75,VLOOKUP($H$1,nilai,93)&lt;=83.24),"B",IF(AND(VLOOKUP($H$1,nilai,93)&gt;=83.25,VLOOKUP($H$1,nilai,93)&lt;=91.14),"A",IF(AND(VLOOKUP($H$1,nilai,93)&gt;=91.5,VLOOKUP($H$1,nilai,93)&lt;=100),"A"))))))</f>
        <v>-</v>
      </c>
      <c r="M31" s="384" t="str">
        <f>IF(VLOOKUP($H$1,nilai,93)&lt;58.25,"",IF(AND(VLOOKUP($H$1,nilai,93)&gt;=58.25,VLOOKUP($H$1,nilai,93)&lt;=66.4),"-",IF(AND(VLOOKUP($H$1,nilai,93)&gt;=66.5,VLOOKUP($H$1,nilai,93)&lt;=74.9),"",IF(AND(VLOOKUP($H$1,nilai,93)&gt;=75,VLOOKUP($H$1,nilai,93)&lt;=83.24),"+",IF(AND(VLOOKUP($H$1,nilai,93)&gt;=83.25,VLOOKUP($H$1,nilai,93)&lt;=91.14),"-",IF(AND(VLOOKUP($H$1,nilai,93)&gt;=91.5,VLOOKUP($H$1,nilai,93)&lt;=100),""))))))</f>
        <v/>
      </c>
      <c r="N31" s="383" t="str">
        <f>IF(VLOOKUP($H$1,nilai,94)&lt;58.25,"-",IF(AND(VLOOKUP($H$1,nilai,94)&gt;=58.25,VLOOKUP($H$1,nilai,94)&lt;=66.4),"B",IF(AND(VLOOKUP($H$1,nilai,94)&gt;=66.5,VLOOKUP($H$1,nilai,94)&lt;=74.9),"B",IF(AND(VLOOKUP($H$1,nilai,94)&gt;=75,VLOOKUP($H$1,nilai,94)&lt;=83.24),"B",IF(AND(VLOOKUP($H$1,nilai,94)&gt;=83.25,VLOOKUP($H$1,nilai,94)&lt;=91.14),"A",IF(AND(VLOOKUP($H$1,nilai,94)&gt;=91.5,VLOOKUP($H$1,nilai,94)&lt;=100),"A"))))))</f>
        <v>-</v>
      </c>
      <c r="O31" s="384" t="str">
        <f>IF(VLOOKUP($H$1,nilai,94)&lt;58.25,"",IF(AND(VLOOKUP($H$1,nilai,94)&gt;=58.25,VLOOKUP($H$1,nilai,94)&lt;=66.4),"-",IF(AND(VLOOKUP($H$1,nilai,94)&gt;=66.5,VLOOKUP($H$1,nilai,94)&lt;=74.9),"",IF(AND(VLOOKUP($H$1,nilai,94)&gt;=75,VLOOKUP($H$1,nilai,94)&lt;=83.24),"+",IF(AND(VLOOKUP($H$1,nilai,94)&gt;=83.25,VLOOKUP($H$1,nilai,94)&lt;=91.14),"-",IF(AND(VLOOKUP($H$1,nilai,94)&gt;=91.5,VLOOKUP($H$1,nilai,94)&lt;=100),""))))))</f>
        <v/>
      </c>
      <c r="P31" s="383" t="str">
        <f>IF(VLOOKUP($H$1,nilai,98)&lt;58.25,"-",IF(AND(VLOOKUP($H$1,nilai,98)&gt;=58.25,VLOOKUP($H$1,nilai,98)&lt;=66.4),"B",IF(AND(VLOOKUP($H$1,nilai,98)&gt;=66.5,VLOOKUP($H$1,nilai,98)&lt;=74.9),"B",IF(AND(VLOOKUP($H$1,nilai,98)&gt;=75,VLOOKUP($H$1,nilai,98)&lt;=83.24),"B",IF(AND(VLOOKUP($H$1,nilai,98)&gt;=83.25,VLOOKUP($H$1,nilai,98)&lt;=91.14),"A",IF(AND(VLOOKUP($H$1,nilai,98)&gt;=91.5,VLOOKUP($H$1,nilai,98)&lt;=100),"A"))))))</f>
        <v>-</v>
      </c>
      <c r="Q31" s="385" t="str">
        <f>IF(VLOOKUP($H$1,nilai,98)&lt;58.25,"",IF(AND(VLOOKUP($H$1,nilai,98)&gt;=58.25,VLOOKUP($H$1,nilai,98)&lt;=66.4),"-",IF(AND(VLOOKUP($H$1,nilai,98)&gt;=66.5,VLOOKUP($H$1,nilai,98)&lt;=74.9),"",IF(AND(VLOOKUP($H$1,nilai,98)&gt;=75,VLOOKUP($H$1,nilai,98)&lt;=83.24),"+",IF(AND(VLOOKUP($H$1,nilai,98)&gt;=83.25,VLOOKUP($H$1,nilai,98)&lt;=91.14),"-",IF(AND(VLOOKUP($H$1,nilai,98)&gt;=91.5,VLOOKUP($H$1,nilai,98)&lt;=100),""))))))</f>
        <v/>
      </c>
      <c r="R31" s="206"/>
    </row>
    <row r="32" spans="1:18" s="207" customFormat="1" ht="20.100000000000001" customHeight="1">
      <c r="A32" s="206"/>
      <c r="B32" s="399">
        <v>8</v>
      </c>
      <c r="C32" s="929" t="s">
        <v>63</v>
      </c>
      <c r="D32" s="930"/>
      <c r="E32" s="930"/>
      <c r="F32" s="930"/>
      <c r="G32" s="930"/>
      <c r="H32" s="930"/>
      <c r="I32" s="930"/>
      <c r="J32" s="380" t="str">
        <f>IF(VLOOKUP($H$1,nilai,56)&lt;58.25,"-",IF(AND(VLOOKUP($H$1,nilai,56)&gt;=58.25,VLOOKUP($H$1,nilai,56)&lt;=66.4),"B",IF(AND(VLOOKUP($H$1,nilai,56)&gt;=66.5,VLOOKUP($H$1,nilai,56)&lt;=74.9),"B",IF(AND(VLOOKUP($H$1,nilai,56)&gt;=75,VLOOKUP($H$1,nilai,56)&lt;=83.24),"B",IF(AND(VLOOKUP($H$1,nilai,56)&gt;=83.25,VLOOKUP($H$1,nilai,56)&lt;=91.14),"A",IF(AND(VLOOKUP($H$1,nilai,56)&gt;=91.5,VLOOKUP($H$1,nilai,56)&lt;=100),"A"))))))</f>
        <v>-</v>
      </c>
      <c r="K32" s="381" t="str">
        <f>IF(VLOOKUP($H$1,nilai,56)&lt;58.25,"",IF(AND(VLOOKUP($H$1,nilai,56)&gt;=58.25,VLOOKUP($H$1,nilai,56)&lt;=66.4),"-",IF(AND(VLOOKUP($H$1,nilai,56)&gt;=66.5,VLOOKUP($H$1,nilai,56)&lt;=74.9),"",IF(AND(VLOOKUP($H$1,nilai,56)&gt;=75,VLOOKUP($H$1,nilai,56)&lt;=83.24),"+",IF(AND(VLOOKUP($H$1,nilai,56)&gt;=83.25,VLOOKUP($H$1,nilai,56)&lt;=91.14),"-",IF(AND(VLOOKUP($H$1,nilai,56)&gt;=91.5,VLOOKUP($H$1,nilai,56)&lt;=100),""))))))</f>
        <v/>
      </c>
      <c r="L32" s="380" t="str">
        <f>IF(VLOOKUP($H$1,nilai,57)&lt;58.25,"-",IF(AND(VLOOKUP($H$1,nilai,57)&gt;=58.25,VLOOKUP($H$1,nilai,57)&lt;=66.4),"B",IF(AND(VLOOKUP($H$1,nilai,57)&gt;=66.5,VLOOKUP($H$1,nilai,57)&lt;=74.9),"B",IF(AND(VLOOKUP($H$1,nilai,57)&gt;=75,VLOOKUP($H$1,nilai,57)&lt;=83.24),"B",IF(AND(VLOOKUP($H$1,nilai,57)&gt;=83.25,VLOOKUP($H$1,nilai,57)&lt;=91.14),"A",IF(AND(VLOOKUP($H$1,nilai,57)&gt;=91.5,VLOOKUP($H$1,nilai,57)&lt;=100),"A"))))))</f>
        <v>-</v>
      </c>
      <c r="M32" s="381" t="str">
        <f>IF(VLOOKUP($H$1,nilai,57)&lt;58.25,"",IF(AND(VLOOKUP($H$1,nilai,57)&gt;=58.25,VLOOKUP($H$1,nilai,57)&lt;=66.4),"-",IF(AND(VLOOKUP($H$1,nilai,57)&gt;=66.5,VLOOKUP($H$1,nilai,57)&lt;=74.9),"",IF(AND(VLOOKUP($H$1,nilai,57)&gt;=75,VLOOKUP($H$1,nilai,57)&lt;=83.24),"+",IF(AND(VLOOKUP($H$1,nilai,57)&gt;=83.25,VLOOKUP($H$1,nilai,57)&lt;=91.14),"-",IF(AND(VLOOKUP($H$1,nilai,57)&gt;=91.5,VLOOKUP($H$1,nilai,57)&lt;=100),""))))))</f>
        <v/>
      </c>
      <c r="N32" s="380" t="str">
        <f>IF(VLOOKUP($H$1,nilai,58)&lt;58.25,"-",IF(AND(VLOOKUP($H$1,nilai,58)&gt;=58.25,VLOOKUP($H$1,nilai,58)&lt;=66.4),"B",IF(AND(VLOOKUP($H$1,nilai,58)&gt;=66.5,VLOOKUP($H$1,nilai,58)&lt;=74.9),"B",IF(AND(VLOOKUP($H$1,nilai,58)&gt;=75,VLOOKUP($H$1,nilai,58)&lt;=83.24),"B",IF(AND(VLOOKUP($H$1,nilai,58)&gt;=83.25,VLOOKUP($H$1,nilai,58)&lt;=91.14),"A",IF(AND(VLOOKUP($H$1,nilai,58)&gt;=91.5,VLOOKUP($H$1,nilai,58)&lt;=100),"A"))))))</f>
        <v>-</v>
      </c>
      <c r="O32" s="381" t="str">
        <f>IF(VLOOKUP($H$1,nilai,58)&lt;58.25,"",IF(AND(VLOOKUP($H$1,nilai,58)&gt;=58.25,VLOOKUP($H$1,nilai,58)&lt;=66.4),"-",IF(AND(VLOOKUP($H$1,nilai,58)&gt;=66.5,VLOOKUP($H$1,nilai,58)&lt;=74.9),"",IF(AND(VLOOKUP($H$1,nilai,58)&gt;=75,VLOOKUP($H$1,nilai,58)&lt;=83.24),"+",IF(AND(VLOOKUP($H$1,nilai,58)&gt;=83.25,VLOOKUP($H$1,nilai,58)&lt;=91.14),"-",IF(AND(VLOOKUP($H$1,nilai,58)&gt;=91.5,VLOOKUP($H$1,nilai,58)&lt;=100),""))))))</f>
        <v/>
      </c>
      <c r="P32" s="380" t="str">
        <f>IF(VLOOKUP($H$1,nilai,62)&lt;58.25,"-",IF(AND(VLOOKUP($H$1,nilai,62)&gt;=58.25,VLOOKUP($H$1,nilai,62)&lt;=66.4),"B",IF(AND(VLOOKUP($H$1,nilai,62)&gt;=66.5,VLOOKUP($H$1,nilai,62)&lt;=74.9),"B",IF(AND(VLOOKUP($H$1,nilai,62)&gt;=75,VLOOKUP($H$1,nilai,62)&lt;=83.24),"B",IF(AND(VLOOKUP($H$1,nilai,62)&gt;=83.25,VLOOKUP($H$1,nilai,62)&lt;=91.14),"A",IF(AND(VLOOKUP($H$1,nilai,62)&gt;=91.5,VLOOKUP($H$1,nilai,62)&lt;=100),"A"))))))</f>
        <v>-</v>
      </c>
      <c r="Q32" s="382" t="str">
        <f>IF(VLOOKUP($H$1,nilai,62)&lt;58.25,"",IF(AND(VLOOKUP($H$1,nilai,62)&gt;=58.25,VLOOKUP($H$1,nilai,62)&lt;=66.4),"-",IF(AND(VLOOKUP($H$1,nilai,62)&gt;=66.5,VLOOKUP($H$1,nilai,62)&lt;=74.9),"",IF(AND(VLOOKUP($H$1,nilai,62)&gt;=75,VLOOKUP($H$1,nilai,62)&lt;=83.24),"+",IF(AND(VLOOKUP($H$1,nilai,62)&gt;=83.25,VLOOKUP($H$1,nilai,62)&lt;=91.14),"-",IF(AND(VLOOKUP($H$1,nilai,62)&gt;=91.5,VLOOKUP($H$1,nilai,62)&lt;=100),""))))))</f>
        <v/>
      </c>
      <c r="R32" s="206"/>
    </row>
    <row r="33" spans="1:19" s="207" customFormat="1" ht="20.100000000000001" customHeight="1">
      <c r="A33" s="206"/>
      <c r="B33" s="399">
        <v>9</v>
      </c>
      <c r="C33" s="948" t="s">
        <v>95</v>
      </c>
      <c r="D33" s="949"/>
      <c r="E33" s="949"/>
      <c r="F33" s="949"/>
      <c r="G33" s="949"/>
      <c r="H33" s="949"/>
      <c r="I33" s="949"/>
      <c r="J33" s="211" t="str">
        <f>IF(VLOOKUP($H$1,nilai,101)&lt;58.25,"-",IF(AND(VLOOKUP($H$1,nilai,101)&gt;=58.25,VLOOKUP($H$1,nilai,101)&lt;=66.4),"B",IF(AND(VLOOKUP($H$1,nilai,101)&gt;=66.5,VLOOKUP($H$1,nilai,101)&lt;=74.9),"B",IF(AND(VLOOKUP($H$1,nilai,101)&gt;=75,VLOOKUP($H$1,nilai,101)&lt;=83.24),"B",IF(AND(VLOOKUP($H$1,nilai,101)&gt;=83.25,VLOOKUP($H$1,nilai,101)&lt;=91.14),"A",IF(AND(VLOOKUP($H$1,nilai,101)&gt;=91.5,VLOOKUP($H$1,nilai,101)&lt;=100),"A"))))))</f>
        <v>A</v>
      </c>
      <c r="K33" s="212" t="str">
        <f>IF(VLOOKUP($H$1,nilai,101)&lt;58.25,"",IF(AND(VLOOKUP($H$1,nilai,101)&gt;=58.25,VLOOKUP($H$1,nilai,101)&lt;=66.4),"-",IF(AND(VLOOKUP($H$1,nilai,101)&gt;=66.5,VLOOKUP($H$1,nilai,101)&lt;=74.9),"",IF(AND(VLOOKUP($H$1,nilai,101)&gt;=75,VLOOKUP($H$1,nilai,101)&lt;=83.24),"+",IF(AND(VLOOKUP($H$1,nilai,101)&gt;=83.25,VLOOKUP($H$1,nilai,101)&lt;=91.14),"-",IF(AND(VLOOKUP($H$1,nilai,101)&gt;=91.5,VLOOKUP($H$1,nilai,101)&lt;=100),""))))))</f>
        <v/>
      </c>
      <c r="L33" s="211" t="str">
        <f>IF(VLOOKUP($H$1,nilai,102)&lt;58.25,"-",IF(AND(VLOOKUP($H$1,nilai,102)&gt;=58.25,VLOOKUP($H$1,nilai,102)&lt;=66.4),"B",IF(AND(VLOOKUP($H$1,nilai,102)&gt;=66.5,VLOOKUP($H$1,nilai,102)&lt;=74.9),"B",IF(AND(VLOOKUP($H$1,nilai,102)&gt;=75,VLOOKUP($H$1,nilai,102)&lt;=83.24),"B",IF(AND(VLOOKUP($H$1,nilai,102)&gt;=83.25,VLOOKUP($H$1,nilai,102)&lt;=91.14),"A",IF(AND(VLOOKUP($H$1,nilai,102)&gt;=91.5,VLOOKUP($H$1,nilai,102)&lt;=100),"A"))))))</f>
        <v>A</v>
      </c>
      <c r="M33" s="212" t="str">
        <f>IF(VLOOKUP($H$1,nilai,102)&lt;58.25,"",IF(AND(VLOOKUP($H$1,nilai,102)&gt;=58.25,VLOOKUP($H$1,nilai,102)&lt;=66.4),"-",IF(AND(VLOOKUP($H$1,nilai,102)&gt;=66.5,VLOOKUP($H$1,nilai,102)&lt;=74.9),"",IF(AND(VLOOKUP($H$1,nilai,102)&gt;=75,VLOOKUP($H$1,nilai,102)&lt;=83.24),"+",IF(AND(VLOOKUP($H$1,nilai,102)&gt;=83.25,VLOOKUP($H$1,nilai,102)&lt;=91.14),"-",IF(AND(VLOOKUP($H$1,nilai,102)&gt;=91.5,VLOOKUP($H$1,nilai,102)&lt;=100),""))))))</f>
        <v/>
      </c>
      <c r="N33" s="211" t="str">
        <f>IF(VLOOKUP($H$1,nilai,103)&lt;58.25,"-",IF(AND(VLOOKUP($H$1,nilai,103)&gt;=58.25,VLOOKUP($H$1,nilai,103)&lt;=66.4),"B",IF(AND(VLOOKUP($H$1,nilai,103)&gt;=66.5,VLOOKUP($H$1,nilai,103)&lt;=74.9),"B",IF(AND(VLOOKUP($H$1,nilai,103)&gt;=75,VLOOKUP($H$1,nilai,103)&lt;=83.24),"B",IF(AND(VLOOKUP($H$1,nilai,103)&gt;=83.25,VLOOKUP($H$1,nilai,103)&lt;=91.14),"A",IF(AND(VLOOKUP($H$1,nilai,103)&gt;=91.5,VLOOKUP($H$1,nilai,103)&lt;=100),"A"))))))</f>
        <v>A</v>
      </c>
      <c r="O33" s="212" t="str">
        <f>IF(VLOOKUP($H$1,nilai,103)&lt;58.25,"",IF(AND(VLOOKUP($H$1,nilai,103)&gt;=58.25,VLOOKUP($H$1,nilai,103)&lt;=66.4),"-",IF(AND(VLOOKUP($H$1,nilai,103)&gt;=66.5,VLOOKUP($H$1,nilai,103)&lt;=74.9),"",IF(AND(VLOOKUP($H$1,nilai,103)&gt;=75,VLOOKUP($H$1,nilai,103)&lt;=83.24),"+",IF(AND(VLOOKUP($H$1,nilai,103)&gt;=83.25,VLOOKUP($H$1,nilai,103)&lt;=91.14),"-",IF(AND(VLOOKUP($H$1,nilai,103)&gt;=91.5,VLOOKUP($H$1,nilai,103)&lt;=100),""))))))</f>
        <v/>
      </c>
      <c r="P33" s="211" t="str">
        <f>IF(VLOOKUP($H$1,nilai,107)&lt;58.25,"-",IF(AND(VLOOKUP($H$1,nilai,107)&gt;=58.25,VLOOKUP($H$1,nilai,107)&lt;=66.4),"B",IF(AND(VLOOKUP($H$1,nilai,107)&gt;=66.5,VLOOKUP($H$1,nilai,107)&lt;=74.9),"B",IF(AND(VLOOKUP($H$1,nilai,107)&gt;=75,VLOOKUP($H$1,nilai,107)&lt;=83.24),"B",IF(AND(VLOOKUP($H$1,nilai,107)&gt;=83.25,VLOOKUP($H$1,nilai,107)&lt;=91.14),"A",IF(AND(VLOOKUP($H$1,nilai,107)&gt;=91.5,VLOOKUP($H$1,nilai,107)&lt;=100),"A"))))))</f>
        <v>A</v>
      </c>
      <c r="Q33" s="376" t="str">
        <f>IF(VLOOKUP($H$1,nilai,107)&lt;58.25,"",IF(AND(VLOOKUP($H$1,nilai,107)&gt;=58.25,VLOOKUP($H$1,nilai,107)&lt;=66.4),"-",IF(AND(VLOOKUP($H$1,nilai,107)&gt;=66.5,VLOOKUP($H$1,nilai,107)&lt;=74.9),"",IF(AND(VLOOKUP($H$1,nilai,107)&gt;=75,VLOOKUP($H$1,nilai,107)&lt;=83.24),"+",IF(AND(VLOOKUP($H$1,nilai,107)&gt;=83.25,VLOOKUP($H$1,nilai,107)&lt;=91.14),"-",IF(AND(VLOOKUP($H$1,nilai,107)&gt;=91.5,VLOOKUP($H$1,nilai,107)&lt;=100),""))))))</f>
        <v/>
      </c>
      <c r="R33" s="206"/>
    </row>
    <row r="34" spans="1:19" s="207" customFormat="1" ht="20.100000000000001" customHeight="1">
      <c r="A34" s="206"/>
      <c r="B34" s="436">
        <v>10</v>
      </c>
      <c r="C34" s="950" t="s">
        <v>96</v>
      </c>
      <c r="D34" s="951"/>
      <c r="E34" s="951"/>
      <c r="F34" s="951"/>
      <c r="G34" s="951"/>
      <c r="H34" s="951"/>
      <c r="I34" s="951"/>
      <c r="J34" s="951"/>
      <c r="K34" s="951"/>
      <c r="L34" s="951"/>
      <c r="M34" s="951"/>
      <c r="N34" s="951"/>
      <c r="O34" s="951"/>
      <c r="P34" s="951"/>
      <c r="Q34" s="952"/>
      <c r="R34" s="206"/>
    </row>
    <row r="35" spans="1:19" s="207" customFormat="1" ht="20.100000000000001" customHeight="1">
      <c r="A35" s="206"/>
      <c r="B35" s="937"/>
      <c r="C35" s="904" t="s">
        <v>97</v>
      </c>
      <c r="D35" s="905"/>
      <c r="E35" s="905"/>
      <c r="F35" s="905"/>
      <c r="G35" s="905"/>
      <c r="H35" s="905"/>
      <c r="I35" s="905"/>
      <c r="J35" s="211" t="str">
        <f>IF(VLOOKUP($H$1,nilai,110)&lt;58.25,"-",IF(AND(VLOOKUP($H$1,nilai,110)&gt;=58.25,VLOOKUP($H$1,nilai,110)&lt;=66.4),"B",IF(AND(VLOOKUP($H$1,nilai,110)&gt;=66.5,VLOOKUP($H$1,nilai,110)&lt;=74.9),"B",IF(AND(VLOOKUP($H$1,nilai,110)&gt;=75,VLOOKUP($H$1,nilai,110)&lt;=83.24),"B",IF(AND(VLOOKUP($H$1,nilai,110)&gt;=83.25,VLOOKUP($H$1,nilai,110)&lt;=91.14),"A",IF(AND(VLOOKUP($H$1,nilai,110)&gt;=91.5,VLOOKUP($H$1,nilai,110)&lt;=100),"A"))))))</f>
        <v>-</v>
      </c>
      <c r="K35" s="212" t="str">
        <f>IF(VLOOKUP($H$1,nilai,110)&lt;58.25,"",IF(AND(VLOOKUP($H$1,nilai,110)&gt;=58.25,VLOOKUP($H$1,nilai,110)&lt;=66.4),"-",IF(AND(VLOOKUP($H$1,nilai,110)&gt;=66.5,VLOOKUP($H$1,nilai,110)&lt;=74.9),"",IF(AND(VLOOKUP($H$1,nilai,110)&gt;=75,VLOOKUP($H$1,nilai,110)&lt;=83.24),"+",IF(AND(VLOOKUP($H$1,nilai,110)&gt;=83.25,VLOOKUP($H$1,nilai,110)&lt;=91.14),"-",IF(AND(VLOOKUP($H$1,nilai,110)&gt;=91.5,VLOOKUP($H$1,nilai,110)&lt;=100),""))))))</f>
        <v/>
      </c>
      <c r="L35" s="211" t="str">
        <f>IF(VLOOKUP($H$1,nilai,111)&lt;58.25,"-",IF(AND(VLOOKUP($H$1,nilai,111)&gt;=58.25,VLOOKUP($H$1,nilai,111)&lt;=66.4),"B",IF(AND(VLOOKUP($H$1,nilai,111)&gt;=66.5,VLOOKUP($H$1,nilai,111)&lt;=74.9),"B",IF(AND(VLOOKUP($H$1,nilai,111)&gt;=75,VLOOKUP($H$1,nilai,111)&lt;=83.24),"B",IF(AND(VLOOKUP($H$1,nilai,111)&gt;=83.25,VLOOKUP($H$1,nilai,111)&lt;=91.14),"A",IF(AND(VLOOKUP($H$1,nilai,111)&gt;=91.5,VLOOKUP($H$1,nilai,111)&lt;=100),"A"))))))</f>
        <v>-</v>
      </c>
      <c r="M35" s="212" t="str">
        <f>IF(VLOOKUP($H$1,nilai,111)&lt;58.25,"",IF(AND(VLOOKUP($H$1,nilai,111)&gt;=58.25,VLOOKUP($H$1,nilai,111)&lt;=66.4),"-",IF(AND(VLOOKUP($H$1,nilai,111)&gt;=66.5,VLOOKUP($H$1,nilai,111)&lt;=74.9),"",IF(AND(VLOOKUP($H$1,nilai,111)&gt;=75,VLOOKUP($H$1,nilai,111)&lt;=83.24),"+",IF(AND(VLOOKUP($H$1,nilai,111)&gt;=83.25,VLOOKUP($H$1,nilai,111)&lt;=91.14),"-",IF(AND(VLOOKUP($H$1,nilai,111)&gt;=91.5,VLOOKUP($H$1,nilai,111)&lt;=100),""))))))</f>
        <v/>
      </c>
      <c r="N35" s="211" t="str">
        <f>IF(VLOOKUP($H$1,nilai,112)&lt;58.25,"-",IF(AND(VLOOKUP($H$1,nilai,112)&gt;=58.25,VLOOKUP($H$1,nilai,112)&lt;=66.4),"B",IF(AND(VLOOKUP($H$1,nilai,112)&gt;=66.5,VLOOKUP($H$1,nilai,112)&lt;=74.9),"B",IF(AND(VLOOKUP($H$1,nilai,112)&gt;=75,VLOOKUP($H$1,nilai,112)&lt;=83.24),"B",IF(AND(VLOOKUP($H$1,nilai,112)&gt;=83.25,VLOOKUP($H$1,nilai,112)&lt;=91.14),"A",IF(AND(VLOOKUP($H$1,nilai,112)&gt;=91.5,VLOOKUP($H$1,nilai,112)&lt;=100),"A"))))))</f>
        <v>-</v>
      </c>
      <c r="O35" s="212" t="str">
        <f>IF(VLOOKUP($H$1,nilai,112)&lt;58.25,"",IF(AND(VLOOKUP($H$1,nilai,112)&gt;=58.25,VLOOKUP($H$1,nilai,112)&lt;=66.4),"-",IF(AND(VLOOKUP($H$1,nilai,112)&gt;=66.5,VLOOKUP($H$1,nilai,112)&lt;=74.9),"",IF(AND(VLOOKUP($H$1,nilai,112)&gt;=75,VLOOKUP($H$1,nilai,112)&lt;=83.24),"+",IF(AND(VLOOKUP($H$1,nilai,112)&gt;=83.25,VLOOKUP($H$1,nilai,112)&lt;=91.14),"-",IF(AND(VLOOKUP($H$1,nilai,112)&gt;=91.5,VLOOKUP($H$1,nilai,112)&lt;=100),""))))))</f>
        <v/>
      </c>
      <c r="P35" s="211" t="str">
        <f>IF(VLOOKUP($H$1,nilai,116)&lt;58.25,"-",IF(AND(VLOOKUP($H$1,nilai,116)&gt;=58.25,VLOOKUP($H$1,nilai,116)&lt;=66.4),"B",IF(AND(VLOOKUP($H$1,nilai,116)&gt;=66.5,VLOOKUP($H$1,nilai,116)&lt;=74.9),"B",IF(AND(VLOOKUP($H$1,nilai,116)&gt;=75,VLOOKUP($H$1,nilai,116)&lt;=83.24),"B",IF(AND(VLOOKUP($H$1,nilai,116)&gt;=83.25,VLOOKUP($H$1,nilai,116)&lt;=91.14),"A",IF(AND(VLOOKUP($H$1,nilai,116)&gt;=91.5,VLOOKUP($H$1,nilai,116)&lt;=100),"A"))))))</f>
        <v>-</v>
      </c>
      <c r="Q35" s="376" t="str">
        <f>IF(VLOOKUP($H$1,nilai,116)&lt;58.25,"",IF(AND(VLOOKUP($H$1,nilai,116)&gt;=58.25,VLOOKUP($H$1,nilai,116)&lt;=66.4),"-",IF(AND(VLOOKUP($H$1,nilai,116)&gt;=66.5,VLOOKUP($H$1,nilai,116)&lt;=74.9),"",IF(AND(VLOOKUP($H$1,nilai,116)&gt;=75,VLOOKUP($H$1,nilai,116)&lt;=83.24),"+",IF(AND(VLOOKUP($H$1,nilai,116)&gt;=83.25,VLOOKUP($H$1,nilai,116)&lt;=91.14),"-",IF(AND(VLOOKUP($H$1,nilai,116)&gt;=91.5,VLOOKUP($H$1,nilai,116)&lt;=100),""))))))</f>
        <v/>
      </c>
      <c r="R35" s="206"/>
    </row>
    <row r="36" spans="1:19" s="207" customFormat="1" ht="20.100000000000001" customHeight="1">
      <c r="A36" s="206"/>
      <c r="B36" s="938"/>
      <c r="C36" s="953" t="s">
        <v>98</v>
      </c>
      <c r="D36" s="949"/>
      <c r="E36" s="949"/>
      <c r="F36" s="949"/>
      <c r="G36" s="949"/>
      <c r="H36" s="949"/>
      <c r="I36" s="949"/>
      <c r="J36" s="377" t="str">
        <f>IF(VLOOKUP($H$1,nilai,119)&lt;58.25,"-",IF(AND(VLOOKUP($H$1,nilai,119)&gt;=58.25,VLOOKUP($H$1,nilai,119)&lt;=66.4),"B",IF(AND(VLOOKUP($H$1,nilai,119)&gt;=66.5,VLOOKUP($H$1,nilai,119)&lt;=74.9),"B",IF(AND(VLOOKUP($H$1,nilai,119)&gt;=75,VLOOKUP($H$1,nilai,119)&lt;=83.24),"B",IF(AND(VLOOKUP($H$1,nilai,119)&gt;=83.25,VLOOKUP($H$1,nilai,119)&lt;=91.14),"A",IF(AND(VLOOKUP($H$1,nilai,119)&gt;=91.5,VLOOKUP($H$1,nilai,119)&lt;=100),"A"))))))</f>
        <v>-</v>
      </c>
      <c r="K36" s="378" t="str">
        <f>IF(VLOOKUP($H$1,nilai,119)&lt;58.25,"",IF(AND(VLOOKUP($H$1,nilai,119)&gt;=58.25,VLOOKUP($H$1,nilai,119)&lt;=66.4),"-",IF(AND(VLOOKUP($H$1,nilai,119)&gt;=66.5,VLOOKUP($H$1,nilai,119)&lt;=74.9),"",IF(AND(VLOOKUP($H$1,nilai,119)&gt;=75,VLOOKUP($H$1,nilai,119)&lt;=83.24),"+",IF(AND(VLOOKUP($H$1,nilai,119)&gt;=83.25,VLOOKUP($H$1,nilai,119)&lt;=91.14),"-",IF(AND(VLOOKUP($H$1,nilai,119)&gt;=91.5,VLOOKUP($H$1,nilai,119)&lt;=100),""))))))</f>
        <v/>
      </c>
      <c r="L36" s="377" t="str">
        <f>IF(VLOOKUP($H$1,nilai,120)&lt;58.25,"-",IF(AND(VLOOKUP($H$1,nilai,120)&gt;=58.25,VLOOKUP($H$1,nilai,120)&lt;=66.4),"B",IF(AND(VLOOKUP($H$1,nilai,120)&gt;=66.5,VLOOKUP($H$1,nilai,120)&lt;=74.9),"B",IF(AND(VLOOKUP($H$1,nilai,120)&gt;=75,VLOOKUP($H$1,nilai,120)&lt;=83.24),"B",IF(AND(VLOOKUP($H$1,nilai,120)&gt;=83.25,VLOOKUP($H$1,nilai,120)&lt;=91.14),"A",IF(AND(VLOOKUP($H$1,nilai,120)&gt;=91.5,VLOOKUP($H$1,nilai,120)&lt;=100),"A"))))))</f>
        <v>-</v>
      </c>
      <c r="M36" s="378" t="str">
        <f>IF(VLOOKUP($H$1,nilai,120)&lt;58.25,"",IF(AND(VLOOKUP($H$1,nilai,120)&gt;=58.25,VLOOKUP($H$1,nilai,120)&lt;=66.4),"-",IF(AND(VLOOKUP($H$1,nilai,120)&gt;=66.5,VLOOKUP($H$1,nilai,120)&lt;=74.9),"",IF(AND(VLOOKUP($H$1,nilai,120)&gt;=75,VLOOKUP($H$1,nilai,120)&lt;=83.24),"+",IF(AND(VLOOKUP($H$1,nilai,120)&gt;=83.25,VLOOKUP($H$1,nilai,120)&lt;=91.14),"-",IF(AND(VLOOKUP($H$1,nilai,120)&gt;=91.5,VLOOKUP($H$1,nilai,120)&lt;=100),""))))))</f>
        <v/>
      </c>
      <c r="N36" s="377" t="str">
        <f>IF(VLOOKUP($H$1,nilai,121)&lt;58.25,"-",IF(AND(VLOOKUP($H$1,nilai,121)&gt;=58.25,VLOOKUP($H$1,nilai,121)&lt;=66.4),"B",IF(AND(VLOOKUP($H$1,nilai,121)&gt;=66.5,VLOOKUP($H$1,nilai,121)&lt;=74.9),"B",IF(AND(VLOOKUP($H$1,nilai,121)&gt;=75,VLOOKUP($H$1,nilai,121)&lt;=83.24),"B",IF(AND(VLOOKUP($H$1,nilai,121)&gt;=83.25,VLOOKUP($H$1,nilai,121)&lt;=91.14),"A",IF(AND(VLOOKUP($H$1,nilai,121)&gt;=91.5,VLOOKUP($H$1,nilai,121)&lt;=100),"A"))))))</f>
        <v>-</v>
      </c>
      <c r="O36" s="378" t="str">
        <f>IF(VLOOKUP($H$1,nilai,121)&lt;58.25,"",IF(AND(VLOOKUP($H$1,nilai,121)&gt;=58.25,VLOOKUP($H$1,nilai,121)&lt;=66.4),"-",IF(AND(VLOOKUP($H$1,nilai,121)&gt;=66.5,VLOOKUP($H$1,nilai,121)&lt;=74.9),"",IF(AND(VLOOKUP($H$1,nilai,121)&gt;=75,VLOOKUP($H$1,nilai,121)&lt;=83.24),"+",IF(AND(VLOOKUP($H$1,nilai,121)&gt;=83.25,VLOOKUP($H$1,nilai,121)&lt;=91.14),"-",IF(AND(VLOOKUP($H$1,nilai,121)&gt;=91.5,VLOOKUP($H$1,nilai,121)&lt;=100),""))))))</f>
        <v/>
      </c>
      <c r="P36" s="377" t="str">
        <f>IF(VLOOKUP($H$1,nilai,125)&lt;58.25,"-",IF(AND(VLOOKUP($H$1,nilai,125)&gt;=58.25,VLOOKUP($H$1,nilai,125)&lt;=66.4),"B",IF(AND(VLOOKUP($H$1,nilai,125)&gt;=66.5,VLOOKUP($H$1,nilai,125)&lt;=74.9),"B",IF(AND(VLOOKUP($H$1,nilai,125)&gt;=75,VLOOKUP($H$1,nilai,125)&lt;=83.24),"B",IF(AND(VLOOKUP($H$1,nilai,125)&gt;=83.25,VLOOKUP($H$1,nilai,125)&lt;=91.14),"A",IF(AND(VLOOKUP($H$1,nilai,125)&gt;=91.5,VLOOKUP($H$1,nilai,125)&lt;=100),"A"))))))</f>
        <v>-</v>
      </c>
      <c r="Q36" s="379" t="str">
        <f>IF(VLOOKUP($H$1,nilai,125)&lt;58.25,"",IF(AND(VLOOKUP($H$1,nilai,125)&gt;=58.25,VLOOKUP($H$1,nilai,125)&lt;=66.4),"-",IF(AND(VLOOKUP($H$1,nilai,125)&gt;=66.5,VLOOKUP($H$1,nilai,125)&lt;=74.9),"",IF(AND(VLOOKUP($H$1,nilai,125)&gt;=75,VLOOKUP($H$1,nilai,125)&lt;=83.24),"+",IF(AND(VLOOKUP($H$1,nilai,125)&gt;=83.25,VLOOKUP($H$1,nilai,125)&lt;=91.14),"-",IF(AND(VLOOKUP($H$1,nilai,125)&gt;=91.5,VLOOKUP($H$1,nilai,125)&lt;=100),""))))))</f>
        <v/>
      </c>
      <c r="R36" s="206"/>
    </row>
    <row r="37" spans="1:19" s="207" customFormat="1" ht="15" customHeight="1">
      <c r="A37" s="206"/>
      <c r="B37" s="938"/>
      <c r="C37" s="902" t="s">
        <v>120</v>
      </c>
      <c r="D37" s="903"/>
      <c r="E37" s="903"/>
      <c r="F37" s="903"/>
      <c r="G37" s="903"/>
      <c r="H37" s="903"/>
      <c r="I37" s="903"/>
      <c r="J37" s="377" t="str">
        <f>IF(VLOOKUP($H$1,nilai,128)&lt;58.25,"-",IF(AND(VLOOKUP($H$1,nilai,128)&gt;=58.25,VLOOKUP($H$1,nilai,128)&lt;=66.4),"B",IF(AND(VLOOKUP($H$1,nilai,128)&gt;=66.5,VLOOKUP($H$1,nilai,128)&lt;=74.9),"B",IF(AND(VLOOKUP($H$1,nilai,128)&gt;=75,VLOOKUP($H$1,nilai,128)&lt;=83.24),"B",IF(AND(VLOOKUP($H$1,nilai,128)&gt;=83.25,VLOOKUP($H$1,nilai,128)&lt;=91.14),"A",IF(AND(VLOOKUP($H$1,nilai,128)&gt;=91.5,VLOOKUP($H$1,nilai,128)&lt;=100),"A"))))))</f>
        <v>B</v>
      </c>
      <c r="K37" s="378" t="str">
        <f>IF(VLOOKUP($H$1,nilai,128)&lt;58.25,"",IF(AND(VLOOKUP($H$1,nilai,128)&gt;=58.25,VLOOKUP($H$1,nilai,128)&lt;=66.4),"-",IF(AND(VLOOKUP($H$1,nilai,128)&gt;=66.5,VLOOKUP($H$1,nilai,128)&lt;=74.9),"",IF(AND(VLOOKUP($H$1,nilai,128)&gt;=75,VLOOKUP($H$1,nilai,128)&lt;=83.24),"+",IF(AND(VLOOKUP($H$1,nilai,128)&gt;=83.25,VLOOKUP($H$1,nilai,128)&lt;=91.14),"-",IF(AND(VLOOKUP($H$1,nilai,128)&gt;=91.5,VLOOKUP($H$1,nilai,128)&lt;=100),""))))))</f>
        <v>+</v>
      </c>
      <c r="L37" s="377" t="str">
        <f>IF(VLOOKUP($H$1,nilai,129)&lt;58.25,"-",IF(AND(VLOOKUP($H$1,nilai,129)&gt;=58.25,VLOOKUP($H$1,nilai,129)&lt;=66.4),"B",IF(AND(VLOOKUP($H$1,nilai,129)&gt;=66.5,VLOOKUP($H$1,nilai,129)&lt;=74.9),"B",IF(AND(VLOOKUP($H$1,nilai,129)&gt;=75,VLOOKUP($H$1,nilai,129)&lt;=83.24),"B",IF(AND(VLOOKUP($H$1,nilai,129)&gt;=83.25,VLOOKUP($H$1,nilai,129)&lt;=91.14),"A",IF(AND(VLOOKUP($H$1,nilai,129)&gt;=91.5,VLOOKUP($H$1,nilai,129)&lt;=100),"A"))))))</f>
        <v>A</v>
      </c>
      <c r="M37" s="384" t="str">
        <f>IF(VLOOKUP($H$1,nilai,129)&lt;58.25,"",IF(AND(VLOOKUP($H$1,nilai,129)&gt;=58.25,VLOOKUP($H$1,nilai,129)&lt;=66.4),"-",IF(AND(VLOOKUP($H$1,nilai,129)&gt;=66.5,VLOOKUP($H$1,nilai,129)&lt;=74.9),"",IF(AND(VLOOKUP($H$1,nilai,129)&gt;=75,VLOOKUP($H$1,nilai,129)&lt;=83.24),"+",IF(AND(VLOOKUP($H$1,nilai,129)&gt;=83.25,VLOOKUP($H$1,nilai,129)&lt;=91.14),"-",IF(AND(VLOOKUP($H$1,nilai,129)&gt;=91.5,VLOOKUP($H$1,nilai,129)&lt;=100),""))))))</f>
        <v/>
      </c>
      <c r="N37" s="377" t="str">
        <f>IF(VLOOKUP($H$1,nilai,130)&lt;58.25,"-",IF(AND(VLOOKUP($H$1,nilai,130)&gt;=58.25,VLOOKUP($H$1,nilai,130)&lt;=66.4),"B",IF(AND(VLOOKUP($H$1,nilai,130)&gt;=66.5,VLOOKUP($H$1,nilai,130)&lt;=74.9),"B",IF(AND(VLOOKUP($H$1,nilai,130)&gt;=75,VLOOKUP($H$1,nilai,130)&lt;=83.24),"B",IF(AND(VLOOKUP($H$1,nilai,130)&gt;=83.25,VLOOKUP($H$1,nilai,130)&lt;=91.14),"A",IF(AND(VLOOKUP($H$1,nilai,130)&gt;=91.5,VLOOKUP($H$1,nilai,130)&lt;=100),"A"))))))</f>
        <v>-</v>
      </c>
      <c r="O37" s="384" t="str">
        <f>IF(VLOOKUP($H$1,nilai,130)&lt;58.25,"",IF(AND(VLOOKUP($H$1,nilai,130)&gt;=58.25,VLOOKUP($H$1,nilai,130)&lt;=66.4),"-",IF(AND(VLOOKUP($H$1,nilai,130)&gt;=66.5,VLOOKUP($H$1,nilai,130)&lt;=74.9),"",IF(AND(VLOOKUP($H$1,nilai,130)&gt;=75,VLOOKUP($H$1,nilai,130)&lt;=83.24),"+",IF(AND(VLOOKUP($H$1,nilai,130)&gt;=83.25,VLOOKUP($H$1,nilai,130)&lt;=91.14),"-",IF(AND(VLOOKUP($H$1,nilai,130)&gt;=91.5,VLOOKUP($H$1,nilai,130)&lt;=100),""))))))</f>
        <v/>
      </c>
      <c r="P37" s="383" t="str">
        <f>IF(VLOOKUP($H$1,nilai,134)&lt;58.25,"-",IF(AND(VLOOKUP($H$1,nilai,134)&gt;=58.25,VLOOKUP($H$1,nilai,134)&lt;=66.4),"B",IF(AND(VLOOKUP($H$1,nilai,134)&gt;=66.5,VLOOKUP($H$1,nilai,134)&lt;=74.9),"B",IF(AND(VLOOKUP($H$1,nilai,134)&gt;=75,VLOOKUP($H$1,nilai,134)&lt;=83.24),"B",IF(AND(VLOOKUP($H$1,nilai,134)&gt;=83.25,VLOOKUP($H$1,nilai,134)&lt;=91.14),"A",IF(AND(VLOOKUP($H$1,nilai,134)&gt;=91.5,VLOOKUP($H$1,nilai,134)&lt;=100),"A"))))))</f>
        <v>A</v>
      </c>
      <c r="Q37" s="385" t="str">
        <f>IF(VLOOKUP($H$1,nilai,134)&lt;58.25,"",IF(AND(VLOOKUP($H$1,nilai,134)&gt;=58.25,VLOOKUP($H$1,nilai,134)&lt;=66.4),"-",IF(AND(VLOOKUP($H$1,nilai,134)&gt;=66.5,VLOOKUP($H$1,nilai,134)&lt;=74.9),"",IF(AND(VLOOKUP($H$1,nilai,134)&gt;=75,VLOOKUP($H$1,nilai,134)&lt;=83.24),"+",IF(AND(VLOOKUP($H$1,nilai,134)&gt;=83.25,VLOOKUP($H$1,nilai,134)&lt;=91.14),"-",IF(AND(VLOOKUP($H$1,nilai,134)&gt;=91.5,VLOOKUP($H$1,nilai,134)&lt;=100),""))))))</f>
        <v>-</v>
      </c>
      <c r="R37" s="206"/>
    </row>
    <row r="38" spans="1:19" s="207" customFormat="1" ht="15" customHeight="1" thickBot="1">
      <c r="A38" s="206"/>
      <c r="B38" s="939"/>
      <c r="C38" s="945" t="s">
        <v>121</v>
      </c>
      <c r="D38" s="946"/>
      <c r="E38" s="946"/>
      <c r="F38" s="946"/>
      <c r="G38" s="946"/>
      <c r="H38" s="946"/>
      <c r="I38" s="946"/>
      <c r="J38" s="441" t="str">
        <f>IF(VLOOKUP($H$1,nilai,137)&lt;58.25,"-",IF(AND(VLOOKUP($H$1,nilai,137)&gt;=58.25,VLOOKUP($H$1,nilai,137)&lt;=66.4),"B",IF(AND(VLOOKUP($H$1,nilai,137)&gt;=66.5,VLOOKUP($H$1,nilai,137)&lt;=74.9),"B",IF(AND(VLOOKUP($H$1,nilai,137)&gt;=75,VLOOKUP($H$1,nilai,137)&lt;=83.24),"B",IF(AND(VLOOKUP($H$1,nilai,137)&gt;=83.25,VLOOKUP($H$1,nilai,137)&lt;=91.14),"A",IF(AND(VLOOKUP($H$1,nilai,137)&gt;=91.5,VLOOKUP($H$1,nilai,137)&lt;=100),"A"))))))</f>
        <v>A</v>
      </c>
      <c r="K38" s="438" t="str">
        <f>IF(VLOOKUP($H$1,nilai,137)&lt;58.25,"",IF(AND(VLOOKUP($H$1,nilai,137)&gt;=58.25,VLOOKUP($H$1,nilai,137)&lt;=66.4),"-",IF(AND(VLOOKUP($H$1,nilai,137)&gt;=66.5,VLOOKUP($H$1,nilai,137)&lt;=74.9),"",IF(AND(VLOOKUP($H$1,nilai,137)&gt;=75,VLOOKUP($H$1,nilai,137)&lt;=83.24),"+",IF(AND(VLOOKUP($H$1,nilai,137)&gt;=83.25,VLOOKUP($H$1,nilai,137)&lt;=91.14),"-",IF(AND(VLOOKUP($H$1,nilai,137)&gt;=91.5,VLOOKUP($H$1,nilai,137)&lt;=100),""))))))</f>
        <v/>
      </c>
      <c r="L38" s="437" t="str">
        <f>IF(VLOOKUP($H$1,nilai,138)&lt;58.25,"-",IF(AND(VLOOKUP($H$1,nilai,138)&gt;=58.25,VLOOKUP($H$1,nilai,138)&lt;=66.4),"B",IF(AND(VLOOKUP($H$1,nilai,138)&gt;=66.5,VLOOKUP($H$1,nilai,138)&lt;=74.9),"B",IF(AND(VLOOKUP($H$1,nilai,138)&gt;=75,VLOOKUP($H$1,nilai,138)&lt;=83.24),"B",IF(AND(VLOOKUP($H$1,nilai,138)&gt;=83.25,VLOOKUP($H$1,nilai,138)&lt;=91.14),"A",IF(AND(VLOOKUP($H$1,nilai,138)&gt;=91.5,VLOOKUP($H$1,nilai,138)&lt;=100),"A"))))))</f>
        <v>A</v>
      </c>
      <c r="M38" s="438" t="str">
        <f>IF(VLOOKUP($H$1,nilai,138)&lt;58.25,"",IF(AND(VLOOKUP($H$1,nilai,138)&gt;=58.25,VLOOKUP($H$1,nilai,138)&lt;=66.4),"-",IF(AND(VLOOKUP($H$1,nilai,138)&gt;=66.5,VLOOKUP($H$1,nilai,138)&lt;=74.9),"",IF(AND(VLOOKUP($H$1,nilai,138)&gt;=75,VLOOKUP($H$1,nilai,138)&lt;=83.24),"+",IF(AND(VLOOKUP($H$1,nilai,138)&gt;=83.25,VLOOKUP($H$1,nilai,138)&lt;=91.14),"-",IF(AND(VLOOKUP($H$1,nilai,138)&gt;=91.5,VLOOKUP($H$1,nilai,138)&lt;=100),""))))))</f>
        <v/>
      </c>
      <c r="N38" s="437" t="str">
        <f>IF(VLOOKUP($H$1,nilai,139)&lt;58.25,"-",IF(AND(VLOOKUP($H$1,nilai,139)&gt;=58.25,VLOOKUP($H$1,nilai,139)&lt;=66.4),"B",IF(AND(VLOOKUP($H$1,nilai,139)&gt;=66.5,VLOOKUP($H$1,nilai,139)&lt;=74.9),"B",IF(AND(VLOOKUP($H$1,nilai,139)&gt;=75,VLOOKUP($H$1,nilai,139)&lt;=83.24),"B",IF(AND(VLOOKUP($H$1,nilai,139)&gt;=83.25,VLOOKUP($H$1,nilai,139)&lt;=91.14),"A",IF(AND(VLOOKUP($H$1,nilai,139)&gt;=91.5,VLOOKUP($H$1,nilai,139)&lt;=100),"A"))))))</f>
        <v>B</v>
      </c>
      <c r="O38" s="438" t="str">
        <f>IF(VLOOKUP($H$1,nilai,139)&lt;58.25,"",IF(AND(VLOOKUP($H$1,nilai,139)&gt;=58.25,VLOOKUP($H$1,nilai,139)&lt;=66.4),"-",IF(AND(VLOOKUP($H$1,nilai,139)&gt;=66.5,VLOOKUP($H$1,nilai,139)&lt;=74.9),"",IF(AND(VLOOKUP($H$1,nilai,139)&gt;=75,VLOOKUP($H$1,nilai,139)&lt;=83.24),"+",IF(AND(VLOOKUP($H$1,nilai,139)&gt;=83.25,VLOOKUP($H$1,nilai,139)&lt;=91.14),"-",IF(AND(VLOOKUP($H$1,nilai,139)&gt;=91.5,VLOOKUP($H$1,nilai,139)&lt;=100),""))))))</f>
        <v>+</v>
      </c>
      <c r="P38" s="439" t="str">
        <f>IF(VLOOKUP($H$1,nilai,143)&lt;58.25,"-",IF(AND(VLOOKUP($H$1,nilai,143)&gt;=58.25,VLOOKUP($H$1,nilai,143)&lt;=66.4),"B",IF(AND(VLOOKUP($H$1,nilai,143)&gt;=66.5,VLOOKUP($H$1,nilai,143)&lt;=74.9),"B",IF(AND(VLOOKUP($H$1,nilai,143)&gt;=75,VLOOKUP($H$1,nilai,143)&lt;=83.24),"B",IF(AND(VLOOKUP($H$1,nilai,143)&gt;=83.25,VLOOKUP($H$1,nilai,143)&lt;=91.14),"A",IF(AND(VLOOKUP($H$1,nilai,143)&gt;=91.5,VLOOKUP($H$1,nilai,143)&lt;=100),"A"))))))</f>
        <v>A</v>
      </c>
      <c r="Q38" s="440" t="str">
        <f>IF(VLOOKUP($H$1,nilai,143)&lt;58.25,"",IF(AND(VLOOKUP($H$1,nilai,143)&gt;=58.25,VLOOKUP($H$1,nilai,143)&lt;=66.4),"-",IF(AND(VLOOKUP($H$1,nilai,143)&gt;=66.5,VLOOKUP($H$1,nilai,143)&lt;=74.9),"",IF(AND(VLOOKUP($H$1,nilai,143)&gt;=75,VLOOKUP($H$1,nilai,143)&lt;=83.24),"+",IF(AND(VLOOKUP($H$1,nilai,143)&gt;=83.25,VLOOKUP($H$1,nilai,143)&lt;=91.14),"-",IF(AND(VLOOKUP($H$1,nilai,143)&gt;=91.5,VLOOKUP($H$1,nilai,143)&lt;=100),""))))))</f>
        <v>-</v>
      </c>
      <c r="R38" s="206"/>
    </row>
    <row r="39" spans="1:19" s="207" customFormat="1" ht="15.75" customHeight="1" thickTop="1">
      <c r="A39" s="206"/>
      <c r="R39" s="206"/>
    </row>
    <row r="40" spans="1:19" s="207" customFormat="1" ht="11.25" customHeight="1" thickBot="1">
      <c r="A40" s="206"/>
      <c r="E40" s="931" t="s">
        <v>99</v>
      </c>
      <c r="F40" s="932"/>
      <c r="G40" s="932"/>
      <c r="H40" s="932"/>
      <c r="I40" s="932"/>
      <c r="J40" s="932"/>
      <c r="K40" s="932"/>
      <c r="L40" s="932"/>
      <c r="M40" s="932"/>
      <c r="N40" s="933"/>
      <c r="O40" s="213"/>
      <c r="R40" s="206"/>
    </row>
    <row r="41" spans="1:19" s="207" customFormat="1" ht="28.5" customHeight="1" thickTop="1" thickBot="1">
      <c r="A41" s="206"/>
      <c r="E41" s="214" t="s">
        <v>71</v>
      </c>
      <c r="F41" s="934" t="s">
        <v>100</v>
      </c>
      <c r="G41" s="934"/>
      <c r="H41" s="935" t="s">
        <v>101</v>
      </c>
      <c r="I41" s="935"/>
      <c r="J41" s="215" t="s">
        <v>71</v>
      </c>
      <c r="K41" s="934" t="s">
        <v>100</v>
      </c>
      <c r="L41" s="934"/>
      <c r="M41" s="935" t="s">
        <v>101</v>
      </c>
      <c r="N41" s="936"/>
      <c r="O41" s="213"/>
      <c r="R41" s="206"/>
    </row>
    <row r="42" spans="1:19" s="207" customFormat="1" ht="20.100000000000001" customHeight="1">
      <c r="A42" s="206"/>
      <c r="E42" s="216">
        <v>1</v>
      </c>
      <c r="F42" s="928" t="s">
        <v>102</v>
      </c>
      <c r="G42" s="928"/>
      <c r="H42" s="217" t="s">
        <v>103</v>
      </c>
      <c r="I42" s="218"/>
      <c r="J42" s="219">
        <v>6</v>
      </c>
      <c r="K42" s="925" t="s">
        <v>104</v>
      </c>
      <c r="L42" s="925"/>
      <c r="M42" s="217" t="s">
        <v>73</v>
      </c>
      <c r="N42" s="220" t="s">
        <v>119</v>
      </c>
      <c r="O42" s="213"/>
      <c r="R42" s="206"/>
      <c r="S42" s="221"/>
    </row>
    <row r="43" spans="1:19" s="207" customFormat="1" ht="20.100000000000001" customHeight="1">
      <c r="A43" s="206"/>
      <c r="E43" s="222">
        <v>2</v>
      </c>
      <c r="F43" s="923" t="s">
        <v>105</v>
      </c>
      <c r="G43" s="923"/>
      <c r="H43" s="223" t="s">
        <v>103</v>
      </c>
      <c r="I43" s="224" t="s">
        <v>118</v>
      </c>
      <c r="J43" s="225">
        <v>7</v>
      </c>
      <c r="K43" s="926" t="s">
        <v>106</v>
      </c>
      <c r="L43" s="926"/>
      <c r="M43" s="223" t="s">
        <v>73</v>
      </c>
      <c r="N43" s="226"/>
      <c r="O43" s="213"/>
      <c r="R43" s="206"/>
      <c r="S43" s="227"/>
    </row>
    <row r="44" spans="1:19" s="207" customFormat="1" ht="20.100000000000001" customHeight="1">
      <c r="A44" s="206"/>
      <c r="E44" s="222">
        <v>3</v>
      </c>
      <c r="F44" s="923" t="s">
        <v>107</v>
      </c>
      <c r="G44" s="923"/>
      <c r="H44" s="223" t="s">
        <v>110</v>
      </c>
      <c r="I44" s="224" t="s">
        <v>119</v>
      </c>
      <c r="J44" s="225">
        <v>8</v>
      </c>
      <c r="K44" s="926" t="s">
        <v>108</v>
      </c>
      <c r="L44" s="926"/>
      <c r="M44" s="223" t="s">
        <v>73</v>
      </c>
      <c r="N44" s="226" t="s">
        <v>118</v>
      </c>
      <c r="O44" s="213"/>
      <c r="R44" s="206"/>
      <c r="S44" s="227"/>
    </row>
    <row r="45" spans="1:19" s="207" customFormat="1" ht="20.100000000000001" customHeight="1">
      <c r="A45" s="206"/>
      <c r="E45" s="222">
        <v>4</v>
      </c>
      <c r="F45" s="923" t="s">
        <v>109</v>
      </c>
      <c r="G45" s="923"/>
      <c r="H45" s="223" t="s">
        <v>110</v>
      </c>
      <c r="I45" s="224"/>
      <c r="J45" s="225">
        <v>9</v>
      </c>
      <c r="K45" s="926" t="s">
        <v>111</v>
      </c>
      <c r="L45" s="926"/>
      <c r="M45" s="223" t="s">
        <v>80</v>
      </c>
      <c r="N45" s="226" t="s">
        <v>119</v>
      </c>
      <c r="O45" s="213"/>
      <c r="R45" s="206"/>
      <c r="S45" s="227"/>
    </row>
    <row r="46" spans="1:19" s="207" customFormat="1" ht="20.100000000000001" customHeight="1" thickBot="1">
      <c r="A46" s="206"/>
      <c r="E46" s="228">
        <v>5</v>
      </c>
      <c r="F46" s="924" t="s">
        <v>112</v>
      </c>
      <c r="G46" s="924"/>
      <c r="H46" s="229" t="s">
        <v>110</v>
      </c>
      <c r="I46" s="230" t="s">
        <v>118</v>
      </c>
      <c r="J46" s="231">
        <v>10</v>
      </c>
      <c r="K46" s="927" t="s">
        <v>113</v>
      </c>
      <c r="L46" s="927"/>
      <c r="M46" s="229" t="s">
        <v>80</v>
      </c>
      <c r="N46" s="232"/>
      <c r="O46" s="213"/>
      <c r="R46" s="206"/>
      <c r="S46" s="227"/>
    </row>
    <row r="47" spans="1:19" s="207" customFormat="1" ht="15" thickTop="1">
      <c r="A47" s="206"/>
      <c r="R47" s="206"/>
      <c r="S47" s="227"/>
    </row>
    <row r="48" spans="1:19" s="207" customFormat="1" ht="13.5" customHeight="1">
      <c r="A48" s="206"/>
      <c r="R48" s="206"/>
      <c r="S48" s="221"/>
    </row>
    <row r="49" spans="1:19" s="207" customFormat="1">
      <c r="A49" s="206"/>
      <c r="B49" s="233"/>
      <c r="C49" s="234"/>
      <c r="D49" s="234"/>
      <c r="E49" s="234"/>
      <c r="F49" s="234"/>
      <c r="G49" s="233"/>
      <c r="H49" s="233"/>
      <c r="I49" s="233"/>
      <c r="J49" s="233"/>
      <c r="K49" s="233"/>
      <c r="L49" s="233"/>
      <c r="M49" s="899" t="s">
        <v>1350</v>
      </c>
      <c r="N49" s="899"/>
      <c r="O49" s="899"/>
      <c r="P49" s="899"/>
      <c r="Q49" s="899"/>
      <c r="R49" s="206"/>
      <c r="S49" s="221"/>
    </row>
    <row r="50" spans="1:19" s="207" customFormat="1">
      <c r="A50" s="206"/>
      <c r="B50" s="900" t="s">
        <v>122</v>
      </c>
      <c r="C50" s="900"/>
      <c r="D50" s="900"/>
      <c r="E50" s="900"/>
      <c r="F50" s="900"/>
      <c r="G50" s="233"/>
      <c r="H50" s="233"/>
      <c r="I50" s="233"/>
      <c r="J50" s="233"/>
      <c r="K50" s="233"/>
      <c r="L50" s="233"/>
      <c r="M50" s="900" t="s">
        <v>123</v>
      </c>
      <c r="N50" s="900"/>
      <c r="O50" s="900"/>
      <c r="P50" s="900"/>
      <c r="Q50" s="900"/>
      <c r="R50" s="206"/>
      <c r="S50" s="221"/>
    </row>
    <row r="51" spans="1:19" s="207" customFormat="1">
      <c r="A51" s="206"/>
      <c r="B51" s="233"/>
      <c r="C51" s="233"/>
      <c r="D51" s="233"/>
      <c r="E51" s="233"/>
      <c r="F51" s="233"/>
      <c r="G51" s="233"/>
      <c r="H51" s="233"/>
      <c r="I51" s="233"/>
      <c r="J51" s="233"/>
      <c r="K51" s="233"/>
      <c r="L51" s="233"/>
      <c r="M51" s="233"/>
      <c r="N51" s="233"/>
      <c r="O51" s="233"/>
      <c r="P51" s="233"/>
      <c r="Q51" s="233"/>
      <c r="R51" s="206"/>
    </row>
    <row r="52" spans="1:19" s="207" customFormat="1">
      <c r="A52" s="206"/>
      <c r="B52" s="233"/>
      <c r="C52" s="233"/>
      <c r="D52" s="233"/>
      <c r="E52" s="233"/>
      <c r="F52" s="233"/>
      <c r="G52" s="233"/>
      <c r="H52" s="233"/>
      <c r="I52" s="233"/>
      <c r="J52" s="233"/>
      <c r="K52" s="233"/>
      <c r="L52" s="233"/>
      <c r="M52" s="233"/>
      <c r="N52" s="233"/>
      <c r="O52" s="233"/>
      <c r="P52" s="233"/>
      <c r="Q52" s="233"/>
      <c r="R52" s="206"/>
    </row>
    <row r="53" spans="1:19" s="207" customFormat="1">
      <c r="A53" s="206"/>
      <c r="B53" s="233"/>
      <c r="C53" s="233"/>
      <c r="D53" s="233"/>
      <c r="E53" s="233"/>
      <c r="F53" s="233"/>
      <c r="G53" s="233"/>
      <c r="H53" s="233"/>
      <c r="I53" s="233"/>
      <c r="J53" s="233"/>
      <c r="K53" s="233"/>
      <c r="L53" s="233"/>
      <c r="M53" s="233"/>
      <c r="N53" s="233"/>
      <c r="O53" s="233"/>
      <c r="P53" s="233"/>
      <c r="Q53" s="233"/>
      <c r="R53" s="206"/>
    </row>
    <row r="54" spans="1:19" s="207" customFormat="1">
      <c r="A54" s="206"/>
      <c r="B54" s="900" t="s">
        <v>124</v>
      </c>
      <c r="C54" s="900"/>
      <c r="D54" s="900"/>
      <c r="E54" s="900"/>
      <c r="F54" s="900"/>
      <c r="G54" s="233"/>
      <c r="H54" s="233"/>
      <c r="I54" s="233"/>
      <c r="J54" s="233"/>
      <c r="K54" s="233"/>
      <c r="L54" s="233"/>
      <c r="M54" s="901" t="str">
        <f>HOME!D22</f>
        <v>Risti Fauziah, S.Pd.</v>
      </c>
      <c r="N54" s="901"/>
      <c r="O54" s="901"/>
      <c r="P54" s="901"/>
      <c r="Q54" s="901"/>
      <c r="R54" s="206"/>
    </row>
    <row r="55" spans="1:19" s="207" customFormat="1">
      <c r="A55" s="206"/>
      <c r="B55" s="206"/>
      <c r="C55" s="206"/>
      <c r="D55" s="206"/>
      <c r="E55" s="206"/>
      <c r="F55" s="206"/>
      <c r="G55" s="206"/>
      <c r="H55" s="206"/>
      <c r="I55" s="206"/>
      <c r="J55" s="206"/>
      <c r="K55" s="206"/>
      <c r="L55" s="206"/>
      <c r="M55" s="206"/>
      <c r="N55" s="206"/>
      <c r="O55" s="206"/>
      <c r="P55" s="206"/>
      <c r="Q55" s="206"/>
      <c r="R55" s="206"/>
    </row>
    <row r="56" spans="1:19"/>
    <row r="57" spans="1:19"/>
  </sheetData>
  <mergeCells count="62">
    <mergeCell ref="B35:B38"/>
    <mergeCell ref="B21:B24"/>
    <mergeCell ref="B14:D14"/>
    <mergeCell ref="B15:D15"/>
    <mergeCell ref="B16:D16"/>
    <mergeCell ref="B17:D17"/>
    <mergeCell ref="C24:I24"/>
    <mergeCell ref="C38:I38"/>
    <mergeCell ref="C29:I29"/>
    <mergeCell ref="C30:I30"/>
    <mergeCell ref="C31:I31"/>
    <mergeCell ref="C33:I33"/>
    <mergeCell ref="C34:Q34"/>
    <mergeCell ref="C35:I35"/>
    <mergeCell ref="C36:I36"/>
    <mergeCell ref="C37:I37"/>
    <mergeCell ref="C32:I32"/>
    <mergeCell ref="E40:N40"/>
    <mergeCell ref="F41:G41"/>
    <mergeCell ref="H41:I41"/>
    <mergeCell ref="K41:L41"/>
    <mergeCell ref="M41:N41"/>
    <mergeCell ref="F44:G44"/>
    <mergeCell ref="F45:G45"/>
    <mergeCell ref="F46:G46"/>
    <mergeCell ref="K42:L42"/>
    <mergeCell ref="K43:L43"/>
    <mergeCell ref="K44:L44"/>
    <mergeCell ref="K45:L45"/>
    <mergeCell ref="K46:L46"/>
    <mergeCell ref="F42:G42"/>
    <mergeCell ref="F43:G43"/>
    <mergeCell ref="L20:M20"/>
    <mergeCell ref="N20:O20"/>
    <mergeCell ref="B10:Q10"/>
    <mergeCell ref="B11:Q11"/>
    <mergeCell ref="B12:Q12"/>
    <mergeCell ref="B19:B20"/>
    <mergeCell ref="C19:I20"/>
    <mergeCell ref="P19:Q20"/>
    <mergeCell ref="J19:O19"/>
    <mergeCell ref="J20:K20"/>
    <mergeCell ref="C25:I25"/>
    <mergeCell ref="C26:I26"/>
    <mergeCell ref="C27:I27"/>
    <mergeCell ref="C28:I28"/>
    <mergeCell ref="C21:Q21"/>
    <mergeCell ref="C22:I22"/>
    <mergeCell ref="C23:I23"/>
    <mergeCell ref="M49:Q49"/>
    <mergeCell ref="M50:Q50"/>
    <mergeCell ref="B50:F50"/>
    <mergeCell ref="M54:Q54"/>
    <mergeCell ref="B54:F54"/>
    <mergeCell ref="H1:I3"/>
    <mergeCell ref="J2:J3"/>
    <mergeCell ref="B1:G3"/>
    <mergeCell ref="L2:N2"/>
    <mergeCell ref="L3:N3"/>
    <mergeCell ref="L1:P1"/>
    <mergeCell ref="O2:P2"/>
    <mergeCell ref="O3:P3"/>
  </mergeCells>
  <pageMargins left="0.70866141732283472" right="0" top="0.35433070866141736" bottom="0.23622047244094491" header="0.31496062992125984" footer="0.31496062992125984"/>
  <pageSetup paperSize="14" scale="9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0466" r:id="rId4" name="Spinner 2">
              <controlPr defaultSize="0" autoPict="0">
                <anchor moveWithCells="1" sizeWithCells="1">
                  <from>
                    <xdr:col>9</xdr:col>
                    <xdr:colOff>9525</xdr:colOff>
                    <xdr:row>0</xdr:row>
                    <xdr:rowOff>0</xdr:rowOff>
                  </from>
                  <to>
                    <xdr:col>9</xdr:col>
                    <xdr:colOff>400050</xdr:colOff>
                    <xdr:row>3</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47"/>
  <dimension ref="A1:AFW32"/>
  <sheetViews>
    <sheetView zoomScale="58" zoomScaleNormal="58" workbookViewId="0">
      <selection activeCell="B2" sqref="B2"/>
    </sheetView>
  </sheetViews>
  <sheetFormatPr defaultColWidth="0" defaultRowHeight="15" customHeight="1" zeroHeight="1"/>
  <cols>
    <col min="1" max="1" width="15.7109375" customWidth="1"/>
    <col min="2" max="218" width="9.140625" customWidth="1"/>
    <col min="219" max="853" width="15.7109375" customWidth="1"/>
    <col min="854" max="855" width="0" hidden="1" customWidth="1"/>
    <col min="856" max="16384" width="15.7109375" hidden="1"/>
  </cols>
  <sheetData>
    <row r="1" spans="1:852">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c r="BS1">
        <v>71</v>
      </c>
      <c r="BT1">
        <v>72</v>
      </c>
      <c r="BU1">
        <v>73</v>
      </c>
      <c r="BV1">
        <v>74</v>
      </c>
      <c r="BW1">
        <v>75</v>
      </c>
      <c r="BX1">
        <v>76</v>
      </c>
      <c r="BY1">
        <v>77</v>
      </c>
      <c r="BZ1">
        <v>78</v>
      </c>
      <c r="CA1">
        <v>79</v>
      </c>
      <c r="CB1">
        <v>80</v>
      </c>
      <c r="CC1">
        <v>81</v>
      </c>
      <c r="CD1">
        <v>82</v>
      </c>
      <c r="CE1">
        <v>83</v>
      </c>
      <c r="CF1">
        <v>84</v>
      </c>
      <c r="CG1">
        <v>85</v>
      </c>
      <c r="CH1">
        <v>86</v>
      </c>
      <c r="CI1">
        <v>87</v>
      </c>
      <c r="CJ1">
        <v>88</v>
      </c>
      <c r="CK1">
        <v>89</v>
      </c>
      <c r="CL1">
        <v>90</v>
      </c>
      <c r="CM1">
        <v>91</v>
      </c>
      <c r="CN1">
        <v>92</v>
      </c>
      <c r="CO1">
        <v>93</v>
      </c>
      <c r="CP1">
        <v>94</v>
      </c>
      <c r="CQ1">
        <v>95</v>
      </c>
      <c r="CR1">
        <v>96</v>
      </c>
      <c r="CS1">
        <v>97</v>
      </c>
      <c r="CT1">
        <v>98</v>
      </c>
      <c r="CU1">
        <v>99</v>
      </c>
      <c r="CV1">
        <v>100</v>
      </c>
      <c r="CW1">
        <v>101</v>
      </c>
      <c r="CX1">
        <v>102</v>
      </c>
      <c r="CY1">
        <v>103</v>
      </c>
      <c r="CZ1">
        <v>104</v>
      </c>
      <c r="DA1">
        <v>105</v>
      </c>
      <c r="DB1">
        <v>106</v>
      </c>
      <c r="DC1">
        <v>107</v>
      </c>
      <c r="DD1">
        <v>108</v>
      </c>
      <c r="DE1">
        <v>109</v>
      </c>
      <c r="DF1">
        <v>110</v>
      </c>
      <c r="DG1">
        <v>111</v>
      </c>
      <c r="DH1">
        <v>112</v>
      </c>
      <c r="DI1">
        <v>113</v>
      </c>
      <c r="DJ1">
        <v>114</v>
      </c>
      <c r="DK1">
        <v>115</v>
      </c>
      <c r="DL1">
        <v>116</v>
      </c>
      <c r="DM1">
        <v>117</v>
      </c>
      <c r="DN1">
        <v>118</v>
      </c>
      <c r="DO1">
        <v>119</v>
      </c>
      <c r="DP1">
        <v>120</v>
      </c>
      <c r="DQ1">
        <v>121</v>
      </c>
      <c r="DR1">
        <v>122</v>
      </c>
      <c r="DS1">
        <v>123</v>
      </c>
      <c r="DT1">
        <v>124</v>
      </c>
      <c r="DU1">
        <v>125</v>
      </c>
      <c r="DV1">
        <v>126</v>
      </c>
      <c r="DW1">
        <v>127</v>
      </c>
      <c r="DX1">
        <v>128</v>
      </c>
      <c r="DY1">
        <v>129</v>
      </c>
      <c r="DZ1">
        <v>130</v>
      </c>
      <c r="EA1">
        <v>131</v>
      </c>
      <c r="EB1">
        <v>132</v>
      </c>
      <c r="EC1">
        <v>133</v>
      </c>
      <c r="ED1">
        <v>134</v>
      </c>
      <c r="EE1">
        <v>135</v>
      </c>
      <c r="EF1">
        <v>136</v>
      </c>
      <c r="EG1">
        <v>137</v>
      </c>
      <c r="EH1">
        <v>138</v>
      </c>
      <c r="EI1">
        <v>139</v>
      </c>
      <c r="EJ1">
        <v>140</v>
      </c>
      <c r="EK1">
        <v>141</v>
      </c>
      <c r="EL1">
        <v>142</v>
      </c>
      <c r="EM1">
        <v>143</v>
      </c>
      <c r="EN1">
        <v>144</v>
      </c>
      <c r="EO1">
        <v>145</v>
      </c>
      <c r="EP1">
        <v>146</v>
      </c>
      <c r="EQ1">
        <v>147</v>
      </c>
      <c r="ER1">
        <v>148</v>
      </c>
      <c r="ES1">
        <v>149</v>
      </c>
      <c r="ET1">
        <v>150</v>
      </c>
      <c r="EU1">
        <v>151</v>
      </c>
      <c r="EV1">
        <v>152</v>
      </c>
      <c r="EW1">
        <v>153</v>
      </c>
      <c r="EX1">
        <v>154</v>
      </c>
      <c r="EY1">
        <v>155</v>
      </c>
      <c r="EZ1">
        <v>156</v>
      </c>
      <c r="FA1">
        <v>157</v>
      </c>
      <c r="FB1">
        <v>158</v>
      </c>
      <c r="FC1">
        <v>159</v>
      </c>
      <c r="FD1">
        <v>160</v>
      </c>
      <c r="FE1">
        <v>161</v>
      </c>
      <c r="FF1">
        <v>162</v>
      </c>
      <c r="FG1">
        <v>163</v>
      </c>
      <c r="FH1">
        <v>164</v>
      </c>
      <c r="FI1">
        <v>165</v>
      </c>
      <c r="FJ1">
        <v>166</v>
      </c>
      <c r="FK1">
        <v>167</v>
      </c>
      <c r="FL1">
        <v>168</v>
      </c>
      <c r="FM1">
        <v>169</v>
      </c>
      <c r="FN1">
        <v>170</v>
      </c>
      <c r="FO1">
        <v>171</v>
      </c>
      <c r="FP1">
        <v>172</v>
      </c>
      <c r="FQ1">
        <v>173</v>
      </c>
      <c r="FR1">
        <v>174</v>
      </c>
      <c r="FS1">
        <v>175</v>
      </c>
      <c r="FT1">
        <v>176</v>
      </c>
      <c r="FU1">
        <v>177</v>
      </c>
      <c r="FV1">
        <v>178</v>
      </c>
      <c r="FW1">
        <v>179</v>
      </c>
      <c r="FX1">
        <v>180</v>
      </c>
      <c r="FY1">
        <v>181</v>
      </c>
      <c r="FZ1">
        <v>182</v>
      </c>
      <c r="GA1">
        <v>183</v>
      </c>
      <c r="GB1">
        <v>184</v>
      </c>
      <c r="GC1">
        <v>185</v>
      </c>
      <c r="GD1">
        <v>186</v>
      </c>
      <c r="GE1">
        <v>187</v>
      </c>
      <c r="GF1">
        <v>188</v>
      </c>
      <c r="GG1">
        <v>189</v>
      </c>
      <c r="GH1">
        <v>190</v>
      </c>
      <c r="GI1">
        <v>191</v>
      </c>
      <c r="GJ1">
        <v>192</v>
      </c>
      <c r="GK1">
        <v>193</v>
      </c>
      <c r="GL1">
        <v>194</v>
      </c>
      <c r="GM1">
        <v>195</v>
      </c>
      <c r="GN1">
        <v>196</v>
      </c>
      <c r="GO1">
        <v>197</v>
      </c>
      <c r="GP1">
        <v>198</v>
      </c>
      <c r="GQ1">
        <v>199</v>
      </c>
      <c r="GR1">
        <v>200</v>
      </c>
      <c r="GS1">
        <v>201</v>
      </c>
      <c r="GT1">
        <v>202</v>
      </c>
      <c r="GU1">
        <v>203</v>
      </c>
      <c r="GV1">
        <v>204</v>
      </c>
      <c r="GW1">
        <v>205</v>
      </c>
      <c r="GX1">
        <v>206</v>
      </c>
      <c r="GY1">
        <v>207</v>
      </c>
      <c r="GZ1">
        <v>208</v>
      </c>
      <c r="HA1">
        <v>209</v>
      </c>
      <c r="HB1">
        <v>210</v>
      </c>
      <c r="HC1">
        <v>211</v>
      </c>
      <c r="HD1">
        <v>212</v>
      </c>
      <c r="HE1">
        <v>213</v>
      </c>
      <c r="HF1">
        <v>214</v>
      </c>
      <c r="HG1">
        <v>215</v>
      </c>
      <c r="HH1">
        <v>216</v>
      </c>
      <c r="HI1">
        <v>217</v>
      </c>
      <c r="HJ1">
        <v>218</v>
      </c>
      <c r="HK1">
        <v>219</v>
      </c>
      <c r="HL1">
        <v>220</v>
      </c>
      <c r="HM1">
        <v>221</v>
      </c>
      <c r="HN1">
        <v>222</v>
      </c>
      <c r="HO1">
        <v>223</v>
      </c>
      <c r="HP1">
        <v>224</v>
      </c>
      <c r="HQ1">
        <v>225</v>
      </c>
      <c r="HR1">
        <v>226</v>
      </c>
      <c r="HS1">
        <v>227</v>
      </c>
      <c r="HT1">
        <v>228</v>
      </c>
      <c r="HU1">
        <v>229</v>
      </c>
      <c r="HV1">
        <v>230</v>
      </c>
      <c r="HW1">
        <v>231</v>
      </c>
      <c r="HX1">
        <v>232</v>
      </c>
      <c r="HY1">
        <v>233</v>
      </c>
      <c r="HZ1">
        <v>234</v>
      </c>
      <c r="IA1">
        <v>235</v>
      </c>
      <c r="IB1">
        <v>236</v>
      </c>
      <c r="IC1">
        <v>237</v>
      </c>
      <c r="ID1">
        <v>238</v>
      </c>
      <c r="IE1">
        <v>239</v>
      </c>
      <c r="IF1">
        <v>240</v>
      </c>
      <c r="IG1">
        <v>241</v>
      </c>
      <c r="IH1">
        <v>242</v>
      </c>
      <c r="II1">
        <v>243</v>
      </c>
      <c r="IJ1">
        <v>244</v>
      </c>
      <c r="IK1">
        <v>245</v>
      </c>
      <c r="IL1">
        <v>246</v>
      </c>
      <c r="IM1">
        <v>247</v>
      </c>
      <c r="IN1">
        <v>248</v>
      </c>
      <c r="IO1">
        <v>249</v>
      </c>
      <c r="IP1">
        <v>250</v>
      </c>
      <c r="IQ1">
        <v>251</v>
      </c>
      <c r="IR1">
        <v>252</v>
      </c>
      <c r="IS1">
        <v>253</v>
      </c>
      <c r="IT1">
        <v>254</v>
      </c>
      <c r="IU1">
        <v>255</v>
      </c>
      <c r="IV1">
        <v>256</v>
      </c>
      <c r="IW1">
        <v>257</v>
      </c>
      <c r="IX1">
        <v>258</v>
      </c>
      <c r="IY1">
        <v>259</v>
      </c>
      <c r="IZ1">
        <v>260</v>
      </c>
      <c r="JA1">
        <v>261</v>
      </c>
      <c r="JB1">
        <v>262</v>
      </c>
      <c r="JC1">
        <v>263</v>
      </c>
      <c r="JD1">
        <v>264</v>
      </c>
      <c r="JE1">
        <v>265</v>
      </c>
      <c r="JF1">
        <v>266</v>
      </c>
      <c r="JG1">
        <v>267</v>
      </c>
      <c r="JH1">
        <v>268</v>
      </c>
      <c r="JI1">
        <v>269</v>
      </c>
      <c r="JJ1">
        <v>270</v>
      </c>
      <c r="JK1">
        <v>271</v>
      </c>
      <c r="JL1">
        <v>272</v>
      </c>
      <c r="JM1">
        <v>273</v>
      </c>
      <c r="JN1">
        <v>274</v>
      </c>
      <c r="JO1">
        <v>275</v>
      </c>
      <c r="JP1">
        <v>276</v>
      </c>
      <c r="JQ1">
        <v>277</v>
      </c>
      <c r="JR1">
        <v>278</v>
      </c>
      <c r="JS1">
        <v>279</v>
      </c>
      <c r="JT1">
        <v>280</v>
      </c>
      <c r="JU1">
        <v>281</v>
      </c>
      <c r="JV1">
        <v>282</v>
      </c>
      <c r="JW1">
        <v>283</v>
      </c>
      <c r="JX1">
        <v>284</v>
      </c>
      <c r="JY1">
        <v>285</v>
      </c>
      <c r="JZ1">
        <v>286</v>
      </c>
      <c r="KA1">
        <v>287</v>
      </c>
      <c r="KB1">
        <v>288</v>
      </c>
      <c r="KC1">
        <v>289</v>
      </c>
      <c r="KD1">
        <v>290</v>
      </c>
      <c r="KE1">
        <v>291</v>
      </c>
      <c r="KF1">
        <v>292</v>
      </c>
      <c r="KG1">
        <v>293</v>
      </c>
      <c r="KH1">
        <v>294</v>
      </c>
      <c r="KI1">
        <v>295</v>
      </c>
      <c r="KJ1">
        <v>296</v>
      </c>
      <c r="KK1">
        <v>297</v>
      </c>
      <c r="KL1">
        <v>298</v>
      </c>
      <c r="KM1">
        <v>299</v>
      </c>
      <c r="KN1">
        <v>300</v>
      </c>
      <c r="KO1">
        <v>301</v>
      </c>
      <c r="KP1">
        <v>302</v>
      </c>
      <c r="KQ1">
        <v>303</v>
      </c>
      <c r="KR1">
        <v>304</v>
      </c>
      <c r="KS1">
        <v>305</v>
      </c>
      <c r="KT1">
        <v>306</v>
      </c>
      <c r="KU1">
        <v>307</v>
      </c>
      <c r="KV1">
        <v>308</v>
      </c>
      <c r="KW1">
        <v>309</v>
      </c>
      <c r="KX1">
        <v>310</v>
      </c>
      <c r="KY1">
        <v>311</v>
      </c>
      <c r="KZ1">
        <v>312</v>
      </c>
      <c r="LA1">
        <v>313</v>
      </c>
      <c r="LB1">
        <v>314</v>
      </c>
      <c r="LC1">
        <v>315</v>
      </c>
      <c r="LD1">
        <v>316</v>
      </c>
      <c r="LE1">
        <v>317</v>
      </c>
      <c r="LF1">
        <v>318</v>
      </c>
      <c r="LG1">
        <v>319</v>
      </c>
      <c r="LH1">
        <v>320</v>
      </c>
      <c r="LI1">
        <v>321</v>
      </c>
      <c r="LJ1">
        <v>322</v>
      </c>
      <c r="LK1">
        <v>323</v>
      </c>
      <c r="LL1">
        <v>324</v>
      </c>
      <c r="LM1">
        <v>325</v>
      </c>
      <c r="LN1">
        <v>326</v>
      </c>
      <c r="LO1">
        <v>327</v>
      </c>
      <c r="LP1">
        <v>328</v>
      </c>
      <c r="LQ1">
        <v>329</v>
      </c>
      <c r="LR1">
        <v>330</v>
      </c>
      <c r="LS1">
        <v>331</v>
      </c>
      <c r="LT1">
        <v>332</v>
      </c>
      <c r="LU1">
        <v>333</v>
      </c>
      <c r="LV1">
        <v>334</v>
      </c>
      <c r="LW1">
        <v>335</v>
      </c>
      <c r="LX1">
        <v>336</v>
      </c>
      <c r="LY1">
        <v>337</v>
      </c>
      <c r="LZ1">
        <v>338</v>
      </c>
      <c r="MA1">
        <v>339</v>
      </c>
      <c r="MB1">
        <v>340</v>
      </c>
      <c r="MC1">
        <v>341</v>
      </c>
      <c r="MD1">
        <v>342</v>
      </c>
      <c r="ME1">
        <v>343</v>
      </c>
      <c r="MF1">
        <v>344</v>
      </c>
      <c r="MG1">
        <v>345</v>
      </c>
      <c r="MH1">
        <v>346</v>
      </c>
      <c r="MI1">
        <v>347</v>
      </c>
      <c r="MJ1">
        <v>348</v>
      </c>
      <c r="MK1">
        <v>349</v>
      </c>
      <c r="ML1">
        <v>350</v>
      </c>
      <c r="MM1">
        <v>351</v>
      </c>
      <c r="MN1">
        <v>352</v>
      </c>
      <c r="MO1">
        <v>353</v>
      </c>
      <c r="MP1">
        <v>354</v>
      </c>
      <c r="MQ1">
        <v>355</v>
      </c>
      <c r="MR1">
        <v>356</v>
      </c>
      <c r="MS1">
        <v>357</v>
      </c>
      <c r="MT1">
        <v>358</v>
      </c>
      <c r="MU1">
        <v>359</v>
      </c>
      <c r="MV1">
        <v>360</v>
      </c>
      <c r="MW1">
        <v>361</v>
      </c>
      <c r="MX1">
        <v>362</v>
      </c>
      <c r="MY1">
        <v>363</v>
      </c>
      <c r="MZ1">
        <v>364</v>
      </c>
      <c r="NA1">
        <v>365</v>
      </c>
      <c r="NB1">
        <v>366</v>
      </c>
      <c r="NC1">
        <v>367</v>
      </c>
      <c r="ND1">
        <v>368</v>
      </c>
      <c r="NE1">
        <v>369</v>
      </c>
      <c r="NF1">
        <v>370</v>
      </c>
      <c r="NG1">
        <v>371</v>
      </c>
      <c r="NH1">
        <v>372</v>
      </c>
      <c r="NI1">
        <v>373</v>
      </c>
      <c r="NJ1">
        <v>374</v>
      </c>
      <c r="NK1">
        <v>375</v>
      </c>
      <c r="NL1">
        <v>376</v>
      </c>
      <c r="NM1">
        <v>377</v>
      </c>
      <c r="NN1">
        <v>378</v>
      </c>
      <c r="NO1">
        <v>379</v>
      </c>
      <c r="NP1">
        <v>380</v>
      </c>
      <c r="NQ1">
        <v>381</v>
      </c>
      <c r="NR1">
        <v>382</v>
      </c>
      <c r="NS1">
        <v>383</v>
      </c>
      <c r="NT1">
        <v>384</v>
      </c>
      <c r="NU1">
        <v>385</v>
      </c>
      <c r="NV1">
        <v>386</v>
      </c>
      <c r="NW1">
        <v>387</v>
      </c>
      <c r="NX1">
        <v>388</v>
      </c>
      <c r="NY1">
        <v>389</v>
      </c>
      <c r="NZ1">
        <v>390</v>
      </c>
      <c r="OA1">
        <v>391</v>
      </c>
      <c r="OB1">
        <v>392</v>
      </c>
      <c r="OC1">
        <v>393</v>
      </c>
      <c r="OD1">
        <v>394</v>
      </c>
      <c r="OE1">
        <v>395</v>
      </c>
      <c r="OF1">
        <v>396</v>
      </c>
      <c r="OG1">
        <v>397</v>
      </c>
      <c r="OH1">
        <v>398</v>
      </c>
      <c r="OI1">
        <v>399</v>
      </c>
      <c r="OJ1">
        <v>400</v>
      </c>
      <c r="OK1">
        <v>401</v>
      </c>
      <c r="OL1">
        <v>402</v>
      </c>
      <c r="OM1">
        <v>403</v>
      </c>
      <c r="ON1">
        <v>404</v>
      </c>
      <c r="OO1">
        <v>405</v>
      </c>
      <c r="OP1">
        <v>406</v>
      </c>
      <c r="OQ1">
        <v>407</v>
      </c>
      <c r="OR1">
        <v>408</v>
      </c>
      <c r="OS1">
        <v>409</v>
      </c>
      <c r="OT1">
        <v>410</v>
      </c>
      <c r="OU1">
        <v>411</v>
      </c>
      <c r="OV1">
        <v>412</v>
      </c>
      <c r="OW1">
        <v>413</v>
      </c>
      <c r="OX1">
        <v>414</v>
      </c>
      <c r="OY1">
        <v>415</v>
      </c>
      <c r="OZ1">
        <v>416</v>
      </c>
      <c r="PA1">
        <v>417</v>
      </c>
      <c r="PB1">
        <v>418</v>
      </c>
      <c r="PC1">
        <v>419</v>
      </c>
      <c r="PD1">
        <v>420</v>
      </c>
      <c r="PE1">
        <v>421</v>
      </c>
      <c r="PF1">
        <v>422</v>
      </c>
      <c r="PG1">
        <v>423</v>
      </c>
      <c r="PH1">
        <v>424</v>
      </c>
      <c r="PI1">
        <v>425</v>
      </c>
      <c r="PJ1">
        <v>426</v>
      </c>
      <c r="PK1">
        <v>427</v>
      </c>
      <c r="PL1">
        <v>428</v>
      </c>
      <c r="PM1">
        <v>429</v>
      </c>
      <c r="PN1">
        <v>430</v>
      </c>
      <c r="PO1">
        <v>431</v>
      </c>
      <c r="PP1">
        <v>432</v>
      </c>
      <c r="PQ1">
        <v>433</v>
      </c>
      <c r="PR1">
        <v>434</v>
      </c>
      <c r="PS1">
        <v>435</v>
      </c>
      <c r="PT1">
        <v>436</v>
      </c>
      <c r="PU1">
        <v>437</v>
      </c>
      <c r="PV1">
        <v>438</v>
      </c>
      <c r="PW1">
        <v>439</v>
      </c>
      <c r="PX1">
        <v>440</v>
      </c>
      <c r="PY1">
        <v>441</v>
      </c>
      <c r="PZ1">
        <v>442</v>
      </c>
      <c r="QA1">
        <v>443</v>
      </c>
      <c r="QB1">
        <v>444</v>
      </c>
      <c r="QC1">
        <v>445</v>
      </c>
      <c r="QD1">
        <v>446</v>
      </c>
      <c r="QE1">
        <v>447</v>
      </c>
      <c r="QF1">
        <v>448</v>
      </c>
      <c r="QG1">
        <v>449</v>
      </c>
      <c r="QH1">
        <v>450</v>
      </c>
      <c r="QI1">
        <v>451</v>
      </c>
      <c r="QJ1">
        <v>452</v>
      </c>
      <c r="QK1">
        <v>453</v>
      </c>
      <c r="QL1">
        <v>454</v>
      </c>
      <c r="QM1">
        <v>455</v>
      </c>
      <c r="QN1">
        <v>456</v>
      </c>
      <c r="QO1">
        <v>457</v>
      </c>
      <c r="QP1">
        <v>458</v>
      </c>
      <c r="QQ1">
        <v>459</v>
      </c>
      <c r="QR1">
        <v>460</v>
      </c>
      <c r="QS1">
        <v>461</v>
      </c>
      <c r="QT1">
        <v>462</v>
      </c>
      <c r="QU1">
        <v>463</v>
      </c>
      <c r="QV1">
        <v>464</v>
      </c>
      <c r="QW1">
        <v>465</v>
      </c>
      <c r="QX1">
        <v>466</v>
      </c>
      <c r="QY1">
        <v>467</v>
      </c>
      <c r="QZ1">
        <v>468</v>
      </c>
      <c r="RA1">
        <v>469</v>
      </c>
      <c r="RB1">
        <v>470</v>
      </c>
      <c r="RC1">
        <v>471</v>
      </c>
      <c r="RD1">
        <v>472</v>
      </c>
      <c r="RE1">
        <v>473</v>
      </c>
      <c r="RF1">
        <v>474</v>
      </c>
      <c r="RG1">
        <v>475</v>
      </c>
      <c r="RH1">
        <v>476</v>
      </c>
      <c r="RI1">
        <v>477</v>
      </c>
      <c r="RJ1">
        <v>478</v>
      </c>
      <c r="RK1">
        <v>479</v>
      </c>
      <c r="RL1">
        <v>480</v>
      </c>
      <c r="RM1">
        <v>481</v>
      </c>
      <c r="RN1">
        <v>482</v>
      </c>
      <c r="RO1">
        <v>483</v>
      </c>
      <c r="RP1">
        <v>484</v>
      </c>
      <c r="RQ1">
        <v>485</v>
      </c>
      <c r="RR1">
        <v>486</v>
      </c>
      <c r="RS1">
        <v>487</v>
      </c>
      <c r="RT1">
        <v>488</v>
      </c>
      <c r="RU1">
        <v>489</v>
      </c>
      <c r="RV1">
        <v>490</v>
      </c>
      <c r="RW1">
        <v>491</v>
      </c>
      <c r="RX1">
        <v>492</v>
      </c>
      <c r="RY1">
        <v>493</v>
      </c>
      <c r="RZ1">
        <v>494</v>
      </c>
      <c r="SA1">
        <v>495</v>
      </c>
      <c r="SB1">
        <v>496</v>
      </c>
      <c r="SC1">
        <v>497</v>
      </c>
      <c r="SD1">
        <v>498</v>
      </c>
      <c r="SE1">
        <v>499</v>
      </c>
      <c r="SF1">
        <v>500</v>
      </c>
      <c r="SG1">
        <v>501</v>
      </c>
      <c r="SH1">
        <v>502</v>
      </c>
      <c r="SI1">
        <v>503</v>
      </c>
      <c r="SJ1">
        <v>504</v>
      </c>
      <c r="SK1">
        <v>505</v>
      </c>
      <c r="SL1">
        <v>506</v>
      </c>
      <c r="SM1">
        <v>507</v>
      </c>
      <c r="SN1">
        <v>508</v>
      </c>
      <c r="SO1">
        <v>509</v>
      </c>
      <c r="SP1">
        <v>510</v>
      </c>
      <c r="SQ1">
        <v>511</v>
      </c>
      <c r="SR1">
        <v>512</v>
      </c>
      <c r="SS1">
        <v>513</v>
      </c>
      <c r="ST1">
        <v>514</v>
      </c>
      <c r="SU1">
        <v>515</v>
      </c>
      <c r="SV1">
        <v>516</v>
      </c>
      <c r="SW1">
        <v>517</v>
      </c>
      <c r="SX1">
        <v>518</v>
      </c>
      <c r="SY1">
        <v>519</v>
      </c>
      <c r="SZ1">
        <v>520</v>
      </c>
      <c r="TA1">
        <v>521</v>
      </c>
      <c r="TB1">
        <v>522</v>
      </c>
      <c r="TC1">
        <v>523</v>
      </c>
      <c r="TD1">
        <v>524</v>
      </c>
      <c r="TE1">
        <v>525</v>
      </c>
      <c r="TF1">
        <v>526</v>
      </c>
      <c r="TG1">
        <v>527</v>
      </c>
      <c r="TH1">
        <v>528</v>
      </c>
      <c r="TI1">
        <v>529</v>
      </c>
      <c r="TJ1">
        <v>530</v>
      </c>
      <c r="TK1">
        <v>531</v>
      </c>
      <c r="TL1">
        <v>532</v>
      </c>
      <c r="TM1">
        <v>533</v>
      </c>
      <c r="TN1">
        <v>534</v>
      </c>
      <c r="TO1">
        <v>535</v>
      </c>
      <c r="TP1">
        <v>536</v>
      </c>
      <c r="TQ1">
        <v>537</v>
      </c>
      <c r="TR1">
        <v>538</v>
      </c>
      <c r="TS1">
        <v>539</v>
      </c>
      <c r="TT1">
        <v>540</v>
      </c>
      <c r="TU1">
        <v>541</v>
      </c>
      <c r="TV1">
        <v>542</v>
      </c>
      <c r="TW1">
        <v>543</v>
      </c>
      <c r="TX1">
        <v>544</v>
      </c>
      <c r="TY1">
        <v>545</v>
      </c>
      <c r="TZ1">
        <v>546</v>
      </c>
      <c r="UA1">
        <v>547</v>
      </c>
      <c r="UB1">
        <v>548</v>
      </c>
      <c r="UC1">
        <v>549</v>
      </c>
      <c r="UD1">
        <v>550</v>
      </c>
      <c r="UE1">
        <v>551</v>
      </c>
      <c r="UF1">
        <v>552</v>
      </c>
      <c r="UG1">
        <v>553</v>
      </c>
      <c r="UH1">
        <v>554</v>
      </c>
      <c r="UI1">
        <v>555</v>
      </c>
      <c r="UJ1">
        <v>556</v>
      </c>
      <c r="UK1">
        <v>557</v>
      </c>
      <c r="UL1">
        <v>558</v>
      </c>
      <c r="UM1">
        <v>559</v>
      </c>
      <c r="UN1">
        <v>560</v>
      </c>
      <c r="UO1">
        <v>561</v>
      </c>
      <c r="UP1">
        <v>562</v>
      </c>
      <c r="UQ1">
        <v>563</v>
      </c>
      <c r="UR1">
        <v>564</v>
      </c>
      <c r="US1">
        <v>565</v>
      </c>
      <c r="UT1">
        <v>566</v>
      </c>
      <c r="UU1">
        <v>567</v>
      </c>
      <c r="UV1">
        <v>568</v>
      </c>
      <c r="UW1">
        <v>569</v>
      </c>
      <c r="UX1">
        <v>570</v>
      </c>
      <c r="UY1">
        <v>571</v>
      </c>
      <c r="UZ1">
        <v>572</v>
      </c>
      <c r="VA1">
        <v>573</v>
      </c>
      <c r="VB1">
        <v>574</v>
      </c>
      <c r="VC1">
        <v>575</v>
      </c>
      <c r="VD1">
        <v>576</v>
      </c>
      <c r="VE1">
        <v>577</v>
      </c>
      <c r="VF1">
        <v>578</v>
      </c>
      <c r="VG1">
        <v>579</v>
      </c>
      <c r="VH1">
        <v>580</v>
      </c>
      <c r="VI1">
        <v>581</v>
      </c>
      <c r="VJ1">
        <v>582</v>
      </c>
      <c r="VK1">
        <v>583</v>
      </c>
      <c r="VL1">
        <v>584</v>
      </c>
      <c r="VM1">
        <v>585</v>
      </c>
      <c r="VN1">
        <v>586</v>
      </c>
      <c r="VO1">
        <v>587</v>
      </c>
      <c r="VP1">
        <v>588</v>
      </c>
      <c r="VQ1">
        <v>589</v>
      </c>
      <c r="VR1">
        <v>590</v>
      </c>
      <c r="VS1">
        <v>591</v>
      </c>
      <c r="VT1">
        <v>592</v>
      </c>
      <c r="VU1">
        <v>593</v>
      </c>
      <c r="VV1">
        <v>594</v>
      </c>
      <c r="VW1">
        <v>595</v>
      </c>
      <c r="VX1">
        <v>596</v>
      </c>
      <c r="VY1">
        <v>597</v>
      </c>
      <c r="VZ1">
        <v>598</v>
      </c>
      <c r="WA1">
        <v>599</v>
      </c>
      <c r="WB1">
        <v>600</v>
      </c>
      <c r="WC1">
        <v>601</v>
      </c>
      <c r="WD1">
        <v>602</v>
      </c>
      <c r="WE1">
        <v>603</v>
      </c>
      <c r="WF1">
        <v>604</v>
      </c>
      <c r="WG1">
        <v>605</v>
      </c>
      <c r="WH1">
        <v>606</v>
      </c>
      <c r="WI1">
        <v>607</v>
      </c>
      <c r="WJ1">
        <v>608</v>
      </c>
      <c r="WK1">
        <v>609</v>
      </c>
      <c r="WL1">
        <v>610</v>
      </c>
      <c r="WM1">
        <v>611</v>
      </c>
      <c r="WN1">
        <v>612</v>
      </c>
      <c r="WO1">
        <v>613</v>
      </c>
      <c r="WP1">
        <v>614</v>
      </c>
      <c r="WQ1">
        <v>615</v>
      </c>
      <c r="WR1">
        <v>616</v>
      </c>
      <c r="WS1">
        <v>617</v>
      </c>
      <c r="WT1">
        <v>618</v>
      </c>
      <c r="WU1">
        <v>619</v>
      </c>
      <c r="WV1">
        <v>620</v>
      </c>
      <c r="WW1">
        <v>621</v>
      </c>
      <c r="WX1">
        <v>622</v>
      </c>
      <c r="WY1">
        <v>623</v>
      </c>
      <c r="WZ1">
        <v>624</v>
      </c>
      <c r="XA1">
        <v>625</v>
      </c>
      <c r="XB1">
        <v>626</v>
      </c>
      <c r="XC1">
        <v>627</v>
      </c>
      <c r="XD1">
        <v>628</v>
      </c>
      <c r="XE1">
        <v>629</v>
      </c>
      <c r="XF1">
        <v>630</v>
      </c>
      <c r="XG1">
        <v>631</v>
      </c>
      <c r="XH1">
        <v>632</v>
      </c>
      <c r="XI1">
        <v>633</v>
      </c>
      <c r="XJ1">
        <v>634</v>
      </c>
      <c r="XK1">
        <v>635</v>
      </c>
      <c r="XL1">
        <v>636</v>
      </c>
      <c r="XM1">
        <v>637</v>
      </c>
      <c r="XN1">
        <v>638</v>
      </c>
      <c r="XO1">
        <v>639</v>
      </c>
      <c r="XP1">
        <v>640</v>
      </c>
      <c r="XQ1">
        <v>641</v>
      </c>
      <c r="XR1">
        <v>642</v>
      </c>
      <c r="XS1">
        <v>643</v>
      </c>
      <c r="XT1">
        <v>644</v>
      </c>
      <c r="XU1">
        <v>645</v>
      </c>
      <c r="XV1">
        <v>646</v>
      </c>
      <c r="XW1">
        <v>647</v>
      </c>
      <c r="XX1">
        <v>648</v>
      </c>
      <c r="XY1">
        <v>649</v>
      </c>
      <c r="XZ1">
        <v>650</v>
      </c>
      <c r="YA1">
        <v>651</v>
      </c>
      <c r="YB1">
        <v>652</v>
      </c>
      <c r="YC1">
        <v>653</v>
      </c>
      <c r="YD1">
        <v>654</v>
      </c>
      <c r="YE1">
        <v>655</v>
      </c>
      <c r="YF1">
        <v>656</v>
      </c>
      <c r="YG1">
        <v>657</v>
      </c>
      <c r="YH1">
        <v>658</v>
      </c>
      <c r="YI1">
        <v>659</v>
      </c>
      <c r="YJ1">
        <v>660</v>
      </c>
      <c r="YK1">
        <v>661</v>
      </c>
      <c r="YL1">
        <v>662</v>
      </c>
      <c r="YM1">
        <v>663</v>
      </c>
      <c r="YN1">
        <v>664</v>
      </c>
      <c r="YO1">
        <v>665</v>
      </c>
      <c r="YP1">
        <v>666</v>
      </c>
      <c r="YQ1">
        <v>667</v>
      </c>
      <c r="YR1">
        <v>668</v>
      </c>
      <c r="YS1">
        <v>669</v>
      </c>
      <c r="YT1">
        <v>670</v>
      </c>
      <c r="YU1">
        <v>671</v>
      </c>
      <c r="YV1">
        <v>672</v>
      </c>
      <c r="YW1">
        <v>673</v>
      </c>
      <c r="YX1">
        <v>674</v>
      </c>
      <c r="YY1">
        <v>675</v>
      </c>
      <c r="YZ1">
        <v>676</v>
      </c>
      <c r="ZA1">
        <v>677</v>
      </c>
      <c r="ZB1">
        <v>678</v>
      </c>
      <c r="ZC1">
        <v>679</v>
      </c>
      <c r="ZD1">
        <v>680</v>
      </c>
      <c r="ZE1">
        <v>681</v>
      </c>
      <c r="ZF1">
        <v>682</v>
      </c>
      <c r="ZG1">
        <v>683</v>
      </c>
      <c r="ZH1">
        <v>684</v>
      </c>
      <c r="ZI1">
        <v>685</v>
      </c>
      <c r="ZJ1">
        <v>686</v>
      </c>
      <c r="ZK1">
        <v>687</v>
      </c>
      <c r="ZL1">
        <v>688</v>
      </c>
      <c r="ZM1">
        <v>689</v>
      </c>
      <c r="ZN1">
        <v>690</v>
      </c>
      <c r="ZO1">
        <v>691</v>
      </c>
      <c r="ZP1">
        <v>692</v>
      </c>
      <c r="ZQ1">
        <v>693</v>
      </c>
      <c r="ZR1">
        <v>694</v>
      </c>
      <c r="ZS1">
        <v>695</v>
      </c>
      <c r="ZT1">
        <v>696</v>
      </c>
      <c r="ZU1">
        <v>697</v>
      </c>
      <c r="ZV1">
        <v>698</v>
      </c>
      <c r="ZW1">
        <v>699</v>
      </c>
      <c r="ZX1">
        <v>700</v>
      </c>
      <c r="ZY1">
        <v>701</v>
      </c>
      <c r="ZZ1">
        <v>702</v>
      </c>
      <c r="AAA1">
        <v>703</v>
      </c>
      <c r="AAB1">
        <v>704</v>
      </c>
      <c r="AAC1">
        <v>705</v>
      </c>
      <c r="AAD1">
        <v>706</v>
      </c>
      <c r="AAE1">
        <v>707</v>
      </c>
      <c r="AAF1">
        <v>708</v>
      </c>
      <c r="AAG1">
        <v>709</v>
      </c>
      <c r="AAH1">
        <v>710</v>
      </c>
      <c r="AAI1">
        <v>711</v>
      </c>
      <c r="AAJ1">
        <v>712</v>
      </c>
      <c r="AAK1">
        <v>713</v>
      </c>
      <c r="AAL1">
        <v>714</v>
      </c>
      <c r="AAM1">
        <v>715</v>
      </c>
      <c r="AAN1">
        <v>716</v>
      </c>
      <c r="AAO1">
        <v>717</v>
      </c>
      <c r="AAP1">
        <v>718</v>
      </c>
      <c r="AAQ1">
        <v>719</v>
      </c>
      <c r="AAR1">
        <v>720</v>
      </c>
      <c r="AAS1">
        <v>721</v>
      </c>
      <c r="AAT1">
        <v>722</v>
      </c>
      <c r="AAU1">
        <v>723</v>
      </c>
      <c r="AAV1">
        <v>724</v>
      </c>
      <c r="AAW1">
        <v>725</v>
      </c>
      <c r="AAX1">
        <v>726</v>
      </c>
      <c r="AAY1">
        <v>727</v>
      </c>
      <c r="AAZ1">
        <v>728</v>
      </c>
      <c r="ABA1">
        <v>729</v>
      </c>
      <c r="ABB1">
        <v>730</v>
      </c>
      <c r="ABC1">
        <v>731</v>
      </c>
      <c r="ABD1">
        <v>732</v>
      </c>
      <c r="ABE1">
        <v>733</v>
      </c>
      <c r="ABF1">
        <v>734</v>
      </c>
      <c r="ABG1">
        <v>735</v>
      </c>
      <c r="ABH1">
        <v>736</v>
      </c>
      <c r="ABI1">
        <v>737</v>
      </c>
      <c r="ABJ1">
        <v>738</v>
      </c>
      <c r="ABK1">
        <v>739</v>
      </c>
      <c r="ABL1">
        <v>740</v>
      </c>
      <c r="ABM1">
        <v>741</v>
      </c>
      <c r="ABN1">
        <v>742</v>
      </c>
      <c r="ABO1">
        <v>743</v>
      </c>
      <c r="ABP1">
        <v>744</v>
      </c>
      <c r="ABQ1">
        <v>745</v>
      </c>
      <c r="ABR1">
        <v>746</v>
      </c>
      <c r="ABS1">
        <v>747</v>
      </c>
      <c r="ABT1">
        <v>748</v>
      </c>
      <c r="ABU1">
        <v>749</v>
      </c>
      <c r="ABV1">
        <v>750</v>
      </c>
      <c r="ABW1">
        <v>751</v>
      </c>
      <c r="ABX1">
        <v>752</v>
      </c>
      <c r="ABY1">
        <v>753</v>
      </c>
      <c r="ABZ1">
        <v>754</v>
      </c>
      <c r="ACA1">
        <v>755</v>
      </c>
      <c r="ACB1">
        <v>756</v>
      </c>
      <c r="ACC1">
        <v>757</v>
      </c>
      <c r="ACD1">
        <v>758</v>
      </c>
      <c r="ACE1">
        <v>759</v>
      </c>
      <c r="ACF1">
        <v>760</v>
      </c>
      <c r="ACG1">
        <v>761</v>
      </c>
      <c r="ACH1">
        <v>762</v>
      </c>
      <c r="ACI1">
        <v>763</v>
      </c>
      <c r="ACJ1">
        <v>764</v>
      </c>
      <c r="ACK1">
        <v>765</v>
      </c>
      <c r="ACL1">
        <v>766</v>
      </c>
      <c r="ACM1">
        <v>767</v>
      </c>
      <c r="ACN1">
        <v>768</v>
      </c>
      <c r="ACO1">
        <v>769</v>
      </c>
      <c r="ACP1">
        <v>770</v>
      </c>
      <c r="ACQ1">
        <v>771</v>
      </c>
      <c r="ACR1">
        <v>772</v>
      </c>
      <c r="ACS1">
        <v>773</v>
      </c>
      <c r="ACT1">
        <v>774</v>
      </c>
      <c r="ACU1">
        <v>775</v>
      </c>
      <c r="ACV1">
        <v>776</v>
      </c>
      <c r="ACW1">
        <v>777</v>
      </c>
      <c r="ACX1">
        <v>778</v>
      </c>
      <c r="ACY1">
        <v>779</v>
      </c>
      <c r="ACZ1">
        <v>780</v>
      </c>
      <c r="ADA1">
        <v>781</v>
      </c>
      <c r="ADB1">
        <v>782</v>
      </c>
      <c r="ADC1">
        <v>783</v>
      </c>
      <c r="ADD1">
        <v>784</v>
      </c>
      <c r="ADE1">
        <v>785</v>
      </c>
      <c r="ADF1">
        <v>786</v>
      </c>
      <c r="ADG1">
        <v>787</v>
      </c>
      <c r="ADH1">
        <v>788</v>
      </c>
      <c r="ADI1">
        <v>789</v>
      </c>
      <c r="ADJ1">
        <v>790</v>
      </c>
      <c r="ADK1">
        <v>791</v>
      </c>
      <c r="ADL1">
        <v>792</v>
      </c>
      <c r="ADM1">
        <v>793</v>
      </c>
      <c r="ADN1">
        <v>794</v>
      </c>
      <c r="ADO1">
        <v>795</v>
      </c>
      <c r="ADP1">
        <v>796</v>
      </c>
      <c r="ADQ1">
        <v>797</v>
      </c>
      <c r="ADR1">
        <v>798</v>
      </c>
      <c r="ADS1">
        <v>799</v>
      </c>
      <c r="ADT1">
        <v>800</v>
      </c>
      <c r="ADU1">
        <v>801</v>
      </c>
      <c r="ADV1">
        <v>802</v>
      </c>
      <c r="ADW1">
        <v>803</v>
      </c>
      <c r="ADX1">
        <v>804</v>
      </c>
      <c r="ADY1">
        <v>805</v>
      </c>
      <c r="ADZ1">
        <v>806</v>
      </c>
      <c r="AEA1">
        <v>807</v>
      </c>
      <c r="AEB1">
        <v>808</v>
      </c>
      <c r="AEC1">
        <v>809</v>
      </c>
      <c r="AED1">
        <v>810</v>
      </c>
      <c r="AEE1">
        <v>811</v>
      </c>
      <c r="AEF1">
        <v>812</v>
      </c>
      <c r="AEG1">
        <v>813</v>
      </c>
      <c r="AEH1">
        <v>814</v>
      </c>
      <c r="AEI1">
        <v>815</v>
      </c>
      <c r="AEJ1">
        <v>816</v>
      </c>
      <c r="AEK1">
        <v>817</v>
      </c>
      <c r="AEL1">
        <v>818</v>
      </c>
      <c r="AEM1">
        <v>819</v>
      </c>
      <c r="AEN1">
        <v>820</v>
      </c>
      <c r="AEO1">
        <v>821</v>
      </c>
      <c r="AEP1">
        <v>822</v>
      </c>
      <c r="AEQ1">
        <v>823</v>
      </c>
      <c r="AER1">
        <v>824</v>
      </c>
      <c r="AES1">
        <v>825</v>
      </c>
      <c r="AET1">
        <v>826</v>
      </c>
      <c r="AEU1">
        <v>827</v>
      </c>
      <c r="AEV1">
        <v>828</v>
      </c>
      <c r="AEW1">
        <v>829</v>
      </c>
      <c r="AEX1">
        <v>830</v>
      </c>
      <c r="AEY1">
        <v>831</v>
      </c>
      <c r="AEZ1">
        <v>832</v>
      </c>
      <c r="AFA1">
        <v>833</v>
      </c>
      <c r="AFB1">
        <v>834</v>
      </c>
      <c r="AFC1">
        <v>835</v>
      </c>
      <c r="AFD1">
        <v>836</v>
      </c>
      <c r="AFE1">
        <v>837</v>
      </c>
      <c r="AFF1">
        <v>838</v>
      </c>
      <c r="AFG1">
        <v>839</v>
      </c>
      <c r="AFH1">
        <v>840</v>
      </c>
      <c r="AFI1">
        <v>841</v>
      </c>
      <c r="AFJ1">
        <v>842</v>
      </c>
      <c r="AFK1">
        <v>843</v>
      </c>
      <c r="AFL1">
        <v>844</v>
      </c>
      <c r="AFM1">
        <v>845</v>
      </c>
      <c r="AFN1">
        <v>846</v>
      </c>
      <c r="AFO1">
        <v>847</v>
      </c>
      <c r="AFP1">
        <v>848</v>
      </c>
      <c r="AFQ1">
        <v>849</v>
      </c>
      <c r="AFR1">
        <v>850</v>
      </c>
      <c r="AFS1">
        <v>851</v>
      </c>
      <c r="AFT1">
        <v>852</v>
      </c>
    </row>
    <row r="2" spans="1:852">
      <c r="A2" t="s">
        <v>1104</v>
      </c>
      <c r="B2" t="s">
        <v>264</v>
      </c>
      <c r="C2" t="s">
        <v>265</v>
      </c>
      <c r="D2" t="s">
        <v>266</v>
      </c>
      <c r="E2" t="s">
        <v>267</v>
      </c>
      <c r="F2" t="s">
        <v>268</v>
      </c>
      <c r="G2" t="s">
        <v>269</v>
      </c>
      <c r="H2" t="s">
        <v>270</v>
      </c>
      <c r="I2" t="s">
        <v>271</v>
      </c>
      <c r="J2" t="s">
        <v>272</v>
      </c>
      <c r="K2" t="s">
        <v>273</v>
      </c>
      <c r="L2" t="s">
        <v>274</v>
      </c>
      <c r="M2" t="s">
        <v>275</v>
      </c>
      <c r="N2" t="s">
        <v>276</v>
      </c>
      <c r="O2" t="s">
        <v>277</v>
      </c>
      <c r="P2" t="s">
        <v>278</v>
      </c>
      <c r="Q2" t="s">
        <v>279</v>
      </c>
      <c r="R2" t="s">
        <v>280</v>
      </c>
      <c r="S2" t="s">
        <v>281</v>
      </c>
      <c r="T2" t="s">
        <v>282</v>
      </c>
      <c r="U2" t="s">
        <v>283</v>
      </c>
      <c r="V2" t="s">
        <v>284</v>
      </c>
      <c r="W2" t="s">
        <v>285</v>
      </c>
      <c r="X2" t="s">
        <v>286</v>
      </c>
      <c r="Y2" t="s">
        <v>287</v>
      </c>
      <c r="Z2" t="s">
        <v>288</v>
      </c>
      <c r="AA2" t="s">
        <v>289</v>
      </c>
      <c r="AB2" t="s">
        <v>290</v>
      </c>
      <c r="AC2" t="s">
        <v>291</v>
      </c>
      <c r="AD2" t="s">
        <v>292</v>
      </c>
      <c r="AE2" t="s">
        <v>293</v>
      </c>
      <c r="AF2" t="s">
        <v>294</v>
      </c>
      <c r="AG2" t="s">
        <v>295</v>
      </c>
      <c r="AH2" t="s">
        <v>296</v>
      </c>
      <c r="AI2" t="s">
        <v>297</v>
      </c>
      <c r="AJ2" t="s">
        <v>298</v>
      </c>
      <c r="AK2" t="s">
        <v>299</v>
      </c>
      <c r="AL2" t="s">
        <v>300</v>
      </c>
      <c r="AM2" t="s">
        <v>301</v>
      </c>
      <c r="AN2" t="s">
        <v>302</v>
      </c>
      <c r="AO2" t="s">
        <v>303</v>
      </c>
      <c r="AP2" t="s">
        <v>304</v>
      </c>
      <c r="AQ2" t="s">
        <v>305</v>
      </c>
      <c r="AR2" t="s">
        <v>306</v>
      </c>
      <c r="AS2" t="s">
        <v>307</v>
      </c>
      <c r="AT2" t="s">
        <v>308</v>
      </c>
      <c r="AU2" t="s">
        <v>309</v>
      </c>
      <c r="AV2" t="s">
        <v>310</v>
      </c>
      <c r="AW2" t="s">
        <v>311</v>
      </c>
      <c r="AX2" t="s">
        <v>312</v>
      </c>
      <c r="AY2" t="s">
        <v>313</v>
      </c>
      <c r="AZ2" t="s">
        <v>314</v>
      </c>
      <c r="BA2" t="s">
        <v>315</v>
      </c>
      <c r="BB2" t="s">
        <v>316</v>
      </c>
      <c r="BC2" t="s">
        <v>317</v>
      </c>
      <c r="BD2" t="s">
        <v>318</v>
      </c>
      <c r="BE2" t="s">
        <v>319</v>
      </c>
      <c r="BF2" t="s">
        <v>320</v>
      </c>
      <c r="BG2" t="s">
        <v>321</v>
      </c>
      <c r="BH2" t="s">
        <v>322</v>
      </c>
      <c r="BI2" t="s">
        <v>323</v>
      </c>
      <c r="BJ2" t="s">
        <v>324</v>
      </c>
      <c r="BK2" t="s">
        <v>325</v>
      </c>
      <c r="BL2" t="s">
        <v>326</v>
      </c>
      <c r="BM2" t="s">
        <v>327</v>
      </c>
      <c r="BN2" t="s">
        <v>328</v>
      </c>
      <c r="BO2" t="s">
        <v>329</v>
      </c>
      <c r="BP2" t="s">
        <v>330</v>
      </c>
      <c r="BQ2" t="s">
        <v>331</v>
      </c>
      <c r="BR2" t="s">
        <v>332</v>
      </c>
      <c r="BS2" t="s">
        <v>333</v>
      </c>
      <c r="BT2" t="s">
        <v>334</v>
      </c>
      <c r="BU2" t="s">
        <v>335</v>
      </c>
      <c r="BV2" t="s">
        <v>336</v>
      </c>
      <c r="BW2" t="s">
        <v>337</v>
      </c>
      <c r="BX2" t="s">
        <v>338</v>
      </c>
      <c r="BY2" t="s">
        <v>339</v>
      </c>
      <c r="BZ2" t="s">
        <v>340</v>
      </c>
      <c r="CA2" t="s">
        <v>341</v>
      </c>
      <c r="CB2" t="s">
        <v>342</v>
      </c>
      <c r="CC2" t="s">
        <v>343</v>
      </c>
      <c r="CD2" t="s">
        <v>344</v>
      </c>
      <c r="CE2" t="s">
        <v>345</v>
      </c>
      <c r="CF2" t="s">
        <v>346</v>
      </c>
      <c r="CG2" t="s">
        <v>347</v>
      </c>
      <c r="CH2" t="s">
        <v>348</v>
      </c>
      <c r="CI2" t="s">
        <v>349</v>
      </c>
      <c r="CJ2" t="s">
        <v>350</v>
      </c>
      <c r="CK2" t="s">
        <v>351</v>
      </c>
      <c r="CL2" t="s">
        <v>352</v>
      </c>
      <c r="CM2" t="s">
        <v>353</v>
      </c>
      <c r="CN2" t="s">
        <v>354</v>
      </c>
      <c r="CO2" t="s">
        <v>355</v>
      </c>
      <c r="CP2" t="s">
        <v>356</v>
      </c>
      <c r="CQ2" t="s">
        <v>357</v>
      </c>
      <c r="CR2" t="s">
        <v>358</v>
      </c>
      <c r="CS2" t="s">
        <v>359</v>
      </c>
      <c r="CT2" t="s">
        <v>360</v>
      </c>
      <c r="CU2" t="s">
        <v>361</v>
      </c>
      <c r="CV2" t="s">
        <v>362</v>
      </c>
      <c r="CW2" t="s">
        <v>363</v>
      </c>
      <c r="CX2" t="s">
        <v>364</v>
      </c>
      <c r="CY2" t="s">
        <v>365</v>
      </c>
      <c r="CZ2" t="s">
        <v>366</v>
      </c>
      <c r="DA2" t="s">
        <v>367</v>
      </c>
      <c r="DB2" t="s">
        <v>368</v>
      </c>
      <c r="DC2" t="s">
        <v>369</v>
      </c>
      <c r="DD2" t="s">
        <v>370</v>
      </c>
      <c r="DE2" t="s">
        <v>371</v>
      </c>
      <c r="DF2" t="s">
        <v>372</v>
      </c>
      <c r="DG2" t="s">
        <v>373</v>
      </c>
      <c r="DH2" t="s">
        <v>374</v>
      </c>
      <c r="DI2" t="s">
        <v>375</v>
      </c>
      <c r="DJ2" t="s">
        <v>376</v>
      </c>
      <c r="DK2" t="s">
        <v>377</v>
      </c>
      <c r="DL2" t="s">
        <v>378</v>
      </c>
      <c r="DM2" t="s">
        <v>379</v>
      </c>
      <c r="DN2" t="s">
        <v>380</v>
      </c>
      <c r="DO2" t="s">
        <v>381</v>
      </c>
      <c r="DP2" t="s">
        <v>382</v>
      </c>
      <c r="DQ2" t="s">
        <v>383</v>
      </c>
      <c r="DR2" t="s">
        <v>384</v>
      </c>
      <c r="DS2" t="s">
        <v>385</v>
      </c>
      <c r="DT2" t="s">
        <v>386</v>
      </c>
      <c r="DU2" t="s">
        <v>387</v>
      </c>
      <c r="DV2" t="s">
        <v>388</v>
      </c>
      <c r="DW2" t="s">
        <v>389</v>
      </c>
      <c r="DX2" t="s">
        <v>390</v>
      </c>
      <c r="DY2" t="s">
        <v>391</v>
      </c>
      <c r="DZ2" t="s">
        <v>392</v>
      </c>
      <c r="EA2" t="s">
        <v>393</v>
      </c>
      <c r="EB2" t="s">
        <v>394</v>
      </c>
      <c r="EC2" t="s">
        <v>395</v>
      </c>
      <c r="ED2" t="s">
        <v>396</v>
      </c>
      <c r="EE2" t="s">
        <v>397</v>
      </c>
      <c r="EF2" t="s">
        <v>398</v>
      </c>
      <c r="EG2" t="s">
        <v>399</v>
      </c>
      <c r="EH2" t="s">
        <v>400</v>
      </c>
      <c r="EI2" t="s">
        <v>401</v>
      </c>
      <c r="EJ2" t="s">
        <v>402</v>
      </c>
      <c r="EK2" t="s">
        <v>403</v>
      </c>
      <c r="EL2" t="s">
        <v>404</v>
      </c>
      <c r="EM2" t="s">
        <v>405</v>
      </c>
      <c r="EN2" t="s">
        <v>406</v>
      </c>
      <c r="EO2" t="s">
        <v>407</v>
      </c>
      <c r="EP2" t="s">
        <v>408</v>
      </c>
      <c r="EQ2" t="s">
        <v>409</v>
      </c>
      <c r="ER2" t="s">
        <v>410</v>
      </c>
      <c r="ES2" t="s">
        <v>411</v>
      </c>
      <c r="ET2" t="s">
        <v>412</v>
      </c>
      <c r="EU2" t="s">
        <v>413</v>
      </c>
      <c r="EV2" t="s">
        <v>414</v>
      </c>
      <c r="EW2" t="s">
        <v>415</v>
      </c>
      <c r="EX2" t="s">
        <v>416</v>
      </c>
      <c r="EY2" t="s">
        <v>417</v>
      </c>
      <c r="EZ2" t="s">
        <v>418</v>
      </c>
      <c r="FA2" t="s">
        <v>419</v>
      </c>
      <c r="FB2" t="s">
        <v>420</v>
      </c>
      <c r="FC2" t="s">
        <v>421</v>
      </c>
      <c r="FD2" t="s">
        <v>422</v>
      </c>
      <c r="FE2" t="s">
        <v>423</v>
      </c>
      <c r="FF2" t="s">
        <v>424</v>
      </c>
      <c r="FG2" t="s">
        <v>425</v>
      </c>
      <c r="FH2" t="s">
        <v>426</v>
      </c>
      <c r="FI2" t="s">
        <v>427</v>
      </c>
      <c r="FJ2" t="s">
        <v>428</v>
      </c>
      <c r="FK2" t="s">
        <v>429</v>
      </c>
      <c r="FL2" t="s">
        <v>430</v>
      </c>
      <c r="FM2" t="s">
        <v>431</v>
      </c>
      <c r="FN2" t="s">
        <v>432</v>
      </c>
      <c r="FO2" t="s">
        <v>433</v>
      </c>
      <c r="FP2" t="s">
        <v>434</v>
      </c>
      <c r="FQ2" t="s">
        <v>435</v>
      </c>
      <c r="FR2" t="s">
        <v>436</v>
      </c>
      <c r="FS2" t="s">
        <v>437</v>
      </c>
      <c r="FT2" t="s">
        <v>438</v>
      </c>
      <c r="FU2" t="s">
        <v>439</v>
      </c>
      <c r="FV2" t="s">
        <v>440</v>
      </c>
      <c r="FW2" t="s">
        <v>441</v>
      </c>
      <c r="FX2" t="s">
        <v>442</v>
      </c>
      <c r="FY2" t="s">
        <v>443</v>
      </c>
      <c r="FZ2" t="s">
        <v>444</v>
      </c>
      <c r="GA2" t="s">
        <v>445</v>
      </c>
      <c r="GB2" t="s">
        <v>446</v>
      </c>
      <c r="GC2" t="s">
        <v>447</v>
      </c>
      <c r="GD2" t="s">
        <v>448</v>
      </c>
      <c r="GE2" t="s">
        <v>449</v>
      </c>
      <c r="GF2" t="s">
        <v>450</v>
      </c>
      <c r="GG2" t="s">
        <v>451</v>
      </c>
      <c r="GH2" t="s">
        <v>452</v>
      </c>
      <c r="GI2" t="s">
        <v>453</v>
      </c>
      <c r="GJ2" t="s">
        <v>454</v>
      </c>
      <c r="GK2" t="s">
        <v>455</v>
      </c>
      <c r="GL2" t="s">
        <v>456</v>
      </c>
      <c r="GM2" t="s">
        <v>457</v>
      </c>
      <c r="GN2" t="s">
        <v>458</v>
      </c>
      <c r="GO2" t="s">
        <v>459</v>
      </c>
      <c r="GP2" t="s">
        <v>460</v>
      </c>
      <c r="GQ2" t="s">
        <v>461</v>
      </c>
      <c r="GR2" t="s">
        <v>462</v>
      </c>
      <c r="GS2" t="s">
        <v>463</v>
      </c>
      <c r="GT2" t="s">
        <v>464</v>
      </c>
      <c r="GU2" t="s">
        <v>465</v>
      </c>
      <c r="GV2" t="s">
        <v>466</v>
      </c>
      <c r="GW2" t="s">
        <v>467</v>
      </c>
      <c r="GX2" t="s">
        <v>468</v>
      </c>
      <c r="GY2" t="s">
        <v>469</v>
      </c>
      <c r="GZ2" t="s">
        <v>470</v>
      </c>
      <c r="HA2" t="s">
        <v>471</v>
      </c>
      <c r="HB2" t="s">
        <v>472</v>
      </c>
      <c r="HC2" t="s">
        <v>473</v>
      </c>
      <c r="HD2" t="s">
        <v>474</v>
      </c>
      <c r="HE2" t="s">
        <v>475</v>
      </c>
      <c r="HF2" t="s">
        <v>476</v>
      </c>
      <c r="HG2" t="s">
        <v>477</v>
      </c>
      <c r="HH2" t="s">
        <v>478</v>
      </c>
      <c r="HI2" t="s">
        <v>479</v>
      </c>
      <c r="HJ2" t="s">
        <v>480</v>
      </c>
      <c r="HK2" t="s">
        <v>481</v>
      </c>
      <c r="HL2" t="s">
        <v>482</v>
      </c>
      <c r="HM2" t="s">
        <v>483</v>
      </c>
      <c r="HN2" t="s">
        <v>484</v>
      </c>
      <c r="HO2" t="s">
        <v>485</v>
      </c>
      <c r="HP2" t="s">
        <v>486</v>
      </c>
      <c r="HQ2" t="s">
        <v>487</v>
      </c>
      <c r="HR2" t="s">
        <v>488</v>
      </c>
      <c r="HS2" t="s">
        <v>489</v>
      </c>
      <c r="HT2" t="s">
        <v>490</v>
      </c>
      <c r="HU2" t="s">
        <v>491</v>
      </c>
      <c r="HV2" t="s">
        <v>492</v>
      </c>
      <c r="HW2" t="s">
        <v>493</v>
      </c>
      <c r="HX2" t="s">
        <v>494</v>
      </c>
      <c r="HY2" t="s">
        <v>495</v>
      </c>
      <c r="HZ2" t="s">
        <v>496</v>
      </c>
      <c r="IA2" t="s">
        <v>497</v>
      </c>
      <c r="IB2" t="s">
        <v>498</v>
      </c>
      <c r="IC2" t="s">
        <v>499</v>
      </c>
      <c r="ID2" t="s">
        <v>500</v>
      </c>
      <c r="IE2" t="s">
        <v>501</v>
      </c>
      <c r="IF2" t="s">
        <v>502</v>
      </c>
      <c r="IG2" t="s">
        <v>503</v>
      </c>
      <c r="IH2" t="s">
        <v>504</v>
      </c>
      <c r="II2" t="s">
        <v>505</v>
      </c>
      <c r="IJ2" t="s">
        <v>506</v>
      </c>
      <c r="IK2" t="s">
        <v>507</v>
      </c>
      <c r="IL2" t="s">
        <v>508</v>
      </c>
      <c r="IM2" t="s">
        <v>509</v>
      </c>
      <c r="IN2" t="s">
        <v>510</v>
      </c>
      <c r="IO2" t="s">
        <v>511</v>
      </c>
      <c r="IP2" t="s">
        <v>512</v>
      </c>
      <c r="IQ2" t="s">
        <v>513</v>
      </c>
      <c r="IR2" t="s">
        <v>514</v>
      </c>
      <c r="IS2" t="s">
        <v>515</v>
      </c>
      <c r="IT2" t="s">
        <v>516</v>
      </c>
      <c r="IU2" t="s">
        <v>517</v>
      </c>
      <c r="IV2" t="s">
        <v>518</v>
      </c>
      <c r="IW2" t="s">
        <v>519</v>
      </c>
      <c r="IX2" t="s">
        <v>520</v>
      </c>
      <c r="IY2" t="s">
        <v>521</v>
      </c>
      <c r="IZ2" t="s">
        <v>522</v>
      </c>
      <c r="JA2" t="s">
        <v>523</v>
      </c>
      <c r="JB2" t="s">
        <v>524</v>
      </c>
      <c r="JC2" t="s">
        <v>525</v>
      </c>
      <c r="JD2" t="s">
        <v>526</v>
      </c>
      <c r="JE2" t="s">
        <v>527</v>
      </c>
      <c r="JF2" t="s">
        <v>528</v>
      </c>
      <c r="JG2" t="s">
        <v>529</v>
      </c>
      <c r="JH2" t="s">
        <v>530</v>
      </c>
      <c r="JI2" t="s">
        <v>531</v>
      </c>
      <c r="JJ2" t="s">
        <v>532</v>
      </c>
      <c r="JK2" t="s">
        <v>533</v>
      </c>
      <c r="JL2" t="s">
        <v>534</v>
      </c>
      <c r="JM2" t="s">
        <v>535</v>
      </c>
      <c r="JN2" t="s">
        <v>536</v>
      </c>
      <c r="JO2" t="s">
        <v>537</v>
      </c>
      <c r="JP2" t="s">
        <v>538</v>
      </c>
      <c r="JQ2" t="s">
        <v>539</v>
      </c>
      <c r="JR2" t="s">
        <v>540</v>
      </c>
      <c r="JS2" t="s">
        <v>541</v>
      </c>
      <c r="JT2" t="s">
        <v>542</v>
      </c>
      <c r="JU2" t="s">
        <v>543</v>
      </c>
      <c r="JV2" t="s">
        <v>544</v>
      </c>
      <c r="JW2" t="s">
        <v>545</v>
      </c>
      <c r="JX2" t="s">
        <v>546</v>
      </c>
      <c r="JY2" t="s">
        <v>547</v>
      </c>
      <c r="JZ2" t="s">
        <v>548</v>
      </c>
      <c r="KA2" t="s">
        <v>549</v>
      </c>
      <c r="KB2" t="s">
        <v>550</v>
      </c>
      <c r="KC2" t="s">
        <v>551</v>
      </c>
      <c r="KD2" t="s">
        <v>552</v>
      </c>
      <c r="KE2" t="s">
        <v>553</v>
      </c>
      <c r="KF2" t="s">
        <v>554</v>
      </c>
      <c r="KG2" t="s">
        <v>555</v>
      </c>
      <c r="KH2" t="s">
        <v>556</v>
      </c>
      <c r="KI2" t="s">
        <v>557</v>
      </c>
      <c r="KJ2" t="s">
        <v>558</v>
      </c>
      <c r="KK2" t="s">
        <v>559</v>
      </c>
      <c r="KL2" t="s">
        <v>560</v>
      </c>
      <c r="KM2" t="s">
        <v>561</v>
      </c>
      <c r="KN2" t="s">
        <v>562</v>
      </c>
      <c r="KO2" t="s">
        <v>563</v>
      </c>
      <c r="KP2" t="s">
        <v>564</v>
      </c>
      <c r="KQ2" t="s">
        <v>565</v>
      </c>
      <c r="KR2" t="s">
        <v>566</v>
      </c>
      <c r="KS2" t="s">
        <v>567</v>
      </c>
      <c r="KT2" t="s">
        <v>568</v>
      </c>
      <c r="KU2" t="s">
        <v>569</v>
      </c>
      <c r="KV2" t="s">
        <v>570</v>
      </c>
      <c r="KW2" t="s">
        <v>571</v>
      </c>
      <c r="KX2" t="s">
        <v>572</v>
      </c>
      <c r="KY2" t="s">
        <v>573</v>
      </c>
      <c r="KZ2" t="s">
        <v>574</v>
      </c>
      <c r="LA2" t="s">
        <v>575</v>
      </c>
      <c r="LB2" t="s">
        <v>576</v>
      </c>
      <c r="LC2" t="s">
        <v>577</v>
      </c>
      <c r="LD2" t="s">
        <v>578</v>
      </c>
      <c r="LE2" t="s">
        <v>579</v>
      </c>
      <c r="LF2" t="s">
        <v>580</v>
      </c>
      <c r="LG2" t="s">
        <v>581</v>
      </c>
      <c r="LH2" t="s">
        <v>582</v>
      </c>
      <c r="LI2" t="s">
        <v>583</v>
      </c>
      <c r="LJ2" t="s">
        <v>584</v>
      </c>
      <c r="LK2" t="s">
        <v>585</v>
      </c>
      <c r="LL2" t="s">
        <v>586</v>
      </c>
      <c r="LM2" t="s">
        <v>587</v>
      </c>
      <c r="LN2" t="s">
        <v>588</v>
      </c>
      <c r="LO2" t="s">
        <v>589</v>
      </c>
      <c r="LP2" t="s">
        <v>590</v>
      </c>
      <c r="LQ2" t="s">
        <v>591</v>
      </c>
      <c r="LR2" t="s">
        <v>592</v>
      </c>
      <c r="LS2" t="s">
        <v>593</v>
      </c>
      <c r="LT2" t="s">
        <v>594</v>
      </c>
      <c r="LU2" t="s">
        <v>595</v>
      </c>
      <c r="LV2" t="s">
        <v>596</v>
      </c>
      <c r="LW2" t="s">
        <v>597</v>
      </c>
      <c r="LX2" t="s">
        <v>598</v>
      </c>
      <c r="LY2" t="s">
        <v>599</v>
      </c>
      <c r="LZ2" t="s">
        <v>600</v>
      </c>
      <c r="MA2" t="s">
        <v>601</v>
      </c>
      <c r="MB2" t="s">
        <v>602</v>
      </c>
      <c r="MC2" t="s">
        <v>603</v>
      </c>
      <c r="MD2" t="s">
        <v>604</v>
      </c>
      <c r="ME2" t="s">
        <v>605</v>
      </c>
      <c r="MF2" t="s">
        <v>606</v>
      </c>
      <c r="MG2" t="s">
        <v>607</v>
      </c>
      <c r="MH2" t="s">
        <v>608</v>
      </c>
      <c r="MI2" t="s">
        <v>609</v>
      </c>
      <c r="MJ2" t="s">
        <v>610</v>
      </c>
      <c r="MK2" t="s">
        <v>611</v>
      </c>
      <c r="ML2" t="s">
        <v>612</v>
      </c>
      <c r="MM2" t="s">
        <v>613</v>
      </c>
      <c r="MN2" t="s">
        <v>614</v>
      </c>
      <c r="MO2" t="s">
        <v>615</v>
      </c>
      <c r="MP2" t="s">
        <v>616</v>
      </c>
      <c r="MQ2" t="s">
        <v>617</v>
      </c>
      <c r="MR2" t="s">
        <v>618</v>
      </c>
      <c r="MS2" t="s">
        <v>619</v>
      </c>
      <c r="MT2" t="s">
        <v>620</v>
      </c>
      <c r="MU2" t="s">
        <v>621</v>
      </c>
      <c r="MV2" t="s">
        <v>622</v>
      </c>
      <c r="MW2" t="s">
        <v>623</v>
      </c>
      <c r="MX2" t="s">
        <v>624</v>
      </c>
      <c r="MY2" t="s">
        <v>625</v>
      </c>
      <c r="MZ2" t="s">
        <v>626</v>
      </c>
      <c r="NA2" t="s">
        <v>627</v>
      </c>
      <c r="NB2" t="s">
        <v>628</v>
      </c>
      <c r="NC2" t="s">
        <v>629</v>
      </c>
      <c r="ND2" t="s">
        <v>630</v>
      </c>
      <c r="NE2" t="s">
        <v>631</v>
      </c>
      <c r="NF2" t="s">
        <v>632</v>
      </c>
      <c r="NG2" t="s">
        <v>633</v>
      </c>
      <c r="NH2" t="s">
        <v>634</v>
      </c>
      <c r="NI2" t="s">
        <v>635</v>
      </c>
      <c r="NJ2" t="s">
        <v>636</v>
      </c>
      <c r="NK2" t="s">
        <v>637</v>
      </c>
      <c r="NL2" t="s">
        <v>638</v>
      </c>
      <c r="NM2" t="s">
        <v>639</v>
      </c>
      <c r="NN2" t="s">
        <v>640</v>
      </c>
      <c r="NO2" t="s">
        <v>641</v>
      </c>
      <c r="NP2" t="s">
        <v>642</v>
      </c>
      <c r="NQ2" t="s">
        <v>643</v>
      </c>
      <c r="NR2" t="s">
        <v>644</v>
      </c>
      <c r="NS2" t="s">
        <v>645</v>
      </c>
      <c r="NT2" t="s">
        <v>646</v>
      </c>
      <c r="NU2" t="s">
        <v>647</v>
      </c>
      <c r="NV2" t="s">
        <v>648</v>
      </c>
      <c r="NW2" t="s">
        <v>649</v>
      </c>
      <c r="NX2" t="s">
        <v>650</v>
      </c>
      <c r="NY2" t="s">
        <v>651</v>
      </c>
      <c r="NZ2" t="s">
        <v>652</v>
      </c>
      <c r="OA2" t="s">
        <v>653</v>
      </c>
      <c r="OB2" t="s">
        <v>654</v>
      </c>
      <c r="OC2" t="s">
        <v>655</v>
      </c>
      <c r="OD2" t="s">
        <v>656</v>
      </c>
      <c r="OE2" t="s">
        <v>657</v>
      </c>
      <c r="OF2" t="s">
        <v>658</v>
      </c>
      <c r="OG2" t="s">
        <v>659</v>
      </c>
      <c r="OH2" t="s">
        <v>660</v>
      </c>
      <c r="OI2" t="s">
        <v>661</v>
      </c>
      <c r="OJ2" t="s">
        <v>662</v>
      </c>
      <c r="OK2" t="s">
        <v>663</v>
      </c>
      <c r="OL2" t="s">
        <v>664</v>
      </c>
      <c r="OM2" t="s">
        <v>665</v>
      </c>
      <c r="ON2" t="s">
        <v>666</v>
      </c>
      <c r="OO2" t="s">
        <v>667</v>
      </c>
      <c r="OP2" t="s">
        <v>668</v>
      </c>
      <c r="OQ2" t="s">
        <v>669</v>
      </c>
      <c r="OR2" t="s">
        <v>670</v>
      </c>
      <c r="OS2" t="s">
        <v>671</v>
      </c>
      <c r="OT2" t="s">
        <v>672</v>
      </c>
      <c r="OU2" t="s">
        <v>673</v>
      </c>
      <c r="OV2" t="s">
        <v>674</v>
      </c>
      <c r="OW2" t="s">
        <v>675</v>
      </c>
      <c r="OX2" t="s">
        <v>676</v>
      </c>
      <c r="OY2" t="s">
        <v>677</v>
      </c>
      <c r="OZ2" t="s">
        <v>678</v>
      </c>
      <c r="PA2" t="s">
        <v>679</v>
      </c>
      <c r="PB2" t="s">
        <v>680</v>
      </c>
      <c r="PC2" t="s">
        <v>681</v>
      </c>
      <c r="PD2" t="s">
        <v>682</v>
      </c>
      <c r="PE2" t="s">
        <v>683</v>
      </c>
      <c r="PF2" t="s">
        <v>684</v>
      </c>
      <c r="PG2" t="s">
        <v>685</v>
      </c>
      <c r="PH2" t="s">
        <v>686</v>
      </c>
      <c r="PI2" t="s">
        <v>687</v>
      </c>
      <c r="PJ2" t="s">
        <v>688</v>
      </c>
      <c r="PK2" t="s">
        <v>689</v>
      </c>
      <c r="PL2" t="s">
        <v>690</v>
      </c>
      <c r="PM2" t="s">
        <v>691</v>
      </c>
      <c r="PN2" t="s">
        <v>692</v>
      </c>
      <c r="PO2" t="s">
        <v>693</v>
      </c>
      <c r="PP2" t="s">
        <v>694</v>
      </c>
      <c r="PQ2" t="s">
        <v>695</v>
      </c>
      <c r="PR2" t="s">
        <v>696</v>
      </c>
      <c r="PS2" t="s">
        <v>697</v>
      </c>
      <c r="PT2" t="s">
        <v>698</v>
      </c>
      <c r="PU2" t="s">
        <v>699</v>
      </c>
      <c r="PV2" t="s">
        <v>700</v>
      </c>
      <c r="PW2" t="s">
        <v>701</v>
      </c>
      <c r="PX2" t="s">
        <v>702</v>
      </c>
      <c r="PY2" t="s">
        <v>703</v>
      </c>
      <c r="PZ2" t="s">
        <v>704</v>
      </c>
      <c r="QA2" t="s">
        <v>705</v>
      </c>
      <c r="QB2" t="s">
        <v>706</v>
      </c>
      <c r="QC2" t="s">
        <v>707</v>
      </c>
      <c r="QD2" t="s">
        <v>708</v>
      </c>
      <c r="QE2" t="s">
        <v>709</v>
      </c>
      <c r="QF2" t="s">
        <v>710</v>
      </c>
      <c r="QG2" t="s">
        <v>711</v>
      </c>
      <c r="QH2" t="s">
        <v>712</v>
      </c>
      <c r="QI2" t="s">
        <v>713</v>
      </c>
      <c r="QJ2" t="s">
        <v>714</v>
      </c>
      <c r="QK2" t="s">
        <v>715</v>
      </c>
      <c r="QL2" t="s">
        <v>716</v>
      </c>
      <c r="QM2" t="s">
        <v>717</v>
      </c>
      <c r="QN2" t="s">
        <v>718</v>
      </c>
      <c r="QO2" t="s">
        <v>719</v>
      </c>
      <c r="QP2" t="s">
        <v>720</v>
      </c>
      <c r="QQ2" t="s">
        <v>721</v>
      </c>
      <c r="QR2" t="s">
        <v>722</v>
      </c>
      <c r="QS2" t="s">
        <v>723</v>
      </c>
      <c r="QT2" t="s">
        <v>724</v>
      </c>
      <c r="QU2" t="s">
        <v>725</v>
      </c>
      <c r="QV2" t="s">
        <v>726</v>
      </c>
      <c r="QW2" t="s">
        <v>727</v>
      </c>
      <c r="QX2" t="s">
        <v>728</v>
      </c>
      <c r="QY2" t="s">
        <v>729</v>
      </c>
      <c r="QZ2" t="s">
        <v>730</v>
      </c>
      <c r="RA2" t="s">
        <v>731</v>
      </c>
      <c r="RB2" t="s">
        <v>732</v>
      </c>
      <c r="RC2" t="s">
        <v>733</v>
      </c>
      <c r="RD2" t="s">
        <v>734</v>
      </c>
      <c r="RE2" t="s">
        <v>735</v>
      </c>
      <c r="RF2" t="s">
        <v>736</v>
      </c>
      <c r="RG2" t="s">
        <v>737</v>
      </c>
      <c r="RH2" t="s">
        <v>738</v>
      </c>
      <c r="RI2" t="s">
        <v>739</v>
      </c>
      <c r="RJ2" t="s">
        <v>740</v>
      </c>
      <c r="RK2" t="s">
        <v>741</v>
      </c>
      <c r="RL2" t="s">
        <v>742</v>
      </c>
      <c r="RM2" t="s">
        <v>743</v>
      </c>
      <c r="RN2" t="s">
        <v>744</v>
      </c>
      <c r="RO2" t="s">
        <v>745</v>
      </c>
      <c r="RP2" t="s">
        <v>746</v>
      </c>
      <c r="RQ2" t="s">
        <v>747</v>
      </c>
      <c r="RR2" t="s">
        <v>748</v>
      </c>
      <c r="RS2" t="s">
        <v>749</v>
      </c>
      <c r="RT2" t="s">
        <v>750</v>
      </c>
      <c r="RU2" t="s">
        <v>751</v>
      </c>
      <c r="RV2" t="s">
        <v>752</v>
      </c>
      <c r="RW2" t="s">
        <v>753</v>
      </c>
      <c r="RX2" t="s">
        <v>754</v>
      </c>
      <c r="RY2" t="s">
        <v>755</v>
      </c>
      <c r="RZ2" t="s">
        <v>756</v>
      </c>
      <c r="SA2" t="s">
        <v>757</v>
      </c>
      <c r="SB2" t="s">
        <v>758</v>
      </c>
      <c r="SC2" t="s">
        <v>759</v>
      </c>
      <c r="SD2" t="s">
        <v>760</v>
      </c>
      <c r="SE2" t="s">
        <v>761</v>
      </c>
      <c r="SF2" t="s">
        <v>762</v>
      </c>
      <c r="SG2" t="s">
        <v>763</v>
      </c>
      <c r="SH2" t="s">
        <v>764</v>
      </c>
      <c r="SI2" t="s">
        <v>765</v>
      </c>
      <c r="SJ2" t="s">
        <v>766</v>
      </c>
      <c r="SK2" t="s">
        <v>767</v>
      </c>
      <c r="SL2" t="s">
        <v>768</v>
      </c>
      <c r="SM2" t="s">
        <v>769</v>
      </c>
      <c r="SN2" t="s">
        <v>770</v>
      </c>
      <c r="SO2" t="s">
        <v>771</v>
      </c>
      <c r="SP2" t="s">
        <v>772</v>
      </c>
      <c r="SQ2" t="s">
        <v>773</v>
      </c>
      <c r="SR2" t="s">
        <v>774</v>
      </c>
      <c r="SS2" t="s">
        <v>775</v>
      </c>
      <c r="ST2" t="s">
        <v>776</v>
      </c>
      <c r="SU2" t="s">
        <v>777</v>
      </c>
      <c r="SV2" t="s">
        <v>778</v>
      </c>
      <c r="SW2" t="s">
        <v>779</v>
      </c>
      <c r="SX2" t="s">
        <v>780</v>
      </c>
      <c r="SY2" t="s">
        <v>781</v>
      </c>
      <c r="SZ2" t="s">
        <v>782</v>
      </c>
      <c r="TA2" t="s">
        <v>783</v>
      </c>
      <c r="TB2" t="s">
        <v>784</v>
      </c>
      <c r="TC2" t="s">
        <v>785</v>
      </c>
      <c r="TD2" t="s">
        <v>786</v>
      </c>
      <c r="TE2" t="s">
        <v>787</v>
      </c>
      <c r="TF2" t="s">
        <v>788</v>
      </c>
      <c r="TG2" t="s">
        <v>789</v>
      </c>
      <c r="TH2" t="s">
        <v>790</v>
      </c>
      <c r="TI2" t="s">
        <v>791</v>
      </c>
      <c r="TJ2" t="s">
        <v>792</v>
      </c>
      <c r="TK2" t="s">
        <v>793</v>
      </c>
      <c r="TL2" t="s">
        <v>794</v>
      </c>
      <c r="TM2" t="s">
        <v>795</v>
      </c>
      <c r="TN2" t="s">
        <v>796</v>
      </c>
      <c r="TO2" t="s">
        <v>797</v>
      </c>
      <c r="TP2" t="s">
        <v>798</v>
      </c>
      <c r="TQ2" t="s">
        <v>799</v>
      </c>
      <c r="TR2" t="s">
        <v>800</v>
      </c>
      <c r="TS2" t="s">
        <v>801</v>
      </c>
      <c r="TT2" t="s">
        <v>802</v>
      </c>
      <c r="TU2" t="s">
        <v>803</v>
      </c>
      <c r="TV2" t="s">
        <v>804</v>
      </c>
      <c r="TW2" t="s">
        <v>805</v>
      </c>
      <c r="TX2" t="s">
        <v>806</v>
      </c>
      <c r="TY2" t="s">
        <v>807</v>
      </c>
      <c r="TZ2" t="s">
        <v>808</v>
      </c>
      <c r="UA2" t="s">
        <v>809</v>
      </c>
      <c r="UB2" t="s">
        <v>810</v>
      </c>
      <c r="UC2" t="s">
        <v>811</v>
      </c>
      <c r="UD2" t="s">
        <v>812</v>
      </c>
      <c r="UE2" t="s">
        <v>813</v>
      </c>
      <c r="UF2" t="s">
        <v>814</v>
      </c>
      <c r="UG2" t="s">
        <v>815</v>
      </c>
      <c r="UH2" t="s">
        <v>816</v>
      </c>
      <c r="UI2" t="s">
        <v>817</v>
      </c>
      <c r="UJ2" t="s">
        <v>818</v>
      </c>
      <c r="UK2" t="s">
        <v>819</v>
      </c>
      <c r="UL2" t="s">
        <v>820</v>
      </c>
      <c r="UM2" t="s">
        <v>821</v>
      </c>
      <c r="UN2" t="s">
        <v>822</v>
      </c>
      <c r="UO2" t="s">
        <v>823</v>
      </c>
      <c r="UP2" t="s">
        <v>824</v>
      </c>
      <c r="UQ2" t="s">
        <v>825</v>
      </c>
      <c r="UR2" t="s">
        <v>826</v>
      </c>
      <c r="US2" t="s">
        <v>827</v>
      </c>
      <c r="UT2" t="s">
        <v>828</v>
      </c>
      <c r="UU2" t="s">
        <v>829</v>
      </c>
      <c r="UV2" t="s">
        <v>830</v>
      </c>
      <c r="UW2" t="s">
        <v>831</v>
      </c>
      <c r="UX2" t="s">
        <v>832</v>
      </c>
      <c r="UY2" t="s">
        <v>833</v>
      </c>
      <c r="UZ2" t="s">
        <v>834</v>
      </c>
      <c r="VA2" t="s">
        <v>835</v>
      </c>
      <c r="VB2" t="s">
        <v>836</v>
      </c>
      <c r="VC2" t="s">
        <v>837</v>
      </c>
      <c r="VD2" t="s">
        <v>838</v>
      </c>
      <c r="VE2" t="s">
        <v>839</v>
      </c>
      <c r="VF2" t="s">
        <v>840</v>
      </c>
      <c r="VG2" t="s">
        <v>841</v>
      </c>
      <c r="VH2" t="s">
        <v>842</v>
      </c>
      <c r="VI2" t="s">
        <v>843</v>
      </c>
      <c r="VJ2" t="s">
        <v>844</v>
      </c>
      <c r="VK2" t="s">
        <v>845</v>
      </c>
      <c r="VL2" t="s">
        <v>846</v>
      </c>
      <c r="VM2" t="s">
        <v>847</v>
      </c>
      <c r="VN2" t="s">
        <v>848</v>
      </c>
      <c r="VO2" t="s">
        <v>849</v>
      </c>
      <c r="VP2" t="s">
        <v>850</v>
      </c>
      <c r="VQ2" t="s">
        <v>851</v>
      </c>
      <c r="VR2" t="s">
        <v>852</v>
      </c>
      <c r="VS2" t="s">
        <v>853</v>
      </c>
      <c r="VT2" t="s">
        <v>854</v>
      </c>
      <c r="VU2" t="s">
        <v>855</v>
      </c>
      <c r="VV2" t="s">
        <v>856</v>
      </c>
      <c r="VW2" t="s">
        <v>857</v>
      </c>
      <c r="VX2" t="s">
        <v>858</v>
      </c>
      <c r="VY2" t="s">
        <v>859</v>
      </c>
      <c r="VZ2" t="s">
        <v>860</v>
      </c>
      <c r="WA2" t="s">
        <v>861</v>
      </c>
      <c r="WB2" t="s">
        <v>862</v>
      </c>
      <c r="WC2" t="s">
        <v>863</v>
      </c>
      <c r="WD2" t="s">
        <v>864</v>
      </c>
      <c r="WE2" t="s">
        <v>865</v>
      </c>
      <c r="WF2" t="s">
        <v>866</v>
      </c>
      <c r="WG2" t="s">
        <v>867</v>
      </c>
      <c r="WH2" t="s">
        <v>868</v>
      </c>
      <c r="WI2" t="s">
        <v>869</v>
      </c>
      <c r="WJ2" t="s">
        <v>870</v>
      </c>
      <c r="WK2" t="s">
        <v>871</v>
      </c>
      <c r="WL2" t="s">
        <v>872</v>
      </c>
      <c r="WM2" t="s">
        <v>873</v>
      </c>
      <c r="WN2" t="s">
        <v>874</v>
      </c>
      <c r="WO2" t="s">
        <v>875</v>
      </c>
      <c r="WP2" t="s">
        <v>876</v>
      </c>
      <c r="WQ2" t="s">
        <v>877</v>
      </c>
      <c r="WR2" t="s">
        <v>878</v>
      </c>
      <c r="WS2" t="s">
        <v>879</v>
      </c>
      <c r="WT2" t="s">
        <v>880</v>
      </c>
      <c r="WU2" t="s">
        <v>881</v>
      </c>
      <c r="WV2" t="s">
        <v>882</v>
      </c>
      <c r="WW2" t="s">
        <v>883</v>
      </c>
      <c r="WX2" t="s">
        <v>884</v>
      </c>
      <c r="WY2" t="s">
        <v>885</v>
      </c>
      <c r="WZ2" t="s">
        <v>886</v>
      </c>
      <c r="XA2" t="s">
        <v>887</v>
      </c>
      <c r="XB2" t="s">
        <v>1105</v>
      </c>
      <c r="XC2" t="s">
        <v>1106</v>
      </c>
      <c r="XD2" t="s">
        <v>1107</v>
      </c>
      <c r="XE2" t="s">
        <v>1108</v>
      </c>
      <c r="XF2" t="s">
        <v>1109</v>
      </c>
      <c r="XG2" t="s">
        <v>1110</v>
      </c>
      <c r="XH2" t="s">
        <v>1111</v>
      </c>
      <c r="XI2" t="s">
        <v>1112</v>
      </c>
      <c r="XJ2" t="s">
        <v>1113</v>
      </c>
      <c r="XK2" t="s">
        <v>1114</v>
      </c>
      <c r="XL2" t="s">
        <v>1115</v>
      </c>
      <c r="XM2" t="s">
        <v>1116</v>
      </c>
      <c r="XN2" t="s">
        <v>888</v>
      </c>
      <c r="XO2" t="s">
        <v>889</v>
      </c>
      <c r="XP2" t="s">
        <v>890</v>
      </c>
      <c r="XQ2" t="s">
        <v>891</v>
      </c>
      <c r="XR2" t="s">
        <v>892</v>
      </c>
      <c r="XS2" t="s">
        <v>893</v>
      </c>
      <c r="XT2" t="s">
        <v>894</v>
      </c>
      <c r="XU2" t="s">
        <v>895</v>
      </c>
      <c r="XV2" t="s">
        <v>896</v>
      </c>
      <c r="XW2" t="s">
        <v>897</v>
      </c>
      <c r="XX2" t="s">
        <v>898</v>
      </c>
      <c r="XY2" t="s">
        <v>899</v>
      </c>
      <c r="XZ2" t="s">
        <v>900</v>
      </c>
      <c r="YA2" t="s">
        <v>901</v>
      </c>
      <c r="YB2" t="s">
        <v>902</v>
      </c>
      <c r="YC2" t="s">
        <v>903</v>
      </c>
      <c r="YD2" t="s">
        <v>904</v>
      </c>
      <c r="YE2" t="s">
        <v>905</v>
      </c>
      <c r="YF2" t="s">
        <v>906</v>
      </c>
      <c r="YG2" t="s">
        <v>907</v>
      </c>
      <c r="YH2" t="s">
        <v>908</v>
      </c>
      <c r="YI2" t="s">
        <v>909</v>
      </c>
      <c r="YJ2" t="s">
        <v>910</v>
      </c>
      <c r="YK2" t="s">
        <v>911</v>
      </c>
      <c r="YL2" t="s">
        <v>912</v>
      </c>
      <c r="YM2" t="s">
        <v>913</v>
      </c>
      <c r="YN2" t="s">
        <v>914</v>
      </c>
      <c r="YO2" t="s">
        <v>915</v>
      </c>
      <c r="YP2" t="s">
        <v>916</v>
      </c>
      <c r="YQ2" t="s">
        <v>917</v>
      </c>
      <c r="YR2" t="s">
        <v>918</v>
      </c>
      <c r="YS2" t="s">
        <v>919</v>
      </c>
      <c r="YT2" t="s">
        <v>920</v>
      </c>
      <c r="YU2" t="s">
        <v>921</v>
      </c>
      <c r="YV2" t="s">
        <v>922</v>
      </c>
      <c r="YW2" t="s">
        <v>923</v>
      </c>
      <c r="YX2" t="s">
        <v>924</v>
      </c>
      <c r="YY2" t="s">
        <v>925</v>
      </c>
      <c r="YZ2" t="s">
        <v>926</v>
      </c>
      <c r="ZA2" t="s">
        <v>927</v>
      </c>
      <c r="ZB2" t="s">
        <v>928</v>
      </c>
      <c r="ZC2" t="s">
        <v>929</v>
      </c>
      <c r="ZD2" t="s">
        <v>930</v>
      </c>
      <c r="ZE2" t="s">
        <v>931</v>
      </c>
      <c r="ZF2" t="s">
        <v>932</v>
      </c>
      <c r="ZG2" t="s">
        <v>933</v>
      </c>
      <c r="ZH2" t="s">
        <v>934</v>
      </c>
      <c r="ZI2" t="s">
        <v>935</v>
      </c>
      <c r="ZJ2" t="s">
        <v>936</v>
      </c>
      <c r="ZK2" t="s">
        <v>937</v>
      </c>
      <c r="ZL2" t="s">
        <v>938</v>
      </c>
      <c r="ZM2" t="s">
        <v>939</v>
      </c>
      <c r="ZN2" t="s">
        <v>940</v>
      </c>
      <c r="ZO2" t="s">
        <v>941</v>
      </c>
      <c r="ZP2" t="s">
        <v>942</v>
      </c>
      <c r="ZQ2" t="s">
        <v>943</v>
      </c>
      <c r="ZR2" t="s">
        <v>944</v>
      </c>
      <c r="ZS2" t="s">
        <v>945</v>
      </c>
      <c r="ZT2" t="s">
        <v>946</v>
      </c>
      <c r="ZU2" t="s">
        <v>947</v>
      </c>
      <c r="ZV2" t="s">
        <v>948</v>
      </c>
      <c r="ZW2" t="s">
        <v>949</v>
      </c>
      <c r="ZX2" t="s">
        <v>950</v>
      </c>
      <c r="ZY2" t="s">
        <v>951</v>
      </c>
      <c r="ZZ2" t="s">
        <v>952</v>
      </c>
      <c r="AAA2" t="s">
        <v>953</v>
      </c>
      <c r="AAB2" t="s">
        <v>954</v>
      </c>
      <c r="AAC2" t="s">
        <v>955</v>
      </c>
      <c r="AAD2" t="s">
        <v>956</v>
      </c>
      <c r="AAE2" t="s">
        <v>957</v>
      </c>
      <c r="AAF2" t="s">
        <v>958</v>
      </c>
      <c r="AAG2" t="s">
        <v>959</v>
      </c>
      <c r="AAH2" t="s">
        <v>960</v>
      </c>
      <c r="AAI2" t="s">
        <v>961</v>
      </c>
      <c r="AAJ2" t="s">
        <v>962</v>
      </c>
      <c r="AAK2" t="s">
        <v>963</v>
      </c>
      <c r="AAL2" t="s">
        <v>964</v>
      </c>
      <c r="AAM2" t="s">
        <v>965</v>
      </c>
      <c r="AAN2" t="s">
        <v>966</v>
      </c>
      <c r="AAO2" t="s">
        <v>967</v>
      </c>
      <c r="AAP2" t="s">
        <v>968</v>
      </c>
      <c r="AAQ2" t="s">
        <v>969</v>
      </c>
      <c r="AAR2" t="s">
        <v>970</v>
      </c>
      <c r="AAS2" t="s">
        <v>971</v>
      </c>
      <c r="AAT2" t="s">
        <v>972</v>
      </c>
      <c r="AAU2" t="s">
        <v>973</v>
      </c>
      <c r="AAV2" t="s">
        <v>974</v>
      </c>
      <c r="AAW2" t="s">
        <v>975</v>
      </c>
      <c r="AAX2" t="s">
        <v>976</v>
      </c>
      <c r="AAY2" t="s">
        <v>977</v>
      </c>
      <c r="AAZ2" t="s">
        <v>978</v>
      </c>
      <c r="ABA2" t="s">
        <v>979</v>
      </c>
      <c r="ABB2" t="s">
        <v>980</v>
      </c>
      <c r="ABC2" t="s">
        <v>981</v>
      </c>
      <c r="ABD2" t="s">
        <v>982</v>
      </c>
      <c r="ABE2" t="s">
        <v>983</v>
      </c>
      <c r="ABF2" t="s">
        <v>984</v>
      </c>
      <c r="ABG2" t="s">
        <v>985</v>
      </c>
      <c r="ABH2" t="s">
        <v>986</v>
      </c>
      <c r="ABI2" t="s">
        <v>987</v>
      </c>
      <c r="ABJ2" t="s">
        <v>988</v>
      </c>
      <c r="ABK2" t="s">
        <v>989</v>
      </c>
      <c r="ABL2" t="s">
        <v>990</v>
      </c>
      <c r="ABM2" t="s">
        <v>991</v>
      </c>
      <c r="ABN2" t="s">
        <v>992</v>
      </c>
      <c r="ABO2" t="s">
        <v>993</v>
      </c>
      <c r="ABP2" t="s">
        <v>994</v>
      </c>
      <c r="ABQ2" t="s">
        <v>995</v>
      </c>
      <c r="ABR2" t="s">
        <v>996</v>
      </c>
      <c r="ABS2" t="s">
        <v>997</v>
      </c>
      <c r="ABT2" t="s">
        <v>998</v>
      </c>
      <c r="ABU2" t="s">
        <v>999</v>
      </c>
      <c r="ABV2" t="s">
        <v>1000</v>
      </c>
      <c r="ABW2" t="s">
        <v>1001</v>
      </c>
      <c r="ABX2" t="s">
        <v>1002</v>
      </c>
      <c r="ABY2" t="s">
        <v>1003</v>
      </c>
      <c r="ABZ2" t="s">
        <v>1004</v>
      </c>
      <c r="ACA2" t="s">
        <v>1005</v>
      </c>
      <c r="ACB2" t="s">
        <v>1006</v>
      </c>
      <c r="ACC2" t="s">
        <v>1007</v>
      </c>
      <c r="ACD2" t="s">
        <v>1008</v>
      </c>
      <c r="ACE2" t="s">
        <v>1009</v>
      </c>
      <c r="ACF2" t="s">
        <v>1010</v>
      </c>
      <c r="ACG2" t="s">
        <v>1011</v>
      </c>
      <c r="ACH2" t="s">
        <v>1012</v>
      </c>
      <c r="ACI2" t="s">
        <v>1013</v>
      </c>
      <c r="ACJ2" t="s">
        <v>1014</v>
      </c>
      <c r="ACK2" t="s">
        <v>1015</v>
      </c>
      <c r="ACL2" t="s">
        <v>1016</v>
      </c>
      <c r="ACM2" t="s">
        <v>1017</v>
      </c>
      <c r="ACN2" t="s">
        <v>1018</v>
      </c>
      <c r="ACO2" t="s">
        <v>1019</v>
      </c>
      <c r="ACP2" t="s">
        <v>1020</v>
      </c>
      <c r="ACQ2" t="s">
        <v>1021</v>
      </c>
      <c r="ACR2" t="s">
        <v>1022</v>
      </c>
      <c r="ACS2" t="s">
        <v>1023</v>
      </c>
      <c r="ACT2" t="s">
        <v>1024</v>
      </c>
      <c r="ACU2" t="s">
        <v>1025</v>
      </c>
      <c r="ACV2" t="s">
        <v>1026</v>
      </c>
      <c r="ACW2" t="s">
        <v>1027</v>
      </c>
      <c r="ACX2" t="s">
        <v>1028</v>
      </c>
      <c r="ACY2" t="s">
        <v>1029</v>
      </c>
      <c r="ACZ2" t="s">
        <v>1030</v>
      </c>
      <c r="ADA2" t="s">
        <v>1031</v>
      </c>
      <c r="ADB2" t="s">
        <v>1032</v>
      </c>
      <c r="ADC2" t="s">
        <v>1033</v>
      </c>
      <c r="ADD2" t="s">
        <v>1034</v>
      </c>
      <c r="ADE2" t="s">
        <v>1035</v>
      </c>
      <c r="ADF2" t="s">
        <v>1036</v>
      </c>
      <c r="ADG2" t="s">
        <v>1037</v>
      </c>
      <c r="ADH2" t="s">
        <v>1038</v>
      </c>
      <c r="ADI2" t="s">
        <v>1039</v>
      </c>
      <c r="ADJ2" t="s">
        <v>1040</v>
      </c>
      <c r="ADK2" t="s">
        <v>1041</v>
      </c>
      <c r="ADL2" t="s">
        <v>1042</v>
      </c>
      <c r="ADM2" t="s">
        <v>1043</v>
      </c>
      <c r="ADN2" t="s">
        <v>1044</v>
      </c>
      <c r="ADO2" t="s">
        <v>1045</v>
      </c>
      <c r="ADP2" t="s">
        <v>1046</v>
      </c>
      <c r="ADQ2" t="s">
        <v>1047</v>
      </c>
      <c r="ADR2" t="s">
        <v>1048</v>
      </c>
      <c r="ADS2" t="s">
        <v>1049</v>
      </c>
      <c r="ADT2" t="s">
        <v>1050</v>
      </c>
      <c r="ADU2" t="s">
        <v>1051</v>
      </c>
      <c r="ADV2" t="s">
        <v>1052</v>
      </c>
      <c r="ADW2" t="s">
        <v>1053</v>
      </c>
      <c r="ADX2" t="s">
        <v>1054</v>
      </c>
      <c r="ADY2" t="s">
        <v>1055</v>
      </c>
      <c r="ADZ2" t="s">
        <v>1056</v>
      </c>
      <c r="AEA2" t="s">
        <v>1057</v>
      </c>
      <c r="AEB2" t="s">
        <v>1058</v>
      </c>
      <c r="AEC2" t="s">
        <v>1059</v>
      </c>
      <c r="AED2" t="s">
        <v>1060</v>
      </c>
      <c r="AEE2" t="s">
        <v>1061</v>
      </c>
      <c r="AEF2" t="s">
        <v>1062</v>
      </c>
      <c r="AEG2" t="s">
        <v>1063</v>
      </c>
      <c r="AEH2" t="s">
        <v>1064</v>
      </c>
      <c r="AEI2" t="s">
        <v>1065</v>
      </c>
      <c r="AEJ2" t="s">
        <v>1066</v>
      </c>
      <c r="AEK2" t="s">
        <v>1067</v>
      </c>
      <c r="AEL2" t="s">
        <v>1068</v>
      </c>
      <c r="AEM2" t="s">
        <v>1069</v>
      </c>
      <c r="AEN2" t="s">
        <v>1070</v>
      </c>
      <c r="AEO2" t="s">
        <v>1071</v>
      </c>
      <c r="AEP2" t="s">
        <v>1072</v>
      </c>
      <c r="AEQ2" t="s">
        <v>1073</v>
      </c>
      <c r="AER2" t="s">
        <v>1074</v>
      </c>
      <c r="AES2" t="s">
        <v>1075</v>
      </c>
      <c r="AET2" t="s">
        <v>1076</v>
      </c>
      <c r="AEU2" t="s">
        <v>1077</v>
      </c>
      <c r="AEV2" t="s">
        <v>1078</v>
      </c>
      <c r="AEW2" t="s">
        <v>1079</v>
      </c>
      <c r="AEX2" t="s">
        <v>1080</v>
      </c>
      <c r="AEY2" t="s">
        <v>1081</v>
      </c>
      <c r="AEZ2" t="s">
        <v>1082</v>
      </c>
      <c r="AFA2" t="s">
        <v>1083</v>
      </c>
      <c r="AFB2" t="s">
        <v>1084</v>
      </c>
      <c r="AFC2" t="s">
        <v>1085</v>
      </c>
      <c r="AFD2" t="s">
        <v>1086</v>
      </c>
      <c r="AFE2" t="s">
        <v>1087</v>
      </c>
      <c r="AFF2" t="s">
        <v>1088</v>
      </c>
      <c r="AFG2" t="s">
        <v>1089</v>
      </c>
      <c r="AFH2" t="s">
        <v>1090</v>
      </c>
      <c r="AFI2" t="s">
        <v>1091</v>
      </c>
      <c r="AFJ2" t="s">
        <v>1092</v>
      </c>
      <c r="AFK2" t="s">
        <v>1093</v>
      </c>
      <c r="AFL2" t="s">
        <v>1094</v>
      </c>
      <c r="AFM2" t="s">
        <v>1095</v>
      </c>
    </row>
    <row r="3" spans="1:852" ht="19.5" customHeight="1">
      <c r="A3">
        <v>1</v>
      </c>
      <c r="B3" s="103" t="str">
        <f>IF(WSALQURAN!$E$6&lt;74.9,"P","")</f>
        <v/>
      </c>
      <c r="C3" s="103" t="str">
        <f>IF(AND(WSALQURAN!$E$6&gt;=75,WSALQURAN!$E$6&lt;=83.24),"P","")</f>
        <v/>
      </c>
      <c r="D3" s="103" t="str">
        <f>IF(AND(WSALQURAN!$E$6&gt;=83.25,WSALQURAN!$E$6&lt;=91.4),"P","")</f>
        <v>P</v>
      </c>
      <c r="E3" s="103" t="str">
        <f>IF(AND(WSALQURAN!$E$6&gt;=91.5,WSALQURAN!$E$6&lt;=100),"P","")</f>
        <v/>
      </c>
      <c r="F3" s="102" t="str">
        <f>IF(WSALQURAN!$E$14&lt;74.9,"P","")</f>
        <v/>
      </c>
      <c r="G3" s="102" t="str">
        <f>IF(AND(WSALQURAN!$E$14&gt;=75,WSALQURAN!$E$14&lt;=83.24),"P","")</f>
        <v/>
      </c>
      <c r="H3" s="102" t="str">
        <f>IF(AND(WSALQURAN!$E$14&gt;=83.25,WSALQURAN!$E$14&lt;=91.4),"P","")</f>
        <v/>
      </c>
      <c r="I3" s="102" t="str">
        <f>IF(AND(WSALQURAN!$E$14&gt;=91.5,WSALQURAN!$E$14&lt;=100),"P","")</f>
        <v>P</v>
      </c>
      <c r="J3" s="102" t="str">
        <f>IF(WSALQURAN!$E$22&lt;74.9,"P","")</f>
        <v/>
      </c>
      <c r="K3" s="102" t="str">
        <f>IF(AND(WSALQURAN!$E$22&gt;=75,WSALQURAN!$E$22&lt;=83.24),"P","")</f>
        <v/>
      </c>
      <c r="L3" s="102" t="str">
        <f>IF(AND(WSALQURAN!$E$22&gt;=83.25,WSALQURAN!$E$22&lt;=91.4),"P","")</f>
        <v>P</v>
      </c>
      <c r="M3" s="102" t="str">
        <f>IF(AND(WSALQURAN!$E$22&gt;=91.5,WSALQURAN!$E$22&lt;=100),"P","")</f>
        <v/>
      </c>
      <c r="N3" s="102" t="str">
        <f>IF(WSALQURAN!$E$30&lt;74.9,"P","")</f>
        <v/>
      </c>
      <c r="O3" s="102" t="str">
        <f>IF(AND(WSALQURAN!$E$30&gt;=75,WSALQURAN!$E$30&lt;=83.24),"P","")</f>
        <v/>
      </c>
      <c r="P3" s="102" t="str">
        <f>IF(AND(WSALQURAN!$E$30&gt;=83.25,WSALQURAN!$E$30&lt;=91.4),"P","")</f>
        <v>P</v>
      </c>
      <c r="Q3" s="102" t="str">
        <f>IF(AND(WSALQURAN!$E$30&gt;=91.5,WSALQURAN!$E$30&lt;=100),"P","")</f>
        <v/>
      </c>
      <c r="R3" s="102" t="str">
        <f>IF(WSALQURAN!$E$38&lt;74.9,"P","")</f>
        <v/>
      </c>
      <c r="S3" s="102" t="str">
        <f>IF(AND(WSALQURAN!$E$38&gt;=75,WSALQURAN!$E$38&lt;=83.24),"P","")</f>
        <v>P</v>
      </c>
      <c r="T3" s="102" t="str">
        <f>IF(AND(WSALQURAN!$E$38&gt;=83.25,WSALQURAN!$E$38&lt;=91.4),"P","")</f>
        <v/>
      </c>
      <c r="U3" s="102" t="str">
        <f>IF(AND(WSALQURAN!$E$38&gt;=91.5,WSALQURAN!$E$38&lt;=100),"P","")</f>
        <v/>
      </c>
      <c r="V3" s="102" t="str">
        <f>IF(WSALQURAN!$E$46&lt;74.9,"P","")</f>
        <v/>
      </c>
      <c r="W3" s="102" t="str">
        <f>IF(AND(WSALQURAN!$E$46&gt;=75,WSALQURAN!$E$46&lt;=83.24),"P","")</f>
        <v>P</v>
      </c>
      <c r="X3" s="102" t="str">
        <f>IF(AND(WSALQURAN!$E$46&gt;=83.25,WSALQURAN!$E$46&lt;=91.4),"P","")</f>
        <v/>
      </c>
      <c r="Y3" s="102" t="str">
        <f>IF(AND(WSALQURAN!$E$46&gt;=91.5,WSALQURAN!$E$46&lt;=100),"P","")</f>
        <v/>
      </c>
      <c r="Z3" s="102" t="str">
        <f>IF(WSALQURAN!$E$54&lt;74.9,"P","")</f>
        <v/>
      </c>
      <c r="AA3" s="102" t="str">
        <f>IF(AND(WSALQURAN!$E$54&gt;=75,WSALQURAN!$E$54&lt;=83.24),"P","")</f>
        <v/>
      </c>
      <c r="AB3" s="102" t="str">
        <f>IF(AND(WSALQURAN!$E$54&gt;=83.25,WSALQURAN!$E$54&lt;=91.4),"P","")</f>
        <v/>
      </c>
      <c r="AC3" s="102" t="str">
        <f>IF(AND(WSALQURAN!$E$54&gt;=91.5,WSALQURAN!$E$54&lt;=100),"P","")</f>
        <v>P</v>
      </c>
      <c r="AD3" s="102" t="str">
        <f>IF(WSALQURAN!$E$62&lt;74.9,"P","")</f>
        <v/>
      </c>
      <c r="AE3" s="102" t="str">
        <f>IF(AND(WSALQURAN!$E$62&gt;=75,WSALQURAN!$E$62&lt;=83.24),"P","")</f>
        <v/>
      </c>
      <c r="AF3" s="102" t="str">
        <f>IF(AND(WSALQURAN!$E$62&gt;=83.25,WSALQURAN!$E$62&lt;=91.4),"P","")</f>
        <v/>
      </c>
      <c r="AG3" s="102" t="str">
        <f>IF(AND(WSALQURAN!$E$62&gt;=91.5,WSALQURAN!$E$62&lt;=100),"P","")</f>
        <v/>
      </c>
      <c r="AH3" s="102" t="str">
        <f>IF(WSALQURAN!$E$70&lt;74.9,"P","")</f>
        <v/>
      </c>
      <c r="AI3" s="102" t="str">
        <f>IF(AND(WSALQURAN!$E$70&gt;=75,WSALQURAN!$E$70&lt;=83.24),"P","")</f>
        <v/>
      </c>
      <c r="AJ3" s="102" t="str">
        <f>IF(AND(WSALQURAN!$E$70&gt;=83.25,WSALQURAN!$E$70&lt;=91.4),"P","")</f>
        <v/>
      </c>
      <c r="AK3" s="102" t="str">
        <f>IF(AND(WSALQURAN!$E$70&gt;=91.5,WSALQURAN!$E$70&lt;=100),"P","")</f>
        <v/>
      </c>
      <c r="AL3" s="102" t="str">
        <f>IF(WSALQURAN!$E$78&lt;74.9,"P","")</f>
        <v/>
      </c>
      <c r="AM3" s="102" t="str">
        <f>IF(AND(WSALQURAN!$E$78&gt;=75,WSALQURAN!$E$78&lt;=83.24),"P","")</f>
        <v/>
      </c>
      <c r="AN3" s="102" t="str">
        <f>IF(AND(WSALQURAN!$E$78&gt;=83.25,WSALQURAN!$E$78&lt;=91.4),"P","")</f>
        <v/>
      </c>
      <c r="AO3" s="102" t="str">
        <f>IF(AND(WSALQURAN!$E$78&gt;=91.5,WSALQURAN!$E$78&lt;=100),"P","")</f>
        <v/>
      </c>
      <c r="AP3" s="102" t="str">
        <f>IF(WSALQURAN!$E$86&lt;74.9,"P","")</f>
        <v/>
      </c>
      <c r="AQ3" s="102" t="str">
        <f>IF(AND(WSALQURAN!$E$86&gt;=75,WSALQURAN!$E$86&lt;=83.24),"P","")</f>
        <v/>
      </c>
      <c r="AR3" s="102" t="str">
        <f>IF(AND(WSALQURAN!$E$86&gt;=83.25,WSALQURAN!$E$86&lt;=91.4),"P","")</f>
        <v/>
      </c>
      <c r="AS3" s="102" t="str">
        <f>IF(AND(WSALQURAN!$E$86&gt;=91.5,WSALQURAN!$E$86&lt;=100),"P","")</f>
        <v/>
      </c>
      <c r="AT3" s="102" t="str">
        <f>IF(WSALQURAN!$E$94&lt;74.9,"P","")</f>
        <v/>
      </c>
      <c r="AU3" s="102" t="str">
        <f>IF(AND(WSALQURAN!$E$94&gt;=75,WSALQURAN!$E$94&lt;=83.24),"P","")</f>
        <v/>
      </c>
      <c r="AV3" s="102" t="str">
        <f>IF(AND(WSALQURAN!$E$94&gt;=83.25,WSALQURAN!$E$94&lt;=91.4),"P","")</f>
        <v/>
      </c>
      <c r="AW3" s="102" t="str">
        <f>IF(AND(WSALQURAN!$E$94&gt;=91.5,WSALQURAN!$E$94&lt;=100),"P","")</f>
        <v/>
      </c>
      <c r="AX3" s="102" t="str">
        <f>IF(WSALQURAN!$E$102&lt;74.9,"P","")</f>
        <v/>
      </c>
      <c r="AY3" s="102" t="str">
        <f>IF(AND(WSALQURAN!$E$102&gt;=75,WSALQURAN!$E$102&lt;=83.24),"P","")</f>
        <v/>
      </c>
      <c r="AZ3" s="102" t="str">
        <f>IF(AND(WSALQURAN!$E$102&gt;=83.25,WSALQURAN!$E$102&lt;=91.4),"P","")</f>
        <v/>
      </c>
      <c r="BA3" s="102" t="str">
        <f>IF(AND(WSALQURAN!$E$102&gt;=91.5,WSALQURAN!$E$102&lt;=100),"P","")</f>
        <v/>
      </c>
      <c r="BB3" s="102" t="str">
        <f>IF(WSAQIDAH!$E$6&lt;74.9,"P","")</f>
        <v/>
      </c>
      <c r="BC3" s="102" t="str">
        <f>IF(AND(WSAQIDAH!$E$6&gt;=75,WSAQIDAH!$E$6&lt;=83.24),"P","")</f>
        <v/>
      </c>
      <c r="BD3" s="102" t="str">
        <f>IF(AND(WSAQIDAH!$E$6&gt;=83.25,WSAQIDAH!$E$6&lt;=91.4),"P","")</f>
        <v>P</v>
      </c>
      <c r="BE3" s="102" t="str">
        <f>IF(AND(WSAQIDAH!$E$6&gt;=91.5,WSAQIDAH!$E$6&lt;=100),"P","")</f>
        <v/>
      </c>
      <c r="BF3" s="102" t="str">
        <f>IF(WSAQIDAH!$E$14&lt;74.9,"P","")</f>
        <v/>
      </c>
      <c r="BG3" s="102" t="str">
        <f>IF(AND(WSAQIDAH!$E$14&gt;=75,WSAQIDAH!$E$14&lt;=83.24),"P","")</f>
        <v/>
      </c>
      <c r="BH3" s="102" t="str">
        <f>IF(AND(WSAQIDAH!$E$14&gt;=83.25,WSAQIDAH!$E$14&lt;=91.4),"P","")</f>
        <v/>
      </c>
      <c r="BI3" s="102" t="str">
        <f>IF(AND(WSAQIDAH!$E$14&gt;=91.5,WSAQIDAH!$E$14&lt;=100),"P","")</f>
        <v>P</v>
      </c>
      <c r="BJ3" s="102" t="str">
        <f>IF(WSAQIDAH!$E$22&lt;74.9,"P","")</f>
        <v/>
      </c>
      <c r="BK3" s="102" t="str">
        <f>IF(AND(WSAQIDAH!$E$22&gt;=75,WSAQIDAH!$E$22&lt;=83.24),"P","")</f>
        <v/>
      </c>
      <c r="BL3" s="102" t="str">
        <f>IF(AND(WSAQIDAH!$E$22&gt;=83.25,WSAQIDAH!$E$22&lt;=91.4),"P","")</f>
        <v>P</v>
      </c>
      <c r="BM3" s="102" t="str">
        <f>IF(AND(WSAQIDAH!$E$22&gt;=91.5,WSAQIDAH!$E$22&lt;=100),"P","")</f>
        <v/>
      </c>
      <c r="BN3" s="102" t="str">
        <f>IF(WSAQIDAH!$E$30&lt;74.9,"P","")</f>
        <v/>
      </c>
      <c r="BO3" s="102" t="str">
        <f>IF(AND(WSAQIDAH!$E$30&gt;=75,WSAQIDAH!$E$30&lt;=83.24),"P","")</f>
        <v/>
      </c>
      <c r="BP3" s="102" t="str">
        <f>IF(AND(WSAQIDAH!$E$30&gt;=83.25,WSAQIDAH!$E$30&lt;=91.4),"P","")</f>
        <v>P</v>
      </c>
      <c r="BQ3" s="102" t="str">
        <f>IF(AND(WSAQIDAH!$E$30&gt;=91.5,WSAQIDAH!$E$30&lt;=100),"P","")</f>
        <v/>
      </c>
      <c r="BR3" s="102" t="str">
        <f>IF(WSAQIDAH!$E$38&lt;74.9,"P","")</f>
        <v/>
      </c>
      <c r="BS3" s="102" t="str">
        <f>IF(AND(WSAQIDAH!$E$38&gt;=75,WSAQIDAH!$E$38&lt;=83.24),"P","")</f>
        <v>P</v>
      </c>
      <c r="BT3" s="102" t="str">
        <f>IF(AND(WSAQIDAH!$E$38&gt;=83.25,WSAQIDAH!$E$38&lt;=91.4),"P","")</f>
        <v/>
      </c>
      <c r="BU3" s="102" t="str">
        <f>IF(AND(WSAQIDAH!$E$38&gt;=91.5,WSAQIDAH!$E$38&lt;=100),"P","")</f>
        <v/>
      </c>
      <c r="BV3" s="102" t="str">
        <f>IF(WSAQIDAH!$E$46&lt;74.9,"P","")</f>
        <v/>
      </c>
      <c r="BW3" s="102" t="str">
        <f>IF(AND(WSAQIDAH!$E$46&gt;=75,WSAQIDAH!$E$46&lt;=83.24),"P","")</f>
        <v/>
      </c>
      <c r="BX3" s="102" t="str">
        <f>IF(AND(WSAQIDAH!$E$46&gt;=83.25,WSAQIDAH!$E$46&lt;=91.4),"P","")</f>
        <v/>
      </c>
      <c r="BY3" s="102" t="str">
        <f>IF(AND(WSAQIDAH!$E$46&gt;=91.5,WSAQIDAH!$E$46&lt;=100),"P","")</f>
        <v>P</v>
      </c>
      <c r="BZ3" s="102" t="str">
        <f>IF(WSAQIDAH!$E$54&lt;74.9,"P","")</f>
        <v/>
      </c>
      <c r="CA3" s="102" t="str">
        <f>IF(AND(WSAQIDAH!$E$54&gt;=75,WSAQIDAH!$E$54&lt;=83.24),"P","")</f>
        <v/>
      </c>
      <c r="CB3" s="102" t="str">
        <f>IF(AND(WSAQIDAH!$E$54&gt;=83.25,WSAQIDAH!$E$54&lt;=91.4),"P","")</f>
        <v>P</v>
      </c>
      <c r="CC3" s="102" t="str">
        <f>IF(AND(WSAQIDAH!$E$54&gt;=91.5,WSAQIDAH!$E$54&lt;=100),"P","")</f>
        <v/>
      </c>
      <c r="CD3" s="102" t="str">
        <f>IF(WSAQIDAH!$E$62&lt;74.9,"P","")</f>
        <v/>
      </c>
      <c r="CE3" s="102" t="str">
        <f>IF(AND(WSAQIDAH!$E$62&gt;=75,WSAQIDAH!$E$62&lt;=83.24),"P","")</f>
        <v/>
      </c>
      <c r="CF3" s="102" t="str">
        <f>IF(AND(WSAQIDAH!$E$62&gt;=83.25,WSAQIDAH!$E$62&lt;=91.4),"P","")</f>
        <v/>
      </c>
      <c r="CG3" s="102" t="str">
        <f>IF(AND(WSAQIDAH!$E$62&gt;=91.5,WSAQIDAH!$E$62&lt;=100),"P","")</f>
        <v>P</v>
      </c>
      <c r="CH3" s="102" t="str">
        <f>IF(WSAQIDAH!$E$70&lt;74.9,"P","")</f>
        <v/>
      </c>
      <c r="CI3" s="102" t="str">
        <f>IF(AND(WSAQIDAH!$E$70&gt;=75,WSAQIDAH!$E$70&lt;=83.24),"P","")</f>
        <v/>
      </c>
      <c r="CJ3" s="102" t="str">
        <f>IF(AND(WSAQIDAH!$E$70&gt;=83.25,WSAQIDAH!$E$70&lt;=91.4),"P","")</f>
        <v/>
      </c>
      <c r="CK3" s="102" t="str">
        <f>IF(AND(WSAQIDAH!$E$70&gt;=91.5,WSAQIDAH!$E$70&lt;=100),"P","")</f>
        <v>P</v>
      </c>
      <c r="CL3" s="102" t="str">
        <f>IF(WSAQIDAH!$E$78&lt;74.9,"P","")</f>
        <v/>
      </c>
      <c r="CM3" s="102" t="str">
        <f>IF(AND(WSAQIDAH!$E$78&gt;=75,WSAQIDAH!$E$78&lt;=83.24),"P","")</f>
        <v>P</v>
      </c>
      <c r="CN3" s="102" t="str">
        <f>IF(AND(WSAQIDAH!$E$78&gt;=83.25,WSAQIDAH!$E$78&lt;=91.4),"P","")</f>
        <v/>
      </c>
      <c r="CO3" s="102" t="str">
        <f>IF(AND(WSAQIDAH!$E$78&gt;=91.5,WSAQIDAH!$E$78&lt;=100),"P","")</f>
        <v/>
      </c>
      <c r="CP3" s="102" t="str">
        <f>IF(WSAQIDAH!$E$86&lt;74.9,"P","")</f>
        <v/>
      </c>
      <c r="CQ3" s="102" t="str">
        <f>IF(AND(WSAQIDAH!$E$86&gt;=75,WSAQIDAH!$E$86&lt;=83.24),"P","")</f>
        <v/>
      </c>
      <c r="CR3" s="102" t="str">
        <f>IF(AND(WSAQIDAH!$E$86&gt;=83.25,WSAQIDAH!$E$86&lt;=91.4),"P","")</f>
        <v/>
      </c>
      <c r="CS3" s="102" t="str">
        <f>IF(AND(WSAQIDAH!$E$86&gt;=91.5,WSAQIDAH!$E$86&lt;=100),"P","")</f>
        <v/>
      </c>
      <c r="CT3" s="102" t="str">
        <f>IF(WSAQIDAH!$E$94&lt;74.9,"P","")</f>
        <v/>
      </c>
      <c r="CU3" s="102" t="str">
        <f>IF(AND(WSAQIDAH!$E$94&gt;=75,WSAQIDAH!$E$94&lt;=83.24),"P","")</f>
        <v/>
      </c>
      <c r="CV3" s="102" t="str">
        <f>IF(AND(WSAQIDAH!$E$94&gt;=83.25,WSAQIDAH!$E$94&lt;=91.4),"P","")</f>
        <v/>
      </c>
      <c r="CW3" s="102" t="str">
        <f>IF(AND(WSAQIDAH!$E$94&gt;=91.5,WSAQIDAH!$E$94&lt;=100),"P","")</f>
        <v/>
      </c>
      <c r="CX3" s="102" t="str">
        <f>IF(WSAQIDAH!$E$102&lt;74.9,"P","")</f>
        <v/>
      </c>
      <c r="CY3" s="102" t="str">
        <f>IF(AND(WSAQIDAH!$E$102&gt;=75,WSAQIDAH!$E$102&lt;=83.24),"P","")</f>
        <v/>
      </c>
      <c r="CZ3" s="102" t="str">
        <f>IF(AND(WSAQIDAH!$E$102&gt;=83.25,WSAQIDAH!$E$102&lt;=91.4),"P","")</f>
        <v/>
      </c>
      <c r="DA3" s="102" t="str">
        <f>IF(AND(WSAQIDAH!$E$102&gt;=91.5,WSAQIDAH!$E$102&lt;=100),"P","")</f>
        <v/>
      </c>
      <c r="DB3" s="102" t="str">
        <f>IF(WSSKI!$E$6&lt;74.9,"P","")</f>
        <v/>
      </c>
      <c r="DC3" s="102" t="str">
        <f>IF(AND(WSSKI!$E$6&gt;=75,WSSKI!$E$6&lt;=83.24),"P","")</f>
        <v>P</v>
      </c>
      <c r="DD3" s="102" t="str">
        <f>IF(AND(WSSKI!$E$6&gt;=83.25,WSSKI!$E$6&lt;=91.4),"P","")</f>
        <v/>
      </c>
      <c r="DE3" s="102" t="str">
        <f>IF(AND(WSSKI!$E$6&gt;=91.5,WSSKI!$E$6&lt;=100),"P","")</f>
        <v/>
      </c>
      <c r="DF3" s="102" t="str">
        <f>IF(WSSKI!$E$14&lt;74.9,"P","")</f>
        <v/>
      </c>
      <c r="DG3" s="102" t="str">
        <f>IF(AND(WSSKI!$E$14&gt;=75,WSSKI!$E$14&lt;=83.24),"P","")</f>
        <v/>
      </c>
      <c r="DH3" s="102" t="str">
        <f>IF(AND(WSSKI!$E$14&gt;=83.25,WSSKI!$E$14&lt;=91.4),"P","")</f>
        <v/>
      </c>
      <c r="DI3" s="102" t="str">
        <f>IF(AND(WSSKI!$E$14&gt;=91.5,WSSKI!$E$14&lt;=100),"P","")</f>
        <v>P</v>
      </c>
      <c r="DJ3" s="102" t="str">
        <f>IF(WSSKI!$E$23&lt;74.9,"P","")</f>
        <v/>
      </c>
      <c r="DK3" s="102" t="str">
        <f>IF(AND(WSSKI!$E$23&gt;=75,WSSKI!$E$23&lt;=83.24),"P","")</f>
        <v>P</v>
      </c>
      <c r="DL3" s="102" t="str">
        <f>IF(AND(WSSKI!$E$23&gt;=83.25,WSSKI!$E$23&lt;=91.4),"P","")</f>
        <v/>
      </c>
      <c r="DM3" s="102" t="str">
        <f>IF(AND(WSSKI!$E$23&gt;=91.5,WSSKI!$E$23&lt;=100),"P","")</f>
        <v/>
      </c>
      <c r="DN3" s="102" t="str">
        <f>IF(WSSKI!$E$31&lt;74.9,"P","")</f>
        <v/>
      </c>
      <c r="DO3" s="102" t="str">
        <f>IF(AND(WSSKI!$E$31&gt;=75,WSSKI!$E$31&lt;=83.24),"P","")</f>
        <v>P</v>
      </c>
      <c r="DP3" s="102" t="str">
        <f>IF(AND(WSSKI!$E$31&gt;=83.25,WSSKI!$E$31&lt;=91.4),"P","")</f>
        <v/>
      </c>
      <c r="DQ3" s="102" t="str">
        <f>IF(AND(WSSKI!$E$31&gt;=91.5,WSSKI!$E$31&lt;=100),"P","")</f>
        <v/>
      </c>
      <c r="DR3" s="102" t="str">
        <f>IF(WSSKI!$E$40&lt;74.9,"P","")</f>
        <v/>
      </c>
      <c r="DS3" s="102" t="str">
        <f>IF(AND(WSSKI!$E$40&gt;=75,WSSKI!$E$40&lt;=83.24),"P","")</f>
        <v/>
      </c>
      <c r="DT3" s="102" t="str">
        <f>IF(AND(WSSKI!$E$40&gt;=83.25,WSSKI!$E$40&lt;=91.4),"P","")</f>
        <v>P</v>
      </c>
      <c r="DU3" s="102" t="str">
        <f>IF(AND(WSSKI!$E$40&gt;=91.5,WSSKI!$E$40&lt;=100),"P","")</f>
        <v/>
      </c>
      <c r="DV3" s="102" t="str">
        <f>IF(WSSKI!$E$48&lt;74.9,"P","")</f>
        <v/>
      </c>
      <c r="DW3" s="102" t="str">
        <f>IF(AND(WSSKI!$E$48&gt;=75,WSSKI!$E$48&lt;=83.24),"P","")</f>
        <v>P</v>
      </c>
      <c r="DX3" s="102" t="str">
        <f>IF(AND(WSSKI!$E$48&gt;=83.25,WSSKI!$E$48&lt;=91.4),"P","")</f>
        <v/>
      </c>
      <c r="DY3" s="102" t="str">
        <f>IF(AND(WSSKI!$E$48&gt;=91.5,WSSKI!$E$48&lt;=100),"P","")</f>
        <v/>
      </c>
      <c r="DZ3" s="102" t="str">
        <f>IF(WSSKI!$E$56&lt;74.9,"P","")</f>
        <v/>
      </c>
      <c r="EA3" s="102" t="str">
        <f>IF(AND(WSSKI!$E$56&gt;=75,WSSKI!$E$56&lt;=83.24),"P","")</f>
        <v/>
      </c>
      <c r="EB3" s="102" t="str">
        <f>IF(AND(WSSKI!$E$56&gt;=83.25,WSSKI!$E$56&lt;=91.4),"P","")</f>
        <v/>
      </c>
      <c r="EC3" s="102" t="str">
        <f>IF(AND(WSSKI!$E$56&gt;=91.5,WSSKI!$E$56&lt;=100),"P","")</f>
        <v/>
      </c>
      <c r="ED3" s="102" t="str">
        <f>IF(WSSKI!$E$64&lt;74.9,"P","")</f>
        <v/>
      </c>
      <c r="EE3" s="102" t="str">
        <f>IF(AND(WSSKI!$E$64&gt;=75,WSSKI!$E$64&lt;=83.24),"P","")</f>
        <v/>
      </c>
      <c r="EF3" s="102" t="str">
        <f>IF(AND(WSSKI!$E$64&gt;=83.25,WSSKI!$E$64&lt;=91.4),"P","")</f>
        <v/>
      </c>
      <c r="EG3" s="102" t="str">
        <f>IF(AND(WSSKI!$E$64&gt;=91.5,WSSKI!$E$64&lt;=100),"P","")</f>
        <v/>
      </c>
      <c r="EH3" s="102" t="str">
        <f>IF(WSSKI!$E$72&lt;74.9,"P","")</f>
        <v/>
      </c>
      <c r="EI3" s="102" t="str">
        <f>IF(AND(WSSKI!$E$72&gt;=75,WSSKI!$E$72&lt;=83.24),"P","")</f>
        <v/>
      </c>
      <c r="EJ3" s="102" t="str">
        <f>IF(AND(WSSKI!$E$72&gt;=83.25,WSSKI!$E$72&lt;=91.4),"P","")</f>
        <v/>
      </c>
      <c r="EK3" s="102" t="str">
        <f>IF(AND(WSSKI!$E$72&gt;=91.5,WSSKI!$E$72&lt;=100),"P","")</f>
        <v/>
      </c>
      <c r="EL3" s="102" t="str">
        <f>IF(WSSKI!$E$80&lt;74.9,"P","")</f>
        <v/>
      </c>
      <c r="EM3" s="102" t="str">
        <f>IF(AND(WSSKI!$E$80&gt;=75,WSSKI!$E$80&lt;=83.24),"P","")</f>
        <v/>
      </c>
      <c r="EN3" s="102" t="str">
        <f>IF(AND(WSSKI!$E$80&gt;=83.25,WSSKI!$E$80&lt;=91.4),"P","")</f>
        <v/>
      </c>
      <c r="EO3" s="102" t="str">
        <f>IF(AND(WSSKI!$E$80&gt;=91.5,WSSKI!$E$80&lt;=100),"P","")</f>
        <v/>
      </c>
      <c r="EP3" s="102" t="str">
        <f>IF(WSSKI!$E$88&lt;74.9,"P","")</f>
        <v/>
      </c>
      <c r="EQ3" s="102" t="str">
        <f>IF(AND(WSSKI!$E$88&gt;=75,WSSKI!$E$88&lt;=83.24),"P","")</f>
        <v/>
      </c>
      <c r="ER3" s="102" t="str">
        <f>IF(AND(WSSKI!$E$88&gt;=83.25,WSSKI!$E$88&lt;=91.4),"P","")</f>
        <v/>
      </c>
      <c r="ES3" s="102" t="str">
        <f>IF(AND(WSSKI!$E$88&gt;=91.5,WSSKI!$E$88&lt;=100),"P","")</f>
        <v/>
      </c>
      <c r="ET3" s="102" t="str">
        <f>IF(WSSKI!$E$96&lt;74.9,"P","")</f>
        <v/>
      </c>
      <c r="EU3" s="102" t="str">
        <f>IF(AND(WSSKI!$E$96&gt;=75,WSSKI!$E$96&lt;=83.24),"P","")</f>
        <v/>
      </c>
      <c r="EV3" s="102" t="str">
        <f>IF(AND(WSSKI!$E$96&gt;=83.25,WSSKI!$E$96&lt;=91.4),"P","")</f>
        <v/>
      </c>
      <c r="EW3" s="102" t="str">
        <f>IF(AND(WSSKI!$E$96&gt;=91.5,WSSKI!$E$96&lt;=100),"P","")</f>
        <v/>
      </c>
      <c r="EX3" s="102" t="str">
        <f>IF(WSSKI!$E$104&lt;74.9,"P","")</f>
        <v/>
      </c>
      <c r="EY3" s="102" t="str">
        <f>IF(AND(WSSKI!$E$104&gt;=75,WSSKI!$E$104&lt;=83.24),"P","")</f>
        <v/>
      </c>
      <c r="EZ3" s="102" t="str">
        <f>IF(AND(WSSKI!$E$104&gt;=83.25,WSSKI!$E$104&lt;=91.4),"P","")</f>
        <v/>
      </c>
      <c r="FA3" s="102" t="str">
        <f>IF(AND(WSSKI!$E$104&gt;=91.5,WSSKI!$E$104&lt;=100),"P","")</f>
        <v/>
      </c>
      <c r="FB3" s="102" t="str">
        <f>IF(WSFIQIH!$E$6&lt;74.9,"P","")</f>
        <v/>
      </c>
      <c r="FC3" s="102" t="str">
        <f>IF(AND(WSFIQIH!$E$6&gt;=75,WSFIQIH!$E$6&lt;=83.24),"P","")</f>
        <v/>
      </c>
      <c r="FD3" s="102" t="str">
        <f>IF(AND(WSFIQIH!$E$6&gt;=83.25,WSFIQIH!$E$6&lt;=91.4),"P","")</f>
        <v>P</v>
      </c>
      <c r="FE3" s="102" t="str">
        <f>IF(AND(WSFIQIH!$E$6&gt;=91.5,WSFIQIH!$E$6&lt;=100),"P","")</f>
        <v/>
      </c>
      <c r="FF3" s="102" t="str">
        <f>IF(WSFIQIH!$E$19&lt;74.9,"P","")</f>
        <v/>
      </c>
      <c r="FG3" s="102" t="str">
        <f>IF(AND(WSFIQIH!$E$19&gt;=75,WSFIQIH!$E$19&lt;=83.24),"P","")</f>
        <v/>
      </c>
      <c r="FH3" s="102" t="str">
        <f>IF(AND(WSFIQIH!$E$19&gt;=83.25,WSFIQIH!$E$19&lt;=91.4),"P","")</f>
        <v/>
      </c>
      <c r="FI3" s="102" t="str">
        <f>IF(AND(WSFIQIH!$E$19&gt;=91.5,WSFIQIH!$E$19&lt;=100),"P","")</f>
        <v>P</v>
      </c>
      <c r="FJ3" s="102" t="str">
        <f>IF(WSFIQIH!$E$28&lt;74.9,"P","")</f>
        <v/>
      </c>
      <c r="FK3" s="102" t="str">
        <f>IF(AND(WSFIQIH!$E$28&gt;=75,WSFIQIH!$E$28&lt;=83.24),"P","")</f>
        <v>P</v>
      </c>
      <c r="FL3" s="102" t="str">
        <f>IF(AND(WSFIQIH!$E$28&gt;=83.25,WSFIQIH!$E$28&lt;=91.4),"P","")</f>
        <v/>
      </c>
      <c r="FM3" s="102" t="str">
        <f>IF(AND(WSFIQIH!$E$28&gt;=91.5,WSFIQIH!$E$28&lt;=100),"P","")</f>
        <v/>
      </c>
      <c r="FN3" s="102" t="str">
        <f>IF(WSFIQIH!$E$41&lt;74.9,"P","")</f>
        <v/>
      </c>
      <c r="FO3" s="102" t="str">
        <f>IF(AND(WSFIQIH!$E$41&gt;=75,WSFIQIH!$E$41&lt;=83.24),"P","")</f>
        <v/>
      </c>
      <c r="FP3" s="102" t="str">
        <f>IF(AND(WSFIQIH!$E$41&gt;=83.25,WSFIQIH!$E$41&lt;=91.4),"P","")</f>
        <v>P</v>
      </c>
      <c r="FQ3" s="102" t="str">
        <f>IF(AND(WSFIQIH!$E$41&gt;=91.5,WSFIQIH!$E$41&lt;=100),"P","")</f>
        <v/>
      </c>
      <c r="FR3" s="102" t="str">
        <f>IF(WSFIQIH!$E$49&lt;74.9,"P","")</f>
        <v/>
      </c>
      <c r="FS3" s="102" t="str">
        <f>IF(AND(WSFIQIH!$E$49&gt;=75,WSFIQIH!$E$49&lt;=83.24),"P","")</f>
        <v/>
      </c>
      <c r="FT3" s="102" t="str">
        <f>IF(AND(WSFIQIH!$E$49&gt;=83.25,WSFIQIH!$E$49&lt;=91.4),"P","")</f>
        <v/>
      </c>
      <c r="FU3" s="102" t="str">
        <f>IF(AND(WSFIQIH!$E$49&gt;=91.5,WSFIQIH!$E$49&lt;=100),"P","")</f>
        <v/>
      </c>
      <c r="FV3" s="102" t="str">
        <f>IF(WSFIQIH!$E$62&lt;74.9,"P","")</f>
        <v/>
      </c>
      <c r="FW3" s="102" t="str">
        <f>IF(AND(WSFIQIH!$E$62&gt;=75,WSFIQIH!$E$62&lt;=83.24),"P","")</f>
        <v/>
      </c>
      <c r="FX3" s="102" t="str">
        <f>IF(AND(WSFIQIH!$E$62&gt;=83.25,WSFIQIH!$E$62&lt;=91.4),"P","")</f>
        <v/>
      </c>
      <c r="FY3" s="102" t="str">
        <f>IF(AND(WSFIQIH!$E$62&gt;=91.5,WSFIQIH!$E$62&lt;=100),"P","")</f>
        <v>P</v>
      </c>
      <c r="FZ3" s="102" t="str">
        <f>IF(WSFIQIH!$E$71&lt;74.9,"P","")</f>
        <v/>
      </c>
      <c r="GA3" s="102" t="str">
        <f>IF(AND(WSFIQIH!$E$71&gt;=75,WSFIQIH!$E$71&lt;=83.24),"P","")</f>
        <v/>
      </c>
      <c r="GB3" s="102" t="str">
        <f>IF(AND(WSFIQIH!$E$71&gt;=83.25,WSFIQIH!$E$71&lt;=91.4),"P","")</f>
        <v>P</v>
      </c>
      <c r="GC3" s="102" t="str">
        <f>IF(AND(WSFIQIH!$E$71&gt;=91.5,WSFIQIH!$E$71&lt;=100),"P","")</f>
        <v/>
      </c>
      <c r="GD3" s="102" t="str">
        <f>IF(WSFIQIH!$E$80&lt;74.9,"P","")</f>
        <v/>
      </c>
      <c r="GE3" s="102" t="str">
        <f>IF(AND(WSFIQIH!$E$80&gt;=75,WSFIQIH!$E$80&lt;=83.24),"P","")</f>
        <v>P</v>
      </c>
      <c r="GF3" s="102" t="str">
        <f>IF(AND(WSFIQIH!$E$80&gt;=83.25,WSFIQIH!$E$80&lt;=91.4),"P","")</f>
        <v/>
      </c>
      <c r="GG3" s="102" t="str">
        <f>IF(AND(WSFIQIH!$E$80&gt;=91.5,WSFIQIH!$E$80&lt;=100),"P","")</f>
        <v/>
      </c>
      <c r="GH3" s="102" t="str">
        <f>IF(WSFIQIH!$E$88&lt;74.9,"P","")</f>
        <v/>
      </c>
      <c r="GI3" s="102" t="str">
        <f>IF(AND(WSFIQIH!$E$88&gt;=75,WSFIQIH!$E$88&lt;=83.24),"P","")</f>
        <v/>
      </c>
      <c r="GJ3" s="102" t="str">
        <f>IF(AND(WSFIQIH!$E$88&gt;=83.25,WSFIQIH!$E$88&lt;=91.4),"P","")</f>
        <v/>
      </c>
      <c r="GK3" s="102" t="str">
        <f>IF(AND(WSFIQIH!$E$88&gt;=91.5,WSFIQIH!$E$88&lt;=100),"P","")</f>
        <v/>
      </c>
      <c r="GL3" s="102" t="str">
        <f>IF(WSFIQIH!$E$96&lt;74.9,"P","")</f>
        <v/>
      </c>
      <c r="GM3" s="102" t="str">
        <f>IF(AND(WSFIQIH!$E$96&gt;=75,WSFIQIH!$E$96&lt;=83.24),"P","")</f>
        <v/>
      </c>
      <c r="GN3" s="102" t="str">
        <f>IF(AND(WSFIQIH!$E$96&gt;=83.25,WSFIQIH!$E$96&lt;=91.4),"P","")</f>
        <v/>
      </c>
      <c r="GO3" s="102" t="str">
        <f>IF(AND(WSFIQIH!$E$96&gt;=91.5,WSFIQIH!$E$96&lt;=100),"P","")</f>
        <v/>
      </c>
      <c r="GP3" s="102" t="str">
        <f>IF(WSFIQIH!$E$104&lt;74.9,"P","")</f>
        <v/>
      </c>
      <c r="GQ3" s="102" t="str">
        <f>IF(AND(WSFIQIH!$E$104&gt;=75,WSFIQIH!$E$104&lt;=83.24),"P","")</f>
        <v/>
      </c>
      <c r="GR3" s="102" t="str">
        <f>IF(AND(WSFIQIH!$E$104&gt;=83.25,WSFIQIH!$E$104&lt;=91.4),"P","")</f>
        <v/>
      </c>
      <c r="GS3" s="102" t="str">
        <f>IF(AND(WSFIQIH!$E$104&gt;=91.5,WSFIQIH!$E$104&lt;=100),"P","")</f>
        <v/>
      </c>
      <c r="GT3" s="102" t="str">
        <f>IF(WSFIQIH!$E$112&lt;74.9,"P","")</f>
        <v/>
      </c>
      <c r="GU3" s="102" t="str">
        <f>IF(AND(WSFIQIH!$E$112&gt;=75,WSFIQIH!$E$112&lt;=83.24),"P","")</f>
        <v/>
      </c>
      <c r="GV3" s="102" t="str">
        <f>IF(AND(WSFIQIH!$E$112&gt;=83.25,WSFIQIH!$E$112&lt;=91.4),"P","")</f>
        <v/>
      </c>
      <c r="GW3" s="102" t="str">
        <f>IF(AND(WSFIQIH!$E$112&gt;=91.5,WSFIQIH!$E$112&lt;=100),"P","")</f>
        <v/>
      </c>
      <c r="GX3" s="102" t="str">
        <f>IF(WSFIQIH!$E$120&lt;74.9,"P","")</f>
        <v/>
      </c>
      <c r="GY3" s="102" t="str">
        <f>IF(AND(WSFIQIH!$E$120&gt;=75,WSFIQIH!$E$120&lt;=83.24),"P","")</f>
        <v/>
      </c>
      <c r="GZ3" s="102" t="str">
        <f>IF(AND(WSFIQIH!$E$120&gt;=83.25,WSFIQIH!$E$120&lt;=91.4),"P","")</f>
        <v/>
      </c>
      <c r="HA3" s="102" t="str">
        <f>IF(AND(WSFIQIH!$E$120&gt;=91.5,WSFIQIH!$E$120&lt;=100),"P","")</f>
        <v/>
      </c>
      <c r="HB3" s="102" t="str">
        <f>IF(WSPKN!$E$6&lt;74.9,"P","")</f>
        <v/>
      </c>
      <c r="HC3" s="102" t="str">
        <f>IF(AND(WSPKN!$E$6&gt;=75,WSPKN!$E$6&lt;=83.24),"P","")</f>
        <v/>
      </c>
      <c r="HD3" s="102" t="str">
        <f>IF(AND(WSPKN!$E$6&gt;=83.25,WSPKN!$E$6&lt;=91.4),"P","")</f>
        <v/>
      </c>
      <c r="HE3" s="102" t="str">
        <f>IF(AND(WSPKN!$E$6&gt;=91.5,WSPKN!$E$6&lt;=100),"P","")</f>
        <v>P</v>
      </c>
      <c r="HF3" s="102" t="str">
        <f>IF(WSPKN!$E$32&lt;74.9,"P","")</f>
        <v/>
      </c>
      <c r="HG3" s="102" t="str">
        <f>IF(AND(WSPKN!$E$32&gt;=75,WSPKN!$E$32&lt;=83.24),"P","")</f>
        <v/>
      </c>
      <c r="HH3" s="102" t="str">
        <f>IF(AND(WSPKN!$E$32&gt;=83.25,WSPKN!$E$32&lt;=91.4),"P","")</f>
        <v/>
      </c>
      <c r="HI3" s="102" t="str">
        <f>IF(AND(WSPKN!$E$32&gt;=91.5,WSPKN!$E$32&lt;=100),"P","")</f>
        <v>P</v>
      </c>
      <c r="HJ3" s="102" t="str">
        <f>IF(WSPKN!$E$55&lt;74.9,"P","")</f>
        <v/>
      </c>
      <c r="HK3" s="102" t="str">
        <f>IF(AND(WSPKN!$E$55&gt;=75,WSPKN!$E$55&lt;=83.24),"P","")</f>
        <v/>
      </c>
      <c r="HL3" s="102" t="str">
        <f>IF(AND(WSPKN!$E$55&gt;=83.25,WSPKN!$E$55&lt;=91.4),"P","")</f>
        <v/>
      </c>
      <c r="HM3" s="102" t="str">
        <f>IF(AND(WSPKN!$E$55&gt;=91.5,WSPKN!$E$55&lt;=100),"P","")</f>
        <v>P</v>
      </c>
      <c r="HN3" s="102" t="str">
        <f>IF(WSPKN!$E$72&lt;74.9,"P","")</f>
        <v/>
      </c>
      <c r="HO3" s="102" t="str">
        <f>IF(AND(WSPKN!$E$72&gt;=75,WSPKN!$E$72&lt;=83.24),"P","")</f>
        <v/>
      </c>
      <c r="HP3" s="102" t="str">
        <f>IF(AND(WSPKN!$E$72&gt;=83.25,WSPKN!$E$72&lt;=91.4),"P","")</f>
        <v/>
      </c>
      <c r="HQ3" s="102" t="str">
        <f>IF(AND(WSPKN!$E$72&gt;=91.5,WSPKN!$E$72&lt;=100),"P","")</f>
        <v>P</v>
      </c>
      <c r="HR3" s="102" t="str">
        <f>IF(WSPKN!$E$86&lt;74.9,"P","")</f>
        <v/>
      </c>
      <c r="HS3" s="102" t="str">
        <f>IF(AND(WSPKN!$E$86&gt;=75,WSPKN!$E$86&lt;=83.24),"P","")</f>
        <v/>
      </c>
      <c r="HT3" s="102" t="str">
        <f>IF(AND(WSPKN!$E$86&gt;=83.25,WSPKN!$E$86&lt;=91.4),"P","")</f>
        <v/>
      </c>
      <c r="HU3" s="102" t="str">
        <f>IF(AND(WSPKN!$E$86&gt;=91.5,WSPKN!$E$86&lt;=100),"P","")</f>
        <v>P</v>
      </c>
      <c r="HV3" s="102" t="str">
        <f>IF(WSPKN!$E$108&lt;74.9,"P","")</f>
        <v/>
      </c>
      <c r="HW3" s="102" t="str">
        <f>IF(AND(WSPKN!$E$108&gt;=75,WSPKN!$E$108&lt;=83.24),"P","")</f>
        <v/>
      </c>
      <c r="HX3" s="102" t="str">
        <f>IF(AND(WSPKN!$E$108&gt;=83.25,WSPKN!$E$108&lt;=91.4),"P","")</f>
        <v/>
      </c>
      <c r="HY3" s="102" t="str">
        <f>IF(AND(WSPKN!$E$108&gt;=91.5,WSPKN!$E$108&lt;=100),"P","")</f>
        <v>P</v>
      </c>
      <c r="HZ3" s="102" t="str">
        <f>IF(WSPKN!$E$132&lt;74.9,"P","")</f>
        <v/>
      </c>
      <c r="IA3" s="102" t="str">
        <f>IF(AND(WSPKN!$E$132&gt;=75,WSPKN!$E$132&lt;=83.24),"P","")</f>
        <v/>
      </c>
      <c r="IB3" s="102" t="str">
        <f>IF(AND(WSPKN!$E$132&gt;=83.25,WSPKN!$E$132&lt;=91.4),"P","")</f>
        <v/>
      </c>
      <c r="IC3" s="102" t="str">
        <f>IF(AND(WSPKN!$E$132&gt;=91.5,WSPKN!$E$132&lt;=100),"P","")</f>
        <v>P</v>
      </c>
      <c r="ID3" s="102" t="str">
        <f>IF(WSPKN!$E$148&lt;74.9,"P","")</f>
        <v/>
      </c>
      <c r="IE3" s="102" t="str">
        <f>IF(AND(WSPKN!$E$148&gt;=75,WSPKN!$E$148&lt;=83.24),"P","")</f>
        <v/>
      </c>
      <c r="IF3" s="102" t="str">
        <f>IF(AND(WSPKN!$E$148&gt;=83.25,WSPKN!$E$148&lt;=91.4),"P","")</f>
        <v/>
      </c>
      <c r="IG3" s="102" t="str">
        <f>IF(AND(WSPKN!$E$148&gt;=91.5,WSPKN!$E$148&lt;=100),"P","")</f>
        <v>P</v>
      </c>
      <c r="IH3" s="102" t="str">
        <f>IF(WSPKN!$E$165&lt;74.9,"P","")</f>
        <v/>
      </c>
      <c r="II3" s="102" t="str">
        <f>IF(AND(WSPKN!$E$165&gt;=75,WSPKN!$E$165&lt;=83.24),"P","")</f>
        <v/>
      </c>
      <c r="IJ3" s="102" t="str">
        <f>IF(AND(WSPKN!$E$165&gt;=83.25,WSPKN!$E$165&lt;=91.4),"P","")</f>
        <v/>
      </c>
      <c r="IK3" s="102" t="str">
        <f>IF(AND(WSPKN!$E$165&gt;=91.5,WSPKN!$E$165&lt;=100),"P","")</f>
        <v/>
      </c>
      <c r="IL3" s="102" t="str">
        <f>IF(WSPKN!$E$173&lt;74.9,"P","")</f>
        <v/>
      </c>
      <c r="IM3" s="102" t="str">
        <f>IF(AND(WSPKN!$E$173&gt;=75,WSPKN!$E$173&lt;=83.24),"P","")</f>
        <v/>
      </c>
      <c r="IN3" s="102" t="str">
        <f>IF(AND(WSPKN!$E$173&gt;=83.25,WSPKN!$E$173&lt;=91.4),"P","")</f>
        <v/>
      </c>
      <c r="IO3" s="102" t="str">
        <f>IF(AND(WSPKN!$E$173&gt;=91.5,WSPKN!$E$173&lt;=100),"P","")</f>
        <v/>
      </c>
      <c r="IP3" s="102" t="str">
        <f>IF(WSPKN!$E$181&lt;74.9,"P","")</f>
        <v/>
      </c>
      <c r="IQ3" s="102" t="str">
        <f>IF(AND(WSPKN!$E$181&gt;=75,WSPKN!$E$181&lt;=83.24),"P","")</f>
        <v/>
      </c>
      <c r="IR3" s="102" t="str">
        <f>IF(AND(WSPKN!$E$181&gt;=83.25,WSPKN!$E$181&lt;=91.4),"P","")</f>
        <v/>
      </c>
      <c r="IS3" s="102" t="str">
        <f>IF(AND(WSPKN!$E$181&gt;=91.5,WSPKN!$E$181&lt;=100),"P","")</f>
        <v/>
      </c>
      <c r="IT3" s="102" t="str">
        <f>IF(WSPKN!$E$189&lt;74.9,"P","")</f>
        <v/>
      </c>
      <c r="IU3" s="102" t="str">
        <f>IF(AND(WSPKN!$E$189&gt;=75,WSPKN!$E$189&lt;=83.24),"P","")</f>
        <v/>
      </c>
      <c r="IV3" s="102" t="str">
        <f>IF(AND(WSPKN!$E$189&gt;=83.25,WSPKN!$E$189&lt;=91.4),"P","")</f>
        <v/>
      </c>
      <c r="IW3" s="102" t="str">
        <f>IF(AND(WSPKN!$E$189&gt;=91.5,WSPKN!$E$189&lt;=100),"P","")</f>
        <v/>
      </c>
      <c r="IX3" s="102" t="str">
        <f>IF(WSPKN!$E$197&lt;74.9,"P","")</f>
        <v/>
      </c>
      <c r="IY3" s="102" t="str">
        <f>IF(AND(WSPKN!$E$197&gt;=75,WSPKN!$E$197&lt;=83.24),"P","")</f>
        <v/>
      </c>
      <c r="IZ3" s="102" t="str">
        <f>IF(AND(WSPKN!$E$197&gt;=83.25,WSPKN!$E$197&lt;=91.4),"P","")</f>
        <v/>
      </c>
      <c r="JA3" s="102" t="str">
        <f>IF(AND(WSPKN!$E$197&gt;=91.5,WSPKN!$E$197&lt;=100),"P","")</f>
        <v/>
      </c>
      <c r="JB3" s="102" t="str">
        <f>IF(WSIND!$E$6&lt;74.9,"P","")</f>
        <v/>
      </c>
      <c r="JC3" s="102" t="str">
        <f>IF(AND(WSIND!$E$6&gt;=75,WSIND!$E$6&lt;=83.24),"P","")</f>
        <v/>
      </c>
      <c r="JD3" s="102" t="str">
        <f>IF(AND(WSIND!$E$6&gt;=83.25,WSIND!$E$6&lt;=91.4),"P","")</f>
        <v/>
      </c>
      <c r="JE3" s="102" t="str">
        <f>IF(AND(WSIND!$E$6&gt;=91.5,WSIND!$E$6&lt;=100),"P","")</f>
        <v>P</v>
      </c>
      <c r="JF3" s="102" t="str">
        <f>IF(WSIND!$E$65&lt;74.9,"P","")</f>
        <v/>
      </c>
      <c r="JG3" s="102" t="str">
        <f>IF(AND(WSIND!$E$65&gt;=75,WSIND!$E$65&lt;=83.24),"P","")</f>
        <v/>
      </c>
      <c r="JH3" s="102" t="str">
        <f>IF(AND(WSIND!$E$65&gt;=83.25,WSIND!$E$65&lt;=91.4),"P","")</f>
        <v/>
      </c>
      <c r="JI3" s="102" t="str">
        <f>IF(AND(WSIND!$E$65&gt;=91.5,WSIND!$E$65&lt;=100),"P","")</f>
        <v>P</v>
      </c>
      <c r="JJ3" s="102" t="str">
        <f>IF(WSIND!$E$113&lt;74.9,"P","")</f>
        <v/>
      </c>
      <c r="JK3" s="102" t="str">
        <f>IF(AND(WSIND!$E$113&gt;=75,WSIND!$E$113&lt;=83.24),"P","")</f>
        <v/>
      </c>
      <c r="JL3" s="102" t="str">
        <f>IF(AND(WSIND!$E$113&gt;=83.25,WSIND!$E$113&lt;=91.4),"P","")</f>
        <v/>
      </c>
      <c r="JM3" s="102" t="str">
        <f>IF(AND(WSIND!$E$113&gt;=91.5,WSIND!$E$113&lt;=100),"P","")</f>
        <v>P</v>
      </c>
      <c r="JN3" s="102" t="str">
        <f>IF(WSIND!$E$133&lt;74.9,"P","")</f>
        <v/>
      </c>
      <c r="JO3" s="102" t="str">
        <f>IF(AND(WSIND!$E$133&gt;=75,WSIND!$E$133&lt;=83.24),"P","")</f>
        <v/>
      </c>
      <c r="JP3" s="102" t="str">
        <f>IF(AND(WSIND!$E$133&gt;=83.25,WSIND!$E$133&lt;=91.4),"P","")</f>
        <v/>
      </c>
      <c r="JQ3" s="102" t="str">
        <f>IF(AND(WSIND!$E$133&gt;=91.5,WSIND!$E$133&lt;=100),"P","")</f>
        <v>P</v>
      </c>
      <c r="JR3" s="102" t="str">
        <f>IF(WSIND!$E$161&lt;74.9,"P","")</f>
        <v/>
      </c>
      <c r="JS3" s="102" t="str">
        <f>IF(AND(WSIND!$E$161&gt;=75,WSIND!$E$161&lt;=83.24),"P","")</f>
        <v/>
      </c>
      <c r="JT3" s="102" t="str">
        <f>IF(AND(WSIND!$E$161&gt;=83.25,WSIND!$E$161&lt;=91.4),"P","")</f>
        <v/>
      </c>
      <c r="JU3" s="102" t="str">
        <f>IF(AND(WSIND!$E$161&gt;=91.5,WSIND!$E$161&lt;=100),"P","")</f>
        <v>P</v>
      </c>
      <c r="JV3" s="102" t="str">
        <f>IF(WSIND!$E$192&lt;74.9,"P","")</f>
        <v/>
      </c>
      <c r="JW3" s="102" t="str">
        <f>IF(AND(WSIND!$E$192&gt;=75,WSIND!$E$192&lt;=83.24),"P","")</f>
        <v/>
      </c>
      <c r="JX3" s="102" t="str">
        <f>IF(AND(WSIND!$E$192&gt;=83.25,WSIND!$E$192&lt;=91.4),"P","")</f>
        <v/>
      </c>
      <c r="JY3" s="102" t="str">
        <f>IF(AND(WSIND!$E$192&gt;=91.5,WSIND!$E$192&lt;=100),"P","")</f>
        <v>P</v>
      </c>
      <c r="JZ3" s="102" t="str">
        <f>IF(WSIND!$E$228&lt;74.9,"P","")</f>
        <v/>
      </c>
      <c r="KA3" s="102" t="str">
        <f>IF(AND(WSIND!$E$228&gt;=75,WSIND!$E$228&lt;=83.24),"P","")</f>
        <v/>
      </c>
      <c r="KB3" s="102" t="str">
        <f>IF(AND(WSIND!$E$228&gt;=83.25,WSIND!$E$228&lt;=91.4),"P","")</f>
        <v/>
      </c>
      <c r="KC3" s="102" t="str">
        <f>IF(AND(WSIND!$E$228&gt;=91.5,WSIND!$E$228&lt;=100),"P","")</f>
        <v>P</v>
      </c>
      <c r="KD3" s="102" t="str">
        <f>IF(WSIND!$E$256&lt;74.9,"P","")</f>
        <v/>
      </c>
      <c r="KE3" s="102" t="str">
        <f>IF(AND(WSIND!$E$256&gt;=75,WSIND!$E$256&lt;=83.24),"P","")</f>
        <v/>
      </c>
      <c r="KF3" s="102" t="str">
        <f>IF(AND(WSIND!$E$256&gt;=83.25,WSIND!$E$256&lt;=91.4),"P","")</f>
        <v/>
      </c>
      <c r="KG3" s="102" t="str">
        <f>IF(AND(WSIND!$E$256&gt;=91.5,WSIND!$E$256&lt;=100),"P","")</f>
        <v>P</v>
      </c>
      <c r="KH3" s="102" t="str">
        <f>IF(WSIND!$E$277&lt;74.9,"P","")</f>
        <v/>
      </c>
      <c r="KI3" s="102" t="str">
        <f>IF(AND(WSIND!$E$277&gt;=75,WSIND!$E$277&lt;=83.24),"P","")</f>
        <v/>
      </c>
      <c r="KJ3" s="102" t="str">
        <f>IF(AND(WSIND!$E$277&gt;=83.25,WSIND!$E$277&lt;=91.4),"P","")</f>
        <v/>
      </c>
      <c r="KK3" s="102" t="str">
        <f>IF(AND(WSIND!$E$277&gt;=91.5,WSIND!$E$277&lt;=100),"P","")</f>
        <v>P</v>
      </c>
      <c r="KL3" s="102" t="str">
        <f>IF(WSIND!$E$305&lt;74.9,"P","")</f>
        <v/>
      </c>
      <c r="KM3" s="102" t="str">
        <f>IF(AND(WSIND!$E$305&gt;=75,WSIND!$E$305&lt;=83.24),"P","")</f>
        <v/>
      </c>
      <c r="KN3" s="102" t="str">
        <f>IF(AND(WSIND!$E$305&gt;=83.25,WSIND!$E$305&lt;=91.4),"P","")</f>
        <v/>
      </c>
      <c r="KO3" s="102" t="str">
        <f>IF(AND(WSIND!$E$305&gt;=91.5,WSIND!$E$305&lt;=100),"P","")</f>
        <v>P</v>
      </c>
      <c r="KP3" s="102" t="str">
        <f>IF(WSIND!$E$329&lt;74.9,"P","")</f>
        <v/>
      </c>
      <c r="KQ3" s="102" t="str">
        <f>IF(AND(WSIND!$E$329&gt;=75,WSIND!$E$329&lt;=83.24),"P","")</f>
        <v/>
      </c>
      <c r="KR3" s="102" t="str">
        <f>IF(AND(WSIND!$E$329&gt;=83.25,WSIND!$E$329&lt;=91.4),"P","")</f>
        <v/>
      </c>
      <c r="KS3" s="102" t="str">
        <f>IF(AND(WSIND!$E$329&gt;=91.5,WSIND!$E$329&lt;=100),"P","")</f>
        <v/>
      </c>
      <c r="KT3" s="102" t="str">
        <f>IF(WSIND!$E$337&lt;74.9,"P","")</f>
        <v/>
      </c>
      <c r="KU3" s="102" t="str">
        <f>IF(AND(WSIND!$E$337&gt;=75,WSIND!$E$337&lt;=83.24),"P","")</f>
        <v/>
      </c>
      <c r="KV3" s="102" t="str">
        <f>IF(AND(WSIND!$E$337&gt;=83.25,WSIND!$E$337&lt;=91.4),"P","")</f>
        <v/>
      </c>
      <c r="KW3" s="102" t="str">
        <f>IF(AND(WSIND!$E$337&gt;=91.5,WSIND!$E$337&lt;=100),"P","")</f>
        <v/>
      </c>
      <c r="KX3" s="102" t="str">
        <f>IF(WSIND!$E$345&lt;74.9,"P","")</f>
        <v/>
      </c>
      <c r="KY3" s="102" t="str">
        <f>IF(AND(WSIND!$E$345&gt;=75,WSIND!$E$345&lt;=83.24),"P","")</f>
        <v/>
      </c>
      <c r="KZ3" s="102" t="str">
        <f>IF(AND(WSIND!$E$345&gt;=83.25,WSIND!$E$345&lt;=91.4),"P","")</f>
        <v/>
      </c>
      <c r="LA3" s="102" t="str">
        <f>IF(AND(WSIND!$E$345&gt;=91.5,WSIND!$E$345&lt;=100),"P","")</f>
        <v/>
      </c>
      <c r="LB3" s="102" t="str">
        <f>IF(WSARAB!$E$6&lt;74.9,"P","")</f>
        <v/>
      </c>
      <c r="LC3" s="102" t="str">
        <f>IF(AND(WSARAB!$E$6&gt;=75,WSARAB!$E$6&lt;=83.24),"P","")</f>
        <v/>
      </c>
      <c r="LD3" s="102" t="str">
        <f>IF(AND(WSARAB!$E$6&gt;=83.25,WSARAB!$E$6&lt;=91.4),"P","")</f>
        <v/>
      </c>
      <c r="LE3" s="102" t="str">
        <f>IF(AND(WSARAB!$E$6&gt;=91.5,WSARAB!$E$6&lt;=100),"P","")</f>
        <v/>
      </c>
      <c r="LF3" s="102" t="str">
        <f>IF(WSARAB!$E$17&lt;74.9,"P","")</f>
        <v/>
      </c>
      <c r="LG3" s="102" t="str">
        <f>IF(AND(WSARAB!$E$17&gt;=75,WSARAB!$E$17&lt;=83.24),"P","")</f>
        <v/>
      </c>
      <c r="LH3" s="102" t="str">
        <f>IF(AND(WSARAB!$E$17&gt;=83.25,WSARAB!$E$17&lt;=91.4),"P","")</f>
        <v/>
      </c>
      <c r="LI3" s="102" t="str">
        <f>IF(AND(WSARAB!$E$17&gt;=91.5,WSARAB!$E$17&lt;=100),"P","")</f>
        <v/>
      </c>
      <c r="LJ3" s="102" t="str">
        <f>IF(WSARAB!$E$29&lt;74.9,"P","")</f>
        <v/>
      </c>
      <c r="LK3" s="102" t="str">
        <f>IF(AND(WSARAB!$E$29&gt;=75,WSARAB!$E$29&lt;=83.24),"P","")</f>
        <v/>
      </c>
      <c r="LL3" s="102" t="str">
        <f>IF(AND(WSARAB!$E$29&gt;=83.25,WSARAB!$E$29&lt;=91.4),"P","")</f>
        <v/>
      </c>
      <c r="LM3" s="102" t="str">
        <f>IF(AND(WSARAB!$E$29&gt;=91.5,WSARAB!$E$29&lt;=100),"P","")</f>
        <v/>
      </c>
      <c r="LN3" s="102" t="str">
        <f>IF(WSARAB!$E$37&lt;74.9,"P","")</f>
        <v/>
      </c>
      <c r="LO3" s="102" t="str">
        <f>IF(AND(WSARAB!$E$37&gt;=75,WSARAB!$E$37&lt;=83.24),"P","")</f>
        <v/>
      </c>
      <c r="LP3" s="102" t="str">
        <f>IF(AND(WSARAB!$E$37&gt;=83.25,WSARAB!$E$37&lt;=91.4),"P","")</f>
        <v/>
      </c>
      <c r="LQ3" s="102" t="str">
        <f>IF(AND(WSARAB!$E$37&gt;=91.5,WSARAB!$E$37&lt;=100),"P","")</f>
        <v/>
      </c>
      <c r="LR3" s="102" t="str">
        <f>IF(WSARAB!$E$45&lt;74.9,"P","")</f>
        <v/>
      </c>
      <c r="LS3" s="102" t="str">
        <f>IF(AND(WSARAB!$E$45&gt;=75,WSARAB!$E$45&lt;=83.24),"P","")</f>
        <v/>
      </c>
      <c r="LT3" s="102" t="str">
        <f>IF(AND(WSARAB!$E$45&gt;=83.25,WSARAB!$E$45&lt;=91.4),"P","")</f>
        <v/>
      </c>
      <c r="LU3" s="102" t="str">
        <f>IF(AND(WSARAB!$E$45&gt;=91.5,WSARAB!$E$45&lt;=100),"P","")</f>
        <v/>
      </c>
      <c r="LV3" s="102" t="str">
        <f>IF(WSARAB!$E$53&lt;74.9,"P","")</f>
        <v/>
      </c>
      <c r="LW3" s="102" t="str">
        <f>IF(AND(WSARAB!$E$53&gt;=75,WSARAB!$E$53&lt;=83.24),"P","")</f>
        <v/>
      </c>
      <c r="LX3" s="102" t="str">
        <f>IF(AND(WSARAB!$E$53&gt;=83.25,WSARAB!$E$53&lt;=91.4),"P","")</f>
        <v/>
      </c>
      <c r="LY3" s="102" t="str">
        <f>IF(AND(WSARAB!$E$53&gt;=91.5,WSARAB!$E$53&lt;=100),"P","")</f>
        <v/>
      </c>
      <c r="LZ3" s="102" t="str">
        <f>IF(WSARAB!$E$65&lt;74.9,"P","")</f>
        <v/>
      </c>
      <c r="MA3" s="102" t="str">
        <f>IF(AND(WSARAB!$E$65&gt;=75,WSARAB!$E$65&lt;=83.24),"P","")</f>
        <v/>
      </c>
      <c r="MB3" s="102" t="str">
        <f>IF(AND(WSARAB!$E$65&gt;=83.25,WSARAB!$E$65&lt;=91.4),"P","")</f>
        <v/>
      </c>
      <c r="MC3" s="102" t="str">
        <f>IF(AND(WSARAB!$E$65&gt;=91.5,WSARAB!$E$65&lt;=100),"P","")</f>
        <v/>
      </c>
      <c r="MD3" s="102" t="str">
        <f>IF(WSARAB!$E$73&lt;74.9,"P","")</f>
        <v/>
      </c>
      <c r="ME3" s="102" t="str">
        <f>IF(AND(WSARAB!$E$73&gt;=75,WSARAB!$E$73&lt;=83.24),"P","")</f>
        <v/>
      </c>
      <c r="MF3" s="102" t="str">
        <f>IF(AND(WSARAB!$E$73&gt;=83.25,WSARAB!$E$73&lt;=91.4),"P","")</f>
        <v/>
      </c>
      <c r="MG3" s="102" t="str">
        <f>IF(AND(WSARAB!$E$73&gt;=91.5,WSARAB!$E$73&lt;=100),"P","")</f>
        <v/>
      </c>
      <c r="MH3" s="102" t="str">
        <f>IF(WSARAB!$E$81&lt;74.9,"P","")</f>
        <v/>
      </c>
      <c r="MI3" s="102" t="str">
        <f>IF(AND(WSARAB!$E$81&gt;=75,WSARAB!$E$81&lt;=83.24),"P","")</f>
        <v/>
      </c>
      <c r="MJ3" s="102" t="str">
        <f>IF(AND(WSARAB!$E$81&gt;=83.25,WSARAB!$E$81&lt;=91.4),"P","")</f>
        <v/>
      </c>
      <c r="MK3" s="102" t="str">
        <f>IF(AND(WSARAB!$E$81&gt;=91.5,WSARAB!$E$81&lt;=100),"P","")</f>
        <v/>
      </c>
      <c r="ML3" s="102" t="str">
        <f>IF(WSARAB!$E$89&lt;74.9,"P","")</f>
        <v/>
      </c>
      <c r="MM3" s="102" t="str">
        <f>IF(AND(WSARAB!$E$89&gt;=75,WSARAB!$E$89&lt;=83.24),"P","")</f>
        <v/>
      </c>
      <c r="MN3" s="102" t="str">
        <f>IF(AND(WSARAB!$E$89&gt;=83.25,WSARAB!$E$89&lt;=91.4),"P","")</f>
        <v/>
      </c>
      <c r="MO3" s="102" t="str">
        <f>IF(AND(WSARAB!$E$89&gt;=91.5,WSARAB!$E$89&lt;=100),"P","")</f>
        <v/>
      </c>
      <c r="MP3" s="102" t="str">
        <f>IF(WSARAB!$E$97&lt;74.9,"P","")</f>
        <v/>
      </c>
      <c r="MQ3" s="102" t="str">
        <f>IF(AND(WSARAB!$E$97&gt;=75,WSARAB!$E$97&lt;=83.24),"P","")</f>
        <v/>
      </c>
      <c r="MR3" s="102" t="str">
        <f>IF(AND(WSARAB!$E$97&gt;=83.25,WSARAB!$E$97&lt;=91.4),"P","")</f>
        <v/>
      </c>
      <c r="MS3" s="102" t="str">
        <f>IF(AND(WSARAB!$E$97&gt;=91.5,WSARAB!$E$97&lt;=100),"P","")</f>
        <v/>
      </c>
      <c r="MT3" s="102" t="str">
        <f>IF(WSARAB!$E$105&lt;74.9,"P","")</f>
        <v/>
      </c>
      <c r="MU3" s="102" t="str">
        <f>IF(AND(WSARAB!$E$105&gt;=75,WSARAB!$E$105&lt;=83.24),"P","")</f>
        <v/>
      </c>
      <c r="MV3" s="102" t="str">
        <f>IF(AND(WSARAB!$E$105&gt;=83.25,WSARAB!$E$105&lt;=91.4),"P","")</f>
        <v/>
      </c>
      <c r="MW3" s="102" t="str">
        <f>IF(AND(WSARAB!$E$105&gt;=91.5,WSARAB!$E$105&lt;=100),"P","")</f>
        <v/>
      </c>
      <c r="MX3" s="102" t="str">
        <f>IF(WSARAB!$E$113&lt;74.9,"P","")</f>
        <v/>
      </c>
      <c r="MY3" s="102" t="str">
        <f>IF(AND(WSARAB!$E$113&gt;=75,WSARAB!$E$113&lt;=83.24),"P","")</f>
        <v/>
      </c>
      <c r="MZ3" s="102" t="str">
        <f>IF(AND(WSARAB!$E$113&gt;=83.25,WSARAB!$E$113&lt;=91.4),"P","")</f>
        <v/>
      </c>
      <c r="NA3" s="102" t="str">
        <f>IF(AND(WSARAB!$E$113&gt;=91.5,WSARAB!$E$113&lt;=100),"P","")</f>
        <v/>
      </c>
      <c r="NB3" s="102" t="str">
        <f>IF(WSMTK!$E$6&lt;74.9,"P","")</f>
        <v/>
      </c>
      <c r="NC3" s="102" t="str">
        <f>IF(AND(WSMTK!$E$6&gt;=75,WSMTK!$E$6&lt;=83.24),"P","")</f>
        <v/>
      </c>
      <c r="ND3" s="102" t="str">
        <f>IF(AND(WSMTK!$E$6&gt;=83.25,WSMTK!$E$6&lt;=91.4),"P","")</f>
        <v/>
      </c>
      <c r="NE3" s="102" t="str">
        <f>IF(AND(WSMTK!$E$6&gt;=91.5,WSMTK!$E$6&lt;=100),"P","")</f>
        <v>P</v>
      </c>
      <c r="NF3" s="102" t="str">
        <f>IF(WSMTK!$E$22&lt;74.9,"P","")</f>
        <v/>
      </c>
      <c r="NG3" s="102" t="str">
        <f>IF(AND(WSMTK!$E$22&gt;=75,WSMTK!$E$22&lt;=83.24),"P","")</f>
        <v/>
      </c>
      <c r="NH3" s="102" t="str">
        <f>IF(AND(WSMTK!$E$22&gt;=83.25,WSMTK!$E$22&lt;=91.4),"P","")</f>
        <v/>
      </c>
      <c r="NI3" s="102" t="str">
        <f>IF(AND(WSMTK!$E$22&gt;=91.5,WSMTK!$E$22&lt;=100),"P","")</f>
        <v>P</v>
      </c>
      <c r="NJ3" s="102" t="str">
        <f>IF(WSMTK!$E$35&lt;74.9,"P","")</f>
        <v/>
      </c>
      <c r="NK3" s="102" t="str">
        <f>IF(AND(WSMTK!$E$35&gt;=75,WSMTK!$E$35&lt;=83.24),"P","")</f>
        <v/>
      </c>
      <c r="NL3" s="102" t="str">
        <f>IF(AND(WSMTK!$E$35&gt;=83.25,WSMTK!$E$35&lt;=91.4),"P","")</f>
        <v/>
      </c>
      <c r="NM3" s="102" t="str">
        <f>IF(AND(WSMTK!$E$35&gt;=91.5,WSMTK!$E$35&lt;=100),"P","")</f>
        <v>P</v>
      </c>
      <c r="NN3" s="102" t="str">
        <f>IF(WSMTK!$E$69&lt;74.9,"P","")</f>
        <v/>
      </c>
      <c r="NO3" s="102" t="str">
        <f>IF(AND(WSMTK!$E$69&gt;=75,WSMTK!$E$69&lt;=83.24),"P","")</f>
        <v/>
      </c>
      <c r="NP3" s="102" t="str">
        <f>IF(AND(WSMTK!$E$69&gt;=83.25,WSMTK!$E$69&lt;=91.4),"P","")</f>
        <v/>
      </c>
      <c r="NQ3" s="102" t="str">
        <f>IF(AND(WSMTK!$E$69&gt;=91.5,WSMTK!$E$69&lt;=100),"P","")</f>
        <v>P</v>
      </c>
      <c r="NR3" s="102" t="str">
        <f>IF(WSMTK!$E$87&lt;74.9,"P","")</f>
        <v/>
      </c>
      <c r="NS3" s="102" t="str">
        <f>IF(AND(WSMTK!$E$87&gt;=75,WSMTK!$E$87&lt;=83.24),"P","")</f>
        <v/>
      </c>
      <c r="NT3" s="102" t="str">
        <f>IF(AND(WSMTK!$E$87&gt;=83.25,WSMTK!$E$87&lt;=91.4),"P","")</f>
        <v/>
      </c>
      <c r="NU3" s="102" t="str">
        <f>IF(AND(WSMTK!$E$87&gt;=91.5,WSMTK!$E$87&lt;=100),"P","")</f>
        <v>P</v>
      </c>
      <c r="NV3" s="102" t="str">
        <f>IF(WSMTK!$E$99&lt;74.9,"P","")</f>
        <v/>
      </c>
      <c r="NW3" s="102" t="str">
        <f>IF(AND(WSMTK!$E$99&gt;=75,WSMTK!$E$99&lt;=83.24),"P","")</f>
        <v/>
      </c>
      <c r="NX3" s="102" t="str">
        <f>IF(AND(WSMTK!$E$99&gt;=83.25,WSMTK!$E$99&lt;=91.4),"P","")</f>
        <v/>
      </c>
      <c r="NY3" s="102" t="str">
        <f>IF(AND(WSMTK!$E$99&gt;=91.5,WSMTK!$E$99&lt;=100),"P","")</f>
        <v>P</v>
      </c>
      <c r="NZ3" s="102" t="str">
        <f>IF(WSMTK!$E$113&lt;74.9,"P","")</f>
        <v/>
      </c>
      <c r="OA3" s="102" t="str">
        <f>IF(AND(WSMTK!$E$113&gt;=75,WSMTK!$E$113&lt;=83.24),"P","")</f>
        <v/>
      </c>
      <c r="OB3" s="102" t="str">
        <f>IF(AND(WSMTK!$E$113&gt;=83.25,WSMTK!$E$113&lt;=91.4),"P","")</f>
        <v/>
      </c>
      <c r="OC3" s="102" t="str">
        <f>IF(AND(WSMTK!$E$113&gt;=91.5,WSMTK!$E$113&lt;=100),"P","")</f>
        <v>P</v>
      </c>
      <c r="OD3" s="102" t="str">
        <f>IF(WSMTK!$E$145&lt;74.9,"P","")</f>
        <v/>
      </c>
      <c r="OE3" s="102" t="str">
        <f>IF(AND(WSMTK!$E$145&gt;=75,WSMTK!$E$145&lt;=83.24),"P","")</f>
        <v/>
      </c>
      <c r="OF3" s="102" t="str">
        <f>IF(AND(WSMTK!$E$145&gt;=83.25,WSMTK!$E$145&lt;=91.4),"P","")</f>
        <v/>
      </c>
      <c r="OG3" s="102" t="str">
        <f>IF(AND(WSMTK!$E$145&gt;=91.5,WSMTK!$E$145&lt;=100),"P","")</f>
        <v>P</v>
      </c>
      <c r="OH3" s="102" t="str">
        <f>IF(WSMTK!$E$168&lt;74.9,"P","")</f>
        <v/>
      </c>
      <c r="OI3" s="102" t="str">
        <f>IF(AND(WSMTK!$E$168&gt;=75,WSMTK!$E$168&lt;=83.24),"P","")</f>
        <v/>
      </c>
      <c r="OJ3" s="102" t="str">
        <f>IF(AND(WSMTK!$E$168&gt;=83.25,WSMTK!$E$168&lt;=91.4),"P","")</f>
        <v/>
      </c>
      <c r="OK3" s="102" t="str">
        <f>IF(AND(WSMTK!$E$168&gt;=91.5,WSMTK!$E$168&lt;=100),"P","")</f>
        <v/>
      </c>
      <c r="OL3" s="102" t="str">
        <f>IF(WSMTK!$E$176&lt;74.9,"P","")</f>
        <v/>
      </c>
      <c r="OM3" s="102" t="str">
        <f>IF(AND(WSMTK!$E$176&gt;=75,WSMTK!$E$176&lt;=83.24),"P","")</f>
        <v/>
      </c>
      <c r="ON3" s="102" t="str">
        <f>IF(AND(WSMTK!$E$176&gt;=83.25,WSMTK!$E$176&lt;=91.4),"P","")</f>
        <v/>
      </c>
      <c r="OO3" s="102" t="str">
        <f>IF(AND(WSMTK!$E$176&gt;=91.5,WSMTK!$E$176&lt;=100),"P","")</f>
        <v/>
      </c>
      <c r="OP3" s="102" t="str">
        <f>IF(WSMTK!$E$184&lt;74.9,"P","")</f>
        <v/>
      </c>
      <c r="OQ3" s="102" t="str">
        <f>IF(AND(WSMTK!$E$184&gt;=75,WSMTK!$E$184&lt;=83.24),"P","")</f>
        <v/>
      </c>
      <c r="OR3" s="102" t="str">
        <f>IF(AND(WSMTK!$E$184&gt;=83.25,WSMTK!$E$184&lt;=91.4),"P","")</f>
        <v/>
      </c>
      <c r="OS3" s="102" t="str">
        <f>IF(AND(WSMTK!$E$184&gt;=91.5,WSMTK!$E$184&lt;=100),"P","")</f>
        <v/>
      </c>
      <c r="OT3" s="102" t="str">
        <f>IF(WSMTK!$E$192&lt;74.9,"P","")</f>
        <v/>
      </c>
      <c r="OU3" s="102" t="str">
        <f>IF(AND(WSMTK!$E$192&gt;=75,WSMTK!$E$192&lt;=83.24),"P","")</f>
        <v/>
      </c>
      <c r="OV3" s="102" t="str">
        <f>IF(AND(WSMTK!$E$192&gt;=83.25,WSMTK!$E$192&lt;=91.4),"P","")</f>
        <v/>
      </c>
      <c r="OW3" s="102" t="str">
        <f>IF(AND(WSMTK!$E$192&gt;=91.5,WSMTK!$E$192&lt;=100),"P","")</f>
        <v/>
      </c>
      <c r="OX3" s="102" t="str">
        <f>IF(WSMTK!$E$200&lt;74.9,"P","")</f>
        <v/>
      </c>
      <c r="OY3" s="102" t="str">
        <f>IF(AND(WSMTK!$E$200&gt;=75,WSMTK!$E$200&lt;=83.24),"P","")</f>
        <v/>
      </c>
      <c r="OZ3" s="102" t="str">
        <f>IF(AND(WSMTK!$E$200&gt;=83.25,WSMTK!$E$200&lt;=91.4),"P","")</f>
        <v/>
      </c>
      <c r="PA3" s="102" t="str">
        <f>IF(AND(WSMTK!$E$200&gt;=91.5,WSMTK!$E$200&lt;=100),"P","")</f>
        <v/>
      </c>
      <c r="PB3" s="102" t="str">
        <f>IF(WSIPA!$E$6&lt;74.9,"P","")</f>
        <v/>
      </c>
      <c r="PC3" s="102" t="str">
        <f>IF(AND(WSIPA!$E$6&gt;=75,WSIPA!$E$6&lt;=83.24),"P","")</f>
        <v/>
      </c>
      <c r="PD3" s="102" t="str">
        <f>IF(AND(WSIPA!$E$6&gt;=83.25,WSIPA!$E$6&lt;=91.4),"P","")</f>
        <v/>
      </c>
      <c r="PE3" s="102" t="str">
        <f>IF(AND(WSIPA!$E$6&gt;=91.5,WSIPA!$E$6&lt;=100),"P","")</f>
        <v/>
      </c>
      <c r="PF3" s="102" t="str">
        <f>IF(WSIPA!$E$14&lt;74.9,"P","")</f>
        <v/>
      </c>
      <c r="PG3" s="102" t="str">
        <f>IF(AND(WSIPA!$E$14&gt;=75,WSIPA!$E$14&lt;=83.24),"P","")</f>
        <v/>
      </c>
      <c r="PH3" s="102" t="str">
        <f>IF(AND(WSIPA!$E$14&gt;=83.25,WSIPA!$E$14&lt;=91.4),"P","")</f>
        <v/>
      </c>
      <c r="PI3" s="102" t="str">
        <f>IF(AND(WSIPA!$E$14&gt;=91.5,WSIPA!$E$14&lt;=100),"P","")</f>
        <v/>
      </c>
      <c r="PJ3" s="102" t="str">
        <f>IF(WSIPA!$E$22&lt;74.9,"P","")</f>
        <v/>
      </c>
      <c r="PK3" s="102" t="str">
        <f>IF(AND(WSIPA!$E$22&gt;=75,WSIPA!$E$22&lt;=83.24),"P","")</f>
        <v/>
      </c>
      <c r="PL3" s="102" t="str">
        <f>IF(AND(WSIPA!$E$22&gt;=83.25,WSIPA!$E$22&lt;=91.4),"P","")</f>
        <v/>
      </c>
      <c r="PM3" s="102" t="str">
        <f>IF(AND(WSIPA!$E$22&gt;=91.5,WSIPA!$E$22&lt;=100),"P","")</f>
        <v/>
      </c>
      <c r="PN3" s="102" t="str">
        <f>IF(WSIPA!$E$30&lt;74.9,"P","")</f>
        <v/>
      </c>
      <c r="PO3" s="102" t="str">
        <f>IF(AND(WSIPA!$E$30&gt;=75,WSIPA!$E$30&lt;=83.24),"P","")</f>
        <v/>
      </c>
      <c r="PP3" s="102" t="str">
        <f>IF(AND(WSIPA!$E$30&gt;=83.25,WSIPA!$E$30&lt;=91.4),"P","")</f>
        <v/>
      </c>
      <c r="PQ3" s="102" t="str">
        <f>IF(AND(WSIPA!$E$30&gt;=91.5,WSIPA!$E$30&lt;=100),"P","")</f>
        <v/>
      </c>
      <c r="PR3" s="102" t="str">
        <f>IF(WSIPA!$E$38&lt;74.9,"P","")</f>
        <v/>
      </c>
      <c r="PS3" s="102" t="str">
        <f>IF(AND(WSIPA!$E$38&gt;=75,WSIPA!$E$38&lt;=83.24),"P","")</f>
        <v/>
      </c>
      <c r="PT3" s="102" t="str">
        <f>IF(AND(WSIPA!$E$38&gt;=83.25,WSIPA!$E$38&lt;=91.4),"P","")</f>
        <v/>
      </c>
      <c r="PU3" s="102" t="str">
        <f>IF(AND(WSIPA!$E$38&gt;=91.5,WSIPA!$E$38&lt;=100),"P","")</f>
        <v/>
      </c>
      <c r="PV3" s="102" t="str">
        <f>IF(WSIPA!$E$46&lt;74.9,"P","")</f>
        <v/>
      </c>
      <c r="PW3" s="102" t="str">
        <f>IF(AND(WSIPA!$E$46&gt;=75,WSIPA!$E$46&lt;=83.24),"P","")</f>
        <v/>
      </c>
      <c r="PX3" s="102" t="str">
        <f>IF(AND(WSIPA!$E$46&gt;=83.25,WSIPA!$E$46&lt;=91.4),"P","")</f>
        <v/>
      </c>
      <c r="PY3" s="102" t="str">
        <f>IF(AND(WSIPA!$E$46&gt;=91.5,WSIPA!$E$46&lt;=100),"P","")</f>
        <v/>
      </c>
      <c r="PZ3" s="102" t="str">
        <f>IF(WSIPA!$E$54&lt;74.9,"P","")</f>
        <v/>
      </c>
      <c r="QA3" s="102" t="str">
        <f>IF(AND(WSIPA!$E$54&gt;=75,WSIPA!$E$54&lt;=83.24),"P","")</f>
        <v/>
      </c>
      <c r="QB3" s="102" t="str">
        <f>IF(AND(WSIPA!$E$54&gt;=83.25,WSIPA!$E$54&lt;=91.4),"P","")</f>
        <v/>
      </c>
      <c r="QC3" s="102" t="str">
        <f>IF(AND(WSIPA!$E$54&gt;=91.5,WSIPA!$E$54&lt;=100),"P","")</f>
        <v/>
      </c>
      <c r="QD3" s="102" t="str">
        <f>IF(WSIPA!$E$62&lt;74.9,"P","")</f>
        <v/>
      </c>
      <c r="QE3" s="102" t="str">
        <f>IF(AND(WSIPA!$E$62&gt;=75,WSIPA!$E$62&lt;=83.24),"P","")</f>
        <v/>
      </c>
      <c r="QF3" s="102" t="str">
        <f>IF(AND(WSIPA!$E$62&gt;=83.25,WSIPA!$E$62&lt;=91.4),"P","")</f>
        <v/>
      </c>
      <c r="QG3" s="102" t="str">
        <f>IF(AND(WSIPA!$E$62&gt;=91.5,WSIPA!$E$62&lt;=100),"P","")</f>
        <v/>
      </c>
      <c r="QH3" s="102" t="str">
        <f>IF(WSIPA!$E$70&lt;74.9,"P","")</f>
        <v/>
      </c>
      <c r="QI3" s="102" t="str">
        <f>IF(AND(WSIPA!$E$70&gt;=75,WSIPA!$E$70&lt;=83.24),"P","")</f>
        <v/>
      </c>
      <c r="QJ3" s="102" t="str">
        <f>IF(AND(WSIPA!$E$70&gt;=83.25,WSIPA!$E$70&lt;=91.4),"P","")</f>
        <v/>
      </c>
      <c r="QK3" s="102" t="str">
        <f>IF(AND(WSIPA!$E$70&gt;=91.5,WSIPA!$E$70&lt;=100),"P","")</f>
        <v/>
      </c>
      <c r="QL3" s="102" t="str">
        <f>IF(WSIPA!$E$78&lt;74.9,"P","")</f>
        <v/>
      </c>
      <c r="QM3" s="102" t="str">
        <f>IF(AND(WSIPA!$E$78&gt;=75,WSIPA!$E$78&lt;=83.24),"P","")</f>
        <v/>
      </c>
      <c r="QN3" s="102" t="str">
        <f>IF(AND(WSIPA!$E$78&gt;=83.25,WSIPA!$E$78&lt;=91.4),"P","")</f>
        <v/>
      </c>
      <c r="QO3" s="102" t="str">
        <f>IF(AND(WSIPA!$E$78&gt;=91.5,WSIPA!$E$78&lt;=100),"P","")</f>
        <v/>
      </c>
      <c r="QP3" s="102" t="str">
        <f>IF(WSIPA!$E$86&lt;74.9,"P","")</f>
        <v/>
      </c>
      <c r="QQ3" s="102" t="str">
        <f>IF(AND(WSIPA!$E$86&gt;=75,WSIPA!$E$86&lt;=83.24),"P","")</f>
        <v/>
      </c>
      <c r="QR3" s="102" t="str">
        <f>IF(AND(WSIPA!$E$86&gt;=83.25,WSIPA!$E$86&lt;=91.4),"P","")</f>
        <v/>
      </c>
      <c r="QS3" s="102" t="str">
        <f>IF(AND(WSIPA!$E$86&gt;=91.5,WSIPA!$E$86&lt;=100),"P","")</f>
        <v/>
      </c>
      <c r="QT3" s="102" t="str">
        <f>IF(WSIPA!$E$94&lt;74.9,"P","")</f>
        <v/>
      </c>
      <c r="QU3" s="102" t="str">
        <f>IF(AND(WSIPA!$E$94&gt;=75,WSIPA!$E$94&lt;=83.24),"P","")</f>
        <v/>
      </c>
      <c r="QV3" s="102" t="str">
        <f>IF(AND(WSIPA!$E$94&gt;=83.25,WSIPA!$E$94&lt;=91.4),"P","")</f>
        <v/>
      </c>
      <c r="QW3" s="102" t="str">
        <f>IF(AND(WSIPA!$E$94&gt;=91.5,WSIPA!$E$94&lt;=100),"P","")</f>
        <v/>
      </c>
      <c r="QX3" s="102" t="str">
        <f>IF(WSIPA!$E$102&lt;74.9,"P","")</f>
        <v/>
      </c>
      <c r="QY3" s="102" t="str">
        <f>IF(AND(WSIPA!$E$102&gt;=75,WSIPA!$E$102&lt;=83.24),"P","")</f>
        <v/>
      </c>
      <c r="QZ3" s="102" t="str">
        <f>IF(AND(WSIPA!$E$102&gt;=83.25,WSIPA!$E$102&lt;=91.4),"P","")</f>
        <v/>
      </c>
      <c r="RA3" s="102" t="str">
        <f>IF(AND(WSIPA!$E$102&gt;=91.5,WSIPA!$E$102&lt;=100),"P","")</f>
        <v/>
      </c>
      <c r="RB3" s="102" t="str">
        <f>IF(WSIPS!$E$6&lt;74.9,"P","")</f>
        <v/>
      </c>
      <c r="RC3" s="102" t="str">
        <f>IF(AND(WSIPS!$E$6&gt;=75,WSIPS!$E$6&lt;=83.24),"P","")</f>
        <v/>
      </c>
      <c r="RD3" s="102" t="str">
        <f>IF(AND(WSIPS!$E$6&gt;=83.25,WSIPS!$E$6&lt;=91.4),"P","")</f>
        <v/>
      </c>
      <c r="RE3" s="102" t="str">
        <f>IF(AND(WSIPS!$E$6&gt;=91.5,WSIPS!$E$6&lt;=100),"P","")</f>
        <v/>
      </c>
      <c r="RF3" s="102" t="str">
        <f>IF(WSIPS!$E$14&lt;74.9,"P","")</f>
        <v/>
      </c>
      <c r="RG3" s="102" t="str">
        <f>IF(AND(WSIPS!$E$14&gt;=75,WSIPS!$E$14&lt;=83.24),"P","")</f>
        <v/>
      </c>
      <c r="RH3" s="102" t="str">
        <f>IF(AND(WSIPS!$E$14&gt;=83.25,WSIPS!$E$14&lt;=91.4),"P","")</f>
        <v/>
      </c>
      <c r="RI3" s="102" t="str">
        <f>IF(AND(WSIPS!$E$14&gt;=91.5,WSIPS!$E$14&lt;=100),"P","")</f>
        <v/>
      </c>
      <c r="RJ3" s="102" t="str">
        <f>IF(WSIPS!$E$22&lt;74.9,"P","")</f>
        <v/>
      </c>
      <c r="RK3" s="102" t="str">
        <f>IF(AND(WSIPS!$E$22&gt;=75,WSIPS!$E$22&lt;=83.24),"P","")</f>
        <v/>
      </c>
      <c r="RL3" s="102" t="str">
        <f>IF(AND(WSIPS!$E$22&gt;=83.25,WSIPS!$E$22&lt;=91.4),"P","")</f>
        <v/>
      </c>
      <c r="RM3" s="102" t="str">
        <f>IF(AND(WSIPS!$E$22&gt;=91.5,WSIPS!$E$22&lt;=100),"P","")</f>
        <v/>
      </c>
      <c r="RN3" s="102" t="str">
        <f>IF(WSIPS!$E$30&lt;74.9,"P","")</f>
        <v/>
      </c>
      <c r="RO3" s="102" t="str">
        <f>IF(AND(WSIPS!$E$30&gt;=75,WSIPS!$E$30&lt;=83.24),"P","")</f>
        <v/>
      </c>
      <c r="RP3" s="102" t="str">
        <f>IF(AND(WSIPS!$E$30&gt;=83.25,WSIPS!$E$30&lt;=91.4),"P","")</f>
        <v/>
      </c>
      <c r="RQ3" s="102" t="str">
        <f>IF(AND(WSIPS!$E$30&gt;=91.5,WSIPS!$E$30&lt;=100),"P","")</f>
        <v/>
      </c>
      <c r="RR3" s="102" t="str">
        <f>IF(WSIPS!$E$38&lt;74.9,"P","")</f>
        <v/>
      </c>
      <c r="RS3" s="102" t="str">
        <f>IF(AND(WSIPS!$E$38&gt;=75,WSIPS!$E$38&lt;=83.24),"P","")</f>
        <v/>
      </c>
      <c r="RT3" s="102" t="str">
        <f>IF(AND(WSIPS!$E$38&gt;=83.25,WSIPS!$E$38&lt;=91.4),"P","")</f>
        <v/>
      </c>
      <c r="RU3" s="102" t="str">
        <f>IF(AND(WSIPS!$E$38&gt;=91.5,WSIPS!$E$38&lt;=100),"P","")</f>
        <v/>
      </c>
      <c r="RV3" s="102" t="str">
        <f>IF(WSIPS!$E$46&lt;74.9,"P","")</f>
        <v/>
      </c>
      <c r="RW3" s="102" t="str">
        <f>IF(AND(WSIPS!$E$46&gt;=75,WSIPS!$E$46&lt;=83.24),"P","")</f>
        <v/>
      </c>
      <c r="RX3" s="102" t="str">
        <f>IF(AND(WSIPS!$E$46&gt;=83.25,WSIPS!$E$46&lt;=91.4),"P","")</f>
        <v/>
      </c>
      <c r="RY3" s="102" t="str">
        <f>IF(AND(WSIPS!$E$46&gt;=91.5,WSIPS!$E$46&lt;=100),"P","")</f>
        <v/>
      </c>
      <c r="RZ3" s="102" t="str">
        <f>IF(WSIPS!$E$54&lt;74.9,"P","")</f>
        <v/>
      </c>
      <c r="SA3" s="102" t="str">
        <f>IF(AND(WSIPS!$E$54&gt;=75,WSIPS!$E$54&lt;=83.24),"P","")</f>
        <v/>
      </c>
      <c r="SB3" s="102" t="str">
        <f>IF(AND(WSIPS!$E$54&gt;=83.25,WSIPS!$E$54&lt;=91.4),"P","")</f>
        <v/>
      </c>
      <c r="SC3" s="102" t="str">
        <f>IF(AND(WSIPS!$E$54&gt;=91.5,WSIPS!$E$54&lt;=100),"P","")</f>
        <v/>
      </c>
      <c r="SD3" s="102" t="str">
        <f>IF(WSIPS!$E$62&lt;74.9,"P","")</f>
        <v/>
      </c>
      <c r="SE3" s="102" t="str">
        <f>IF(AND(WSIPS!$E$62&gt;=75,WSIPS!$E$62&lt;=83.24),"P","")</f>
        <v/>
      </c>
      <c r="SF3" s="102" t="str">
        <f>IF(AND(WSIPS!$E$62&gt;=83.25,WSIPS!$E$62&lt;=91.4),"P","")</f>
        <v/>
      </c>
      <c r="SG3" s="102" t="str">
        <f>IF(AND(WSIPS!$E$62&gt;=91.5,WSIPS!$E$62&lt;=100),"P","")</f>
        <v/>
      </c>
      <c r="SH3" s="102" t="str">
        <f>IF(WSIPS!$E$70&lt;74.9,"P","")</f>
        <v/>
      </c>
      <c r="SI3" s="102" t="str">
        <f>IF(AND(WSIPS!$E$70&gt;=75,WSIPS!$E$70&lt;=83.24),"P","")</f>
        <v/>
      </c>
      <c r="SJ3" s="102" t="str">
        <f>IF(AND(WSIPS!$E$70&gt;=83.25,WSIPS!$E$70&lt;=91.4),"P","")</f>
        <v/>
      </c>
      <c r="SK3" s="102" t="str">
        <f>IF(AND(WSIPS!$E$70&gt;=91.5,WSIPS!$E$70&lt;=100),"P","")</f>
        <v/>
      </c>
      <c r="SL3" s="102" t="str">
        <f>IF(WSIPS!$E$78&lt;74.9,"P","")</f>
        <v/>
      </c>
      <c r="SM3" s="102" t="str">
        <f>IF(AND(WSIPS!$E$78&gt;=75,WSIPS!$E$78&lt;=83.24),"P","")</f>
        <v/>
      </c>
      <c r="SN3" s="102" t="str">
        <f>IF(AND(WSIPS!$E$78&gt;=83.25,WSIPS!$E$78&lt;=91.4),"P","")</f>
        <v/>
      </c>
      <c r="SO3" s="102" t="str">
        <f>IF(AND(WSIPS!$E$78&gt;=91.5,WSIPS!$E$78&lt;=100),"P","")</f>
        <v/>
      </c>
      <c r="SP3" s="102" t="str">
        <f>IF(WSIPS!$E$86&lt;74.9,"P","")</f>
        <v/>
      </c>
      <c r="SQ3" s="102" t="str">
        <f>IF(AND(WSIPS!$E$86&gt;=75,WSIPS!$E$86&lt;=83.24),"P","")</f>
        <v/>
      </c>
      <c r="SR3" s="102" t="str">
        <f>IF(AND(WSIPS!$E$86&gt;=83.25,WSIPS!$E$86&lt;=91.4),"P","")</f>
        <v/>
      </c>
      <c r="SS3" s="102" t="str">
        <f>IF(AND(WSIPS!$E$86&gt;=91.5,WSIPS!$E$86&lt;=100),"P","")</f>
        <v/>
      </c>
      <c r="ST3" s="102" t="str">
        <f>IF(WSIPS!$E$94&lt;74.9,"P","")</f>
        <v/>
      </c>
      <c r="SU3" s="102" t="str">
        <f>IF(AND(WSIPS!$E$94&gt;=75,WSIPS!$E$94&lt;=83.24),"P","")</f>
        <v/>
      </c>
      <c r="SV3" s="102" t="str">
        <f>IF(AND(WSIPS!$E$94&gt;=83.25,WSIPS!$E$94&lt;=91.4),"P","")</f>
        <v/>
      </c>
      <c r="SW3" s="102" t="str">
        <f>IF(AND(WSIPS!$E$94&gt;=91.5,WSIPS!$E$94&lt;=100),"P","")</f>
        <v/>
      </c>
      <c r="SX3" s="102" t="str">
        <f>IF(WSIPS!$E$102&lt;74.9,"P","")</f>
        <v/>
      </c>
      <c r="SY3" s="102" t="str">
        <f>IF(AND(WSIPS!$E$102&gt;=75,WSIPS!$E$102&lt;=83.24),"P","")</f>
        <v/>
      </c>
      <c r="SZ3" s="102" t="str">
        <f>IF(AND(WSIPS!$E$102&gt;=83.25,WSIPS!$E$102&lt;=91.4),"P","")</f>
        <v/>
      </c>
      <c r="TA3" s="102" t="str">
        <f>IF(AND(WSIPS!$E$102&gt;=91.5,WSIPS!$E$102&lt;=100),"P","")</f>
        <v/>
      </c>
      <c r="TB3" s="102" t="str">
        <f>IF(WSSBK!$E$6&lt;74.9,"P","")</f>
        <v/>
      </c>
      <c r="TC3" s="102" t="str">
        <f>IF(AND(WSSBK!$E$6&gt;=75,WSSBK!$E$6&lt;=83.24),"P","")</f>
        <v/>
      </c>
      <c r="TD3" s="102" t="str">
        <f>IF(AND(WSSBK!$E$6&gt;=83.25,WSSBK!$E$6&lt;=91.4),"P","")</f>
        <v/>
      </c>
      <c r="TE3" s="102" t="str">
        <f>IF(AND(WSSBK!$E$6&gt;=91.5,WSSBK!$E$6&lt;=100),"P","")</f>
        <v>P</v>
      </c>
      <c r="TF3" s="102" t="str">
        <f>IF(WSSBK!$E$16&lt;74.9,"P","")</f>
        <v/>
      </c>
      <c r="TG3" s="102" t="str">
        <f>IF(AND(WSSBK!$E$16&gt;=75,WSSBK!$E$16&lt;=83.24),"P","")</f>
        <v/>
      </c>
      <c r="TH3" s="102" t="str">
        <f>IF(AND(WSSBK!$E$16&gt;=83.25,WSSBK!$E$16&lt;=91.4),"P","")</f>
        <v/>
      </c>
      <c r="TI3" s="102" t="str">
        <f>IF(AND(WSSBK!$E$16&gt;=91.5,WSSBK!$E$16&lt;=100),"P","")</f>
        <v>P</v>
      </c>
      <c r="TJ3" s="102" t="str">
        <f>IF(WSSBK!$E$26&lt;74.9,"P","")</f>
        <v/>
      </c>
      <c r="TK3" s="102" t="str">
        <f>IF(AND(WSSBK!$E$26&gt;=75,WSSBK!$E$26&lt;=83.24),"P","")</f>
        <v/>
      </c>
      <c r="TL3" s="102" t="str">
        <f>IF(AND(WSSBK!$E$26&gt;=83.25,WSSBK!$E$26&lt;=91.4),"P","")</f>
        <v/>
      </c>
      <c r="TM3" s="102" t="str">
        <f>IF(AND(WSSBK!$E$26&gt;=91.5,WSSBK!$E$26&lt;=100),"P","")</f>
        <v>P</v>
      </c>
      <c r="TN3" s="102" t="str">
        <f>IF(WSSBK!$E$36&lt;74.9,"P","")</f>
        <v/>
      </c>
      <c r="TO3" s="102" t="str">
        <f>IF(AND(WSSBK!$E$36&gt;=75,WSSBK!$E$36&lt;=83.24),"P","")</f>
        <v/>
      </c>
      <c r="TP3" s="102" t="str">
        <f>IF(AND(WSSBK!$E$36&gt;=83.25,WSSBK!$E$36&lt;=91.4),"P","")</f>
        <v>P</v>
      </c>
      <c r="TQ3" s="102" t="str">
        <f>IF(AND(WSSBK!$E$36&gt;=91.5,WSSBK!$E$36&lt;=100),"P","")</f>
        <v/>
      </c>
      <c r="TR3" s="102" t="str">
        <f>IF(WSSBK!$E$46&lt;74.9,"P","")</f>
        <v/>
      </c>
      <c r="TS3" s="102" t="str">
        <f>IF(AND(WSSBK!$E$46&gt;=75,WSSBK!$E$46&lt;=83.24),"P","")</f>
        <v/>
      </c>
      <c r="TT3" s="102" t="str">
        <f>IF(AND(WSSBK!$E$46&gt;=83.25,WSSBK!$E$46&lt;=91.4),"P","")</f>
        <v/>
      </c>
      <c r="TU3" s="102" t="str">
        <f>IF(AND(WSSBK!$E$46&gt;=91.5,WSSBK!$E$46&lt;=100),"P","")</f>
        <v>P</v>
      </c>
      <c r="TV3" s="102" t="str">
        <f>IF(WSSBK!$E$58&lt;74.9,"P","")</f>
        <v/>
      </c>
      <c r="TW3" s="102" t="str">
        <f>IF(AND(WSSBK!$E$58&gt;=75,WSSBK!$E$58&lt;=83.24),"P","")</f>
        <v/>
      </c>
      <c r="TX3" s="102" t="str">
        <f>IF(AND(WSSBK!$E$58&gt;=83.25,WSSBK!$E$58&lt;=91.4),"P","")</f>
        <v/>
      </c>
      <c r="TY3" s="102" t="str">
        <f>IF(AND(WSSBK!$E$58&gt;=91.5,WSSBK!$E$58&lt;=100),"P","")</f>
        <v>P</v>
      </c>
      <c r="TZ3" s="102" t="str">
        <f>IF(WSSBK!$E$68&lt;74.9,"P","")</f>
        <v/>
      </c>
      <c r="UA3" s="102" t="str">
        <f>IF(AND(WSSBK!$E$68&gt;=75,WSSBK!$E$68&lt;=83.24),"P","")</f>
        <v/>
      </c>
      <c r="UB3" s="102" t="str">
        <f>IF(AND(WSSBK!$E$68&gt;=83.25,WSSBK!$E$68&lt;=91.4),"P","")</f>
        <v/>
      </c>
      <c r="UC3" s="102" t="str">
        <f>IF(AND(WSSBK!$E$68&gt;=91.5,WSSBK!$E$68&lt;=100),"P","")</f>
        <v>P</v>
      </c>
      <c r="UD3" s="102" t="str">
        <f>IF(WSSBK!$E$77&lt;74.9,"P","")</f>
        <v/>
      </c>
      <c r="UE3" s="102" t="str">
        <f>IF(AND(WSSBK!$E$77&gt;=75,WSSBK!$E$77&lt;=83.24),"P","")</f>
        <v/>
      </c>
      <c r="UF3" s="102" t="str">
        <f>IF(AND(WSSBK!$E$77&gt;=83.25,WSSBK!$E$77&lt;=91.4),"P","")</f>
        <v>P</v>
      </c>
      <c r="UG3" s="102" t="str">
        <f>IF(AND(WSSBK!$E$77&gt;=91.5,WSSBK!$E$77&lt;=100),"P","")</f>
        <v/>
      </c>
      <c r="UH3" s="102" t="str">
        <f>IF(WSSBK!$E$87&lt;74.9,"P","")</f>
        <v/>
      </c>
      <c r="UI3" s="102" t="str">
        <f>IF(AND(WSSBK!$E$87&gt;=75,WSSBK!$E$87&lt;=83.24),"P","")</f>
        <v/>
      </c>
      <c r="UJ3" s="102" t="str">
        <f>IF(AND(WSSBK!$E$87&gt;=83.25,WSSBK!$E$87&lt;=91.4),"P","")</f>
        <v/>
      </c>
      <c r="UK3" s="102" t="str">
        <f>IF(AND(WSSBK!$E$87&gt;=91.5,WSSBK!$E$87&lt;=100),"P","")</f>
        <v/>
      </c>
      <c r="UL3" s="102" t="str">
        <f>IF(WSSBK!$E$95&lt;74.9,"P","")</f>
        <v/>
      </c>
      <c r="UM3" s="102" t="str">
        <f>IF(AND(WSSBK!$E$95&gt;=75,WSSBK!$E$95&lt;=83.24),"P","")</f>
        <v/>
      </c>
      <c r="UN3" s="102" t="str">
        <f>IF(AND(WSSBK!$E$95&gt;=83.25,WSSBK!$E$95&lt;=91.4),"P","")</f>
        <v/>
      </c>
      <c r="UO3" s="102" t="str">
        <f>IF(AND(WSSBK!$E$95&gt;=91.5,WSSBK!$E$95&lt;=100),"P","")</f>
        <v/>
      </c>
      <c r="UP3" s="102" t="str">
        <f>IF(WSSBK!$E$103&lt;74.9,"P","")</f>
        <v/>
      </c>
      <c r="UQ3" s="102" t="str">
        <f>IF(AND(WSSBK!$E$103&gt;=75,WSSBK!$E$103&lt;=83.24),"P","")</f>
        <v/>
      </c>
      <c r="UR3" s="102" t="str">
        <f>IF(AND(WSSBK!$E$103&gt;=83.25,WSSBK!$E$103&lt;=91.4),"P","")</f>
        <v/>
      </c>
      <c r="US3" s="102" t="str">
        <f>IF(AND(WSSBK!$E$103&gt;=91.5,WSSBK!$E$103&lt;=100),"P","")</f>
        <v/>
      </c>
      <c r="UT3" s="102" t="str">
        <f>IF(WSSBK!$E$111&lt;74.9,"P","")</f>
        <v/>
      </c>
      <c r="UU3" s="102" t="str">
        <f>IF(AND(WSSBK!$E$111&gt;=75,WSSBK!$E$111&lt;=83.24),"P","")</f>
        <v/>
      </c>
      <c r="UV3" s="102" t="str">
        <f>IF(AND(WSSBK!$E$111&gt;=83.25,WSSBK!$E$111&lt;=91.4),"P","")</f>
        <v/>
      </c>
      <c r="UW3" s="102" t="str">
        <f>IF(AND(WSSBK!$E$111&gt;=91.5,WSSBK!$E$111&lt;=100),"P","")</f>
        <v/>
      </c>
      <c r="UX3" s="102" t="str">
        <f>IF(WSSBK!$E$119&lt;74.9,"P","")</f>
        <v/>
      </c>
      <c r="UY3" s="102" t="str">
        <f>IF(AND(WSSBK!$E$119&gt;=75,WSSBK!$E$119&lt;=83.24),"P","")</f>
        <v/>
      </c>
      <c r="UZ3" s="102" t="str">
        <f>IF(AND(WSSBK!$E$119&gt;=83.25,WSSBK!$E$119&lt;=91.4),"P","")</f>
        <v/>
      </c>
      <c r="VA3" s="102" t="str">
        <f>IF(AND(WSSBK!$E$119&gt;=91.5,WSSBK!$E$119&lt;=100),"P","")</f>
        <v/>
      </c>
      <c r="VB3" s="102" t="str">
        <f>IF(AND(WSPENJAS!$E$6&gt;0,WSPENJAS!$E$6&lt;=74.9),"P","")</f>
        <v/>
      </c>
      <c r="VC3" s="102" t="str">
        <f>IF(AND(WSPENJAS!$E$6&gt;=75,WSPENJAS!$E$6&lt;=83.24),"P","")</f>
        <v/>
      </c>
      <c r="VD3" s="102" t="str">
        <f>IF(AND(WSPENJAS!$E$6&gt;=83.25,WSPENJAS!$E$6&lt;=91.4),"P","")</f>
        <v/>
      </c>
      <c r="VE3" s="102" t="str">
        <f>IF(AND(WSPENJAS!$E$6&gt;=91.5,WSPENJAS!$E$6&lt;=100),"P","")</f>
        <v>P</v>
      </c>
      <c r="VF3" s="102" t="str">
        <f>IF(AND(WSPENJAS!$E$7&gt;0,WSPENJAS!$E$7&lt;=74.9),"P","")</f>
        <v/>
      </c>
      <c r="VG3" s="102" t="str">
        <f>IF(AND(WSPENJAS!$E$7&gt;=75,WSPENJAS!$E$7&lt;=83.24),"P","")</f>
        <v/>
      </c>
      <c r="VH3" s="102" t="str">
        <f>IF(AND(WSPENJAS!$E$7&gt;=83.25,WSPENJAS!$E$7&lt;=91.4),"P","")</f>
        <v/>
      </c>
      <c r="VI3" s="102" t="str">
        <f>IF(AND(WSPENJAS!$E$7&gt;=91.5,WSPENJAS!$E$7&lt;=100),"P","")</f>
        <v>P</v>
      </c>
      <c r="VJ3" s="102" t="str">
        <f>IF(AND(WSPENJAS!$E$8&gt;0,WSPENJAS!$E$8&lt;=74.9),"P","")</f>
        <v/>
      </c>
      <c r="VK3" s="102" t="str">
        <f>IF(AND(WSPENJAS!$E$8&gt;=75,WSPENJAS!$E$8&lt;=83.24),"P","")</f>
        <v/>
      </c>
      <c r="VL3" s="102" t="str">
        <f>IF(AND(WSPENJAS!$E$8&gt;=83.25,WSPENJAS!$E$8&lt;=91.4),"P","")</f>
        <v/>
      </c>
      <c r="VM3" s="102" t="str">
        <f>IF(AND(WSPENJAS!$E$8&gt;=91.5,WSPENJAS!$E$8&lt;=100),"P","")</f>
        <v>P</v>
      </c>
      <c r="VN3" s="102" t="str">
        <f>IF(AND(WSPENJAS!$E$9&gt;0,WSPENJAS!$E$9&lt;=74.9),"P","")</f>
        <v/>
      </c>
      <c r="VO3" s="102" t="str">
        <f>IF(AND(WSPENJAS!$E$9&gt;=75,WSPENJAS!$E$9&lt;=83.24),"P","")</f>
        <v/>
      </c>
      <c r="VP3" s="102" t="str">
        <f>IF(AND(WSPENJAS!$E$9&gt;=83.25,WSPENJAS!$E$9&lt;=91.4),"P","")</f>
        <v/>
      </c>
      <c r="VQ3" s="102" t="str">
        <f>IF(AND(WSPENJAS!$E$9&gt;=91.5,WSPENJAS!$E$9&lt;=100),"P","")</f>
        <v>P</v>
      </c>
      <c r="VR3" s="102" t="str">
        <f>IF(AND(WSPENJAS!$E$10&gt;0,WSPENJAS!$E$10&lt;=74.9),"P","")</f>
        <v/>
      </c>
      <c r="VS3" s="102" t="str">
        <f>IF(AND(WSPENJAS!$E$10&gt;=75,WSPENJAS!$E$10&lt;=83.24),"P","")</f>
        <v/>
      </c>
      <c r="VT3" s="102" t="str">
        <f>IF(AND(WSPENJAS!$E$10&gt;=83.25,WSPENJAS!$E$10&lt;=91.4),"P","")</f>
        <v/>
      </c>
      <c r="VU3" s="102" t="str">
        <f>IF(AND(WSPENJAS!$E$10&gt;=91.5,WSPENJAS!$E$10&lt;=100),"P","")</f>
        <v>P</v>
      </c>
      <c r="VV3" s="102" t="str">
        <f>IF(AND(WSPENJAS!$E$11&gt;0,WSPENJAS!$E$11&lt;=74.9),"P","")</f>
        <v/>
      </c>
      <c r="VW3" s="102" t="str">
        <f>IF(AND(WSPENJAS!$E$411&gt;=75,WSPENJAS!$E$411&lt;=83.24),"P","")</f>
        <v/>
      </c>
      <c r="VX3" s="102" t="str">
        <f>IF(AND(WSPENJAS!$E$411&gt;=83.25,WSPENJAS!$E$411&lt;=91.4),"P","")</f>
        <v/>
      </c>
      <c r="VY3" s="102" t="str">
        <f>IF(AND(WSPENJAS!$E$411&gt;=91.5,WSPENJAS!$E$411&lt;=100),"P","")</f>
        <v/>
      </c>
      <c r="VZ3" s="102" t="str">
        <f>IF(AND(WSPENJAS!$E$12&gt;0,WSPENJAS!$E$12&lt;=74.9),"P","")</f>
        <v/>
      </c>
      <c r="WA3" s="102" t="str">
        <f>IF(AND(WSPENJAS!$E$12&gt;=75,WSPENJAS!$E$12&lt;=83.24),"P","")</f>
        <v/>
      </c>
      <c r="WB3" s="102" t="str">
        <f>IF(AND(WSPENJAS!$E$12&gt;=83.25,WSPENJAS!$E$12&lt;=91.4),"P","")</f>
        <v/>
      </c>
      <c r="WC3" s="102" t="str">
        <f>IF(AND(WSPENJAS!$E$12&gt;=91.5,WSPENJAS!$E$12&lt;=100),"P","")</f>
        <v>P</v>
      </c>
      <c r="WD3" s="102" t="str">
        <f>IF(AND(WSPENJAS!$E$13&gt;0,WSPENJAS!$E$13&lt;=74.9),"P","")</f>
        <v/>
      </c>
      <c r="WE3" s="102" t="str">
        <f>IF(AND(WSPENJAS!$E$13&gt;=75,WSPENJAS!$E$13&lt;=83.24),"P","")</f>
        <v/>
      </c>
      <c r="WF3" s="102" t="str">
        <f>IF(AND(WSPENJAS!$E$13&gt;=83.25,WSPENJAS!$E$13&lt;=91.4),"P","")</f>
        <v/>
      </c>
      <c r="WG3" s="102" t="str">
        <f>IF(AND(WSPENJAS!$E$13&gt;=91.5,WSPENJAS!$E$13&lt;=100),"P","")</f>
        <v>P</v>
      </c>
      <c r="WH3" s="102" t="str">
        <f>IF(AND(WSPENJAS!$E$14&gt;0,WSPENJAS!$E$14&lt;=74.9),"P","")</f>
        <v/>
      </c>
      <c r="WI3" s="102" t="str">
        <f>IF(AND(WSPENJAS!$E$14&gt;=75,WSPENJAS!$E$14&lt;=83.24),"P","")</f>
        <v/>
      </c>
      <c r="WJ3" s="102" t="str">
        <f>IF(AND(WSPENJAS!$E$14&gt;=83.25,WSPENJAS!$E$14&lt;=91.4),"P","")</f>
        <v/>
      </c>
      <c r="WK3" s="102" t="str">
        <f>IF(AND(WSPENJAS!$E$14&gt;=91.5,WSPENJAS!$E$14&lt;=100),"P","")</f>
        <v>P</v>
      </c>
      <c r="WL3" s="102" t="str">
        <f>IF(AND(WSPENJAS!$E$15&gt;0,WSPENJAS!$E$15&lt;=74.9),"P","")</f>
        <v/>
      </c>
      <c r="WM3" s="102" t="str">
        <f>IF(AND(WSPENJAS!$E$15&gt;=75,WSPENJAS!$E$15&lt;=83.24),"P","")</f>
        <v/>
      </c>
      <c r="WN3" s="102" t="str">
        <f>IF(AND(WSPENJAS!$E$15&gt;=83.25,WSPENJAS!$E$15&lt;=91.4),"P","")</f>
        <v/>
      </c>
      <c r="WO3" s="102" t="str">
        <f>IF(AND(WSPENJAS!$E$15&gt;=91.5,WSPENJAS!$E$15&lt;=100),"P","")</f>
        <v>P</v>
      </c>
      <c r="WP3" s="102" t="str">
        <f>IF(AND(WSPENJAS!$E$16&gt;0,WSPENJAS!$E$16&lt;=74.9),"P","")</f>
        <v/>
      </c>
      <c r="WQ3" s="102" t="str">
        <f>IF(AND(WSPENJAS!$E$16&gt;=75,WSPENJAS!$E$16&lt;=83.24),"P","")</f>
        <v/>
      </c>
      <c r="WR3" s="102" t="str">
        <f>IF(AND(WSPENJAS!$E$16&gt;=83.25,WSPENJAS!$E$16&lt;=91.4),"P","")</f>
        <v/>
      </c>
      <c r="WS3" s="102" t="str">
        <f>IF(AND(WSPENJAS!$E$16&gt;=91.5,WSPENJAS!$E$16&lt;=100),"P","")</f>
        <v/>
      </c>
      <c r="WT3" s="102" t="str">
        <f>IF(AND(WSPENJAS!$E$17&gt;0,WSPENJAS!$E$17&lt;=74.9),"P","")</f>
        <v/>
      </c>
      <c r="WU3" s="102" t="str">
        <f>IF(AND(WSPENJAS!$E$17&gt;=75,WSPENJAS!$E$17&lt;=83.24),"P","")</f>
        <v/>
      </c>
      <c r="WV3" s="102" t="str">
        <f>IF(AND(WSPENJAS!$E$17&gt;=83.25,WSPENJAS!$E$17&lt;=91.4),"P","")</f>
        <v/>
      </c>
      <c r="WW3" s="102" t="str">
        <f>IF(AND(WSPENJAS!$E$17&gt;=91.5,WSPENJAS!$E$17&lt;=100),"P","")</f>
        <v/>
      </c>
      <c r="WX3" s="102" t="str">
        <f>IF(AND(WSPENJAS!$E$18&gt;0,WSPENJAS!$E$18&lt;=74.9),"P","")</f>
        <v/>
      </c>
      <c r="WY3" s="102" t="str">
        <f>IF(AND(WSPENJAS!$E$18&gt;=75,WSPENJAS!$E$18&lt;=83.24),"P","")</f>
        <v/>
      </c>
      <c r="WZ3" s="102" t="str">
        <f>IF(AND(WSPENJAS!$E$18&gt;=83.25,WSPENJAS!$E$18&lt;=91.4),"P","")</f>
        <v/>
      </c>
      <c r="XA3" s="102" t="str">
        <f>IF(AND(WSPENJAS!$E$18&gt;=91.5,WSPENJAS!$E$18&lt;=100),"P","")</f>
        <v/>
      </c>
      <c r="XB3" s="102" t="str">
        <f>IF(AND(WSPENJAS!$E$19&gt;0,WSPENJAS!$E$19&lt;=74.9),"P","")</f>
        <v/>
      </c>
      <c r="XC3" s="102" t="str">
        <f>IF(AND(WSPENJAS!$E$19&gt;=75,WSPENJAS!$E$19&lt;=83.24),"P","")</f>
        <v/>
      </c>
      <c r="XD3" s="102" t="str">
        <f>IF(AND(WSPENJAS!$E$19&gt;=83.25,WSPENJAS!$E$19&lt;=91.4),"P","")</f>
        <v/>
      </c>
      <c r="XE3" s="102" t="str">
        <f>IF(AND(WSPENJAS!$E$19&gt;=91.5,WSPENJAS!$E$19&lt;=100),"P","")</f>
        <v/>
      </c>
      <c r="XF3" s="102" t="str">
        <f>IF(AND(WSPENJAS!$E$20&gt;0,WSPENJAS!$E$20&lt;=74.9),"P","")</f>
        <v/>
      </c>
      <c r="XG3" s="102" t="str">
        <f>IF(AND(WSPENJAS!$E$20&gt;=75,WSPENJAS!$E$20&lt;=83.24),"P","")</f>
        <v/>
      </c>
      <c r="XH3" s="102" t="str">
        <f>IF(AND(WSPENJAS!$E$20&gt;=83.25,WSPENJAS!$E$20&lt;=91.4),"P","")</f>
        <v/>
      </c>
      <c r="XI3" s="102" t="str">
        <f>IF(AND(WSPENJAS!$E$20&gt;=91.5,WSPENJAS!$E$20&lt;=100),"P","")</f>
        <v/>
      </c>
      <c r="XJ3" s="102" t="str">
        <f>IF(AND(WSPENJAS!$E$21&gt;0,WSPENJAS!$E$21&lt;=74.9),"P","")</f>
        <v/>
      </c>
      <c r="XK3" s="102" t="str">
        <f>IF(AND(WSPENJAS!$E$21&gt;=75,WSPENJAS!$E$21&lt;=83.24),"P","")</f>
        <v/>
      </c>
      <c r="XL3" s="102" t="str">
        <f>IF(AND(WSPENJAS!$E$21&gt;=83.25,WSPENJAS!$E$21&lt;=91.4),"P","")</f>
        <v/>
      </c>
      <c r="XM3" s="102" t="str">
        <f>IF(AND(WSPENJAS!$E$21&gt;=91.5,WSPENJAS!$E$21&lt;=100),"P","")</f>
        <v/>
      </c>
      <c r="XN3" s="102" t="str">
        <f>IF(WSJAWA!$E$6&lt;74.9,"P","")</f>
        <v/>
      </c>
      <c r="XO3" s="102" t="str">
        <f>IF(AND(WSJAWA!$E$6&gt;=75,WSJAWA!$E$6&lt;=83.24),"P","")</f>
        <v/>
      </c>
      <c r="XP3" s="102" t="str">
        <f>IF(AND(WSJAWA!$E$6&gt;=83.25,WSJAWA!$E$6&lt;=91.4),"P","")</f>
        <v/>
      </c>
      <c r="XQ3" s="102" t="str">
        <f>IF(AND(WSJAWA!$E$6&gt;=91.5,WSJAWA!$E$6&lt;=100),"P","")</f>
        <v>P</v>
      </c>
      <c r="XR3" s="102" t="str">
        <f>IF(WSJAWA!$E$14&lt;74.9,"P","")</f>
        <v/>
      </c>
      <c r="XS3" s="102" t="str">
        <f>IF(AND(WSJAWA!$E$14&gt;=75,WSJAWA!$E$14&lt;=83.24),"P","")</f>
        <v/>
      </c>
      <c r="XT3" s="102" t="str">
        <f>IF(AND(WSJAWA!$E$14&gt;=83.25,WSJAWA!$E$14&lt;=91.4),"P","")</f>
        <v>P</v>
      </c>
      <c r="XU3" s="102" t="str">
        <f>IF(AND(WSJAWA!$E$14&gt;=91.5,WSJAWA!$E$14&lt;=100),"P","")</f>
        <v/>
      </c>
      <c r="XV3" s="102" t="str">
        <f>IF(WSJAWA!$E$22&lt;74.9,"P","")</f>
        <v/>
      </c>
      <c r="XW3" s="102" t="str">
        <f>IF(AND(WSJAWA!$E$22&gt;=75,WSJAWA!$E$22&lt;=83.24),"P","")</f>
        <v/>
      </c>
      <c r="XX3" s="102" t="str">
        <f>IF(AND(WSJAWA!$E$22&gt;=83.25,WSJAWA!$E$22&lt;=91.4),"P","")</f>
        <v/>
      </c>
      <c r="XY3" s="102" t="str">
        <f>IF(AND(WSJAWA!$E$22&gt;=91.5,WSJAWA!$E$22&lt;=100),"P","")</f>
        <v>P</v>
      </c>
      <c r="XZ3" s="102" t="str">
        <f>IF(WSJAWA!$E$30&lt;74.9,"P","")</f>
        <v/>
      </c>
      <c r="YA3" s="102" t="str">
        <f>IF(AND(WSJAWA!$E$30&gt;=75,WSJAWA!$E$30&lt;=83.24),"P","")</f>
        <v/>
      </c>
      <c r="YB3" s="102" t="str">
        <f>IF(AND(WSJAWA!$E$30&gt;=83.25,WSJAWA!$E$30&lt;=91.4),"P","")</f>
        <v/>
      </c>
      <c r="YC3" s="102" t="str">
        <f>IF(AND(WSJAWA!$E$30&gt;=91.5,WSJAWA!$E$30&lt;=100),"P","")</f>
        <v>P</v>
      </c>
      <c r="YD3" s="102" t="str">
        <f>IF(WSJAWA!$E$38&lt;74.9,"P","")</f>
        <v/>
      </c>
      <c r="YE3" s="102" t="str">
        <f>IF(AND(WSJAWA!$E$38&gt;=75,WSJAWA!$E$38&lt;=83.24),"P","")</f>
        <v/>
      </c>
      <c r="YF3" s="102" t="str">
        <f>IF(AND(WSJAWA!$E$38&gt;=83.25,WSJAWA!$E$38&lt;=91.4),"P","")</f>
        <v/>
      </c>
      <c r="YG3" s="102" t="str">
        <f>IF(AND(WSJAWA!$E$38&gt;=91.5,WSJAWA!$E$38&lt;=100),"P","")</f>
        <v>P</v>
      </c>
      <c r="YH3" s="102" t="str">
        <f>IF(WSJAWA!$E$46&lt;74.9,"P","")</f>
        <v/>
      </c>
      <c r="YI3" s="102" t="str">
        <f>IF(AND(WSJAWA!$E$46&gt;=75,WSJAWA!$E$46&lt;=83.24),"P","")</f>
        <v>P</v>
      </c>
      <c r="YJ3" s="102" t="str">
        <f>IF(AND(WSJAWA!$E$46&gt;=83.25,WSJAWA!$E$46&lt;=91.4),"P","")</f>
        <v/>
      </c>
      <c r="YK3" s="102" t="str">
        <f>IF(AND(WSJAWA!$E$46&gt;=91.5,WSJAWA!$E$46&lt;=100),"P","")</f>
        <v/>
      </c>
      <c r="YL3" s="102" t="str">
        <f>IF(WSJAWA!$E$54&lt;74.9,"P","")</f>
        <v/>
      </c>
      <c r="YM3" s="102" t="str">
        <f>IF(AND(WSJAWA!$E$54&gt;=75,WSJAWA!$E$54&lt;=83.24),"P","")</f>
        <v>P</v>
      </c>
      <c r="YN3" s="102" t="str">
        <f>IF(AND(WSJAWA!$E$54&gt;=83.25,WSJAWA!$E$54&lt;=91.4),"P","")</f>
        <v/>
      </c>
      <c r="YO3" s="102" t="str">
        <f>IF(AND(WSJAWA!$E$54&gt;=91.5,WSJAWA!$E$54&lt;=100),"P","")</f>
        <v/>
      </c>
      <c r="YP3" s="102" t="str">
        <f>IF(WSJAWA!$E$62&lt;74.9,"P","")</f>
        <v/>
      </c>
      <c r="YQ3" s="102" t="str">
        <f>IF(AND(WSJAWA!$E$62&gt;=75,WSJAWA!$E$62&lt;=83.24),"P","")</f>
        <v/>
      </c>
      <c r="YR3" s="102" t="str">
        <f>IF(AND(WSJAWA!$E$62&gt;=83.25,WSJAWA!$E$62&lt;=91.4),"P","")</f>
        <v/>
      </c>
      <c r="YS3" s="102" t="str">
        <f>IF(AND(WSJAWA!$E$62&gt;=91.5,WSJAWA!$E$62&lt;=100),"P","")</f>
        <v>P</v>
      </c>
      <c r="YT3" s="102" t="str">
        <f>IF(WSJAWA!$E$70&lt;74.9,"P","")</f>
        <v/>
      </c>
      <c r="YU3" s="102" t="str">
        <f>IF(AND(WSJAWA!$E$70&gt;=75,WSJAWA!$E$70&lt;=83.24),"P","")</f>
        <v/>
      </c>
      <c r="YV3" s="102" t="str">
        <f>IF(AND(WSJAWA!$E$70&gt;=83.25,WSJAWA!$E$70&lt;=91.4),"P","")</f>
        <v/>
      </c>
      <c r="YW3" s="102" t="str">
        <f>IF(AND(WSJAWA!$E$70&gt;=91.5,WSJAWA!$E$70&lt;=100),"P","")</f>
        <v/>
      </c>
      <c r="YX3" s="102" t="str">
        <f>IF(WSJAWA!$E$78&lt;74.9,"P","")</f>
        <v/>
      </c>
      <c r="YY3" s="102" t="str">
        <f>IF(AND(WSJAWA!$E$78&gt;=75,WSJAWA!$E$78&lt;=83.24),"P","")</f>
        <v/>
      </c>
      <c r="YZ3" s="102" t="str">
        <f>IF(AND(WSJAWA!$E$78&gt;=83.25,WSJAWA!$E$78&lt;=91.4),"P","")</f>
        <v/>
      </c>
      <c r="ZA3" s="102" t="str">
        <f>IF(AND(WSJAWA!$E$78&gt;=91.5,WSJAWA!$E$78&lt;=100),"P","")</f>
        <v/>
      </c>
      <c r="ZB3" s="102" t="str">
        <f>IF(WSJAWA!$E$86&lt;74.9,"P","")</f>
        <v/>
      </c>
      <c r="ZC3" s="102" t="str">
        <f>IF(AND(WSJAWA!$E$86&gt;=75,WSJAWA!$E$86&lt;=83.24),"P","")</f>
        <v/>
      </c>
      <c r="ZD3" s="102" t="str">
        <f>IF(AND(WSJAWA!$E$86&gt;=83.25,WSJAWA!$E$86&lt;=91.4),"P","")</f>
        <v/>
      </c>
      <c r="ZE3" s="102" t="str">
        <f>IF(AND(WSJAWA!$E$86&gt;=91.5,WSJAWA!$E$86&lt;=100),"P","")</f>
        <v/>
      </c>
      <c r="ZF3" s="102" t="str">
        <f>IF(WSJAWA!$E$94&lt;74.9,"P","")</f>
        <v/>
      </c>
      <c r="ZG3" s="102" t="str">
        <f>IF(AND(WSJAWA!$E$94&gt;=75,WSJAWA!$E$94&lt;=83.24),"P","")</f>
        <v/>
      </c>
      <c r="ZH3" s="102" t="str">
        <f>IF(AND(WSJAWA!$E$94&gt;=83.25,WSJAWA!$E$94&lt;=91.4),"P","")</f>
        <v/>
      </c>
      <c r="ZI3" s="102" t="str">
        <f>IF(AND(WSJAWA!$E$94&gt;=91.5,WSJAWA!$E$94&lt;=100),"P","")</f>
        <v/>
      </c>
      <c r="ZJ3" s="102" t="str">
        <f>IF(WSJAWA!$E$102&lt;74.9,"P","")</f>
        <v/>
      </c>
      <c r="ZK3" s="102" t="str">
        <f>IF(AND(WSJAWA!$E$102&gt;=75,WSJAWA!$E$102&lt;=83.24),"P","")</f>
        <v/>
      </c>
      <c r="ZL3" s="102" t="str">
        <f>IF(AND(WSJAWA!$E$102&gt;=83.25,WSJAWA!$E$102&lt;=91.4),"P","")</f>
        <v/>
      </c>
      <c r="ZM3" s="102" t="str">
        <f>IF(AND(WSJAWA!$E$102&gt;=91.5,WSJAWA!$E$102&lt;=100),"P","")</f>
        <v/>
      </c>
      <c r="ZN3" s="102" t="str">
        <f>IF(WSING!$E$6&lt;74.9,"P","")</f>
        <v/>
      </c>
      <c r="ZO3" s="102" t="str">
        <f>IF(AND(WSING!$E$6&gt;=75,WSING!$E$6&lt;=83.24),"P","")</f>
        <v/>
      </c>
      <c r="ZP3" s="102" t="str">
        <f>IF(AND(WSING!$E$6&gt;=83.25,WSING!$E$6&lt;=91.4),"P","")</f>
        <v>P</v>
      </c>
      <c r="ZQ3" s="102" t="str">
        <f>IF(AND(WSING!$E$6&gt;=91.5,WSING!$E$6&lt;=100),"P","")</f>
        <v/>
      </c>
      <c r="ZR3" s="102" t="str">
        <f>IF(WSING!$E$15&lt;74.9,"P","")</f>
        <v/>
      </c>
      <c r="ZS3" s="102" t="str">
        <f>IF(AND(WSING!$E$15&gt;=75,WSING!$E$15&lt;=83.24),"P","")</f>
        <v/>
      </c>
      <c r="ZT3" s="102" t="str">
        <f>IF(AND(WSING!$E$15&gt;=83.25,WSING!$E$15&lt;=91.4),"P","")</f>
        <v>P</v>
      </c>
      <c r="ZU3" s="102" t="str">
        <f>IF(AND(WSING!$E$15&gt;=91.5,WSING!$E$15&lt;=100),"P","")</f>
        <v/>
      </c>
      <c r="ZV3" s="102" t="str">
        <f>IF(WSING!$E$24&lt;74.9,"P","")</f>
        <v/>
      </c>
      <c r="ZW3" s="102" t="str">
        <f>IF(AND(WSING!$E$24&gt;=75,WSING!$E$24&lt;=83.24),"P","")</f>
        <v/>
      </c>
      <c r="ZX3" s="102" t="str">
        <f>IF(AND(WSING!$E$24&gt;=83.25,WSING!$E$24&lt;=91.4),"P","")</f>
        <v>P</v>
      </c>
      <c r="ZY3" s="102" t="str">
        <f>IF(AND(WSING!$E$24&gt;=91.5,WSING!$E$24&lt;=100),"P","")</f>
        <v/>
      </c>
      <c r="ZZ3" s="102" t="str">
        <f>IF(WSING!$E$33&lt;74.9,"P","")</f>
        <v/>
      </c>
      <c r="AAA3" s="102" t="str">
        <f>IF(AND(WSING!$E$33&gt;=75,WSING!$E$33&lt;=83.24),"P","")</f>
        <v/>
      </c>
      <c r="AAB3" s="102" t="str">
        <f>IF(AND(WSING!$E$33&gt;=83.25,WSING!$E$33&lt;=91.4),"P","")</f>
        <v>P</v>
      </c>
      <c r="AAC3" s="102" t="str">
        <f>IF(AND(WSING!$E$33&gt;=91.5,WSING!$E$33&lt;=100),"P","")</f>
        <v/>
      </c>
      <c r="AAD3" s="102" t="str">
        <f>IF(WSING!$E$42&lt;74.9,"P","")</f>
        <v/>
      </c>
      <c r="AAE3" s="102" t="str">
        <f>IF(AND(WSING!$E$42&gt;=75,WSING!$E$42&lt;=83.24),"P","")</f>
        <v/>
      </c>
      <c r="AAF3" s="102" t="str">
        <f>IF(AND(WSING!$E$42&gt;=83.25,WSING!$E$42&lt;=91.4),"P","")</f>
        <v/>
      </c>
      <c r="AAG3" s="102" t="str">
        <f>IF(AND(WSING!$E$42&gt;=91.5,WSING!$E$42&lt;=100),"P","")</f>
        <v/>
      </c>
      <c r="AAH3" s="102" t="str">
        <f>IF(WSING!$E$50&lt;74.9,"P","")</f>
        <v/>
      </c>
      <c r="AAI3" s="102" t="str">
        <f>IF(AND(WSING!$E$50&gt;=75,WSING!$E$50&lt;=83.24),"P","")</f>
        <v/>
      </c>
      <c r="AAJ3" s="102" t="str">
        <f>IF(AND(WSING!$E$50&gt;=83.25,WSING!$E$50&lt;=91.4),"P","")</f>
        <v/>
      </c>
      <c r="AAK3" s="102" t="str">
        <f>IF(AND(WSING!$E$50&gt;=91.5,WSING!$E$50&lt;=100),"P","")</f>
        <v/>
      </c>
      <c r="AAL3" s="102" t="str">
        <f>IF(WSING!$E$58&lt;74.9,"P","")</f>
        <v/>
      </c>
      <c r="AAM3" s="102" t="str">
        <f>IF(AND(WSING!$E$58&gt;=75,WSING!$E$58&lt;=83.24),"P","")</f>
        <v/>
      </c>
      <c r="AAN3" s="102" t="str">
        <f>IF(AND(WSING!$E$58&gt;=83.25,WSING!$E$58&lt;=91.4),"P","")</f>
        <v/>
      </c>
      <c r="AAO3" s="102" t="str">
        <f>IF(AND(WSING!$E$58&gt;=91.5,WSING!$E$58&lt;=100),"P","")</f>
        <v/>
      </c>
      <c r="AAP3" s="102" t="str">
        <f>IF(WSING!$E$66&lt;74.9,"P","")</f>
        <v/>
      </c>
      <c r="AAQ3" s="102" t="str">
        <f>IF(AND(WSING!$E$66&gt;=75,WSING!$E$66&lt;=83.24),"P","")</f>
        <v/>
      </c>
      <c r="AAR3" s="102" t="str">
        <f>IF(AND(WSING!$E$66&gt;=83.25,WSING!$E$66&lt;=91.4),"P","")</f>
        <v/>
      </c>
      <c r="AAS3" s="102" t="str">
        <f>IF(AND(WSING!$E$66&gt;=91.5,WSING!$E$66&lt;=100),"P","")</f>
        <v/>
      </c>
      <c r="AAT3" s="102" t="str">
        <f>IF(WSING!$E$74&lt;74.9,"P","")</f>
        <v/>
      </c>
      <c r="AAU3" s="102" t="str">
        <f>IF(AND(WSING!$E$74&gt;=75,WSING!$E$74&lt;=83.24),"P","")</f>
        <v/>
      </c>
      <c r="AAV3" s="102" t="str">
        <f>IF(AND(WSING!$E$74&gt;=83.25,WSING!$E$74&lt;=91.4),"P","")</f>
        <v/>
      </c>
      <c r="AAW3" s="102" t="str">
        <f>IF(AND(WSING!$E$74&gt;=91.5,WSING!$E$74&lt;=100),"P","")</f>
        <v/>
      </c>
      <c r="AAX3" s="102" t="str">
        <f>IF(WSING!$E$82&lt;74.9,"P","")</f>
        <v/>
      </c>
      <c r="AAY3" s="102" t="str">
        <f>IF(AND(WSING!$E$82&gt;=75,WSING!$E$82&lt;=83.24),"P","")</f>
        <v/>
      </c>
      <c r="AAZ3" s="102" t="str">
        <f>IF(AND(WSING!$E$82&gt;=83.25,WSING!$E$82&lt;=91.4),"P","")</f>
        <v/>
      </c>
      <c r="ABA3" s="102" t="str">
        <f>IF(AND(WSING!$E$82&gt;=91.5,WSING!$E$82&lt;=100),"P","")</f>
        <v/>
      </c>
      <c r="ABB3" s="102" t="str">
        <f>IF(WSING!$E$90&lt;74.9,"P","")</f>
        <v/>
      </c>
      <c r="ABC3" s="102" t="str">
        <f>IF(AND(WSING!$E$90&gt;=75,WSING!$E$90&lt;=83.24),"P","")</f>
        <v/>
      </c>
      <c r="ABD3" s="102" t="str">
        <f>IF(AND(WSING!$E$90&gt;=83.25,WSING!$E$90&lt;=91.4),"P","")</f>
        <v/>
      </c>
      <c r="ABE3" s="102" t="str">
        <f>IF(AND(WSING!$E$90&gt;=91.5,WSING!$E$90&lt;=100),"P","")</f>
        <v/>
      </c>
      <c r="ABF3" s="102" t="str">
        <f>IF(WSING!$E$98&lt;74.9,"P","")</f>
        <v/>
      </c>
      <c r="ABG3" s="102" t="str">
        <f>IF(AND(WSING!$E$98&gt;=75,WSING!$E$98&lt;=83.24),"P","")</f>
        <v/>
      </c>
      <c r="ABH3" s="102" t="str">
        <f>IF(AND(WSING!$E$98&gt;=83.25,WSING!$E$98&lt;=91.4),"P","")</f>
        <v/>
      </c>
      <c r="ABI3" s="102" t="str">
        <f>IF(AND(WSING!$E$98&gt;=91.5,WSING!$E$98&lt;=100),"P","")</f>
        <v/>
      </c>
      <c r="ABJ3" s="102" t="str">
        <f>IF(WSING!$E$106&lt;74.9,"P","")</f>
        <v/>
      </c>
      <c r="ABK3" s="102" t="str">
        <f>IF(AND(WSING!$E$106&gt;=75,WSING!$E$106&lt;=83.24),"P","")</f>
        <v/>
      </c>
      <c r="ABL3" s="102" t="str">
        <f>IF(AND(WSING!$E$106&gt;=83.25,WSING!$E$106&lt;=91.4),"P","")</f>
        <v/>
      </c>
      <c r="ABM3" s="102" t="str">
        <f>IF(AND(WSING!$E$106&gt;=91.5,WSING!$E$106&lt;=100),"P","")</f>
        <v/>
      </c>
      <c r="ABN3" s="102" t="str">
        <f>IF(WSTIK!$E$6&lt;74.9,"P","")</f>
        <v/>
      </c>
      <c r="ABO3" s="102" t="str">
        <f>IF(AND(WSTIK!$E$6&gt;=75,WSTIK!$E$6&lt;=83.24),"P","")</f>
        <v/>
      </c>
      <c r="ABP3" s="102" t="str">
        <f>IF(AND(WSTIK!$E$6&gt;=83.25,WSTIK!$E$6&lt;=91.4),"P","")</f>
        <v/>
      </c>
      <c r="ABQ3" s="102" t="str">
        <f>IF(AND(WSTIK!$E$6&gt;=91.5,WSTIK!$E$6&lt;=100),"P","")</f>
        <v/>
      </c>
      <c r="ABR3" s="102" t="str">
        <f>IF(WSTIK!$E$14&lt;74.9,"P","")</f>
        <v/>
      </c>
      <c r="ABS3" s="102" t="str">
        <f>IF(AND(WSTIK!$E$14&gt;=75,WSTIK!$E$14&lt;=83.24),"P","")</f>
        <v/>
      </c>
      <c r="ABT3" s="102" t="str">
        <f>IF(AND(WSTIK!$E$14&gt;=83.25,WSTIK!$E$14&lt;=91.4),"P","")</f>
        <v/>
      </c>
      <c r="ABU3" s="102" t="str">
        <f>IF(AND(WSTIK!$E$14&gt;=91.5,WSTIK!$E$14&lt;=100),"P","")</f>
        <v/>
      </c>
      <c r="ABV3" s="102" t="str">
        <f>IF(WSTIK!$E$22&lt;74.9,"P","")</f>
        <v/>
      </c>
      <c r="ABW3" s="102" t="str">
        <f>IF(AND(WSTIK!$E$22&gt;=75,WSTIK!$E$22&lt;=83.24),"P","")</f>
        <v/>
      </c>
      <c r="ABX3" s="102" t="str">
        <f>IF(AND(WSTIK!$E$22&gt;=83.25,WSTIK!$E$22&lt;=91.4),"P","")</f>
        <v/>
      </c>
      <c r="ABY3" s="102" t="str">
        <f>IF(AND(WSTIK!$E$22&gt;=91.5,WSTIK!$E$22&lt;=100),"P","")</f>
        <v/>
      </c>
      <c r="ABZ3" s="102" t="str">
        <f>IF(WSTIK!$E$30&lt;74.9,"P","")</f>
        <v/>
      </c>
      <c r="ACA3" s="102" t="str">
        <f>IF(AND(WSTIK!$E$30&gt;=75,WSTIK!$E$30&lt;=83.24),"P","")</f>
        <v/>
      </c>
      <c r="ACB3" s="102" t="str">
        <f>IF(AND(WSTIK!$E$30&gt;=83.25,WSTIK!$E$30&lt;=91.4),"P","")</f>
        <v/>
      </c>
      <c r="ACC3" s="102" t="str">
        <f>IF(AND(WSTIK!$E$30&gt;=91.5,WSTIK!$E$30&lt;=100),"P","")</f>
        <v/>
      </c>
      <c r="ACD3" s="102" t="str">
        <f>IF(WSTIK!$E$38&lt;74.9,"P","")</f>
        <v/>
      </c>
      <c r="ACE3" s="102" t="str">
        <f>IF(AND(WSTIK!$E$38&gt;=75,WSTIK!$E$38&lt;=83.24),"P","")</f>
        <v/>
      </c>
      <c r="ACF3" s="102" t="str">
        <f>IF(AND(WSTIK!$E$38&gt;=83.25,WSTIK!$E$38&lt;=91.4),"P","")</f>
        <v/>
      </c>
      <c r="ACG3" s="102" t="str">
        <f>IF(AND(WSTIK!$E$38&gt;=91.5,WSTIK!$E$38&lt;=100),"P","")</f>
        <v/>
      </c>
      <c r="ACH3" s="102" t="str">
        <f>IF(WSTIK!$E$46&lt;74.9,"P","")</f>
        <v/>
      </c>
      <c r="ACI3" s="102" t="str">
        <f>IF(AND(WSTIK!$E$46&gt;=75,WSTIK!$E$46&lt;=83.24),"P","")</f>
        <v/>
      </c>
      <c r="ACJ3" s="102" t="str">
        <f>IF(AND(WSTIK!$E$46&gt;=83.25,WSTIK!$E$46&lt;=91.4),"P","")</f>
        <v/>
      </c>
      <c r="ACK3" s="102" t="str">
        <f>IF(AND(WSTIK!$E$46&gt;=91.5,WSTIK!$E$46&lt;=100),"P","")</f>
        <v/>
      </c>
      <c r="ACL3" s="102" t="str">
        <f>IF(WSTIK!$E$54&lt;74.9,"P","")</f>
        <v/>
      </c>
      <c r="ACM3" s="102" t="str">
        <f>IF(AND(WSTIK!$E$54&gt;=75,WSTIK!$E$54&lt;=83.24),"P","")</f>
        <v/>
      </c>
      <c r="ACN3" s="102" t="str">
        <f>IF(AND(WSTIK!$E$54&gt;=83.25,WSTIK!$E$54&lt;=91.4),"P","")</f>
        <v/>
      </c>
      <c r="ACO3" s="102" t="str">
        <f>IF(AND(WSTIK!$E$54&gt;=91.5,WSTIK!$E$54&lt;=100),"P","")</f>
        <v/>
      </c>
      <c r="ACP3" s="102" t="str">
        <f>IF(WSTIK!$E$62&lt;74.9,"P","")</f>
        <v/>
      </c>
      <c r="ACQ3" s="102" t="str">
        <f>IF(AND(WSTIK!$E$62&gt;=75,WSTIK!$E$62&lt;=83.24),"P","")</f>
        <v/>
      </c>
      <c r="ACR3" s="102" t="str">
        <f>IF(AND(WSTIK!$E$62&gt;=83.25,WSTIK!$E$62&lt;=91.4),"P","")</f>
        <v/>
      </c>
      <c r="ACS3" s="102" t="str">
        <f>IF(AND(WSTIK!$E$62&gt;=91.5,WSTIK!$E$62&lt;=100),"P","")</f>
        <v/>
      </c>
      <c r="ACT3" s="102" t="str">
        <f>IF(WSTIK!$E$70&lt;74.9,"P","")</f>
        <v/>
      </c>
      <c r="ACU3" s="102" t="str">
        <f>IF(AND(WSTIK!$E$70&gt;=75,WSTIK!$E$70&lt;=83.24),"P","")</f>
        <v/>
      </c>
      <c r="ACV3" s="102" t="str">
        <f>IF(AND(WSTIK!$E$70&gt;=83.25,WSTIK!$E$70&lt;=91.4),"P","")</f>
        <v/>
      </c>
      <c r="ACW3" s="102" t="str">
        <f>IF(AND(WSTIK!$E$70&gt;=91.5,WSTIK!$E$70&lt;=100),"P","")</f>
        <v/>
      </c>
      <c r="ACX3" s="102" t="str">
        <f>IF(WSTIK!$E$78&lt;74.9,"P","")</f>
        <v/>
      </c>
      <c r="ACY3" s="102" t="str">
        <f>IF(AND(WSTIK!$E$78&gt;=75,WSTIK!$E$78&lt;=83.24),"P","")</f>
        <v/>
      </c>
      <c r="ACZ3" s="102" t="str">
        <f>IF(AND(WSTIK!$E$78&gt;=83.25,WSTIK!$E$78&lt;=91.4),"P","")</f>
        <v/>
      </c>
      <c r="ADA3" s="102" t="str">
        <f>IF(AND(WSTIK!$E$78&gt;=91.5,WSTIK!$E$78&lt;=100),"P","")</f>
        <v/>
      </c>
      <c r="ADB3" s="102" t="str">
        <f>IF(WSTIK!$E$86&lt;74.9,"P","")</f>
        <v/>
      </c>
      <c r="ADC3" s="102" t="str">
        <f>IF(AND(WSTIK!$E$86&gt;=75,WSTIK!$E$86&lt;=83.24),"P","")</f>
        <v/>
      </c>
      <c r="ADD3" s="102" t="str">
        <f>IF(AND(WSTIK!$E$86&gt;=83.25,WSTIK!$E$86&lt;=91.4),"P","")</f>
        <v/>
      </c>
      <c r="ADE3" s="102" t="str">
        <f>IF(AND(WSTIK!$E$86&gt;=91.5,WSTIK!$E$86&lt;=100),"P","")</f>
        <v/>
      </c>
      <c r="ADF3" s="102" t="str">
        <f>IF(WSTIK!$E$94&lt;74.9,"P","")</f>
        <v/>
      </c>
      <c r="ADG3" s="102" t="str">
        <f>IF(AND(WSTIK!$E$94&gt;=75,WSTIK!$E$94&lt;=83.24),"P","")</f>
        <v/>
      </c>
      <c r="ADH3" s="102" t="str">
        <f>IF(AND(WSTIK!$E$94&gt;=83.25,WSTIK!$E$94&lt;=91.4),"P","")</f>
        <v/>
      </c>
      <c r="ADI3" s="102" t="str">
        <f>IF(AND(WSTIK!$E$94&gt;=91.5,WSTIK!$E$94&lt;=100),"P","")</f>
        <v/>
      </c>
      <c r="ADJ3" s="102" t="str">
        <f>IF(WSTIK!$E$102&lt;74.9,"P","")</f>
        <v/>
      </c>
      <c r="ADK3" s="102" t="str">
        <f>IF(AND(WSTIK!$E$102&gt;=75,WSTIK!$E$102&lt;=83.24),"P","")</f>
        <v/>
      </c>
      <c r="ADL3" s="102" t="str">
        <f>IF(AND(WSTIK!$E$102&gt;=83.25,WSTIK!$E$102&lt;=91.4),"P","")</f>
        <v/>
      </c>
      <c r="ADM3" s="102" t="str">
        <f>IF(AND(WSTIK!$E$102&gt;=91.5,WSTIK!$E$102&lt;=100),"P","")</f>
        <v/>
      </c>
      <c r="ADN3" s="102" t="str">
        <f>IF(WSASWAJA!$E$6&lt;74.9,"P","")</f>
        <v/>
      </c>
      <c r="ADO3" s="102" t="str">
        <f>IF(AND(WSASWAJA!$E$6&gt;=75,WSASWAJA!$E$6&lt;=83.24),"P","")</f>
        <v/>
      </c>
      <c r="ADP3" s="102" t="str">
        <f>IF(AND(WSASWAJA!$E$6&gt;=83.25,WSASWAJA!$E$6&lt;=91.4),"P","")</f>
        <v/>
      </c>
      <c r="ADQ3" s="102" t="str">
        <f>IF(AND(WSASWAJA!$E$6&gt;=91.5,WSASWAJA!$E$6&lt;=100),"P","")</f>
        <v/>
      </c>
      <c r="ADR3" s="102" t="str">
        <f>IF(WSASWAJA!$E$14&lt;74.9,"P","")</f>
        <v/>
      </c>
      <c r="ADS3" s="102" t="str">
        <f>IF(AND(WSASWAJA!$E$14&gt;=75,WSASWAJA!$E$14&lt;=83.24),"P","")</f>
        <v/>
      </c>
      <c r="ADT3" s="102" t="str">
        <f>IF(AND(WSASWAJA!$E$14&gt;=83.25,WSASWAJA!$E$14&lt;=91.4),"P","")</f>
        <v/>
      </c>
      <c r="ADU3" s="102" t="str">
        <f>IF(AND(WSASWAJA!$E$14&gt;=91.5,WSASWAJA!$E$14&lt;=100),"P","")</f>
        <v/>
      </c>
      <c r="ADV3" s="102" t="str">
        <f>IF(WSASWAJA!$E$22&lt;74.9,"P","")</f>
        <v/>
      </c>
      <c r="ADW3" s="102" t="str">
        <f>IF(AND(WSASWAJA!$E$22&gt;=75,WSASWAJA!$E$22&lt;=83.24),"P","")</f>
        <v/>
      </c>
      <c r="ADX3" s="102" t="str">
        <f>IF(AND(WSASWAJA!$E$22&gt;=83.25,WSASWAJA!$E$22&lt;=91.4),"P","")</f>
        <v/>
      </c>
      <c r="ADY3" s="102" t="str">
        <f>IF(AND(WSASWAJA!$E$22&gt;=91.5,WSASWAJA!$E$22&lt;=100),"P","")</f>
        <v/>
      </c>
      <c r="ADZ3" s="102" t="str">
        <f>IF(WSASWAJA!$E$30&lt;74.9,"P","")</f>
        <v/>
      </c>
      <c r="AEA3" s="102" t="str">
        <f>IF(AND(WSASWAJA!$E$30&gt;=75,WSASWAJA!$E$30&lt;=83.24),"P","")</f>
        <v/>
      </c>
      <c r="AEB3" s="102" t="str">
        <f>IF(AND(WSASWAJA!$E$30&gt;=83.25,WSASWAJA!$E$30&lt;=91.4),"P","")</f>
        <v/>
      </c>
      <c r="AEC3" s="102" t="str">
        <f>IF(AND(WSASWAJA!$E$30&gt;=91.5,WSASWAJA!$E$30&lt;=100),"P","")</f>
        <v/>
      </c>
      <c r="AED3" s="102" t="str">
        <f>IF(WSASWAJA!$E$38&lt;74.9,"P","")</f>
        <v/>
      </c>
      <c r="AEE3" s="102" t="str">
        <f>IF(AND(WSASWAJA!$E$38&gt;=75,WSASWAJA!$E$38&lt;=83.24),"P","")</f>
        <v/>
      </c>
      <c r="AEF3" s="102" t="str">
        <f>IF(AND(WSASWAJA!$E$38&gt;=83.25,WSASWAJA!$E$38&lt;=91.4),"P","")</f>
        <v/>
      </c>
      <c r="AEG3" s="102" t="str">
        <f>IF(AND(WSASWAJA!$E$38&gt;=91.5,WSASWAJA!$E$38&lt;=100),"P","")</f>
        <v/>
      </c>
      <c r="AEH3" s="102" t="str">
        <f>IF(WSASWAJA!$E$46&lt;74.9,"P","")</f>
        <v/>
      </c>
      <c r="AEI3" s="102" t="str">
        <f>IF(AND(WSASWAJA!$E$46&gt;=75,WSASWAJA!$E$46&lt;=83.24),"P","")</f>
        <v/>
      </c>
      <c r="AEJ3" s="102" t="str">
        <f>IF(AND(WSASWAJA!$E$46&gt;=83.25,WSASWAJA!$E$46&lt;=91.4),"P","")</f>
        <v/>
      </c>
      <c r="AEK3" s="102" t="str">
        <f>IF(AND(WSASWAJA!$E$46&gt;=91.5,WSASWAJA!$E$46&lt;=100),"P","")</f>
        <v/>
      </c>
      <c r="AEL3" s="102" t="str">
        <f>IF(WSASWAJA!$E$54&lt;74.9,"P","")</f>
        <v/>
      </c>
      <c r="AEM3" s="102" t="str">
        <f>IF(AND(WSASWAJA!$E$54&gt;=75,WSASWAJA!$E$54&lt;=83.24),"P","")</f>
        <v/>
      </c>
      <c r="AEN3" s="102" t="str">
        <f>IF(AND(WSASWAJA!$E$54&gt;=83.25,WSASWAJA!$E$54&lt;=91.4),"P","")</f>
        <v/>
      </c>
      <c r="AEO3" s="102" t="str">
        <f>IF(AND(WSASWAJA!$E$54&gt;=91.5,WSASWAJA!$E$54&lt;=100),"P","")</f>
        <v/>
      </c>
      <c r="AEP3" s="102" t="str">
        <f>IF(WSASWAJA!$E$62&lt;74.9,"P","")</f>
        <v/>
      </c>
      <c r="AEQ3" s="102" t="str">
        <f>IF(AND(WSASWAJA!$E$62&gt;=75,WSASWAJA!$E$62&lt;=83.24),"P","")</f>
        <v/>
      </c>
      <c r="AER3" s="102" t="str">
        <f>IF(AND(WSASWAJA!$E$62&gt;=83.25,WSASWAJA!$E$62&lt;=91.4),"P","")</f>
        <v/>
      </c>
      <c r="AES3" s="102" t="str">
        <f>IF(AND(WSASWAJA!$E$62&gt;=91.5,WSASWAJA!$E$62&lt;=100),"P","")</f>
        <v/>
      </c>
      <c r="AET3" s="102" t="str">
        <f>IF(WSASWAJA!$E$70&lt;74.9,"P","")</f>
        <v/>
      </c>
      <c r="AEU3" s="102" t="str">
        <f>IF(AND(WSASWAJA!$E$70&gt;=75,WSASWAJA!$E$70&lt;=83.24),"P","")</f>
        <v/>
      </c>
      <c r="AEV3" s="102" t="str">
        <f>IF(AND(WSASWAJA!$E$70&gt;=83.25,WSASWAJA!$E$70&lt;=91.4),"P","")</f>
        <v/>
      </c>
      <c r="AEW3" s="102" t="str">
        <f>IF(AND(WSASWAJA!$E$70&gt;=91.5,WSASWAJA!$E$70&lt;=100),"P","")</f>
        <v/>
      </c>
      <c r="AEX3" s="102" t="str">
        <f>IF(WSASWAJA!$E$78&lt;74.9,"P","")</f>
        <v/>
      </c>
      <c r="AEY3" s="102" t="str">
        <f>IF(AND(WSASWAJA!$E$78&gt;=75,WSASWAJA!$E$78&lt;=83.24),"P","")</f>
        <v/>
      </c>
      <c r="AEZ3" s="102" t="str">
        <f>IF(AND(WSASWAJA!$E$78&gt;=83.25,WSASWAJA!$E$78&lt;=91.4),"P","")</f>
        <v/>
      </c>
      <c r="AFA3" s="102" t="str">
        <f>IF(AND(WSASWAJA!$E$78&gt;=91.5,WSASWAJA!$E$78&lt;=100),"P","")</f>
        <v/>
      </c>
      <c r="AFB3" s="102" t="str">
        <f>IF(WSASWAJA!$E$86&lt;74.9,"P","")</f>
        <v/>
      </c>
      <c r="AFC3" s="102" t="str">
        <f>IF(AND(WSASWAJA!$E$86&gt;=75,WSASWAJA!$E$86&lt;=83.24),"P","")</f>
        <v/>
      </c>
      <c r="AFD3" s="102" t="str">
        <f>IF(AND(WSASWAJA!$E$86&gt;=83.25,WSASWAJA!$E$86&lt;=91.4),"P","")</f>
        <v/>
      </c>
      <c r="AFE3" s="102" t="str">
        <f>IF(AND(WSASWAJA!$E$86&gt;=91.5,WSASWAJA!$E$86&lt;=100),"P","")</f>
        <v/>
      </c>
      <c r="AFF3" s="102" t="str">
        <f>IF(WSASWAJA!$E$94&lt;74.9,"P","")</f>
        <v/>
      </c>
      <c r="AFG3" s="102" t="str">
        <f>IF(AND(WSASWAJA!$E$94&gt;=75,WSASWAJA!$E$94&lt;=83.24),"P","")</f>
        <v/>
      </c>
      <c r="AFH3" s="102" t="str">
        <f>IF(AND(WSASWAJA!$E$94&gt;=83.25,WSASWAJA!$E$94&lt;=91.4),"P","")</f>
        <v/>
      </c>
      <c r="AFI3" s="102" t="str">
        <f>IF(AND(WSASWAJA!$E$94&gt;=91.5,WSASWAJA!$E$94&lt;=100),"P","")</f>
        <v/>
      </c>
      <c r="AFJ3" s="102" t="str">
        <f>IF(WSASWAJA!$E$102&lt;74.9,"P","")</f>
        <v/>
      </c>
      <c r="AFK3" s="102" t="str">
        <f>IF(AND(WSASWAJA!$E$102&gt;=75,WSASWAJA!$E$102&lt;=83.24),"P","")</f>
        <v/>
      </c>
      <c r="AFL3" s="102" t="str">
        <f>IF(AND(WSASWAJA!$E$102&gt;=83.25,WSASWAJA!$E$102&lt;=91.4),"P","")</f>
        <v/>
      </c>
      <c r="AFM3" s="102" t="str">
        <f>IF(AND(WSASWAJA!$E$102&gt;=91.5,WSASWAJA!$E$102&lt;=100),"P","")</f>
        <v/>
      </c>
    </row>
    <row r="4" spans="1:852" ht="20.100000000000001" customHeight="1">
      <c r="A4">
        <v>2</v>
      </c>
      <c r="B4" s="103" t="str">
        <f>IF(WSALQURAN!$F$6&lt;74.9,"P","")</f>
        <v/>
      </c>
      <c r="C4" s="103" t="str">
        <f>IF(AND(WSALQURAN!$F$6&gt;=75,WSALQURAN!$F$6&lt;=83.24),"P","")</f>
        <v/>
      </c>
      <c r="D4" s="103" t="str">
        <f>IF(AND(WSALQURAN!$F$6&gt;=83.25,WSALQURAN!$F$6&lt;=91.4),"P","")</f>
        <v>P</v>
      </c>
      <c r="E4" s="103" t="str">
        <f>IF(AND(WSALQURAN!$F$6&gt;=91.5,WSALQURAN!$F$6&lt;=100),"P","")</f>
        <v/>
      </c>
      <c r="F4" s="102" t="str">
        <f>IF(WSALQURAN!$F$14&lt;74.9,"P","")</f>
        <v/>
      </c>
      <c r="G4" s="102" t="str">
        <f>IF(AND(WSALQURAN!$F$14&gt;=75,WSALQURAN!$F$14&lt;=83.24),"P","")</f>
        <v/>
      </c>
      <c r="H4" s="102" t="str">
        <f>IF(AND(WSALQURAN!$F$14&gt;=83.25,WSALQURAN!$F$14&lt;=91.4),"P","")</f>
        <v/>
      </c>
      <c r="I4" s="102" t="str">
        <f>IF(AND(WSALQURAN!$F$14&gt;=91.5,WSALQURAN!$F$14&lt;=100),"P","")</f>
        <v>P</v>
      </c>
      <c r="J4" s="102" t="str">
        <f>IF(WSALQURAN!$F$22&lt;74.9,"P","")</f>
        <v/>
      </c>
      <c r="K4" s="102" t="str">
        <f>IF(AND(WSALQURAN!$F$22&gt;=75,WSALQURAN!$F$22&lt;=83.24),"P","")</f>
        <v/>
      </c>
      <c r="L4" s="102" t="str">
        <f>IF(AND(WSALQURAN!$F$22&gt;=83.25,WSALQURAN!$F$22&lt;=91.4),"P","")</f>
        <v>P</v>
      </c>
      <c r="M4" s="102" t="str">
        <f>IF(AND(WSALQURAN!$F$22&gt;=91.5,WSALQURAN!$F$22&lt;=100),"P","")</f>
        <v/>
      </c>
      <c r="N4" s="102" t="str">
        <f>IF(WSALQURAN!$F$30&lt;74.9,"P","")</f>
        <v/>
      </c>
      <c r="O4" s="102" t="str">
        <f>IF(AND(WSALQURAN!$F$30&gt;=75,WSALQURAN!$F$30&lt;=83.24),"P","")</f>
        <v/>
      </c>
      <c r="P4" s="102" t="str">
        <f>IF(AND(WSALQURAN!$F$30&gt;=83.25,WSALQURAN!$F$30&lt;=91.4),"P","")</f>
        <v>P</v>
      </c>
      <c r="Q4" s="102" t="str">
        <f>IF(AND(WSALQURAN!$F$30&gt;=91.5,WSALQURAN!$F$30&lt;=100),"P","")</f>
        <v/>
      </c>
      <c r="R4" s="102" t="str">
        <f>IF(WSALQURAN!$F$38&lt;74.9,"P","")</f>
        <v/>
      </c>
      <c r="S4" s="102" t="str">
        <f>IF(AND(WSALQURAN!$F$38&gt;=75,WSALQURAN!$F$38&lt;=83.24),"P","")</f>
        <v/>
      </c>
      <c r="T4" s="102" t="str">
        <f>IF(AND(WSALQURAN!$F$38&gt;=83.25,WSALQURAN!$F$38&lt;=91.4),"P","")</f>
        <v>P</v>
      </c>
      <c r="U4" s="102" t="str">
        <f>IF(AND(WSALQURAN!$F$38&gt;=91.5,WSALQURAN!$F$38&lt;=100),"P","")</f>
        <v/>
      </c>
      <c r="V4" s="102" t="str">
        <f>IF(WSALQURAN!$F$46&lt;74.9,"P","")</f>
        <v/>
      </c>
      <c r="W4" s="102" t="str">
        <f>IF(AND(WSALQURAN!$F$46&gt;=75,WSALQURAN!$F$46&lt;=83.24),"P","")</f>
        <v>P</v>
      </c>
      <c r="X4" s="102" t="str">
        <f>IF(AND(WSALQURAN!$F$46&gt;=83.25,WSALQURAN!$F$46&lt;=91.4),"P","")</f>
        <v/>
      </c>
      <c r="Y4" s="102" t="str">
        <f>IF(AND(WSALQURAN!$F$46&gt;=91.5,WSALQURAN!$F$46&lt;=100),"P","")</f>
        <v/>
      </c>
      <c r="Z4" s="102" t="str">
        <f>IF(WSALQURAN!$F$54&lt;74.9,"P","")</f>
        <v/>
      </c>
      <c r="AA4" s="102" t="str">
        <f>IF(AND(WSALQURAN!$F$54&gt;=75,WSALQURAN!$F$54&lt;=83.24),"P","")</f>
        <v/>
      </c>
      <c r="AB4" s="102" t="str">
        <f>IF(AND(WSALQURAN!$F$54&gt;=83.25,WSALQURAN!$F$54&lt;=91.4),"P","")</f>
        <v/>
      </c>
      <c r="AC4" s="102" t="str">
        <f>IF(AND(WSALQURAN!$F$54&gt;=91.5,WSALQURAN!$F$54&lt;=100),"P","")</f>
        <v>P</v>
      </c>
      <c r="AD4" s="102" t="str">
        <f>IF(WSALQURAN!$F$62&lt;74.9,"P","")</f>
        <v/>
      </c>
      <c r="AE4" s="102" t="str">
        <f>IF(AND(WSALQURAN!$F$62&gt;=75,WSALQURAN!$F$62&lt;=83.24),"P","")</f>
        <v/>
      </c>
      <c r="AF4" s="102" t="str">
        <f>IF(AND(WSALQURAN!$F$62&gt;=83.25,WSALQURAN!$F$62&lt;=91.4),"P","")</f>
        <v/>
      </c>
      <c r="AG4" s="102" t="str">
        <f>IF(AND(WSALQURAN!$F$62&gt;=91.5,WSALQURAN!$F$62&lt;=100),"P","")</f>
        <v/>
      </c>
      <c r="AH4" s="102" t="str">
        <f>IF(WSALQURAN!$F$70&lt;74.9,"P","")</f>
        <v/>
      </c>
      <c r="AI4" s="102" t="str">
        <f>IF(AND(WSALQURAN!$F$70&gt;=75,WSALQURAN!$F$70&lt;=83.24),"P","")</f>
        <v/>
      </c>
      <c r="AJ4" s="102" t="str">
        <f>IF(AND(WSALQURAN!$F$70&gt;=83.25,WSALQURAN!$F$70&lt;=91.4),"P","")</f>
        <v/>
      </c>
      <c r="AK4" s="102" t="str">
        <f>IF(AND(WSALQURAN!$F$70&gt;=91.5,WSALQURAN!$F$70&lt;=100),"P","")</f>
        <v/>
      </c>
      <c r="AL4" s="102" t="str">
        <f>IF(WSALQURAN!$F$78&lt;74.9,"P","")</f>
        <v/>
      </c>
      <c r="AM4" s="102" t="str">
        <f>IF(AND(WSALQURAN!$F$78&gt;=75,WSALQURAN!$F$78&lt;=83.24),"P","")</f>
        <v/>
      </c>
      <c r="AN4" s="102" t="str">
        <f>IF(AND(WSALQURAN!$F$78&gt;=83.25,WSALQURAN!$F$78&lt;=91.4),"P","")</f>
        <v/>
      </c>
      <c r="AO4" s="102" t="str">
        <f>IF(AND(WSALQURAN!$F$78&gt;=91.5,WSALQURAN!$F$78&lt;=100),"P","")</f>
        <v/>
      </c>
      <c r="AP4" s="102" t="str">
        <f>IF(WSALQURAN!$F$86&lt;74.9,"P","")</f>
        <v/>
      </c>
      <c r="AQ4" s="102" t="str">
        <f>IF(AND(WSALQURAN!$F$86&gt;=75,WSALQURAN!$F$86&lt;=83.24),"P","")</f>
        <v/>
      </c>
      <c r="AR4" s="102" t="str">
        <f>IF(AND(WSALQURAN!$F$86&gt;=83.25,WSALQURAN!$F$86&lt;=91.4),"P","")</f>
        <v/>
      </c>
      <c r="AS4" s="102" t="str">
        <f>IF(AND(WSALQURAN!$F$86&gt;=91.5,WSALQURAN!$F$86&lt;=100),"P","")</f>
        <v/>
      </c>
      <c r="AT4" s="102" t="str">
        <f>IF(WSALQURAN!$F$94&lt;74.9,"P","")</f>
        <v/>
      </c>
      <c r="AU4" s="102" t="str">
        <f>IF(AND(WSALQURAN!$F$94&gt;=75,WSALQURAN!$F$94&lt;=83.24),"P","")</f>
        <v/>
      </c>
      <c r="AV4" s="102" t="str">
        <f>IF(AND(WSALQURAN!$F$94&gt;=83.25,WSALQURAN!$F$94&lt;=91.4),"P","")</f>
        <v/>
      </c>
      <c r="AW4" s="102" t="str">
        <f>IF(AND(WSALQURAN!$F$94&gt;=91.5,WSALQURAN!$F$94&lt;=100),"P","")</f>
        <v/>
      </c>
      <c r="AX4" s="102" t="str">
        <f>IF(WSALQURAN!$F$102&lt;74.9,"P","")</f>
        <v/>
      </c>
      <c r="AY4" s="102" t="str">
        <f>IF(AND(WSALQURAN!$F$102&gt;=75,WSALQURAN!$F$102&lt;=83.24),"P","")</f>
        <v/>
      </c>
      <c r="AZ4" s="102" t="str">
        <f>IF(AND(WSALQURAN!$F$102&gt;=83.25,WSALQURAN!$F$102&lt;=91.4),"P","")</f>
        <v/>
      </c>
      <c r="BA4" s="102" t="str">
        <f>IF(AND(WSALQURAN!$F$102&gt;=91.5,WSALQURAN!$F$102&lt;=100),"P","")</f>
        <v/>
      </c>
      <c r="BB4" s="102" t="str">
        <f>IF(WSAQIDAH!$F$6&lt;74.9,"P","")</f>
        <v/>
      </c>
      <c r="BC4" s="102" t="str">
        <f>IF(AND(WSAQIDAH!$F$6&gt;=75,WSAQIDAH!$F$6&lt;=83.24),"P","")</f>
        <v>P</v>
      </c>
      <c r="BD4" s="102" t="str">
        <f>IF(AND(WSAQIDAH!$F$6&gt;=83.25,WSAQIDAH!$F$6&lt;=91.4),"P","")</f>
        <v/>
      </c>
      <c r="BE4" s="102" t="str">
        <f>IF(AND(WSAQIDAH!$F$6&gt;=91.5,WSAQIDAH!$F$6&lt;=100),"P","")</f>
        <v/>
      </c>
      <c r="BF4" s="102" t="str">
        <f>IF(WSAQIDAH!$F$14&lt;74.9,"P","")</f>
        <v/>
      </c>
      <c r="BG4" s="102" t="str">
        <f>IF(AND(WSAQIDAH!$F$14&gt;=75,WSAQIDAH!$F$14&lt;=83.24),"P","")</f>
        <v/>
      </c>
      <c r="BH4" s="102" t="str">
        <f>IF(AND(WSAQIDAH!$F$14&gt;=83.25,WSAQIDAH!$F$14&lt;=91.4),"P","")</f>
        <v/>
      </c>
      <c r="BI4" s="102" t="str">
        <f>IF(AND(WSAQIDAH!$F$14&gt;=91.5,WSAQIDAH!$F$14&lt;=100),"P","")</f>
        <v>P</v>
      </c>
      <c r="BJ4" s="102" t="str">
        <f>IF(WSAQIDAH!$F$22&lt;74.9,"P","")</f>
        <v/>
      </c>
      <c r="BK4" s="102" t="str">
        <f>IF(AND(WSAQIDAH!$F$22&gt;=75,WSAQIDAH!$F$22&lt;=83.24),"P","")</f>
        <v/>
      </c>
      <c r="BL4" s="102" t="str">
        <f>IF(AND(WSAQIDAH!$F$22&gt;=83.25,WSAQIDAH!$F$22&lt;=91.4),"P","")</f>
        <v/>
      </c>
      <c r="BM4" s="102" t="str">
        <f>IF(AND(WSAQIDAH!$F$22&gt;=91.5,WSAQIDAH!$F$22&lt;=100),"P","")</f>
        <v>P</v>
      </c>
      <c r="BN4" s="102" t="str">
        <f>IF(WSAQIDAH!$F$30&lt;74.9,"P","")</f>
        <v/>
      </c>
      <c r="BO4" s="102" t="str">
        <f>IF(AND(WSAQIDAH!$F$30&gt;=75,WSAQIDAH!$F$30&lt;=83.24),"P","")</f>
        <v>P</v>
      </c>
      <c r="BP4" s="102" t="str">
        <f>IF(AND(WSAQIDAH!$F$30&gt;=83.25,WSAQIDAH!$F$30&lt;=91.4),"P","")</f>
        <v/>
      </c>
      <c r="BQ4" s="102" t="str">
        <f>IF(AND(WSAQIDAH!$F$30&gt;=91.5,WSAQIDAH!$F$30&lt;=100),"P","")</f>
        <v/>
      </c>
      <c r="BR4" s="102" t="str">
        <f>IF(WSAQIDAH!$F$38&lt;74.9,"P","")</f>
        <v/>
      </c>
      <c r="BS4" s="102" t="str">
        <f>IF(AND(WSAQIDAH!$F$38&gt;=75,WSAQIDAH!$F$38&lt;=83.24),"P","")</f>
        <v/>
      </c>
      <c r="BT4" s="102" t="str">
        <f>IF(AND(WSAQIDAH!$F$38&gt;=83.25,WSAQIDAH!$F$38&lt;=91.4),"P","")</f>
        <v>P</v>
      </c>
      <c r="BU4" s="102" t="str">
        <f>IF(AND(WSAQIDAH!$F$38&gt;=91.5,WSAQIDAH!$F$38&lt;=100),"P","")</f>
        <v/>
      </c>
      <c r="BV4" s="102" t="str">
        <f>IF(WSAQIDAH!$F$46&lt;74.9,"P","")</f>
        <v/>
      </c>
      <c r="BW4" s="102" t="str">
        <f>IF(AND(WSAQIDAH!$F$46&gt;=75,WSAQIDAH!$F$46&lt;=83.24),"P","")</f>
        <v>P</v>
      </c>
      <c r="BX4" s="102" t="str">
        <f>IF(AND(WSAQIDAH!$F$46&gt;=83.25,WSAQIDAH!$F$46&lt;=91.4),"P","")</f>
        <v/>
      </c>
      <c r="BY4" s="102" t="str">
        <f>IF(AND(WSAQIDAH!$F$46&gt;=91.5,WSAQIDAH!$F$46&lt;=100),"P","")</f>
        <v/>
      </c>
      <c r="BZ4" s="102" t="str">
        <f>IF(WSAQIDAH!$F$54&lt;74.9,"P","")</f>
        <v/>
      </c>
      <c r="CA4" s="102" t="str">
        <f>IF(AND(WSAQIDAH!$F$54&gt;=75,WSAQIDAH!$F$54&lt;=83.24),"P","")</f>
        <v>P</v>
      </c>
      <c r="CB4" s="102" t="str">
        <f>IF(AND(WSAQIDAH!$F$54&gt;=83.25,WSAQIDAH!$F$54&lt;=91.4),"P","")</f>
        <v/>
      </c>
      <c r="CC4" s="102" t="str">
        <f>IF(AND(WSAQIDAH!$F$54&gt;=91.5,WSAQIDAH!$F$54&lt;=100),"P","")</f>
        <v/>
      </c>
      <c r="CD4" s="102" t="str">
        <f>IF(WSAQIDAH!$F$62&lt;74.9,"P","")</f>
        <v/>
      </c>
      <c r="CE4" s="102" t="str">
        <f>IF(AND(WSAQIDAH!$F$62&gt;=75,WSAQIDAH!$F$62&lt;=83.24),"P","")</f>
        <v>P</v>
      </c>
      <c r="CF4" s="102" t="str">
        <f>IF(AND(WSAQIDAH!$F$62&gt;=83.25,WSAQIDAH!$F$62&lt;=91.4),"P","")</f>
        <v/>
      </c>
      <c r="CG4" s="102" t="str">
        <f>IF(AND(WSAQIDAH!$F$62&gt;=91.5,WSAQIDAH!$F$62&lt;=100),"P","")</f>
        <v/>
      </c>
      <c r="CH4" s="102" t="str">
        <f>IF(WSAQIDAH!$F$70&lt;74.9,"P","")</f>
        <v/>
      </c>
      <c r="CI4" s="102" t="str">
        <f>IF(AND(WSAQIDAH!$F$70&gt;=75,WSAQIDAH!$F$70&lt;=83.24),"P","")</f>
        <v>P</v>
      </c>
      <c r="CJ4" s="102" t="str">
        <f>IF(AND(WSAQIDAH!$F$70&gt;=83.25,WSAQIDAH!$F$70&lt;=91.4),"P","")</f>
        <v/>
      </c>
      <c r="CK4" s="102" t="str">
        <f>IF(AND(WSAQIDAH!$F$70&gt;=91.5,WSAQIDAH!$F$70&lt;=100),"P","")</f>
        <v/>
      </c>
      <c r="CL4" s="102" t="str">
        <f>IF(WSAQIDAH!$F$78&lt;74.9,"P","")</f>
        <v/>
      </c>
      <c r="CM4" s="102" t="str">
        <f>IF(AND(WSAQIDAH!$F$78&gt;=75,WSAQIDAH!$F$78&lt;=83.24),"P","")</f>
        <v>P</v>
      </c>
      <c r="CN4" s="102" t="str">
        <f>IF(AND(WSAQIDAH!$F$78&gt;=83.25,WSAQIDAH!$F$78&lt;=91.4),"P","")</f>
        <v/>
      </c>
      <c r="CO4" s="102" t="str">
        <f>IF(AND(WSAQIDAH!$F$78&gt;=91.5,WSAQIDAH!$F$78&lt;=100),"P","")</f>
        <v/>
      </c>
      <c r="CP4" s="102" t="str">
        <f>IF(WSAQIDAH!$F$86&lt;74.9,"P","")</f>
        <v/>
      </c>
      <c r="CQ4" s="102" t="str">
        <f>IF(AND(WSAQIDAH!$F$86&gt;=75,WSAQIDAH!$F$86&lt;=83.24),"P","")</f>
        <v/>
      </c>
      <c r="CR4" s="102" t="str">
        <f>IF(AND(WSAQIDAH!$F$86&gt;=83.25,WSAQIDAH!$F$86&lt;=91.4),"P","")</f>
        <v/>
      </c>
      <c r="CS4" s="102" t="str">
        <f>IF(AND(WSAQIDAH!$F$86&gt;=91.5,WSAQIDAH!$F$86&lt;=100),"P","")</f>
        <v/>
      </c>
      <c r="CT4" s="102" t="str">
        <f>IF(WSAQIDAH!$F$94&lt;74.9,"P","")</f>
        <v/>
      </c>
      <c r="CU4" s="102" t="str">
        <f>IF(AND(WSAQIDAH!$F$94&gt;=75,WSAQIDAH!$F$94&lt;=83.24),"P","")</f>
        <v/>
      </c>
      <c r="CV4" s="102" t="str">
        <f>IF(AND(WSAQIDAH!$F$94&gt;=83.25,WSAQIDAH!$F$94&lt;=91.4),"P","")</f>
        <v/>
      </c>
      <c r="CW4" s="102" t="str">
        <f>IF(AND(WSAQIDAH!$F$94&gt;=91.5,WSAQIDAH!$F$94&lt;=100),"P","")</f>
        <v/>
      </c>
      <c r="CX4" s="102" t="str">
        <f>IF(WSAQIDAH!$F$102&lt;74.9,"P","")</f>
        <v/>
      </c>
      <c r="CY4" s="102" t="str">
        <f>IF(AND(WSAQIDAH!$F$102&gt;=75,WSAQIDAH!$F$102&lt;=83.24),"P","")</f>
        <v/>
      </c>
      <c r="CZ4" s="102" t="str">
        <f>IF(AND(WSAQIDAH!$F$102&gt;=83.25,WSAQIDAH!$F$102&lt;=91.4),"P","")</f>
        <v/>
      </c>
      <c r="DA4" s="102" t="str">
        <f>IF(AND(WSAQIDAH!$F$102&gt;=91.5,WSAQIDAH!$F$102&lt;=100),"P","")</f>
        <v/>
      </c>
      <c r="DB4" s="102" t="str">
        <f>IF(WSSKI!$F$6&lt;74.9,"P","")</f>
        <v/>
      </c>
      <c r="DC4" s="102" t="str">
        <f>IF(AND(WSSKI!$F$6&gt;=75,WSSKI!$F$6&lt;=83.24),"P","")</f>
        <v>P</v>
      </c>
      <c r="DD4" s="102" t="str">
        <f>IF(AND(WSSKI!$F$6&gt;=83.25,WSSKI!$F$6&lt;=91.4),"P","")</f>
        <v/>
      </c>
      <c r="DE4" s="102" t="str">
        <f>IF(AND(WSSKI!$F$6&gt;=91.5,WSSKI!$F$6&lt;=100),"P","")</f>
        <v/>
      </c>
      <c r="DF4" s="102" t="str">
        <f>IF(WSSKI!$F$14&lt;74.9,"P","")</f>
        <v/>
      </c>
      <c r="DG4" s="102" t="str">
        <f>IF(AND(WSSKI!$F$14&gt;=75,WSSKI!$F$14&lt;=83.24),"P","")</f>
        <v/>
      </c>
      <c r="DH4" s="102" t="str">
        <f>IF(AND(WSSKI!$F$14&gt;=83.25,WSSKI!$F$14&lt;=91.4),"P","")</f>
        <v>P</v>
      </c>
      <c r="DI4" s="102" t="str">
        <f>IF(AND(WSSKI!$F$14&gt;=91.5,WSSKI!$F$14&lt;=100),"P","")</f>
        <v/>
      </c>
      <c r="DJ4" s="102" t="str">
        <f>IF(WSSKI!$F$23&lt;74.9,"P","")</f>
        <v/>
      </c>
      <c r="DK4" s="102" t="str">
        <f>IF(AND(WSSKI!$F$23&gt;=75,WSSKI!$F$23&lt;=83.24),"P","")</f>
        <v/>
      </c>
      <c r="DL4" s="102" t="str">
        <f>IF(AND(WSSKI!$F$23&gt;=83.25,WSSKI!$F$23&lt;=91.4),"P","")</f>
        <v/>
      </c>
      <c r="DM4" s="102" t="str">
        <f>IF(AND(WSSKI!$F$23&gt;=91.5,WSSKI!$F$23&lt;=100),"P","")</f>
        <v>P</v>
      </c>
      <c r="DN4" s="102" t="str">
        <f>IF(WSSKI!$F$31&lt;74.9,"P","")</f>
        <v/>
      </c>
      <c r="DO4" s="102" t="str">
        <f>IF(AND(WSSKI!$F$31&gt;=75,WSSKI!$F$31&lt;=83.24),"P","")</f>
        <v/>
      </c>
      <c r="DP4" s="102" t="str">
        <f>IF(AND(WSSKI!$F$31&gt;=83.25,WSSKI!$F$31&lt;=91.4),"P","")</f>
        <v/>
      </c>
      <c r="DQ4" s="102" t="str">
        <f>IF(AND(WSSKI!$F$31&gt;=91.5,WSSKI!$F$31&lt;=100),"P","")</f>
        <v>P</v>
      </c>
      <c r="DR4" s="102" t="str">
        <f>IF(WSSKI!$F$40&lt;74.9,"P","")</f>
        <v/>
      </c>
      <c r="DS4" s="102" t="str">
        <f>IF(AND(WSSKI!$F$40&gt;=75,WSSKI!$F$40&lt;=83.24),"P","")</f>
        <v/>
      </c>
      <c r="DT4" s="102" t="str">
        <f>IF(AND(WSSKI!$F$40&gt;=83.25,WSSKI!$F$40&lt;=91.4),"P","")</f>
        <v/>
      </c>
      <c r="DU4" s="102" t="str">
        <f>IF(AND(WSSKI!$F$40&gt;=91.5,WSSKI!$F$40&lt;=100),"P","")</f>
        <v>P</v>
      </c>
      <c r="DV4" s="102" t="str">
        <f>IF(WSSKI!$F$48&lt;74.9,"P","")</f>
        <v/>
      </c>
      <c r="DW4" s="102" t="str">
        <f>IF(AND(WSSKI!$F$48&gt;=75,WSSKI!$F$48&lt;=83.24),"P","")</f>
        <v/>
      </c>
      <c r="DX4" s="102" t="str">
        <f>IF(AND(WSSKI!$F$48&gt;=83.25,WSSKI!$F$48&lt;=91.4),"P","")</f>
        <v/>
      </c>
      <c r="DY4" s="102" t="str">
        <f>IF(AND(WSSKI!$F$48&gt;=91.5,WSSKI!$F$48&lt;=100),"P","")</f>
        <v>P</v>
      </c>
      <c r="DZ4" s="102" t="str">
        <f>IF(WSSKI!$F$56&lt;74.9,"P","")</f>
        <v/>
      </c>
      <c r="EA4" s="102" t="str">
        <f>IF(AND(WSSKI!$F$56&gt;=75,WSSKI!$F$56&lt;=83.24),"P","")</f>
        <v/>
      </c>
      <c r="EB4" s="102" t="str">
        <f>IF(AND(WSSKI!$F$56&gt;=83.25,WSSKI!$F$56&lt;=91.4),"P","")</f>
        <v/>
      </c>
      <c r="EC4" s="102" t="str">
        <f>IF(AND(WSSKI!$F$56&gt;=91.5,WSSKI!$F$56&lt;=100),"P","")</f>
        <v/>
      </c>
      <c r="ED4" s="102" t="str">
        <f>IF(WSSKI!$F$64&lt;74.9,"P","")</f>
        <v/>
      </c>
      <c r="EE4" s="102" t="str">
        <f>IF(AND(WSSKI!$F$64&gt;=75,WSSKI!$F$64&lt;=83.24),"P","")</f>
        <v/>
      </c>
      <c r="EF4" s="102" t="str">
        <f>IF(AND(WSSKI!$F$64&gt;=83.25,WSSKI!$F$64&lt;=91.4),"P","")</f>
        <v/>
      </c>
      <c r="EG4" s="102" t="str">
        <f>IF(AND(WSSKI!$F$64&gt;=91.5,WSSKI!$F$64&lt;=100),"P","")</f>
        <v/>
      </c>
      <c r="EH4" s="102" t="str">
        <f>IF(WSSKI!$F$72&lt;74.9,"P","")</f>
        <v/>
      </c>
      <c r="EI4" s="102" t="str">
        <f>IF(AND(WSSKI!$F$72&gt;=75,WSSKI!$F$72&lt;=83.24),"P","")</f>
        <v/>
      </c>
      <c r="EJ4" s="102" t="str">
        <f>IF(AND(WSSKI!$F$72&gt;=83.25,WSSKI!$F$72&lt;=91.4),"P","")</f>
        <v/>
      </c>
      <c r="EK4" s="102" t="str">
        <f>IF(AND(WSSKI!$F$72&gt;=91.5,WSSKI!$F$72&lt;=100),"P","")</f>
        <v/>
      </c>
      <c r="EL4" s="102" t="str">
        <f>IF(WSSKI!$F$80&lt;74.9,"P","")</f>
        <v/>
      </c>
      <c r="EM4" s="102" t="str">
        <f>IF(AND(WSSKI!$F$80&gt;=75,WSSKI!$F$80&lt;=83.24),"P","")</f>
        <v/>
      </c>
      <c r="EN4" s="102" t="str">
        <f>IF(AND(WSSKI!$F$80&gt;=83.25,WSSKI!$F$80&lt;=91.4),"P","")</f>
        <v/>
      </c>
      <c r="EO4" s="102" t="str">
        <f>IF(AND(WSSKI!$F$80&gt;=91.5,WSSKI!$F$80&lt;=100),"P","")</f>
        <v/>
      </c>
      <c r="EP4" s="102" t="str">
        <f>IF(WSSKI!$F$88&lt;74.9,"P","")</f>
        <v/>
      </c>
      <c r="EQ4" s="102" t="str">
        <f>IF(AND(WSSKI!$F$88&gt;=75,WSSKI!$F$88&lt;=83.24),"P","")</f>
        <v/>
      </c>
      <c r="ER4" s="102" t="str">
        <f>IF(AND(WSSKI!$F$88&gt;=83.25,WSSKI!$F$88&lt;=91.4),"P","")</f>
        <v/>
      </c>
      <c r="ES4" s="102" t="str">
        <f>IF(AND(WSSKI!$F$88&gt;=91.5,WSSKI!$F$88&lt;=100),"P","")</f>
        <v/>
      </c>
      <c r="ET4" s="102" t="str">
        <f>IF(WSSKI!$F$96&lt;74.9,"P","")</f>
        <v/>
      </c>
      <c r="EU4" s="102" t="str">
        <f>IF(AND(WSSKI!$F$96&gt;=75,WSSKI!$F$96&lt;=83.24),"P","")</f>
        <v/>
      </c>
      <c r="EV4" s="102" t="str">
        <f>IF(AND(WSSKI!$F$96&gt;=83.25,WSSKI!$F$96&lt;=91.4),"P","")</f>
        <v/>
      </c>
      <c r="EW4" s="102" t="str">
        <f>IF(AND(WSSKI!$F$96&gt;=91.5,WSSKI!$F$96&lt;=100),"P","")</f>
        <v/>
      </c>
      <c r="EX4" s="102" t="str">
        <f>IF(WSSKI!$F$104&lt;74.9,"P","")</f>
        <v/>
      </c>
      <c r="EY4" s="102" t="str">
        <f>IF(AND(WSSKI!$F$104&gt;=75,WSSKI!$F$104&lt;=83.24),"P","")</f>
        <v/>
      </c>
      <c r="EZ4" s="102" t="str">
        <f>IF(AND(WSSKI!$F$104&gt;=83.25,WSSKI!$F$104&lt;=91.4),"P","")</f>
        <v/>
      </c>
      <c r="FA4" s="102" t="str">
        <f>IF(AND(WSSKI!$F$104&gt;=91.5,WSSKI!$F$104&lt;=100),"P","")</f>
        <v/>
      </c>
      <c r="FB4" s="102" t="str">
        <f>IF(WSFIQIH!$F$6&lt;74.9,"P","")</f>
        <v/>
      </c>
      <c r="FC4" s="102" t="str">
        <f>IF(AND(WSFIQIH!$F$6&gt;=75,WSFIQIH!$F$6&lt;=83.24),"P","")</f>
        <v/>
      </c>
      <c r="FD4" s="102" t="str">
        <f>IF(AND(WSFIQIH!$F$6&gt;=83.25,WSFIQIH!$F$6&lt;=91.4),"P","")</f>
        <v>P</v>
      </c>
      <c r="FE4" s="102" t="str">
        <f>IF(AND(WSFIQIH!$F$6&gt;=91.5,WSFIQIH!$F$6&lt;=100),"P","")</f>
        <v/>
      </c>
      <c r="FF4" s="102" t="str">
        <f>IF(WSFIQIH!$F$19&lt;74.9,"P","")</f>
        <v/>
      </c>
      <c r="FG4" s="102" t="str">
        <f>IF(AND(WSFIQIH!$F$19&gt;=75,WSFIQIH!$F$19&lt;=83.24),"P","")</f>
        <v/>
      </c>
      <c r="FH4" s="102" t="str">
        <f>IF(AND(WSFIQIH!$F$19&gt;=83.25,WSFIQIH!$F$19&lt;=91.4),"P","")</f>
        <v/>
      </c>
      <c r="FI4" s="102" t="str">
        <f>IF(AND(WSFIQIH!$F$19&gt;=91.5,WSFIQIH!$F$19&lt;=100),"P","")</f>
        <v>P</v>
      </c>
      <c r="FJ4" s="102" t="str">
        <f>IF(WSFIQIH!$F$28&lt;74.9,"P","")</f>
        <v/>
      </c>
      <c r="FK4" s="102" t="str">
        <f>IF(AND(WSFIQIH!$F$28&gt;=75,WSFIQIH!$F$28&lt;=83.24),"P","")</f>
        <v/>
      </c>
      <c r="FL4" s="102" t="str">
        <f>IF(AND(WSFIQIH!$F$28&gt;=83.25,WSFIQIH!$F$28&lt;=91.4),"P","")</f>
        <v/>
      </c>
      <c r="FM4" s="102" t="str">
        <f>IF(AND(WSFIQIH!$F$28&gt;=91.5,WSFIQIH!$F$28&lt;=100),"P","")</f>
        <v>P</v>
      </c>
      <c r="FN4" s="102" t="str">
        <f>IF(WSFIQIH!$F$41&lt;74.9,"P","")</f>
        <v/>
      </c>
      <c r="FO4" s="102" t="str">
        <f>IF(AND(WSFIQIH!$F$41&gt;=75,WSFIQIH!$F$41&lt;=83.24),"P","")</f>
        <v/>
      </c>
      <c r="FP4" s="102" t="str">
        <f>IF(AND(WSFIQIH!$F$41&gt;=83.25,WSFIQIH!$F$41&lt;=91.4),"P","")</f>
        <v/>
      </c>
      <c r="FQ4" s="102" t="str">
        <f>IF(AND(WSFIQIH!$F$41&gt;=91.5,WSFIQIH!$F$41&lt;=100),"P","")</f>
        <v>P</v>
      </c>
      <c r="FR4" s="102" t="str">
        <f>IF(WSFIQIH!$F$49&lt;74.9,"P","")</f>
        <v/>
      </c>
      <c r="FS4" s="102" t="str">
        <f>IF(AND(WSFIQIH!$F$49&gt;=75,WSFIQIH!$F$49&lt;=83.24),"P","")</f>
        <v/>
      </c>
      <c r="FT4" s="102" t="str">
        <f>IF(AND(WSFIQIH!$F$49&gt;=83.25,WSFIQIH!$F$49&lt;=91.4),"P","")</f>
        <v>P</v>
      </c>
      <c r="FU4" s="102" t="str">
        <f>IF(AND(WSFIQIH!$F$49&gt;=91.5,WSFIQIH!$F$49&lt;=100),"P","")</f>
        <v/>
      </c>
      <c r="FV4" s="102" t="str">
        <f>IF(WSFIQIH!$F$62&lt;74.9,"P","")</f>
        <v/>
      </c>
      <c r="FW4" s="102" t="str">
        <f>IF(AND(WSFIQIH!$F$62&gt;=75,WSFIQIH!$F$62&lt;=83.24),"P","")</f>
        <v/>
      </c>
      <c r="FX4" s="102" t="str">
        <f>IF(AND(WSFIQIH!$F$62&gt;=83.25,WSFIQIH!$F$62&lt;=91.4),"P","")</f>
        <v>P</v>
      </c>
      <c r="FY4" s="102" t="str">
        <f>IF(AND(WSFIQIH!$F$62&gt;=91.5,WSFIQIH!$F$62&lt;=100),"P","")</f>
        <v/>
      </c>
      <c r="FZ4" s="102" t="str">
        <f>IF(WSFIQIH!$F$71&lt;74.9,"P","")</f>
        <v/>
      </c>
      <c r="GA4" s="102" t="str">
        <f>IF(AND(WSFIQIH!$F$71&gt;=75,WSFIQIH!$F$71&lt;=83.24),"P","")</f>
        <v/>
      </c>
      <c r="GB4" s="102" t="str">
        <f>IF(AND(WSFIQIH!$F$71&gt;=83.25,WSFIQIH!$F$71&lt;=91.4),"P","")</f>
        <v/>
      </c>
      <c r="GC4" s="102" t="str">
        <f>IF(AND(WSFIQIH!$F$71&gt;=91.5,WSFIQIH!$F$71&lt;=100),"P","")</f>
        <v>P</v>
      </c>
      <c r="GD4" s="102" t="str">
        <f>IF(WSFIQIH!$F$80&lt;74.9,"P","")</f>
        <v/>
      </c>
      <c r="GE4" s="102" t="str">
        <f>IF(AND(WSFIQIH!$F$80&gt;=75,WSFIQIH!$F$80&lt;=83.24),"P","")</f>
        <v>P</v>
      </c>
      <c r="GF4" s="102" t="str">
        <f>IF(AND(WSFIQIH!$F$80&gt;=83.25,WSFIQIH!$F$80&lt;=91.4),"P","")</f>
        <v/>
      </c>
      <c r="GG4" s="102" t="str">
        <f>IF(AND(WSFIQIH!$F$80&gt;=91.5,WSFIQIH!$F$80&lt;=100),"P","")</f>
        <v/>
      </c>
      <c r="GH4" s="102" t="str">
        <f>IF(WSFIQIH!$F$88&lt;74.9,"P","")</f>
        <v/>
      </c>
      <c r="GI4" s="102" t="str">
        <f>IF(AND(WSFIQIH!$F$88&gt;=75,WSFIQIH!$F$88&lt;=83.24),"P","")</f>
        <v/>
      </c>
      <c r="GJ4" s="102" t="str">
        <f>IF(AND(WSFIQIH!$F$88&gt;=83.25,WSFIQIH!$F$88&lt;=91.4),"P","")</f>
        <v/>
      </c>
      <c r="GK4" s="102" t="str">
        <f>IF(AND(WSFIQIH!$F$88&gt;=91.5,WSFIQIH!$F$88&lt;=100),"P","")</f>
        <v/>
      </c>
      <c r="GL4" s="102" t="str">
        <f>IF(WSFIQIH!$F$96&lt;74.9,"P","")</f>
        <v/>
      </c>
      <c r="GM4" s="102" t="str">
        <f>IF(AND(WSFIQIH!$F$96&gt;=75,WSFIQIH!$F$96&lt;=83.24),"P","")</f>
        <v/>
      </c>
      <c r="GN4" s="102" t="str">
        <f>IF(AND(WSFIQIH!$F$96&gt;=83.25,WSFIQIH!$F$96&lt;=91.4),"P","")</f>
        <v/>
      </c>
      <c r="GO4" s="102" t="str">
        <f>IF(AND(WSFIQIH!$F$96&gt;=91.5,WSFIQIH!$F$96&lt;=100),"P","")</f>
        <v/>
      </c>
      <c r="GP4" s="102" t="str">
        <f>IF(WSFIQIH!$F$104&lt;74.9,"P","")</f>
        <v/>
      </c>
      <c r="GQ4" s="102" t="str">
        <f>IF(AND(WSFIQIH!$F$104&gt;=75,WSFIQIH!$F$104&lt;=83.24),"P","")</f>
        <v/>
      </c>
      <c r="GR4" s="102" t="str">
        <f>IF(AND(WSFIQIH!$F$104&gt;=83.25,WSFIQIH!$F$104&lt;=91.4),"P","")</f>
        <v/>
      </c>
      <c r="GS4" s="102" t="str">
        <f>IF(AND(WSFIQIH!$F$104&gt;=91.5,WSFIQIH!$F$104&lt;=100),"P","")</f>
        <v/>
      </c>
      <c r="GT4" s="102" t="str">
        <f>IF(WSFIQIH!$F$112&lt;74.9,"P","")</f>
        <v/>
      </c>
      <c r="GU4" s="102" t="str">
        <f>IF(AND(WSFIQIH!$F$112&gt;=75,WSFIQIH!$F$112&lt;=83.24),"P","")</f>
        <v/>
      </c>
      <c r="GV4" s="102" t="str">
        <f>IF(AND(WSFIQIH!$F$112&gt;=83.25,WSFIQIH!$F$112&lt;=91.4),"P","")</f>
        <v/>
      </c>
      <c r="GW4" s="102" t="str">
        <f>IF(AND(WSFIQIH!$F$112&gt;=91.5,WSFIQIH!$F$112&lt;=100),"P","")</f>
        <v/>
      </c>
      <c r="GX4" s="102" t="str">
        <f>IF(WSFIQIH!$F$120&lt;74.9,"P","")</f>
        <v/>
      </c>
      <c r="GY4" s="102" t="str">
        <f>IF(AND(WSFIQIH!$F$120&gt;=75,WSFIQIH!$F$120&lt;=83.24),"P","")</f>
        <v/>
      </c>
      <c r="GZ4" s="102" t="str">
        <f>IF(AND(WSFIQIH!$F$120&gt;=83.25,WSFIQIH!$F$120&lt;=91.4),"P","")</f>
        <v/>
      </c>
      <c r="HA4" s="102" t="str">
        <f>IF(AND(WSFIQIH!$F$120&gt;=91.5,WSFIQIH!$F$120&lt;=100),"P","")</f>
        <v/>
      </c>
      <c r="HB4" s="102" t="str">
        <f>IF(WSPKN!$F$6&lt;74.9,"P","")</f>
        <v/>
      </c>
      <c r="HC4" s="102" t="str">
        <f>IF(AND(WSPKN!$F$6&gt;=75,WSPKN!$F$6&lt;=83.24),"P","")</f>
        <v/>
      </c>
      <c r="HD4" s="102" t="str">
        <f>IF(AND(WSPKN!$F$6&gt;=83.25,WSPKN!$F$6&lt;=91.4),"P","")</f>
        <v/>
      </c>
      <c r="HE4" s="102" t="str">
        <f>IF(AND(WSPKN!$F$6&gt;=91.5,WSPKN!$F$6&lt;=100),"P","")</f>
        <v>P</v>
      </c>
      <c r="HF4" s="102" t="str">
        <f>IF(WSPKN!$F$32&lt;74.9,"P","")</f>
        <v/>
      </c>
      <c r="HG4" s="102" t="str">
        <f>IF(AND(WSPKN!$F$32&gt;=75,WSPKN!$F$32&lt;=83.24),"P","")</f>
        <v/>
      </c>
      <c r="HH4" s="102" t="str">
        <f>IF(AND(WSPKN!$F$32&gt;=83.25,WSPKN!$F$32&lt;=91.4),"P","")</f>
        <v/>
      </c>
      <c r="HI4" s="102" t="str">
        <f>IF(AND(WSPKN!$F$32&gt;=91.5,WSPKN!$F$32&lt;=100),"P","")</f>
        <v>P</v>
      </c>
      <c r="HJ4" s="102" t="str">
        <f>IF(WSPKN!$F$55&lt;74.9,"P","")</f>
        <v/>
      </c>
      <c r="HK4" s="102" t="str">
        <f>IF(AND(WSPKN!$F$55&gt;=75,WSPKN!$F$55&lt;=83.24),"P","")</f>
        <v/>
      </c>
      <c r="HL4" s="102" t="str">
        <f>IF(AND(WSPKN!$F$55&gt;=83.25,WSPKN!$F$55&lt;=91.4),"P","")</f>
        <v>P</v>
      </c>
      <c r="HM4" s="102" t="str">
        <f>IF(AND(WSPKN!$F$55&gt;=91.5,WSPKN!$F$55&lt;=100),"P","")</f>
        <v/>
      </c>
      <c r="HN4" s="102" t="str">
        <f>IF(WSPKN!$F$72&lt;74.9,"P","")</f>
        <v/>
      </c>
      <c r="HO4" s="102" t="str">
        <f>IF(AND(WSPKN!$F$72&gt;=75,WSPKN!$F$72&lt;=83.24),"P","")</f>
        <v/>
      </c>
      <c r="HP4" s="102" t="str">
        <f>IF(AND(WSPKN!$F$72&gt;=83.25,WSPKN!$F$72&lt;=91.4),"P","")</f>
        <v>P</v>
      </c>
      <c r="HQ4" s="102" t="str">
        <f>IF(AND(WSPKN!$F$72&gt;=91.5,WSPKN!$F$72&lt;=100),"P","")</f>
        <v/>
      </c>
      <c r="HR4" s="102" t="str">
        <f>IF(WSPKN!$F$86&lt;74.9,"P","")</f>
        <v/>
      </c>
      <c r="HS4" s="102" t="str">
        <f>IF(AND(WSPKN!$F$86&gt;=75,WSPKN!$F$86&lt;=83.24),"P","")</f>
        <v/>
      </c>
      <c r="HT4" s="102" t="str">
        <f>IF(AND(WSPKN!$F$86&gt;=83.25,WSPKN!$F$86&lt;=91.4),"P","")</f>
        <v/>
      </c>
      <c r="HU4" s="102" t="str">
        <f>IF(AND(WSPKN!$F$86&gt;=91.5,WSPKN!$F$86&lt;=100),"P","")</f>
        <v>P</v>
      </c>
      <c r="HV4" s="102" t="str">
        <f>IF(WSPKN!$F$108&lt;74.9,"P","")</f>
        <v/>
      </c>
      <c r="HW4" s="102" t="str">
        <f>IF(AND(WSPKN!$F$108&gt;=75,WSPKN!$F$108&lt;=83.24),"P","")</f>
        <v/>
      </c>
      <c r="HX4" s="102" t="str">
        <f>IF(AND(WSPKN!$F$108&gt;=83.25,WSPKN!$F$108&lt;=91.4),"P","")</f>
        <v/>
      </c>
      <c r="HY4" s="102" t="str">
        <f>IF(AND(WSPKN!$F$108&gt;=91.5,WSPKN!$F$108&lt;=100),"P","")</f>
        <v>P</v>
      </c>
      <c r="HZ4" s="102" t="str">
        <f>IF(WSPKN!$F$132&lt;74.9,"P","")</f>
        <v/>
      </c>
      <c r="IA4" s="102" t="str">
        <f>IF(AND(WSPKN!$F$132&gt;=75,WSPKN!$F$132&lt;=83.24),"P","")</f>
        <v/>
      </c>
      <c r="IB4" s="102" t="str">
        <f>IF(AND(WSPKN!$F$132&gt;=83.25,WSPKN!$F$132&lt;=91.4),"P","")</f>
        <v>P</v>
      </c>
      <c r="IC4" s="102" t="str">
        <f>IF(AND(WSPKN!$F$132&gt;=91.5,WSPKN!$F$132&lt;=100),"P","")</f>
        <v/>
      </c>
      <c r="ID4" s="102" t="str">
        <f>IF(WSPKN!$F$148&lt;74.9,"P","")</f>
        <v/>
      </c>
      <c r="IE4" s="102" t="str">
        <f>IF(AND(WSPKN!$F$148&gt;=75,WSPKN!$F$148&lt;=83.24),"P","")</f>
        <v/>
      </c>
      <c r="IF4" s="102" t="str">
        <f>IF(AND(WSPKN!$F$148&gt;=83.25,WSPKN!$F$148&lt;=91.4),"P","")</f>
        <v/>
      </c>
      <c r="IG4" s="102" t="str">
        <f>IF(AND(WSPKN!$F$148&gt;=91.5,WSPKN!$F$148&lt;=100),"P","")</f>
        <v>P</v>
      </c>
      <c r="IH4" s="102" t="str">
        <f>IF(WSPKN!$F$165&lt;74.9,"P","")</f>
        <v/>
      </c>
      <c r="II4" s="102" t="str">
        <f>IF(AND(WSPKN!$F$165&gt;=75,WSPKN!$F$165&lt;=83.24),"P","")</f>
        <v/>
      </c>
      <c r="IJ4" s="102" t="str">
        <f>IF(AND(WSPKN!$F$165&gt;=83.25,WSPKN!$F$165&lt;=91.4),"P","")</f>
        <v/>
      </c>
      <c r="IK4" s="102" t="str">
        <f>IF(AND(WSPKN!$F$165&gt;=91.5,WSPKN!$F$165&lt;=100),"P","")</f>
        <v/>
      </c>
      <c r="IL4" s="102" t="str">
        <f>IF(WSPKN!$F$173&lt;74.9,"P","")</f>
        <v/>
      </c>
      <c r="IM4" s="102" t="str">
        <f>IF(AND(WSPKN!$F$173&gt;=75,WSPKN!$F$173&lt;=83.24),"P","")</f>
        <v/>
      </c>
      <c r="IN4" s="102" t="str">
        <f>IF(AND(WSPKN!$F$173&gt;=83.25,WSPKN!$F$173&lt;=91.4),"P","")</f>
        <v/>
      </c>
      <c r="IO4" s="102" t="str">
        <f>IF(AND(WSPKN!$F$173&gt;=91.5,WSPKN!$F$173&lt;=100),"P","")</f>
        <v/>
      </c>
      <c r="IP4" s="102" t="str">
        <f>IF(WSPKN!$F$181&lt;74.9,"P","")</f>
        <v/>
      </c>
      <c r="IQ4" s="102" t="str">
        <f>IF(AND(WSPKN!$F$181&gt;=75,WSPKN!$F$181&lt;=83.24),"P","")</f>
        <v/>
      </c>
      <c r="IR4" s="102" t="str">
        <f>IF(AND(WSPKN!$F$181&gt;=83.25,WSPKN!$F$181&lt;=91.4),"P","")</f>
        <v/>
      </c>
      <c r="IS4" s="102" t="str">
        <f>IF(AND(WSPKN!$F$181&gt;=91.5,WSPKN!$F$181&lt;=100),"P","")</f>
        <v/>
      </c>
      <c r="IT4" s="102" t="str">
        <f>IF(WSPKN!$F$189&lt;74.9,"P","")</f>
        <v/>
      </c>
      <c r="IU4" s="102" t="str">
        <f>IF(AND(WSPKN!$F$189&gt;=75,WSPKN!$F$189&lt;=83.24),"P","")</f>
        <v/>
      </c>
      <c r="IV4" s="102" t="str">
        <f>IF(AND(WSPKN!$F$189&gt;=83.25,WSPKN!$F$189&lt;=91.4),"P","")</f>
        <v/>
      </c>
      <c r="IW4" s="102" t="str">
        <f>IF(AND(WSPKN!$F$189&gt;=91.5,WSPKN!$F$189&lt;=100),"P","")</f>
        <v/>
      </c>
      <c r="IX4" s="102" t="str">
        <f>IF(WSPKN!$F$197&lt;74.9,"P","")</f>
        <v/>
      </c>
      <c r="IY4" s="102" t="str">
        <f>IF(AND(WSPKN!$F$197&gt;=75,WSPKN!$F$197&lt;=83.24),"P","")</f>
        <v/>
      </c>
      <c r="IZ4" s="102" t="str">
        <f>IF(AND(WSPKN!$F$197&gt;=83.25,WSPKN!$F$197&lt;=91.4),"P","")</f>
        <v/>
      </c>
      <c r="JA4" s="102" t="str">
        <f>IF(AND(WSPKN!$F$197&gt;=91.5,WSPKN!$F$197&lt;=100),"P","")</f>
        <v/>
      </c>
      <c r="JB4" s="102" t="str">
        <f>IF(WSIND!$F$6&lt;74.9,"P","")</f>
        <v/>
      </c>
      <c r="JC4" s="102" t="str">
        <f>IF(AND(WSIND!$F$6&gt;=75,WSIND!$F$6&lt;=83.24),"P","")</f>
        <v/>
      </c>
      <c r="JD4" s="102" t="str">
        <f>IF(AND(WSIND!$F$6&gt;=83.25,WSIND!$F$6&lt;=91.4),"P","")</f>
        <v/>
      </c>
      <c r="JE4" s="102" t="str">
        <f>IF(AND(WSIND!$F$6&gt;=91.5,WSIND!$F$6&lt;=100),"P","")</f>
        <v>P</v>
      </c>
      <c r="JF4" s="102" t="str">
        <f>IF(WSIND!$F$65&lt;74.9,"P","")</f>
        <v/>
      </c>
      <c r="JG4" s="102" t="str">
        <f>IF(AND(WSIND!$F$65&gt;=75,WSIND!$F$65&lt;=83.24),"P","")</f>
        <v/>
      </c>
      <c r="JH4" s="102" t="str">
        <f>IF(AND(WSIND!$F$65&gt;=83.25,WSIND!$F$65&lt;=91.4),"P","")</f>
        <v/>
      </c>
      <c r="JI4" s="102" t="str">
        <f>IF(AND(WSIND!$F$65&gt;=91.5,WSIND!$F$65&lt;=100),"P","")</f>
        <v>P</v>
      </c>
      <c r="JJ4" s="102" t="str">
        <f>IF(WSIND!$F$113&lt;74.9,"P","")</f>
        <v/>
      </c>
      <c r="JK4" s="102" t="str">
        <f>IF(AND(WSIND!$F$113&gt;=75,WSIND!$F$113&lt;=83.24),"P","")</f>
        <v/>
      </c>
      <c r="JL4" s="102" t="str">
        <f>IF(AND(WSIND!$F$113&gt;=83.25,WSIND!$F$113&lt;=91.4),"P","")</f>
        <v>P</v>
      </c>
      <c r="JM4" s="102" t="str">
        <f>IF(AND(WSIND!$F$113&gt;=91.5,WSIND!$F$113&lt;=100),"P","")</f>
        <v/>
      </c>
      <c r="JN4" s="102" t="str">
        <f>IF(WSIND!$F$133&lt;74.9,"P","")</f>
        <v/>
      </c>
      <c r="JO4" s="102" t="str">
        <f>IF(AND(WSIND!$F$133&gt;=75,WSIND!$F$133&lt;=83.24),"P","")</f>
        <v/>
      </c>
      <c r="JP4" s="102" t="str">
        <f>IF(AND(WSIND!$F$133&gt;=83.25,WSIND!$F$133&lt;=91.4),"P","")</f>
        <v>P</v>
      </c>
      <c r="JQ4" s="102" t="str">
        <f>IF(AND(WSIND!$F$133&gt;=91.5,WSIND!$F$133&lt;=100),"P","")</f>
        <v/>
      </c>
      <c r="JR4" s="102" t="str">
        <f>IF(WSIND!$F$161&lt;74.9,"P","")</f>
        <v/>
      </c>
      <c r="JS4" s="102" t="str">
        <f>IF(AND(WSIND!$F$161&gt;=75,WSIND!$F$161&lt;=83.24),"P","")</f>
        <v/>
      </c>
      <c r="JT4" s="102" t="str">
        <f>IF(AND(WSIND!$F$161&gt;=83.25,WSIND!$F$161&lt;=91.4),"P","")</f>
        <v/>
      </c>
      <c r="JU4" s="102" t="str">
        <f>IF(AND(WSIND!$F$161&gt;=91.5,WSIND!$F$161&lt;=100),"P","")</f>
        <v>P</v>
      </c>
      <c r="JV4" s="102" t="str">
        <f>IF(WSIND!$F$192&lt;74.9,"P","")</f>
        <v/>
      </c>
      <c r="JW4" s="102" t="str">
        <f>IF(AND(WSIND!$F$192&gt;=75,WSIND!$F$192&lt;=83.24),"P","")</f>
        <v/>
      </c>
      <c r="JX4" s="102" t="str">
        <f>IF(AND(WSIND!$F$192&gt;=83.25,WSIND!$F$192&lt;=91.4),"P","")</f>
        <v/>
      </c>
      <c r="JY4" s="102" t="str">
        <f>IF(AND(WSIND!$F$192&gt;=91.5,WSIND!$F$192&lt;=100),"P","")</f>
        <v>P</v>
      </c>
      <c r="JZ4" s="102" t="str">
        <f>IF(WSIND!$F$228&lt;74.9,"P","")</f>
        <v/>
      </c>
      <c r="KA4" s="102" t="str">
        <f>IF(AND(WSIND!$F$228&gt;=75,WSIND!$F$228&lt;=83.24),"P","")</f>
        <v/>
      </c>
      <c r="KB4" s="102" t="str">
        <f>IF(AND(WSIND!$F$228&gt;=83.25,WSIND!$F$228&lt;=91.4),"P","")</f>
        <v/>
      </c>
      <c r="KC4" s="102" t="str">
        <f>IF(AND(WSIND!$F$228&gt;=91.5,WSIND!$F$228&lt;=100),"P","")</f>
        <v>P</v>
      </c>
      <c r="KD4" s="102" t="str">
        <f>IF(WSIND!$F$256&lt;74.9,"P","")</f>
        <v/>
      </c>
      <c r="KE4" s="102" t="str">
        <f>IF(AND(WSIND!$F$256&gt;=75,WSIND!$F$256&lt;=83.24),"P","")</f>
        <v/>
      </c>
      <c r="KF4" s="102" t="str">
        <f>IF(AND(WSIND!$F$256&gt;=83.25,WSIND!$F$256&lt;=91.4),"P","")</f>
        <v>P</v>
      </c>
      <c r="KG4" s="102" t="str">
        <f>IF(AND(WSIND!$F$256&gt;=91.5,WSIND!$F$256&lt;=100),"P","")</f>
        <v/>
      </c>
      <c r="KH4" s="102" t="str">
        <f>IF(WSIND!$F$277&lt;74.9,"P","")</f>
        <v/>
      </c>
      <c r="KI4" s="102" t="str">
        <f>IF(AND(WSIND!$F$277&gt;=75,WSIND!$F$277&lt;=83.24),"P","")</f>
        <v/>
      </c>
      <c r="KJ4" s="102" t="str">
        <f>IF(AND(WSIND!$F$277&gt;=83.25,WSIND!$F$277&lt;=91.4),"P","")</f>
        <v>P</v>
      </c>
      <c r="KK4" s="102" t="str">
        <f>IF(AND(WSIND!$F$277&gt;=91.5,WSIND!$F$277&lt;=100),"P","")</f>
        <v/>
      </c>
      <c r="KL4" s="102" t="str">
        <f>IF(WSIND!$F$305&lt;74.9,"P","")</f>
        <v/>
      </c>
      <c r="KM4" s="102" t="str">
        <f>IF(AND(WSIND!$F$305&gt;=75,WSIND!$F$305&lt;=83.24),"P","")</f>
        <v/>
      </c>
      <c r="KN4" s="102" t="str">
        <f>IF(AND(WSIND!$F$305&gt;=83.25,WSIND!$F$305&lt;=91.4),"P","")</f>
        <v/>
      </c>
      <c r="KO4" s="102" t="str">
        <f>IF(AND(WSIND!$F$305&gt;=91.5,WSIND!$F$305&lt;=100),"P","")</f>
        <v>P</v>
      </c>
      <c r="KP4" s="102" t="str">
        <f>IF(WSIND!$F$329&lt;74.9,"P","")</f>
        <v/>
      </c>
      <c r="KQ4" s="102" t="str">
        <f>IF(AND(WSIND!$F$329&gt;=75,WSIND!$F$329&lt;=83.24),"P","")</f>
        <v/>
      </c>
      <c r="KR4" s="102" t="str">
        <f>IF(AND(WSIND!$F$329&gt;=83.25,WSIND!$F$329&lt;=91.4),"P","")</f>
        <v/>
      </c>
      <c r="KS4" s="102" t="str">
        <f>IF(AND(WSIND!$F$329&gt;=91.5,WSIND!$F$329&lt;=100),"P","")</f>
        <v/>
      </c>
      <c r="KT4" s="102" t="str">
        <f>IF(WSIND!$F$337&lt;74.9,"P","")</f>
        <v/>
      </c>
      <c r="KU4" s="102" t="str">
        <f>IF(AND(WSIND!$F$337&gt;=75,WSIND!$F$337&lt;=83.24),"P","")</f>
        <v/>
      </c>
      <c r="KV4" s="102" t="str">
        <f>IF(AND(WSIND!$F$337&gt;=83.25,WSIND!$F$337&lt;=91.4),"P","")</f>
        <v/>
      </c>
      <c r="KW4" s="102" t="str">
        <f>IF(AND(WSIND!$F$337&gt;=91.5,WSIND!$F$337&lt;=100),"P","")</f>
        <v/>
      </c>
      <c r="KX4" s="102" t="str">
        <f>IF(WSIND!$F$345&lt;74.9,"P","")</f>
        <v/>
      </c>
      <c r="KY4" s="102" t="str">
        <f>IF(AND(WSIND!$F$345&gt;=75,WSIND!$F$345&lt;=83.24),"P","")</f>
        <v/>
      </c>
      <c r="KZ4" s="102" t="str">
        <f>IF(AND(WSIND!$F$345&gt;=83.25,WSIND!$F$345&lt;=91.4),"P","")</f>
        <v/>
      </c>
      <c r="LA4" s="102" t="str">
        <f>IF(AND(WSIND!$F$345&gt;=91.5,WSIND!$F$345&lt;=100),"P","")</f>
        <v/>
      </c>
      <c r="LB4" s="102" t="str">
        <f>IF(WSARAB!$F$6&lt;74.9,"P","")</f>
        <v/>
      </c>
      <c r="LC4" s="102" t="str">
        <f>IF(AND(WSARAB!$F$6&gt;=75,WSARAB!$F$6&lt;=83.24),"P","")</f>
        <v/>
      </c>
      <c r="LD4" s="102" t="str">
        <f>IF(AND(WSARAB!$F$6&gt;=83.25,WSARAB!$F$6&lt;=91.4),"P","")</f>
        <v/>
      </c>
      <c r="LE4" s="102" t="str">
        <f>IF(AND(WSARAB!$F$6&gt;=91.5,WSARAB!$F$6&lt;=100),"P","")</f>
        <v/>
      </c>
      <c r="LF4" s="102" t="str">
        <f>IF(WSARAB!$F$17&lt;74.9,"P","")</f>
        <v/>
      </c>
      <c r="LG4" s="102" t="str">
        <f>IF(AND(WSARAB!$F$17&gt;=75,WSARAB!$F$17&lt;=83.24),"P","")</f>
        <v/>
      </c>
      <c r="LH4" s="102" t="str">
        <f>IF(AND(WSARAB!$F$17&gt;=83.25,WSARAB!$F$17&lt;=91.4),"P","")</f>
        <v/>
      </c>
      <c r="LI4" s="102" t="str">
        <f>IF(AND(WSARAB!$F$17&gt;=91.5,WSARAB!$F$17&lt;=100),"P","")</f>
        <v/>
      </c>
      <c r="LJ4" s="102" t="str">
        <f>IF(WSARAB!$F$29&lt;74.9,"P","")</f>
        <v/>
      </c>
      <c r="LK4" s="102" t="str">
        <f>IF(AND(WSARAB!$F$29&gt;=75,WSARAB!$F$29&lt;=83.24),"P","")</f>
        <v/>
      </c>
      <c r="LL4" s="102" t="str">
        <f>IF(AND(WSARAB!$F$29&gt;=83.25,WSARAB!$F$29&lt;=91.4),"P","")</f>
        <v/>
      </c>
      <c r="LM4" s="102" t="str">
        <f>IF(AND(WSARAB!$F$29&gt;=91.5,WSARAB!$F$29&lt;=100),"P","")</f>
        <v/>
      </c>
      <c r="LN4" s="102" t="str">
        <f>IF(WSARAB!$F$37&lt;74.9,"P","")</f>
        <v/>
      </c>
      <c r="LO4" s="102" t="str">
        <f>IF(AND(WSARAB!$F$37&gt;=75,WSARAB!$F$37&lt;=83.24),"P","")</f>
        <v/>
      </c>
      <c r="LP4" s="102" t="str">
        <f>IF(AND(WSARAB!$F$37&gt;=83.25,WSARAB!$F$37&lt;=91.4),"P","")</f>
        <v/>
      </c>
      <c r="LQ4" s="102" t="str">
        <f>IF(AND(WSARAB!$F$37&gt;=91.5,WSARAB!$F$37&lt;=100),"P","")</f>
        <v/>
      </c>
      <c r="LR4" s="102" t="str">
        <f>IF(WSARAB!$F$45&lt;74.9,"P","")</f>
        <v/>
      </c>
      <c r="LS4" s="102" t="str">
        <f>IF(AND(WSARAB!$F$45&gt;=75,WSARAB!$F$45&lt;=83.24),"P","")</f>
        <v/>
      </c>
      <c r="LT4" s="102" t="str">
        <f>IF(AND(WSARAB!$F$45&gt;=83.25,WSARAB!$F$45&lt;=91.4),"P","")</f>
        <v/>
      </c>
      <c r="LU4" s="102" t="str">
        <f>IF(AND(WSARAB!$F$45&gt;=91.5,WSARAB!$F$45&lt;=100),"P","")</f>
        <v/>
      </c>
      <c r="LV4" s="102" t="str">
        <f>IF(WSARAB!$F$53&lt;74.9,"P","")</f>
        <v/>
      </c>
      <c r="LW4" s="102" t="str">
        <f>IF(AND(WSARAB!$F$53&gt;=75,WSARAB!$F$53&lt;=83.24),"P","")</f>
        <v/>
      </c>
      <c r="LX4" s="102" t="str">
        <f>IF(AND(WSARAB!$F$53&gt;=83.25,WSARAB!$F$53&lt;=91.4),"P","")</f>
        <v/>
      </c>
      <c r="LY4" s="102" t="str">
        <f>IF(AND(WSARAB!$F$53&gt;=91.5,WSARAB!$F$53&lt;=100),"P","")</f>
        <v/>
      </c>
      <c r="LZ4" s="102" t="str">
        <f>IF(WSARAB!$F$65&lt;74.9,"P","")</f>
        <v/>
      </c>
      <c r="MA4" s="102" t="str">
        <f>IF(AND(WSARAB!$F$65&gt;=75,WSARAB!$F$65&lt;=83.24),"P","")</f>
        <v/>
      </c>
      <c r="MB4" s="102" t="str">
        <f>IF(AND(WSARAB!$F$65&gt;=83.25,WSARAB!$F$65&lt;=91.4),"P","")</f>
        <v/>
      </c>
      <c r="MC4" s="102" t="str">
        <f>IF(AND(WSARAB!$F$65&gt;=91.5,WSARAB!$F$65&lt;=100),"P","")</f>
        <v/>
      </c>
      <c r="MD4" s="102" t="str">
        <f>IF(WSARAB!$F$73&lt;74.9,"P","")</f>
        <v/>
      </c>
      <c r="ME4" s="102" t="str">
        <f>IF(AND(WSARAB!$F$73&gt;=75,WSARAB!$F$73&lt;=83.24),"P","")</f>
        <v/>
      </c>
      <c r="MF4" s="102" t="str">
        <f>IF(AND(WSARAB!$F$73&gt;=83.25,WSARAB!$F$73&lt;=91.4),"P","")</f>
        <v/>
      </c>
      <c r="MG4" s="102" t="str">
        <f>IF(AND(WSARAB!$F$73&gt;=91.5,WSARAB!$F$73&lt;=100),"P","")</f>
        <v/>
      </c>
      <c r="MH4" s="102" t="str">
        <f>IF(WSARAB!$F$81&lt;74.9,"P","")</f>
        <v/>
      </c>
      <c r="MI4" s="102" t="str">
        <f>IF(AND(WSARAB!$F$81&gt;=75,WSARAB!$F$81&lt;=83.24),"P","")</f>
        <v/>
      </c>
      <c r="MJ4" s="102" t="str">
        <f>IF(AND(WSARAB!$F$81&gt;=83.25,WSARAB!$F$81&lt;=91.4),"P","")</f>
        <v/>
      </c>
      <c r="MK4" s="102" t="str">
        <f>IF(AND(WSARAB!$F$81&gt;=91.5,WSARAB!$F$81&lt;=100),"P","")</f>
        <v/>
      </c>
      <c r="ML4" s="102" t="str">
        <f>IF(WSARAB!$F$89&lt;74.9,"P","")</f>
        <v/>
      </c>
      <c r="MM4" s="102" t="str">
        <f>IF(AND(WSARAB!$F$89&gt;=75,WSARAB!$F$89&lt;=83.24),"P","")</f>
        <v/>
      </c>
      <c r="MN4" s="102" t="str">
        <f>IF(AND(WSARAB!$F$89&gt;=83.25,WSARAB!$F$89&lt;=91.4),"P","")</f>
        <v/>
      </c>
      <c r="MO4" s="102" t="str">
        <f>IF(AND(WSARAB!$F$89&gt;=91.5,WSARAB!$F$89&lt;=100),"P","")</f>
        <v/>
      </c>
      <c r="MP4" s="102" t="str">
        <f>IF(WSARAB!$F$97&lt;74.9,"P","")</f>
        <v/>
      </c>
      <c r="MQ4" s="102" t="str">
        <f>IF(AND(WSARAB!$F$97&gt;=75,WSARAB!$F$97&lt;=83.24),"P","")</f>
        <v/>
      </c>
      <c r="MR4" s="102" t="str">
        <f>IF(AND(WSARAB!$F$97&gt;=83.25,WSARAB!$F$97&lt;=91.4),"P","")</f>
        <v/>
      </c>
      <c r="MS4" s="102" t="str">
        <f>IF(AND(WSARAB!$F$97&gt;=91.5,WSARAB!$F$97&lt;=100),"P","")</f>
        <v/>
      </c>
      <c r="MT4" s="102" t="str">
        <f>IF(WSARAB!$F$105&lt;74.9,"P","")</f>
        <v/>
      </c>
      <c r="MU4" s="102" t="str">
        <f>IF(AND(WSARAB!$F$105&gt;=75,WSARAB!$F$105&lt;=83.24),"P","")</f>
        <v/>
      </c>
      <c r="MV4" s="102" t="str">
        <f>IF(AND(WSARAB!$F$105&gt;=83.25,WSARAB!$F$105&lt;=91.4),"P","")</f>
        <v/>
      </c>
      <c r="MW4" s="102" t="str">
        <f>IF(AND(WSARAB!$F$105&gt;=91.5,WSARAB!$F$105&lt;=100),"P","")</f>
        <v/>
      </c>
      <c r="MX4" s="102" t="str">
        <f>IF(WSARAB!$F$113&lt;74.9,"P","")</f>
        <v/>
      </c>
      <c r="MY4" s="102" t="str">
        <f>IF(AND(WSARAB!$F$113&gt;=75,WSARAB!$F$113&lt;=83.24),"P","")</f>
        <v/>
      </c>
      <c r="MZ4" s="102" t="str">
        <f>IF(AND(WSARAB!$F$113&gt;=83.25,WSARAB!$F$113&lt;=91.4),"P","")</f>
        <v/>
      </c>
      <c r="NA4" s="102" t="str">
        <f>IF(AND(WSARAB!$F$113&gt;=91.5,WSARAB!$F$113&lt;=100),"P","")</f>
        <v/>
      </c>
      <c r="NB4" s="102" t="str">
        <f>IF(WSMTK!$F$6&lt;74.9,"P","")</f>
        <v/>
      </c>
      <c r="NC4" s="102" t="str">
        <f>IF(AND(WSMTK!$F$6&gt;=75,WSMTK!$F$6&lt;=83.24),"P","")</f>
        <v/>
      </c>
      <c r="ND4" s="102" t="str">
        <f>IF(AND(WSMTK!$F$6&gt;=83.25,WSMTK!$F$6&lt;=91.4),"P","")</f>
        <v>P</v>
      </c>
      <c r="NE4" s="102" t="str">
        <f>IF(AND(WSMTK!$F$6&gt;=91.5,WSMTK!$F$6&lt;=100),"P","")</f>
        <v/>
      </c>
      <c r="NF4" s="102" t="str">
        <f>IF(WSMTK!$F$22&lt;74.9,"P","")</f>
        <v/>
      </c>
      <c r="NG4" s="102" t="str">
        <f>IF(AND(WSMTK!$F$22&gt;=75,WSMTK!$F$22&lt;=83.24),"P","")</f>
        <v/>
      </c>
      <c r="NH4" s="102" t="str">
        <f>IF(AND(WSMTK!$F$22&gt;=83.25,WSMTK!$F$22&lt;=91.4),"P","")</f>
        <v>P</v>
      </c>
      <c r="NI4" s="102" t="str">
        <f>IF(AND(WSMTK!$F$22&gt;=91.5,WSMTK!$F$22&lt;=100),"P","")</f>
        <v/>
      </c>
      <c r="NJ4" s="102" t="str">
        <f>IF(WSMTK!$F$35&lt;74.9,"P","")</f>
        <v/>
      </c>
      <c r="NK4" s="102" t="str">
        <f>IF(AND(WSMTK!$F$35&gt;=75,WSMTK!$F$35&lt;=83.24),"P","")</f>
        <v/>
      </c>
      <c r="NL4" s="102" t="str">
        <f>IF(AND(WSMTK!$F$35&gt;=83.25,WSMTK!$F$35&lt;=91.4),"P","")</f>
        <v/>
      </c>
      <c r="NM4" s="102" t="str">
        <f>IF(AND(WSMTK!$F$35&gt;=91.5,WSMTK!$F$35&lt;=100),"P","")</f>
        <v>P</v>
      </c>
      <c r="NN4" s="102" t="str">
        <f>IF(WSMTK!$F$69&lt;74.9,"P","")</f>
        <v/>
      </c>
      <c r="NO4" s="102" t="str">
        <f>IF(AND(WSMTK!$F$69&gt;=75,WSMTK!$F$69&lt;=83.24),"P","")</f>
        <v/>
      </c>
      <c r="NP4" s="102" t="str">
        <f>IF(AND(WSMTK!$F$69&gt;=83.25,WSMTK!$F$69&lt;=91.4),"P","")</f>
        <v/>
      </c>
      <c r="NQ4" s="102" t="str">
        <f>IF(AND(WSMTK!$F$69&gt;=91.5,WSMTK!$F$69&lt;=100),"P","")</f>
        <v>P</v>
      </c>
      <c r="NR4" s="102" t="str">
        <f>IF(WSMTK!$F$87&lt;74.9,"P","")</f>
        <v/>
      </c>
      <c r="NS4" s="102" t="str">
        <f>IF(AND(WSMTK!$F$87&gt;=75,WSMTK!$F$87&lt;=83.24),"P","")</f>
        <v/>
      </c>
      <c r="NT4" s="102" t="str">
        <f>IF(AND(WSMTK!$F$87&gt;=83.25,WSMTK!$F$87&lt;=91.4),"P","")</f>
        <v>P</v>
      </c>
      <c r="NU4" s="102" t="str">
        <f>IF(AND(WSMTK!$F$87&gt;=91.5,WSMTK!$F$87&lt;=100),"P","")</f>
        <v/>
      </c>
      <c r="NV4" s="102" t="str">
        <f>IF(WSMTK!$F$99&lt;74.9,"P","")</f>
        <v/>
      </c>
      <c r="NW4" s="102" t="str">
        <f>IF(AND(WSMTK!$F$99&gt;=75,WSMTK!$F$99&lt;=83.24),"P","")</f>
        <v/>
      </c>
      <c r="NX4" s="102" t="str">
        <f>IF(AND(WSMTK!$F$99&gt;=83.25,WSMTK!$F$99&lt;=91.4),"P","")</f>
        <v>P</v>
      </c>
      <c r="NY4" s="102" t="str">
        <f>IF(AND(WSMTK!$F$99&gt;=91.5,WSMTK!$F$99&lt;=100),"P","")</f>
        <v/>
      </c>
      <c r="NZ4" s="102" t="str">
        <f>IF(WSMTK!$F$113&lt;74.9,"P","")</f>
        <v/>
      </c>
      <c r="OA4" s="102" t="str">
        <f>IF(AND(WSMTK!$F$113&gt;=75,WSMTK!$F$113&lt;=83.24),"P","")</f>
        <v/>
      </c>
      <c r="OB4" s="102" t="str">
        <f>IF(AND(WSMTK!$F$113&gt;=83.25,WSMTK!$F$113&lt;=91.4),"P","")</f>
        <v/>
      </c>
      <c r="OC4" s="102" t="str">
        <f>IF(AND(WSMTK!$F$113&gt;=91.5,WSMTK!$F$113&lt;=100),"P","")</f>
        <v>P</v>
      </c>
      <c r="OD4" s="102" t="str">
        <f>IF(WSMTK!$F$145&lt;74.9,"P","")</f>
        <v/>
      </c>
      <c r="OE4" s="102" t="str">
        <f>IF(AND(WSMTK!$F$145&gt;=75,WSMTK!$F$145&lt;=83.24),"P","")</f>
        <v/>
      </c>
      <c r="OF4" s="102" t="str">
        <f>IF(AND(WSMTK!$F$145&gt;=83.25,WSMTK!$F$145&lt;=91.4),"P","")</f>
        <v/>
      </c>
      <c r="OG4" s="102" t="str">
        <f>IF(AND(WSMTK!$F$145&gt;=91.5,WSMTK!$F$145&lt;=100),"P","")</f>
        <v>P</v>
      </c>
      <c r="OH4" s="102" t="str">
        <f>IF(WSMTK!$F$168&lt;74.9,"P","")</f>
        <v/>
      </c>
      <c r="OI4" s="102" t="str">
        <f>IF(AND(WSMTK!$F$168&gt;=75,WSMTK!$F$168&lt;=83.24),"P","")</f>
        <v/>
      </c>
      <c r="OJ4" s="102" t="str">
        <f>IF(AND(WSMTK!$F$168&gt;=83.25,WSMTK!$F$168&lt;=91.4),"P","")</f>
        <v/>
      </c>
      <c r="OK4" s="102" t="str">
        <f>IF(AND(WSMTK!$F$168&gt;=91.5,WSMTK!$F$168&lt;=100),"P","")</f>
        <v/>
      </c>
      <c r="OL4" s="102" t="str">
        <f>IF(WSMTK!$F$176&lt;74.9,"P","")</f>
        <v/>
      </c>
      <c r="OM4" s="102" t="str">
        <f>IF(AND(WSMTK!$F$176&gt;=75,WSMTK!$F$176&lt;=83.24),"P","")</f>
        <v/>
      </c>
      <c r="ON4" s="102" t="str">
        <f>IF(AND(WSMTK!$F$176&gt;=83.25,WSMTK!$F$176&lt;=91.4),"P","")</f>
        <v/>
      </c>
      <c r="OO4" s="102" t="str">
        <f>IF(AND(WSMTK!$F$176&gt;=91.5,WSMTK!$F$176&lt;=100),"P","")</f>
        <v/>
      </c>
      <c r="OP4" s="102" t="str">
        <f>IF(WSMTK!$F$184&lt;74.9,"P","")</f>
        <v/>
      </c>
      <c r="OQ4" s="102" t="str">
        <f>IF(AND(WSMTK!$F$184&gt;=75,WSMTK!$F$184&lt;=83.24),"P","")</f>
        <v/>
      </c>
      <c r="OR4" s="102" t="str">
        <f>IF(AND(WSMTK!$F$184&gt;=83.25,WSMTK!$F$184&lt;=91.4),"P","")</f>
        <v/>
      </c>
      <c r="OS4" s="102" t="str">
        <f>IF(AND(WSMTK!$F$184&gt;=91.5,WSMTK!$F$184&lt;=100),"P","")</f>
        <v/>
      </c>
      <c r="OT4" s="102" t="str">
        <f>IF(WSMTK!$F$192&lt;74.9,"P","")</f>
        <v/>
      </c>
      <c r="OU4" s="102" t="str">
        <f>IF(AND(WSMTK!$F$192&gt;=75,WSMTK!$F$192&lt;=83.24),"P","")</f>
        <v/>
      </c>
      <c r="OV4" s="102" t="str">
        <f>IF(AND(WSMTK!$F$192&gt;=83.25,WSMTK!$F$192&lt;=91.4),"P","")</f>
        <v/>
      </c>
      <c r="OW4" s="102" t="str">
        <f>IF(AND(WSMTK!$F$192&gt;=91.5,WSMTK!$F$192&lt;=100),"P","")</f>
        <v/>
      </c>
      <c r="OX4" s="102" t="str">
        <f>IF(WSMTK!$F$200&lt;74.9,"P","")</f>
        <v/>
      </c>
      <c r="OY4" s="102" t="str">
        <f>IF(AND(WSMTK!$F$200&gt;=75,WSMTK!$F$200&lt;=83.24),"P","")</f>
        <v/>
      </c>
      <c r="OZ4" s="102" t="str">
        <f>IF(AND(WSMTK!$F$200&gt;=83.25,WSMTK!$F$200&lt;=91.4),"P","")</f>
        <v/>
      </c>
      <c r="PA4" s="102" t="str">
        <f>IF(AND(WSMTK!$F$200&gt;=91.5,WSMTK!$F$200&lt;=100),"P","")</f>
        <v/>
      </c>
      <c r="PB4" s="102" t="str">
        <f>IF(WSIPA!$F$6&lt;74.9,"P","")</f>
        <v/>
      </c>
      <c r="PC4" s="102" t="str">
        <f>IF(AND(WSIPA!$F$6&gt;=75,WSIPA!$F$6&lt;=83.24),"P","")</f>
        <v/>
      </c>
      <c r="PD4" s="102" t="str">
        <f>IF(AND(WSIPA!$F$6&gt;=83.25,WSIPA!$F$6&lt;=91.4),"P","")</f>
        <v/>
      </c>
      <c r="PE4" s="102" t="str">
        <f>IF(AND(WSIPA!$F$6&gt;=91.5,WSIPA!$F$6&lt;=100),"P","")</f>
        <v/>
      </c>
      <c r="PF4" s="102" t="str">
        <f>IF(WSIPA!$F$14&lt;74.9,"P","")</f>
        <v/>
      </c>
      <c r="PG4" s="102" t="str">
        <f>IF(AND(WSIPA!$F$14&gt;=75,WSIPA!$F$14&lt;=83.24),"P","")</f>
        <v/>
      </c>
      <c r="PH4" s="102" t="str">
        <f>IF(AND(WSIPA!$F$14&gt;=83.25,WSIPA!$F$14&lt;=91.4),"P","")</f>
        <v/>
      </c>
      <c r="PI4" s="102" t="str">
        <f>IF(AND(WSIPA!$F$14&gt;=91.5,WSIPA!$F$14&lt;=100),"P","")</f>
        <v/>
      </c>
      <c r="PJ4" s="102" t="str">
        <f>IF(WSIPA!$F$22&lt;74.9,"P","")</f>
        <v/>
      </c>
      <c r="PK4" s="102" t="str">
        <f>IF(AND(WSIPA!$F$22&gt;=75,WSIPA!$F$22&lt;=83.24),"P","")</f>
        <v/>
      </c>
      <c r="PL4" s="102" t="str">
        <f>IF(AND(WSIPA!$F$22&gt;=83.25,WSIPA!$F$22&lt;=91.4),"P","")</f>
        <v/>
      </c>
      <c r="PM4" s="102" t="str">
        <f>IF(AND(WSIPA!$F$22&gt;=91.5,WSIPA!$F$22&lt;=100),"P","")</f>
        <v/>
      </c>
      <c r="PN4" s="102" t="str">
        <f>IF(WSIPA!$F$30&lt;74.9,"P","")</f>
        <v/>
      </c>
      <c r="PO4" s="102" t="str">
        <f>IF(AND(WSIPA!$F$30&gt;=75,WSIPA!$F$30&lt;=83.24),"P","")</f>
        <v/>
      </c>
      <c r="PP4" s="102" t="str">
        <f>IF(AND(WSIPA!$F$30&gt;=83.25,WSIPA!$F$30&lt;=91.4),"P","")</f>
        <v/>
      </c>
      <c r="PQ4" s="102" t="str">
        <f>IF(AND(WSIPA!$F$30&gt;=91.5,WSIPA!$F$30&lt;=100),"P","")</f>
        <v/>
      </c>
      <c r="PR4" s="102" t="str">
        <f>IF(WSIPA!$F$38&lt;74.9,"P","")</f>
        <v/>
      </c>
      <c r="PS4" s="102" t="str">
        <f>IF(AND(WSIPA!$F$38&gt;=75,WSIPA!$F$38&lt;=83.24),"P","")</f>
        <v/>
      </c>
      <c r="PT4" s="102" t="str">
        <f>IF(AND(WSIPA!$F$38&gt;=83.25,WSIPA!$F$38&lt;=91.4),"P","")</f>
        <v/>
      </c>
      <c r="PU4" s="102" t="str">
        <f>IF(AND(WSIPA!$F$38&gt;=91.5,WSIPA!$F$38&lt;=100),"P","")</f>
        <v/>
      </c>
      <c r="PV4" s="102" t="str">
        <f>IF(WSIPA!$F$46&lt;74.9,"P","")</f>
        <v/>
      </c>
      <c r="PW4" s="102" t="str">
        <f>IF(AND(WSIPA!$F$46&gt;=75,WSIPA!$F$46&lt;=83.24),"P","")</f>
        <v/>
      </c>
      <c r="PX4" s="102" t="str">
        <f>IF(AND(WSIPA!$F$46&gt;=83.25,WSIPA!$F$46&lt;=91.4),"P","")</f>
        <v/>
      </c>
      <c r="PY4" s="102" t="str">
        <f>IF(AND(WSIPA!$F$46&gt;=91.5,WSIPA!$F$46&lt;=100),"P","")</f>
        <v/>
      </c>
      <c r="PZ4" s="102" t="str">
        <f>IF(WSIPA!$F$54&lt;74.9,"P","")</f>
        <v/>
      </c>
      <c r="QA4" s="102" t="str">
        <f>IF(AND(WSIPA!$F$54&gt;=75,WSIPA!$F$54&lt;=83.24),"P","")</f>
        <v/>
      </c>
      <c r="QB4" s="102" t="str">
        <f>IF(AND(WSIPA!$F$54&gt;=83.25,WSIPA!$F$54&lt;=91.4),"P","")</f>
        <v/>
      </c>
      <c r="QC4" s="102" t="str">
        <f>IF(AND(WSIPA!$F$54&gt;=91.5,WSIPA!$F$54&lt;=100),"P","")</f>
        <v/>
      </c>
      <c r="QD4" s="102" t="str">
        <f>IF(WSIPA!$F$62&lt;74.9,"P","")</f>
        <v/>
      </c>
      <c r="QE4" s="102" t="str">
        <f>IF(AND(WSIPA!$F$62&gt;=75,WSIPA!$F$62&lt;=83.24),"P","")</f>
        <v/>
      </c>
      <c r="QF4" s="102" t="str">
        <f>IF(AND(WSIPA!$F$62&gt;=83.25,WSIPA!$F$62&lt;=91.4),"P","")</f>
        <v/>
      </c>
      <c r="QG4" s="102" t="str">
        <f>IF(AND(WSIPA!$F$62&gt;=91.5,WSIPA!$F$62&lt;=100),"P","")</f>
        <v/>
      </c>
      <c r="QH4" s="102" t="str">
        <f>IF(WSIPA!$F$70&lt;74.9,"P","")</f>
        <v/>
      </c>
      <c r="QI4" s="102" t="str">
        <f>IF(AND(WSIPA!$F$70&gt;=75,WSIPA!$F$70&lt;=83.24),"P","")</f>
        <v/>
      </c>
      <c r="QJ4" s="102" t="str">
        <f>IF(AND(WSIPA!$F$70&gt;=83.25,WSIPA!$F$70&lt;=91.4),"P","")</f>
        <v/>
      </c>
      <c r="QK4" s="102" t="str">
        <f>IF(AND(WSIPA!$F$70&gt;=91.5,WSIPA!$F$70&lt;=100),"P","")</f>
        <v/>
      </c>
      <c r="QL4" s="102" t="str">
        <f>IF(WSIPA!$F$78&lt;74.9,"P","")</f>
        <v/>
      </c>
      <c r="QM4" s="102" t="str">
        <f>IF(AND(WSIPA!$F$78&gt;=75,WSIPA!$F$78&lt;=83.24),"P","")</f>
        <v/>
      </c>
      <c r="QN4" s="102" t="str">
        <f>IF(AND(WSIPA!$F$78&gt;=83.25,WSIPA!$F$78&lt;=91.4),"P","")</f>
        <v/>
      </c>
      <c r="QO4" s="102" t="str">
        <f>IF(AND(WSIPA!$F$78&gt;=91.5,WSIPA!$F$78&lt;=100),"P","")</f>
        <v/>
      </c>
      <c r="QP4" s="102" t="str">
        <f>IF(WSIPA!$F$86&lt;74.9,"P","")</f>
        <v/>
      </c>
      <c r="QQ4" s="102" t="str">
        <f>IF(AND(WSIPA!$F$86&gt;=75,WSIPA!$F$86&lt;=83.24),"P","")</f>
        <v/>
      </c>
      <c r="QR4" s="102" t="str">
        <f>IF(AND(WSIPA!$F$86&gt;=83.25,WSIPA!$F$86&lt;=91.4),"P","")</f>
        <v/>
      </c>
      <c r="QS4" s="102" t="str">
        <f>IF(AND(WSIPA!$F$86&gt;=91.5,WSIPA!$F$86&lt;=100),"P","")</f>
        <v/>
      </c>
      <c r="QT4" s="102" t="str">
        <f>IF(WSIPA!$F$94&lt;74.9,"P","")</f>
        <v/>
      </c>
      <c r="QU4" s="102" t="str">
        <f>IF(AND(WSIPA!$F$94&gt;=75,WSIPA!$F$94&lt;=83.24),"P","")</f>
        <v/>
      </c>
      <c r="QV4" s="102" t="str">
        <f>IF(AND(WSIPA!$F$94&gt;=83.25,WSIPA!$F$94&lt;=91.4),"P","")</f>
        <v/>
      </c>
      <c r="QW4" s="102" t="str">
        <f>IF(AND(WSIPA!$F$94&gt;=91.5,WSIPA!$F$94&lt;=100),"P","")</f>
        <v/>
      </c>
      <c r="QX4" s="102" t="str">
        <f>IF(WSIPA!$F$102&lt;74.9,"P","")</f>
        <v/>
      </c>
      <c r="QY4" s="102" t="str">
        <f>IF(AND(WSIPA!$F$102&gt;=75,WSIPA!$F$102&lt;=83.24),"P","")</f>
        <v/>
      </c>
      <c r="QZ4" s="102" t="str">
        <f>IF(AND(WSIPA!$F$102&gt;=83.25,WSIPA!$F$102&lt;=91.4),"P","")</f>
        <v/>
      </c>
      <c r="RA4" s="102" t="str">
        <f>IF(AND(WSIPA!$F$102&gt;=91.5,WSIPA!$F$102&lt;=100),"P","")</f>
        <v/>
      </c>
      <c r="RB4" s="102" t="str">
        <f>IF(WSIPS!$F$6&lt;74.9,"P","")</f>
        <v/>
      </c>
      <c r="RC4" s="102" t="str">
        <f>IF(AND(WSIPS!$F$6&gt;=75,WSIPS!$F$6&lt;=83.24),"P","")</f>
        <v/>
      </c>
      <c r="RD4" s="102" t="str">
        <f>IF(AND(WSIPS!$F$6&gt;=83.25,WSIPS!$F$6&lt;=91.4),"P","")</f>
        <v/>
      </c>
      <c r="RE4" s="102" t="str">
        <f>IF(AND(WSIPS!$F$6&gt;=91.5,WSIPS!$F$6&lt;=100),"P","")</f>
        <v/>
      </c>
      <c r="RF4" s="102" t="str">
        <f>IF(WSIPS!$F$14&lt;74.9,"P","")</f>
        <v/>
      </c>
      <c r="RG4" s="102" t="str">
        <f>IF(AND(WSIPS!$F$14&gt;=75,WSIPS!$F$14&lt;=83.24),"P","")</f>
        <v/>
      </c>
      <c r="RH4" s="102" t="str">
        <f>IF(AND(WSIPS!$F$14&gt;=83.25,WSIPS!$F$14&lt;=91.4),"P","")</f>
        <v/>
      </c>
      <c r="RI4" s="102" t="str">
        <f>IF(AND(WSIPS!$F$14&gt;=91.5,WSIPS!$F$14&lt;=100),"P","")</f>
        <v/>
      </c>
      <c r="RJ4" s="102" t="str">
        <f>IF(WSIPS!$F$22&lt;74.9,"P","")</f>
        <v/>
      </c>
      <c r="RK4" s="102" t="str">
        <f>IF(AND(WSIPS!$F$22&gt;=75,WSIPS!$F$22&lt;=83.24),"P","")</f>
        <v/>
      </c>
      <c r="RL4" s="102" t="str">
        <f>IF(AND(WSIPS!$F$22&gt;=83.25,WSIPS!$F$22&lt;=91.4),"P","")</f>
        <v/>
      </c>
      <c r="RM4" s="102" t="str">
        <f>IF(AND(WSIPS!$F$22&gt;=91.5,WSIPS!$F$22&lt;=100),"P","")</f>
        <v/>
      </c>
      <c r="RN4" s="102" t="str">
        <f>IF(WSIPS!$F$30&lt;74.9,"P","")</f>
        <v/>
      </c>
      <c r="RO4" s="102" t="str">
        <f>IF(AND(WSIPS!$F$30&gt;=75,WSIPS!$F$30&lt;=83.24),"P","")</f>
        <v/>
      </c>
      <c r="RP4" s="102" t="str">
        <f>IF(AND(WSIPS!$F$30&gt;=83.25,WSIPS!$F$30&lt;=91.4),"P","")</f>
        <v/>
      </c>
      <c r="RQ4" s="102" t="str">
        <f>IF(AND(WSIPS!$F$30&gt;=91.5,WSIPS!$F$30&lt;=100),"P","")</f>
        <v/>
      </c>
      <c r="RR4" s="102" t="str">
        <f>IF(WSIPS!$F$38&lt;74.9,"P","")</f>
        <v/>
      </c>
      <c r="RS4" s="102" t="str">
        <f>IF(AND(WSIPS!$F$38&gt;=75,WSIPS!$F$38&lt;=83.24),"P","")</f>
        <v/>
      </c>
      <c r="RT4" s="102" t="str">
        <f>IF(AND(WSIPS!$F$38&gt;=83.25,WSIPS!$F$38&lt;=91.4),"P","")</f>
        <v/>
      </c>
      <c r="RU4" s="102" t="str">
        <f>IF(AND(WSIPS!$F$38&gt;=91.5,WSIPS!$F$38&lt;=100),"P","")</f>
        <v/>
      </c>
      <c r="RV4" s="102" t="str">
        <f>IF(WSIPS!$F$46&lt;74.9,"P","")</f>
        <v/>
      </c>
      <c r="RW4" s="102" t="str">
        <f>IF(AND(WSIPS!$F$46&gt;=75,WSIPS!$F$46&lt;=83.24),"P","")</f>
        <v/>
      </c>
      <c r="RX4" s="102" t="str">
        <f>IF(AND(WSIPS!$F$46&gt;=83.25,WSIPS!$F$46&lt;=91.4),"P","")</f>
        <v/>
      </c>
      <c r="RY4" s="102" t="str">
        <f>IF(AND(WSIPS!$F$46&gt;=91.5,WSIPS!$F$46&lt;=100),"P","")</f>
        <v/>
      </c>
      <c r="RZ4" s="102" t="str">
        <f>IF(WSIPS!$F$54&lt;74.9,"P","")</f>
        <v/>
      </c>
      <c r="SA4" s="102" t="str">
        <f>IF(AND(WSIPS!$F$54&gt;=75,WSIPS!$F$54&lt;=83.24),"P","")</f>
        <v/>
      </c>
      <c r="SB4" s="102" t="str">
        <f>IF(AND(WSIPS!$F$54&gt;=83.25,WSIPS!$F$54&lt;=91.4),"P","")</f>
        <v/>
      </c>
      <c r="SC4" s="102" t="str">
        <f>IF(AND(WSIPS!$F$54&gt;=91.5,WSIPS!$F$54&lt;=100),"P","")</f>
        <v/>
      </c>
      <c r="SD4" s="102" t="str">
        <f>IF(WSIPS!$F$62&lt;74.9,"P","")</f>
        <v/>
      </c>
      <c r="SE4" s="102" t="str">
        <f>IF(AND(WSIPS!$F$62&gt;=75,WSIPS!$F$62&lt;=83.24),"P","")</f>
        <v/>
      </c>
      <c r="SF4" s="102" t="str">
        <f>IF(AND(WSIPS!$F$62&gt;=83.25,WSIPS!$F$62&lt;=91.4),"P","")</f>
        <v/>
      </c>
      <c r="SG4" s="102" t="str">
        <f>IF(AND(WSIPS!$F$62&gt;=91.5,WSIPS!$F$62&lt;=100),"P","")</f>
        <v/>
      </c>
      <c r="SH4" s="102" t="str">
        <f>IF(WSIPS!$F$70&lt;74.9,"P","")</f>
        <v/>
      </c>
      <c r="SI4" s="102" t="str">
        <f>IF(AND(WSIPS!$F$70&gt;=75,WSIPS!$F$70&lt;=83.24),"P","")</f>
        <v/>
      </c>
      <c r="SJ4" s="102" t="str">
        <f>IF(AND(WSIPS!$F$70&gt;=83.25,WSIPS!$F$70&lt;=91.4),"P","")</f>
        <v/>
      </c>
      <c r="SK4" s="102" t="str">
        <f>IF(AND(WSIPS!$F$70&gt;=91.5,WSIPS!$F$70&lt;=100),"P","")</f>
        <v/>
      </c>
      <c r="SL4" s="102" t="str">
        <f>IF(WSIPS!$F$78&lt;74.9,"P","")</f>
        <v/>
      </c>
      <c r="SM4" s="102" t="str">
        <f>IF(AND(WSIPS!$F$78&gt;=75,WSIPS!$F$78&lt;=83.24),"P","")</f>
        <v/>
      </c>
      <c r="SN4" s="102" t="str">
        <f>IF(AND(WSIPS!$F$78&gt;=83.25,WSIPS!$F$78&lt;=91.4),"P","")</f>
        <v/>
      </c>
      <c r="SO4" s="102" t="str">
        <f>IF(AND(WSIPS!$F$78&gt;=91.5,WSIPS!$F$78&lt;=100),"P","")</f>
        <v/>
      </c>
      <c r="SP4" s="102" t="str">
        <f>IF(WSIPS!$F$86&lt;74.9,"P","")</f>
        <v/>
      </c>
      <c r="SQ4" s="102" t="str">
        <f>IF(AND(WSIPS!$F$86&gt;=75,WSIPS!$F$86&lt;=83.24),"P","")</f>
        <v/>
      </c>
      <c r="SR4" s="102" t="str">
        <f>IF(AND(WSIPS!$F$86&gt;=83.25,WSIPS!$F$86&lt;=91.4),"P","")</f>
        <v/>
      </c>
      <c r="SS4" s="102" t="str">
        <f>IF(AND(WSIPS!$F$86&gt;=91.5,WSIPS!$F$86&lt;=100),"P","")</f>
        <v/>
      </c>
      <c r="ST4" s="102" t="str">
        <f>IF(WSIPS!$F$94&lt;74.9,"P","")</f>
        <v/>
      </c>
      <c r="SU4" s="102" t="str">
        <f>IF(AND(WSIPS!$F$94&gt;=75,WSIPS!$F$94&lt;=83.24),"P","")</f>
        <v/>
      </c>
      <c r="SV4" s="102" t="str">
        <f>IF(AND(WSIPS!$F$94&gt;=83.25,WSIPS!$F$94&lt;=91.4),"P","")</f>
        <v/>
      </c>
      <c r="SW4" s="102" t="str">
        <f>IF(AND(WSIPS!$F$94&gt;=91.5,WSIPS!$F$94&lt;=100),"P","")</f>
        <v/>
      </c>
      <c r="SX4" s="102" t="str">
        <f>IF(WSIPS!$F$102&lt;74.9,"P","")</f>
        <v/>
      </c>
      <c r="SY4" s="102" t="str">
        <f>IF(AND(WSIPS!$F$102&gt;=75,WSIPS!$F$102&lt;=83.24),"P","")</f>
        <v/>
      </c>
      <c r="SZ4" s="102" t="str">
        <f>IF(AND(WSIPS!$F$102&gt;=83.25,WSIPS!$F$102&lt;=91.4),"P","")</f>
        <v/>
      </c>
      <c r="TA4" s="102" t="str">
        <f>IF(AND(WSIPS!$F$102&gt;=91.5,WSIPS!$F$102&lt;=100),"P","")</f>
        <v/>
      </c>
      <c r="TB4" s="102" t="str">
        <f>IF(WSSBK!$F$6&lt;74.9,"P","")</f>
        <v/>
      </c>
      <c r="TC4" s="102" t="str">
        <f>IF(AND(WSSBK!$F$6&gt;=75,WSSBK!$F$6&lt;=83.24),"P","")</f>
        <v/>
      </c>
      <c r="TD4" s="102" t="str">
        <f>IF(AND(WSSBK!$F$6&gt;=83.25,WSSBK!$F$6&lt;=91.4),"P","")</f>
        <v>P</v>
      </c>
      <c r="TE4" s="102" t="str">
        <f>IF(AND(WSSBK!$F$6&gt;=91.5,WSSBK!$F$6&lt;=100),"P","")</f>
        <v/>
      </c>
      <c r="TF4" s="102" t="str">
        <f>IF(WSSBK!$F$16&lt;74.9,"P","")</f>
        <v/>
      </c>
      <c r="TG4" s="102" t="str">
        <f>IF(AND(WSSBK!$F$16&gt;=75,WSSBK!$F$16&lt;=83.24),"P","")</f>
        <v/>
      </c>
      <c r="TH4" s="102" t="str">
        <f>IF(AND(WSSBK!$F$16&gt;=83.25,WSSBK!$F$16&lt;=91.4),"P","")</f>
        <v/>
      </c>
      <c r="TI4" s="102" t="str">
        <f>IF(AND(WSSBK!$F$16&gt;=91.5,WSSBK!$F$16&lt;=100),"P","")</f>
        <v>P</v>
      </c>
      <c r="TJ4" s="102" t="str">
        <f>IF(WSSBK!$F$26&lt;74.9,"P","")</f>
        <v/>
      </c>
      <c r="TK4" s="102" t="str">
        <f>IF(AND(WSSBK!$F$26&gt;=75,WSSBK!$F$26&lt;=83.24),"P","")</f>
        <v/>
      </c>
      <c r="TL4" s="102" t="str">
        <f>IF(AND(WSSBK!$F$26&gt;=83.25,WSSBK!$F$26&lt;=91.4),"P","")</f>
        <v>P</v>
      </c>
      <c r="TM4" s="102" t="str">
        <f>IF(AND(WSSBK!$F$26&gt;=91.5,WSSBK!$F$26&lt;=100),"P","")</f>
        <v/>
      </c>
      <c r="TN4" s="102" t="str">
        <f>IF(WSSBK!$F$36&lt;74.9,"P","")</f>
        <v/>
      </c>
      <c r="TO4" s="102" t="str">
        <f>IF(AND(WSSBK!$F$36&gt;=75,WSSBK!$F$36&lt;=83.24),"P","")</f>
        <v/>
      </c>
      <c r="TP4" s="102" t="str">
        <f>IF(AND(WSSBK!$F$36&gt;=83.25,WSSBK!$F$36&lt;=91.4),"P","")</f>
        <v>P</v>
      </c>
      <c r="TQ4" s="102" t="str">
        <f>IF(AND(WSSBK!$F$36&gt;=91.5,WSSBK!$F$36&lt;=100),"P","")</f>
        <v/>
      </c>
      <c r="TR4" s="102" t="str">
        <f>IF(WSSBK!$F$46&lt;74.9,"P","")</f>
        <v/>
      </c>
      <c r="TS4" s="102" t="str">
        <f>IF(AND(WSSBK!$F$46&gt;=75,WSSBK!$F$46&lt;=83.24),"P","")</f>
        <v/>
      </c>
      <c r="TT4" s="102" t="str">
        <f>IF(AND(WSSBK!$F$46&gt;=83.25,WSSBK!$F$46&lt;=91.4),"P","")</f>
        <v>P</v>
      </c>
      <c r="TU4" s="102" t="str">
        <f>IF(AND(WSSBK!$F$46&gt;=91.5,WSSBK!$F$46&lt;=100),"P","")</f>
        <v/>
      </c>
      <c r="TV4" s="102" t="str">
        <f>IF(WSSBK!$F$58&lt;74.9,"P","")</f>
        <v/>
      </c>
      <c r="TW4" s="102" t="str">
        <f>IF(AND(WSSBK!$F$58&gt;=75,WSSBK!$F$58&lt;=83.24),"P","")</f>
        <v/>
      </c>
      <c r="TX4" s="102" t="str">
        <f>IF(AND(WSSBK!$F$58&gt;=83.25,WSSBK!$F$58&lt;=91.4),"P","")</f>
        <v/>
      </c>
      <c r="TY4" s="102" t="str">
        <f>IF(AND(WSSBK!$F$58&gt;=91.5,WSSBK!$F$58&lt;=100),"P","")</f>
        <v>P</v>
      </c>
      <c r="TZ4" s="102" t="str">
        <f>IF(WSSBK!$F$68&lt;74.9,"P","")</f>
        <v/>
      </c>
      <c r="UA4" s="102" t="str">
        <f>IF(AND(WSSBK!$F$68&gt;=75,WSSBK!$F$68&lt;=83.24),"P","")</f>
        <v/>
      </c>
      <c r="UB4" s="102" t="str">
        <f>IF(AND(WSSBK!$F$68&gt;=83.25,WSSBK!$F$68&lt;=91.4),"P","")</f>
        <v>P</v>
      </c>
      <c r="UC4" s="102" t="str">
        <f>IF(AND(WSSBK!$F$68&gt;=91.5,WSSBK!$F$68&lt;=100),"P","")</f>
        <v/>
      </c>
      <c r="UD4" s="102" t="str">
        <f>IF(WSSBK!$F$77&lt;74.9,"P","")</f>
        <v/>
      </c>
      <c r="UE4" s="102" t="str">
        <f>IF(AND(WSSBK!$F$77&gt;=75,WSSBK!$F$77&lt;=83.24),"P","")</f>
        <v/>
      </c>
      <c r="UF4" s="102" t="str">
        <f>IF(AND(WSSBK!$F$77&gt;=83.25,WSSBK!$F$77&lt;=91.4),"P","")</f>
        <v>P</v>
      </c>
      <c r="UG4" s="102" t="str">
        <f>IF(AND(WSSBK!$F$77&gt;=91.5,WSSBK!$F$77&lt;=100),"P","")</f>
        <v/>
      </c>
      <c r="UH4" s="102" t="str">
        <f>IF(WSSBK!$F$87&lt;74.9,"P","")</f>
        <v/>
      </c>
      <c r="UI4" s="102" t="str">
        <f>IF(AND(WSSBK!$F$87&gt;=75,WSSBK!$F$87&lt;=83.24),"P","")</f>
        <v/>
      </c>
      <c r="UJ4" s="102" t="str">
        <f>IF(AND(WSSBK!$F$87&gt;=83.25,WSSBK!$F$87&lt;=91.4),"P","")</f>
        <v/>
      </c>
      <c r="UK4" s="102" t="str">
        <f>IF(AND(WSSBK!$F$87&gt;=91.5,WSSBK!$F$87&lt;=100),"P","")</f>
        <v/>
      </c>
      <c r="UL4" s="102" t="str">
        <f>IF(WSSBK!$F$95&lt;74.9,"P","")</f>
        <v/>
      </c>
      <c r="UM4" s="102" t="str">
        <f>IF(AND(WSSBK!$F$95&gt;=75,WSSBK!$F$95&lt;=83.24),"P","")</f>
        <v/>
      </c>
      <c r="UN4" s="102" t="str">
        <f>IF(AND(WSSBK!$F$95&gt;=83.25,WSSBK!$F$95&lt;=91.4),"P","")</f>
        <v/>
      </c>
      <c r="UO4" s="102" t="str">
        <f>IF(AND(WSSBK!$F$95&gt;=91.5,WSSBK!$F$95&lt;=100),"P","")</f>
        <v/>
      </c>
      <c r="UP4" s="102" t="str">
        <f>IF(WSSBK!$F$103&lt;74.9,"P","")</f>
        <v/>
      </c>
      <c r="UQ4" s="102" t="str">
        <f>IF(AND(WSSBK!$F$103&gt;=75,WSSBK!$F$103&lt;=83.24),"P","")</f>
        <v/>
      </c>
      <c r="UR4" s="102" t="str">
        <f>IF(AND(WSSBK!$F$103&gt;=83.25,WSSBK!$F$103&lt;=91.4),"P","")</f>
        <v/>
      </c>
      <c r="US4" s="102" t="str">
        <f>IF(AND(WSSBK!$F$103&gt;=91.5,WSSBK!$F$103&lt;=100),"P","")</f>
        <v/>
      </c>
      <c r="UT4" s="102" t="str">
        <f>IF(WSSBK!$F$111&lt;74.9,"P","")</f>
        <v/>
      </c>
      <c r="UU4" s="102" t="str">
        <f>IF(AND(WSSBK!$F$111&gt;=75,WSSBK!$F$111&lt;=83.24),"P","")</f>
        <v/>
      </c>
      <c r="UV4" s="102" t="str">
        <f>IF(AND(WSSBK!$F$111&gt;=83.25,WSSBK!$F$111&lt;=91.4),"P","")</f>
        <v/>
      </c>
      <c r="UW4" s="102" t="str">
        <f>IF(AND(WSSBK!$F$111&gt;=91.5,WSSBK!$F$111&lt;=100),"P","")</f>
        <v/>
      </c>
      <c r="UX4" s="102" t="str">
        <f>IF(WSSBK!$F$119&lt;74.9,"P","")</f>
        <v/>
      </c>
      <c r="UY4" s="102" t="str">
        <f>IF(AND(WSSBK!$F$119&gt;=75,WSSBK!$F$119&lt;=83.24),"P","")</f>
        <v/>
      </c>
      <c r="UZ4" s="102" t="str">
        <f>IF(AND(WSSBK!$F$119&gt;=83.25,WSSBK!$F$119&lt;=91.4),"P","")</f>
        <v/>
      </c>
      <c r="VA4" s="102" t="str">
        <f>IF(AND(WSSBK!$F$119&gt;=91.5,WSSBK!$F$119&lt;=100),"P","")</f>
        <v/>
      </c>
      <c r="VB4" s="102" t="str">
        <f>IF(AND(WSPENJAS!$F$6&gt;0,WSPENJAS!$F$6&lt;=74.9),"P","")</f>
        <v/>
      </c>
      <c r="VC4" s="102" t="str">
        <f>IF(AND(WSPENJAS!$F$6&gt;=75,WSPENJAS!$F$6&lt;=83.24),"P","")</f>
        <v/>
      </c>
      <c r="VD4" s="102" t="str">
        <f>IF(AND(WSPENJAS!$F$6&gt;=83.25,WSPENJAS!$F$6&lt;=91.4),"P","")</f>
        <v>P</v>
      </c>
      <c r="VE4" s="102" t="str">
        <f>IF(AND(WSPENJAS!$F$6&gt;=91.5,WSPENJAS!$F$6&lt;=100),"P","")</f>
        <v/>
      </c>
      <c r="VF4" s="102" t="str">
        <f>IF(AND(WSPENJAS!$F$7&gt;0,WSPENJAS!$F$7&lt;=74.9),"P","")</f>
        <v/>
      </c>
      <c r="VG4" s="102" t="str">
        <f>IF(AND(WSPENJAS!$F$7&gt;=75,WSPENJAS!$F$7&lt;=83.24),"P","")</f>
        <v/>
      </c>
      <c r="VH4" s="102" t="str">
        <f>IF(AND(WSPENJAS!$F$7&gt;=83.25,WSPENJAS!$F$7&lt;=91.4),"P","")</f>
        <v>P</v>
      </c>
      <c r="VI4" s="102" t="str">
        <f>IF(AND(WSPENJAS!$F$7&gt;=91.5,WSPENJAS!$F$7&lt;=100),"P","")</f>
        <v/>
      </c>
      <c r="VJ4" s="102" t="str">
        <f>IF(AND(WSPENJAS!$F$8&gt;0,WSPENJAS!$F$8&lt;=74.9),"P","")</f>
        <v/>
      </c>
      <c r="VK4" s="102" t="str">
        <f>IF(AND(WSPENJAS!$F$8&gt;=75,WSPENJAS!$F$8&lt;=83.24),"P","")</f>
        <v/>
      </c>
      <c r="VL4" s="102" t="str">
        <f>IF(AND(WSPENJAS!$F$8&gt;=83.25,WSPENJAS!$F$8&lt;=91.4),"P","")</f>
        <v>P</v>
      </c>
      <c r="VM4" s="102" t="str">
        <f>IF(AND(WSPENJAS!$F$8&gt;=91.5,WSPENJAS!$F$8&lt;=100),"P","")</f>
        <v/>
      </c>
      <c r="VN4" s="102" t="str">
        <f>IF(AND(WSPENJAS!$F$9&gt;0,WSPENJAS!$F$9&lt;=74.9),"P","")</f>
        <v/>
      </c>
      <c r="VO4" s="102" t="str">
        <f>IF(AND(WSPENJAS!$F$9&gt;=75,WSPENJAS!$F$9&lt;=83.24),"P","")</f>
        <v/>
      </c>
      <c r="VP4" s="102" t="str">
        <f>IF(AND(WSPENJAS!$F$9&gt;=83.25,WSPENJAS!$F$9&lt;=91.4),"P","")</f>
        <v>P</v>
      </c>
      <c r="VQ4" s="102" t="str">
        <f>IF(AND(WSPENJAS!$F$9&gt;=91.5,WSPENJAS!$F$9&lt;=100),"P","")</f>
        <v/>
      </c>
      <c r="VR4" s="102" t="str">
        <f>IF(AND(WSPENJAS!$F$10&gt;0,WSPENJAS!$F$10&lt;=74.9),"P","")</f>
        <v/>
      </c>
      <c r="VS4" s="102" t="str">
        <f>IF(AND(WSPENJAS!$F$10&gt;=75,WSPENJAS!$F$10&lt;=83.24),"P","")</f>
        <v/>
      </c>
      <c r="VT4" s="102" t="str">
        <f>IF(AND(WSPENJAS!$F$10&gt;=83.25,WSPENJAS!$F$10&lt;=91.4),"P","")</f>
        <v>P</v>
      </c>
      <c r="VU4" s="102" t="str">
        <f>IF(AND(WSPENJAS!$F$10&gt;=91.5,WSPENJAS!$F$10&lt;=100),"P","")</f>
        <v/>
      </c>
      <c r="VV4" s="102" t="str">
        <f>IF(AND(WSPENJAS!$F$11&gt;0,WSPENJAS!$F$11&lt;=74.9),"P","")</f>
        <v/>
      </c>
      <c r="VW4" s="102" t="str">
        <f>IF(AND(WSPENJAS!$F$411&gt;=75,WSPENJAS!$F$411&lt;=83.24),"P","")</f>
        <v/>
      </c>
      <c r="VX4" s="102" t="str">
        <f>IF(AND(WSPENJAS!$F$411&gt;=83.25,WSPENJAS!$F$411&lt;=91.4),"P","")</f>
        <v/>
      </c>
      <c r="VY4" s="102" t="str">
        <f>IF(AND(WSPENJAS!$F$411&gt;=91.5,WSPENJAS!$F$411&lt;=100),"P","")</f>
        <v/>
      </c>
      <c r="VZ4" s="102" t="str">
        <f>IF(AND(WSPENJAS!$F$12&gt;0,WSPENJAS!$F$12&lt;=74.9),"P","")</f>
        <v/>
      </c>
      <c r="WA4" s="102" t="str">
        <f>IF(AND(WSPENJAS!$F$12&gt;=75,WSPENJAS!$F$12&lt;=83.24),"P","")</f>
        <v/>
      </c>
      <c r="WB4" s="102" t="str">
        <f>IF(AND(WSPENJAS!$F$12&gt;=83.25,WSPENJAS!$F$12&lt;=91.4),"P","")</f>
        <v>P</v>
      </c>
      <c r="WC4" s="102" t="str">
        <f>IF(AND(WSPENJAS!$F$12&gt;=91.5,WSPENJAS!$F$12&lt;=100),"P","")</f>
        <v/>
      </c>
      <c r="WD4" s="102" t="str">
        <f>IF(AND(WSPENJAS!$F$13&gt;0,WSPENJAS!$F$13&lt;=74.9),"P","")</f>
        <v/>
      </c>
      <c r="WE4" s="102" t="str">
        <f>IF(AND(WSPENJAS!$F$13&gt;=75,WSPENJAS!$F$13&lt;=83.24),"P","")</f>
        <v/>
      </c>
      <c r="WF4" s="102" t="str">
        <f>IF(AND(WSPENJAS!$F$13&gt;=83.25,WSPENJAS!$F$13&lt;=91.4),"P","")</f>
        <v>P</v>
      </c>
      <c r="WG4" s="102" t="str">
        <f>IF(AND(WSPENJAS!$F$13&gt;=91.5,WSPENJAS!$F$13&lt;=100),"P","")</f>
        <v/>
      </c>
      <c r="WH4" s="102" t="str">
        <f>IF(AND(WSPENJAS!$F$14&gt;0,WSPENJAS!$F$14&lt;=74.9),"P","")</f>
        <v/>
      </c>
      <c r="WI4" s="102" t="str">
        <f>IF(AND(WSPENJAS!$F$14&gt;=75,WSPENJAS!$F$14&lt;=83.24),"P","")</f>
        <v/>
      </c>
      <c r="WJ4" s="102" t="str">
        <f>IF(AND(WSPENJAS!$F$14&gt;=83.25,WSPENJAS!$F$14&lt;=91.4),"P","")</f>
        <v>P</v>
      </c>
      <c r="WK4" s="102" t="str">
        <f>IF(AND(WSPENJAS!$F$14&gt;=91.5,WSPENJAS!$F$14&lt;=100),"P","")</f>
        <v/>
      </c>
      <c r="WL4" s="102" t="str">
        <f>IF(AND(WSPENJAS!$F$15&gt;0,WSPENJAS!$F$15&lt;=74.9),"P","")</f>
        <v/>
      </c>
      <c r="WM4" s="102" t="str">
        <f>IF(AND(WSPENJAS!$F$15&gt;=75,WSPENJAS!$F$15&lt;=83.24),"P","")</f>
        <v/>
      </c>
      <c r="WN4" s="102" t="str">
        <f>IF(AND(WSPENJAS!$F$15&gt;=83.25,WSPENJAS!$F$15&lt;=91.4),"P","")</f>
        <v>P</v>
      </c>
      <c r="WO4" s="102" t="str">
        <f>IF(AND(WSPENJAS!$F$15&gt;=91.5,WSPENJAS!$F$15&lt;=100),"P","")</f>
        <v/>
      </c>
      <c r="WP4" s="102" t="str">
        <f>IF(AND(WSPENJAS!$F$16&gt;0,WSPENJAS!$F$16&lt;=74.9),"P","")</f>
        <v/>
      </c>
      <c r="WQ4" s="102" t="str">
        <f>IF(AND(WSPENJAS!$F$16&gt;=75,WSPENJAS!$F$16&lt;=83.24),"P","")</f>
        <v/>
      </c>
      <c r="WR4" s="102" t="str">
        <f>IF(AND(WSPENJAS!$F$16&gt;=83.25,WSPENJAS!$F$16&lt;=91.4),"P","")</f>
        <v/>
      </c>
      <c r="WS4" s="102" t="str">
        <f>IF(AND(WSPENJAS!$F$16&gt;=91.5,WSPENJAS!$F$16&lt;=100),"P","")</f>
        <v/>
      </c>
      <c r="WT4" s="102" t="str">
        <f>IF(AND(WSPENJAS!$F$17&gt;0,WSPENJAS!$F$17&lt;=74.9),"P","")</f>
        <v/>
      </c>
      <c r="WU4" s="102" t="str">
        <f>IF(AND(WSPENJAS!$F$17&gt;=75,WSPENJAS!$F$17&lt;=83.24),"P","")</f>
        <v/>
      </c>
      <c r="WV4" s="102" t="str">
        <f>IF(AND(WSPENJAS!$F$17&gt;=83.25,WSPENJAS!$F$17&lt;=91.4),"P","")</f>
        <v/>
      </c>
      <c r="WW4" s="102" t="str">
        <f>IF(AND(WSPENJAS!$F$17&gt;=91.5,WSPENJAS!$F$17&lt;=100),"P","")</f>
        <v/>
      </c>
      <c r="WX4" s="102" t="str">
        <f>IF(AND(WSPENJAS!$F$18&gt;0,WSPENJAS!$F$18&lt;=74.9),"P","")</f>
        <v/>
      </c>
      <c r="WY4" s="102" t="str">
        <f>IF(AND(WSPENJAS!$F$18&gt;=75,WSPENJAS!$F$18&lt;=83.24),"P","")</f>
        <v/>
      </c>
      <c r="WZ4" s="102" t="str">
        <f>IF(AND(WSPENJAS!$F$18&gt;=83.25,WSPENJAS!$F$18&lt;=91.4),"P","")</f>
        <v/>
      </c>
      <c r="XA4" s="102" t="str">
        <f>IF(AND(WSPENJAS!$F$18&gt;=91.5,WSPENJAS!$F$18&lt;=100),"P","")</f>
        <v/>
      </c>
      <c r="XB4" s="102" t="str">
        <f>IF(AND(WSPENJAS!$F$19&gt;0,WSPENJAS!$F$19&lt;=74.9),"P","")</f>
        <v/>
      </c>
      <c r="XC4" s="102" t="str">
        <f>IF(AND(WSPENJAS!$F$19&gt;=75,WSPENJAS!$F$19&lt;=83.24),"P","")</f>
        <v/>
      </c>
      <c r="XD4" s="102" t="str">
        <f>IF(AND(WSPENJAS!$F$19&gt;=83.25,WSPENJAS!$F$19&lt;=91.4),"P","")</f>
        <v/>
      </c>
      <c r="XE4" s="102" t="str">
        <f>IF(AND(WSPENJAS!$F$19&gt;=91.5,WSPENJAS!$F$19&lt;=100),"P","")</f>
        <v/>
      </c>
      <c r="XF4" s="102" t="str">
        <f>IF(AND(WSPENJAS!$F$20&gt;0,WSPENJAS!$F$20&lt;=74.9),"P","")</f>
        <v/>
      </c>
      <c r="XG4" s="102" t="str">
        <f>IF(AND(WSPENJAS!$F$20&gt;=75,WSPENJAS!$F$20&lt;=83.24),"P","")</f>
        <v/>
      </c>
      <c r="XH4" s="102" t="str">
        <f>IF(AND(WSPENJAS!$F$20&gt;=83.25,WSPENJAS!$F$20&lt;=91.4),"P","")</f>
        <v/>
      </c>
      <c r="XI4" s="102" t="str">
        <f>IF(AND(WSPENJAS!$F$20&gt;=91.5,WSPENJAS!$F$20&lt;=100),"P","")</f>
        <v/>
      </c>
      <c r="XJ4" s="102" t="str">
        <f>IF(AND(WSPENJAS!$F$21&gt;0,WSPENJAS!$F$21&lt;=74.9),"P","")</f>
        <v/>
      </c>
      <c r="XK4" s="102" t="str">
        <f>IF(AND(WSPENJAS!$F$21&gt;=75,WSPENJAS!$F$21&lt;=83.24),"P","")</f>
        <v/>
      </c>
      <c r="XL4" s="102" t="str">
        <f>IF(AND(WSPENJAS!$F$21&gt;=83.25,WSPENJAS!$F$21&lt;=91.4),"P","")</f>
        <v/>
      </c>
      <c r="XM4" s="102" t="str">
        <f>IF(AND(WSPENJAS!$F$21&gt;=91.5,WSPENJAS!$F$21&lt;=100),"P","")</f>
        <v/>
      </c>
      <c r="XN4" s="102" t="str">
        <f>IF(WSJAWA!$F$6&lt;74.9,"P","")</f>
        <v/>
      </c>
      <c r="XO4" s="102" t="str">
        <f>IF(AND(WSJAWA!$F$6&gt;=75,WSJAWA!$F$6&lt;=83.24),"P","")</f>
        <v/>
      </c>
      <c r="XP4" s="102" t="str">
        <f>IF(AND(WSJAWA!$F$6&gt;=83.25,WSJAWA!$F$6&lt;=91.4),"P","")</f>
        <v/>
      </c>
      <c r="XQ4" s="102" t="str">
        <f>IF(AND(WSJAWA!$F$6&gt;=91.5,WSJAWA!$F$6&lt;=100),"P","")</f>
        <v>P</v>
      </c>
      <c r="XR4" s="102" t="str">
        <f>IF(WSJAWA!$F$14&lt;74.9,"P","")</f>
        <v/>
      </c>
      <c r="XS4" s="102" t="str">
        <f>IF(AND(WSJAWA!$F$14&gt;=75,WSJAWA!$F$14&lt;=83.24),"P","")</f>
        <v/>
      </c>
      <c r="XT4" s="102" t="str">
        <f>IF(AND(WSJAWA!$F$14&gt;=83.25,WSJAWA!$F$14&lt;=91.4),"P","")</f>
        <v/>
      </c>
      <c r="XU4" s="102" t="str">
        <f>IF(AND(WSJAWA!$F$14&gt;=91.5,WSJAWA!$F$14&lt;=100),"P","")</f>
        <v>P</v>
      </c>
      <c r="XV4" s="102" t="str">
        <f>IF(WSJAWA!$F$22&lt;74.9,"P","")</f>
        <v/>
      </c>
      <c r="XW4" s="102" t="str">
        <f>IF(AND(WSJAWA!$F$22&gt;=75,WSJAWA!$F$22&lt;=83.24),"P","")</f>
        <v>P</v>
      </c>
      <c r="XX4" s="102" t="str">
        <f>IF(AND(WSJAWA!$F$22&gt;=83.25,WSJAWA!$F$22&lt;=91.4),"P","")</f>
        <v/>
      </c>
      <c r="XY4" s="102" t="str">
        <f>IF(AND(WSJAWA!$F$22&gt;=91.5,WSJAWA!$F$22&lt;=100),"P","")</f>
        <v/>
      </c>
      <c r="XZ4" s="102" t="str">
        <f>IF(WSJAWA!$F$30&lt;74.9,"P","")</f>
        <v/>
      </c>
      <c r="YA4" s="102" t="str">
        <f>IF(AND(WSJAWA!$F$30&gt;=75,WSJAWA!$F$30&lt;=83.24),"P","")</f>
        <v/>
      </c>
      <c r="YB4" s="102" t="str">
        <f>IF(AND(WSJAWA!$F$30&gt;=83.25,WSJAWA!$F$30&lt;=91.4),"P","")</f>
        <v/>
      </c>
      <c r="YC4" s="102" t="str">
        <f>IF(AND(WSJAWA!$F$30&gt;=91.5,WSJAWA!$F$30&lt;=100),"P","")</f>
        <v>P</v>
      </c>
      <c r="YD4" s="102" t="str">
        <f>IF(WSJAWA!$F$38&lt;74.9,"P","")</f>
        <v/>
      </c>
      <c r="YE4" s="102" t="str">
        <f>IF(AND(WSJAWA!$F$38&gt;=75,WSJAWA!$F$38&lt;=83.24),"P","")</f>
        <v/>
      </c>
      <c r="YF4" s="102" t="str">
        <f>IF(AND(WSJAWA!$F$38&gt;=83.25,WSJAWA!$F$38&lt;=91.4),"P","")</f>
        <v/>
      </c>
      <c r="YG4" s="102" t="str">
        <f>IF(AND(WSJAWA!$F$38&gt;=91.5,WSJAWA!$F$38&lt;=100),"P","")</f>
        <v>P</v>
      </c>
      <c r="YH4" s="102" t="str">
        <f>IF(WSJAWA!$F$46&lt;74.9,"P","")</f>
        <v/>
      </c>
      <c r="YI4" s="102" t="str">
        <f>IF(AND(WSJAWA!$F$46&gt;=75,WSJAWA!$F$46&lt;=83.24),"P","")</f>
        <v>P</v>
      </c>
      <c r="YJ4" s="102" t="str">
        <f>IF(AND(WSJAWA!$F$46&gt;=83.25,WSJAWA!$F$46&lt;=91.4),"P","")</f>
        <v/>
      </c>
      <c r="YK4" s="102" t="str">
        <f>IF(AND(WSJAWA!$F$46&gt;=91.5,WSJAWA!$F$46&lt;=100),"P","")</f>
        <v/>
      </c>
      <c r="YL4" s="102" t="str">
        <f>IF(WSJAWA!$F$54&lt;74.9,"P","")</f>
        <v/>
      </c>
      <c r="YM4" s="102" t="str">
        <f>IF(AND(WSJAWA!$F$54&gt;=75,WSJAWA!$F$54&lt;=83.24),"P","")</f>
        <v/>
      </c>
      <c r="YN4" s="102" t="str">
        <f>IF(AND(WSJAWA!$F$54&gt;=83.25,WSJAWA!$F$54&lt;=91.4),"P","")</f>
        <v/>
      </c>
      <c r="YO4" s="102" t="str">
        <f>IF(AND(WSJAWA!$F$54&gt;=91.5,WSJAWA!$F$54&lt;=100),"P","")</f>
        <v>P</v>
      </c>
      <c r="YP4" s="102" t="str">
        <f>IF(WSJAWA!$F$62&lt;74.9,"P","")</f>
        <v/>
      </c>
      <c r="YQ4" s="102" t="str">
        <f>IF(AND(WSJAWA!$F$62&gt;=75,WSJAWA!$F$62&lt;=83.24),"P","")</f>
        <v/>
      </c>
      <c r="YR4" s="102" t="str">
        <f>IF(AND(WSJAWA!$F$62&gt;=83.25,WSJAWA!$F$62&lt;=91.4),"P","")</f>
        <v/>
      </c>
      <c r="YS4" s="102" t="str">
        <f>IF(AND(WSJAWA!$F$62&gt;=91.5,WSJAWA!$F$62&lt;=100),"P","")</f>
        <v>P</v>
      </c>
      <c r="YT4" s="102" t="str">
        <f>IF(WSJAWA!$F$70&lt;74.9,"P","")</f>
        <v/>
      </c>
      <c r="YU4" s="102" t="str">
        <f>IF(AND(WSJAWA!$F$70&gt;=75,WSJAWA!$F$70&lt;=83.24),"P","")</f>
        <v/>
      </c>
      <c r="YV4" s="102" t="str">
        <f>IF(AND(WSJAWA!$F$70&gt;=83.25,WSJAWA!$F$70&lt;=91.4),"P","")</f>
        <v/>
      </c>
      <c r="YW4" s="102" t="str">
        <f>IF(AND(WSJAWA!$F$70&gt;=91.5,WSJAWA!$F$70&lt;=100),"P","")</f>
        <v/>
      </c>
      <c r="YX4" s="102" t="str">
        <f>IF(WSJAWA!$F$78&lt;74.9,"P","")</f>
        <v/>
      </c>
      <c r="YY4" s="102" t="str">
        <f>IF(AND(WSJAWA!$F$78&gt;=75,WSJAWA!$F$78&lt;=83.24),"P","")</f>
        <v/>
      </c>
      <c r="YZ4" s="102" t="str">
        <f>IF(AND(WSJAWA!$F$78&gt;=83.25,WSJAWA!$F$78&lt;=91.4),"P","")</f>
        <v/>
      </c>
      <c r="ZA4" s="102" t="str">
        <f>IF(AND(WSJAWA!$F$78&gt;=91.5,WSJAWA!$F$78&lt;=100),"P","")</f>
        <v/>
      </c>
      <c r="ZB4" s="102" t="str">
        <f>IF(WSJAWA!$F$86&lt;74.9,"P","")</f>
        <v/>
      </c>
      <c r="ZC4" s="102" t="str">
        <f>IF(AND(WSJAWA!$F$86&gt;=75,WSJAWA!$F$86&lt;=83.24),"P","")</f>
        <v/>
      </c>
      <c r="ZD4" s="102" t="str">
        <f>IF(AND(WSJAWA!$F$86&gt;=83.25,WSJAWA!$F$86&lt;=91.4),"P","")</f>
        <v/>
      </c>
      <c r="ZE4" s="102" t="str">
        <f>IF(AND(WSJAWA!$F$86&gt;=91.5,WSJAWA!$F$86&lt;=100),"P","")</f>
        <v/>
      </c>
      <c r="ZF4" s="102" t="str">
        <f>IF(WSJAWA!$F$94&lt;74.9,"P","")</f>
        <v/>
      </c>
      <c r="ZG4" s="102" t="str">
        <f>IF(AND(WSJAWA!$F$94&gt;=75,WSJAWA!$F$94&lt;=83.24),"P","")</f>
        <v/>
      </c>
      <c r="ZH4" s="102" t="str">
        <f>IF(AND(WSJAWA!$F$94&gt;=83.25,WSJAWA!$F$94&lt;=91.4),"P","")</f>
        <v/>
      </c>
      <c r="ZI4" s="102" t="str">
        <f>IF(AND(WSJAWA!$F$94&gt;=91.5,WSJAWA!$F$94&lt;=100),"P","")</f>
        <v/>
      </c>
      <c r="ZJ4" s="102" t="str">
        <f>IF(WSJAWA!$F$102&lt;74.9,"P","")</f>
        <v/>
      </c>
      <c r="ZK4" s="102" t="str">
        <f>IF(AND(WSJAWA!$F$102&gt;=75,WSJAWA!$F$102&lt;=83.24),"P","")</f>
        <v/>
      </c>
      <c r="ZL4" s="102" t="str">
        <f>IF(AND(WSJAWA!$F$102&gt;=83.25,WSJAWA!$F$102&lt;=91.4),"P","")</f>
        <v/>
      </c>
      <c r="ZM4" s="102" t="str">
        <f>IF(AND(WSJAWA!$F$102&gt;=91.5,WSJAWA!$F$102&lt;=100),"P","")</f>
        <v/>
      </c>
      <c r="ZN4" s="102" t="str">
        <f>IF(WSING!$F$6&lt;74.9,"P","")</f>
        <v/>
      </c>
      <c r="ZO4" s="102" t="str">
        <f>IF(AND(WSING!$F$6&gt;=75,WSING!$F$6&lt;=83.24),"P","")</f>
        <v/>
      </c>
      <c r="ZP4" s="102" t="str">
        <f>IF(AND(WSING!$F$6&gt;=83.25,WSING!$F$6&lt;=91.4),"P","")</f>
        <v/>
      </c>
      <c r="ZQ4" s="102" t="str">
        <f>IF(AND(WSING!$F$6&gt;=91.5,WSING!$F$6&lt;=100),"P","")</f>
        <v>P</v>
      </c>
      <c r="ZR4" s="102" t="str">
        <f>IF(WSING!$F$15&lt;74.9,"P","")</f>
        <v/>
      </c>
      <c r="ZS4" s="102" t="str">
        <f>IF(AND(WSING!$F$15&gt;=75,WSING!$F$15&lt;=83.24),"P","")</f>
        <v/>
      </c>
      <c r="ZT4" s="102" t="str">
        <f>IF(AND(WSING!$F$15&gt;=83.25,WSING!$F$15&lt;=91.4),"P","")</f>
        <v/>
      </c>
      <c r="ZU4" s="102" t="str">
        <f>IF(AND(WSING!$F$15&gt;=91.5,WSING!$F$15&lt;=100),"P","")</f>
        <v>P</v>
      </c>
      <c r="ZV4" s="102" t="str">
        <f>IF(WSING!$F$24&lt;74.9,"P","")</f>
        <v/>
      </c>
      <c r="ZW4" s="102" t="str">
        <f>IF(AND(WSING!$F$24&gt;=75,WSING!$F$24&lt;=83.24),"P","")</f>
        <v/>
      </c>
      <c r="ZX4" s="102" t="str">
        <f>IF(AND(WSING!$F$24&gt;=83.25,WSING!$F$24&lt;=91.4),"P","")</f>
        <v>P</v>
      </c>
      <c r="ZY4" s="102" t="str">
        <f>IF(AND(WSING!$F$24&gt;=91.5,WSING!$F$24&lt;=100),"P","")</f>
        <v/>
      </c>
      <c r="ZZ4" s="102" t="str">
        <f>IF(WSING!$F$33&lt;74.9,"P","")</f>
        <v/>
      </c>
      <c r="AAA4" s="102" t="str">
        <f>IF(AND(WSING!$F$33&gt;=75,WSING!$F$33&lt;=83.24),"P","")</f>
        <v/>
      </c>
      <c r="AAB4" s="102" t="str">
        <f>IF(AND(WSING!$F$33&gt;=83.25,WSING!$F$33&lt;=91.4),"P","")</f>
        <v>P</v>
      </c>
      <c r="AAC4" s="102" t="str">
        <f>IF(AND(WSING!$F$33&gt;=91.5,WSING!$F$33&lt;=100),"P","")</f>
        <v/>
      </c>
      <c r="AAD4" s="102" t="str">
        <f>IF(WSING!$F$42&lt;74.9,"P","")</f>
        <v/>
      </c>
      <c r="AAE4" s="102" t="str">
        <f>IF(AND(WSING!$F$42&gt;=75,WSING!$F$42&lt;=83.24),"P","")</f>
        <v/>
      </c>
      <c r="AAF4" s="102" t="str">
        <f>IF(AND(WSING!$F$42&gt;=83.25,WSING!$F$42&lt;=91.4),"P","")</f>
        <v/>
      </c>
      <c r="AAG4" s="102" t="str">
        <f>IF(AND(WSING!$F$42&gt;=91.5,WSING!$F$42&lt;=100),"P","")</f>
        <v/>
      </c>
      <c r="AAH4" s="102" t="str">
        <f>IF(WSING!$F$50&lt;74.9,"P","")</f>
        <v/>
      </c>
      <c r="AAI4" s="102" t="str">
        <f>IF(AND(WSING!$F$50&gt;=75,WSING!$F$50&lt;=83.24),"P","")</f>
        <v/>
      </c>
      <c r="AAJ4" s="102" t="str">
        <f>IF(AND(WSING!$F$50&gt;=83.25,WSING!$F$50&lt;=91.4),"P","")</f>
        <v/>
      </c>
      <c r="AAK4" s="102" t="str">
        <f>IF(AND(WSING!$F$50&gt;=91.5,WSING!$F$50&lt;=100),"P","")</f>
        <v/>
      </c>
      <c r="AAL4" s="102" t="str">
        <f>IF(WSING!$F$58&lt;74.9,"P","")</f>
        <v/>
      </c>
      <c r="AAM4" s="102" t="str">
        <f>IF(AND(WSING!$F$58&gt;=75,WSING!$F$58&lt;=83.24),"P","")</f>
        <v/>
      </c>
      <c r="AAN4" s="102" t="str">
        <f>IF(AND(WSING!$F$58&gt;=83.25,WSING!$F$58&lt;=91.4),"P","")</f>
        <v/>
      </c>
      <c r="AAO4" s="102" t="str">
        <f>IF(AND(WSING!$F$58&gt;=91.5,WSING!$F$58&lt;=100),"P","")</f>
        <v/>
      </c>
      <c r="AAP4" s="102" t="str">
        <f>IF(WSING!$F$66&lt;74.9,"P","")</f>
        <v/>
      </c>
      <c r="AAQ4" s="102" t="str">
        <f>IF(AND(WSING!$F$66&gt;=75,WSING!$F$66&lt;=83.24),"P","")</f>
        <v/>
      </c>
      <c r="AAR4" s="102" t="str">
        <f>IF(AND(WSING!$F$66&gt;=83.25,WSING!$F$66&lt;=91.4),"P","")</f>
        <v/>
      </c>
      <c r="AAS4" s="102" t="str">
        <f>IF(AND(WSING!$F$66&gt;=91.5,WSING!$F$66&lt;=100),"P","")</f>
        <v/>
      </c>
      <c r="AAT4" s="102" t="str">
        <f>IF(WSING!$F$74&lt;74.9,"P","")</f>
        <v/>
      </c>
      <c r="AAU4" s="102" t="str">
        <f>IF(AND(WSING!$F$74&gt;=75,WSING!$F$74&lt;=83.24),"P","")</f>
        <v/>
      </c>
      <c r="AAV4" s="102" t="str">
        <f>IF(AND(WSING!$F$74&gt;=83.25,WSING!$F$74&lt;=91.4),"P","")</f>
        <v/>
      </c>
      <c r="AAW4" s="102" t="str">
        <f>IF(AND(WSING!$F$74&gt;=91.5,WSING!$F$74&lt;=100),"P","")</f>
        <v/>
      </c>
      <c r="AAX4" s="102" t="str">
        <f>IF(WSING!$F$82&lt;74.9,"P","")</f>
        <v/>
      </c>
      <c r="AAY4" s="102" t="str">
        <f>IF(AND(WSING!$F$82&gt;=75,WSING!$F$82&lt;=83.24),"P","")</f>
        <v/>
      </c>
      <c r="AAZ4" s="102" t="str">
        <f>IF(AND(WSING!$F$82&gt;=83.25,WSING!$F$82&lt;=91.4),"P","")</f>
        <v/>
      </c>
      <c r="ABA4" s="102" t="str">
        <f>IF(AND(WSING!$F$82&gt;=91.5,WSING!$F$82&lt;=100),"P","")</f>
        <v/>
      </c>
      <c r="ABB4" s="102" t="str">
        <f>IF(WSING!$F$90&lt;74.9,"P","")</f>
        <v/>
      </c>
      <c r="ABC4" s="102" t="str">
        <f>IF(AND(WSING!$F$90&gt;=75,WSING!$F$90&lt;=83.24),"P","")</f>
        <v/>
      </c>
      <c r="ABD4" s="102" t="str">
        <f>IF(AND(WSING!$F$90&gt;=83.25,WSING!$F$90&lt;=91.4),"P","")</f>
        <v/>
      </c>
      <c r="ABE4" s="102" t="str">
        <f>IF(AND(WSING!$F$90&gt;=91.5,WSING!$F$90&lt;=100),"P","")</f>
        <v/>
      </c>
      <c r="ABF4" s="102" t="str">
        <f>IF(WSING!$F$98&lt;74.9,"P","")</f>
        <v/>
      </c>
      <c r="ABG4" s="102" t="str">
        <f>IF(AND(WSING!$F$98&gt;=75,WSING!$F$98&lt;=83.24),"P","")</f>
        <v/>
      </c>
      <c r="ABH4" s="102" t="str">
        <f>IF(AND(WSING!$F$98&gt;=83.25,WSING!$F$98&lt;=91.4),"P","")</f>
        <v/>
      </c>
      <c r="ABI4" s="102" t="str">
        <f>IF(AND(WSING!$F$98&gt;=91.5,WSING!$F$98&lt;=100),"P","")</f>
        <v/>
      </c>
      <c r="ABJ4" s="102" t="str">
        <f>IF(WSING!$F$106&lt;74.9,"P","")</f>
        <v/>
      </c>
      <c r="ABK4" s="102" t="str">
        <f>IF(AND(WSING!$F$106&gt;=75,WSING!$F$106&lt;=83.24),"P","")</f>
        <v/>
      </c>
      <c r="ABL4" s="102" t="str">
        <f>IF(AND(WSING!$F$106&gt;=83.25,WSING!$F$106&lt;=91.4),"P","")</f>
        <v/>
      </c>
      <c r="ABM4" s="102" t="str">
        <f>IF(AND(WSING!$F$106&gt;=91.5,WSING!$F$106&lt;=100),"P","")</f>
        <v/>
      </c>
      <c r="ABN4" s="102" t="str">
        <f>IF(WSTIK!$F$6&lt;74.9,"P","")</f>
        <v/>
      </c>
      <c r="ABO4" s="102" t="str">
        <f>IF(AND(WSTIK!$F$6&gt;=75,WSTIK!$F$6&lt;=83.24),"P","")</f>
        <v/>
      </c>
      <c r="ABP4" s="102" t="str">
        <f>IF(AND(WSTIK!$F$6&gt;=83.25,WSTIK!$F$6&lt;=91.4),"P","")</f>
        <v/>
      </c>
      <c r="ABQ4" s="102" t="str">
        <f>IF(AND(WSTIK!$F$6&gt;=91.5,WSTIK!$F$6&lt;=100),"P","")</f>
        <v/>
      </c>
      <c r="ABR4" s="102" t="str">
        <f>IF(WSTIK!$F$14&lt;74.9,"P","")</f>
        <v/>
      </c>
      <c r="ABS4" s="102" t="str">
        <f>IF(AND(WSTIK!$F$14&gt;=75,WSTIK!$F$14&lt;=83.24),"P","")</f>
        <v/>
      </c>
      <c r="ABT4" s="102" t="str">
        <f>IF(AND(WSTIK!$F$14&gt;=83.25,WSTIK!$F$14&lt;=91.4),"P","")</f>
        <v/>
      </c>
      <c r="ABU4" s="102" t="str">
        <f>IF(AND(WSTIK!$F$14&gt;=91.5,WSTIK!$F$14&lt;=100),"P","")</f>
        <v/>
      </c>
      <c r="ABV4" s="102" t="str">
        <f>IF(WSTIK!$F$22&lt;74.9,"P","")</f>
        <v/>
      </c>
      <c r="ABW4" s="102" t="str">
        <f>IF(AND(WSTIK!$F$22&gt;=75,WSTIK!$F$22&lt;=83.24),"P","")</f>
        <v/>
      </c>
      <c r="ABX4" s="102" t="str">
        <f>IF(AND(WSTIK!$F$22&gt;=83.25,WSTIK!$F$22&lt;=91.4),"P","")</f>
        <v/>
      </c>
      <c r="ABY4" s="102" t="str">
        <f>IF(AND(WSTIK!$F$22&gt;=91.5,WSTIK!$F$22&lt;=100),"P","")</f>
        <v/>
      </c>
      <c r="ABZ4" s="102" t="str">
        <f>IF(WSTIK!$F$30&lt;74.9,"P","")</f>
        <v/>
      </c>
      <c r="ACA4" s="102" t="str">
        <f>IF(AND(WSTIK!$F$30&gt;=75,WSTIK!$F$30&lt;=83.24),"P","")</f>
        <v/>
      </c>
      <c r="ACB4" s="102" t="str">
        <f>IF(AND(WSTIK!$F$30&gt;=83.25,WSTIK!$F$30&lt;=91.4),"P","")</f>
        <v/>
      </c>
      <c r="ACC4" s="102" t="str">
        <f>IF(AND(WSTIK!$F$30&gt;=91.5,WSTIK!$F$30&lt;=100),"P","")</f>
        <v/>
      </c>
      <c r="ACD4" s="102" t="str">
        <f>IF(WSTIK!$F$38&lt;74.9,"P","")</f>
        <v/>
      </c>
      <c r="ACE4" s="102" t="str">
        <f>IF(AND(WSTIK!$F$38&gt;=75,WSTIK!$F$38&lt;=83.24),"P","")</f>
        <v/>
      </c>
      <c r="ACF4" s="102" t="str">
        <f>IF(AND(WSTIK!$F$38&gt;=83.25,WSTIK!$F$38&lt;=91.4),"P","")</f>
        <v/>
      </c>
      <c r="ACG4" s="102" t="str">
        <f>IF(AND(WSTIK!$F$38&gt;=91.5,WSTIK!$F$38&lt;=100),"P","")</f>
        <v/>
      </c>
      <c r="ACH4" s="102" t="str">
        <f>IF(WSTIK!$F$46&lt;74.9,"P","")</f>
        <v/>
      </c>
      <c r="ACI4" s="102" t="str">
        <f>IF(AND(WSTIK!$F$46&gt;=75,WSTIK!$F$46&lt;=83.24),"P","")</f>
        <v/>
      </c>
      <c r="ACJ4" s="102" t="str">
        <f>IF(AND(WSTIK!$F$46&gt;=83.25,WSTIK!$F$46&lt;=91.4),"P","")</f>
        <v/>
      </c>
      <c r="ACK4" s="102" t="str">
        <f>IF(AND(WSTIK!$F$46&gt;=91.5,WSTIK!$F$46&lt;=100),"P","")</f>
        <v/>
      </c>
      <c r="ACL4" s="102" t="str">
        <f>IF(WSTIK!$F$54&lt;74.9,"P","")</f>
        <v/>
      </c>
      <c r="ACM4" s="102" t="str">
        <f>IF(AND(WSTIK!$F$54&gt;=75,WSTIK!$F$54&lt;=83.24),"P","")</f>
        <v/>
      </c>
      <c r="ACN4" s="102" t="str">
        <f>IF(AND(WSTIK!$F$54&gt;=83.25,WSTIK!$F$54&lt;=91.4),"P","")</f>
        <v/>
      </c>
      <c r="ACO4" s="102" t="str">
        <f>IF(AND(WSTIK!$F$54&gt;=91.5,WSTIK!$F$54&lt;=100),"P","")</f>
        <v/>
      </c>
      <c r="ACP4" s="102" t="str">
        <f>IF(WSTIK!$F$62&lt;74.9,"P","")</f>
        <v/>
      </c>
      <c r="ACQ4" s="102" t="str">
        <f>IF(AND(WSTIK!$F$62&gt;=75,WSTIK!$F$62&lt;=83.24),"P","")</f>
        <v/>
      </c>
      <c r="ACR4" s="102" t="str">
        <f>IF(AND(WSTIK!$F$62&gt;=83.25,WSTIK!$F$62&lt;=91.4),"P","")</f>
        <v/>
      </c>
      <c r="ACS4" s="102" t="str">
        <f>IF(AND(WSTIK!$F$62&gt;=91.5,WSTIK!$F$62&lt;=100),"P","")</f>
        <v/>
      </c>
      <c r="ACT4" s="102" t="str">
        <f>IF(WSTIK!$F$70&lt;74.9,"P","")</f>
        <v/>
      </c>
      <c r="ACU4" s="102" t="str">
        <f>IF(AND(WSTIK!$F$70&gt;=75,WSTIK!$F$70&lt;=83.24),"P","")</f>
        <v/>
      </c>
      <c r="ACV4" s="102" t="str">
        <f>IF(AND(WSTIK!$F$70&gt;=83.25,WSTIK!$F$70&lt;=91.4),"P","")</f>
        <v/>
      </c>
      <c r="ACW4" s="102" t="str">
        <f>IF(AND(WSTIK!$F$70&gt;=91.5,WSTIK!$F$70&lt;=100),"P","")</f>
        <v/>
      </c>
      <c r="ACX4" s="102" t="str">
        <f>IF(WSTIK!$F$78&lt;74.9,"P","")</f>
        <v/>
      </c>
      <c r="ACY4" s="102" t="str">
        <f>IF(AND(WSTIK!$F$78&gt;=75,WSTIK!$F$78&lt;=83.24),"P","")</f>
        <v/>
      </c>
      <c r="ACZ4" s="102" t="str">
        <f>IF(AND(WSTIK!$F$78&gt;=83.25,WSTIK!$F$78&lt;=91.4),"P","")</f>
        <v/>
      </c>
      <c r="ADA4" s="102" t="str">
        <f>IF(AND(WSTIK!$F$78&gt;=91.5,WSTIK!$F$78&lt;=100),"P","")</f>
        <v/>
      </c>
      <c r="ADB4" s="102" t="str">
        <f>IF(WSTIK!$F$86&lt;74.9,"P","")</f>
        <v/>
      </c>
      <c r="ADC4" s="102" t="str">
        <f>IF(AND(WSTIK!$F$86&gt;=75,WSTIK!$F$86&lt;=83.24),"P","")</f>
        <v/>
      </c>
      <c r="ADD4" s="102" t="str">
        <f>IF(AND(WSTIK!$F$86&gt;=83.25,WSTIK!$F$86&lt;=91.4),"P","")</f>
        <v/>
      </c>
      <c r="ADE4" s="102" t="str">
        <f>IF(AND(WSTIK!$F$86&gt;=91.5,WSTIK!$F$86&lt;=100),"P","")</f>
        <v/>
      </c>
      <c r="ADF4" s="102" t="str">
        <f>IF(WSTIK!$F$94&lt;74.9,"P","")</f>
        <v/>
      </c>
      <c r="ADG4" s="102" t="str">
        <f>IF(AND(WSTIK!$F$94&gt;=75,WSTIK!$F$94&lt;=83.24),"P","")</f>
        <v/>
      </c>
      <c r="ADH4" s="102" t="str">
        <f>IF(AND(WSTIK!$F$94&gt;=83.25,WSTIK!$F$94&lt;=91.4),"P","")</f>
        <v/>
      </c>
      <c r="ADI4" s="102" t="str">
        <f>IF(AND(WSTIK!$F$94&gt;=91.5,WSTIK!$F$94&lt;=100),"P","")</f>
        <v/>
      </c>
      <c r="ADJ4" s="102" t="str">
        <f>IF(WSTIK!$F$102&lt;74.9,"P","")</f>
        <v/>
      </c>
      <c r="ADK4" s="102" t="str">
        <f>IF(AND(WSTIK!$F$102&gt;=75,WSTIK!$F$102&lt;=83.24),"P","")</f>
        <v/>
      </c>
      <c r="ADL4" s="102" t="str">
        <f>IF(AND(WSTIK!$F$102&gt;=83.25,WSTIK!$F$102&lt;=91.4),"P","")</f>
        <v/>
      </c>
      <c r="ADM4" s="102" t="str">
        <f>IF(AND(WSTIK!$F$102&gt;=91.5,WSTIK!$F$102&lt;=100),"P","")</f>
        <v/>
      </c>
      <c r="ADN4" s="102" t="str">
        <f>IF(WSASWAJA!$F$6&lt;74.9,"P","")</f>
        <v/>
      </c>
      <c r="ADO4" s="102" t="str">
        <f>IF(AND(WSASWAJA!$F$6&gt;=75,WSASWAJA!$F$6&lt;=83.24),"P","")</f>
        <v/>
      </c>
      <c r="ADP4" s="102" t="str">
        <f>IF(AND(WSASWAJA!$F$6&gt;=83.25,WSASWAJA!$F$6&lt;=91.4),"P","")</f>
        <v/>
      </c>
      <c r="ADQ4" s="102" t="str">
        <f>IF(AND(WSASWAJA!$F$6&gt;=91.5,WSASWAJA!$F$6&lt;=100),"P","")</f>
        <v/>
      </c>
      <c r="ADR4" s="102" t="str">
        <f>IF(WSASWAJA!$F$14&lt;74.9,"P","")</f>
        <v/>
      </c>
      <c r="ADS4" s="102" t="str">
        <f>IF(AND(WSASWAJA!$F$14&gt;=75,WSASWAJA!$F$14&lt;=83.24),"P","")</f>
        <v/>
      </c>
      <c r="ADT4" s="102" t="str">
        <f>IF(AND(WSASWAJA!$F$14&gt;=83.25,WSASWAJA!$F$14&lt;=91.4),"P","")</f>
        <v/>
      </c>
      <c r="ADU4" s="102" t="str">
        <f>IF(AND(WSASWAJA!$F$14&gt;=91.5,WSASWAJA!$F$14&lt;=100),"P","")</f>
        <v/>
      </c>
      <c r="ADV4" s="102" t="str">
        <f>IF(WSASWAJA!$F$22&lt;74.9,"P","")</f>
        <v/>
      </c>
      <c r="ADW4" s="102" t="str">
        <f>IF(AND(WSASWAJA!$F$22&gt;=75,WSASWAJA!$F$22&lt;=83.24),"P","")</f>
        <v/>
      </c>
      <c r="ADX4" s="102" t="str">
        <f>IF(AND(WSASWAJA!$F$22&gt;=83.25,WSASWAJA!$F$22&lt;=91.4),"P","")</f>
        <v/>
      </c>
      <c r="ADY4" s="102" t="str">
        <f>IF(AND(WSASWAJA!$F$22&gt;=91.5,WSASWAJA!$F$22&lt;=100),"P","")</f>
        <v/>
      </c>
      <c r="ADZ4" s="102" t="str">
        <f>IF(WSASWAJA!$F$30&lt;74.9,"P","")</f>
        <v/>
      </c>
      <c r="AEA4" s="102" t="str">
        <f>IF(AND(WSASWAJA!$F$30&gt;=75,WSASWAJA!$F$30&lt;=83.24),"P","")</f>
        <v/>
      </c>
      <c r="AEB4" s="102" t="str">
        <f>IF(AND(WSASWAJA!$F$30&gt;=83.25,WSASWAJA!$F$30&lt;=91.4),"P","")</f>
        <v/>
      </c>
      <c r="AEC4" s="102" t="str">
        <f>IF(AND(WSASWAJA!$F$30&gt;=91.5,WSASWAJA!$F$30&lt;=100),"P","")</f>
        <v/>
      </c>
      <c r="AED4" s="102" t="str">
        <f>IF(WSASWAJA!$F$38&lt;74.9,"P","")</f>
        <v/>
      </c>
      <c r="AEE4" s="102" t="str">
        <f>IF(AND(WSASWAJA!$F$38&gt;=75,WSASWAJA!$F$38&lt;=83.24),"P","")</f>
        <v/>
      </c>
      <c r="AEF4" s="102" t="str">
        <f>IF(AND(WSASWAJA!$F$38&gt;=83.25,WSASWAJA!$F$38&lt;=91.4),"P","")</f>
        <v/>
      </c>
      <c r="AEG4" s="102" t="str">
        <f>IF(AND(WSASWAJA!$F$38&gt;=91.5,WSASWAJA!$F$38&lt;=100),"P","")</f>
        <v/>
      </c>
      <c r="AEH4" s="102" t="str">
        <f>IF(WSASWAJA!$F$46&lt;74.9,"P","")</f>
        <v/>
      </c>
      <c r="AEI4" s="102" t="str">
        <f>IF(AND(WSASWAJA!$F$46&gt;=75,WSASWAJA!$F$46&lt;=83.24),"P","")</f>
        <v/>
      </c>
      <c r="AEJ4" s="102" t="str">
        <f>IF(AND(WSASWAJA!$F$46&gt;=83.25,WSASWAJA!$F$46&lt;=91.4),"P","")</f>
        <v/>
      </c>
      <c r="AEK4" s="102" t="str">
        <f>IF(AND(WSASWAJA!$F$46&gt;=91.5,WSASWAJA!$F$46&lt;=100),"P","")</f>
        <v/>
      </c>
      <c r="AEL4" s="102" t="str">
        <f>IF(WSASWAJA!$F$54&lt;74.9,"P","")</f>
        <v/>
      </c>
      <c r="AEM4" s="102" t="str">
        <f>IF(AND(WSASWAJA!$F$54&gt;=75,WSASWAJA!$F$54&lt;=83.24),"P","")</f>
        <v/>
      </c>
      <c r="AEN4" s="102" t="str">
        <f>IF(AND(WSASWAJA!$F$54&gt;=83.25,WSASWAJA!$F$54&lt;=91.4),"P","")</f>
        <v/>
      </c>
      <c r="AEO4" s="102" t="str">
        <f>IF(AND(WSASWAJA!$F$54&gt;=91.5,WSASWAJA!$F$54&lt;=100),"P","")</f>
        <v/>
      </c>
      <c r="AEP4" s="102" t="str">
        <f>IF(WSASWAJA!$F$62&lt;74.9,"P","")</f>
        <v/>
      </c>
      <c r="AEQ4" s="102" t="str">
        <f>IF(AND(WSASWAJA!$F$62&gt;=75,WSASWAJA!$F$62&lt;=83.24),"P","")</f>
        <v/>
      </c>
      <c r="AER4" s="102" t="str">
        <f>IF(AND(WSASWAJA!$F$62&gt;=83.25,WSASWAJA!$F$62&lt;=91.4),"P","")</f>
        <v/>
      </c>
      <c r="AES4" s="102" t="str">
        <f>IF(AND(WSASWAJA!$F$62&gt;=91.5,WSASWAJA!$F$62&lt;=100),"P","")</f>
        <v/>
      </c>
      <c r="AET4" s="102" t="str">
        <f>IF(WSASWAJA!$F$70&lt;74.9,"P","")</f>
        <v/>
      </c>
      <c r="AEU4" s="102" t="str">
        <f>IF(AND(WSASWAJA!$F$70&gt;=75,WSASWAJA!$F$70&lt;=83.24),"P","")</f>
        <v/>
      </c>
      <c r="AEV4" s="102" t="str">
        <f>IF(AND(WSASWAJA!$F$70&gt;=83.25,WSASWAJA!$F$70&lt;=91.4),"P","")</f>
        <v/>
      </c>
      <c r="AEW4" s="102" t="str">
        <f>IF(AND(WSASWAJA!$F$70&gt;=91.5,WSASWAJA!$F$70&lt;=100),"P","")</f>
        <v/>
      </c>
      <c r="AEX4" s="102" t="str">
        <f>IF(WSASWAJA!$F$78&lt;74.9,"P","")</f>
        <v/>
      </c>
      <c r="AEY4" s="102" t="str">
        <f>IF(AND(WSASWAJA!$F$78&gt;=75,WSASWAJA!$F$78&lt;=83.24),"P","")</f>
        <v/>
      </c>
      <c r="AEZ4" s="102" t="str">
        <f>IF(AND(WSASWAJA!$F$78&gt;=83.25,WSASWAJA!$F$78&lt;=91.4),"P","")</f>
        <v/>
      </c>
      <c r="AFA4" s="102" t="str">
        <f>IF(AND(WSASWAJA!$F$78&gt;=91.5,WSASWAJA!$F$78&lt;=100),"P","")</f>
        <v/>
      </c>
      <c r="AFB4" s="102" t="str">
        <f>IF(WSASWAJA!$F$86&lt;74.9,"P","")</f>
        <v/>
      </c>
      <c r="AFC4" s="102" t="str">
        <f>IF(AND(WSASWAJA!$F$86&gt;=75,WSASWAJA!$F$86&lt;=83.24),"P","")</f>
        <v/>
      </c>
      <c r="AFD4" s="102" t="str">
        <f>IF(AND(WSASWAJA!$F$86&gt;=83.25,WSASWAJA!$F$86&lt;=91.4),"P","")</f>
        <v/>
      </c>
      <c r="AFE4" s="102" t="str">
        <f>IF(AND(WSASWAJA!$F$86&gt;=91.5,WSASWAJA!$F$86&lt;=100),"P","")</f>
        <v/>
      </c>
      <c r="AFF4" s="102" t="str">
        <f>IF(WSASWAJA!$F$94&lt;74.9,"P","")</f>
        <v/>
      </c>
      <c r="AFG4" s="102" t="str">
        <f>IF(AND(WSASWAJA!$F$94&gt;=75,WSASWAJA!$F$94&lt;=83.24),"P","")</f>
        <v/>
      </c>
      <c r="AFH4" s="102" t="str">
        <f>IF(AND(WSASWAJA!$F$94&gt;=83.25,WSASWAJA!$F$94&lt;=91.4),"P","")</f>
        <v/>
      </c>
      <c r="AFI4" s="102" t="str">
        <f>IF(AND(WSASWAJA!$F$94&gt;=91.5,WSASWAJA!$F$94&lt;=100),"P","")</f>
        <v/>
      </c>
      <c r="AFJ4" s="102" t="str">
        <f>IF(WSASWAJA!$F$102&lt;74.9,"P","")</f>
        <v/>
      </c>
      <c r="AFK4" s="102" t="str">
        <f>IF(AND(WSASWAJA!$F$102&gt;=75,WSASWAJA!$F$102&lt;=83.24),"P","")</f>
        <v/>
      </c>
      <c r="AFL4" s="102" t="str">
        <f>IF(AND(WSASWAJA!$F$102&gt;=83.25,WSASWAJA!$F$102&lt;=91.4),"P","")</f>
        <v/>
      </c>
      <c r="AFM4" s="102" t="str">
        <f>IF(AND(WSASWAJA!$F$102&gt;=91.5,WSASWAJA!$F$102&lt;=100),"P","")</f>
        <v/>
      </c>
    </row>
    <row r="5" spans="1:852" ht="20.100000000000001" customHeight="1">
      <c r="A5">
        <v>3</v>
      </c>
      <c r="B5" s="104" t="str">
        <f>IF(WSALQURAN!$G$6&lt;74.9,"P","")</f>
        <v/>
      </c>
      <c r="C5" s="103" t="str">
        <f>IF(AND(WSALQURAN!$G$6&gt;=75,WSALQURAN!$G$6&lt;=83.24),"P","")</f>
        <v/>
      </c>
      <c r="D5" s="103" t="str">
        <f>IF(AND(WSALQURAN!$G$6&gt;=83.25,WSALQURAN!$G$6&lt;=91.4),"P","")</f>
        <v/>
      </c>
      <c r="E5" s="103" t="str">
        <f>IF(AND(WSALQURAN!$G$6&gt;=91.5,WSALQURAN!$G$6&lt;=100),"P","")</f>
        <v>P</v>
      </c>
      <c r="F5" t="str">
        <f>IF(WSALQURAN!$G$14&lt;74.9,"P","")</f>
        <v/>
      </c>
      <c r="G5" s="102" t="str">
        <f>IF(AND(WSALQURAN!$G$14&gt;=75,WSALQURAN!$G$14&lt;=83.24),"P","")</f>
        <v/>
      </c>
      <c r="H5" s="102" t="str">
        <f>IF(AND(WSALQURAN!$G$14&gt;=83.25,WSALQURAN!$G$14&lt;=91.4),"P","")</f>
        <v>P</v>
      </c>
      <c r="I5" s="102" t="str">
        <f>IF(AND(WSALQURAN!$G$14&gt;=91.5,WSALQURAN!$G$14&lt;=100),"P","")</f>
        <v/>
      </c>
      <c r="J5" t="str">
        <f>IF(WSALQURAN!$G$22&lt;74.9,"P","")</f>
        <v/>
      </c>
      <c r="K5" s="102" t="str">
        <f>IF(AND(WSALQURAN!$G$22&gt;=75,WSALQURAN!$G$22&lt;=83.24),"P","")</f>
        <v>P</v>
      </c>
      <c r="L5" s="102" t="str">
        <f>IF(AND(WSALQURAN!$G$22&gt;=83.25,WSALQURAN!$G$22&lt;=91.4),"P","")</f>
        <v/>
      </c>
      <c r="M5" s="102" t="str">
        <f>IF(AND(WSALQURAN!$G$22&gt;=91.5,WSALQURAN!$G$22&lt;=100),"P","")</f>
        <v/>
      </c>
      <c r="N5" t="str">
        <f>IF(WSALQURAN!$G$30&lt;74.9,"P","")</f>
        <v/>
      </c>
      <c r="O5" s="102" t="str">
        <f>IF(AND(WSALQURAN!$G$30&gt;=75,WSALQURAN!$G$30&lt;=83.24),"P","")</f>
        <v/>
      </c>
      <c r="P5" s="102" t="str">
        <f>IF(AND(WSALQURAN!$G$30&gt;=83.25,WSALQURAN!$G$30&lt;=91.4),"P","")</f>
        <v/>
      </c>
      <c r="Q5" s="102" t="str">
        <f>IF(AND(WSALQURAN!$G$30&gt;=91.5,WSALQURAN!$G$30&lt;=100),"P","")</f>
        <v>P</v>
      </c>
      <c r="R5" t="str">
        <f>IF(WSALQURAN!$G$38&lt;74.9,"P","")</f>
        <v/>
      </c>
      <c r="S5" s="102" t="str">
        <f>IF(AND(WSALQURAN!$G$38&gt;=75,WSALQURAN!$G$38&lt;=83.24),"P","")</f>
        <v/>
      </c>
      <c r="T5" s="102" t="str">
        <f>IF(AND(WSALQURAN!$G$38&gt;=83.25,WSALQURAN!$G$38&lt;=91.4),"P","")</f>
        <v/>
      </c>
      <c r="U5" s="102" t="str">
        <f>IF(AND(WSALQURAN!$G$38&gt;=91.5,WSALQURAN!$G$38&lt;=100),"P","")</f>
        <v>P</v>
      </c>
      <c r="V5" t="str">
        <f>IF(WSALQURAN!$G$46&lt;74.9,"P","")</f>
        <v/>
      </c>
      <c r="W5" s="102" t="str">
        <f>IF(AND(WSALQURAN!$G$46&gt;=75,WSALQURAN!$G$46&lt;=83.24),"P","")</f>
        <v>P</v>
      </c>
      <c r="X5" s="102" t="str">
        <f>IF(AND(WSALQURAN!$G$46&gt;=83.25,WSALQURAN!$G$46&lt;=91.4),"P","")</f>
        <v/>
      </c>
      <c r="Y5" s="102" t="str">
        <f>IF(AND(WSALQURAN!$G$46&gt;=91.5,WSALQURAN!$G$46&lt;=100),"P","")</f>
        <v/>
      </c>
      <c r="Z5" t="str">
        <f>IF(WSALQURAN!$G$54&lt;74.9,"P","")</f>
        <v/>
      </c>
      <c r="AA5" s="102" t="str">
        <f>IF(AND(WSALQURAN!$G$54&gt;=75,WSALQURAN!$G$54&lt;=83.24),"P","")</f>
        <v/>
      </c>
      <c r="AB5" s="102" t="str">
        <f>IF(AND(WSALQURAN!$G$54&gt;=83.25,WSALQURAN!$G$54&lt;=91.4),"P","")</f>
        <v/>
      </c>
      <c r="AC5" s="102" t="str">
        <f>IF(AND(WSALQURAN!$G$54&gt;=91.5,WSALQURAN!$G$54&lt;=100),"P","")</f>
        <v>P</v>
      </c>
      <c r="AD5" t="str">
        <f>IF(WSALQURAN!$G$62&lt;74.9,"P","")</f>
        <v/>
      </c>
      <c r="AE5" s="102" t="str">
        <f>IF(AND(WSALQURAN!$G$62&gt;=75,WSALQURAN!$G$62&lt;=83.24),"P","")</f>
        <v/>
      </c>
      <c r="AF5" s="102" t="str">
        <f>IF(AND(WSALQURAN!$G$62&gt;=83.25,WSALQURAN!$G$62&lt;=91.4),"P","")</f>
        <v/>
      </c>
      <c r="AG5" s="102" t="str">
        <f>IF(AND(WSALQURAN!$G$62&gt;=91.5,WSALQURAN!$G$62&lt;=100),"P","")</f>
        <v/>
      </c>
      <c r="AH5" t="str">
        <f>IF(WSALQURAN!$G$70&lt;74.9,"P","")</f>
        <v/>
      </c>
      <c r="AI5" s="102" t="str">
        <f>IF(AND(WSALQURAN!$G$70&gt;=75,WSALQURAN!$G$70&lt;=83.24),"P","")</f>
        <v/>
      </c>
      <c r="AJ5" s="102" t="str">
        <f>IF(AND(WSALQURAN!$G$70&gt;=83.25,WSALQURAN!$G$70&lt;=91.4),"P","")</f>
        <v/>
      </c>
      <c r="AK5" s="102" t="str">
        <f>IF(AND(WSALQURAN!$G$70&gt;=91.5,WSALQURAN!$G$70&lt;=100),"P","")</f>
        <v/>
      </c>
      <c r="AL5" t="str">
        <f>IF(WSALQURAN!$G$78&lt;74.9,"P","")</f>
        <v/>
      </c>
      <c r="AM5" s="102" t="str">
        <f>IF(AND(WSALQURAN!$G$78&gt;=75,WSALQURAN!$G$78&lt;=83.24),"P","")</f>
        <v/>
      </c>
      <c r="AN5" s="102" t="str">
        <f>IF(AND(WSALQURAN!$G$78&gt;=83.25,WSALQURAN!$G$78&lt;=91.4),"P","")</f>
        <v/>
      </c>
      <c r="AO5" s="102" t="str">
        <f>IF(AND(WSALQURAN!$G$78&gt;=91.5,WSALQURAN!$G$78&lt;=100),"P","")</f>
        <v/>
      </c>
      <c r="AP5" t="str">
        <f>IF(WSALQURAN!$G$86&lt;74.9,"P","")</f>
        <v/>
      </c>
      <c r="AQ5" s="102" t="str">
        <f>IF(AND(WSALQURAN!$G$86&gt;=75,WSALQURAN!$G$86&lt;=83.24),"P","")</f>
        <v/>
      </c>
      <c r="AR5" s="102" t="str">
        <f>IF(AND(WSALQURAN!$G$86&gt;=83.25,WSALQURAN!$G$86&lt;=91.4),"P","")</f>
        <v/>
      </c>
      <c r="AS5" s="102" t="str">
        <f>IF(AND(WSALQURAN!$G$86&gt;=91.5,WSALQURAN!$G$86&lt;=100),"P","")</f>
        <v/>
      </c>
      <c r="AT5" t="str">
        <f>IF(WSALQURAN!$G$94&lt;74.9,"P","")</f>
        <v/>
      </c>
      <c r="AU5" s="102" t="str">
        <f>IF(AND(WSALQURAN!$G$94&gt;=75,WSALQURAN!$G$94&lt;=83.24),"P","")</f>
        <v/>
      </c>
      <c r="AV5" s="102" t="str">
        <f>IF(AND(WSALQURAN!$G$94&gt;=83.25,WSALQURAN!$G$94&lt;=91.4),"P","")</f>
        <v/>
      </c>
      <c r="AW5" s="102" t="str">
        <f>IF(AND(WSALQURAN!$G$94&gt;=91.5,WSALQURAN!$G$94&lt;=100),"P","")</f>
        <v/>
      </c>
      <c r="AX5" t="str">
        <f>IF(WSALQURAN!$G$102&lt;74.9,"P","")</f>
        <v/>
      </c>
      <c r="AY5" s="102" t="str">
        <f>IF(AND(WSALQURAN!$G$102&gt;=75,WSALQURAN!$G$102&lt;=83.24),"P","")</f>
        <v/>
      </c>
      <c r="AZ5" s="102" t="str">
        <f>IF(AND(WSALQURAN!$G$102&gt;=83.25,WSALQURAN!$G$102&lt;=91.4),"P","")</f>
        <v/>
      </c>
      <c r="BA5" s="102" t="str">
        <f>IF(AND(WSALQURAN!$G$102&gt;=91.5,WSALQURAN!$G$102&lt;=100),"P","")</f>
        <v/>
      </c>
      <c r="BB5" t="str">
        <f>IF(WSAQIDAH!$G$6&lt;74.9,"P","")</f>
        <v/>
      </c>
      <c r="BC5" s="102" t="str">
        <f>IF(AND(WSAQIDAH!$G$6&gt;=75,WSAQIDAH!$G$6&lt;=83.24),"P","")</f>
        <v>P</v>
      </c>
      <c r="BD5" s="102" t="str">
        <f>IF(AND(WSAQIDAH!$G$6&gt;=83.25,WSAQIDAH!$G$6&lt;=91.4),"P","")</f>
        <v/>
      </c>
      <c r="BE5" s="102" t="str">
        <f>IF(AND(WSAQIDAH!$G$6&gt;=91.5,WSAQIDAH!$G$6&lt;=100),"P","")</f>
        <v/>
      </c>
      <c r="BF5" t="str">
        <f>IF(WSAQIDAH!$G$14&lt;74.9,"P","")</f>
        <v/>
      </c>
      <c r="BG5" s="102" t="str">
        <f>IF(AND(WSAQIDAH!$G$14&gt;=75,WSAQIDAH!$G$14&lt;=83.24),"P","")</f>
        <v/>
      </c>
      <c r="BH5" s="102" t="str">
        <f>IF(AND(WSAQIDAH!$G$14&gt;=83.25,WSAQIDAH!$G$14&lt;=91.4),"P","")</f>
        <v/>
      </c>
      <c r="BI5" s="102" t="str">
        <f>IF(AND(WSAQIDAH!$G$14&gt;=91.5,WSAQIDAH!$G$14&lt;=100),"P","")</f>
        <v>P</v>
      </c>
      <c r="BJ5" t="str">
        <f>IF(WSAQIDAH!$G$22&lt;74.9,"P","")</f>
        <v/>
      </c>
      <c r="BK5" s="102" t="str">
        <f>IF(AND(WSAQIDAH!$G$22&gt;=75,WSAQIDAH!$G$22&lt;=83.24),"P","")</f>
        <v>P</v>
      </c>
      <c r="BL5" s="102" t="str">
        <f>IF(AND(WSAQIDAH!$G$22&gt;=83.25,WSAQIDAH!$G$22&lt;=91.4),"P","")</f>
        <v/>
      </c>
      <c r="BM5" s="102" t="str">
        <f>IF(AND(WSAQIDAH!$G$22&gt;=91.5,WSAQIDAH!$G$22&lt;=100),"P","")</f>
        <v/>
      </c>
      <c r="BN5" t="str">
        <f>IF(WSAQIDAH!$G$30&lt;74.9,"P","")</f>
        <v/>
      </c>
      <c r="BO5" s="102" t="str">
        <f>IF(AND(WSAQIDAH!$G$30&gt;=75,WSAQIDAH!$G$30&lt;=83.24),"P","")</f>
        <v>P</v>
      </c>
      <c r="BP5" s="102" t="str">
        <f>IF(AND(WSAQIDAH!$G$30&gt;=83.25,WSAQIDAH!$G$30&lt;=91.4),"P","")</f>
        <v/>
      </c>
      <c r="BQ5" s="102" t="str">
        <f>IF(AND(WSAQIDAH!$G$30&gt;=91.5,WSAQIDAH!$G$30&lt;=100),"P","")</f>
        <v/>
      </c>
      <c r="BR5" t="str">
        <f>IF(WSAQIDAH!$G$38&lt;74.9,"P","")</f>
        <v/>
      </c>
      <c r="BS5" s="102" t="str">
        <f>IF(AND(WSAQIDAH!$G$38&gt;=75,WSAQIDAH!$G$38&lt;=83.24),"P","")</f>
        <v>P</v>
      </c>
      <c r="BT5" s="102" t="str">
        <f>IF(AND(WSAQIDAH!$G$38&gt;=83.25,WSAQIDAH!$G$38&lt;=91.4),"P","")</f>
        <v/>
      </c>
      <c r="BU5" s="102" t="str">
        <f>IF(AND(WSAQIDAH!$G$38&gt;=91.5,WSAQIDAH!$G$38&lt;=100),"P","")</f>
        <v/>
      </c>
      <c r="BV5" t="str">
        <f>IF(WSAQIDAH!$G$46&lt;74.9,"P","")</f>
        <v/>
      </c>
      <c r="BW5" s="102" t="str">
        <f>IF(AND(WSAQIDAH!$G$46&gt;=75,WSAQIDAH!$G$46&lt;=83.24),"P","")</f>
        <v/>
      </c>
      <c r="BX5" s="102" t="str">
        <f>IF(AND(WSAQIDAH!$G$46&gt;=83.25,WSAQIDAH!$G$46&lt;=91.4),"P","")</f>
        <v>P</v>
      </c>
      <c r="BY5" s="102" t="str">
        <f>IF(AND(WSAQIDAH!$G$46&gt;=91.5,WSAQIDAH!$G$46&lt;=100),"P","")</f>
        <v/>
      </c>
      <c r="BZ5" t="str">
        <f>IF(WSAQIDAH!$G$54&lt;74.9,"P","")</f>
        <v/>
      </c>
      <c r="CA5" s="102" t="str">
        <f>IF(AND(WSAQIDAH!$G$54&gt;=75,WSAQIDAH!$G$54&lt;=83.24),"P","")</f>
        <v>P</v>
      </c>
      <c r="CB5" s="102" t="str">
        <f>IF(AND(WSAQIDAH!$G$54&gt;=83.25,WSAQIDAH!$G$54&lt;=91.4),"P","")</f>
        <v/>
      </c>
      <c r="CC5" s="102" t="str">
        <f>IF(AND(WSAQIDAH!$G$54&gt;=91.5,WSAQIDAH!$G$54&lt;=100),"P","")</f>
        <v/>
      </c>
      <c r="CD5" t="str">
        <f>IF(WSAQIDAH!$G$62&lt;74.9,"P","")</f>
        <v/>
      </c>
      <c r="CE5" s="102" t="str">
        <f>IF(AND(WSAQIDAH!$G$62&gt;=75,WSAQIDAH!$G$62&lt;=83.24),"P","")</f>
        <v>P</v>
      </c>
      <c r="CF5" s="102" t="str">
        <f>IF(AND(WSAQIDAH!$G$62&gt;=83.25,WSAQIDAH!$G$62&lt;=91.4),"P","")</f>
        <v/>
      </c>
      <c r="CG5" s="102" t="str">
        <f>IF(AND(WSAQIDAH!$G$62&gt;=91.5,WSAQIDAH!$G$62&lt;=100),"P","")</f>
        <v/>
      </c>
      <c r="CH5" t="str">
        <f>IF(WSAQIDAH!$G$70&lt;74.9,"P","")</f>
        <v/>
      </c>
      <c r="CI5" s="102" t="str">
        <f>IF(AND(WSAQIDAH!$G$70&gt;=75,WSAQIDAH!$G$70&lt;=83.24),"P","")</f>
        <v>P</v>
      </c>
      <c r="CJ5" s="102" t="str">
        <f>IF(AND(WSAQIDAH!$G$70&gt;=83.25,WSAQIDAH!$G$70&lt;=91.4),"P","")</f>
        <v/>
      </c>
      <c r="CK5" s="102" t="str">
        <f>IF(AND(WSAQIDAH!$G$70&gt;=91.5,WSAQIDAH!$G$70&lt;=100),"P","")</f>
        <v/>
      </c>
      <c r="CL5" t="str">
        <f>IF(WSAQIDAH!$G$78&lt;74.9,"P","")</f>
        <v/>
      </c>
      <c r="CM5" s="102" t="str">
        <f>IF(AND(WSAQIDAH!$G$78&gt;=75,WSAQIDAH!$G$78&lt;=83.24),"P","")</f>
        <v>P</v>
      </c>
      <c r="CN5" s="102" t="str">
        <f>IF(AND(WSAQIDAH!$G$78&gt;=83.25,WSAQIDAH!$G$78&lt;=91.4),"P","")</f>
        <v/>
      </c>
      <c r="CO5" s="102" t="str">
        <f>IF(AND(WSAQIDAH!$G$78&gt;=91.5,WSAQIDAH!$G$78&lt;=100),"P","")</f>
        <v/>
      </c>
      <c r="CP5" t="str">
        <f>IF(WSAQIDAH!$G$86&lt;74.9,"P","")</f>
        <v/>
      </c>
      <c r="CQ5" s="102" t="str">
        <f>IF(AND(WSAQIDAH!$G$86&gt;=75,WSAQIDAH!$G$86&lt;=83.24),"P","")</f>
        <v/>
      </c>
      <c r="CR5" s="102" t="str">
        <f>IF(AND(WSAQIDAH!$G$86&gt;=83.25,WSAQIDAH!$G$86&lt;=91.4),"P","")</f>
        <v/>
      </c>
      <c r="CS5" s="102" t="str">
        <f>IF(AND(WSAQIDAH!$G$86&gt;=91.5,WSAQIDAH!$G$86&lt;=100),"P","")</f>
        <v/>
      </c>
      <c r="CT5" t="str">
        <f>IF(WSAQIDAH!$G$94&lt;74.9,"P","")</f>
        <v/>
      </c>
      <c r="CU5" s="102" t="str">
        <f>IF(AND(WSAQIDAH!$G$94&gt;=75,WSAQIDAH!$G$94&lt;=83.24),"P","")</f>
        <v/>
      </c>
      <c r="CV5" s="102" t="str">
        <f>IF(AND(WSAQIDAH!$G$94&gt;=83.25,WSAQIDAH!$G$94&lt;=91.4),"P","")</f>
        <v/>
      </c>
      <c r="CW5" s="102" t="str">
        <f>IF(AND(WSAQIDAH!$G$94&gt;=91.5,WSAQIDAH!$G$94&lt;=100),"P","")</f>
        <v/>
      </c>
      <c r="CX5" t="str">
        <f>IF(WSAQIDAH!$G$102&lt;74.9,"P","")</f>
        <v/>
      </c>
      <c r="CY5" s="102" t="str">
        <f>IF(AND(WSAQIDAH!$G$102&gt;=75,WSAQIDAH!$G$102&lt;=83.24),"P","")</f>
        <v/>
      </c>
      <c r="CZ5" s="102" t="str">
        <f>IF(AND(WSAQIDAH!$G$102&gt;=83.25,WSAQIDAH!$G$102&lt;=91.4),"P","")</f>
        <v/>
      </c>
      <c r="DA5" s="102" t="str">
        <f>IF(AND(WSAQIDAH!$G$102&gt;=91.5,WSAQIDAH!$G$102&lt;=100),"P","")</f>
        <v/>
      </c>
      <c r="DB5" t="str">
        <f>IF(WSSKI!$G$6&lt;74.9,"P","")</f>
        <v/>
      </c>
      <c r="DC5" s="102" t="str">
        <f>IF(AND(WSSKI!$G$6&gt;=75,WSSKI!$G$6&lt;=83.24),"P","")</f>
        <v>P</v>
      </c>
      <c r="DD5" s="102" t="str">
        <f>IF(AND(WSSKI!$G$6&gt;=83.25,WSSKI!$G$6&lt;=91.4),"P","")</f>
        <v/>
      </c>
      <c r="DE5" s="102" t="str">
        <f>IF(AND(WSSKI!$G$6&gt;=91.5,WSSKI!$G$6&lt;=100),"P","")</f>
        <v/>
      </c>
      <c r="DF5" t="str">
        <f>IF(WSSKI!$G$14&lt;74.9,"P","")</f>
        <v/>
      </c>
      <c r="DG5" s="102" t="str">
        <f>IF(AND(WSSKI!$G$14&gt;=75,WSSKI!$G$14&lt;=83.24),"P","")</f>
        <v/>
      </c>
      <c r="DH5" s="102" t="str">
        <f>IF(AND(WSSKI!$G$14&gt;=83.25,WSSKI!$G$14&lt;=91.4),"P","")</f>
        <v/>
      </c>
      <c r="DI5" s="102" t="str">
        <f>IF(AND(WSSKI!$G$14&gt;=91.5,WSSKI!$G$14&lt;=100),"P","")</f>
        <v>P</v>
      </c>
      <c r="DJ5" t="str">
        <f>IF(WSSKI!$G$23&lt;74.9,"P","")</f>
        <v/>
      </c>
      <c r="DK5" s="102" t="str">
        <f>IF(AND(WSSKI!$G$23&gt;=75,WSSKI!$G$23&lt;=83.24),"P","")</f>
        <v>P</v>
      </c>
      <c r="DL5" s="102" t="str">
        <f>IF(AND(WSSKI!$G$23&gt;=83.25,WSSKI!$G$23&lt;=91.4),"P","")</f>
        <v/>
      </c>
      <c r="DM5" s="102" t="str">
        <f>IF(AND(WSSKI!$G$23&gt;=91.5,WSSKI!$G$23&lt;=100),"P","")</f>
        <v/>
      </c>
      <c r="DN5" t="str">
        <f>IF(WSSKI!$G$31&lt;74.9,"P","")</f>
        <v/>
      </c>
      <c r="DO5" s="102" t="str">
        <f>IF(AND(WSSKI!$G$31&gt;=75,WSSKI!$G$31&lt;=83.24),"P","")</f>
        <v>P</v>
      </c>
      <c r="DP5" s="102" t="str">
        <f>IF(AND(WSSKI!$G$31&gt;=83.25,WSSKI!$G$31&lt;=91.4),"P","")</f>
        <v/>
      </c>
      <c r="DQ5" s="102" t="str">
        <f>IF(AND(WSSKI!$G$31&gt;=91.5,WSSKI!$G$31&lt;=100),"P","")</f>
        <v/>
      </c>
      <c r="DR5" t="str">
        <f>IF(WSSKI!$G$40&lt;74.9,"P","")</f>
        <v/>
      </c>
      <c r="DS5" s="102" t="str">
        <f>IF(AND(WSSKI!$G$40&gt;=75,WSSKI!$G$40&lt;=83.24),"P","")</f>
        <v>P</v>
      </c>
      <c r="DT5" s="102" t="str">
        <f>IF(AND(WSSKI!$G$40&gt;=83.25,WSSKI!$G$40&lt;=91.4),"P","")</f>
        <v/>
      </c>
      <c r="DU5" s="102" t="str">
        <f>IF(AND(WSSKI!$G$40&gt;=91.5,WSSKI!$G$40&lt;=100),"P","")</f>
        <v/>
      </c>
      <c r="DV5" t="str">
        <f>IF(WSSKI!$G$48&lt;74.9,"P","")</f>
        <v/>
      </c>
      <c r="DW5" s="102" t="str">
        <f>IF(AND(WSSKI!$G$48&gt;=75,WSSKI!$G$48&lt;=83.24),"P","")</f>
        <v>P</v>
      </c>
      <c r="DX5" s="102" t="str">
        <f>IF(AND(WSSKI!$G$48&gt;=83.25,WSSKI!$G$48&lt;=91.4),"P","")</f>
        <v/>
      </c>
      <c r="DY5" s="102" t="str">
        <f>IF(AND(WSSKI!$G$48&gt;=91.5,WSSKI!$G$48&lt;=100),"P","")</f>
        <v/>
      </c>
      <c r="DZ5" t="str">
        <f>IF(WSSKI!$G$56&lt;74.9,"P","")</f>
        <v/>
      </c>
      <c r="EA5" s="102" t="str">
        <f>IF(AND(WSSKI!$G$56&gt;=75,WSSKI!$G$56&lt;=83.24),"P","")</f>
        <v/>
      </c>
      <c r="EB5" s="102" t="str">
        <f>IF(AND(WSSKI!$G$56&gt;=83.25,WSSKI!$G$56&lt;=91.4),"P","")</f>
        <v/>
      </c>
      <c r="EC5" s="102" t="str">
        <f>IF(AND(WSSKI!$G$56&gt;=91.5,WSSKI!$G$56&lt;=100),"P","")</f>
        <v/>
      </c>
      <c r="ED5" t="str">
        <f>IF(WSSKI!$G$64&lt;74.9,"P","")</f>
        <v/>
      </c>
      <c r="EE5" s="102" t="str">
        <f>IF(AND(WSSKI!$G$64&gt;=75,WSSKI!$G$64&lt;=83.24),"P","")</f>
        <v/>
      </c>
      <c r="EF5" s="102" t="str">
        <f>IF(AND(WSSKI!$G$64&gt;=83.25,WSSKI!$G$64&lt;=91.4),"P","")</f>
        <v/>
      </c>
      <c r="EG5" s="102" t="str">
        <f>IF(AND(WSSKI!$G$64&gt;=91.5,WSSKI!$G$64&lt;=100),"P","")</f>
        <v/>
      </c>
      <c r="EH5" t="str">
        <f>IF(WSSKI!$G$72&lt;74.9,"P","")</f>
        <v/>
      </c>
      <c r="EI5" s="102" t="str">
        <f>IF(AND(WSSKI!$G$72&gt;=75,WSSKI!$G$72&lt;=83.24),"P","")</f>
        <v/>
      </c>
      <c r="EJ5" s="102" t="str">
        <f>IF(AND(WSSKI!$G$72&gt;=83.25,WSSKI!$G$72&lt;=91.4),"P","")</f>
        <v/>
      </c>
      <c r="EK5" s="102" t="str">
        <f>IF(AND(WSSKI!$G$72&gt;=91.5,WSSKI!$G$72&lt;=100),"P","")</f>
        <v/>
      </c>
      <c r="EL5" t="str">
        <f>IF(WSSKI!$G$80&lt;74.9,"P","")</f>
        <v/>
      </c>
      <c r="EM5" s="102" t="str">
        <f>IF(AND(WSSKI!$G$80&gt;=75,WSSKI!$G$80&lt;=83.24),"P","")</f>
        <v/>
      </c>
      <c r="EN5" s="102" t="str">
        <f>IF(AND(WSSKI!$G$80&gt;=83.25,WSSKI!$G$80&lt;=91.4),"P","")</f>
        <v/>
      </c>
      <c r="EO5" s="102" t="str">
        <f>IF(AND(WSSKI!$G$80&gt;=91.5,WSSKI!$G$80&lt;=100),"P","")</f>
        <v/>
      </c>
      <c r="EP5" t="str">
        <f>IF(WSSKI!$G$88&lt;74.9,"P","")</f>
        <v/>
      </c>
      <c r="EQ5" s="102" t="str">
        <f>IF(AND(WSSKI!$G$88&gt;=75,WSSKI!$G$88&lt;=83.24),"P","")</f>
        <v/>
      </c>
      <c r="ER5" s="102" t="str">
        <f>IF(AND(WSSKI!$G$88&gt;=83.25,WSSKI!$G$88&lt;=91.4),"P","")</f>
        <v/>
      </c>
      <c r="ES5" s="102" t="str">
        <f>IF(AND(WSSKI!$G$88&gt;=91.5,WSSKI!$G$88&lt;=100),"P","")</f>
        <v/>
      </c>
      <c r="ET5" t="str">
        <f>IF(WSSKI!$G$96&lt;74.9,"P","")</f>
        <v/>
      </c>
      <c r="EU5" s="102" t="str">
        <f>IF(AND(WSSKI!$G$96&gt;=75,WSSKI!$G$96&lt;=83.24),"P","")</f>
        <v/>
      </c>
      <c r="EV5" s="102" t="str">
        <f>IF(AND(WSSKI!$G$96&gt;=83.25,WSSKI!$G$96&lt;=91.4),"P","")</f>
        <v/>
      </c>
      <c r="EW5" s="102" t="str">
        <f>IF(AND(WSSKI!$G$96&gt;=91.5,WSSKI!$G$96&lt;=100),"P","")</f>
        <v/>
      </c>
      <c r="EX5" t="str">
        <f>IF(WSSKI!$G$104&lt;74.9,"P","")</f>
        <v/>
      </c>
      <c r="EY5" s="102" t="str">
        <f>IF(AND(WSSKI!$G$104&gt;=75,WSSKI!$G$104&lt;=83.24),"P","")</f>
        <v/>
      </c>
      <c r="EZ5" s="102" t="str">
        <f>IF(AND(WSSKI!$G$104&gt;=83.25,WSSKI!$G$104&lt;=91.4),"P","")</f>
        <v/>
      </c>
      <c r="FA5" s="102" t="str">
        <f>IF(AND(WSSKI!$G$104&gt;=91.5,WSSKI!$G$104&lt;=100),"P","")</f>
        <v/>
      </c>
      <c r="FB5" t="str">
        <f>IF(WSFIQIH!$G$6&lt;74.9,"P","")</f>
        <v/>
      </c>
      <c r="FC5" s="102" t="str">
        <f>IF(AND(WSFIQIH!$G$6&gt;=75,WSFIQIH!$G$6&lt;=83.24),"P","")</f>
        <v>P</v>
      </c>
      <c r="FD5" s="102" t="str">
        <f>IF(AND(WSFIQIH!$G$6&gt;=83.25,WSFIQIH!$G$6&lt;=91.4),"P","")</f>
        <v/>
      </c>
      <c r="FE5" s="102" t="str">
        <f>IF(AND(WSFIQIH!$G$6&gt;=91.5,WSFIQIH!$G$6&lt;=100),"P","")</f>
        <v/>
      </c>
      <c r="FF5" t="str">
        <f>IF(WSFIQIH!$G$19&lt;74.9,"P","")</f>
        <v/>
      </c>
      <c r="FG5" s="102" t="str">
        <f>IF(AND(WSFIQIH!$G$19&gt;=75,WSFIQIH!$G$19&lt;=83.24),"P","")</f>
        <v/>
      </c>
      <c r="FH5" s="102" t="str">
        <f>IF(AND(WSFIQIH!$G$19&gt;=83.25,WSFIQIH!$G$19&lt;=91.4),"P","")</f>
        <v>P</v>
      </c>
      <c r="FI5" s="102" t="str">
        <f>IF(AND(WSFIQIH!$G$19&gt;=91.5,WSFIQIH!$G$19&lt;=100),"P","")</f>
        <v/>
      </c>
      <c r="FJ5" t="str">
        <f>IF(WSFIQIH!$G$28&lt;74.9,"P","")</f>
        <v/>
      </c>
      <c r="FK5" s="102" t="str">
        <f>IF(AND(WSFIQIH!$G$28&gt;=75,WSFIQIH!$G$28&lt;=83.24),"P","")</f>
        <v/>
      </c>
      <c r="FL5" s="102" t="str">
        <f>IF(AND(WSFIQIH!$G$28&gt;=83.25,WSFIQIH!$G$28&lt;=91.4),"P","")</f>
        <v/>
      </c>
      <c r="FM5" s="102" t="str">
        <f>IF(AND(WSFIQIH!$G$28&gt;=91.5,WSFIQIH!$G$28&lt;=100),"P","")</f>
        <v>P</v>
      </c>
      <c r="FN5" t="str">
        <f>IF(WSFIQIH!$G$41&lt;74.9,"P","")</f>
        <v/>
      </c>
      <c r="FO5" s="102" t="str">
        <f>IF(AND(WSFIQIH!$G$41&gt;=75,WSFIQIH!$G$41&lt;=83.24),"P","")</f>
        <v>P</v>
      </c>
      <c r="FP5" s="102" t="str">
        <f>IF(AND(WSFIQIH!$G$41&gt;=83.25,WSFIQIH!$G$41&lt;=91.4),"P","")</f>
        <v/>
      </c>
      <c r="FQ5" s="102" t="str">
        <f>IF(AND(WSFIQIH!$G$41&gt;=91.5,WSFIQIH!$G$41&lt;=100),"P","")</f>
        <v/>
      </c>
      <c r="FR5" t="str">
        <f>IF(WSFIQIH!$G$49&lt;74.9,"P","")</f>
        <v/>
      </c>
      <c r="FS5" s="102" t="str">
        <f>IF(AND(WSFIQIH!$G$49&gt;=75,WSFIQIH!$G$49&lt;=83.24),"P","")</f>
        <v>P</v>
      </c>
      <c r="FT5" s="102" t="str">
        <f>IF(AND(WSFIQIH!$G$49&gt;=83.25,WSFIQIH!$G$49&lt;=91.4),"P","")</f>
        <v/>
      </c>
      <c r="FU5" s="102" t="str">
        <f>IF(AND(WSFIQIH!$G$49&gt;=91.5,WSFIQIH!$G$49&lt;=100),"P","")</f>
        <v/>
      </c>
      <c r="FV5" t="str">
        <f>IF(WSFIQIH!$G$62&lt;74.9,"P","")</f>
        <v/>
      </c>
      <c r="FW5" s="102" t="str">
        <f>IF(AND(WSFIQIH!$G$62&gt;=75,WSFIQIH!$G$62&lt;=83.24),"P","")</f>
        <v/>
      </c>
      <c r="FX5" s="102" t="str">
        <f>IF(AND(WSFIQIH!$G$62&gt;=83.25,WSFIQIH!$G$62&lt;=91.4),"P","")</f>
        <v>P</v>
      </c>
      <c r="FY5" s="102" t="str">
        <f>IF(AND(WSFIQIH!$G$62&gt;=91.5,WSFIQIH!$G$62&lt;=100),"P","")</f>
        <v/>
      </c>
      <c r="FZ5" t="str">
        <f>IF(WSFIQIH!$G$71&lt;74.9,"P","")</f>
        <v/>
      </c>
      <c r="GA5" s="102" t="str">
        <f>IF(AND(WSFIQIH!$G$71&gt;=75,WSFIQIH!$G$71&lt;=83.24),"P","")</f>
        <v/>
      </c>
      <c r="GB5" s="102" t="str">
        <f>IF(AND(WSFIQIH!$G$71&gt;=83.25,WSFIQIH!$G$71&lt;=91.4),"P","")</f>
        <v/>
      </c>
      <c r="GC5" s="102" t="str">
        <f>IF(AND(WSFIQIH!$G$71&gt;=91.5,WSFIQIH!$G$71&lt;=100),"P","")</f>
        <v>P</v>
      </c>
      <c r="GD5" t="str">
        <f>IF(WSFIQIH!$G$80&lt;74.9,"P","")</f>
        <v/>
      </c>
      <c r="GE5" s="102" t="str">
        <f>IF(AND(WSFIQIH!$G$80&gt;=75,WSFIQIH!$G$80&lt;=83.24),"P","")</f>
        <v>P</v>
      </c>
      <c r="GF5" s="102" t="str">
        <f>IF(AND(WSFIQIH!$G$80&gt;=83.25,WSFIQIH!$G$80&lt;=91.4),"P","")</f>
        <v/>
      </c>
      <c r="GG5" s="102" t="str">
        <f>IF(AND(WSFIQIH!$G$80&gt;=91.5,WSFIQIH!$G$80&lt;=100),"P","")</f>
        <v/>
      </c>
      <c r="GH5" t="str">
        <f>IF(WSFIQIH!$G$88&lt;74.9,"P","")</f>
        <v/>
      </c>
      <c r="GI5" s="102" t="str">
        <f>IF(AND(WSFIQIH!$G$88&gt;=75,WSFIQIH!$G$88&lt;=83.24),"P","")</f>
        <v/>
      </c>
      <c r="GJ5" s="102" t="str">
        <f>IF(AND(WSFIQIH!$G$88&gt;=83.25,WSFIQIH!$G$88&lt;=91.4),"P","")</f>
        <v/>
      </c>
      <c r="GK5" s="102" t="str">
        <f>IF(AND(WSFIQIH!$G$88&gt;=91.5,WSFIQIH!$G$88&lt;=100),"P","")</f>
        <v/>
      </c>
      <c r="GL5" t="str">
        <f>IF(WSFIQIH!$G$96&lt;74.9,"P","")</f>
        <v/>
      </c>
      <c r="GM5" s="102" t="str">
        <f>IF(AND(WSFIQIH!$G$96&gt;=75,WSFIQIH!$G$96&lt;=83.24),"P","")</f>
        <v/>
      </c>
      <c r="GN5" s="102" t="str">
        <f>IF(AND(WSFIQIH!$G$96&gt;=83.25,WSFIQIH!$G$96&lt;=91.4),"P","")</f>
        <v/>
      </c>
      <c r="GO5" s="102" t="str">
        <f>IF(AND(WSFIQIH!$G$96&gt;=91.5,WSFIQIH!$G$96&lt;=100),"P","")</f>
        <v/>
      </c>
      <c r="GP5" t="str">
        <f>IF(WSFIQIH!$G$104&lt;74.9,"P","")</f>
        <v/>
      </c>
      <c r="GQ5" s="102" t="str">
        <f>IF(AND(WSFIQIH!$G$104&gt;=75,WSFIQIH!$G$104&lt;=83.24),"P","")</f>
        <v/>
      </c>
      <c r="GR5" s="102" t="str">
        <f>IF(AND(WSFIQIH!$G$104&gt;=83.25,WSFIQIH!$G$104&lt;=91.4),"P","")</f>
        <v/>
      </c>
      <c r="GS5" s="102" t="str">
        <f>IF(AND(WSFIQIH!$G$104&gt;=91.5,WSFIQIH!$G$104&lt;=100),"P","")</f>
        <v/>
      </c>
      <c r="GT5" t="str">
        <f>IF(WSFIQIH!$G$112&lt;74.9,"P","")</f>
        <v/>
      </c>
      <c r="GU5" s="102" t="str">
        <f>IF(AND(WSFIQIH!$G$112&gt;=75,WSFIQIH!$G$112&lt;=83.24),"P","")</f>
        <v/>
      </c>
      <c r="GV5" s="102" t="str">
        <f>IF(AND(WSFIQIH!$G$112&gt;=83.25,WSFIQIH!$G$112&lt;=91.4),"P","")</f>
        <v/>
      </c>
      <c r="GW5" s="102" t="str">
        <f>IF(AND(WSFIQIH!$G$112&gt;=91.5,WSFIQIH!$G$112&lt;=100),"P","")</f>
        <v/>
      </c>
      <c r="GX5" t="str">
        <f>IF(WSFIQIH!$G$120&lt;74.9,"P","")</f>
        <v/>
      </c>
      <c r="GY5" s="102" t="str">
        <f>IF(AND(WSFIQIH!$G$120&gt;=75,WSFIQIH!$G$120&lt;=83.24),"P","")</f>
        <v/>
      </c>
      <c r="GZ5" s="102" t="str">
        <f>IF(AND(WSFIQIH!$G$120&gt;=83.25,WSFIQIH!$G$120&lt;=91.4),"P","")</f>
        <v/>
      </c>
      <c r="HA5" s="102" t="str">
        <f>IF(AND(WSFIQIH!$G$120&gt;=91.5,WSFIQIH!$G$120&lt;=100),"P","")</f>
        <v/>
      </c>
      <c r="HB5" t="str">
        <f>IF(WSPKN!$G$6&lt;74.9,"P","")</f>
        <v/>
      </c>
      <c r="HC5" s="102" t="str">
        <f>IF(AND(WSPKN!$G$6&gt;=75,WSPKN!$G$6&lt;=83.24),"P","")</f>
        <v/>
      </c>
      <c r="HD5" s="102" t="str">
        <f>IF(AND(WSPKN!$G$6&gt;=83.25,WSPKN!$G$6&lt;=91.4),"P","")</f>
        <v/>
      </c>
      <c r="HE5" s="102" t="str">
        <f>IF(AND(WSPKN!$G$6&gt;=91.5,WSPKN!$G$6&lt;=100),"P","")</f>
        <v>P</v>
      </c>
      <c r="HF5" t="str">
        <f>IF(WSPKN!$G$32&lt;74.9,"P","")</f>
        <v/>
      </c>
      <c r="HG5" s="102" t="str">
        <f>IF(AND(WSPKN!$G$32&gt;=75,WSPKN!$G$32&lt;=83.24),"P","")</f>
        <v/>
      </c>
      <c r="HH5" s="102" t="str">
        <f>IF(AND(WSPKN!$G$32&gt;=83.25,WSPKN!$G$32&lt;=91.4),"P","")</f>
        <v/>
      </c>
      <c r="HI5" s="102" t="str">
        <f>IF(AND(WSPKN!$G$32&gt;=91.5,WSPKN!$G$32&lt;=100),"P","")</f>
        <v>P</v>
      </c>
      <c r="HJ5" t="str">
        <f>IF(WSPKN!$G$55&lt;74.9,"P","")</f>
        <v/>
      </c>
      <c r="HK5" s="102" t="str">
        <f>IF(AND(WSPKN!$G$55&gt;=75,WSPKN!$G$55&lt;=83.24),"P","")</f>
        <v/>
      </c>
      <c r="HL5" s="102" t="str">
        <f>IF(AND(WSPKN!$G$55&gt;=83.25,WSPKN!$G$55&lt;=91.4),"P","")</f>
        <v/>
      </c>
      <c r="HM5" s="102" t="str">
        <f>IF(AND(WSPKN!$G$55&gt;=91.5,WSPKN!$G$55&lt;=100),"P","")</f>
        <v>P</v>
      </c>
      <c r="HN5" t="str">
        <f>IF(WSPKN!$G$72&lt;74.9,"P","")</f>
        <v/>
      </c>
      <c r="HO5" s="102" t="str">
        <f>IF(AND(WSPKN!$G$72&gt;=75,WSPKN!$G$72&lt;=83.24),"P","")</f>
        <v/>
      </c>
      <c r="HP5" s="102" t="str">
        <f>IF(AND(WSPKN!$G$72&gt;=83.25,WSPKN!$G$72&lt;=91.4),"P","")</f>
        <v>P</v>
      </c>
      <c r="HQ5" s="102" t="str">
        <f>IF(AND(WSPKN!$G$72&gt;=91.5,WSPKN!$G$72&lt;=100),"P","")</f>
        <v/>
      </c>
      <c r="HR5" t="str">
        <f>IF(WSPKN!$G$86&lt;74.9,"P","")</f>
        <v/>
      </c>
      <c r="HS5" s="102" t="str">
        <f>IF(AND(WSPKN!$G$86&gt;=75,WSPKN!$G$86&lt;=83.24),"P","")</f>
        <v/>
      </c>
      <c r="HT5" s="102" t="str">
        <f>IF(AND(WSPKN!$G$86&gt;=83.25,WSPKN!$G$86&lt;=91.4),"P","")</f>
        <v>P</v>
      </c>
      <c r="HU5" s="102" t="str">
        <f>IF(AND(WSPKN!$G$86&gt;=91.5,WSPKN!$G$86&lt;=100),"P","")</f>
        <v/>
      </c>
      <c r="HV5" t="str">
        <f>IF(WSPKN!$G$108&lt;74.9,"P","")</f>
        <v/>
      </c>
      <c r="HW5" s="102" t="str">
        <f>IF(AND(WSPKN!$G$108&gt;=75,WSPKN!$G$108&lt;=83.24),"P","")</f>
        <v/>
      </c>
      <c r="HX5" s="102" t="str">
        <f>IF(AND(WSPKN!$G$108&gt;=83.25,WSPKN!$G$108&lt;=91.4),"P","")</f>
        <v/>
      </c>
      <c r="HY5" s="102" t="str">
        <f>IF(AND(WSPKN!$G$108&gt;=91.5,WSPKN!$G$108&lt;=100),"P","")</f>
        <v>P</v>
      </c>
      <c r="HZ5" t="str">
        <f>IF(WSPKN!$G$132&lt;74.9,"P","")</f>
        <v/>
      </c>
      <c r="IA5" s="102" t="str">
        <f>IF(AND(WSPKN!$G$132&gt;=75,WSPKN!$G$132&lt;=83.24),"P","")</f>
        <v/>
      </c>
      <c r="IB5" s="102" t="str">
        <f>IF(AND(WSPKN!$G$132&gt;=83.25,WSPKN!$G$132&lt;=91.4),"P","")</f>
        <v/>
      </c>
      <c r="IC5" s="102" t="str">
        <f>IF(AND(WSPKN!$G$132&gt;=91.5,WSPKN!$G$132&lt;=100),"P","")</f>
        <v>P</v>
      </c>
      <c r="ID5" t="str">
        <f>IF(WSPKN!$G$148&lt;74.9,"P","")</f>
        <v/>
      </c>
      <c r="IE5" s="102" t="str">
        <f>IF(AND(WSPKN!$G$148&gt;=75,WSPKN!$G$148&lt;=83.24),"P","")</f>
        <v/>
      </c>
      <c r="IF5" s="102" t="str">
        <f>IF(AND(WSPKN!$G$148&gt;=83.25,WSPKN!$G$148&lt;=91.4),"P","")</f>
        <v/>
      </c>
      <c r="IG5" s="102" t="str">
        <f>IF(AND(WSPKN!$G$148&gt;=91.5,WSPKN!$G$148&lt;=100),"P","")</f>
        <v>P</v>
      </c>
      <c r="IH5" t="str">
        <f>IF(WSPKN!$G$165&lt;74.9,"P","")</f>
        <v/>
      </c>
      <c r="II5" s="102" t="str">
        <f>IF(AND(WSPKN!$G$165&gt;=75,WSPKN!$G$165&lt;=83.24),"P","")</f>
        <v/>
      </c>
      <c r="IJ5" s="102" t="str">
        <f>IF(AND(WSPKN!$G$165&gt;=83.25,WSPKN!$G$165&lt;=91.4),"P","")</f>
        <v/>
      </c>
      <c r="IK5" s="102" t="str">
        <f>IF(AND(WSPKN!$G$165&gt;=91.5,WSPKN!$G$165&lt;=100),"P","")</f>
        <v/>
      </c>
      <c r="IL5" t="str">
        <f>IF(WSPKN!$G$173&lt;74.9,"P","")</f>
        <v/>
      </c>
      <c r="IM5" s="102" t="str">
        <f>IF(AND(WSPKN!$G$173&gt;=75,WSPKN!$G$173&lt;=83.24),"P","")</f>
        <v/>
      </c>
      <c r="IN5" s="102" t="str">
        <f>IF(AND(WSPKN!$G$173&gt;=83.25,WSPKN!$G$173&lt;=91.4),"P","")</f>
        <v/>
      </c>
      <c r="IO5" s="102" t="str">
        <f>IF(AND(WSPKN!$G$173&gt;=91.5,WSPKN!$G$173&lt;=100),"P","")</f>
        <v/>
      </c>
      <c r="IP5" t="str">
        <f>IF(WSPKN!$G$181&lt;74.9,"P","")</f>
        <v/>
      </c>
      <c r="IQ5" s="102" t="str">
        <f>IF(AND(WSPKN!$G$181&gt;=75,WSPKN!$G$181&lt;=83.24),"P","")</f>
        <v/>
      </c>
      <c r="IR5" s="102" t="str">
        <f>IF(AND(WSPKN!$G$181&gt;=83.25,WSPKN!$G$181&lt;=91.4),"P","")</f>
        <v/>
      </c>
      <c r="IS5" s="102" t="str">
        <f>IF(AND(WSPKN!$G$181&gt;=91.5,WSPKN!$G$181&lt;=100),"P","")</f>
        <v/>
      </c>
      <c r="IT5" t="str">
        <f>IF(WSPKN!$G$189&lt;74.9,"P","")</f>
        <v/>
      </c>
      <c r="IU5" s="102" t="str">
        <f>IF(AND(WSPKN!$G$189&gt;=75,WSPKN!$G$189&lt;=83.24),"P","")</f>
        <v/>
      </c>
      <c r="IV5" s="102" t="str">
        <f>IF(AND(WSPKN!$G$189&gt;=83.25,WSPKN!$G$189&lt;=91.4),"P","")</f>
        <v/>
      </c>
      <c r="IW5" s="102" t="str">
        <f>IF(AND(WSPKN!$G$189&gt;=91.5,WSPKN!$G$189&lt;=100),"P","")</f>
        <v/>
      </c>
      <c r="IX5" t="str">
        <f>IF(WSPKN!$G$197&lt;74.9,"P","")</f>
        <v/>
      </c>
      <c r="IY5" s="102" t="str">
        <f>IF(AND(WSPKN!$G$197&gt;=75,WSPKN!$G$197&lt;=83.24),"P","")</f>
        <v/>
      </c>
      <c r="IZ5" s="102" t="str">
        <f>IF(AND(WSPKN!$G$197&gt;=83.25,WSPKN!$G$197&lt;=91.4),"P","")</f>
        <v/>
      </c>
      <c r="JA5" s="102" t="str">
        <f>IF(AND(WSPKN!$G$197&gt;=91.5,WSPKN!$G$197&lt;=100),"P","")</f>
        <v/>
      </c>
      <c r="JB5" t="str">
        <f>IF(WSIND!$G$6&lt;74.9,"P","")</f>
        <v/>
      </c>
      <c r="JC5" s="102" t="str">
        <f>IF(AND(WSIND!$G$6&gt;=75,WSIND!$G$6&lt;=83.24),"P","")</f>
        <v/>
      </c>
      <c r="JD5" s="102" t="str">
        <f>IF(AND(WSIND!$G$6&gt;=83.25,WSIND!$G$6&lt;=91.4),"P","")</f>
        <v/>
      </c>
      <c r="JE5" s="102" t="str">
        <f>IF(AND(WSIND!$G$6&gt;=91.5,WSIND!$G$6&lt;=100),"P","")</f>
        <v>P</v>
      </c>
      <c r="JF5" t="str">
        <f>IF(WSIND!$G$65&lt;74.9,"P","")</f>
        <v/>
      </c>
      <c r="JG5" s="102" t="str">
        <f>IF(AND(WSIND!$G$65&gt;=75,WSIND!$G$65&lt;=83.24),"P","")</f>
        <v/>
      </c>
      <c r="JH5" s="102" t="str">
        <f>IF(AND(WSIND!$G$65&gt;=83.25,WSIND!$G$65&lt;=91.4),"P","")</f>
        <v/>
      </c>
      <c r="JI5" s="102" t="str">
        <f>IF(AND(WSIND!$G$65&gt;=91.5,WSIND!$G$65&lt;=100),"P","")</f>
        <v/>
      </c>
      <c r="JJ5" t="str">
        <f>IF(WSIND!$G$113&lt;74.9,"P","")</f>
        <v/>
      </c>
      <c r="JK5" s="102" t="str">
        <f>IF(AND(WSIND!$G$113&gt;=75,WSIND!$G$113&lt;=83.24),"P","")</f>
        <v/>
      </c>
      <c r="JL5" s="102" t="str">
        <f>IF(AND(WSIND!$G$113&gt;=83.25,WSIND!$G$113&lt;=91.4),"P","")</f>
        <v/>
      </c>
      <c r="JM5" s="102" t="str">
        <f>IF(AND(WSIND!$G$113&gt;=91.5,WSIND!$G$113&lt;=100),"P","")</f>
        <v>P</v>
      </c>
      <c r="JN5" t="str">
        <f>IF(WSIND!$G$133&lt;74.9,"P","")</f>
        <v/>
      </c>
      <c r="JO5" s="102" t="str">
        <f>IF(AND(WSIND!$G$133&gt;=75,WSIND!$G$133&lt;=83.24),"P","")</f>
        <v/>
      </c>
      <c r="JP5" s="102" t="str">
        <f>IF(AND(WSIND!$G$133&gt;=83.25,WSIND!$G$133&lt;=91.4),"P","")</f>
        <v>P</v>
      </c>
      <c r="JQ5" s="102" t="str">
        <f>IF(AND(WSIND!$G$133&gt;=91.5,WSIND!$G$133&lt;=100),"P","")</f>
        <v/>
      </c>
      <c r="JR5" t="str">
        <f>IF(WSIND!$G$161&lt;74.9,"P","")</f>
        <v/>
      </c>
      <c r="JS5" s="102" t="str">
        <f>IF(AND(WSIND!$G$161&gt;=75,WSIND!$G$161&lt;=83.24),"P","")</f>
        <v/>
      </c>
      <c r="JT5" s="102" t="str">
        <f>IF(AND(WSIND!$G$161&gt;=83.25,WSIND!$G$161&lt;=91.4),"P","")</f>
        <v/>
      </c>
      <c r="JU5" s="102" t="str">
        <f>IF(AND(WSIND!$G$161&gt;=91.5,WSIND!$G$161&lt;=100),"P","")</f>
        <v>P</v>
      </c>
      <c r="JV5" t="str">
        <f>IF(WSIND!$G$192&lt;74.9,"P","")</f>
        <v/>
      </c>
      <c r="JW5" s="102" t="str">
        <f>IF(AND(WSIND!$G$192&gt;=75,WSIND!$G$192&lt;=83.24),"P","")</f>
        <v/>
      </c>
      <c r="JX5" s="102" t="str">
        <f>IF(AND(WSIND!$G$192&gt;=83.25,WSIND!$G$192&lt;=91.4),"P","")</f>
        <v/>
      </c>
      <c r="JY5" s="102" t="str">
        <f>IF(AND(WSIND!$G$192&gt;=91.5,WSIND!$G$192&lt;=100),"P","")</f>
        <v>P</v>
      </c>
      <c r="JZ5" t="str">
        <f>IF(WSIND!$G$228&lt;74.9,"P","")</f>
        <v/>
      </c>
      <c r="KA5" s="102" t="str">
        <f>IF(AND(WSIND!$G$228&gt;=75,WSIND!$G$228&lt;=83.24),"P","")</f>
        <v/>
      </c>
      <c r="KB5" s="102" t="str">
        <f>IF(AND(WSIND!$G$228&gt;=83.25,WSIND!$G$228&lt;=91.4),"P","")</f>
        <v/>
      </c>
      <c r="KC5" s="102" t="str">
        <f>IF(AND(WSIND!$G$228&gt;=91.5,WSIND!$G$228&lt;=100),"P","")</f>
        <v/>
      </c>
      <c r="KD5" t="str">
        <f>IF(WSIND!$G$256&lt;74.9,"P","")</f>
        <v/>
      </c>
      <c r="KE5" s="102" t="str">
        <f>IF(AND(WSIND!$G$256&gt;=75,WSIND!$G$256&lt;=83.24),"P","")</f>
        <v/>
      </c>
      <c r="KF5" s="102" t="str">
        <f>IF(AND(WSIND!$G$256&gt;=83.25,WSIND!$G$256&lt;=91.4),"P","")</f>
        <v/>
      </c>
      <c r="KG5" s="102" t="str">
        <f>IF(AND(WSIND!$G$256&gt;=91.5,WSIND!$G$256&lt;=100),"P","")</f>
        <v>P</v>
      </c>
      <c r="KH5" t="str">
        <f>IF(WSIND!$G$277&lt;74.9,"P","")</f>
        <v/>
      </c>
      <c r="KI5" s="102" t="str">
        <f>IF(AND(WSIND!$G$277&gt;=75,WSIND!$G$277&lt;=83.24),"P","")</f>
        <v/>
      </c>
      <c r="KJ5" s="102" t="str">
        <f>IF(AND(WSIND!$G$277&gt;=83.25,WSIND!$G$277&lt;=91.4),"P","")</f>
        <v>P</v>
      </c>
      <c r="KK5" s="102" t="str">
        <f>IF(AND(WSIND!$G$277&gt;=91.5,WSIND!$G$277&lt;=100),"P","")</f>
        <v/>
      </c>
      <c r="KL5" t="str">
        <f>IF(WSIND!$G$305&lt;74.9,"P","")</f>
        <v/>
      </c>
      <c r="KM5" s="102" t="str">
        <f>IF(AND(WSIND!$G$305&gt;=75,WSIND!$G$305&lt;=83.24),"P","")</f>
        <v/>
      </c>
      <c r="KN5" s="102" t="str">
        <f>IF(AND(WSIND!$G$305&gt;=83.25,WSIND!$G$305&lt;=91.4),"P","")</f>
        <v/>
      </c>
      <c r="KO5" s="102" t="str">
        <f>IF(AND(WSIND!$G$305&gt;=91.5,WSIND!$G$305&lt;=100),"P","")</f>
        <v>P</v>
      </c>
      <c r="KP5" t="str">
        <f>IF(WSIND!$G$329&lt;74.9,"P","")</f>
        <v/>
      </c>
      <c r="KQ5" s="102" t="str">
        <f>IF(AND(WSIND!$G$329&gt;=75,WSIND!$G$329&lt;=83.24),"P","")</f>
        <v/>
      </c>
      <c r="KR5" s="102" t="str">
        <f>IF(AND(WSIND!$G$329&gt;=83.25,WSIND!$G$329&lt;=91.4),"P","")</f>
        <v/>
      </c>
      <c r="KS5" s="102" t="str">
        <f>IF(AND(WSIND!$G$329&gt;=91.5,WSIND!$G$329&lt;=100),"P","")</f>
        <v/>
      </c>
      <c r="KT5" t="str">
        <f>IF(WSIND!$G$337&lt;74.9,"P","")</f>
        <v/>
      </c>
      <c r="KU5" s="102" t="str">
        <f>IF(AND(WSIND!$G$337&gt;=75,WSIND!$G$337&lt;=83.24),"P","")</f>
        <v/>
      </c>
      <c r="KV5" s="102" t="str">
        <f>IF(AND(WSIND!$G$337&gt;=83.25,WSIND!$G$337&lt;=91.4),"P","")</f>
        <v/>
      </c>
      <c r="KW5" s="102" t="str">
        <f>IF(AND(WSIND!$G$337&gt;=91.5,WSIND!$G$337&lt;=100),"P","")</f>
        <v/>
      </c>
      <c r="KX5" t="str">
        <f>IF(WSIND!$G$345&lt;74.9,"P","")</f>
        <v/>
      </c>
      <c r="KY5" s="102" t="str">
        <f>IF(AND(WSIND!$G$345&gt;=75,WSIND!$G$345&lt;=83.24),"P","")</f>
        <v/>
      </c>
      <c r="KZ5" s="102" t="str">
        <f>IF(AND(WSIND!$G$345&gt;=83.25,WSIND!$G$345&lt;=91.4),"P","")</f>
        <v/>
      </c>
      <c r="LA5" s="102" t="str">
        <f>IF(AND(WSIND!$G$345&gt;=91.5,WSIND!$G$345&lt;=100),"P","")</f>
        <v/>
      </c>
      <c r="LB5" t="str">
        <f>IF(WSARAB!$G$6&lt;74.9,"P","")</f>
        <v/>
      </c>
      <c r="LC5" s="102" t="str">
        <f>IF(AND(WSARAB!$G$6&gt;=75,WSARAB!$G$6&lt;=83.24),"P","")</f>
        <v/>
      </c>
      <c r="LD5" s="102" t="str">
        <f>IF(AND(WSARAB!$G$6&gt;=83.25,WSARAB!$G$6&lt;=91.4),"P","")</f>
        <v/>
      </c>
      <c r="LE5" s="102" t="str">
        <f>IF(AND(WSARAB!$G$6&gt;=91.5,WSARAB!$G$6&lt;=100),"P","")</f>
        <v/>
      </c>
      <c r="LF5" t="str">
        <f>IF(WSARAB!$G$17&lt;74.9,"P","")</f>
        <v/>
      </c>
      <c r="LG5" s="102" t="str">
        <f>IF(AND(WSARAB!$G$17&gt;=75,WSARAB!$G$17&lt;=83.24),"P","")</f>
        <v/>
      </c>
      <c r="LH5" s="102" t="str">
        <f>IF(AND(WSARAB!$G$17&gt;=83.25,WSARAB!$G$17&lt;=91.4),"P","")</f>
        <v/>
      </c>
      <c r="LI5" s="102" t="str">
        <f>IF(AND(WSARAB!$G$17&gt;=91.5,WSARAB!$G$17&lt;=100),"P","")</f>
        <v/>
      </c>
      <c r="LJ5" t="str">
        <f>IF(WSARAB!$G$29&lt;74.9,"P","")</f>
        <v/>
      </c>
      <c r="LK5" s="102" t="str">
        <f>IF(AND(WSARAB!$G$29&gt;=75,WSARAB!$G$29&lt;=83.24),"P","")</f>
        <v/>
      </c>
      <c r="LL5" s="102" t="str">
        <f>IF(AND(WSARAB!$G$29&gt;=83.25,WSARAB!$G$29&lt;=91.4),"P","")</f>
        <v/>
      </c>
      <c r="LM5" s="102" t="str">
        <f>IF(AND(WSARAB!$G$29&gt;=91.5,WSARAB!$G$29&lt;=100),"P","")</f>
        <v/>
      </c>
      <c r="LN5" t="str">
        <f>IF(WSARAB!$G$37&lt;74.9,"P","")</f>
        <v/>
      </c>
      <c r="LO5" s="102" t="str">
        <f>IF(AND(WSARAB!$G$37&gt;=75,WSARAB!$G$37&lt;=83.24),"P","")</f>
        <v/>
      </c>
      <c r="LP5" s="102" t="str">
        <f>IF(AND(WSARAB!$G$37&gt;=83.25,WSARAB!$G$37&lt;=91.4),"P","")</f>
        <v/>
      </c>
      <c r="LQ5" s="102" t="str">
        <f>IF(AND(WSARAB!$G$37&gt;=91.5,WSARAB!$G$37&lt;=100),"P","")</f>
        <v/>
      </c>
      <c r="LR5" t="str">
        <f>IF(WSARAB!$G$45&lt;74.9,"P","")</f>
        <v/>
      </c>
      <c r="LS5" s="102" t="str">
        <f>IF(AND(WSARAB!$G$45&gt;=75,WSARAB!$G$45&lt;=83.24),"P","")</f>
        <v/>
      </c>
      <c r="LT5" s="102" t="str">
        <f>IF(AND(WSARAB!$G$45&gt;=83.25,WSARAB!$G$45&lt;=91.4),"P","")</f>
        <v/>
      </c>
      <c r="LU5" s="102" t="str">
        <f>IF(AND(WSARAB!$G$45&gt;=91.5,WSARAB!$G$45&lt;=100),"P","")</f>
        <v/>
      </c>
      <c r="LV5" t="str">
        <f>IF(WSARAB!$G$53&lt;74.9,"P","")</f>
        <v/>
      </c>
      <c r="LW5" s="102" t="str">
        <f>IF(AND(WSARAB!$G$53&gt;=75,WSARAB!$G$53&lt;=83.24),"P","")</f>
        <v/>
      </c>
      <c r="LX5" s="102" t="str">
        <f>IF(AND(WSARAB!$G$53&gt;=83.25,WSARAB!$G$53&lt;=91.4),"P","")</f>
        <v/>
      </c>
      <c r="LY5" s="102" t="str">
        <f>IF(AND(WSARAB!$G$53&gt;=91.5,WSARAB!$G$53&lt;=100),"P","")</f>
        <v/>
      </c>
      <c r="LZ5" t="str">
        <f>IF(WSARAB!$G$65&lt;74.9,"P","")</f>
        <v/>
      </c>
      <c r="MA5" s="102" t="str">
        <f>IF(AND(WSARAB!$G$65&gt;=75,WSARAB!$G$65&lt;=83.24),"P","")</f>
        <v/>
      </c>
      <c r="MB5" s="102" t="str">
        <f>IF(AND(WSARAB!$G$65&gt;=83.25,WSARAB!$G$65&lt;=91.4),"P","")</f>
        <v/>
      </c>
      <c r="MC5" s="102" t="str">
        <f>IF(AND(WSARAB!$G$65&gt;=91.5,WSARAB!$G$65&lt;=100),"P","")</f>
        <v/>
      </c>
      <c r="MD5" t="str">
        <f>IF(WSARAB!$G$73&lt;74.9,"P","")</f>
        <v/>
      </c>
      <c r="ME5" s="102" t="str">
        <f>IF(AND(WSARAB!$G$73&gt;=75,WSARAB!$G$73&lt;=83.24),"P","")</f>
        <v/>
      </c>
      <c r="MF5" s="102" t="str">
        <f>IF(AND(WSARAB!$G$73&gt;=83.25,WSARAB!$G$73&lt;=91.4),"P","")</f>
        <v/>
      </c>
      <c r="MG5" s="102" t="str">
        <f>IF(AND(WSARAB!$G$73&gt;=91.5,WSARAB!$G$73&lt;=100),"P","")</f>
        <v/>
      </c>
      <c r="MH5" t="str">
        <f>IF(WSARAB!$G$81&lt;74.9,"P","")</f>
        <v/>
      </c>
      <c r="MI5" s="102" t="str">
        <f>IF(AND(WSARAB!$G$81&gt;=75,WSARAB!$G$81&lt;=83.24),"P","")</f>
        <v/>
      </c>
      <c r="MJ5" s="102" t="str">
        <f>IF(AND(WSARAB!$G$81&gt;=83.25,WSARAB!$G$81&lt;=91.4),"P","")</f>
        <v/>
      </c>
      <c r="MK5" s="102" t="str">
        <f>IF(AND(WSARAB!$G$81&gt;=91.5,WSARAB!$G$81&lt;=100),"P","")</f>
        <v/>
      </c>
      <c r="ML5" t="str">
        <f>IF(WSARAB!$G$89&lt;74.9,"P","")</f>
        <v/>
      </c>
      <c r="MM5" s="102" t="str">
        <f>IF(AND(WSARAB!$G$89&gt;=75,WSARAB!$G$89&lt;=83.24),"P","")</f>
        <v/>
      </c>
      <c r="MN5" s="102" t="str">
        <f>IF(AND(WSARAB!$G$89&gt;=83.25,WSARAB!$G$89&lt;=91.4),"P","")</f>
        <v/>
      </c>
      <c r="MO5" s="102" t="str">
        <f>IF(AND(WSARAB!$G$89&gt;=91.5,WSARAB!$G$89&lt;=100),"P","")</f>
        <v/>
      </c>
      <c r="MP5" t="str">
        <f>IF(WSARAB!$G$97&lt;74.9,"P","")</f>
        <v/>
      </c>
      <c r="MQ5" s="102" t="str">
        <f>IF(AND(WSARAB!$G$97&gt;=75,WSARAB!$G$97&lt;=83.24),"P","")</f>
        <v/>
      </c>
      <c r="MR5" s="102" t="str">
        <f>IF(AND(WSARAB!$G$97&gt;=83.25,WSARAB!$G$97&lt;=91.4),"P","")</f>
        <v/>
      </c>
      <c r="MS5" s="102" t="str">
        <f>IF(AND(WSARAB!$G$97&gt;=91.5,WSARAB!$G$97&lt;=100),"P","")</f>
        <v/>
      </c>
      <c r="MT5" t="str">
        <f>IF(WSARAB!$G$105&lt;74.9,"P","")</f>
        <v/>
      </c>
      <c r="MU5" s="102" t="str">
        <f>IF(AND(WSARAB!$G$105&gt;=75,WSARAB!$G$105&lt;=83.24),"P","")</f>
        <v/>
      </c>
      <c r="MV5" s="102" t="str">
        <f>IF(AND(WSARAB!$G$105&gt;=83.25,WSARAB!$G$105&lt;=91.4),"P","")</f>
        <v/>
      </c>
      <c r="MW5" s="102" t="str">
        <f>IF(AND(WSARAB!$G$105&gt;=91.5,WSARAB!$G$105&lt;=100),"P","")</f>
        <v/>
      </c>
      <c r="MX5" t="str">
        <f>IF(WSARAB!$G$113&lt;74.9,"P","")</f>
        <v/>
      </c>
      <c r="MY5" s="102" t="str">
        <f>IF(AND(WSARAB!$G$113&gt;=75,WSARAB!$G$113&lt;=83.24),"P","")</f>
        <v/>
      </c>
      <c r="MZ5" s="102" t="str">
        <f>IF(AND(WSARAB!$G$113&gt;=83.25,WSARAB!$G$113&lt;=91.4),"P","")</f>
        <v/>
      </c>
      <c r="NA5" s="102" t="str">
        <f>IF(AND(WSARAB!$G$113&gt;=91.5,WSARAB!$G$113&lt;=100),"P","")</f>
        <v/>
      </c>
      <c r="NB5" t="str">
        <f>IF(WSMTK!$G$6&lt;74.9,"P","")</f>
        <v/>
      </c>
      <c r="NC5" s="102" t="str">
        <f>IF(AND(WSMTK!$G$6&gt;=75,WSMTK!$G$6&lt;=83.24),"P","")</f>
        <v/>
      </c>
      <c r="ND5" s="102" t="str">
        <f>IF(AND(WSMTK!$G$6&gt;=83.25,WSMTK!$G$6&lt;=91.4),"P","")</f>
        <v>P</v>
      </c>
      <c r="NE5" s="102" t="str">
        <f>IF(AND(WSMTK!$G$6&gt;=91.5,WSMTK!$G$6&lt;=100),"P","")</f>
        <v/>
      </c>
      <c r="NF5" t="str">
        <f>IF(WSMTK!$G$22&lt;74.9,"P","")</f>
        <v/>
      </c>
      <c r="NG5" s="102" t="str">
        <f>IF(AND(WSMTK!$G$22&gt;=75,WSMTK!$G$22&lt;=83.24),"P","")</f>
        <v/>
      </c>
      <c r="NH5" s="102" t="str">
        <f>IF(AND(WSMTK!$G$22&gt;=83.25,WSMTK!$G$22&lt;=91.4),"P","")</f>
        <v/>
      </c>
      <c r="NI5" s="102" t="str">
        <f>IF(AND(WSMTK!$G$22&gt;=91.5,WSMTK!$G$22&lt;=100),"P","")</f>
        <v>P</v>
      </c>
      <c r="NJ5" t="str">
        <f>IF(WSMTK!$G$35&lt;74.9,"P","")</f>
        <v/>
      </c>
      <c r="NK5" s="102" t="str">
        <f>IF(AND(WSMTK!$G$35&gt;=75,WSMTK!$G$35&lt;=83.24),"P","")</f>
        <v/>
      </c>
      <c r="NL5" s="102" t="str">
        <f>IF(AND(WSMTK!$G$35&gt;=83.25,WSMTK!$G$35&lt;=91.4),"P","")</f>
        <v/>
      </c>
      <c r="NM5" s="102" t="str">
        <f>IF(AND(WSMTK!$G$35&gt;=91.5,WSMTK!$G$35&lt;=100),"P","")</f>
        <v>P</v>
      </c>
      <c r="NN5" t="str">
        <f>IF(WSMTK!$G$69&lt;74.9,"P","")</f>
        <v/>
      </c>
      <c r="NO5" s="102" t="str">
        <f>IF(AND(WSMTK!$G$69&gt;=75,WSMTK!$G$69&lt;=83.24),"P","")</f>
        <v/>
      </c>
      <c r="NP5" s="102" t="str">
        <f>IF(AND(WSMTK!$G$69&gt;=83.25,WSMTK!$G$69&lt;=91.4),"P","")</f>
        <v/>
      </c>
      <c r="NQ5" s="102" t="str">
        <f>IF(AND(WSMTK!$G$69&gt;=91.5,WSMTK!$G$69&lt;=100),"P","")</f>
        <v>P</v>
      </c>
      <c r="NR5" t="str">
        <f>IF(WSMTK!$G$87&lt;74.9,"P","")</f>
        <v/>
      </c>
      <c r="NS5" s="102" t="str">
        <f>IF(AND(WSMTK!$G$87&gt;=75,WSMTK!$G$87&lt;=83.24),"P","")</f>
        <v/>
      </c>
      <c r="NT5" s="102" t="str">
        <f>IF(AND(WSMTK!$G$87&gt;=83.25,WSMTK!$G$87&lt;=91.4),"P","")</f>
        <v>P</v>
      </c>
      <c r="NU5" s="102" t="str">
        <f>IF(AND(WSMTK!$G$87&gt;=91.5,WSMTK!$G$87&lt;=100),"P","")</f>
        <v/>
      </c>
      <c r="NV5" t="str">
        <f>IF(WSMTK!$G$99&lt;74.9,"P","")</f>
        <v/>
      </c>
      <c r="NW5" s="102" t="str">
        <f>IF(AND(WSMTK!$G$99&gt;=75,WSMTK!$G$99&lt;=83.24),"P","")</f>
        <v/>
      </c>
      <c r="NX5" s="102" t="str">
        <f>IF(AND(WSMTK!$G$99&gt;=83.25,WSMTK!$G$99&lt;=91.4),"P","")</f>
        <v/>
      </c>
      <c r="NY5" s="102" t="str">
        <f>IF(AND(WSMTK!$G$99&gt;=91.5,WSMTK!$G$99&lt;=100),"P","")</f>
        <v>P</v>
      </c>
      <c r="NZ5" t="str">
        <f>IF(WSMTK!$G$113&lt;74.9,"P","")</f>
        <v/>
      </c>
      <c r="OA5" s="102" t="str">
        <f>IF(AND(WSMTK!$G$113&gt;=75,WSMTK!$G$113&lt;=83.24),"P","")</f>
        <v/>
      </c>
      <c r="OB5" s="102" t="str">
        <f>IF(AND(WSMTK!$G$113&gt;=83.25,WSMTK!$G$113&lt;=91.4),"P","")</f>
        <v/>
      </c>
      <c r="OC5" s="102" t="str">
        <f>IF(AND(WSMTK!$G$113&gt;=91.5,WSMTK!$G$113&lt;=100),"P","")</f>
        <v>P</v>
      </c>
      <c r="OD5" t="str">
        <f>IF(WSMTK!$G$145&lt;74.9,"P","")</f>
        <v/>
      </c>
      <c r="OE5" s="102" t="str">
        <f>IF(AND(WSMTK!$G$145&gt;=75,WSMTK!$G$145&lt;=83.24),"P","")</f>
        <v/>
      </c>
      <c r="OF5" s="102" t="str">
        <f>IF(AND(WSMTK!$G$145&gt;=83.25,WSMTK!$G$145&lt;=91.4),"P","")</f>
        <v/>
      </c>
      <c r="OG5" s="102" t="str">
        <f>IF(AND(WSMTK!$G$145&gt;=91.5,WSMTK!$G$145&lt;=100),"P","")</f>
        <v>P</v>
      </c>
      <c r="OH5" t="str">
        <f>IF(WSMTK!$G$168&lt;74.9,"P","")</f>
        <v/>
      </c>
      <c r="OI5" s="102" t="str">
        <f>IF(AND(WSMTK!$G$168&gt;=75,WSMTK!$G$168&lt;=83.24),"P","")</f>
        <v/>
      </c>
      <c r="OJ5" s="102" t="str">
        <f>IF(AND(WSMTK!$G$168&gt;=83.25,WSMTK!$G$168&lt;=91.4),"P","")</f>
        <v/>
      </c>
      <c r="OK5" s="102" t="str">
        <f>IF(AND(WSMTK!$G$168&gt;=91.5,WSMTK!$G$168&lt;=100),"P","")</f>
        <v/>
      </c>
      <c r="OL5" t="str">
        <f>IF(WSMTK!$G$176&lt;74.9,"P","")</f>
        <v/>
      </c>
      <c r="OM5" s="102" t="str">
        <f>IF(AND(WSMTK!$G$176&gt;=75,WSMTK!$G$176&lt;=83.24),"P","")</f>
        <v/>
      </c>
      <c r="ON5" s="102" t="str">
        <f>IF(AND(WSMTK!$G$176&gt;=83.25,WSMTK!$G$176&lt;=91.4),"P","")</f>
        <v/>
      </c>
      <c r="OO5" s="102" t="str">
        <f>IF(AND(WSMTK!$G$176&gt;=91.5,WSMTK!$G$176&lt;=100),"P","")</f>
        <v/>
      </c>
      <c r="OP5" t="str">
        <f>IF(WSMTK!$G$184&lt;74.9,"P","")</f>
        <v/>
      </c>
      <c r="OQ5" s="102" t="str">
        <f>IF(AND(WSMTK!$G$184&gt;=75,WSMTK!$G$184&lt;=83.24),"P","")</f>
        <v/>
      </c>
      <c r="OR5" s="102" t="str">
        <f>IF(AND(WSMTK!$G$184&gt;=83.25,WSMTK!$G$184&lt;=91.4),"P","")</f>
        <v/>
      </c>
      <c r="OS5" s="102" t="str">
        <f>IF(AND(WSMTK!$G$184&gt;=91.5,WSMTK!$G$184&lt;=100),"P","")</f>
        <v/>
      </c>
      <c r="OT5" t="str">
        <f>IF(WSMTK!$G$192&lt;74.9,"P","")</f>
        <v/>
      </c>
      <c r="OU5" s="102" t="str">
        <f>IF(AND(WSMTK!$G$192&gt;=75,WSMTK!$G$192&lt;=83.24),"P","")</f>
        <v/>
      </c>
      <c r="OV5" s="102" t="str">
        <f>IF(AND(WSMTK!$G$192&gt;=83.25,WSMTK!$G$192&lt;=91.4),"P","")</f>
        <v/>
      </c>
      <c r="OW5" s="102" t="str">
        <f>IF(AND(WSMTK!$G$192&gt;=91.5,WSMTK!$G$192&lt;=100),"P","")</f>
        <v/>
      </c>
      <c r="OX5" t="str">
        <f>IF(WSMTK!$G$200&lt;74.9,"P","")</f>
        <v/>
      </c>
      <c r="OY5" s="102" t="str">
        <f>IF(AND(WSMTK!$G$200&gt;=75,WSMTK!$G$200&lt;=83.24),"P","")</f>
        <v/>
      </c>
      <c r="OZ5" s="102" t="str">
        <f>IF(AND(WSMTK!$G$200&gt;=83.25,WSMTK!$G$200&lt;=91.4),"P","")</f>
        <v/>
      </c>
      <c r="PA5" s="102" t="str">
        <f>IF(AND(WSMTK!$G$200&gt;=91.5,WSMTK!$G$200&lt;=100),"P","")</f>
        <v/>
      </c>
      <c r="PB5" t="str">
        <f>IF(WSIPA!$G$6&lt;74.9,"P","")</f>
        <v/>
      </c>
      <c r="PC5" s="102" t="str">
        <f>IF(AND(WSIPA!$G$6&gt;=75,WSIPA!$G$6&lt;=83.24),"P","")</f>
        <v/>
      </c>
      <c r="PD5" s="102" t="str">
        <f>IF(AND(WSIPA!$G$6&gt;=83.25,WSIPA!$G$6&lt;=91.4),"P","")</f>
        <v/>
      </c>
      <c r="PE5" s="102" t="str">
        <f>IF(AND(WSIPA!$G$6&gt;=91.5,WSIPA!$G$6&lt;=100),"P","")</f>
        <v/>
      </c>
      <c r="PF5" t="str">
        <f>IF(WSIPA!$G$14&lt;74.9,"P","")</f>
        <v/>
      </c>
      <c r="PG5" s="102" t="str">
        <f>IF(AND(WSIPA!$G$14&gt;=75,WSIPA!$G$14&lt;=83.24),"P","")</f>
        <v/>
      </c>
      <c r="PH5" s="102" t="str">
        <f>IF(AND(WSIPA!$G$14&gt;=83.25,WSIPA!$G$14&lt;=91.4),"P","")</f>
        <v/>
      </c>
      <c r="PI5" s="102" t="str">
        <f>IF(AND(WSIPA!$G$14&gt;=91.5,WSIPA!$G$14&lt;=100),"P","")</f>
        <v/>
      </c>
      <c r="PJ5" t="str">
        <f>IF(WSIPA!$G$22&lt;74.9,"P","")</f>
        <v/>
      </c>
      <c r="PK5" s="102" t="str">
        <f>IF(AND(WSIPA!$G$22&gt;=75,WSIPA!$G$22&lt;=83.24),"P","")</f>
        <v/>
      </c>
      <c r="PL5" s="102" t="str">
        <f>IF(AND(WSIPA!$G$22&gt;=83.25,WSIPA!$G$22&lt;=91.4),"P","")</f>
        <v/>
      </c>
      <c r="PM5" s="102" t="str">
        <f>IF(AND(WSIPA!$G$22&gt;=91.5,WSIPA!$G$22&lt;=100),"P","")</f>
        <v/>
      </c>
      <c r="PN5" t="str">
        <f>IF(WSIPA!$G$30&lt;74.9,"P","")</f>
        <v/>
      </c>
      <c r="PO5" s="102" t="str">
        <f>IF(AND(WSIPA!$G$30&gt;=75,WSIPA!$G$30&lt;=83.24),"P","")</f>
        <v/>
      </c>
      <c r="PP5" s="102" t="str">
        <f>IF(AND(WSIPA!$G$30&gt;=83.25,WSIPA!$G$30&lt;=91.4),"P","")</f>
        <v/>
      </c>
      <c r="PQ5" s="102" t="str">
        <f>IF(AND(WSIPA!$G$30&gt;=91.5,WSIPA!$G$30&lt;=100),"P","")</f>
        <v/>
      </c>
      <c r="PR5" t="str">
        <f>IF(WSIPA!$G$38&lt;74.9,"P","")</f>
        <v/>
      </c>
      <c r="PS5" s="102" t="str">
        <f>IF(AND(WSIPA!$G$38&gt;=75,WSIPA!$G$38&lt;=83.24),"P","")</f>
        <v/>
      </c>
      <c r="PT5" s="102" t="str">
        <f>IF(AND(WSIPA!$G$38&gt;=83.25,WSIPA!$G$38&lt;=91.4),"P","")</f>
        <v/>
      </c>
      <c r="PU5" s="102" t="str">
        <f>IF(AND(WSIPA!$G$38&gt;=91.5,WSIPA!$G$38&lt;=100),"P","")</f>
        <v/>
      </c>
      <c r="PV5" t="str">
        <f>IF(WSIPA!$G$46&lt;74.9,"P","")</f>
        <v/>
      </c>
      <c r="PW5" s="102" t="str">
        <f>IF(AND(WSIPA!$G$46&gt;=75,WSIPA!$G$46&lt;=83.24),"P","")</f>
        <v/>
      </c>
      <c r="PX5" s="102" t="str">
        <f>IF(AND(WSIPA!$G$46&gt;=83.25,WSIPA!$G$46&lt;=91.4),"P","")</f>
        <v/>
      </c>
      <c r="PY5" s="102" t="str">
        <f>IF(AND(WSIPA!$G$46&gt;=91.5,WSIPA!$G$46&lt;=100),"P","")</f>
        <v/>
      </c>
      <c r="PZ5" t="str">
        <f>IF(WSIPA!$G$54&lt;74.9,"P","")</f>
        <v/>
      </c>
      <c r="QA5" s="102" t="str">
        <f>IF(AND(WSIPA!$G$54&gt;=75,WSIPA!$G$54&lt;=83.24),"P","")</f>
        <v/>
      </c>
      <c r="QB5" s="102" t="str">
        <f>IF(AND(WSIPA!$G$54&gt;=83.25,WSIPA!$G$54&lt;=91.4),"P","")</f>
        <v/>
      </c>
      <c r="QC5" s="102" t="str">
        <f>IF(AND(WSIPA!$G$54&gt;=91.5,WSIPA!$G$54&lt;=100),"P","")</f>
        <v/>
      </c>
      <c r="QD5" t="str">
        <f>IF(WSIPA!$G$62&lt;74.9,"P","")</f>
        <v/>
      </c>
      <c r="QE5" s="102" t="str">
        <f>IF(AND(WSIPA!$G$62&gt;=75,WSIPA!$G$62&lt;=83.24),"P","")</f>
        <v/>
      </c>
      <c r="QF5" s="102" t="str">
        <f>IF(AND(WSIPA!$G$62&gt;=83.25,WSIPA!$G$62&lt;=91.4),"P","")</f>
        <v/>
      </c>
      <c r="QG5" s="102" t="str">
        <f>IF(AND(WSIPA!$G$62&gt;=91.5,WSIPA!$G$62&lt;=100),"P","")</f>
        <v/>
      </c>
      <c r="QH5" t="str">
        <f>IF(WSIPA!$G$70&lt;74.9,"P","")</f>
        <v/>
      </c>
      <c r="QI5" s="102" t="str">
        <f>IF(AND(WSIPA!$G$70&gt;=75,WSIPA!$G$70&lt;=83.24),"P","")</f>
        <v/>
      </c>
      <c r="QJ5" s="102" t="str">
        <f>IF(AND(WSIPA!$G$70&gt;=83.25,WSIPA!$G$70&lt;=91.4),"P","")</f>
        <v/>
      </c>
      <c r="QK5" s="102" t="str">
        <f>IF(AND(WSIPA!$G$70&gt;=91.5,WSIPA!$G$70&lt;=100),"P","")</f>
        <v/>
      </c>
      <c r="QL5" t="str">
        <f>IF(WSIPA!$G$78&lt;74.9,"P","")</f>
        <v/>
      </c>
      <c r="QM5" s="102" t="str">
        <f>IF(AND(WSIPA!$G$78&gt;=75,WSIPA!$G$78&lt;=83.24),"P","")</f>
        <v/>
      </c>
      <c r="QN5" s="102" t="str">
        <f>IF(AND(WSIPA!$G$78&gt;=83.25,WSIPA!$G$78&lt;=91.4),"P","")</f>
        <v/>
      </c>
      <c r="QO5" s="102" t="str">
        <f>IF(AND(WSIPA!$G$78&gt;=91.5,WSIPA!$G$78&lt;=100),"P","")</f>
        <v/>
      </c>
      <c r="QP5" t="str">
        <f>IF(WSIPA!$G$86&lt;74.9,"P","")</f>
        <v/>
      </c>
      <c r="QQ5" s="102" t="str">
        <f>IF(AND(WSIPA!$G$86&gt;=75,WSIPA!$G$86&lt;=83.24),"P","")</f>
        <v/>
      </c>
      <c r="QR5" s="102" t="str">
        <f>IF(AND(WSIPA!$G$86&gt;=83.25,WSIPA!$G$86&lt;=91.4),"P","")</f>
        <v/>
      </c>
      <c r="QS5" s="102" t="str">
        <f>IF(AND(WSIPA!$G$86&gt;=91.5,WSIPA!$G$86&lt;=100),"P","")</f>
        <v/>
      </c>
      <c r="QT5" t="str">
        <f>IF(WSIPA!$G$94&lt;74.9,"P","")</f>
        <v/>
      </c>
      <c r="QU5" s="102" t="str">
        <f>IF(AND(WSIPA!$G$94&gt;=75,WSIPA!$G$94&lt;=83.24),"P","")</f>
        <v/>
      </c>
      <c r="QV5" s="102" t="str">
        <f>IF(AND(WSIPA!$G$94&gt;=83.25,WSIPA!$G$94&lt;=91.4),"P","")</f>
        <v/>
      </c>
      <c r="QW5" s="102" t="str">
        <f>IF(AND(WSIPA!$G$94&gt;=91.5,WSIPA!$G$94&lt;=100),"P","")</f>
        <v/>
      </c>
      <c r="QX5" t="str">
        <f>IF(WSIPA!$G$102&lt;74.9,"P","")</f>
        <v/>
      </c>
      <c r="QY5" s="102" t="str">
        <f>IF(AND(WSIPA!$G$102&gt;=75,WSIPA!$G$102&lt;=83.24),"P","")</f>
        <v/>
      </c>
      <c r="QZ5" s="102" t="str">
        <f>IF(AND(WSIPA!$G$102&gt;=83.25,WSIPA!$G$102&lt;=91.4),"P","")</f>
        <v/>
      </c>
      <c r="RA5" s="102" t="str">
        <f>IF(AND(WSIPA!$G$102&gt;=91.5,WSIPA!$G$102&lt;=100),"P","")</f>
        <v/>
      </c>
      <c r="RB5" t="str">
        <f>IF(WSIPS!$G$6&lt;74.9,"P","")</f>
        <v/>
      </c>
      <c r="RC5" s="102" t="str">
        <f>IF(AND(WSIPS!$G$6&gt;=75,WSIPS!$G$6&lt;=83.24),"P","")</f>
        <v/>
      </c>
      <c r="RD5" s="102" t="str">
        <f>IF(AND(WSIPS!$G$6&gt;=83.25,WSIPS!$G$6&lt;=91.4),"P","")</f>
        <v/>
      </c>
      <c r="RE5" s="102" t="str">
        <f>IF(AND(WSIPS!$G$6&gt;=91.5,WSIPS!$G$6&lt;=100),"P","")</f>
        <v/>
      </c>
      <c r="RF5" t="str">
        <f>IF(WSIPS!$G$14&lt;74.9,"P","")</f>
        <v/>
      </c>
      <c r="RG5" s="102" t="str">
        <f>IF(AND(WSIPS!$G$14&gt;=75,WSIPS!$G$14&lt;=83.24),"P","")</f>
        <v/>
      </c>
      <c r="RH5" s="102" t="str">
        <f>IF(AND(WSIPS!$G$14&gt;=83.25,WSIPS!$G$14&lt;=91.4),"P","")</f>
        <v/>
      </c>
      <c r="RI5" s="102" t="str">
        <f>IF(AND(WSIPS!$G$14&gt;=91.5,WSIPS!$G$14&lt;=100),"P","")</f>
        <v/>
      </c>
      <c r="RJ5" t="str">
        <f>IF(WSIPS!$G$22&lt;74.9,"P","")</f>
        <v/>
      </c>
      <c r="RK5" s="102" t="str">
        <f>IF(AND(WSIPS!$G$22&gt;=75,WSIPS!$G$22&lt;=83.24),"P","")</f>
        <v/>
      </c>
      <c r="RL5" s="102" t="str">
        <f>IF(AND(WSIPS!$G$22&gt;=83.25,WSIPS!$G$22&lt;=91.4),"P","")</f>
        <v/>
      </c>
      <c r="RM5" s="102" t="str">
        <f>IF(AND(WSIPS!$G$22&gt;=91.5,WSIPS!$G$22&lt;=100),"P","")</f>
        <v/>
      </c>
      <c r="RN5" t="str">
        <f>IF(WSIPS!$G$30&lt;74.9,"P","")</f>
        <v/>
      </c>
      <c r="RO5" s="102" t="str">
        <f>IF(AND(WSIPS!$G$30&gt;=75,WSIPS!$G$30&lt;=83.24),"P","")</f>
        <v/>
      </c>
      <c r="RP5" s="102" t="str">
        <f>IF(AND(WSIPS!$G$30&gt;=83.25,WSIPS!$G$30&lt;=91.4),"P","")</f>
        <v/>
      </c>
      <c r="RQ5" s="102" t="str">
        <f>IF(AND(WSIPS!$G$30&gt;=91.5,WSIPS!$G$30&lt;=100),"P","")</f>
        <v/>
      </c>
      <c r="RR5" t="str">
        <f>IF(WSIPS!$G$38&lt;74.9,"P","")</f>
        <v/>
      </c>
      <c r="RS5" s="102" t="str">
        <f>IF(AND(WSIPS!$G$38&gt;=75,WSIPS!$G$38&lt;=83.24),"P","")</f>
        <v/>
      </c>
      <c r="RT5" s="102" t="str">
        <f>IF(AND(WSIPS!$G$38&gt;=83.25,WSIPS!$G$38&lt;=91.4),"P","")</f>
        <v/>
      </c>
      <c r="RU5" s="102" t="str">
        <f>IF(AND(WSIPS!$G$38&gt;=91.5,WSIPS!$G$38&lt;=100),"P","")</f>
        <v/>
      </c>
      <c r="RV5" t="str">
        <f>IF(WSIPS!$G$46&lt;74.9,"P","")</f>
        <v/>
      </c>
      <c r="RW5" s="102" t="str">
        <f>IF(AND(WSIPS!$G$46&gt;=75,WSIPS!$G$46&lt;=83.24),"P","")</f>
        <v/>
      </c>
      <c r="RX5" s="102" t="str">
        <f>IF(AND(WSIPS!$G$46&gt;=83.25,WSIPS!$G$46&lt;=91.4),"P","")</f>
        <v/>
      </c>
      <c r="RY5" s="102" t="str">
        <f>IF(AND(WSIPS!$G$46&gt;=91.5,WSIPS!$G$46&lt;=100),"P","")</f>
        <v/>
      </c>
      <c r="RZ5" t="str">
        <f>IF(WSIPS!$G$54&lt;74.9,"P","")</f>
        <v/>
      </c>
      <c r="SA5" s="102" t="str">
        <f>IF(AND(WSIPS!$G$54&gt;=75,WSIPS!$G$54&lt;=83.24),"P","")</f>
        <v/>
      </c>
      <c r="SB5" s="102" t="str">
        <f>IF(AND(WSIPS!$G$54&gt;=83.25,WSIPS!$G$54&lt;=91.4),"P","")</f>
        <v/>
      </c>
      <c r="SC5" s="102" t="str">
        <f>IF(AND(WSIPS!$G$54&gt;=91.5,WSIPS!$G$54&lt;=100),"P","")</f>
        <v/>
      </c>
      <c r="SD5" t="str">
        <f>IF(WSIPS!$G$62&lt;74.9,"P","")</f>
        <v/>
      </c>
      <c r="SE5" s="102" t="str">
        <f>IF(AND(WSIPS!$G$62&gt;=75,WSIPS!$G$62&lt;=83.24),"P","")</f>
        <v/>
      </c>
      <c r="SF5" s="102" t="str">
        <f>IF(AND(WSIPS!$G$62&gt;=83.25,WSIPS!$G$62&lt;=91.4),"P","")</f>
        <v/>
      </c>
      <c r="SG5" s="102" t="str">
        <f>IF(AND(WSIPS!$G$62&gt;=91.5,WSIPS!$G$62&lt;=100),"P","")</f>
        <v/>
      </c>
      <c r="SH5" t="str">
        <f>IF(WSIPS!$G$70&lt;74.9,"P","")</f>
        <v/>
      </c>
      <c r="SI5" s="102" t="str">
        <f>IF(AND(WSIPS!$G$70&gt;=75,WSIPS!$G$70&lt;=83.24),"P","")</f>
        <v/>
      </c>
      <c r="SJ5" s="102" t="str">
        <f>IF(AND(WSIPS!$G$70&gt;=83.25,WSIPS!$G$70&lt;=91.4),"P","")</f>
        <v/>
      </c>
      <c r="SK5" s="102" t="str">
        <f>IF(AND(WSIPS!$G$70&gt;=91.5,WSIPS!$G$70&lt;=100),"P","")</f>
        <v/>
      </c>
      <c r="SL5" t="str">
        <f>IF(WSIPS!$G$78&lt;74.9,"P","")</f>
        <v/>
      </c>
      <c r="SM5" s="102" t="str">
        <f>IF(AND(WSIPS!$G$78&gt;=75,WSIPS!$G$78&lt;=83.24),"P","")</f>
        <v/>
      </c>
      <c r="SN5" s="102" t="str">
        <f>IF(AND(WSIPS!$G$78&gt;=83.25,WSIPS!$G$78&lt;=91.4),"P","")</f>
        <v/>
      </c>
      <c r="SO5" s="102" t="str">
        <f>IF(AND(WSIPS!$G$78&gt;=91.5,WSIPS!$G$78&lt;=100),"P","")</f>
        <v/>
      </c>
      <c r="SP5" t="str">
        <f>IF(WSIPS!$G$86&lt;74.9,"P","")</f>
        <v/>
      </c>
      <c r="SQ5" s="102" t="str">
        <f>IF(AND(WSIPS!$G$86&gt;=75,WSIPS!$G$86&lt;=83.24),"P","")</f>
        <v/>
      </c>
      <c r="SR5" s="102" t="str">
        <f>IF(AND(WSIPS!$G$86&gt;=83.25,WSIPS!$G$86&lt;=91.4),"P","")</f>
        <v/>
      </c>
      <c r="SS5" s="102" t="str">
        <f>IF(AND(WSIPS!$G$86&gt;=91.5,WSIPS!$G$86&lt;=100),"P","")</f>
        <v/>
      </c>
      <c r="ST5" t="str">
        <f>IF(WSIPS!$G$94&lt;74.9,"P","")</f>
        <v/>
      </c>
      <c r="SU5" s="102" t="str">
        <f>IF(AND(WSIPS!$G$94&gt;=75,WSIPS!$G$94&lt;=83.24),"P","")</f>
        <v/>
      </c>
      <c r="SV5" s="102" t="str">
        <f>IF(AND(WSIPS!$G$94&gt;=83.25,WSIPS!$G$94&lt;=91.4),"P","")</f>
        <v/>
      </c>
      <c r="SW5" s="102" t="str">
        <f>IF(AND(WSIPS!$G$94&gt;=91.5,WSIPS!$G$94&lt;=100),"P","")</f>
        <v/>
      </c>
      <c r="SX5" t="str">
        <f>IF(WSIPS!$G$102&lt;74.9,"P","")</f>
        <v/>
      </c>
      <c r="SY5" s="102" t="str">
        <f>IF(AND(WSIPS!$G$102&gt;=75,WSIPS!$G$102&lt;=83.24),"P","")</f>
        <v/>
      </c>
      <c r="SZ5" s="102" t="str">
        <f>IF(AND(WSIPS!$G$102&gt;=83.25,WSIPS!$G$102&lt;=91.4),"P","")</f>
        <v/>
      </c>
      <c r="TA5" s="102" t="str">
        <f>IF(AND(WSIPS!$G$102&gt;=91.5,WSIPS!$G$102&lt;=100),"P","")</f>
        <v/>
      </c>
      <c r="TB5" t="str">
        <f>IF(WSSBK!$G$6&lt;74.9,"P","")</f>
        <v/>
      </c>
      <c r="TC5" s="102" t="str">
        <f>IF(AND(WSSBK!$G$6&gt;=75,WSSBK!$G$6&lt;=83.24),"P","")</f>
        <v/>
      </c>
      <c r="TD5" s="102" t="str">
        <f>IF(AND(WSSBK!$G$6&gt;=83.25,WSSBK!$G$6&lt;=91.4),"P","")</f>
        <v/>
      </c>
      <c r="TE5" s="102" t="str">
        <f>IF(AND(WSSBK!$G$6&gt;=91.5,WSSBK!$G$6&lt;=100),"P","")</f>
        <v>P</v>
      </c>
      <c r="TF5" t="str">
        <f>IF(WSSBK!$G$16&lt;74.9,"P","")</f>
        <v/>
      </c>
      <c r="TG5" s="102" t="str">
        <f>IF(AND(WSSBK!$G$16&gt;=75,WSSBK!$G$16&lt;=83.24),"P","")</f>
        <v/>
      </c>
      <c r="TH5" s="102" t="str">
        <f>IF(AND(WSSBK!$G$16&gt;=83.25,WSSBK!$G$16&lt;=91.4),"P","")</f>
        <v>P</v>
      </c>
      <c r="TI5" s="102" t="str">
        <f>IF(AND(WSSBK!$G$16&gt;=91.5,WSSBK!$G$16&lt;=100),"P","")</f>
        <v/>
      </c>
      <c r="TJ5" t="str">
        <f>IF(WSSBK!$G$26&lt;74.9,"P","")</f>
        <v/>
      </c>
      <c r="TK5" s="102" t="str">
        <f>IF(AND(WSSBK!$G$26&gt;=75,WSSBK!$G$26&lt;=83.24),"P","")</f>
        <v/>
      </c>
      <c r="TL5" s="102" t="str">
        <f>IF(AND(WSSBK!$G$26&gt;=83.25,WSSBK!$G$26&lt;=91.4),"P","")</f>
        <v>P</v>
      </c>
      <c r="TM5" s="102" t="str">
        <f>IF(AND(WSSBK!$G$26&gt;=91.5,WSSBK!$G$26&lt;=100),"P","")</f>
        <v/>
      </c>
      <c r="TN5" t="str">
        <f>IF(WSSBK!$G$36&lt;74.9,"P","")</f>
        <v/>
      </c>
      <c r="TO5" s="102" t="str">
        <f>IF(AND(WSSBK!$G$36&gt;=75,WSSBK!$G$36&lt;=83.24),"P","")</f>
        <v/>
      </c>
      <c r="TP5" s="102" t="str">
        <f>IF(AND(WSSBK!$G$36&gt;=83.25,WSSBK!$G$36&lt;=91.4),"P","")</f>
        <v>P</v>
      </c>
      <c r="TQ5" s="102" t="str">
        <f>IF(AND(WSSBK!$G$36&gt;=91.5,WSSBK!$G$36&lt;=100),"P","")</f>
        <v/>
      </c>
      <c r="TR5" t="str">
        <f>IF(WSSBK!$G$46&lt;74.9,"P","")</f>
        <v/>
      </c>
      <c r="TS5" s="102" t="str">
        <f>IF(AND(WSSBK!$G$46&gt;=75,WSSBK!$G$46&lt;=83.24),"P","")</f>
        <v/>
      </c>
      <c r="TT5" s="102" t="str">
        <f>IF(AND(WSSBK!$G$46&gt;=83.25,WSSBK!$G$46&lt;=91.4),"P","")</f>
        <v/>
      </c>
      <c r="TU5" s="102" t="str">
        <f>IF(AND(WSSBK!$G$46&gt;=91.5,WSSBK!$G$46&lt;=100),"P","")</f>
        <v>P</v>
      </c>
      <c r="TV5" t="str">
        <f>IF(WSSBK!$G$58&lt;74.9,"P","")</f>
        <v/>
      </c>
      <c r="TW5" s="102" t="str">
        <f>IF(AND(WSSBK!$G$58&gt;=75,WSSBK!$G$58&lt;=83.24),"P","")</f>
        <v/>
      </c>
      <c r="TX5" s="102" t="str">
        <f>IF(AND(WSSBK!$G$58&gt;=83.25,WSSBK!$G$58&lt;=91.4),"P","")</f>
        <v>P</v>
      </c>
      <c r="TY5" s="102" t="str">
        <f>IF(AND(WSSBK!$G$58&gt;=91.5,WSSBK!$G$58&lt;=100),"P","")</f>
        <v/>
      </c>
      <c r="TZ5" t="str">
        <f>IF(WSSBK!$G$68&lt;74.9,"P","")</f>
        <v/>
      </c>
      <c r="UA5" s="102" t="str">
        <f>IF(AND(WSSBK!$G$68&gt;=75,WSSBK!$G$68&lt;=83.24),"P","")</f>
        <v/>
      </c>
      <c r="UB5" s="102" t="str">
        <f>IF(AND(WSSBK!$G$68&gt;=83.25,WSSBK!$G$68&lt;=91.4),"P","")</f>
        <v>P</v>
      </c>
      <c r="UC5" s="102" t="str">
        <f>IF(AND(WSSBK!$G$68&gt;=91.5,WSSBK!$G$68&lt;=100),"P","")</f>
        <v/>
      </c>
      <c r="UD5" t="str">
        <f>IF(WSSBK!$G$77&lt;74.9,"P","")</f>
        <v/>
      </c>
      <c r="UE5" s="102" t="str">
        <f>IF(AND(WSSBK!$G$77&gt;=75,WSSBK!$G$77&lt;=83.24),"P","")</f>
        <v/>
      </c>
      <c r="UF5" s="102" t="str">
        <f>IF(AND(WSSBK!$G$77&gt;=83.25,WSSBK!$G$77&lt;=91.4),"P","")</f>
        <v>P</v>
      </c>
      <c r="UG5" s="102" t="str">
        <f>IF(AND(WSSBK!$G$77&gt;=91.5,WSSBK!$G$77&lt;=100),"P","")</f>
        <v/>
      </c>
      <c r="UH5" t="str">
        <f>IF(WSSBK!$G$87&lt;74.9,"P","")</f>
        <v/>
      </c>
      <c r="UI5" s="102" t="str">
        <f>IF(AND(WSSBK!$G$87&gt;=75,WSSBK!$G$87&lt;=83.24),"P","")</f>
        <v/>
      </c>
      <c r="UJ5" s="102" t="str">
        <f>IF(AND(WSSBK!$G$87&gt;=83.25,WSSBK!$G$87&lt;=91.4),"P","")</f>
        <v/>
      </c>
      <c r="UK5" s="102" t="str">
        <f>IF(AND(WSSBK!$G$87&gt;=91.5,WSSBK!$G$87&lt;=100),"P","")</f>
        <v/>
      </c>
      <c r="UL5" t="str">
        <f>IF(WSSBK!$G$95&lt;74.9,"P","")</f>
        <v/>
      </c>
      <c r="UM5" s="102" t="str">
        <f>IF(AND(WSSBK!$G$95&gt;=75,WSSBK!$G$95&lt;=83.24),"P","")</f>
        <v/>
      </c>
      <c r="UN5" s="102" t="str">
        <f>IF(AND(WSSBK!$G$95&gt;=83.25,WSSBK!$G$95&lt;=91.4),"P","")</f>
        <v/>
      </c>
      <c r="UO5" s="102" t="str">
        <f>IF(AND(WSSBK!$G$95&gt;=91.5,WSSBK!$G$95&lt;=100),"P","")</f>
        <v/>
      </c>
      <c r="UP5" t="str">
        <f>IF(WSSBK!$G$103&lt;74.9,"P","")</f>
        <v/>
      </c>
      <c r="UQ5" s="102" t="str">
        <f>IF(AND(WSSBK!$G$103&gt;=75,WSSBK!$G$103&lt;=83.24),"P","")</f>
        <v/>
      </c>
      <c r="UR5" s="102" t="str">
        <f>IF(AND(WSSBK!$G$103&gt;=83.25,WSSBK!$G$103&lt;=91.4),"P","")</f>
        <v/>
      </c>
      <c r="US5" s="102" t="str">
        <f>IF(AND(WSSBK!$G$103&gt;=91.5,WSSBK!$G$103&lt;=100),"P","")</f>
        <v/>
      </c>
      <c r="UT5" t="str">
        <f>IF(WSSBK!$G$111&lt;74.9,"P","")</f>
        <v/>
      </c>
      <c r="UU5" s="102" t="str">
        <f>IF(AND(WSSBK!$G$111&gt;=75,WSSBK!$G$111&lt;=83.24),"P","")</f>
        <v/>
      </c>
      <c r="UV5" s="102" t="str">
        <f>IF(AND(WSSBK!$G$111&gt;=83.25,WSSBK!$G$111&lt;=91.4),"P","")</f>
        <v/>
      </c>
      <c r="UW5" s="102" t="str">
        <f>IF(AND(WSSBK!$G$111&gt;=91.5,WSSBK!$G$111&lt;=100),"P","")</f>
        <v/>
      </c>
      <c r="UX5" t="str">
        <f>IF(WSSBK!$G$119&lt;74.9,"P","")</f>
        <v/>
      </c>
      <c r="UY5" s="102" t="str">
        <f>IF(AND(WSSBK!$G$119&gt;=75,WSSBK!$G$119&lt;=83.24),"P","")</f>
        <v/>
      </c>
      <c r="UZ5" s="102" t="str">
        <f>IF(AND(WSSBK!$G$119&gt;=83.25,WSSBK!$G$119&lt;=91.4),"P","")</f>
        <v/>
      </c>
      <c r="VA5" s="102" t="str">
        <f>IF(AND(WSSBK!$G$119&gt;=91.5,WSSBK!$G$119&lt;=100),"P","")</f>
        <v/>
      </c>
      <c r="VB5" s="102" t="str">
        <f>IF(AND(WSPENJAS!$G$6&gt;0,WSPENJAS!$G$6&lt;=74.9),"P","")</f>
        <v/>
      </c>
      <c r="VC5" s="102" t="str">
        <f>IF(AND(WSPENJAS!$G$6&gt;=75,WSPENJAS!$G$6&lt;=83.24),"P","")</f>
        <v/>
      </c>
      <c r="VD5" s="102" t="str">
        <f>IF(AND(WSPENJAS!$G$6&gt;=83.25,WSPENJAS!$G$6&lt;=91.4),"P","")</f>
        <v>P</v>
      </c>
      <c r="VE5" s="102" t="str">
        <f>IF(AND(WSPENJAS!$G$6&gt;=91.5,WSPENJAS!$G$6&lt;=100),"P","")</f>
        <v/>
      </c>
      <c r="VF5" s="102" t="str">
        <f>IF(AND(WSPENJAS!$G$7&gt;0,WSPENJAS!$G$7&lt;=74.9),"P","")</f>
        <v/>
      </c>
      <c r="VG5" s="102" t="str">
        <f>IF(AND(WSPENJAS!$G$7&gt;=75,WSPENJAS!$G$7&lt;=83.24),"P","")</f>
        <v/>
      </c>
      <c r="VH5" s="102" t="str">
        <f>IF(AND(WSPENJAS!$G$7&gt;=83.25,WSPENJAS!$G$7&lt;=91.4),"P","")</f>
        <v>P</v>
      </c>
      <c r="VI5" s="102" t="str">
        <f>IF(AND(WSPENJAS!$G$7&gt;=91.5,WSPENJAS!$G$7&lt;=100),"P","")</f>
        <v/>
      </c>
      <c r="VJ5" s="102" t="str">
        <f>IF(AND(WSPENJAS!$G$8&gt;0,WSPENJAS!$G$8&lt;=74.9),"P","")</f>
        <v/>
      </c>
      <c r="VK5" s="102" t="str">
        <f>IF(AND(WSPENJAS!$G$8&gt;=75,WSPENJAS!$G$8&lt;=83.24),"P","")</f>
        <v/>
      </c>
      <c r="VL5" s="102" t="str">
        <f>IF(AND(WSPENJAS!$G$8&gt;=83.25,WSPENJAS!$G$8&lt;=91.4),"P","")</f>
        <v>P</v>
      </c>
      <c r="VM5" s="102" t="str">
        <f>IF(AND(WSPENJAS!$G$8&gt;=91.5,WSPENJAS!$G$8&lt;=100),"P","")</f>
        <v/>
      </c>
      <c r="VN5" s="102" t="str">
        <f>IF(AND(WSPENJAS!$G$9&gt;0,WSPENJAS!$G$9&lt;=74.9),"P","")</f>
        <v/>
      </c>
      <c r="VO5" s="102" t="str">
        <f>IF(AND(WSPENJAS!$G$9&gt;=75,WSPENJAS!$G$9&lt;=83.24),"P","")</f>
        <v/>
      </c>
      <c r="VP5" s="102" t="str">
        <f>IF(AND(WSPENJAS!$G$9&gt;=83.25,WSPENJAS!$G$9&lt;=91.4),"P","")</f>
        <v>P</v>
      </c>
      <c r="VQ5" s="102" t="str">
        <f>IF(AND(WSPENJAS!$G$9&gt;=91.5,WSPENJAS!$G$9&lt;=100),"P","")</f>
        <v/>
      </c>
      <c r="VR5" s="102" t="str">
        <f>IF(AND(WSPENJAS!$G$10&gt;0,WSPENJAS!$G$10&lt;=74.9),"P","")</f>
        <v/>
      </c>
      <c r="VS5" s="102" t="str">
        <f>IF(AND(WSPENJAS!$G$10&gt;=75,WSPENJAS!$G$10&lt;=83.24),"P","")</f>
        <v/>
      </c>
      <c r="VT5" s="102" t="str">
        <f>IF(AND(WSPENJAS!$G$10&gt;=83.25,WSPENJAS!$G$10&lt;=91.4),"P","")</f>
        <v>P</v>
      </c>
      <c r="VU5" s="102" t="str">
        <f>IF(AND(WSPENJAS!$G$10&gt;=91.5,WSPENJAS!$G$10&lt;=100),"P","")</f>
        <v/>
      </c>
      <c r="VV5" s="102" t="str">
        <f>IF(AND(WSPENJAS!$G$11&gt;0,WSPENJAS!$G$11&lt;=74.9),"P","")</f>
        <v/>
      </c>
      <c r="VW5" s="102" t="str">
        <f>IF(AND(WSPENJAS!$G$411&gt;=75,WSPENJAS!$G$411&lt;=83.24),"P","")</f>
        <v/>
      </c>
      <c r="VX5" s="102" t="str">
        <f>IF(AND(WSPENJAS!$G$411&gt;=83.25,WSPENJAS!$G$411&lt;=91.4),"P","")</f>
        <v/>
      </c>
      <c r="VY5" s="102" t="str">
        <f>IF(AND(WSPENJAS!$G$411&gt;=91.5,WSPENJAS!$G$411&lt;=100),"P","")</f>
        <v/>
      </c>
      <c r="VZ5" s="102" t="str">
        <f>IF(AND(WSPENJAS!$G$12&gt;0,WSPENJAS!$G$12&lt;=74.9),"P","")</f>
        <v/>
      </c>
      <c r="WA5" s="102" t="str">
        <f>IF(AND(WSPENJAS!$G$12&gt;=75,WSPENJAS!$G$12&lt;=83.24),"P","")</f>
        <v/>
      </c>
      <c r="WB5" s="102" t="str">
        <f>IF(AND(WSPENJAS!$G$12&gt;=83.25,WSPENJAS!$G$12&lt;=91.4),"P","")</f>
        <v>P</v>
      </c>
      <c r="WC5" s="102" t="str">
        <f>IF(AND(WSPENJAS!$G$12&gt;=91.5,WSPENJAS!$G$12&lt;=100),"P","")</f>
        <v/>
      </c>
      <c r="WD5" s="102" t="str">
        <f>IF(AND(WSPENJAS!$G$13&gt;0,WSPENJAS!$G$13&lt;=74.9),"P","")</f>
        <v/>
      </c>
      <c r="WE5" s="102" t="str">
        <f>IF(AND(WSPENJAS!$G$13&gt;=75,WSPENJAS!$G$13&lt;=83.24),"P","")</f>
        <v/>
      </c>
      <c r="WF5" s="102" t="str">
        <f>IF(AND(WSPENJAS!$G$13&gt;=83.25,WSPENJAS!$G$13&lt;=91.4),"P","")</f>
        <v>P</v>
      </c>
      <c r="WG5" s="102" t="str">
        <f>IF(AND(WSPENJAS!$G$13&gt;=91.5,WSPENJAS!$G$13&lt;=100),"P","")</f>
        <v/>
      </c>
      <c r="WH5" s="102" t="str">
        <f>IF(AND(WSPENJAS!$G$14&gt;0,WSPENJAS!$G$14&lt;=74.9),"P","")</f>
        <v/>
      </c>
      <c r="WI5" s="102" t="str">
        <f>IF(AND(WSPENJAS!$G$14&gt;=75,WSPENJAS!$G$14&lt;=83.24),"P","")</f>
        <v/>
      </c>
      <c r="WJ5" s="102" t="str">
        <f>IF(AND(WSPENJAS!$G$14&gt;=83.25,WSPENJAS!$G$14&lt;=91.4),"P","")</f>
        <v>P</v>
      </c>
      <c r="WK5" s="102" t="str">
        <f>IF(AND(WSPENJAS!$G$14&gt;=91.5,WSPENJAS!$G$14&lt;=100),"P","")</f>
        <v/>
      </c>
      <c r="WL5" s="102" t="str">
        <f>IF(AND(WSPENJAS!$G$15&gt;0,WSPENJAS!$G$15&lt;=74.9),"P","")</f>
        <v/>
      </c>
      <c r="WM5" s="102" t="str">
        <f>IF(AND(WSPENJAS!$G$15&gt;=75,WSPENJAS!$G$15&lt;=83.24),"P","")</f>
        <v/>
      </c>
      <c r="WN5" s="102" t="str">
        <f>IF(AND(WSPENJAS!$G$15&gt;=83.25,WSPENJAS!$G$15&lt;=91.4),"P","")</f>
        <v>P</v>
      </c>
      <c r="WO5" s="102" t="str">
        <f>IF(AND(WSPENJAS!$G$15&gt;=91.5,WSPENJAS!$G$15&lt;=100),"P","")</f>
        <v/>
      </c>
      <c r="WP5" s="102" t="str">
        <f>IF(AND(WSPENJAS!$G$16&gt;0,WSPENJAS!$G$16&lt;=74.9),"P","")</f>
        <v/>
      </c>
      <c r="WQ5" s="102" t="str">
        <f>IF(AND(WSPENJAS!$G$16&gt;=75,WSPENJAS!$G$16&lt;=83.24),"P","")</f>
        <v/>
      </c>
      <c r="WR5" s="102" t="str">
        <f>IF(AND(WSPENJAS!$G$16&gt;=83.25,WSPENJAS!$G$16&lt;=91.4),"P","")</f>
        <v/>
      </c>
      <c r="WS5" s="102" t="str">
        <f>IF(AND(WSPENJAS!$G$16&gt;=91.5,WSPENJAS!$G$16&lt;=100),"P","")</f>
        <v/>
      </c>
      <c r="WT5" s="102" t="str">
        <f>IF(AND(WSPENJAS!$G$17&gt;0,WSPENJAS!$G$17&lt;=74.9),"P","")</f>
        <v/>
      </c>
      <c r="WU5" s="102" t="str">
        <f>IF(AND(WSPENJAS!$G$17&gt;=75,WSPENJAS!$G$17&lt;=83.24),"P","")</f>
        <v/>
      </c>
      <c r="WV5" s="102" t="str">
        <f>IF(AND(WSPENJAS!$G$17&gt;=83.25,WSPENJAS!$G$17&lt;=91.4),"P","")</f>
        <v/>
      </c>
      <c r="WW5" s="102" t="str">
        <f>IF(AND(WSPENJAS!$G$17&gt;=91.5,WSPENJAS!$G$17&lt;=100),"P","")</f>
        <v/>
      </c>
      <c r="WX5" s="102" t="str">
        <f>IF(AND(WSPENJAS!$G$18&gt;0,WSPENJAS!$G$18&lt;=74.9),"P","")</f>
        <v/>
      </c>
      <c r="WY5" s="102" t="str">
        <f>IF(AND(WSPENJAS!$G$18&gt;=75,WSPENJAS!$G$18&lt;=83.24),"P","")</f>
        <v/>
      </c>
      <c r="WZ5" s="102" t="str">
        <f>IF(AND(WSPENJAS!$G$18&gt;=83.25,WSPENJAS!$G$18&lt;=91.4),"P","")</f>
        <v/>
      </c>
      <c r="XA5" s="102" t="str">
        <f>IF(AND(WSPENJAS!$G$18&gt;=91.5,WSPENJAS!$G$18&lt;=100),"P","")</f>
        <v/>
      </c>
      <c r="XB5" s="102" t="str">
        <f>IF(AND(WSPENJAS!$G$19&gt;0,WSPENJAS!$G$19&lt;=74.9),"P","")</f>
        <v/>
      </c>
      <c r="XC5" s="102" t="str">
        <f>IF(AND(WSPENJAS!$G$19&gt;=75,WSPENJAS!$G$19&lt;=83.24),"P","")</f>
        <v/>
      </c>
      <c r="XD5" s="102" t="str">
        <f>IF(AND(WSPENJAS!$G$19&gt;=83.25,WSPENJAS!$G$19&lt;=91.4),"P","")</f>
        <v/>
      </c>
      <c r="XE5" s="102" t="str">
        <f>IF(AND(WSPENJAS!$G$19&gt;=91.5,WSPENJAS!$G$19&lt;=100),"P","")</f>
        <v/>
      </c>
      <c r="XF5" s="102" t="str">
        <f>IF(AND(WSPENJAS!$G$20&gt;0,WSPENJAS!$G$20&lt;=74.9),"P","")</f>
        <v/>
      </c>
      <c r="XG5" s="102" t="str">
        <f>IF(AND(WSPENJAS!$G$20&gt;=75,WSPENJAS!$G$20&lt;=83.24),"P","")</f>
        <v/>
      </c>
      <c r="XH5" s="102" t="str">
        <f>IF(AND(WSPENJAS!$G$20&gt;=83.25,WSPENJAS!$G$20&lt;=91.4),"P","")</f>
        <v/>
      </c>
      <c r="XI5" s="102" t="str">
        <f>IF(AND(WSPENJAS!$G$20&gt;=91.5,WSPENJAS!$G$20&lt;=100),"P","")</f>
        <v/>
      </c>
      <c r="XJ5" s="102" t="str">
        <f>IF(AND(WSPENJAS!$G$21&gt;0,WSPENJAS!$G$21&lt;=74.9),"P","")</f>
        <v/>
      </c>
      <c r="XK5" s="102" t="str">
        <f>IF(AND(WSPENJAS!$G$21&gt;=75,WSPENJAS!$G$21&lt;=83.24),"P","")</f>
        <v/>
      </c>
      <c r="XL5" s="102" t="str">
        <f>IF(AND(WSPENJAS!$G$21&gt;=83.25,WSPENJAS!$G$21&lt;=91.4),"P","")</f>
        <v/>
      </c>
      <c r="XM5" s="102" t="str">
        <f>IF(AND(WSPENJAS!$G$21&gt;=91.5,WSPENJAS!$G$21&lt;=100),"P","")</f>
        <v/>
      </c>
      <c r="XN5" t="str">
        <f>IF(WSJAWA!$G$6&lt;74.9,"P","")</f>
        <v/>
      </c>
      <c r="XO5" s="102" t="str">
        <f>IF(AND(WSJAWA!$G$6&gt;=75,WSJAWA!$G$6&lt;=83.24),"P","")</f>
        <v/>
      </c>
      <c r="XP5" s="102" t="str">
        <f>IF(AND(WSJAWA!$G$6&gt;=83.25,WSJAWA!$G$6&lt;=91.4),"P","")</f>
        <v/>
      </c>
      <c r="XQ5" s="102" t="str">
        <f>IF(AND(WSJAWA!$G$6&gt;=91.5,WSJAWA!$G$6&lt;=100),"P","")</f>
        <v>P</v>
      </c>
      <c r="XR5" t="str">
        <f>IF(WSJAWA!$G$14&lt;74.9,"P","")</f>
        <v/>
      </c>
      <c r="XS5" s="102" t="str">
        <f>IF(AND(WSJAWA!$G$14&gt;=75,WSJAWA!$G$14&lt;=83.24),"P","")</f>
        <v/>
      </c>
      <c r="XT5" s="102" t="str">
        <f>IF(AND(WSJAWA!$G$14&gt;=83.25,WSJAWA!$G$14&lt;=91.4),"P","")</f>
        <v/>
      </c>
      <c r="XU5" s="102" t="str">
        <f>IF(AND(WSJAWA!$G$14&gt;=91.5,WSJAWA!$G$14&lt;=100),"P","")</f>
        <v>P</v>
      </c>
      <c r="XV5" t="str">
        <f>IF(WSJAWA!$G$22&lt;74.9,"P","")</f>
        <v/>
      </c>
      <c r="XW5" s="102" t="str">
        <f>IF(AND(WSJAWA!$G$22&gt;=75,WSJAWA!$G$22&lt;=83.24),"P","")</f>
        <v/>
      </c>
      <c r="XX5" s="102" t="str">
        <f>IF(AND(WSJAWA!$G$22&gt;=83.25,WSJAWA!$G$22&lt;=91.4),"P","")</f>
        <v>P</v>
      </c>
      <c r="XY5" s="102" t="str">
        <f>IF(AND(WSJAWA!$G$22&gt;=91.5,WSJAWA!$G$22&lt;=100),"P","")</f>
        <v/>
      </c>
      <c r="XZ5" t="str">
        <f>IF(WSJAWA!$G$30&lt;74.9,"P","")</f>
        <v/>
      </c>
      <c r="YA5" s="102" t="str">
        <f>IF(AND(WSJAWA!$G$30&gt;=75,WSJAWA!$G$30&lt;=83.24),"P","")</f>
        <v/>
      </c>
      <c r="YB5" s="102" t="str">
        <f>IF(AND(WSJAWA!$G$30&gt;=83.25,WSJAWA!$G$30&lt;=91.4),"P","")</f>
        <v>P</v>
      </c>
      <c r="YC5" s="102" t="str">
        <f>IF(AND(WSJAWA!$G$30&gt;=91.5,WSJAWA!$G$30&lt;=100),"P","")</f>
        <v/>
      </c>
      <c r="YD5" t="str">
        <f>IF(WSJAWA!$G$38&lt;74.9,"P","")</f>
        <v/>
      </c>
      <c r="YE5" s="102" t="str">
        <f>IF(AND(WSJAWA!$G$38&gt;=75,WSJAWA!$G$38&lt;=83.24),"P","")</f>
        <v/>
      </c>
      <c r="YF5" s="102" t="str">
        <f>IF(AND(WSJAWA!$G$38&gt;=83.25,WSJAWA!$G$38&lt;=91.4),"P","")</f>
        <v/>
      </c>
      <c r="YG5" s="102" t="str">
        <f>IF(AND(WSJAWA!$G$38&gt;=91.5,WSJAWA!$G$38&lt;=100),"P","")</f>
        <v>P</v>
      </c>
      <c r="YH5" t="str">
        <f>IF(WSJAWA!$G$46&lt;74.9,"P","")</f>
        <v/>
      </c>
      <c r="YI5" s="102" t="str">
        <f>IF(AND(WSJAWA!$G$46&gt;=75,WSJAWA!$G$46&lt;=83.24),"P","")</f>
        <v>P</v>
      </c>
      <c r="YJ5" s="102" t="str">
        <f>IF(AND(WSJAWA!$G$46&gt;=83.25,WSJAWA!$G$46&lt;=91.4),"P","")</f>
        <v/>
      </c>
      <c r="YK5" s="102" t="str">
        <f>IF(AND(WSJAWA!$G$46&gt;=91.5,WSJAWA!$G$46&lt;=100),"P","")</f>
        <v/>
      </c>
      <c r="YL5" t="str">
        <f>IF(WSJAWA!$G$54&lt;74.9,"P","")</f>
        <v/>
      </c>
      <c r="YM5" s="102" t="str">
        <f>IF(AND(WSJAWA!$G$54&gt;=75,WSJAWA!$G$54&lt;=83.24),"P","")</f>
        <v/>
      </c>
      <c r="YN5" s="102" t="str">
        <f>IF(AND(WSJAWA!$G$54&gt;=83.25,WSJAWA!$G$54&lt;=91.4),"P","")</f>
        <v>P</v>
      </c>
      <c r="YO5" s="102" t="str">
        <f>IF(AND(WSJAWA!$G$54&gt;=91.5,WSJAWA!$G$54&lt;=100),"P","")</f>
        <v/>
      </c>
      <c r="YP5" t="str">
        <f>IF(WSJAWA!$G$62&lt;74.9,"P","")</f>
        <v/>
      </c>
      <c r="YQ5" s="102" t="str">
        <f>IF(AND(WSJAWA!$G$62&gt;=75,WSJAWA!$G$62&lt;=83.24),"P","")</f>
        <v/>
      </c>
      <c r="YR5" s="102" t="str">
        <f>IF(AND(WSJAWA!$G$62&gt;=83.25,WSJAWA!$G$62&lt;=91.4),"P","")</f>
        <v>P</v>
      </c>
      <c r="YS5" s="102" t="str">
        <f>IF(AND(WSJAWA!$G$62&gt;=91.5,WSJAWA!$G$62&lt;=100),"P","")</f>
        <v/>
      </c>
      <c r="YT5" t="str">
        <f>IF(WSJAWA!$G$70&lt;74.9,"P","")</f>
        <v/>
      </c>
      <c r="YU5" s="102" t="str">
        <f>IF(AND(WSJAWA!$G$70&gt;=75,WSJAWA!$G$70&lt;=83.24),"P","")</f>
        <v/>
      </c>
      <c r="YV5" s="102" t="str">
        <f>IF(AND(WSJAWA!$G$70&gt;=83.25,WSJAWA!$G$70&lt;=91.4),"P","")</f>
        <v/>
      </c>
      <c r="YW5" s="102" t="str">
        <f>IF(AND(WSJAWA!$G$70&gt;=91.5,WSJAWA!$G$70&lt;=100),"P","")</f>
        <v/>
      </c>
      <c r="YX5" t="str">
        <f>IF(WSJAWA!$G$78&lt;74.9,"P","")</f>
        <v/>
      </c>
      <c r="YY5" s="102" t="str">
        <f>IF(AND(WSJAWA!$G$78&gt;=75,WSJAWA!$G$78&lt;=83.24),"P","")</f>
        <v/>
      </c>
      <c r="YZ5" s="102" t="str">
        <f>IF(AND(WSJAWA!$G$78&gt;=83.25,WSJAWA!$G$78&lt;=91.4),"P","")</f>
        <v/>
      </c>
      <c r="ZA5" s="102" t="str">
        <f>IF(AND(WSJAWA!$G$78&gt;=91.5,WSJAWA!$G$78&lt;=100),"P","")</f>
        <v/>
      </c>
      <c r="ZB5" t="str">
        <f>IF(WSJAWA!$G$86&lt;74.9,"P","")</f>
        <v/>
      </c>
      <c r="ZC5" s="102" t="str">
        <f>IF(AND(WSJAWA!$G$86&gt;=75,WSJAWA!$G$86&lt;=83.24),"P","")</f>
        <v/>
      </c>
      <c r="ZD5" s="102" t="str">
        <f>IF(AND(WSJAWA!$G$86&gt;=83.25,WSJAWA!$G$86&lt;=91.4),"P","")</f>
        <v/>
      </c>
      <c r="ZE5" s="102" t="str">
        <f>IF(AND(WSJAWA!$G$86&gt;=91.5,WSJAWA!$G$86&lt;=100),"P","")</f>
        <v/>
      </c>
      <c r="ZF5" t="str">
        <f>IF(WSJAWA!$G$94&lt;74.9,"P","")</f>
        <v/>
      </c>
      <c r="ZG5" s="102" t="str">
        <f>IF(AND(WSJAWA!$G$94&gt;=75,WSJAWA!$G$94&lt;=83.24),"P","")</f>
        <v/>
      </c>
      <c r="ZH5" s="102" t="str">
        <f>IF(AND(WSJAWA!$G$94&gt;=83.25,WSJAWA!$G$94&lt;=91.4),"P","")</f>
        <v/>
      </c>
      <c r="ZI5" s="102" t="str">
        <f>IF(AND(WSJAWA!$G$94&gt;=91.5,WSJAWA!$G$94&lt;=100),"P","")</f>
        <v/>
      </c>
      <c r="ZJ5" t="str">
        <f>IF(WSJAWA!$G$102&lt;74.9,"P","")</f>
        <v/>
      </c>
      <c r="ZK5" s="102" t="str">
        <f>IF(AND(WSJAWA!$G$102&gt;=75,WSJAWA!$G$102&lt;=83.24),"P","")</f>
        <v/>
      </c>
      <c r="ZL5" s="102" t="str">
        <f>IF(AND(WSJAWA!$G$102&gt;=83.25,WSJAWA!$G$102&lt;=91.4),"P","")</f>
        <v/>
      </c>
      <c r="ZM5" s="102" t="str">
        <f>IF(AND(WSJAWA!$G$102&gt;=91.5,WSJAWA!$G$102&lt;=100),"P","")</f>
        <v/>
      </c>
      <c r="ZN5" t="str">
        <f>IF(WSING!$G$6&lt;74.9,"P","")</f>
        <v/>
      </c>
      <c r="ZO5" s="102" t="str">
        <f>IF(AND(WSING!$G$6&gt;=75,WSING!$G$6&lt;=83.24),"P","")</f>
        <v/>
      </c>
      <c r="ZP5" s="102" t="str">
        <f>IF(AND(WSING!$G$6&gt;=83.25,WSING!$G$6&lt;=91.4),"P","")</f>
        <v/>
      </c>
      <c r="ZQ5" s="102" t="str">
        <f>IF(AND(WSING!$G$6&gt;=91.5,WSING!$G$6&lt;=100),"P","")</f>
        <v>P</v>
      </c>
      <c r="ZR5" t="str">
        <f>IF(WSING!$G$15&lt;74.9,"P","")</f>
        <v/>
      </c>
      <c r="ZS5" s="102" t="str">
        <f>IF(AND(WSING!$G$15&gt;=75,WSING!$G$15&lt;=83.24),"P","")</f>
        <v/>
      </c>
      <c r="ZT5" s="102" t="str">
        <f>IF(AND(WSING!$G$15&gt;=83.25,WSING!$G$15&lt;=91.4),"P","")</f>
        <v/>
      </c>
      <c r="ZU5" s="102" t="str">
        <f>IF(AND(WSING!$G$15&gt;=91.5,WSING!$G$15&lt;=100),"P","")</f>
        <v>P</v>
      </c>
      <c r="ZV5" t="str">
        <f>IF(WSING!$G$24&lt;74.9,"P","")</f>
        <v/>
      </c>
      <c r="ZW5" s="102" t="str">
        <f>IF(AND(WSING!$G$24&gt;=75,WSING!$G$24&lt;=83.24),"P","")</f>
        <v/>
      </c>
      <c r="ZX5" s="102" t="str">
        <f>IF(AND(WSING!$G$24&gt;=83.25,WSING!$G$24&lt;=91.4),"P","")</f>
        <v>P</v>
      </c>
      <c r="ZY5" s="102" t="str">
        <f>IF(AND(WSING!$G$24&gt;=91.5,WSING!$G$24&lt;=100),"P","")</f>
        <v/>
      </c>
      <c r="ZZ5" t="str">
        <f>IF(WSING!$G$33&lt;74.9,"P","")</f>
        <v/>
      </c>
      <c r="AAA5" s="102" t="str">
        <f>IF(AND(WSING!$G$33&gt;=75,WSING!$G$33&lt;=83.24),"P","")</f>
        <v/>
      </c>
      <c r="AAB5" s="102" t="str">
        <f>IF(AND(WSING!$G$33&gt;=83.25,WSING!$G$33&lt;=91.4),"P","")</f>
        <v>P</v>
      </c>
      <c r="AAC5" s="102" t="str">
        <f>IF(AND(WSING!$G$33&gt;=91.5,WSING!$G$33&lt;=100),"P","")</f>
        <v/>
      </c>
      <c r="AAD5" t="str">
        <f>IF(WSING!$G$42&lt;74.9,"P","")</f>
        <v/>
      </c>
      <c r="AAE5" s="102" t="str">
        <f>IF(AND(WSING!$G$42&gt;=75,WSING!$G$42&lt;=83.24),"P","")</f>
        <v/>
      </c>
      <c r="AAF5" s="102" t="str">
        <f>IF(AND(WSING!$G$42&gt;=83.25,WSING!$G$42&lt;=91.4),"P","")</f>
        <v/>
      </c>
      <c r="AAG5" s="102" t="str">
        <f>IF(AND(WSING!$G$42&gt;=91.5,WSING!$G$42&lt;=100),"P","")</f>
        <v/>
      </c>
      <c r="AAH5" t="str">
        <f>IF(WSING!$G$50&lt;74.9,"P","")</f>
        <v/>
      </c>
      <c r="AAI5" s="102" t="str">
        <f>IF(AND(WSING!$G$50&gt;=75,WSING!$G$50&lt;=83.24),"P","")</f>
        <v/>
      </c>
      <c r="AAJ5" s="102" t="str">
        <f>IF(AND(WSING!$G$50&gt;=83.25,WSING!$G$50&lt;=91.4),"P","")</f>
        <v/>
      </c>
      <c r="AAK5" s="102" t="str">
        <f>IF(AND(WSING!$G$50&gt;=91.5,WSING!$G$50&lt;=100),"P","")</f>
        <v/>
      </c>
      <c r="AAL5" t="str">
        <f>IF(WSING!$G$58&lt;74.9,"P","")</f>
        <v/>
      </c>
      <c r="AAM5" s="102" t="str">
        <f>IF(AND(WSING!$G$58&gt;=75,WSING!$G$58&lt;=83.24),"P","")</f>
        <v/>
      </c>
      <c r="AAN5" s="102" t="str">
        <f>IF(AND(WSING!$G$58&gt;=83.25,WSING!$G$58&lt;=91.4),"P","")</f>
        <v/>
      </c>
      <c r="AAO5" s="102" t="str">
        <f>IF(AND(WSING!$G$58&gt;=91.5,WSING!$G$58&lt;=100),"P","")</f>
        <v/>
      </c>
      <c r="AAP5" t="str">
        <f>IF(WSING!$G$66&lt;74.9,"P","")</f>
        <v/>
      </c>
      <c r="AAQ5" s="102" t="str">
        <f>IF(AND(WSING!$G$66&gt;=75,WSING!$G$66&lt;=83.24),"P","")</f>
        <v/>
      </c>
      <c r="AAR5" s="102" t="str">
        <f>IF(AND(WSING!$G$66&gt;=83.25,WSING!$G$66&lt;=91.4),"P","")</f>
        <v/>
      </c>
      <c r="AAS5" s="102" t="str">
        <f>IF(AND(WSING!$G$66&gt;=91.5,WSING!$G$66&lt;=100),"P","")</f>
        <v/>
      </c>
      <c r="AAT5" t="str">
        <f>IF(WSING!$G$74&lt;74.9,"P","")</f>
        <v/>
      </c>
      <c r="AAU5" s="102" t="str">
        <f>IF(AND(WSING!$G$74&gt;=75,WSING!$G$74&lt;=83.24),"P","")</f>
        <v/>
      </c>
      <c r="AAV5" s="102" t="str">
        <f>IF(AND(WSING!$G$74&gt;=83.25,WSING!$G$74&lt;=91.4),"P","")</f>
        <v/>
      </c>
      <c r="AAW5" s="102" t="str">
        <f>IF(AND(WSING!$G$74&gt;=91.5,WSING!$G$74&lt;=100),"P","")</f>
        <v/>
      </c>
      <c r="AAX5" t="str">
        <f>IF(WSING!$G$82&lt;74.9,"P","")</f>
        <v/>
      </c>
      <c r="AAY5" s="102" t="str">
        <f>IF(AND(WSING!$G$82&gt;=75,WSING!$G$82&lt;=83.24),"P","")</f>
        <v/>
      </c>
      <c r="AAZ5" s="102" t="str">
        <f>IF(AND(WSING!$G$82&gt;=83.25,WSING!$G$82&lt;=91.4),"P","")</f>
        <v/>
      </c>
      <c r="ABA5" s="102" t="str">
        <f>IF(AND(WSING!$G$82&gt;=91.5,WSING!$G$82&lt;=100),"P","")</f>
        <v/>
      </c>
      <c r="ABB5" t="str">
        <f>IF(WSING!$G$90&lt;74.9,"P","")</f>
        <v/>
      </c>
      <c r="ABC5" s="102" t="str">
        <f>IF(AND(WSING!$G$90&gt;=75,WSING!$G$90&lt;=83.24),"P","")</f>
        <v/>
      </c>
      <c r="ABD5" s="102" t="str">
        <f>IF(AND(WSING!$G$90&gt;=83.25,WSING!$G$90&lt;=91.4),"P","")</f>
        <v/>
      </c>
      <c r="ABE5" s="102" t="str">
        <f>IF(AND(WSING!$G$90&gt;=91.5,WSING!$G$90&lt;=100),"P","")</f>
        <v/>
      </c>
      <c r="ABF5" t="str">
        <f>IF(WSING!$G$98&lt;74.9,"P","")</f>
        <v/>
      </c>
      <c r="ABG5" s="102" t="str">
        <f>IF(AND(WSING!$G$98&gt;=75,WSING!$G$98&lt;=83.24),"P","")</f>
        <v/>
      </c>
      <c r="ABH5" s="102" t="str">
        <f>IF(AND(WSING!$G$98&gt;=83.25,WSING!$G$98&lt;=91.4),"P","")</f>
        <v/>
      </c>
      <c r="ABI5" s="102" t="str">
        <f>IF(AND(WSING!$G$98&gt;=91.5,WSING!$G$98&lt;=100),"P","")</f>
        <v/>
      </c>
      <c r="ABJ5" t="str">
        <f>IF(WSING!$G$106&lt;74.9,"P","")</f>
        <v/>
      </c>
      <c r="ABK5" s="102" t="str">
        <f>IF(AND(WSING!$G$106&gt;=75,WSING!$G$106&lt;=83.24),"P","")</f>
        <v/>
      </c>
      <c r="ABL5" s="102" t="str">
        <f>IF(AND(WSING!$G$106&gt;=83.25,WSING!$G$106&lt;=91.4),"P","")</f>
        <v/>
      </c>
      <c r="ABM5" s="102" t="str">
        <f>IF(AND(WSING!$G$106&gt;=91.5,WSING!$G$106&lt;=100),"P","")</f>
        <v/>
      </c>
      <c r="ABN5" t="str">
        <f>IF(WSTIK!$G$6&lt;74.9,"P","")</f>
        <v/>
      </c>
      <c r="ABO5" s="102" t="str">
        <f>IF(AND(WSTIK!$G$6&gt;=75,WSTIK!$G$6&lt;=83.24),"P","")</f>
        <v/>
      </c>
      <c r="ABP5" s="102" t="str">
        <f>IF(AND(WSTIK!$G$6&gt;=83.25,WSTIK!$G$6&lt;=91.4),"P","")</f>
        <v/>
      </c>
      <c r="ABQ5" s="102" t="str">
        <f>IF(AND(WSTIK!$G$6&gt;=91.5,WSTIK!$G$6&lt;=100),"P","")</f>
        <v/>
      </c>
      <c r="ABR5" t="str">
        <f>IF(WSTIK!$G$14&lt;74.9,"P","")</f>
        <v/>
      </c>
      <c r="ABS5" s="102" t="str">
        <f>IF(AND(WSTIK!$G$14&gt;=75,WSTIK!$G$14&lt;=83.24),"P","")</f>
        <v/>
      </c>
      <c r="ABT5" s="102" t="str">
        <f>IF(AND(WSTIK!$G$14&gt;=83.25,WSTIK!$G$14&lt;=91.4),"P","")</f>
        <v/>
      </c>
      <c r="ABU5" s="102" t="str">
        <f>IF(AND(WSTIK!$G$14&gt;=91.5,WSTIK!$G$14&lt;=100),"P","")</f>
        <v/>
      </c>
      <c r="ABV5" t="str">
        <f>IF(WSTIK!$G$22&lt;74.9,"P","")</f>
        <v/>
      </c>
      <c r="ABW5" s="102" t="str">
        <f>IF(AND(WSTIK!$G$22&gt;=75,WSTIK!$G$22&lt;=83.24),"P","")</f>
        <v/>
      </c>
      <c r="ABX5" s="102" t="str">
        <f>IF(AND(WSTIK!$G$22&gt;=83.25,WSTIK!$G$22&lt;=91.4),"P","")</f>
        <v/>
      </c>
      <c r="ABY5" s="102" t="str">
        <f>IF(AND(WSTIK!$G$22&gt;=91.5,WSTIK!$G$22&lt;=100),"P","")</f>
        <v/>
      </c>
      <c r="ABZ5" t="str">
        <f>IF(WSTIK!$G$30&lt;74.9,"P","")</f>
        <v/>
      </c>
      <c r="ACA5" s="102" t="str">
        <f>IF(AND(WSTIK!$G$30&gt;=75,WSTIK!$G$30&lt;=83.24),"P","")</f>
        <v/>
      </c>
      <c r="ACB5" s="102" t="str">
        <f>IF(AND(WSTIK!$G$30&gt;=83.25,WSTIK!$G$30&lt;=91.4),"P","")</f>
        <v/>
      </c>
      <c r="ACC5" s="102" t="str">
        <f>IF(AND(WSTIK!$G$30&gt;=91.5,WSTIK!$G$30&lt;=100),"P","")</f>
        <v/>
      </c>
      <c r="ACD5" t="str">
        <f>IF(WSTIK!$G$38&lt;74.9,"P","")</f>
        <v/>
      </c>
      <c r="ACE5" s="102" t="str">
        <f>IF(AND(WSTIK!$G$38&gt;=75,WSTIK!$G$38&lt;=83.24),"P","")</f>
        <v/>
      </c>
      <c r="ACF5" s="102" t="str">
        <f>IF(AND(WSTIK!$G$38&gt;=83.25,WSTIK!$G$38&lt;=91.4),"P","")</f>
        <v/>
      </c>
      <c r="ACG5" s="102" t="str">
        <f>IF(AND(WSTIK!$G$38&gt;=91.5,WSTIK!$G$38&lt;=100),"P","")</f>
        <v/>
      </c>
      <c r="ACH5" t="str">
        <f>IF(WSTIK!$G$46&lt;74.9,"P","")</f>
        <v/>
      </c>
      <c r="ACI5" s="102" t="str">
        <f>IF(AND(WSTIK!$G$46&gt;=75,WSTIK!$G$46&lt;=83.24),"P","")</f>
        <v/>
      </c>
      <c r="ACJ5" s="102" t="str">
        <f>IF(AND(WSTIK!$G$46&gt;=83.25,WSTIK!$G$46&lt;=91.4),"P","")</f>
        <v/>
      </c>
      <c r="ACK5" s="102" t="str">
        <f>IF(AND(WSTIK!$G$46&gt;=91.5,WSTIK!$G$46&lt;=100),"P","")</f>
        <v/>
      </c>
      <c r="ACL5" t="str">
        <f>IF(WSTIK!$G$54&lt;74.9,"P","")</f>
        <v/>
      </c>
      <c r="ACM5" s="102" t="str">
        <f>IF(AND(WSTIK!$G$54&gt;=75,WSTIK!$G$54&lt;=83.24),"P","")</f>
        <v/>
      </c>
      <c r="ACN5" s="102" t="str">
        <f>IF(AND(WSTIK!$G$54&gt;=83.25,WSTIK!$G$54&lt;=91.4),"P","")</f>
        <v/>
      </c>
      <c r="ACO5" s="102" t="str">
        <f>IF(AND(WSTIK!$G$54&gt;=91.5,WSTIK!$G$54&lt;=100),"P","")</f>
        <v/>
      </c>
      <c r="ACP5" t="str">
        <f>IF(WSTIK!$G$62&lt;74.9,"P","")</f>
        <v/>
      </c>
      <c r="ACQ5" s="102" t="str">
        <f>IF(AND(WSTIK!$G$62&gt;=75,WSTIK!$G$62&lt;=83.24),"P","")</f>
        <v/>
      </c>
      <c r="ACR5" s="102" t="str">
        <f>IF(AND(WSTIK!$G$62&gt;=83.25,WSTIK!$G$62&lt;=91.4),"P","")</f>
        <v/>
      </c>
      <c r="ACS5" s="102" t="str">
        <f>IF(AND(WSTIK!$G$62&gt;=91.5,WSTIK!$G$62&lt;=100),"P","")</f>
        <v/>
      </c>
      <c r="ACT5" t="str">
        <f>IF(WSTIK!$G$70&lt;74.9,"P","")</f>
        <v/>
      </c>
      <c r="ACU5" s="102" t="str">
        <f>IF(AND(WSTIK!$G$70&gt;=75,WSTIK!$G$70&lt;=83.24),"P","")</f>
        <v/>
      </c>
      <c r="ACV5" s="102" t="str">
        <f>IF(AND(WSTIK!$G$70&gt;=83.25,WSTIK!$G$70&lt;=91.4),"P","")</f>
        <v/>
      </c>
      <c r="ACW5" s="102" t="str">
        <f>IF(AND(WSTIK!$G$70&gt;=91.5,WSTIK!$G$70&lt;=100),"P","")</f>
        <v/>
      </c>
      <c r="ACX5" t="str">
        <f>IF(WSTIK!$G$78&lt;74.9,"P","")</f>
        <v/>
      </c>
      <c r="ACY5" s="102" t="str">
        <f>IF(AND(WSTIK!$G$78&gt;=75,WSTIK!$G$78&lt;=83.24),"P","")</f>
        <v/>
      </c>
      <c r="ACZ5" s="102" t="str">
        <f>IF(AND(WSTIK!$G$78&gt;=83.25,WSTIK!$G$78&lt;=91.4),"P","")</f>
        <v/>
      </c>
      <c r="ADA5" s="102" t="str">
        <f>IF(AND(WSTIK!$G$78&gt;=91.5,WSTIK!$G$78&lt;=100),"P","")</f>
        <v/>
      </c>
      <c r="ADB5" t="str">
        <f>IF(WSTIK!$G$86&lt;74.9,"P","")</f>
        <v/>
      </c>
      <c r="ADC5" s="102" t="str">
        <f>IF(AND(WSTIK!$G$86&gt;=75,WSTIK!$G$86&lt;=83.24),"P","")</f>
        <v/>
      </c>
      <c r="ADD5" s="102" t="str">
        <f>IF(AND(WSTIK!$G$86&gt;=83.25,WSTIK!$G$86&lt;=91.4),"P","")</f>
        <v/>
      </c>
      <c r="ADE5" s="102" t="str">
        <f>IF(AND(WSTIK!$G$86&gt;=91.5,WSTIK!$G$86&lt;=100),"P","")</f>
        <v/>
      </c>
      <c r="ADF5" t="str">
        <f>IF(WSTIK!$G$94&lt;74.9,"P","")</f>
        <v/>
      </c>
      <c r="ADG5" s="102" t="str">
        <f>IF(AND(WSTIK!$G$94&gt;=75,WSTIK!$G$94&lt;=83.24),"P","")</f>
        <v/>
      </c>
      <c r="ADH5" s="102" t="str">
        <f>IF(AND(WSTIK!$G$94&gt;=83.25,WSTIK!$G$94&lt;=91.4),"P","")</f>
        <v/>
      </c>
      <c r="ADI5" s="102" t="str">
        <f>IF(AND(WSTIK!$G$94&gt;=91.5,WSTIK!$G$94&lt;=100),"P","")</f>
        <v/>
      </c>
      <c r="ADJ5" t="str">
        <f>IF(WSTIK!$G$102&lt;74.9,"P","")</f>
        <v/>
      </c>
      <c r="ADK5" s="102" t="str">
        <f>IF(AND(WSTIK!$G$102&gt;=75,WSTIK!$G$102&lt;=83.24),"P","")</f>
        <v/>
      </c>
      <c r="ADL5" s="102" t="str">
        <f>IF(AND(WSTIK!$G$102&gt;=83.25,WSTIK!$G$102&lt;=91.4),"P","")</f>
        <v/>
      </c>
      <c r="ADM5" s="102" t="str">
        <f>IF(AND(WSTIK!$G$102&gt;=91.5,WSTIK!$G$102&lt;=100),"P","")</f>
        <v/>
      </c>
      <c r="ADN5" t="str">
        <f>IF(WSASWAJA!$G$6&lt;74.9,"P","")</f>
        <v/>
      </c>
      <c r="ADO5" s="102" t="str">
        <f>IF(AND(WSASWAJA!$G$6&gt;=75,WSASWAJA!$G$6&lt;=83.24),"P","")</f>
        <v/>
      </c>
      <c r="ADP5" s="102" t="str">
        <f>IF(AND(WSASWAJA!$G$6&gt;=83.25,WSASWAJA!$G$6&lt;=91.4),"P","")</f>
        <v/>
      </c>
      <c r="ADQ5" s="102" t="str">
        <f>IF(AND(WSASWAJA!$G$6&gt;=91.5,WSASWAJA!$G$6&lt;=100),"P","")</f>
        <v/>
      </c>
      <c r="ADR5" t="str">
        <f>IF(WSASWAJA!$G$14&lt;74.9,"P","")</f>
        <v/>
      </c>
      <c r="ADS5" s="102" t="str">
        <f>IF(AND(WSASWAJA!$G$14&gt;=75,WSASWAJA!$G$14&lt;=83.24),"P","")</f>
        <v/>
      </c>
      <c r="ADT5" s="102" t="str">
        <f>IF(AND(WSASWAJA!$G$14&gt;=83.25,WSASWAJA!$G$14&lt;=91.4),"P","")</f>
        <v/>
      </c>
      <c r="ADU5" s="102" t="str">
        <f>IF(AND(WSASWAJA!$G$14&gt;=91.5,WSASWAJA!$G$14&lt;=100),"P","")</f>
        <v/>
      </c>
      <c r="ADV5" t="str">
        <f>IF(WSASWAJA!$G$22&lt;74.9,"P","")</f>
        <v/>
      </c>
      <c r="ADW5" s="102" t="str">
        <f>IF(AND(WSASWAJA!$G$22&gt;=75,WSASWAJA!$G$22&lt;=83.24),"P","")</f>
        <v/>
      </c>
      <c r="ADX5" s="102" t="str">
        <f>IF(AND(WSASWAJA!$G$22&gt;=83.25,WSASWAJA!$G$22&lt;=91.4),"P","")</f>
        <v/>
      </c>
      <c r="ADY5" s="102" t="str">
        <f>IF(AND(WSASWAJA!$G$22&gt;=91.5,WSASWAJA!$G$22&lt;=100),"P","")</f>
        <v/>
      </c>
      <c r="ADZ5" t="str">
        <f>IF(WSASWAJA!$G$30&lt;74.9,"P","")</f>
        <v/>
      </c>
      <c r="AEA5" s="102" t="str">
        <f>IF(AND(WSASWAJA!$G$30&gt;=75,WSASWAJA!$G$30&lt;=83.24),"P","")</f>
        <v/>
      </c>
      <c r="AEB5" s="102" t="str">
        <f>IF(AND(WSASWAJA!$G$30&gt;=83.25,WSASWAJA!$G$30&lt;=91.4),"P","")</f>
        <v/>
      </c>
      <c r="AEC5" s="102" t="str">
        <f>IF(AND(WSASWAJA!$G$30&gt;=91.5,WSASWAJA!$G$30&lt;=100),"P","")</f>
        <v/>
      </c>
      <c r="AED5" t="str">
        <f>IF(WSASWAJA!$G$38&lt;74.9,"P","")</f>
        <v/>
      </c>
      <c r="AEE5" s="102" t="str">
        <f>IF(AND(WSASWAJA!$G$38&gt;=75,WSASWAJA!$G$38&lt;=83.24),"P","")</f>
        <v/>
      </c>
      <c r="AEF5" s="102" t="str">
        <f>IF(AND(WSASWAJA!$G$38&gt;=83.25,WSASWAJA!$G$38&lt;=91.4),"P","")</f>
        <v/>
      </c>
      <c r="AEG5" s="102" t="str">
        <f>IF(AND(WSASWAJA!$G$38&gt;=91.5,WSASWAJA!$G$38&lt;=100),"P","")</f>
        <v/>
      </c>
      <c r="AEH5" t="str">
        <f>IF(WSASWAJA!$G$46&lt;74.9,"P","")</f>
        <v/>
      </c>
      <c r="AEI5" s="102" t="str">
        <f>IF(AND(WSASWAJA!$G$46&gt;=75,WSASWAJA!$G$46&lt;=83.24),"P","")</f>
        <v/>
      </c>
      <c r="AEJ5" s="102" t="str">
        <f>IF(AND(WSASWAJA!$G$46&gt;=83.25,WSASWAJA!$G$46&lt;=91.4),"P","")</f>
        <v/>
      </c>
      <c r="AEK5" s="102" t="str">
        <f>IF(AND(WSASWAJA!$G$46&gt;=91.5,WSASWAJA!$G$46&lt;=100),"P","")</f>
        <v/>
      </c>
      <c r="AEL5" t="str">
        <f>IF(WSASWAJA!$G$54&lt;74.9,"P","")</f>
        <v/>
      </c>
      <c r="AEM5" s="102" t="str">
        <f>IF(AND(WSASWAJA!$G$54&gt;=75,WSASWAJA!$G$54&lt;=83.24),"P","")</f>
        <v/>
      </c>
      <c r="AEN5" s="102" t="str">
        <f>IF(AND(WSASWAJA!$G$54&gt;=83.25,WSASWAJA!$G$54&lt;=91.4),"P","")</f>
        <v/>
      </c>
      <c r="AEO5" s="102" t="str">
        <f>IF(AND(WSASWAJA!$G$54&gt;=91.5,WSASWAJA!$G$54&lt;=100),"P","")</f>
        <v/>
      </c>
      <c r="AEP5" t="str">
        <f>IF(WSASWAJA!$G$62&lt;74.9,"P","")</f>
        <v/>
      </c>
      <c r="AEQ5" s="102" t="str">
        <f>IF(AND(WSASWAJA!$G$62&gt;=75,WSASWAJA!$G$62&lt;=83.24),"P","")</f>
        <v/>
      </c>
      <c r="AER5" s="102" t="str">
        <f>IF(AND(WSASWAJA!$G$62&gt;=83.25,WSASWAJA!$G$62&lt;=91.4),"P","")</f>
        <v/>
      </c>
      <c r="AES5" s="102" t="str">
        <f>IF(AND(WSASWAJA!$G$62&gt;=91.5,WSASWAJA!$G$62&lt;=100),"P","")</f>
        <v/>
      </c>
      <c r="AET5" t="str">
        <f>IF(WSASWAJA!$G$70&lt;74.9,"P","")</f>
        <v/>
      </c>
      <c r="AEU5" s="102" t="str">
        <f>IF(AND(WSASWAJA!$G$70&gt;=75,WSASWAJA!$G$70&lt;=83.24),"P","")</f>
        <v/>
      </c>
      <c r="AEV5" s="102" t="str">
        <f>IF(AND(WSASWAJA!$G$70&gt;=83.25,WSASWAJA!$G$70&lt;=91.4),"P","")</f>
        <v/>
      </c>
      <c r="AEW5" s="102" t="str">
        <f>IF(AND(WSASWAJA!$G$70&gt;=91.5,WSASWAJA!$G$70&lt;=100),"P","")</f>
        <v/>
      </c>
      <c r="AEX5" t="str">
        <f>IF(WSASWAJA!$G$78&lt;74.9,"P","")</f>
        <v/>
      </c>
      <c r="AEY5" s="102" t="str">
        <f>IF(AND(WSASWAJA!$G$78&gt;=75,WSASWAJA!$G$78&lt;=83.24),"P","")</f>
        <v/>
      </c>
      <c r="AEZ5" s="102" t="str">
        <f>IF(AND(WSASWAJA!$G$78&gt;=83.25,WSASWAJA!$G$78&lt;=91.4),"P","")</f>
        <v/>
      </c>
      <c r="AFA5" s="102" t="str">
        <f>IF(AND(WSASWAJA!$G$78&gt;=91.5,WSASWAJA!$G$78&lt;=100),"P","")</f>
        <v/>
      </c>
      <c r="AFB5" t="str">
        <f>IF(WSASWAJA!$G$86&lt;74.9,"P","")</f>
        <v/>
      </c>
      <c r="AFC5" s="102" t="str">
        <f>IF(AND(WSASWAJA!$G$86&gt;=75,WSASWAJA!$G$86&lt;=83.24),"P","")</f>
        <v/>
      </c>
      <c r="AFD5" s="102" t="str">
        <f>IF(AND(WSASWAJA!$G$86&gt;=83.25,WSASWAJA!$G$86&lt;=91.4),"P","")</f>
        <v/>
      </c>
      <c r="AFE5" s="102" t="str">
        <f>IF(AND(WSASWAJA!$G$86&gt;=91.5,WSASWAJA!$G$86&lt;=100),"P","")</f>
        <v/>
      </c>
      <c r="AFF5" t="str">
        <f>IF(WSASWAJA!$G$94&lt;74.9,"P","")</f>
        <v/>
      </c>
      <c r="AFG5" s="102" t="str">
        <f>IF(AND(WSASWAJA!$G$94&gt;=75,WSASWAJA!$G$94&lt;=83.24),"P","")</f>
        <v/>
      </c>
      <c r="AFH5" s="102" t="str">
        <f>IF(AND(WSASWAJA!$G$94&gt;=83.25,WSASWAJA!$G$94&lt;=91.4),"P","")</f>
        <v/>
      </c>
      <c r="AFI5" s="102" t="str">
        <f>IF(AND(WSASWAJA!$G$94&gt;=91.5,WSASWAJA!$G$94&lt;=100),"P","")</f>
        <v/>
      </c>
      <c r="AFJ5" t="str">
        <f>IF(WSASWAJA!$G$102&lt;74.9,"P","")</f>
        <v/>
      </c>
      <c r="AFK5" s="102" t="str">
        <f>IF(AND(WSASWAJA!$G$102&gt;=75,WSASWAJA!$G$102&lt;=83.24),"P","")</f>
        <v/>
      </c>
      <c r="AFL5" s="102" t="str">
        <f>IF(AND(WSASWAJA!$G$102&gt;=83.25,WSASWAJA!$G$102&lt;=91.4),"P","")</f>
        <v/>
      </c>
      <c r="AFM5" s="102" t="str">
        <f>IF(AND(WSASWAJA!$G$102&gt;=91.5,WSASWAJA!$G$102&lt;=100),"P","")</f>
        <v/>
      </c>
    </row>
    <row r="6" spans="1:852" ht="20.100000000000001" customHeight="1">
      <c r="A6">
        <v>4</v>
      </c>
      <c r="B6" s="104" t="str">
        <f>IF(WSALQURAN!$H$6&lt;74.9,"P","")</f>
        <v/>
      </c>
      <c r="C6" s="103" t="str">
        <f>IF(AND(WSALQURAN!$H$6&gt;=75,WSALQURAN!$H$6&lt;=83.24),"P","")</f>
        <v/>
      </c>
      <c r="D6" s="103" t="str">
        <f>IF(AND(WSALQURAN!$H$6&gt;=83.25,WSALQURAN!$H$6&lt;=91.4),"P","")</f>
        <v/>
      </c>
      <c r="E6" s="103" t="str">
        <f>IF(AND(WSALQURAN!$H$6&gt;=91.5,WSALQURAN!$H$6&lt;=100),"P","")</f>
        <v>P</v>
      </c>
      <c r="F6" t="str">
        <f>IF(WSALQURAN!$H$14&lt;74.9,"P","")</f>
        <v/>
      </c>
      <c r="G6" s="102" t="str">
        <f>IF(AND(WSALQURAN!$H$14&gt;=75,WSALQURAN!$H$14&lt;=83.24),"P","")</f>
        <v/>
      </c>
      <c r="H6" s="102" t="str">
        <f>IF(AND(WSALQURAN!$H$14&gt;=83.25,WSALQURAN!$H$14&lt;=91.4),"P","")</f>
        <v/>
      </c>
      <c r="I6" s="102" t="str">
        <f>IF(AND(WSALQURAN!$H$14&gt;=91.5,WSALQURAN!$H$14&lt;=100),"P","")</f>
        <v>P</v>
      </c>
      <c r="J6" t="str">
        <f>IF(WSALQURAN!$H$22&lt;74.9,"P","")</f>
        <v/>
      </c>
      <c r="K6" s="102" t="str">
        <f>IF(AND(WSALQURAN!$H$22&gt;=75,WSALQURAN!$H$22&lt;=83.24),"P","")</f>
        <v/>
      </c>
      <c r="L6" s="102" t="str">
        <f>IF(AND(WSALQURAN!$H$22&gt;=83.25,WSALQURAN!$H$22&lt;=91.4),"P","")</f>
        <v>P</v>
      </c>
      <c r="M6" s="102" t="str">
        <f>IF(AND(WSALQURAN!$H$22&gt;=91.5,WSALQURAN!$H$22&lt;=100),"P","")</f>
        <v/>
      </c>
      <c r="N6" t="str">
        <f>IF(WSALQURAN!$H$30&lt;74.9,"P","")</f>
        <v/>
      </c>
      <c r="O6" s="102" t="str">
        <f>IF(AND(WSALQURAN!$H$30&gt;=75,WSALQURAN!$H$30&lt;=83.24),"P","")</f>
        <v/>
      </c>
      <c r="P6" s="102" t="str">
        <f>IF(AND(WSALQURAN!$H$30&gt;=83.25,WSALQURAN!$H$30&lt;=91.4),"P","")</f>
        <v/>
      </c>
      <c r="Q6" s="102" t="str">
        <f>IF(AND(WSALQURAN!$H$30&gt;=91.5,WSALQURAN!$H$30&lt;=100),"P","")</f>
        <v>P</v>
      </c>
      <c r="R6" t="str">
        <f>IF(WSALQURAN!$H$38&lt;74.9,"P","")</f>
        <v/>
      </c>
      <c r="S6" s="102" t="str">
        <f>IF(AND(WSALQURAN!$H$38&gt;=75,WSALQURAN!$H$38&lt;=83.24),"P","")</f>
        <v/>
      </c>
      <c r="T6" s="102" t="str">
        <f>IF(AND(WSALQURAN!$H$38&gt;=83.25,WSALQURAN!$H$38&lt;=91.4),"P","")</f>
        <v/>
      </c>
      <c r="U6" s="102" t="str">
        <f>IF(AND(WSALQURAN!$H$38&gt;=91.5,WSALQURAN!$H$38&lt;=100),"P","")</f>
        <v>P</v>
      </c>
      <c r="V6" t="str">
        <f>IF(WSALQURAN!$H$46&lt;74.9,"P","")</f>
        <v/>
      </c>
      <c r="W6" s="102" t="str">
        <f>IF(AND(WSALQURAN!$H$46&gt;=75,WSALQURAN!$H$46&lt;=83.24),"P","")</f>
        <v/>
      </c>
      <c r="X6" s="102" t="str">
        <f>IF(AND(WSALQURAN!$H$46&gt;=83.25,WSALQURAN!$H$46&lt;=91.4),"P","")</f>
        <v/>
      </c>
      <c r="Y6" s="102" t="str">
        <f>IF(AND(WSALQURAN!$H$46&gt;=91.5,WSALQURAN!$H$46&lt;=100),"P","")</f>
        <v>P</v>
      </c>
      <c r="Z6" t="str">
        <f>IF(WSALQURAN!$H$54&lt;74.9,"P","")</f>
        <v/>
      </c>
      <c r="AA6" s="102" t="str">
        <f>IF(AND(WSALQURAN!$H$54&gt;=75,WSALQURAN!$H$54&lt;=83.24),"P","")</f>
        <v/>
      </c>
      <c r="AB6" s="102" t="str">
        <f>IF(AND(WSALQURAN!$H$54&gt;=83.25,WSALQURAN!$H$54&lt;=91.4),"P","")</f>
        <v/>
      </c>
      <c r="AC6" s="102" t="str">
        <f>IF(AND(WSALQURAN!$H$54&gt;=91.5,WSALQURAN!$H$54&lt;=100),"P","")</f>
        <v>P</v>
      </c>
      <c r="AD6" t="str">
        <f>IF(WSALQURAN!$H$62&lt;74.9,"P","")</f>
        <v/>
      </c>
      <c r="AE6" s="102" t="str">
        <f>IF(AND(WSALQURAN!$H$62&gt;=75,WSALQURAN!$H$62&lt;=83.24),"P","")</f>
        <v/>
      </c>
      <c r="AF6" s="102" t="str">
        <f>IF(AND(WSALQURAN!$H$62&gt;=83.25,WSALQURAN!$H$62&lt;=91.4),"P","")</f>
        <v/>
      </c>
      <c r="AG6" s="102" t="str">
        <f>IF(AND(WSALQURAN!$H$62&gt;=91.5,WSALQURAN!$H$62&lt;=100),"P","")</f>
        <v/>
      </c>
      <c r="AH6" t="str">
        <f>IF(WSALQURAN!$H$70&lt;74.9,"P","")</f>
        <v/>
      </c>
      <c r="AI6" s="102" t="str">
        <f>IF(AND(WSALQURAN!$H$70&gt;=75,WSALQURAN!$H$70&lt;=83.24),"P","")</f>
        <v/>
      </c>
      <c r="AJ6" s="102" t="str">
        <f>IF(AND(WSALQURAN!$H$70&gt;=83.25,WSALQURAN!$H$70&lt;=91.4),"P","")</f>
        <v/>
      </c>
      <c r="AK6" s="102" t="str">
        <f>IF(AND(WSALQURAN!$H$70&gt;=91.5,WSALQURAN!$H$70&lt;=100),"P","")</f>
        <v/>
      </c>
      <c r="AL6" t="str">
        <f>IF(WSALQURAN!$H$78&lt;74.9,"P","")</f>
        <v/>
      </c>
      <c r="AM6" s="102" t="str">
        <f>IF(AND(WSALQURAN!$H$78&gt;=75,WSALQURAN!$H$78&lt;=83.24),"P","")</f>
        <v/>
      </c>
      <c r="AN6" s="102" t="str">
        <f>IF(AND(WSALQURAN!$H$78&gt;=83.25,WSALQURAN!$H$78&lt;=91.4),"P","")</f>
        <v/>
      </c>
      <c r="AO6" s="102" t="str">
        <f>IF(AND(WSALQURAN!$H$78&gt;=91.5,WSALQURAN!$H$78&lt;=100),"P","")</f>
        <v/>
      </c>
      <c r="AP6" t="str">
        <f>IF(WSALQURAN!$H$86&lt;74.9,"P","")</f>
        <v/>
      </c>
      <c r="AQ6" s="102" t="str">
        <f>IF(AND(WSALQURAN!$H$86&gt;=75,WSALQURAN!$H$86&lt;=83.24),"P","")</f>
        <v/>
      </c>
      <c r="AR6" s="102" t="str">
        <f>IF(AND(WSALQURAN!$H$86&gt;=83.25,WSALQURAN!$H$86&lt;=91.4),"P","")</f>
        <v/>
      </c>
      <c r="AS6" s="102" t="str">
        <f>IF(AND(WSALQURAN!$H$86&gt;=91.5,WSALQURAN!$H$86&lt;=100),"P","")</f>
        <v/>
      </c>
      <c r="AT6" t="str">
        <f>IF(WSALQURAN!$H$94&lt;74.9,"P","")</f>
        <v/>
      </c>
      <c r="AU6" s="102" t="str">
        <f>IF(AND(WSALQURAN!$H$94&gt;=75,WSALQURAN!$H$94&lt;=83.24),"P","")</f>
        <v/>
      </c>
      <c r="AV6" s="102" t="str">
        <f>IF(AND(WSALQURAN!$H$94&gt;=83.25,WSALQURAN!$H$94&lt;=91.4),"P","")</f>
        <v/>
      </c>
      <c r="AW6" s="102" t="str">
        <f>IF(AND(WSALQURAN!$H$94&gt;=91.5,WSALQURAN!$H$94&lt;=100),"P","")</f>
        <v/>
      </c>
      <c r="AX6" t="str">
        <f>IF(WSALQURAN!$H$102&lt;74.9,"P","")</f>
        <v/>
      </c>
      <c r="AY6" s="102" t="str">
        <f>IF(AND(WSALQURAN!$H$102&gt;=75,WSALQURAN!$H$102&lt;=83.24),"P","")</f>
        <v/>
      </c>
      <c r="AZ6" s="102" t="str">
        <f>IF(AND(WSALQURAN!$H$102&gt;=83.25,WSALQURAN!$H$102&lt;=91.4),"P","")</f>
        <v/>
      </c>
      <c r="BA6" s="102" t="str">
        <f>IF(AND(WSALQURAN!$H$102&gt;=91.5,WSALQURAN!$H$102&lt;=100),"P","")</f>
        <v/>
      </c>
      <c r="BB6" t="str">
        <f>IF(WSAQIDAH!$H$6&lt;74.9,"P","")</f>
        <v/>
      </c>
      <c r="BC6" s="102" t="str">
        <f>IF(AND(WSAQIDAH!$H$6&gt;=75,WSAQIDAH!$H$6&lt;=83.24),"P","")</f>
        <v/>
      </c>
      <c r="BD6" s="102" t="str">
        <f>IF(AND(WSAQIDAH!$H$6&gt;=83.25,WSAQIDAH!$H$6&lt;=91.4),"P","")</f>
        <v>P</v>
      </c>
      <c r="BE6" s="102" t="str">
        <f>IF(AND(WSAQIDAH!$H$6&gt;=91.5,WSAQIDAH!$H$6&lt;=100),"P","")</f>
        <v/>
      </c>
      <c r="BF6" t="str">
        <f>IF(WSAQIDAH!$H$14&lt;74.9,"P","")</f>
        <v/>
      </c>
      <c r="BG6" s="102" t="str">
        <f>IF(AND(WSAQIDAH!$H$14&gt;=75,WSAQIDAH!$H$14&lt;=83.24),"P","")</f>
        <v/>
      </c>
      <c r="BH6" s="102" t="str">
        <f>IF(AND(WSAQIDAH!$H$14&gt;=83.25,WSAQIDAH!$H$14&lt;=91.4),"P","")</f>
        <v/>
      </c>
      <c r="BI6" s="102" t="str">
        <f>IF(AND(WSAQIDAH!$H$14&gt;=91.5,WSAQIDAH!$H$14&lt;=100),"P","")</f>
        <v>P</v>
      </c>
      <c r="BJ6" t="str">
        <f>IF(WSAQIDAH!$H$22&lt;74.9,"P","")</f>
        <v/>
      </c>
      <c r="BK6" s="102" t="str">
        <f>IF(AND(WSAQIDAH!$H$22&gt;=75,WSAQIDAH!$H$22&lt;=83.24),"P","")</f>
        <v/>
      </c>
      <c r="BL6" s="102" t="str">
        <f>IF(AND(WSAQIDAH!$H$22&gt;=83.25,WSAQIDAH!$H$22&lt;=91.4),"P","")</f>
        <v>P</v>
      </c>
      <c r="BM6" s="102" t="str">
        <f>IF(AND(WSAQIDAH!$H$22&gt;=91.5,WSAQIDAH!$H$22&lt;=100),"P","")</f>
        <v/>
      </c>
      <c r="BN6" t="str">
        <f>IF(WSAQIDAH!$H$30&lt;74.9,"P","")</f>
        <v/>
      </c>
      <c r="BO6" s="102" t="str">
        <f>IF(AND(WSAQIDAH!$H$30&gt;=75,WSAQIDAH!$H$30&lt;=83.24),"P","")</f>
        <v/>
      </c>
      <c r="BP6" s="102" t="str">
        <f>IF(AND(WSAQIDAH!$H$30&gt;=83.25,WSAQIDAH!$H$30&lt;=91.4),"P","")</f>
        <v>P</v>
      </c>
      <c r="BQ6" s="102" t="str">
        <f>IF(AND(WSAQIDAH!$H$30&gt;=91.5,WSAQIDAH!$H$30&lt;=100),"P","")</f>
        <v/>
      </c>
      <c r="BR6" t="str">
        <f>IF(WSAQIDAH!$H$38&lt;74.9,"P","")</f>
        <v/>
      </c>
      <c r="BS6" s="102" t="str">
        <f>IF(AND(WSAQIDAH!$H$38&gt;=75,WSAQIDAH!$H$38&lt;=83.24),"P","")</f>
        <v/>
      </c>
      <c r="BT6" s="102" t="str">
        <f>IF(AND(WSAQIDAH!$H$38&gt;=83.25,WSAQIDAH!$H$38&lt;=91.4),"P","")</f>
        <v>P</v>
      </c>
      <c r="BU6" s="102" t="str">
        <f>IF(AND(WSAQIDAH!$H$38&gt;=91.5,WSAQIDAH!$H$38&lt;=100),"P","")</f>
        <v/>
      </c>
      <c r="BV6" t="str">
        <f>IF(WSAQIDAH!$H$46&lt;74.9,"P","")</f>
        <v/>
      </c>
      <c r="BW6" s="102" t="str">
        <f>IF(AND(WSAQIDAH!$H$46&gt;=75,WSAQIDAH!$H$46&lt;=83.24),"P","")</f>
        <v/>
      </c>
      <c r="BX6" s="102" t="str">
        <f>IF(AND(WSAQIDAH!$H$46&gt;=83.25,WSAQIDAH!$H$46&lt;=91.4),"P","")</f>
        <v>P</v>
      </c>
      <c r="BY6" s="102" t="str">
        <f>IF(AND(WSAQIDAH!$H$46&gt;=91.5,WSAQIDAH!$H$46&lt;=100),"P","")</f>
        <v/>
      </c>
      <c r="BZ6" t="str">
        <f>IF(WSAQIDAH!$H$54&lt;74.9,"P","")</f>
        <v/>
      </c>
      <c r="CA6" s="102" t="str">
        <f>IF(AND(WSAQIDAH!$H$54&gt;=75,WSAQIDAH!$H$54&lt;=83.24),"P","")</f>
        <v/>
      </c>
      <c r="CB6" s="102" t="str">
        <f>IF(AND(WSAQIDAH!$H$54&gt;=83.25,WSAQIDAH!$H$54&lt;=91.4),"P","")</f>
        <v>P</v>
      </c>
      <c r="CC6" s="102" t="str">
        <f>IF(AND(WSAQIDAH!$H$54&gt;=91.5,WSAQIDAH!$H$54&lt;=100),"P","")</f>
        <v/>
      </c>
      <c r="CD6" t="str">
        <f>IF(WSAQIDAH!$H$62&lt;74.9,"P","")</f>
        <v/>
      </c>
      <c r="CE6" s="102" t="str">
        <f>IF(AND(WSAQIDAH!$H$62&gt;=75,WSAQIDAH!$H$62&lt;=83.24),"P","")</f>
        <v/>
      </c>
      <c r="CF6" s="102" t="str">
        <f>IF(AND(WSAQIDAH!$H$62&gt;=83.25,WSAQIDAH!$H$62&lt;=91.4),"P","")</f>
        <v>P</v>
      </c>
      <c r="CG6" s="102" t="str">
        <f>IF(AND(WSAQIDAH!$H$62&gt;=91.5,WSAQIDAH!$H$62&lt;=100),"P","")</f>
        <v/>
      </c>
      <c r="CH6" t="str">
        <f>IF(WSAQIDAH!$H$70&lt;74.9,"P","")</f>
        <v/>
      </c>
      <c r="CI6" s="102" t="str">
        <f>IF(AND(WSAQIDAH!$H$70&gt;=75,WSAQIDAH!$H$70&lt;=83.24),"P","")</f>
        <v/>
      </c>
      <c r="CJ6" s="102" t="str">
        <f>IF(AND(WSAQIDAH!$H$70&gt;=83.25,WSAQIDAH!$H$70&lt;=91.4),"P","")</f>
        <v>P</v>
      </c>
      <c r="CK6" s="102" t="str">
        <f>IF(AND(WSAQIDAH!$H$70&gt;=91.5,WSAQIDAH!$H$70&lt;=100),"P","")</f>
        <v/>
      </c>
      <c r="CL6" t="str">
        <f>IF(WSAQIDAH!$H$78&lt;74.9,"P","")</f>
        <v/>
      </c>
      <c r="CM6" s="102" t="str">
        <f>IF(AND(WSAQIDAH!$H$78&gt;=75,WSAQIDAH!$H$78&lt;=83.24),"P","")</f>
        <v/>
      </c>
      <c r="CN6" s="102" t="str">
        <f>IF(AND(WSAQIDAH!$H$78&gt;=83.25,WSAQIDAH!$H$78&lt;=91.4),"P","")</f>
        <v>P</v>
      </c>
      <c r="CO6" s="102" t="str">
        <f>IF(AND(WSAQIDAH!$H$78&gt;=91.5,WSAQIDAH!$H$78&lt;=100),"P","")</f>
        <v/>
      </c>
      <c r="CP6" t="str">
        <f>IF(WSAQIDAH!$H$86&lt;74.9,"P","")</f>
        <v/>
      </c>
      <c r="CQ6" s="102" t="str">
        <f>IF(AND(WSAQIDAH!$H$86&gt;=75,WSAQIDAH!$H$86&lt;=83.24),"P","")</f>
        <v/>
      </c>
      <c r="CR6" s="102" t="str">
        <f>IF(AND(WSAQIDAH!$H$86&gt;=83.25,WSAQIDAH!$H$86&lt;=91.4),"P","")</f>
        <v/>
      </c>
      <c r="CS6" s="102" t="str">
        <f>IF(AND(WSAQIDAH!$H$86&gt;=91.5,WSAQIDAH!$H$86&lt;=100),"P","")</f>
        <v/>
      </c>
      <c r="CT6" t="str">
        <f>IF(WSAQIDAH!$H$94&lt;74.9,"P","")</f>
        <v/>
      </c>
      <c r="CU6" s="102" t="str">
        <f>IF(AND(WSAQIDAH!$H$94&gt;=75,WSAQIDAH!$H$94&lt;=83.24),"P","")</f>
        <v/>
      </c>
      <c r="CV6" s="102" t="str">
        <f>IF(AND(WSAQIDAH!$H$94&gt;=83.25,WSAQIDAH!$H$94&lt;=91.4),"P","")</f>
        <v/>
      </c>
      <c r="CW6" s="102" t="str">
        <f>IF(AND(WSAQIDAH!$H$94&gt;=91.5,WSAQIDAH!$H$94&lt;=100),"P","")</f>
        <v/>
      </c>
      <c r="CX6" t="str">
        <f>IF(WSAQIDAH!$H$102&lt;74.9,"P","")</f>
        <v/>
      </c>
      <c r="CY6" s="102" t="str">
        <f>IF(AND(WSAQIDAH!$H$102&gt;=75,WSAQIDAH!$H$102&lt;=83.24),"P","")</f>
        <v/>
      </c>
      <c r="CZ6" s="102" t="str">
        <f>IF(AND(WSAQIDAH!$H$102&gt;=83.25,WSAQIDAH!$H$102&lt;=91.4),"P","")</f>
        <v/>
      </c>
      <c r="DA6" s="102" t="str">
        <f>IF(AND(WSAQIDAH!$H$102&gt;=91.5,WSAQIDAH!$H$102&lt;=100),"P","")</f>
        <v/>
      </c>
      <c r="DB6" t="str">
        <f>IF(WSSKI!$H$6&lt;74.9,"P","")</f>
        <v/>
      </c>
      <c r="DC6" s="102" t="str">
        <f>IF(AND(WSSKI!$H$6&gt;=75,WSSKI!$H$6&lt;=83.24),"P","")</f>
        <v>P</v>
      </c>
      <c r="DD6" s="102" t="str">
        <f>IF(AND(WSSKI!$H$6&gt;=83.25,WSSKI!$H$6&lt;=91.4),"P","")</f>
        <v/>
      </c>
      <c r="DE6" s="102" t="str">
        <f>IF(AND(WSSKI!$H$6&gt;=91.5,WSSKI!$H$6&lt;=100),"P","")</f>
        <v/>
      </c>
      <c r="DF6" t="str">
        <f>IF(WSSKI!$H$14&lt;74.9,"P","")</f>
        <v/>
      </c>
      <c r="DG6" s="102" t="str">
        <f>IF(AND(WSSKI!$H$14&gt;=75,WSSKI!$H$14&lt;=83.24),"P","")</f>
        <v/>
      </c>
      <c r="DH6" s="102" t="str">
        <f>IF(AND(WSSKI!$H$14&gt;=83.25,WSSKI!$H$14&lt;=91.4),"P","")</f>
        <v/>
      </c>
      <c r="DI6" s="102" t="str">
        <f>IF(AND(WSSKI!$H$14&gt;=91.5,WSSKI!$H$14&lt;=100),"P","")</f>
        <v>P</v>
      </c>
      <c r="DJ6" t="str">
        <f>IF(WSSKI!$H$23&lt;74.9,"P","")</f>
        <v/>
      </c>
      <c r="DK6" s="102" t="str">
        <f>IF(AND(WSSKI!$H$23&gt;=75,WSSKI!$H$23&lt;=83.24),"P","")</f>
        <v>P</v>
      </c>
      <c r="DL6" s="102" t="str">
        <f>IF(AND(WSSKI!$H$23&gt;=83.25,WSSKI!$H$23&lt;=91.4),"P","")</f>
        <v/>
      </c>
      <c r="DM6" s="102" t="str">
        <f>IF(AND(WSSKI!$H$23&gt;=91.5,WSSKI!$H$23&lt;=100),"P","")</f>
        <v/>
      </c>
      <c r="DN6" t="str">
        <f>IF(WSSKI!$H$31&lt;74.9,"P","")</f>
        <v/>
      </c>
      <c r="DO6" s="102" t="str">
        <f>IF(AND(WSSKI!$H$31&gt;=75,WSSKI!$H$31&lt;=83.24),"P","")</f>
        <v>P</v>
      </c>
      <c r="DP6" s="102" t="str">
        <f>IF(AND(WSSKI!$H$31&gt;=83.25,WSSKI!$H$31&lt;=91.4),"P","")</f>
        <v/>
      </c>
      <c r="DQ6" s="102" t="str">
        <f>IF(AND(WSSKI!$H$31&gt;=91.5,WSSKI!$H$31&lt;=100),"P","")</f>
        <v/>
      </c>
      <c r="DR6" t="str">
        <f>IF(WSSKI!$H$40&lt;74.9,"P","")</f>
        <v/>
      </c>
      <c r="DS6" s="102" t="str">
        <f>IF(AND(WSSKI!$H$40&gt;=75,WSSKI!$H$40&lt;=83.24),"P","")</f>
        <v/>
      </c>
      <c r="DT6" s="102" t="str">
        <f>IF(AND(WSSKI!$H$40&gt;=83.25,WSSKI!$H$40&lt;=91.4),"P","")</f>
        <v>P</v>
      </c>
      <c r="DU6" s="102" t="str">
        <f>IF(AND(WSSKI!$H$40&gt;=91.5,WSSKI!$H$40&lt;=100),"P","")</f>
        <v/>
      </c>
      <c r="DV6" t="str">
        <f>IF(WSSKI!$H$48&lt;74.9,"P","")</f>
        <v/>
      </c>
      <c r="DW6" s="102" t="str">
        <f>IF(AND(WSSKI!$H$48&gt;=75,WSSKI!$H$48&lt;=83.24),"P","")</f>
        <v>P</v>
      </c>
      <c r="DX6" s="102" t="str">
        <f>IF(AND(WSSKI!$H$48&gt;=83.25,WSSKI!$H$48&lt;=91.4),"P","")</f>
        <v/>
      </c>
      <c r="DY6" s="102" t="str">
        <f>IF(AND(WSSKI!$H$48&gt;=91.5,WSSKI!$H$48&lt;=100),"P","")</f>
        <v/>
      </c>
      <c r="DZ6" t="str">
        <f>IF(WSSKI!$H$56&lt;74.9,"P","")</f>
        <v/>
      </c>
      <c r="EA6" s="102" t="str">
        <f>IF(AND(WSSKI!$H$56&gt;=75,WSSKI!$H$56&lt;=83.24),"P","")</f>
        <v/>
      </c>
      <c r="EB6" s="102" t="str">
        <f>IF(AND(WSSKI!$H$56&gt;=83.25,WSSKI!$H$56&lt;=91.4),"P","")</f>
        <v/>
      </c>
      <c r="EC6" s="102" t="str">
        <f>IF(AND(WSSKI!$H$56&gt;=91.5,WSSKI!$H$56&lt;=100),"P","")</f>
        <v/>
      </c>
      <c r="ED6" t="str">
        <f>IF(WSSKI!$H$64&lt;74.9,"P","")</f>
        <v/>
      </c>
      <c r="EE6" s="102" t="str">
        <f>IF(AND(WSSKI!$H$64&gt;=75,WSSKI!$H$64&lt;=83.24),"P","")</f>
        <v/>
      </c>
      <c r="EF6" s="102" t="str">
        <f>IF(AND(WSSKI!$H$64&gt;=83.25,WSSKI!$H$64&lt;=91.4),"P","")</f>
        <v/>
      </c>
      <c r="EG6" s="102" t="str">
        <f>IF(AND(WSSKI!$H$64&gt;=91.5,WSSKI!$H$64&lt;=100),"P","")</f>
        <v/>
      </c>
      <c r="EH6" t="str">
        <f>IF(WSSKI!$H$72&lt;74.9,"P","")</f>
        <v/>
      </c>
      <c r="EI6" s="102" t="str">
        <f>IF(AND(WSSKI!$H$72&gt;=75,WSSKI!$H$72&lt;=83.24),"P","")</f>
        <v/>
      </c>
      <c r="EJ6" s="102" t="str">
        <f>IF(AND(WSSKI!$H$72&gt;=83.25,WSSKI!$H$72&lt;=91.4),"P","")</f>
        <v/>
      </c>
      <c r="EK6" s="102" t="str">
        <f>IF(AND(WSSKI!$H$72&gt;=91.5,WSSKI!$H$72&lt;=100),"P","")</f>
        <v/>
      </c>
      <c r="EL6" t="str">
        <f>IF(WSSKI!$H$80&lt;74.9,"P","")</f>
        <v/>
      </c>
      <c r="EM6" s="102" t="str">
        <f>IF(AND(WSSKI!$H$80&gt;=75,WSSKI!$H$80&lt;=83.24),"P","")</f>
        <v/>
      </c>
      <c r="EN6" s="102" t="str">
        <f>IF(AND(WSSKI!$H$80&gt;=83.25,WSSKI!$H$80&lt;=91.4),"P","")</f>
        <v/>
      </c>
      <c r="EO6" s="102" t="str">
        <f>IF(AND(WSSKI!$H$80&gt;=91.5,WSSKI!$H$80&lt;=100),"P","")</f>
        <v/>
      </c>
      <c r="EP6" t="str">
        <f>IF(WSSKI!$H$88&lt;74.9,"P","")</f>
        <v/>
      </c>
      <c r="EQ6" s="102" t="str">
        <f>IF(AND(WSSKI!$H$88&gt;=75,WSSKI!$H$88&lt;=83.24),"P","")</f>
        <v/>
      </c>
      <c r="ER6" s="102" t="str">
        <f>IF(AND(WSSKI!$H$88&gt;=83.25,WSSKI!$H$88&lt;=91.4),"P","")</f>
        <v/>
      </c>
      <c r="ES6" s="102" t="str">
        <f>IF(AND(WSSKI!$H$88&gt;=91.5,WSSKI!$H$88&lt;=100),"P","")</f>
        <v/>
      </c>
      <c r="ET6" t="str">
        <f>IF(WSSKI!$H$96&lt;74.9,"P","")</f>
        <v/>
      </c>
      <c r="EU6" s="102" t="str">
        <f>IF(AND(WSSKI!$H$96&gt;=75,WSSKI!$H$96&lt;=83.24),"P","")</f>
        <v/>
      </c>
      <c r="EV6" s="102" t="str">
        <f>IF(AND(WSSKI!$H$96&gt;=83.25,WSSKI!$H$96&lt;=91.4),"P","")</f>
        <v/>
      </c>
      <c r="EW6" s="102" t="str">
        <f>IF(AND(WSSKI!$H$96&gt;=91.5,WSSKI!$H$96&lt;=100),"P","")</f>
        <v/>
      </c>
      <c r="EX6" t="str">
        <f>IF(WSSKI!$H$104&lt;74.9,"P","")</f>
        <v/>
      </c>
      <c r="EY6" s="102" t="str">
        <f>IF(AND(WSSKI!$H$104&gt;=75,WSSKI!$H$104&lt;=83.24),"P","")</f>
        <v/>
      </c>
      <c r="EZ6" s="102" t="str">
        <f>IF(AND(WSSKI!$H$104&gt;=83.25,WSSKI!$H$104&lt;=91.4),"P","")</f>
        <v/>
      </c>
      <c r="FA6" s="102" t="str">
        <f>IF(AND(WSSKI!$H$104&gt;=91.5,WSSKI!$H$104&lt;=100),"P","")</f>
        <v/>
      </c>
      <c r="FB6" t="str">
        <f>IF(WSFIQIH!$H$6&lt;74.9,"P","")</f>
        <v/>
      </c>
      <c r="FC6" s="102" t="str">
        <f>IF(AND(WSFIQIH!$H$6&gt;=75,WSFIQIH!$H$6&lt;=83.24),"P","")</f>
        <v/>
      </c>
      <c r="FD6" s="102" t="str">
        <f>IF(AND(WSFIQIH!$H$6&gt;=83.25,WSFIQIH!$H$6&lt;=91.4),"P","")</f>
        <v/>
      </c>
      <c r="FE6" s="102" t="str">
        <f>IF(AND(WSFIQIH!$H$6&gt;=91.5,WSFIQIH!$H$6&lt;=100),"P","")</f>
        <v>P</v>
      </c>
      <c r="FF6" t="str">
        <f>IF(WSFIQIH!$H$19&lt;74.9,"P","")</f>
        <v/>
      </c>
      <c r="FG6" s="102" t="str">
        <f>IF(AND(WSFIQIH!$H$19&gt;=75,WSFIQIH!$H$19&lt;=83.24),"P","")</f>
        <v>P</v>
      </c>
      <c r="FH6" s="102" t="str">
        <f>IF(AND(WSFIQIH!$H$19&gt;=83.25,WSFIQIH!$H$19&lt;=91.4),"P","")</f>
        <v/>
      </c>
      <c r="FI6" s="102" t="str">
        <f>IF(AND(WSFIQIH!$H$19&gt;=91.5,WSFIQIH!$H$19&lt;=100),"P","")</f>
        <v/>
      </c>
      <c r="FJ6" t="str">
        <f>IF(WSFIQIH!$H$28&lt;74.9,"P","")</f>
        <v/>
      </c>
      <c r="FK6" s="102" t="str">
        <f>IF(AND(WSFIQIH!$H$28&gt;=75,WSFIQIH!$H$28&lt;=83.24),"P","")</f>
        <v/>
      </c>
      <c r="FL6" s="102" t="str">
        <f>IF(AND(WSFIQIH!$H$28&gt;=83.25,WSFIQIH!$H$28&lt;=91.4),"P","")</f>
        <v>P</v>
      </c>
      <c r="FM6" s="102" t="str">
        <f>IF(AND(WSFIQIH!$H$28&gt;=91.5,WSFIQIH!$H$28&lt;=100),"P","")</f>
        <v/>
      </c>
      <c r="FN6" t="str">
        <f>IF(WSFIQIH!$H$41&lt;74.9,"P","")</f>
        <v/>
      </c>
      <c r="FO6" s="102" t="str">
        <f>IF(AND(WSFIQIH!$H$41&gt;=75,WSFIQIH!$H$41&lt;=83.24),"P","")</f>
        <v/>
      </c>
      <c r="FP6" s="102" t="str">
        <f>IF(AND(WSFIQIH!$H$41&gt;=83.25,WSFIQIH!$H$41&lt;=91.4),"P","")</f>
        <v/>
      </c>
      <c r="FQ6" s="102" t="str">
        <f>IF(AND(WSFIQIH!$H$41&gt;=91.5,WSFIQIH!$H$41&lt;=100),"P","")</f>
        <v>P</v>
      </c>
      <c r="FR6" t="str">
        <f>IF(WSFIQIH!$H$49&lt;74.9,"P","")</f>
        <v/>
      </c>
      <c r="FS6" s="102" t="str">
        <f>IF(AND(WSFIQIH!$H$49&gt;=75,WSFIQIH!$H$49&lt;=83.24),"P","")</f>
        <v/>
      </c>
      <c r="FT6" s="102" t="str">
        <f>IF(AND(WSFIQIH!$H$49&gt;=83.25,WSFIQIH!$H$49&lt;=91.4),"P","")</f>
        <v>P</v>
      </c>
      <c r="FU6" s="102" t="str">
        <f>IF(AND(WSFIQIH!$H$49&gt;=91.5,WSFIQIH!$H$49&lt;=100),"P","")</f>
        <v/>
      </c>
      <c r="FV6" t="str">
        <f>IF(WSFIQIH!$H$62&lt;74.9,"P","")</f>
        <v/>
      </c>
      <c r="FW6" s="102" t="str">
        <f>IF(AND(WSFIQIH!$H$62&gt;=75,WSFIQIH!$H$62&lt;=83.24),"P","")</f>
        <v/>
      </c>
      <c r="FX6" s="102" t="str">
        <f>IF(AND(WSFIQIH!$H$62&gt;=83.25,WSFIQIH!$H$62&lt;=91.4),"P","")</f>
        <v>P</v>
      </c>
      <c r="FY6" s="102" t="str">
        <f>IF(AND(WSFIQIH!$H$62&gt;=91.5,WSFIQIH!$H$62&lt;=100),"P","")</f>
        <v/>
      </c>
      <c r="FZ6" t="str">
        <f>IF(WSFIQIH!$H$71&lt;74.9,"P","")</f>
        <v/>
      </c>
      <c r="GA6" s="102" t="str">
        <f>IF(AND(WSFIQIH!$H$71&gt;=75,WSFIQIH!$H$71&lt;=83.24),"P","")</f>
        <v/>
      </c>
      <c r="GB6" s="102" t="str">
        <f>IF(AND(WSFIQIH!$H$71&gt;=83.25,WSFIQIH!$H$71&lt;=91.4),"P","")</f>
        <v>P</v>
      </c>
      <c r="GC6" s="102" t="str">
        <f>IF(AND(WSFIQIH!$H$71&gt;=91.5,WSFIQIH!$H$71&lt;=100),"P","")</f>
        <v/>
      </c>
      <c r="GD6" t="str">
        <f>IF(WSFIQIH!$H$80&lt;74.9,"P","")</f>
        <v/>
      </c>
      <c r="GE6" s="102" t="str">
        <f>IF(AND(WSFIQIH!$H$80&gt;=75,WSFIQIH!$H$80&lt;=83.24),"P","")</f>
        <v/>
      </c>
      <c r="GF6" s="102" t="str">
        <f>IF(AND(WSFIQIH!$H$80&gt;=83.25,WSFIQIH!$H$80&lt;=91.4),"P","")</f>
        <v>P</v>
      </c>
      <c r="GG6" s="102" t="str">
        <f>IF(AND(WSFIQIH!$H$80&gt;=91.5,WSFIQIH!$H$80&lt;=100),"P","")</f>
        <v/>
      </c>
      <c r="GH6" t="str">
        <f>IF(WSFIQIH!$H$88&lt;74.9,"P","")</f>
        <v/>
      </c>
      <c r="GI6" s="102" t="str">
        <f>IF(AND(WSFIQIH!$H$88&gt;=75,WSFIQIH!$H$88&lt;=83.24),"P","")</f>
        <v/>
      </c>
      <c r="GJ6" s="102" t="str">
        <f>IF(AND(WSFIQIH!$H$88&gt;=83.25,WSFIQIH!$H$88&lt;=91.4),"P","")</f>
        <v/>
      </c>
      <c r="GK6" s="102" t="str">
        <f>IF(AND(WSFIQIH!$H$88&gt;=91.5,WSFIQIH!$H$88&lt;=100),"P","")</f>
        <v/>
      </c>
      <c r="GL6" t="str">
        <f>IF(WSFIQIH!$H$96&lt;74.9,"P","")</f>
        <v/>
      </c>
      <c r="GM6" s="102" t="str">
        <f>IF(AND(WSFIQIH!$H$96&gt;=75,WSFIQIH!$H$96&lt;=83.24),"P","")</f>
        <v/>
      </c>
      <c r="GN6" s="102" t="str">
        <f>IF(AND(WSFIQIH!$H$96&gt;=83.25,WSFIQIH!$H$96&lt;=91.4),"P","")</f>
        <v/>
      </c>
      <c r="GO6" s="102" t="str">
        <f>IF(AND(WSFIQIH!$H$96&gt;=91.5,WSFIQIH!$H$96&lt;=100),"P","")</f>
        <v/>
      </c>
      <c r="GP6" t="str">
        <f>IF(WSFIQIH!$H$104&lt;74.9,"P","")</f>
        <v/>
      </c>
      <c r="GQ6" s="102" t="str">
        <f>IF(AND(WSFIQIH!$H$104&gt;=75,WSFIQIH!$H$104&lt;=83.24),"P","")</f>
        <v/>
      </c>
      <c r="GR6" s="102" t="str">
        <f>IF(AND(WSFIQIH!$H$104&gt;=83.25,WSFIQIH!$H$104&lt;=91.4),"P","")</f>
        <v/>
      </c>
      <c r="GS6" s="102" t="str">
        <f>IF(AND(WSFIQIH!$H$104&gt;=91.5,WSFIQIH!$H$104&lt;=100),"P","")</f>
        <v/>
      </c>
      <c r="GT6" t="str">
        <f>IF(WSFIQIH!$H$112&lt;74.9,"P","")</f>
        <v/>
      </c>
      <c r="GU6" s="102" t="str">
        <f>IF(AND(WSFIQIH!$H$112&gt;=75,WSFIQIH!$H$112&lt;=83.24),"P","")</f>
        <v/>
      </c>
      <c r="GV6" s="102" t="str">
        <f>IF(AND(WSFIQIH!$H$112&gt;=83.25,WSFIQIH!$H$112&lt;=91.4),"P","")</f>
        <v/>
      </c>
      <c r="GW6" s="102" t="str">
        <f>IF(AND(WSFIQIH!$H$112&gt;=91.5,WSFIQIH!$H$112&lt;=100),"P","")</f>
        <v/>
      </c>
      <c r="GX6" t="str">
        <f>IF(WSFIQIH!$H$120&lt;74.9,"P","")</f>
        <v/>
      </c>
      <c r="GY6" s="102" t="str">
        <f>IF(AND(WSFIQIH!$H$120&gt;=75,WSFIQIH!$H$120&lt;=83.24),"P","")</f>
        <v/>
      </c>
      <c r="GZ6" s="102" t="str">
        <f>IF(AND(WSFIQIH!$H$120&gt;=83.25,WSFIQIH!$H$120&lt;=91.4),"P","")</f>
        <v/>
      </c>
      <c r="HA6" s="102" t="str">
        <f>IF(AND(WSFIQIH!$H$120&gt;=91.5,WSFIQIH!$H$120&lt;=100),"P","")</f>
        <v/>
      </c>
      <c r="HB6" t="str">
        <f>IF(WSPKN!$H$6&lt;74.9,"P","")</f>
        <v/>
      </c>
      <c r="HC6" s="102" t="str">
        <f>IF(AND(WSPKN!$H$6&gt;=75,WSPKN!$H$6&lt;=83.24),"P","")</f>
        <v/>
      </c>
      <c r="HD6" s="102" t="str">
        <f>IF(AND(WSPKN!$H$6&gt;=83.25,WSPKN!$H$6&lt;=91.4),"P","")</f>
        <v/>
      </c>
      <c r="HE6" s="102" t="str">
        <f>IF(AND(WSPKN!$H$6&gt;=91.5,WSPKN!$H$6&lt;=100),"P","")</f>
        <v>P</v>
      </c>
      <c r="HF6" t="str">
        <f>IF(WSPKN!$H$32&lt;74.9,"P","")</f>
        <v/>
      </c>
      <c r="HG6" s="102" t="str">
        <f>IF(AND(WSPKN!$H$32&gt;=75,WSPKN!$H$32&lt;=83.24),"P","")</f>
        <v/>
      </c>
      <c r="HH6" s="102" t="str">
        <f>IF(AND(WSPKN!$H$32&gt;=83.25,WSPKN!$H$32&lt;=91.4),"P","")</f>
        <v/>
      </c>
      <c r="HI6" s="102" t="str">
        <f>IF(AND(WSPKN!$H$32&gt;=91.5,WSPKN!$H$32&lt;=100),"P","")</f>
        <v>P</v>
      </c>
      <c r="HJ6" t="str">
        <f>IF(WSPKN!$H$55&lt;74.9,"P","")</f>
        <v/>
      </c>
      <c r="HK6" s="102" t="str">
        <f>IF(AND(WSPKN!$H$55&gt;=75,WSPKN!$H$55&lt;=83.24),"P","")</f>
        <v/>
      </c>
      <c r="HL6" s="102" t="str">
        <f>IF(AND(WSPKN!$H$55&gt;=83.25,WSPKN!$H$55&lt;=91.4),"P","")</f>
        <v/>
      </c>
      <c r="HM6" s="102" t="str">
        <f>IF(AND(WSPKN!$H$55&gt;=91.5,WSPKN!$H$55&lt;=100),"P","")</f>
        <v>P</v>
      </c>
      <c r="HN6" t="str">
        <f>IF(WSPKN!$H$72&lt;74.9,"P","")</f>
        <v/>
      </c>
      <c r="HO6" s="102" t="str">
        <f>IF(AND(WSPKN!$H$72&gt;=75,WSPKN!$H$72&lt;=83.24),"P","")</f>
        <v/>
      </c>
      <c r="HP6" s="102" t="str">
        <f>IF(AND(WSPKN!$H$72&gt;=83.25,WSPKN!$H$72&lt;=91.4),"P","")</f>
        <v/>
      </c>
      <c r="HQ6" s="102" t="str">
        <f>IF(AND(WSPKN!$H$72&gt;=91.5,WSPKN!$H$72&lt;=100),"P","")</f>
        <v>P</v>
      </c>
      <c r="HR6" t="str">
        <f>IF(WSPKN!$H$86&lt;74.9,"P","")</f>
        <v/>
      </c>
      <c r="HS6" s="102" t="str">
        <f>IF(AND(WSPKN!$H$86&gt;=75,WSPKN!$H$86&lt;=83.24),"P","")</f>
        <v/>
      </c>
      <c r="HT6" s="102" t="str">
        <f>IF(AND(WSPKN!$H$86&gt;=83.25,WSPKN!$H$86&lt;=91.4),"P","")</f>
        <v/>
      </c>
      <c r="HU6" s="102" t="str">
        <f>IF(AND(WSPKN!$H$86&gt;=91.5,WSPKN!$H$86&lt;=100),"P","")</f>
        <v>P</v>
      </c>
      <c r="HV6" t="str">
        <f>IF(WSPKN!$H$108&lt;74.9,"P","")</f>
        <v/>
      </c>
      <c r="HW6" s="102" t="str">
        <f>IF(AND(WSPKN!$H$108&gt;=75,WSPKN!$H$108&lt;=83.24),"P","")</f>
        <v/>
      </c>
      <c r="HX6" s="102" t="str">
        <f>IF(AND(WSPKN!$H$108&gt;=83.25,WSPKN!$H$108&lt;=91.4),"P","")</f>
        <v/>
      </c>
      <c r="HY6" s="102" t="str">
        <f>IF(AND(WSPKN!$H$108&gt;=91.5,WSPKN!$H$108&lt;=100),"P","")</f>
        <v>P</v>
      </c>
      <c r="HZ6" t="str">
        <f>IF(WSPKN!$H$132&lt;74.9,"P","")</f>
        <v/>
      </c>
      <c r="IA6" s="102" t="str">
        <f>IF(AND(WSPKN!$H$132&gt;=75,WSPKN!$H$132&lt;=83.24),"P","")</f>
        <v/>
      </c>
      <c r="IB6" s="102" t="str">
        <f>IF(AND(WSPKN!$H$132&gt;=83.25,WSPKN!$H$132&lt;=91.4),"P","")</f>
        <v/>
      </c>
      <c r="IC6" s="102" t="str">
        <f>IF(AND(WSPKN!$H$132&gt;=91.5,WSPKN!$H$132&lt;=100),"P","")</f>
        <v>P</v>
      </c>
      <c r="ID6" t="str">
        <f>IF(WSPKN!$H$148&lt;74.9,"P","")</f>
        <v/>
      </c>
      <c r="IE6" s="102" t="str">
        <f>IF(AND(WSPKN!$H$148&gt;=75,WSPKN!$H$148&lt;=83.24),"P","")</f>
        <v/>
      </c>
      <c r="IF6" s="102" t="str">
        <f>IF(AND(WSPKN!$H$148&gt;=83.25,WSPKN!$H$148&lt;=91.4),"P","")</f>
        <v/>
      </c>
      <c r="IG6" s="102" t="str">
        <f>IF(AND(WSPKN!$H$148&gt;=91.5,WSPKN!$H$148&lt;=100),"P","")</f>
        <v>P</v>
      </c>
      <c r="IH6" t="str">
        <f>IF(WSPKN!$H$165&lt;74.9,"P","")</f>
        <v/>
      </c>
      <c r="II6" s="102" t="str">
        <f>IF(AND(WSPKN!$H$165&gt;=75,WSPKN!$H$165&lt;=83.24),"P","")</f>
        <v/>
      </c>
      <c r="IJ6" s="102" t="str">
        <f>IF(AND(WSPKN!$H$165&gt;=83.25,WSPKN!$H$165&lt;=91.4),"P","")</f>
        <v/>
      </c>
      <c r="IK6" s="102" t="str">
        <f>IF(AND(WSPKN!$H$165&gt;=91.5,WSPKN!$H$165&lt;=100),"P","")</f>
        <v/>
      </c>
      <c r="IL6" t="str">
        <f>IF(WSPKN!$H$173&lt;74.9,"P","")</f>
        <v/>
      </c>
      <c r="IM6" s="102" t="str">
        <f>IF(AND(WSPKN!$H$173&gt;=75,WSPKN!$H$173&lt;=83.24),"P","")</f>
        <v/>
      </c>
      <c r="IN6" s="102" t="str">
        <f>IF(AND(WSPKN!$H$173&gt;=83.25,WSPKN!$H$173&lt;=91.4),"P","")</f>
        <v/>
      </c>
      <c r="IO6" s="102" t="str">
        <f>IF(AND(WSPKN!$H$173&gt;=91.5,WSPKN!$H$173&lt;=100),"P","")</f>
        <v/>
      </c>
      <c r="IP6" t="str">
        <f>IF(WSPKN!$H$181&lt;74.9,"P","")</f>
        <v/>
      </c>
      <c r="IQ6" s="102" t="str">
        <f>IF(AND(WSPKN!$H$181&gt;=75,WSPKN!$H$181&lt;=83.24),"P","")</f>
        <v/>
      </c>
      <c r="IR6" s="102" t="str">
        <f>IF(AND(WSPKN!$H$181&gt;=83.25,WSPKN!$H$181&lt;=91.4),"P","")</f>
        <v/>
      </c>
      <c r="IS6" s="102" t="str">
        <f>IF(AND(WSPKN!$H$181&gt;=91.5,WSPKN!$H$181&lt;=100),"P","")</f>
        <v/>
      </c>
      <c r="IT6" t="str">
        <f>IF(WSPKN!$H$189&lt;74.9,"P","")</f>
        <v/>
      </c>
      <c r="IU6" s="102" t="str">
        <f>IF(AND(WSPKN!$H$189&gt;=75,WSPKN!$H$189&lt;=83.24),"P","")</f>
        <v/>
      </c>
      <c r="IV6" s="102" t="str">
        <f>IF(AND(WSPKN!$H$189&gt;=83.25,WSPKN!$H$189&lt;=91.4),"P","")</f>
        <v/>
      </c>
      <c r="IW6" s="102" t="str">
        <f>IF(AND(WSPKN!$H$189&gt;=91.5,WSPKN!$H$189&lt;=100),"P","")</f>
        <v/>
      </c>
      <c r="IX6" t="str">
        <f>IF(WSPKN!$H$197&lt;74.9,"P","")</f>
        <v/>
      </c>
      <c r="IY6" s="102" t="str">
        <f>IF(AND(WSPKN!$H$197&gt;=75,WSPKN!$H$197&lt;=83.24),"P","")</f>
        <v/>
      </c>
      <c r="IZ6" s="102" t="str">
        <f>IF(AND(WSPKN!$H$197&gt;=83.25,WSPKN!$H$197&lt;=91.4),"P","")</f>
        <v/>
      </c>
      <c r="JA6" s="102" t="str">
        <f>IF(AND(WSPKN!$H$197&gt;=91.5,WSPKN!$H$197&lt;=100),"P","")</f>
        <v/>
      </c>
      <c r="JB6" t="str">
        <f>IF(WSIND!$H$6&lt;74.9,"P","")</f>
        <v/>
      </c>
      <c r="JC6" s="102" t="str">
        <f>IF(AND(WSIND!$H$6&gt;=75,WSIND!$H$6&lt;=83.24),"P","")</f>
        <v/>
      </c>
      <c r="JD6" s="102" t="str">
        <f>IF(AND(WSIND!$H$6&gt;=83.25,WSIND!$H$6&lt;=91.4),"P","")</f>
        <v/>
      </c>
      <c r="JE6" s="102" t="str">
        <f>IF(AND(WSIND!$H$6&gt;=91.5,WSIND!$H$6&lt;=100),"P","")</f>
        <v>P</v>
      </c>
      <c r="JF6" t="str">
        <f>IF(WSIND!$H$65&lt;74.9,"P","")</f>
        <v/>
      </c>
      <c r="JG6" s="102" t="str">
        <f>IF(AND(WSIND!$H$65&gt;=75,WSIND!$H$65&lt;=83.24),"P","")</f>
        <v/>
      </c>
      <c r="JH6" s="102" t="str">
        <f>IF(AND(WSIND!$H$65&gt;=83.25,WSIND!$H$65&lt;=91.4),"P","")</f>
        <v/>
      </c>
      <c r="JI6" s="102" t="str">
        <f>IF(AND(WSIND!$H$65&gt;=91.5,WSIND!$H$65&lt;=100),"P","")</f>
        <v>P</v>
      </c>
      <c r="JJ6" t="str">
        <f>IF(WSIND!$H$113&lt;74.9,"P","")</f>
        <v/>
      </c>
      <c r="JK6" s="102" t="str">
        <f>IF(AND(WSIND!$H$113&gt;=75,WSIND!$H$113&lt;=83.24),"P","")</f>
        <v/>
      </c>
      <c r="JL6" s="102" t="str">
        <f>IF(AND(WSIND!$H$113&gt;=83.25,WSIND!$H$113&lt;=91.4),"P","")</f>
        <v/>
      </c>
      <c r="JM6" s="102" t="str">
        <f>IF(AND(WSIND!$H$113&gt;=91.5,WSIND!$H$113&lt;=100),"P","")</f>
        <v>P</v>
      </c>
      <c r="JN6" t="str">
        <f>IF(WSIND!$H$133&lt;74.9,"P","")</f>
        <v/>
      </c>
      <c r="JO6" s="102" t="str">
        <f>IF(AND(WSIND!$H$133&gt;=75,WSIND!$H$133&lt;=83.24),"P","")</f>
        <v/>
      </c>
      <c r="JP6" s="102" t="str">
        <f>IF(AND(WSIND!$H$133&gt;=83.25,WSIND!$H$133&lt;=91.4),"P","")</f>
        <v/>
      </c>
      <c r="JQ6" s="102" t="str">
        <f>IF(AND(WSIND!$H$133&gt;=91.5,WSIND!$H$133&lt;=100),"P","")</f>
        <v>P</v>
      </c>
      <c r="JR6" t="str">
        <f>IF(WSIND!$H$161&lt;74.9,"P","")</f>
        <v/>
      </c>
      <c r="JS6" s="102" t="str">
        <f>IF(AND(WSIND!$H$161&gt;=75,WSIND!$H$161&lt;=83.24),"P","")</f>
        <v/>
      </c>
      <c r="JT6" s="102" t="str">
        <f>IF(AND(WSIND!$H$161&gt;=83.25,WSIND!$H$161&lt;=91.4),"P","")</f>
        <v/>
      </c>
      <c r="JU6" s="102" t="str">
        <f>IF(AND(WSIND!$H$161&gt;=91.5,WSIND!$H$161&lt;=100),"P","")</f>
        <v>P</v>
      </c>
      <c r="JV6" t="str">
        <f>IF(WSIND!$H$192&lt;74.9,"P","")</f>
        <v/>
      </c>
      <c r="JW6" s="102" t="str">
        <f>IF(AND(WSIND!$H$192&gt;=75,WSIND!$H$192&lt;=83.24),"P","")</f>
        <v/>
      </c>
      <c r="JX6" s="102" t="str">
        <f>IF(AND(WSIND!$H$192&gt;=83.25,WSIND!$H$192&lt;=91.4),"P","")</f>
        <v/>
      </c>
      <c r="JY6" s="102" t="str">
        <f>IF(AND(WSIND!$H$192&gt;=91.5,WSIND!$H$192&lt;=100),"P","")</f>
        <v>P</v>
      </c>
      <c r="JZ6" t="str">
        <f>IF(WSIND!$H$228&lt;74.9,"P","")</f>
        <v/>
      </c>
      <c r="KA6" s="102" t="str">
        <f>IF(AND(WSIND!$H$228&gt;=75,WSIND!$H$228&lt;=83.24),"P","")</f>
        <v/>
      </c>
      <c r="KB6" s="102" t="str">
        <f>IF(AND(WSIND!$H$228&gt;=83.25,WSIND!$H$228&lt;=91.4),"P","")</f>
        <v/>
      </c>
      <c r="KC6" s="102" t="str">
        <f>IF(AND(WSIND!$H$228&gt;=91.5,WSIND!$H$228&lt;=100),"P","")</f>
        <v>P</v>
      </c>
      <c r="KD6" t="str">
        <f>IF(WSIND!$H$256&lt;74.9,"P","")</f>
        <v/>
      </c>
      <c r="KE6" s="102" t="str">
        <f>IF(AND(WSIND!$H$256&gt;=75,WSIND!$H$256&lt;=83.24),"P","")</f>
        <v/>
      </c>
      <c r="KF6" s="102" t="str">
        <f>IF(AND(WSIND!$H$256&gt;=83.25,WSIND!$H$256&lt;=91.4),"P","")</f>
        <v/>
      </c>
      <c r="KG6" s="102" t="str">
        <f>IF(AND(WSIND!$H$256&gt;=91.5,WSIND!$H$256&lt;=100),"P","")</f>
        <v>P</v>
      </c>
      <c r="KH6" t="str">
        <f>IF(WSIND!$H$277&lt;74.9,"P","")</f>
        <v/>
      </c>
      <c r="KI6" s="102" t="str">
        <f>IF(AND(WSIND!$H$277&gt;=75,WSIND!$H$277&lt;=83.24),"P","")</f>
        <v/>
      </c>
      <c r="KJ6" s="102" t="str">
        <f>IF(AND(WSIND!$H$277&gt;=83.25,WSIND!$H$277&lt;=91.4),"P","")</f>
        <v/>
      </c>
      <c r="KK6" s="102" t="str">
        <f>IF(AND(WSIND!$H$277&gt;=91.5,WSIND!$H$277&lt;=100),"P","")</f>
        <v>P</v>
      </c>
      <c r="KL6" t="str">
        <f>IF(WSIND!$H$305&lt;74.9,"P","")</f>
        <v/>
      </c>
      <c r="KM6" s="102" t="str">
        <f>IF(AND(WSIND!$H$305&gt;=75,WSIND!$H$305&lt;=83.24),"P","")</f>
        <v/>
      </c>
      <c r="KN6" s="102" t="str">
        <f>IF(AND(WSIND!$H$305&gt;=83.25,WSIND!$H$305&lt;=91.4),"P","")</f>
        <v/>
      </c>
      <c r="KO6" s="102" t="str">
        <f>IF(AND(WSIND!$H$305&gt;=91.5,WSIND!$H$305&lt;=100),"P","")</f>
        <v>P</v>
      </c>
      <c r="KP6" t="str">
        <f>IF(WSIND!$H$329&lt;74.9,"P","")</f>
        <v/>
      </c>
      <c r="KQ6" s="102" t="str">
        <f>IF(AND(WSIND!$H$329&gt;=75,WSIND!$H$329&lt;=83.24),"P","")</f>
        <v/>
      </c>
      <c r="KR6" s="102" t="str">
        <f>IF(AND(WSIND!$H$329&gt;=83.25,WSIND!$H$329&lt;=91.4),"P","")</f>
        <v/>
      </c>
      <c r="KS6" s="102" t="str">
        <f>IF(AND(WSIND!$H$329&gt;=91.5,WSIND!$H$329&lt;=100),"P","")</f>
        <v/>
      </c>
      <c r="KT6" t="str">
        <f>IF(WSIND!$H$337&lt;74.9,"P","")</f>
        <v/>
      </c>
      <c r="KU6" s="102" t="str">
        <f>IF(AND(WSIND!$H$337&gt;=75,WSIND!$H$337&lt;=83.24),"P","")</f>
        <v/>
      </c>
      <c r="KV6" s="102" t="str">
        <f>IF(AND(WSIND!$H$337&gt;=83.25,WSIND!$H$337&lt;=91.4),"P","")</f>
        <v/>
      </c>
      <c r="KW6" s="102" t="str">
        <f>IF(AND(WSIND!$H$337&gt;=91.5,WSIND!$H$337&lt;=100),"P","")</f>
        <v/>
      </c>
      <c r="KX6" t="str">
        <f>IF(WSIND!$H$345&lt;74.9,"P","")</f>
        <v/>
      </c>
      <c r="KY6" s="102" t="str">
        <f>IF(AND(WSIND!$H$345&gt;=75,WSIND!$H$345&lt;=83.24),"P","")</f>
        <v/>
      </c>
      <c r="KZ6" s="102" t="str">
        <f>IF(AND(WSIND!$H$345&gt;=83.25,WSIND!$H$345&lt;=91.4),"P","")</f>
        <v/>
      </c>
      <c r="LA6" s="102" t="str">
        <f>IF(AND(WSIND!$H$345&gt;=91.5,WSIND!$H$345&lt;=100),"P","")</f>
        <v/>
      </c>
      <c r="LB6" t="str">
        <f>IF(WSARAB!$H$6&lt;74.9,"P","")</f>
        <v/>
      </c>
      <c r="LC6" s="102" t="str">
        <f>IF(AND(WSARAB!$H$6&gt;=75,WSARAB!$H$6&lt;=83.24),"P","")</f>
        <v/>
      </c>
      <c r="LD6" s="102" t="str">
        <f>IF(AND(WSARAB!$H$6&gt;=83.25,WSARAB!$H$6&lt;=91.4),"P","")</f>
        <v/>
      </c>
      <c r="LE6" s="102" t="str">
        <f>IF(AND(WSARAB!$H$6&gt;=91.5,WSARAB!$H$6&lt;=100),"P","")</f>
        <v/>
      </c>
      <c r="LF6" t="str">
        <f>IF(WSARAB!$H$17&lt;74.9,"P","")</f>
        <v/>
      </c>
      <c r="LG6" s="102" t="str">
        <f>IF(AND(WSARAB!$H$17&gt;=75,WSARAB!$H$17&lt;=83.24),"P","")</f>
        <v/>
      </c>
      <c r="LH6" s="102" t="str">
        <f>IF(AND(WSARAB!$H$17&gt;=83.25,WSARAB!$H$17&lt;=91.4),"P","")</f>
        <v/>
      </c>
      <c r="LI6" s="102" t="str">
        <f>IF(AND(WSARAB!$H$17&gt;=91.5,WSARAB!$H$17&lt;=100),"P","")</f>
        <v/>
      </c>
      <c r="LJ6" t="str">
        <f>IF(WSARAB!$H$29&lt;74.9,"P","")</f>
        <v/>
      </c>
      <c r="LK6" s="102" t="str">
        <f>IF(AND(WSARAB!$H$29&gt;=75,WSARAB!$H$29&lt;=83.24),"P","")</f>
        <v/>
      </c>
      <c r="LL6" s="102" t="str">
        <f>IF(AND(WSARAB!$H$29&gt;=83.25,WSARAB!$H$29&lt;=91.4),"P","")</f>
        <v/>
      </c>
      <c r="LM6" s="102" t="str">
        <f>IF(AND(WSARAB!$H$29&gt;=91.5,WSARAB!$H$29&lt;=100),"P","")</f>
        <v/>
      </c>
      <c r="LN6" t="str">
        <f>IF(WSARAB!$H$37&lt;74.9,"P","")</f>
        <v/>
      </c>
      <c r="LO6" s="102" t="str">
        <f>IF(AND(WSARAB!$H$37&gt;=75,WSARAB!$H$37&lt;=83.24),"P","")</f>
        <v/>
      </c>
      <c r="LP6" s="102" t="str">
        <f>IF(AND(WSARAB!$H$37&gt;=83.25,WSARAB!$H$37&lt;=91.4),"P","")</f>
        <v/>
      </c>
      <c r="LQ6" s="102" t="str">
        <f>IF(AND(WSARAB!$H$37&gt;=91.5,WSARAB!$H$37&lt;=100),"P","")</f>
        <v/>
      </c>
      <c r="LR6" t="str">
        <f>IF(WSARAB!$H$45&lt;74.9,"P","")</f>
        <v/>
      </c>
      <c r="LS6" s="102" t="str">
        <f>IF(AND(WSARAB!$H$45&gt;=75,WSARAB!$H$45&lt;=83.24),"P","")</f>
        <v/>
      </c>
      <c r="LT6" s="102" t="str">
        <f>IF(AND(WSARAB!$H$45&gt;=83.25,WSARAB!$H$45&lt;=91.4),"P","")</f>
        <v/>
      </c>
      <c r="LU6" s="102" t="str">
        <f>IF(AND(WSARAB!$H$45&gt;=91.5,WSARAB!$H$45&lt;=100),"P","")</f>
        <v/>
      </c>
      <c r="LV6" t="str">
        <f>IF(WSARAB!$H$53&lt;74.9,"P","")</f>
        <v/>
      </c>
      <c r="LW6" s="102" t="str">
        <f>IF(AND(WSARAB!$H$53&gt;=75,WSARAB!$H$53&lt;=83.24),"P","")</f>
        <v/>
      </c>
      <c r="LX6" s="102" t="str">
        <f>IF(AND(WSARAB!$H$53&gt;=83.25,WSARAB!$H$53&lt;=91.4),"P","")</f>
        <v/>
      </c>
      <c r="LY6" s="102" t="str">
        <f>IF(AND(WSARAB!$H$53&gt;=91.5,WSARAB!$H$53&lt;=100),"P","")</f>
        <v/>
      </c>
      <c r="LZ6" t="str">
        <f>IF(WSARAB!$H$65&lt;74.9,"P","")</f>
        <v/>
      </c>
      <c r="MA6" s="102" t="str">
        <f>IF(AND(WSARAB!$H$65&gt;=75,WSARAB!$H$65&lt;=83.24),"P","")</f>
        <v/>
      </c>
      <c r="MB6" s="102" t="str">
        <f>IF(AND(WSARAB!$H$65&gt;=83.25,WSARAB!$H$65&lt;=91.4),"P","")</f>
        <v/>
      </c>
      <c r="MC6" s="102" t="str">
        <f>IF(AND(WSARAB!$H$65&gt;=91.5,WSARAB!$H$65&lt;=100),"P","")</f>
        <v/>
      </c>
      <c r="MD6" t="str">
        <f>IF(WSARAB!$H$73&lt;74.9,"P","")</f>
        <v/>
      </c>
      <c r="ME6" s="102" t="str">
        <f>IF(AND(WSARAB!$H$73&gt;=75,WSARAB!$H$73&lt;=83.24),"P","")</f>
        <v/>
      </c>
      <c r="MF6" s="102" t="str">
        <f>IF(AND(WSARAB!$H$73&gt;=83.25,WSARAB!$H$73&lt;=91.4),"P","")</f>
        <v/>
      </c>
      <c r="MG6" s="102" t="str">
        <f>IF(AND(WSARAB!$H$73&gt;=91.5,WSARAB!$H$73&lt;=100),"P","")</f>
        <v/>
      </c>
      <c r="MH6" t="str">
        <f>IF(WSARAB!$H$81&lt;74.9,"P","")</f>
        <v/>
      </c>
      <c r="MI6" s="102" t="str">
        <f>IF(AND(WSARAB!$H$81&gt;=75,WSARAB!$H$81&lt;=83.24),"P","")</f>
        <v/>
      </c>
      <c r="MJ6" s="102" t="str">
        <f>IF(AND(WSARAB!$H$81&gt;=83.25,WSARAB!$H$81&lt;=91.4),"P","")</f>
        <v/>
      </c>
      <c r="MK6" s="102" t="str">
        <f>IF(AND(WSARAB!$H$81&gt;=91.5,WSARAB!$H$81&lt;=100),"P","")</f>
        <v/>
      </c>
      <c r="ML6" t="str">
        <f>IF(WSARAB!$H$89&lt;74.9,"P","")</f>
        <v/>
      </c>
      <c r="MM6" s="102" t="str">
        <f>IF(AND(WSARAB!$H$89&gt;=75,WSARAB!$H$89&lt;=83.24),"P","")</f>
        <v/>
      </c>
      <c r="MN6" s="102" t="str">
        <f>IF(AND(WSARAB!$H$89&gt;=83.25,WSARAB!$H$89&lt;=91.4),"P","")</f>
        <v/>
      </c>
      <c r="MO6" s="102" t="str">
        <f>IF(AND(WSARAB!$H$89&gt;=91.5,WSARAB!$H$89&lt;=100),"P","")</f>
        <v/>
      </c>
      <c r="MP6" t="str">
        <f>IF(WSARAB!$H$97&lt;74.9,"P","")</f>
        <v/>
      </c>
      <c r="MQ6" s="102" t="str">
        <f>IF(AND(WSARAB!$H$97&gt;=75,WSARAB!$H$97&lt;=83.24),"P","")</f>
        <v/>
      </c>
      <c r="MR6" s="102" t="str">
        <f>IF(AND(WSARAB!$H$97&gt;=83.25,WSARAB!$H$97&lt;=91.4),"P","")</f>
        <v/>
      </c>
      <c r="MS6" s="102" t="str">
        <f>IF(AND(WSARAB!$H$97&gt;=91.5,WSARAB!$H$97&lt;=100),"P","")</f>
        <v/>
      </c>
      <c r="MT6" t="str">
        <f>IF(WSARAB!$H$105&lt;74.9,"P","")</f>
        <v/>
      </c>
      <c r="MU6" s="102" t="str">
        <f>IF(AND(WSARAB!$H$105&gt;=75,WSARAB!$H$105&lt;=83.24),"P","")</f>
        <v/>
      </c>
      <c r="MV6" s="102" t="str">
        <f>IF(AND(WSARAB!$H$105&gt;=83.25,WSARAB!$H$105&lt;=91.4),"P","")</f>
        <v/>
      </c>
      <c r="MW6" s="102" t="str">
        <f>IF(AND(WSARAB!$H$105&gt;=91.5,WSARAB!$H$105&lt;=100),"P","")</f>
        <v/>
      </c>
      <c r="MX6" t="str">
        <f>IF(WSARAB!$H$113&lt;74.9,"P","")</f>
        <v/>
      </c>
      <c r="MY6" s="102" t="str">
        <f>IF(AND(WSARAB!$H$113&gt;=75,WSARAB!$H$113&lt;=83.24),"P","")</f>
        <v/>
      </c>
      <c r="MZ6" s="102" t="str">
        <f>IF(AND(WSARAB!$H$113&gt;=83.25,WSARAB!$H$113&lt;=91.4),"P","")</f>
        <v/>
      </c>
      <c r="NA6" s="102" t="str">
        <f>IF(AND(WSARAB!$H$113&gt;=91.5,WSARAB!$H$113&lt;=100),"P","")</f>
        <v/>
      </c>
      <c r="NB6" t="str">
        <f>IF(WSMTK!$H$6&lt;74.9,"P","")</f>
        <v/>
      </c>
      <c r="NC6" s="102" t="str">
        <f>IF(AND(WSMTK!$H$6&gt;=75,WSMTK!$H$6&lt;=83.24),"P","")</f>
        <v/>
      </c>
      <c r="ND6" s="102" t="str">
        <f>IF(AND(WSMTK!$H$6&gt;=83.25,WSMTK!$H$6&lt;=91.4),"P","")</f>
        <v>P</v>
      </c>
      <c r="NE6" s="102" t="str">
        <f>IF(AND(WSMTK!$H$6&gt;=91.5,WSMTK!$H$6&lt;=100),"P","")</f>
        <v/>
      </c>
      <c r="NF6" t="str">
        <f>IF(WSMTK!$H$22&lt;74.9,"P","")</f>
        <v/>
      </c>
      <c r="NG6" s="102" t="str">
        <f>IF(AND(WSMTK!$H$22&gt;=75,WSMTK!$H$22&lt;=83.24),"P","")</f>
        <v/>
      </c>
      <c r="NH6" s="102" t="str">
        <f>IF(AND(WSMTK!$H$22&gt;=83.25,WSMTK!$H$22&lt;=91.4),"P","")</f>
        <v/>
      </c>
      <c r="NI6" s="102" t="str">
        <f>IF(AND(WSMTK!$H$22&gt;=91.5,WSMTK!$H$22&lt;=100),"P","")</f>
        <v>P</v>
      </c>
      <c r="NJ6" t="str">
        <f>IF(WSMTK!$H$35&lt;74.9,"P","")</f>
        <v/>
      </c>
      <c r="NK6" s="102" t="str">
        <f>IF(AND(WSMTK!$H$35&gt;=75,WSMTK!$H$35&lt;=83.24),"P","")</f>
        <v/>
      </c>
      <c r="NL6" s="102" t="str">
        <f>IF(AND(WSMTK!$H$35&gt;=83.25,WSMTK!$H$35&lt;=91.4),"P","")</f>
        <v/>
      </c>
      <c r="NM6" s="102" t="str">
        <f>IF(AND(WSMTK!$H$35&gt;=91.5,WSMTK!$H$35&lt;=100),"P","")</f>
        <v>P</v>
      </c>
      <c r="NN6" t="str">
        <f>IF(WSMTK!$H$69&lt;74.9,"P","")</f>
        <v/>
      </c>
      <c r="NO6" s="102" t="str">
        <f>IF(AND(WSMTK!$H$69&gt;=75,WSMTK!$H$69&lt;=83.24),"P","")</f>
        <v/>
      </c>
      <c r="NP6" s="102" t="str">
        <f>IF(AND(WSMTK!$H$69&gt;=83.25,WSMTK!$H$69&lt;=91.4),"P","")</f>
        <v/>
      </c>
      <c r="NQ6" s="102" t="str">
        <f>IF(AND(WSMTK!$H$69&gt;=91.5,WSMTK!$H$69&lt;=100),"P","")</f>
        <v>P</v>
      </c>
      <c r="NR6" t="str">
        <f>IF(WSMTK!$H$87&lt;74.9,"P","")</f>
        <v/>
      </c>
      <c r="NS6" s="102" t="str">
        <f>IF(AND(WSMTK!$H$87&gt;=75,WSMTK!$H$87&lt;=83.24),"P","")</f>
        <v/>
      </c>
      <c r="NT6" s="102" t="str">
        <f>IF(AND(WSMTK!$H$87&gt;=83.25,WSMTK!$H$87&lt;=91.4),"P","")</f>
        <v>P</v>
      </c>
      <c r="NU6" s="102" t="str">
        <f>IF(AND(WSMTK!$H$87&gt;=91.5,WSMTK!$H$87&lt;=100),"P","")</f>
        <v/>
      </c>
      <c r="NV6" t="str">
        <f>IF(WSMTK!$H$99&lt;74.9,"P","")</f>
        <v/>
      </c>
      <c r="NW6" s="102" t="str">
        <f>IF(AND(WSMTK!$H$99&gt;=75,WSMTK!$H$99&lt;=83.24),"P","")</f>
        <v/>
      </c>
      <c r="NX6" s="102" t="str">
        <f>IF(AND(WSMTK!$H$99&gt;=83.25,WSMTK!$H$99&lt;=91.4),"P","")</f>
        <v/>
      </c>
      <c r="NY6" s="102" t="str">
        <f>IF(AND(WSMTK!$H$99&gt;=91.5,WSMTK!$H$99&lt;=100),"P","")</f>
        <v>P</v>
      </c>
      <c r="NZ6" t="str">
        <f>IF(WSMTK!$H$113&lt;74.9,"P","")</f>
        <v/>
      </c>
      <c r="OA6" s="102" t="str">
        <f>IF(AND(WSMTK!$H$113&gt;=75,WSMTK!$H$113&lt;=83.24),"P","")</f>
        <v/>
      </c>
      <c r="OB6" s="102" t="str">
        <f>IF(AND(WSMTK!$H$113&gt;=83.25,WSMTK!$H$113&lt;=91.4),"P","")</f>
        <v/>
      </c>
      <c r="OC6" s="102" t="str">
        <f>IF(AND(WSMTK!$H$113&gt;=91.5,WSMTK!$H$113&lt;=100),"P","")</f>
        <v>P</v>
      </c>
      <c r="OD6" t="str">
        <f>IF(WSMTK!$H$145&lt;74.9,"P","")</f>
        <v/>
      </c>
      <c r="OE6" s="102" t="str">
        <f>IF(AND(WSMTK!$H$145&gt;=75,WSMTK!$H$145&lt;=83.24),"P","")</f>
        <v/>
      </c>
      <c r="OF6" s="102" t="str">
        <f>IF(AND(WSMTK!$H$145&gt;=83.25,WSMTK!$H$145&lt;=91.4),"P","")</f>
        <v/>
      </c>
      <c r="OG6" s="102" t="str">
        <f>IF(AND(WSMTK!$H$145&gt;=91.5,WSMTK!$H$145&lt;=100),"P","")</f>
        <v>P</v>
      </c>
      <c r="OH6" t="str">
        <f>IF(WSMTK!$H$168&lt;74.9,"P","")</f>
        <v/>
      </c>
      <c r="OI6" s="102" t="str">
        <f>IF(AND(WSMTK!$H$168&gt;=75,WSMTK!$H$168&lt;=83.24),"P","")</f>
        <v/>
      </c>
      <c r="OJ6" s="102" t="str">
        <f>IF(AND(WSMTK!$H$168&gt;=83.25,WSMTK!$H$168&lt;=91.4),"P","")</f>
        <v/>
      </c>
      <c r="OK6" s="102" t="str">
        <f>IF(AND(WSMTK!$H$168&gt;=91.5,WSMTK!$H$168&lt;=100),"P","")</f>
        <v/>
      </c>
      <c r="OL6" t="str">
        <f>IF(WSMTK!$H$176&lt;74.9,"P","")</f>
        <v/>
      </c>
      <c r="OM6" s="102" t="str">
        <f>IF(AND(WSMTK!$H$176&gt;=75,WSMTK!$H$176&lt;=83.24),"P","")</f>
        <v/>
      </c>
      <c r="ON6" s="102" t="str">
        <f>IF(AND(WSMTK!$H$176&gt;=83.25,WSMTK!$H$176&lt;=91.4),"P","")</f>
        <v/>
      </c>
      <c r="OO6" s="102" t="str">
        <f>IF(AND(WSMTK!$H$176&gt;=91.5,WSMTK!$H$176&lt;=100),"P","")</f>
        <v/>
      </c>
      <c r="OP6" t="str">
        <f>IF(WSMTK!$H$184&lt;74.9,"P","")</f>
        <v/>
      </c>
      <c r="OQ6" s="102" t="str">
        <f>IF(AND(WSMTK!$H$184&gt;=75,WSMTK!$H$184&lt;=83.24),"P","")</f>
        <v/>
      </c>
      <c r="OR6" s="102" t="str">
        <f>IF(AND(WSMTK!$H$184&gt;=83.25,WSMTK!$H$184&lt;=91.4),"P","")</f>
        <v/>
      </c>
      <c r="OS6" s="102" t="str">
        <f>IF(AND(WSMTK!$H$184&gt;=91.5,WSMTK!$H$184&lt;=100),"P","")</f>
        <v/>
      </c>
      <c r="OT6" t="str">
        <f>IF(WSMTK!$H$192&lt;74.9,"P","")</f>
        <v/>
      </c>
      <c r="OU6" s="102" t="str">
        <f>IF(AND(WSMTK!$H$192&gt;=75,WSMTK!$H$192&lt;=83.24),"P","")</f>
        <v/>
      </c>
      <c r="OV6" s="102" t="str">
        <f>IF(AND(WSMTK!$H$192&gt;=83.25,WSMTK!$H$192&lt;=91.4),"P","")</f>
        <v/>
      </c>
      <c r="OW6" s="102" t="str">
        <f>IF(AND(WSMTK!$H$192&gt;=91.5,WSMTK!$H$192&lt;=100),"P","")</f>
        <v/>
      </c>
      <c r="OX6" t="str">
        <f>IF(WSMTK!$H$200&lt;74.9,"P","")</f>
        <v/>
      </c>
      <c r="OY6" s="102" t="str">
        <f>IF(AND(WSMTK!$H$200&gt;=75,WSMTK!$H$200&lt;=83.24),"P","")</f>
        <v/>
      </c>
      <c r="OZ6" s="102" t="str">
        <f>IF(AND(WSMTK!$H$200&gt;=83.25,WSMTK!$H$200&lt;=91.4),"P","")</f>
        <v/>
      </c>
      <c r="PA6" s="102" t="str">
        <f>IF(AND(WSMTK!$H$200&gt;=91.5,WSMTK!$H$200&lt;=100),"P","")</f>
        <v/>
      </c>
      <c r="PB6" t="str">
        <f>IF(WSIPA!$H$6&lt;74.9,"P","")</f>
        <v/>
      </c>
      <c r="PC6" s="102" t="str">
        <f>IF(AND(WSIPA!$H$6&gt;=75,WSIPA!$H$6&lt;=83.24),"P","")</f>
        <v/>
      </c>
      <c r="PD6" s="102" t="str">
        <f>IF(AND(WSIPA!$H$6&gt;=83.25,WSIPA!$H$6&lt;=91.4),"P","")</f>
        <v/>
      </c>
      <c r="PE6" s="102" t="str">
        <f>IF(AND(WSIPA!$H$6&gt;=91.5,WSIPA!$H$6&lt;=100),"P","")</f>
        <v/>
      </c>
      <c r="PF6" t="str">
        <f>IF(WSIPA!$H$14&lt;74.9,"P","")</f>
        <v/>
      </c>
      <c r="PG6" s="102" t="str">
        <f>IF(AND(WSIPA!$H$14&gt;=75,WSIPA!$H$14&lt;=83.24),"P","")</f>
        <v/>
      </c>
      <c r="PH6" s="102" t="str">
        <f>IF(AND(WSIPA!$H$14&gt;=83.25,WSIPA!$H$14&lt;=91.4),"P","")</f>
        <v/>
      </c>
      <c r="PI6" s="102" t="str">
        <f>IF(AND(WSIPA!$H$14&gt;=91.5,WSIPA!$H$14&lt;=100),"P","")</f>
        <v/>
      </c>
      <c r="PJ6" t="str">
        <f>IF(WSIPA!$H$22&lt;74.9,"P","")</f>
        <v/>
      </c>
      <c r="PK6" s="102" t="str">
        <f>IF(AND(WSIPA!$H$22&gt;=75,WSIPA!$H$22&lt;=83.24),"P","")</f>
        <v/>
      </c>
      <c r="PL6" s="102" t="str">
        <f>IF(AND(WSIPA!$H$22&gt;=83.25,WSIPA!$H$22&lt;=91.4),"P","")</f>
        <v/>
      </c>
      <c r="PM6" s="102" t="str">
        <f>IF(AND(WSIPA!$H$22&gt;=91.5,WSIPA!$H$22&lt;=100),"P","")</f>
        <v/>
      </c>
      <c r="PN6" t="str">
        <f>IF(WSIPA!$H$30&lt;74.9,"P","")</f>
        <v/>
      </c>
      <c r="PO6" s="102" t="str">
        <f>IF(AND(WSIPA!$H$30&gt;=75,WSIPA!$H$30&lt;=83.24),"P","")</f>
        <v/>
      </c>
      <c r="PP6" s="102" t="str">
        <f>IF(AND(WSIPA!$H$30&gt;=83.25,WSIPA!$H$30&lt;=91.4),"P","")</f>
        <v/>
      </c>
      <c r="PQ6" s="102" t="str">
        <f>IF(AND(WSIPA!$H$30&gt;=91.5,WSIPA!$H$30&lt;=100),"P","")</f>
        <v/>
      </c>
      <c r="PR6" t="str">
        <f>IF(WSIPA!$H$38&lt;74.9,"P","")</f>
        <v/>
      </c>
      <c r="PS6" s="102" t="str">
        <f>IF(AND(WSIPA!$H$38&gt;=75,WSIPA!$H$38&lt;=83.24),"P","")</f>
        <v/>
      </c>
      <c r="PT6" s="102" t="str">
        <f>IF(AND(WSIPA!$H$38&gt;=83.25,WSIPA!$H$38&lt;=91.4),"P","")</f>
        <v/>
      </c>
      <c r="PU6" s="102" t="str">
        <f>IF(AND(WSIPA!$H$38&gt;=91.5,WSIPA!$H$38&lt;=100),"P","")</f>
        <v/>
      </c>
      <c r="PV6" t="str">
        <f>IF(WSIPA!$H$46&lt;74.9,"P","")</f>
        <v/>
      </c>
      <c r="PW6" s="102" t="str">
        <f>IF(AND(WSIPA!$H$46&gt;=75,WSIPA!$H$46&lt;=83.24),"P","")</f>
        <v/>
      </c>
      <c r="PX6" s="102" t="str">
        <f>IF(AND(WSIPA!$H$46&gt;=83.25,WSIPA!$H$46&lt;=91.4),"P","")</f>
        <v/>
      </c>
      <c r="PY6" s="102" t="str">
        <f>IF(AND(WSIPA!$H$46&gt;=91.5,WSIPA!$H$46&lt;=100),"P","")</f>
        <v/>
      </c>
      <c r="PZ6" t="str">
        <f>IF(WSIPA!$H$54&lt;74.9,"P","")</f>
        <v/>
      </c>
      <c r="QA6" s="102" t="str">
        <f>IF(AND(WSIPA!$H$54&gt;=75,WSIPA!$H$54&lt;=83.24),"P","")</f>
        <v/>
      </c>
      <c r="QB6" s="102" t="str">
        <f>IF(AND(WSIPA!$H$54&gt;=83.25,WSIPA!$H$54&lt;=91.4),"P","")</f>
        <v/>
      </c>
      <c r="QC6" s="102" t="str">
        <f>IF(AND(WSIPA!$H$54&gt;=91.5,WSIPA!$H$54&lt;=100),"P","")</f>
        <v/>
      </c>
      <c r="QD6" t="str">
        <f>IF(WSIPA!$H$62&lt;74.9,"P","")</f>
        <v/>
      </c>
      <c r="QE6" s="102" t="str">
        <f>IF(AND(WSIPA!$H$62&gt;=75,WSIPA!$H$62&lt;=83.24),"P","")</f>
        <v/>
      </c>
      <c r="QF6" s="102" t="str">
        <f>IF(AND(WSIPA!$H$62&gt;=83.25,WSIPA!$H$62&lt;=91.4),"P","")</f>
        <v/>
      </c>
      <c r="QG6" s="102" t="str">
        <f>IF(AND(WSIPA!$H$62&gt;=91.5,WSIPA!$H$62&lt;=100),"P","")</f>
        <v/>
      </c>
      <c r="QH6" t="str">
        <f>IF(WSIPA!$H$70&lt;74.9,"P","")</f>
        <v/>
      </c>
      <c r="QI6" s="102" t="str">
        <f>IF(AND(WSIPA!$H$70&gt;=75,WSIPA!$H$70&lt;=83.24),"P","")</f>
        <v/>
      </c>
      <c r="QJ6" s="102" t="str">
        <f>IF(AND(WSIPA!$H$70&gt;=83.25,WSIPA!$H$70&lt;=91.4),"P","")</f>
        <v/>
      </c>
      <c r="QK6" s="102" t="str">
        <f>IF(AND(WSIPA!$H$70&gt;=91.5,WSIPA!$H$70&lt;=100),"P","")</f>
        <v/>
      </c>
      <c r="QL6" t="str">
        <f>IF(WSIPA!$H$78&lt;74.9,"P","")</f>
        <v/>
      </c>
      <c r="QM6" s="102" t="str">
        <f>IF(AND(WSIPA!$H$78&gt;=75,WSIPA!$H$78&lt;=83.24),"P","")</f>
        <v/>
      </c>
      <c r="QN6" s="102" t="str">
        <f>IF(AND(WSIPA!$H$78&gt;=83.25,WSIPA!$H$78&lt;=91.4),"P","")</f>
        <v/>
      </c>
      <c r="QO6" s="102" t="str">
        <f>IF(AND(WSIPA!$H$78&gt;=91.5,WSIPA!$H$78&lt;=100),"P","")</f>
        <v/>
      </c>
      <c r="QP6" t="str">
        <f>IF(WSIPA!$H$86&lt;74.9,"P","")</f>
        <v/>
      </c>
      <c r="QQ6" s="102" t="str">
        <f>IF(AND(WSIPA!$H$86&gt;=75,WSIPA!$H$86&lt;=83.24),"P","")</f>
        <v/>
      </c>
      <c r="QR6" s="102" t="str">
        <f>IF(AND(WSIPA!$H$86&gt;=83.25,WSIPA!$H$86&lt;=91.4),"P","")</f>
        <v/>
      </c>
      <c r="QS6" s="102" t="str">
        <f>IF(AND(WSIPA!$H$86&gt;=91.5,WSIPA!$H$86&lt;=100),"P","")</f>
        <v/>
      </c>
      <c r="QT6" t="str">
        <f>IF(WSIPA!$H$94&lt;74.9,"P","")</f>
        <v/>
      </c>
      <c r="QU6" s="102" t="str">
        <f>IF(AND(WSIPA!$H$94&gt;=75,WSIPA!$H$94&lt;=83.24),"P","")</f>
        <v/>
      </c>
      <c r="QV6" s="102" t="str">
        <f>IF(AND(WSIPA!$H$94&gt;=83.25,WSIPA!$H$94&lt;=91.4),"P","")</f>
        <v/>
      </c>
      <c r="QW6" s="102" t="str">
        <f>IF(AND(WSIPA!$H$94&gt;=91.5,WSIPA!$H$94&lt;=100),"P","")</f>
        <v/>
      </c>
      <c r="QX6" t="str">
        <f>IF(WSIPA!$H$102&lt;74.9,"P","")</f>
        <v/>
      </c>
      <c r="QY6" s="102" t="str">
        <f>IF(AND(WSIPA!$H$102&gt;=75,WSIPA!$H$102&lt;=83.24),"P","")</f>
        <v/>
      </c>
      <c r="QZ6" s="102" t="str">
        <f>IF(AND(WSIPA!$H$102&gt;=83.25,WSIPA!$H$102&lt;=91.4),"P","")</f>
        <v/>
      </c>
      <c r="RA6" s="102" t="str">
        <f>IF(AND(WSIPA!$H$102&gt;=91.5,WSIPA!$H$102&lt;=100),"P","")</f>
        <v/>
      </c>
      <c r="RB6" t="str">
        <f>IF(WSIPS!$H$6&lt;74.9,"P","")</f>
        <v/>
      </c>
      <c r="RC6" s="102" t="str">
        <f>IF(AND(WSIPS!$H$6&gt;=75,WSIPS!$H$6&lt;=83.24),"P","")</f>
        <v/>
      </c>
      <c r="RD6" s="102" t="str">
        <f>IF(AND(WSIPS!$H$6&gt;=83.25,WSIPS!$H$6&lt;=91.4),"P","")</f>
        <v/>
      </c>
      <c r="RE6" s="102" t="str">
        <f>IF(AND(WSIPS!$H$6&gt;=91.5,WSIPS!$H$6&lt;=100),"P","")</f>
        <v/>
      </c>
      <c r="RF6" t="str">
        <f>IF(WSIPS!$H$14&lt;74.9,"P","")</f>
        <v/>
      </c>
      <c r="RG6" s="102" t="str">
        <f>IF(AND(WSIPS!$H$14&gt;=75,WSIPS!$H$14&lt;=83.24),"P","")</f>
        <v/>
      </c>
      <c r="RH6" s="102" t="str">
        <f>IF(AND(WSIPS!$H$14&gt;=83.25,WSIPS!$H$14&lt;=91.4),"P","")</f>
        <v/>
      </c>
      <c r="RI6" s="102" t="str">
        <f>IF(AND(WSIPS!$H$14&gt;=91.5,WSIPS!$H$14&lt;=100),"P","")</f>
        <v/>
      </c>
      <c r="RJ6" t="str">
        <f>IF(WSIPS!$H$22&lt;74.9,"P","")</f>
        <v/>
      </c>
      <c r="RK6" s="102" t="str">
        <f>IF(AND(WSIPS!$H$22&gt;=75,WSIPS!$H$22&lt;=83.24),"P","")</f>
        <v/>
      </c>
      <c r="RL6" s="102" t="str">
        <f>IF(AND(WSIPS!$H$22&gt;=83.25,WSIPS!$H$22&lt;=91.4),"P","")</f>
        <v/>
      </c>
      <c r="RM6" s="102" t="str">
        <f>IF(AND(WSIPS!$H$22&gt;=91.5,WSIPS!$H$22&lt;=100),"P","")</f>
        <v/>
      </c>
      <c r="RN6" t="str">
        <f>IF(WSIPS!$H$30&lt;74.9,"P","")</f>
        <v/>
      </c>
      <c r="RO6" s="102" t="str">
        <f>IF(AND(WSIPS!$H$30&gt;=75,WSIPS!$H$30&lt;=83.24),"P","")</f>
        <v/>
      </c>
      <c r="RP6" s="102" t="str">
        <f>IF(AND(WSIPS!$H$30&gt;=83.25,WSIPS!$H$30&lt;=91.4),"P","")</f>
        <v/>
      </c>
      <c r="RQ6" s="102" t="str">
        <f>IF(AND(WSIPS!$H$30&gt;=91.5,WSIPS!$H$30&lt;=100),"P","")</f>
        <v/>
      </c>
      <c r="RR6" t="str">
        <f>IF(WSIPS!$H$38&lt;74.9,"P","")</f>
        <v/>
      </c>
      <c r="RS6" s="102" t="str">
        <f>IF(AND(WSIPS!$H$38&gt;=75,WSIPS!$H$38&lt;=83.24),"P","")</f>
        <v/>
      </c>
      <c r="RT6" s="102" t="str">
        <f>IF(AND(WSIPS!$H$38&gt;=83.25,WSIPS!$H$38&lt;=91.4),"P","")</f>
        <v/>
      </c>
      <c r="RU6" s="102" t="str">
        <f>IF(AND(WSIPS!$H$38&gt;=91.5,WSIPS!$H$38&lt;=100),"P","")</f>
        <v/>
      </c>
      <c r="RV6" t="str">
        <f>IF(WSIPS!$H$46&lt;74.9,"P","")</f>
        <v/>
      </c>
      <c r="RW6" s="102" t="str">
        <f>IF(AND(WSIPS!$H$46&gt;=75,WSIPS!$H$46&lt;=83.24),"P","")</f>
        <v/>
      </c>
      <c r="RX6" s="102" t="str">
        <f>IF(AND(WSIPS!$H$46&gt;=83.25,WSIPS!$H$46&lt;=91.4),"P","")</f>
        <v/>
      </c>
      <c r="RY6" s="102" t="str">
        <f>IF(AND(WSIPS!$H$46&gt;=91.5,WSIPS!$H$46&lt;=100),"P","")</f>
        <v/>
      </c>
      <c r="RZ6" t="str">
        <f>IF(WSIPS!$H$54&lt;74.9,"P","")</f>
        <v/>
      </c>
      <c r="SA6" s="102" t="str">
        <f>IF(AND(WSIPS!$H$54&gt;=75,WSIPS!$H$54&lt;=83.24),"P","")</f>
        <v/>
      </c>
      <c r="SB6" s="102" t="str">
        <f>IF(AND(WSIPS!$H$54&gt;=83.25,WSIPS!$H$54&lt;=91.4),"P","")</f>
        <v/>
      </c>
      <c r="SC6" s="102" t="str">
        <f>IF(AND(WSIPS!$H$54&gt;=91.5,WSIPS!$H$54&lt;=100),"P","")</f>
        <v/>
      </c>
      <c r="SD6" t="str">
        <f>IF(WSIPS!$H$62&lt;74.9,"P","")</f>
        <v/>
      </c>
      <c r="SE6" s="102" t="str">
        <f>IF(AND(WSIPS!$H$62&gt;=75,WSIPS!$H$62&lt;=83.24),"P","")</f>
        <v/>
      </c>
      <c r="SF6" s="102" t="str">
        <f>IF(AND(WSIPS!$H$62&gt;=83.25,WSIPS!$H$62&lt;=91.4),"P","")</f>
        <v/>
      </c>
      <c r="SG6" s="102" t="str">
        <f>IF(AND(WSIPS!$H$62&gt;=91.5,WSIPS!$H$62&lt;=100),"P","")</f>
        <v/>
      </c>
      <c r="SH6" t="str">
        <f>IF(WSIPS!$H$70&lt;74.9,"P","")</f>
        <v/>
      </c>
      <c r="SI6" s="102" t="str">
        <f>IF(AND(WSIPS!$H$70&gt;=75,WSIPS!$H$70&lt;=83.24),"P","")</f>
        <v/>
      </c>
      <c r="SJ6" s="102" t="str">
        <f>IF(AND(WSIPS!$H$70&gt;=83.25,WSIPS!$H$70&lt;=91.4),"P","")</f>
        <v/>
      </c>
      <c r="SK6" s="102" t="str">
        <f>IF(AND(WSIPS!$H$70&gt;=91.5,WSIPS!$H$70&lt;=100),"P","")</f>
        <v/>
      </c>
      <c r="SL6" t="str">
        <f>IF(WSIPS!$H$78&lt;74.9,"P","")</f>
        <v/>
      </c>
      <c r="SM6" s="102" t="str">
        <f>IF(AND(WSIPS!$H$78&gt;=75,WSIPS!$H$78&lt;=83.24),"P","")</f>
        <v/>
      </c>
      <c r="SN6" s="102" t="str">
        <f>IF(AND(WSIPS!$H$78&gt;=83.25,WSIPS!$H$78&lt;=91.4),"P","")</f>
        <v/>
      </c>
      <c r="SO6" s="102" t="str">
        <f>IF(AND(WSIPS!$H$78&gt;=91.5,WSIPS!$H$78&lt;=100),"P","")</f>
        <v/>
      </c>
      <c r="SP6" t="str">
        <f>IF(WSIPS!$H$86&lt;74.9,"P","")</f>
        <v/>
      </c>
      <c r="SQ6" s="102" t="str">
        <f>IF(AND(WSIPS!$H$86&gt;=75,WSIPS!$H$86&lt;=83.24),"P","")</f>
        <v/>
      </c>
      <c r="SR6" s="102" t="str">
        <f>IF(AND(WSIPS!$H$86&gt;=83.25,WSIPS!$H$86&lt;=91.4),"P","")</f>
        <v/>
      </c>
      <c r="SS6" s="102" t="str">
        <f>IF(AND(WSIPS!$H$86&gt;=91.5,WSIPS!$H$86&lt;=100),"P","")</f>
        <v/>
      </c>
      <c r="ST6" t="str">
        <f>IF(WSIPS!$H$94&lt;74.9,"P","")</f>
        <v/>
      </c>
      <c r="SU6" s="102" t="str">
        <f>IF(AND(WSIPS!$H$94&gt;=75,WSIPS!$H$94&lt;=83.24),"P","")</f>
        <v/>
      </c>
      <c r="SV6" s="102" t="str">
        <f>IF(AND(WSIPS!$H$94&gt;=83.25,WSIPS!$H$94&lt;=91.4),"P","")</f>
        <v/>
      </c>
      <c r="SW6" s="102" t="str">
        <f>IF(AND(WSIPS!$H$94&gt;=91.5,WSIPS!$H$94&lt;=100),"P","")</f>
        <v/>
      </c>
      <c r="SX6" t="str">
        <f>IF(WSIPS!$H$102&lt;74.9,"P","")</f>
        <v/>
      </c>
      <c r="SY6" s="102" t="str">
        <f>IF(AND(WSIPS!$H$102&gt;=75,WSIPS!$H$102&lt;=83.24),"P","")</f>
        <v/>
      </c>
      <c r="SZ6" s="102" t="str">
        <f>IF(AND(WSIPS!$H$102&gt;=83.25,WSIPS!$H$102&lt;=91.4),"P","")</f>
        <v/>
      </c>
      <c r="TA6" s="102" t="str">
        <f>IF(AND(WSIPS!$H$102&gt;=91.5,WSIPS!$H$102&lt;=100),"P","")</f>
        <v/>
      </c>
      <c r="TB6" t="str">
        <f>IF(WSSBK!$H$6&lt;74.9,"P","")</f>
        <v/>
      </c>
      <c r="TC6" s="102" t="str">
        <f>IF(AND(WSSBK!$H$6&gt;=75,WSSBK!$H$6&lt;=83.24),"P","")</f>
        <v/>
      </c>
      <c r="TD6" s="102" t="str">
        <f>IF(AND(WSSBK!$H$6&gt;=83.25,WSSBK!$H$6&lt;=91.4),"P","")</f>
        <v/>
      </c>
      <c r="TE6" s="102" t="str">
        <f>IF(AND(WSSBK!$H$6&gt;=91.5,WSSBK!$H$6&lt;=100),"P","")</f>
        <v>P</v>
      </c>
      <c r="TF6" t="str">
        <f>IF(WSSBK!$H$16&lt;74.9,"P","")</f>
        <v/>
      </c>
      <c r="TG6" s="102" t="str">
        <f>IF(AND(WSSBK!$H$16&gt;=75,WSSBK!$H$16&lt;=83.24),"P","")</f>
        <v/>
      </c>
      <c r="TH6" s="102" t="str">
        <f>IF(AND(WSSBK!$H$16&gt;=83.25,WSSBK!$H$16&lt;=91.4),"P","")</f>
        <v/>
      </c>
      <c r="TI6" s="102" t="str">
        <f>IF(AND(WSSBK!$H$16&gt;=91.5,WSSBK!$H$16&lt;=100),"P","")</f>
        <v>P</v>
      </c>
      <c r="TJ6" t="str">
        <f>IF(WSSBK!$H$26&lt;74.9,"P","")</f>
        <v/>
      </c>
      <c r="TK6" s="102" t="str">
        <f>IF(AND(WSSBK!$H$26&gt;=75,WSSBK!$H$26&lt;=83.24),"P","")</f>
        <v/>
      </c>
      <c r="TL6" s="102" t="str">
        <f>IF(AND(WSSBK!$H$26&gt;=83.25,WSSBK!$H$26&lt;=91.4),"P","")</f>
        <v/>
      </c>
      <c r="TM6" s="102" t="str">
        <f>IF(AND(WSSBK!$H$26&gt;=91.5,WSSBK!$H$26&lt;=100),"P","")</f>
        <v>P</v>
      </c>
      <c r="TN6" t="str">
        <f>IF(WSSBK!$H$36&lt;74.9,"P","")</f>
        <v/>
      </c>
      <c r="TO6" s="102" t="str">
        <f>IF(AND(WSSBK!$H$36&gt;=75,WSSBK!$H$36&lt;=83.24),"P","")</f>
        <v/>
      </c>
      <c r="TP6" s="102" t="str">
        <f>IF(AND(WSSBK!$H$36&gt;=83.25,WSSBK!$H$36&lt;=91.4),"P","")</f>
        <v/>
      </c>
      <c r="TQ6" s="102" t="str">
        <f>IF(AND(WSSBK!$H$36&gt;=91.5,WSSBK!$H$36&lt;=100),"P","")</f>
        <v>P</v>
      </c>
      <c r="TR6" t="str">
        <f>IF(WSSBK!$H$46&lt;74.9,"P","")</f>
        <v/>
      </c>
      <c r="TS6" s="102" t="str">
        <f>IF(AND(WSSBK!$H$46&gt;=75,WSSBK!$H$46&lt;=83.24),"P","")</f>
        <v/>
      </c>
      <c r="TT6" s="102" t="str">
        <f>IF(AND(WSSBK!$H$46&gt;=83.25,WSSBK!$H$46&lt;=91.4),"P","")</f>
        <v/>
      </c>
      <c r="TU6" s="102" t="str">
        <f>IF(AND(WSSBK!$H$46&gt;=91.5,WSSBK!$H$46&lt;=100),"P","")</f>
        <v>P</v>
      </c>
      <c r="TV6" t="str">
        <f>IF(WSSBK!$H$58&lt;74.9,"P","")</f>
        <v/>
      </c>
      <c r="TW6" s="102" t="str">
        <f>IF(AND(WSSBK!$H$58&gt;=75,WSSBK!$H$58&lt;=83.24),"P","")</f>
        <v/>
      </c>
      <c r="TX6" s="102" t="str">
        <f>IF(AND(WSSBK!$H$58&gt;=83.25,WSSBK!$H$58&lt;=91.4),"P","")</f>
        <v/>
      </c>
      <c r="TY6" s="102" t="str">
        <f>IF(AND(WSSBK!$H$58&gt;=91.5,WSSBK!$H$58&lt;=100),"P","")</f>
        <v>P</v>
      </c>
      <c r="TZ6" t="str">
        <f>IF(WSSBK!$H$68&lt;74.9,"P","")</f>
        <v/>
      </c>
      <c r="UA6" s="102" t="str">
        <f>IF(AND(WSSBK!$H$68&gt;=75,WSSBK!$H$68&lt;=83.24),"P","")</f>
        <v/>
      </c>
      <c r="UB6" s="102" t="str">
        <f>IF(AND(WSSBK!$H$68&gt;=83.25,WSSBK!$H$68&lt;=91.4),"P","")</f>
        <v/>
      </c>
      <c r="UC6" s="102" t="str">
        <f>IF(AND(WSSBK!$H$68&gt;=91.5,WSSBK!$H$68&lt;=100),"P","")</f>
        <v>P</v>
      </c>
      <c r="UD6" t="str">
        <f>IF(WSSBK!$H$77&lt;74.9,"P","")</f>
        <v/>
      </c>
      <c r="UE6" s="102" t="str">
        <f>IF(AND(WSSBK!$H$77&gt;=75,WSSBK!$H$77&lt;=83.24),"P","")</f>
        <v/>
      </c>
      <c r="UF6" s="102" t="str">
        <f>IF(AND(WSSBK!$H$77&gt;=83.25,WSSBK!$H$77&lt;=91.4),"P","")</f>
        <v/>
      </c>
      <c r="UG6" s="102" t="str">
        <f>IF(AND(WSSBK!$H$77&gt;=91.5,WSSBK!$H$77&lt;=100),"P","")</f>
        <v>P</v>
      </c>
      <c r="UH6" t="str">
        <f>IF(WSSBK!$H$87&lt;74.9,"P","")</f>
        <v/>
      </c>
      <c r="UI6" s="102" t="str">
        <f>IF(AND(WSSBK!$H$87&gt;=75,WSSBK!$H$87&lt;=83.24),"P","")</f>
        <v/>
      </c>
      <c r="UJ6" s="102" t="str">
        <f>IF(AND(WSSBK!$H$87&gt;=83.25,WSSBK!$H$87&lt;=91.4),"P","")</f>
        <v/>
      </c>
      <c r="UK6" s="102" t="str">
        <f>IF(AND(WSSBK!$H$87&gt;=91.5,WSSBK!$H$87&lt;=100),"P","")</f>
        <v/>
      </c>
      <c r="UL6" t="str">
        <f>IF(WSSBK!$H$95&lt;74.9,"P","")</f>
        <v/>
      </c>
      <c r="UM6" s="102" t="str">
        <f>IF(AND(WSSBK!$H$95&gt;=75,WSSBK!$H$95&lt;=83.24),"P","")</f>
        <v/>
      </c>
      <c r="UN6" s="102" t="str">
        <f>IF(AND(WSSBK!$H$95&gt;=83.25,WSSBK!$H$95&lt;=91.4),"P","")</f>
        <v/>
      </c>
      <c r="UO6" s="102" t="str">
        <f>IF(AND(WSSBK!$H$95&gt;=91.5,WSSBK!$H$95&lt;=100),"P","")</f>
        <v/>
      </c>
      <c r="UP6" t="str">
        <f>IF(WSSBK!$H$103&lt;74.9,"P","")</f>
        <v/>
      </c>
      <c r="UQ6" s="102" t="str">
        <f>IF(AND(WSSBK!$H$103&gt;=75,WSSBK!$H$103&lt;=83.24),"P","")</f>
        <v/>
      </c>
      <c r="UR6" s="102" t="str">
        <f>IF(AND(WSSBK!$H$103&gt;=83.25,WSSBK!$H$103&lt;=91.4),"P","")</f>
        <v/>
      </c>
      <c r="US6" s="102" t="str">
        <f>IF(AND(WSSBK!$H$103&gt;=91.5,WSSBK!$H$103&lt;=100),"P","")</f>
        <v/>
      </c>
      <c r="UT6" t="str">
        <f>IF(WSSBK!$H$111&lt;74.9,"P","")</f>
        <v/>
      </c>
      <c r="UU6" s="102" t="str">
        <f>IF(AND(WSSBK!$H$111&gt;=75,WSSBK!$H$111&lt;=83.24),"P","")</f>
        <v/>
      </c>
      <c r="UV6" s="102" t="str">
        <f>IF(AND(WSSBK!$H$111&gt;=83.25,WSSBK!$H$111&lt;=91.4),"P","")</f>
        <v/>
      </c>
      <c r="UW6" s="102" t="str">
        <f>IF(AND(WSSBK!$H$111&gt;=91.5,WSSBK!$H$111&lt;=100),"P","")</f>
        <v/>
      </c>
      <c r="UX6" t="str">
        <f>IF(WSSBK!$H$119&lt;74.9,"P","")</f>
        <v/>
      </c>
      <c r="UY6" s="102" t="str">
        <f>IF(AND(WSSBK!$H$119&gt;=75,WSSBK!$H$119&lt;=83.24),"P","")</f>
        <v/>
      </c>
      <c r="UZ6" s="102" t="str">
        <f>IF(AND(WSSBK!$H$119&gt;=83.25,WSSBK!$H$119&lt;=91.4),"P","")</f>
        <v/>
      </c>
      <c r="VA6" s="102" t="str">
        <f>IF(AND(WSSBK!$H$119&gt;=91.5,WSSBK!$H$119&lt;=100),"P","")</f>
        <v/>
      </c>
      <c r="VB6" s="102" t="str">
        <f>IF(AND(WSPENJAS!$H$6&gt;0,WSPENJAS!$H$6&lt;=74.9),"P","")</f>
        <v/>
      </c>
      <c r="VC6" s="102" t="str">
        <f>IF(AND(WSPENJAS!$H$6&gt;=75,WSPENJAS!$H$6&lt;=83.24),"P","")</f>
        <v/>
      </c>
      <c r="VD6" s="102" t="str">
        <f>IF(AND(WSPENJAS!$H$6&gt;=83.25,WSPENJAS!$H$6&lt;=91.4),"P","")</f>
        <v/>
      </c>
      <c r="VE6" s="102" t="str">
        <f>IF(AND(WSPENJAS!$H$6&gt;=91.5,WSPENJAS!$H$6&lt;=100),"P","")</f>
        <v>P</v>
      </c>
      <c r="VF6" s="102" t="str">
        <f>IF(AND(WSPENJAS!$H$7&gt;0,WSPENJAS!$H$7&lt;=74.9),"P","")</f>
        <v/>
      </c>
      <c r="VG6" s="102" t="str">
        <f>IF(AND(WSPENJAS!$H$7&gt;=75,WSPENJAS!$H$7&lt;=83.24),"P","")</f>
        <v/>
      </c>
      <c r="VH6" s="102" t="str">
        <f>IF(AND(WSPENJAS!$H$7&gt;=83.25,WSPENJAS!$H$7&lt;=91.4),"P","")</f>
        <v/>
      </c>
      <c r="VI6" s="102" t="str">
        <f>IF(AND(WSPENJAS!$H$7&gt;=91.5,WSPENJAS!$H$7&lt;=100),"P","")</f>
        <v>P</v>
      </c>
      <c r="VJ6" s="102" t="str">
        <f>IF(AND(WSPENJAS!$H$8&gt;0,WSPENJAS!$H$8&lt;=74.9),"P","")</f>
        <v/>
      </c>
      <c r="VK6" s="102" t="str">
        <f>IF(AND(WSPENJAS!$H$8&gt;=75,WSPENJAS!$H$8&lt;=83.24),"P","")</f>
        <v/>
      </c>
      <c r="VL6" s="102" t="str">
        <f>IF(AND(WSPENJAS!$H$8&gt;=83.25,WSPENJAS!$H$8&lt;=91.4),"P","")</f>
        <v/>
      </c>
      <c r="VM6" s="102" t="str">
        <f>IF(AND(WSPENJAS!$H$8&gt;=91.5,WSPENJAS!$H$8&lt;=100),"P","")</f>
        <v>P</v>
      </c>
      <c r="VN6" s="102" t="str">
        <f>IF(AND(WSPENJAS!$H$9&gt;0,WSPENJAS!$H$9&lt;=74.9),"P","")</f>
        <v/>
      </c>
      <c r="VO6" s="102" t="str">
        <f>IF(AND(WSPENJAS!$H$9&gt;=75,WSPENJAS!$H$9&lt;=83.24),"P","")</f>
        <v/>
      </c>
      <c r="VP6" s="102" t="str">
        <f>IF(AND(WSPENJAS!$H$9&gt;=83.25,WSPENJAS!$H$9&lt;=91.4),"P","")</f>
        <v/>
      </c>
      <c r="VQ6" s="102" t="str">
        <f>IF(AND(WSPENJAS!$H$9&gt;=91.5,WSPENJAS!$H$9&lt;=100),"P","")</f>
        <v>P</v>
      </c>
      <c r="VR6" s="102" t="str">
        <f>IF(AND(WSPENJAS!$H$10&gt;0,WSPENJAS!$H$10&lt;=74.9),"P","")</f>
        <v/>
      </c>
      <c r="VS6" s="102" t="str">
        <f>IF(AND(WSPENJAS!$H$10&gt;=75,WSPENJAS!$H$10&lt;=83.24),"P","")</f>
        <v/>
      </c>
      <c r="VT6" s="102" t="str">
        <f>IF(AND(WSPENJAS!$H$10&gt;=83.25,WSPENJAS!$H$10&lt;=91.4),"P","")</f>
        <v/>
      </c>
      <c r="VU6" s="102" t="str">
        <f>IF(AND(WSPENJAS!$H$10&gt;=91.5,WSPENJAS!$H$10&lt;=100),"P","")</f>
        <v>P</v>
      </c>
      <c r="VV6" s="102" t="str">
        <f>IF(AND(WSPENJAS!$H$11&gt;0,WSPENJAS!$H$11&lt;=74.9),"P","")</f>
        <v/>
      </c>
      <c r="VW6" s="102" t="str">
        <f>IF(AND(WSPENJAS!$H$411&gt;=75,WSPENJAS!$H$411&lt;=83.24),"P","")</f>
        <v/>
      </c>
      <c r="VX6" s="102" t="str">
        <f>IF(AND(WSPENJAS!$H$411&gt;=83.25,WSPENJAS!$H$411&lt;=91.4),"P","")</f>
        <v/>
      </c>
      <c r="VY6" s="102" t="str">
        <f>IF(AND(WSPENJAS!$H$411&gt;=91.5,WSPENJAS!$H$411&lt;=100),"P","")</f>
        <v/>
      </c>
      <c r="VZ6" s="102" t="str">
        <f>IF(AND(WSPENJAS!$H$12&gt;0,WSPENJAS!$H$12&lt;=74.9),"P","")</f>
        <v/>
      </c>
      <c r="WA6" s="102" t="str">
        <f>IF(AND(WSPENJAS!$H$12&gt;=75,WSPENJAS!$H$12&lt;=83.24),"P","")</f>
        <v/>
      </c>
      <c r="WB6" s="102" t="str">
        <f>IF(AND(WSPENJAS!$H$12&gt;=83.25,WSPENJAS!$H$12&lt;=91.4),"P","")</f>
        <v/>
      </c>
      <c r="WC6" s="102" t="str">
        <f>IF(AND(WSPENJAS!$H$12&gt;=91.5,WSPENJAS!$H$12&lt;=100),"P","")</f>
        <v>P</v>
      </c>
      <c r="WD6" s="102" t="str">
        <f>IF(AND(WSPENJAS!$H$13&gt;0,WSPENJAS!$H$13&lt;=74.9),"P","")</f>
        <v/>
      </c>
      <c r="WE6" s="102" t="str">
        <f>IF(AND(WSPENJAS!$H$13&gt;=75,WSPENJAS!$H$13&lt;=83.24),"P","")</f>
        <v/>
      </c>
      <c r="WF6" s="102" t="str">
        <f>IF(AND(WSPENJAS!$H$13&gt;=83.25,WSPENJAS!$H$13&lt;=91.4),"P","")</f>
        <v/>
      </c>
      <c r="WG6" s="102" t="str">
        <f>IF(AND(WSPENJAS!$H$13&gt;=91.5,WSPENJAS!$H$13&lt;=100),"P","")</f>
        <v>P</v>
      </c>
      <c r="WH6" s="102" t="str">
        <f>IF(AND(WSPENJAS!$H$14&gt;0,WSPENJAS!$H$14&lt;=74.9),"P","")</f>
        <v/>
      </c>
      <c r="WI6" s="102" t="str">
        <f>IF(AND(WSPENJAS!$H$14&gt;=75,WSPENJAS!$H$14&lt;=83.24),"P","")</f>
        <v/>
      </c>
      <c r="WJ6" s="102" t="str">
        <f>IF(AND(WSPENJAS!$H$14&gt;=83.25,WSPENJAS!$H$14&lt;=91.4),"P","")</f>
        <v/>
      </c>
      <c r="WK6" s="102" t="str">
        <f>IF(AND(WSPENJAS!$H$14&gt;=91.5,WSPENJAS!$H$14&lt;=100),"P","")</f>
        <v>P</v>
      </c>
      <c r="WL6" s="102" t="str">
        <f>IF(AND(WSPENJAS!$H$15&gt;0,WSPENJAS!$H$15&lt;=74.9),"P","")</f>
        <v/>
      </c>
      <c r="WM6" s="102" t="str">
        <f>IF(AND(WSPENJAS!$H$15&gt;=75,WSPENJAS!$H$15&lt;=83.24),"P","")</f>
        <v/>
      </c>
      <c r="WN6" s="102" t="str">
        <f>IF(AND(WSPENJAS!$H$15&gt;=83.25,WSPENJAS!$H$15&lt;=91.4),"P","")</f>
        <v/>
      </c>
      <c r="WO6" s="102" t="str">
        <f>IF(AND(WSPENJAS!$H$15&gt;=91.5,WSPENJAS!$H$15&lt;=100),"P","")</f>
        <v>P</v>
      </c>
      <c r="WP6" s="102" t="str">
        <f>IF(AND(WSPENJAS!$H$16&gt;0,WSPENJAS!$H$16&lt;=74.9),"P","")</f>
        <v/>
      </c>
      <c r="WQ6" s="102" t="str">
        <f>IF(AND(WSPENJAS!$H$16&gt;=75,WSPENJAS!$H$16&lt;=83.24),"P","")</f>
        <v/>
      </c>
      <c r="WR6" s="102" t="str">
        <f>IF(AND(WSPENJAS!$H$16&gt;=83.25,WSPENJAS!$H$16&lt;=91.4),"P","")</f>
        <v/>
      </c>
      <c r="WS6" s="102" t="str">
        <f>IF(AND(WSPENJAS!$H$16&gt;=91.5,WSPENJAS!$H$16&lt;=100),"P","")</f>
        <v/>
      </c>
      <c r="WT6" s="102" t="str">
        <f>IF(AND(WSPENJAS!$H$17&gt;0,WSPENJAS!$H$17&lt;=74.9),"P","")</f>
        <v/>
      </c>
      <c r="WU6" s="102" t="str">
        <f>IF(AND(WSPENJAS!$H$17&gt;=75,WSPENJAS!$H$17&lt;=83.24),"P","")</f>
        <v/>
      </c>
      <c r="WV6" s="102" t="str">
        <f>IF(AND(WSPENJAS!$H$17&gt;=83.25,WSPENJAS!$H$17&lt;=91.4),"P","")</f>
        <v/>
      </c>
      <c r="WW6" s="102" t="str">
        <f>IF(AND(WSPENJAS!$H$17&gt;=91.5,WSPENJAS!$H$17&lt;=100),"P","")</f>
        <v/>
      </c>
      <c r="WX6" s="102" t="str">
        <f>IF(AND(WSPENJAS!$H$18&gt;0,WSPENJAS!$H$18&lt;=74.9),"P","")</f>
        <v/>
      </c>
      <c r="WY6" s="102" t="str">
        <f>IF(AND(WSPENJAS!$H$18&gt;=75,WSPENJAS!$H$18&lt;=83.24),"P","")</f>
        <v/>
      </c>
      <c r="WZ6" s="102" t="str">
        <f>IF(AND(WSPENJAS!$H$18&gt;=83.25,WSPENJAS!$H$18&lt;=91.4),"P","")</f>
        <v/>
      </c>
      <c r="XA6" s="102" t="str">
        <f>IF(AND(WSPENJAS!$H$18&gt;=91.5,WSPENJAS!$H$18&lt;=100),"P","")</f>
        <v/>
      </c>
      <c r="XB6" s="102" t="str">
        <f>IF(AND(WSPENJAS!$H$19&gt;0,WSPENJAS!$H$19&lt;=74.9),"P","")</f>
        <v/>
      </c>
      <c r="XC6" s="102" t="str">
        <f>IF(AND(WSPENJAS!$H$19&gt;=75,WSPENJAS!$H$19&lt;=83.24),"P","")</f>
        <v/>
      </c>
      <c r="XD6" s="102" t="str">
        <f>IF(AND(WSPENJAS!$H$19&gt;=83.25,WSPENJAS!$H$19&lt;=91.4),"P","")</f>
        <v/>
      </c>
      <c r="XE6" s="102" t="str">
        <f>IF(AND(WSPENJAS!$H$19&gt;=91.5,WSPENJAS!$H$19&lt;=100),"P","")</f>
        <v/>
      </c>
      <c r="XF6" s="102" t="str">
        <f>IF(AND(WSPENJAS!$H$20&gt;0,WSPENJAS!$H$20&lt;=74.9),"P","")</f>
        <v/>
      </c>
      <c r="XG6" s="102" t="str">
        <f>IF(AND(WSPENJAS!$H$20&gt;=75,WSPENJAS!$H$20&lt;=83.24),"P","")</f>
        <v/>
      </c>
      <c r="XH6" s="102" t="str">
        <f>IF(AND(WSPENJAS!$H$20&gt;=83.25,WSPENJAS!$H$20&lt;=91.4),"P","")</f>
        <v/>
      </c>
      <c r="XI6" s="102" t="str">
        <f>IF(AND(WSPENJAS!$H$20&gt;=91.5,WSPENJAS!$H$20&lt;=100),"P","")</f>
        <v/>
      </c>
      <c r="XJ6" s="102" t="str">
        <f>IF(AND(WSPENJAS!$H$21&gt;0,WSPENJAS!$H$21&lt;=74.9),"P","")</f>
        <v/>
      </c>
      <c r="XK6" s="102" t="str">
        <f>IF(AND(WSPENJAS!$H$21&gt;=75,WSPENJAS!$H$21&lt;=83.24),"P","")</f>
        <v/>
      </c>
      <c r="XL6" s="102" t="str">
        <f>IF(AND(WSPENJAS!$H$21&gt;=83.25,WSPENJAS!$H$21&lt;=91.4),"P","")</f>
        <v/>
      </c>
      <c r="XM6" s="102" t="str">
        <f>IF(AND(WSPENJAS!$H$21&gt;=91.5,WSPENJAS!$H$21&lt;=100),"P","")</f>
        <v/>
      </c>
      <c r="XN6" t="str">
        <f>IF(WSJAWA!$H$6&lt;74.9,"P","")</f>
        <v/>
      </c>
      <c r="XO6" s="102" t="str">
        <f>IF(AND(WSJAWA!$H$6&gt;=75,WSJAWA!$H$6&lt;=83.24),"P","")</f>
        <v/>
      </c>
      <c r="XP6" s="102" t="str">
        <f>IF(AND(WSJAWA!$H$6&gt;=83.25,WSJAWA!$H$6&lt;=91.4),"P","")</f>
        <v/>
      </c>
      <c r="XQ6" s="102" t="str">
        <f>IF(AND(WSJAWA!$H$6&gt;=91.5,WSJAWA!$H$6&lt;=100),"P","")</f>
        <v>P</v>
      </c>
      <c r="XR6" t="str">
        <f>IF(WSJAWA!$H$14&lt;74.9,"P","")</f>
        <v/>
      </c>
      <c r="XS6" s="102" t="str">
        <f>IF(AND(WSJAWA!$H$14&gt;=75,WSJAWA!$H$14&lt;=83.24),"P","")</f>
        <v/>
      </c>
      <c r="XT6" s="102" t="str">
        <f>IF(AND(WSJAWA!$H$14&gt;=83.25,WSJAWA!$H$14&lt;=91.4),"P","")</f>
        <v/>
      </c>
      <c r="XU6" s="102" t="str">
        <f>IF(AND(WSJAWA!$H$14&gt;=91.5,WSJAWA!$H$14&lt;=100),"P","")</f>
        <v>P</v>
      </c>
      <c r="XV6" t="str">
        <f>IF(WSJAWA!$H$22&lt;74.9,"P","")</f>
        <v/>
      </c>
      <c r="XW6" s="102" t="str">
        <f>IF(AND(WSJAWA!$H$22&gt;=75,WSJAWA!$H$22&lt;=83.24),"P","")</f>
        <v/>
      </c>
      <c r="XX6" s="102" t="str">
        <f>IF(AND(WSJAWA!$H$22&gt;=83.25,WSJAWA!$H$22&lt;=91.4),"P","")</f>
        <v/>
      </c>
      <c r="XY6" s="102" t="str">
        <f>IF(AND(WSJAWA!$H$22&gt;=91.5,WSJAWA!$H$22&lt;=100),"P","")</f>
        <v>P</v>
      </c>
      <c r="XZ6" t="str">
        <f>IF(WSJAWA!$H$30&lt;74.9,"P","")</f>
        <v/>
      </c>
      <c r="YA6" s="102" t="str">
        <f>IF(AND(WSJAWA!$H$30&gt;=75,WSJAWA!$H$30&lt;=83.24),"P","")</f>
        <v/>
      </c>
      <c r="YB6" s="102" t="str">
        <f>IF(AND(WSJAWA!$H$30&gt;=83.25,WSJAWA!$H$30&lt;=91.4),"P","")</f>
        <v/>
      </c>
      <c r="YC6" s="102" t="str">
        <f>IF(AND(WSJAWA!$H$30&gt;=91.5,WSJAWA!$H$30&lt;=100),"P","")</f>
        <v>P</v>
      </c>
      <c r="YD6" t="str">
        <f>IF(WSJAWA!$H$38&lt;74.9,"P","")</f>
        <v/>
      </c>
      <c r="YE6" s="102" t="str">
        <f>IF(AND(WSJAWA!$H$38&gt;=75,WSJAWA!$H$38&lt;=83.24),"P","")</f>
        <v/>
      </c>
      <c r="YF6" s="102" t="str">
        <f>IF(AND(WSJAWA!$H$38&gt;=83.25,WSJAWA!$H$38&lt;=91.4),"P","")</f>
        <v/>
      </c>
      <c r="YG6" s="102" t="str">
        <f>IF(AND(WSJAWA!$H$38&gt;=91.5,WSJAWA!$H$38&lt;=100),"P","")</f>
        <v>P</v>
      </c>
      <c r="YH6" t="str">
        <f>IF(WSJAWA!$H$46&lt;74.9,"P","")</f>
        <v/>
      </c>
      <c r="YI6" s="102" t="str">
        <f>IF(AND(WSJAWA!$H$46&gt;=75,WSJAWA!$H$46&lt;=83.24),"P","")</f>
        <v>P</v>
      </c>
      <c r="YJ6" s="102" t="str">
        <f>IF(AND(WSJAWA!$H$46&gt;=83.25,WSJAWA!$H$46&lt;=91.4),"P","")</f>
        <v/>
      </c>
      <c r="YK6" s="102" t="str">
        <f>IF(AND(WSJAWA!$H$46&gt;=91.5,WSJAWA!$H$46&lt;=100),"P","")</f>
        <v/>
      </c>
      <c r="YL6" t="str">
        <f>IF(WSJAWA!$H$54&lt;74.9,"P","")</f>
        <v/>
      </c>
      <c r="YM6" s="102" t="str">
        <f>IF(AND(WSJAWA!$H$54&gt;=75,WSJAWA!$H$54&lt;=83.24),"P","")</f>
        <v/>
      </c>
      <c r="YN6" s="102" t="str">
        <f>IF(AND(WSJAWA!$H$54&gt;=83.25,WSJAWA!$H$54&lt;=91.4),"P","")</f>
        <v/>
      </c>
      <c r="YO6" s="102" t="str">
        <f>IF(AND(WSJAWA!$H$54&gt;=91.5,WSJAWA!$H$54&lt;=100),"P","")</f>
        <v>P</v>
      </c>
      <c r="YP6" t="str">
        <f>IF(WSJAWA!$H$62&lt;74.9,"P","")</f>
        <v/>
      </c>
      <c r="YQ6" s="102" t="str">
        <f>IF(AND(WSJAWA!$H$62&gt;=75,WSJAWA!$H$62&lt;=83.24),"P","")</f>
        <v/>
      </c>
      <c r="YR6" s="102" t="str">
        <f>IF(AND(WSJAWA!$H$62&gt;=83.25,WSJAWA!$H$62&lt;=91.4),"P","")</f>
        <v/>
      </c>
      <c r="YS6" s="102" t="str">
        <f>IF(AND(WSJAWA!$H$62&gt;=91.5,WSJAWA!$H$62&lt;=100),"P","")</f>
        <v>P</v>
      </c>
      <c r="YT6" t="str">
        <f>IF(WSJAWA!$H$70&lt;74.9,"P","")</f>
        <v/>
      </c>
      <c r="YU6" s="102" t="str">
        <f>IF(AND(WSJAWA!$H$70&gt;=75,WSJAWA!$H$70&lt;=83.24),"P","")</f>
        <v/>
      </c>
      <c r="YV6" s="102" t="str">
        <f>IF(AND(WSJAWA!$H$70&gt;=83.25,WSJAWA!$H$70&lt;=91.4),"P","")</f>
        <v/>
      </c>
      <c r="YW6" s="102" t="str">
        <f>IF(AND(WSJAWA!$H$70&gt;=91.5,WSJAWA!$H$70&lt;=100),"P","")</f>
        <v/>
      </c>
      <c r="YX6" t="str">
        <f>IF(WSJAWA!$H$78&lt;74.9,"P","")</f>
        <v/>
      </c>
      <c r="YY6" s="102" t="str">
        <f>IF(AND(WSJAWA!$H$78&gt;=75,WSJAWA!$H$78&lt;=83.24),"P","")</f>
        <v/>
      </c>
      <c r="YZ6" s="102" t="str">
        <f>IF(AND(WSJAWA!$H$78&gt;=83.25,WSJAWA!$H$78&lt;=91.4),"P","")</f>
        <v/>
      </c>
      <c r="ZA6" s="102" t="str">
        <f>IF(AND(WSJAWA!$H$78&gt;=91.5,WSJAWA!$H$78&lt;=100),"P","")</f>
        <v/>
      </c>
      <c r="ZB6" t="str">
        <f>IF(WSJAWA!$H$86&lt;74.9,"P","")</f>
        <v/>
      </c>
      <c r="ZC6" s="102" t="str">
        <f>IF(AND(WSJAWA!$H$86&gt;=75,WSJAWA!$H$86&lt;=83.24),"P","")</f>
        <v/>
      </c>
      <c r="ZD6" s="102" t="str">
        <f>IF(AND(WSJAWA!$H$86&gt;=83.25,WSJAWA!$H$86&lt;=91.4),"P","")</f>
        <v/>
      </c>
      <c r="ZE6" s="102" t="str">
        <f>IF(AND(WSJAWA!$H$86&gt;=91.5,WSJAWA!$H$86&lt;=100),"P","")</f>
        <v/>
      </c>
      <c r="ZF6" t="str">
        <f>IF(WSJAWA!$H$94&lt;74.9,"P","")</f>
        <v/>
      </c>
      <c r="ZG6" s="102" t="str">
        <f>IF(AND(WSJAWA!$H$94&gt;=75,WSJAWA!$H$94&lt;=83.24),"P","")</f>
        <v/>
      </c>
      <c r="ZH6" s="102" t="str">
        <f>IF(AND(WSJAWA!$H$94&gt;=83.25,WSJAWA!$H$94&lt;=91.4),"P","")</f>
        <v/>
      </c>
      <c r="ZI6" s="102" t="str">
        <f>IF(AND(WSJAWA!$H$94&gt;=91.5,WSJAWA!$H$94&lt;=100),"P","")</f>
        <v/>
      </c>
      <c r="ZJ6" t="str">
        <f>IF(WSJAWA!$H$102&lt;74.9,"P","")</f>
        <v/>
      </c>
      <c r="ZK6" s="102" t="str">
        <f>IF(AND(WSJAWA!$H$102&gt;=75,WSJAWA!$H$102&lt;=83.24),"P","")</f>
        <v/>
      </c>
      <c r="ZL6" s="102" t="str">
        <f>IF(AND(WSJAWA!$H$102&gt;=83.25,WSJAWA!$H$102&lt;=91.4),"P","")</f>
        <v/>
      </c>
      <c r="ZM6" s="102" t="str">
        <f>IF(AND(WSJAWA!$H$102&gt;=91.5,WSJAWA!$H$102&lt;=100),"P","")</f>
        <v/>
      </c>
      <c r="ZN6" t="str">
        <f>IF(WSING!$H$6&lt;74.9,"P","")</f>
        <v/>
      </c>
      <c r="ZO6" s="102" t="str">
        <f>IF(AND(WSING!$H$6&gt;=75,WSING!$H$6&lt;=83.24),"P","")</f>
        <v/>
      </c>
      <c r="ZP6" s="102" t="str">
        <f>IF(AND(WSING!$H$6&gt;=83.25,WSING!$H$6&lt;=91.4),"P","")</f>
        <v/>
      </c>
      <c r="ZQ6" s="102" t="str">
        <f>IF(AND(WSING!$H$6&gt;=91.5,WSING!$H$6&lt;=100),"P","")</f>
        <v>P</v>
      </c>
      <c r="ZR6" t="str">
        <f>IF(WSING!$H$15&lt;74.9,"P","")</f>
        <v/>
      </c>
      <c r="ZS6" s="102" t="str">
        <f>IF(AND(WSING!$H$15&gt;=75,WSING!$H$15&lt;=83.24),"P","")</f>
        <v/>
      </c>
      <c r="ZT6" s="102" t="str">
        <f>IF(AND(WSING!$H$15&gt;=83.25,WSING!$H$15&lt;=91.4),"P","")</f>
        <v/>
      </c>
      <c r="ZU6" s="102" t="str">
        <f>IF(AND(WSING!$H$15&gt;=91.5,WSING!$H$15&lt;=100),"P","")</f>
        <v>P</v>
      </c>
      <c r="ZV6" t="str">
        <f>IF(WSING!$H$24&lt;74.9,"P","")</f>
        <v/>
      </c>
      <c r="ZW6" s="102" t="str">
        <f>IF(AND(WSING!$H$24&gt;=75,WSING!$H$24&lt;=83.24),"P","")</f>
        <v/>
      </c>
      <c r="ZX6" s="102" t="str">
        <f>IF(AND(WSING!$H$24&gt;=83.25,WSING!$H$24&lt;=91.4),"P","")</f>
        <v/>
      </c>
      <c r="ZY6" s="102" t="str">
        <f>IF(AND(WSING!$H$24&gt;=91.5,WSING!$H$24&lt;=100),"P","")</f>
        <v>P</v>
      </c>
      <c r="ZZ6" t="str">
        <f>IF(WSING!$H$33&lt;74.9,"P","")</f>
        <v/>
      </c>
      <c r="AAA6" s="102" t="str">
        <f>IF(AND(WSING!$H$33&gt;=75,WSING!$H$33&lt;=83.24),"P","")</f>
        <v/>
      </c>
      <c r="AAB6" s="102" t="str">
        <f>IF(AND(WSING!$H$33&gt;=83.25,WSING!$H$33&lt;=91.4),"P","")</f>
        <v/>
      </c>
      <c r="AAC6" s="102" t="str">
        <f>IF(AND(WSING!$H$33&gt;=91.5,WSING!$H$33&lt;=100),"P","")</f>
        <v>P</v>
      </c>
      <c r="AAD6" t="str">
        <f>IF(WSING!$H$42&lt;74.9,"P","")</f>
        <v/>
      </c>
      <c r="AAE6" s="102" t="str">
        <f>IF(AND(WSING!$H$42&gt;=75,WSING!$H$42&lt;=83.24),"P","")</f>
        <v/>
      </c>
      <c r="AAF6" s="102" t="str">
        <f>IF(AND(WSING!$H$42&gt;=83.25,WSING!$H$42&lt;=91.4),"P","")</f>
        <v/>
      </c>
      <c r="AAG6" s="102" t="str">
        <f>IF(AND(WSING!$H$42&gt;=91.5,WSING!$H$42&lt;=100),"P","")</f>
        <v/>
      </c>
      <c r="AAH6" t="str">
        <f>IF(WSING!$H$50&lt;74.9,"P","")</f>
        <v/>
      </c>
      <c r="AAI6" s="102" t="str">
        <f>IF(AND(WSING!$H$50&gt;=75,WSING!$H$50&lt;=83.24),"P","")</f>
        <v/>
      </c>
      <c r="AAJ6" s="102" t="str">
        <f>IF(AND(WSING!$H$50&gt;=83.25,WSING!$H$50&lt;=91.4),"P","")</f>
        <v/>
      </c>
      <c r="AAK6" s="102" t="str">
        <f>IF(AND(WSING!$H$50&gt;=91.5,WSING!$H$50&lt;=100),"P","")</f>
        <v/>
      </c>
      <c r="AAL6" t="str">
        <f>IF(WSING!$H$58&lt;74.9,"P","")</f>
        <v/>
      </c>
      <c r="AAM6" s="102" t="str">
        <f>IF(AND(WSING!$H$58&gt;=75,WSING!$H$58&lt;=83.24),"P","")</f>
        <v/>
      </c>
      <c r="AAN6" s="102" t="str">
        <f>IF(AND(WSING!$H$58&gt;=83.25,WSING!$H$58&lt;=91.4),"P","")</f>
        <v/>
      </c>
      <c r="AAO6" s="102" t="str">
        <f>IF(AND(WSING!$H$58&gt;=91.5,WSING!$H$58&lt;=100),"P","")</f>
        <v/>
      </c>
      <c r="AAP6" t="str">
        <f>IF(WSING!$H$66&lt;74.9,"P","")</f>
        <v/>
      </c>
      <c r="AAQ6" s="102" t="str">
        <f>IF(AND(WSING!$H$66&gt;=75,WSING!$H$66&lt;=83.24),"P","")</f>
        <v/>
      </c>
      <c r="AAR6" s="102" t="str">
        <f>IF(AND(WSING!$H$66&gt;=83.25,WSING!$H$66&lt;=91.4),"P","")</f>
        <v/>
      </c>
      <c r="AAS6" s="102" t="str">
        <f>IF(AND(WSING!$H$66&gt;=91.5,WSING!$H$66&lt;=100),"P","")</f>
        <v/>
      </c>
      <c r="AAT6" t="str">
        <f>IF(WSING!$H$74&lt;74.9,"P","")</f>
        <v/>
      </c>
      <c r="AAU6" s="102" t="str">
        <f>IF(AND(WSING!$H$74&gt;=75,WSING!$H$74&lt;=83.24),"P","")</f>
        <v/>
      </c>
      <c r="AAV6" s="102" t="str">
        <f>IF(AND(WSING!$H$74&gt;=83.25,WSING!$H$74&lt;=91.4),"P","")</f>
        <v/>
      </c>
      <c r="AAW6" s="102" t="str">
        <f>IF(AND(WSING!$H$74&gt;=91.5,WSING!$H$74&lt;=100),"P","")</f>
        <v/>
      </c>
      <c r="AAX6" t="str">
        <f>IF(WSING!$H$82&lt;74.9,"P","")</f>
        <v/>
      </c>
      <c r="AAY6" s="102" t="str">
        <f>IF(AND(WSING!$H$82&gt;=75,WSING!$H$82&lt;=83.24),"P","")</f>
        <v/>
      </c>
      <c r="AAZ6" s="102" t="str">
        <f>IF(AND(WSING!$H$82&gt;=83.25,WSING!$H$82&lt;=91.4),"P","")</f>
        <v/>
      </c>
      <c r="ABA6" s="102" t="str">
        <f>IF(AND(WSING!$H$82&gt;=91.5,WSING!$H$82&lt;=100),"P","")</f>
        <v/>
      </c>
      <c r="ABB6" t="str">
        <f>IF(WSING!$H$90&lt;74.9,"P","")</f>
        <v/>
      </c>
      <c r="ABC6" s="102" t="str">
        <f>IF(AND(WSING!$H$90&gt;=75,WSING!$H$90&lt;=83.24),"P","")</f>
        <v/>
      </c>
      <c r="ABD6" s="102" t="str">
        <f>IF(AND(WSING!$H$90&gt;=83.25,WSING!$H$90&lt;=91.4),"P","")</f>
        <v/>
      </c>
      <c r="ABE6" s="102" t="str">
        <f>IF(AND(WSING!$H$90&gt;=91.5,WSING!$H$90&lt;=100),"P","")</f>
        <v/>
      </c>
      <c r="ABF6" t="str">
        <f>IF(WSING!$H$98&lt;74.9,"P","")</f>
        <v/>
      </c>
      <c r="ABG6" s="102" t="str">
        <f>IF(AND(WSING!$H$98&gt;=75,WSING!$H$98&lt;=83.24),"P","")</f>
        <v/>
      </c>
      <c r="ABH6" s="102" t="str">
        <f>IF(AND(WSING!$H$98&gt;=83.25,WSING!$H$98&lt;=91.4),"P","")</f>
        <v/>
      </c>
      <c r="ABI6" s="102" t="str">
        <f>IF(AND(WSING!$H$98&gt;=91.5,WSING!$H$98&lt;=100),"P","")</f>
        <v/>
      </c>
      <c r="ABJ6" t="str">
        <f>IF(WSING!$H$106&lt;74.9,"P","")</f>
        <v/>
      </c>
      <c r="ABK6" s="102" t="str">
        <f>IF(AND(WSING!$H$106&gt;=75,WSING!$H$106&lt;=83.24),"P","")</f>
        <v/>
      </c>
      <c r="ABL6" s="102" t="str">
        <f>IF(AND(WSING!$H$106&gt;=83.25,WSING!$H$106&lt;=91.4),"P","")</f>
        <v/>
      </c>
      <c r="ABM6" s="102" t="str">
        <f>IF(AND(WSING!$H$106&gt;=91.5,WSING!$H$106&lt;=100),"P","")</f>
        <v/>
      </c>
      <c r="ABN6" t="str">
        <f>IF(WSTIK!$H$6&lt;74.9,"P","")</f>
        <v/>
      </c>
      <c r="ABO6" s="102" t="str">
        <f>IF(AND(WSTIK!$H$6&gt;=75,WSTIK!$H$6&lt;=83.24),"P","")</f>
        <v/>
      </c>
      <c r="ABP6" s="102" t="str">
        <f>IF(AND(WSTIK!$H$6&gt;=83.25,WSTIK!$H$6&lt;=91.4),"P","")</f>
        <v/>
      </c>
      <c r="ABQ6" s="102" t="str">
        <f>IF(AND(WSTIK!$H$6&gt;=91.5,WSTIK!$H$6&lt;=100),"P","")</f>
        <v/>
      </c>
      <c r="ABR6" t="str">
        <f>IF(WSTIK!$H$14&lt;74.9,"P","")</f>
        <v/>
      </c>
      <c r="ABS6" s="102" t="str">
        <f>IF(AND(WSTIK!$H$14&gt;=75,WSTIK!$H$14&lt;=83.24),"P","")</f>
        <v/>
      </c>
      <c r="ABT6" s="102" t="str">
        <f>IF(AND(WSTIK!$H$14&gt;=83.25,WSTIK!$H$14&lt;=91.4),"P","")</f>
        <v/>
      </c>
      <c r="ABU6" s="102" t="str">
        <f>IF(AND(WSTIK!$H$14&gt;=91.5,WSTIK!$H$14&lt;=100),"P","")</f>
        <v/>
      </c>
      <c r="ABV6" t="str">
        <f>IF(WSTIK!$H$22&lt;74.9,"P","")</f>
        <v/>
      </c>
      <c r="ABW6" s="102" t="str">
        <f>IF(AND(WSTIK!$H$22&gt;=75,WSTIK!$H$22&lt;=83.24),"P","")</f>
        <v/>
      </c>
      <c r="ABX6" s="102" t="str">
        <f>IF(AND(WSTIK!$H$22&gt;=83.25,WSTIK!$H$22&lt;=91.4),"P","")</f>
        <v/>
      </c>
      <c r="ABY6" s="102" t="str">
        <f>IF(AND(WSTIK!$H$22&gt;=91.5,WSTIK!$H$22&lt;=100),"P","")</f>
        <v/>
      </c>
      <c r="ABZ6" t="str">
        <f>IF(WSTIK!$H$30&lt;74.9,"P","")</f>
        <v/>
      </c>
      <c r="ACA6" s="102" t="str">
        <f>IF(AND(WSTIK!$H$30&gt;=75,WSTIK!$H$30&lt;=83.24),"P","")</f>
        <v/>
      </c>
      <c r="ACB6" s="102" t="str">
        <f>IF(AND(WSTIK!$H$30&gt;=83.25,WSTIK!$H$30&lt;=91.4),"P","")</f>
        <v/>
      </c>
      <c r="ACC6" s="102" t="str">
        <f>IF(AND(WSTIK!$H$30&gt;=91.5,WSTIK!$H$30&lt;=100),"P","")</f>
        <v/>
      </c>
      <c r="ACD6" t="str">
        <f>IF(WSTIK!$H$38&lt;74.9,"P","")</f>
        <v/>
      </c>
      <c r="ACE6" s="102" t="str">
        <f>IF(AND(WSTIK!$H$38&gt;=75,WSTIK!$H$38&lt;=83.24),"P","")</f>
        <v/>
      </c>
      <c r="ACF6" s="102" t="str">
        <f>IF(AND(WSTIK!$H$38&gt;=83.25,WSTIK!$H$38&lt;=91.4),"P","")</f>
        <v/>
      </c>
      <c r="ACG6" s="102" t="str">
        <f>IF(AND(WSTIK!$H$38&gt;=91.5,WSTIK!$H$38&lt;=100),"P","")</f>
        <v/>
      </c>
      <c r="ACH6" t="str">
        <f>IF(WSTIK!$H$46&lt;74.9,"P","")</f>
        <v/>
      </c>
      <c r="ACI6" s="102" t="str">
        <f>IF(AND(WSTIK!$H$46&gt;=75,WSTIK!$H$46&lt;=83.24),"P","")</f>
        <v/>
      </c>
      <c r="ACJ6" s="102" t="str">
        <f>IF(AND(WSTIK!$H$46&gt;=83.25,WSTIK!$H$46&lt;=91.4),"P","")</f>
        <v/>
      </c>
      <c r="ACK6" s="102" t="str">
        <f>IF(AND(WSTIK!$H$46&gt;=91.5,WSTIK!$H$46&lt;=100),"P","")</f>
        <v/>
      </c>
      <c r="ACL6" t="str">
        <f>IF(WSTIK!$H$54&lt;74.9,"P","")</f>
        <v/>
      </c>
      <c r="ACM6" s="102" t="str">
        <f>IF(AND(WSTIK!$H$54&gt;=75,WSTIK!$H$54&lt;=83.24),"P","")</f>
        <v/>
      </c>
      <c r="ACN6" s="102" t="str">
        <f>IF(AND(WSTIK!$H$54&gt;=83.25,WSTIK!$H$54&lt;=91.4),"P","")</f>
        <v/>
      </c>
      <c r="ACO6" s="102" t="str">
        <f>IF(AND(WSTIK!$H$54&gt;=91.5,WSTIK!$H$54&lt;=100),"P","")</f>
        <v/>
      </c>
      <c r="ACP6" t="str">
        <f>IF(WSTIK!$H$62&lt;74.9,"P","")</f>
        <v/>
      </c>
      <c r="ACQ6" s="102" t="str">
        <f>IF(AND(WSTIK!$H$62&gt;=75,WSTIK!$H$62&lt;=83.24),"P","")</f>
        <v/>
      </c>
      <c r="ACR6" s="102" t="str">
        <f>IF(AND(WSTIK!$H$62&gt;=83.25,WSTIK!$H$62&lt;=91.4),"P","")</f>
        <v/>
      </c>
      <c r="ACS6" s="102" t="str">
        <f>IF(AND(WSTIK!$H$62&gt;=91.5,WSTIK!$H$62&lt;=100),"P","")</f>
        <v/>
      </c>
      <c r="ACT6" t="str">
        <f>IF(WSTIK!$H$70&lt;74.9,"P","")</f>
        <v/>
      </c>
      <c r="ACU6" s="102" t="str">
        <f>IF(AND(WSTIK!$H$70&gt;=75,WSTIK!$H$70&lt;=83.24),"P","")</f>
        <v/>
      </c>
      <c r="ACV6" s="102" t="str">
        <f>IF(AND(WSTIK!$H$70&gt;=83.25,WSTIK!$H$70&lt;=91.4),"P","")</f>
        <v/>
      </c>
      <c r="ACW6" s="102" t="str">
        <f>IF(AND(WSTIK!$H$70&gt;=91.5,WSTIK!$H$70&lt;=100),"P","")</f>
        <v/>
      </c>
      <c r="ACX6" t="str">
        <f>IF(WSTIK!$H$78&lt;74.9,"P","")</f>
        <v/>
      </c>
      <c r="ACY6" s="102" t="str">
        <f>IF(AND(WSTIK!$H$78&gt;=75,WSTIK!$H$78&lt;=83.24),"P","")</f>
        <v/>
      </c>
      <c r="ACZ6" s="102" t="str">
        <f>IF(AND(WSTIK!$H$78&gt;=83.25,WSTIK!$H$78&lt;=91.4),"P","")</f>
        <v/>
      </c>
      <c r="ADA6" s="102" t="str">
        <f>IF(AND(WSTIK!$H$78&gt;=91.5,WSTIK!$H$78&lt;=100),"P","")</f>
        <v/>
      </c>
      <c r="ADB6" t="str">
        <f>IF(WSTIK!$H$86&lt;74.9,"P","")</f>
        <v/>
      </c>
      <c r="ADC6" s="102" t="str">
        <f>IF(AND(WSTIK!$H$86&gt;=75,WSTIK!$H$86&lt;=83.24),"P","")</f>
        <v/>
      </c>
      <c r="ADD6" s="102" t="str">
        <f>IF(AND(WSTIK!$H$86&gt;=83.25,WSTIK!$H$86&lt;=91.4),"P","")</f>
        <v/>
      </c>
      <c r="ADE6" s="102" t="str">
        <f>IF(AND(WSTIK!$H$86&gt;=91.5,WSTIK!$H$86&lt;=100),"P","")</f>
        <v/>
      </c>
      <c r="ADF6" t="str">
        <f>IF(WSTIK!$H$94&lt;74.9,"P","")</f>
        <v/>
      </c>
      <c r="ADG6" s="102" t="str">
        <f>IF(AND(WSTIK!$H$94&gt;=75,WSTIK!$H$94&lt;=83.24),"P","")</f>
        <v/>
      </c>
      <c r="ADH6" s="102" t="str">
        <f>IF(AND(WSTIK!$H$94&gt;=83.25,WSTIK!$H$94&lt;=91.4),"P","")</f>
        <v/>
      </c>
      <c r="ADI6" s="102" t="str">
        <f>IF(AND(WSTIK!$H$94&gt;=91.5,WSTIK!$H$94&lt;=100),"P","")</f>
        <v/>
      </c>
      <c r="ADJ6" t="str">
        <f>IF(WSTIK!$H$102&lt;74.9,"P","")</f>
        <v/>
      </c>
      <c r="ADK6" s="102" t="str">
        <f>IF(AND(WSTIK!$H$102&gt;=75,WSTIK!$H$102&lt;=83.24),"P","")</f>
        <v/>
      </c>
      <c r="ADL6" s="102" t="str">
        <f>IF(AND(WSTIK!$H$102&gt;=83.25,WSTIK!$H$102&lt;=91.4),"P","")</f>
        <v/>
      </c>
      <c r="ADM6" s="102" t="str">
        <f>IF(AND(WSTIK!$H$102&gt;=91.5,WSTIK!$H$102&lt;=100),"P","")</f>
        <v/>
      </c>
      <c r="ADN6" t="str">
        <f>IF(WSASWAJA!$H$6&lt;74.9,"P","")</f>
        <v/>
      </c>
      <c r="ADO6" s="102" t="str">
        <f>IF(AND(WSASWAJA!$H$6&gt;=75,WSASWAJA!$H$6&lt;=83.24),"P","")</f>
        <v/>
      </c>
      <c r="ADP6" s="102" t="str">
        <f>IF(AND(WSASWAJA!$H$6&gt;=83.25,WSASWAJA!$H$6&lt;=91.4),"P","")</f>
        <v/>
      </c>
      <c r="ADQ6" s="102" t="str">
        <f>IF(AND(WSASWAJA!$H$6&gt;=91.5,WSASWAJA!$H$6&lt;=100),"P","")</f>
        <v/>
      </c>
      <c r="ADR6" t="str">
        <f>IF(WSASWAJA!$H$14&lt;74.9,"P","")</f>
        <v/>
      </c>
      <c r="ADS6" s="102" t="str">
        <f>IF(AND(WSASWAJA!$H$14&gt;=75,WSASWAJA!$H$14&lt;=83.24),"P","")</f>
        <v/>
      </c>
      <c r="ADT6" s="102" t="str">
        <f>IF(AND(WSASWAJA!$H$14&gt;=83.25,WSASWAJA!$H$14&lt;=91.4),"P","")</f>
        <v/>
      </c>
      <c r="ADU6" s="102" t="str">
        <f>IF(AND(WSASWAJA!$H$14&gt;=91.5,WSASWAJA!$H$14&lt;=100),"P","")</f>
        <v/>
      </c>
      <c r="ADV6" t="str">
        <f>IF(WSASWAJA!$H$22&lt;74.9,"P","")</f>
        <v/>
      </c>
      <c r="ADW6" s="102" t="str">
        <f>IF(AND(WSASWAJA!$H$22&gt;=75,WSASWAJA!$H$22&lt;=83.24),"P","")</f>
        <v/>
      </c>
      <c r="ADX6" s="102" t="str">
        <f>IF(AND(WSASWAJA!$H$22&gt;=83.25,WSASWAJA!$H$22&lt;=91.4),"P","")</f>
        <v/>
      </c>
      <c r="ADY6" s="102" t="str">
        <f>IF(AND(WSASWAJA!$H$22&gt;=91.5,WSASWAJA!$H$22&lt;=100),"P","")</f>
        <v/>
      </c>
      <c r="ADZ6" t="str">
        <f>IF(WSASWAJA!$H$30&lt;74.9,"P","")</f>
        <v/>
      </c>
      <c r="AEA6" s="102" t="str">
        <f>IF(AND(WSASWAJA!$H$30&gt;=75,WSASWAJA!$H$30&lt;=83.24),"P","")</f>
        <v/>
      </c>
      <c r="AEB6" s="102" t="str">
        <f>IF(AND(WSASWAJA!$H$30&gt;=83.25,WSASWAJA!$H$30&lt;=91.4),"P","")</f>
        <v/>
      </c>
      <c r="AEC6" s="102" t="str">
        <f>IF(AND(WSASWAJA!$H$30&gt;=91.5,WSASWAJA!$H$30&lt;=100),"P","")</f>
        <v/>
      </c>
      <c r="AED6" t="str">
        <f>IF(WSASWAJA!$H$38&lt;74.9,"P","")</f>
        <v/>
      </c>
      <c r="AEE6" s="102" t="str">
        <f>IF(AND(WSASWAJA!$H$38&gt;=75,WSASWAJA!$H$38&lt;=83.24),"P","")</f>
        <v/>
      </c>
      <c r="AEF6" s="102" t="str">
        <f>IF(AND(WSASWAJA!$H$38&gt;=83.25,WSASWAJA!$H$38&lt;=91.4),"P","")</f>
        <v/>
      </c>
      <c r="AEG6" s="102" t="str">
        <f>IF(AND(WSASWAJA!$H$38&gt;=91.5,WSASWAJA!$H$38&lt;=100),"P","")</f>
        <v/>
      </c>
      <c r="AEH6" t="str">
        <f>IF(WSASWAJA!$H$46&lt;74.9,"P","")</f>
        <v/>
      </c>
      <c r="AEI6" s="102" t="str">
        <f>IF(AND(WSASWAJA!$H$46&gt;=75,WSASWAJA!$H$46&lt;=83.24),"P","")</f>
        <v/>
      </c>
      <c r="AEJ6" s="102" t="str">
        <f>IF(AND(WSASWAJA!$H$46&gt;=83.25,WSASWAJA!$H$46&lt;=91.4),"P","")</f>
        <v/>
      </c>
      <c r="AEK6" s="102" t="str">
        <f>IF(AND(WSASWAJA!$H$46&gt;=91.5,WSASWAJA!$H$46&lt;=100),"P","")</f>
        <v/>
      </c>
      <c r="AEL6" t="str">
        <f>IF(WSASWAJA!$H$54&lt;74.9,"P","")</f>
        <v/>
      </c>
      <c r="AEM6" s="102" t="str">
        <f>IF(AND(WSASWAJA!$H$54&gt;=75,WSASWAJA!$H$54&lt;=83.24),"P","")</f>
        <v/>
      </c>
      <c r="AEN6" s="102" t="str">
        <f>IF(AND(WSASWAJA!$H$54&gt;=83.25,WSASWAJA!$H$54&lt;=91.4),"P","")</f>
        <v/>
      </c>
      <c r="AEO6" s="102" t="str">
        <f>IF(AND(WSASWAJA!$H$54&gt;=91.5,WSASWAJA!$H$54&lt;=100),"P","")</f>
        <v/>
      </c>
      <c r="AEP6" t="str">
        <f>IF(WSASWAJA!$H$62&lt;74.9,"P","")</f>
        <v/>
      </c>
      <c r="AEQ6" s="102" t="str">
        <f>IF(AND(WSASWAJA!$H$62&gt;=75,WSASWAJA!$H$62&lt;=83.24),"P","")</f>
        <v/>
      </c>
      <c r="AER6" s="102" t="str">
        <f>IF(AND(WSASWAJA!$H$62&gt;=83.25,WSASWAJA!$H$62&lt;=91.4),"P","")</f>
        <v/>
      </c>
      <c r="AES6" s="102" t="str">
        <f>IF(AND(WSASWAJA!$H$62&gt;=91.5,WSASWAJA!$H$62&lt;=100),"P","")</f>
        <v/>
      </c>
      <c r="AET6" t="str">
        <f>IF(WSASWAJA!$H$70&lt;74.9,"P","")</f>
        <v/>
      </c>
      <c r="AEU6" s="102" t="str">
        <f>IF(AND(WSASWAJA!$H$70&gt;=75,WSASWAJA!$H$70&lt;=83.24),"P","")</f>
        <v/>
      </c>
      <c r="AEV6" s="102" t="str">
        <f>IF(AND(WSASWAJA!$H$70&gt;=83.25,WSASWAJA!$H$70&lt;=91.4),"P","")</f>
        <v/>
      </c>
      <c r="AEW6" s="102" t="str">
        <f>IF(AND(WSASWAJA!$H$70&gt;=91.5,WSASWAJA!$H$70&lt;=100),"P","")</f>
        <v/>
      </c>
      <c r="AEX6" t="str">
        <f>IF(WSASWAJA!$H$78&lt;74.9,"P","")</f>
        <v/>
      </c>
      <c r="AEY6" s="102" t="str">
        <f>IF(AND(WSASWAJA!$H$78&gt;=75,WSASWAJA!$H$78&lt;=83.24),"P","")</f>
        <v/>
      </c>
      <c r="AEZ6" s="102" t="str">
        <f>IF(AND(WSASWAJA!$H$78&gt;=83.25,WSASWAJA!$H$78&lt;=91.4),"P","")</f>
        <v/>
      </c>
      <c r="AFA6" s="102" t="str">
        <f>IF(AND(WSASWAJA!$H$78&gt;=91.5,WSASWAJA!$H$78&lt;=100),"P","")</f>
        <v/>
      </c>
      <c r="AFB6" t="str">
        <f>IF(WSASWAJA!$H$86&lt;74.9,"P","")</f>
        <v/>
      </c>
      <c r="AFC6" s="102" t="str">
        <f>IF(AND(WSASWAJA!$H$86&gt;=75,WSASWAJA!$H$86&lt;=83.24),"P","")</f>
        <v/>
      </c>
      <c r="AFD6" s="102" t="str">
        <f>IF(AND(WSASWAJA!$H$86&gt;=83.25,WSASWAJA!$H$86&lt;=91.4),"P","")</f>
        <v/>
      </c>
      <c r="AFE6" s="102" t="str">
        <f>IF(AND(WSASWAJA!$H$86&gt;=91.5,WSASWAJA!$H$86&lt;=100),"P","")</f>
        <v/>
      </c>
      <c r="AFF6" t="str">
        <f>IF(WSASWAJA!$H$94&lt;74.9,"P","")</f>
        <v/>
      </c>
      <c r="AFG6" s="102" t="str">
        <f>IF(AND(WSASWAJA!$H$94&gt;=75,WSASWAJA!$H$94&lt;=83.24),"P","")</f>
        <v/>
      </c>
      <c r="AFH6" s="102" t="str">
        <f>IF(AND(WSASWAJA!$H$94&gt;=83.25,WSASWAJA!$H$94&lt;=91.4),"P","")</f>
        <v/>
      </c>
      <c r="AFI6" s="102" t="str">
        <f>IF(AND(WSASWAJA!$H$94&gt;=91.5,WSASWAJA!$H$94&lt;=100),"P","")</f>
        <v/>
      </c>
      <c r="AFJ6" t="str">
        <f>IF(WSASWAJA!$H$102&lt;74.9,"P","")</f>
        <v/>
      </c>
      <c r="AFK6" s="102" t="str">
        <f>IF(AND(WSASWAJA!$H$102&gt;=75,WSASWAJA!$H$102&lt;=83.24),"P","")</f>
        <v/>
      </c>
      <c r="AFL6" s="102" t="str">
        <f>IF(AND(WSASWAJA!$H$102&gt;=83.25,WSASWAJA!$H$102&lt;=91.4),"P","")</f>
        <v/>
      </c>
      <c r="AFM6" s="102" t="str">
        <f>IF(AND(WSASWAJA!$H$102&gt;=91.5,WSASWAJA!$H$102&lt;=100),"P","")</f>
        <v/>
      </c>
    </row>
    <row r="7" spans="1:852" ht="20.100000000000001" customHeight="1">
      <c r="A7">
        <v>5</v>
      </c>
      <c r="B7" s="104" t="str">
        <f>IF(WSALQURAN!$I$6&lt;74.9,"P","")</f>
        <v/>
      </c>
      <c r="C7" s="103" t="str">
        <f>IF(AND(WSALQURAN!$I$6&gt;=75,WSALQURAN!$I$6&lt;=83.24),"P","")</f>
        <v/>
      </c>
      <c r="D7" s="103" t="str">
        <f>IF(AND(WSALQURAN!$I$6&gt;=83.25,WSALQURAN!$I$6&lt;=91.4),"P","")</f>
        <v/>
      </c>
      <c r="E7" s="103" t="str">
        <f>IF(AND(WSALQURAN!$I$6&gt;=91.5,WSALQURAN!$I$6&lt;=100),"P","")</f>
        <v>P</v>
      </c>
      <c r="F7" t="str">
        <f>IF(WSALQURAN!$I$14&lt;74.9,"P","")</f>
        <v/>
      </c>
      <c r="G7" s="102" t="str">
        <f>IF(AND(WSALQURAN!$I$14&gt;=75,WSALQURAN!$I$14&lt;=83.24),"P","")</f>
        <v/>
      </c>
      <c r="H7" s="102" t="str">
        <f>IF(AND(WSALQURAN!$I$14&gt;=83.25,WSALQURAN!$I$14&lt;=91.4),"P","")</f>
        <v/>
      </c>
      <c r="I7" s="102" t="str">
        <f>IF(AND(WSALQURAN!$I$14&gt;=91.5,WSALQURAN!$I$14&lt;=100),"P","")</f>
        <v>P</v>
      </c>
      <c r="J7" t="str">
        <f>IF(WSALQURAN!$I$22&lt;74.9,"P","")</f>
        <v/>
      </c>
      <c r="K7" s="102" t="str">
        <f>IF(AND(WSALQURAN!$I$22&gt;=75,WSALQURAN!$I$22&lt;=83.24),"P","")</f>
        <v>P</v>
      </c>
      <c r="L7" s="102" t="str">
        <f>IF(AND(WSALQURAN!$I$22&gt;=83.25,WSALQURAN!$I$22&lt;=91.4),"P","")</f>
        <v/>
      </c>
      <c r="M7" s="102" t="str">
        <f>IF(AND(WSALQURAN!$I$22&gt;=91.5,WSALQURAN!$I$22&lt;=100),"P","")</f>
        <v/>
      </c>
      <c r="N7" t="str">
        <f>IF(WSALQURAN!$I$30&lt;74.9,"P","")</f>
        <v/>
      </c>
      <c r="O7" s="102" t="str">
        <f>IF(AND(WSALQURAN!$I$30&gt;=75,WSALQURAN!$I$30&lt;=83.24),"P","")</f>
        <v/>
      </c>
      <c r="P7" s="102" t="str">
        <f>IF(AND(WSALQURAN!$I$30&gt;=83.25,WSALQURAN!$I$30&lt;=91.4),"P","")</f>
        <v/>
      </c>
      <c r="Q7" s="102" t="str">
        <f>IF(AND(WSALQURAN!$I$30&gt;=91.5,WSALQURAN!$I$30&lt;=100),"P","")</f>
        <v>P</v>
      </c>
      <c r="R7" t="str">
        <f>IF(WSALQURAN!$I$38&lt;74.9,"P","")</f>
        <v/>
      </c>
      <c r="S7" s="102" t="str">
        <f>IF(AND(WSALQURAN!$I$38&gt;=75,WSALQURAN!$I$38&lt;=83.24),"P","")</f>
        <v/>
      </c>
      <c r="T7" s="102" t="str">
        <f>IF(AND(WSALQURAN!$I$38&gt;=83.25,WSALQURAN!$I$38&lt;=91.4),"P","")</f>
        <v/>
      </c>
      <c r="U7" s="102" t="str">
        <f>IF(AND(WSALQURAN!$I$38&gt;=91.5,WSALQURAN!$I$38&lt;=100),"P","")</f>
        <v>P</v>
      </c>
      <c r="V7" t="str">
        <f>IF(WSALQURAN!$I$46&lt;74.9,"P","")</f>
        <v/>
      </c>
      <c r="W7" s="102" t="str">
        <f>IF(AND(WSALQURAN!$I$46&gt;=75,WSALQURAN!$I$46&lt;=83.24),"P","")</f>
        <v/>
      </c>
      <c r="X7" s="102" t="str">
        <f>IF(AND(WSALQURAN!$I$46&gt;=83.25,WSALQURAN!$I$46&lt;=91.4),"P","")</f>
        <v/>
      </c>
      <c r="Y7" s="102" t="str">
        <f>IF(AND(WSALQURAN!$I$46&gt;=91.5,WSALQURAN!$I$46&lt;=100),"P","")</f>
        <v>P</v>
      </c>
      <c r="Z7" t="str">
        <f>IF(WSALQURAN!$I$54&lt;74.9,"P","")</f>
        <v/>
      </c>
      <c r="AA7" s="102" t="str">
        <f>IF(AND(WSALQURAN!$I$54&gt;=75,WSALQURAN!$I$54&lt;=83.24),"P","")</f>
        <v/>
      </c>
      <c r="AB7" s="102" t="str">
        <f>IF(AND(WSALQURAN!$I$54&gt;=83.25,WSALQURAN!$I$54&lt;=91.4),"P","")</f>
        <v/>
      </c>
      <c r="AC7" s="102" t="str">
        <f>IF(AND(WSALQURAN!$I$54&gt;=91.5,WSALQURAN!$I$54&lt;=100),"P","")</f>
        <v>P</v>
      </c>
      <c r="AD7" t="str">
        <f>IF(WSALQURAN!$I$62&lt;74.9,"P","")</f>
        <v/>
      </c>
      <c r="AE7" s="102" t="str">
        <f>IF(AND(WSALQURAN!$I$62&gt;=75,WSALQURAN!$I$62&lt;=83.24),"P","")</f>
        <v/>
      </c>
      <c r="AF7" s="102" t="str">
        <f>IF(AND(WSALQURAN!$I$62&gt;=83.25,WSALQURAN!$I$62&lt;=91.4),"P","")</f>
        <v/>
      </c>
      <c r="AG7" s="102" t="str">
        <f>IF(AND(WSALQURAN!$I$62&gt;=91.5,WSALQURAN!$I$62&lt;=100),"P","")</f>
        <v/>
      </c>
      <c r="AH7" t="str">
        <f>IF(WSALQURAN!$I$70&lt;74.9,"P","")</f>
        <v/>
      </c>
      <c r="AI7" s="102" t="str">
        <f>IF(AND(WSALQURAN!$I$70&gt;=75,WSALQURAN!$I$70&lt;=83.24),"P","")</f>
        <v/>
      </c>
      <c r="AJ7" s="102" t="str">
        <f>IF(AND(WSALQURAN!$I$70&gt;=83.25,WSALQURAN!$I$70&lt;=91.4),"P","")</f>
        <v/>
      </c>
      <c r="AK7" s="102" t="str">
        <f>IF(AND(WSALQURAN!$I$70&gt;=91.5,WSALQURAN!$I$70&lt;=100),"P","")</f>
        <v/>
      </c>
      <c r="AL7" t="str">
        <f>IF(WSALQURAN!$I$78&lt;74.9,"P","")</f>
        <v/>
      </c>
      <c r="AM7" s="102" t="str">
        <f>IF(AND(WSALQURAN!$I$78&gt;=75,WSALQURAN!$I$78&lt;=83.24),"P","")</f>
        <v/>
      </c>
      <c r="AN7" s="102" t="str">
        <f>IF(AND(WSALQURAN!$I$78&gt;=83.25,WSALQURAN!$I$78&lt;=91.4),"P","")</f>
        <v/>
      </c>
      <c r="AO7" s="102" t="str">
        <f>IF(AND(WSALQURAN!$I$78&gt;=91.5,WSALQURAN!$I$78&lt;=100),"P","")</f>
        <v/>
      </c>
      <c r="AP7" t="str">
        <f>IF(WSALQURAN!$I$86&lt;74.9,"P","")</f>
        <v/>
      </c>
      <c r="AQ7" s="102" t="str">
        <f>IF(AND(WSALQURAN!$I$86&gt;=75,WSALQURAN!$I$86&lt;=83.24),"P","")</f>
        <v/>
      </c>
      <c r="AR7" s="102" t="str">
        <f>IF(AND(WSALQURAN!$I$86&gt;=83.25,WSALQURAN!$I$86&lt;=91.4),"P","")</f>
        <v/>
      </c>
      <c r="AS7" s="102" t="str">
        <f>IF(AND(WSALQURAN!$I$86&gt;=91.5,WSALQURAN!$I$86&lt;=100),"P","")</f>
        <v/>
      </c>
      <c r="AT7" t="str">
        <f>IF(WSALQURAN!$I$94&lt;74.9,"P","")</f>
        <v/>
      </c>
      <c r="AU7" s="102" t="str">
        <f>IF(AND(WSALQURAN!$I$94&gt;=75,WSALQURAN!$I$94&lt;=83.24),"P","")</f>
        <v/>
      </c>
      <c r="AV7" s="102" t="str">
        <f>IF(AND(WSALQURAN!$I$94&gt;=83.25,WSALQURAN!$I$94&lt;=91.4),"P","")</f>
        <v/>
      </c>
      <c r="AW7" s="102" t="str">
        <f>IF(AND(WSALQURAN!$I$94&gt;=91.5,WSALQURAN!$I$94&lt;=100),"P","")</f>
        <v/>
      </c>
      <c r="AX7" t="str">
        <f>IF(WSALQURAN!$I$102&lt;74.9,"P","")</f>
        <v/>
      </c>
      <c r="AY7" s="102" t="str">
        <f>IF(AND(WSALQURAN!$I$102&gt;=75,WSALQURAN!$I$102&lt;=83.24),"P","")</f>
        <v/>
      </c>
      <c r="AZ7" s="102" t="str">
        <f>IF(AND(WSALQURAN!$I$102&gt;=83.25,WSALQURAN!$I$102&lt;=91.4),"P","")</f>
        <v/>
      </c>
      <c r="BA7" s="102" t="str">
        <f>IF(AND(WSALQURAN!$I$102&gt;=91.5,WSALQURAN!$I$102&lt;=100),"P","")</f>
        <v/>
      </c>
      <c r="BB7" t="str">
        <f>IF(WSAQIDAH!$I$6&lt;74.9,"P","")</f>
        <v/>
      </c>
      <c r="BC7" s="102" t="str">
        <f>IF(AND(WSAQIDAH!$I$6&gt;=75,WSAQIDAH!$I$6&lt;=83.24),"P","")</f>
        <v>P</v>
      </c>
      <c r="BD7" s="102" t="str">
        <f>IF(AND(WSAQIDAH!$I$6&gt;=83.25,WSAQIDAH!$I$6&lt;=91.4),"P","")</f>
        <v/>
      </c>
      <c r="BE7" s="102" t="str">
        <f>IF(AND(WSAQIDAH!$I$6&gt;=91.5,WSAQIDAH!$I$6&lt;=100),"P","")</f>
        <v/>
      </c>
      <c r="BF7" t="str">
        <f>IF(WSAQIDAH!$I$14&lt;74.9,"P","")</f>
        <v/>
      </c>
      <c r="BG7" s="102" t="str">
        <f>IF(AND(WSAQIDAH!$I$14&gt;=75,WSAQIDAH!$I$14&lt;=83.24),"P","")</f>
        <v/>
      </c>
      <c r="BH7" s="102" t="str">
        <f>IF(AND(WSAQIDAH!$I$14&gt;=83.25,WSAQIDAH!$I$14&lt;=91.4),"P","")</f>
        <v/>
      </c>
      <c r="BI7" s="102" t="str">
        <f>IF(AND(WSAQIDAH!$I$14&gt;=91.5,WSAQIDAH!$I$14&lt;=100),"P","")</f>
        <v>P</v>
      </c>
      <c r="BJ7" t="str">
        <f>IF(WSAQIDAH!$I$22&lt;74.9,"P","")</f>
        <v/>
      </c>
      <c r="BK7" s="102" t="str">
        <f>IF(AND(WSAQIDAH!$I$22&gt;=75,WSAQIDAH!$I$22&lt;=83.24),"P","")</f>
        <v/>
      </c>
      <c r="BL7" s="102" t="str">
        <f>IF(AND(WSAQIDAH!$I$22&gt;=83.25,WSAQIDAH!$I$22&lt;=91.4),"P","")</f>
        <v>P</v>
      </c>
      <c r="BM7" s="102" t="str">
        <f>IF(AND(WSAQIDAH!$I$22&gt;=91.5,WSAQIDAH!$I$22&lt;=100),"P","")</f>
        <v/>
      </c>
      <c r="BN7" t="str">
        <f>IF(WSAQIDAH!$I$30&lt;74.9,"P","")</f>
        <v/>
      </c>
      <c r="BO7" s="102" t="str">
        <f>IF(AND(WSAQIDAH!$I$30&gt;=75,WSAQIDAH!$I$30&lt;=83.24),"P","")</f>
        <v>P</v>
      </c>
      <c r="BP7" s="102" t="str">
        <f>IF(AND(WSAQIDAH!$I$30&gt;=83.25,WSAQIDAH!$I$30&lt;=91.4),"P","")</f>
        <v/>
      </c>
      <c r="BQ7" s="102" t="str">
        <f>IF(AND(WSAQIDAH!$I$30&gt;=91.5,WSAQIDAH!$I$30&lt;=100),"P","")</f>
        <v/>
      </c>
      <c r="BR7" t="str">
        <f>IF(WSAQIDAH!$I$38&lt;74.9,"P","")</f>
        <v/>
      </c>
      <c r="BS7" s="102" t="str">
        <f>IF(AND(WSAQIDAH!$I$38&gt;=75,WSAQIDAH!$I$38&lt;=83.24),"P","")</f>
        <v/>
      </c>
      <c r="BT7" s="102" t="str">
        <f>IF(AND(WSAQIDAH!$I$38&gt;=83.25,WSAQIDAH!$I$38&lt;=91.4),"P","")</f>
        <v/>
      </c>
      <c r="BU7" s="102" t="str">
        <f>IF(AND(WSAQIDAH!$I$38&gt;=91.5,WSAQIDAH!$I$38&lt;=100),"P","")</f>
        <v>P</v>
      </c>
      <c r="BV7" t="str">
        <f>IF(WSAQIDAH!$I$46&lt;74.9,"P","")</f>
        <v/>
      </c>
      <c r="BW7" s="102" t="str">
        <f>IF(AND(WSAQIDAH!$I$46&gt;=75,WSAQIDAH!$I$46&lt;=83.24),"P","")</f>
        <v/>
      </c>
      <c r="BX7" s="102" t="str">
        <f>IF(AND(WSAQIDAH!$I$46&gt;=83.25,WSAQIDAH!$I$46&lt;=91.4),"P","")</f>
        <v>P</v>
      </c>
      <c r="BY7" s="102" t="str">
        <f>IF(AND(WSAQIDAH!$I$46&gt;=91.5,WSAQIDAH!$I$46&lt;=100),"P","")</f>
        <v/>
      </c>
      <c r="BZ7" t="str">
        <f>IF(WSAQIDAH!$I$54&lt;74.9,"P","")</f>
        <v/>
      </c>
      <c r="CA7" s="102" t="str">
        <f>IF(AND(WSAQIDAH!$I$54&gt;=75,WSAQIDAH!$I$54&lt;=83.24),"P","")</f>
        <v>P</v>
      </c>
      <c r="CB7" s="102" t="str">
        <f>IF(AND(WSAQIDAH!$I$54&gt;=83.25,WSAQIDAH!$I$54&lt;=91.4),"P","")</f>
        <v/>
      </c>
      <c r="CC7" s="102" t="str">
        <f>IF(AND(WSAQIDAH!$I$54&gt;=91.5,WSAQIDAH!$I$54&lt;=100),"P","")</f>
        <v/>
      </c>
      <c r="CD7" t="str">
        <f>IF(WSAQIDAH!$I$62&lt;74.9,"P","")</f>
        <v/>
      </c>
      <c r="CE7" s="102" t="str">
        <f>IF(AND(WSAQIDAH!$I$62&gt;=75,WSAQIDAH!$I$62&lt;=83.24),"P","")</f>
        <v>P</v>
      </c>
      <c r="CF7" s="102" t="str">
        <f>IF(AND(WSAQIDAH!$I$62&gt;=83.25,WSAQIDAH!$I$62&lt;=91.4),"P","")</f>
        <v/>
      </c>
      <c r="CG7" s="102" t="str">
        <f>IF(AND(WSAQIDAH!$I$62&gt;=91.5,WSAQIDAH!$I$62&lt;=100),"P","")</f>
        <v/>
      </c>
      <c r="CH7" t="str">
        <f>IF(WSAQIDAH!$I$70&lt;74.9,"P","")</f>
        <v/>
      </c>
      <c r="CI7" s="102" t="str">
        <f>IF(AND(WSAQIDAH!$I$70&gt;=75,WSAQIDAH!$I$70&lt;=83.24),"P","")</f>
        <v>P</v>
      </c>
      <c r="CJ7" s="102" t="str">
        <f>IF(AND(WSAQIDAH!$I$70&gt;=83.25,WSAQIDAH!$I$70&lt;=91.4),"P","")</f>
        <v/>
      </c>
      <c r="CK7" s="102" t="str">
        <f>IF(AND(WSAQIDAH!$I$70&gt;=91.5,WSAQIDAH!$I$70&lt;=100),"P","")</f>
        <v/>
      </c>
      <c r="CL7" t="str">
        <f>IF(WSAQIDAH!$I$78&lt;74.9,"P","")</f>
        <v/>
      </c>
      <c r="CM7" s="102" t="str">
        <f>IF(AND(WSAQIDAH!$I$78&gt;=75,WSAQIDAH!$I$78&lt;=83.24),"P","")</f>
        <v>P</v>
      </c>
      <c r="CN7" s="102" t="str">
        <f>IF(AND(WSAQIDAH!$I$78&gt;=83.25,WSAQIDAH!$I$78&lt;=91.4),"P","")</f>
        <v/>
      </c>
      <c r="CO7" s="102" t="str">
        <f>IF(AND(WSAQIDAH!$I$78&gt;=91.5,WSAQIDAH!$I$78&lt;=100),"P","")</f>
        <v/>
      </c>
      <c r="CP7" t="str">
        <f>IF(WSAQIDAH!$I$86&lt;74.9,"P","")</f>
        <v/>
      </c>
      <c r="CQ7" s="102" t="str">
        <f>IF(AND(WSAQIDAH!$I$86&gt;=75,WSAQIDAH!$I$86&lt;=83.24),"P","")</f>
        <v/>
      </c>
      <c r="CR7" s="102" t="str">
        <f>IF(AND(WSAQIDAH!$I$86&gt;=83.25,WSAQIDAH!$I$86&lt;=91.4),"P","")</f>
        <v/>
      </c>
      <c r="CS7" s="102" t="str">
        <f>IF(AND(WSAQIDAH!$I$86&gt;=91.5,WSAQIDAH!$I$86&lt;=100),"P","")</f>
        <v/>
      </c>
      <c r="CT7" t="str">
        <f>IF(WSAQIDAH!$I$94&lt;74.9,"P","")</f>
        <v/>
      </c>
      <c r="CU7" s="102" t="str">
        <f>IF(AND(WSAQIDAH!$I$94&gt;=75,WSAQIDAH!$I$94&lt;=83.24),"P","")</f>
        <v/>
      </c>
      <c r="CV7" s="102" t="str">
        <f>IF(AND(WSAQIDAH!$I$94&gt;=83.25,WSAQIDAH!$I$94&lt;=91.4),"P","")</f>
        <v/>
      </c>
      <c r="CW7" s="102" t="str">
        <f>IF(AND(WSAQIDAH!$I$94&gt;=91.5,WSAQIDAH!$I$94&lt;=100),"P","")</f>
        <v/>
      </c>
      <c r="CX7" t="str">
        <f>IF(WSAQIDAH!$I$102&lt;74.9,"P","")</f>
        <v/>
      </c>
      <c r="CY7" s="102" t="str">
        <f>IF(AND(WSAQIDAH!$I$102&gt;=75,WSAQIDAH!$I$102&lt;=83.24),"P","")</f>
        <v/>
      </c>
      <c r="CZ7" s="102" t="str">
        <f>IF(AND(WSAQIDAH!$I$102&gt;=83.25,WSAQIDAH!$I$102&lt;=91.4),"P","")</f>
        <v/>
      </c>
      <c r="DA7" s="102" t="str">
        <f>IF(AND(WSAQIDAH!$I$102&gt;=91.5,WSAQIDAH!$I$102&lt;=100),"P","")</f>
        <v/>
      </c>
      <c r="DB7" t="str">
        <f>IF(WSSKI!$I$6&lt;74.9,"P","")</f>
        <v/>
      </c>
      <c r="DC7" s="102" t="str">
        <f>IF(AND(WSSKI!$I$6&gt;=75,WSSKI!$I$6&lt;=83.24),"P","")</f>
        <v/>
      </c>
      <c r="DD7" s="102" t="str">
        <f>IF(AND(WSSKI!$I$6&gt;=83.25,WSSKI!$I$6&lt;=91.4),"P","")</f>
        <v>P</v>
      </c>
      <c r="DE7" s="102" t="str">
        <f>IF(AND(WSSKI!$I$6&gt;=91.5,WSSKI!$I$6&lt;=100),"P","")</f>
        <v/>
      </c>
      <c r="DF7" t="str">
        <f>IF(WSSKI!$I$14&lt;74.9,"P","")</f>
        <v/>
      </c>
      <c r="DG7" s="102" t="str">
        <f>IF(AND(WSSKI!$I$14&gt;=75,WSSKI!$I$14&lt;=83.24),"P","")</f>
        <v/>
      </c>
      <c r="DH7" s="102" t="str">
        <f>IF(AND(WSSKI!$I$14&gt;=83.25,WSSKI!$I$14&lt;=91.4),"P","")</f>
        <v/>
      </c>
      <c r="DI7" s="102" t="str">
        <f>IF(AND(WSSKI!$I$14&gt;=91.5,WSSKI!$I$14&lt;=100),"P","")</f>
        <v>P</v>
      </c>
      <c r="DJ7" t="str">
        <f>IF(WSSKI!$I$23&lt;74.9,"P","")</f>
        <v/>
      </c>
      <c r="DK7" s="102" t="str">
        <f>IF(AND(WSSKI!$I$23&gt;=75,WSSKI!$I$23&lt;=83.24),"P","")</f>
        <v/>
      </c>
      <c r="DL7" s="102" t="str">
        <f>IF(AND(WSSKI!$I$23&gt;=83.25,WSSKI!$I$23&lt;=91.4),"P","")</f>
        <v>P</v>
      </c>
      <c r="DM7" s="102" t="str">
        <f>IF(AND(WSSKI!$I$23&gt;=91.5,WSSKI!$I$23&lt;=100),"P","")</f>
        <v/>
      </c>
      <c r="DN7" t="str">
        <f>IF(WSSKI!$I$31&lt;74.9,"P","")</f>
        <v/>
      </c>
      <c r="DO7" s="102" t="str">
        <f>IF(AND(WSSKI!$I$31&gt;=75,WSSKI!$I$31&lt;=83.24),"P","")</f>
        <v/>
      </c>
      <c r="DP7" s="102" t="str">
        <f>IF(AND(WSSKI!$I$31&gt;=83.25,WSSKI!$I$31&lt;=91.4),"P","")</f>
        <v/>
      </c>
      <c r="DQ7" s="102" t="str">
        <f>IF(AND(WSSKI!$I$31&gt;=91.5,WSSKI!$I$31&lt;=100),"P","")</f>
        <v>P</v>
      </c>
      <c r="DR7" t="str">
        <f>IF(WSSKI!$I$40&lt;74.9,"P","")</f>
        <v/>
      </c>
      <c r="DS7" s="102" t="str">
        <f>IF(AND(WSSKI!$I$40&gt;=75,WSSKI!$I$40&lt;=83.24),"P","")</f>
        <v/>
      </c>
      <c r="DT7" s="102" t="str">
        <f>IF(AND(WSSKI!$I$40&gt;=83.25,WSSKI!$I$40&lt;=91.4),"P","")</f>
        <v/>
      </c>
      <c r="DU7" s="102" t="str">
        <f>IF(AND(WSSKI!$I$40&gt;=91.5,WSSKI!$I$40&lt;=100),"P","")</f>
        <v>P</v>
      </c>
      <c r="DV7" t="str">
        <f>IF(WSSKI!$I$48&lt;74.9,"P","")</f>
        <v/>
      </c>
      <c r="DW7" s="102" t="str">
        <f>IF(AND(WSSKI!$I$48&gt;=75,WSSKI!$I$48&lt;=83.24),"P","")</f>
        <v>P</v>
      </c>
      <c r="DX7" s="102" t="str">
        <f>IF(AND(WSSKI!$I$48&gt;=83.25,WSSKI!$I$48&lt;=91.4),"P","")</f>
        <v/>
      </c>
      <c r="DY7" s="102" t="str">
        <f>IF(AND(WSSKI!$I$48&gt;=91.5,WSSKI!$I$48&lt;=100),"P","")</f>
        <v/>
      </c>
      <c r="DZ7" t="str">
        <f>IF(WSSKI!$I$56&lt;74.9,"P","")</f>
        <v/>
      </c>
      <c r="EA7" s="102" t="str">
        <f>IF(AND(WSSKI!$I$56&gt;=75,WSSKI!$I$56&lt;=83.24),"P","")</f>
        <v/>
      </c>
      <c r="EB7" s="102" t="str">
        <f>IF(AND(WSSKI!$I$56&gt;=83.25,WSSKI!$I$56&lt;=91.4),"P","")</f>
        <v/>
      </c>
      <c r="EC7" s="102" t="str">
        <f>IF(AND(WSSKI!$I$56&gt;=91.5,WSSKI!$I$56&lt;=100),"P","")</f>
        <v/>
      </c>
      <c r="ED7" t="str">
        <f>IF(WSSKI!$I$64&lt;74.9,"P","")</f>
        <v/>
      </c>
      <c r="EE7" s="102" t="str">
        <f>IF(AND(WSSKI!$I$64&gt;=75,WSSKI!$I$64&lt;=83.24),"P","")</f>
        <v/>
      </c>
      <c r="EF7" s="102" t="str">
        <f>IF(AND(WSSKI!$I$64&gt;=83.25,WSSKI!$I$64&lt;=91.4),"P","")</f>
        <v/>
      </c>
      <c r="EG7" s="102" t="str">
        <f>IF(AND(WSSKI!$I$64&gt;=91.5,WSSKI!$I$64&lt;=100),"P","")</f>
        <v/>
      </c>
      <c r="EH7" t="str">
        <f>IF(WSSKI!$I$72&lt;74.9,"P","")</f>
        <v/>
      </c>
      <c r="EI7" s="102" t="str">
        <f>IF(AND(WSSKI!$I$72&gt;=75,WSSKI!$I$72&lt;=83.24),"P","")</f>
        <v/>
      </c>
      <c r="EJ7" s="102" t="str">
        <f>IF(AND(WSSKI!$I$72&gt;=83.25,WSSKI!$I$72&lt;=91.4),"P","")</f>
        <v/>
      </c>
      <c r="EK7" s="102" t="str">
        <f>IF(AND(WSSKI!$I$72&gt;=91.5,WSSKI!$I$72&lt;=100),"P","")</f>
        <v/>
      </c>
      <c r="EL7" t="str">
        <f>IF(WSSKI!$I$80&lt;74.9,"P","")</f>
        <v/>
      </c>
      <c r="EM7" s="102" t="str">
        <f>IF(AND(WSSKI!$I$80&gt;=75,WSSKI!$I$80&lt;=83.24),"P","")</f>
        <v/>
      </c>
      <c r="EN7" s="102" t="str">
        <f>IF(AND(WSSKI!$I$80&gt;=83.25,WSSKI!$I$80&lt;=91.4),"P","")</f>
        <v/>
      </c>
      <c r="EO7" s="102" t="str">
        <f>IF(AND(WSSKI!$I$80&gt;=91.5,WSSKI!$I$80&lt;=100),"P","")</f>
        <v/>
      </c>
      <c r="EP7" t="str">
        <f>IF(WSSKI!$I$88&lt;74.9,"P","")</f>
        <v/>
      </c>
      <c r="EQ7" s="102" t="str">
        <f>IF(AND(WSSKI!$I$88&gt;=75,WSSKI!$I$88&lt;=83.24),"P","")</f>
        <v/>
      </c>
      <c r="ER7" s="102" t="str">
        <f>IF(AND(WSSKI!$I$88&gt;=83.25,WSSKI!$I$88&lt;=91.4),"P","")</f>
        <v/>
      </c>
      <c r="ES7" s="102" t="str">
        <f>IF(AND(WSSKI!$I$88&gt;=91.5,WSSKI!$I$88&lt;=100),"P","")</f>
        <v/>
      </c>
      <c r="ET7" t="str">
        <f>IF(WSSKI!$I$96&lt;74.9,"P","")</f>
        <v/>
      </c>
      <c r="EU7" s="102" t="str">
        <f>IF(AND(WSSKI!$I$96&gt;=75,WSSKI!$I$96&lt;=83.24),"P","")</f>
        <v/>
      </c>
      <c r="EV7" s="102" t="str">
        <f>IF(AND(WSSKI!$I$96&gt;=83.25,WSSKI!$I$96&lt;=91.4),"P","")</f>
        <v/>
      </c>
      <c r="EW7" s="102" t="str">
        <f>IF(AND(WSSKI!$I$96&gt;=91.5,WSSKI!$I$96&lt;=100),"P","")</f>
        <v/>
      </c>
      <c r="EX7" t="str">
        <f>IF(WSSKI!$I$104&lt;74.9,"P","")</f>
        <v/>
      </c>
      <c r="EY7" s="102" t="str">
        <f>IF(AND(WSSKI!$I$104&gt;=75,WSSKI!$I$104&lt;=83.24),"P","")</f>
        <v/>
      </c>
      <c r="EZ7" s="102" t="str">
        <f>IF(AND(WSSKI!$I$104&gt;=83.25,WSSKI!$I$104&lt;=91.4),"P","")</f>
        <v/>
      </c>
      <c r="FA7" s="102" t="str">
        <f>IF(AND(WSSKI!$I$104&gt;=91.5,WSSKI!$I$104&lt;=100),"P","")</f>
        <v/>
      </c>
      <c r="FB7" t="str">
        <f>IF(WSFIQIH!$I$6&lt;74.9,"P","")</f>
        <v/>
      </c>
      <c r="FC7" s="102" t="str">
        <f>IF(AND(WSFIQIH!$I$6&gt;=75,WSFIQIH!$I$6&lt;=83.24),"P","")</f>
        <v/>
      </c>
      <c r="FD7" s="102" t="str">
        <f>IF(AND(WSFIQIH!$I$6&gt;=83.25,WSFIQIH!$I$6&lt;=91.4),"P","")</f>
        <v>P</v>
      </c>
      <c r="FE7" s="102" t="str">
        <f>IF(AND(WSFIQIH!$I$6&gt;=91.5,WSFIQIH!$I$6&lt;=100),"P","")</f>
        <v/>
      </c>
      <c r="FF7" t="str">
        <f>IF(WSFIQIH!$I$19&lt;74.9,"P","")</f>
        <v/>
      </c>
      <c r="FG7" s="102" t="str">
        <f>IF(AND(WSFIQIH!$I$19&gt;=75,WSFIQIH!$I$19&lt;=83.24),"P","")</f>
        <v/>
      </c>
      <c r="FH7" s="102" t="str">
        <f>IF(AND(WSFIQIH!$I$19&gt;=83.25,WSFIQIH!$I$19&lt;=91.4),"P","")</f>
        <v>P</v>
      </c>
      <c r="FI7" s="102" t="str">
        <f>IF(AND(WSFIQIH!$I$19&gt;=91.5,WSFIQIH!$I$19&lt;=100),"P","")</f>
        <v/>
      </c>
      <c r="FJ7" t="str">
        <f>IF(WSFIQIH!$I$28&lt;74.9,"P","")</f>
        <v/>
      </c>
      <c r="FK7" s="102" t="str">
        <f>IF(AND(WSFIQIH!$I$28&gt;=75,WSFIQIH!$I$28&lt;=83.24),"P","")</f>
        <v/>
      </c>
      <c r="FL7" s="102" t="str">
        <f>IF(AND(WSFIQIH!$I$28&gt;=83.25,WSFIQIH!$I$28&lt;=91.4),"P","")</f>
        <v>P</v>
      </c>
      <c r="FM7" s="102" t="str">
        <f>IF(AND(WSFIQIH!$I$28&gt;=91.5,WSFIQIH!$I$28&lt;=100),"P","")</f>
        <v/>
      </c>
      <c r="FN7" t="str">
        <f>IF(WSFIQIH!$I$41&lt;74.9,"P","")</f>
        <v/>
      </c>
      <c r="FO7" s="102" t="str">
        <f>IF(AND(WSFIQIH!$I$41&gt;=75,WSFIQIH!$I$41&lt;=83.24),"P","")</f>
        <v/>
      </c>
      <c r="FP7" s="102" t="str">
        <f>IF(AND(WSFIQIH!$I$41&gt;=83.25,WSFIQIH!$I$41&lt;=91.4),"P","")</f>
        <v/>
      </c>
      <c r="FQ7" s="102" t="str">
        <f>IF(AND(WSFIQIH!$I$41&gt;=91.5,WSFIQIH!$I$41&lt;=100),"P","")</f>
        <v>P</v>
      </c>
      <c r="FR7" t="str">
        <f>IF(WSFIQIH!$I$49&lt;74.9,"P","")</f>
        <v/>
      </c>
      <c r="FS7" s="102" t="str">
        <f>IF(AND(WSFIQIH!$I$49&gt;=75,WSFIQIH!$I$49&lt;=83.24),"P","")</f>
        <v/>
      </c>
      <c r="FT7" s="102" t="str">
        <f>IF(AND(WSFIQIH!$I$49&gt;=83.25,WSFIQIH!$I$49&lt;=91.4),"P","")</f>
        <v/>
      </c>
      <c r="FU7" s="102" t="str">
        <f>IF(AND(WSFIQIH!$I$49&gt;=91.5,WSFIQIH!$I$49&lt;=100),"P","")</f>
        <v>P</v>
      </c>
      <c r="FV7" t="str">
        <f>IF(WSFIQIH!$I$62&lt;74.9,"P","")</f>
        <v/>
      </c>
      <c r="FW7" s="102" t="str">
        <f>IF(AND(WSFIQIH!$I$62&gt;=75,WSFIQIH!$I$62&lt;=83.24),"P","")</f>
        <v/>
      </c>
      <c r="FX7" s="102" t="str">
        <f>IF(AND(WSFIQIH!$I$62&gt;=83.25,WSFIQIH!$I$62&lt;=91.4),"P","")</f>
        <v/>
      </c>
      <c r="FY7" s="102" t="str">
        <f>IF(AND(WSFIQIH!$I$62&gt;=91.5,WSFIQIH!$I$62&lt;=100),"P","")</f>
        <v>P</v>
      </c>
      <c r="FZ7" t="str">
        <f>IF(WSFIQIH!$I$71&lt;74.9,"P","")</f>
        <v/>
      </c>
      <c r="GA7" s="102" t="str">
        <f>IF(AND(WSFIQIH!$I$71&gt;=75,WSFIQIH!$I$71&lt;=83.24),"P","")</f>
        <v/>
      </c>
      <c r="GB7" s="102" t="str">
        <f>IF(AND(WSFIQIH!$I$71&gt;=83.25,WSFIQIH!$I$71&lt;=91.4),"P","")</f>
        <v/>
      </c>
      <c r="GC7" s="102" t="str">
        <f>IF(AND(WSFIQIH!$I$71&gt;=91.5,WSFIQIH!$I$71&lt;=100),"P","")</f>
        <v>P</v>
      </c>
      <c r="GD7" t="str">
        <f>IF(WSFIQIH!$I$80&lt;74.9,"P","")</f>
        <v/>
      </c>
      <c r="GE7" s="102" t="str">
        <f>IF(AND(WSFIQIH!$I$80&gt;=75,WSFIQIH!$I$80&lt;=83.24),"P","")</f>
        <v>P</v>
      </c>
      <c r="GF7" s="102" t="str">
        <f>IF(AND(WSFIQIH!$I$80&gt;=83.25,WSFIQIH!$I$80&lt;=91.4),"P","")</f>
        <v/>
      </c>
      <c r="GG7" s="102" t="str">
        <f>IF(AND(WSFIQIH!$I$80&gt;=91.5,WSFIQIH!$I$80&lt;=100),"P","")</f>
        <v/>
      </c>
      <c r="GH7" t="str">
        <f>IF(WSFIQIH!$I$88&lt;74.9,"P","")</f>
        <v/>
      </c>
      <c r="GI7" s="102" t="str">
        <f>IF(AND(WSFIQIH!$I$88&gt;=75,WSFIQIH!$I$88&lt;=83.24),"P","")</f>
        <v/>
      </c>
      <c r="GJ7" s="102" t="str">
        <f>IF(AND(WSFIQIH!$I$88&gt;=83.25,WSFIQIH!$I$88&lt;=91.4),"P","")</f>
        <v/>
      </c>
      <c r="GK7" s="102" t="str">
        <f>IF(AND(WSFIQIH!$I$88&gt;=91.5,WSFIQIH!$I$88&lt;=100),"P","")</f>
        <v/>
      </c>
      <c r="GL7" t="str">
        <f>IF(WSFIQIH!$I$96&lt;74.9,"P","")</f>
        <v/>
      </c>
      <c r="GM7" s="102" t="str">
        <f>IF(AND(WSFIQIH!$I$96&gt;=75,WSFIQIH!$I$96&lt;=83.24),"P","")</f>
        <v/>
      </c>
      <c r="GN7" s="102" t="str">
        <f>IF(AND(WSFIQIH!$I$96&gt;=83.25,WSFIQIH!$I$96&lt;=91.4),"P","")</f>
        <v/>
      </c>
      <c r="GO7" s="102" t="str">
        <f>IF(AND(WSFIQIH!$I$96&gt;=91.5,WSFIQIH!$I$96&lt;=100),"P","")</f>
        <v/>
      </c>
      <c r="GP7" t="str">
        <f>IF(WSFIQIH!$I$104&lt;74.9,"P","")</f>
        <v/>
      </c>
      <c r="GQ7" s="102" t="str">
        <f>IF(AND(WSFIQIH!$I$104&gt;=75,WSFIQIH!$I$104&lt;=83.24),"P","")</f>
        <v/>
      </c>
      <c r="GR7" s="102" t="str">
        <f>IF(AND(WSFIQIH!$I$104&gt;=83.25,WSFIQIH!$I$104&lt;=91.4),"P","")</f>
        <v/>
      </c>
      <c r="GS7" s="102" t="str">
        <f>IF(AND(WSFIQIH!$I$104&gt;=91.5,WSFIQIH!$I$104&lt;=100),"P","")</f>
        <v/>
      </c>
      <c r="GT7" t="str">
        <f>IF(WSFIQIH!$I$112&lt;74.9,"P","")</f>
        <v/>
      </c>
      <c r="GU7" s="102" t="str">
        <f>IF(AND(WSFIQIH!$I$112&gt;=75,WSFIQIH!$I$112&lt;=83.24),"P","")</f>
        <v/>
      </c>
      <c r="GV7" s="102" t="str">
        <f>IF(AND(WSFIQIH!$I$112&gt;=83.25,WSFIQIH!$I$112&lt;=91.4),"P","")</f>
        <v/>
      </c>
      <c r="GW7" s="102" t="str">
        <f>IF(AND(WSFIQIH!$I$112&gt;=91.5,WSFIQIH!$I$112&lt;=100),"P","")</f>
        <v/>
      </c>
      <c r="GX7" t="str">
        <f>IF(WSFIQIH!$I$120&lt;74.9,"P","")</f>
        <v/>
      </c>
      <c r="GY7" s="102" t="str">
        <f>IF(AND(WSFIQIH!$I$120&gt;=75,WSFIQIH!$I$120&lt;=83.24),"P","")</f>
        <v/>
      </c>
      <c r="GZ7" s="102" t="str">
        <f>IF(AND(WSFIQIH!$I$120&gt;=83.25,WSFIQIH!$I$120&lt;=91.4),"P","")</f>
        <v/>
      </c>
      <c r="HA7" s="102" t="str">
        <f>IF(AND(WSFIQIH!$I$120&gt;=91.5,WSFIQIH!$I$120&lt;=100),"P","")</f>
        <v/>
      </c>
      <c r="HB7" t="str">
        <f>IF(WSPKN!$I$6&lt;74.9,"P","")</f>
        <v/>
      </c>
      <c r="HC7" s="102" t="str">
        <f>IF(AND(WSPKN!$I$6&gt;=75,WSPKN!$I$6&lt;=83.24),"P","")</f>
        <v/>
      </c>
      <c r="HD7" s="102" t="str">
        <f>IF(AND(WSPKN!$I$6&gt;=83.25,WSPKN!$I$6&lt;=91.4),"P","")</f>
        <v/>
      </c>
      <c r="HE7" s="102" t="str">
        <f>IF(AND(WSPKN!$I$6&gt;=91.5,WSPKN!$I$6&lt;=100),"P","")</f>
        <v>P</v>
      </c>
      <c r="HF7" t="str">
        <f>IF(WSPKN!$I$32&lt;74.9,"P","")</f>
        <v/>
      </c>
      <c r="HG7" s="102" t="str">
        <f>IF(AND(WSPKN!$I$32&gt;=75,WSPKN!$I$32&lt;=83.24),"P","")</f>
        <v/>
      </c>
      <c r="HH7" s="102" t="str">
        <f>IF(AND(WSPKN!$I$32&gt;=83.25,WSPKN!$I$32&lt;=91.4),"P","")</f>
        <v/>
      </c>
      <c r="HI7" s="102" t="str">
        <f>IF(AND(WSPKN!$I$32&gt;=91.5,WSPKN!$I$32&lt;=100),"P","")</f>
        <v>P</v>
      </c>
      <c r="HJ7" t="str">
        <f>IF(WSPKN!$I$55&lt;74.9,"P","")</f>
        <v/>
      </c>
      <c r="HK7" s="102" t="str">
        <f>IF(AND(WSPKN!$I$55&gt;=75,WSPKN!$I$55&lt;=83.24),"P","")</f>
        <v/>
      </c>
      <c r="HL7" s="102" t="str">
        <f>IF(AND(WSPKN!$I$55&gt;=83.25,WSPKN!$I$55&lt;=91.4),"P","")</f>
        <v/>
      </c>
      <c r="HM7" s="102" t="str">
        <f>IF(AND(WSPKN!$I$55&gt;=91.5,WSPKN!$I$55&lt;=100),"P","")</f>
        <v>P</v>
      </c>
      <c r="HN7" t="str">
        <f>IF(WSPKN!$I$72&lt;74.9,"P","")</f>
        <v/>
      </c>
      <c r="HO7" s="102" t="str">
        <f>IF(AND(WSPKN!$I$72&gt;=75,WSPKN!$I$72&lt;=83.24),"P","")</f>
        <v/>
      </c>
      <c r="HP7" s="102" t="str">
        <f>IF(AND(WSPKN!$I$72&gt;=83.25,WSPKN!$I$72&lt;=91.4),"P","")</f>
        <v/>
      </c>
      <c r="HQ7" s="102" t="str">
        <f>IF(AND(WSPKN!$I$72&gt;=91.5,WSPKN!$I$72&lt;=100),"P","")</f>
        <v>P</v>
      </c>
      <c r="HR7" t="str">
        <f>IF(WSPKN!$I$86&lt;74.9,"P","")</f>
        <v/>
      </c>
      <c r="HS7" s="102" t="str">
        <f>IF(AND(WSPKN!$I$86&gt;=75,WSPKN!$I$86&lt;=83.24),"P","")</f>
        <v/>
      </c>
      <c r="HT7" s="102" t="str">
        <f>IF(AND(WSPKN!$I$86&gt;=83.25,WSPKN!$I$86&lt;=91.4),"P","")</f>
        <v/>
      </c>
      <c r="HU7" s="102" t="str">
        <f>IF(AND(WSPKN!$I$86&gt;=91.5,WSPKN!$I$86&lt;=100),"P","")</f>
        <v>P</v>
      </c>
      <c r="HV7" t="str">
        <f>IF(WSPKN!$I$108&lt;74.9,"P","")</f>
        <v/>
      </c>
      <c r="HW7" s="102" t="str">
        <f>IF(AND(WSPKN!$I$108&gt;=75,WSPKN!$I$108&lt;=83.24),"P","")</f>
        <v/>
      </c>
      <c r="HX7" s="102" t="str">
        <f>IF(AND(WSPKN!$I$108&gt;=83.25,WSPKN!$I$108&lt;=91.4),"P","")</f>
        <v/>
      </c>
      <c r="HY7" s="102" t="str">
        <f>IF(AND(WSPKN!$I$108&gt;=91.5,WSPKN!$I$108&lt;=100),"P","")</f>
        <v>P</v>
      </c>
      <c r="HZ7" t="str">
        <f>IF(WSPKN!$I$132&lt;74.9,"P","")</f>
        <v/>
      </c>
      <c r="IA7" s="102" t="str">
        <f>IF(AND(WSPKN!$I$132&gt;=75,WSPKN!$I$132&lt;=83.24),"P","")</f>
        <v/>
      </c>
      <c r="IB7" s="102" t="str">
        <f>IF(AND(WSPKN!$I$132&gt;=83.25,WSPKN!$I$132&lt;=91.4),"P","")</f>
        <v/>
      </c>
      <c r="IC7" s="102" t="str">
        <f>IF(AND(WSPKN!$I$132&gt;=91.5,WSPKN!$I$132&lt;=100),"P","")</f>
        <v>P</v>
      </c>
      <c r="ID7" t="str">
        <f>IF(WSPKN!$I$148&lt;74.9,"P","")</f>
        <v/>
      </c>
      <c r="IE7" s="102" t="str">
        <f>IF(AND(WSPKN!$I$148&gt;=75,WSPKN!$I$148&lt;=83.24),"P","")</f>
        <v/>
      </c>
      <c r="IF7" s="102" t="str">
        <f>IF(AND(WSPKN!$I$148&gt;=83.25,WSPKN!$I$148&lt;=91.4),"P","")</f>
        <v/>
      </c>
      <c r="IG7" s="102" t="str">
        <f>IF(AND(WSPKN!$I$148&gt;=91.5,WSPKN!$I$148&lt;=100),"P","")</f>
        <v>P</v>
      </c>
      <c r="IH7" t="str">
        <f>IF(WSPKN!$I$165&lt;74.9,"P","")</f>
        <v/>
      </c>
      <c r="II7" s="102" t="str">
        <f>IF(AND(WSPKN!$I$165&gt;=75,WSPKN!$I$165&lt;=83.24),"P","")</f>
        <v/>
      </c>
      <c r="IJ7" s="102" t="str">
        <f>IF(AND(WSPKN!$I$165&gt;=83.25,WSPKN!$I$165&lt;=91.4),"P","")</f>
        <v/>
      </c>
      <c r="IK7" s="102" t="str">
        <f>IF(AND(WSPKN!$I$165&gt;=91.5,WSPKN!$I$165&lt;=100),"P","")</f>
        <v/>
      </c>
      <c r="IL7" t="str">
        <f>IF(WSPKN!$I$173&lt;74.9,"P","")</f>
        <v/>
      </c>
      <c r="IM7" s="102" t="str">
        <f>IF(AND(WSPKN!$I$173&gt;=75,WSPKN!$I$173&lt;=83.24),"P","")</f>
        <v/>
      </c>
      <c r="IN7" s="102" t="str">
        <f>IF(AND(WSPKN!$I$173&gt;=83.25,WSPKN!$I$173&lt;=91.4),"P","")</f>
        <v/>
      </c>
      <c r="IO7" s="102" t="str">
        <f>IF(AND(WSPKN!$I$173&gt;=91.5,WSPKN!$I$173&lt;=100),"P","")</f>
        <v/>
      </c>
      <c r="IP7" t="str">
        <f>IF(WSPKN!$I$181&lt;74.9,"P","")</f>
        <v/>
      </c>
      <c r="IQ7" s="102" t="str">
        <f>IF(AND(WSPKN!$I$181&gt;=75,WSPKN!$I$181&lt;=83.24),"P","")</f>
        <v/>
      </c>
      <c r="IR7" s="102" t="str">
        <f>IF(AND(WSPKN!$I$181&gt;=83.25,WSPKN!$I$181&lt;=91.4),"P","")</f>
        <v/>
      </c>
      <c r="IS7" s="102" t="str">
        <f>IF(AND(WSPKN!$I$181&gt;=91.5,WSPKN!$I$181&lt;=100),"P","")</f>
        <v/>
      </c>
      <c r="IT7" t="str">
        <f>IF(WSPKN!$I$189&lt;74.9,"P","")</f>
        <v/>
      </c>
      <c r="IU7" s="102" t="str">
        <f>IF(AND(WSPKN!$I$189&gt;=75,WSPKN!$I$189&lt;=83.24),"P","")</f>
        <v/>
      </c>
      <c r="IV7" s="102" t="str">
        <f>IF(AND(WSPKN!$I$189&gt;=83.25,WSPKN!$I$189&lt;=91.4),"P","")</f>
        <v/>
      </c>
      <c r="IW7" s="102" t="str">
        <f>IF(AND(WSPKN!$I$189&gt;=91.5,WSPKN!$I$189&lt;=100),"P","")</f>
        <v/>
      </c>
      <c r="IX7" t="str">
        <f>IF(WSPKN!$I$197&lt;74.9,"P","")</f>
        <v/>
      </c>
      <c r="IY7" s="102" t="str">
        <f>IF(AND(WSPKN!$I$197&gt;=75,WSPKN!$I$197&lt;=83.24),"P","")</f>
        <v/>
      </c>
      <c r="IZ7" s="102" t="str">
        <f>IF(AND(WSPKN!$I$197&gt;=83.25,WSPKN!$I$197&lt;=91.4),"P","")</f>
        <v/>
      </c>
      <c r="JA7" s="102" t="str">
        <f>IF(AND(WSPKN!$I$197&gt;=91.5,WSPKN!$I$197&lt;=100),"P","")</f>
        <v/>
      </c>
      <c r="JB7" t="str">
        <f>IF(WSIND!$I$6&lt;74.9,"P","")</f>
        <v/>
      </c>
      <c r="JC7" s="102" t="str">
        <f>IF(AND(WSIND!$I$6&gt;=75,WSIND!$I$6&lt;=83.24),"P","")</f>
        <v/>
      </c>
      <c r="JD7" s="102" t="str">
        <f>IF(AND(WSIND!$I$6&gt;=83.25,WSIND!$I$6&lt;=91.4),"P","")</f>
        <v/>
      </c>
      <c r="JE7" s="102" t="str">
        <f>IF(AND(WSIND!$I$6&gt;=91.5,WSIND!$I$6&lt;=100),"P","")</f>
        <v>P</v>
      </c>
      <c r="JF7" t="str">
        <f>IF(WSIND!$I$65&lt;74.9,"P","")</f>
        <v/>
      </c>
      <c r="JG7" s="102" t="str">
        <f>IF(AND(WSIND!$I$65&gt;=75,WSIND!$I$65&lt;=83.24),"P","")</f>
        <v/>
      </c>
      <c r="JH7" s="102" t="str">
        <f>IF(AND(WSIND!$I$65&gt;=83.25,WSIND!$I$65&lt;=91.4),"P","")</f>
        <v/>
      </c>
      <c r="JI7" s="102" t="str">
        <f>IF(AND(WSIND!$I$65&gt;=91.5,WSIND!$I$65&lt;=100),"P","")</f>
        <v>P</v>
      </c>
      <c r="JJ7" t="str">
        <f>IF(WSIND!$I$113&lt;74.9,"P","")</f>
        <v/>
      </c>
      <c r="JK7" s="102" t="str">
        <f>IF(AND(WSIND!$I$113&gt;=75,WSIND!$I$113&lt;=83.24),"P","")</f>
        <v/>
      </c>
      <c r="JL7" s="102" t="str">
        <f>IF(AND(WSIND!$I$113&gt;=83.25,WSIND!$I$113&lt;=91.4),"P","")</f>
        <v/>
      </c>
      <c r="JM7" s="102" t="str">
        <f>IF(AND(WSIND!$I$113&gt;=91.5,WSIND!$I$113&lt;=100),"P","")</f>
        <v>P</v>
      </c>
      <c r="JN7" t="str">
        <f>IF(WSIND!$I$133&lt;74.9,"P","")</f>
        <v/>
      </c>
      <c r="JO7" s="102" t="str">
        <f>IF(AND(WSIND!$I$133&gt;=75,WSIND!$I$133&lt;=83.24),"P","")</f>
        <v/>
      </c>
      <c r="JP7" s="102" t="str">
        <f>IF(AND(WSIND!$I$133&gt;=83.25,WSIND!$I$133&lt;=91.4),"P","")</f>
        <v/>
      </c>
      <c r="JQ7" s="102" t="str">
        <f>IF(AND(WSIND!$I$133&gt;=91.5,WSIND!$I$133&lt;=100),"P","")</f>
        <v>P</v>
      </c>
      <c r="JR7" t="str">
        <f>IF(WSIND!$I$161&lt;74.9,"P","")</f>
        <v/>
      </c>
      <c r="JS7" s="102" t="str">
        <f>IF(AND(WSIND!$I$161&gt;=75,WSIND!$I$161&lt;=83.24),"P","")</f>
        <v/>
      </c>
      <c r="JT7" s="102" t="str">
        <f>IF(AND(WSIND!$I$161&gt;=83.25,WSIND!$I$161&lt;=91.4),"P","")</f>
        <v/>
      </c>
      <c r="JU7" s="102" t="str">
        <f>IF(AND(WSIND!$I$161&gt;=91.5,WSIND!$I$161&lt;=100),"P","")</f>
        <v>P</v>
      </c>
      <c r="JV7" t="str">
        <f>IF(WSIND!$I$192&lt;74.9,"P","")</f>
        <v/>
      </c>
      <c r="JW7" s="102" t="str">
        <f>IF(AND(WSIND!$I$192&gt;=75,WSIND!$I$192&lt;=83.24),"P","")</f>
        <v/>
      </c>
      <c r="JX7" s="102" t="str">
        <f>IF(AND(WSIND!$I$192&gt;=83.25,WSIND!$I$192&lt;=91.4),"P","")</f>
        <v/>
      </c>
      <c r="JY7" s="102" t="str">
        <f>IF(AND(WSIND!$I$192&gt;=91.5,WSIND!$I$192&lt;=100),"P","")</f>
        <v>P</v>
      </c>
      <c r="JZ7" t="str">
        <f>IF(WSIND!$I$228&lt;74.9,"P","")</f>
        <v/>
      </c>
      <c r="KA7" s="102" t="str">
        <f>IF(AND(WSIND!$I$228&gt;=75,WSIND!$I$228&lt;=83.24),"P","")</f>
        <v/>
      </c>
      <c r="KB7" s="102" t="str">
        <f>IF(AND(WSIND!$I$228&gt;=83.25,WSIND!$I$228&lt;=91.4),"P","")</f>
        <v/>
      </c>
      <c r="KC7" s="102" t="str">
        <f>IF(AND(WSIND!$I$228&gt;=91.5,WSIND!$I$228&lt;=100),"P","")</f>
        <v>P</v>
      </c>
      <c r="KD7" t="str">
        <f>IF(WSIND!$I$256&lt;74.9,"P","")</f>
        <v/>
      </c>
      <c r="KE7" s="102" t="str">
        <f>IF(AND(WSIND!$I$256&gt;=75,WSIND!$I$256&lt;=83.24),"P","")</f>
        <v/>
      </c>
      <c r="KF7" s="102" t="str">
        <f>IF(AND(WSIND!$I$256&gt;=83.25,WSIND!$I$256&lt;=91.4),"P","")</f>
        <v/>
      </c>
      <c r="KG7" s="102" t="str">
        <f>IF(AND(WSIND!$I$256&gt;=91.5,WSIND!$I$256&lt;=100),"P","")</f>
        <v>P</v>
      </c>
      <c r="KH7" t="str">
        <f>IF(WSIND!$I$277&lt;74.9,"P","")</f>
        <v/>
      </c>
      <c r="KI7" s="102" t="str">
        <f>IF(AND(WSIND!$I$277&gt;=75,WSIND!$I$277&lt;=83.24),"P","")</f>
        <v/>
      </c>
      <c r="KJ7" s="102" t="str">
        <f>IF(AND(WSIND!$I$277&gt;=83.25,WSIND!$I$277&lt;=91.4),"P","")</f>
        <v/>
      </c>
      <c r="KK7" s="102" t="str">
        <f>IF(AND(WSIND!$I$277&gt;=91.5,WSIND!$I$277&lt;=100),"P","")</f>
        <v>P</v>
      </c>
      <c r="KL7" t="str">
        <f>IF(WSIND!$I$305&lt;74.9,"P","")</f>
        <v/>
      </c>
      <c r="KM7" s="102" t="str">
        <f>IF(AND(WSIND!$I$305&gt;=75,WSIND!$I$305&lt;=83.24),"P","")</f>
        <v/>
      </c>
      <c r="KN7" s="102" t="str">
        <f>IF(AND(WSIND!$I$305&gt;=83.25,WSIND!$I$305&lt;=91.4),"P","")</f>
        <v/>
      </c>
      <c r="KO7" s="102" t="str">
        <f>IF(AND(WSIND!$I$305&gt;=91.5,WSIND!$I$305&lt;=100),"P","")</f>
        <v>P</v>
      </c>
      <c r="KP7" t="str">
        <f>IF(WSIND!$I$329&lt;74.9,"P","")</f>
        <v/>
      </c>
      <c r="KQ7" s="102" t="str">
        <f>IF(AND(WSIND!$I$329&gt;=75,WSIND!$I$329&lt;=83.24),"P","")</f>
        <v/>
      </c>
      <c r="KR7" s="102" t="str">
        <f>IF(AND(WSIND!$I$329&gt;=83.25,WSIND!$I$329&lt;=91.4),"P","")</f>
        <v/>
      </c>
      <c r="KS7" s="102" t="str">
        <f>IF(AND(WSIND!$I$329&gt;=91.5,WSIND!$I$329&lt;=100),"P","")</f>
        <v/>
      </c>
      <c r="KT7" t="str">
        <f>IF(WSIND!$I$337&lt;74.9,"P","")</f>
        <v/>
      </c>
      <c r="KU7" s="102" t="str">
        <f>IF(AND(WSIND!$I$337&gt;=75,WSIND!$I$337&lt;=83.24),"P","")</f>
        <v/>
      </c>
      <c r="KV7" s="102" t="str">
        <f>IF(AND(WSIND!$I$337&gt;=83.25,WSIND!$I$337&lt;=91.4),"P","")</f>
        <v/>
      </c>
      <c r="KW7" s="102" t="str">
        <f>IF(AND(WSIND!$I$337&gt;=91.5,WSIND!$I$337&lt;=100),"P","")</f>
        <v/>
      </c>
      <c r="KX7" t="str">
        <f>IF(WSIND!$I$345&lt;74.9,"P","")</f>
        <v/>
      </c>
      <c r="KY7" s="102" t="str">
        <f>IF(AND(WSIND!$I$345&gt;=75,WSIND!$I$345&lt;=83.24),"P","")</f>
        <v/>
      </c>
      <c r="KZ7" s="102" t="str">
        <f>IF(AND(WSIND!$I$345&gt;=83.25,WSIND!$I$345&lt;=91.4),"P","")</f>
        <v/>
      </c>
      <c r="LA7" s="102" t="str">
        <f>IF(AND(WSIND!$I$345&gt;=91.5,WSIND!$I$345&lt;=100),"P","")</f>
        <v/>
      </c>
      <c r="LB7" t="str">
        <f>IF(WSARAB!$I$6&lt;74.9,"P","")</f>
        <v/>
      </c>
      <c r="LC7" s="102" t="str">
        <f>IF(AND(WSARAB!$I$6&gt;=75,WSARAB!$I$6&lt;=83.24),"P","")</f>
        <v/>
      </c>
      <c r="LD7" s="102" t="str">
        <f>IF(AND(WSARAB!$I$6&gt;=83.25,WSARAB!$I$6&lt;=91.4),"P","")</f>
        <v/>
      </c>
      <c r="LE7" s="102" t="str">
        <f>IF(AND(WSARAB!$I$6&gt;=91.5,WSARAB!$I$6&lt;=100),"P","")</f>
        <v/>
      </c>
      <c r="LF7" t="str">
        <f>IF(WSARAB!$I$17&lt;74.9,"P","")</f>
        <v/>
      </c>
      <c r="LG7" s="102" t="str">
        <f>IF(AND(WSARAB!$I$17&gt;=75,WSARAB!$I$17&lt;=83.24),"P","")</f>
        <v/>
      </c>
      <c r="LH7" s="102" t="str">
        <f>IF(AND(WSARAB!$I$17&gt;=83.25,WSARAB!$I$17&lt;=91.4),"P","")</f>
        <v/>
      </c>
      <c r="LI7" s="102" t="str">
        <f>IF(AND(WSARAB!$I$17&gt;=91.5,WSARAB!$I$17&lt;=100),"P","")</f>
        <v/>
      </c>
      <c r="LJ7" t="str">
        <f>IF(WSARAB!$I$29&lt;74.9,"P","")</f>
        <v/>
      </c>
      <c r="LK7" s="102" t="str">
        <f>IF(AND(WSARAB!$I$29&gt;=75,WSARAB!$I$29&lt;=83.24),"P","")</f>
        <v/>
      </c>
      <c r="LL7" s="102" t="str">
        <f>IF(AND(WSARAB!$I$29&gt;=83.25,WSARAB!$I$29&lt;=91.4),"P","")</f>
        <v/>
      </c>
      <c r="LM7" s="102" t="str">
        <f>IF(AND(WSARAB!$I$29&gt;=91.5,WSARAB!$I$29&lt;=100),"P","")</f>
        <v/>
      </c>
      <c r="LN7" t="str">
        <f>IF(WSARAB!$I$37&lt;74.9,"P","")</f>
        <v/>
      </c>
      <c r="LO7" s="102" t="str">
        <f>IF(AND(WSARAB!$I$37&gt;=75,WSARAB!$I$37&lt;=83.24),"P","")</f>
        <v/>
      </c>
      <c r="LP7" s="102" t="str">
        <f>IF(AND(WSARAB!$I$37&gt;=83.25,WSARAB!$I$37&lt;=91.4),"P","")</f>
        <v/>
      </c>
      <c r="LQ7" s="102" t="str">
        <f>IF(AND(WSARAB!$I$37&gt;=91.5,WSARAB!$I$37&lt;=100),"P","")</f>
        <v/>
      </c>
      <c r="LR7" t="str">
        <f>IF(WSARAB!$I$45&lt;74.9,"P","")</f>
        <v/>
      </c>
      <c r="LS7" s="102" t="str">
        <f>IF(AND(WSARAB!$I$45&gt;=75,WSARAB!$I$45&lt;=83.24),"P","")</f>
        <v/>
      </c>
      <c r="LT7" s="102" t="str">
        <f>IF(AND(WSARAB!$I$45&gt;=83.25,WSARAB!$I$45&lt;=91.4),"P","")</f>
        <v/>
      </c>
      <c r="LU7" s="102" t="str">
        <f>IF(AND(WSARAB!$I$45&gt;=91.5,WSARAB!$I$45&lt;=100),"P","")</f>
        <v/>
      </c>
      <c r="LV7" t="str">
        <f>IF(WSARAB!$I$53&lt;74.9,"P","")</f>
        <v/>
      </c>
      <c r="LW7" s="102" t="str">
        <f>IF(AND(WSARAB!$I$53&gt;=75,WSARAB!$I$53&lt;=83.24),"P","")</f>
        <v/>
      </c>
      <c r="LX7" s="102" t="str">
        <f>IF(AND(WSARAB!$I$53&gt;=83.25,WSARAB!$I$53&lt;=91.4),"P","")</f>
        <v/>
      </c>
      <c r="LY7" s="102" t="str">
        <f>IF(AND(WSARAB!$I$53&gt;=91.5,WSARAB!$I$53&lt;=100),"P","")</f>
        <v/>
      </c>
      <c r="LZ7" t="str">
        <f>IF(WSARAB!$I$65&lt;74.9,"P","")</f>
        <v/>
      </c>
      <c r="MA7" s="102" t="str">
        <f>IF(AND(WSARAB!$I$65&gt;=75,WSARAB!$I$65&lt;=83.24),"P","")</f>
        <v/>
      </c>
      <c r="MB7" s="102" t="str">
        <f>IF(AND(WSARAB!$I$65&gt;=83.25,WSARAB!$I$65&lt;=91.4),"P","")</f>
        <v/>
      </c>
      <c r="MC7" s="102" t="str">
        <f>IF(AND(WSARAB!$I$65&gt;=91.5,WSARAB!$I$65&lt;=100),"P","")</f>
        <v/>
      </c>
      <c r="MD7" t="str">
        <f>IF(WSARAB!$I$73&lt;74.9,"P","")</f>
        <v/>
      </c>
      <c r="ME7" s="102" t="str">
        <f>IF(AND(WSARAB!$I$73&gt;=75,WSARAB!$I$73&lt;=83.24),"P","")</f>
        <v/>
      </c>
      <c r="MF7" s="102" t="str">
        <f>IF(AND(WSARAB!$I$73&gt;=83.25,WSARAB!$I$73&lt;=91.4),"P","")</f>
        <v/>
      </c>
      <c r="MG7" s="102" t="str">
        <f>IF(AND(WSARAB!$I$73&gt;=91.5,WSARAB!$I$73&lt;=100),"P","")</f>
        <v/>
      </c>
      <c r="MH7" t="str">
        <f>IF(WSARAB!$I$81&lt;74.9,"P","")</f>
        <v/>
      </c>
      <c r="MI7" s="102" t="str">
        <f>IF(AND(WSARAB!$I$81&gt;=75,WSARAB!$I$81&lt;=83.24),"P","")</f>
        <v/>
      </c>
      <c r="MJ7" s="102" t="str">
        <f>IF(AND(WSARAB!$I$81&gt;=83.25,WSARAB!$I$81&lt;=91.4),"P","")</f>
        <v/>
      </c>
      <c r="MK7" s="102" t="str">
        <f>IF(AND(WSARAB!$I$81&gt;=91.5,WSARAB!$I$81&lt;=100),"P","")</f>
        <v/>
      </c>
      <c r="ML7" t="str">
        <f>IF(WSARAB!$I$89&lt;74.9,"P","")</f>
        <v/>
      </c>
      <c r="MM7" s="102" t="str">
        <f>IF(AND(WSARAB!$I$89&gt;=75,WSARAB!$I$89&lt;=83.24),"P","")</f>
        <v/>
      </c>
      <c r="MN7" s="102" t="str">
        <f>IF(AND(WSARAB!$I$89&gt;=83.25,WSARAB!$I$89&lt;=91.4),"P","")</f>
        <v/>
      </c>
      <c r="MO7" s="102" t="str">
        <f>IF(AND(WSARAB!$I$89&gt;=91.5,WSARAB!$I$89&lt;=100),"P","")</f>
        <v/>
      </c>
      <c r="MP7" t="str">
        <f>IF(WSARAB!$I$97&lt;74.9,"P","")</f>
        <v/>
      </c>
      <c r="MQ7" s="102" t="str">
        <f>IF(AND(WSARAB!$I$97&gt;=75,WSARAB!$I$97&lt;=83.24),"P","")</f>
        <v/>
      </c>
      <c r="MR7" s="102" t="str">
        <f>IF(AND(WSARAB!$I$97&gt;=83.25,WSARAB!$I$97&lt;=91.4),"P","")</f>
        <v/>
      </c>
      <c r="MS7" s="102" t="str">
        <f>IF(AND(WSARAB!$I$97&gt;=91.5,WSARAB!$I$97&lt;=100),"P","")</f>
        <v/>
      </c>
      <c r="MT7" t="str">
        <f>IF(WSARAB!$I$105&lt;74.9,"P","")</f>
        <v/>
      </c>
      <c r="MU7" s="102" t="str">
        <f>IF(AND(WSARAB!$I$105&gt;=75,WSARAB!$I$105&lt;=83.24),"P","")</f>
        <v/>
      </c>
      <c r="MV7" s="102" t="str">
        <f>IF(AND(WSARAB!$I$105&gt;=83.25,WSARAB!$I$105&lt;=91.4),"P","")</f>
        <v/>
      </c>
      <c r="MW7" s="102" t="str">
        <f>IF(AND(WSARAB!$I$105&gt;=91.5,WSARAB!$I$105&lt;=100),"P","")</f>
        <v/>
      </c>
      <c r="MX7" t="str">
        <f>IF(WSARAB!$I$113&lt;74.9,"P","")</f>
        <v/>
      </c>
      <c r="MY7" s="102" t="str">
        <f>IF(AND(WSARAB!$I$113&gt;=75,WSARAB!$I$113&lt;=83.24),"P","")</f>
        <v/>
      </c>
      <c r="MZ7" s="102" t="str">
        <f>IF(AND(WSARAB!$I$113&gt;=83.25,WSARAB!$I$113&lt;=91.4),"P","")</f>
        <v/>
      </c>
      <c r="NA7" s="102" t="str">
        <f>IF(AND(WSARAB!$I$113&gt;=91.5,WSARAB!$I$113&lt;=100),"P","")</f>
        <v/>
      </c>
      <c r="NB7" t="str">
        <f>IF(WSMTK!$I$6&lt;74.9,"P","")</f>
        <v/>
      </c>
      <c r="NC7" s="102" t="str">
        <f>IF(AND(WSMTK!$I$6&gt;=75,WSMTK!$I$6&lt;=83.24),"P","")</f>
        <v/>
      </c>
      <c r="ND7" s="102" t="str">
        <f>IF(AND(WSMTK!$I$6&gt;=83.25,WSMTK!$I$6&lt;=91.4),"P","")</f>
        <v/>
      </c>
      <c r="NE7" s="102" t="str">
        <f>IF(AND(WSMTK!$I$6&gt;=91.5,WSMTK!$I$6&lt;=100),"P","")</f>
        <v>P</v>
      </c>
      <c r="NF7" t="str">
        <f>IF(WSMTK!$I$22&lt;74.9,"P","")</f>
        <v/>
      </c>
      <c r="NG7" s="102" t="str">
        <f>IF(AND(WSMTK!$I$22&gt;=75,WSMTK!$I$22&lt;=83.24),"P","")</f>
        <v/>
      </c>
      <c r="NH7" s="102" t="str">
        <f>IF(AND(WSMTK!$I$22&gt;=83.25,WSMTK!$I$22&lt;=91.4),"P","")</f>
        <v/>
      </c>
      <c r="NI7" s="102" t="str">
        <f>IF(AND(WSMTK!$I$22&gt;=91.5,WSMTK!$I$22&lt;=100),"P","")</f>
        <v>P</v>
      </c>
      <c r="NJ7" t="str">
        <f>IF(WSMTK!$I$35&lt;74.9,"P","")</f>
        <v/>
      </c>
      <c r="NK7" s="102" t="str">
        <f>IF(AND(WSMTK!$I$35&gt;=75,WSMTK!$I$35&lt;=83.24),"P","")</f>
        <v/>
      </c>
      <c r="NL7" s="102" t="str">
        <f>IF(AND(WSMTK!$I$35&gt;=83.25,WSMTK!$I$35&lt;=91.4),"P","")</f>
        <v/>
      </c>
      <c r="NM7" s="102" t="str">
        <f>IF(AND(WSMTK!$I$35&gt;=91.5,WSMTK!$I$35&lt;=100),"P","")</f>
        <v>P</v>
      </c>
      <c r="NN7" t="str">
        <f>IF(WSMTK!$I$69&lt;74.9,"P","")</f>
        <v/>
      </c>
      <c r="NO7" s="102" t="str">
        <f>IF(AND(WSMTK!$I$69&gt;=75,WSMTK!$I$69&lt;=83.24),"P","")</f>
        <v/>
      </c>
      <c r="NP7" s="102" t="str">
        <f>IF(AND(WSMTK!$I$69&gt;=83.25,WSMTK!$I$69&lt;=91.4),"P","")</f>
        <v/>
      </c>
      <c r="NQ7" s="102" t="str">
        <f>IF(AND(WSMTK!$I$69&gt;=91.5,WSMTK!$I$69&lt;=100),"P","")</f>
        <v>P</v>
      </c>
      <c r="NR7" t="str">
        <f>IF(WSMTK!$I$87&lt;74.9,"P","")</f>
        <v/>
      </c>
      <c r="NS7" s="102" t="str">
        <f>IF(AND(WSMTK!$I$87&gt;=75,WSMTK!$I$87&lt;=83.24),"P","")</f>
        <v/>
      </c>
      <c r="NT7" s="102" t="str">
        <f>IF(AND(WSMTK!$I$87&gt;=83.25,WSMTK!$I$87&lt;=91.4),"P","")</f>
        <v/>
      </c>
      <c r="NU7" s="102" t="str">
        <f>IF(AND(WSMTK!$I$87&gt;=91.5,WSMTK!$I$87&lt;=100),"P","")</f>
        <v>P</v>
      </c>
      <c r="NV7" t="str">
        <f>IF(WSMTK!$I$99&lt;74.9,"P","")</f>
        <v/>
      </c>
      <c r="NW7" s="102" t="str">
        <f>IF(AND(WSMTK!$I$99&gt;=75,WSMTK!$I$99&lt;=83.24),"P","")</f>
        <v/>
      </c>
      <c r="NX7" s="102" t="str">
        <f>IF(AND(WSMTK!$I$99&gt;=83.25,WSMTK!$I$99&lt;=91.4),"P","")</f>
        <v/>
      </c>
      <c r="NY7" s="102" t="str">
        <f>IF(AND(WSMTK!$I$99&gt;=91.5,WSMTK!$I$99&lt;=100),"P","")</f>
        <v>P</v>
      </c>
      <c r="NZ7" t="str">
        <f>IF(WSMTK!$I$113&lt;74.9,"P","")</f>
        <v/>
      </c>
      <c r="OA7" s="102" t="str">
        <f>IF(AND(WSMTK!$I$113&gt;=75,WSMTK!$I$113&lt;=83.24),"P","")</f>
        <v/>
      </c>
      <c r="OB7" s="102" t="str">
        <f>IF(AND(WSMTK!$I$113&gt;=83.25,WSMTK!$I$113&lt;=91.4),"P","")</f>
        <v/>
      </c>
      <c r="OC7" s="102" t="str">
        <f>IF(AND(WSMTK!$I$113&gt;=91.5,WSMTK!$I$113&lt;=100),"P","")</f>
        <v>P</v>
      </c>
      <c r="OD7" t="str">
        <f>IF(WSMTK!$I$145&lt;74.9,"P","")</f>
        <v/>
      </c>
      <c r="OE7" s="102" t="str">
        <f>IF(AND(WSMTK!$I$145&gt;=75,WSMTK!$I$145&lt;=83.24),"P","")</f>
        <v/>
      </c>
      <c r="OF7" s="102" t="str">
        <f>IF(AND(WSMTK!$I$145&gt;=83.25,WSMTK!$I$145&lt;=91.4),"P","")</f>
        <v/>
      </c>
      <c r="OG7" s="102" t="str">
        <f>IF(AND(WSMTK!$I$145&gt;=91.5,WSMTK!$I$145&lt;=100),"P","")</f>
        <v>P</v>
      </c>
      <c r="OH7" t="str">
        <f>IF(WSMTK!$I$168&lt;74.9,"P","")</f>
        <v/>
      </c>
      <c r="OI7" s="102" t="str">
        <f>IF(AND(WSMTK!$I$168&gt;=75,WSMTK!$I$168&lt;=83.24),"P","")</f>
        <v/>
      </c>
      <c r="OJ7" s="102" t="str">
        <f>IF(AND(WSMTK!$I$168&gt;=83.25,WSMTK!$I$168&lt;=91.4),"P","")</f>
        <v/>
      </c>
      <c r="OK7" s="102" t="str">
        <f>IF(AND(WSMTK!$I$168&gt;=91.5,WSMTK!$I$168&lt;=100),"P","")</f>
        <v/>
      </c>
      <c r="OL7" t="str">
        <f>IF(WSMTK!$I$176&lt;74.9,"P","")</f>
        <v/>
      </c>
      <c r="OM7" s="102" t="str">
        <f>IF(AND(WSMTK!$I$176&gt;=75,WSMTK!$I$176&lt;=83.24),"P","")</f>
        <v/>
      </c>
      <c r="ON7" s="102" t="str">
        <f>IF(AND(WSMTK!$I$176&gt;=83.25,WSMTK!$I$176&lt;=91.4),"P","")</f>
        <v/>
      </c>
      <c r="OO7" s="102" t="str">
        <f>IF(AND(WSMTK!$I$176&gt;=91.5,WSMTK!$I$176&lt;=100),"P","")</f>
        <v/>
      </c>
      <c r="OP7" t="str">
        <f>IF(WSMTK!$I$184&lt;74.9,"P","")</f>
        <v/>
      </c>
      <c r="OQ7" s="102" t="str">
        <f>IF(AND(WSMTK!$I$184&gt;=75,WSMTK!$I$184&lt;=83.24),"P","")</f>
        <v/>
      </c>
      <c r="OR7" s="102" t="str">
        <f>IF(AND(WSMTK!$I$184&gt;=83.25,WSMTK!$I$184&lt;=91.4),"P","")</f>
        <v/>
      </c>
      <c r="OS7" s="102" t="str">
        <f>IF(AND(WSMTK!$I$184&gt;=91.5,WSMTK!$I$184&lt;=100),"P","")</f>
        <v/>
      </c>
      <c r="OT7" t="str">
        <f>IF(WSMTK!$I$192&lt;74.9,"P","")</f>
        <v/>
      </c>
      <c r="OU7" s="102" t="str">
        <f>IF(AND(WSMTK!$I$192&gt;=75,WSMTK!$I$192&lt;=83.24),"P","")</f>
        <v/>
      </c>
      <c r="OV7" s="102" t="str">
        <f>IF(AND(WSMTK!$I$192&gt;=83.25,WSMTK!$I$192&lt;=91.4),"P","")</f>
        <v/>
      </c>
      <c r="OW7" s="102" t="str">
        <f>IF(AND(WSMTK!$I$192&gt;=91.5,WSMTK!$I$192&lt;=100),"P","")</f>
        <v/>
      </c>
      <c r="OX7" t="str">
        <f>IF(WSMTK!$I$200&lt;74.9,"P","")</f>
        <v/>
      </c>
      <c r="OY7" s="102" t="str">
        <f>IF(AND(WSMTK!$I$200&gt;=75,WSMTK!$I$200&lt;=83.24),"P","")</f>
        <v/>
      </c>
      <c r="OZ7" s="102" t="str">
        <f>IF(AND(WSMTK!$I$200&gt;=83.25,WSMTK!$I$200&lt;=91.4),"P","")</f>
        <v/>
      </c>
      <c r="PA7" s="102" t="str">
        <f>IF(AND(WSMTK!$I$200&gt;=91.5,WSMTK!$I$200&lt;=100),"P","")</f>
        <v/>
      </c>
      <c r="PB7" t="str">
        <f>IF(WSIPA!$I$6&lt;74.9,"P","")</f>
        <v/>
      </c>
      <c r="PC7" s="102" t="str">
        <f>IF(AND(WSIPA!$I$6&gt;=75,WSIPA!$I$6&lt;=83.24),"P","")</f>
        <v/>
      </c>
      <c r="PD7" s="102" t="str">
        <f>IF(AND(WSIPA!$I$6&gt;=83.25,WSIPA!$I$6&lt;=91.4),"P","")</f>
        <v/>
      </c>
      <c r="PE7" s="102" t="str">
        <f>IF(AND(WSIPA!$I$6&gt;=91.5,WSIPA!$I$6&lt;=100),"P","")</f>
        <v/>
      </c>
      <c r="PF7" t="str">
        <f>IF(WSIPA!$I$14&lt;74.9,"P","")</f>
        <v/>
      </c>
      <c r="PG7" s="102" t="str">
        <f>IF(AND(WSIPA!$I$14&gt;=75,WSIPA!$I$14&lt;=83.24),"P","")</f>
        <v/>
      </c>
      <c r="PH7" s="102" t="str">
        <f>IF(AND(WSIPA!$I$14&gt;=83.25,WSIPA!$I$14&lt;=91.4),"P","")</f>
        <v/>
      </c>
      <c r="PI7" s="102" t="str">
        <f>IF(AND(WSIPA!$I$14&gt;=91.5,WSIPA!$I$14&lt;=100),"P","")</f>
        <v/>
      </c>
      <c r="PJ7" t="str">
        <f>IF(WSIPA!$I$22&lt;74.9,"P","")</f>
        <v/>
      </c>
      <c r="PK7" s="102" t="str">
        <f>IF(AND(WSIPA!$I$22&gt;=75,WSIPA!$I$22&lt;=83.24),"P","")</f>
        <v/>
      </c>
      <c r="PL7" s="102" t="str">
        <f>IF(AND(WSIPA!$I$22&gt;=83.25,WSIPA!$I$22&lt;=91.4),"P","")</f>
        <v/>
      </c>
      <c r="PM7" s="102" t="str">
        <f>IF(AND(WSIPA!$I$22&gt;=91.5,WSIPA!$I$22&lt;=100),"P","")</f>
        <v/>
      </c>
      <c r="PN7" t="str">
        <f>IF(WSIPA!$I$30&lt;74.9,"P","")</f>
        <v/>
      </c>
      <c r="PO7" s="102" t="str">
        <f>IF(AND(WSIPA!$I$30&gt;=75,WSIPA!$I$30&lt;=83.24),"P","")</f>
        <v/>
      </c>
      <c r="PP7" s="102" t="str">
        <f>IF(AND(WSIPA!$I$30&gt;=83.25,WSIPA!$I$30&lt;=91.4),"P","")</f>
        <v/>
      </c>
      <c r="PQ7" s="102" t="str">
        <f>IF(AND(WSIPA!$I$30&gt;=91.5,WSIPA!$I$30&lt;=100),"P","")</f>
        <v/>
      </c>
      <c r="PR7" t="str">
        <f>IF(WSIPA!$I$38&lt;74.9,"P","")</f>
        <v/>
      </c>
      <c r="PS7" s="102" t="str">
        <f>IF(AND(WSIPA!$I$38&gt;=75,WSIPA!$I$38&lt;=83.24),"P","")</f>
        <v/>
      </c>
      <c r="PT7" s="102" t="str">
        <f>IF(AND(WSIPA!$I$38&gt;=83.25,WSIPA!$I$38&lt;=91.4),"P","")</f>
        <v/>
      </c>
      <c r="PU7" s="102" t="str">
        <f>IF(AND(WSIPA!$I$38&gt;=91.5,WSIPA!$I$38&lt;=100),"P","")</f>
        <v/>
      </c>
      <c r="PV7" t="str">
        <f>IF(WSIPA!$I$46&lt;74.9,"P","")</f>
        <v/>
      </c>
      <c r="PW7" s="102" t="str">
        <f>IF(AND(WSIPA!$I$46&gt;=75,WSIPA!$I$46&lt;=83.24),"P","")</f>
        <v/>
      </c>
      <c r="PX7" s="102" t="str">
        <f>IF(AND(WSIPA!$I$46&gt;=83.25,WSIPA!$I$46&lt;=91.4),"P","")</f>
        <v/>
      </c>
      <c r="PY7" s="102" t="str">
        <f>IF(AND(WSIPA!$I$46&gt;=91.5,WSIPA!$I$46&lt;=100),"P","")</f>
        <v/>
      </c>
      <c r="PZ7" t="str">
        <f>IF(WSIPA!$I$54&lt;74.9,"P","")</f>
        <v/>
      </c>
      <c r="QA7" s="102" t="str">
        <f>IF(AND(WSIPA!$I$54&gt;=75,WSIPA!$I$54&lt;=83.24),"P","")</f>
        <v/>
      </c>
      <c r="QB7" s="102" t="str">
        <f>IF(AND(WSIPA!$I$54&gt;=83.25,WSIPA!$I$54&lt;=91.4),"P","")</f>
        <v/>
      </c>
      <c r="QC7" s="102" t="str">
        <f>IF(AND(WSIPA!$I$54&gt;=91.5,WSIPA!$I$54&lt;=100),"P","")</f>
        <v/>
      </c>
      <c r="QD7" t="str">
        <f>IF(WSIPA!$I$62&lt;74.9,"P","")</f>
        <v/>
      </c>
      <c r="QE7" s="102" t="str">
        <f>IF(AND(WSIPA!$I$62&gt;=75,WSIPA!$I$62&lt;=83.24),"P","")</f>
        <v/>
      </c>
      <c r="QF7" s="102" t="str">
        <f>IF(AND(WSIPA!$I$62&gt;=83.25,WSIPA!$I$62&lt;=91.4),"P","")</f>
        <v/>
      </c>
      <c r="QG7" s="102" t="str">
        <f>IF(AND(WSIPA!$I$62&gt;=91.5,WSIPA!$I$62&lt;=100),"P","")</f>
        <v/>
      </c>
      <c r="QH7" t="str">
        <f>IF(WSIPA!$I$70&lt;74.9,"P","")</f>
        <v/>
      </c>
      <c r="QI7" s="102" t="str">
        <f>IF(AND(WSIPA!$I$70&gt;=75,WSIPA!$I$70&lt;=83.24),"P","")</f>
        <v/>
      </c>
      <c r="QJ7" s="102" t="str">
        <f>IF(AND(WSIPA!$I$70&gt;=83.25,WSIPA!$I$70&lt;=91.4),"P","")</f>
        <v/>
      </c>
      <c r="QK7" s="102" t="str">
        <f>IF(AND(WSIPA!$I$70&gt;=91.5,WSIPA!$I$70&lt;=100),"P","")</f>
        <v/>
      </c>
      <c r="QL7" t="str">
        <f>IF(WSIPA!$I$78&lt;74.9,"P","")</f>
        <v/>
      </c>
      <c r="QM7" s="102" t="str">
        <f>IF(AND(WSIPA!$I$78&gt;=75,WSIPA!$I$78&lt;=83.24),"P","")</f>
        <v/>
      </c>
      <c r="QN7" s="102" t="str">
        <f>IF(AND(WSIPA!$I$78&gt;=83.25,WSIPA!$I$78&lt;=91.4),"P","")</f>
        <v/>
      </c>
      <c r="QO7" s="102" t="str">
        <f>IF(AND(WSIPA!$I$78&gt;=91.5,WSIPA!$I$78&lt;=100),"P","")</f>
        <v/>
      </c>
      <c r="QP7" t="str">
        <f>IF(WSIPA!$I$86&lt;74.9,"P","")</f>
        <v/>
      </c>
      <c r="QQ7" s="102" t="str">
        <f>IF(AND(WSIPA!$I$86&gt;=75,WSIPA!$I$86&lt;=83.24),"P","")</f>
        <v/>
      </c>
      <c r="QR7" s="102" t="str">
        <f>IF(AND(WSIPA!$I$86&gt;=83.25,WSIPA!$I$86&lt;=91.4),"P","")</f>
        <v/>
      </c>
      <c r="QS7" s="102" t="str">
        <f>IF(AND(WSIPA!$I$86&gt;=91.5,WSIPA!$I$86&lt;=100),"P","")</f>
        <v/>
      </c>
      <c r="QT7" t="str">
        <f>IF(WSIPA!$I$94&lt;74.9,"P","")</f>
        <v/>
      </c>
      <c r="QU7" s="102" t="str">
        <f>IF(AND(WSIPA!$I$94&gt;=75,WSIPA!$I$94&lt;=83.24),"P","")</f>
        <v/>
      </c>
      <c r="QV7" s="102" t="str">
        <f>IF(AND(WSIPA!$I$94&gt;=83.25,WSIPA!$I$94&lt;=91.4),"P","")</f>
        <v/>
      </c>
      <c r="QW7" s="102" t="str">
        <f>IF(AND(WSIPA!$I$94&gt;=91.5,WSIPA!$I$94&lt;=100),"P","")</f>
        <v/>
      </c>
      <c r="QX7" t="str">
        <f>IF(WSIPA!$I$102&lt;74.9,"P","")</f>
        <v/>
      </c>
      <c r="QY7" s="102" t="str">
        <f>IF(AND(WSIPA!$I$102&gt;=75,WSIPA!$I$102&lt;=83.24),"P","")</f>
        <v/>
      </c>
      <c r="QZ7" s="102" t="str">
        <f>IF(AND(WSIPA!$I$102&gt;=83.25,WSIPA!$I$102&lt;=91.4),"P","")</f>
        <v/>
      </c>
      <c r="RA7" s="102" t="str">
        <f>IF(AND(WSIPA!$I$102&gt;=91.5,WSIPA!$I$102&lt;=100),"P","")</f>
        <v/>
      </c>
      <c r="RB7" t="str">
        <f>IF(WSIPS!$I$6&lt;74.9,"P","")</f>
        <v/>
      </c>
      <c r="RC7" s="102" t="str">
        <f>IF(AND(WSIPS!$I$6&gt;=75,WSIPS!$I$6&lt;=83.24),"P","")</f>
        <v/>
      </c>
      <c r="RD7" s="102" t="str">
        <f>IF(AND(WSIPS!$I$6&gt;=83.25,WSIPS!$I$6&lt;=91.4),"P","")</f>
        <v/>
      </c>
      <c r="RE7" s="102" t="str">
        <f>IF(AND(WSIPS!$I$6&gt;=91.5,WSIPS!$I$6&lt;=100),"P","")</f>
        <v/>
      </c>
      <c r="RF7" t="str">
        <f>IF(WSIPS!$I$14&lt;74.9,"P","")</f>
        <v/>
      </c>
      <c r="RG7" s="102" t="str">
        <f>IF(AND(WSIPS!$I$14&gt;=75,WSIPS!$I$14&lt;=83.24),"P","")</f>
        <v/>
      </c>
      <c r="RH7" s="102" t="str">
        <f>IF(AND(WSIPS!$I$14&gt;=83.25,WSIPS!$I$14&lt;=91.4),"P","")</f>
        <v/>
      </c>
      <c r="RI7" s="102" t="str">
        <f>IF(AND(WSIPS!$I$14&gt;=91.5,WSIPS!$I$14&lt;=100),"P","")</f>
        <v/>
      </c>
      <c r="RJ7" t="str">
        <f>IF(WSIPS!$I$22&lt;74.9,"P","")</f>
        <v/>
      </c>
      <c r="RK7" s="102" t="str">
        <f>IF(AND(WSIPS!$I$22&gt;=75,WSIPS!$I$22&lt;=83.24),"P","")</f>
        <v/>
      </c>
      <c r="RL7" s="102" t="str">
        <f>IF(AND(WSIPS!$I$22&gt;=83.25,WSIPS!$I$22&lt;=91.4),"P","")</f>
        <v/>
      </c>
      <c r="RM7" s="102" t="str">
        <f>IF(AND(WSIPS!$I$22&gt;=91.5,WSIPS!$I$22&lt;=100),"P","")</f>
        <v/>
      </c>
      <c r="RN7" t="str">
        <f>IF(WSIPS!$I$30&lt;74.9,"P","")</f>
        <v/>
      </c>
      <c r="RO7" s="102" t="str">
        <f>IF(AND(WSIPS!$I$30&gt;=75,WSIPS!$I$30&lt;=83.24),"P","")</f>
        <v/>
      </c>
      <c r="RP7" s="102" t="str">
        <f>IF(AND(WSIPS!$I$30&gt;=83.25,WSIPS!$I$30&lt;=91.4),"P","")</f>
        <v/>
      </c>
      <c r="RQ7" s="102" t="str">
        <f>IF(AND(WSIPS!$I$30&gt;=91.5,WSIPS!$I$30&lt;=100),"P","")</f>
        <v/>
      </c>
      <c r="RR7" t="str">
        <f>IF(WSIPS!$I$38&lt;74.9,"P","")</f>
        <v/>
      </c>
      <c r="RS7" s="102" t="str">
        <f>IF(AND(WSIPS!$I$38&gt;=75,WSIPS!$I$38&lt;=83.24),"P","")</f>
        <v/>
      </c>
      <c r="RT7" s="102" t="str">
        <f>IF(AND(WSIPS!$I$38&gt;=83.25,WSIPS!$I$38&lt;=91.4),"P","")</f>
        <v/>
      </c>
      <c r="RU7" s="102" t="str">
        <f>IF(AND(WSIPS!$I$38&gt;=91.5,WSIPS!$I$38&lt;=100),"P","")</f>
        <v/>
      </c>
      <c r="RV7" t="str">
        <f>IF(WSIPS!$I$46&lt;74.9,"P","")</f>
        <v/>
      </c>
      <c r="RW7" s="102" t="str">
        <f>IF(AND(WSIPS!$I$46&gt;=75,WSIPS!$I$46&lt;=83.24),"P","")</f>
        <v/>
      </c>
      <c r="RX7" s="102" t="str">
        <f>IF(AND(WSIPS!$I$46&gt;=83.25,WSIPS!$I$46&lt;=91.4),"P","")</f>
        <v/>
      </c>
      <c r="RY7" s="102" t="str">
        <f>IF(AND(WSIPS!$I$46&gt;=91.5,WSIPS!$I$46&lt;=100),"P","")</f>
        <v/>
      </c>
      <c r="RZ7" t="str">
        <f>IF(WSIPS!$I$54&lt;74.9,"P","")</f>
        <v/>
      </c>
      <c r="SA7" s="102" t="str">
        <f>IF(AND(WSIPS!$I$54&gt;=75,WSIPS!$I$54&lt;=83.24),"P","")</f>
        <v/>
      </c>
      <c r="SB7" s="102" t="str">
        <f>IF(AND(WSIPS!$I$54&gt;=83.25,WSIPS!$I$54&lt;=91.4),"P","")</f>
        <v/>
      </c>
      <c r="SC7" s="102" t="str">
        <f>IF(AND(WSIPS!$I$54&gt;=91.5,WSIPS!$I$54&lt;=100),"P","")</f>
        <v/>
      </c>
      <c r="SD7" t="str">
        <f>IF(WSIPS!$I$62&lt;74.9,"P","")</f>
        <v/>
      </c>
      <c r="SE7" s="102" t="str">
        <f>IF(AND(WSIPS!$I$62&gt;=75,WSIPS!$I$62&lt;=83.24),"P","")</f>
        <v/>
      </c>
      <c r="SF7" s="102" t="str">
        <f>IF(AND(WSIPS!$I$62&gt;=83.25,WSIPS!$I$62&lt;=91.4),"P","")</f>
        <v/>
      </c>
      <c r="SG7" s="102" t="str">
        <f>IF(AND(WSIPS!$I$62&gt;=91.5,WSIPS!$I$62&lt;=100),"P","")</f>
        <v/>
      </c>
      <c r="SH7" t="str">
        <f>IF(WSIPS!$I$70&lt;74.9,"P","")</f>
        <v/>
      </c>
      <c r="SI7" s="102" t="str">
        <f>IF(AND(WSIPS!$I$70&gt;=75,WSIPS!$I$70&lt;=83.24),"P","")</f>
        <v/>
      </c>
      <c r="SJ7" s="102" t="str">
        <f>IF(AND(WSIPS!$I$70&gt;=83.25,WSIPS!$I$70&lt;=91.4),"P","")</f>
        <v/>
      </c>
      <c r="SK7" s="102" t="str">
        <f>IF(AND(WSIPS!$I$70&gt;=91.5,WSIPS!$I$70&lt;=100),"P","")</f>
        <v/>
      </c>
      <c r="SL7" t="str">
        <f>IF(WSIPS!$I$78&lt;74.9,"P","")</f>
        <v/>
      </c>
      <c r="SM7" s="102" t="str">
        <f>IF(AND(WSIPS!$I$78&gt;=75,WSIPS!$I$78&lt;=83.24),"P","")</f>
        <v/>
      </c>
      <c r="SN7" s="102" t="str">
        <f>IF(AND(WSIPS!$I$78&gt;=83.25,WSIPS!$I$78&lt;=91.4),"P","")</f>
        <v/>
      </c>
      <c r="SO7" s="102" t="str">
        <f>IF(AND(WSIPS!$I$78&gt;=91.5,WSIPS!$I$78&lt;=100),"P","")</f>
        <v/>
      </c>
      <c r="SP7" t="str">
        <f>IF(WSIPS!$I$86&lt;74.9,"P","")</f>
        <v/>
      </c>
      <c r="SQ7" s="102" t="str">
        <f>IF(AND(WSIPS!$I$86&gt;=75,WSIPS!$I$86&lt;=83.24),"P","")</f>
        <v/>
      </c>
      <c r="SR7" s="102" t="str">
        <f>IF(AND(WSIPS!$I$86&gt;=83.25,WSIPS!$I$86&lt;=91.4),"P","")</f>
        <v/>
      </c>
      <c r="SS7" s="102" t="str">
        <f>IF(AND(WSIPS!$I$86&gt;=91.5,WSIPS!$I$86&lt;=100),"P","")</f>
        <v/>
      </c>
      <c r="ST7" t="str">
        <f>IF(WSIPS!$I$94&lt;74.9,"P","")</f>
        <v/>
      </c>
      <c r="SU7" s="102" t="str">
        <f>IF(AND(WSIPS!$I$94&gt;=75,WSIPS!$I$94&lt;=83.24),"P","")</f>
        <v/>
      </c>
      <c r="SV7" s="102" t="str">
        <f>IF(AND(WSIPS!$I$94&gt;=83.25,WSIPS!$I$94&lt;=91.4),"P","")</f>
        <v/>
      </c>
      <c r="SW7" s="102" t="str">
        <f>IF(AND(WSIPS!$I$94&gt;=91.5,WSIPS!$I$94&lt;=100),"P","")</f>
        <v/>
      </c>
      <c r="SX7" t="str">
        <f>IF(WSIPS!$I$102&lt;74.9,"P","")</f>
        <v/>
      </c>
      <c r="SY7" s="102" t="str">
        <f>IF(AND(WSIPS!$I$102&gt;=75,WSIPS!$I$102&lt;=83.24),"P","")</f>
        <v/>
      </c>
      <c r="SZ7" s="102" t="str">
        <f>IF(AND(WSIPS!$I$102&gt;=83.25,WSIPS!$I$102&lt;=91.4),"P","")</f>
        <v/>
      </c>
      <c r="TA7" s="102" t="str">
        <f>IF(AND(WSIPS!$I$102&gt;=91.5,WSIPS!$I$102&lt;=100),"P","")</f>
        <v/>
      </c>
      <c r="TB7" t="str">
        <f>IF(WSSBK!$I$6&lt;74.9,"P","")</f>
        <v/>
      </c>
      <c r="TC7" s="102" t="str">
        <f>IF(AND(WSSBK!$I$6&gt;=75,WSSBK!$I$6&lt;=83.24),"P","")</f>
        <v/>
      </c>
      <c r="TD7" s="102" t="str">
        <f>IF(AND(WSSBK!$I$6&gt;=83.25,WSSBK!$I$6&lt;=91.4),"P","")</f>
        <v/>
      </c>
      <c r="TE7" s="102" t="str">
        <f>IF(AND(WSSBK!$I$6&gt;=91.5,WSSBK!$I$6&lt;=100),"P","")</f>
        <v>P</v>
      </c>
      <c r="TF7" t="str">
        <f>IF(WSSBK!$I$16&lt;74.9,"P","")</f>
        <v/>
      </c>
      <c r="TG7" s="102" t="str">
        <f>IF(AND(WSSBK!$I$16&gt;=75,WSSBK!$I$16&lt;=83.24),"P","")</f>
        <v/>
      </c>
      <c r="TH7" s="102" t="str">
        <f>IF(AND(WSSBK!$I$16&gt;=83.25,WSSBK!$I$16&lt;=91.4),"P","")</f>
        <v/>
      </c>
      <c r="TI7" s="102" t="str">
        <f>IF(AND(WSSBK!$I$16&gt;=91.5,WSSBK!$I$16&lt;=100),"P","")</f>
        <v>P</v>
      </c>
      <c r="TJ7" t="str">
        <f>IF(WSSBK!$I$26&lt;74.9,"P","")</f>
        <v/>
      </c>
      <c r="TK7" s="102" t="str">
        <f>IF(AND(WSSBK!$I$26&gt;=75,WSSBK!$I$26&lt;=83.24),"P","")</f>
        <v/>
      </c>
      <c r="TL7" s="102" t="str">
        <f>IF(AND(WSSBK!$I$26&gt;=83.25,WSSBK!$I$26&lt;=91.4),"P","")</f>
        <v/>
      </c>
      <c r="TM7" s="102" t="str">
        <f>IF(AND(WSSBK!$I$26&gt;=91.5,WSSBK!$I$26&lt;=100),"P","")</f>
        <v>P</v>
      </c>
      <c r="TN7" t="str">
        <f>IF(WSSBK!$I$36&lt;74.9,"P","")</f>
        <v/>
      </c>
      <c r="TO7" s="102" t="str">
        <f>IF(AND(WSSBK!$I$36&gt;=75,WSSBK!$I$36&lt;=83.24),"P","")</f>
        <v/>
      </c>
      <c r="TP7" s="102" t="str">
        <f>IF(AND(WSSBK!$I$36&gt;=83.25,WSSBK!$I$36&lt;=91.4),"P","")</f>
        <v/>
      </c>
      <c r="TQ7" s="102" t="str">
        <f>IF(AND(WSSBK!$I$36&gt;=91.5,WSSBK!$I$36&lt;=100),"P","")</f>
        <v>P</v>
      </c>
      <c r="TR7" t="str">
        <f>IF(WSSBK!$I$46&lt;74.9,"P","")</f>
        <v/>
      </c>
      <c r="TS7" s="102" t="str">
        <f>IF(AND(WSSBK!$I$46&gt;=75,WSSBK!$I$46&lt;=83.24),"P","")</f>
        <v/>
      </c>
      <c r="TT7" s="102" t="str">
        <f>IF(AND(WSSBK!$I$46&gt;=83.25,WSSBK!$I$46&lt;=91.4),"P","")</f>
        <v/>
      </c>
      <c r="TU7" s="102" t="str">
        <f>IF(AND(WSSBK!$I$46&gt;=91.5,WSSBK!$I$46&lt;=100),"P","")</f>
        <v>P</v>
      </c>
      <c r="TV7" t="str">
        <f>IF(WSSBK!$I$58&lt;74.9,"P","")</f>
        <v/>
      </c>
      <c r="TW7" s="102" t="str">
        <f>IF(AND(WSSBK!$I$58&gt;=75,WSSBK!$I$58&lt;=83.24),"P","")</f>
        <v/>
      </c>
      <c r="TX7" s="102" t="str">
        <f>IF(AND(WSSBK!$I$58&gt;=83.25,WSSBK!$I$58&lt;=91.4),"P","")</f>
        <v/>
      </c>
      <c r="TY7" s="102" t="str">
        <f>IF(AND(WSSBK!$I$58&gt;=91.5,WSSBK!$I$58&lt;=100),"P","")</f>
        <v>P</v>
      </c>
      <c r="TZ7" t="str">
        <f>IF(WSSBK!$I$68&lt;74.9,"P","")</f>
        <v/>
      </c>
      <c r="UA7" s="102" t="str">
        <f>IF(AND(WSSBK!$I$68&gt;=75,WSSBK!$I$68&lt;=83.24),"P","")</f>
        <v/>
      </c>
      <c r="UB7" s="102" t="str">
        <f>IF(AND(WSSBK!$I$68&gt;=83.25,WSSBK!$I$68&lt;=91.4),"P","")</f>
        <v/>
      </c>
      <c r="UC7" s="102" t="str">
        <f>IF(AND(WSSBK!$I$68&gt;=91.5,WSSBK!$I$68&lt;=100),"P","")</f>
        <v>P</v>
      </c>
      <c r="UD7" t="str">
        <f>IF(WSSBK!$I$77&lt;74.9,"P","")</f>
        <v/>
      </c>
      <c r="UE7" s="102" t="str">
        <f>IF(AND(WSSBK!$I$77&gt;=75,WSSBK!$I$77&lt;=83.24),"P","")</f>
        <v/>
      </c>
      <c r="UF7" s="102" t="str">
        <f>IF(AND(WSSBK!$I$77&gt;=83.25,WSSBK!$I$77&lt;=91.4),"P","")</f>
        <v/>
      </c>
      <c r="UG7" s="102" t="str">
        <f>IF(AND(WSSBK!$I$77&gt;=91.5,WSSBK!$I$77&lt;=100),"P","")</f>
        <v>P</v>
      </c>
      <c r="UH7" t="str">
        <f>IF(WSSBK!$I$87&lt;74.9,"P","")</f>
        <v/>
      </c>
      <c r="UI7" s="102" t="str">
        <f>IF(AND(WSSBK!$I$87&gt;=75,WSSBK!$I$87&lt;=83.24),"P","")</f>
        <v/>
      </c>
      <c r="UJ7" s="102" t="str">
        <f>IF(AND(WSSBK!$I$87&gt;=83.25,WSSBK!$I$87&lt;=91.4),"P","")</f>
        <v/>
      </c>
      <c r="UK7" s="102" t="str">
        <f>IF(AND(WSSBK!$I$87&gt;=91.5,WSSBK!$I$87&lt;=100),"P","")</f>
        <v/>
      </c>
      <c r="UL7" t="str">
        <f>IF(WSSBK!$I$95&lt;74.9,"P","")</f>
        <v/>
      </c>
      <c r="UM7" s="102" t="str">
        <f>IF(AND(WSSBK!$I$95&gt;=75,WSSBK!$I$95&lt;=83.24),"P","")</f>
        <v/>
      </c>
      <c r="UN7" s="102" t="str">
        <f>IF(AND(WSSBK!$I$95&gt;=83.25,WSSBK!$I$95&lt;=91.4),"P","")</f>
        <v/>
      </c>
      <c r="UO7" s="102" t="str">
        <f>IF(AND(WSSBK!$I$95&gt;=91.5,WSSBK!$I$95&lt;=100),"P","")</f>
        <v/>
      </c>
      <c r="UP7" t="str">
        <f>IF(WSSBK!$I$103&lt;74.9,"P","")</f>
        <v/>
      </c>
      <c r="UQ7" s="102" t="str">
        <f>IF(AND(WSSBK!$I$103&gt;=75,WSSBK!$I$103&lt;=83.24),"P","")</f>
        <v/>
      </c>
      <c r="UR7" s="102" t="str">
        <f>IF(AND(WSSBK!$I$103&gt;=83.25,WSSBK!$I$103&lt;=91.4),"P","")</f>
        <v/>
      </c>
      <c r="US7" s="102" t="str">
        <f>IF(AND(WSSBK!$I$103&gt;=91.5,WSSBK!$I$103&lt;=100),"P","")</f>
        <v/>
      </c>
      <c r="UT7" t="str">
        <f>IF(WSSBK!$I$111&lt;74.9,"P","")</f>
        <v/>
      </c>
      <c r="UU7" s="102" t="str">
        <f>IF(AND(WSSBK!$I$111&gt;=75,WSSBK!$I$111&lt;=83.24),"P","")</f>
        <v/>
      </c>
      <c r="UV7" s="102" t="str">
        <f>IF(AND(WSSBK!$I$111&gt;=83.25,WSSBK!$I$111&lt;=91.4),"P","")</f>
        <v/>
      </c>
      <c r="UW7" s="102" t="str">
        <f>IF(AND(WSSBK!$I$111&gt;=91.5,WSSBK!$I$111&lt;=100),"P","")</f>
        <v/>
      </c>
      <c r="UX7" t="str">
        <f>IF(WSSBK!$I$119&lt;74.9,"P","")</f>
        <v/>
      </c>
      <c r="UY7" s="102" t="str">
        <f>IF(AND(WSSBK!$I$119&gt;=75,WSSBK!$I$119&lt;=83.24),"P","")</f>
        <v/>
      </c>
      <c r="UZ7" s="102" t="str">
        <f>IF(AND(WSSBK!$I$119&gt;=83.25,WSSBK!$I$119&lt;=91.4),"P","")</f>
        <v/>
      </c>
      <c r="VA7" s="102" t="str">
        <f>IF(AND(WSSBK!$I$119&gt;=91.5,WSSBK!$I$119&lt;=100),"P","")</f>
        <v/>
      </c>
      <c r="VB7" s="102" t="str">
        <f>IF(AND(WSPENJAS!$I$6&gt;0,WSPENJAS!$I$6&lt;=74.9),"P","")</f>
        <v/>
      </c>
      <c r="VC7" s="102" t="str">
        <f>IF(AND(WSPENJAS!$I$6&gt;=75,WSPENJAS!$I$6&lt;=83.24),"P","")</f>
        <v/>
      </c>
      <c r="VD7" s="102" t="str">
        <f>IF(AND(WSPENJAS!$I$6&gt;=83.25,WSPENJAS!$I$6&lt;=91.4),"P","")</f>
        <v/>
      </c>
      <c r="VE7" s="102" t="str">
        <f>IF(AND(WSPENJAS!$I$6&gt;=91.5,WSPENJAS!$I$6&lt;=100),"P","")</f>
        <v>P</v>
      </c>
      <c r="VF7" s="102" t="str">
        <f>IF(AND(WSPENJAS!$I$7&gt;0,WSPENJAS!$I$7&lt;=74.9),"P","")</f>
        <v/>
      </c>
      <c r="VG7" s="102" t="str">
        <f>IF(AND(WSPENJAS!$I$7&gt;=75,WSPENJAS!$I$7&lt;=83.24),"P","")</f>
        <v/>
      </c>
      <c r="VH7" s="102" t="str">
        <f>IF(AND(WSPENJAS!$I$7&gt;=83.25,WSPENJAS!$I$7&lt;=91.4),"P","")</f>
        <v/>
      </c>
      <c r="VI7" s="102" t="str">
        <f>IF(AND(WSPENJAS!$I$7&gt;=91.5,WSPENJAS!$I$7&lt;=100),"P","")</f>
        <v>P</v>
      </c>
      <c r="VJ7" s="102" t="str">
        <f>IF(AND(WSPENJAS!$I$8&gt;0,WSPENJAS!$I$8&lt;=74.9),"P","")</f>
        <v/>
      </c>
      <c r="VK7" s="102" t="str">
        <f>IF(AND(WSPENJAS!$I$8&gt;=75,WSPENJAS!$I$8&lt;=83.24),"P","")</f>
        <v/>
      </c>
      <c r="VL7" s="102" t="str">
        <f>IF(AND(WSPENJAS!$I$8&gt;=83.25,WSPENJAS!$I$8&lt;=91.4),"P","")</f>
        <v/>
      </c>
      <c r="VM7" s="102" t="str">
        <f>IF(AND(WSPENJAS!$I$8&gt;=91.5,WSPENJAS!$I$8&lt;=100),"P","")</f>
        <v>P</v>
      </c>
      <c r="VN7" s="102" t="str">
        <f>IF(AND(WSPENJAS!$I$9&gt;0,WSPENJAS!$I$9&lt;=74.9),"P","")</f>
        <v/>
      </c>
      <c r="VO7" s="102" t="str">
        <f>IF(AND(WSPENJAS!$I$9&gt;=75,WSPENJAS!$I$9&lt;=83.24),"P","")</f>
        <v/>
      </c>
      <c r="VP7" s="102" t="str">
        <f>IF(AND(WSPENJAS!$I$9&gt;=83.25,WSPENJAS!$I$9&lt;=91.4),"P","")</f>
        <v/>
      </c>
      <c r="VQ7" s="102" t="str">
        <f>IF(AND(WSPENJAS!$I$9&gt;=91.5,WSPENJAS!$I$9&lt;=100),"P","")</f>
        <v>P</v>
      </c>
      <c r="VR7" s="102" t="str">
        <f>IF(AND(WSPENJAS!$I$10&gt;0,WSPENJAS!$I$10&lt;=74.9),"P","")</f>
        <v/>
      </c>
      <c r="VS7" s="102" t="str">
        <f>IF(AND(WSPENJAS!$I$10&gt;=75,WSPENJAS!$I$10&lt;=83.24),"P","")</f>
        <v/>
      </c>
      <c r="VT7" s="102" t="str">
        <f>IF(AND(WSPENJAS!$I$10&gt;=83.25,WSPENJAS!$I$10&lt;=91.4),"P","")</f>
        <v/>
      </c>
      <c r="VU7" s="102" t="str">
        <f>IF(AND(WSPENJAS!$I$10&gt;=91.5,WSPENJAS!$I$10&lt;=100),"P","")</f>
        <v>P</v>
      </c>
      <c r="VV7" s="102" t="str">
        <f>IF(AND(WSPENJAS!$I$11&gt;0,WSPENJAS!$I$11&lt;=74.9),"P","")</f>
        <v/>
      </c>
      <c r="VW7" s="102" t="str">
        <f>IF(AND(WSPENJAS!$I$411&gt;=75,WSPENJAS!$I$411&lt;=83.24),"P","")</f>
        <v/>
      </c>
      <c r="VX7" s="102" t="str">
        <f>IF(AND(WSPENJAS!$I$411&gt;=83.25,WSPENJAS!$I$411&lt;=91.4),"P","")</f>
        <v/>
      </c>
      <c r="VY7" s="102" t="str">
        <f>IF(AND(WSPENJAS!$I$411&gt;=91.5,WSPENJAS!$I$411&lt;=100),"P","")</f>
        <v/>
      </c>
      <c r="VZ7" s="102" t="str">
        <f>IF(AND(WSPENJAS!$I$12&gt;0,WSPENJAS!$I$12&lt;=74.9),"P","")</f>
        <v/>
      </c>
      <c r="WA7" s="102" t="str">
        <f>IF(AND(WSPENJAS!$I$12&gt;=75,WSPENJAS!$I$12&lt;=83.24),"P","")</f>
        <v/>
      </c>
      <c r="WB7" s="102" t="str">
        <f>IF(AND(WSPENJAS!$I$12&gt;=83.25,WSPENJAS!$I$12&lt;=91.4),"P","")</f>
        <v/>
      </c>
      <c r="WC7" s="102" t="str">
        <f>IF(AND(WSPENJAS!$I$12&gt;=91.5,WSPENJAS!$I$12&lt;=100),"P","")</f>
        <v>P</v>
      </c>
      <c r="WD7" s="102" t="str">
        <f>IF(AND(WSPENJAS!$I$13&gt;0,WSPENJAS!$I$13&lt;=74.9),"P","")</f>
        <v/>
      </c>
      <c r="WE7" s="102" t="str">
        <f>IF(AND(WSPENJAS!$I$13&gt;=75,WSPENJAS!$I$13&lt;=83.24),"P","")</f>
        <v/>
      </c>
      <c r="WF7" s="102" t="str">
        <f>IF(AND(WSPENJAS!$I$13&gt;=83.25,WSPENJAS!$I$13&lt;=91.4),"P","")</f>
        <v/>
      </c>
      <c r="WG7" s="102" t="str">
        <f>IF(AND(WSPENJAS!$I$13&gt;=91.5,WSPENJAS!$I$13&lt;=100),"P","")</f>
        <v>P</v>
      </c>
      <c r="WH7" s="102" t="str">
        <f>IF(AND(WSPENJAS!$I$14&gt;0,WSPENJAS!$I$14&lt;=74.9),"P","")</f>
        <v/>
      </c>
      <c r="WI7" s="102" t="str">
        <f>IF(AND(WSPENJAS!$I$14&gt;=75,WSPENJAS!$I$14&lt;=83.24),"P","")</f>
        <v/>
      </c>
      <c r="WJ7" s="102" t="str">
        <f>IF(AND(WSPENJAS!$I$14&gt;=83.25,WSPENJAS!$I$14&lt;=91.4),"P","")</f>
        <v/>
      </c>
      <c r="WK7" s="102" t="str">
        <f>IF(AND(WSPENJAS!$I$14&gt;=91.5,WSPENJAS!$I$14&lt;=100),"P","")</f>
        <v>P</v>
      </c>
      <c r="WL7" s="102" t="str">
        <f>IF(AND(WSPENJAS!$I$15&gt;0,WSPENJAS!$I$15&lt;=74.9),"P","")</f>
        <v/>
      </c>
      <c r="WM7" s="102" t="str">
        <f>IF(AND(WSPENJAS!$I$15&gt;=75,WSPENJAS!$I$15&lt;=83.24),"P","")</f>
        <v/>
      </c>
      <c r="WN7" s="102" t="str">
        <f>IF(AND(WSPENJAS!$I$15&gt;=83.25,WSPENJAS!$I$15&lt;=91.4),"P","")</f>
        <v/>
      </c>
      <c r="WO7" s="102" t="str">
        <f>IF(AND(WSPENJAS!$I$15&gt;=91.5,WSPENJAS!$I$15&lt;=100),"P","")</f>
        <v>P</v>
      </c>
      <c r="WP7" s="102" t="str">
        <f>IF(AND(WSPENJAS!$I$16&gt;0,WSPENJAS!$I$16&lt;=74.9),"P","")</f>
        <v/>
      </c>
      <c r="WQ7" s="102" t="str">
        <f>IF(AND(WSPENJAS!$I$16&gt;=75,WSPENJAS!$I$16&lt;=83.24),"P","")</f>
        <v/>
      </c>
      <c r="WR7" s="102" t="str">
        <f>IF(AND(WSPENJAS!$I$16&gt;=83.25,WSPENJAS!$I$16&lt;=91.4),"P","")</f>
        <v/>
      </c>
      <c r="WS7" s="102" t="str">
        <f>IF(AND(WSPENJAS!$I$16&gt;=91.5,WSPENJAS!$I$16&lt;=100),"P","")</f>
        <v/>
      </c>
      <c r="WT7" s="102" t="str">
        <f>IF(AND(WSPENJAS!$I$17&gt;0,WSPENJAS!$I$17&lt;=74.9),"P","")</f>
        <v/>
      </c>
      <c r="WU7" s="102" t="str">
        <f>IF(AND(WSPENJAS!$I$17&gt;=75,WSPENJAS!$I$17&lt;=83.24),"P","")</f>
        <v/>
      </c>
      <c r="WV7" s="102" t="str">
        <f>IF(AND(WSPENJAS!$I$17&gt;=83.25,WSPENJAS!$I$17&lt;=91.4),"P","")</f>
        <v/>
      </c>
      <c r="WW7" s="102" t="str">
        <f>IF(AND(WSPENJAS!$I$17&gt;=91.5,WSPENJAS!$I$17&lt;=100),"P","")</f>
        <v/>
      </c>
      <c r="WX7" s="102" t="str">
        <f>IF(AND(WSPENJAS!$I$18&gt;0,WSPENJAS!$I$18&lt;=74.9),"P","")</f>
        <v/>
      </c>
      <c r="WY7" s="102" t="str">
        <f>IF(AND(WSPENJAS!$I$18&gt;=75,WSPENJAS!$I$18&lt;=83.24),"P","")</f>
        <v/>
      </c>
      <c r="WZ7" s="102" t="str">
        <f>IF(AND(WSPENJAS!$I$18&gt;=83.25,WSPENJAS!$I$18&lt;=91.4),"P","")</f>
        <v/>
      </c>
      <c r="XA7" s="102" t="str">
        <f>IF(AND(WSPENJAS!$I$18&gt;=91.5,WSPENJAS!$I$18&lt;=100),"P","")</f>
        <v/>
      </c>
      <c r="XB7" s="102" t="str">
        <f>IF(AND(WSPENJAS!$I$19&gt;0,WSPENJAS!$I$19&lt;=74.9),"P","")</f>
        <v/>
      </c>
      <c r="XC7" s="102" t="str">
        <f>IF(AND(WSPENJAS!$I$19&gt;=75,WSPENJAS!$I$19&lt;=83.24),"P","")</f>
        <v/>
      </c>
      <c r="XD7" s="102" t="str">
        <f>IF(AND(WSPENJAS!$I$19&gt;=83.25,WSPENJAS!$I$19&lt;=91.4),"P","")</f>
        <v/>
      </c>
      <c r="XE7" s="102" t="str">
        <f>IF(AND(WSPENJAS!$I$19&gt;=91.5,WSPENJAS!$I$19&lt;=100),"P","")</f>
        <v/>
      </c>
      <c r="XF7" s="102" t="str">
        <f>IF(AND(WSPENJAS!$I$20&gt;0,WSPENJAS!$I$20&lt;=74.9),"P","")</f>
        <v/>
      </c>
      <c r="XG7" s="102" t="str">
        <f>IF(AND(WSPENJAS!$I$20&gt;=75,WSPENJAS!$I$20&lt;=83.24),"P","")</f>
        <v/>
      </c>
      <c r="XH7" s="102" t="str">
        <f>IF(AND(WSPENJAS!$I$20&gt;=83.25,WSPENJAS!$I$20&lt;=91.4),"P","")</f>
        <v/>
      </c>
      <c r="XI7" s="102" t="str">
        <f>IF(AND(WSPENJAS!$I$20&gt;=91.5,WSPENJAS!$I$20&lt;=100),"P","")</f>
        <v/>
      </c>
      <c r="XJ7" s="102" t="str">
        <f>IF(AND(WSPENJAS!$I$21&gt;0,WSPENJAS!$I$21&lt;=74.9),"P","")</f>
        <v/>
      </c>
      <c r="XK7" s="102" t="str">
        <f>IF(AND(WSPENJAS!$I$21&gt;=75,WSPENJAS!$I$21&lt;=83.24),"P","")</f>
        <v/>
      </c>
      <c r="XL7" s="102" t="str">
        <f>IF(AND(WSPENJAS!$I$21&gt;=83.25,WSPENJAS!$I$21&lt;=91.4),"P","")</f>
        <v/>
      </c>
      <c r="XM7" s="102" t="str">
        <f>IF(AND(WSPENJAS!$I$21&gt;=91.5,WSPENJAS!$I$21&lt;=100),"P","")</f>
        <v/>
      </c>
      <c r="XN7" t="str">
        <f>IF(WSJAWA!$I$6&lt;74.9,"P","")</f>
        <v/>
      </c>
      <c r="XO7" s="102" t="str">
        <f>IF(AND(WSJAWA!$I$6&gt;=75,WSJAWA!$I$6&lt;=83.24),"P","")</f>
        <v/>
      </c>
      <c r="XP7" s="102" t="str">
        <f>IF(AND(WSJAWA!$I$6&gt;=83.25,WSJAWA!$I$6&lt;=91.4),"P","")</f>
        <v/>
      </c>
      <c r="XQ7" s="102" t="str">
        <f>IF(AND(WSJAWA!$I$6&gt;=91.5,WSJAWA!$I$6&lt;=100),"P","")</f>
        <v>P</v>
      </c>
      <c r="XR7" t="str">
        <f>IF(WSJAWA!$I$14&lt;74.9,"P","")</f>
        <v/>
      </c>
      <c r="XS7" s="102" t="str">
        <f>IF(AND(WSJAWA!$I$14&gt;=75,WSJAWA!$I$14&lt;=83.24),"P","")</f>
        <v/>
      </c>
      <c r="XT7" s="102" t="str">
        <f>IF(AND(WSJAWA!$I$14&gt;=83.25,WSJAWA!$I$14&lt;=91.4),"P","")</f>
        <v/>
      </c>
      <c r="XU7" s="102" t="str">
        <f>IF(AND(WSJAWA!$I$14&gt;=91.5,WSJAWA!$I$14&lt;=100),"P","")</f>
        <v>P</v>
      </c>
      <c r="XV7" t="str">
        <f>IF(WSJAWA!$I$22&lt;74.9,"P","")</f>
        <v/>
      </c>
      <c r="XW7" s="102" t="str">
        <f>IF(AND(WSJAWA!$I$22&gt;=75,WSJAWA!$I$22&lt;=83.24),"P","")</f>
        <v/>
      </c>
      <c r="XX7" s="102" t="str">
        <f>IF(AND(WSJAWA!$I$22&gt;=83.25,WSJAWA!$I$22&lt;=91.4),"P","")</f>
        <v/>
      </c>
      <c r="XY7" s="102" t="str">
        <f>IF(AND(WSJAWA!$I$22&gt;=91.5,WSJAWA!$I$22&lt;=100),"P","")</f>
        <v>P</v>
      </c>
      <c r="XZ7" t="str">
        <f>IF(WSJAWA!$I$30&lt;74.9,"P","")</f>
        <v/>
      </c>
      <c r="YA7" s="102" t="str">
        <f>IF(AND(WSJAWA!$I$30&gt;=75,WSJAWA!$I$30&lt;=83.24),"P","")</f>
        <v/>
      </c>
      <c r="YB7" s="102" t="str">
        <f>IF(AND(WSJAWA!$I$30&gt;=83.25,WSJAWA!$I$30&lt;=91.4),"P","")</f>
        <v>P</v>
      </c>
      <c r="YC7" s="102" t="str">
        <f>IF(AND(WSJAWA!$I$30&gt;=91.5,WSJAWA!$I$30&lt;=100),"P","")</f>
        <v/>
      </c>
      <c r="YD7" t="str">
        <f>IF(WSJAWA!$I$38&lt;74.9,"P","")</f>
        <v/>
      </c>
      <c r="YE7" s="102" t="str">
        <f>IF(AND(WSJAWA!$I$38&gt;=75,WSJAWA!$I$38&lt;=83.24),"P","")</f>
        <v/>
      </c>
      <c r="YF7" s="102" t="str">
        <f>IF(AND(WSJAWA!$I$38&gt;=83.25,WSJAWA!$I$38&lt;=91.4),"P","")</f>
        <v/>
      </c>
      <c r="YG7" s="102" t="str">
        <f>IF(AND(WSJAWA!$I$38&gt;=91.5,WSJAWA!$I$38&lt;=100),"P","")</f>
        <v>P</v>
      </c>
      <c r="YH7" t="str">
        <f>IF(WSJAWA!$I$46&lt;74.9,"P","")</f>
        <v/>
      </c>
      <c r="YI7" s="102" t="str">
        <f>IF(AND(WSJAWA!$I$46&gt;=75,WSJAWA!$I$46&lt;=83.24),"P","")</f>
        <v/>
      </c>
      <c r="YJ7" s="102" t="str">
        <f>IF(AND(WSJAWA!$I$46&gt;=83.25,WSJAWA!$I$46&lt;=91.4),"P","")</f>
        <v/>
      </c>
      <c r="YK7" s="102" t="str">
        <f>IF(AND(WSJAWA!$I$46&gt;=91.5,WSJAWA!$I$46&lt;=100),"P","")</f>
        <v>P</v>
      </c>
      <c r="YL7" t="str">
        <f>IF(WSJAWA!$I$54&lt;74.9,"P","")</f>
        <v/>
      </c>
      <c r="YM7" s="102" t="str">
        <f>IF(AND(WSJAWA!$I$54&gt;=75,WSJAWA!$I$54&lt;=83.24),"P","")</f>
        <v/>
      </c>
      <c r="YN7" s="102" t="str">
        <f>IF(AND(WSJAWA!$I$54&gt;=83.25,WSJAWA!$I$54&lt;=91.4),"P","")</f>
        <v/>
      </c>
      <c r="YO7" s="102" t="str">
        <f>IF(AND(WSJAWA!$I$54&gt;=91.5,WSJAWA!$I$54&lt;=100),"P","")</f>
        <v>P</v>
      </c>
      <c r="YP7" t="str">
        <f>IF(WSJAWA!$I$62&lt;74.9,"P","")</f>
        <v/>
      </c>
      <c r="YQ7" s="102" t="str">
        <f>IF(AND(WSJAWA!$I$62&gt;=75,WSJAWA!$I$62&lt;=83.24),"P","")</f>
        <v/>
      </c>
      <c r="YR7" s="102" t="str">
        <f>IF(AND(WSJAWA!$I$62&gt;=83.25,WSJAWA!$I$62&lt;=91.4),"P","")</f>
        <v/>
      </c>
      <c r="YS7" s="102" t="str">
        <f>IF(AND(WSJAWA!$I$62&gt;=91.5,WSJAWA!$I$62&lt;=100),"P","")</f>
        <v>P</v>
      </c>
      <c r="YT7" t="str">
        <f>IF(WSJAWA!$I$70&lt;74.9,"P","")</f>
        <v/>
      </c>
      <c r="YU7" s="102" t="str">
        <f>IF(AND(WSJAWA!$I$70&gt;=75,WSJAWA!$I$70&lt;=83.24),"P","")</f>
        <v/>
      </c>
      <c r="YV7" s="102" t="str">
        <f>IF(AND(WSJAWA!$I$70&gt;=83.25,WSJAWA!$I$70&lt;=91.4),"P","")</f>
        <v/>
      </c>
      <c r="YW7" s="102" t="str">
        <f>IF(AND(WSJAWA!$I$70&gt;=91.5,WSJAWA!$I$70&lt;=100),"P","")</f>
        <v/>
      </c>
      <c r="YX7" t="str">
        <f>IF(WSJAWA!$I$78&lt;74.9,"P","")</f>
        <v/>
      </c>
      <c r="YY7" s="102" t="str">
        <f>IF(AND(WSJAWA!$I$78&gt;=75,WSJAWA!$I$78&lt;=83.24),"P","")</f>
        <v/>
      </c>
      <c r="YZ7" s="102" t="str">
        <f>IF(AND(WSJAWA!$I$78&gt;=83.25,WSJAWA!$I$78&lt;=91.4),"P","")</f>
        <v/>
      </c>
      <c r="ZA7" s="102" t="str">
        <f>IF(AND(WSJAWA!$I$78&gt;=91.5,WSJAWA!$I$78&lt;=100),"P","")</f>
        <v/>
      </c>
      <c r="ZB7" t="str">
        <f>IF(WSJAWA!$I$86&lt;74.9,"P","")</f>
        <v/>
      </c>
      <c r="ZC7" s="102" t="str">
        <f>IF(AND(WSJAWA!$I$86&gt;=75,WSJAWA!$I$86&lt;=83.24),"P","")</f>
        <v/>
      </c>
      <c r="ZD7" s="102" t="str">
        <f>IF(AND(WSJAWA!$I$86&gt;=83.25,WSJAWA!$I$86&lt;=91.4),"P","")</f>
        <v/>
      </c>
      <c r="ZE7" s="102" t="str">
        <f>IF(AND(WSJAWA!$I$86&gt;=91.5,WSJAWA!$I$86&lt;=100),"P","")</f>
        <v/>
      </c>
      <c r="ZF7" t="str">
        <f>IF(WSJAWA!$I$94&lt;74.9,"P","")</f>
        <v/>
      </c>
      <c r="ZG7" s="102" t="str">
        <f>IF(AND(WSJAWA!$I$94&gt;=75,WSJAWA!$I$94&lt;=83.24),"P","")</f>
        <v/>
      </c>
      <c r="ZH7" s="102" t="str">
        <f>IF(AND(WSJAWA!$I$94&gt;=83.25,WSJAWA!$I$94&lt;=91.4),"P","")</f>
        <v/>
      </c>
      <c r="ZI7" s="102" t="str">
        <f>IF(AND(WSJAWA!$I$94&gt;=91.5,WSJAWA!$I$94&lt;=100),"P","")</f>
        <v/>
      </c>
      <c r="ZJ7" t="str">
        <f>IF(WSJAWA!$I$102&lt;74.9,"P","")</f>
        <v/>
      </c>
      <c r="ZK7" s="102" t="str">
        <f>IF(AND(WSJAWA!$I$102&gt;=75,WSJAWA!$I$102&lt;=83.24),"P","")</f>
        <v/>
      </c>
      <c r="ZL7" s="102" t="str">
        <f>IF(AND(WSJAWA!$I$102&gt;=83.25,WSJAWA!$I$102&lt;=91.4),"P","")</f>
        <v/>
      </c>
      <c r="ZM7" s="102" t="str">
        <f>IF(AND(WSJAWA!$I$102&gt;=91.5,WSJAWA!$I$102&lt;=100),"P","")</f>
        <v/>
      </c>
      <c r="ZN7" t="str">
        <f>IF(WSING!$I$6&lt;74.9,"P","")</f>
        <v/>
      </c>
      <c r="ZO7" s="102" t="str">
        <f>IF(AND(WSING!$I$6&gt;=75,WSING!$I$6&lt;=83.24),"P","")</f>
        <v/>
      </c>
      <c r="ZP7" s="102" t="str">
        <f>IF(AND(WSING!$I$6&gt;=83.25,WSING!$I$6&lt;=91.4),"P","")</f>
        <v/>
      </c>
      <c r="ZQ7" s="102" t="str">
        <f>IF(AND(WSING!$I$6&gt;=91.5,WSING!$I$6&lt;=100),"P","")</f>
        <v>P</v>
      </c>
      <c r="ZR7" t="str">
        <f>IF(WSING!$I$15&lt;74.9,"P","")</f>
        <v/>
      </c>
      <c r="ZS7" s="102" t="str">
        <f>IF(AND(WSING!$I$15&gt;=75,WSING!$I$15&lt;=83.24),"P","")</f>
        <v/>
      </c>
      <c r="ZT7" s="102" t="str">
        <f>IF(AND(WSING!$I$15&gt;=83.25,WSING!$I$15&lt;=91.4),"P","")</f>
        <v/>
      </c>
      <c r="ZU7" s="102" t="str">
        <f>IF(AND(WSING!$I$15&gt;=91.5,WSING!$I$15&lt;=100),"P","")</f>
        <v>P</v>
      </c>
      <c r="ZV7" t="str">
        <f>IF(WSING!$I$24&lt;74.9,"P","")</f>
        <v/>
      </c>
      <c r="ZW7" s="102" t="str">
        <f>IF(AND(WSING!$I$24&gt;=75,WSING!$I$24&lt;=83.24),"P","")</f>
        <v/>
      </c>
      <c r="ZX7" s="102" t="str">
        <f>IF(AND(WSING!$I$24&gt;=83.25,WSING!$I$24&lt;=91.4),"P","")</f>
        <v/>
      </c>
      <c r="ZY7" s="102" t="str">
        <f>IF(AND(WSING!$I$24&gt;=91.5,WSING!$I$24&lt;=100),"P","")</f>
        <v>P</v>
      </c>
      <c r="ZZ7" t="str">
        <f>IF(WSING!$I$33&lt;74.9,"P","")</f>
        <v/>
      </c>
      <c r="AAA7" s="102" t="str">
        <f>IF(AND(WSING!$I$33&gt;=75,WSING!$I$33&lt;=83.24),"P","")</f>
        <v/>
      </c>
      <c r="AAB7" s="102" t="str">
        <f>IF(AND(WSING!$I$33&gt;=83.25,WSING!$I$33&lt;=91.4),"P","")</f>
        <v/>
      </c>
      <c r="AAC7" s="102" t="str">
        <f>IF(AND(WSING!$I$33&gt;=91.5,WSING!$I$33&lt;=100),"P","")</f>
        <v>P</v>
      </c>
      <c r="AAD7" t="str">
        <f>IF(WSING!$I$42&lt;74.9,"P","")</f>
        <v/>
      </c>
      <c r="AAE7" s="102" t="str">
        <f>IF(AND(WSING!$I$42&gt;=75,WSING!$I$42&lt;=83.24),"P","")</f>
        <v/>
      </c>
      <c r="AAF7" s="102" t="str">
        <f>IF(AND(WSING!$I$42&gt;=83.25,WSING!$I$42&lt;=91.4),"P","")</f>
        <v/>
      </c>
      <c r="AAG7" s="102" t="str">
        <f>IF(AND(WSING!$I$42&gt;=91.5,WSING!$I$42&lt;=100),"P","")</f>
        <v/>
      </c>
      <c r="AAH7" t="str">
        <f>IF(WSING!$I$50&lt;74.9,"P","")</f>
        <v/>
      </c>
      <c r="AAI7" s="102" t="str">
        <f>IF(AND(WSING!$I$50&gt;=75,WSING!$I$50&lt;=83.24),"P","")</f>
        <v/>
      </c>
      <c r="AAJ7" s="102" t="str">
        <f>IF(AND(WSING!$I$50&gt;=83.25,WSING!$I$50&lt;=91.4),"P","")</f>
        <v/>
      </c>
      <c r="AAK7" s="102" t="str">
        <f>IF(AND(WSING!$I$50&gt;=91.5,WSING!$I$50&lt;=100),"P","")</f>
        <v/>
      </c>
      <c r="AAL7" t="str">
        <f>IF(WSING!$I$58&lt;74.9,"P","")</f>
        <v/>
      </c>
      <c r="AAM7" s="102" t="str">
        <f>IF(AND(WSING!$I$58&gt;=75,WSING!$I$58&lt;=83.24),"P","")</f>
        <v/>
      </c>
      <c r="AAN7" s="102" t="str">
        <f>IF(AND(WSING!$I$58&gt;=83.25,WSING!$I$58&lt;=91.4),"P","")</f>
        <v/>
      </c>
      <c r="AAO7" s="102" t="str">
        <f>IF(AND(WSING!$I$58&gt;=91.5,WSING!$I$58&lt;=100),"P","")</f>
        <v/>
      </c>
      <c r="AAP7" t="str">
        <f>IF(WSING!$I$66&lt;74.9,"P","")</f>
        <v/>
      </c>
      <c r="AAQ7" s="102" t="str">
        <f>IF(AND(WSING!$I$66&gt;=75,WSING!$I$66&lt;=83.24),"P","")</f>
        <v/>
      </c>
      <c r="AAR7" s="102" t="str">
        <f>IF(AND(WSING!$I$66&gt;=83.25,WSING!$I$66&lt;=91.4),"P","")</f>
        <v/>
      </c>
      <c r="AAS7" s="102" t="str">
        <f>IF(AND(WSING!$I$66&gt;=91.5,WSING!$I$66&lt;=100),"P","")</f>
        <v/>
      </c>
      <c r="AAT7" t="str">
        <f>IF(WSING!$I$74&lt;74.9,"P","")</f>
        <v/>
      </c>
      <c r="AAU7" s="102" t="str">
        <f>IF(AND(WSING!$I$74&gt;=75,WSING!$I$74&lt;=83.24),"P","")</f>
        <v/>
      </c>
      <c r="AAV7" s="102" t="str">
        <f>IF(AND(WSING!$I$74&gt;=83.25,WSING!$I$74&lt;=91.4),"P","")</f>
        <v/>
      </c>
      <c r="AAW7" s="102" t="str">
        <f>IF(AND(WSING!$I$74&gt;=91.5,WSING!$I$74&lt;=100),"P","")</f>
        <v/>
      </c>
      <c r="AAX7" t="str">
        <f>IF(WSING!$I$82&lt;74.9,"P","")</f>
        <v/>
      </c>
      <c r="AAY7" s="102" t="str">
        <f>IF(AND(WSING!$I$82&gt;=75,WSING!$I$82&lt;=83.24),"P","")</f>
        <v/>
      </c>
      <c r="AAZ7" s="102" t="str">
        <f>IF(AND(WSING!$I$82&gt;=83.25,WSING!$I$82&lt;=91.4),"P","")</f>
        <v/>
      </c>
      <c r="ABA7" s="102" t="str">
        <f>IF(AND(WSING!$I$82&gt;=91.5,WSING!$I$82&lt;=100),"P","")</f>
        <v/>
      </c>
      <c r="ABB7" t="str">
        <f>IF(WSING!$I$90&lt;74.9,"P","")</f>
        <v/>
      </c>
      <c r="ABC7" s="102" t="str">
        <f>IF(AND(WSING!$I$90&gt;=75,WSING!$I$90&lt;=83.24),"P","")</f>
        <v/>
      </c>
      <c r="ABD7" s="102" t="str">
        <f>IF(AND(WSING!$I$90&gt;=83.25,WSING!$I$90&lt;=91.4),"P","")</f>
        <v/>
      </c>
      <c r="ABE7" s="102" t="str">
        <f>IF(AND(WSING!$I$90&gt;=91.5,WSING!$I$90&lt;=100),"P","")</f>
        <v/>
      </c>
      <c r="ABF7" t="str">
        <f>IF(WSING!$I$98&lt;74.9,"P","")</f>
        <v/>
      </c>
      <c r="ABG7" s="102" t="str">
        <f>IF(AND(WSING!$I$98&gt;=75,WSING!$I$98&lt;=83.24),"P","")</f>
        <v/>
      </c>
      <c r="ABH7" s="102" t="str">
        <f>IF(AND(WSING!$I$98&gt;=83.25,WSING!$I$98&lt;=91.4),"P","")</f>
        <v/>
      </c>
      <c r="ABI7" s="102" t="str">
        <f>IF(AND(WSING!$I$98&gt;=91.5,WSING!$I$98&lt;=100),"P","")</f>
        <v/>
      </c>
      <c r="ABJ7" t="str">
        <f>IF(WSING!$I$106&lt;74.9,"P","")</f>
        <v/>
      </c>
      <c r="ABK7" s="102" t="str">
        <f>IF(AND(WSING!$I$106&gt;=75,WSING!$I$106&lt;=83.24),"P","")</f>
        <v/>
      </c>
      <c r="ABL7" s="102" t="str">
        <f>IF(AND(WSING!$I$106&gt;=83.25,WSING!$I$106&lt;=91.4),"P","")</f>
        <v/>
      </c>
      <c r="ABM7" s="102" t="str">
        <f>IF(AND(WSING!$I$106&gt;=91.5,WSING!$I$106&lt;=100),"P","")</f>
        <v/>
      </c>
      <c r="ABN7" t="str">
        <f>IF(WSTIK!$I$6&lt;74.9,"P","")</f>
        <v/>
      </c>
      <c r="ABO7" s="102" t="str">
        <f>IF(AND(WSTIK!$I$6&gt;=75,WSTIK!$I$6&lt;=83.24),"P","")</f>
        <v/>
      </c>
      <c r="ABP7" s="102" t="str">
        <f>IF(AND(WSTIK!$I$6&gt;=83.25,WSTIK!$I$6&lt;=91.4),"P","")</f>
        <v/>
      </c>
      <c r="ABQ7" s="102" t="str">
        <f>IF(AND(WSTIK!$I$6&gt;=91.5,WSTIK!$I$6&lt;=100),"P","")</f>
        <v/>
      </c>
      <c r="ABR7" t="str">
        <f>IF(WSTIK!$I$14&lt;74.9,"P","")</f>
        <v/>
      </c>
      <c r="ABS7" s="102" t="str">
        <f>IF(AND(WSTIK!$I$14&gt;=75,WSTIK!$I$14&lt;=83.24),"P","")</f>
        <v/>
      </c>
      <c r="ABT7" s="102" t="str">
        <f>IF(AND(WSTIK!$I$14&gt;=83.25,WSTIK!$I$14&lt;=91.4),"P","")</f>
        <v/>
      </c>
      <c r="ABU7" s="102" t="str">
        <f>IF(AND(WSTIK!$I$14&gt;=91.5,WSTIK!$I$14&lt;=100),"P","")</f>
        <v/>
      </c>
      <c r="ABV7" t="str">
        <f>IF(WSTIK!$I$22&lt;74.9,"P","")</f>
        <v/>
      </c>
      <c r="ABW7" s="102" t="str">
        <f>IF(AND(WSTIK!$I$22&gt;=75,WSTIK!$I$22&lt;=83.24),"P","")</f>
        <v/>
      </c>
      <c r="ABX7" s="102" t="str">
        <f>IF(AND(WSTIK!$I$22&gt;=83.25,WSTIK!$I$22&lt;=91.4),"P","")</f>
        <v/>
      </c>
      <c r="ABY7" s="102" t="str">
        <f>IF(AND(WSTIK!$I$22&gt;=91.5,WSTIK!$I$22&lt;=100),"P","")</f>
        <v/>
      </c>
      <c r="ABZ7" t="str">
        <f>IF(WSTIK!$I$30&lt;74.9,"P","")</f>
        <v/>
      </c>
      <c r="ACA7" s="102" t="str">
        <f>IF(AND(WSTIK!$I$30&gt;=75,WSTIK!$I$30&lt;=83.24),"P","")</f>
        <v/>
      </c>
      <c r="ACB7" s="102" t="str">
        <f>IF(AND(WSTIK!$I$30&gt;=83.25,WSTIK!$I$30&lt;=91.4),"P","")</f>
        <v/>
      </c>
      <c r="ACC7" s="102" t="str">
        <f>IF(AND(WSTIK!$I$30&gt;=91.5,WSTIK!$I$30&lt;=100),"P","")</f>
        <v/>
      </c>
      <c r="ACD7" t="str">
        <f>IF(WSTIK!$I$38&lt;74.9,"P","")</f>
        <v/>
      </c>
      <c r="ACE7" s="102" t="str">
        <f>IF(AND(WSTIK!$I$38&gt;=75,WSTIK!$I$38&lt;=83.24),"P","")</f>
        <v/>
      </c>
      <c r="ACF7" s="102" t="str">
        <f>IF(AND(WSTIK!$I$38&gt;=83.25,WSTIK!$I$38&lt;=91.4),"P","")</f>
        <v/>
      </c>
      <c r="ACG7" s="102" t="str">
        <f>IF(AND(WSTIK!$I$38&gt;=91.5,WSTIK!$I$38&lt;=100),"P","")</f>
        <v/>
      </c>
      <c r="ACH7" t="str">
        <f>IF(WSTIK!$I$46&lt;74.9,"P","")</f>
        <v/>
      </c>
      <c r="ACI7" s="102" t="str">
        <f>IF(AND(WSTIK!$I$46&gt;=75,WSTIK!$I$46&lt;=83.24),"P","")</f>
        <v/>
      </c>
      <c r="ACJ7" s="102" t="str">
        <f>IF(AND(WSTIK!$I$46&gt;=83.25,WSTIK!$I$46&lt;=91.4),"P","")</f>
        <v/>
      </c>
      <c r="ACK7" s="102" t="str">
        <f>IF(AND(WSTIK!$I$46&gt;=91.5,WSTIK!$I$46&lt;=100),"P","")</f>
        <v/>
      </c>
      <c r="ACL7" t="str">
        <f>IF(WSTIK!$I$54&lt;74.9,"P","")</f>
        <v/>
      </c>
      <c r="ACM7" s="102" t="str">
        <f>IF(AND(WSTIK!$I$54&gt;=75,WSTIK!$I$54&lt;=83.24),"P","")</f>
        <v/>
      </c>
      <c r="ACN7" s="102" t="str">
        <f>IF(AND(WSTIK!$I$54&gt;=83.25,WSTIK!$I$54&lt;=91.4),"P","")</f>
        <v/>
      </c>
      <c r="ACO7" s="102" t="str">
        <f>IF(AND(WSTIK!$I$54&gt;=91.5,WSTIK!$I$54&lt;=100),"P","")</f>
        <v/>
      </c>
      <c r="ACP7" t="str">
        <f>IF(WSTIK!$I$62&lt;74.9,"P","")</f>
        <v/>
      </c>
      <c r="ACQ7" s="102" t="str">
        <f>IF(AND(WSTIK!$I$62&gt;=75,WSTIK!$I$62&lt;=83.24),"P","")</f>
        <v/>
      </c>
      <c r="ACR7" s="102" t="str">
        <f>IF(AND(WSTIK!$I$62&gt;=83.25,WSTIK!$I$62&lt;=91.4),"P","")</f>
        <v/>
      </c>
      <c r="ACS7" s="102" t="str">
        <f>IF(AND(WSTIK!$I$62&gt;=91.5,WSTIK!$I$62&lt;=100),"P","")</f>
        <v/>
      </c>
      <c r="ACT7" t="str">
        <f>IF(WSTIK!$I$70&lt;74.9,"P","")</f>
        <v/>
      </c>
      <c r="ACU7" s="102" t="str">
        <f>IF(AND(WSTIK!$I$70&gt;=75,WSTIK!$I$70&lt;=83.24),"P","")</f>
        <v/>
      </c>
      <c r="ACV7" s="102" t="str">
        <f>IF(AND(WSTIK!$I$70&gt;=83.25,WSTIK!$I$70&lt;=91.4),"P","")</f>
        <v/>
      </c>
      <c r="ACW7" s="102" t="str">
        <f>IF(AND(WSTIK!$I$70&gt;=91.5,WSTIK!$I$70&lt;=100),"P","")</f>
        <v/>
      </c>
      <c r="ACX7" t="str">
        <f>IF(WSTIK!$I$78&lt;74.9,"P","")</f>
        <v/>
      </c>
      <c r="ACY7" s="102" t="str">
        <f>IF(AND(WSTIK!$I$78&gt;=75,WSTIK!$I$78&lt;=83.24),"P","")</f>
        <v/>
      </c>
      <c r="ACZ7" s="102" t="str">
        <f>IF(AND(WSTIK!$I$78&gt;=83.25,WSTIK!$I$78&lt;=91.4),"P","")</f>
        <v/>
      </c>
      <c r="ADA7" s="102" t="str">
        <f>IF(AND(WSTIK!$I$78&gt;=91.5,WSTIK!$I$78&lt;=100),"P","")</f>
        <v/>
      </c>
      <c r="ADB7" t="str">
        <f>IF(WSTIK!$I$86&lt;74.9,"P","")</f>
        <v/>
      </c>
      <c r="ADC7" s="102" t="str">
        <f>IF(AND(WSTIK!$I$86&gt;=75,WSTIK!$I$86&lt;=83.24),"P","")</f>
        <v/>
      </c>
      <c r="ADD7" s="102" t="str">
        <f>IF(AND(WSTIK!$I$86&gt;=83.25,WSTIK!$I$86&lt;=91.4),"P","")</f>
        <v/>
      </c>
      <c r="ADE7" s="102" t="str">
        <f>IF(AND(WSTIK!$I$86&gt;=91.5,WSTIK!$I$86&lt;=100),"P","")</f>
        <v/>
      </c>
      <c r="ADF7" t="str">
        <f>IF(WSTIK!$I$94&lt;74.9,"P","")</f>
        <v/>
      </c>
      <c r="ADG7" s="102" t="str">
        <f>IF(AND(WSTIK!$I$94&gt;=75,WSTIK!$I$94&lt;=83.24),"P","")</f>
        <v/>
      </c>
      <c r="ADH7" s="102" t="str">
        <f>IF(AND(WSTIK!$I$94&gt;=83.25,WSTIK!$I$94&lt;=91.4),"P","")</f>
        <v/>
      </c>
      <c r="ADI7" s="102" t="str">
        <f>IF(AND(WSTIK!$I$94&gt;=91.5,WSTIK!$I$94&lt;=100),"P","")</f>
        <v/>
      </c>
      <c r="ADJ7" t="str">
        <f>IF(WSTIK!$I$102&lt;74.9,"P","")</f>
        <v/>
      </c>
      <c r="ADK7" s="102" t="str">
        <f>IF(AND(WSTIK!$I$102&gt;=75,WSTIK!$I$102&lt;=83.24),"P","")</f>
        <v/>
      </c>
      <c r="ADL7" s="102" t="str">
        <f>IF(AND(WSTIK!$I$102&gt;=83.25,WSTIK!$I$102&lt;=91.4),"P","")</f>
        <v/>
      </c>
      <c r="ADM7" s="102" t="str">
        <f>IF(AND(WSTIK!$I$102&gt;=91.5,WSTIK!$I$102&lt;=100),"P","")</f>
        <v/>
      </c>
      <c r="ADN7" t="str">
        <f>IF(WSASWAJA!$I$6&lt;74.9,"P","")</f>
        <v/>
      </c>
      <c r="ADO7" s="102" t="str">
        <f>IF(AND(WSASWAJA!$I$6&gt;=75,WSASWAJA!$I$6&lt;=83.24),"P","")</f>
        <v/>
      </c>
      <c r="ADP7" s="102" t="str">
        <f>IF(AND(WSASWAJA!$I$6&gt;=83.25,WSASWAJA!$I$6&lt;=91.4),"P","")</f>
        <v/>
      </c>
      <c r="ADQ7" s="102" t="str">
        <f>IF(AND(WSASWAJA!$I$6&gt;=91.5,WSASWAJA!$I$6&lt;=100),"P","")</f>
        <v/>
      </c>
      <c r="ADR7" t="str">
        <f>IF(WSASWAJA!$I$14&lt;74.9,"P","")</f>
        <v/>
      </c>
      <c r="ADS7" s="102" t="str">
        <f>IF(AND(WSASWAJA!$I$14&gt;=75,WSASWAJA!$I$14&lt;=83.24),"P","")</f>
        <v/>
      </c>
      <c r="ADT7" s="102" t="str">
        <f>IF(AND(WSASWAJA!$I$14&gt;=83.25,WSASWAJA!$I$14&lt;=91.4),"P","")</f>
        <v/>
      </c>
      <c r="ADU7" s="102" t="str">
        <f>IF(AND(WSASWAJA!$I$14&gt;=91.5,WSASWAJA!$I$14&lt;=100),"P","")</f>
        <v/>
      </c>
      <c r="ADV7" t="str">
        <f>IF(WSASWAJA!$I$22&lt;74.9,"P","")</f>
        <v/>
      </c>
      <c r="ADW7" s="102" t="str">
        <f>IF(AND(WSASWAJA!$I$22&gt;=75,WSASWAJA!$I$22&lt;=83.24),"P","")</f>
        <v/>
      </c>
      <c r="ADX7" s="102" t="str">
        <f>IF(AND(WSASWAJA!$I$22&gt;=83.25,WSASWAJA!$I$22&lt;=91.4),"P","")</f>
        <v/>
      </c>
      <c r="ADY7" s="102" t="str">
        <f>IF(AND(WSASWAJA!$I$22&gt;=91.5,WSASWAJA!$I$22&lt;=100),"P","")</f>
        <v/>
      </c>
      <c r="ADZ7" t="str">
        <f>IF(WSASWAJA!$I$30&lt;74.9,"P","")</f>
        <v/>
      </c>
      <c r="AEA7" s="102" t="str">
        <f>IF(AND(WSASWAJA!$I$30&gt;=75,WSASWAJA!$I$30&lt;=83.24),"P","")</f>
        <v/>
      </c>
      <c r="AEB7" s="102" t="str">
        <f>IF(AND(WSASWAJA!$I$30&gt;=83.25,WSASWAJA!$I$30&lt;=91.4),"P","")</f>
        <v/>
      </c>
      <c r="AEC7" s="102" t="str">
        <f>IF(AND(WSASWAJA!$I$30&gt;=91.5,WSASWAJA!$I$30&lt;=100),"P","")</f>
        <v/>
      </c>
      <c r="AED7" t="str">
        <f>IF(WSASWAJA!$I$38&lt;74.9,"P","")</f>
        <v/>
      </c>
      <c r="AEE7" s="102" t="str">
        <f>IF(AND(WSASWAJA!$I$38&gt;=75,WSASWAJA!$I$38&lt;=83.24),"P","")</f>
        <v/>
      </c>
      <c r="AEF7" s="102" t="str">
        <f>IF(AND(WSASWAJA!$I$38&gt;=83.25,WSASWAJA!$I$38&lt;=91.4),"P","")</f>
        <v/>
      </c>
      <c r="AEG7" s="102" t="str">
        <f>IF(AND(WSASWAJA!$I$38&gt;=91.5,WSASWAJA!$I$38&lt;=100),"P","")</f>
        <v/>
      </c>
      <c r="AEH7" t="str">
        <f>IF(WSASWAJA!$I$46&lt;74.9,"P","")</f>
        <v/>
      </c>
      <c r="AEI7" s="102" t="str">
        <f>IF(AND(WSASWAJA!$I$46&gt;=75,WSASWAJA!$I$46&lt;=83.24),"P","")</f>
        <v/>
      </c>
      <c r="AEJ7" s="102" t="str">
        <f>IF(AND(WSASWAJA!$I$46&gt;=83.25,WSASWAJA!$I$46&lt;=91.4),"P","")</f>
        <v/>
      </c>
      <c r="AEK7" s="102" t="str">
        <f>IF(AND(WSASWAJA!$I$46&gt;=91.5,WSASWAJA!$I$46&lt;=100),"P","")</f>
        <v/>
      </c>
      <c r="AEL7" t="str">
        <f>IF(WSASWAJA!$I$54&lt;74.9,"P","")</f>
        <v/>
      </c>
      <c r="AEM7" s="102" t="str">
        <f>IF(AND(WSASWAJA!$I$54&gt;=75,WSASWAJA!$I$54&lt;=83.24),"P","")</f>
        <v/>
      </c>
      <c r="AEN7" s="102" t="str">
        <f>IF(AND(WSASWAJA!$I$54&gt;=83.25,WSASWAJA!$I$54&lt;=91.4),"P","")</f>
        <v/>
      </c>
      <c r="AEO7" s="102" t="str">
        <f>IF(AND(WSASWAJA!$I$54&gt;=91.5,WSASWAJA!$I$54&lt;=100),"P","")</f>
        <v/>
      </c>
      <c r="AEP7" t="str">
        <f>IF(WSASWAJA!$I$62&lt;74.9,"P","")</f>
        <v/>
      </c>
      <c r="AEQ7" s="102" t="str">
        <f>IF(AND(WSASWAJA!$I$62&gt;=75,WSASWAJA!$I$62&lt;=83.24),"P","")</f>
        <v/>
      </c>
      <c r="AER7" s="102" t="str">
        <f>IF(AND(WSASWAJA!$I$62&gt;=83.25,WSASWAJA!$I$62&lt;=91.4),"P","")</f>
        <v/>
      </c>
      <c r="AES7" s="102" t="str">
        <f>IF(AND(WSASWAJA!$I$62&gt;=91.5,WSASWAJA!$I$62&lt;=100),"P","")</f>
        <v/>
      </c>
      <c r="AET7" t="str">
        <f>IF(WSASWAJA!$I$70&lt;74.9,"P","")</f>
        <v/>
      </c>
      <c r="AEU7" s="102" t="str">
        <f>IF(AND(WSASWAJA!$I$70&gt;=75,WSASWAJA!$I$70&lt;=83.24),"P","")</f>
        <v/>
      </c>
      <c r="AEV7" s="102" t="str">
        <f>IF(AND(WSASWAJA!$I$70&gt;=83.25,WSASWAJA!$I$70&lt;=91.4),"P","")</f>
        <v/>
      </c>
      <c r="AEW7" s="102" t="str">
        <f>IF(AND(WSASWAJA!$I$70&gt;=91.5,WSASWAJA!$I$70&lt;=100),"P","")</f>
        <v/>
      </c>
      <c r="AEX7" t="str">
        <f>IF(WSASWAJA!$I$78&lt;74.9,"P","")</f>
        <v/>
      </c>
      <c r="AEY7" s="102" t="str">
        <f>IF(AND(WSASWAJA!$I$78&gt;=75,WSASWAJA!$I$78&lt;=83.24),"P","")</f>
        <v/>
      </c>
      <c r="AEZ7" s="102" t="str">
        <f>IF(AND(WSASWAJA!$I$78&gt;=83.25,WSASWAJA!$I$78&lt;=91.4),"P","")</f>
        <v/>
      </c>
      <c r="AFA7" s="102" t="str">
        <f>IF(AND(WSASWAJA!$I$78&gt;=91.5,WSASWAJA!$I$78&lt;=100),"P","")</f>
        <v/>
      </c>
      <c r="AFB7" t="str">
        <f>IF(WSASWAJA!$I$86&lt;74.9,"P","")</f>
        <v/>
      </c>
      <c r="AFC7" s="102" t="str">
        <f>IF(AND(WSASWAJA!$I$86&gt;=75,WSASWAJA!$I$86&lt;=83.24),"P","")</f>
        <v/>
      </c>
      <c r="AFD7" s="102" t="str">
        <f>IF(AND(WSASWAJA!$I$86&gt;=83.25,WSASWAJA!$I$86&lt;=91.4),"P","")</f>
        <v/>
      </c>
      <c r="AFE7" s="102" t="str">
        <f>IF(AND(WSASWAJA!$I$86&gt;=91.5,WSASWAJA!$I$86&lt;=100),"P","")</f>
        <v/>
      </c>
      <c r="AFF7" t="str">
        <f>IF(WSASWAJA!$I$94&lt;74.9,"P","")</f>
        <v/>
      </c>
      <c r="AFG7" s="102" t="str">
        <f>IF(AND(WSASWAJA!$I$94&gt;=75,WSASWAJA!$I$94&lt;=83.24),"P","")</f>
        <v/>
      </c>
      <c r="AFH7" s="102" t="str">
        <f>IF(AND(WSASWAJA!$I$94&gt;=83.25,WSASWAJA!$I$94&lt;=91.4),"P","")</f>
        <v/>
      </c>
      <c r="AFI7" s="102" t="str">
        <f>IF(AND(WSASWAJA!$I$94&gt;=91.5,WSASWAJA!$I$94&lt;=100),"P","")</f>
        <v/>
      </c>
      <c r="AFJ7" t="str">
        <f>IF(WSASWAJA!$I$102&lt;74.9,"P","")</f>
        <v/>
      </c>
      <c r="AFK7" s="102" t="str">
        <f>IF(AND(WSASWAJA!$I$102&gt;=75,WSASWAJA!$I$102&lt;=83.24),"P","")</f>
        <v/>
      </c>
      <c r="AFL7" s="102" t="str">
        <f>IF(AND(WSASWAJA!$I$102&gt;=83.25,WSASWAJA!$I$102&lt;=91.4),"P","")</f>
        <v/>
      </c>
      <c r="AFM7" s="102" t="str">
        <f>IF(AND(WSASWAJA!$I$102&gt;=91.5,WSASWAJA!$I$102&lt;=100),"P","")</f>
        <v/>
      </c>
    </row>
    <row r="8" spans="1:852" ht="20.100000000000001" customHeight="1">
      <c r="A8">
        <v>6</v>
      </c>
      <c r="B8" s="104" t="str">
        <f>IF(WSALQURAN!$J$6&lt;74.9,"P","")</f>
        <v/>
      </c>
      <c r="C8" s="103" t="str">
        <f>IF(AND(WSALQURAN!$J$6&gt;=75,WSALQURAN!$J$6&lt;=83.24),"P","")</f>
        <v/>
      </c>
      <c r="D8" s="103" t="str">
        <f>IF(AND(WSALQURAN!$J$6&gt;=83.25,WSALQURAN!$J$6&lt;=91.4),"P","")</f>
        <v/>
      </c>
      <c r="E8" s="103" t="str">
        <f>IF(AND(WSALQURAN!$J$6&gt;=91.5,WSALQURAN!$J$6&lt;=100),"P","")</f>
        <v>P</v>
      </c>
      <c r="F8" t="str">
        <f>IF(WSALQURAN!$J$14&lt;74.9,"P","")</f>
        <v/>
      </c>
      <c r="G8" s="102" t="str">
        <f>IF(AND(WSALQURAN!$J$14&gt;=75,WSALQURAN!$J$14&lt;=83.24),"P","")</f>
        <v>P</v>
      </c>
      <c r="H8" s="102" t="str">
        <f>IF(AND(WSALQURAN!$J$14&gt;=83.25,WSALQURAN!$J$14&lt;=91.4),"P","")</f>
        <v/>
      </c>
      <c r="I8" s="102" t="str">
        <f>IF(AND(WSALQURAN!$J$14&gt;=91.5,WSALQURAN!$J$14&lt;=100),"P","")</f>
        <v/>
      </c>
      <c r="J8" t="str">
        <f>IF(WSALQURAN!$J$22&lt;74.9,"P","")</f>
        <v/>
      </c>
      <c r="K8" s="102" t="str">
        <f>IF(AND(WSALQURAN!$J$22&gt;=75,WSALQURAN!$J$22&lt;=83.24),"P","")</f>
        <v/>
      </c>
      <c r="L8" s="102" t="str">
        <f>IF(AND(WSALQURAN!$J$22&gt;=83.25,WSALQURAN!$J$22&lt;=91.4),"P","")</f>
        <v/>
      </c>
      <c r="M8" s="102" t="str">
        <f>IF(AND(WSALQURAN!$J$22&gt;=91.5,WSALQURAN!$J$22&lt;=100),"P","")</f>
        <v>P</v>
      </c>
      <c r="N8" t="str">
        <f>IF(WSALQURAN!$J$30&lt;74.9,"P","")</f>
        <v/>
      </c>
      <c r="O8" s="102" t="str">
        <f>IF(AND(WSALQURAN!$J$30&gt;=75,WSALQURAN!$J$30&lt;=83.24),"P","")</f>
        <v/>
      </c>
      <c r="P8" s="102" t="str">
        <f>IF(AND(WSALQURAN!$J$30&gt;=83.25,WSALQURAN!$J$30&lt;=91.4),"P","")</f>
        <v/>
      </c>
      <c r="Q8" s="102" t="str">
        <f>IF(AND(WSALQURAN!$J$30&gt;=91.5,WSALQURAN!$J$30&lt;=100),"P","")</f>
        <v>P</v>
      </c>
      <c r="R8" t="str">
        <f>IF(WSALQURAN!$J$38&lt;74.9,"P","")</f>
        <v/>
      </c>
      <c r="S8" s="102" t="str">
        <f>IF(AND(WSALQURAN!$J$38&gt;=75,WSALQURAN!$J$38&lt;=83.24),"P","")</f>
        <v/>
      </c>
      <c r="T8" s="102" t="str">
        <f>IF(AND(WSALQURAN!$J$38&gt;=83.25,WSALQURAN!$J$38&lt;=91.4),"P","")</f>
        <v/>
      </c>
      <c r="U8" s="102" t="str">
        <f>IF(AND(WSALQURAN!$J$38&gt;=91.5,WSALQURAN!$J$38&lt;=100),"P","")</f>
        <v>P</v>
      </c>
      <c r="V8" t="str">
        <f>IF(WSALQURAN!$J$46&lt;74.9,"P","")</f>
        <v/>
      </c>
      <c r="W8" s="102" t="str">
        <f>IF(AND(WSALQURAN!$J$46&gt;=75,WSALQURAN!$J$46&lt;=83.24),"P","")</f>
        <v/>
      </c>
      <c r="X8" s="102" t="str">
        <f>IF(AND(WSALQURAN!$J$46&gt;=83.25,WSALQURAN!$J$46&lt;=91.4),"P","")</f>
        <v>P</v>
      </c>
      <c r="Y8" s="102" t="str">
        <f>IF(AND(WSALQURAN!$J$46&gt;=91.5,WSALQURAN!$J$46&lt;=100),"P","")</f>
        <v/>
      </c>
      <c r="Z8" t="str">
        <f>IF(WSALQURAN!$J$54&lt;74.9,"P","")</f>
        <v/>
      </c>
      <c r="AA8" s="102" t="str">
        <f>IF(AND(WSALQURAN!$J$54&gt;=75,WSALQURAN!$J$54&lt;=83.24),"P","")</f>
        <v/>
      </c>
      <c r="AB8" s="102" t="str">
        <f>IF(AND(WSALQURAN!$J$54&gt;=83.25,WSALQURAN!$J$54&lt;=91.4),"P","")</f>
        <v/>
      </c>
      <c r="AC8" s="102" t="str">
        <f>IF(AND(WSALQURAN!$J$54&gt;=91.5,WSALQURAN!$J$54&lt;=100),"P","")</f>
        <v>P</v>
      </c>
      <c r="AD8" t="str">
        <f>IF(WSALQURAN!$J$62&lt;74.9,"P","")</f>
        <v/>
      </c>
      <c r="AE8" s="102" t="str">
        <f>IF(AND(WSALQURAN!$J$62&gt;=75,WSALQURAN!$J$62&lt;=83.24),"P","")</f>
        <v/>
      </c>
      <c r="AF8" s="102" t="str">
        <f>IF(AND(WSALQURAN!$J$62&gt;=83.25,WSALQURAN!$J$62&lt;=91.4),"P","")</f>
        <v/>
      </c>
      <c r="AG8" s="102" t="str">
        <f>IF(AND(WSALQURAN!$J$62&gt;=91.5,WSALQURAN!$J$62&lt;=100),"P","")</f>
        <v/>
      </c>
      <c r="AH8" t="str">
        <f>IF(WSALQURAN!$J$70&lt;74.9,"P","")</f>
        <v/>
      </c>
      <c r="AI8" s="102" t="str">
        <f>IF(AND(WSALQURAN!$J$70&gt;=75,WSALQURAN!$J$70&lt;=83.24),"P","")</f>
        <v/>
      </c>
      <c r="AJ8" s="102" t="str">
        <f>IF(AND(WSALQURAN!$J$70&gt;=83.25,WSALQURAN!$J$70&lt;=91.4),"P","")</f>
        <v/>
      </c>
      <c r="AK8" s="102" t="str">
        <f>IF(AND(WSALQURAN!$J$70&gt;=91.5,WSALQURAN!$J$70&lt;=100),"P","")</f>
        <v/>
      </c>
      <c r="AL8" t="str">
        <f>IF(WSALQURAN!$J$78&lt;74.9,"P","")</f>
        <v/>
      </c>
      <c r="AM8" s="102" t="str">
        <f>IF(AND(WSALQURAN!$J$78&gt;=75,WSALQURAN!$J$78&lt;=83.24),"P","")</f>
        <v/>
      </c>
      <c r="AN8" s="102" t="str">
        <f>IF(AND(WSALQURAN!$J$78&gt;=83.25,WSALQURAN!$J$78&lt;=91.4),"P","")</f>
        <v/>
      </c>
      <c r="AO8" s="102" t="str">
        <f>IF(AND(WSALQURAN!$J$78&gt;=91.5,WSALQURAN!$J$78&lt;=100),"P","")</f>
        <v/>
      </c>
      <c r="AP8" t="str">
        <f>IF(WSALQURAN!$J$86&lt;74.9,"P","")</f>
        <v/>
      </c>
      <c r="AQ8" s="102" t="str">
        <f>IF(AND(WSALQURAN!$J$86&gt;=75,WSALQURAN!$J$86&lt;=83.24),"P","")</f>
        <v/>
      </c>
      <c r="AR8" s="102" t="str">
        <f>IF(AND(WSALQURAN!$J$86&gt;=83.25,WSALQURAN!$J$86&lt;=91.4),"P","")</f>
        <v/>
      </c>
      <c r="AS8" s="102" t="str">
        <f>IF(AND(WSALQURAN!$J$86&gt;=91.5,WSALQURAN!$J$86&lt;=100),"P","")</f>
        <v/>
      </c>
      <c r="AT8" t="str">
        <f>IF(WSALQURAN!$J$94&lt;74.9,"P","")</f>
        <v/>
      </c>
      <c r="AU8" s="102" t="str">
        <f>IF(AND(WSALQURAN!$J$94&gt;=75,WSALQURAN!$J$94&lt;=83.24),"P","")</f>
        <v/>
      </c>
      <c r="AV8" s="102" t="str">
        <f>IF(AND(WSALQURAN!$J$94&gt;=83.25,WSALQURAN!$J$94&lt;=91.4),"P","")</f>
        <v/>
      </c>
      <c r="AW8" s="102" t="str">
        <f>IF(AND(WSALQURAN!$J$94&gt;=91.5,WSALQURAN!$J$94&lt;=100),"P","")</f>
        <v/>
      </c>
      <c r="AX8" t="str">
        <f>IF(WSALQURAN!$J$102&lt;74.9,"P","")</f>
        <v/>
      </c>
      <c r="AY8" s="102" t="str">
        <f>IF(AND(WSALQURAN!$J$102&gt;=75,WSALQURAN!$J$102&lt;=83.24),"P","")</f>
        <v/>
      </c>
      <c r="AZ8" s="102" t="str">
        <f>IF(AND(WSALQURAN!$J$102&gt;=83.25,WSALQURAN!$J$102&lt;=91.4),"P","")</f>
        <v/>
      </c>
      <c r="BA8" s="102" t="str">
        <f>IF(AND(WSALQURAN!$J$102&gt;=91.5,WSALQURAN!$J$102&lt;=100),"P","")</f>
        <v/>
      </c>
      <c r="BB8" t="str">
        <f>IF(WSAQIDAH!$J$6&lt;74.9,"P","")</f>
        <v/>
      </c>
      <c r="BC8" s="102" t="str">
        <f>IF(AND(WSAQIDAH!$J$6&gt;=75,WSAQIDAH!$J$6&lt;=83.24),"P","")</f>
        <v/>
      </c>
      <c r="BD8" s="102" t="str">
        <f>IF(AND(WSAQIDAH!$J$6&gt;=83.25,WSAQIDAH!$J$6&lt;=91.4),"P","")</f>
        <v>P</v>
      </c>
      <c r="BE8" s="102" t="str">
        <f>IF(AND(WSAQIDAH!$J$6&gt;=91.5,WSAQIDAH!$J$6&lt;=100),"P","")</f>
        <v/>
      </c>
      <c r="BF8" t="str">
        <f>IF(WSAQIDAH!$J$14&lt;74.9,"P","")</f>
        <v/>
      </c>
      <c r="BG8" s="102" t="str">
        <f>IF(AND(WSAQIDAH!$J$14&gt;=75,WSAQIDAH!$J$14&lt;=83.24),"P","")</f>
        <v/>
      </c>
      <c r="BH8" s="102" t="str">
        <f>IF(AND(WSAQIDAH!$J$14&gt;=83.25,WSAQIDAH!$J$14&lt;=91.4),"P","")</f>
        <v/>
      </c>
      <c r="BI8" s="102" t="str">
        <f>IF(AND(WSAQIDAH!$J$14&gt;=91.5,WSAQIDAH!$J$14&lt;=100),"P","")</f>
        <v>P</v>
      </c>
      <c r="BJ8" t="str">
        <f>IF(WSAQIDAH!$J$22&lt;74.9,"P","")</f>
        <v/>
      </c>
      <c r="BK8" s="102" t="str">
        <f>IF(AND(WSAQIDAH!$J$22&gt;=75,WSAQIDAH!$J$22&lt;=83.24),"P","")</f>
        <v/>
      </c>
      <c r="BL8" s="102" t="str">
        <f>IF(AND(WSAQIDAH!$J$22&gt;=83.25,WSAQIDAH!$J$22&lt;=91.4),"P","")</f>
        <v/>
      </c>
      <c r="BM8" s="102" t="str">
        <f>IF(AND(WSAQIDAH!$J$22&gt;=91.5,WSAQIDAH!$J$22&lt;=100),"P","")</f>
        <v>P</v>
      </c>
      <c r="BN8" t="str">
        <f>IF(WSAQIDAH!$J$30&lt;74.9,"P","")</f>
        <v/>
      </c>
      <c r="BO8" s="102" t="str">
        <f>IF(AND(WSAQIDAH!$J$30&gt;=75,WSAQIDAH!$J$30&lt;=83.24),"P","")</f>
        <v/>
      </c>
      <c r="BP8" s="102" t="str">
        <f>IF(AND(WSAQIDAH!$J$30&gt;=83.25,WSAQIDAH!$J$30&lt;=91.4),"P","")</f>
        <v>P</v>
      </c>
      <c r="BQ8" s="102" t="str">
        <f>IF(AND(WSAQIDAH!$J$30&gt;=91.5,WSAQIDAH!$J$30&lt;=100),"P","")</f>
        <v/>
      </c>
      <c r="BR8" t="str">
        <f>IF(WSAQIDAH!$J$38&lt;74.9,"P","")</f>
        <v/>
      </c>
      <c r="BS8" s="102" t="str">
        <f>IF(AND(WSAQIDAH!$J$38&gt;=75,WSAQIDAH!$J$38&lt;=83.24),"P","")</f>
        <v/>
      </c>
      <c r="BT8" s="102" t="str">
        <f>IF(AND(WSAQIDAH!$J$38&gt;=83.25,WSAQIDAH!$J$38&lt;=91.4),"P","")</f>
        <v/>
      </c>
      <c r="BU8" s="102" t="str">
        <f>IF(AND(WSAQIDAH!$J$38&gt;=91.5,WSAQIDAH!$J$38&lt;=100),"P","")</f>
        <v>P</v>
      </c>
      <c r="BV8" t="str">
        <f>IF(WSAQIDAH!$J$46&lt;74.9,"P","")</f>
        <v/>
      </c>
      <c r="BW8" s="102" t="str">
        <f>IF(AND(WSAQIDAH!$J$46&gt;=75,WSAQIDAH!$J$46&lt;=83.24),"P","")</f>
        <v/>
      </c>
      <c r="BX8" s="102" t="str">
        <f>IF(AND(WSAQIDAH!$J$46&gt;=83.25,WSAQIDAH!$J$46&lt;=91.4),"P","")</f>
        <v/>
      </c>
      <c r="BY8" s="102" t="str">
        <f>IF(AND(WSAQIDAH!$J$46&gt;=91.5,WSAQIDAH!$J$46&lt;=100),"P","")</f>
        <v>P</v>
      </c>
      <c r="BZ8" t="str">
        <f>IF(WSAQIDAH!$J$54&lt;74.9,"P","")</f>
        <v/>
      </c>
      <c r="CA8" s="102" t="str">
        <f>IF(AND(WSAQIDAH!$J$54&gt;=75,WSAQIDAH!$J$54&lt;=83.24),"P","")</f>
        <v/>
      </c>
      <c r="CB8" s="102" t="str">
        <f>IF(AND(WSAQIDAH!$J$54&gt;=83.25,WSAQIDAH!$J$54&lt;=91.4),"P","")</f>
        <v>P</v>
      </c>
      <c r="CC8" s="102" t="str">
        <f>IF(AND(WSAQIDAH!$J$54&gt;=91.5,WSAQIDAH!$J$54&lt;=100),"P","")</f>
        <v/>
      </c>
      <c r="CD8" t="str">
        <f>IF(WSAQIDAH!$J$62&lt;74.9,"P","")</f>
        <v/>
      </c>
      <c r="CE8" s="102" t="str">
        <f>IF(AND(WSAQIDAH!$J$62&gt;=75,WSAQIDAH!$J$62&lt;=83.24),"P","")</f>
        <v/>
      </c>
      <c r="CF8" s="102" t="str">
        <f>IF(AND(WSAQIDAH!$J$62&gt;=83.25,WSAQIDAH!$J$62&lt;=91.4),"P","")</f>
        <v>P</v>
      </c>
      <c r="CG8" s="102" t="str">
        <f>IF(AND(WSAQIDAH!$J$62&gt;=91.5,WSAQIDAH!$J$62&lt;=100),"P","")</f>
        <v/>
      </c>
      <c r="CH8" t="str">
        <f>IF(WSAQIDAH!$J$70&lt;74.9,"P","")</f>
        <v/>
      </c>
      <c r="CI8" s="102" t="str">
        <f>IF(AND(WSAQIDAH!$J$70&gt;=75,WSAQIDAH!$J$70&lt;=83.24),"P","")</f>
        <v/>
      </c>
      <c r="CJ8" s="102" t="str">
        <f>IF(AND(WSAQIDAH!$J$70&gt;=83.25,WSAQIDAH!$J$70&lt;=91.4),"P","")</f>
        <v>P</v>
      </c>
      <c r="CK8" s="102" t="str">
        <f>IF(AND(WSAQIDAH!$J$70&gt;=91.5,WSAQIDAH!$J$70&lt;=100),"P","")</f>
        <v/>
      </c>
      <c r="CL8" t="str">
        <f>IF(WSAQIDAH!$J$78&lt;74.9,"P","")</f>
        <v/>
      </c>
      <c r="CM8" s="102" t="str">
        <f>IF(AND(WSAQIDAH!$J$78&gt;=75,WSAQIDAH!$J$78&lt;=83.24),"P","")</f>
        <v/>
      </c>
      <c r="CN8" s="102" t="str">
        <f>IF(AND(WSAQIDAH!$J$78&gt;=83.25,WSAQIDAH!$J$78&lt;=91.4),"P","")</f>
        <v>P</v>
      </c>
      <c r="CO8" s="102" t="str">
        <f>IF(AND(WSAQIDAH!$J$78&gt;=91.5,WSAQIDAH!$J$78&lt;=100),"P","")</f>
        <v/>
      </c>
      <c r="CP8" t="str">
        <f>IF(WSAQIDAH!$J$86&lt;74.9,"P","")</f>
        <v/>
      </c>
      <c r="CQ8" s="102" t="str">
        <f>IF(AND(WSAQIDAH!$J$86&gt;=75,WSAQIDAH!$J$86&lt;=83.24),"P","")</f>
        <v/>
      </c>
      <c r="CR8" s="102" t="str">
        <f>IF(AND(WSAQIDAH!$J$86&gt;=83.25,WSAQIDAH!$J$86&lt;=91.4),"P","")</f>
        <v/>
      </c>
      <c r="CS8" s="102" t="str">
        <f>IF(AND(WSAQIDAH!$J$86&gt;=91.5,WSAQIDAH!$J$86&lt;=100),"P","")</f>
        <v/>
      </c>
      <c r="CT8" t="str">
        <f>IF(WSAQIDAH!$J$94&lt;74.9,"P","")</f>
        <v/>
      </c>
      <c r="CU8" s="102" t="str">
        <f>IF(AND(WSAQIDAH!$J$94&gt;=75,WSAQIDAH!$J$94&lt;=83.24),"P","")</f>
        <v/>
      </c>
      <c r="CV8" s="102" t="str">
        <f>IF(AND(WSAQIDAH!$J$94&gt;=83.25,WSAQIDAH!$J$94&lt;=91.4),"P","")</f>
        <v/>
      </c>
      <c r="CW8" s="102" t="str">
        <f>IF(AND(WSAQIDAH!$J$94&gt;=91.5,WSAQIDAH!$J$94&lt;=100),"P","")</f>
        <v/>
      </c>
      <c r="CX8" t="str">
        <f>IF(WSAQIDAH!$J$102&lt;74.9,"P","")</f>
        <v/>
      </c>
      <c r="CY8" s="102" t="str">
        <f>IF(AND(WSAQIDAH!$J$102&gt;=75,WSAQIDAH!$J$102&lt;=83.24),"P","")</f>
        <v/>
      </c>
      <c r="CZ8" s="102" t="str">
        <f>IF(AND(WSAQIDAH!$J$102&gt;=83.25,WSAQIDAH!$J$102&lt;=91.4),"P","")</f>
        <v/>
      </c>
      <c r="DA8" s="102" t="str">
        <f>IF(AND(WSAQIDAH!$J$102&gt;=91.5,WSAQIDAH!$J$102&lt;=100),"P","")</f>
        <v/>
      </c>
      <c r="DB8" t="str">
        <f>IF(WSSKI!$J$6&lt;74.9,"P","")</f>
        <v/>
      </c>
      <c r="DC8" s="102" t="str">
        <f>IF(AND(WSSKI!$J$6&gt;=75,WSSKI!$J$6&lt;=83.24),"P","")</f>
        <v/>
      </c>
      <c r="DD8" s="102" t="str">
        <f>IF(AND(WSSKI!$J$6&gt;=83.25,WSSKI!$J$6&lt;=91.4),"P","")</f>
        <v/>
      </c>
      <c r="DE8" s="102" t="str">
        <f>IF(AND(WSSKI!$J$6&gt;=91.5,WSSKI!$J$6&lt;=100),"P","")</f>
        <v>P</v>
      </c>
      <c r="DF8" t="str">
        <f>IF(WSSKI!$J$14&lt;74.9,"P","")</f>
        <v/>
      </c>
      <c r="DG8" s="102" t="str">
        <f>IF(AND(WSSKI!$J$14&gt;=75,WSSKI!$J$14&lt;=83.24),"P","")</f>
        <v/>
      </c>
      <c r="DH8" s="102" t="str">
        <f>IF(AND(WSSKI!$J$14&gt;=83.25,WSSKI!$J$14&lt;=91.4),"P","")</f>
        <v/>
      </c>
      <c r="DI8" s="102" t="str">
        <f>IF(AND(WSSKI!$J$14&gt;=91.5,WSSKI!$J$14&lt;=100),"P","")</f>
        <v>P</v>
      </c>
      <c r="DJ8" t="str">
        <f>IF(WSSKI!$J$23&lt;74.9,"P","")</f>
        <v/>
      </c>
      <c r="DK8" s="102" t="str">
        <f>IF(AND(WSSKI!$J$23&gt;=75,WSSKI!$J$23&lt;=83.24),"P","")</f>
        <v/>
      </c>
      <c r="DL8" s="102" t="str">
        <f>IF(AND(WSSKI!$J$23&gt;=83.25,WSSKI!$J$23&lt;=91.4),"P","")</f>
        <v/>
      </c>
      <c r="DM8" s="102" t="str">
        <f>IF(AND(WSSKI!$J$23&gt;=91.5,WSSKI!$J$23&lt;=100),"P","")</f>
        <v>P</v>
      </c>
      <c r="DN8" t="str">
        <f>IF(WSSKI!$J$31&lt;74.9,"P","")</f>
        <v/>
      </c>
      <c r="DO8" s="102" t="str">
        <f>IF(AND(WSSKI!$J$31&gt;=75,WSSKI!$J$31&lt;=83.24),"P","")</f>
        <v/>
      </c>
      <c r="DP8" s="102" t="str">
        <f>IF(AND(WSSKI!$J$31&gt;=83.25,WSSKI!$J$31&lt;=91.4),"P","")</f>
        <v/>
      </c>
      <c r="DQ8" s="102" t="str">
        <f>IF(AND(WSSKI!$J$31&gt;=91.5,WSSKI!$J$31&lt;=100),"P","")</f>
        <v>P</v>
      </c>
      <c r="DR8" t="str">
        <f>IF(WSSKI!$J$40&lt;74.9,"P","")</f>
        <v/>
      </c>
      <c r="DS8" s="102" t="str">
        <f>IF(AND(WSSKI!$J$40&gt;=75,WSSKI!$J$40&lt;=83.24),"P","")</f>
        <v/>
      </c>
      <c r="DT8" s="102" t="str">
        <f>IF(AND(WSSKI!$J$40&gt;=83.25,WSSKI!$J$40&lt;=91.4),"P","")</f>
        <v/>
      </c>
      <c r="DU8" s="102" t="str">
        <f>IF(AND(WSSKI!$J$40&gt;=91.5,WSSKI!$J$40&lt;=100),"P","")</f>
        <v>P</v>
      </c>
      <c r="DV8" t="str">
        <f>IF(WSSKI!$J$48&lt;74.9,"P","")</f>
        <v/>
      </c>
      <c r="DW8" s="102" t="str">
        <f>IF(AND(WSSKI!$J$48&gt;=75,WSSKI!$J$48&lt;=83.24),"P","")</f>
        <v/>
      </c>
      <c r="DX8" s="102" t="str">
        <f>IF(AND(WSSKI!$J$48&gt;=83.25,WSSKI!$J$48&lt;=91.4),"P","")</f>
        <v/>
      </c>
      <c r="DY8" s="102" t="str">
        <f>IF(AND(WSSKI!$J$48&gt;=91.5,WSSKI!$J$48&lt;=100),"P","")</f>
        <v>P</v>
      </c>
      <c r="DZ8" t="str">
        <f>IF(WSSKI!$J$56&lt;74.9,"P","")</f>
        <v/>
      </c>
      <c r="EA8" s="102" t="str">
        <f>IF(AND(WSSKI!$J$56&gt;=75,WSSKI!$J$56&lt;=83.24),"P","")</f>
        <v/>
      </c>
      <c r="EB8" s="102" t="str">
        <f>IF(AND(WSSKI!$J$56&gt;=83.25,WSSKI!$J$56&lt;=91.4),"P","")</f>
        <v/>
      </c>
      <c r="EC8" s="102" t="str">
        <f>IF(AND(WSSKI!$J$56&gt;=91.5,WSSKI!$J$56&lt;=100),"P","")</f>
        <v/>
      </c>
      <c r="ED8" t="str">
        <f>IF(WSSKI!$J$64&lt;74.9,"P","")</f>
        <v/>
      </c>
      <c r="EE8" s="102" t="str">
        <f>IF(AND(WSSKI!$J$64&gt;=75,WSSKI!$J$64&lt;=83.24),"P","")</f>
        <v/>
      </c>
      <c r="EF8" s="102" t="str">
        <f>IF(AND(WSSKI!$J$64&gt;=83.25,WSSKI!$J$64&lt;=91.4),"P","")</f>
        <v/>
      </c>
      <c r="EG8" s="102" t="str">
        <f>IF(AND(WSSKI!$J$64&gt;=91.5,WSSKI!$J$64&lt;=100),"P","")</f>
        <v/>
      </c>
      <c r="EH8" t="str">
        <f>IF(WSSKI!$J$72&lt;74.9,"P","")</f>
        <v/>
      </c>
      <c r="EI8" s="102" t="str">
        <f>IF(AND(WSSKI!$J$72&gt;=75,WSSKI!$J$72&lt;=83.24),"P","")</f>
        <v/>
      </c>
      <c r="EJ8" s="102" t="str">
        <f>IF(AND(WSSKI!$J$72&gt;=83.25,WSSKI!$J$72&lt;=91.4),"P","")</f>
        <v/>
      </c>
      <c r="EK8" s="102" t="str">
        <f>IF(AND(WSSKI!$J$72&gt;=91.5,WSSKI!$J$72&lt;=100),"P","")</f>
        <v/>
      </c>
      <c r="EL8" t="str">
        <f>IF(WSSKI!$J$80&lt;74.9,"P","")</f>
        <v/>
      </c>
      <c r="EM8" s="102" t="str">
        <f>IF(AND(WSSKI!$J$80&gt;=75,WSSKI!$J$80&lt;=83.24),"P","")</f>
        <v/>
      </c>
      <c r="EN8" s="102" t="str">
        <f>IF(AND(WSSKI!$J$80&gt;=83.25,WSSKI!$J$80&lt;=91.4),"P","")</f>
        <v/>
      </c>
      <c r="EO8" s="102" t="str">
        <f>IF(AND(WSSKI!$J$80&gt;=91.5,WSSKI!$J$80&lt;=100),"P","")</f>
        <v/>
      </c>
      <c r="EP8" t="str">
        <f>IF(WSSKI!$J$88&lt;74.9,"P","")</f>
        <v/>
      </c>
      <c r="EQ8" s="102" t="str">
        <f>IF(AND(WSSKI!$J$88&gt;=75,WSSKI!$J$88&lt;=83.24),"P","")</f>
        <v/>
      </c>
      <c r="ER8" s="102" t="str">
        <f>IF(AND(WSSKI!$J$88&gt;=83.25,WSSKI!$J$88&lt;=91.4),"P","")</f>
        <v/>
      </c>
      <c r="ES8" s="102" t="str">
        <f>IF(AND(WSSKI!$J$88&gt;=91.5,WSSKI!$J$88&lt;=100),"P","")</f>
        <v/>
      </c>
      <c r="ET8" t="str">
        <f>IF(WSSKI!$J$96&lt;74.9,"P","")</f>
        <v/>
      </c>
      <c r="EU8" s="102" t="str">
        <f>IF(AND(WSSKI!$J$96&gt;=75,WSSKI!$J$96&lt;=83.24),"P","")</f>
        <v/>
      </c>
      <c r="EV8" s="102" t="str">
        <f>IF(AND(WSSKI!$J$96&gt;=83.25,WSSKI!$J$96&lt;=91.4),"P","")</f>
        <v/>
      </c>
      <c r="EW8" s="102" t="str">
        <f>IF(AND(WSSKI!$J$96&gt;=91.5,WSSKI!$J$96&lt;=100),"P","")</f>
        <v/>
      </c>
      <c r="EX8" t="str">
        <f>IF(WSSKI!$J$104&lt;74.9,"P","")</f>
        <v/>
      </c>
      <c r="EY8" s="102" t="str">
        <f>IF(AND(WSSKI!$J$104&gt;=75,WSSKI!$J$104&lt;=83.24),"P","")</f>
        <v/>
      </c>
      <c r="EZ8" s="102" t="str">
        <f>IF(AND(WSSKI!$J$104&gt;=83.25,WSSKI!$J$104&lt;=91.4),"P","")</f>
        <v/>
      </c>
      <c r="FA8" s="102" t="str">
        <f>IF(AND(WSSKI!$J$104&gt;=91.5,WSSKI!$J$104&lt;=100),"P","")</f>
        <v/>
      </c>
      <c r="FB8" t="str">
        <f>IF(WSFIQIH!$J$6&lt;74.9,"P","")</f>
        <v/>
      </c>
      <c r="FC8" s="102" t="str">
        <f>IF(AND(WSFIQIH!$J$6&gt;=75,WSFIQIH!$J$6&lt;=83.24),"P","")</f>
        <v/>
      </c>
      <c r="FD8" s="102" t="str">
        <f>IF(AND(WSFIQIH!$J$6&gt;=83.25,WSFIQIH!$J$6&lt;=91.4),"P","")</f>
        <v/>
      </c>
      <c r="FE8" s="102" t="str">
        <f>IF(AND(WSFIQIH!$J$6&gt;=91.5,WSFIQIH!$J$6&lt;=100),"P","")</f>
        <v>P</v>
      </c>
      <c r="FF8" t="str">
        <f>IF(WSFIQIH!$J$19&lt;74.9,"P","")</f>
        <v/>
      </c>
      <c r="FG8" s="102" t="str">
        <f>IF(AND(WSFIQIH!$J$19&gt;=75,WSFIQIH!$J$19&lt;=83.24),"P","")</f>
        <v/>
      </c>
      <c r="FH8" s="102" t="str">
        <f>IF(AND(WSFIQIH!$J$19&gt;=83.25,WSFIQIH!$J$19&lt;=91.4),"P","")</f>
        <v>P</v>
      </c>
      <c r="FI8" s="102" t="str">
        <f>IF(AND(WSFIQIH!$J$19&gt;=91.5,WSFIQIH!$J$19&lt;=100),"P","")</f>
        <v/>
      </c>
      <c r="FJ8" t="str">
        <f>IF(WSFIQIH!$J$28&lt;74.9,"P","")</f>
        <v/>
      </c>
      <c r="FK8" s="102" t="str">
        <f>IF(AND(WSFIQIH!$J$28&gt;=75,WSFIQIH!$J$28&lt;=83.24),"P","")</f>
        <v/>
      </c>
      <c r="FL8" s="102" t="str">
        <f>IF(AND(WSFIQIH!$J$28&gt;=83.25,WSFIQIH!$J$28&lt;=91.4),"P","")</f>
        <v>P</v>
      </c>
      <c r="FM8" s="102" t="str">
        <f>IF(AND(WSFIQIH!$J$28&gt;=91.5,WSFIQIH!$J$28&lt;=100),"P","")</f>
        <v/>
      </c>
      <c r="FN8" t="str">
        <f>IF(WSFIQIH!$J$41&lt;74.9,"P","")</f>
        <v/>
      </c>
      <c r="FO8" s="102" t="str">
        <f>IF(AND(WSFIQIH!$J$41&gt;=75,WSFIQIH!$J$41&lt;=83.24),"P","")</f>
        <v/>
      </c>
      <c r="FP8" s="102" t="str">
        <f>IF(AND(WSFIQIH!$J$41&gt;=83.25,WSFIQIH!$J$41&lt;=91.4),"P","")</f>
        <v>P</v>
      </c>
      <c r="FQ8" s="102" t="str">
        <f>IF(AND(WSFIQIH!$J$41&gt;=91.5,WSFIQIH!$J$41&lt;=100),"P","")</f>
        <v/>
      </c>
      <c r="FR8" t="str">
        <f>IF(WSFIQIH!$J$49&lt;74.9,"P","")</f>
        <v/>
      </c>
      <c r="FS8" s="102" t="str">
        <f>IF(AND(WSFIQIH!$J$49&gt;=75,WSFIQIH!$J$49&lt;=83.24),"P","")</f>
        <v/>
      </c>
      <c r="FT8" s="102" t="str">
        <f>IF(AND(WSFIQIH!$J$49&gt;=83.25,WSFIQIH!$J$49&lt;=91.4),"P","")</f>
        <v>P</v>
      </c>
      <c r="FU8" s="102" t="str">
        <f>IF(AND(WSFIQIH!$J$49&gt;=91.5,WSFIQIH!$J$49&lt;=100),"P","")</f>
        <v/>
      </c>
      <c r="FV8" t="str">
        <f>IF(WSFIQIH!$J$62&lt;74.9,"P","")</f>
        <v/>
      </c>
      <c r="FW8" s="102" t="str">
        <f>IF(AND(WSFIQIH!$J$62&gt;=75,WSFIQIH!$J$62&lt;=83.24),"P","")</f>
        <v/>
      </c>
      <c r="FX8" s="102" t="str">
        <f>IF(AND(WSFIQIH!$J$62&gt;=83.25,WSFIQIH!$J$62&lt;=91.4),"P","")</f>
        <v/>
      </c>
      <c r="FY8" s="102" t="str">
        <f>IF(AND(WSFIQIH!$J$62&gt;=91.5,WSFIQIH!$J$62&lt;=100),"P","")</f>
        <v>P</v>
      </c>
      <c r="FZ8" t="str">
        <f>IF(WSFIQIH!$J$71&lt;74.9,"P","")</f>
        <v/>
      </c>
      <c r="GA8" s="102" t="str">
        <f>IF(AND(WSFIQIH!$J$71&gt;=75,WSFIQIH!$J$71&lt;=83.24),"P","")</f>
        <v/>
      </c>
      <c r="GB8" s="102" t="str">
        <f>IF(AND(WSFIQIH!$J$71&gt;=83.25,WSFIQIH!$J$71&lt;=91.4),"P","")</f>
        <v/>
      </c>
      <c r="GC8" s="102" t="str">
        <f>IF(AND(WSFIQIH!$J$71&gt;=91.5,WSFIQIH!$J$71&lt;=100),"P","")</f>
        <v>P</v>
      </c>
      <c r="GD8" t="str">
        <f>IF(WSFIQIH!$J$80&lt;74.9,"P","")</f>
        <v/>
      </c>
      <c r="GE8" s="102" t="str">
        <f>IF(AND(WSFIQIH!$J$80&gt;=75,WSFIQIH!$J$80&lt;=83.24),"P","")</f>
        <v>P</v>
      </c>
      <c r="GF8" s="102" t="str">
        <f>IF(AND(WSFIQIH!$J$80&gt;=83.25,WSFIQIH!$J$80&lt;=91.4),"P","")</f>
        <v/>
      </c>
      <c r="GG8" s="102" t="str">
        <f>IF(AND(WSFIQIH!$J$80&gt;=91.5,WSFIQIH!$J$80&lt;=100),"P","")</f>
        <v/>
      </c>
      <c r="GH8" t="str">
        <f>IF(WSFIQIH!$J$88&lt;74.9,"P","")</f>
        <v/>
      </c>
      <c r="GI8" s="102" t="str">
        <f>IF(AND(WSFIQIH!$J$88&gt;=75,WSFIQIH!$J$88&lt;=83.24),"P","")</f>
        <v/>
      </c>
      <c r="GJ8" s="102" t="str">
        <f>IF(AND(WSFIQIH!$J$88&gt;=83.25,WSFIQIH!$J$88&lt;=91.4),"P","")</f>
        <v/>
      </c>
      <c r="GK8" s="102" t="str">
        <f>IF(AND(WSFIQIH!$J$88&gt;=91.5,WSFIQIH!$J$88&lt;=100),"P","")</f>
        <v/>
      </c>
      <c r="GL8" t="str">
        <f>IF(WSFIQIH!$J$96&lt;74.9,"P","")</f>
        <v/>
      </c>
      <c r="GM8" s="102" t="str">
        <f>IF(AND(WSFIQIH!$J$96&gt;=75,WSFIQIH!$J$96&lt;=83.24),"P","")</f>
        <v/>
      </c>
      <c r="GN8" s="102" t="str">
        <f>IF(AND(WSFIQIH!$J$96&gt;=83.25,WSFIQIH!$J$96&lt;=91.4),"P","")</f>
        <v/>
      </c>
      <c r="GO8" s="102" t="str">
        <f>IF(AND(WSFIQIH!$J$96&gt;=91.5,WSFIQIH!$J$96&lt;=100),"P","")</f>
        <v/>
      </c>
      <c r="GP8" t="str">
        <f>IF(WSFIQIH!$J$104&lt;74.9,"P","")</f>
        <v/>
      </c>
      <c r="GQ8" s="102" t="str">
        <f>IF(AND(WSFIQIH!$J$104&gt;=75,WSFIQIH!$J$104&lt;=83.24),"P","")</f>
        <v/>
      </c>
      <c r="GR8" s="102" t="str">
        <f>IF(AND(WSFIQIH!$J$104&gt;=83.25,WSFIQIH!$J$104&lt;=91.4),"P","")</f>
        <v/>
      </c>
      <c r="GS8" s="102" t="str">
        <f>IF(AND(WSFIQIH!$J$104&gt;=91.5,WSFIQIH!$J$104&lt;=100),"P","")</f>
        <v/>
      </c>
      <c r="GT8" t="str">
        <f>IF(WSFIQIH!$J$112&lt;74.9,"P","")</f>
        <v/>
      </c>
      <c r="GU8" s="102" t="str">
        <f>IF(AND(WSFIQIH!$J$112&gt;=75,WSFIQIH!$J$112&lt;=83.24),"P","")</f>
        <v/>
      </c>
      <c r="GV8" s="102" t="str">
        <f>IF(AND(WSFIQIH!$J$112&gt;=83.25,WSFIQIH!$J$112&lt;=91.4),"P","")</f>
        <v/>
      </c>
      <c r="GW8" s="102" t="str">
        <f>IF(AND(WSFIQIH!$J$112&gt;=91.5,WSFIQIH!$J$112&lt;=100),"P","")</f>
        <v/>
      </c>
      <c r="GX8" t="str">
        <f>IF(WSFIQIH!$J$120&lt;74.9,"P","")</f>
        <v/>
      </c>
      <c r="GY8" s="102" t="str">
        <f>IF(AND(WSFIQIH!$J$120&gt;=75,WSFIQIH!$J$120&lt;=83.24),"P","")</f>
        <v/>
      </c>
      <c r="GZ8" s="102" t="str">
        <f>IF(AND(WSFIQIH!$J$120&gt;=83.25,WSFIQIH!$J$120&lt;=91.4),"P","")</f>
        <v/>
      </c>
      <c r="HA8" s="102" t="str">
        <f>IF(AND(WSFIQIH!$J$120&gt;=91.5,WSFIQIH!$J$120&lt;=100),"P","")</f>
        <v/>
      </c>
      <c r="HB8" t="str">
        <f>IF(WSPKN!$J$6&lt;74.9,"P","")</f>
        <v/>
      </c>
      <c r="HC8" s="102" t="str">
        <f>IF(AND(WSPKN!$J$6&gt;=75,WSPKN!$J$6&lt;=83.24),"P","")</f>
        <v/>
      </c>
      <c r="HD8" s="102" t="str">
        <f>IF(AND(WSPKN!$J$6&gt;=83.25,WSPKN!$J$6&lt;=91.4),"P","")</f>
        <v/>
      </c>
      <c r="HE8" s="102" t="str">
        <f>IF(AND(WSPKN!$J$6&gt;=91.5,WSPKN!$J$6&lt;=100),"P","")</f>
        <v>P</v>
      </c>
      <c r="HF8" t="str">
        <f>IF(WSPKN!$J$32&lt;74.9,"P","")</f>
        <v/>
      </c>
      <c r="HG8" s="102" t="str">
        <f>IF(AND(WSPKN!$J$32&gt;=75,WSPKN!$J$32&lt;=83.24),"P","")</f>
        <v/>
      </c>
      <c r="HH8" s="102" t="str">
        <f>IF(AND(WSPKN!$J$32&gt;=83.25,WSPKN!$J$32&lt;=91.4),"P","")</f>
        <v/>
      </c>
      <c r="HI8" s="102" t="str">
        <f>IF(AND(WSPKN!$J$32&gt;=91.5,WSPKN!$J$32&lt;=100),"P","")</f>
        <v>P</v>
      </c>
      <c r="HJ8" t="str">
        <f>IF(WSPKN!$J$55&lt;74.9,"P","")</f>
        <v/>
      </c>
      <c r="HK8" s="102" t="str">
        <f>IF(AND(WSPKN!$J$55&gt;=75,WSPKN!$J$55&lt;=83.24),"P","")</f>
        <v/>
      </c>
      <c r="HL8" s="102" t="str">
        <f>IF(AND(WSPKN!$J$55&gt;=83.25,WSPKN!$J$55&lt;=91.4),"P","")</f>
        <v/>
      </c>
      <c r="HM8" s="102" t="str">
        <f>IF(AND(WSPKN!$J$55&gt;=91.5,WSPKN!$J$55&lt;=100),"P","")</f>
        <v>P</v>
      </c>
      <c r="HN8" t="str">
        <f>IF(WSPKN!$J$72&lt;74.9,"P","")</f>
        <v/>
      </c>
      <c r="HO8" s="102" t="str">
        <f>IF(AND(WSPKN!$J$72&gt;=75,WSPKN!$J$72&lt;=83.24),"P","")</f>
        <v/>
      </c>
      <c r="HP8" s="102" t="str">
        <f>IF(AND(WSPKN!$J$72&gt;=83.25,WSPKN!$J$72&lt;=91.4),"P","")</f>
        <v/>
      </c>
      <c r="HQ8" s="102" t="str">
        <f>IF(AND(WSPKN!$J$72&gt;=91.5,WSPKN!$J$72&lt;=100),"P","")</f>
        <v>P</v>
      </c>
      <c r="HR8" t="str">
        <f>IF(WSPKN!$J$86&lt;74.9,"P","")</f>
        <v/>
      </c>
      <c r="HS8" s="102" t="str">
        <f>IF(AND(WSPKN!$J$86&gt;=75,WSPKN!$J$86&lt;=83.24),"P","")</f>
        <v/>
      </c>
      <c r="HT8" s="102" t="str">
        <f>IF(AND(WSPKN!$J$86&gt;=83.25,WSPKN!$J$86&lt;=91.4),"P","")</f>
        <v/>
      </c>
      <c r="HU8" s="102" t="str">
        <f>IF(AND(WSPKN!$J$86&gt;=91.5,WSPKN!$J$86&lt;=100),"P","")</f>
        <v>P</v>
      </c>
      <c r="HV8" t="str">
        <f>IF(WSPKN!$J$108&lt;74.9,"P","")</f>
        <v/>
      </c>
      <c r="HW8" s="102" t="str">
        <f>IF(AND(WSPKN!$J$108&gt;=75,WSPKN!$J$108&lt;=83.24),"P","")</f>
        <v/>
      </c>
      <c r="HX8" s="102" t="str">
        <f>IF(AND(WSPKN!$J$108&gt;=83.25,WSPKN!$J$108&lt;=91.4),"P","")</f>
        <v/>
      </c>
      <c r="HY8" s="102" t="str">
        <f>IF(AND(WSPKN!$J$108&gt;=91.5,WSPKN!$J$108&lt;=100),"P","")</f>
        <v>P</v>
      </c>
      <c r="HZ8" t="str">
        <f>IF(WSPKN!$J$132&lt;74.9,"P","")</f>
        <v/>
      </c>
      <c r="IA8" s="102" t="str">
        <f>IF(AND(WSPKN!$J$132&gt;=75,WSPKN!$J$132&lt;=83.24),"P","")</f>
        <v/>
      </c>
      <c r="IB8" s="102" t="str">
        <f>IF(AND(WSPKN!$J$132&gt;=83.25,WSPKN!$J$132&lt;=91.4),"P","")</f>
        <v/>
      </c>
      <c r="IC8" s="102" t="str">
        <f>IF(AND(WSPKN!$J$132&gt;=91.5,WSPKN!$J$132&lt;=100),"P","")</f>
        <v>P</v>
      </c>
      <c r="ID8" t="str">
        <f>IF(WSPKN!$J$148&lt;74.9,"P","")</f>
        <v/>
      </c>
      <c r="IE8" s="102" t="str">
        <f>IF(AND(WSPKN!$J$148&gt;=75,WSPKN!$J$148&lt;=83.24),"P","")</f>
        <v/>
      </c>
      <c r="IF8" s="102" t="str">
        <f>IF(AND(WSPKN!$J$148&gt;=83.25,WSPKN!$J$148&lt;=91.4),"P","")</f>
        <v/>
      </c>
      <c r="IG8" s="102" t="str">
        <f>IF(AND(WSPKN!$J$148&gt;=91.5,WSPKN!$J$148&lt;=100),"P","")</f>
        <v>P</v>
      </c>
      <c r="IH8" t="str">
        <f>IF(WSPKN!$J$165&lt;74.9,"P","")</f>
        <v/>
      </c>
      <c r="II8" s="102" t="str">
        <f>IF(AND(WSPKN!$J$165&gt;=75,WSPKN!$J$165&lt;=83.24),"P","")</f>
        <v/>
      </c>
      <c r="IJ8" s="102" t="str">
        <f>IF(AND(WSPKN!$J$165&gt;=83.25,WSPKN!$J$165&lt;=91.4),"P","")</f>
        <v/>
      </c>
      <c r="IK8" s="102" t="str">
        <f>IF(AND(WSPKN!$J$165&gt;=91.5,WSPKN!$J$165&lt;=100),"P","")</f>
        <v/>
      </c>
      <c r="IL8" t="str">
        <f>IF(WSPKN!$J$173&lt;74.9,"P","")</f>
        <v/>
      </c>
      <c r="IM8" s="102" t="str">
        <f>IF(AND(WSPKN!$J$173&gt;=75,WSPKN!$J$173&lt;=83.24),"P","")</f>
        <v/>
      </c>
      <c r="IN8" s="102" t="str">
        <f>IF(AND(WSPKN!$J$173&gt;=83.25,WSPKN!$J$173&lt;=91.4),"P","")</f>
        <v/>
      </c>
      <c r="IO8" s="102" t="str">
        <f>IF(AND(WSPKN!$J$173&gt;=91.5,WSPKN!$J$173&lt;=100),"P","")</f>
        <v/>
      </c>
      <c r="IP8" t="str">
        <f>IF(WSPKN!$J$181&lt;74.9,"P","")</f>
        <v/>
      </c>
      <c r="IQ8" s="102" t="str">
        <f>IF(AND(WSPKN!$J$181&gt;=75,WSPKN!$J$181&lt;=83.24),"P","")</f>
        <v/>
      </c>
      <c r="IR8" s="102" t="str">
        <f>IF(AND(WSPKN!$J$181&gt;=83.25,WSPKN!$J$181&lt;=91.4),"P","")</f>
        <v/>
      </c>
      <c r="IS8" s="102" t="str">
        <f>IF(AND(WSPKN!$J$181&gt;=91.5,WSPKN!$J$181&lt;=100),"P","")</f>
        <v/>
      </c>
      <c r="IT8" t="str">
        <f>IF(WSPKN!$J$189&lt;74.9,"P","")</f>
        <v/>
      </c>
      <c r="IU8" s="102" t="str">
        <f>IF(AND(WSPKN!$J$189&gt;=75,WSPKN!$J$189&lt;=83.24),"P","")</f>
        <v/>
      </c>
      <c r="IV8" s="102" t="str">
        <f>IF(AND(WSPKN!$J$189&gt;=83.25,WSPKN!$J$189&lt;=91.4),"P","")</f>
        <v/>
      </c>
      <c r="IW8" s="102" t="str">
        <f>IF(AND(WSPKN!$J$189&gt;=91.5,WSPKN!$J$189&lt;=100),"P","")</f>
        <v/>
      </c>
      <c r="IX8" t="str">
        <f>IF(WSPKN!$J$197&lt;74.9,"P","")</f>
        <v/>
      </c>
      <c r="IY8" s="102" t="str">
        <f>IF(AND(WSPKN!$J$197&gt;=75,WSPKN!$J$197&lt;=83.24),"P","")</f>
        <v/>
      </c>
      <c r="IZ8" s="102" t="str">
        <f>IF(AND(WSPKN!$J$197&gt;=83.25,WSPKN!$J$197&lt;=91.4),"P","")</f>
        <v/>
      </c>
      <c r="JA8" s="102" t="str">
        <f>IF(AND(WSPKN!$J$197&gt;=91.5,WSPKN!$J$197&lt;=100),"P","")</f>
        <v/>
      </c>
      <c r="JB8" t="str">
        <f>IF(WSIND!$J$6&lt;74.9,"P","")</f>
        <v/>
      </c>
      <c r="JC8" s="102" t="str">
        <f>IF(AND(WSIND!$J$6&gt;=75,WSIND!$J$6&lt;=83.24),"P","")</f>
        <v/>
      </c>
      <c r="JD8" s="102" t="str">
        <f>IF(AND(WSIND!$J$6&gt;=83.25,WSIND!$J$6&lt;=91.4),"P","")</f>
        <v/>
      </c>
      <c r="JE8" s="102" t="str">
        <f>IF(AND(WSIND!$J$6&gt;=91.5,WSIND!$J$6&lt;=100),"P","")</f>
        <v>P</v>
      </c>
      <c r="JF8" t="str">
        <f>IF(WSIND!$J$65&lt;74.9,"P","")</f>
        <v/>
      </c>
      <c r="JG8" s="102" t="str">
        <f>IF(AND(WSIND!$J$65&gt;=75,WSIND!$J$65&lt;=83.24),"P","")</f>
        <v/>
      </c>
      <c r="JH8" s="102" t="str">
        <f>IF(AND(WSIND!$J$65&gt;=83.25,WSIND!$J$65&lt;=91.4),"P","")</f>
        <v/>
      </c>
      <c r="JI8" s="102" t="str">
        <f>IF(AND(WSIND!$J$65&gt;=91.5,WSIND!$J$65&lt;=100),"P","")</f>
        <v>P</v>
      </c>
      <c r="JJ8" t="str">
        <f>IF(WSIND!$J$113&lt;74.9,"P","")</f>
        <v/>
      </c>
      <c r="JK8" s="102" t="str">
        <f>IF(AND(WSIND!$J$113&gt;=75,WSIND!$J$113&lt;=83.24),"P","")</f>
        <v/>
      </c>
      <c r="JL8" s="102" t="str">
        <f>IF(AND(WSIND!$J$113&gt;=83.25,WSIND!$J$113&lt;=91.4),"P","")</f>
        <v/>
      </c>
      <c r="JM8" s="102" t="str">
        <f>IF(AND(WSIND!$J$113&gt;=91.5,WSIND!$J$113&lt;=100),"P","")</f>
        <v>P</v>
      </c>
      <c r="JN8" t="str">
        <f>IF(WSIND!$J$133&lt;74.9,"P","")</f>
        <v/>
      </c>
      <c r="JO8" s="102" t="str">
        <f>IF(AND(WSIND!$J$133&gt;=75,WSIND!$J$133&lt;=83.24),"P","")</f>
        <v/>
      </c>
      <c r="JP8" s="102" t="str">
        <f>IF(AND(WSIND!$J$133&gt;=83.25,WSIND!$J$133&lt;=91.4),"P","")</f>
        <v/>
      </c>
      <c r="JQ8" s="102" t="str">
        <f>IF(AND(WSIND!$J$133&gt;=91.5,WSIND!$J$133&lt;=100),"P","")</f>
        <v>P</v>
      </c>
      <c r="JR8" t="str">
        <f>IF(WSIND!$J$161&lt;74.9,"P","")</f>
        <v/>
      </c>
      <c r="JS8" s="102" t="str">
        <f>IF(AND(WSIND!$J$161&gt;=75,WSIND!$J$161&lt;=83.24),"P","")</f>
        <v/>
      </c>
      <c r="JT8" s="102" t="str">
        <f>IF(AND(WSIND!$J$161&gt;=83.25,WSIND!$J$161&lt;=91.4),"P","")</f>
        <v/>
      </c>
      <c r="JU8" s="102" t="str">
        <f>IF(AND(WSIND!$J$161&gt;=91.5,WSIND!$J$161&lt;=100),"P","")</f>
        <v>P</v>
      </c>
      <c r="JV8" t="str">
        <f>IF(WSIND!$J$192&lt;74.9,"P","")</f>
        <v/>
      </c>
      <c r="JW8" s="102" t="str">
        <f>IF(AND(WSIND!$J$192&gt;=75,WSIND!$J$192&lt;=83.24),"P","")</f>
        <v/>
      </c>
      <c r="JX8" s="102" t="str">
        <f>IF(AND(WSIND!$J$192&gt;=83.25,WSIND!$J$192&lt;=91.4),"P","")</f>
        <v/>
      </c>
      <c r="JY8" s="102" t="str">
        <f>IF(AND(WSIND!$J$192&gt;=91.5,WSIND!$J$192&lt;=100),"P","")</f>
        <v>P</v>
      </c>
      <c r="JZ8" t="str">
        <f>IF(WSIND!$J$228&lt;74.9,"P","")</f>
        <v/>
      </c>
      <c r="KA8" s="102" t="str">
        <f>IF(AND(WSIND!$J$228&gt;=75,WSIND!$J$228&lt;=83.24),"P","")</f>
        <v/>
      </c>
      <c r="KB8" s="102" t="str">
        <f>IF(AND(WSIND!$J$228&gt;=83.25,WSIND!$J$228&lt;=91.4),"P","")</f>
        <v/>
      </c>
      <c r="KC8" s="102" t="str">
        <f>IF(AND(WSIND!$J$228&gt;=91.5,WSIND!$J$228&lt;=100),"P","")</f>
        <v>P</v>
      </c>
      <c r="KD8" t="str">
        <f>IF(WSIND!$J$256&lt;74.9,"P","")</f>
        <v/>
      </c>
      <c r="KE8" s="102" t="str">
        <f>IF(AND(WSIND!$J$256&gt;=75,WSIND!$J$256&lt;=83.24),"P","")</f>
        <v/>
      </c>
      <c r="KF8" s="102" t="str">
        <f>IF(AND(WSIND!$J$256&gt;=83.25,WSIND!$J$256&lt;=91.4),"P","")</f>
        <v/>
      </c>
      <c r="KG8" s="102" t="str">
        <f>IF(AND(WSIND!$J$256&gt;=91.5,WSIND!$J$256&lt;=100),"P","")</f>
        <v>P</v>
      </c>
      <c r="KH8" t="str">
        <f>IF(WSIND!$J$277&lt;74.9,"P","")</f>
        <v/>
      </c>
      <c r="KI8" s="102" t="str">
        <f>IF(AND(WSIND!$J$277&gt;=75,WSIND!$J$277&lt;=83.24),"P","")</f>
        <v/>
      </c>
      <c r="KJ8" s="102" t="str">
        <f>IF(AND(WSIND!$J$277&gt;=83.25,WSIND!$J$277&lt;=91.4),"P","")</f>
        <v/>
      </c>
      <c r="KK8" s="102" t="str">
        <f>IF(AND(WSIND!$J$277&gt;=91.5,WSIND!$J$277&lt;=100),"P","")</f>
        <v>P</v>
      </c>
      <c r="KL8" t="str">
        <f>IF(WSIND!$J$305&lt;74.9,"P","")</f>
        <v/>
      </c>
      <c r="KM8" s="102" t="str">
        <f>IF(AND(WSIND!$J$305&gt;=75,WSIND!$J$305&lt;=83.24),"P","")</f>
        <v/>
      </c>
      <c r="KN8" s="102" t="str">
        <f>IF(AND(WSIND!$J$305&gt;=83.25,WSIND!$J$305&lt;=91.4),"P","")</f>
        <v/>
      </c>
      <c r="KO8" s="102" t="str">
        <f>IF(AND(WSIND!$J$305&gt;=91.5,WSIND!$J$305&lt;=100),"P","")</f>
        <v>P</v>
      </c>
      <c r="KP8" t="str">
        <f>IF(WSIND!$J$329&lt;74.9,"P","")</f>
        <v/>
      </c>
      <c r="KQ8" s="102" t="str">
        <f>IF(AND(WSIND!$J$329&gt;=75,WSIND!$J$329&lt;=83.24),"P","")</f>
        <v/>
      </c>
      <c r="KR8" s="102" t="str">
        <f>IF(AND(WSIND!$J$329&gt;=83.25,WSIND!$J$329&lt;=91.4),"P","")</f>
        <v/>
      </c>
      <c r="KS8" s="102" t="str">
        <f>IF(AND(WSIND!$J$329&gt;=91.5,WSIND!$J$329&lt;=100),"P","")</f>
        <v/>
      </c>
      <c r="KT8" t="str">
        <f>IF(WSIND!$J$337&lt;74.9,"P","")</f>
        <v/>
      </c>
      <c r="KU8" s="102" t="str">
        <f>IF(AND(WSIND!$J$337&gt;=75,WSIND!$J$337&lt;=83.24),"P","")</f>
        <v/>
      </c>
      <c r="KV8" s="102" t="str">
        <f>IF(AND(WSIND!$J$337&gt;=83.25,WSIND!$J$337&lt;=91.4),"P","")</f>
        <v/>
      </c>
      <c r="KW8" s="102" t="str">
        <f>IF(AND(WSIND!$J$337&gt;=91.5,WSIND!$J$337&lt;=100),"P","")</f>
        <v/>
      </c>
      <c r="KX8" t="str">
        <f>IF(WSIND!$J$345&lt;74.9,"P","")</f>
        <v/>
      </c>
      <c r="KY8" s="102" t="str">
        <f>IF(AND(WSIND!$J$345&gt;=75,WSIND!$J$345&lt;=83.24),"P","")</f>
        <v/>
      </c>
      <c r="KZ8" s="102" t="str">
        <f>IF(AND(WSIND!$J$345&gt;=83.25,WSIND!$J$345&lt;=91.4),"P","")</f>
        <v/>
      </c>
      <c r="LA8" s="102" t="str">
        <f>IF(AND(WSIND!$J$345&gt;=91.5,WSIND!$J$345&lt;=100),"P","")</f>
        <v/>
      </c>
      <c r="LB8" t="str">
        <f>IF(WSARAB!$J$6&lt;74.9,"P","")</f>
        <v/>
      </c>
      <c r="LC8" s="102" t="str">
        <f>IF(AND(WSARAB!$J$6&gt;=75,WSARAB!$J$6&lt;=83.24),"P","")</f>
        <v/>
      </c>
      <c r="LD8" s="102" t="str">
        <f>IF(AND(WSARAB!$J$6&gt;=83.25,WSARAB!$J$6&lt;=91.4),"P","")</f>
        <v/>
      </c>
      <c r="LE8" s="102" t="str">
        <f>IF(AND(WSARAB!$J$6&gt;=91.5,WSARAB!$J$6&lt;=100),"P","")</f>
        <v/>
      </c>
      <c r="LF8" t="str">
        <f>IF(WSARAB!$J$17&lt;74.9,"P","")</f>
        <v/>
      </c>
      <c r="LG8" s="102" t="str">
        <f>IF(AND(WSARAB!$J$17&gt;=75,WSARAB!$J$17&lt;=83.24),"P","")</f>
        <v/>
      </c>
      <c r="LH8" s="102" t="str">
        <f>IF(AND(WSARAB!$J$17&gt;=83.25,WSARAB!$J$17&lt;=91.4),"P","")</f>
        <v/>
      </c>
      <c r="LI8" s="102" t="str">
        <f>IF(AND(WSARAB!$J$17&gt;=91.5,WSARAB!$J$17&lt;=100),"P","")</f>
        <v/>
      </c>
      <c r="LJ8" t="str">
        <f>IF(WSARAB!$J$29&lt;74.9,"P","")</f>
        <v/>
      </c>
      <c r="LK8" s="102" t="str">
        <f>IF(AND(WSARAB!$J$29&gt;=75,WSARAB!$J$29&lt;=83.24),"P","")</f>
        <v/>
      </c>
      <c r="LL8" s="102" t="str">
        <f>IF(AND(WSARAB!$J$29&gt;=83.25,WSARAB!$J$29&lt;=91.4),"P","")</f>
        <v/>
      </c>
      <c r="LM8" s="102" t="str">
        <f>IF(AND(WSARAB!$J$29&gt;=91.5,WSARAB!$J$29&lt;=100),"P","")</f>
        <v/>
      </c>
      <c r="LN8" t="str">
        <f>IF(WSARAB!$J$37&lt;74.9,"P","")</f>
        <v/>
      </c>
      <c r="LO8" s="102" t="str">
        <f>IF(AND(WSARAB!$J$37&gt;=75,WSARAB!$J$37&lt;=83.24),"P","")</f>
        <v/>
      </c>
      <c r="LP8" s="102" t="str">
        <f>IF(AND(WSARAB!$J$37&gt;=83.25,WSARAB!$J$37&lt;=91.4),"P","")</f>
        <v/>
      </c>
      <c r="LQ8" s="102" t="str">
        <f>IF(AND(WSARAB!$J$37&gt;=91.5,WSARAB!$J$37&lt;=100),"P","")</f>
        <v/>
      </c>
      <c r="LR8" t="str">
        <f>IF(WSARAB!$J$45&lt;74.9,"P","")</f>
        <v/>
      </c>
      <c r="LS8" s="102" t="str">
        <f>IF(AND(WSARAB!$J$45&gt;=75,WSARAB!$J$45&lt;=83.24),"P","")</f>
        <v/>
      </c>
      <c r="LT8" s="102" t="str">
        <f>IF(AND(WSARAB!$J$45&gt;=83.25,WSARAB!$J$45&lt;=91.4),"P","")</f>
        <v/>
      </c>
      <c r="LU8" s="102" t="str">
        <f>IF(AND(WSARAB!$J$45&gt;=91.5,WSARAB!$J$45&lt;=100),"P","")</f>
        <v/>
      </c>
      <c r="LV8" t="str">
        <f>IF(WSARAB!$J$53&lt;74.9,"P","")</f>
        <v/>
      </c>
      <c r="LW8" s="102" t="str">
        <f>IF(AND(WSARAB!$J$53&gt;=75,WSARAB!$J$53&lt;=83.24),"P","")</f>
        <v/>
      </c>
      <c r="LX8" s="102" t="str">
        <f>IF(AND(WSARAB!$J$53&gt;=83.25,WSARAB!$J$53&lt;=91.4),"P","")</f>
        <v/>
      </c>
      <c r="LY8" s="102" t="str">
        <f>IF(AND(WSARAB!$J$53&gt;=91.5,WSARAB!$J$53&lt;=100),"P","")</f>
        <v/>
      </c>
      <c r="LZ8" t="str">
        <f>IF(WSARAB!$J$65&lt;74.9,"P","")</f>
        <v/>
      </c>
      <c r="MA8" s="102" t="str">
        <f>IF(AND(WSARAB!$J$65&gt;=75,WSARAB!$J$65&lt;=83.24),"P","")</f>
        <v/>
      </c>
      <c r="MB8" s="102" t="str">
        <f>IF(AND(WSARAB!$J$65&gt;=83.25,WSARAB!$J$65&lt;=91.4),"P","")</f>
        <v/>
      </c>
      <c r="MC8" s="102" t="str">
        <f>IF(AND(WSARAB!$J$65&gt;=91.5,WSARAB!$J$65&lt;=100),"P","")</f>
        <v/>
      </c>
      <c r="MD8" t="str">
        <f>IF(WSARAB!$J$73&lt;74.9,"P","")</f>
        <v/>
      </c>
      <c r="ME8" s="102" t="str">
        <f>IF(AND(WSARAB!$J$73&gt;=75,WSARAB!$J$73&lt;=83.24),"P","")</f>
        <v/>
      </c>
      <c r="MF8" s="102" t="str">
        <f>IF(AND(WSARAB!$J$73&gt;=83.25,WSARAB!$J$73&lt;=91.4),"P","")</f>
        <v/>
      </c>
      <c r="MG8" s="102" t="str">
        <f>IF(AND(WSARAB!$J$73&gt;=91.5,WSARAB!$J$73&lt;=100),"P","")</f>
        <v/>
      </c>
      <c r="MH8" t="str">
        <f>IF(WSARAB!$J$81&lt;74.9,"P","")</f>
        <v/>
      </c>
      <c r="MI8" s="102" t="str">
        <f>IF(AND(WSARAB!$J$81&gt;=75,WSARAB!$J$81&lt;=83.24),"P","")</f>
        <v/>
      </c>
      <c r="MJ8" s="102" t="str">
        <f>IF(AND(WSARAB!$J$81&gt;=83.25,WSARAB!$J$81&lt;=91.4),"P","")</f>
        <v/>
      </c>
      <c r="MK8" s="102" t="str">
        <f>IF(AND(WSARAB!$J$81&gt;=91.5,WSARAB!$J$81&lt;=100),"P","")</f>
        <v/>
      </c>
      <c r="ML8" t="str">
        <f>IF(WSARAB!$J$89&lt;74.9,"P","")</f>
        <v/>
      </c>
      <c r="MM8" s="102" t="str">
        <f>IF(AND(WSARAB!$J$89&gt;=75,WSARAB!$J$89&lt;=83.24),"P","")</f>
        <v/>
      </c>
      <c r="MN8" s="102" t="str">
        <f>IF(AND(WSARAB!$J$89&gt;=83.25,WSARAB!$J$89&lt;=91.4),"P","")</f>
        <v/>
      </c>
      <c r="MO8" s="102" t="str">
        <f>IF(AND(WSARAB!$J$89&gt;=91.5,WSARAB!$J$89&lt;=100),"P","")</f>
        <v/>
      </c>
      <c r="MP8" t="str">
        <f>IF(WSARAB!$J$97&lt;74.9,"P","")</f>
        <v/>
      </c>
      <c r="MQ8" s="102" t="str">
        <f>IF(AND(WSARAB!$J$97&gt;=75,WSARAB!$J$97&lt;=83.24),"P","")</f>
        <v/>
      </c>
      <c r="MR8" s="102" t="str">
        <f>IF(AND(WSARAB!$J$97&gt;=83.25,WSARAB!$J$97&lt;=91.4),"P","")</f>
        <v/>
      </c>
      <c r="MS8" s="102" t="str">
        <f>IF(AND(WSARAB!$J$97&gt;=91.5,WSARAB!$J$97&lt;=100),"P","")</f>
        <v/>
      </c>
      <c r="MT8" t="str">
        <f>IF(WSARAB!$J$105&lt;74.9,"P","")</f>
        <v/>
      </c>
      <c r="MU8" s="102" t="str">
        <f>IF(AND(WSARAB!$J$105&gt;=75,WSARAB!$J$105&lt;=83.24),"P","")</f>
        <v/>
      </c>
      <c r="MV8" s="102" t="str">
        <f>IF(AND(WSARAB!$J$105&gt;=83.25,WSARAB!$J$105&lt;=91.4),"P","")</f>
        <v/>
      </c>
      <c r="MW8" s="102" t="str">
        <f>IF(AND(WSARAB!$J$105&gt;=91.5,WSARAB!$J$105&lt;=100),"P","")</f>
        <v/>
      </c>
      <c r="MX8" t="str">
        <f>IF(WSARAB!$J$113&lt;74.9,"P","")</f>
        <v/>
      </c>
      <c r="MY8" s="102" t="str">
        <f>IF(AND(WSARAB!$J$113&gt;=75,WSARAB!$J$113&lt;=83.24),"P","")</f>
        <v/>
      </c>
      <c r="MZ8" s="102" t="str">
        <f>IF(AND(WSARAB!$J$113&gt;=83.25,WSARAB!$J$113&lt;=91.4),"P","")</f>
        <v/>
      </c>
      <c r="NA8" s="102" t="str">
        <f>IF(AND(WSARAB!$J$113&gt;=91.5,WSARAB!$J$113&lt;=100),"P","")</f>
        <v/>
      </c>
      <c r="NB8" t="str">
        <f>IF(WSMTK!$J$6&lt;74.9,"P","")</f>
        <v/>
      </c>
      <c r="NC8" s="102" t="str">
        <f>IF(AND(WSMTK!$J$6&gt;=75,WSMTK!$J$6&lt;=83.24),"P","")</f>
        <v/>
      </c>
      <c r="ND8" s="102" t="str">
        <f>IF(AND(WSMTK!$J$6&gt;=83.25,WSMTK!$J$6&lt;=91.4),"P","")</f>
        <v/>
      </c>
      <c r="NE8" s="102" t="str">
        <f>IF(AND(WSMTK!$J$6&gt;=91.5,WSMTK!$J$6&lt;=100),"P","")</f>
        <v>P</v>
      </c>
      <c r="NF8" t="str">
        <f>IF(WSMTK!$J$22&lt;74.9,"P","")</f>
        <v/>
      </c>
      <c r="NG8" s="102" t="str">
        <f>IF(AND(WSMTK!$J$22&gt;=75,WSMTK!$J$22&lt;=83.24),"P","")</f>
        <v/>
      </c>
      <c r="NH8" s="102" t="str">
        <f>IF(AND(WSMTK!$J$22&gt;=83.25,WSMTK!$J$22&lt;=91.4),"P","")</f>
        <v/>
      </c>
      <c r="NI8" s="102" t="str">
        <f>IF(AND(WSMTK!$J$22&gt;=91.5,WSMTK!$J$22&lt;=100),"P","")</f>
        <v>P</v>
      </c>
      <c r="NJ8" t="str">
        <f>IF(WSMTK!$J$35&lt;74.9,"P","")</f>
        <v/>
      </c>
      <c r="NK8" s="102" t="str">
        <f>IF(AND(WSMTK!$J$35&gt;=75,WSMTK!$J$35&lt;=83.24),"P","")</f>
        <v/>
      </c>
      <c r="NL8" s="102" t="str">
        <f>IF(AND(WSMTK!$J$35&gt;=83.25,WSMTK!$J$35&lt;=91.4),"P","")</f>
        <v/>
      </c>
      <c r="NM8" s="102" t="str">
        <f>IF(AND(WSMTK!$J$35&gt;=91.5,WSMTK!$J$35&lt;=100),"P","")</f>
        <v>P</v>
      </c>
      <c r="NN8" t="str">
        <f>IF(WSMTK!$J$69&lt;74.9,"P","")</f>
        <v/>
      </c>
      <c r="NO8" s="102" t="str">
        <f>IF(AND(WSMTK!$J$69&gt;=75,WSMTK!$J$69&lt;=83.24),"P","")</f>
        <v/>
      </c>
      <c r="NP8" s="102" t="str">
        <f>IF(AND(WSMTK!$J$69&gt;=83.25,WSMTK!$J$69&lt;=91.4),"P","")</f>
        <v/>
      </c>
      <c r="NQ8" s="102" t="str">
        <f>IF(AND(WSMTK!$J$69&gt;=91.5,WSMTK!$J$69&lt;=100),"P","")</f>
        <v>P</v>
      </c>
      <c r="NR8" t="str">
        <f>IF(WSMTK!$J$87&lt;74.9,"P","")</f>
        <v/>
      </c>
      <c r="NS8" s="102" t="str">
        <f>IF(AND(WSMTK!$J$87&gt;=75,WSMTK!$J$87&lt;=83.24),"P","")</f>
        <v/>
      </c>
      <c r="NT8" s="102" t="str">
        <f>IF(AND(WSMTK!$J$87&gt;=83.25,WSMTK!$J$87&lt;=91.4),"P","")</f>
        <v/>
      </c>
      <c r="NU8" s="102" t="str">
        <f>IF(AND(WSMTK!$J$87&gt;=91.5,WSMTK!$J$87&lt;=100),"P","")</f>
        <v>P</v>
      </c>
      <c r="NV8" t="str">
        <f>IF(WSMTK!$J$99&lt;74.9,"P","")</f>
        <v/>
      </c>
      <c r="NW8" s="102" t="str">
        <f>IF(AND(WSMTK!$J$99&gt;=75,WSMTK!$J$99&lt;=83.24),"P","")</f>
        <v/>
      </c>
      <c r="NX8" s="102" t="str">
        <f>IF(AND(WSMTK!$J$99&gt;=83.25,WSMTK!$J$99&lt;=91.4),"P","")</f>
        <v/>
      </c>
      <c r="NY8" s="102" t="str">
        <f>IF(AND(WSMTK!$J$99&gt;=91.5,WSMTK!$J$99&lt;=100),"P","")</f>
        <v>P</v>
      </c>
      <c r="NZ8" t="str">
        <f>IF(WSMTK!$J$113&lt;74.9,"P","")</f>
        <v/>
      </c>
      <c r="OA8" s="102" t="str">
        <f>IF(AND(WSMTK!$J$113&gt;=75,WSMTK!$J$113&lt;=83.24),"P","")</f>
        <v/>
      </c>
      <c r="OB8" s="102" t="str">
        <f>IF(AND(WSMTK!$J$113&gt;=83.25,WSMTK!$J$113&lt;=91.4),"P","")</f>
        <v/>
      </c>
      <c r="OC8" s="102" t="str">
        <f>IF(AND(WSMTK!$J$113&gt;=91.5,WSMTK!$J$113&lt;=100),"P","")</f>
        <v>P</v>
      </c>
      <c r="OD8" t="str">
        <f>IF(WSMTK!$J$145&lt;74.9,"P","")</f>
        <v/>
      </c>
      <c r="OE8" s="102" t="str">
        <f>IF(AND(WSMTK!$J$145&gt;=75,WSMTK!$J$145&lt;=83.24),"P","")</f>
        <v/>
      </c>
      <c r="OF8" s="102" t="str">
        <f>IF(AND(WSMTK!$J$145&gt;=83.25,WSMTK!$J$145&lt;=91.4),"P","")</f>
        <v/>
      </c>
      <c r="OG8" s="102" t="str">
        <f>IF(AND(WSMTK!$J$145&gt;=91.5,WSMTK!$J$145&lt;=100),"P","")</f>
        <v>P</v>
      </c>
      <c r="OH8" t="str">
        <f>IF(WSMTK!$J$168&lt;74.9,"P","")</f>
        <v/>
      </c>
      <c r="OI8" s="102" t="str">
        <f>IF(AND(WSMTK!$J$168&gt;=75,WSMTK!$J$168&lt;=83.24),"P","")</f>
        <v/>
      </c>
      <c r="OJ8" s="102" t="str">
        <f>IF(AND(WSMTK!$J$168&gt;=83.25,WSMTK!$J$168&lt;=91.4),"P","")</f>
        <v/>
      </c>
      <c r="OK8" s="102" t="str">
        <f>IF(AND(WSMTK!$J$168&gt;=91.5,WSMTK!$J$168&lt;=100),"P","")</f>
        <v/>
      </c>
      <c r="OL8" t="str">
        <f>IF(WSMTK!$J$176&lt;74.9,"P","")</f>
        <v/>
      </c>
      <c r="OM8" s="102" t="str">
        <f>IF(AND(WSMTK!$J$176&gt;=75,WSMTK!$J$176&lt;=83.24),"P","")</f>
        <v/>
      </c>
      <c r="ON8" s="102" t="str">
        <f>IF(AND(WSMTK!$J$176&gt;=83.25,WSMTK!$J$176&lt;=91.4),"P","")</f>
        <v/>
      </c>
      <c r="OO8" s="102" t="str">
        <f>IF(AND(WSMTK!$J$176&gt;=91.5,WSMTK!$J$176&lt;=100),"P","")</f>
        <v/>
      </c>
      <c r="OP8" t="str">
        <f>IF(WSMTK!$J$184&lt;74.9,"P","")</f>
        <v/>
      </c>
      <c r="OQ8" s="102" t="str">
        <f>IF(AND(WSMTK!$J$184&gt;=75,WSMTK!$J$184&lt;=83.24),"P","")</f>
        <v/>
      </c>
      <c r="OR8" s="102" t="str">
        <f>IF(AND(WSMTK!$J$184&gt;=83.25,WSMTK!$J$184&lt;=91.4),"P","")</f>
        <v/>
      </c>
      <c r="OS8" s="102" t="str">
        <f>IF(AND(WSMTK!$J$184&gt;=91.5,WSMTK!$J$184&lt;=100),"P","")</f>
        <v/>
      </c>
      <c r="OT8" t="str">
        <f>IF(WSMTK!$J$192&lt;74.9,"P","")</f>
        <v/>
      </c>
      <c r="OU8" s="102" t="str">
        <f>IF(AND(WSMTK!$J$192&gt;=75,WSMTK!$J$192&lt;=83.24),"P","")</f>
        <v/>
      </c>
      <c r="OV8" s="102" t="str">
        <f>IF(AND(WSMTK!$J$192&gt;=83.25,WSMTK!$J$192&lt;=91.4),"P","")</f>
        <v/>
      </c>
      <c r="OW8" s="102" t="str">
        <f>IF(AND(WSMTK!$J$192&gt;=91.5,WSMTK!$J$192&lt;=100),"P","")</f>
        <v/>
      </c>
      <c r="OX8" t="str">
        <f>IF(WSMTK!$J$200&lt;74.9,"P","")</f>
        <v/>
      </c>
      <c r="OY8" s="102" t="str">
        <f>IF(AND(WSMTK!$J$200&gt;=75,WSMTK!$J$200&lt;=83.24),"P","")</f>
        <v/>
      </c>
      <c r="OZ8" s="102" t="str">
        <f>IF(AND(WSMTK!$J$200&gt;=83.25,WSMTK!$J$200&lt;=91.4),"P","")</f>
        <v/>
      </c>
      <c r="PA8" s="102" t="str">
        <f>IF(AND(WSMTK!$J$200&gt;=91.5,WSMTK!$J$200&lt;=100),"P","")</f>
        <v/>
      </c>
      <c r="PB8" t="str">
        <f>IF(WSIPA!$J$6&lt;74.9,"P","")</f>
        <v/>
      </c>
      <c r="PC8" s="102" t="str">
        <f>IF(AND(WSIPA!$J$6&gt;=75,WSIPA!$J$6&lt;=83.24),"P","")</f>
        <v/>
      </c>
      <c r="PD8" s="102" t="str">
        <f>IF(AND(WSIPA!$J$6&gt;=83.25,WSIPA!$J$6&lt;=91.4),"P","")</f>
        <v/>
      </c>
      <c r="PE8" s="102" t="str">
        <f>IF(AND(WSIPA!$J$6&gt;=91.5,WSIPA!$J$6&lt;=100),"P","")</f>
        <v/>
      </c>
      <c r="PF8" t="str">
        <f>IF(WSIPA!$J$14&lt;74.9,"P","")</f>
        <v/>
      </c>
      <c r="PG8" s="102" t="str">
        <f>IF(AND(WSIPA!$J$14&gt;=75,WSIPA!$J$14&lt;=83.24),"P","")</f>
        <v/>
      </c>
      <c r="PH8" s="102" t="str">
        <f>IF(AND(WSIPA!$J$14&gt;=83.25,WSIPA!$J$14&lt;=91.4),"P","")</f>
        <v/>
      </c>
      <c r="PI8" s="102" t="str">
        <f>IF(AND(WSIPA!$J$14&gt;=91.5,WSIPA!$J$14&lt;=100),"P","")</f>
        <v/>
      </c>
      <c r="PJ8" t="str">
        <f>IF(WSIPA!$J$22&lt;74.9,"P","")</f>
        <v/>
      </c>
      <c r="PK8" s="102" t="str">
        <f>IF(AND(WSIPA!$J$22&gt;=75,WSIPA!$J$22&lt;=83.24),"P","")</f>
        <v/>
      </c>
      <c r="PL8" s="102" t="str">
        <f>IF(AND(WSIPA!$J$22&gt;=83.25,WSIPA!$J$22&lt;=91.4),"P","")</f>
        <v/>
      </c>
      <c r="PM8" s="102" t="str">
        <f>IF(AND(WSIPA!$J$22&gt;=91.5,WSIPA!$J$22&lt;=100),"P","")</f>
        <v/>
      </c>
      <c r="PN8" t="str">
        <f>IF(WSIPA!$J$30&lt;74.9,"P","")</f>
        <v/>
      </c>
      <c r="PO8" s="102" t="str">
        <f>IF(AND(WSIPA!$J$30&gt;=75,WSIPA!$J$30&lt;=83.24),"P","")</f>
        <v/>
      </c>
      <c r="PP8" s="102" t="str">
        <f>IF(AND(WSIPA!$J$30&gt;=83.25,WSIPA!$J$30&lt;=91.4),"P","")</f>
        <v/>
      </c>
      <c r="PQ8" s="102" t="str">
        <f>IF(AND(WSIPA!$J$30&gt;=91.5,WSIPA!$J$30&lt;=100),"P","")</f>
        <v/>
      </c>
      <c r="PR8" t="str">
        <f>IF(WSIPA!$J$38&lt;74.9,"P","")</f>
        <v/>
      </c>
      <c r="PS8" s="102" t="str">
        <f>IF(AND(WSIPA!$J$38&gt;=75,WSIPA!$J$38&lt;=83.24),"P","")</f>
        <v/>
      </c>
      <c r="PT8" s="102" t="str">
        <f>IF(AND(WSIPA!$J$38&gt;=83.25,WSIPA!$J$38&lt;=91.4),"P","")</f>
        <v/>
      </c>
      <c r="PU8" s="102" t="str">
        <f>IF(AND(WSIPA!$J$38&gt;=91.5,WSIPA!$J$38&lt;=100),"P","")</f>
        <v/>
      </c>
      <c r="PV8" t="str">
        <f>IF(WSIPA!$J$46&lt;74.9,"P","")</f>
        <v/>
      </c>
      <c r="PW8" s="102" t="str">
        <f>IF(AND(WSIPA!$J$46&gt;=75,WSIPA!$J$46&lt;=83.24),"P","")</f>
        <v/>
      </c>
      <c r="PX8" s="102" t="str">
        <f>IF(AND(WSIPA!$J$46&gt;=83.25,WSIPA!$J$46&lt;=91.4),"P","")</f>
        <v/>
      </c>
      <c r="PY8" s="102" t="str">
        <f>IF(AND(WSIPA!$J$46&gt;=91.5,WSIPA!$J$46&lt;=100),"P","")</f>
        <v/>
      </c>
      <c r="PZ8" t="str">
        <f>IF(WSIPA!$J$54&lt;74.9,"P","")</f>
        <v/>
      </c>
      <c r="QA8" s="102" t="str">
        <f>IF(AND(WSIPA!$J$54&gt;=75,WSIPA!$J$54&lt;=83.24),"P","")</f>
        <v/>
      </c>
      <c r="QB8" s="102" t="str">
        <f>IF(AND(WSIPA!$J$54&gt;=83.25,WSIPA!$J$54&lt;=91.4),"P","")</f>
        <v/>
      </c>
      <c r="QC8" s="102" t="str">
        <f>IF(AND(WSIPA!$J$54&gt;=91.5,WSIPA!$J$54&lt;=100),"P","")</f>
        <v/>
      </c>
      <c r="QD8" t="str">
        <f>IF(WSIPA!$J$62&lt;74.9,"P","")</f>
        <v/>
      </c>
      <c r="QE8" s="102" t="str">
        <f>IF(AND(WSIPA!$J$62&gt;=75,WSIPA!$J$62&lt;=83.24),"P","")</f>
        <v/>
      </c>
      <c r="QF8" s="102" t="str">
        <f>IF(AND(WSIPA!$J$62&gt;=83.25,WSIPA!$J$62&lt;=91.4),"P","")</f>
        <v/>
      </c>
      <c r="QG8" s="102" t="str">
        <f>IF(AND(WSIPA!$J$62&gt;=91.5,WSIPA!$J$62&lt;=100),"P","")</f>
        <v/>
      </c>
      <c r="QH8" t="str">
        <f>IF(WSIPA!$J$70&lt;74.9,"P","")</f>
        <v/>
      </c>
      <c r="QI8" s="102" t="str">
        <f>IF(AND(WSIPA!$J$70&gt;=75,WSIPA!$J$70&lt;=83.24),"P","")</f>
        <v/>
      </c>
      <c r="QJ8" s="102" t="str">
        <f>IF(AND(WSIPA!$J$70&gt;=83.25,WSIPA!$J$70&lt;=91.4),"P","")</f>
        <v/>
      </c>
      <c r="QK8" s="102" t="str">
        <f>IF(AND(WSIPA!$J$70&gt;=91.5,WSIPA!$J$70&lt;=100),"P","")</f>
        <v/>
      </c>
      <c r="QL8" t="str">
        <f>IF(WSIPA!$J$78&lt;74.9,"P","")</f>
        <v/>
      </c>
      <c r="QM8" s="102" t="str">
        <f>IF(AND(WSIPA!$J$78&gt;=75,WSIPA!$J$78&lt;=83.24),"P","")</f>
        <v/>
      </c>
      <c r="QN8" s="102" t="str">
        <f>IF(AND(WSIPA!$J$78&gt;=83.25,WSIPA!$J$78&lt;=91.4),"P","")</f>
        <v/>
      </c>
      <c r="QO8" s="102" t="str">
        <f>IF(AND(WSIPA!$J$78&gt;=91.5,WSIPA!$J$78&lt;=100),"P","")</f>
        <v/>
      </c>
      <c r="QP8" t="str">
        <f>IF(WSIPA!$J$86&lt;74.9,"P","")</f>
        <v/>
      </c>
      <c r="QQ8" s="102" t="str">
        <f>IF(AND(WSIPA!$J$86&gt;=75,WSIPA!$J$86&lt;=83.24),"P","")</f>
        <v/>
      </c>
      <c r="QR8" s="102" t="str">
        <f>IF(AND(WSIPA!$J$86&gt;=83.25,WSIPA!$J$86&lt;=91.4),"P","")</f>
        <v/>
      </c>
      <c r="QS8" s="102" t="str">
        <f>IF(AND(WSIPA!$J$86&gt;=91.5,WSIPA!$J$86&lt;=100),"P","")</f>
        <v/>
      </c>
      <c r="QT8" t="str">
        <f>IF(WSIPA!$J$94&lt;74.9,"P","")</f>
        <v/>
      </c>
      <c r="QU8" s="102" t="str">
        <f>IF(AND(WSIPA!$J$94&gt;=75,WSIPA!$J$94&lt;=83.24),"P","")</f>
        <v/>
      </c>
      <c r="QV8" s="102" t="str">
        <f>IF(AND(WSIPA!$J$94&gt;=83.25,WSIPA!$J$94&lt;=91.4),"P","")</f>
        <v/>
      </c>
      <c r="QW8" s="102" t="str">
        <f>IF(AND(WSIPA!$J$94&gt;=91.5,WSIPA!$J$94&lt;=100),"P","")</f>
        <v/>
      </c>
      <c r="QX8" t="str">
        <f>IF(WSIPA!$J$102&lt;74.9,"P","")</f>
        <v/>
      </c>
      <c r="QY8" s="102" t="str">
        <f>IF(AND(WSIPA!$J$102&gt;=75,WSIPA!$J$102&lt;=83.24),"P","")</f>
        <v/>
      </c>
      <c r="QZ8" s="102" t="str">
        <f>IF(AND(WSIPA!$J$102&gt;=83.25,WSIPA!$J$102&lt;=91.4),"P","")</f>
        <v/>
      </c>
      <c r="RA8" s="102" t="str">
        <f>IF(AND(WSIPA!$J$102&gt;=91.5,WSIPA!$J$102&lt;=100),"P","")</f>
        <v/>
      </c>
      <c r="RB8" t="str">
        <f>IF(WSIPS!$J$6&lt;74.9,"P","")</f>
        <v/>
      </c>
      <c r="RC8" s="102" t="str">
        <f>IF(AND(WSIPS!$J$6&gt;=75,WSIPS!$J$6&lt;=83.24),"P","")</f>
        <v/>
      </c>
      <c r="RD8" s="102" t="str">
        <f>IF(AND(WSIPS!$J$6&gt;=83.25,WSIPS!$J$6&lt;=91.4),"P","")</f>
        <v/>
      </c>
      <c r="RE8" s="102" t="str">
        <f>IF(AND(WSIPS!$J$6&gt;=91.5,WSIPS!$J$6&lt;=100),"P","")</f>
        <v/>
      </c>
      <c r="RF8" t="str">
        <f>IF(WSIPS!$J$14&lt;74.9,"P","")</f>
        <v/>
      </c>
      <c r="RG8" s="102" t="str">
        <f>IF(AND(WSIPS!$J$14&gt;=75,WSIPS!$J$14&lt;=83.24),"P","")</f>
        <v/>
      </c>
      <c r="RH8" s="102" t="str">
        <f>IF(AND(WSIPS!$J$14&gt;=83.25,WSIPS!$J$14&lt;=91.4),"P","")</f>
        <v/>
      </c>
      <c r="RI8" s="102" t="str">
        <f>IF(AND(WSIPS!$J$14&gt;=91.5,WSIPS!$J$14&lt;=100),"P","")</f>
        <v/>
      </c>
      <c r="RJ8" t="str">
        <f>IF(WSIPS!$J$22&lt;74.9,"P","")</f>
        <v/>
      </c>
      <c r="RK8" s="102" t="str">
        <f>IF(AND(WSIPS!$J$22&gt;=75,WSIPS!$J$22&lt;=83.24),"P","")</f>
        <v/>
      </c>
      <c r="RL8" s="102" t="str">
        <f>IF(AND(WSIPS!$J$22&gt;=83.25,WSIPS!$J$22&lt;=91.4),"P","")</f>
        <v/>
      </c>
      <c r="RM8" s="102" t="str">
        <f>IF(AND(WSIPS!$J$22&gt;=91.5,WSIPS!$J$22&lt;=100),"P","")</f>
        <v/>
      </c>
      <c r="RN8" t="str">
        <f>IF(WSIPS!$J$30&lt;74.9,"P","")</f>
        <v/>
      </c>
      <c r="RO8" s="102" t="str">
        <f>IF(AND(WSIPS!$J$30&gt;=75,WSIPS!$J$30&lt;=83.24),"P","")</f>
        <v/>
      </c>
      <c r="RP8" s="102" t="str">
        <f>IF(AND(WSIPS!$J$30&gt;=83.25,WSIPS!$J$30&lt;=91.4),"P","")</f>
        <v/>
      </c>
      <c r="RQ8" s="102" t="str">
        <f>IF(AND(WSIPS!$J$30&gt;=91.5,WSIPS!$J$30&lt;=100),"P","")</f>
        <v/>
      </c>
      <c r="RR8" t="str">
        <f>IF(WSIPS!$J$38&lt;74.9,"P","")</f>
        <v/>
      </c>
      <c r="RS8" s="102" t="str">
        <f>IF(AND(WSIPS!$J$38&gt;=75,WSIPS!$J$38&lt;=83.24),"P","")</f>
        <v/>
      </c>
      <c r="RT8" s="102" t="str">
        <f>IF(AND(WSIPS!$J$38&gt;=83.25,WSIPS!$J$38&lt;=91.4),"P","")</f>
        <v/>
      </c>
      <c r="RU8" s="102" t="str">
        <f>IF(AND(WSIPS!$J$38&gt;=91.5,WSIPS!$J$38&lt;=100),"P","")</f>
        <v/>
      </c>
      <c r="RV8" t="str">
        <f>IF(WSIPS!$J$46&lt;74.9,"P","")</f>
        <v/>
      </c>
      <c r="RW8" s="102" t="str">
        <f>IF(AND(WSIPS!$J$46&gt;=75,WSIPS!$J$46&lt;=83.24),"P","")</f>
        <v/>
      </c>
      <c r="RX8" s="102" t="str">
        <f>IF(AND(WSIPS!$J$46&gt;=83.25,WSIPS!$J$46&lt;=91.4),"P","")</f>
        <v/>
      </c>
      <c r="RY8" s="102" t="str">
        <f>IF(AND(WSIPS!$J$46&gt;=91.5,WSIPS!$J$46&lt;=100),"P","")</f>
        <v/>
      </c>
      <c r="RZ8" t="str">
        <f>IF(WSIPS!$J$54&lt;74.9,"P","")</f>
        <v/>
      </c>
      <c r="SA8" s="102" t="str">
        <f>IF(AND(WSIPS!$J$54&gt;=75,WSIPS!$J$54&lt;=83.24),"P","")</f>
        <v/>
      </c>
      <c r="SB8" s="102" t="str">
        <f>IF(AND(WSIPS!$J$54&gt;=83.25,WSIPS!$J$54&lt;=91.4),"P","")</f>
        <v/>
      </c>
      <c r="SC8" s="102" t="str">
        <f>IF(AND(WSIPS!$J$54&gt;=91.5,WSIPS!$J$54&lt;=100),"P","")</f>
        <v/>
      </c>
      <c r="SD8" t="str">
        <f>IF(WSIPS!$J$62&lt;74.9,"P","")</f>
        <v/>
      </c>
      <c r="SE8" s="102" t="str">
        <f>IF(AND(WSIPS!$J$62&gt;=75,WSIPS!$J$62&lt;=83.24),"P","")</f>
        <v/>
      </c>
      <c r="SF8" s="102" t="str">
        <f>IF(AND(WSIPS!$J$62&gt;=83.25,WSIPS!$J$62&lt;=91.4),"P","")</f>
        <v/>
      </c>
      <c r="SG8" s="102" t="str">
        <f>IF(AND(WSIPS!$J$62&gt;=91.5,WSIPS!$J$62&lt;=100),"P","")</f>
        <v/>
      </c>
      <c r="SH8" t="str">
        <f>IF(WSIPS!$J$70&lt;74.9,"P","")</f>
        <v/>
      </c>
      <c r="SI8" s="102" t="str">
        <f>IF(AND(WSIPS!$J$70&gt;=75,WSIPS!$J$70&lt;=83.24),"P","")</f>
        <v/>
      </c>
      <c r="SJ8" s="102" t="str">
        <f>IF(AND(WSIPS!$J$70&gt;=83.25,WSIPS!$J$70&lt;=91.4),"P","")</f>
        <v/>
      </c>
      <c r="SK8" s="102" t="str">
        <f>IF(AND(WSIPS!$J$70&gt;=91.5,WSIPS!$J$70&lt;=100),"P","")</f>
        <v/>
      </c>
      <c r="SL8" t="str">
        <f>IF(WSIPS!$J$78&lt;74.9,"P","")</f>
        <v/>
      </c>
      <c r="SM8" s="102" t="str">
        <f>IF(AND(WSIPS!$J$78&gt;=75,WSIPS!$J$78&lt;=83.24),"P","")</f>
        <v/>
      </c>
      <c r="SN8" s="102" t="str">
        <f>IF(AND(WSIPS!$J$78&gt;=83.25,WSIPS!$J$78&lt;=91.4),"P","")</f>
        <v/>
      </c>
      <c r="SO8" s="102" t="str">
        <f>IF(AND(WSIPS!$J$78&gt;=91.5,WSIPS!$J$78&lt;=100),"P","")</f>
        <v/>
      </c>
      <c r="SP8" t="str">
        <f>IF(WSIPS!$J$86&lt;74.9,"P","")</f>
        <v/>
      </c>
      <c r="SQ8" s="102" t="str">
        <f>IF(AND(WSIPS!$J$86&gt;=75,WSIPS!$J$86&lt;=83.24),"P","")</f>
        <v/>
      </c>
      <c r="SR8" s="102" t="str">
        <f>IF(AND(WSIPS!$J$86&gt;=83.25,WSIPS!$J$86&lt;=91.4),"P","")</f>
        <v/>
      </c>
      <c r="SS8" s="102" t="str">
        <f>IF(AND(WSIPS!$J$86&gt;=91.5,WSIPS!$J$86&lt;=100),"P","")</f>
        <v/>
      </c>
      <c r="ST8" t="str">
        <f>IF(WSIPS!$J$94&lt;74.9,"P","")</f>
        <v/>
      </c>
      <c r="SU8" s="102" t="str">
        <f>IF(AND(WSIPS!$J$94&gt;=75,WSIPS!$J$94&lt;=83.24),"P","")</f>
        <v/>
      </c>
      <c r="SV8" s="102" t="str">
        <f>IF(AND(WSIPS!$J$94&gt;=83.25,WSIPS!$J$94&lt;=91.4),"P","")</f>
        <v/>
      </c>
      <c r="SW8" s="102" t="str">
        <f>IF(AND(WSIPS!$J$94&gt;=91.5,WSIPS!$J$94&lt;=100),"P","")</f>
        <v/>
      </c>
      <c r="SX8" t="str">
        <f>IF(WSIPS!$J$102&lt;74.9,"P","")</f>
        <v/>
      </c>
      <c r="SY8" s="102" t="str">
        <f>IF(AND(WSIPS!$J$102&gt;=75,WSIPS!$J$102&lt;=83.24),"P","")</f>
        <v/>
      </c>
      <c r="SZ8" s="102" t="str">
        <f>IF(AND(WSIPS!$J$102&gt;=83.25,WSIPS!$J$102&lt;=91.4),"P","")</f>
        <v/>
      </c>
      <c r="TA8" s="102" t="str">
        <f>IF(AND(WSIPS!$J$102&gt;=91.5,WSIPS!$J$102&lt;=100),"P","")</f>
        <v/>
      </c>
      <c r="TB8" t="str">
        <f>IF(WSSBK!$J$6&lt;74.9,"P","")</f>
        <v/>
      </c>
      <c r="TC8" s="102" t="str">
        <f>IF(AND(WSSBK!$J$6&gt;=75,WSSBK!$J$6&lt;=83.24),"P","")</f>
        <v/>
      </c>
      <c r="TD8" s="102" t="str">
        <f>IF(AND(WSSBK!$J$6&gt;=83.25,WSSBK!$J$6&lt;=91.4),"P","")</f>
        <v/>
      </c>
      <c r="TE8" s="102" t="str">
        <f>IF(AND(WSSBK!$J$6&gt;=91.5,WSSBK!$J$6&lt;=100),"P","")</f>
        <v>P</v>
      </c>
      <c r="TF8" t="str">
        <f>IF(WSSBK!$J$16&lt;74.9,"P","")</f>
        <v/>
      </c>
      <c r="TG8" s="102" t="str">
        <f>IF(AND(WSSBK!$J$16&gt;=75,WSSBK!$J$16&lt;=83.24),"P","")</f>
        <v/>
      </c>
      <c r="TH8" s="102" t="str">
        <f>IF(AND(WSSBK!$J$16&gt;=83.25,WSSBK!$J$16&lt;=91.4),"P","")</f>
        <v/>
      </c>
      <c r="TI8" s="102" t="str">
        <f>IF(AND(WSSBK!$J$16&gt;=91.5,WSSBK!$J$16&lt;=100),"P","")</f>
        <v>P</v>
      </c>
      <c r="TJ8" t="str">
        <f>IF(WSSBK!$J$26&lt;74.9,"P","")</f>
        <v/>
      </c>
      <c r="TK8" s="102" t="str">
        <f>IF(AND(WSSBK!$J$26&gt;=75,WSSBK!$J$26&lt;=83.24),"P","")</f>
        <v/>
      </c>
      <c r="TL8" s="102" t="str">
        <f>IF(AND(WSSBK!$J$26&gt;=83.25,WSSBK!$J$26&lt;=91.4),"P","")</f>
        <v/>
      </c>
      <c r="TM8" s="102" t="str">
        <f>IF(AND(WSSBK!$J$26&gt;=91.5,WSSBK!$J$26&lt;=100),"P","")</f>
        <v>P</v>
      </c>
      <c r="TN8" t="str">
        <f>IF(WSSBK!$J$36&lt;74.9,"P","")</f>
        <v/>
      </c>
      <c r="TO8" s="102" t="str">
        <f>IF(AND(WSSBK!$J$36&gt;=75,WSSBK!$J$36&lt;=83.24),"P","")</f>
        <v/>
      </c>
      <c r="TP8" s="102" t="str">
        <f>IF(AND(WSSBK!$J$36&gt;=83.25,WSSBK!$J$36&lt;=91.4),"P","")</f>
        <v/>
      </c>
      <c r="TQ8" s="102" t="str">
        <f>IF(AND(WSSBK!$J$36&gt;=91.5,WSSBK!$J$36&lt;=100),"P","")</f>
        <v>P</v>
      </c>
      <c r="TR8" t="str">
        <f>IF(WSSBK!$J$46&lt;74.9,"P","")</f>
        <v/>
      </c>
      <c r="TS8" s="102" t="str">
        <f>IF(AND(WSSBK!$J$46&gt;=75,WSSBK!$J$46&lt;=83.24),"P","")</f>
        <v/>
      </c>
      <c r="TT8" s="102" t="str">
        <f>IF(AND(WSSBK!$J$46&gt;=83.25,WSSBK!$J$46&lt;=91.4),"P","")</f>
        <v/>
      </c>
      <c r="TU8" s="102" t="str">
        <f>IF(AND(WSSBK!$J$46&gt;=91.5,WSSBK!$J$46&lt;=100),"P","")</f>
        <v>P</v>
      </c>
      <c r="TV8" t="str">
        <f>IF(WSSBK!$J$58&lt;74.9,"P","")</f>
        <v/>
      </c>
      <c r="TW8" s="102" t="str">
        <f>IF(AND(WSSBK!$J$58&gt;=75,WSSBK!$J$58&lt;=83.24),"P","")</f>
        <v/>
      </c>
      <c r="TX8" s="102" t="str">
        <f>IF(AND(WSSBK!$J$58&gt;=83.25,WSSBK!$J$58&lt;=91.4),"P","")</f>
        <v/>
      </c>
      <c r="TY8" s="102" t="str">
        <f>IF(AND(WSSBK!$J$58&gt;=91.5,WSSBK!$J$58&lt;=100),"P","")</f>
        <v>P</v>
      </c>
      <c r="TZ8" t="str">
        <f>IF(WSSBK!$J$68&lt;74.9,"P","")</f>
        <v/>
      </c>
      <c r="UA8" s="102" t="str">
        <f>IF(AND(WSSBK!$J$68&gt;=75,WSSBK!$J$68&lt;=83.24),"P","")</f>
        <v/>
      </c>
      <c r="UB8" s="102" t="str">
        <f>IF(AND(WSSBK!$J$68&gt;=83.25,WSSBK!$J$68&lt;=91.4),"P","")</f>
        <v/>
      </c>
      <c r="UC8" s="102" t="str">
        <f>IF(AND(WSSBK!$J$68&gt;=91.5,WSSBK!$J$68&lt;=100),"P","")</f>
        <v>P</v>
      </c>
      <c r="UD8" t="str">
        <f>IF(WSSBK!$J$77&lt;74.9,"P","")</f>
        <v/>
      </c>
      <c r="UE8" s="102" t="str">
        <f>IF(AND(WSSBK!$J$77&gt;=75,WSSBK!$J$77&lt;=83.24),"P","")</f>
        <v/>
      </c>
      <c r="UF8" s="102" t="str">
        <f>IF(AND(WSSBK!$J$77&gt;=83.25,WSSBK!$J$77&lt;=91.4),"P","")</f>
        <v/>
      </c>
      <c r="UG8" s="102" t="str">
        <f>IF(AND(WSSBK!$J$77&gt;=91.5,WSSBK!$J$77&lt;=100),"P","")</f>
        <v>P</v>
      </c>
      <c r="UH8" t="str">
        <f>IF(WSSBK!$J$87&lt;74.9,"P","")</f>
        <v/>
      </c>
      <c r="UI8" s="102" t="str">
        <f>IF(AND(WSSBK!$J$87&gt;=75,WSSBK!$J$87&lt;=83.24),"P","")</f>
        <v/>
      </c>
      <c r="UJ8" s="102" t="str">
        <f>IF(AND(WSSBK!$J$87&gt;=83.25,WSSBK!$J$87&lt;=91.4),"P","")</f>
        <v/>
      </c>
      <c r="UK8" s="102" t="str">
        <f>IF(AND(WSSBK!$J$87&gt;=91.5,WSSBK!$J$87&lt;=100),"P","")</f>
        <v/>
      </c>
      <c r="UL8" t="str">
        <f>IF(WSSBK!$J$95&lt;74.9,"P","")</f>
        <v/>
      </c>
      <c r="UM8" s="102" t="str">
        <f>IF(AND(WSSBK!$J$95&gt;=75,WSSBK!$J$95&lt;=83.24),"P","")</f>
        <v/>
      </c>
      <c r="UN8" s="102" t="str">
        <f>IF(AND(WSSBK!$J$95&gt;=83.25,WSSBK!$J$95&lt;=91.4),"P","")</f>
        <v/>
      </c>
      <c r="UO8" s="102" t="str">
        <f>IF(AND(WSSBK!$J$95&gt;=91.5,WSSBK!$J$95&lt;=100),"P","")</f>
        <v/>
      </c>
      <c r="UP8" t="str">
        <f>IF(WSSBK!$J$103&lt;74.9,"P","")</f>
        <v/>
      </c>
      <c r="UQ8" s="102" t="str">
        <f>IF(AND(WSSBK!$J$103&gt;=75,WSSBK!$J$103&lt;=83.24),"P","")</f>
        <v/>
      </c>
      <c r="UR8" s="102" t="str">
        <f>IF(AND(WSSBK!$J$103&gt;=83.25,WSSBK!$J$103&lt;=91.4),"P","")</f>
        <v/>
      </c>
      <c r="US8" s="102" t="str">
        <f>IF(AND(WSSBK!$J$103&gt;=91.5,WSSBK!$J$103&lt;=100),"P","")</f>
        <v/>
      </c>
      <c r="UT8" t="str">
        <f>IF(WSSBK!$J$111&lt;74.9,"P","")</f>
        <v/>
      </c>
      <c r="UU8" s="102" t="str">
        <f>IF(AND(WSSBK!$J$111&gt;=75,WSSBK!$J$111&lt;=83.24),"P","")</f>
        <v/>
      </c>
      <c r="UV8" s="102" t="str">
        <f>IF(AND(WSSBK!$J$111&gt;=83.25,WSSBK!$J$111&lt;=91.4),"P","")</f>
        <v/>
      </c>
      <c r="UW8" s="102" t="str">
        <f>IF(AND(WSSBK!$J$111&gt;=91.5,WSSBK!$J$111&lt;=100),"P","")</f>
        <v/>
      </c>
      <c r="UX8" t="str">
        <f>IF(WSSBK!$J$119&lt;74.9,"P","")</f>
        <v/>
      </c>
      <c r="UY8" s="102" t="str">
        <f>IF(AND(WSSBK!$J$119&gt;=75,WSSBK!$J$119&lt;=83.24),"P","")</f>
        <v/>
      </c>
      <c r="UZ8" s="102" t="str">
        <f>IF(AND(WSSBK!$J$119&gt;=83.25,WSSBK!$J$119&lt;=91.4),"P","")</f>
        <v/>
      </c>
      <c r="VA8" s="102" t="str">
        <f>IF(AND(WSSBK!$J$119&gt;=91.5,WSSBK!$J$119&lt;=100),"P","")</f>
        <v/>
      </c>
      <c r="VB8" s="102" t="str">
        <f>IF(AND(WSPENJAS!$J$6&gt;0,WSPENJAS!$J$6&lt;=74.9),"P","")</f>
        <v/>
      </c>
      <c r="VC8" s="102" t="str">
        <f>IF(AND(WSPENJAS!$J$6&gt;=75,WSPENJAS!$J$6&lt;=83.24),"P","")</f>
        <v/>
      </c>
      <c r="VD8" s="102" t="str">
        <f>IF(AND(WSPENJAS!$J$6&gt;=83.25,WSPENJAS!$J$6&lt;=91.4),"P","")</f>
        <v>P</v>
      </c>
      <c r="VE8" s="102" t="str">
        <f>IF(AND(WSPENJAS!$J$6&gt;=91.5,WSPENJAS!$J$6&lt;=100),"P","")</f>
        <v/>
      </c>
      <c r="VF8" s="102" t="str">
        <f>IF(AND(WSPENJAS!$J$7&gt;0,WSPENJAS!$J$7&lt;=74.9),"P","")</f>
        <v/>
      </c>
      <c r="VG8" s="102" t="str">
        <f>IF(AND(WSPENJAS!$J$7&gt;=75,WSPENJAS!$J$7&lt;=83.24),"P","")</f>
        <v/>
      </c>
      <c r="VH8" s="102" t="str">
        <f>IF(AND(WSPENJAS!$J$7&gt;=83.25,WSPENJAS!$J$7&lt;=91.4),"P","")</f>
        <v>P</v>
      </c>
      <c r="VI8" s="102" t="str">
        <f>IF(AND(WSPENJAS!$J$7&gt;=91.5,WSPENJAS!$J$7&lt;=100),"P","")</f>
        <v/>
      </c>
      <c r="VJ8" s="102" t="str">
        <f>IF(AND(WSPENJAS!$J$8&gt;0,WSPENJAS!$J$8&lt;=74.9),"P","")</f>
        <v/>
      </c>
      <c r="VK8" s="102" t="str">
        <f>IF(AND(WSPENJAS!$J$8&gt;=75,WSPENJAS!$J$8&lt;=83.24),"P","")</f>
        <v/>
      </c>
      <c r="VL8" s="102" t="str">
        <f>IF(AND(WSPENJAS!$J$8&gt;=83.25,WSPENJAS!$J$8&lt;=91.4),"P","")</f>
        <v>P</v>
      </c>
      <c r="VM8" s="102" t="str">
        <f>IF(AND(WSPENJAS!$J$8&gt;=91.5,WSPENJAS!$J$8&lt;=100),"P","")</f>
        <v/>
      </c>
      <c r="VN8" s="102" t="str">
        <f>IF(AND(WSPENJAS!$J$9&gt;0,WSPENJAS!$J$9&lt;=74.9),"P","")</f>
        <v/>
      </c>
      <c r="VO8" s="102" t="str">
        <f>IF(AND(WSPENJAS!$J$9&gt;=75,WSPENJAS!$J$9&lt;=83.24),"P","")</f>
        <v/>
      </c>
      <c r="VP8" s="102" t="str">
        <f>IF(AND(WSPENJAS!$J$9&gt;=83.25,WSPENJAS!$J$9&lt;=91.4),"P","")</f>
        <v>P</v>
      </c>
      <c r="VQ8" s="102" t="str">
        <f>IF(AND(WSPENJAS!$J$9&gt;=91.5,WSPENJAS!$J$9&lt;=100),"P","")</f>
        <v/>
      </c>
      <c r="VR8" s="102" t="str">
        <f>IF(AND(WSPENJAS!$J$10&gt;0,WSPENJAS!$J$10&lt;=74.9),"P","")</f>
        <v/>
      </c>
      <c r="VS8" s="102" t="str">
        <f>IF(AND(WSPENJAS!$J$10&gt;=75,WSPENJAS!$J$10&lt;=83.24),"P","")</f>
        <v/>
      </c>
      <c r="VT8" s="102" t="str">
        <f>IF(AND(WSPENJAS!$J$10&gt;=83.25,WSPENJAS!$J$10&lt;=91.4),"P","")</f>
        <v>P</v>
      </c>
      <c r="VU8" s="102" t="str">
        <f>IF(AND(WSPENJAS!$J$10&gt;=91.5,WSPENJAS!$J$10&lt;=100),"P","")</f>
        <v/>
      </c>
      <c r="VV8" s="102" t="str">
        <f>IF(AND(WSPENJAS!$J$11&gt;0,WSPENJAS!$J$11&lt;=74.9),"P","")</f>
        <v/>
      </c>
      <c r="VW8" s="102" t="str">
        <f>IF(AND(WSPENJAS!$J$411&gt;=75,WSPENJAS!$J$411&lt;=83.24),"P","")</f>
        <v/>
      </c>
      <c r="VX8" s="102" t="str">
        <f>IF(AND(WSPENJAS!$J$411&gt;=83.25,WSPENJAS!$J$411&lt;=91.4),"P","")</f>
        <v/>
      </c>
      <c r="VY8" s="102" t="str">
        <f>IF(AND(WSPENJAS!$J$411&gt;=91.5,WSPENJAS!$J$411&lt;=100),"P","")</f>
        <v/>
      </c>
      <c r="VZ8" s="102" t="str">
        <f>IF(AND(WSPENJAS!$J$12&gt;0,WSPENJAS!$J$12&lt;=74.9),"P","")</f>
        <v/>
      </c>
      <c r="WA8" s="102" t="str">
        <f>IF(AND(WSPENJAS!$J$12&gt;=75,WSPENJAS!$J$12&lt;=83.24),"P","")</f>
        <v/>
      </c>
      <c r="WB8" s="102" t="str">
        <f>IF(AND(WSPENJAS!$J$12&gt;=83.25,WSPENJAS!$J$12&lt;=91.4),"P","")</f>
        <v>P</v>
      </c>
      <c r="WC8" s="102" t="str">
        <f>IF(AND(WSPENJAS!$J$12&gt;=91.5,WSPENJAS!$J$12&lt;=100),"P","")</f>
        <v/>
      </c>
      <c r="WD8" s="102" t="str">
        <f>IF(AND(WSPENJAS!$J$13&gt;0,WSPENJAS!$J$13&lt;=74.9),"P","")</f>
        <v/>
      </c>
      <c r="WE8" s="102" t="str">
        <f>IF(AND(WSPENJAS!$J$13&gt;=75,WSPENJAS!$J$13&lt;=83.24),"P","")</f>
        <v/>
      </c>
      <c r="WF8" s="102" t="str">
        <f>IF(AND(WSPENJAS!$J$13&gt;=83.25,WSPENJAS!$J$13&lt;=91.4),"P","")</f>
        <v>P</v>
      </c>
      <c r="WG8" s="102" t="str">
        <f>IF(AND(WSPENJAS!$J$13&gt;=91.5,WSPENJAS!$J$13&lt;=100),"P","")</f>
        <v/>
      </c>
      <c r="WH8" s="102" t="str">
        <f>IF(AND(WSPENJAS!$J$14&gt;0,WSPENJAS!$J$14&lt;=74.9),"P","")</f>
        <v/>
      </c>
      <c r="WI8" s="102" t="str">
        <f>IF(AND(WSPENJAS!$J$14&gt;=75,WSPENJAS!$J$14&lt;=83.24),"P","")</f>
        <v/>
      </c>
      <c r="WJ8" s="102" t="str">
        <f>IF(AND(WSPENJAS!$J$14&gt;=83.25,WSPENJAS!$J$14&lt;=91.4),"P","")</f>
        <v>P</v>
      </c>
      <c r="WK8" s="102" t="str">
        <f>IF(AND(WSPENJAS!$J$14&gt;=91.5,WSPENJAS!$J$14&lt;=100),"P","")</f>
        <v/>
      </c>
      <c r="WL8" s="102" t="str">
        <f>IF(AND(WSPENJAS!$J$15&gt;0,WSPENJAS!$J$15&lt;=74.9),"P","")</f>
        <v/>
      </c>
      <c r="WM8" s="102" t="str">
        <f>IF(AND(WSPENJAS!$J$15&gt;=75,WSPENJAS!$J$15&lt;=83.24),"P","")</f>
        <v/>
      </c>
      <c r="WN8" s="102" t="str">
        <f>IF(AND(WSPENJAS!$J$15&gt;=83.25,WSPENJAS!$J$15&lt;=91.4),"P","")</f>
        <v>P</v>
      </c>
      <c r="WO8" s="102" t="str">
        <f>IF(AND(WSPENJAS!$J$15&gt;=91.5,WSPENJAS!$J$15&lt;=100),"P","")</f>
        <v/>
      </c>
      <c r="WP8" s="102" t="str">
        <f>IF(AND(WSPENJAS!$J$16&gt;0,WSPENJAS!$J$16&lt;=74.9),"P","")</f>
        <v/>
      </c>
      <c r="WQ8" s="102" t="str">
        <f>IF(AND(WSPENJAS!$J$16&gt;=75,WSPENJAS!$J$16&lt;=83.24),"P","")</f>
        <v/>
      </c>
      <c r="WR8" s="102" t="str">
        <f>IF(AND(WSPENJAS!$J$16&gt;=83.25,WSPENJAS!$J$16&lt;=91.4),"P","")</f>
        <v/>
      </c>
      <c r="WS8" s="102" t="str">
        <f>IF(AND(WSPENJAS!$J$16&gt;=91.5,WSPENJAS!$J$16&lt;=100),"P","")</f>
        <v/>
      </c>
      <c r="WT8" s="102" t="str">
        <f>IF(AND(WSPENJAS!$J$17&gt;0,WSPENJAS!$J$17&lt;=74.9),"P","")</f>
        <v/>
      </c>
      <c r="WU8" s="102" t="str">
        <f>IF(AND(WSPENJAS!$J$17&gt;=75,WSPENJAS!$J$17&lt;=83.24),"P","")</f>
        <v/>
      </c>
      <c r="WV8" s="102" t="str">
        <f>IF(AND(WSPENJAS!$J$17&gt;=83.25,WSPENJAS!$J$17&lt;=91.4),"P","")</f>
        <v/>
      </c>
      <c r="WW8" s="102" t="str">
        <f>IF(AND(WSPENJAS!$J$17&gt;=91.5,WSPENJAS!$J$17&lt;=100),"P","")</f>
        <v/>
      </c>
      <c r="WX8" s="102" t="str">
        <f>IF(AND(WSPENJAS!$J$18&gt;0,WSPENJAS!$J$18&lt;=74.9),"P","")</f>
        <v/>
      </c>
      <c r="WY8" s="102" t="str">
        <f>IF(AND(WSPENJAS!$J$18&gt;=75,WSPENJAS!$J$18&lt;=83.24),"P","")</f>
        <v/>
      </c>
      <c r="WZ8" s="102" t="str">
        <f>IF(AND(WSPENJAS!$J$18&gt;=83.25,WSPENJAS!$J$18&lt;=91.4),"P","")</f>
        <v/>
      </c>
      <c r="XA8" s="102" t="str">
        <f>IF(AND(WSPENJAS!$J$18&gt;=91.5,WSPENJAS!$J$18&lt;=100),"P","")</f>
        <v/>
      </c>
      <c r="XB8" s="102" t="str">
        <f>IF(AND(WSPENJAS!$J$19&gt;0,WSPENJAS!$J$19&lt;=74.9),"P","")</f>
        <v/>
      </c>
      <c r="XC8" s="102" t="str">
        <f>IF(AND(WSPENJAS!$J$19&gt;=75,WSPENJAS!$J$19&lt;=83.24),"P","")</f>
        <v/>
      </c>
      <c r="XD8" s="102" t="str">
        <f>IF(AND(WSPENJAS!$J$19&gt;=83.25,WSPENJAS!$J$19&lt;=91.4),"P","")</f>
        <v/>
      </c>
      <c r="XE8" s="102" t="str">
        <f>IF(AND(WSPENJAS!$J$19&gt;=91.5,WSPENJAS!$J$19&lt;=100),"P","")</f>
        <v/>
      </c>
      <c r="XF8" s="102" t="str">
        <f>IF(AND(WSPENJAS!$J$20&gt;0,WSPENJAS!$J$20&lt;=74.9),"P","")</f>
        <v/>
      </c>
      <c r="XG8" s="102" t="str">
        <f>IF(AND(WSPENJAS!$J$20&gt;=75,WSPENJAS!$J$20&lt;=83.24),"P","")</f>
        <v/>
      </c>
      <c r="XH8" s="102" t="str">
        <f>IF(AND(WSPENJAS!$J$20&gt;=83.25,WSPENJAS!$J$20&lt;=91.4),"P","")</f>
        <v/>
      </c>
      <c r="XI8" s="102" t="str">
        <f>IF(AND(WSPENJAS!$J$20&gt;=91.5,WSPENJAS!$J$20&lt;=100),"P","")</f>
        <v/>
      </c>
      <c r="XJ8" s="102" t="str">
        <f>IF(AND(WSPENJAS!$J$21&gt;0,WSPENJAS!$J$21&lt;=74.9),"P","")</f>
        <v/>
      </c>
      <c r="XK8" s="102" t="str">
        <f>IF(AND(WSPENJAS!$J$21&gt;=75,WSPENJAS!$J$21&lt;=83.24),"P","")</f>
        <v/>
      </c>
      <c r="XL8" s="102" t="str">
        <f>IF(AND(WSPENJAS!$J$21&gt;=83.25,WSPENJAS!$J$21&lt;=91.4),"P","")</f>
        <v/>
      </c>
      <c r="XM8" s="102" t="str">
        <f>IF(AND(WSPENJAS!$J$21&gt;=91.5,WSPENJAS!$J$21&lt;=100),"P","")</f>
        <v/>
      </c>
      <c r="XN8" t="str">
        <f>IF(WSJAWA!$J$6&lt;74.9,"P","")</f>
        <v/>
      </c>
      <c r="XO8" s="102" t="str">
        <f>IF(AND(WSJAWA!$J$6&gt;=75,WSJAWA!$J$6&lt;=83.24),"P","")</f>
        <v/>
      </c>
      <c r="XP8" s="102" t="str">
        <f>IF(AND(WSJAWA!$J$6&gt;=83.25,WSJAWA!$J$6&lt;=91.4),"P","")</f>
        <v/>
      </c>
      <c r="XQ8" s="102" t="str">
        <f>IF(AND(WSJAWA!$J$6&gt;=91.5,WSJAWA!$J$6&lt;=100),"P","")</f>
        <v>P</v>
      </c>
      <c r="XR8" t="str">
        <f>IF(WSJAWA!$J$14&lt;74.9,"P","")</f>
        <v/>
      </c>
      <c r="XS8" s="102" t="str">
        <f>IF(AND(WSJAWA!$J$14&gt;=75,WSJAWA!$J$14&lt;=83.24),"P","")</f>
        <v/>
      </c>
      <c r="XT8" s="102" t="str">
        <f>IF(AND(WSJAWA!$J$14&gt;=83.25,WSJAWA!$J$14&lt;=91.4),"P","")</f>
        <v/>
      </c>
      <c r="XU8" s="102" t="str">
        <f>IF(AND(WSJAWA!$J$14&gt;=91.5,WSJAWA!$J$14&lt;=100),"P","")</f>
        <v>P</v>
      </c>
      <c r="XV8" t="str">
        <f>IF(WSJAWA!$J$22&lt;74.9,"P","")</f>
        <v/>
      </c>
      <c r="XW8" s="102" t="str">
        <f>IF(AND(WSJAWA!$J$22&gt;=75,WSJAWA!$J$22&lt;=83.24),"P","")</f>
        <v/>
      </c>
      <c r="XX8" s="102" t="str">
        <f>IF(AND(WSJAWA!$J$22&gt;=83.25,WSJAWA!$J$22&lt;=91.4),"P","")</f>
        <v/>
      </c>
      <c r="XY8" s="102" t="str">
        <f>IF(AND(WSJAWA!$J$22&gt;=91.5,WSJAWA!$J$22&lt;=100),"P","")</f>
        <v>P</v>
      </c>
      <c r="XZ8" t="str">
        <f>IF(WSJAWA!$J$30&lt;74.9,"P","")</f>
        <v/>
      </c>
      <c r="YA8" s="102" t="str">
        <f>IF(AND(WSJAWA!$J$30&gt;=75,WSJAWA!$J$30&lt;=83.24),"P","")</f>
        <v/>
      </c>
      <c r="YB8" s="102" t="str">
        <f>IF(AND(WSJAWA!$J$30&gt;=83.25,WSJAWA!$J$30&lt;=91.4),"P","")</f>
        <v/>
      </c>
      <c r="YC8" s="102" t="str">
        <f>IF(AND(WSJAWA!$J$30&gt;=91.5,WSJAWA!$J$30&lt;=100),"P","")</f>
        <v>P</v>
      </c>
      <c r="YD8" t="str">
        <f>IF(WSJAWA!$J$38&lt;74.9,"P","")</f>
        <v/>
      </c>
      <c r="YE8" s="102" t="str">
        <f>IF(AND(WSJAWA!$J$38&gt;=75,WSJAWA!$J$38&lt;=83.24),"P","")</f>
        <v/>
      </c>
      <c r="YF8" s="102" t="str">
        <f>IF(AND(WSJAWA!$J$38&gt;=83.25,WSJAWA!$J$38&lt;=91.4),"P","")</f>
        <v/>
      </c>
      <c r="YG8" s="102" t="str">
        <f>IF(AND(WSJAWA!$J$38&gt;=91.5,WSJAWA!$J$38&lt;=100),"P","")</f>
        <v>P</v>
      </c>
      <c r="YH8" t="str">
        <f>IF(WSJAWA!$J$46&lt;74.9,"P","")</f>
        <v/>
      </c>
      <c r="YI8" s="102" t="str">
        <f>IF(AND(WSJAWA!$J$46&gt;=75,WSJAWA!$J$46&lt;=83.24),"P","")</f>
        <v/>
      </c>
      <c r="YJ8" s="102" t="str">
        <f>IF(AND(WSJAWA!$J$46&gt;=83.25,WSJAWA!$J$46&lt;=91.4),"P","")</f>
        <v/>
      </c>
      <c r="YK8" s="102" t="str">
        <f>IF(AND(WSJAWA!$J$46&gt;=91.5,WSJAWA!$J$46&lt;=100),"P","")</f>
        <v>P</v>
      </c>
      <c r="YL8" t="str">
        <f>IF(WSJAWA!$J$54&lt;74.9,"P","")</f>
        <v/>
      </c>
      <c r="YM8" s="102" t="str">
        <f>IF(AND(WSJAWA!$J$54&gt;=75,WSJAWA!$J$54&lt;=83.24),"P","")</f>
        <v/>
      </c>
      <c r="YN8" s="102" t="str">
        <f>IF(AND(WSJAWA!$J$54&gt;=83.25,WSJAWA!$J$54&lt;=91.4),"P","")</f>
        <v/>
      </c>
      <c r="YO8" s="102" t="str">
        <f>IF(AND(WSJAWA!$J$54&gt;=91.5,WSJAWA!$J$54&lt;=100),"P","")</f>
        <v>P</v>
      </c>
      <c r="YP8" t="str">
        <f>IF(WSJAWA!$J$62&lt;74.9,"P","")</f>
        <v/>
      </c>
      <c r="YQ8" s="102" t="str">
        <f>IF(AND(WSJAWA!$J$62&gt;=75,WSJAWA!$J$62&lt;=83.24),"P","")</f>
        <v/>
      </c>
      <c r="YR8" s="102" t="str">
        <f>IF(AND(WSJAWA!$J$62&gt;=83.25,WSJAWA!$J$62&lt;=91.4),"P","")</f>
        <v>P</v>
      </c>
      <c r="YS8" s="102" t="str">
        <f>IF(AND(WSJAWA!$J$62&gt;=91.5,WSJAWA!$J$62&lt;=100),"P","")</f>
        <v/>
      </c>
      <c r="YT8" t="str">
        <f>IF(WSJAWA!$J$70&lt;74.9,"P","")</f>
        <v/>
      </c>
      <c r="YU8" s="102" t="str">
        <f>IF(AND(WSJAWA!$J$70&gt;=75,WSJAWA!$J$70&lt;=83.24),"P","")</f>
        <v/>
      </c>
      <c r="YV8" s="102" t="str">
        <f>IF(AND(WSJAWA!$J$70&gt;=83.25,WSJAWA!$J$70&lt;=91.4),"P","")</f>
        <v/>
      </c>
      <c r="YW8" s="102" t="str">
        <f>IF(AND(WSJAWA!$J$70&gt;=91.5,WSJAWA!$J$70&lt;=100),"P","")</f>
        <v/>
      </c>
      <c r="YX8" t="str">
        <f>IF(WSJAWA!$J$78&lt;74.9,"P","")</f>
        <v/>
      </c>
      <c r="YY8" s="102" t="str">
        <f>IF(AND(WSJAWA!$J$78&gt;=75,WSJAWA!$J$78&lt;=83.24),"P","")</f>
        <v/>
      </c>
      <c r="YZ8" s="102" t="str">
        <f>IF(AND(WSJAWA!$J$78&gt;=83.25,WSJAWA!$J$78&lt;=91.4),"P","")</f>
        <v/>
      </c>
      <c r="ZA8" s="102" t="str">
        <f>IF(AND(WSJAWA!$J$78&gt;=91.5,WSJAWA!$J$78&lt;=100),"P","")</f>
        <v/>
      </c>
      <c r="ZB8" t="str">
        <f>IF(WSJAWA!$J$86&lt;74.9,"P","")</f>
        <v/>
      </c>
      <c r="ZC8" s="102" t="str">
        <f>IF(AND(WSJAWA!$J$86&gt;=75,WSJAWA!$J$86&lt;=83.24),"P","")</f>
        <v/>
      </c>
      <c r="ZD8" s="102" t="str">
        <f>IF(AND(WSJAWA!$J$86&gt;=83.25,WSJAWA!$J$86&lt;=91.4),"P","")</f>
        <v/>
      </c>
      <c r="ZE8" s="102" t="str">
        <f>IF(AND(WSJAWA!$J$86&gt;=91.5,WSJAWA!$J$86&lt;=100),"P","")</f>
        <v/>
      </c>
      <c r="ZF8" t="str">
        <f>IF(WSJAWA!$J$94&lt;74.9,"P","")</f>
        <v/>
      </c>
      <c r="ZG8" s="102" t="str">
        <f>IF(AND(WSJAWA!$J$94&gt;=75,WSJAWA!$J$94&lt;=83.24),"P","")</f>
        <v/>
      </c>
      <c r="ZH8" s="102" t="str">
        <f>IF(AND(WSJAWA!$J$94&gt;=83.25,WSJAWA!$J$94&lt;=91.4),"P","")</f>
        <v/>
      </c>
      <c r="ZI8" s="102" t="str">
        <f>IF(AND(WSJAWA!$J$94&gt;=91.5,WSJAWA!$J$94&lt;=100),"P","")</f>
        <v/>
      </c>
      <c r="ZJ8" t="str">
        <f>IF(WSJAWA!$J$102&lt;74.9,"P","")</f>
        <v/>
      </c>
      <c r="ZK8" s="102" t="str">
        <f>IF(AND(WSJAWA!$J$102&gt;=75,WSJAWA!$J$102&lt;=83.24),"P","")</f>
        <v/>
      </c>
      <c r="ZL8" s="102" t="str">
        <f>IF(AND(WSJAWA!$J$102&gt;=83.25,WSJAWA!$J$102&lt;=91.4),"P","")</f>
        <v/>
      </c>
      <c r="ZM8" s="102" t="str">
        <f>IF(AND(WSJAWA!$J$102&gt;=91.5,WSJAWA!$J$102&lt;=100),"P","")</f>
        <v/>
      </c>
      <c r="ZN8" t="str">
        <f>IF(WSING!$J$6&lt;74.9,"P","")</f>
        <v/>
      </c>
      <c r="ZO8" s="102" t="str">
        <f>IF(AND(WSING!$J$6&gt;=75,WSING!$J$6&lt;=83.24),"P","")</f>
        <v/>
      </c>
      <c r="ZP8" s="102" t="str">
        <f>IF(AND(WSING!$J$6&gt;=83.25,WSING!$J$6&lt;=91.4),"P","")</f>
        <v/>
      </c>
      <c r="ZQ8" s="102" t="str">
        <f>IF(AND(WSING!$J$6&gt;=91.5,WSING!$J$6&lt;=100),"P","")</f>
        <v>P</v>
      </c>
      <c r="ZR8" t="str">
        <f>IF(WSING!$J$15&lt;74.9,"P","")</f>
        <v/>
      </c>
      <c r="ZS8" s="102" t="str">
        <f>IF(AND(WSING!$J$15&gt;=75,WSING!$J$15&lt;=83.24),"P","")</f>
        <v/>
      </c>
      <c r="ZT8" s="102" t="str">
        <f>IF(AND(WSING!$J$15&gt;=83.25,WSING!$J$15&lt;=91.4),"P","")</f>
        <v/>
      </c>
      <c r="ZU8" s="102" t="str">
        <f>IF(AND(WSING!$J$15&gt;=91.5,WSING!$J$15&lt;=100),"P","")</f>
        <v>P</v>
      </c>
      <c r="ZV8" t="str">
        <f>IF(WSING!$J$24&lt;74.9,"P","")</f>
        <v/>
      </c>
      <c r="ZW8" s="102" t="str">
        <f>IF(AND(WSING!$J$24&gt;=75,WSING!$J$24&lt;=83.24),"P","")</f>
        <v/>
      </c>
      <c r="ZX8" s="102" t="str">
        <f>IF(AND(WSING!$J$24&gt;=83.25,WSING!$J$24&lt;=91.4),"P","")</f>
        <v/>
      </c>
      <c r="ZY8" s="102" t="str">
        <f>IF(AND(WSING!$J$24&gt;=91.5,WSING!$J$24&lt;=100),"P","")</f>
        <v>P</v>
      </c>
      <c r="ZZ8" t="str">
        <f>IF(WSING!$J$33&lt;74.9,"P","")</f>
        <v/>
      </c>
      <c r="AAA8" s="102" t="str">
        <f>IF(AND(WSING!$J$33&gt;=75,WSING!$J$33&lt;=83.24),"P","")</f>
        <v/>
      </c>
      <c r="AAB8" s="102" t="str">
        <f>IF(AND(WSING!$J$33&gt;=83.25,WSING!$J$33&lt;=91.4),"P","")</f>
        <v/>
      </c>
      <c r="AAC8" s="102" t="str">
        <f>IF(AND(WSING!$J$33&gt;=91.5,WSING!$J$33&lt;=100),"P","")</f>
        <v>P</v>
      </c>
      <c r="AAD8" t="str">
        <f>IF(WSING!$J$42&lt;74.9,"P","")</f>
        <v/>
      </c>
      <c r="AAE8" s="102" t="str">
        <f>IF(AND(WSING!$J$42&gt;=75,WSING!$J$42&lt;=83.24),"P","")</f>
        <v/>
      </c>
      <c r="AAF8" s="102" t="str">
        <f>IF(AND(WSING!$J$42&gt;=83.25,WSING!$J$42&lt;=91.4),"P","")</f>
        <v/>
      </c>
      <c r="AAG8" s="102" t="str">
        <f>IF(AND(WSING!$J$42&gt;=91.5,WSING!$J$42&lt;=100),"P","")</f>
        <v/>
      </c>
      <c r="AAH8" t="str">
        <f>IF(WSING!$J$50&lt;74.9,"P","")</f>
        <v/>
      </c>
      <c r="AAI8" s="102" t="str">
        <f>IF(AND(WSING!$J$50&gt;=75,WSING!$J$50&lt;=83.24),"P","")</f>
        <v/>
      </c>
      <c r="AAJ8" s="102" t="str">
        <f>IF(AND(WSING!$J$50&gt;=83.25,WSING!$J$50&lt;=91.4),"P","")</f>
        <v/>
      </c>
      <c r="AAK8" s="102" t="str">
        <f>IF(AND(WSING!$J$50&gt;=91.5,WSING!$J$50&lt;=100),"P","")</f>
        <v/>
      </c>
      <c r="AAL8" t="str">
        <f>IF(WSING!$J$58&lt;74.9,"P","")</f>
        <v/>
      </c>
      <c r="AAM8" s="102" t="str">
        <f>IF(AND(WSING!$J$58&gt;=75,WSING!$J$58&lt;=83.24),"P","")</f>
        <v/>
      </c>
      <c r="AAN8" s="102" t="str">
        <f>IF(AND(WSING!$J$58&gt;=83.25,WSING!$J$58&lt;=91.4),"P","")</f>
        <v/>
      </c>
      <c r="AAO8" s="102" t="str">
        <f>IF(AND(WSING!$J$58&gt;=91.5,WSING!$J$58&lt;=100),"P","")</f>
        <v/>
      </c>
      <c r="AAP8" t="str">
        <f>IF(WSING!$J$66&lt;74.9,"P","")</f>
        <v/>
      </c>
      <c r="AAQ8" s="102" t="str">
        <f>IF(AND(WSING!$J$66&gt;=75,WSING!$J$66&lt;=83.24),"P","")</f>
        <v/>
      </c>
      <c r="AAR8" s="102" t="str">
        <f>IF(AND(WSING!$J$66&gt;=83.25,WSING!$J$66&lt;=91.4),"P","")</f>
        <v/>
      </c>
      <c r="AAS8" s="102" t="str">
        <f>IF(AND(WSING!$J$66&gt;=91.5,WSING!$J$66&lt;=100),"P","")</f>
        <v/>
      </c>
      <c r="AAT8" t="str">
        <f>IF(WSING!$J$74&lt;74.9,"P","")</f>
        <v/>
      </c>
      <c r="AAU8" s="102" t="str">
        <f>IF(AND(WSING!$J$74&gt;=75,WSING!$J$74&lt;=83.24),"P","")</f>
        <v/>
      </c>
      <c r="AAV8" s="102" t="str">
        <f>IF(AND(WSING!$J$74&gt;=83.25,WSING!$J$74&lt;=91.4),"P","")</f>
        <v/>
      </c>
      <c r="AAW8" s="102" t="str">
        <f>IF(AND(WSING!$J$74&gt;=91.5,WSING!$J$74&lt;=100),"P","")</f>
        <v/>
      </c>
      <c r="AAX8" t="str">
        <f>IF(WSING!$J$82&lt;74.9,"P","")</f>
        <v/>
      </c>
      <c r="AAY8" s="102" t="str">
        <f>IF(AND(WSING!$J$82&gt;=75,WSING!$J$82&lt;=83.24),"P","")</f>
        <v/>
      </c>
      <c r="AAZ8" s="102" t="str">
        <f>IF(AND(WSING!$J$82&gt;=83.25,WSING!$J$82&lt;=91.4),"P","")</f>
        <v/>
      </c>
      <c r="ABA8" s="102" t="str">
        <f>IF(AND(WSING!$J$82&gt;=91.5,WSING!$J$82&lt;=100),"P","")</f>
        <v/>
      </c>
      <c r="ABB8" t="str">
        <f>IF(WSING!$J$90&lt;74.9,"P","")</f>
        <v/>
      </c>
      <c r="ABC8" s="102" t="str">
        <f>IF(AND(WSING!$J$90&gt;=75,WSING!$J$90&lt;=83.24),"P","")</f>
        <v/>
      </c>
      <c r="ABD8" s="102" t="str">
        <f>IF(AND(WSING!$J$90&gt;=83.25,WSING!$J$90&lt;=91.4),"P","")</f>
        <v/>
      </c>
      <c r="ABE8" s="102" t="str">
        <f>IF(AND(WSING!$J$90&gt;=91.5,WSING!$J$90&lt;=100),"P","")</f>
        <v/>
      </c>
      <c r="ABF8" t="str">
        <f>IF(WSING!$J$98&lt;74.9,"P","")</f>
        <v/>
      </c>
      <c r="ABG8" s="102" t="str">
        <f>IF(AND(WSING!$J$98&gt;=75,WSING!$J$98&lt;=83.24),"P","")</f>
        <v/>
      </c>
      <c r="ABH8" s="102" t="str">
        <f>IF(AND(WSING!$J$98&gt;=83.25,WSING!$J$98&lt;=91.4),"P","")</f>
        <v/>
      </c>
      <c r="ABI8" s="102" t="str">
        <f>IF(AND(WSING!$J$98&gt;=91.5,WSING!$J$98&lt;=100),"P","")</f>
        <v/>
      </c>
      <c r="ABJ8" t="str">
        <f>IF(WSING!$J$106&lt;74.9,"P","")</f>
        <v/>
      </c>
      <c r="ABK8" s="102" t="str">
        <f>IF(AND(WSING!$J$106&gt;=75,WSING!$J$106&lt;=83.24),"P","")</f>
        <v/>
      </c>
      <c r="ABL8" s="102" t="str">
        <f>IF(AND(WSING!$J$106&gt;=83.25,WSING!$J$106&lt;=91.4),"P","")</f>
        <v/>
      </c>
      <c r="ABM8" s="102" t="str">
        <f>IF(AND(WSING!$J$106&gt;=91.5,WSING!$J$106&lt;=100),"P","")</f>
        <v/>
      </c>
      <c r="ABN8" t="str">
        <f>IF(WSTIK!$J$6&lt;74.9,"P","")</f>
        <v/>
      </c>
      <c r="ABO8" s="102" t="str">
        <f>IF(AND(WSTIK!$J$6&gt;=75,WSTIK!$J$6&lt;=83.24),"P","")</f>
        <v/>
      </c>
      <c r="ABP8" s="102" t="str">
        <f>IF(AND(WSTIK!$J$6&gt;=83.25,WSTIK!$J$6&lt;=91.4),"P","")</f>
        <v/>
      </c>
      <c r="ABQ8" s="102" t="str">
        <f>IF(AND(WSTIK!$J$6&gt;=91.5,WSTIK!$J$6&lt;=100),"P","")</f>
        <v/>
      </c>
      <c r="ABR8" t="str">
        <f>IF(WSTIK!$J$14&lt;74.9,"P","")</f>
        <v/>
      </c>
      <c r="ABS8" s="102" t="str">
        <f>IF(AND(WSTIK!$J$14&gt;=75,WSTIK!$J$14&lt;=83.24),"P","")</f>
        <v/>
      </c>
      <c r="ABT8" s="102" t="str">
        <f>IF(AND(WSTIK!$J$14&gt;=83.25,WSTIK!$J$14&lt;=91.4),"P","")</f>
        <v/>
      </c>
      <c r="ABU8" s="102" t="str">
        <f>IF(AND(WSTIK!$J$14&gt;=91.5,WSTIK!$J$14&lt;=100),"P","")</f>
        <v/>
      </c>
      <c r="ABV8" t="str">
        <f>IF(WSTIK!$J$22&lt;74.9,"P","")</f>
        <v/>
      </c>
      <c r="ABW8" s="102" t="str">
        <f>IF(AND(WSTIK!$J$22&gt;=75,WSTIK!$J$22&lt;=83.24),"P","")</f>
        <v/>
      </c>
      <c r="ABX8" s="102" t="str">
        <f>IF(AND(WSTIK!$J$22&gt;=83.25,WSTIK!$J$22&lt;=91.4),"P","")</f>
        <v/>
      </c>
      <c r="ABY8" s="102" t="str">
        <f>IF(AND(WSTIK!$J$22&gt;=91.5,WSTIK!$J$22&lt;=100),"P","")</f>
        <v/>
      </c>
      <c r="ABZ8" t="str">
        <f>IF(WSTIK!$J$30&lt;74.9,"P","")</f>
        <v/>
      </c>
      <c r="ACA8" s="102" t="str">
        <f>IF(AND(WSTIK!$J$30&gt;=75,WSTIK!$J$30&lt;=83.24),"P","")</f>
        <v/>
      </c>
      <c r="ACB8" s="102" t="str">
        <f>IF(AND(WSTIK!$J$30&gt;=83.25,WSTIK!$J$30&lt;=91.4),"P","")</f>
        <v/>
      </c>
      <c r="ACC8" s="102" t="str">
        <f>IF(AND(WSTIK!$J$30&gt;=91.5,WSTIK!$J$30&lt;=100),"P","")</f>
        <v/>
      </c>
      <c r="ACD8" t="str">
        <f>IF(WSTIK!$J$38&lt;74.9,"P","")</f>
        <v/>
      </c>
      <c r="ACE8" s="102" t="str">
        <f>IF(AND(WSTIK!$J$38&gt;=75,WSTIK!$J$38&lt;=83.24),"P","")</f>
        <v/>
      </c>
      <c r="ACF8" s="102" t="str">
        <f>IF(AND(WSTIK!$J$38&gt;=83.25,WSTIK!$J$38&lt;=91.4),"P","")</f>
        <v/>
      </c>
      <c r="ACG8" s="102" t="str">
        <f>IF(AND(WSTIK!$J$38&gt;=91.5,WSTIK!$J$38&lt;=100),"P","")</f>
        <v/>
      </c>
      <c r="ACH8" t="str">
        <f>IF(WSTIK!$J$46&lt;74.9,"P","")</f>
        <v/>
      </c>
      <c r="ACI8" s="102" t="str">
        <f>IF(AND(WSTIK!$J$46&gt;=75,WSTIK!$J$46&lt;=83.24),"P","")</f>
        <v/>
      </c>
      <c r="ACJ8" s="102" t="str">
        <f>IF(AND(WSTIK!$J$46&gt;=83.25,WSTIK!$J$46&lt;=91.4),"P","")</f>
        <v/>
      </c>
      <c r="ACK8" s="102" t="str">
        <f>IF(AND(WSTIK!$J$46&gt;=91.5,WSTIK!$J$46&lt;=100),"P","")</f>
        <v/>
      </c>
      <c r="ACL8" t="str">
        <f>IF(WSTIK!$J$54&lt;74.9,"P","")</f>
        <v/>
      </c>
      <c r="ACM8" s="102" t="str">
        <f>IF(AND(WSTIK!$J$54&gt;=75,WSTIK!$J$54&lt;=83.24),"P","")</f>
        <v/>
      </c>
      <c r="ACN8" s="102" t="str">
        <f>IF(AND(WSTIK!$J$54&gt;=83.25,WSTIK!$J$54&lt;=91.4),"P","")</f>
        <v/>
      </c>
      <c r="ACO8" s="102" t="str">
        <f>IF(AND(WSTIK!$J$54&gt;=91.5,WSTIK!$J$54&lt;=100),"P","")</f>
        <v/>
      </c>
      <c r="ACP8" t="str">
        <f>IF(WSTIK!$J$62&lt;74.9,"P","")</f>
        <v/>
      </c>
      <c r="ACQ8" s="102" t="str">
        <f>IF(AND(WSTIK!$J$62&gt;=75,WSTIK!$J$62&lt;=83.24),"P","")</f>
        <v/>
      </c>
      <c r="ACR8" s="102" t="str">
        <f>IF(AND(WSTIK!$J$62&gt;=83.25,WSTIK!$J$62&lt;=91.4),"P","")</f>
        <v/>
      </c>
      <c r="ACS8" s="102" t="str">
        <f>IF(AND(WSTIK!$J$62&gt;=91.5,WSTIK!$J$62&lt;=100),"P","")</f>
        <v/>
      </c>
      <c r="ACT8" t="str">
        <f>IF(WSTIK!$J$70&lt;74.9,"P","")</f>
        <v/>
      </c>
      <c r="ACU8" s="102" t="str">
        <f>IF(AND(WSTIK!$J$70&gt;=75,WSTIK!$J$70&lt;=83.24),"P","")</f>
        <v/>
      </c>
      <c r="ACV8" s="102" t="str">
        <f>IF(AND(WSTIK!$J$70&gt;=83.25,WSTIK!$J$70&lt;=91.4),"P","")</f>
        <v/>
      </c>
      <c r="ACW8" s="102" t="str">
        <f>IF(AND(WSTIK!$J$70&gt;=91.5,WSTIK!$J$70&lt;=100),"P","")</f>
        <v/>
      </c>
      <c r="ACX8" t="str">
        <f>IF(WSTIK!$J$78&lt;74.9,"P","")</f>
        <v/>
      </c>
      <c r="ACY8" s="102" t="str">
        <f>IF(AND(WSTIK!$J$78&gt;=75,WSTIK!$J$78&lt;=83.24),"P","")</f>
        <v/>
      </c>
      <c r="ACZ8" s="102" t="str">
        <f>IF(AND(WSTIK!$J$78&gt;=83.25,WSTIK!$J$78&lt;=91.4),"P","")</f>
        <v/>
      </c>
      <c r="ADA8" s="102" t="str">
        <f>IF(AND(WSTIK!$J$78&gt;=91.5,WSTIK!$J$78&lt;=100),"P","")</f>
        <v/>
      </c>
      <c r="ADB8" t="str">
        <f>IF(WSTIK!$J$86&lt;74.9,"P","")</f>
        <v/>
      </c>
      <c r="ADC8" s="102" t="str">
        <f>IF(AND(WSTIK!$J$86&gt;=75,WSTIK!$J$86&lt;=83.24),"P","")</f>
        <v/>
      </c>
      <c r="ADD8" s="102" t="str">
        <f>IF(AND(WSTIK!$J$86&gt;=83.25,WSTIK!$J$86&lt;=91.4),"P","")</f>
        <v/>
      </c>
      <c r="ADE8" s="102" t="str">
        <f>IF(AND(WSTIK!$J$86&gt;=91.5,WSTIK!$J$86&lt;=100),"P","")</f>
        <v/>
      </c>
      <c r="ADF8" t="str">
        <f>IF(WSTIK!$J$94&lt;74.9,"P","")</f>
        <v/>
      </c>
      <c r="ADG8" s="102" t="str">
        <f>IF(AND(WSTIK!$J$94&gt;=75,WSTIK!$J$94&lt;=83.24),"P","")</f>
        <v/>
      </c>
      <c r="ADH8" s="102" t="str">
        <f>IF(AND(WSTIK!$J$94&gt;=83.25,WSTIK!$J$94&lt;=91.4),"P","")</f>
        <v/>
      </c>
      <c r="ADI8" s="102" t="str">
        <f>IF(AND(WSTIK!$J$94&gt;=91.5,WSTIK!$J$94&lt;=100),"P","")</f>
        <v/>
      </c>
      <c r="ADJ8" t="str">
        <f>IF(WSTIK!$J$102&lt;74.9,"P","")</f>
        <v/>
      </c>
      <c r="ADK8" s="102" t="str">
        <f>IF(AND(WSTIK!$J$102&gt;=75,WSTIK!$J$102&lt;=83.24),"P","")</f>
        <v/>
      </c>
      <c r="ADL8" s="102" t="str">
        <f>IF(AND(WSTIK!$J$102&gt;=83.25,WSTIK!$J$102&lt;=91.4),"P","")</f>
        <v/>
      </c>
      <c r="ADM8" s="102" t="str">
        <f>IF(AND(WSTIK!$J$102&gt;=91.5,WSTIK!$J$102&lt;=100),"P","")</f>
        <v/>
      </c>
      <c r="ADN8" t="str">
        <f>IF(WSASWAJA!$J$6&lt;74.9,"P","")</f>
        <v/>
      </c>
      <c r="ADO8" s="102" t="str">
        <f>IF(AND(WSASWAJA!$J$6&gt;=75,WSASWAJA!$J$6&lt;=83.24),"P","")</f>
        <v/>
      </c>
      <c r="ADP8" s="102" t="str">
        <f>IF(AND(WSASWAJA!$J$6&gt;=83.25,WSASWAJA!$J$6&lt;=91.4),"P","")</f>
        <v/>
      </c>
      <c r="ADQ8" s="102" t="str">
        <f>IF(AND(WSASWAJA!$J$6&gt;=91.5,WSASWAJA!$J$6&lt;=100),"P","")</f>
        <v/>
      </c>
      <c r="ADR8" t="str">
        <f>IF(WSASWAJA!$J$14&lt;74.9,"P","")</f>
        <v/>
      </c>
      <c r="ADS8" s="102" t="str">
        <f>IF(AND(WSASWAJA!$J$14&gt;=75,WSASWAJA!$J$14&lt;=83.24),"P","")</f>
        <v/>
      </c>
      <c r="ADT8" s="102" t="str">
        <f>IF(AND(WSASWAJA!$J$14&gt;=83.25,WSASWAJA!$J$14&lt;=91.4),"P","")</f>
        <v/>
      </c>
      <c r="ADU8" s="102" t="str">
        <f>IF(AND(WSASWAJA!$J$14&gt;=91.5,WSASWAJA!$J$14&lt;=100),"P","")</f>
        <v/>
      </c>
      <c r="ADV8" t="str">
        <f>IF(WSASWAJA!$J$22&lt;74.9,"P","")</f>
        <v/>
      </c>
      <c r="ADW8" s="102" t="str">
        <f>IF(AND(WSASWAJA!$J$22&gt;=75,WSASWAJA!$J$22&lt;=83.24),"P","")</f>
        <v/>
      </c>
      <c r="ADX8" s="102" t="str">
        <f>IF(AND(WSASWAJA!$J$22&gt;=83.25,WSASWAJA!$J$22&lt;=91.4),"P","")</f>
        <v/>
      </c>
      <c r="ADY8" s="102" t="str">
        <f>IF(AND(WSASWAJA!$J$22&gt;=91.5,WSASWAJA!$J$22&lt;=100),"P","")</f>
        <v/>
      </c>
      <c r="ADZ8" t="str">
        <f>IF(WSASWAJA!$J$30&lt;74.9,"P","")</f>
        <v/>
      </c>
      <c r="AEA8" s="102" t="str">
        <f>IF(AND(WSASWAJA!$J$30&gt;=75,WSASWAJA!$J$30&lt;=83.24),"P","")</f>
        <v/>
      </c>
      <c r="AEB8" s="102" t="str">
        <f>IF(AND(WSASWAJA!$J$30&gt;=83.25,WSASWAJA!$J$30&lt;=91.4),"P","")</f>
        <v/>
      </c>
      <c r="AEC8" s="102" t="str">
        <f>IF(AND(WSASWAJA!$J$30&gt;=91.5,WSASWAJA!$J$30&lt;=100),"P","")</f>
        <v/>
      </c>
      <c r="AED8" t="str">
        <f>IF(WSASWAJA!$J$38&lt;74.9,"P","")</f>
        <v/>
      </c>
      <c r="AEE8" s="102" t="str">
        <f>IF(AND(WSASWAJA!$J$38&gt;=75,WSASWAJA!$J$38&lt;=83.24),"P","")</f>
        <v/>
      </c>
      <c r="AEF8" s="102" t="str">
        <f>IF(AND(WSASWAJA!$J$38&gt;=83.25,WSASWAJA!$J$38&lt;=91.4),"P","")</f>
        <v/>
      </c>
      <c r="AEG8" s="102" t="str">
        <f>IF(AND(WSASWAJA!$J$38&gt;=91.5,WSASWAJA!$J$38&lt;=100),"P","")</f>
        <v/>
      </c>
      <c r="AEH8" t="str">
        <f>IF(WSASWAJA!$J$46&lt;74.9,"P","")</f>
        <v/>
      </c>
      <c r="AEI8" s="102" t="str">
        <f>IF(AND(WSASWAJA!$J$46&gt;=75,WSASWAJA!$J$46&lt;=83.24),"P","")</f>
        <v/>
      </c>
      <c r="AEJ8" s="102" t="str">
        <f>IF(AND(WSASWAJA!$J$46&gt;=83.25,WSASWAJA!$J$46&lt;=91.4),"P","")</f>
        <v/>
      </c>
      <c r="AEK8" s="102" t="str">
        <f>IF(AND(WSASWAJA!$J$46&gt;=91.5,WSASWAJA!$J$46&lt;=100),"P","")</f>
        <v/>
      </c>
      <c r="AEL8" t="str">
        <f>IF(WSASWAJA!$J$54&lt;74.9,"P","")</f>
        <v/>
      </c>
      <c r="AEM8" s="102" t="str">
        <f>IF(AND(WSASWAJA!$J$54&gt;=75,WSASWAJA!$J$54&lt;=83.24),"P","")</f>
        <v/>
      </c>
      <c r="AEN8" s="102" t="str">
        <f>IF(AND(WSASWAJA!$J$54&gt;=83.25,WSASWAJA!$J$54&lt;=91.4),"P","")</f>
        <v/>
      </c>
      <c r="AEO8" s="102" t="str">
        <f>IF(AND(WSASWAJA!$J$54&gt;=91.5,WSASWAJA!$J$54&lt;=100),"P","")</f>
        <v/>
      </c>
      <c r="AEP8" t="str">
        <f>IF(WSASWAJA!$J$62&lt;74.9,"P","")</f>
        <v/>
      </c>
      <c r="AEQ8" s="102" t="str">
        <f>IF(AND(WSASWAJA!$J$62&gt;=75,WSASWAJA!$J$62&lt;=83.24),"P","")</f>
        <v/>
      </c>
      <c r="AER8" s="102" t="str">
        <f>IF(AND(WSASWAJA!$J$62&gt;=83.25,WSASWAJA!$J$62&lt;=91.4),"P","")</f>
        <v/>
      </c>
      <c r="AES8" s="102" t="str">
        <f>IF(AND(WSASWAJA!$J$62&gt;=91.5,WSASWAJA!$J$62&lt;=100),"P","")</f>
        <v/>
      </c>
      <c r="AET8" t="str">
        <f>IF(WSASWAJA!$J$70&lt;74.9,"P","")</f>
        <v/>
      </c>
      <c r="AEU8" s="102" t="str">
        <f>IF(AND(WSASWAJA!$J$70&gt;=75,WSASWAJA!$J$70&lt;=83.24),"P","")</f>
        <v/>
      </c>
      <c r="AEV8" s="102" t="str">
        <f>IF(AND(WSASWAJA!$J$70&gt;=83.25,WSASWAJA!$J$70&lt;=91.4),"P","")</f>
        <v/>
      </c>
      <c r="AEW8" s="102" t="str">
        <f>IF(AND(WSASWAJA!$J$70&gt;=91.5,WSASWAJA!$J$70&lt;=100),"P","")</f>
        <v/>
      </c>
      <c r="AEX8" t="str">
        <f>IF(WSASWAJA!$J$78&lt;74.9,"P","")</f>
        <v/>
      </c>
      <c r="AEY8" s="102" t="str">
        <f>IF(AND(WSASWAJA!$J$78&gt;=75,WSASWAJA!$J$78&lt;=83.24),"P","")</f>
        <v/>
      </c>
      <c r="AEZ8" s="102" t="str">
        <f>IF(AND(WSASWAJA!$J$78&gt;=83.25,WSASWAJA!$J$78&lt;=91.4),"P","")</f>
        <v/>
      </c>
      <c r="AFA8" s="102" t="str">
        <f>IF(AND(WSASWAJA!$J$78&gt;=91.5,WSASWAJA!$J$78&lt;=100),"P","")</f>
        <v/>
      </c>
      <c r="AFB8" t="str">
        <f>IF(WSASWAJA!$J$86&lt;74.9,"P","")</f>
        <v/>
      </c>
      <c r="AFC8" s="102" t="str">
        <f>IF(AND(WSASWAJA!$J$86&gt;=75,WSASWAJA!$J$86&lt;=83.24),"P","")</f>
        <v/>
      </c>
      <c r="AFD8" s="102" t="str">
        <f>IF(AND(WSASWAJA!$J$86&gt;=83.25,WSASWAJA!$J$86&lt;=91.4),"P","")</f>
        <v/>
      </c>
      <c r="AFE8" s="102" t="str">
        <f>IF(AND(WSASWAJA!$J$86&gt;=91.5,WSASWAJA!$J$86&lt;=100),"P","")</f>
        <v/>
      </c>
      <c r="AFF8" t="str">
        <f>IF(WSASWAJA!$J$94&lt;74.9,"P","")</f>
        <v/>
      </c>
      <c r="AFG8" s="102" t="str">
        <f>IF(AND(WSASWAJA!$J$94&gt;=75,WSASWAJA!$J$94&lt;=83.24),"P","")</f>
        <v/>
      </c>
      <c r="AFH8" s="102" t="str">
        <f>IF(AND(WSASWAJA!$J$94&gt;=83.25,WSASWAJA!$J$94&lt;=91.4),"P","")</f>
        <v/>
      </c>
      <c r="AFI8" s="102" t="str">
        <f>IF(AND(WSASWAJA!$J$94&gt;=91.5,WSASWAJA!$J$94&lt;=100),"P","")</f>
        <v/>
      </c>
      <c r="AFJ8" t="str">
        <f>IF(WSASWAJA!$J$102&lt;74.9,"P","")</f>
        <v/>
      </c>
      <c r="AFK8" s="102" t="str">
        <f>IF(AND(WSASWAJA!$J$102&gt;=75,WSASWAJA!$J$102&lt;=83.24),"P","")</f>
        <v/>
      </c>
      <c r="AFL8" s="102" t="str">
        <f>IF(AND(WSASWAJA!$J$102&gt;=83.25,WSASWAJA!$J$102&lt;=91.4),"P","")</f>
        <v/>
      </c>
      <c r="AFM8" s="102" t="str">
        <f>IF(AND(WSASWAJA!$J$102&gt;=91.5,WSASWAJA!$J$102&lt;=100),"P","")</f>
        <v/>
      </c>
    </row>
    <row r="9" spans="1:852" ht="20.100000000000001" customHeight="1">
      <c r="A9">
        <v>7</v>
      </c>
      <c r="B9" t="str">
        <f>IF(WSALQURAN!$K$6&lt;74.9,"P","")</f>
        <v/>
      </c>
      <c r="C9" s="102" t="str">
        <f>IF(AND(WSALQURAN!$K$6&gt;=75,WSALQURAN!$K$6&lt;=83.24),"P","")</f>
        <v/>
      </c>
      <c r="D9" s="102" t="str">
        <f>IF(AND(WSALQURAN!$K$6&gt;=83.25,WSALQURAN!$K$6&lt;=91.4),"P","")</f>
        <v/>
      </c>
      <c r="E9" s="102" t="str">
        <f>IF(AND(WSALQURAN!$K$6&gt;=91.5,WSALQURAN!$K$6&lt;=100),"P","")</f>
        <v>P</v>
      </c>
      <c r="F9" t="str">
        <f>IF(WSALQURAN!$K$14&lt;74.9,"P","")</f>
        <v/>
      </c>
      <c r="G9" s="102" t="str">
        <f>IF(AND(WSALQURAN!$K$14&gt;=75,WSALQURAN!$K$14&lt;=83.24),"P","")</f>
        <v/>
      </c>
      <c r="H9" s="102" t="str">
        <f>IF(AND(WSALQURAN!$K$14&gt;=83.25,WSALQURAN!$K$14&lt;=91.4),"P","")</f>
        <v/>
      </c>
      <c r="I9" s="102" t="str">
        <f>IF(AND(WSALQURAN!$K$14&gt;=91.5,WSALQURAN!$K$14&lt;=100),"P","")</f>
        <v>P</v>
      </c>
      <c r="J9" t="str">
        <f>IF(WSALQURAN!$K$22&lt;74.9,"P","")</f>
        <v/>
      </c>
      <c r="K9" s="102" t="str">
        <f>IF(AND(WSALQURAN!$K$22&gt;=75,WSALQURAN!$K$22&lt;=83.24),"P","")</f>
        <v/>
      </c>
      <c r="L9" s="102" t="str">
        <f>IF(AND(WSALQURAN!$K$22&gt;=83.25,WSALQURAN!$K$22&lt;=91.4),"P","")</f>
        <v/>
      </c>
      <c r="M9" s="102" t="str">
        <f>IF(AND(WSALQURAN!$K$22&gt;=91.5,WSALQURAN!$K$22&lt;=100),"P","")</f>
        <v>P</v>
      </c>
      <c r="N9" t="str">
        <f>IF(WSALQURAN!$K$30&lt;74.9,"P","")</f>
        <v/>
      </c>
      <c r="O9" s="102" t="str">
        <f>IF(AND(WSALQURAN!$K$30&gt;=75,WSALQURAN!$K$30&lt;=83.24),"P","")</f>
        <v/>
      </c>
      <c r="P9" s="102" t="str">
        <f>IF(AND(WSALQURAN!$K$30&gt;=83.25,WSALQURAN!$K$30&lt;=91.4),"P","")</f>
        <v/>
      </c>
      <c r="Q9" s="102" t="str">
        <f>IF(AND(WSALQURAN!$K$30&gt;=91.5,WSALQURAN!$K$30&lt;=100),"P","")</f>
        <v>P</v>
      </c>
      <c r="R9" t="str">
        <f>IF(WSALQURAN!$K$38&lt;74.9,"P","")</f>
        <v/>
      </c>
      <c r="S9" s="102" t="str">
        <f>IF(AND(WSALQURAN!$K$38&gt;=75,WSALQURAN!$K$38&lt;=83.24),"P","")</f>
        <v/>
      </c>
      <c r="T9" s="102" t="str">
        <f>IF(AND(WSALQURAN!$K$38&gt;=83.25,WSALQURAN!$K$38&lt;=91.4),"P","")</f>
        <v/>
      </c>
      <c r="U9" s="102" t="str">
        <f>IF(AND(WSALQURAN!$K$38&gt;=91.5,WSALQURAN!$K$38&lt;=100),"P","")</f>
        <v>P</v>
      </c>
      <c r="V9" t="str">
        <f>IF(WSALQURAN!$K$46&lt;74.9,"P","")</f>
        <v/>
      </c>
      <c r="W9" s="102" t="str">
        <f>IF(AND(WSALQURAN!$K$46&gt;=75,WSALQURAN!$K$46&lt;=83.24),"P","")</f>
        <v/>
      </c>
      <c r="X9" s="102" t="str">
        <f>IF(AND(WSALQURAN!$K$46&gt;=83.25,WSALQURAN!$K$46&lt;=91.4),"P","")</f>
        <v/>
      </c>
      <c r="Y9" s="102" t="str">
        <f>IF(AND(WSALQURAN!$K$46&gt;=91.5,WSALQURAN!$K$46&lt;=100),"P","")</f>
        <v>P</v>
      </c>
      <c r="Z9" t="str">
        <f>IF(WSALQURAN!$K$54&lt;74.9,"P","")</f>
        <v/>
      </c>
      <c r="AA9" s="102" t="str">
        <f>IF(AND(WSALQURAN!$K$54&gt;=75,WSALQURAN!$K$54&lt;=83.24),"P","")</f>
        <v/>
      </c>
      <c r="AB9" s="102" t="str">
        <f>IF(AND(WSALQURAN!$K$54&gt;=83.25,WSALQURAN!$K$54&lt;=91.4),"P","")</f>
        <v/>
      </c>
      <c r="AC9" s="102" t="str">
        <f>IF(AND(WSALQURAN!$K$54&gt;=91.5,WSALQURAN!$K$54&lt;=100),"P","")</f>
        <v>P</v>
      </c>
      <c r="AD9" t="str">
        <f>IF(WSALQURAN!$K$62&lt;74.9,"P","")</f>
        <v/>
      </c>
      <c r="AE9" s="102" t="str">
        <f>IF(AND(WSALQURAN!$K$62&gt;=75,WSALQURAN!$K$62&lt;=83.24),"P","")</f>
        <v/>
      </c>
      <c r="AF9" s="102" t="str">
        <f>IF(AND(WSALQURAN!$K$62&gt;=83.25,WSALQURAN!$K$62&lt;=91.4),"P","")</f>
        <v/>
      </c>
      <c r="AG9" s="102" t="str">
        <f>IF(AND(WSALQURAN!$K$62&gt;=91.5,WSALQURAN!$K$62&lt;=100),"P","")</f>
        <v/>
      </c>
      <c r="AH9" t="str">
        <f>IF(WSALQURAN!$K$70&lt;74.9,"P","")</f>
        <v/>
      </c>
      <c r="AI9" s="102" t="str">
        <f>IF(AND(WSALQURAN!$K$70&gt;=75,WSALQURAN!$K$70&lt;=83.24),"P","")</f>
        <v/>
      </c>
      <c r="AJ9" s="102" t="str">
        <f>IF(AND(WSALQURAN!$K$70&gt;=83.25,WSALQURAN!$K$70&lt;=91.4),"P","")</f>
        <v/>
      </c>
      <c r="AK9" s="102" t="str">
        <f>IF(AND(WSALQURAN!$K$70&gt;=91.5,WSALQURAN!$K$70&lt;=100),"P","")</f>
        <v/>
      </c>
      <c r="AL9" t="str">
        <f>IF(WSALQURAN!$K$78&lt;74.9,"P","")</f>
        <v/>
      </c>
      <c r="AM9" s="102" t="str">
        <f>IF(AND(WSALQURAN!$K$78&gt;=75,WSALQURAN!$K$78&lt;=83.24),"P","")</f>
        <v/>
      </c>
      <c r="AN9" s="102" t="str">
        <f>IF(AND(WSALQURAN!$K$78&gt;=83.25,WSALQURAN!$K$78&lt;=91.4),"P","")</f>
        <v/>
      </c>
      <c r="AO9" s="102" t="str">
        <f>IF(AND(WSALQURAN!$K$78&gt;=91.5,WSALQURAN!$K$78&lt;=100),"P","")</f>
        <v/>
      </c>
      <c r="AP9" t="str">
        <f>IF(WSALQURAN!$K$86&lt;74.9,"P","")</f>
        <v/>
      </c>
      <c r="AQ9" s="102" t="str">
        <f>IF(AND(WSALQURAN!$K$86&gt;=75,WSALQURAN!$K$86&lt;=83.24),"P","")</f>
        <v/>
      </c>
      <c r="AR9" s="102" t="str">
        <f>IF(AND(WSALQURAN!$K$86&gt;=83.25,WSALQURAN!$K$86&lt;=91.4),"P","")</f>
        <v/>
      </c>
      <c r="AS9" s="102" t="str">
        <f>IF(AND(WSALQURAN!$K$86&gt;=91.5,WSALQURAN!$K$86&lt;=100),"P","")</f>
        <v/>
      </c>
      <c r="AT9" t="str">
        <f>IF(WSALQURAN!$K$94&lt;74.9,"P","")</f>
        <v/>
      </c>
      <c r="AU9" s="102" t="str">
        <f>IF(AND(WSALQURAN!$K$94&gt;=75,WSALQURAN!$K$94&lt;=83.24),"P","")</f>
        <v/>
      </c>
      <c r="AV9" s="102" t="str">
        <f>IF(AND(WSALQURAN!$K$94&gt;=83.25,WSALQURAN!$K$94&lt;=91.4),"P","")</f>
        <v/>
      </c>
      <c r="AW9" s="102" t="str">
        <f>IF(AND(WSALQURAN!$K$94&gt;=91.5,WSALQURAN!$K$94&lt;=100),"P","")</f>
        <v/>
      </c>
      <c r="AX9" t="str">
        <f>IF(WSALQURAN!$K$102&lt;74.9,"P","")</f>
        <v/>
      </c>
      <c r="AY9" s="102" t="str">
        <f>IF(AND(WSALQURAN!$K$102&gt;=75,WSALQURAN!$K$102&lt;=83.24),"P","")</f>
        <v/>
      </c>
      <c r="AZ9" s="102" t="str">
        <f>IF(AND(WSALQURAN!$K$102&gt;=83.25,WSALQURAN!$K$102&lt;=91.4),"P","")</f>
        <v/>
      </c>
      <c r="BA9" s="102" t="str">
        <f>IF(AND(WSALQURAN!$K$102&gt;=91.5,WSALQURAN!$K$102&lt;=100),"P","")</f>
        <v/>
      </c>
      <c r="BB9" t="str">
        <f>IF(WSAQIDAH!$K$6&lt;74.9,"P","")</f>
        <v/>
      </c>
      <c r="BC9" s="102" t="str">
        <f>IF(AND(WSAQIDAH!$K$6&gt;=75,WSAQIDAH!$K$6&lt;=83.24),"P","")</f>
        <v/>
      </c>
      <c r="BD9" s="102" t="str">
        <f>IF(AND(WSAQIDAH!$K$6&gt;=83.25,WSAQIDAH!$K$6&lt;=91.4),"P","")</f>
        <v/>
      </c>
      <c r="BE9" s="102" t="str">
        <f>IF(AND(WSAQIDAH!$K$6&gt;=91.5,WSAQIDAH!$K$6&lt;=100),"P","")</f>
        <v>P</v>
      </c>
      <c r="BF9" t="str">
        <f>IF(WSAQIDAH!$K$14&lt;74.9,"P","")</f>
        <v/>
      </c>
      <c r="BG9" s="102" t="str">
        <f>IF(AND(WSAQIDAH!$K$14&gt;=75,WSAQIDAH!$K$14&lt;=83.24),"P","")</f>
        <v/>
      </c>
      <c r="BH9" s="102" t="str">
        <f>IF(AND(WSAQIDAH!$K$14&gt;=83.25,WSAQIDAH!$K$14&lt;=91.4),"P","")</f>
        <v/>
      </c>
      <c r="BI9" s="102" t="str">
        <f>IF(AND(WSAQIDAH!$K$14&gt;=91.5,WSAQIDAH!$K$14&lt;=100),"P","")</f>
        <v>P</v>
      </c>
      <c r="BJ9" t="str">
        <f>IF(WSAQIDAH!$K$22&lt;74.9,"P","")</f>
        <v/>
      </c>
      <c r="BK9" s="102" t="str">
        <f>IF(AND(WSAQIDAH!$K$22&gt;=75,WSAQIDAH!$K$22&lt;=83.24),"P","")</f>
        <v>P</v>
      </c>
      <c r="BL9" s="102" t="str">
        <f>IF(AND(WSAQIDAH!$K$22&gt;=83.25,WSAQIDAH!$K$22&lt;=91.4),"P","")</f>
        <v/>
      </c>
      <c r="BM9" s="102" t="str">
        <f>IF(AND(WSAQIDAH!$K$22&gt;=91.5,WSAQIDAH!$K$22&lt;=100),"P","")</f>
        <v/>
      </c>
      <c r="BN9" t="str">
        <f>IF(WSAQIDAH!$K$30&lt;74.9,"P","")</f>
        <v/>
      </c>
      <c r="BO9" s="102" t="str">
        <f>IF(AND(WSAQIDAH!$K$30&gt;=75,WSAQIDAH!$K$30&lt;=83.24),"P","")</f>
        <v/>
      </c>
      <c r="BP9" s="102" t="str">
        <f>IF(AND(WSAQIDAH!$K$30&gt;=83.25,WSAQIDAH!$K$30&lt;=91.4),"P","")</f>
        <v/>
      </c>
      <c r="BQ9" s="102" t="str">
        <f>IF(AND(WSAQIDAH!$K$30&gt;=91.5,WSAQIDAH!$K$30&lt;=100),"P","")</f>
        <v>P</v>
      </c>
      <c r="BR9" t="str">
        <f>IF(WSAQIDAH!$K$38&lt;74.9,"P","")</f>
        <v/>
      </c>
      <c r="BS9" s="102" t="str">
        <f>IF(AND(WSAQIDAH!$K$38&gt;=75,WSAQIDAH!$K$38&lt;=83.24),"P","")</f>
        <v/>
      </c>
      <c r="BT9" s="102" t="str">
        <f>IF(AND(WSAQIDAH!$K$38&gt;=83.25,WSAQIDAH!$K$38&lt;=91.4),"P","")</f>
        <v/>
      </c>
      <c r="BU9" s="102" t="str">
        <f>IF(AND(WSAQIDAH!$K$38&gt;=91.5,WSAQIDAH!$K$38&lt;=100),"P","")</f>
        <v>P</v>
      </c>
      <c r="BV9" t="str">
        <f>IF(WSAQIDAH!$K$46&lt;74.9,"P","")</f>
        <v/>
      </c>
      <c r="BW9" s="102" t="str">
        <f>IF(AND(WSAQIDAH!$K$46&gt;=75,WSAQIDAH!$K$46&lt;=83.24),"P","")</f>
        <v/>
      </c>
      <c r="BX9" s="102" t="str">
        <f>IF(AND(WSAQIDAH!$K$46&gt;=83.25,WSAQIDAH!$K$46&lt;=91.4),"P","")</f>
        <v>P</v>
      </c>
      <c r="BY9" s="102" t="str">
        <f>IF(AND(WSAQIDAH!$K$46&gt;=91.5,WSAQIDAH!$K$46&lt;=100),"P","")</f>
        <v/>
      </c>
      <c r="BZ9" t="str">
        <f>IF(WSAQIDAH!$K$54&lt;74.9,"P","")</f>
        <v/>
      </c>
      <c r="CA9" s="102" t="str">
        <f>IF(AND(WSAQIDAH!$K$54&gt;=75,WSAQIDAH!$K$54&lt;=83.24),"P","")</f>
        <v/>
      </c>
      <c r="CB9" s="102" t="str">
        <f>IF(AND(WSAQIDAH!$K$54&gt;=83.25,WSAQIDAH!$K$54&lt;=91.4),"P","")</f>
        <v/>
      </c>
      <c r="CC9" s="102" t="str">
        <f>IF(AND(WSAQIDAH!$K$54&gt;=91.5,WSAQIDAH!$K$54&lt;=100),"P","")</f>
        <v>P</v>
      </c>
      <c r="CD9" t="str">
        <f>IF(WSAQIDAH!$K$62&lt;74.9,"P","")</f>
        <v/>
      </c>
      <c r="CE9" s="102" t="str">
        <f>IF(AND(WSAQIDAH!$K$62&gt;=75,WSAQIDAH!$K$62&lt;=83.24),"P","")</f>
        <v/>
      </c>
      <c r="CF9" s="102" t="str">
        <f>IF(AND(WSAQIDAH!$K$62&gt;=83.25,WSAQIDAH!$K$62&lt;=91.4),"P","")</f>
        <v/>
      </c>
      <c r="CG9" s="102" t="str">
        <f>IF(AND(WSAQIDAH!$K$62&gt;=91.5,WSAQIDAH!$K$62&lt;=100),"P","")</f>
        <v>P</v>
      </c>
      <c r="CH9" t="str">
        <f>IF(WSAQIDAH!$K$70&lt;74.9,"P","")</f>
        <v/>
      </c>
      <c r="CI9" s="102" t="str">
        <f>IF(AND(WSAQIDAH!$K$70&gt;=75,WSAQIDAH!$K$70&lt;=83.24),"P","")</f>
        <v/>
      </c>
      <c r="CJ9" s="102" t="str">
        <f>IF(AND(WSAQIDAH!$K$70&gt;=83.25,WSAQIDAH!$K$70&lt;=91.4),"P","")</f>
        <v/>
      </c>
      <c r="CK9" s="102" t="str">
        <f>IF(AND(WSAQIDAH!$K$70&gt;=91.5,WSAQIDAH!$K$70&lt;=100),"P","")</f>
        <v>P</v>
      </c>
      <c r="CL9" t="str">
        <f>IF(WSAQIDAH!$K$78&lt;74.9,"P","")</f>
        <v/>
      </c>
      <c r="CM9" s="102" t="str">
        <f>IF(AND(WSAQIDAH!$K$78&gt;=75,WSAQIDAH!$K$78&lt;=83.24),"P","")</f>
        <v/>
      </c>
      <c r="CN9" s="102" t="str">
        <f>IF(AND(WSAQIDAH!$K$78&gt;=83.25,WSAQIDAH!$K$78&lt;=91.4),"P","")</f>
        <v/>
      </c>
      <c r="CO9" s="102" t="str">
        <f>IF(AND(WSAQIDAH!$K$78&gt;=91.5,WSAQIDAH!$K$78&lt;=100),"P","")</f>
        <v>P</v>
      </c>
      <c r="CP9" t="str">
        <f>IF(WSAQIDAH!$K$86&lt;74.9,"P","")</f>
        <v/>
      </c>
      <c r="CQ9" s="102" t="str">
        <f>IF(AND(WSAQIDAH!$K$86&gt;=75,WSAQIDAH!$K$86&lt;=83.24),"P","")</f>
        <v/>
      </c>
      <c r="CR9" s="102" t="str">
        <f>IF(AND(WSAQIDAH!$K$86&gt;=83.25,WSAQIDAH!$K$86&lt;=91.4),"P","")</f>
        <v/>
      </c>
      <c r="CS9" s="102" t="str">
        <f>IF(AND(WSAQIDAH!$K$86&gt;=91.5,WSAQIDAH!$K$86&lt;=100),"P","")</f>
        <v/>
      </c>
      <c r="CT9" t="str">
        <f>IF(WSAQIDAH!$K$94&lt;74.9,"P","")</f>
        <v/>
      </c>
      <c r="CU9" s="102" t="str">
        <f>IF(AND(WSAQIDAH!$K$94&gt;=75,WSAQIDAH!$K$94&lt;=83.24),"P","")</f>
        <v/>
      </c>
      <c r="CV9" s="102" t="str">
        <f>IF(AND(WSAQIDAH!$K$94&gt;=83.25,WSAQIDAH!$K$94&lt;=91.4),"P","")</f>
        <v/>
      </c>
      <c r="CW9" s="102" t="str">
        <f>IF(AND(WSAQIDAH!$K$94&gt;=91.5,WSAQIDAH!$K$94&lt;=100),"P","")</f>
        <v/>
      </c>
      <c r="CX9" t="str">
        <f>IF(WSAQIDAH!$K$102&lt;74.9,"P","")</f>
        <v/>
      </c>
      <c r="CY9" s="102" t="str">
        <f>IF(AND(WSAQIDAH!$K$102&gt;=75,WSAQIDAH!$K$102&lt;=83.24),"P","")</f>
        <v/>
      </c>
      <c r="CZ9" s="102" t="str">
        <f>IF(AND(WSAQIDAH!$K$102&gt;=83.25,WSAQIDAH!$K$102&lt;=91.4),"P","")</f>
        <v/>
      </c>
      <c r="DA9" s="102" t="str">
        <f>IF(AND(WSAQIDAH!$K$102&gt;=91.5,WSAQIDAH!$K$102&lt;=100),"P","")</f>
        <v/>
      </c>
      <c r="DB9" t="str">
        <f>IF(WSSKI!$K$6&lt;74.9,"P","")</f>
        <v/>
      </c>
      <c r="DC9" s="102" t="str">
        <f>IF(AND(WSSKI!$K$6&gt;=75,WSSKI!$K$6&lt;=83.24),"P","")</f>
        <v/>
      </c>
      <c r="DD9" s="102" t="str">
        <f>IF(AND(WSSKI!$K$6&gt;=83.25,WSSKI!$K$6&lt;=91.4),"P","")</f>
        <v>P</v>
      </c>
      <c r="DE9" s="102" t="str">
        <f>IF(AND(WSSKI!$K$6&gt;=91.5,WSSKI!$K$6&lt;=100),"P","")</f>
        <v/>
      </c>
      <c r="DF9" t="str">
        <f>IF(WSSKI!$K$14&lt;74.9,"P","")</f>
        <v/>
      </c>
      <c r="DG9" s="102" t="str">
        <f>IF(AND(WSSKI!$K$14&gt;=75,WSSKI!$K$14&lt;=83.24),"P","")</f>
        <v/>
      </c>
      <c r="DH9" s="102" t="str">
        <f>IF(AND(WSSKI!$K$14&gt;=83.25,WSSKI!$K$14&lt;=91.4),"P","")</f>
        <v/>
      </c>
      <c r="DI9" s="102" t="str">
        <f>IF(AND(WSSKI!$K$14&gt;=91.5,WSSKI!$K$14&lt;=100),"P","")</f>
        <v>P</v>
      </c>
      <c r="DJ9" t="str">
        <f>IF(WSSKI!$K$23&lt;74.9,"P","")</f>
        <v/>
      </c>
      <c r="DK9" s="102" t="str">
        <f>IF(AND(WSSKI!$K$23&gt;=75,WSSKI!$K$23&lt;=83.24),"P","")</f>
        <v/>
      </c>
      <c r="DL9" s="102" t="str">
        <f>IF(AND(WSSKI!$K$23&gt;=83.25,WSSKI!$K$23&lt;=91.4),"P","")</f>
        <v>P</v>
      </c>
      <c r="DM9" s="102" t="str">
        <f>IF(AND(WSSKI!$K$23&gt;=91.5,WSSKI!$K$23&lt;=100),"P","")</f>
        <v/>
      </c>
      <c r="DN9" t="str">
        <f>IF(WSSKI!$K$31&lt;74.9,"P","")</f>
        <v/>
      </c>
      <c r="DO9" s="102" t="str">
        <f>IF(AND(WSSKI!$K$31&gt;=75,WSSKI!$K$31&lt;=83.24),"P","")</f>
        <v/>
      </c>
      <c r="DP9" s="102" t="str">
        <f>IF(AND(WSSKI!$K$31&gt;=83.25,WSSKI!$K$31&lt;=91.4),"P","")</f>
        <v/>
      </c>
      <c r="DQ9" s="102" t="str">
        <f>IF(AND(WSSKI!$K$31&gt;=91.5,WSSKI!$K$31&lt;=100),"P","")</f>
        <v>P</v>
      </c>
      <c r="DR9" t="str">
        <f>IF(WSSKI!$K$40&lt;74.9,"P","")</f>
        <v/>
      </c>
      <c r="DS9" s="102" t="str">
        <f>IF(AND(WSSKI!$K$40&gt;=75,WSSKI!$K$40&lt;=83.24),"P","")</f>
        <v/>
      </c>
      <c r="DT9" s="102" t="str">
        <f>IF(AND(WSSKI!$K$40&gt;=83.25,WSSKI!$K$40&lt;=91.4),"P","")</f>
        <v>P</v>
      </c>
      <c r="DU9" s="102" t="str">
        <f>IF(AND(WSSKI!$K$40&gt;=91.5,WSSKI!$K$40&lt;=100),"P","")</f>
        <v/>
      </c>
      <c r="DV9" t="str">
        <f>IF(WSSKI!$K$48&lt;74.9,"P","")</f>
        <v/>
      </c>
      <c r="DW9" s="102" t="str">
        <f>IF(AND(WSSKI!$K$48&gt;=75,WSSKI!$K$48&lt;=83.24),"P","")</f>
        <v>P</v>
      </c>
      <c r="DX9" s="102" t="str">
        <f>IF(AND(WSSKI!$K$48&gt;=83.25,WSSKI!$K$48&lt;=91.4),"P","")</f>
        <v/>
      </c>
      <c r="DY9" s="102" t="str">
        <f>IF(AND(WSSKI!$K$48&gt;=91.5,WSSKI!$K$48&lt;=100),"P","")</f>
        <v/>
      </c>
      <c r="DZ9" t="str">
        <f>IF(WSSKI!$K$56&lt;74.9,"P","")</f>
        <v/>
      </c>
      <c r="EA9" s="102" t="str">
        <f>IF(AND(WSSKI!$K$56&gt;=75,WSSKI!$K$56&lt;=83.24),"P","")</f>
        <v/>
      </c>
      <c r="EB9" s="102" t="str">
        <f>IF(AND(WSSKI!$K$56&gt;=83.25,WSSKI!$K$56&lt;=91.4),"P","")</f>
        <v/>
      </c>
      <c r="EC9" s="102" t="str">
        <f>IF(AND(WSSKI!$K$56&gt;=91.5,WSSKI!$K$56&lt;=100),"P","")</f>
        <v/>
      </c>
      <c r="ED9" t="str">
        <f>IF(WSSKI!$K$64&lt;74.9,"P","")</f>
        <v/>
      </c>
      <c r="EE9" s="102" t="str">
        <f>IF(AND(WSSKI!$K$64&gt;=75,WSSKI!$K$64&lt;=83.24),"P","")</f>
        <v/>
      </c>
      <c r="EF9" s="102" t="str">
        <f>IF(AND(WSSKI!$K$64&gt;=83.25,WSSKI!$K$64&lt;=91.4),"P","")</f>
        <v/>
      </c>
      <c r="EG9" s="102" t="str">
        <f>IF(AND(WSSKI!$K$64&gt;=91.5,WSSKI!$K$64&lt;=100),"P","")</f>
        <v/>
      </c>
      <c r="EH9" t="str">
        <f>IF(WSSKI!$K$72&lt;74.9,"P","")</f>
        <v/>
      </c>
      <c r="EI9" s="102" t="str">
        <f>IF(AND(WSSKI!$K$72&gt;=75,WSSKI!$K$72&lt;=83.24),"P","")</f>
        <v/>
      </c>
      <c r="EJ9" s="102" t="str">
        <f>IF(AND(WSSKI!$K$72&gt;=83.25,WSSKI!$K$72&lt;=91.4),"P","")</f>
        <v/>
      </c>
      <c r="EK9" s="102" t="str">
        <f>IF(AND(WSSKI!$K$72&gt;=91.5,WSSKI!$K$72&lt;=100),"P","")</f>
        <v/>
      </c>
      <c r="EL9" t="str">
        <f>IF(WSSKI!$K$80&lt;74.9,"P","")</f>
        <v/>
      </c>
      <c r="EM9" s="102" t="str">
        <f>IF(AND(WSSKI!$K$80&gt;=75,WSSKI!$K$80&lt;=83.24),"P","")</f>
        <v/>
      </c>
      <c r="EN9" s="102" t="str">
        <f>IF(AND(WSSKI!$K$80&gt;=83.25,WSSKI!$K$80&lt;=91.4),"P","")</f>
        <v/>
      </c>
      <c r="EO9" s="102" t="str">
        <f>IF(AND(WSSKI!$K$80&gt;=91.5,WSSKI!$K$80&lt;=100),"P","")</f>
        <v/>
      </c>
      <c r="EP9" t="str">
        <f>IF(WSSKI!$K$88&lt;74.9,"P","")</f>
        <v/>
      </c>
      <c r="EQ9" s="102" t="str">
        <f>IF(AND(WSSKI!$K$88&gt;=75,WSSKI!$K$88&lt;=83.24),"P","")</f>
        <v/>
      </c>
      <c r="ER9" s="102" t="str">
        <f>IF(AND(WSSKI!$K$88&gt;=83.25,WSSKI!$K$88&lt;=91.4),"P","")</f>
        <v/>
      </c>
      <c r="ES9" s="102" t="str">
        <f>IF(AND(WSSKI!$K$88&gt;=91.5,WSSKI!$K$88&lt;=100),"P","")</f>
        <v/>
      </c>
      <c r="ET9" t="str">
        <f>IF(WSSKI!$K$96&lt;74.9,"P","")</f>
        <v/>
      </c>
      <c r="EU9" s="102" t="str">
        <f>IF(AND(WSSKI!$K$96&gt;=75,WSSKI!$K$96&lt;=83.24),"P","")</f>
        <v/>
      </c>
      <c r="EV9" s="102" t="str">
        <f>IF(AND(WSSKI!$K$96&gt;=83.25,WSSKI!$K$96&lt;=91.4),"P","")</f>
        <v/>
      </c>
      <c r="EW9" s="102" t="str">
        <f>IF(AND(WSSKI!$K$96&gt;=91.5,WSSKI!$K$96&lt;=100),"P","")</f>
        <v/>
      </c>
      <c r="EX9" t="str">
        <f>IF(WSSKI!$K$104&lt;74.9,"P","")</f>
        <v/>
      </c>
      <c r="EY9" s="102" t="str">
        <f>IF(AND(WSSKI!$K$104&gt;=75,WSSKI!$K$104&lt;=83.24),"P","")</f>
        <v/>
      </c>
      <c r="EZ9" s="102" t="str">
        <f>IF(AND(WSSKI!$K$104&gt;=83.25,WSSKI!$K$104&lt;=91.4),"P","")</f>
        <v/>
      </c>
      <c r="FA9" s="102" t="str">
        <f>IF(AND(WSSKI!$K$104&gt;=91.5,WSSKI!$K$104&lt;=100),"P","")</f>
        <v/>
      </c>
      <c r="FB9" t="str">
        <f>IF(WSFIQIH!$K$6&lt;74.9,"P","")</f>
        <v/>
      </c>
      <c r="FC9" s="102" t="str">
        <f>IF(AND(WSFIQIH!$K$6&gt;=75,WSFIQIH!$K$6&lt;=83.24),"P","")</f>
        <v/>
      </c>
      <c r="FD9" s="102" t="str">
        <f>IF(AND(WSFIQIH!$K$6&gt;=83.25,WSFIQIH!$K$6&lt;=91.4),"P","")</f>
        <v/>
      </c>
      <c r="FE9" s="102" t="str">
        <f>IF(AND(WSFIQIH!$K$6&gt;=91.5,WSFIQIH!$K$6&lt;=100),"P","")</f>
        <v>P</v>
      </c>
      <c r="FF9" t="str">
        <f>IF(WSFIQIH!$K$19&lt;74.9,"P","")</f>
        <v/>
      </c>
      <c r="FG9" s="102" t="str">
        <f>IF(AND(WSFIQIH!$K$19&gt;=75,WSFIQIH!$K$19&lt;=83.24),"P","")</f>
        <v/>
      </c>
      <c r="FH9" s="102" t="str">
        <f>IF(AND(WSFIQIH!$K$19&gt;=83.25,WSFIQIH!$K$19&lt;=91.4),"P","")</f>
        <v>P</v>
      </c>
      <c r="FI9" s="102" t="str">
        <f>IF(AND(WSFIQIH!$K$19&gt;=91.5,WSFIQIH!$K$19&lt;=100),"P","")</f>
        <v/>
      </c>
      <c r="FJ9" t="str">
        <f>IF(WSFIQIH!$K$28&lt;74.9,"P","")</f>
        <v/>
      </c>
      <c r="FK9" s="102" t="str">
        <f>IF(AND(WSFIQIH!$K$28&gt;=75,WSFIQIH!$K$28&lt;=83.24),"P","")</f>
        <v/>
      </c>
      <c r="FL9" s="102" t="str">
        <f>IF(AND(WSFIQIH!$K$28&gt;=83.25,WSFIQIH!$K$28&lt;=91.4),"P","")</f>
        <v/>
      </c>
      <c r="FM9" s="102" t="str">
        <f>IF(AND(WSFIQIH!$K$28&gt;=91.5,WSFIQIH!$K$28&lt;=100),"P","")</f>
        <v>P</v>
      </c>
      <c r="FN9" t="str">
        <f>IF(WSFIQIH!$K$41&lt;74.9,"P","")</f>
        <v/>
      </c>
      <c r="FO9" s="102" t="str">
        <f>IF(AND(WSFIQIH!$K$41&gt;=75,WSFIQIH!$K$41&lt;=83.24),"P","")</f>
        <v/>
      </c>
      <c r="FP9" s="102" t="str">
        <f>IF(AND(WSFIQIH!$K$41&gt;=83.25,WSFIQIH!$K$41&lt;=91.4),"P","")</f>
        <v/>
      </c>
      <c r="FQ9" s="102" t="str">
        <f>IF(AND(WSFIQIH!$K$41&gt;=91.5,WSFIQIH!$K$41&lt;=100),"P","")</f>
        <v>P</v>
      </c>
      <c r="FR9" t="str">
        <f>IF(WSFIQIH!$K$49&lt;74.9,"P","")</f>
        <v/>
      </c>
      <c r="FS9" s="102" t="str">
        <f>IF(AND(WSFIQIH!$K$49&gt;=75,WSFIQIH!$K$49&lt;=83.24),"P","")</f>
        <v/>
      </c>
      <c r="FT9" s="102" t="str">
        <f>IF(AND(WSFIQIH!$K$49&gt;=83.25,WSFIQIH!$K$49&lt;=91.4),"P","")</f>
        <v/>
      </c>
      <c r="FU9" s="102" t="str">
        <f>IF(AND(WSFIQIH!$K$49&gt;=91.5,WSFIQIH!$K$49&lt;=100),"P","")</f>
        <v>P</v>
      </c>
      <c r="FV9" t="str">
        <f>IF(WSFIQIH!$K$62&lt;74.9,"P","")</f>
        <v/>
      </c>
      <c r="FW9" s="102" t="str">
        <f>IF(AND(WSFIQIH!$K$62&gt;=75,WSFIQIH!$K$62&lt;=83.24),"P","")</f>
        <v/>
      </c>
      <c r="FX9" s="102" t="str">
        <f>IF(AND(WSFIQIH!$K$62&gt;=83.25,WSFIQIH!$K$62&lt;=91.4),"P","")</f>
        <v/>
      </c>
      <c r="FY9" s="102" t="str">
        <f>IF(AND(WSFIQIH!$K$62&gt;=91.5,WSFIQIH!$K$62&lt;=100),"P","")</f>
        <v>P</v>
      </c>
      <c r="FZ9" t="str">
        <f>IF(WSFIQIH!$K$71&lt;74.9,"P","")</f>
        <v/>
      </c>
      <c r="GA9" s="102" t="str">
        <f>IF(AND(WSFIQIH!$K$71&gt;=75,WSFIQIH!$K$71&lt;=83.24),"P","")</f>
        <v/>
      </c>
      <c r="GB9" s="102" t="str">
        <f>IF(AND(WSFIQIH!$K$71&gt;=83.25,WSFIQIH!$K$71&lt;=91.4),"P","")</f>
        <v>P</v>
      </c>
      <c r="GC9" s="102" t="str">
        <f>IF(AND(WSFIQIH!$K$71&gt;=91.5,WSFIQIH!$K$71&lt;=100),"P","")</f>
        <v/>
      </c>
      <c r="GD9" t="str">
        <f>IF(WSFIQIH!$K$80&lt;74.9,"P","")</f>
        <v/>
      </c>
      <c r="GE9" s="102" t="str">
        <f>IF(AND(WSFIQIH!$K$80&gt;=75,WSFIQIH!$K$80&lt;=83.24),"P","")</f>
        <v/>
      </c>
      <c r="GF9" s="102" t="str">
        <f>IF(AND(WSFIQIH!$K$80&gt;=83.25,WSFIQIH!$K$80&lt;=91.4),"P","")</f>
        <v>P</v>
      </c>
      <c r="GG9" s="102" t="str">
        <f>IF(AND(WSFIQIH!$K$80&gt;=91.5,WSFIQIH!$K$80&lt;=100),"P","")</f>
        <v/>
      </c>
      <c r="GH9" t="str">
        <f>IF(WSFIQIH!$K$88&lt;74.9,"P","")</f>
        <v/>
      </c>
      <c r="GI9" s="102" t="str">
        <f>IF(AND(WSFIQIH!$K$88&gt;=75,WSFIQIH!$K$88&lt;=83.24),"P","")</f>
        <v/>
      </c>
      <c r="GJ9" s="102" t="str">
        <f>IF(AND(WSFIQIH!$K$88&gt;=83.25,WSFIQIH!$K$88&lt;=91.4),"P","")</f>
        <v/>
      </c>
      <c r="GK9" s="102" t="str">
        <f>IF(AND(WSFIQIH!$K$88&gt;=91.5,WSFIQIH!$K$88&lt;=100),"P","")</f>
        <v/>
      </c>
      <c r="GL9" t="str">
        <f>IF(WSFIQIH!$K$96&lt;74.9,"P","")</f>
        <v/>
      </c>
      <c r="GM9" s="102" t="str">
        <f>IF(AND(WSFIQIH!$K$96&gt;=75,WSFIQIH!$K$96&lt;=83.24),"P","")</f>
        <v/>
      </c>
      <c r="GN9" s="102" t="str">
        <f>IF(AND(WSFIQIH!$K$96&gt;=83.25,WSFIQIH!$K$96&lt;=91.4),"P","")</f>
        <v/>
      </c>
      <c r="GO9" s="102" t="str">
        <f>IF(AND(WSFIQIH!$K$96&gt;=91.5,WSFIQIH!$K$96&lt;=100),"P","")</f>
        <v/>
      </c>
      <c r="GP9" t="str">
        <f>IF(WSFIQIH!$K$104&lt;74.9,"P","")</f>
        <v/>
      </c>
      <c r="GQ9" s="102" t="str">
        <f>IF(AND(WSFIQIH!$K$104&gt;=75,WSFIQIH!$K$104&lt;=83.24),"P","")</f>
        <v/>
      </c>
      <c r="GR9" s="102" t="str">
        <f>IF(AND(WSFIQIH!$K$104&gt;=83.25,WSFIQIH!$K$104&lt;=91.4),"P","")</f>
        <v/>
      </c>
      <c r="GS9" s="102" t="str">
        <f>IF(AND(WSFIQIH!$K$104&gt;=91.5,WSFIQIH!$K$104&lt;=100),"P","")</f>
        <v/>
      </c>
      <c r="GT9" t="str">
        <f>IF(WSFIQIH!$K$112&lt;74.9,"P","")</f>
        <v/>
      </c>
      <c r="GU9" s="102" t="str">
        <f>IF(AND(WSFIQIH!$K$112&gt;=75,WSFIQIH!$K$112&lt;=83.24),"P","")</f>
        <v/>
      </c>
      <c r="GV9" s="102" t="str">
        <f>IF(AND(WSFIQIH!$K$112&gt;=83.25,WSFIQIH!$K$112&lt;=91.4),"P","")</f>
        <v/>
      </c>
      <c r="GW9" s="102" t="str">
        <f>IF(AND(WSFIQIH!$K$112&gt;=91.5,WSFIQIH!$K$112&lt;=100),"P","")</f>
        <v/>
      </c>
      <c r="GX9" t="str">
        <f>IF(WSFIQIH!$K$120&lt;74.9,"P","")</f>
        <v/>
      </c>
      <c r="GY9" s="102" t="str">
        <f>IF(AND(WSFIQIH!$K$120&gt;=75,WSFIQIH!$K$120&lt;=83.24),"P","")</f>
        <v/>
      </c>
      <c r="GZ9" s="102" t="str">
        <f>IF(AND(WSFIQIH!$K$120&gt;=83.25,WSFIQIH!$K$120&lt;=91.4),"P","")</f>
        <v/>
      </c>
      <c r="HA9" s="102" t="str">
        <f>IF(AND(WSFIQIH!$K$120&gt;=91.5,WSFIQIH!$K$120&lt;=100),"P","")</f>
        <v/>
      </c>
      <c r="HB9" t="str">
        <f>IF(WSPKN!$K$6&lt;74.9,"P","")</f>
        <v/>
      </c>
      <c r="HC9" s="102" t="str">
        <f>IF(AND(WSPKN!$K$6&gt;=75,WSPKN!$K$6&lt;=83.24),"P","")</f>
        <v/>
      </c>
      <c r="HD9" s="102" t="str">
        <f>IF(AND(WSPKN!$K$6&gt;=83.25,WSPKN!$K$6&lt;=91.4),"P","")</f>
        <v/>
      </c>
      <c r="HE9" s="102" t="str">
        <f>IF(AND(WSPKN!$K$6&gt;=91.5,WSPKN!$K$6&lt;=100),"P","")</f>
        <v>P</v>
      </c>
      <c r="HF9" t="str">
        <f>IF(WSPKN!$K$32&lt;74.9,"P","")</f>
        <v/>
      </c>
      <c r="HG9" s="102" t="str">
        <f>IF(AND(WSPKN!$K$32&gt;=75,WSPKN!$K$32&lt;=83.24),"P","")</f>
        <v/>
      </c>
      <c r="HH9" s="102" t="str">
        <f>IF(AND(WSPKN!$K$32&gt;=83.25,WSPKN!$K$32&lt;=91.4),"P","")</f>
        <v/>
      </c>
      <c r="HI9" s="102" t="str">
        <f>IF(AND(WSPKN!$K$32&gt;=91.5,WSPKN!$K$32&lt;=100),"P","")</f>
        <v>P</v>
      </c>
      <c r="HJ9" t="str">
        <f>IF(WSPKN!$K$55&lt;74.9,"P","")</f>
        <v/>
      </c>
      <c r="HK9" s="102" t="str">
        <f>IF(AND(WSPKN!$K$55&gt;=75,WSPKN!$K$55&lt;=83.24),"P","")</f>
        <v/>
      </c>
      <c r="HL9" s="102" t="str">
        <f>IF(AND(WSPKN!$K$55&gt;=83.25,WSPKN!$K$55&lt;=91.4),"P","")</f>
        <v/>
      </c>
      <c r="HM9" s="102" t="str">
        <f>IF(AND(WSPKN!$K$55&gt;=91.5,WSPKN!$K$55&lt;=100),"P","")</f>
        <v>P</v>
      </c>
      <c r="HN9" t="str">
        <f>IF(WSPKN!$K$72&lt;74.9,"P","")</f>
        <v/>
      </c>
      <c r="HO9" s="102" t="str">
        <f>IF(AND(WSPKN!$K$72&gt;=75,WSPKN!$K$72&lt;=83.24),"P","")</f>
        <v/>
      </c>
      <c r="HP9" s="102" t="str">
        <f>IF(AND(WSPKN!$K$72&gt;=83.25,WSPKN!$K$72&lt;=91.4),"P","")</f>
        <v/>
      </c>
      <c r="HQ9" s="102" t="str">
        <f>IF(AND(WSPKN!$K$72&gt;=91.5,WSPKN!$K$72&lt;=100),"P","")</f>
        <v>P</v>
      </c>
      <c r="HR9" t="str">
        <f>IF(WSPKN!$K$86&lt;74.9,"P","")</f>
        <v/>
      </c>
      <c r="HS9" s="102" t="str">
        <f>IF(AND(WSPKN!$K$86&gt;=75,WSPKN!$K$86&lt;=83.24),"P","")</f>
        <v/>
      </c>
      <c r="HT9" s="102" t="str">
        <f>IF(AND(WSPKN!$K$86&gt;=83.25,WSPKN!$K$86&lt;=91.4),"P","")</f>
        <v/>
      </c>
      <c r="HU9" s="102" t="str">
        <f>IF(AND(WSPKN!$K$86&gt;=91.5,WSPKN!$K$86&lt;=100),"P","")</f>
        <v>P</v>
      </c>
      <c r="HV9" t="str">
        <f>IF(WSPKN!$K$108&lt;74.9,"P","")</f>
        <v/>
      </c>
      <c r="HW9" s="102" t="str">
        <f>IF(AND(WSPKN!$K$108&gt;=75,WSPKN!$K$108&lt;=83.24),"P","")</f>
        <v/>
      </c>
      <c r="HX9" s="102" t="str">
        <f>IF(AND(WSPKN!$K$108&gt;=83.25,WSPKN!$K$108&lt;=91.4),"P","")</f>
        <v/>
      </c>
      <c r="HY9" s="102" t="str">
        <f>IF(AND(WSPKN!$K$108&gt;=91.5,WSPKN!$K$108&lt;=100),"P","")</f>
        <v>P</v>
      </c>
      <c r="HZ9" t="str">
        <f>IF(WSPKN!$K$132&lt;74.9,"P","")</f>
        <v/>
      </c>
      <c r="IA9" s="102" t="str">
        <f>IF(AND(WSPKN!$K$132&gt;=75,WSPKN!$K$132&lt;=83.24),"P","")</f>
        <v/>
      </c>
      <c r="IB9" s="102" t="str">
        <f>IF(AND(WSPKN!$K$132&gt;=83.25,WSPKN!$K$132&lt;=91.4),"P","")</f>
        <v/>
      </c>
      <c r="IC9" s="102" t="str">
        <f>IF(AND(WSPKN!$K$132&gt;=91.5,WSPKN!$K$132&lt;=100),"P","")</f>
        <v>P</v>
      </c>
      <c r="ID9" t="str">
        <f>IF(WSPKN!$K$148&lt;74.9,"P","")</f>
        <v/>
      </c>
      <c r="IE9" s="102" t="str">
        <f>IF(AND(WSPKN!$K$148&gt;=75,WSPKN!$K$148&lt;=83.24),"P","")</f>
        <v/>
      </c>
      <c r="IF9" s="102" t="str">
        <f>IF(AND(WSPKN!$K$148&gt;=83.25,WSPKN!$K$148&lt;=91.4),"P","")</f>
        <v/>
      </c>
      <c r="IG9" s="102" t="str">
        <f>IF(AND(WSPKN!$K$148&gt;=91.5,WSPKN!$K$148&lt;=100),"P","")</f>
        <v>P</v>
      </c>
      <c r="IH9" t="str">
        <f>IF(WSPKN!$K$165&lt;74.9,"P","")</f>
        <v/>
      </c>
      <c r="II9" s="102" t="str">
        <f>IF(AND(WSPKN!$K$165&gt;=75,WSPKN!$K$165&lt;=83.24),"P","")</f>
        <v/>
      </c>
      <c r="IJ9" s="102" t="str">
        <f>IF(AND(WSPKN!$K$165&gt;=83.25,WSPKN!$K$165&lt;=91.4),"P","")</f>
        <v/>
      </c>
      <c r="IK9" s="102" t="str">
        <f>IF(AND(WSPKN!$K$165&gt;=91.5,WSPKN!$K$165&lt;=100),"P","")</f>
        <v/>
      </c>
      <c r="IL9" t="str">
        <f>IF(WSPKN!$K$173&lt;74.9,"P","")</f>
        <v/>
      </c>
      <c r="IM9" s="102" t="str">
        <f>IF(AND(WSPKN!$K$173&gt;=75,WSPKN!$K$173&lt;=83.24),"P","")</f>
        <v/>
      </c>
      <c r="IN9" s="102" t="str">
        <f>IF(AND(WSPKN!$K$173&gt;=83.25,WSPKN!$K$173&lt;=91.4),"P","")</f>
        <v/>
      </c>
      <c r="IO9" s="102" t="str">
        <f>IF(AND(WSPKN!$K$173&gt;=91.5,WSPKN!$K$173&lt;=100),"P","")</f>
        <v/>
      </c>
      <c r="IP9" t="str">
        <f>IF(WSPKN!$K$181&lt;74.9,"P","")</f>
        <v/>
      </c>
      <c r="IQ9" s="102" t="str">
        <f>IF(AND(WSPKN!$K$181&gt;=75,WSPKN!$K$181&lt;=83.24),"P","")</f>
        <v/>
      </c>
      <c r="IR9" s="102" t="str">
        <f>IF(AND(WSPKN!$K$181&gt;=83.25,WSPKN!$K$181&lt;=91.4),"P","")</f>
        <v/>
      </c>
      <c r="IS9" s="102" t="str">
        <f>IF(AND(WSPKN!$K$181&gt;=91.5,WSPKN!$K$181&lt;=100),"P","")</f>
        <v/>
      </c>
      <c r="IT9" t="str">
        <f>IF(WSPKN!$K$189&lt;74.9,"P","")</f>
        <v/>
      </c>
      <c r="IU9" s="102" t="str">
        <f>IF(AND(WSPKN!$K$189&gt;=75,WSPKN!$K$189&lt;=83.24),"P","")</f>
        <v/>
      </c>
      <c r="IV9" s="102" t="str">
        <f>IF(AND(WSPKN!$K$189&gt;=83.25,WSPKN!$K$189&lt;=91.4),"P","")</f>
        <v/>
      </c>
      <c r="IW9" s="102" t="str">
        <f>IF(AND(WSPKN!$K$189&gt;=91.5,WSPKN!$K$189&lt;=100),"P","")</f>
        <v/>
      </c>
      <c r="IX9" t="str">
        <f>IF(WSPKN!$K$197&lt;74.9,"P","")</f>
        <v/>
      </c>
      <c r="IY9" s="102" t="str">
        <f>IF(AND(WSPKN!$K$197&gt;=75,WSPKN!$K$197&lt;=83.24),"P","")</f>
        <v/>
      </c>
      <c r="IZ9" s="102" t="str">
        <f>IF(AND(WSPKN!$K$197&gt;=83.25,WSPKN!$K$197&lt;=91.4),"P","")</f>
        <v/>
      </c>
      <c r="JA9" s="102" t="str">
        <f>IF(AND(WSPKN!$K$197&gt;=91.5,WSPKN!$K$197&lt;=100),"P","")</f>
        <v/>
      </c>
      <c r="JB9" t="str">
        <f>IF(WSIND!$K$6&lt;74.9,"P","")</f>
        <v/>
      </c>
      <c r="JC9" s="102" t="str">
        <f>IF(AND(WSIND!$K$6&gt;=75,WSIND!$K$6&lt;=83.24),"P","")</f>
        <v/>
      </c>
      <c r="JD9" s="102" t="str">
        <f>IF(AND(WSIND!$K$6&gt;=83.25,WSIND!$K$6&lt;=91.4),"P","")</f>
        <v/>
      </c>
      <c r="JE9" s="102" t="str">
        <f>IF(AND(WSIND!$K$6&gt;=91.5,WSIND!$K$6&lt;=100),"P","")</f>
        <v>P</v>
      </c>
      <c r="JF9" t="str">
        <f>IF(WSIND!$K$65&lt;74.9,"P","")</f>
        <v/>
      </c>
      <c r="JG9" s="102" t="str">
        <f>IF(AND(WSIND!$K$65&gt;=75,WSIND!$K$65&lt;=83.24),"P","")</f>
        <v/>
      </c>
      <c r="JH9" s="102" t="str">
        <f>IF(AND(WSIND!$K$65&gt;=83.25,WSIND!$K$65&lt;=91.4),"P","")</f>
        <v/>
      </c>
      <c r="JI9" s="102" t="str">
        <f>IF(AND(WSIND!$K$65&gt;=91.5,WSIND!$K$65&lt;=100),"P","")</f>
        <v>P</v>
      </c>
      <c r="JJ9" t="str">
        <f>IF(WSIND!$K$113&lt;74.9,"P","")</f>
        <v/>
      </c>
      <c r="JK9" s="102" t="str">
        <f>IF(AND(WSIND!$K$113&gt;=75,WSIND!$K$113&lt;=83.24),"P","")</f>
        <v/>
      </c>
      <c r="JL9" s="102" t="str">
        <f>IF(AND(WSIND!$K$113&gt;=83.25,WSIND!$K$113&lt;=91.4),"P","")</f>
        <v/>
      </c>
      <c r="JM9" s="102" t="str">
        <f>IF(AND(WSIND!$K$113&gt;=91.5,WSIND!$K$113&lt;=100),"P","")</f>
        <v>P</v>
      </c>
      <c r="JN9" t="str">
        <f>IF(WSIND!$K$133&lt;74.9,"P","")</f>
        <v/>
      </c>
      <c r="JO9" s="102" t="str">
        <f>IF(AND(WSIND!$K$133&gt;=75,WSIND!$K$133&lt;=83.24),"P","")</f>
        <v/>
      </c>
      <c r="JP9" s="102" t="str">
        <f>IF(AND(WSIND!$K$133&gt;=83.25,WSIND!$K$133&lt;=91.4),"P","")</f>
        <v/>
      </c>
      <c r="JQ9" s="102" t="str">
        <f>IF(AND(WSIND!$K$133&gt;=91.5,WSIND!$K$133&lt;=100),"P","")</f>
        <v>P</v>
      </c>
      <c r="JR9" t="str">
        <f>IF(WSIND!$K$161&lt;74.9,"P","")</f>
        <v/>
      </c>
      <c r="JS9" s="102" t="str">
        <f>IF(AND(WSIND!$K$161&gt;=75,WSIND!$K$161&lt;=83.24),"P","")</f>
        <v/>
      </c>
      <c r="JT9" s="102" t="str">
        <f>IF(AND(WSIND!$K$161&gt;=83.25,WSIND!$K$161&lt;=91.4),"P","")</f>
        <v/>
      </c>
      <c r="JU9" s="102" t="str">
        <f>IF(AND(WSIND!$K$161&gt;=91.5,WSIND!$K$161&lt;=100),"P","")</f>
        <v>P</v>
      </c>
      <c r="JV9" t="str">
        <f>IF(WSIND!$K$192&lt;74.9,"P","")</f>
        <v/>
      </c>
      <c r="JW9" s="102" t="str">
        <f>IF(AND(WSIND!$K$192&gt;=75,WSIND!$K$192&lt;=83.24),"P","")</f>
        <v/>
      </c>
      <c r="JX9" s="102" t="str">
        <f>IF(AND(WSIND!$K$192&gt;=83.25,WSIND!$K$192&lt;=91.4),"P","")</f>
        <v/>
      </c>
      <c r="JY9" s="102" t="str">
        <f>IF(AND(WSIND!$K$192&gt;=91.5,WSIND!$K$192&lt;=100),"P","")</f>
        <v>P</v>
      </c>
      <c r="JZ9" t="str">
        <f>IF(WSIND!$K$228&lt;74.9,"P","")</f>
        <v/>
      </c>
      <c r="KA9" s="102" t="str">
        <f>IF(AND(WSIND!$K$228&gt;=75,WSIND!$K$228&lt;=83.24),"P","")</f>
        <v/>
      </c>
      <c r="KB9" s="102" t="str">
        <f>IF(AND(WSIND!$K$228&gt;=83.25,WSIND!$K$228&lt;=91.4),"P","")</f>
        <v/>
      </c>
      <c r="KC9" s="102" t="str">
        <f>IF(AND(WSIND!$K$228&gt;=91.5,WSIND!$K$228&lt;=100),"P","")</f>
        <v>P</v>
      </c>
      <c r="KD9" t="str">
        <f>IF(WSIND!$K$256&lt;74.9,"P","")</f>
        <v/>
      </c>
      <c r="KE9" s="102" t="str">
        <f>IF(AND(WSIND!$K$256&gt;=75,WSIND!$K$256&lt;=83.24),"P","")</f>
        <v/>
      </c>
      <c r="KF9" s="102" t="str">
        <f>IF(AND(WSIND!$K$256&gt;=83.25,WSIND!$K$256&lt;=91.4),"P","")</f>
        <v/>
      </c>
      <c r="KG9" s="102" t="str">
        <f>IF(AND(WSIND!$K$256&gt;=91.5,WSIND!$K$256&lt;=100),"P","")</f>
        <v>P</v>
      </c>
      <c r="KH9" t="str">
        <f>IF(WSIND!$K$277&lt;74.9,"P","")</f>
        <v/>
      </c>
      <c r="KI9" s="102" t="str">
        <f>IF(AND(WSIND!$K$277&gt;=75,WSIND!$K$277&lt;=83.24),"P","")</f>
        <v/>
      </c>
      <c r="KJ9" s="102" t="str">
        <f>IF(AND(WSIND!$K$277&gt;=83.25,WSIND!$K$277&lt;=91.4),"P","")</f>
        <v/>
      </c>
      <c r="KK9" s="102" t="str">
        <f>IF(AND(WSIND!$K$277&gt;=91.5,WSIND!$K$277&lt;=100),"P","")</f>
        <v>P</v>
      </c>
      <c r="KL9" t="str">
        <f>IF(WSIND!$K$305&lt;74.9,"P","")</f>
        <v/>
      </c>
      <c r="KM9" s="102" t="str">
        <f>IF(AND(WSIND!$K$305&gt;=75,WSIND!$K$305&lt;=83.24),"P","")</f>
        <v/>
      </c>
      <c r="KN9" s="102" t="str">
        <f>IF(AND(WSIND!$K$305&gt;=83.25,WSIND!$K$305&lt;=91.4),"P","")</f>
        <v/>
      </c>
      <c r="KO9" s="102" t="str">
        <f>IF(AND(WSIND!$K$305&gt;=91.5,WSIND!$K$305&lt;=100),"P","")</f>
        <v>P</v>
      </c>
      <c r="KP9" t="str">
        <f>IF(WSIND!$K$329&lt;74.9,"P","")</f>
        <v/>
      </c>
      <c r="KQ9" s="102" t="str">
        <f>IF(AND(WSIND!$K$329&gt;=75,WSIND!$K$329&lt;=83.24),"P","")</f>
        <v/>
      </c>
      <c r="KR9" s="102" t="str">
        <f>IF(AND(WSIND!$K$329&gt;=83.25,WSIND!$K$329&lt;=91.4),"P","")</f>
        <v/>
      </c>
      <c r="KS9" s="102" t="str">
        <f>IF(AND(WSIND!$K$329&gt;=91.5,WSIND!$K$329&lt;=100),"P","")</f>
        <v/>
      </c>
      <c r="KT9" t="str">
        <f>IF(WSIND!$K$337&lt;74.9,"P","")</f>
        <v/>
      </c>
      <c r="KU9" s="102" t="str">
        <f>IF(AND(WSIND!$K$337&gt;=75,WSIND!$K$337&lt;=83.24),"P","")</f>
        <v/>
      </c>
      <c r="KV9" s="102" t="str">
        <f>IF(AND(WSIND!$K$337&gt;=83.25,WSIND!$K$337&lt;=91.4),"P","")</f>
        <v/>
      </c>
      <c r="KW9" s="102" t="str">
        <f>IF(AND(WSIND!$K$337&gt;=91.5,WSIND!$K$337&lt;=100),"P","")</f>
        <v/>
      </c>
      <c r="KX9" t="str">
        <f>IF(WSIND!$K$345&lt;74.9,"P","")</f>
        <v/>
      </c>
      <c r="KY9" s="102" t="str">
        <f>IF(AND(WSIND!$K$345&gt;=75,WSIND!$K$345&lt;=83.24),"P","")</f>
        <v/>
      </c>
      <c r="KZ9" s="102" t="str">
        <f>IF(AND(WSIND!$K$345&gt;=83.25,WSIND!$K$345&lt;=91.4),"P","")</f>
        <v/>
      </c>
      <c r="LA9" s="102" t="str">
        <f>IF(AND(WSIND!$K$345&gt;=91.5,WSIND!$K$345&lt;=100),"P","")</f>
        <v/>
      </c>
      <c r="LB9" t="str">
        <f>IF(WSARAB!$K$6&lt;74.9,"P","")</f>
        <v/>
      </c>
      <c r="LC9" s="102" t="str">
        <f>IF(AND(WSARAB!$K$6&gt;=75,WSARAB!$K$6&lt;=83.24),"P","")</f>
        <v/>
      </c>
      <c r="LD9" s="102" t="str">
        <f>IF(AND(WSARAB!$K$6&gt;=83.25,WSARAB!$K$6&lt;=91.4),"P","")</f>
        <v/>
      </c>
      <c r="LE9" s="102" t="str">
        <f>IF(AND(WSARAB!$K$6&gt;=91.5,WSARAB!$K$6&lt;=100),"P","")</f>
        <v/>
      </c>
      <c r="LF9" t="str">
        <f>IF(WSARAB!$K$17&lt;74.9,"P","")</f>
        <v/>
      </c>
      <c r="LG9" s="102" t="str">
        <f>IF(AND(WSARAB!$K$17&gt;=75,WSARAB!$K$17&lt;=83.24),"P","")</f>
        <v/>
      </c>
      <c r="LH9" s="102" t="str">
        <f>IF(AND(WSARAB!$K$17&gt;=83.25,WSARAB!$K$17&lt;=91.4),"P","")</f>
        <v/>
      </c>
      <c r="LI9" s="102" t="str">
        <f>IF(AND(WSARAB!$K$17&gt;=91.5,WSARAB!$K$17&lt;=100),"P","")</f>
        <v/>
      </c>
      <c r="LJ9" t="str">
        <f>IF(WSARAB!$K$29&lt;74.9,"P","")</f>
        <v/>
      </c>
      <c r="LK9" s="102" t="str">
        <f>IF(AND(WSARAB!$K$29&gt;=75,WSARAB!$K$29&lt;=83.24),"P","")</f>
        <v/>
      </c>
      <c r="LL9" s="102" t="str">
        <f>IF(AND(WSARAB!$K$29&gt;=83.25,WSARAB!$K$29&lt;=91.4),"P","")</f>
        <v/>
      </c>
      <c r="LM9" s="102" t="str">
        <f>IF(AND(WSARAB!$K$29&gt;=91.5,WSARAB!$K$29&lt;=100),"P","")</f>
        <v/>
      </c>
      <c r="LN9" t="str">
        <f>IF(WSARAB!$K$37&lt;74.9,"P","")</f>
        <v/>
      </c>
      <c r="LO9" s="102" t="str">
        <f>IF(AND(WSARAB!$K$37&gt;=75,WSARAB!$K$37&lt;=83.24),"P","")</f>
        <v/>
      </c>
      <c r="LP9" s="102" t="str">
        <f>IF(AND(WSARAB!$K$37&gt;=83.25,WSARAB!$K$37&lt;=91.4),"P","")</f>
        <v/>
      </c>
      <c r="LQ9" s="102" t="str">
        <f>IF(AND(WSARAB!$K$37&gt;=91.5,WSARAB!$K$37&lt;=100),"P","")</f>
        <v/>
      </c>
      <c r="LR9" t="str">
        <f>IF(WSARAB!$K$45&lt;74.9,"P","")</f>
        <v/>
      </c>
      <c r="LS9" s="102" t="str">
        <f>IF(AND(WSARAB!$K$45&gt;=75,WSARAB!$K$45&lt;=83.24),"P","")</f>
        <v/>
      </c>
      <c r="LT9" s="102" t="str">
        <f>IF(AND(WSARAB!$K$45&gt;=83.25,WSARAB!$K$45&lt;=91.4),"P","")</f>
        <v/>
      </c>
      <c r="LU9" s="102" t="str">
        <f>IF(AND(WSARAB!$K$45&gt;=91.5,WSARAB!$K$45&lt;=100),"P","")</f>
        <v/>
      </c>
      <c r="LV9" t="str">
        <f>IF(WSARAB!$K$53&lt;74.9,"P","")</f>
        <v/>
      </c>
      <c r="LW9" s="102" t="str">
        <f>IF(AND(WSARAB!$K$53&gt;=75,WSARAB!$K$53&lt;=83.24),"P","")</f>
        <v/>
      </c>
      <c r="LX9" s="102" t="str">
        <f>IF(AND(WSARAB!$K$53&gt;=83.25,WSARAB!$K$53&lt;=91.4),"P","")</f>
        <v/>
      </c>
      <c r="LY9" s="102" t="str">
        <f>IF(AND(WSARAB!$K$53&gt;=91.5,WSARAB!$K$53&lt;=100),"P","")</f>
        <v/>
      </c>
      <c r="LZ9" t="str">
        <f>IF(WSARAB!$K$65&lt;74.9,"P","")</f>
        <v/>
      </c>
      <c r="MA9" s="102" t="str">
        <f>IF(AND(WSARAB!$K$65&gt;=75,WSARAB!$K$65&lt;=83.24),"P","")</f>
        <v/>
      </c>
      <c r="MB9" s="102" t="str">
        <f>IF(AND(WSARAB!$K$65&gt;=83.25,WSARAB!$K$65&lt;=91.4),"P","")</f>
        <v/>
      </c>
      <c r="MC9" s="102" t="str">
        <f>IF(AND(WSARAB!$K$65&gt;=91.5,WSARAB!$K$65&lt;=100),"P","")</f>
        <v/>
      </c>
      <c r="MD9" t="str">
        <f>IF(WSARAB!$K$73&lt;74.9,"P","")</f>
        <v/>
      </c>
      <c r="ME9" s="102" t="str">
        <f>IF(AND(WSARAB!$K$73&gt;=75,WSARAB!$K$73&lt;=83.24),"P","")</f>
        <v/>
      </c>
      <c r="MF9" s="102" t="str">
        <f>IF(AND(WSARAB!$K$73&gt;=83.25,WSARAB!$K$73&lt;=91.4),"P","")</f>
        <v/>
      </c>
      <c r="MG9" s="102" t="str">
        <f>IF(AND(WSARAB!$K$73&gt;=91.5,WSARAB!$K$73&lt;=100),"P","")</f>
        <v/>
      </c>
      <c r="MH9" t="str">
        <f>IF(WSARAB!$K$81&lt;74.9,"P","")</f>
        <v/>
      </c>
      <c r="MI9" s="102" t="str">
        <f>IF(AND(WSARAB!$K$81&gt;=75,WSARAB!$K$81&lt;=83.24),"P","")</f>
        <v/>
      </c>
      <c r="MJ9" s="102" t="str">
        <f>IF(AND(WSARAB!$K$81&gt;=83.25,WSARAB!$K$81&lt;=91.4),"P","")</f>
        <v/>
      </c>
      <c r="MK9" s="102" t="str">
        <f>IF(AND(WSARAB!$K$81&gt;=91.5,WSARAB!$K$81&lt;=100),"P","")</f>
        <v/>
      </c>
      <c r="ML9" t="str">
        <f>IF(WSARAB!$K$89&lt;74.9,"P","")</f>
        <v/>
      </c>
      <c r="MM9" s="102" t="str">
        <f>IF(AND(WSARAB!$K$89&gt;=75,WSARAB!$K$89&lt;=83.24),"P","")</f>
        <v/>
      </c>
      <c r="MN9" s="102" t="str">
        <f>IF(AND(WSARAB!$K$89&gt;=83.25,WSARAB!$K$89&lt;=91.4),"P","")</f>
        <v/>
      </c>
      <c r="MO9" s="102" t="str">
        <f>IF(AND(WSARAB!$K$89&gt;=91.5,WSARAB!$K$89&lt;=100),"P","")</f>
        <v/>
      </c>
      <c r="MP9" t="str">
        <f>IF(WSARAB!$K$97&lt;74.9,"P","")</f>
        <v/>
      </c>
      <c r="MQ9" s="102" t="str">
        <f>IF(AND(WSARAB!$K$97&gt;=75,WSARAB!$K$97&lt;=83.24),"P","")</f>
        <v/>
      </c>
      <c r="MR9" s="102" t="str">
        <f>IF(AND(WSARAB!$K$97&gt;=83.25,WSARAB!$K$97&lt;=91.4),"P","")</f>
        <v/>
      </c>
      <c r="MS9" s="102" t="str">
        <f>IF(AND(WSARAB!$K$97&gt;=91.5,WSARAB!$K$97&lt;=100),"P","")</f>
        <v/>
      </c>
      <c r="MT9" t="str">
        <f>IF(WSARAB!$K$105&lt;74.9,"P","")</f>
        <v/>
      </c>
      <c r="MU9" s="102" t="str">
        <f>IF(AND(WSARAB!$K$105&gt;=75,WSARAB!$K$105&lt;=83.24),"P","")</f>
        <v/>
      </c>
      <c r="MV9" s="102" t="str">
        <f>IF(AND(WSARAB!$K$105&gt;=83.25,WSARAB!$K$105&lt;=91.4),"P","")</f>
        <v/>
      </c>
      <c r="MW9" s="102" t="str">
        <f>IF(AND(WSARAB!$K$105&gt;=91.5,WSARAB!$K$105&lt;=100),"P","")</f>
        <v/>
      </c>
      <c r="MX9" t="str">
        <f>IF(WSARAB!$K$113&lt;74.9,"P","")</f>
        <v/>
      </c>
      <c r="MY9" s="102" t="str">
        <f>IF(AND(WSARAB!$K$113&gt;=75,WSARAB!$K$113&lt;=83.24),"P","")</f>
        <v/>
      </c>
      <c r="MZ9" s="102" t="str">
        <f>IF(AND(WSARAB!$K$113&gt;=83.25,WSARAB!$K$113&lt;=91.4),"P","")</f>
        <v/>
      </c>
      <c r="NA9" s="102" t="str">
        <f>IF(AND(WSARAB!$K$113&gt;=91.5,WSARAB!$K$113&lt;=100),"P","")</f>
        <v/>
      </c>
      <c r="NB9" t="str">
        <f>IF(WSMTK!$K$6&lt;74.9,"P","")</f>
        <v/>
      </c>
      <c r="NC9" s="102" t="str">
        <f>IF(AND(WSMTK!$K$6&gt;=75,WSMTK!$K$6&lt;=83.24),"P","")</f>
        <v/>
      </c>
      <c r="ND9" s="102" t="str">
        <f>IF(AND(WSMTK!$K$6&gt;=83.25,WSMTK!$K$6&lt;=91.4),"P","")</f>
        <v/>
      </c>
      <c r="NE9" s="102" t="str">
        <f>IF(AND(WSMTK!$K$6&gt;=91.5,WSMTK!$K$6&lt;=100),"P","")</f>
        <v>P</v>
      </c>
      <c r="NF9" t="str">
        <f>IF(WSMTK!$K$22&lt;74.9,"P","")</f>
        <v/>
      </c>
      <c r="NG9" s="102" t="str">
        <f>IF(AND(WSMTK!$K$22&gt;=75,WSMTK!$K$22&lt;=83.24),"P","")</f>
        <v/>
      </c>
      <c r="NH9" s="102" t="str">
        <f>IF(AND(WSMTK!$K$22&gt;=83.25,WSMTK!$K$22&lt;=91.4),"P","")</f>
        <v/>
      </c>
      <c r="NI9" s="102" t="str">
        <f>IF(AND(WSMTK!$K$22&gt;=91.5,WSMTK!$K$22&lt;=100),"P","")</f>
        <v>P</v>
      </c>
      <c r="NJ9" t="str">
        <f>IF(WSMTK!$K$35&lt;74.9,"P","")</f>
        <v/>
      </c>
      <c r="NK9" s="102" t="str">
        <f>IF(AND(WSMTK!$K$35&gt;=75,WSMTK!$K$35&lt;=83.24),"P","")</f>
        <v/>
      </c>
      <c r="NL9" s="102" t="str">
        <f>IF(AND(WSMTK!$K$35&gt;=83.25,WSMTK!$K$35&lt;=91.4),"P","")</f>
        <v/>
      </c>
      <c r="NM9" s="102" t="str">
        <f>IF(AND(WSMTK!$K$35&gt;=91.5,WSMTK!$K$35&lt;=100),"P","")</f>
        <v>P</v>
      </c>
      <c r="NN9" t="str">
        <f>IF(WSMTK!$K$69&lt;74.9,"P","")</f>
        <v/>
      </c>
      <c r="NO9" s="102" t="str">
        <f>IF(AND(WSMTK!$K$69&gt;=75,WSMTK!$K$69&lt;=83.24),"P","")</f>
        <v/>
      </c>
      <c r="NP9" s="102" t="str">
        <f>IF(AND(WSMTK!$K$69&gt;=83.25,WSMTK!$K$69&lt;=91.4),"P","")</f>
        <v/>
      </c>
      <c r="NQ9" s="102" t="str">
        <f>IF(AND(WSMTK!$K$69&gt;=91.5,WSMTK!$K$69&lt;=100),"P","")</f>
        <v>P</v>
      </c>
      <c r="NR9" t="str">
        <f>IF(WSMTK!$K$87&lt;74.9,"P","")</f>
        <v/>
      </c>
      <c r="NS9" s="102" t="str">
        <f>IF(AND(WSMTK!$K$87&gt;=75,WSMTK!$K$87&lt;=83.24),"P","")</f>
        <v/>
      </c>
      <c r="NT9" s="102" t="str">
        <f>IF(AND(WSMTK!$K$87&gt;=83.25,WSMTK!$K$87&lt;=91.4),"P","")</f>
        <v/>
      </c>
      <c r="NU9" s="102" t="str">
        <f>IF(AND(WSMTK!$K$87&gt;=91.5,WSMTK!$K$87&lt;=100),"P","")</f>
        <v>P</v>
      </c>
      <c r="NV9" t="str">
        <f>IF(WSMTK!$K$99&lt;74.9,"P","")</f>
        <v/>
      </c>
      <c r="NW9" s="102" t="str">
        <f>IF(AND(WSMTK!$K$99&gt;=75,WSMTK!$K$99&lt;=83.24),"P","")</f>
        <v/>
      </c>
      <c r="NX9" s="102" t="str">
        <f>IF(AND(WSMTK!$K$99&gt;=83.25,WSMTK!$K$99&lt;=91.4),"P","")</f>
        <v/>
      </c>
      <c r="NY9" s="102" t="str">
        <f>IF(AND(WSMTK!$K$99&gt;=91.5,WSMTK!$K$99&lt;=100),"P","")</f>
        <v>P</v>
      </c>
      <c r="NZ9" t="str">
        <f>IF(WSMTK!$K$113&lt;74.9,"P","")</f>
        <v/>
      </c>
      <c r="OA9" s="102" t="str">
        <f>IF(AND(WSMTK!$K$113&gt;=75,WSMTK!$K$113&lt;=83.24),"P","")</f>
        <v/>
      </c>
      <c r="OB9" s="102" t="str">
        <f>IF(AND(WSMTK!$K$113&gt;=83.25,WSMTK!$K$113&lt;=91.4),"P","")</f>
        <v/>
      </c>
      <c r="OC9" s="102" t="str">
        <f>IF(AND(WSMTK!$K$113&gt;=91.5,WSMTK!$K$113&lt;=100),"P","")</f>
        <v>P</v>
      </c>
      <c r="OD9" t="str">
        <f>IF(WSMTK!$K$145&lt;74.9,"P","")</f>
        <v/>
      </c>
      <c r="OE9" s="102" t="str">
        <f>IF(AND(WSMTK!$K$145&gt;=75,WSMTK!$K$145&lt;=83.24),"P","")</f>
        <v/>
      </c>
      <c r="OF9" s="102" t="str">
        <f>IF(AND(WSMTK!$K$145&gt;=83.25,WSMTK!$K$145&lt;=91.4),"P","")</f>
        <v/>
      </c>
      <c r="OG9" s="102" t="str">
        <f>IF(AND(WSMTK!$K$145&gt;=91.5,WSMTK!$K$145&lt;=100),"P","")</f>
        <v>P</v>
      </c>
      <c r="OH9" t="str">
        <f>IF(WSMTK!$K$168&lt;74.9,"P","")</f>
        <v/>
      </c>
      <c r="OI9" s="102" t="str">
        <f>IF(AND(WSMTK!$K$168&gt;=75,WSMTK!$K$168&lt;=83.24),"P","")</f>
        <v/>
      </c>
      <c r="OJ9" s="102" t="str">
        <f>IF(AND(WSMTK!$K$168&gt;=83.25,WSMTK!$K$168&lt;=91.4),"P","")</f>
        <v/>
      </c>
      <c r="OK9" s="102" t="str">
        <f>IF(AND(WSMTK!$K$168&gt;=91.5,WSMTK!$K$168&lt;=100),"P","")</f>
        <v/>
      </c>
      <c r="OL9" t="str">
        <f>IF(WSMTK!$K$176&lt;74.9,"P","")</f>
        <v/>
      </c>
      <c r="OM9" s="102" t="str">
        <f>IF(AND(WSMTK!$K$176&gt;=75,WSMTK!$K$176&lt;=83.24),"P","")</f>
        <v/>
      </c>
      <c r="ON9" s="102" t="str">
        <f>IF(AND(WSMTK!$K$176&gt;=83.25,WSMTK!$K$176&lt;=91.4),"P","")</f>
        <v/>
      </c>
      <c r="OO9" s="102" t="str">
        <f>IF(AND(WSMTK!$K$176&gt;=91.5,WSMTK!$K$176&lt;=100),"P","")</f>
        <v/>
      </c>
      <c r="OP9" t="str">
        <f>IF(WSMTK!$K$184&lt;74.9,"P","")</f>
        <v/>
      </c>
      <c r="OQ9" s="102" t="str">
        <f>IF(AND(WSMTK!$K$184&gt;=75,WSMTK!$K$184&lt;=83.24),"P","")</f>
        <v/>
      </c>
      <c r="OR9" s="102" t="str">
        <f>IF(AND(WSMTK!$K$184&gt;=83.25,WSMTK!$K$184&lt;=91.4),"P","")</f>
        <v/>
      </c>
      <c r="OS9" s="102" t="str">
        <f>IF(AND(WSMTK!$K$184&gt;=91.5,WSMTK!$K$184&lt;=100),"P","")</f>
        <v/>
      </c>
      <c r="OT9" t="str">
        <f>IF(WSMTK!$K$192&lt;74.9,"P","")</f>
        <v/>
      </c>
      <c r="OU9" s="102" t="str">
        <f>IF(AND(WSMTK!$K$192&gt;=75,WSMTK!$K$192&lt;=83.24),"P","")</f>
        <v/>
      </c>
      <c r="OV9" s="102" t="str">
        <f>IF(AND(WSMTK!$K$192&gt;=83.25,WSMTK!$K$192&lt;=91.4),"P","")</f>
        <v/>
      </c>
      <c r="OW9" s="102" t="str">
        <f>IF(AND(WSMTK!$K$192&gt;=91.5,WSMTK!$K$192&lt;=100),"P","")</f>
        <v/>
      </c>
      <c r="OX9" t="str">
        <f>IF(WSMTK!$K$200&lt;74.9,"P","")</f>
        <v/>
      </c>
      <c r="OY9" s="102" t="str">
        <f>IF(AND(WSMTK!$K$200&gt;=75,WSMTK!$K$200&lt;=83.24),"P","")</f>
        <v/>
      </c>
      <c r="OZ9" s="102" t="str">
        <f>IF(AND(WSMTK!$K$200&gt;=83.25,WSMTK!$K$200&lt;=91.4),"P","")</f>
        <v/>
      </c>
      <c r="PA9" s="102" t="str">
        <f>IF(AND(WSMTK!$K$200&gt;=91.5,WSMTK!$K$200&lt;=100),"P","")</f>
        <v/>
      </c>
      <c r="PB9" t="str">
        <f>IF(WSIPA!$K$6&lt;74.9,"P","")</f>
        <v/>
      </c>
      <c r="PC9" s="102" t="str">
        <f>IF(AND(WSIPA!$K$6&gt;=75,WSIPA!$K$6&lt;=83.24),"P","")</f>
        <v/>
      </c>
      <c r="PD9" s="102" t="str">
        <f>IF(AND(WSIPA!$K$6&gt;=83.25,WSIPA!$K$6&lt;=91.4),"P","")</f>
        <v/>
      </c>
      <c r="PE9" s="102" t="str">
        <f>IF(AND(WSIPA!$K$6&gt;=91.5,WSIPA!$K$6&lt;=100),"P","")</f>
        <v/>
      </c>
      <c r="PF9" t="str">
        <f>IF(WSIPA!$K$14&lt;74.9,"P","")</f>
        <v/>
      </c>
      <c r="PG9" s="102" t="str">
        <f>IF(AND(WSIPA!$K$14&gt;=75,WSIPA!$K$14&lt;=83.24),"P","")</f>
        <v/>
      </c>
      <c r="PH9" s="102" t="str">
        <f>IF(AND(WSIPA!$K$14&gt;=83.25,WSIPA!$K$14&lt;=91.4),"P","")</f>
        <v/>
      </c>
      <c r="PI9" s="102" t="str">
        <f>IF(AND(WSIPA!$K$14&gt;=91.5,WSIPA!$K$14&lt;=100),"P","")</f>
        <v/>
      </c>
      <c r="PJ9" t="str">
        <f>IF(WSIPA!$K$22&lt;74.9,"P","")</f>
        <v/>
      </c>
      <c r="PK9" s="102" t="str">
        <f>IF(AND(WSIPA!$K$22&gt;=75,WSIPA!$K$22&lt;=83.24),"P","")</f>
        <v/>
      </c>
      <c r="PL9" s="102" t="str">
        <f>IF(AND(WSIPA!$K$22&gt;=83.25,WSIPA!$K$22&lt;=91.4),"P","")</f>
        <v/>
      </c>
      <c r="PM9" s="102" t="str">
        <f>IF(AND(WSIPA!$K$22&gt;=91.5,WSIPA!$K$22&lt;=100),"P","")</f>
        <v/>
      </c>
      <c r="PN9" t="str">
        <f>IF(WSIPA!$K$30&lt;74.9,"P","")</f>
        <v/>
      </c>
      <c r="PO9" s="102" t="str">
        <f>IF(AND(WSIPA!$K$30&gt;=75,WSIPA!$K$30&lt;=83.24),"P","")</f>
        <v/>
      </c>
      <c r="PP9" s="102" t="str">
        <f>IF(AND(WSIPA!$K$30&gt;=83.25,WSIPA!$K$30&lt;=91.4),"P","")</f>
        <v/>
      </c>
      <c r="PQ9" s="102" t="str">
        <f>IF(AND(WSIPA!$K$30&gt;=91.5,WSIPA!$K$30&lt;=100),"P","")</f>
        <v/>
      </c>
      <c r="PR9" t="str">
        <f>IF(WSIPA!$K$38&lt;74.9,"P","")</f>
        <v/>
      </c>
      <c r="PS9" s="102" t="str">
        <f>IF(AND(WSIPA!$K$38&gt;=75,WSIPA!$K$38&lt;=83.24),"P","")</f>
        <v/>
      </c>
      <c r="PT9" s="102" t="str">
        <f>IF(AND(WSIPA!$K$38&gt;=83.25,WSIPA!$K$38&lt;=91.4),"P","")</f>
        <v/>
      </c>
      <c r="PU9" s="102" t="str">
        <f>IF(AND(WSIPA!$K$38&gt;=91.5,WSIPA!$K$38&lt;=100),"P","")</f>
        <v/>
      </c>
      <c r="PV9" t="str">
        <f>IF(WSIPA!$K$46&lt;74.9,"P","")</f>
        <v/>
      </c>
      <c r="PW9" s="102" t="str">
        <f>IF(AND(WSIPA!$K$46&gt;=75,WSIPA!$K$46&lt;=83.24),"P","")</f>
        <v/>
      </c>
      <c r="PX9" s="102" t="str">
        <f>IF(AND(WSIPA!$K$46&gt;=83.25,WSIPA!$K$46&lt;=91.4),"P","")</f>
        <v/>
      </c>
      <c r="PY9" s="102" t="str">
        <f>IF(AND(WSIPA!$K$46&gt;=91.5,WSIPA!$K$46&lt;=100),"P","")</f>
        <v/>
      </c>
      <c r="PZ9" t="str">
        <f>IF(WSIPA!$K$54&lt;74.9,"P","")</f>
        <v/>
      </c>
      <c r="QA9" s="102" t="str">
        <f>IF(AND(WSIPA!$K$54&gt;=75,WSIPA!$K$54&lt;=83.24),"P","")</f>
        <v/>
      </c>
      <c r="QB9" s="102" t="str">
        <f>IF(AND(WSIPA!$K$54&gt;=83.25,WSIPA!$K$54&lt;=91.4),"P","")</f>
        <v/>
      </c>
      <c r="QC9" s="102" t="str">
        <f>IF(AND(WSIPA!$K$54&gt;=91.5,WSIPA!$K$54&lt;=100),"P","")</f>
        <v/>
      </c>
      <c r="QD9" t="str">
        <f>IF(WSIPA!$K$62&lt;74.9,"P","")</f>
        <v/>
      </c>
      <c r="QE9" s="102" t="str">
        <f>IF(AND(WSIPA!$K$62&gt;=75,WSIPA!$K$62&lt;=83.24),"P","")</f>
        <v/>
      </c>
      <c r="QF9" s="102" t="str">
        <f>IF(AND(WSIPA!$K$62&gt;=83.25,WSIPA!$K$62&lt;=91.4),"P","")</f>
        <v/>
      </c>
      <c r="QG9" s="102" t="str">
        <f>IF(AND(WSIPA!$K$62&gt;=91.5,WSIPA!$K$62&lt;=100),"P","")</f>
        <v/>
      </c>
      <c r="QH9" t="str">
        <f>IF(WSIPA!$K$70&lt;74.9,"P","")</f>
        <v/>
      </c>
      <c r="QI9" s="102" t="str">
        <f>IF(AND(WSIPA!$K$70&gt;=75,WSIPA!$K$70&lt;=83.24),"P","")</f>
        <v/>
      </c>
      <c r="QJ9" s="102" t="str">
        <f>IF(AND(WSIPA!$K$70&gt;=83.25,WSIPA!$K$70&lt;=91.4),"P","")</f>
        <v/>
      </c>
      <c r="QK9" s="102" t="str">
        <f>IF(AND(WSIPA!$K$70&gt;=91.5,WSIPA!$K$70&lt;=100),"P","")</f>
        <v/>
      </c>
      <c r="QL9" t="str">
        <f>IF(WSIPA!$K$78&lt;74.9,"P","")</f>
        <v/>
      </c>
      <c r="QM9" s="102" t="str">
        <f>IF(AND(WSIPA!$K$78&gt;=75,WSIPA!$K$78&lt;=83.24),"P","")</f>
        <v/>
      </c>
      <c r="QN9" s="102" t="str">
        <f>IF(AND(WSIPA!$K$78&gt;=83.25,WSIPA!$K$78&lt;=91.4),"P","")</f>
        <v/>
      </c>
      <c r="QO9" s="102" t="str">
        <f>IF(AND(WSIPA!$K$78&gt;=91.5,WSIPA!$K$78&lt;=100),"P","")</f>
        <v/>
      </c>
      <c r="QP9" t="str">
        <f>IF(WSIPA!$K$86&lt;74.9,"P","")</f>
        <v/>
      </c>
      <c r="QQ9" s="102" t="str">
        <f>IF(AND(WSIPA!$K$86&gt;=75,WSIPA!$K$86&lt;=83.24),"P","")</f>
        <v/>
      </c>
      <c r="QR9" s="102" t="str">
        <f>IF(AND(WSIPA!$K$86&gt;=83.25,WSIPA!$K$86&lt;=91.4),"P","")</f>
        <v/>
      </c>
      <c r="QS9" s="102" t="str">
        <f>IF(AND(WSIPA!$K$86&gt;=91.5,WSIPA!$K$86&lt;=100),"P","")</f>
        <v/>
      </c>
      <c r="QT9" t="str">
        <f>IF(WSIPA!$K$94&lt;74.9,"P","")</f>
        <v/>
      </c>
      <c r="QU9" s="102" t="str">
        <f>IF(AND(WSIPA!$K$94&gt;=75,WSIPA!$K$94&lt;=83.24),"P","")</f>
        <v/>
      </c>
      <c r="QV9" s="102" t="str">
        <f>IF(AND(WSIPA!$K$94&gt;=83.25,WSIPA!$K$94&lt;=91.4),"P","")</f>
        <v/>
      </c>
      <c r="QW9" s="102" t="str">
        <f>IF(AND(WSIPA!$K$94&gt;=91.5,WSIPA!$K$94&lt;=100),"P","")</f>
        <v/>
      </c>
      <c r="QX9" t="str">
        <f>IF(WSIPA!$K$102&lt;74.9,"P","")</f>
        <v/>
      </c>
      <c r="QY9" s="102" t="str">
        <f>IF(AND(WSIPA!$K$102&gt;=75,WSIPA!$K$102&lt;=83.24),"P","")</f>
        <v/>
      </c>
      <c r="QZ9" s="102" t="str">
        <f>IF(AND(WSIPA!$K$102&gt;=83.25,WSIPA!$K$102&lt;=91.4),"P","")</f>
        <v/>
      </c>
      <c r="RA9" s="102" t="str">
        <f>IF(AND(WSIPA!$K$102&gt;=91.5,WSIPA!$K$102&lt;=100),"P","")</f>
        <v/>
      </c>
      <c r="RB9" t="str">
        <f>IF(WSIPS!$K$6&lt;74.9,"P","")</f>
        <v/>
      </c>
      <c r="RC9" s="102" t="str">
        <f>IF(AND(WSIPS!$K$6&gt;=75,WSIPS!$K$6&lt;=83.24),"P","")</f>
        <v/>
      </c>
      <c r="RD9" s="102" t="str">
        <f>IF(AND(WSIPS!$K$6&gt;=83.25,WSIPS!$K$6&lt;=91.4),"P","")</f>
        <v/>
      </c>
      <c r="RE9" s="102" t="str">
        <f>IF(AND(WSIPS!$K$6&gt;=91.5,WSIPS!$K$6&lt;=100),"P","")</f>
        <v/>
      </c>
      <c r="RF9" t="str">
        <f>IF(WSIPS!$K$14&lt;74.9,"P","")</f>
        <v/>
      </c>
      <c r="RG9" s="102" t="str">
        <f>IF(AND(WSIPS!$K$14&gt;=75,WSIPS!$K$14&lt;=83.24),"P","")</f>
        <v/>
      </c>
      <c r="RH9" s="102" t="str">
        <f>IF(AND(WSIPS!$K$14&gt;=83.25,WSIPS!$K$14&lt;=91.4),"P","")</f>
        <v/>
      </c>
      <c r="RI9" s="102" t="str">
        <f>IF(AND(WSIPS!$K$14&gt;=91.5,WSIPS!$K$14&lt;=100),"P","")</f>
        <v/>
      </c>
      <c r="RJ9" t="str">
        <f>IF(WSIPS!$K$22&lt;74.9,"P","")</f>
        <v/>
      </c>
      <c r="RK9" s="102" t="str">
        <f>IF(AND(WSIPS!$K$22&gt;=75,WSIPS!$K$22&lt;=83.24),"P","")</f>
        <v/>
      </c>
      <c r="RL9" s="102" t="str">
        <f>IF(AND(WSIPS!$K$22&gt;=83.25,WSIPS!$K$22&lt;=91.4),"P","")</f>
        <v/>
      </c>
      <c r="RM9" s="102" t="str">
        <f>IF(AND(WSIPS!$K$22&gt;=91.5,WSIPS!$K$22&lt;=100),"P","")</f>
        <v/>
      </c>
      <c r="RN9" t="str">
        <f>IF(WSIPS!$K$30&lt;74.9,"P","")</f>
        <v/>
      </c>
      <c r="RO9" s="102" t="str">
        <f>IF(AND(WSIPS!$K$30&gt;=75,WSIPS!$K$30&lt;=83.24),"P","")</f>
        <v/>
      </c>
      <c r="RP9" s="102" t="str">
        <f>IF(AND(WSIPS!$K$30&gt;=83.25,WSIPS!$K$30&lt;=91.4),"P","")</f>
        <v/>
      </c>
      <c r="RQ9" s="102" t="str">
        <f>IF(AND(WSIPS!$K$30&gt;=91.5,WSIPS!$K$30&lt;=100),"P","")</f>
        <v/>
      </c>
      <c r="RR9" t="str">
        <f>IF(WSIPS!$K$38&lt;74.9,"P","")</f>
        <v/>
      </c>
      <c r="RS9" s="102" t="str">
        <f>IF(AND(WSIPS!$K$38&gt;=75,WSIPS!$K$38&lt;=83.24),"P","")</f>
        <v/>
      </c>
      <c r="RT9" s="102" t="str">
        <f>IF(AND(WSIPS!$K$38&gt;=83.25,WSIPS!$K$38&lt;=91.4),"P","")</f>
        <v/>
      </c>
      <c r="RU9" s="102" t="str">
        <f>IF(AND(WSIPS!$K$38&gt;=91.5,WSIPS!$K$38&lt;=100),"P","")</f>
        <v/>
      </c>
      <c r="RV9" t="str">
        <f>IF(WSIPS!$K$46&lt;74.9,"P","")</f>
        <v/>
      </c>
      <c r="RW9" s="102" t="str">
        <f>IF(AND(WSIPS!$K$46&gt;=75,WSIPS!$K$46&lt;=83.24),"P","")</f>
        <v/>
      </c>
      <c r="RX9" s="102" t="str">
        <f>IF(AND(WSIPS!$K$46&gt;=83.25,WSIPS!$K$46&lt;=91.4),"P","")</f>
        <v/>
      </c>
      <c r="RY9" s="102" t="str">
        <f>IF(AND(WSIPS!$K$46&gt;=91.5,WSIPS!$K$46&lt;=100),"P","")</f>
        <v/>
      </c>
      <c r="RZ9" t="str">
        <f>IF(WSIPS!$K$54&lt;74.9,"P","")</f>
        <v/>
      </c>
      <c r="SA9" s="102" t="str">
        <f>IF(AND(WSIPS!$K$54&gt;=75,WSIPS!$K$54&lt;=83.24),"P","")</f>
        <v/>
      </c>
      <c r="SB9" s="102" t="str">
        <f>IF(AND(WSIPS!$K$54&gt;=83.25,WSIPS!$K$54&lt;=91.4),"P","")</f>
        <v/>
      </c>
      <c r="SC9" s="102" t="str">
        <f>IF(AND(WSIPS!$K$54&gt;=91.5,WSIPS!$K$54&lt;=100),"P","")</f>
        <v/>
      </c>
      <c r="SD9" t="str">
        <f>IF(WSIPS!$K$62&lt;74.9,"P","")</f>
        <v/>
      </c>
      <c r="SE9" s="102" t="str">
        <f>IF(AND(WSIPS!$K$62&gt;=75,WSIPS!$K$62&lt;=83.24),"P","")</f>
        <v/>
      </c>
      <c r="SF9" s="102" t="str">
        <f>IF(AND(WSIPS!$K$62&gt;=83.25,WSIPS!$K$62&lt;=91.4),"P","")</f>
        <v/>
      </c>
      <c r="SG9" s="102" t="str">
        <f>IF(AND(WSIPS!$K$62&gt;=91.5,WSIPS!$K$62&lt;=100),"P","")</f>
        <v/>
      </c>
      <c r="SH9" t="str">
        <f>IF(WSIPS!$K$70&lt;74.9,"P","")</f>
        <v/>
      </c>
      <c r="SI9" s="102" t="str">
        <f>IF(AND(WSIPS!$K$70&gt;=75,WSIPS!$K$70&lt;=83.24),"P","")</f>
        <v/>
      </c>
      <c r="SJ9" s="102" t="str">
        <f>IF(AND(WSIPS!$K$70&gt;=83.25,WSIPS!$K$70&lt;=91.4),"P","")</f>
        <v/>
      </c>
      <c r="SK9" s="102" t="str">
        <f>IF(AND(WSIPS!$K$70&gt;=91.5,WSIPS!$K$70&lt;=100),"P","")</f>
        <v/>
      </c>
      <c r="SL9" t="str">
        <f>IF(WSIPS!$K$78&lt;74.9,"P","")</f>
        <v/>
      </c>
      <c r="SM9" s="102" t="str">
        <f>IF(AND(WSIPS!$K$78&gt;=75,WSIPS!$K$78&lt;=83.24),"P","")</f>
        <v/>
      </c>
      <c r="SN9" s="102" t="str">
        <f>IF(AND(WSIPS!$K$78&gt;=83.25,WSIPS!$K$78&lt;=91.4),"P","")</f>
        <v/>
      </c>
      <c r="SO9" s="102" t="str">
        <f>IF(AND(WSIPS!$K$78&gt;=91.5,WSIPS!$K$78&lt;=100),"P","")</f>
        <v/>
      </c>
      <c r="SP9" t="str">
        <f>IF(WSIPS!$K$86&lt;74.9,"P","")</f>
        <v/>
      </c>
      <c r="SQ9" s="102" t="str">
        <f>IF(AND(WSIPS!$K$86&gt;=75,WSIPS!$K$86&lt;=83.24),"P","")</f>
        <v/>
      </c>
      <c r="SR9" s="102" t="str">
        <f>IF(AND(WSIPS!$K$86&gt;=83.25,WSIPS!$K$86&lt;=91.4),"P","")</f>
        <v/>
      </c>
      <c r="SS9" s="102" t="str">
        <f>IF(AND(WSIPS!$K$86&gt;=91.5,WSIPS!$K$86&lt;=100),"P","")</f>
        <v/>
      </c>
      <c r="ST9" t="str">
        <f>IF(WSIPS!$K$94&lt;74.9,"P","")</f>
        <v/>
      </c>
      <c r="SU9" s="102" t="str">
        <f>IF(AND(WSIPS!$K$94&gt;=75,WSIPS!$K$94&lt;=83.24),"P","")</f>
        <v/>
      </c>
      <c r="SV9" s="102" t="str">
        <f>IF(AND(WSIPS!$K$94&gt;=83.25,WSIPS!$K$94&lt;=91.4),"P","")</f>
        <v/>
      </c>
      <c r="SW9" s="102" t="str">
        <f>IF(AND(WSIPS!$K$94&gt;=91.5,WSIPS!$K$94&lt;=100),"P","")</f>
        <v/>
      </c>
      <c r="SX9" t="str">
        <f>IF(WSIPS!$K$102&lt;74.9,"P","")</f>
        <v/>
      </c>
      <c r="SY9" s="102" t="str">
        <f>IF(AND(WSIPS!$K$102&gt;=75,WSIPS!$K$102&lt;=83.24),"P","")</f>
        <v/>
      </c>
      <c r="SZ9" s="102" t="str">
        <f>IF(AND(WSIPS!$K$102&gt;=83.25,WSIPS!$K$102&lt;=91.4),"P","")</f>
        <v/>
      </c>
      <c r="TA9" s="102" t="str">
        <f>IF(AND(WSIPS!$K$102&gt;=91.5,WSIPS!$K$102&lt;=100),"P","")</f>
        <v/>
      </c>
      <c r="TB9" t="str">
        <f>IF(WSSBK!$K$6&lt;74.9,"P","")</f>
        <v/>
      </c>
      <c r="TC9" s="102" t="str">
        <f>IF(AND(WSSBK!$K$6&gt;=75,WSSBK!$K$6&lt;=83.24),"P","")</f>
        <v/>
      </c>
      <c r="TD9" s="102" t="str">
        <f>IF(AND(WSSBK!$K$6&gt;=83.25,WSSBK!$K$6&lt;=91.4),"P","")</f>
        <v/>
      </c>
      <c r="TE9" s="102" t="str">
        <f>IF(AND(WSSBK!$K$6&gt;=91.5,WSSBK!$K$6&lt;=100),"P","")</f>
        <v>P</v>
      </c>
      <c r="TF9" t="str">
        <f>IF(WSSBK!$K$16&lt;74.9,"P","")</f>
        <v/>
      </c>
      <c r="TG9" s="102" t="str">
        <f>IF(AND(WSSBK!$K$16&gt;=75,WSSBK!$K$16&lt;=83.24),"P","")</f>
        <v/>
      </c>
      <c r="TH9" s="102" t="str">
        <f>IF(AND(WSSBK!$K$16&gt;=83.25,WSSBK!$K$16&lt;=91.4),"P","")</f>
        <v/>
      </c>
      <c r="TI9" s="102" t="str">
        <f>IF(AND(WSSBK!$K$16&gt;=91.5,WSSBK!$K$16&lt;=100),"P","")</f>
        <v>P</v>
      </c>
      <c r="TJ9" t="str">
        <f>IF(WSSBK!$K$26&lt;74.9,"P","")</f>
        <v/>
      </c>
      <c r="TK9" s="102" t="str">
        <f>IF(AND(WSSBK!$K$26&gt;=75,WSSBK!$K$26&lt;=83.24),"P","")</f>
        <v/>
      </c>
      <c r="TL9" s="102" t="str">
        <f>IF(AND(WSSBK!$K$26&gt;=83.25,WSSBK!$K$26&lt;=91.4),"P","")</f>
        <v/>
      </c>
      <c r="TM9" s="102" t="str">
        <f>IF(AND(WSSBK!$K$26&gt;=91.5,WSSBK!$K$26&lt;=100),"P","")</f>
        <v>P</v>
      </c>
      <c r="TN9" t="str">
        <f>IF(WSSBK!$K$36&lt;74.9,"P","")</f>
        <v/>
      </c>
      <c r="TO9" s="102" t="str">
        <f>IF(AND(WSSBK!$K$36&gt;=75,WSSBK!$K$36&lt;=83.24),"P","")</f>
        <v/>
      </c>
      <c r="TP9" s="102" t="str">
        <f>IF(AND(WSSBK!$K$36&gt;=83.25,WSSBK!$K$36&lt;=91.4),"P","")</f>
        <v/>
      </c>
      <c r="TQ9" s="102" t="str">
        <f>IF(AND(WSSBK!$K$36&gt;=91.5,WSSBK!$K$36&lt;=100),"P","")</f>
        <v>P</v>
      </c>
      <c r="TR9" t="str">
        <f>IF(WSSBK!$K$46&lt;74.9,"P","")</f>
        <v/>
      </c>
      <c r="TS9" s="102" t="str">
        <f>IF(AND(WSSBK!$K$46&gt;=75,WSSBK!$K$46&lt;=83.24),"P","")</f>
        <v/>
      </c>
      <c r="TT9" s="102" t="str">
        <f>IF(AND(WSSBK!$K$46&gt;=83.25,WSSBK!$K$46&lt;=91.4),"P","")</f>
        <v/>
      </c>
      <c r="TU9" s="102" t="str">
        <f>IF(AND(WSSBK!$K$46&gt;=91.5,WSSBK!$K$46&lt;=100),"P","")</f>
        <v>P</v>
      </c>
      <c r="TV9" t="str">
        <f>IF(WSSBK!$K$58&lt;74.9,"P","")</f>
        <v/>
      </c>
      <c r="TW9" s="102" t="str">
        <f>IF(AND(WSSBK!$K$58&gt;=75,WSSBK!$K$58&lt;=83.24),"P","")</f>
        <v/>
      </c>
      <c r="TX9" s="102" t="str">
        <f>IF(AND(WSSBK!$K$58&gt;=83.25,WSSBK!$K$58&lt;=91.4),"P","")</f>
        <v/>
      </c>
      <c r="TY9" s="102" t="str">
        <f>IF(AND(WSSBK!$K$58&gt;=91.5,WSSBK!$K$58&lt;=100),"P","")</f>
        <v>P</v>
      </c>
      <c r="TZ9" t="str">
        <f>IF(WSSBK!$K$68&lt;74.9,"P","")</f>
        <v/>
      </c>
      <c r="UA9" s="102" t="str">
        <f>IF(AND(WSSBK!$K$68&gt;=75,WSSBK!$K$68&lt;=83.24),"P","")</f>
        <v/>
      </c>
      <c r="UB9" s="102" t="str">
        <f>IF(AND(WSSBK!$K$68&gt;=83.25,WSSBK!$K$68&lt;=91.4),"P","")</f>
        <v/>
      </c>
      <c r="UC9" s="102" t="str">
        <f>IF(AND(WSSBK!$K$68&gt;=91.5,WSSBK!$K$68&lt;=100),"P","")</f>
        <v>P</v>
      </c>
      <c r="UD9" t="str">
        <f>IF(WSSBK!$K$77&lt;74.9,"P","")</f>
        <v/>
      </c>
      <c r="UE9" s="102" t="str">
        <f>IF(AND(WSSBK!$K$77&gt;=75,WSSBK!$K$77&lt;=83.24),"P","")</f>
        <v/>
      </c>
      <c r="UF9" s="102" t="str">
        <f>IF(AND(WSSBK!$K$77&gt;=83.25,WSSBK!$K$77&lt;=91.4),"P","")</f>
        <v/>
      </c>
      <c r="UG9" s="102" t="str">
        <f>IF(AND(WSSBK!$K$77&gt;=91.5,WSSBK!$K$77&lt;=100),"P","")</f>
        <v>P</v>
      </c>
      <c r="UH9" t="str">
        <f>IF(WSSBK!$K$87&lt;74.9,"P","")</f>
        <v/>
      </c>
      <c r="UI9" s="102" t="str">
        <f>IF(AND(WSSBK!$K$87&gt;=75,WSSBK!$K$87&lt;=83.24),"P","")</f>
        <v/>
      </c>
      <c r="UJ9" s="102" t="str">
        <f>IF(AND(WSSBK!$K$87&gt;=83.25,WSSBK!$K$87&lt;=91.4),"P","")</f>
        <v/>
      </c>
      <c r="UK9" s="102" t="str">
        <f>IF(AND(WSSBK!$K$87&gt;=91.5,WSSBK!$K$87&lt;=100),"P","")</f>
        <v/>
      </c>
      <c r="UL9" t="str">
        <f>IF(WSSBK!$K$95&lt;74.9,"P","")</f>
        <v/>
      </c>
      <c r="UM9" s="102" t="str">
        <f>IF(AND(WSSBK!$K$95&gt;=75,WSSBK!$K$95&lt;=83.24),"P","")</f>
        <v/>
      </c>
      <c r="UN9" s="102" t="str">
        <f>IF(AND(WSSBK!$K$95&gt;=83.25,WSSBK!$K$95&lt;=91.4),"P","")</f>
        <v/>
      </c>
      <c r="UO9" s="102" t="str">
        <f>IF(AND(WSSBK!$K$95&gt;=91.5,WSSBK!$K$95&lt;=100),"P","")</f>
        <v/>
      </c>
      <c r="UP9" t="str">
        <f>IF(WSSBK!$K$103&lt;74.9,"P","")</f>
        <v/>
      </c>
      <c r="UQ9" s="102" t="str">
        <f>IF(AND(WSSBK!$K$103&gt;=75,WSSBK!$K$103&lt;=83.24),"P","")</f>
        <v/>
      </c>
      <c r="UR9" s="102" t="str">
        <f>IF(AND(WSSBK!$K$103&gt;=83.25,WSSBK!$K$103&lt;=91.4),"P","")</f>
        <v/>
      </c>
      <c r="US9" s="102" t="str">
        <f>IF(AND(WSSBK!$K$103&gt;=91.5,WSSBK!$K$103&lt;=100),"P","")</f>
        <v/>
      </c>
      <c r="UT9" t="str">
        <f>IF(WSSBK!$K$111&lt;74.9,"P","")</f>
        <v/>
      </c>
      <c r="UU9" s="102" t="str">
        <f>IF(AND(WSSBK!$K$111&gt;=75,WSSBK!$K$111&lt;=83.24),"P","")</f>
        <v/>
      </c>
      <c r="UV9" s="102" t="str">
        <f>IF(AND(WSSBK!$K$111&gt;=83.25,WSSBK!$K$111&lt;=91.4),"P","")</f>
        <v/>
      </c>
      <c r="UW9" s="102" t="str">
        <f>IF(AND(WSSBK!$K$111&gt;=91.5,WSSBK!$K$111&lt;=100),"P","")</f>
        <v/>
      </c>
      <c r="UX9" t="str">
        <f>IF(WSSBK!$K$119&lt;74.9,"P","")</f>
        <v/>
      </c>
      <c r="UY9" s="102" t="str">
        <f>IF(AND(WSSBK!$K$119&gt;=75,WSSBK!$K$119&lt;=83.24),"P","")</f>
        <v/>
      </c>
      <c r="UZ9" s="102" t="str">
        <f>IF(AND(WSSBK!$K$119&gt;=83.25,WSSBK!$K$119&lt;=91.4),"P","")</f>
        <v/>
      </c>
      <c r="VA9" s="102" t="str">
        <f>IF(AND(WSSBK!$K$119&gt;=91.5,WSSBK!$K$119&lt;=100),"P","")</f>
        <v/>
      </c>
      <c r="VB9" s="102" t="str">
        <f>IF(AND(WSPENJAS!$K$6&gt;0,WSPENJAS!$K$6&lt;=74.9),"P","")</f>
        <v/>
      </c>
      <c r="VC9" s="102" t="str">
        <f>IF(AND(WSPENJAS!$K$6&gt;=75,WSPENJAS!$K$6&lt;=83.24),"P","")</f>
        <v/>
      </c>
      <c r="VD9" s="102" t="str">
        <f>IF(AND(WSPENJAS!$K$6&gt;=83.25,WSPENJAS!$K$6&lt;=91.4),"P","")</f>
        <v>P</v>
      </c>
      <c r="VE9" s="102" t="str">
        <f>IF(AND(WSPENJAS!$K$6&gt;=91.5,WSPENJAS!$K$6&lt;=100),"P","")</f>
        <v/>
      </c>
      <c r="VF9" s="102" t="str">
        <f>IF(AND(WSPENJAS!$K$7&gt;0,WSPENJAS!$K$7&lt;=74.9),"P","")</f>
        <v/>
      </c>
      <c r="VG9" s="102" t="str">
        <f>IF(AND(WSPENJAS!$K$7&gt;=75,WSPENJAS!$K$7&lt;=83.24),"P","")</f>
        <v/>
      </c>
      <c r="VH9" s="102" t="str">
        <f>IF(AND(WSPENJAS!$K$7&gt;=83.25,WSPENJAS!$K$7&lt;=91.4),"P","")</f>
        <v>P</v>
      </c>
      <c r="VI9" s="102" t="str">
        <f>IF(AND(WSPENJAS!$K$7&gt;=91.5,WSPENJAS!$K$7&lt;=100),"P","")</f>
        <v/>
      </c>
      <c r="VJ9" s="102" t="str">
        <f>IF(AND(WSPENJAS!$K$8&gt;0,WSPENJAS!$K$8&lt;=74.9),"P","")</f>
        <v/>
      </c>
      <c r="VK9" s="102" t="str">
        <f>IF(AND(WSPENJAS!$K$8&gt;=75,WSPENJAS!$K$8&lt;=83.24),"P","")</f>
        <v/>
      </c>
      <c r="VL9" s="102" t="str">
        <f>IF(AND(WSPENJAS!$K$8&gt;=83.25,WSPENJAS!$K$8&lt;=91.4),"P","")</f>
        <v>P</v>
      </c>
      <c r="VM9" s="102" t="str">
        <f>IF(AND(WSPENJAS!$K$8&gt;=91.5,WSPENJAS!$K$8&lt;=100),"P","")</f>
        <v/>
      </c>
      <c r="VN9" s="102" t="str">
        <f>IF(AND(WSPENJAS!$K$9&gt;0,WSPENJAS!$K$9&lt;=74.9),"P","")</f>
        <v/>
      </c>
      <c r="VO9" s="102" t="str">
        <f>IF(AND(WSPENJAS!$K$9&gt;=75,WSPENJAS!$K$9&lt;=83.24),"P","")</f>
        <v/>
      </c>
      <c r="VP9" s="102" t="str">
        <f>IF(AND(WSPENJAS!$K$9&gt;=83.25,WSPENJAS!$K$9&lt;=91.4),"P","")</f>
        <v>P</v>
      </c>
      <c r="VQ9" s="102" t="str">
        <f>IF(AND(WSPENJAS!$K$9&gt;=91.5,WSPENJAS!$K$9&lt;=100),"P","")</f>
        <v/>
      </c>
      <c r="VR9" s="102" t="str">
        <f>IF(AND(WSPENJAS!$K$10&gt;0,WSPENJAS!$K$10&lt;=74.9),"P","")</f>
        <v/>
      </c>
      <c r="VS9" s="102" t="str">
        <f>IF(AND(WSPENJAS!$K$10&gt;=75,WSPENJAS!$K$10&lt;=83.24),"P","")</f>
        <v/>
      </c>
      <c r="VT9" s="102" t="str">
        <f>IF(AND(WSPENJAS!$K$10&gt;=83.25,WSPENJAS!$K$10&lt;=91.4),"P","")</f>
        <v>P</v>
      </c>
      <c r="VU9" s="102" t="str">
        <f>IF(AND(WSPENJAS!$K$10&gt;=91.5,WSPENJAS!$K$10&lt;=100),"P","")</f>
        <v/>
      </c>
      <c r="VV9" s="102" t="str">
        <f>IF(AND(WSPENJAS!$K$11&gt;0,WSPENJAS!$K$11&lt;=74.9),"P","")</f>
        <v/>
      </c>
      <c r="VW9" s="102" t="str">
        <f>IF(AND(WSPENJAS!$K$411&gt;=75,WSPENJAS!$K$411&lt;=83.24),"P","")</f>
        <v/>
      </c>
      <c r="VX9" s="102" t="str">
        <f>IF(AND(WSPENJAS!$K$411&gt;=83.25,WSPENJAS!$K$411&lt;=91.4),"P","")</f>
        <v/>
      </c>
      <c r="VY9" s="102" t="str">
        <f>IF(AND(WSPENJAS!$K$411&gt;=91.5,WSPENJAS!$K$411&lt;=100),"P","")</f>
        <v/>
      </c>
      <c r="VZ9" s="102" t="str">
        <f>IF(AND(WSPENJAS!$K$12&gt;0,WSPENJAS!$K$12&lt;=74.9),"P","")</f>
        <v/>
      </c>
      <c r="WA9" s="102" t="str">
        <f>IF(AND(WSPENJAS!$K$12&gt;=75,WSPENJAS!$K$12&lt;=83.24),"P","")</f>
        <v/>
      </c>
      <c r="WB9" s="102" t="str">
        <f>IF(AND(WSPENJAS!$K$12&gt;=83.25,WSPENJAS!$K$12&lt;=91.4),"P","")</f>
        <v>P</v>
      </c>
      <c r="WC9" s="102" t="str">
        <f>IF(AND(WSPENJAS!$K$12&gt;=91.5,WSPENJAS!$K$12&lt;=100),"P","")</f>
        <v/>
      </c>
      <c r="WD9" s="102" t="str">
        <f>IF(AND(WSPENJAS!$K$13&gt;0,WSPENJAS!$K$13&lt;=74.9),"P","")</f>
        <v/>
      </c>
      <c r="WE9" s="102" t="str">
        <f>IF(AND(WSPENJAS!$K$13&gt;=75,WSPENJAS!$K$13&lt;=83.24),"P","")</f>
        <v/>
      </c>
      <c r="WF9" s="102" t="str">
        <f>IF(AND(WSPENJAS!$K$13&gt;=83.25,WSPENJAS!$K$13&lt;=91.4),"P","")</f>
        <v>P</v>
      </c>
      <c r="WG9" s="102" t="str">
        <f>IF(AND(WSPENJAS!$K$13&gt;=91.5,WSPENJAS!$K$13&lt;=100),"P","")</f>
        <v/>
      </c>
      <c r="WH9" s="102" t="str">
        <f>IF(AND(WSPENJAS!$K$14&gt;0,WSPENJAS!$K$14&lt;=74.9),"P","")</f>
        <v/>
      </c>
      <c r="WI9" s="102" t="str">
        <f>IF(AND(WSPENJAS!$K$14&gt;=75,WSPENJAS!$K$14&lt;=83.24),"P","")</f>
        <v/>
      </c>
      <c r="WJ9" s="102" t="str">
        <f>IF(AND(WSPENJAS!$K$14&gt;=83.25,WSPENJAS!$K$14&lt;=91.4),"P","")</f>
        <v>P</v>
      </c>
      <c r="WK9" s="102" t="str">
        <f>IF(AND(WSPENJAS!$K$14&gt;=91.5,WSPENJAS!$K$14&lt;=100),"P","")</f>
        <v/>
      </c>
      <c r="WL9" s="102" t="str">
        <f>IF(AND(WSPENJAS!$K$15&gt;0,WSPENJAS!$K$15&lt;=74.9),"P","")</f>
        <v/>
      </c>
      <c r="WM9" s="102" t="str">
        <f>IF(AND(WSPENJAS!$K$15&gt;=75,WSPENJAS!$K$15&lt;=83.24),"P","")</f>
        <v/>
      </c>
      <c r="WN9" s="102" t="str">
        <f>IF(AND(WSPENJAS!$K$15&gt;=83.25,WSPENJAS!$K$15&lt;=91.4),"P","")</f>
        <v>P</v>
      </c>
      <c r="WO9" s="102" t="str">
        <f>IF(AND(WSPENJAS!$K$15&gt;=91.5,WSPENJAS!$K$15&lt;=100),"P","")</f>
        <v/>
      </c>
      <c r="WP9" s="102" t="str">
        <f>IF(AND(WSPENJAS!$K$16&gt;0,WSPENJAS!$K$16&lt;=74.9),"P","")</f>
        <v/>
      </c>
      <c r="WQ9" s="102" t="str">
        <f>IF(AND(WSPENJAS!$K$16&gt;=75,WSPENJAS!$K$16&lt;=83.24),"P","")</f>
        <v/>
      </c>
      <c r="WR9" s="102" t="str">
        <f>IF(AND(WSPENJAS!$K$16&gt;=83.25,WSPENJAS!$K$16&lt;=91.4),"P","")</f>
        <v/>
      </c>
      <c r="WS9" s="102" t="str">
        <f>IF(AND(WSPENJAS!$K$16&gt;=91.5,WSPENJAS!$K$16&lt;=100),"P","")</f>
        <v/>
      </c>
      <c r="WT9" s="102" t="str">
        <f>IF(AND(WSPENJAS!$K$17&gt;0,WSPENJAS!$K$17&lt;=74.9),"P","")</f>
        <v/>
      </c>
      <c r="WU9" s="102" t="str">
        <f>IF(AND(WSPENJAS!$K$17&gt;=75,WSPENJAS!$K$17&lt;=83.24),"P","")</f>
        <v/>
      </c>
      <c r="WV9" s="102" t="str">
        <f>IF(AND(WSPENJAS!$K$17&gt;=83.25,WSPENJAS!$K$17&lt;=91.4),"P","")</f>
        <v/>
      </c>
      <c r="WW9" s="102" t="str">
        <f>IF(AND(WSPENJAS!$K$17&gt;=91.5,WSPENJAS!$K$17&lt;=100),"P","")</f>
        <v/>
      </c>
      <c r="WX9" s="102" t="str">
        <f>IF(AND(WSPENJAS!$K$18&gt;0,WSPENJAS!$K$18&lt;=74.9),"P","")</f>
        <v/>
      </c>
      <c r="WY9" s="102" t="str">
        <f>IF(AND(WSPENJAS!$K$18&gt;=75,WSPENJAS!$K$18&lt;=83.24),"P","")</f>
        <v/>
      </c>
      <c r="WZ9" s="102" t="str">
        <f>IF(AND(WSPENJAS!$K$18&gt;=83.25,WSPENJAS!$K$18&lt;=91.4),"P","")</f>
        <v/>
      </c>
      <c r="XA9" s="102" t="str">
        <f>IF(AND(WSPENJAS!$K$18&gt;=91.5,WSPENJAS!$K$18&lt;=100),"P","")</f>
        <v/>
      </c>
      <c r="XB9" s="102" t="str">
        <f>IF(AND(WSPENJAS!$K$19&gt;0,WSPENJAS!$K$19&lt;=74.9),"P","")</f>
        <v/>
      </c>
      <c r="XC9" s="102" t="str">
        <f>IF(AND(WSPENJAS!$K$19&gt;=75,WSPENJAS!$K$19&lt;=83.24),"P","")</f>
        <v/>
      </c>
      <c r="XD9" s="102" t="str">
        <f>IF(AND(WSPENJAS!$K$19&gt;=83.25,WSPENJAS!$K$19&lt;=91.4),"P","")</f>
        <v/>
      </c>
      <c r="XE9" s="102" t="str">
        <f>IF(AND(WSPENJAS!$K$19&gt;=91.5,WSPENJAS!$K$19&lt;=100),"P","")</f>
        <v/>
      </c>
      <c r="XF9" s="102" t="str">
        <f>IF(AND(WSPENJAS!$K$20&gt;0,WSPENJAS!$K$20&lt;=74.9),"P","")</f>
        <v/>
      </c>
      <c r="XG9" s="102" t="str">
        <f>IF(AND(WSPENJAS!$K$20&gt;=75,WSPENJAS!$K$20&lt;=83.24),"P","")</f>
        <v/>
      </c>
      <c r="XH9" s="102" t="str">
        <f>IF(AND(WSPENJAS!$K$20&gt;=83.25,WSPENJAS!$K$20&lt;=91.4),"P","")</f>
        <v/>
      </c>
      <c r="XI9" s="102" t="str">
        <f>IF(AND(WSPENJAS!$K$20&gt;=91.5,WSPENJAS!$K$20&lt;=100),"P","")</f>
        <v/>
      </c>
      <c r="XJ9" s="102" t="str">
        <f>IF(AND(WSPENJAS!$K$21&gt;0,WSPENJAS!$K$21&lt;=74.9),"P","")</f>
        <v/>
      </c>
      <c r="XK9" s="102" t="str">
        <f>IF(AND(WSPENJAS!$K$21&gt;=75,WSPENJAS!$K$21&lt;=83.24),"P","")</f>
        <v/>
      </c>
      <c r="XL9" s="102" t="str">
        <f>IF(AND(WSPENJAS!$K$21&gt;=83.25,WSPENJAS!$K$21&lt;=91.4),"P","")</f>
        <v/>
      </c>
      <c r="XM9" s="102" t="str">
        <f>IF(AND(WSPENJAS!$K$21&gt;=91.5,WSPENJAS!$K$21&lt;=100),"P","")</f>
        <v/>
      </c>
      <c r="XN9" t="str">
        <f>IF(WSJAWA!$K$6&lt;74.9,"P","")</f>
        <v/>
      </c>
      <c r="XO9" s="102" t="str">
        <f>IF(AND(WSJAWA!$K$6&gt;=75,WSJAWA!$K$6&lt;=83.24),"P","")</f>
        <v/>
      </c>
      <c r="XP9" s="102" t="str">
        <f>IF(AND(WSJAWA!$K$6&gt;=83.25,WSJAWA!$K$6&lt;=91.4),"P","")</f>
        <v/>
      </c>
      <c r="XQ9" s="102" t="str">
        <f>IF(AND(WSJAWA!$K$6&gt;=91.5,WSJAWA!$K$6&lt;=100),"P","")</f>
        <v>P</v>
      </c>
      <c r="XR9" t="str">
        <f>IF(WSJAWA!$K$14&lt;74.9,"P","")</f>
        <v/>
      </c>
      <c r="XS9" s="102" t="str">
        <f>IF(AND(WSJAWA!$K$14&gt;=75,WSJAWA!$K$14&lt;=83.24),"P","")</f>
        <v/>
      </c>
      <c r="XT9" s="102" t="str">
        <f>IF(AND(WSJAWA!$K$14&gt;=83.25,WSJAWA!$K$14&lt;=91.4),"P","")</f>
        <v/>
      </c>
      <c r="XU9" s="102" t="str">
        <f>IF(AND(WSJAWA!$K$14&gt;=91.5,WSJAWA!$K$14&lt;=100),"P","")</f>
        <v>P</v>
      </c>
      <c r="XV9" t="str">
        <f>IF(WSJAWA!$K$22&lt;74.9,"P","")</f>
        <v/>
      </c>
      <c r="XW9" s="102" t="str">
        <f>IF(AND(WSJAWA!$K$22&gt;=75,WSJAWA!$K$22&lt;=83.24),"P","")</f>
        <v/>
      </c>
      <c r="XX9" s="102" t="str">
        <f>IF(AND(WSJAWA!$K$22&gt;=83.25,WSJAWA!$K$22&lt;=91.4),"P","")</f>
        <v/>
      </c>
      <c r="XY9" s="102" t="str">
        <f>IF(AND(WSJAWA!$K$22&gt;=91.5,WSJAWA!$K$22&lt;=100),"P","")</f>
        <v>P</v>
      </c>
      <c r="XZ9" t="str">
        <f>IF(WSJAWA!$K$30&lt;74.9,"P","")</f>
        <v/>
      </c>
      <c r="YA9" s="102" t="str">
        <f>IF(AND(WSJAWA!$K$30&gt;=75,WSJAWA!$K$30&lt;=83.24),"P","")</f>
        <v/>
      </c>
      <c r="YB9" s="102" t="str">
        <f>IF(AND(WSJAWA!$K$30&gt;=83.25,WSJAWA!$K$30&lt;=91.4),"P","")</f>
        <v/>
      </c>
      <c r="YC9" s="102" t="str">
        <f>IF(AND(WSJAWA!$K$30&gt;=91.5,WSJAWA!$K$30&lt;=100),"P","")</f>
        <v>P</v>
      </c>
      <c r="YD9" t="str">
        <f>IF(WSJAWA!$K$38&lt;74.9,"P","")</f>
        <v/>
      </c>
      <c r="YE9" s="102" t="str">
        <f>IF(AND(WSJAWA!$K$38&gt;=75,WSJAWA!$K$38&lt;=83.24),"P","")</f>
        <v/>
      </c>
      <c r="YF9" s="102" t="str">
        <f>IF(AND(WSJAWA!$K$38&gt;=83.25,WSJAWA!$K$38&lt;=91.4),"P","")</f>
        <v/>
      </c>
      <c r="YG9" s="102" t="str">
        <f>IF(AND(WSJAWA!$K$38&gt;=91.5,WSJAWA!$K$38&lt;=100),"P","")</f>
        <v>P</v>
      </c>
      <c r="YH9" t="str">
        <f>IF(WSJAWA!$K$46&lt;74.9,"P","")</f>
        <v/>
      </c>
      <c r="YI9" s="102" t="str">
        <f>IF(AND(WSJAWA!$K$46&gt;=75,WSJAWA!$K$46&lt;=83.24),"P","")</f>
        <v/>
      </c>
      <c r="YJ9" s="102" t="str">
        <f>IF(AND(WSJAWA!$K$46&gt;=83.25,WSJAWA!$K$46&lt;=91.4),"P","")</f>
        <v/>
      </c>
      <c r="YK9" s="102" t="str">
        <f>IF(AND(WSJAWA!$K$46&gt;=91.5,WSJAWA!$K$46&lt;=100),"P","")</f>
        <v>P</v>
      </c>
      <c r="YL9" t="str">
        <f>IF(WSJAWA!$K$54&lt;74.9,"P","")</f>
        <v/>
      </c>
      <c r="YM9" s="102" t="str">
        <f>IF(AND(WSJAWA!$K$54&gt;=75,WSJAWA!$K$54&lt;=83.24),"P","")</f>
        <v/>
      </c>
      <c r="YN9" s="102" t="str">
        <f>IF(AND(WSJAWA!$K$54&gt;=83.25,WSJAWA!$K$54&lt;=91.4),"P","")</f>
        <v/>
      </c>
      <c r="YO9" s="102" t="str">
        <f>IF(AND(WSJAWA!$K$54&gt;=91.5,WSJAWA!$K$54&lt;=100),"P","")</f>
        <v>P</v>
      </c>
      <c r="YP9" t="str">
        <f>IF(WSJAWA!$K$62&lt;74.9,"P","")</f>
        <v/>
      </c>
      <c r="YQ9" s="102" t="str">
        <f>IF(AND(WSJAWA!$K$62&gt;=75,WSJAWA!$K$62&lt;=83.24),"P","")</f>
        <v/>
      </c>
      <c r="YR9" s="102" t="str">
        <f>IF(AND(WSJAWA!$K$62&gt;=83.25,WSJAWA!$K$62&lt;=91.4),"P","")</f>
        <v/>
      </c>
      <c r="YS9" s="102" t="str">
        <f>IF(AND(WSJAWA!$K$62&gt;=91.5,WSJAWA!$K$62&lt;=100),"P","")</f>
        <v>P</v>
      </c>
      <c r="YT9" t="str">
        <f>IF(WSJAWA!$K$70&lt;74.9,"P","")</f>
        <v/>
      </c>
      <c r="YU9" s="102" t="str">
        <f>IF(AND(WSJAWA!$K$70&gt;=75,WSJAWA!$K$70&lt;=83.24),"P","")</f>
        <v/>
      </c>
      <c r="YV9" s="102" t="str">
        <f>IF(AND(WSJAWA!$K$70&gt;=83.25,WSJAWA!$K$70&lt;=91.4),"P","")</f>
        <v/>
      </c>
      <c r="YW9" s="102" t="str">
        <f>IF(AND(WSJAWA!$K$70&gt;=91.5,WSJAWA!$K$70&lt;=100),"P","")</f>
        <v/>
      </c>
      <c r="YX9" t="str">
        <f>IF(WSJAWA!$K$78&lt;74.9,"P","")</f>
        <v/>
      </c>
      <c r="YY9" s="102" t="str">
        <f>IF(AND(WSJAWA!$K$78&gt;=75,WSJAWA!$K$78&lt;=83.24),"P","")</f>
        <v/>
      </c>
      <c r="YZ9" s="102" t="str">
        <f>IF(AND(WSJAWA!$K$78&gt;=83.25,WSJAWA!$K$78&lt;=91.4),"P","")</f>
        <v/>
      </c>
      <c r="ZA9" s="102" t="str">
        <f>IF(AND(WSJAWA!$K$78&gt;=91.5,WSJAWA!$K$78&lt;=100),"P","")</f>
        <v/>
      </c>
      <c r="ZB9" t="str">
        <f>IF(WSJAWA!$K$86&lt;74.9,"P","")</f>
        <v/>
      </c>
      <c r="ZC9" s="102" t="str">
        <f>IF(AND(WSJAWA!$K$86&gt;=75,WSJAWA!$K$86&lt;=83.24),"P","")</f>
        <v/>
      </c>
      <c r="ZD9" s="102" t="str">
        <f>IF(AND(WSJAWA!$K$86&gt;=83.25,WSJAWA!$K$86&lt;=91.4),"P","")</f>
        <v/>
      </c>
      <c r="ZE9" s="102" t="str">
        <f>IF(AND(WSJAWA!$K$86&gt;=91.5,WSJAWA!$K$86&lt;=100),"P","")</f>
        <v/>
      </c>
      <c r="ZF9" t="str">
        <f>IF(WSJAWA!$K$94&lt;74.9,"P","")</f>
        <v/>
      </c>
      <c r="ZG9" s="102" t="str">
        <f>IF(AND(WSJAWA!$K$94&gt;=75,WSJAWA!$K$94&lt;=83.24),"P","")</f>
        <v/>
      </c>
      <c r="ZH9" s="102" t="str">
        <f>IF(AND(WSJAWA!$K$94&gt;=83.25,WSJAWA!$K$94&lt;=91.4),"P","")</f>
        <v/>
      </c>
      <c r="ZI9" s="102" t="str">
        <f>IF(AND(WSJAWA!$K$94&gt;=91.5,WSJAWA!$K$94&lt;=100),"P","")</f>
        <v/>
      </c>
      <c r="ZJ9" t="str">
        <f>IF(WSJAWA!$K$102&lt;74.9,"P","")</f>
        <v/>
      </c>
      <c r="ZK9" s="102" t="str">
        <f>IF(AND(WSJAWA!$K$102&gt;=75,WSJAWA!$K$102&lt;=83.24),"P","")</f>
        <v/>
      </c>
      <c r="ZL9" s="102" t="str">
        <f>IF(AND(WSJAWA!$K$102&gt;=83.25,WSJAWA!$K$102&lt;=91.4),"P","")</f>
        <v/>
      </c>
      <c r="ZM9" s="102" t="str">
        <f>IF(AND(WSJAWA!$K$102&gt;=91.5,WSJAWA!$K$102&lt;=100),"P","")</f>
        <v/>
      </c>
      <c r="ZN9" t="str">
        <f>IF(WSING!$K$6&lt;74.9,"P","")</f>
        <v/>
      </c>
      <c r="ZO9" s="102" t="str">
        <f>IF(AND(WSING!$K$6&gt;=75,WSING!$K$6&lt;=83.24),"P","")</f>
        <v/>
      </c>
      <c r="ZP9" s="102" t="str">
        <f>IF(AND(WSING!$K$6&gt;=83.25,WSING!$K$6&lt;=91.4),"P","")</f>
        <v/>
      </c>
      <c r="ZQ9" s="102" t="str">
        <f>IF(AND(WSING!$K$6&gt;=91.5,WSING!$K$6&lt;=100),"P","")</f>
        <v>P</v>
      </c>
      <c r="ZR9" t="str">
        <f>IF(WSING!$K$15&lt;74.9,"P","")</f>
        <v/>
      </c>
      <c r="ZS9" s="102" t="str">
        <f>IF(AND(WSING!$K$15&gt;=75,WSING!$K$15&lt;=83.24),"P","")</f>
        <v/>
      </c>
      <c r="ZT9" s="102" t="str">
        <f>IF(AND(WSING!$K$15&gt;=83.25,WSING!$K$15&lt;=91.4),"P","")</f>
        <v/>
      </c>
      <c r="ZU9" s="102" t="str">
        <f>IF(AND(WSING!$K$15&gt;=91.5,WSING!$K$15&lt;=100),"P","")</f>
        <v>P</v>
      </c>
      <c r="ZV9" t="str">
        <f>IF(WSING!$K$24&lt;74.9,"P","")</f>
        <v/>
      </c>
      <c r="ZW9" s="102" t="str">
        <f>IF(AND(WSING!$K$24&gt;=75,WSING!$K$24&lt;=83.24),"P","")</f>
        <v/>
      </c>
      <c r="ZX9" s="102" t="str">
        <f>IF(AND(WSING!$K$24&gt;=83.25,WSING!$K$24&lt;=91.4),"P","")</f>
        <v/>
      </c>
      <c r="ZY9" s="102" t="str">
        <f>IF(AND(WSING!$K$24&gt;=91.5,WSING!$K$24&lt;=100),"P","")</f>
        <v>P</v>
      </c>
      <c r="ZZ9" t="str">
        <f>IF(WSING!$K$33&lt;74.9,"P","")</f>
        <v/>
      </c>
      <c r="AAA9" s="102" t="str">
        <f>IF(AND(WSING!$K$33&gt;=75,WSING!$K$33&lt;=83.24),"P","")</f>
        <v/>
      </c>
      <c r="AAB9" s="102" t="str">
        <f>IF(AND(WSING!$K$33&gt;=83.25,WSING!$K$33&lt;=91.4),"P","")</f>
        <v/>
      </c>
      <c r="AAC9" s="102" t="str">
        <f>IF(AND(WSING!$K$33&gt;=91.5,WSING!$K$33&lt;=100),"P","")</f>
        <v>P</v>
      </c>
      <c r="AAD9" t="str">
        <f>IF(WSING!$K$42&lt;74.9,"P","")</f>
        <v/>
      </c>
      <c r="AAE9" s="102" t="str">
        <f>IF(AND(WSING!$K$42&gt;=75,WSING!$K$42&lt;=83.24),"P","")</f>
        <v/>
      </c>
      <c r="AAF9" s="102" t="str">
        <f>IF(AND(WSING!$K$42&gt;=83.25,WSING!$K$42&lt;=91.4),"P","")</f>
        <v/>
      </c>
      <c r="AAG9" s="102" t="str">
        <f>IF(AND(WSING!$K$42&gt;=91.5,WSING!$K$42&lt;=100),"P","")</f>
        <v/>
      </c>
      <c r="AAH9" t="str">
        <f>IF(WSING!$K$50&lt;74.9,"P","")</f>
        <v/>
      </c>
      <c r="AAI9" s="102" t="str">
        <f>IF(AND(WSING!$K$50&gt;=75,WSING!$K$50&lt;=83.24),"P","")</f>
        <v/>
      </c>
      <c r="AAJ9" s="102" t="str">
        <f>IF(AND(WSING!$K$50&gt;=83.25,WSING!$K$50&lt;=91.4),"P","")</f>
        <v/>
      </c>
      <c r="AAK9" s="102" t="str">
        <f>IF(AND(WSING!$K$50&gt;=91.5,WSING!$K$50&lt;=100),"P","")</f>
        <v/>
      </c>
      <c r="AAL9" t="str">
        <f>IF(WSING!$K$58&lt;74.9,"P","")</f>
        <v/>
      </c>
      <c r="AAM9" s="102" t="str">
        <f>IF(AND(WSING!$K$58&gt;=75,WSING!$K$58&lt;=83.24),"P","")</f>
        <v/>
      </c>
      <c r="AAN9" s="102" t="str">
        <f>IF(AND(WSING!$K$58&gt;=83.25,WSING!$K$58&lt;=91.4),"P","")</f>
        <v/>
      </c>
      <c r="AAO9" s="102" t="str">
        <f>IF(AND(WSING!$K$58&gt;=91.5,WSING!$K$58&lt;=100),"P","")</f>
        <v/>
      </c>
      <c r="AAP9" t="str">
        <f>IF(WSING!$K$66&lt;74.9,"P","")</f>
        <v/>
      </c>
      <c r="AAQ9" s="102" t="str">
        <f>IF(AND(WSING!$K$66&gt;=75,WSING!$K$66&lt;=83.24),"P","")</f>
        <v/>
      </c>
      <c r="AAR9" s="102" t="str">
        <f>IF(AND(WSING!$K$66&gt;=83.25,WSING!$K$66&lt;=91.4),"P","")</f>
        <v/>
      </c>
      <c r="AAS9" s="102" t="str">
        <f>IF(AND(WSING!$K$66&gt;=91.5,WSING!$K$66&lt;=100),"P","")</f>
        <v/>
      </c>
      <c r="AAT9" t="str">
        <f>IF(WSING!$K$74&lt;74.9,"P","")</f>
        <v/>
      </c>
      <c r="AAU9" s="102" t="str">
        <f>IF(AND(WSING!$K$74&gt;=75,WSING!$K$74&lt;=83.24),"P","")</f>
        <v/>
      </c>
      <c r="AAV9" s="102" t="str">
        <f>IF(AND(WSING!$K$74&gt;=83.25,WSING!$K$74&lt;=91.4),"P","")</f>
        <v/>
      </c>
      <c r="AAW9" s="102" t="str">
        <f>IF(AND(WSING!$K$74&gt;=91.5,WSING!$K$74&lt;=100),"P","")</f>
        <v/>
      </c>
      <c r="AAX9" t="str">
        <f>IF(WSING!$K$82&lt;74.9,"P","")</f>
        <v/>
      </c>
      <c r="AAY9" s="102" t="str">
        <f>IF(AND(WSING!$K$82&gt;=75,WSING!$K$82&lt;=83.24),"P","")</f>
        <v/>
      </c>
      <c r="AAZ9" s="102" t="str">
        <f>IF(AND(WSING!$K$82&gt;=83.25,WSING!$K$82&lt;=91.4),"P","")</f>
        <v/>
      </c>
      <c r="ABA9" s="102" t="str">
        <f>IF(AND(WSING!$K$82&gt;=91.5,WSING!$K$82&lt;=100),"P","")</f>
        <v/>
      </c>
      <c r="ABB9" t="str">
        <f>IF(WSING!$K$90&lt;74.9,"P","")</f>
        <v/>
      </c>
      <c r="ABC9" s="102" t="str">
        <f>IF(AND(WSING!$K$90&gt;=75,WSING!$K$90&lt;=83.24),"P","")</f>
        <v/>
      </c>
      <c r="ABD9" s="102" t="str">
        <f>IF(AND(WSING!$K$90&gt;=83.25,WSING!$K$90&lt;=91.4),"P","")</f>
        <v/>
      </c>
      <c r="ABE9" s="102" t="str">
        <f>IF(AND(WSING!$K$90&gt;=91.5,WSING!$K$90&lt;=100),"P","")</f>
        <v/>
      </c>
      <c r="ABF9" t="str">
        <f>IF(WSING!$K$98&lt;74.9,"P","")</f>
        <v/>
      </c>
      <c r="ABG9" s="102" t="str">
        <f>IF(AND(WSING!$K$98&gt;=75,WSING!$K$98&lt;=83.24),"P","")</f>
        <v/>
      </c>
      <c r="ABH9" s="102" t="str">
        <f>IF(AND(WSING!$K$98&gt;=83.25,WSING!$K$98&lt;=91.4),"P","")</f>
        <v/>
      </c>
      <c r="ABI9" s="102" t="str">
        <f>IF(AND(WSING!$K$98&gt;=91.5,WSING!$K$98&lt;=100),"P","")</f>
        <v/>
      </c>
      <c r="ABJ9" t="str">
        <f>IF(WSING!$K$106&lt;74.9,"P","")</f>
        <v/>
      </c>
      <c r="ABK9" s="102" t="str">
        <f>IF(AND(WSING!$K$106&gt;=75,WSING!$K$106&lt;=83.24),"P","")</f>
        <v/>
      </c>
      <c r="ABL9" s="102" t="str">
        <f>IF(AND(WSING!$K$106&gt;=83.25,WSING!$K$106&lt;=91.4),"P","")</f>
        <v/>
      </c>
      <c r="ABM9" s="102" t="str">
        <f>IF(AND(WSING!$K$106&gt;=91.5,WSING!$K$106&lt;=100),"P","")</f>
        <v/>
      </c>
      <c r="ABN9" t="str">
        <f>IF(WSTIK!$K$6&lt;74.9,"P","")</f>
        <v/>
      </c>
      <c r="ABO9" s="102" t="str">
        <f>IF(AND(WSTIK!$K$6&gt;=75,WSTIK!$K$6&lt;=83.24),"P","")</f>
        <v/>
      </c>
      <c r="ABP9" s="102" t="str">
        <f>IF(AND(WSTIK!$K$6&gt;=83.25,WSTIK!$K$6&lt;=91.4),"P","")</f>
        <v/>
      </c>
      <c r="ABQ9" s="102" t="str">
        <f>IF(AND(WSTIK!$K$6&gt;=91.5,WSTIK!$K$6&lt;=100),"P","")</f>
        <v/>
      </c>
      <c r="ABR9" t="str">
        <f>IF(WSTIK!$K$14&lt;74.9,"P","")</f>
        <v/>
      </c>
      <c r="ABS9" s="102" t="str">
        <f>IF(AND(WSTIK!$K$14&gt;=75,WSTIK!$K$14&lt;=83.24),"P","")</f>
        <v/>
      </c>
      <c r="ABT9" s="102" t="str">
        <f>IF(AND(WSTIK!$K$14&gt;=83.25,WSTIK!$K$14&lt;=91.4),"P","")</f>
        <v/>
      </c>
      <c r="ABU9" s="102" t="str">
        <f>IF(AND(WSTIK!$K$14&gt;=91.5,WSTIK!$K$14&lt;=100),"P","")</f>
        <v/>
      </c>
      <c r="ABV9" t="str">
        <f>IF(WSTIK!$K$22&lt;74.9,"P","")</f>
        <v/>
      </c>
      <c r="ABW9" s="102" t="str">
        <f>IF(AND(WSTIK!$K$22&gt;=75,WSTIK!$K$22&lt;=83.24),"P","")</f>
        <v/>
      </c>
      <c r="ABX9" s="102" t="str">
        <f>IF(AND(WSTIK!$K$22&gt;=83.25,WSTIK!$K$22&lt;=91.4),"P","")</f>
        <v/>
      </c>
      <c r="ABY9" s="102" t="str">
        <f>IF(AND(WSTIK!$K$22&gt;=91.5,WSTIK!$K$22&lt;=100),"P","")</f>
        <v/>
      </c>
      <c r="ABZ9" t="str">
        <f>IF(WSTIK!$K$30&lt;74.9,"P","")</f>
        <v/>
      </c>
      <c r="ACA9" s="102" t="str">
        <f>IF(AND(WSTIK!$K$30&gt;=75,WSTIK!$K$30&lt;=83.24),"P","")</f>
        <v/>
      </c>
      <c r="ACB9" s="102" t="str">
        <f>IF(AND(WSTIK!$K$30&gt;=83.25,WSTIK!$K$30&lt;=91.4),"P","")</f>
        <v/>
      </c>
      <c r="ACC9" s="102" t="str">
        <f>IF(AND(WSTIK!$K$30&gt;=91.5,WSTIK!$K$30&lt;=100),"P","")</f>
        <v/>
      </c>
      <c r="ACD9" t="str">
        <f>IF(WSTIK!$K$38&lt;74.9,"P","")</f>
        <v/>
      </c>
      <c r="ACE9" s="102" t="str">
        <f>IF(AND(WSTIK!$K$38&gt;=75,WSTIK!$K$38&lt;=83.24),"P","")</f>
        <v/>
      </c>
      <c r="ACF9" s="102" t="str">
        <f>IF(AND(WSTIK!$K$38&gt;=83.25,WSTIK!$K$38&lt;=91.4),"P","")</f>
        <v/>
      </c>
      <c r="ACG9" s="102" t="str">
        <f>IF(AND(WSTIK!$K$38&gt;=91.5,WSTIK!$K$38&lt;=100),"P","")</f>
        <v/>
      </c>
      <c r="ACH9" t="str">
        <f>IF(WSTIK!$K$46&lt;74.9,"P","")</f>
        <v/>
      </c>
      <c r="ACI9" s="102" t="str">
        <f>IF(AND(WSTIK!$K$46&gt;=75,WSTIK!$K$46&lt;=83.24),"P","")</f>
        <v/>
      </c>
      <c r="ACJ9" s="102" t="str">
        <f>IF(AND(WSTIK!$K$46&gt;=83.25,WSTIK!$K$46&lt;=91.4),"P","")</f>
        <v/>
      </c>
      <c r="ACK9" s="102" t="str">
        <f>IF(AND(WSTIK!$K$46&gt;=91.5,WSTIK!$K$46&lt;=100),"P","")</f>
        <v/>
      </c>
      <c r="ACL9" t="str">
        <f>IF(WSTIK!$K$54&lt;74.9,"P","")</f>
        <v/>
      </c>
      <c r="ACM9" s="102" t="str">
        <f>IF(AND(WSTIK!$K$54&gt;=75,WSTIK!$K$54&lt;=83.24),"P","")</f>
        <v/>
      </c>
      <c r="ACN9" s="102" t="str">
        <f>IF(AND(WSTIK!$K$54&gt;=83.25,WSTIK!$K$54&lt;=91.4),"P","")</f>
        <v/>
      </c>
      <c r="ACO9" s="102" t="str">
        <f>IF(AND(WSTIK!$K$54&gt;=91.5,WSTIK!$K$54&lt;=100),"P","")</f>
        <v/>
      </c>
      <c r="ACP9" t="str">
        <f>IF(WSTIK!$K$62&lt;74.9,"P","")</f>
        <v/>
      </c>
      <c r="ACQ9" s="102" t="str">
        <f>IF(AND(WSTIK!$K$62&gt;=75,WSTIK!$K$62&lt;=83.24),"P","")</f>
        <v/>
      </c>
      <c r="ACR9" s="102" t="str">
        <f>IF(AND(WSTIK!$K$62&gt;=83.25,WSTIK!$K$62&lt;=91.4),"P","")</f>
        <v/>
      </c>
      <c r="ACS9" s="102" t="str">
        <f>IF(AND(WSTIK!$K$62&gt;=91.5,WSTIK!$K$62&lt;=100),"P","")</f>
        <v/>
      </c>
      <c r="ACT9" t="str">
        <f>IF(WSTIK!$K$70&lt;74.9,"P","")</f>
        <v/>
      </c>
      <c r="ACU9" s="102" t="str">
        <f>IF(AND(WSTIK!$K$70&gt;=75,WSTIK!$K$70&lt;=83.24),"P","")</f>
        <v/>
      </c>
      <c r="ACV9" s="102" t="str">
        <f>IF(AND(WSTIK!$K$70&gt;=83.25,WSTIK!$K$70&lt;=91.4),"P","")</f>
        <v/>
      </c>
      <c r="ACW9" s="102" t="str">
        <f>IF(AND(WSTIK!$K$70&gt;=91.5,WSTIK!$K$70&lt;=100),"P","")</f>
        <v/>
      </c>
      <c r="ACX9" t="str">
        <f>IF(WSTIK!$K$78&lt;74.9,"P","")</f>
        <v/>
      </c>
      <c r="ACY9" s="102" t="str">
        <f>IF(AND(WSTIK!$K$78&gt;=75,WSTIK!$K$78&lt;=83.24),"P","")</f>
        <v/>
      </c>
      <c r="ACZ9" s="102" t="str">
        <f>IF(AND(WSTIK!$K$78&gt;=83.25,WSTIK!$K$78&lt;=91.4),"P","")</f>
        <v/>
      </c>
      <c r="ADA9" s="102" t="str">
        <f>IF(AND(WSTIK!$K$78&gt;=91.5,WSTIK!$K$78&lt;=100),"P","")</f>
        <v/>
      </c>
      <c r="ADB9" t="str">
        <f>IF(WSTIK!$K$86&lt;74.9,"P","")</f>
        <v/>
      </c>
      <c r="ADC9" s="102" t="str">
        <f>IF(AND(WSTIK!$K$86&gt;=75,WSTIK!$K$86&lt;=83.24),"P","")</f>
        <v/>
      </c>
      <c r="ADD9" s="102" t="str">
        <f>IF(AND(WSTIK!$K$86&gt;=83.25,WSTIK!$K$86&lt;=91.4),"P","")</f>
        <v/>
      </c>
      <c r="ADE9" s="102" t="str">
        <f>IF(AND(WSTIK!$K$86&gt;=91.5,WSTIK!$K$86&lt;=100),"P","")</f>
        <v/>
      </c>
      <c r="ADF9" t="str">
        <f>IF(WSTIK!$K$94&lt;74.9,"P","")</f>
        <v/>
      </c>
      <c r="ADG9" s="102" t="str">
        <f>IF(AND(WSTIK!$K$94&gt;=75,WSTIK!$K$94&lt;=83.24),"P","")</f>
        <v/>
      </c>
      <c r="ADH9" s="102" t="str">
        <f>IF(AND(WSTIK!$K$94&gt;=83.25,WSTIK!$K$94&lt;=91.4),"P","")</f>
        <v/>
      </c>
      <c r="ADI9" s="102" t="str">
        <f>IF(AND(WSTIK!$K$94&gt;=91.5,WSTIK!$K$94&lt;=100),"P","")</f>
        <v/>
      </c>
      <c r="ADJ9" t="str">
        <f>IF(WSTIK!$K$102&lt;74.9,"P","")</f>
        <v/>
      </c>
      <c r="ADK9" s="102" t="str">
        <f>IF(AND(WSTIK!$K$102&gt;=75,WSTIK!$K$102&lt;=83.24),"P","")</f>
        <v/>
      </c>
      <c r="ADL9" s="102" t="str">
        <f>IF(AND(WSTIK!$K$102&gt;=83.25,WSTIK!$K$102&lt;=91.4),"P","")</f>
        <v/>
      </c>
      <c r="ADM9" s="102" t="str">
        <f>IF(AND(WSTIK!$K$102&gt;=91.5,WSTIK!$K$102&lt;=100),"P","")</f>
        <v/>
      </c>
      <c r="ADN9" t="str">
        <f>IF(WSASWAJA!$K$6&lt;74.9,"P","")</f>
        <v/>
      </c>
      <c r="ADO9" s="102" t="str">
        <f>IF(AND(WSASWAJA!$K$6&gt;=75,WSASWAJA!$K$6&lt;=83.24),"P","")</f>
        <v/>
      </c>
      <c r="ADP9" s="102" t="str">
        <f>IF(AND(WSASWAJA!$K$6&gt;=83.25,WSASWAJA!$K$6&lt;=91.4),"P","")</f>
        <v/>
      </c>
      <c r="ADQ9" s="102" t="str">
        <f>IF(AND(WSASWAJA!$K$6&gt;=91.5,WSASWAJA!$K$6&lt;=100),"P","")</f>
        <v/>
      </c>
      <c r="ADR9" t="str">
        <f>IF(WSASWAJA!$K$14&lt;74.9,"P","")</f>
        <v/>
      </c>
      <c r="ADS9" s="102" t="str">
        <f>IF(AND(WSASWAJA!$K$14&gt;=75,WSASWAJA!$K$14&lt;=83.24),"P","")</f>
        <v/>
      </c>
      <c r="ADT9" s="102" t="str">
        <f>IF(AND(WSASWAJA!$K$14&gt;=83.25,WSASWAJA!$K$14&lt;=91.4),"P","")</f>
        <v/>
      </c>
      <c r="ADU9" s="102" t="str">
        <f>IF(AND(WSASWAJA!$K$14&gt;=91.5,WSASWAJA!$K$14&lt;=100),"P","")</f>
        <v/>
      </c>
      <c r="ADV9" t="str">
        <f>IF(WSASWAJA!$K$22&lt;74.9,"P","")</f>
        <v/>
      </c>
      <c r="ADW9" s="102" t="str">
        <f>IF(AND(WSASWAJA!$K$22&gt;=75,WSASWAJA!$K$22&lt;=83.24),"P","")</f>
        <v/>
      </c>
      <c r="ADX9" s="102" t="str">
        <f>IF(AND(WSASWAJA!$K$22&gt;=83.25,WSASWAJA!$K$22&lt;=91.4),"P","")</f>
        <v/>
      </c>
      <c r="ADY9" s="102" t="str">
        <f>IF(AND(WSASWAJA!$K$22&gt;=91.5,WSASWAJA!$K$22&lt;=100),"P","")</f>
        <v/>
      </c>
      <c r="ADZ9" t="str">
        <f>IF(WSASWAJA!$K$30&lt;74.9,"P","")</f>
        <v/>
      </c>
      <c r="AEA9" s="102" t="str">
        <f>IF(AND(WSASWAJA!$K$30&gt;=75,WSASWAJA!$K$30&lt;=83.24),"P","")</f>
        <v/>
      </c>
      <c r="AEB9" s="102" t="str">
        <f>IF(AND(WSASWAJA!$K$30&gt;=83.25,WSASWAJA!$K$30&lt;=91.4),"P","")</f>
        <v/>
      </c>
      <c r="AEC9" s="102" t="str">
        <f>IF(AND(WSASWAJA!$K$30&gt;=91.5,WSASWAJA!$K$30&lt;=100),"P","")</f>
        <v/>
      </c>
      <c r="AED9" t="str">
        <f>IF(WSASWAJA!$K$38&lt;74.9,"P","")</f>
        <v/>
      </c>
      <c r="AEE9" s="102" t="str">
        <f>IF(AND(WSASWAJA!$K$38&gt;=75,WSASWAJA!$K$38&lt;=83.24),"P","")</f>
        <v/>
      </c>
      <c r="AEF9" s="102" t="str">
        <f>IF(AND(WSASWAJA!$K$38&gt;=83.25,WSASWAJA!$K$38&lt;=91.4),"P","")</f>
        <v/>
      </c>
      <c r="AEG9" s="102" t="str">
        <f>IF(AND(WSASWAJA!$K$38&gt;=91.5,WSASWAJA!$K$38&lt;=100),"P","")</f>
        <v/>
      </c>
      <c r="AEH9" t="str">
        <f>IF(WSASWAJA!$K$46&lt;74.9,"P","")</f>
        <v/>
      </c>
      <c r="AEI9" s="102" t="str">
        <f>IF(AND(WSASWAJA!$K$46&gt;=75,WSASWAJA!$K$46&lt;=83.24),"P","")</f>
        <v/>
      </c>
      <c r="AEJ9" s="102" t="str">
        <f>IF(AND(WSASWAJA!$K$46&gt;=83.25,WSASWAJA!$K$46&lt;=91.4),"P","")</f>
        <v/>
      </c>
      <c r="AEK9" s="102" t="str">
        <f>IF(AND(WSASWAJA!$K$46&gt;=91.5,WSASWAJA!$K$46&lt;=100),"P","")</f>
        <v/>
      </c>
      <c r="AEL9" t="str">
        <f>IF(WSASWAJA!$K$54&lt;74.9,"P","")</f>
        <v/>
      </c>
      <c r="AEM9" s="102" t="str">
        <f>IF(AND(WSASWAJA!$K$54&gt;=75,WSASWAJA!$K$54&lt;=83.24),"P","")</f>
        <v/>
      </c>
      <c r="AEN9" s="102" t="str">
        <f>IF(AND(WSASWAJA!$K$54&gt;=83.25,WSASWAJA!$K$54&lt;=91.4),"P","")</f>
        <v/>
      </c>
      <c r="AEO9" s="102" t="str">
        <f>IF(AND(WSASWAJA!$K$54&gt;=91.5,WSASWAJA!$K$54&lt;=100),"P","")</f>
        <v/>
      </c>
      <c r="AEP9" t="str">
        <f>IF(WSASWAJA!$K$62&lt;74.9,"P","")</f>
        <v/>
      </c>
      <c r="AEQ9" s="102" t="str">
        <f>IF(AND(WSASWAJA!$K$62&gt;=75,WSASWAJA!$K$62&lt;=83.24),"P","")</f>
        <v/>
      </c>
      <c r="AER9" s="102" t="str">
        <f>IF(AND(WSASWAJA!$K$62&gt;=83.25,WSASWAJA!$K$62&lt;=91.4),"P","")</f>
        <v/>
      </c>
      <c r="AES9" s="102" t="str">
        <f>IF(AND(WSASWAJA!$K$62&gt;=91.5,WSASWAJA!$K$62&lt;=100),"P","")</f>
        <v/>
      </c>
      <c r="AET9" t="str">
        <f>IF(WSASWAJA!$K$70&lt;74.9,"P","")</f>
        <v/>
      </c>
      <c r="AEU9" s="102" t="str">
        <f>IF(AND(WSASWAJA!$K$70&gt;=75,WSASWAJA!$K$70&lt;=83.24),"P","")</f>
        <v/>
      </c>
      <c r="AEV9" s="102" t="str">
        <f>IF(AND(WSASWAJA!$K$70&gt;=83.25,WSASWAJA!$K$70&lt;=91.4),"P","")</f>
        <v/>
      </c>
      <c r="AEW9" s="102" t="str">
        <f>IF(AND(WSASWAJA!$K$70&gt;=91.5,WSASWAJA!$K$70&lt;=100),"P","")</f>
        <v/>
      </c>
      <c r="AEX9" t="str">
        <f>IF(WSASWAJA!$K$78&lt;74.9,"P","")</f>
        <v/>
      </c>
      <c r="AEY9" s="102" t="str">
        <f>IF(AND(WSASWAJA!$K$78&gt;=75,WSASWAJA!$K$78&lt;=83.24),"P","")</f>
        <v/>
      </c>
      <c r="AEZ9" s="102" t="str">
        <f>IF(AND(WSASWAJA!$K$78&gt;=83.25,WSASWAJA!$K$78&lt;=91.4),"P","")</f>
        <v/>
      </c>
      <c r="AFA9" s="102" t="str">
        <f>IF(AND(WSASWAJA!$K$78&gt;=91.5,WSASWAJA!$K$78&lt;=100),"P","")</f>
        <v/>
      </c>
      <c r="AFB9" t="str">
        <f>IF(WSASWAJA!$K$86&lt;74.9,"P","")</f>
        <v/>
      </c>
      <c r="AFC9" s="102" t="str">
        <f>IF(AND(WSASWAJA!$K$86&gt;=75,WSASWAJA!$K$86&lt;=83.24),"P","")</f>
        <v/>
      </c>
      <c r="AFD9" s="102" t="str">
        <f>IF(AND(WSASWAJA!$K$86&gt;=83.25,WSASWAJA!$K$86&lt;=91.4),"P","")</f>
        <v/>
      </c>
      <c r="AFE9" s="102" t="str">
        <f>IF(AND(WSASWAJA!$K$86&gt;=91.5,WSASWAJA!$K$86&lt;=100),"P","")</f>
        <v/>
      </c>
      <c r="AFF9" t="str">
        <f>IF(WSASWAJA!$K$94&lt;74.9,"P","")</f>
        <v/>
      </c>
      <c r="AFG9" s="102" t="str">
        <f>IF(AND(WSASWAJA!$K$94&gt;=75,WSASWAJA!$K$94&lt;=83.24),"P","")</f>
        <v/>
      </c>
      <c r="AFH9" s="102" t="str">
        <f>IF(AND(WSASWAJA!$K$94&gt;=83.25,WSASWAJA!$K$94&lt;=91.4),"P","")</f>
        <v/>
      </c>
      <c r="AFI9" s="102" t="str">
        <f>IF(AND(WSASWAJA!$K$94&gt;=91.5,WSASWAJA!$K$94&lt;=100),"P","")</f>
        <v/>
      </c>
      <c r="AFJ9" t="str">
        <f>IF(WSASWAJA!$K$102&lt;74.9,"P","")</f>
        <v/>
      </c>
      <c r="AFK9" s="102" t="str">
        <f>IF(AND(WSASWAJA!$K$102&gt;=75,WSASWAJA!$K$102&lt;=83.24),"P","")</f>
        <v/>
      </c>
      <c r="AFL9" s="102" t="str">
        <f>IF(AND(WSASWAJA!$K$102&gt;=83.25,WSASWAJA!$K$102&lt;=91.4),"P","")</f>
        <v/>
      </c>
      <c r="AFM9" s="102" t="str">
        <f>IF(AND(WSASWAJA!$K$102&gt;=91.5,WSASWAJA!$K$102&lt;=100),"P","")</f>
        <v/>
      </c>
    </row>
    <row r="10" spans="1:852" ht="20.100000000000001" customHeight="1">
      <c r="A10">
        <v>8</v>
      </c>
      <c r="B10" t="str">
        <f>IF(WSALQURAN!$L$6&lt;74.9,"P","")</f>
        <v/>
      </c>
      <c r="C10" s="102" t="str">
        <f>IF(AND(WSALQURAN!$L$6&gt;=75,WSALQURAN!$L$6&lt;=83.24),"P","")</f>
        <v/>
      </c>
      <c r="D10" s="102" t="str">
        <f>IF(AND(WSALQURAN!$L$6&gt;=83.25,WSALQURAN!$L$6&lt;=91.4),"P","")</f>
        <v/>
      </c>
      <c r="E10" s="102" t="str">
        <f>IF(AND(WSALQURAN!$L$6&gt;=91.5,WSALQURAN!$L$6&lt;=100),"P","")</f>
        <v>P</v>
      </c>
      <c r="F10" t="str">
        <f>IF(WSALQURAN!$L$14&lt;74.9,"P","")</f>
        <v/>
      </c>
      <c r="G10" s="102" t="str">
        <f>IF(AND(WSALQURAN!$L$14&gt;=75,WSALQURAN!$L$14&lt;=83.24),"P","")</f>
        <v/>
      </c>
      <c r="H10" s="102" t="str">
        <f>IF(AND(WSALQURAN!$L$14&gt;=83.25,WSALQURAN!$L$14&lt;=91.4),"P","")</f>
        <v/>
      </c>
      <c r="I10" s="102" t="str">
        <f>IF(AND(WSALQURAN!$L$14&gt;=91.5,WSALQURAN!$L$14&lt;=100),"P","")</f>
        <v>P</v>
      </c>
      <c r="J10" t="str">
        <f>IF(WSALQURAN!$L$22&lt;74.9,"P","")</f>
        <v/>
      </c>
      <c r="K10" s="102" t="str">
        <f>IF(AND(WSALQURAN!$L$22&gt;=75,WSALQURAN!$L$22&lt;=83.24),"P","")</f>
        <v/>
      </c>
      <c r="L10" s="102" t="str">
        <f>IF(AND(WSALQURAN!$L$22&gt;=83.25,WSALQURAN!$L$22&lt;=91.4),"P","")</f>
        <v>P</v>
      </c>
      <c r="M10" s="102" t="str">
        <f>IF(AND(WSALQURAN!$L$22&gt;=91.5,WSALQURAN!$L$22&lt;=100),"P","")</f>
        <v/>
      </c>
      <c r="N10" t="str">
        <f>IF(WSALQURAN!$L$30&lt;74.9,"P","")</f>
        <v/>
      </c>
      <c r="O10" s="102" t="str">
        <f>IF(AND(WSALQURAN!$L$30&gt;=75,WSALQURAN!$L$30&lt;=83.24),"P","")</f>
        <v/>
      </c>
      <c r="P10" s="102" t="str">
        <f>IF(AND(WSALQURAN!$L$30&gt;=83.25,WSALQURAN!$L$30&lt;=91.4),"P","")</f>
        <v/>
      </c>
      <c r="Q10" s="102" t="str">
        <f>IF(AND(WSALQURAN!$L$30&gt;=91.5,WSALQURAN!$L$30&lt;=100),"P","")</f>
        <v>P</v>
      </c>
      <c r="R10" t="str">
        <f>IF(WSALQURAN!$L$38&lt;74.9,"P","")</f>
        <v/>
      </c>
      <c r="S10" s="102" t="str">
        <f>IF(AND(WSALQURAN!$L$38&gt;=75,WSALQURAN!$L$38&lt;=83.24),"P","")</f>
        <v/>
      </c>
      <c r="T10" s="102" t="str">
        <f>IF(AND(WSALQURAN!$L$38&gt;=83.25,WSALQURAN!$L$38&lt;=91.4),"P","")</f>
        <v>P</v>
      </c>
      <c r="U10" s="102" t="str">
        <f>IF(AND(WSALQURAN!$L$38&gt;=91.5,WSALQURAN!$L$38&lt;=100),"P","")</f>
        <v/>
      </c>
      <c r="V10" t="str">
        <f>IF(WSALQURAN!$L$46&lt;74.9,"P","")</f>
        <v/>
      </c>
      <c r="W10" s="102" t="str">
        <f>IF(AND(WSALQURAN!$L$46&gt;=75,WSALQURAN!$L$46&lt;=83.24),"P","")</f>
        <v/>
      </c>
      <c r="X10" s="102" t="str">
        <f>IF(AND(WSALQURAN!$L$46&gt;=83.25,WSALQURAN!$L$46&lt;=91.4),"P","")</f>
        <v>P</v>
      </c>
      <c r="Y10" s="102" t="str">
        <f>IF(AND(WSALQURAN!$L$46&gt;=91.5,WSALQURAN!$L$46&lt;=100),"P","")</f>
        <v/>
      </c>
      <c r="Z10" t="str">
        <f>IF(WSALQURAN!$L$54&lt;74.9,"P","")</f>
        <v/>
      </c>
      <c r="AA10" s="102" t="str">
        <f>IF(AND(WSALQURAN!$L$54&gt;=75,WSALQURAN!$L$54&lt;=83.24),"P","")</f>
        <v/>
      </c>
      <c r="AB10" s="102" t="str">
        <f>IF(AND(WSALQURAN!$L$54&gt;=83.25,WSALQURAN!$L$54&lt;=91.4),"P","")</f>
        <v/>
      </c>
      <c r="AC10" s="102" t="str">
        <f>IF(AND(WSALQURAN!$L$54&gt;=91.5,WSALQURAN!$L$54&lt;=100),"P","")</f>
        <v>P</v>
      </c>
      <c r="AD10" t="str">
        <f>IF(WSALQURAN!$L$62&lt;74.9,"P","")</f>
        <v/>
      </c>
      <c r="AE10" s="102" t="str">
        <f>IF(AND(WSALQURAN!$L$62&gt;=75,WSALQURAN!$L$62&lt;=83.24),"P","")</f>
        <v/>
      </c>
      <c r="AF10" s="102" t="str">
        <f>IF(AND(WSALQURAN!$L$62&gt;=83.25,WSALQURAN!$L$62&lt;=91.4),"P","")</f>
        <v/>
      </c>
      <c r="AG10" s="102" t="str">
        <f>IF(AND(WSALQURAN!$L$62&gt;=91.5,WSALQURAN!$L$62&lt;=100),"P","")</f>
        <v/>
      </c>
      <c r="AH10" t="str">
        <f>IF(WSALQURAN!$L$70&lt;74.9,"P","")</f>
        <v/>
      </c>
      <c r="AI10" s="102" t="str">
        <f>IF(AND(WSALQURAN!$L$70&gt;=75,WSALQURAN!$L$70&lt;=83.24),"P","")</f>
        <v/>
      </c>
      <c r="AJ10" s="102" t="str">
        <f>IF(AND(WSALQURAN!$L$70&gt;=83.25,WSALQURAN!$L$70&lt;=91.4),"P","")</f>
        <v/>
      </c>
      <c r="AK10" s="102" t="str">
        <f>IF(AND(WSALQURAN!$L$70&gt;=91.5,WSALQURAN!$L$70&lt;=100),"P","")</f>
        <v/>
      </c>
      <c r="AL10" t="str">
        <f>IF(WSALQURAN!$L$78&lt;74.9,"P","")</f>
        <v/>
      </c>
      <c r="AM10" s="102" t="str">
        <f>IF(AND(WSALQURAN!$L$78&gt;=75,WSALQURAN!$L$78&lt;=83.24),"P","")</f>
        <v/>
      </c>
      <c r="AN10" s="102" t="str">
        <f>IF(AND(WSALQURAN!$L$78&gt;=83.25,WSALQURAN!$L$78&lt;=91.4),"P","")</f>
        <v/>
      </c>
      <c r="AO10" s="102" t="str">
        <f>IF(AND(WSALQURAN!$L$78&gt;=91.5,WSALQURAN!$L$78&lt;=100),"P","")</f>
        <v/>
      </c>
      <c r="AP10" t="str">
        <f>IF(WSALQURAN!$L$86&lt;74.9,"P","")</f>
        <v/>
      </c>
      <c r="AQ10" s="102" t="str">
        <f>IF(AND(WSALQURAN!$L$86&gt;=75,WSALQURAN!$L$86&lt;=83.24),"P","")</f>
        <v/>
      </c>
      <c r="AR10" s="102" t="str">
        <f>IF(AND(WSALQURAN!$L$86&gt;=83.25,WSALQURAN!$L$86&lt;=91.4),"P","")</f>
        <v/>
      </c>
      <c r="AS10" s="102" t="str">
        <f>IF(AND(WSALQURAN!$L$86&gt;=91.5,WSALQURAN!$L$86&lt;=100),"P","")</f>
        <v/>
      </c>
      <c r="AT10" t="str">
        <f>IF(WSALQURAN!$L$94&lt;74.9,"P","")</f>
        <v/>
      </c>
      <c r="AU10" s="102" t="str">
        <f>IF(AND(WSALQURAN!$L$94&gt;=75,WSALQURAN!$L$94&lt;=83.24),"P","")</f>
        <v/>
      </c>
      <c r="AV10" s="102" t="str">
        <f>IF(AND(WSALQURAN!$L$94&gt;=83.25,WSALQURAN!$L$94&lt;=91.4),"P","")</f>
        <v/>
      </c>
      <c r="AW10" s="102" t="str">
        <f>IF(AND(WSALQURAN!$L$94&gt;=91.5,WSALQURAN!$L$94&lt;=100),"P","")</f>
        <v/>
      </c>
      <c r="AX10" t="str">
        <f>IF(WSALQURAN!$L$102&lt;74.9,"P","")</f>
        <v/>
      </c>
      <c r="AY10" s="102" t="str">
        <f>IF(AND(WSALQURAN!$L$102&gt;=75,WSALQURAN!$L$102&lt;=83.24),"P","")</f>
        <v/>
      </c>
      <c r="AZ10" s="102" t="str">
        <f>IF(AND(WSALQURAN!$L$102&gt;=83.25,WSALQURAN!$L$102&lt;=91.4),"P","")</f>
        <v/>
      </c>
      <c r="BA10" s="102" t="str">
        <f>IF(AND(WSALQURAN!$L$102&gt;=91.5,WSALQURAN!$L$102&lt;=100),"P","")</f>
        <v/>
      </c>
      <c r="BB10" t="str">
        <f>IF(WSAQIDAH!$L$6&lt;74.9,"P","")</f>
        <v/>
      </c>
      <c r="BC10" s="102" t="str">
        <f>IF(AND(WSAQIDAH!$L$6&gt;=75,WSAQIDAH!$L$6&lt;=83.24),"P","")</f>
        <v/>
      </c>
      <c r="BD10" s="102" t="str">
        <f>IF(AND(WSAQIDAH!$L$6&gt;=83.25,WSAQIDAH!$L$6&lt;=91.4),"P","")</f>
        <v>P</v>
      </c>
      <c r="BE10" s="102" t="str">
        <f>IF(AND(WSAQIDAH!$L$6&gt;=91.5,WSAQIDAH!$L$6&lt;=100),"P","")</f>
        <v/>
      </c>
      <c r="BF10" t="str">
        <f>IF(WSAQIDAH!$L$14&lt;74.9,"P","")</f>
        <v/>
      </c>
      <c r="BG10" s="102" t="str">
        <f>IF(AND(WSAQIDAH!$L$14&gt;=75,WSAQIDAH!$L$14&lt;=83.24),"P","")</f>
        <v/>
      </c>
      <c r="BH10" s="102" t="str">
        <f>IF(AND(WSAQIDAH!$L$14&gt;=83.25,WSAQIDAH!$L$14&lt;=91.4),"P","")</f>
        <v/>
      </c>
      <c r="BI10" s="102" t="str">
        <f>IF(AND(WSAQIDAH!$L$14&gt;=91.5,WSAQIDAH!$L$14&lt;=100),"P","")</f>
        <v>P</v>
      </c>
      <c r="BJ10" t="str">
        <f>IF(WSAQIDAH!$L$22&lt;74.9,"P","")</f>
        <v/>
      </c>
      <c r="BK10" s="102" t="str">
        <f>IF(AND(WSAQIDAH!$L$22&gt;=75,WSAQIDAH!$L$22&lt;=83.24),"P","")</f>
        <v/>
      </c>
      <c r="BL10" s="102" t="str">
        <f>IF(AND(WSAQIDAH!$L$22&gt;=83.25,WSAQIDAH!$L$22&lt;=91.4),"P","")</f>
        <v/>
      </c>
      <c r="BM10" s="102" t="str">
        <f>IF(AND(WSAQIDAH!$L$22&gt;=91.5,WSAQIDAH!$L$22&lt;=100),"P","")</f>
        <v>P</v>
      </c>
      <c r="BN10" t="str">
        <f>IF(WSAQIDAH!$L$30&lt;74.9,"P","")</f>
        <v/>
      </c>
      <c r="BO10" s="102" t="str">
        <f>IF(AND(WSAQIDAH!$L$30&gt;=75,WSAQIDAH!$L$30&lt;=83.24),"P","")</f>
        <v/>
      </c>
      <c r="BP10" s="102" t="str">
        <f>IF(AND(WSAQIDAH!$L$30&gt;=83.25,WSAQIDAH!$L$30&lt;=91.4),"P","")</f>
        <v/>
      </c>
      <c r="BQ10" s="102" t="str">
        <f>IF(AND(WSAQIDAH!$L$30&gt;=91.5,WSAQIDAH!$L$30&lt;=100),"P","")</f>
        <v>P</v>
      </c>
      <c r="BR10" t="str">
        <f>IF(WSAQIDAH!$L$38&lt;74.9,"P","")</f>
        <v/>
      </c>
      <c r="BS10" s="102" t="str">
        <f>IF(AND(WSAQIDAH!$L$38&gt;=75,WSAQIDAH!$L$38&lt;=83.24),"P","")</f>
        <v/>
      </c>
      <c r="BT10" s="102" t="str">
        <f>IF(AND(WSAQIDAH!$L$38&gt;=83.25,WSAQIDAH!$L$38&lt;=91.4),"P","")</f>
        <v/>
      </c>
      <c r="BU10" s="102" t="str">
        <f>IF(AND(WSAQIDAH!$L$38&gt;=91.5,WSAQIDAH!$L$38&lt;=100),"P","")</f>
        <v>P</v>
      </c>
      <c r="BV10" t="str">
        <f>IF(WSAQIDAH!$L$46&lt;74.9,"P","")</f>
        <v/>
      </c>
      <c r="BW10" s="102" t="str">
        <f>IF(AND(WSAQIDAH!$L$46&gt;=75,WSAQIDAH!$L$46&lt;=83.24),"P","")</f>
        <v/>
      </c>
      <c r="BX10" s="102" t="str">
        <f>IF(AND(WSAQIDAH!$L$46&gt;=83.25,WSAQIDAH!$L$46&lt;=91.4),"P","")</f>
        <v/>
      </c>
      <c r="BY10" s="102" t="str">
        <f>IF(AND(WSAQIDAH!$L$46&gt;=91.5,WSAQIDAH!$L$46&lt;=100),"P","")</f>
        <v>P</v>
      </c>
      <c r="BZ10" t="str">
        <f>IF(WSAQIDAH!$L$54&lt;74.9,"P","")</f>
        <v/>
      </c>
      <c r="CA10" s="102" t="str">
        <f>IF(AND(WSAQIDAH!$L$54&gt;=75,WSAQIDAH!$L$54&lt;=83.24),"P","")</f>
        <v/>
      </c>
      <c r="CB10" s="102" t="str">
        <f>IF(AND(WSAQIDAH!$L$54&gt;=83.25,WSAQIDAH!$L$54&lt;=91.4),"P","")</f>
        <v/>
      </c>
      <c r="CC10" s="102" t="str">
        <f>IF(AND(WSAQIDAH!$L$54&gt;=91.5,WSAQIDAH!$L$54&lt;=100),"P","")</f>
        <v>P</v>
      </c>
      <c r="CD10" t="str">
        <f>IF(WSAQIDAH!$L$62&lt;74.9,"P","")</f>
        <v/>
      </c>
      <c r="CE10" s="102" t="str">
        <f>IF(AND(WSAQIDAH!$L$62&gt;=75,WSAQIDAH!$L$62&lt;=83.24),"P","")</f>
        <v>P</v>
      </c>
      <c r="CF10" s="102" t="str">
        <f>IF(AND(WSAQIDAH!$L$62&gt;=83.25,WSAQIDAH!$L$62&lt;=91.4),"P","")</f>
        <v/>
      </c>
      <c r="CG10" s="102" t="str">
        <f>IF(AND(WSAQIDAH!$L$62&gt;=91.5,WSAQIDAH!$L$62&lt;=100),"P","")</f>
        <v/>
      </c>
      <c r="CH10" t="str">
        <f>IF(WSAQIDAH!$L$70&lt;74.9,"P","")</f>
        <v/>
      </c>
      <c r="CI10" s="102" t="str">
        <f>IF(AND(WSAQIDAH!$L$70&gt;=75,WSAQIDAH!$L$70&lt;=83.24),"P","")</f>
        <v>P</v>
      </c>
      <c r="CJ10" s="102" t="str">
        <f>IF(AND(WSAQIDAH!$L$70&gt;=83.25,WSAQIDAH!$L$70&lt;=91.4),"P","")</f>
        <v/>
      </c>
      <c r="CK10" s="102" t="str">
        <f>IF(AND(WSAQIDAH!$L$70&gt;=91.5,WSAQIDAH!$L$70&lt;=100),"P","")</f>
        <v/>
      </c>
      <c r="CL10" t="str">
        <f>IF(WSAQIDAH!$L$78&lt;74.9,"P","")</f>
        <v/>
      </c>
      <c r="CM10" s="102" t="str">
        <f>IF(AND(WSAQIDAH!$L$78&gt;=75,WSAQIDAH!$L$78&lt;=83.24),"P","")</f>
        <v>P</v>
      </c>
      <c r="CN10" s="102" t="str">
        <f>IF(AND(WSAQIDAH!$L$78&gt;=83.25,WSAQIDAH!$L$78&lt;=91.4),"P","")</f>
        <v/>
      </c>
      <c r="CO10" s="102" t="str">
        <f>IF(AND(WSAQIDAH!$L$78&gt;=91.5,WSAQIDAH!$L$78&lt;=100),"P","")</f>
        <v/>
      </c>
      <c r="CP10" t="str">
        <f>IF(WSAQIDAH!$L$86&lt;74.9,"P","")</f>
        <v/>
      </c>
      <c r="CQ10" s="102" t="str">
        <f>IF(AND(WSAQIDAH!$L$86&gt;=75,WSAQIDAH!$L$86&lt;=83.24),"P","")</f>
        <v/>
      </c>
      <c r="CR10" s="102" t="str">
        <f>IF(AND(WSAQIDAH!$L$86&gt;=83.25,WSAQIDAH!$L$86&lt;=91.4),"P","")</f>
        <v/>
      </c>
      <c r="CS10" s="102" t="str">
        <f>IF(AND(WSAQIDAH!$L$86&gt;=91.5,WSAQIDAH!$L$86&lt;=100),"P","")</f>
        <v/>
      </c>
      <c r="CT10" t="str">
        <f>IF(WSAQIDAH!$L$94&lt;74.9,"P","")</f>
        <v/>
      </c>
      <c r="CU10" s="102" t="str">
        <f>IF(AND(WSAQIDAH!$L$94&gt;=75,WSAQIDAH!$L$94&lt;=83.24),"P","")</f>
        <v/>
      </c>
      <c r="CV10" s="102" t="str">
        <f>IF(AND(WSAQIDAH!$L$94&gt;=83.25,WSAQIDAH!$L$94&lt;=91.4),"P","")</f>
        <v/>
      </c>
      <c r="CW10" s="102" t="str">
        <f>IF(AND(WSAQIDAH!$L$94&gt;=91.5,WSAQIDAH!$L$94&lt;=100),"P","")</f>
        <v/>
      </c>
      <c r="CX10" t="str">
        <f>IF(WSAQIDAH!$L$102&lt;74.9,"P","")</f>
        <v/>
      </c>
      <c r="CY10" s="102" t="str">
        <f>IF(AND(WSAQIDAH!$L$102&gt;=75,WSAQIDAH!$L$102&lt;=83.24),"P","")</f>
        <v/>
      </c>
      <c r="CZ10" s="102" t="str">
        <f>IF(AND(WSAQIDAH!$L$102&gt;=83.25,WSAQIDAH!$L$102&lt;=91.4),"P","")</f>
        <v/>
      </c>
      <c r="DA10" s="102" t="str">
        <f>IF(AND(WSAQIDAH!$L$102&gt;=91.5,WSAQIDAH!$L$102&lt;=100),"P","")</f>
        <v/>
      </c>
      <c r="DB10" t="str">
        <f>IF(WSSKI!$L$6&lt;74.9,"P","")</f>
        <v/>
      </c>
      <c r="DC10" s="102" t="str">
        <f>IF(AND(WSSKI!$L$6&gt;=75,WSSKI!$L$6&lt;=83.24),"P","")</f>
        <v>P</v>
      </c>
      <c r="DD10" s="102" t="str">
        <f>IF(AND(WSSKI!$L$6&gt;=83.25,WSSKI!$L$6&lt;=91.4),"P","")</f>
        <v/>
      </c>
      <c r="DE10" s="102" t="str">
        <f>IF(AND(WSSKI!$L$6&gt;=91.5,WSSKI!$L$6&lt;=100),"P","")</f>
        <v/>
      </c>
      <c r="DF10" t="str">
        <f>IF(WSSKI!$L$14&lt;74.9,"P","")</f>
        <v/>
      </c>
      <c r="DG10" s="102" t="str">
        <f>IF(AND(WSSKI!$L$14&gt;=75,WSSKI!$L$14&lt;=83.24),"P","")</f>
        <v/>
      </c>
      <c r="DH10" s="102" t="str">
        <f>IF(AND(WSSKI!$L$14&gt;=83.25,WSSKI!$L$14&lt;=91.4),"P","")</f>
        <v/>
      </c>
      <c r="DI10" s="102" t="str">
        <f>IF(AND(WSSKI!$L$14&gt;=91.5,WSSKI!$L$14&lt;=100),"P","")</f>
        <v>P</v>
      </c>
      <c r="DJ10" t="str">
        <f>IF(WSSKI!$L$23&lt;74.9,"P","")</f>
        <v/>
      </c>
      <c r="DK10" s="102" t="str">
        <f>IF(AND(WSSKI!$L$23&gt;=75,WSSKI!$L$23&lt;=83.24),"P","")</f>
        <v/>
      </c>
      <c r="DL10" s="102" t="str">
        <f>IF(AND(WSSKI!$L$23&gt;=83.25,WSSKI!$L$23&lt;=91.4),"P","")</f>
        <v>P</v>
      </c>
      <c r="DM10" s="102" t="str">
        <f>IF(AND(WSSKI!$L$23&gt;=91.5,WSSKI!$L$23&lt;=100),"P","")</f>
        <v/>
      </c>
      <c r="DN10" t="str">
        <f>IF(WSSKI!$L$31&lt;74.9,"P","")</f>
        <v/>
      </c>
      <c r="DO10" s="102" t="str">
        <f>IF(AND(WSSKI!$L$31&gt;=75,WSSKI!$L$31&lt;=83.24),"P","")</f>
        <v/>
      </c>
      <c r="DP10" s="102" t="str">
        <f>IF(AND(WSSKI!$L$31&gt;=83.25,WSSKI!$L$31&lt;=91.4),"P","")</f>
        <v>P</v>
      </c>
      <c r="DQ10" s="102" t="str">
        <f>IF(AND(WSSKI!$L$31&gt;=91.5,WSSKI!$L$31&lt;=100),"P","")</f>
        <v/>
      </c>
      <c r="DR10" t="str">
        <f>IF(WSSKI!$L$40&lt;74.9,"P","")</f>
        <v/>
      </c>
      <c r="DS10" s="102" t="str">
        <f>IF(AND(WSSKI!$L$40&gt;=75,WSSKI!$L$40&lt;=83.24),"P","")</f>
        <v/>
      </c>
      <c r="DT10" s="102" t="str">
        <f>IF(AND(WSSKI!$L$40&gt;=83.25,WSSKI!$L$40&lt;=91.4),"P","")</f>
        <v/>
      </c>
      <c r="DU10" s="102" t="str">
        <f>IF(AND(WSSKI!$L$40&gt;=91.5,WSSKI!$L$40&lt;=100),"P","")</f>
        <v>P</v>
      </c>
      <c r="DV10" t="str">
        <f>IF(WSSKI!$L$48&lt;74.9,"P","")</f>
        <v/>
      </c>
      <c r="DW10" s="102" t="str">
        <f>IF(AND(WSSKI!$L$48&gt;=75,WSSKI!$L$48&lt;=83.24),"P","")</f>
        <v/>
      </c>
      <c r="DX10" s="102" t="str">
        <f>IF(AND(WSSKI!$L$48&gt;=83.25,WSSKI!$L$48&lt;=91.4),"P","")</f>
        <v>P</v>
      </c>
      <c r="DY10" s="102" t="str">
        <f>IF(AND(WSSKI!$L$48&gt;=91.5,WSSKI!$L$48&lt;=100),"P","")</f>
        <v/>
      </c>
      <c r="DZ10" t="str">
        <f>IF(WSSKI!$L$56&lt;74.9,"P","")</f>
        <v/>
      </c>
      <c r="EA10" s="102" t="str">
        <f>IF(AND(WSSKI!$L$56&gt;=75,WSSKI!$L$56&lt;=83.24),"P","")</f>
        <v/>
      </c>
      <c r="EB10" s="102" t="str">
        <f>IF(AND(WSSKI!$L$56&gt;=83.25,WSSKI!$L$56&lt;=91.4),"P","")</f>
        <v/>
      </c>
      <c r="EC10" s="102" t="str">
        <f>IF(AND(WSSKI!$L$56&gt;=91.5,WSSKI!$L$56&lt;=100),"P","")</f>
        <v/>
      </c>
      <c r="ED10" t="str">
        <f>IF(WSSKI!$L$64&lt;74.9,"P","")</f>
        <v/>
      </c>
      <c r="EE10" s="102" t="str">
        <f>IF(AND(WSSKI!$L$64&gt;=75,WSSKI!$L$64&lt;=83.24),"P","")</f>
        <v/>
      </c>
      <c r="EF10" s="102" t="str">
        <f>IF(AND(WSSKI!$L$64&gt;=83.25,WSSKI!$L$64&lt;=91.4),"P","")</f>
        <v/>
      </c>
      <c r="EG10" s="102" t="str">
        <f>IF(AND(WSSKI!$L$64&gt;=91.5,WSSKI!$L$64&lt;=100),"P","")</f>
        <v/>
      </c>
      <c r="EH10" t="str">
        <f>IF(WSSKI!$L$72&lt;74.9,"P","")</f>
        <v/>
      </c>
      <c r="EI10" s="102" t="str">
        <f>IF(AND(WSSKI!$L$72&gt;=75,WSSKI!$L$72&lt;=83.24),"P","")</f>
        <v/>
      </c>
      <c r="EJ10" s="102" t="str">
        <f>IF(AND(WSSKI!$L$72&gt;=83.25,WSSKI!$L$72&lt;=91.4),"P","")</f>
        <v/>
      </c>
      <c r="EK10" s="102" t="str">
        <f>IF(AND(WSSKI!$L$72&gt;=91.5,WSSKI!$L$72&lt;=100),"P","")</f>
        <v/>
      </c>
      <c r="EL10" t="str">
        <f>IF(WSSKI!$L$80&lt;74.9,"P","")</f>
        <v/>
      </c>
      <c r="EM10" s="102" t="str">
        <f>IF(AND(WSSKI!$L$80&gt;=75,WSSKI!$L$80&lt;=83.24),"P","")</f>
        <v/>
      </c>
      <c r="EN10" s="102" t="str">
        <f>IF(AND(WSSKI!$L$80&gt;=83.25,WSSKI!$L$80&lt;=91.4),"P","")</f>
        <v/>
      </c>
      <c r="EO10" s="102" t="str">
        <f>IF(AND(WSSKI!$L$80&gt;=91.5,WSSKI!$L$80&lt;=100),"P","")</f>
        <v/>
      </c>
      <c r="EP10" t="str">
        <f>IF(WSSKI!$L$88&lt;74.9,"P","")</f>
        <v/>
      </c>
      <c r="EQ10" s="102" t="str">
        <f>IF(AND(WSSKI!$L$88&gt;=75,WSSKI!$L$88&lt;=83.24),"P","")</f>
        <v/>
      </c>
      <c r="ER10" s="102" t="str">
        <f>IF(AND(WSSKI!$L$88&gt;=83.25,WSSKI!$L$88&lt;=91.4),"P","")</f>
        <v/>
      </c>
      <c r="ES10" s="102" t="str">
        <f>IF(AND(WSSKI!$L$88&gt;=91.5,WSSKI!$L$88&lt;=100),"P","")</f>
        <v/>
      </c>
      <c r="ET10" t="str">
        <f>IF(WSSKI!$L$96&lt;74.9,"P","")</f>
        <v/>
      </c>
      <c r="EU10" s="102" t="str">
        <f>IF(AND(WSSKI!$L$96&gt;=75,WSSKI!$L$96&lt;=83.24),"P","")</f>
        <v/>
      </c>
      <c r="EV10" s="102" t="str">
        <f>IF(AND(WSSKI!$L$96&gt;=83.25,WSSKI!$L$96&lt;=91.4),"P","")</f>
        <v/>
      </c>
      <c r="EW10" s="102" t="str">
        <f>IF(AND(WSSKI!$L$96&gt;=91.5,WSSKI!$L$96&lt;=100),"P","")</f>
        <v/>
      </c>
      <c r="EX10" t="str">
        <f>IF(WSSKI!$L$104&lt;74.9,"P","")</f>
        <v/>
      </c>
      <c r="EY10" s="102" t="str">
        <f>IF(AND(WSSKI!$L$104&gt;=75,WSSKI!$L$104&lt;=83.24),"P","")</f>
        <v/>
      </c>
      <c r="EZ10" s="102" t="str">
        <f>IF(AND(WSSKI!$L$104&gt;=83.25,WSSKI!$L$104&lt;=91.4),"P","")</f>
        <v/>
      </c>
      <c r="FA10" s="102" t="str">
        <f>IF(AND(WSSKI!$L$104&gt;=91.5,WSSKI!$L$104&lt;=100),"P","")</f>
        <v/>
      </c>
      <c r="FB10" t="str">
        <f>IF(WSFIQIH!$L$6&lt;74.9,"P","")</f>
        <v/>
      </c>
      <c r="FC10" s="102" t="str">
        <f>IF(AND(WSFIQIH!$L$6&gt;=75,WSFIQIH!$L$6&lt;=83.24),"P","")</f>
        <v/>
      </c>
      <c r="FD10" s="102" t="str">
        <f>IF(AND(WSFIQIH!$L$6&gt;=83.25,WSFIQIH!$L$6&lt;=91.4),"P","")</f>
        <v/>
      </c>
      <c r="FE10" s="102" t="str">
        <f>IF(AND(WSFIQIH!$L$6&gt;=91.5,WSFIQIH!$L$6&lt;=100),"P","")</f>
        <v>P</v>
      </c>
      <c r="FF10" t="str">
        <f>IF(WSFIQIH!$L$19&lt;74.9,"P","")</f>
        <v/>
      </c>
      <c r="FG10" s="102" t="str">
        <f>IF(AND(WSFIQIH!$L$19&gt;=75,WSFIQIH!$L$19&lt;=83.24),"P","")</f>
        <v/>
      </c>
      <c r="FH10" s="102" t="str">
        <f>IF(AND(WSFIQIH!$L$19&gt;=83.25,WSFIQIH!$L$19&lt;=91.4),"P","")</f>
        <v>P</v>
      </c>
      <c r="FI10" s="102" t="str">
        <f>IF(AND(WSFIQIH!$L$19&gt;=91.5,WSFIQIH!$L$19&lt;=100),"P","")</f>
        <v/>
      </c>
      <c r="FJ10" t="str">
        <f>IF(WSFIQIH!$L$28&lt;74.9,"P","")</f>
        <v/>
      </c>
      <c r="FK10" s="102" t="str">
        <f>IF(AND(WSFIQIH!$L$28&gt;=75,WSFIQIH!$L$28&lt;=83.24),"P","")</f>
        <v/>
      </c>
      <c r="FL10" s="102" t="str">
        <f>IF(AND(WSFIQIH!$L$28&gt;=83.25,WSFIQIH!$L$28&lt;=91.4),"P","")</f>
        <v/>
      </c>
      <c r="FM10" s="102" t="str">
        <f>IF(AND(WSFIQIH!$L$28&gt;=91.5,WSFIQIH!$L$28&lt;=100),"P","")</f>
        <v>P</v>
      </c>
      <c r="FN10" t="str">
        <f>IF(WSFIQIH!$L$41&lt;74.9,"P","")</f>
        <v/>
      </c>
      <c r="FO10" s="102" t="str">
        <f>IF(AND(WSFIQIH!$L$41&gt;=75,WSFIQIH!$L$41&lt;=83.24),"P","")</f>
        <v/>
      </c>
      <c r="FP10" s="102" t="str">
        <f>IF(AND(WSFIQIH!$L$41&gt;=83.25,WSFIQIH!$L$41&lt;=91.4),"P","")</f>
        <v/>
      </c>
      <c r="FQ10" s="102" t="str">
        <f>IF(AND(WSFIQIH!$L$41&gt;=91.5,WSFIQIH!$L$41&lt;=100),"P","")</f>
        <v>P</v>
      </c>
      <c r="FR10" t="str">
        <f>IF(WSFIQIH!$L$49&lt;74.9,"P","")</f>
        <v/>
      </c>
      <c r="FS10" s="102" t="str">
        <f>IF(AND(WSFIQIH!$L$49&gt;=75,WSFIQIH!$L$49&lt;=83.24),"P","")</f>
        <v/>
      </c>
      <c r="FT10" s="102" t="str">
        <f>IF(AND(WSFIQIH!$L$49&gt;=83.25,WSFIQIH!$L$49&lt;=91.4),"P","")</f>
        <v/>
      </c>
      <c r="FU10" s="102" t="str">
        <f>IF(AND(WSFIQIH!$L$49&gt;=91.5,WSFIQIH!$L$49&lt;=100),"P","")</f>
        <v/>
      </c>
      <c r="FV10" t="str">
        <f>IF(WSFIQIH!$L$62&lt;74.9,"P","")</f>
        <v/>
      </c>
      <c r="FW10" s="102" t="str">
        <f>IF(AND(WSFIQIH!$L$62&gt;=75,WSFIQIH!$L$62&lt;=83.24),"P","")</f>
        <v/>
      </c>
      <c r="FX10" s="102" t="str">
        <f>IF(AND(WSFIQIH!$L$62&gt;=83.25,WSFIQIH!$L$62&lt;=91.4),"P","")</f>
        <v/>
      </c>
      <c r="FY10" s="102" t="str">
        <f>IF(AND(WSFIQIH!$L$62&gt;=91.5,WSFIQIH!$L$62&lt;=100),"P","")</f>
        <v>P</v>
      </c>
      <c r="FZ10" t="str">
        <f>IF(WSFIQIH!$L$71&lt;74.9,"P","")</f>
        <v/>
      </c>
      <c r="GA10" s="102" t="str">
        <f>IF(AND(WSFIQIH!$L$71&gt;=75,WSFIQIH!$L$71&lt;=83.24),"P","")</f>
        <v/>
      </c>
      <c r="GB10" s="102" t="str">
        <f>IF(AND(WSFIQIH!$L$71&gt;=83.25,WSFIQIH!$L$71&lt;=91.4),"P","")</f>
        <v/>
      </c>
      <c r="GC10" s="102" t="str">
        <f>IF(AND(WSFIQIH!$L$71&gt;=91.5,WSFIQIH!$L$71&lt;=100),"P","")</f>
        <v>P</v>
      </c>
      <c r="GD10" t="str">
        <f>IF(WSFIQIH!$L$80&lt;74.9,"P","")</f>
        <v/>
      </c>
      <c r="GE10" s="102" t="str">
        <f>IF(AND(WSFIQIH!$L$80&gt;=75,WSFIQIH!$L$80&lt;=83.24),"P","")</f>
        <v>P</v>
      </c>
      <c r="GF10" s="102" t="str">
        <f>IF(AND(WSFIQIH!$L$80&gt;=83.25,WSFIQIH!$L$80&lt;=91.4),"P","")</f>
        <v/>
      </c>
      <c r="GG10" s="102" t="str">
        <f>IF(AND(WSFIQIH!$L$80&gt;=91.5,WSFIQIH!$L$80&lt;=100),"P","")</f>
        <v/>
      </c>
      <c r="GH10" t="str">
        <f>IF(WSFIQIH!$L$88&lt;74.9,"P","")</f>
        <v/>
      </c>
      <c r="GI10" s="102" t="str">
        <f>IF(AND(WSFIQIH!$L$88&gt;=75,WSFIQIH!$L$88&lt;=83.24),"P","")</f>
        <v/>
      </c>
      <c r="GJ10" s="102" t="str">
        <f>IF(AND(WSFIQIH!$L$88&gt;=83.25,WSFIQIH!$L$88&lt;=91.4),"P","")</f>
        <v/>
      </c>
      <c r="GK10" s="102" t="str">
        <f>IF(AND(WSFIQIH!$L$88&gt;=91.5,WSFIQIH!$L$88&lt;=100),"P","")</f>
        <v/>
      </c>
      <c r="GL10" t="str">
        <f>IF(WSFIQIH!$L$96&lt;74.9,"P","")</f>
        <v/>
      </c>
      <c r="GM10" s="102" t="str">
        <f>IF(AND(WSFIQIH!$L$96&gt;=75,WSFIQIH!$L$96&lt;=83.24),"P","")</f>
        <v/>
      </c>
      <c r="GN10" s="102" t="str">
        <f>IF(AND(WSFIQIH!$L$96&gt;=83.25,WSFIQIH!$L$96&lt;=91.4),"P","")</f>
        <v/>
      </c>
      <c r="GO10" s="102" t="str">
        <f>IF(AND(WSFIQIH!$L$96&gt;=91.5,WSFIQIH!$L$96&lt;=100),"P","")</f>
        <v/>
      </c>
      <c r="GP10" t="str">
        <f>IF(WSFIQIH!$L$104&lt;74.9,"P","")</f>
        <v/>
      </c>
      <c r="GQ10" s="102" t="str">
        <f>IF(AND(WSFIQIH!$L$104&gt;=75,WSFIQIH!$L$104&lt;=83.24),"P","")</f>
        <v/>
      </c>
      <c r="GR10" s="102" t="str">
        <f>IF(AND(WSFIQIH!$L$104&gt;=83.25,WSFIQIH!$L$104&lt;=91.4),"P","")</f>
        <v/>
      </c>
      <c r="GS10" s="102" t="str">
        <f>IF(AND(WSFIQIH!$L$104&gt;=91.5,WSFIQIH!$L$104&lt;=100),"P","")</f>
        <v/>
      </c>
      <c r="GT10" t="str">
        <f>IF(WSFIQIH!$L$112&lt;74.9,"P","")</f>
        <v/>
      </c>
      <c r="GU10" s="102" t="str">
        <f>IF(AND(WSFIQIH!$L$112&gt;=75,WSFIQIH!$L$112&lt;=83.24),"P","")</f>
        <v/>
      </c>
      <c r="GV10" s="102" t="str">
        <f>IF(AND(WSFIQIH!$L$112&gt;=83.25,WSFIQIH!$L$112&lt;=91.4),"P","")</f>
        <v/>
      </c>
      <c r="GW10" s="102" t="str">
        <f>IF(AND(WSFIQIH!$L$112&gt;=91.5,WSFIQIH!$L$112&lt;=100),"P","")</f>
        <v/>
      </c>
      <c r="GX10" t="str">
        <f>IF(WSFIQIH!$L$120&lt;74.9,"P","")</f>
        <v/>
      </c>
      <c r="GY10" s="102" t="str">
        <f>IF(AND(WSFIQIH!$L$120&gt;=75,WSFIQIH!$L$120&lt;=83.24),"P","")</f>
        <v/>
      </c>
      <c r="GZ10" s="102" t="str">
        <f>IF(AND(WSFIQIH!$L$120&gt;=83.25,WSFIQIH!$L$120&lt;=91.4),"P","")</f>
        <v/>
      </c>
      <c r="HA10" s="102" t="str">
        <f>IF(AND(WSFIQIH!$L$120&gt;=91.5,WSFIQIH!$L$120&lt;=100),"P","")</f>
        <v/>
      </c>
      <c r="HB10" t="str">
        <f>IF(WSPKN!$L$6&lt;74.9,"P","")</f>
        <v/>
      </c>
      <c r="HC10" s="102" t="str">
        <f>IF(AND(WSPKN!$L$6&gt;=75,WSPKN!$L$6&lt;=83.24),"P","")</f>
        <v/>
      </c>
      <c r="HD10" s="102" t="str">
        <f>IF(AND(WSPKN!$L$6&gt;=83.25,WSPKN!$L$6&lt;=91.4),"P","")</f>
        <v/>
      </c>
      <c r="HE10" s="102" t="str">
        <f>IF(AND(WSPKN!$L$6&gt;=91.5,WSPKN!$L$6&lt;=100),"P","")</f>
        <v>P</v>
      </c>
      <c r="HF10" t="str">
        <f>IF(WSPKN!$L$32&lt;74.9,"P","")</f>
        <v/>
      </c>
      <c r="HG10" s="102" t="str">
        <f>IF(AND(WSPKN!$L$32&gt;=75,WSPKN!$L$32&lt;=83.24),"P","")</f>
        <v/>
      </c>
      <c r="HH10" s="102" t="str">
        <f>IF(AND(WSPKN!$L$32&gt;=83.25,WSPKN!$L$32&lt;=91.4),"P","")</f>
        <v/>
      </c>
      <c r="HI10" s="102" t="str">
        <f>IF(AND(WSPKN!$L$32&gt;=91.5,WSPKN!$L$32&lt;=100),"P","")</f>
        <v>P</v>
      </c>
      <c r="HJ10" t="str">
        <f>IF(WSPKN!$L$55&lt;74.9,"P","")</f>
        <v/>
      </c>
      <c r="HK10" s="102" t="str">
        <f>IF(AND(WSPKN!$L$55&gt;=75,WSPKN!$L$55&lt;=83.24),"P","")</f>
        <v/>
      </c>
      <c r="HL10" s="102" t="str">
        <f>IF(AND(WSPKN!$L$55&gt;=83.25,WSPKN!$L$55&lt;=91.4),"P","")</f>
        <v/>
      </c>
      <c r="HM10" s="102" t="str">
        <f>IF(AND(WSPKN!$L$55&gt;=91.5,WSPKN!$L$55&lt;=100),"P","")</f>
        <v>P</v>
      </c>
      <c r="HN10" t="str">
        <f>IF(WSPKN!$L$72&lt;74.9,"P","")</f>
        <v/>
      </c>
      <c r="HO10" s="102" t="str">
        <f>IF(AND(WSPKN!$L$72&gt;=75,WSPKN!$L$72&lt;=83.24),"P","")</f>
        <v/>
      </c>
      <c r="HP10" s="102" t="str">
        <f>IF(AND(WSPKN!$L$72&gt;=83.25,WSPKN!$L$72&lt;=91.4),"P","")</f>
        <v/>
      </c>
      <c r="HQ10" s="102" t="str">
        <f>IF(AND(WSPKN!$L$72&gt;=91.5,WSPKN!$L$72&lt;=100),"P","")</f>
        <v>P</v>
      </c>
      <c r="HR10" t="str">
        <f>IF(WSPKN!$L$86&lt;74.9,"P","")</f>
        <v/>
      </c>
      <c r="HS10" s="102" t="str">
        <f>IF(AND(WSPKN!$L$86&gt;=75,WSPKN!$L$86&lt;=83.24),"P","")</f>
        <v/>
      </c>
      <c r="HT10" s="102" t="str">
        <f>IF(AND(WSPKN!$L$86&gt;=83.25,WSPKN!$L$86&lt;=91.4),"P","")</f>
        <v/>
      </c>
      <c r="HU10" s="102" t="str">
        <f>IF(AND(WSPKN!$L$86&gt;=91.5,WSPKN!$L$86&lt;=100),"P","")</f>
        <v>P</v>
      </c>
      <c r="HV10" t="str">
        <f>IF(WSPKN!$L$108&lt;74.9,"P","")</f>
        <v/>
      </c>
      <c r="HW10" s="102" t="str">
        <f>IF(AND(WSPKN!$L$108&gt;=75,WSPKN!$L$108&lt;=83.24),"P","")</f>
        <v/>
      </c>
      <c r="HX10" s="102" t="str">
        <f>IF(AND(WSPKN!$L$108&gt;=83.25,WSPKN!$L$108&lt;=91.4),"P","")</f>
        <v/>
      </c>
      <c r="HY10" s="102" t="str">
        <f>IF(AND(WSPKN!$L$108&gt;=91.5,WSPKN!$L$108&lt;=100),"P","")</f>
        <v>P</v>
      </c>
      <c r="HZ10" t="str">
        <f>IF(WSPKN!$L$132&lt;74.9,"P","")</f>
        <v/>
      </c>
      <c r="IA10" s="102" t="str">
        <f>IF(AND(WSPKN!$L$132&gt;=75,WSPKN!$L$132&lt;=83.24),"P","")</f>
        <v/>
      </c>
      <c r="IB10" s="102" t="str">
        <f>IF(AND(WSPKN!$L$132&gt;=83.25,WSPKN!$L$132&lt;=91.4),"P","")</f>
        <v/>
      </c>
      <c r="IC10" s="102" t="str">
        <f>IF(AND(WSPKN!$L$132&gt;=91.5,WSPKN!$L$132&lt;=100),"P","")</f>
        <v>P</v>
      </c>
      <c r="ID10" t="str">
        <f>IF(WSPKN!$L$148&lt;74.9,"P","")</f>
        <v/>
      </c>
      <c r="IE10" s="102" t="str">
        <f>IF(AND(WSPKN!$L$148&gt;=75,WSPKN!$L$148&lt;=83.24),"P","")</f>
        <v/>
      </c>
      <c r="IF10" s="102" t="str">
        <f>IF(AND(WSPKN!$L$148&gt;=83.25,WSPKN!$L$148&lt;=91.4),"P","")</f>
        <v/>
      </c>
      <c r="IG10" s="102" t="str">
        <f>IF(AND(WSPKN!$L$148&gt;=91.5,WSPKN!$L$148&lt;=100),"P","")</f>
        <v>P</v>
      </c>
      <c r="IH10" t="str">
        <f>IF(WSPKN!$L$165&lt;74.9,"P","")</f>
        <v/>
      </c>
      <c r="II10" s="102" t="str">
        <f>IF(AND(WSPKN!$L$165&gt;=75,WSPKN!$L$165&lt;=83.24),"P","")</f>
        <v/>
      </c>
      <c r="IJ10" s="102" t="str">
        <f>IF(AND(WSPKN!$L$165&gt;=83.25,WSPKN!$L$165&lt;=91.4),"P","")</f>
        <v/>
      </c>
      <c r="IK10" s="102" t="str">
        <f>IF(AND(WSPKN!$L$165&gt;=91.5,WSPKN!$L$165&lt;=100),"P","")</f>
        <v/>
      </c>
      <c r="IL10" t="str">
        <f>IF(WSPKN!$L$173&lt;74.9,"P","")</f>
        <v/>
      </c>
      <c r="IM10" s="102" t="str">
        <f>IF(AND(WSPKN!$L$173&gt;=75,WSPKN!$L$173&lt;=83.24),"P","")</f>
        <v/>
      </c>
      <c r="IN10" s="102" t="str">
        <f>IF(AND(WSPKN!$L$173&gt;=83.25,WSPKN!$L$173&lt;=91.4),"P","")</f>
        <v/>
      </c>
      <c r="IO10" s="102" t="str">
        <f>IF(AND(WSPKN!$L$173&gt;=91.5,WSPKN!$L$173&lt;=100),"P","")</f>
        <v/>
      </c>
      <c r="IP10" t="str">
        <f>IF(WSPKN!$L$181&lt;74.9,"P","")</f>
        <v/>
      </c>
      <c r="IQ10" s="102" t="str">
        <f>IF(AND(WSPKN!$L$181&gt;=75,WSPKN!$L$181&lt;=83.24),"P","")</f>
        <v/>
      </c>
      <c r="IR10" s="102" t="str">
        <f>IF(AND(WSPKN!$L$181&gt;=83.25,WSPKN!$L$181&lt;=91.4),"P","")</f>
        <v/>
      </c>
      <c r="IS10" s="102" t="str">
        <f>IF(AND(WSPKN!$L$181&gt;=91.5,WSPKN!$L$181&lt;=100),"P","")</f>
        <v/>
      </c>
      <c r="IT10" t="str">
        <f>IF(WSPKN!$L$189&lt;74.9,"P","")</f>
        <v/>
      </c>
      <c r="IU10" s="102" t="str">
        <f>IF(AND(WSPKN!$L$189&gt;=75,WSPKN!$L$189&lt;=83.24),"P","")</f>
        <v/>
      </c>
      <c r="IV10" s="102" t="str">
        <f>IF(AND(WSPKN!$L$189&gt;=83.25,WSPKN!$L$189&lt;=91.4),"P","")</f>
        <v/>
      </c>
      <c r="IW10" s="102" t="str">
        <f>IF(AND(WSPKN!$L$189&gt;=91.5,WSPKN!$L$189&lt;=100),"P","")</f>
        <v/>
      </c>
      <c r="IX10" t="str">
        <f>IF(WSPKN!$L$197&lt;74.9,"P","")</f>
        <v/>
      </c>
      <c r="IY10" s="102" t="str">
        <f>IF(AND(WSPKN!$L$197&gt;=75,WSPKN!$L$197&lt;=83.24),"P","")</f>
        <v/>
      </c>
      <c r="IZ10" s="102" t="str">
        <f>IF(AND(WSPKN!$L$197&gt;=83.25,WSPKN!$L$197&lt;=91.4),"P","")</f>
        <v/>
      </c>
      <c r="JA10" s="102" t="str">
        <f>IF(AND(WSPKN!$L$197&gt;=91.5,WSPKN!$L$197&lt;=100),"P","")</f>
        <v/>
      </c>
      <c r="JB10" t="str">
        <f>IF(WSIND!$L$6&lt;74.9,"P","")</f>
        <v/>
      </c>
      <c r="JC10" s="102" t="str">
        <f>IF(AND(WSIND!$L$6&gt;=75,WSIND!$L$6&lt;=83.24),"P","")</f>
        <v/>
      </c>
      <c r="JD10" s="102" t="str">
        <f>IF(AND(WSIND!$L$6&gt;=83.25,WSIND!$L$6&lt;=91.4),"P","")</f>
        <v/>
      </c>
      <c r="JE10" s="102" t="str">
        <f>IF(AND(WSIND!$L$6&gt;=91.5,WSIND!$L$6&lt;=100),"P","")</f>
        <v>P</v>
      </c>
      <c r="JF10" t="str">
        <f>IF(WSIND!$L$65&lt;74.9,"P","")</f>
        <v/>
      </c>
      <c r="JG10" s="102" t="str">
        <f>IF(AND(WSIND!$L$65&gt;=75,WSIND!$L$65&lt;=83.24),"P","")</f>
        <v/>
      </c>
      <c r="JH10" s="102" t="str">
        <f>IF(AND(WSIND!$L$65&gt;=83.25,WSIND!$L$65&lt;=91.4),"P","")</f>
        <v/>
      </c>
      <c r="JI10" s="102" t="str">
        <f>IF(AND(WSIND!$L$65&gt;=91.5,WSIND!$L$65&lt;=100),"P","")</f>
        <v>P</v>
      </c>
      <c r="JJ10" t="str">
        <f>IF(WSIND!$L$113&lt;74.9,"P","")</f>
        <v/>
      </c>
      <c r="JK10" s="102" t="str">
        <f>IF(AND(WSIND!$L$113&gt;=75,WSIND!$L$113&lt;=83.24),"P","")</f>
        <v/>
      </c>
      <c r="JL10" s="102" t="str">
        <f>IF(AND(WSIND!$L$113&gt;=83.25,WSIND!$L$113&lt;=91.4),"P","")</f>
        <v/>
      </c>
      <c r="JM10" s="102" t="str">
        <f>IF(AND(WSIND!$L$113&gt;=91.5,WSIND!$L$113&lt;=100),"P","")</f>
        <v>P</v>
      </c>
      <c r="JN10" t="str">
        <f>IF(WSIND!$L$133&lt;74.9,"P","")</f>
        <v/>
      </c>
      <c r="JO10" s="102" t="str">
        <f>IF(AND(WSIND!$L$133&gt;=75,WSIND!$L$133&lt;=83.24),"P","")</f>
        <v/>
      </c>
      <c r="JP10" s="102" t="str">
        <f>IF(AND(WSIND!$L$133&gt;=83.25,WSIND!$L$133&lt;=91.4),"P","")</f>
        <v/>
      </c>
      <c r="JQ10" s="102" t="str">
        <f>IF(AND(WSIND!$L$133&gt;=91.5,WSIND!$L$133&lt;=100),"P","")</f>
        <v>P</v>
      </c>
      <c r="JR10" t="str">
        <f>IF(WSIND!$L$161&lt;74.9,"P","")</f>
        <v/>
      </c>
      <c r="JS10" s="102" t="str">
        <f>IF(AND(WSIND!$L$161&gt;=75,WSIND!$L$161&lt;=83.24),"P","")</f>
        <v/>
      </c>
      <c r="JT10" s="102" t="str">
        <f>IF(AND(WSIND!$L$161&gt;=83.25,WSIND!$L$161&lt;=91.4),"P","")</f>
        <v/>
      </c>
      <c r="JU10" s="102" t="str">
        <f>IF(AND(WSIND!$L$161&gt;=91.5,WSIND!$L$161&lt;=100),"P","")</f>
        <v>P</v>
      </c>
      <c r="JV10" t="str">
        <f>IF(WSIND!$L$192&lt;74.9,"P","")</f>
        <v/>
      </c>
      <c r="JW10" s="102" t="str">
        <f>IF(AND(WSIND!$L$192&gt;=75,WSIND!$L$192&lt;=83.24),"P","")</f>
        <v/>
      </c>
      <c r="JX10" s="102" t="str">
        <f>IF(AND(WSIND!$L$192&gt;=83.25,WSIND!$L$192&lt;=91.4),"P","")</f>
        <v/>
      </c>
      <c r="JY10" s="102" t="str">
        <f>IF(AND(WSIND!$L$192&gt;=91.5,WSIND!$L$192&lt;=100),"P","")</f>
        <v>P</v>
      </c>
      <c r="JZ10" t="str">
        <f>IF(WSIND!$L$228&lt;74.9,"P","")</f>
        <v/>
      </c>
      <c r="KA10" s="102" t="str">
        <f>IF(AND(WSIND!$L$228&gt;=75,WSIND!$L$228&lt;=83.24),"P","")</f>
        <v/>
      </c>
      <c r="KB10" s="102" t="str">
        <f>IF(AND(WSIND!$L$228&gt;=83.25,WSIND!$L$228&lt;=91.4),"P","")</f>
        <v/>
      </c>
      <c r="KC10" s="102" t="str">
        <f>IF(AND(WSIND!$L$228&gt;=91.5,WSIND!$L$228&lt;=100),"P","")</f>
        <v>P</v>
      </c>
      <c r="KD10" t="str">
        <f>IF(WSIND!$L$256&lt;74.9,"P","")</f>
        <v/>
      </c>
      <c r="KE10" s="102" t="str">
        <f>IF(AND(WSIND!$L$256&gt;=75,WSIND!$L$256&lt;=83.24),"P","")</f>
        <v/>
      </c>
      <c r="KF10" s="102" t="str">
        <f>IF(AND(WSIND!$L$256&gt;=83.25,WSIND!$L$256&lt;=91.4),"P","")</f>
        <v/>
      </c>
      <c r="KG10" s="102" t="str">
        <f>IF(AND(WSIND!$L$256&gt;=91.5,WSIND!$L$256&lt;=100),"P","")</f>
        <v>P</v>
      </c>
      <c r="KH10" t="str">
        <f>IF(WSIND!$L$277&lt;74.9,"P","")</f>
        <v/>
      </c>
      <c r="KI10" s="102" t="str">
        <f>IF(AND(WSIND!$L$277&gt;=75,WSIND!$L$277&lt;=83.24),"P","")</f>
        <v/>
      </c>
      <c r="KJ10" s="102" t="str">
        <f>IF(AND(WSIND!$L$277&gt;=83.25,WSIND!$L$277&lt;=91.4),"P","")</f>
        <v/>
      </c>
      <c r="KK10" s="102" t="str">
        <f>IF(AND(WSIND!$L$277&gt;=91.5,WSIND!$L$277&lt;=100),"P","")</f>
        <v>P</v>
      </c>
      <c r="KL10" t="str">
        <f>IF(WSIND!$L$305&lt;74.9,"P","")</f>
        <v/>
      </c>
      <c r="KM10" s="102" t="str">
        <f>IF(AND(WSIND!$L$305&gt;=75,WSIND!$L$305&lt;=83.24),"P","")</f>
        <v/>
      </c>
      <c r="KN10" s="102" t="str">
        <f>IF(AND(WSIND!$L$305&gt;=83.25,WSIND!$L$305&lt;=91.4),"P","")</f>
        <v/>
      </c>
      <c r="KO10" s="102" t="str">
        <f>IF(AND(WSIND!$L$305&gt;=91.5,WSIND!$L$305&lt;=100),"P","")</f>
        <v>P</v>
      </c>
      <c r="KP10" t="str">
        <f>IF(WSIND!$L$329&lt;74.9,"P","")</f>
        <v/>
      </c>
      <c r="KQ10" s="102" t="str">
        <f>IF(AND(WSIND!$L$329&gt;=75,WSIND!$L$329&lt;=83.24),"P","")</f>
        <v/>
      </c>
      <c r="KR10" s="102" t="str">
        <f>IF(AND(WSIND!$L$329&gt;=83.25,WSIND!$L$329&lt;=91.4),"P","")</f>
        <v/>
      </c>
      <c r="KS10" s="102" t="str">
        <f>IF(AND(WSIND!$L$329&gt;=91.5,WSIND!$L$329&lt;=100),"P","")</f>
        <v/>
      </c>
      <c r="KT10" t="str">
        <f>IF(WSIND!$L$337&lt;74.9,"P","")</f>
        <v/>
      </c>
      <c r="KU10" s="102" t="str">
        <f>IF(AND(WSIND!$L$337&gt;=75,WSIND!$L$337&lt;=83.24),"P","")</f>
        <v/>
      </c>
      <c r="KV10" s="102" t="str">
        <f>IF(AND(WSIND!$L$337&gt;=83.25,WSIND!$L$337&lt;=91.4),"P","")</f>
        <v/>
      </c>
      <c r="KW10" s="102" t="str">
        <f>IF(AND(WSIND!$L$337&gt;=91.5,WSIND!$L$337&lt;=100),"P","")</f>
        <v/>
      </c>
      <c r="KX10" t="str">
        <f>IF(WSIND!$L$345&lt;74.9,"P","")</f>
        <v/>
      </c>
      <c r="KY10" s="102" t="str">
        <f>IF(AND(WSIND!$L$345&gt;=75,WSIND!$L$345&lt;=83.24),"P","")</f>
        <v/>
      </c>
      <c r="KZ10" s="102" t="str">
        <f>IF(AND(WSIND!$L$345&gt;=83.25,WSIND!$L$345&lt;=91.4),"P","")</f>
        <v/>
      </c>
      <c r="LA10" s="102" t="str">
        <f>IF(AND(WSIND!$L$345&gt;=91.5,WSIND!$L$345&lt;=100),"P","")</f>
        <v/>
      </c>
      <c r="LB10" t="str">
        <f>IF(WSARAB!$L$6&lt;74.9,"P","")</f>
        <v/>
      </c>
      <c r="LC10" s="102" t="str">
        <f>IF(AND(WSARAB!$L$6&gt;=75,WSARAB!$L$6&lt;=83.24),"P","")</f>
        <v/>
      </c>
      <c r="LD10" s="102" t="str">
        <f>IF(AND(WSARAB!$L$6&gt;=83.25,WSARAB!$L$6&lt;=91.4),"P","")</f>
        <v/>
      </c>
      <c r="LE10" s="102" t="str">
        <f>IF(AND(WSARAB!$L$6&gt;=91.5,WSARAB!$L$6&lt;=100),"P","")</f>
        <v/>
      </c>
      <c r="LF10" t="str">
        <f>IF(WSARAB!$L$17&lt;74.9,"P","")</f>
        <v/>
      </c>
      <c r="LG10" s="102" t="str">
        <f>IF(AND(WSARAB!$L$17&gt;=75,WSARAB!$L$17&lt;=83.24),"P","")</f>
        <v/>
      </c>
      <c r="LH10" s="102" t="str">
        <f>IF(AND(WSARAB!$L$17&gt;=83.25,WSARAB!$L$17&lt;=91.4),"P","")</f>
        <v/>
      </c>
      <c r="LI10" s="102" t="str">
        <f>IF(AND(WSARAB!$L$17&gt;=91.5,WSARAB!$L$17&lt;=100),"P","")</f>
        <v/>
      </c>
      <c r="LJ10" t="str">
        <f>IF(WSARAB!$L$29&lt;74.9,"P","")</f>
        <v/>
      </c>
      <c r="LK10" s="102" t="str">
        <f>IF(AND(WSARAB!$L$29&gt;=75,WSARAB!$L$29&lt;=83.24),"P","")</f>
        <v/>
      </c>
      <c r="LL10" s="102" t="str">
        <f>IF(AND(WSARAB!$L$29&gt;=83.25,WSARAB!$L$29&lt;=91.4),"P","")</f>
        <v/>
      </c>
      <c r="LM10" s="102" t="str">
        <f>IF(AND(WSARAB!$L$29&gt;=91.5,WSARAB!$L$29&lt;=100),"P","")</f>
        <v/>
      </c>
      <c r="LN10" t="str">
        <f>IF(WSARAB!$L$37&lt;74.9,"P","")</f>
        <v/>
      </c>
      <c r="LO10" s="102" t="str">
        <f>IF(AND(WSARAB!$L$37&gt;=75,WSARAB!$L$37&lt;=83.24),"P","")</f>
        <v/>
      </c>
      <c r="LP10" s="102" t="str">
        <f>IF(AND(WSARAB!$L$37&gt;=83.25,WSARAB!$L$37&lt;=91.4),"P","")</f>
        <v/>
      </c>
      <c r="LQ10" s="102" t="str">
        <f>IF(AND(WSARAB!$L$37&gt;=91.5,WSARAB!$L$37&lt;=100),"P","")</f>
        <v/>
      </c>
      <c r="LR10" t="str">
        <f>IF(WSARAB!$L$45&lt;74.9,"P","")</f>
        <v/>
      </c>
      <c r="LS10" s="102" t="str">
        <f>IF(AND(WSARAB!$L$45&gt;=75,WSARAB!$L$45&lt;=83.24),"P","")</f>
        <v/>
      </c>
      <c r="LT10" s="102" t="str">
        <f>IF(AND(WSARAB!$L$45&gt;=83.25,WSARAB!$L$45&lt;=91.4),"P","")</f>
        <v/>
      </c>
      <c r="LU10" s="102" t="str">
        <f>IF(AND(WSARAB!$L$45&gt;=91.5,WSARAB!$L$45&lt;=100),"P","")</f>
        <v/>
      </c>
      <c r="LV10" t="str">
        <f>IF(WSARAB!$L$53&lt;74.9,"P","")</f>
        <v/>
      </c>
      <c r="LW10" s="102" t="str">
        <f>IF(AND(WSARAB!$L$53&gt;=75,WSARAB!$L$53&lt;=83.24),"P","")</f>
        <v/>
      </c>
      <c r="LX10" s="102" t="str">
        <f>IF(AND(WSARAB!$L$53&gt;=83.25,WSARAB!$L$53&lt;=91.4),"P","")</f>
        <v/>
      </c>
      <c r="LY10" s="102" t="str">
        <f>IF(AND(WSARAB!$L$53&gt;=91.5,WSARAB!$L$53&lt;=100),"P","")</f>
        <v/>
      </c>
      <c r="LZ10" t="str">
        <f>IF(WSARAB!$L$65&lt;74.9,"P","")</f>
        <v/>
      </c>
      <c r="MA10" s="102" t="str">
        <f>IF(AND(WSARAB!$L$65&gt;=75,WSARAB!$L$65&lt;=83.24),"P","")</f>
        <v/>
      </c>
      <c r="MB10" s="102" t="str">
        <f>IF(AND(WSARAB!$L$65&gt;=83.25,WSARAB!$L$65&lt;=91.4),"P","")</f>
        <v/>
      </c>
      <c r="MC10" s="102" t="str">
        <f>IF(AND(WSARAB!$L$65&gt;=91.5,WSARAB!$L$65&lt;=100),"P","")</f>
        <v/>
      </c>
      <c r="MD10" t="str">
        <f>IF(WSARAB!$L$73&lt;74.9,"P","")</f>
        <v/>
      </c>
      <c r="ME10" s="102" t="str">
        <f>IF(AND(WSARAB!$L$73&gt;=75,WSARAB!$L$73&lt;=83.24),"P","")</f>
        <v/>
      </c>
      <c r="MF10" s="102" t="str">
        <f>IF(AND(WSARAB!$L$73&gt;=83.25,WSARAB!$L$73&lt;=91.4),"P","")</f>
        <v/>
      </c>
      <c r="MG10" s="102" t="str">
        <f>IF(AND(WSARAB!$L$73&gt;=91.5,WSARAB!$L$73&lt;=100),"P","")</f>
        <v/>
      </c>
      <c r="MH10" t="str">
        <f>IF(WSARAB!$L$81&lt;74.9,"P","")</f>
        <v/>
      </c>
      <c r="MI10" s="102" t="str">
        <f>IF(AND(WSARAB!$L$81&gt;=75,WSARAB!$L$81&lt;=83.24),"P","")</f>
        <v/>
      </c>
      <c r="MJ10" s="102" t="str">
        <f>IF(AND(WSARAB!$L$81&gt;=83.25,WSARAB!$L$81&lt;=91.4),"P","")</f>
        <v/>
      </c>
      <c r="MK10" s="102" t="str">
        <f>IF(AND(WSARAB!$L$81&gt;=91.5,WSARAB!$L$81&lt;=100),"P","")</f>
        <v/>
      </c>
      <c r="ML10" t="str">
        <f>IF(WSARAB!$L$89&lt;74.9,"P","")</f>
        <v/>
      </c>
      <c r="MM10" s="102" t="str">
        <f>IF(AND(WSARAB!$L$89&gt;=75,WSARAB!$L$89&lt;=83.24),"P","")</f>
        <v/>
      </c>
      <c r="MN10" s="102" t="str">
        <f>IF(AND(WSARAB!$L$89&gt;=83.25,WSARAB!$L$89&lt;=91.4),"P","")</f>
        <v/>
      </c>
      <c r="MO10" s="102" t="str">
        <f>IF(AND(WSARAB!$L$89&gt;=91.5,WSARAB!$L$89&lt;=100),"P","")</f>
        <v/>
      </c>
      <c r="MP10" t="str">
        <f>IF(WSARAB!$L$97&lt;74.9,"P","")</f>
        <v/>
      </c>
      <c r="MQ10" s="102" t="str">
        <f>IF(AND(WSARAB!$L$97&gt;=75,WSARAB!$L$97&lt;=83.24),"P","")</f>
        <v/>
      </c>
      <c r="MR10" s="102" t="str">
        <f>IF(AND(WSARAB!$L$97&gt;=83.25,WSARAB!$L$97&lt;=91.4),"P","")</f>
        <v/>
      </c>
      <c r="MS10" s="102" t="str">
        <f>IF(AND(WSARAB!$L$97&gt;=91.5,WSARAB!$L$97&lt;=100),"P","")</f>
        <v/>
      </c>
      <c r="MT10" t="str">
        <f>IF(WSARAB!$L$105&lt;74.9,"P","")</f>
        <v/>
      </c>
      <c r="MU10" s="102" t="str">
        <f>IF(AND(WSARAB!$L$105&gt;=75,WSARAB!$L$105&lt;=83.24),"P","")</f>
        <v/>
      </c>
      <c r="MV10" s="102" t="str">
        <f>IF(AND(WSARAB!$L$105&gt;=83.25,WSARAB!$L$105&lt;=91.4),"P","")</f>
        <v/>
      </c>
      <c r="MW10" s="102" t="str">
        <f>IF(AND(WSARAB!$L$105&gt;=91.5,WSARAB!$L$105&lt;=100),"P","")</f>
        <v/>
      </c>
      <c r="MX10" t="str">
        <f>IF(WSARAB!$L$113&lt;74.9,"P","")</f>
        <v/>
      </c>
      <c r="MY10" s="102" t="str">
        <f>IF(AND(WSARAB!$L$113&gt;=75,WSARAB!$L$113&lt;=83.24),"P","")</f>
        <v/>
      </c>
      <c r="MZ10" s="102" t="str">
        <f>IF(AND(WSARAB!$L$113&gt;=83.25,WSARAB!$L$113&lt;=91.4),"P","")</f>
        <v/>
      </c>
      <c r="NA10" s="102" t="str">
        <f>IF(AND(WSARAB!$L$113&gt;=91.5,WSARAB!$L$113&lt;=100),"P","")</f>
        <v/>
      </c>
      <c r="NB10" t="str">
        <f>IF(WSMTK!$L$6&lt;74.9,"P","")</f>
        <v/>
      </c>
      <c r="NC10" s="102" t="str">
        <f>IF(AND(WSMTK!$L$6&gt;=75,WSMTK!$L$6&lt;=83.24),"P","")</f>
        <v/>
      </c>
      <c r="ND10" s="102" t="str">
        <f>IF(AND(WSMTK!$L$6&gt;=83.25,WSMTK!$L$6&lt;=91.4),"P","")</f>
        <v/>
      </c>
      <c r="NE10" s="102" t="str">
        <f>IF(AND(WSMTK!$L$6&gt;=91.5,WSMTK!$L$6&lt;=100),"P","")</f>
        <v>P</v>
      </c>
      <c r="NF10" t="str">
        <f>IF(WSMTK!$L$22&lt;74.9,"P","")</f>
        <v/>
      </c>
      <c r="NG10" s="102" t="str">
        <f>IF(AND(WSMTK!$L$22&gt;=75,WSMTK!$L$22&lt;=83.24),"P","")</f>
        <v/>
      </c>
      <c r="NH10" s="102" t="str">
        <f>IF(AND(WSMTK!$L$22&gt;=83.25,WSMTK!$L$22&lt;=91.4),"P","")</f>
        <v/>
      </c>
      <c r="NI10" s="102" t="str">
        <f>IF(AND(WSMTK!$L$22&gt;=91.5,WSMTK!$L$22&lt;=100),"P","")</f>
        <v>P</v>
      </c>
      <c r="NJ10" t="str">
        <f>IF(WSMTK!$L$35&lt;74.9,"P","")</f>
        <v/>
      </c>
      <c r="NK10" s="102" t="str">
        <f>IF(AND(WSMTK!$L$35&gt;=75,WSMTK!$L$35&lt;=83.24),"P","")</f>
        <v/>
      </c>
      <c r="NL10" s="102" t="str">
        <f>IF(AND(WSMTK!$L$35&gt;=83.25,WSMTK!$L$35&lt;=91.4),"P","")</f>
        <v/>
      </c>
      <c r="NM10" s="102" t="str">
        <f>IF(AND(WSMTK!$L$35&gt;=91.5,WSMTK!$L$35&lt;=100),"P","")</f>
        <v>P</v>
      </c>
      <c r="NN10" t="str">
        <f>IF(WSMTK!$L$69&lt;74.9,"P","")</f>
        <v/>
      </c>
      <c r="NO10" s="102" t="str">
        <f>IF(AND(WSMTK!$L$69&gt;=75,WSMTK!$L$69&lt;=83.24),"P","")</f>
        <v/>
      </c>
      <c r="NP10" s="102" t="str">
        <f>IF(AND(WSMTK!$L$69&gt;=83.25,WSMTK!$L$69&lt;=91.4),"P","")</f>
        <v/>
      </c>
      <c r="NQ10" s="102" t="str">
        <f>IF(AND(WSMTK!$L$69&gt;=91.5,WSMTK!$L$69&lt;=100),"P","")</f>
        <v>P</v>
      </c>
      <c r="NR10" t="str">
        <f>IF(WSMTK!$L$87&lt;74.9,"P","")</f>
        <v/>
      </c>
      <c r="NS10" s="102" t="str">
        <f>IF(AND(WSMTK!$L$87&gt;=75,WSMTK!$L$87&lt;=83.24),"P","")</f>
        <v/>
      </c>
      <c r="NT10" s="102" t="str">
        <f>IF(AND(WSMTK!$L$87&gt;=83.25,WSMTK!$L$87&lt;=91.4),"P","")</f>
        <v/>
      </c>
      <c r="NU10" s="102" t="str">
        <f>IF(AND(WSMTK!$L$87&gt;=91.5,WSMTK!$L$87&lt;=100),"P","")</f>
        <v>P</v>
      </c>
      <c r="NV10" t="str">
        <f>IF(WSMTK!$L$99&lt;74.9,"P","")</f>
        <v/>
      </c>
      <c r="NW10" s="102" t="str">
        <f>IF(AND(WSMTK!$L$99&gt;=75,WSMTK!$L$99&lt;=83.24),"P","")</f>
        <v/>
      </c>
      <c r="NX10" s="102" t="str">
        <f>IF(AND(WSMTK!$L$99&gt;=83.25,WSMTK!$L$99&lt;=91.4),"P","")</f>
        <v/>
      </c>
      <c r="NY10" s="102" t="str">
        <f>IF(AND(WSMTK!$L$99&gt;=91.5,WSMTK!$L$99&lt;=100),"P","")</f>
        <v>P</v>
      </c>
      <c r="NZ10" t="str">
        <f>IF(WSMTK!$L$113&lt;74.9,"P","")</f>
        <v/>
      </c>
      <c r="OA10" s="102" t="str">
        <f>IF(AND(WSMTK!$L$113&gt;=75,WSMTK!$L$113&lt;=83.24),"P","")</f>
        <v/>
      </c>
      <c r="OB10" s="102" t="str">
        <f>IF(AND(WSMTK!$L$113&gt;=83.25,WSMTK!$L$113&lt;=91.4),"P","")</f>
        <v/>
      </c>
      <c r="OC10" s="102" t="str">
        <f>IF(AND(WSMTK!$L$113&gt;=91.5,WSMTK!$L$113&lt;=100),"P","")</f>
        <v>P</v>
      </c>
      <c r="OD10" t="str">
        <f>IF(WSMTK!$L$145&lt;74.9,"P","")</f>
        <v/>
      </c>
      <c r="OE10" s="102" t="str">
        <f>IF(AND(WSMTK!$L$145&gt;=75,WSMTK!$L$145&lt;=83.24),"P","")</f>
        <v/>
      </c>
      <c r="OF10" s="102" t="str">
        <f>IF(AND(WSMTK!$L$145&gt;=83.25,WSMTK!$L$145&lt;=91.4),"P","")</f>
        <v/>
      </c>
      <c r="OG10" s="102" t="str">
        <f>IF(AND(WSMTK!$L$145&gt;=91.5,WSMTK!$L$145&lt;=100),"P","")</f>
        <v>P</v>
      </c>
      <c r="OH10" t="str">
        <f>IF(WSMTK!$L$168&lt;74.9,"P","")</f>
        <v/>
      </c>
      <c r="OI10" s="102" t="str">
        <f>IF(AND(WSMTK!$L$168&gt;=75,WSMTK!$L$168&lt;=83.24),"P","")</f>
        <v/>
      </c>
      <c r="OJ10" s="102" t="str">
        <f>IF(AND(WSMTK!$L$168&gt;=83.25,WSMTK!$L$168&lt;=91.4),"P","")</f>
        <v/>
      </c>
      <c r="OK10" s="102" t="str">
        <f>IF(AND(WSMTK!$L$168&gt;=91.5,WSMTK!$L$168&lt;=100),"P","")</f>
        <v/>
      </c>
      <c r="OL10" t="str">
        <f>IF(WSMTK!$L$176&lt;74.9,"P","")</f>
        <v/>
      </c>
      <c r="OM10" s="102" t="str">
        <f>IF(AND(WSMTK!$L$176&gt;=75,WSMTK!$L$176&lt;=83.24),"P","")</f>
        <v/>
      </c>
      <c r="ON10" s="102" t="str">
        <f>IF(AND(WSMTK!$L$176&gt;=83.25,WSMTK!$L$176&lt;=91.4),"P","")</f>
        <v/>
      </c>
      <c r="OO10" s="102" t="str">
        <f>IF(AND(WSMTK!$L$176&gt;=91.5,WSMTK!$L$176&lt;=100),"P","")</f>
        <v/>
      </c>
      <c r="OP10" t="str">
        <f>IF(WSMTK!$L$184&lt;74.9,"P","")</f>
        <v/>
      </c>
      <c r="OQ10" s="102" t="str">
        <f>IF(AND(WSMTK!$L$184&gt;=75,WSMTK!$L$184&lt;=83.24),"P","")</f>
        <v/>
      </c>
      <c r="OR10" s="102" t="str">
        <f>IF(AND(WSMTK!$L$184&gt;=83.25,WSMTK!$L$184&lt;=91.4),"P","")</f>
        <v/>
      </c>
      <c r="OS10" s="102" t="str">
        <f>IF(AND(WSMTK!$L$184&gt;=91.5,WSMTK!$L$184&lt;=100),"P","")</f>
        <v/>
      </c>
      <c r="OT10" t="str">
        <f>IF(WSMTK!$L$192&lt;74.9,"P","")</f>
        <v/>
      </c>
      <c r="OU10" s="102" t="str">
        <f>IF(AND(WSMTK!$L$192&gt;=75,WSMTK!$L$192&lt;=83.24),"P","")</f>
        <v/>
      </c>
      <c r="OV10" s="102" t="str">
        <f>IF(AND(WSMTK!$L$192&gt;=83.25,WSMTK!$L$192&lt;=91.4),"P","")</f>
        <v/>
      </c>
      <c r="OW10" s="102" t="str">
        <f>IF(AND(WSMTK!$L$192&gt;=91.5,WSMTK!$L$192&lt;=100),"P","")</f>
        <v/>
      </c>
      <c r="OX10" t="str">
        <f>IF(WSMTK!$L$200&lt;74.9,"P","")</f>
        <v/>
      </c>
      <c r="OY10" s="102" t="str">
        <f>IF(AND(WSMTK!$L$200&gt;=75,WSMTK!$L$200&lt;=83.24),"P","")</f>
        <v/>
      </c>
      <c r="OZ10" s="102" t="str">
        <f>IF(AND(WSMTK!$L$200&gt;=83.25,WSMTK!$L$200&lt;=91.4),"P","")</f>
        <v/>
      </c>
      <c r="PA10" s="102" t="str">
        <f>IF(AND(WSMTK!$L$200&gt;=91.5,WSMTK!$L$200&lt;=100),"P","")</f>
        <v/>
      </c>
      <c r="PB10" t="str">
        <f>IF(WSIPA!$L$6&lt;74.9,"P","")</f>
        <v/>
      </c>
      <c r="PC10" s="102" t="str">
        <f>IF(AND(WSIPA!$L$6&gt;=75,WSIPA!$L$6&lt;=83.24),"P","")</f>
        <v/>
      </c>
      <c r="PD10" s="102" t="str">
        <f>IF(AND(WSIPA!$L$6&gt;=83.25,WSIPA!$L$6&lt;=91.4),"P","")</f>
        <v/>
      </c>
      <c r="PE10" s="102" t="str">
        <f>IF(AND(WSIPA!$L$6&gt;=91.5,WSIPA!$L$6&lt;=100),"P","")</f>
        <v/>
      </c>
      <c r="PF10" t="str">
        <f>IF(WSIPA!$L$14&lt;74.9,"P","")</f>
        <v/>
      </c>
      <c r="PG10" s="102" t="str">
        <f>IF(AND(WSIPA!$L$14&gt;=75,WSIPA!$L$14&lt;=83.24),"P","")</f>
        <v/>
      </c>
      <c r="PH10" s="102" t="str">
        <f>IF(AND(WSIPA!$L$14&gt;=83.25,WSIPA!$L$14&lt;=91.4),"P","")</f>
        <v/>
      </c>
      <c r="PI10" s="102" t="str">
        <f>IF(AND(WSIPA!$L$14&gt;=91.5,WSIPA!$L$14&lt;=100),"P","")</f>
        <v/>
      </c>
      <c r="PJ10" t="str">
        <f>IF(WSIPA!$L$22&lt;74.9,"P","")</f>
        <v/>
      </c>
      <c r="PK10" s="102" t="str">
        <f>IF(AND(WSIPA!$L$22&gt;=75,WSIPA!$L$22&lt;=83.24),"P","")</f>
        <v/>
      </c>
      <c r="PL10" s="102" t="str">
        <f>IF(AND(WSIPA!$L$22&gt;=83.25,WSIPA!$L$22&lt;=91.4),"P","")</f>
        <v/>
      </c>
      <c r="PM10" s="102" t="str">
        <f>IF(AND(WSIPA!$L$22&gt;=91.5,WSIPA!$L$22&lt;=100),"P","")</f>
        <v/>
      </c>
      <c r="PN10" t="str">
        <f>IF(WSIPA!$L$30&lt;74.9,"P","")</f>
        <v/>
      </c>
      <c r="PO10" s="102" t="str">
        <f>IF(AND(WSIPA!$L$30&gt;=75,WSIPA!$L$30&lt;=83.24),"P","")</f>
        <v/>
      </c>
      <c r="PP10" s="102" t="str">
        <f>IF(AND(WSIPA!$L$30&gt;=83.25,WSIPA!$L$30&lt;=91.4),"P","")</f>
        <v/>
      </c>
      <c r="PQ10" s="102" t="str">
        <f>IF(AND(WSIPA!$L$30&gt;=91.5,WSIPA!$L$30&lt;=100),"P","")</f>
        <v/>
      </c>
      <c r="PR10" t="str">
        <f>IF(WSIPA!$L$38&lt;74.9,"P","")</f>
        <v/>
      </c>
      <c r="PS10" s="102" t="str">
        <f>IF(AND(WSIPA!$L$38&gt;=75,WSIPA!$L$38&lt;=83.24),"P","")</f>
        <v/>
      </c>
      <c r="PT10" s="102" t="str">
        <f>IF(AND(WSIPA!$L$38&gt;=83.25,WSIPA!$L$38&lt;=91.4),"P","")</f>
        <v/>
      </c>
      <c r="PU10" s="102" t="str">
        <f>IF(AND(WSIPA!$L$38&gt;=91.5,WSIPA!$L$38&lt;=100),"P","")</f>
        <v/>
      </c>
      <c r="PV10" t="str">
        <f>IF(WSIPA!$L$46&lt;74.9,"P","")</f>
        <v/>
      </c>
      <c r="PW10" s="102" t="str">
        <f>IF(AND(WSIPA!$L$46&gt;=75,WSIPA!$L$46&lt;=83.24),"P","")</f>
        <v/>
      </c>
      <c r="PX10" s="102" t="str">
        <f>IF(AND(WSIPA!$L$46&gt;=83.25,WSIPA!$L$46&lt;=91.4),"P","")</f>
        <v/>
      </c>
      <c r="PY10" s="102" t="str">
        <f>IF(AND(WSIPA!$L$46&gt;=91.5,WSIPA!$L$46&lt;=100),"P","")</f>
        <v/>
      </c>
      <c r="PZ10" t="str">
        <f>IF(WSIPA!$L$54&lt;74.9,"P","")</f>
        <v/>
      </c>
      <c r="QA10" s="102" t="str">
        <f>IF(AND(WSIPA!$L$54&gt;=75,WSIPA!$L$54&lt;=83.24),"P","")</f>
        <v/>
      </c>
      <c r="QB10" s="102" t="str">
        <f>IF(AND(WSIPA!$L$54&gt;=83.25,WSIPA!$L$54&lt;=91.4),"P","")</f>
        <v/>
      </c>
      <c r="QC10" s="102" t="str">
        <f>IF(AND(WSIPA!$L$54&gt;=91.5,WSIPA!$L$54&lt;=100),"P","")</f>
        <v/>
      </c>
      <c r="QD10" t="str">
        <f>IF(WSIPA!$L$62&lt;74.9,"P","")</f>
        <v/>
      </c>
      <c r="QE10" s="102" t="str">
        <f>IF(AND(WSIPA!$L$62&gt;=75,WSIPA!$L$62&lt;=83.24),"P","")</f>
        <v/>
      </c>
      <c r="QF10" s="102" t="str">
        <f>IF(AND(WSIPA!$L$62&gt;=83.25,WSIPA!$L$62&lt;=91.4),"P","")</f>
        <v/>
      </c>
      <c r="QG10" s="102" t="str">
        <f>IF(AND(WSIPA!$L$62&gt;=91.5,WSIPA!$L$62&lt;=100),"P","")</f>
        <v/>
      </c>
      <c r="QH10" t="str">
        <f>IF(WSIPA!$L$70&lt;74.9,"P","")</f>
        <v/>
      </c>
      <c r="QI10" s="102" t="str">
        <f>IF(AND(WSIPA!$L$70&gt;=75,WSIPA!$L$70&lt;=83.24),"P","")</f>
        <v/>
      </c>
      <c r="QJ10" s="102" t="str">
        <f>IF(AND(WSIPA!$L$70&gt;=83.25,WSIPA!$L$70&lt;=91.4),"P","")</f>
        <v/>
      </c>
      <c r="QK10" s="102" t="str">
        <f>IF(AND(WSIPA!$L$70&gt;=91.5,WSIPA!$L$70&lt;=100),"P","")</f>
        <v/>
      </c>
      <c r="QL10" t="str">
        <f>IF(WSIPA!$L$78&lt;74.9,"P","")</f>
        <v/>
      </c>
      <c r="QM10" s="102" t="str">
        <f>IF(AND(WSIPA!$L$78&gt;=75,WSIPA!$L$78&lt;=83.24),"P","")</f>
        <v/>
      </c>
      <c r="QN10" s="102" t="str">
        <f>IF(AND(WSIPA!$L$78&gt;=83.25,WSIPA!$L$78&lt;=91.4),"P","")</f>
        <v/>
      </c>
      <c r="QO10" s="102" t="str">
        <f>IF(AND(WSIPA!$L$78&gt;=91.5,WSIPA!$L$78&lt;=100),"P","")</f>
        <v/>
      </c>
      <c r="QP10" t="str">
        <f>IF(WSIPA!$L$86&lt;74.9,"P","")</f>
        <v/>
      </c>
      <c r="QQ10" s="102" t="str">
        <f>IF(AND(WSIPA!$L$86&gt;=75,WSIPA!$L$86&lt;=83.24),"P","")</f>
        <v/>
      </c>
      <c r="QR10" s="102" t="str">
        <f>IF(AND(WSIPA!$L$86&gt;=83.25,WSIPA!$L$86&lt;=91.4),"P","")</f>
        <v/>
      </c>
      <c r="QS10" s="102" t="str">
        <f>IF(AND(WSIPA!$L$86&gt;=91.5,WSIPA!$L$86&lt;=100),"P","")</f>
        <v/>
      </c>
      <c r="QT10" t="str">
        <f>IF(WSIPA!$L$94&lt;74.9,"P","")</f>
        <v/>
      </c>
      <c r="QU10" s="102" t="str">
        <f>IF(AND(WSIPA!$L$94&gt;=75,WSIPA!$L$94&lt;=83.24),"P","")</f>
        <v/>
      </c>
      <c r="QV10" s="102" t="str">
        <f>IF(AND(WSIPA!$L$94&gt;=83.25,WSIPA!$L$94&lt;=91.4),"P","")</f>
        <v/>
      </c>
      <c r="QW10" s="102" t="str">
        <f>IF(AND(WSIPA!$L$94&gt;=91.5,WSIPA!$L$94&lt;=100),"P","")</f>
        <v/>
      </c>
      <c r="QX10" t="str">
        <f>IF(WSIPA!$L$102&lt;74.9,"P","")</f>
        <v/>
      </c>
      <c r="QY10" s="102" t="str">
        <f>IF(AND(WSIPA!$L$102&gt;=75,WSIPA!$L$102&lt;=83.24),"P","")</f>
        <v/>
      </c>
      <c r="QZ10" s="102" t="str">
        <f>IF(AND(WSIPA!$L$102&gt;=83.25,WSIPA!$L$102&lt;=91.4),"P","")</f>
        <v/>
      </c>
      <c r="RA10" s="102" t="str">
        <f>IF(AND(WSIPA!$L$102&gt;=91.5,WSIPA!$L$102&lt;=100),"P","")</f>
        <v/>
      </c>
      <c r="RB10" t="str">
        <f>IF(WSIPS!$L$6&lt;74.9,"P","")</f>
        <v/>
      </c>
      <c r="RC10" s="102" t="str">
        <f>IF(AND(WSIPS!$L$6&gt;=75,WSIPS!$L$6&lt;=83.24),"P","")</f>
        <v/>
      </c>
      <c r="RD10" s="102" t="str">
        <f>IF(AND(WSIPS!$L$6&gt;=83.25,WSIPS!$L$6&lt;=91.4),"P","")</f>
        <v/>
      </c>
      <c r="RE10" s="102" t="str">
        <f>IF(AND(WSIPS!$L$6&gt;=91.5,WSIPS!$L$6&lt;=100),"P","")</f>
        <v/>
      </c>
      <c r="RF10" t="str">
        <f>IF(WSIPS!$L$14&lt;74.9,"P","")</f>
        <v/>
      </c>
      <c r="RG10" s="102" t="str">
        <f>IF(AND(WSIPS!$L$14&gt;=75,WSIPS!$L$14&lt;=83.24),"P","")</f>
        <v/>
      </c>
      <c r="RH10" s="102" t="str">
        <f>IF(AND(WSIPS!$L$14&gt;=83.25,WSIPS!$L$14&lt;=91.4),"P","")</f>
        <v/>
      </c>
      <c r="RI10" s="102" t="str">
        <f>IF(AND(WSIPS!$L$14&gt;=91.5,WSIPS!$L$14&lt;=100),"P","")</f>
        <v/>
      </c>
      <c r="RJ10" t="str">
        <f>IF(WSIPS!$L$22&lt;74.9,"P","")</f>
        <v/>
      </c>
      <c r="RK10" s="102" t="str">
        <f>IF(AND(WSIPS!$L$22&gt;=75,WSIPS!$L$22&lt;=83.24),"P","")</f>
        <v/>
      </c>
      <c r="RL10" s="102" t="str">
        <f>IF(AND(WSIPS!$L$22&gt;=83.25,WSIPS!$L$22&lt;=91.4),"P","")</f>
        <v/>
      </c>
      <c r="RM10" s="102" t="str">
        <f>IF(AND(WSIPS!$L$22&gt;=91.5,WSIPS!$L$22&lt;=100),"P","")</f>
        <v/>
      </c>
      <c r="RN10" t="str">
        <f>IF(WSIPS!$L$30&lt;74.9,"P","")</f>
        <v/>
      </c>
      <c r="RO10" s="102" t="str">
        <f>IF(AND(WSIPS!$L$30&gt;=75,WSIPS!$L$30&lt;=83.24),"P","")</f>
        <v/>
      </c>
      <c r="RP10" s="102" t="str">
        <f>IF(AND(WSIPS!$L$30&gt;=83.25,WSIPS!$L$30&lt;=91.4),"P","")</f>
        <v/>
      </c>
      <c r="RQ10" s="102" t="str">
        <f>IF(AND(WSIPS!$L$30&gt;=91.5,WSIPS!$L$30&lt;=100),"P","")</f>
        <v/>
      </c>
      <c r="RR10" t="str">
        <f>IF(WSIPS!$L$38&lt;74.9,"P","")</f>
        <v/>
      </c>
      <c r="RS10" s="102" t="str">
        <f>IF(AND(WSIPS!$L$38&gt;=75,WSIPS!$L$38&lt;=83.24),"P","")</f>
        <v/>
      </c>
      <c r="RT10" s="102" t="str">
        <f>IF(AND(WSIPS!$L$38&gt;=83.25,WSIPS!$L$38&lt;=91.4),"P","")</f>
        <v/>
      </c>
      <c r="RU10" s="102" t="str">
        <f>IF(AND(WSIPS!$L$38&gt;=91.5,WSIPS!$L$38&lt;=100),"P","")</f>
        <v/>
      </c>
      <c r="RV10" t="str">
        <f>IF(WSIPS!$L$46&lt;74.9,"P","")</f>
        <v/>
      </c>
      <c r="RW10" s="102" t="str">
        <f>IF(AND(WSIPS!$L$46&gt;=75,WSIPS!$L$46&lt;=83.24),"P","")</f>
        <v/>
      </c>
      <c r="RX10" s="102" t="str">
        <f>IF(AND(WSIPS!$L$46&gt;=83.25,WSIPS!$L$46&lt;=91.4),"P","")</f>
        <v/>
      </c>
      <c r="RY10" s="102" t="str">
        <f>IF(AND(WSIPS!$L$46&gt;=91.5,WSIPS!$L$46&lt;=100),"P","")</f>
        <v/>
      </c>
      <c r="RZ10" t="str">
        <f>IF(WSIPS!$L$54&lt;74.9,"P","")</f>
        <v/>
      </c>
      <c r="SA10" s="102" t="str">
        <f>IF(AND(WSIPS!$L$54&gt;=75,WSIPS!$L$54&lt;=83.24),"P","")</f>
        <v/>
      </c>
      <c r="SB10" s="102" t="str">
        <f>IF(AND(WSIPS!$L$54&gt;=83.25,WSIPS!$L$54&lt;=91.4),"P","")</f>
        <v/>
      </c>
      <c r="SC10" s="102" t="str">
        <f>IF(AND(WSIPS!$L$54&gt;=91.5,WSIPS!$L$54&lt;=100),"P","")</f>
        <v/>
      </c>
      <c r="SD10" t="str">
        <f>IF(WSIPS!$L$62&lt;74.9,"P","")</f>
        <v/>
      </c>
      <c r="SE10" s="102" t="str">
        <f>IF(AND(WSIPS!$L$62&gt;=75,WSIPS!$L$62&lt;=83.24),"P","")</f>
        <v/>
      </c>
      <c r="SF10" s="102" t="str">
        <f>IF(AND(WSIPS!$L$62&gt;=83.25,WSIPS!$L$62&lt;=91.4),"P","")</f>
        <v/>
      </c>
      <c r="SG10" s="102" t="str">
        <f>IF(AND(WSIPS!$L$62&gt;=91.5,WSIPS!$L$62&lt;=100),"P","")</f>
        <v/>
      </c>
      <c r="SH10" t="str">
        <f>IF(WSIPS!$L$70&lt;74.9,"P","")</f>
        <v/>
      </c>
      <c r="SI10" s="102" t="str">
        <f>IF(AND(WSIPS!$L$70&gt;=75,WSIPS!$L$70&lt;=83.24),"P","")</f>
        <v/>
      </c>
      <c r="SJ10" s="102" t="str">
        <f>IF(AND(WSIPS!$L$70&gt;=83.25,WSIPS!$L$70&lt;=91.4),"P","")</f>
        <v/>
      </c>
      <c r="SK10" s="102" t="str">
        <f>IF(AND(WSIPS!$L$70&gt;=91.5,WSIPS!$L$70&lt;=100),"P","")</f>
        <v/>
      </c>
      <c r="SL10" t="str">
        <f>IF(WSIPS!$L$78&lt;74.9,"P","")</f>
        <v/>
      </c>
      <c r="SM10" s="102" t="str">
        <f>IF(AND(WSIPS!$L$78&gt;=75,WSIPS!$L$78&lt;=83.24),"P","")</f>
        <v/>
      </c>
      <c r="SN10" s="102" t="str">
        <f>IF(AND(WSIPS!$L$78&gt;=83.25,WSIPS!$L$78&lt;=91.4),"P","")</f>
        <v/>
      </c>
      <c r="SO10" s="102" t="str">
        <f>IF(AND(WSIPS!$L$78&gt;=91.5,WSIPS!$L$78&lt;=100),"P","")</f>
        <v/>
      </c>
      <c r="SP10" t="str">
        <f>IF(WSIPS!$L$86&lt;74.9,"P","")</f>
        <v/>
      </c>
      <c r="SQ10" s="102" t="str">
        <f>IF(AND(WSIPS!$L$86&gt;=75,WSIPS!$L$86&lt;=83.24),"P","")</f>
        <v/>
      </c>
      <c r="SR10" s="102" t="str">
        <f>IF(AND(WSIPS!$L$86&gt;=83.25,WSIPS!$L$86&lt;=91.4),"P","")</f>
        <v/>
      </c>
      <c r="SS10" s="102" t="str">
        <f>IF(AND(WSIPS!$L$86&gt;=91.5,WSIPS!$L$86&lt;=100),"P","")</f>
        <v/>
      </c>
      <c r="ST10" t="str">
        <f>IF(WSIPS!$L$94&lt;74.9,"P","")</f>
        <v/>
      </c>
      <c r="SU10" s="102" t="str">
        <f>IF(AND(WSIPS!$L$94&gt;=75,WSIPS!$L$94&lt;=83.24),"P","")</f>
        <v/>
      </c>
      <c r="SV10" s="102" t="str">
        <f>IF(AND(WSIPS!$L$94&gt;=83.25,WSIPS!$L$94&lt;=91.4),"P","")</f>
        <v/>
      </c>
      <c r="SW10" s="102" t="str">
        <f>IF(AND(WSIPS!$L$94&gt;=91.5,WSIPS!$L$94&lt;=100),"P","")</f>
        <v/>
      </c>
      <c r="SX10" t="str">
        <f>IF(WSIPS!$L$102&lt;74.9,"P","")</f>
        <v/>
      </c>
      <c r="SY10" s="102" t="str">
        <f>IF(AND(WSIPS!$L$102&gt;=75,WSIPS!$L$102&lt;=83.24),"P","")</f>
        <v/>
      </c>
      <c r="SZ10" s="102" t="str">
        <f>IF(AND(WSIPS!$L$102&gt;=83.25,WSIPS!$L$102&lt;=91.4),"P","")</f>
        <v/>
      </c>
      <c r="TA10" s="102" t="str">
        <f>IF(AND(WSIPS!$L$102&gt;=91.5,WSIPS!$L$102&lt;=100),"P","")</f>
        <v/>
      </c>
      <c r="TB10" t="str">
        <f>IF(WSSBK!$L$6&lt;74.9,"P","")</f>
        <v/>
      </c>
      <c r="TC10" s="102" t="str">
        <f>IF(AND(WSSBK!$L$6&gt;=75,WSSBK!$L$6&lt;=83.24),"P","")</f>
        <v/>
      </c>
      <c r="TD10" s="102" t="str">
        <f>IF(AND(WSSBK!$L$6&gt;=83.25,WSSBK!$L$6&lt;=91.4),"P","")</f>
        <v/>
      </c>
      <c r="TE10" s="102" t="str">
        <f>IF(AND(WSSBK!$L$6&gt;=91.5,WSSBK!$L$6&lt;=100),"P","")</f>
        <v>P</v>
      </c>
      <c r="TF10" t="str">
        <f>IF(WSSBK!$L$16&lt;74.9,"P","")</f>
        <v/>
      </c>
      <c r="TG10" s="102" t="str">
        <f>IF(AND(WSSBK!$L$16&gt;=75,WSSBK!$L$16&lt;=83.24),"P","")</f>
        <v/>
      </c>
      <c r="TH10" s="102" t="str">
        <f>IF(AND(WSSBK!$L$16&gt;=83.25,WSSBK!$L$16&lt;=91.4),"P","")</f>
        <v/>
      </c>
      <c r="TI10" s="102" t="str">
        <f>IF(AND(WSSBK!$L$16&gt;=91.5,WSSBK!$L$16&lt;=100),"P","")</f>
        <v>P</v>
      </c>
      <c r="TJ10" t="str">
        <f>IF(WSSBK!$L$26&lt;74.9,"P","")</f>
        <v/>
      </c>
      <c r="TK10" s="102" t="str">
        <f>IF(AND(WSSBK!$L$26&gt;=75,WSSBK!$L$26&lt;=83.24),"P","")</f>
        <v/>
      </c>
      <c r="TL10" s="102" t="str">
        <f>IF(AND(WSSBK!$L$26&gt;=83.25,WSSBK!$L$26&lt;=91.4),"P","")</f>
        <v/>
      </c>
      <c r="TM10" s="102" t="str">
        <f>IF(AND(WSSBK!$L$26&gt;=91.5,WSSBK!$L$26&lt;=100),"P","")</f>
        <v>P</v>
      </c>
      <c r="TN10" t="str">
        <f>IF(WSSBK!$L$36&lt;74.9,"P","")</f>
        <v/>
      </c>
      <c r="TO10" s="102" t="str">
        <f>IF(AND(WSSBK!$L$36&gt;=75,WSSBK!$L$36&lt;=83.24),"P","")</f>
        <v/>
      </c>
      <c r="TP10" s="102" t="str">
        <f>IF(AND(WSSBK!$L$36&gt;=83.25,WSSBK!$L$36&lt;=91.4),"P","")</f>
        <v/>
      </c>
      <c r="TQ10" s="102" t="str">
        <f>IF(AND(WSSBK!$L$36&gt;=91.5,WSSBK!$L$36&lt;=100),"P","")</f>
        <v>P</v>
      </c>
      <c r="TR10" t="str">
        <f>IF(WSSBK!$L$46&lt;74.9,"P","")</f>
        <v/>
      </c>
      <c r="TS10" s="102" t="str">
        <f>IF(AND(WSSBK!$L$46&gt;=75,WSSBK!$L$46&lt;=83.24),"P","")</f>
        <v/>
      </c>
      <c r="TT10" s="102" t="str">
        <f>IF(AND(WSSBK!$L$46&gt;=83.25,WSSBK!$L$46&lt;=91.4),"P","")</f>
        <v/>
      </c>
      <c r="TU10" s="102" t="str">
        <f>IF(AND(WSSBK!$L$46&gt;=91.5,WSSBK!$L$46&lt;=100),"P","")</f>
        <v>P</v>
      </c>
      <c r="TV10" t="str">
        <f>IF(WSSBK!$L$58&lt;74.9,"P","")</f>
        <v/>
      </c>
      <c r="TW10" s="102" t="str">
        <f>IF(AND(WSSBK!$L$58&gt;=75,WSSBK!$L$58&lt;=83.24),"P","")</f>
        <v/>
      </c>
      <c r="TX10" s="102" t="str">
        <f>IF(AND(WSSBK!$L$58&gt;=83.25,WSSBK!$L$58&lt;=91.4),"P","")</f>
        <v/>
      </c>
      <c r="TY10" s="102" t="str">
        <f>IF(AND(WSSBK!$L$58&gt;=91.5,WSSBK!$L$58&lt;=100),"P","")</f>
        <v>P</v>
      </c>
      <c r="TZ10" t="str">
        <f>IF(WSSBK!$L$68&lt;74.9,"P","")</f>
        <v/>
      </c>
      <c r="UA10" s="102" t="str">
        <f>IF(AND(WSSBK!$L$68&gt;=75,WSSBK!$L$68&lt;=83.24),"P","")</f>
        <v/>
      </c>
      <c r="UB10" s="102" t="str">
        <f>IF(AND(WSSBK!$L$68&gt;=83.25,WSSBK!$L$68&lt;=91.4),"P","")</f>
        <v/>
      </c>
      <c r="UC10" s="102" t="str">
        <f>IF(AND(WSSBK!$L$68&gt;=91.5,WSSBK!$L$68&lt;=100),"P","")</f>
        <v>P</v>
      </c>
      <c r="UD10" t="str">
        <f>IF(WSSBK!$L$77&lt;74.9,"P","")</f>
        <v/>
      </c>
      <c r="UE10" s="102" t="str">
        <f>IF(AND(WSSBK!$L$77&gt;=75,WSSBK!$L$77&lt;=83.24),"P","")</f>
        <v/>
      </c>
      <c r="UF10" s="102" t="str">
        <f>IF(AND(WSSBK!$L$77&gt;=83.25,WSSBK!$L$77&lt;=91.4),"P","")</f>
        <v/>
      </c>
      <c r="UG10" s="102" t="str">
        <f>IF(AND(WSSBK!$L$77&gt;=91.5,WSSBK!$L$77&lt;=100),"P","")</f>
        <v>P</v>
      </c>
      <c r="UH10" t="str">
        <f>IF(WSSBK!$L$87&lt;74.9,"P","")</f>
        <v/>
      </c>
      <c r="UI10" s="102" t="str">
        <f>IF(AND(WSSBK!$L$87&gt;=75,WSSBK!$L$87&lt;=83.24),"P","")</f>
        <v/>
      </c>
      <c r="UJ10" s="102" t="str">
        <f>IF(AND(WSSBK!$L$87&gt;=83.25,WSSBK!$L$87&lt;=91.4),"P","")</f>
        <v/>
      </c>
      <c r="UK10" s="102" t="str">
        <f>IF(AND(WSSBK!$L$87&gt;=91.5,WSSBK!$L$87&lt;=100),"P","")</f>
        <v/>
      </c>
      <c r="UL10" t="str">
        <f>IF(WSSBK!$L$95&lt;74.9,"P","")</f>
        <v/>
      </c>
      <c r="UM10" s="102" t="str">
        <f>IF(AND(WSSBK!$L$95&gt;=75,WSSBK!$L$95&lt;=83.24),"P","")</f>
        <v/>
      </c>
      <c r="UN10" s="102" t="str">
        <f>IF(AND(WSSBK!$L$95&gt;=83.25,WSSBK!$L$95&lt;=91.4),"P","")</f>
        <v/>
      </c>
      <c r="UO10" s="102" t="str">
        <f>IF(AND(WSSBK!$L$95&gt;=91.5,WSSBK!$L$95&lt;=100),"P","")</f>
        <v/>
      </c>
      <c r="UP10" t="str">
        <f>IF(WSSBK!$L$103&lt;74.9,"P","")</f>
        <v/>
      </c>
      <c r="UQ10" s="102" t="str">
        <f>IF(AND(WSSBK!$L$103&gt;=75,WSSBK!$L$103&lt;=83.24),"P","")</f>
        <v/>
      </c>
      <c r="UR10" s="102" t="str">
        <f>IF(AND(WSSBK!$L$103&gt;=83.25,WSSBK!$L$103&lt;=91.4),"P","")</f>
        <v/>
      </c>
      <c r="US10" s="102" t="str">
        <f>IF(AND(WSSBK!$L$103&gt;=91.5,WSSBK!$L$103&lt;=100),"P","")</f>
        <v/>
      </c>
      <c r="UT10" t="str">
        <f>IF(WSSBK!$L$111&lt;74.9,"P","")</f>
        <v/>
      </c>
      <c r="UU10" s="102" t="str">
        <f>IF(AND(WSSBK!$L$111&gt;=75,WSSBK!$L$111&lt;=83.24),"P","")</f>
        <v/>
      </c>
      <c r="UV10" s="102" t="str">
        <f>IF(AND(WSSBK!$L$111&gt;=83.25,WSSBK!$L$111&lt;=91.4),"P","")</f>
        <v/>
      </c>
      <c r="UW10" s="102" t="str">
        <f>IF(AND(WSSBK!$L$111&gt;=91.5,WSSBK!$L$111&lt;=100),"P","")</f>
        <v/>
      </c>
      <c r="UX10" t="str">
        <f>IF(WSSBK!$L$119&lt;74.9,"P","")</f>
        <v/>
      </c>
      <c r="UY10" s="102" t="str">
        <f>IF(AND(WSSBK!$L$119&gt;=75,WSSBK!$L$119&lt;=83.24),"P","")</f>
        <v/>
      </c>
      <c r="UZ10" s="102" t="str">
        <f>IF(AND(WSSBK!$L$119&gt;=83.25,WSSBK!$L$119&lt;=91.4),"P","")</f>
        <v/>
      </c>
      <c r="VA10" s="102" t="str">
        <f>IF(AND(WSSBK!$L$119&gt;=91.5,WSSBK!$L$119&lt;=100),"P","")</f>
        <v/>
      </c>
      <c r="VB10" s="102" t="str">
        <f>IF(AND(WSPENJAS!$L$6&gt;0,WSPENJAS!$L$6&lt;=74.9),"P","")</f>
        <v/>
      </c>
      <c r="VC10" s="102" t="str">
        <f>IF(AND(WSPENJAS!$L$6&gt;=75,WSPENJAS!$L$6&lt;=83.24),"P","")</f>
        <v/>
      </c>
      <c r="VD10" s="102" t="str">
        <f>IF(AND(WSPENJAS!$L$6&gt;=83.25,WSPENJAS!$L$6&lt;=91.4),"P","")</f>
        <v/>
      </c>
      <c r="VE10" s="102" t="str">
        <f>IF(AND(WSPENJAS!$L$6&gt;=91.5,WSPENJAS!$L$6&lt;=100),"P","")</f>
        <v>P</v>
      </c>
      <c r="VF10" s="102" t="str">
        <f>IF(AND(WSPENJAS!$L$7&gt;0,WSPENJAS!$L$7&lt;=74.9),"P","")</f>
        <v/>
      </c>
      <c r="VG10" s="102" t="str">
        <f>IF(AND(WSPENJAS!$L$7&gt;=75,WSPENJAS!$L$7&lt;=83.24),"P","")</f>
        <v/>
      </c>
      <c r="VH10" s="102" t="str">
        <f>IF(AND(WSPENJAS!$L$7&gt;=83.25,WSPENJAS!$L$7&lt;=91.4),"P","")</f>
        <v/>
      </c>
      <c r="VI10" s="102" t="str">
        <f>IF(AND(WSPENJAS!$L$7&gt;=91.5,WSPENJAS!$L$7&lt;=100),"P","")</f>
        <v>P</v>
      </c>
      <c r="VJ10" s="102" t="str">
        <f>IF(AND(WSPENJAS!$L$8&gt;0,WSPENJAS!$L$8&lt;=74.9),"P","")</f>
        <v/>
      </c>
      <c r="VK10" s="102" t="str">
        <f>IF(AND(WSPENJAS!$L$8&gt;=75,WSPENJAS!$L$8&lt;=83.24),"P","")</f>
        <v/>
      </c>
      <c r="VL10" s="102" t="str">
        <f>IF(AND(WSPENJAS!$L$8&gt;=83.25,WSPENJAS!$L$8&lt;=91.4),"P","")</f>
        <v/>
      </c>
      <c r="VM10" s="102" t="str">
        <f>IF(AND(WSPENJAS!$L$8&gt;=91.5,WSPENJAS!$L$8&lt;=100),"P","")</f>
        <v>P</v>
      </c>
      <c r="VN10" s="102" t="str">
        <f>IF(AND(WSPENJAS!$L$9&gt;0,WSPENJAS!$L$9&lt;=74.9),"P","")</f>
        <v/>
      </c>
      <c r="VO10" s="102" t="str">
        <f>IF(AND(WSPENJAS!$L$9&gt;=75,WSPENJAS!$L$9&lt;=83.24),"P","")</f>
        <v/>
      </c>
      <c r="VP10" s="102" t="str">
        <f>IF(AND(WSPENJAS!$L$9&gt;=83.25,WSPENJAS!$L$9&lt;=91.4),"P","")</f>
        <v/>
      </c>
      <c r="VQ10" s="102" t="str">
        <f>IF(AND(WSPENJAS!$L$9&gt;=91.5,WSPENJAS!$L$9&lt;=100),"P","")</f>
        <v>P</v>
      </c>
      <c r="VR10" s="102" t="str">
        <f>IF(AND(WSPENJAS!$L$10&gt;0,WSPENJAS!$L$10&lt;=74.9),"P","")</f>
        <v/>
      </c>
      <c r="VS10" s="102" t="str">
        <f>IF(AND(WSPENJAS!$L$10&gt;=75,WSPENJAS!$L$10&lt;=83.24),"P","")</f>
        <v/>
      </c>
      <c r="VT10" s="102" t="str">
        <f>IF(AND(WSPENJAS!$L$10&gt;=83.25,WSPENJAS!$L$10&lt;=91.4),"P","")</f>
        <v/>
      </c>
      <c r="VU10" s="102" t="str">
        <f>IF(AND(WSPENJAS!$L$10&gt;=91.5,WSPENJAS!$L$10&lt;=100),"P","")</f>
        <v>P</v>
      </c>
      <c r="VV10" s="102" t="str">
        <f>IF(AND(WSPENJAS!$L$11&gt;0,WSPENJAS!$L$11&lt;=74.9),"P","")</f>
        <v/>
      </c>
      <c r="VW10" s="102" t="str">
        <f>IF(AND(WSPENJAS!$L$411&gt;=75,WSPENJAS!$L$411&lt;=83.24),"P","")</f>
        <v/>
      </c>
      <c r="VX10" s="102" t="str">
        <f>IF(AND(WSPENJAS!$L$411&gt;=83.25,WSPENJAS!$L$411&lt;=91.4),"P","")</f>
        <v/>
      </c>
      <c r="VY10" s="102" t="str">
        <f>IF(AND(WSPENJAS!$L$411&gt;=91.5,WSPENJAS!$L$411&lt;=100),"P","")</f>
        <v/>
      </c>
      <c r="VZ10" s="102" t="str">
        <f>IF(AND(WSPENJAS!$L$12&gt;0,WSPENJAS!$L$12&lt;=74.9),"P","")</f>
        <v/>
      </c>
      <c r="WA10" s="102" t="str">
        <f>IF(AND(WSPENJAS!$L$12&gt;=75,WSPENJAS!$L$12&lt;=83.24),"P","")</f>
        <v/>
      </c>
      <c r="WB10" s="102" t="str">
        <f>IF(AND(WSPENJAS!$L$12&gt;=83.25,WSPENJAS!$L$12&lt;=91.4),"P","")</f>
        <v/>
      </c>
      <c r="WC10" s="102" t="str">
        <f>IF(AND(WSPENJAS!$L$12&gt;=91.5,WSPENJAS!$L$12&lt;=100),"P","")</f>
        <v>P</v>
      </c>
      <c r="WD10" s="102" t="str">
        <f>IF(AND(WSPENJAS!$L$13&gt;0,WSPENJAS!$L$13&lt;=74.9),"P","")</f>
        <v/>
      </c>
      <c r="WE10" s="102" t="str">
        <f>IF(AND(WSPENJAS!$L$13&gt;=75,WSPENJAS!$L$13&lt;=83.24),"P","")</f>
        <v/>
      </c>
      <c r="WF10" s="102" t="str">
        <f>IF(AND(WSPENJAS!$L$13&gt;=83.25,WSPENJAS!$L$13&lt;=91.4),"P","")</f>
        <v/>
      </c>
      <c r="WG10" s="102" t="str">
        <f>IF(AND(WSPENJAS!$L$13&gt;=91.5,WSPENJAS!$L$13&lt;=100),"P","")</f>
        <v>P</v>
      </c>
      <c r="WH10" s="102" t="str">
        <f>IF(AND(WSPENJAS!$L$14&gt;0,WSPENJAS!$L$14&lt;=74.9),"P","")</f>
        <v/>
      </c>
      <c r="WI10" s="102" t="str">
        <f>IF(AND(WSPENJAS!$L$14&gt;=75,WSPENJAS!$L$14&lt;=83.24),"P","")</f>
        <v/>
      </c>
      <c r="WJ10" s="102" t="str">
        <f>IF(AND(WSPENJAS!$L$14&gt;=83.25,WSPENJAS!$L$14&lt;=91.4),"P","")</f>
        <v/>
      </c>
      <c r="WK10" s="102" t="str">
        <f>IF(AND(WSPENJAS!$L$14&gt;=91.5,WSPENJAS!$L$14&lt;=100),"P","")</f>
        <v>P</v>
      </c>
      <c r="WL10" s="102" t="str">
        <f>IF(AND(WSPENJAS!$L$15&gt;0,WSPENJAS!$L$15&lt;=74.9),"P","")</f>
        <v/>
      </c>
      <c r="WM10" s="102" t="str">
        <f>IF(AND(WSPENJAS!$L$15&gt;=75,WSPENJAS!$L$15&lt;=83.24),"P","")</f>
        <v/>
      </c>
      <c r="WN10" s="102" t="str">
        <f>IF(AND(WSPENJAS!$L$15&gt;=83.25,WSPENJAS!$L$15&lt;=91.4),"P","")</f>
        <v/>
      </c>
      <c r="WO10" s="102" t="str">
        <f>IF(AND(WSPENJAS!$L$15&gt;=91.5,WSPENJAS!$L$15&lt;=100),"P","")</f>
        <v>P</v>
      </c>
      <c r="WP10" s="102" t="str">
        <f>IF(AND(WSPENJAS!$L$16&gt;0,WSPENJAS!$L$16&lt;=74.9),"P","")</f>
        <v/>
      </c>
      <c r="WQ10" s="102" t="str">
        <f>IF(AND(WSPENJAS!$L$16&gt;=75,WSPENJAS!$L$16&lt;=83.24),"P","")</f>
        <v/>
      </c>
      <c r="WR10" s="102" t="str">
        <f>IF(AND(WSPENJAS!$L$16&gt;=83.25,WSPENJAS!$L$16&lt;=91.4),"P","")</f>
        <v/>
      </c>
      <c r="WS10" s="102" t="str">
        <f>IF(AND(WSPENJAS!$L$16&gt;=91.5,WSPENJAS!$L$16&lt;=100),"P","")</f>
        <v/>
      </c>
      <c r="WT10" s="102" t="str">
        <f>IF(AND(WSPENJAS!$L$17&gt;0,WSPENJAS!$L$17&lt;=74.9),"P","")</f>
        <v/>
      </c>
      <c r="WU10" s="102" t="str">
        <f>IF(AND(WSPENJAS!$L$17&gt;=75,WSPENJAS!$L$17&lt;=83.24),"P","")</f>
        <v/>
      </c>
      <c r="WV10" s="102" t="str">
        <f>IF(AND(WSPENJAS!$L$17&gt;=83.25,WSPENJAS!$L$17&lt;=91.4),"P","")</f>
        <v/>
      </c>
      <c r="WW10" s="102" t="str">
        <f>IF(AND(WSPENJAS!$L$17&gt;=91.5,WSPENJAS!$L$17&lt;=100),"P","")</f>
        <v/>
      </c>
      <c r="WX10" s="102" t="str">
        <f>IF(AND(WSPENJAS!$L$18&gt;0,WSPENJAS!$L$18&lt;=74.9),"P","")</f>
        <v/>
      </c>
      <c r="WY10" s="102" t="str">
        <f>IF(AND(WSPENJAS!$L$18&gt;=75,WSPENJAS!$L$18&lt;=83.24),"P","")</f>
        <v/>
      </c>
      <c r="WZ10" s="102" t="str">
        <f>IF(AND(WSPENJAS!$L$18&gt;=83.25,WSPENJAS!$L$18&lt;=91.4),"P","")</f>
        <v/>
      </c>
      <c r="XA10" s="102" t="str">
        <f>IF(AND(WSPENJAS!$L$18&gt;=91.5,WSPENJAS!$L$18&lt;=100),"P","")</f>
        <v/>
      </c>
      <c r="XB10" s="102" t="str">
        <f>IF(AND(WSPENJAS!$L$19&gt;0,WSPENJAS!$L$19&lt;=74.9),"P","")</f>
        <v/>
      </c>
      <c r="XC10" s="102" t="str">
        <f>IF(AND(WSPENJAS!$L$19&gt;=75,WSPENJAS!$L$19&lt;=83.24),"P","")</f>
        <v/>
      </c>
      <c r="XD10" s="102" t="str">
        <f>IF(AND(WSPENJAS!$L$19&gt;=83.25,WSPENJAS!$L$19&lt;=91.4),"P","")</f>
        <v/>
      </c>
      <c r="XE10" s="102" t="str">
        <f>IF(AND(WSPENJAS!$L$19&gt;=91.5,WSPENJAS!$L$19&lt;=100),"P","")</f>
        <v/>
      </c>
      <c r="XF10" s="102" t="str">
        <f>IF(AND(WSPENJAS!$L$20&gt;0,WSPENJAS!$L$20&lt;=74.9),"P","")</f>
        <v/>
      </c>
      <c r="XG10" s="102" t="str">
        <f>IF(AND(WSPENJAS!$L$20&gt;=75,WSPENJAS!$L$20&lt;=83.24),"P","")</f>
        <v/>
      </c>
      <c r="XH10" s="102" t="str">
        <f>IF(AND(WSPENJAS!$L$20&gt;=83.25,WSPENJAS!$L$20&lt;=91.4),"P","")</f>
        <v/>
      </c>
      <c r="XI10" s="102" t="str">
        <f>IF(AND(WSPENJAS!$L$20&gt;=91.5,WSPENJAS!$L$20&lt;=100),"P","")</f>
        <v/>
      </c>
      <c r="XJ10" s="102" t="str">
        <f>IF(AND(WSPENJAS!$L$21&gt;0,WSPENJAS!$L$21&lt;=74.9),"P","")</f>
        <v/>
      </c>
      <c r="XK10" s="102" t="str">
        <f>IF(AND(WSPENJAS!$L$21&gt;=75,WSPENJAS!$L$21&lt;=83.24),"P","")</f>
        <v/>
      </c>
      <c r="XL10" s="102" t="str">
        <f>IF(AND(WSPENJAS!$L$21&gt;=83.25,WSPENJAS!$L$21&lt;=91.4),"P","")</f>
        <v/>
      </c>
      <c r="XM10" s="102" t="str">
        <f>IF(AND(WSPENJAS!$L$21&gt;=91.5,WSPENJAS!$L$21&lt;=100),"P","")</f>
        <v/>
      </c>
      <c r="XN10" t="str">
        <f>IF(WSJAWA!$L$6&lt;74.9,"P","")</f>
        <v/>
      </c>
      <c r="XO10" s="102" t="str">
        <f>IF(AND(WSJAWA!$L$6&gt;=75,WSJAWA!$L$6&lt;=83.24),"P","")</f>
        <v/>
      </c>
      <c r="XP10" s="102" t="str">
        <f>IF(AND(WSJAWA!$L$6&gt;=83.25,WSJAWA!$L$6&lt;=91.4),"P","")</f>
        <v/>
      </c>
      <c r="XQ10" s="102" t="str">
        <f>IF(AND(WSJAWA!$L$6&gt;=91.5,WSJAWA!$L$6&lt;=100),"P","")</f>
        <v>P</v>
      </c>
      <c r="XR10" t="str">
        <f>IF(WSJAWA!$L$14&lt;74.9,"P","")</f>
        <v/>
      </c>
      <c r="XS10" s="102" t="str">
        <f>IF(AND(WSJAWA!$L$14&gt;=75,WSJAWA!$L$14&lt;=83.24),"P","")</f>
        <v/>
      </c>
      <c r="XT10" s="102" t="str">
        <f>IF(AND(WSJAWA!$L$14&gt;=83.25,WSJAWA!$L$14&lt;=91.4),"P","")</f>
        <v/>
      </c>
      <c r="XU10" s="102" t="str">
        <f>IF(AND(WSJAWA!$L$14&gt;=91.5,WSJAWA!$L$14&lt;=100),"P","")</f>
        <v>P</v>
      </c>
      <c r="XV10" t="str">
        <f>IF(WSJAWA!$L$22&lt;74.9,"P","")</f>
        <v/>
      </c>
      <c r="XW10" s="102" t="str">
        <f>IF(AND(WSJAWA!$L$22&gt;=75,WSJAWA!$L$22&lt;=83.24),"P","")</f>
        <v/>
      </c>
      <c r="XX10" s="102" t="str">
        <f>IF(AND(WSJAWA!$L$22&gt;=83.25,WSJAWA!$L$22&lt;=91.4),"P","")</f>
        <v/>
      </c>
      <c r="XY10" s="102" t="str">
        <f>IF(AND(WSJAWA!$L$22&gt;=91.5,WSJAWA!$L$22&lt;=100),"P","")</f>
        <v>P</v>
      </c>
      <c r="XZ10" t="str">
        <f>IF(WSJAWA!$L$30&lt;74.9,"P","")</f>
        <v/>
      </c>
      <c r="YA10" s="102" t="str">
        <f>IF(AND(WSJAWA!$L$30&gt;=75,WSJAWA!$L$30&lt;=83.24),"P","")</f>
        <v/>
      </c>
      <c r="YB10" s="102" t="str">
        <f>IF(AND(WSJAWA!$L$30&gt;=83.25,WSJAWA!$L$30&lt;=91.4),"P","")</f>
        <v/>
      </c>
      <c r="YC10" s="102" t="str">
        <f>IF(AND(WSJAWA!$L$30&gt;=91.5,WSJAWA!$L$30&lt;=100),"P","")</f>
        <v>P</v>
      </c>
      <c r="YD10" t="str">
        <f>IF(WSJAWA!$L$38&lt;74.9,"P","")</f>
        <v/>
      </c>
      <c r="YE10" s="102" t="str">
        <f>IF(AND(WSJAWA!$L$38&gt;=75,WSJAWA!$L$38&lt;=83.24),"P","")</f>
        <v/>
      </c>
      <c r="YF10" s="102" t="str">
        <f>IF(AND(WSJAWA!$L$38&gt;=83.25,WSJAWA!$L$38&lt;=91.4),"P","")</f>
        <v/>
      </c>
      <c r="YG10" s="102" t="str">
        <f>IF(AND(WSJAWA!$L$38&gt;=91.5,WSJAWA!$L$38&lt;=100),"P","")</f>
        <v>P</v>
      </c>
      <c r="YH10" t="str">
        <f>IF(WSJAWA!$L$46&lt;74.9,"P","")</f>
        <v/>
      </c>
      <c r="YI10" s="102" t="str">
        <f>IF(AND(WSJAWA!$L$46&gt;=75,WSJAWA!$L$46&lt;=83.24),"P","")</f>
        <v/>
      </c>
      <c r="YJ10" s="102" t="str">
        <f>IF(AND(WSJAWA!$L$46&gt;=83.25,WSJAWA!$L$46&lt;=91.4),"P","")</f>
        <v>P</v>
      </c>
      <c r="YK10" s="102" t="str">
        <f>IF(AND(WSJAWA!$L$46&gt;=91.5,WSJAWA!$L$46&lt;=100),"P","")</f>
        <v/>
      </c>
      <c r="YL10" t="str">
        <f>IF(WSJAWA!$L$54&lt;74.9,"P","")</f>
        <v/>
      </c>
      <c r="YM10" s="102" t="str">
        <f>IF(AND(WSJAWA!$L$54&gt;=75,WSJAWA!$L$54&lt;=83.24),"P","")</f>
        <v/>
      </c>
      <c r="YN10" s="102" t="str">
        <f>IF(AND(WSJAWA!$L$54&gt;=83.25,WSJAWA!$L$54&lt;=91.4),"P","")</f>
        <v/>
      </c>
      <c r="YO10" s="102" t="str">
        <f>IF(AND(WSJAWA!$L$54&gt;=91.5,WSJAWA!$L$54&lt;=100),"P","")</f>
        <v>P</v>
      </c>
      <c r="YP10" t="str">
        <f>IF(WSJAWA!$L$62&lt;74.9,"P","")</f>
        <v/>
      </c>
      <c r="YQ10" s="102" t="str">
        <f>IF(AND(WSJAWA!$L$62&gt;=75,WSJAWA!$L$62&lt;=83.24),"P","")</f>
        <v/>
      </c>
      <c r="YR10" s="102" t="str">
        <f>IF(AND(WSJAWA!$L$62&gt;=83.25,WSJAWA!$L$62&lt;=91.4),"P","")</f>
        <v/>
      </c>
      <c r="YS10" s="102" t="str">
        <f>IF(AND(WSJAWA!$L$62&gt;=91.5,WSJAWA!$L$62&lt;=100),"P","")</f>
        <v>P</v>
      </c>
      <c r="YT10" t="str">
        <f>IF(WSJAWA!$L$70&lt;74.9,"P","")</f>
        <v/>
      </c>
      <c r="YU10" s="102" t="str">
        <f>IF(AND(WSJAWA!$L$70&gt;=75,WSJAWA!$L$70&lt;=83.24),"P","")</f>
        <v/>
      </c>
      <c r="YV10" s="102" t="str">
        <f>IF(AND(WSJAWA!$L$70&gt;=83.25,WSJAWA!$L$70&lt;=91.4),"P","")</f>
        <v/>
      </c>
      <c r="YW10" s="102" t="str">
        <f>IF(AND(WSJAWA!$L$70&gt;=91.5,WSJAWA!$L$70&lt;=100),"P","")</f>
        <v/>
      </c>
      <c r="YX10" t="str">
        <f>IF(WSJAWA!$L$78&lt;74.9,"P","")</f>
        <v/>
      </c>
      <c r="YY10" s="102" t="str">
        <f>IF(AND(WSJAWA!$L$78&gt;=75,WSJAWA!$L$78&lt;=83.24),"P","")</f>
        <v/>
      </c>
      <c r="YZ10" s="102" t="str">
        <f>IF(AND(WSJAWA!$L$78&gt;=83.25,WSJAWA!$L$78&lt;=91.4),"P","")</f>
        <v/>
      </c>
      <c r="ZA10" s="102" t="str">
        <f>IF(AND(WSJAWA!$L$78&gt;=91.5,WSJAWA!$L$78&lt;=100),"P","")</f>
        <v/>
      </c>
      <c r="ZB10" t="str">
        <f>IF(WSJAWA!$L$86&lt;74.9,"P","")</f>
        <v/>
      </c>
      <c r="ZC10" s="102" t="str">
        <f>IF(AND(WSJAWA!$L$86&gt;=75,WSJAWA!$L$86&lt;=83.24),"P","")</f>
        <v/>
      </c>
      <c r="ZD10" s="102" t="str">
        <f>IF(AND(WSJAWA!$L$86&gt;=83.25,WSJAWA!$L$86&lt;=91.4),"P","")</f>
        <v/>
      </c>
      <c r="ZE10" s="102" t="str">
        <f>IF(AND(WSJAWA!$L$86&gt;=91.5,WSJAWA!$L$86&lt;=100),"P","")</f>
        <v/>
      </c>
      <c r="ZF10" t="str">
        <f>IF(WSJAWA!$L$94&lt;74.9,"P","")</f>
        <v/>
      </c>
      <c r="ZG10" s="102" t="str">
        <f>IF(AND(WSJAWA!$L$94&gt;=75,WSJAWA!$L$94&lt;=83.24),"P","")</f>
        <v/>
      </c>
      <c r="ZH10" s="102" t="str">
        <f>IF(AND(WSJAWA!$L$94&gt;=83.25,WSJAWA!$L$94&lt;=91.4),"P","")</f>
        <v/>
      </c>
      <c r="ZI10" s="102" t="str">
        <f>IF(AND(WSJAWA!$L$94&gt;=91.5,WSJAWA!$L$94&lt;=100),"P","")</f>
        <v/>
      </c>
      <c r="ZJ10" t="str">
        <f>IF(WSJAWA!$L$102&lt;74.9,"P","")</f>
        <v/>
      </c>
      <c r="ZK10" s="102" t="str">
        <f>IF(AND(WSJAWA!$L$102&gt;=75,WSJAWA!$L$102&lt;=83.24),"P","")</f>
        <v/>
      </c>
      <c r="ZL10" s="102" t="str">
        <f>IF(AND(WSJAWA!$L$102&gt;=83.25,WSJAWA!$L$102&lt;=91.4),"P","")</f>
        <v/>
      </c>
      <c r="ZM10" s="102" t="str">
        <f>IF(AND(WSJAWA!$L$102&gt;=91.5,WSJAWA!$L$102&lt;=100),"P","")</f>
        <v/>
      </c>
      <c r="ZN10" t="str">
        <f>IF(WSING!$L$6&lt;74.9,"P","")</f>
        <v/>
      </c>
      <c r="ZO10" s="102" t="str">
        <f>IF(AND(WSING!$L$6&gt;=75,WSING!$L$6&lt;=83.24),"P","")</f>
        <v/>
      </c>
      <c r="ZP10" s="102" t="str">
        <f>IF(AND(WSING!$L$6&gt;=83.25,WSING!$L$6&lt;=91.4),"P","")</f>
        <v/>
      </c>
      <c r="ZQ10" s="102" t="str">
        <f>IF(AND(WSING!$L$6&gt;=91.5,WSING!$L$6&lt;=100),"P","")</f>
        <v>P</v>
      </c>
      <c r="ZR10" t="str">
        <f>IF(WSING!$L$15&lt;74.9,"P","")</f>
        <v/>
      </c>
      <c r="ZS10" s="102" t="str">
        <f>IF(AND(WSING!$L$15&gt;=75,WSING!$L$15&lt;=83.24),"P","")</f>
        <v/>
      </c>
      <c r="ZT10" s="102" t="str">
        <f>IF(AND(WSING!$L$15&gt;=83.25,WSING!$L$15&lt;=91.4),"P","")</f>
        <v/>
      </c>
      <c r="ZU10" s="102" t="str">
        <f>IF(AND(WSING!$L$15&gt;=91.5,WSING!$L$15&lt;=100),"P","")</f>
        <v>P</v>
      </c>
      <c r="ZV10" t="str">
        <f>IF(WSING!$L$24&lt;74.9,"P","")</f>
        <v/>
      </c>
      <c r="ZW10" s="102" t="str">
        <f>IF(AND(WSING!$L$24&gt;=75,WSING!$L$24&lt;=83.24),"P","")</f>
        <v/>
      </c>
      <c r="ZX10" s="102" t="str">
        <f>IF(AND(WSING!$L$24&gt;=83.25,WSING!$L$24&lt;=91.4),"P","")</f>
        <v/>
      </c>
      <c r="ZY10" s="102" t="str">
        <f>IF(AND(WSING!$L$24&gt;=91.5,WSING!$L$24&lt;=100),"P","")</f>
        <v>P</v>
      </c>
      <c r="ZZ10" t="str">
        <f>IF(WSING!$L$33&lt;74.9,"P","")</f>
        <v/>
      </c>
      <c r="AAA10" s="102" t="str">
        <f>IF(AND(WSING!$L$33&gt;=75,WSING!$L$33&lt;=83.24),"P","")</f>
        <v/>
      </c>
      <c r="AAB10" s="102" t="str">
        <f>IF(AND(WSING!$L$33&gt;=83.25,WSING!$L$33&lt;=91.4),"P","")</f>
        <v/>
      </c>
      <c r="AAC10" s="102" t="str">
        <f>IF(AND(WSING!$L$33&gt;=91.5,WSING!$L$33&lt;=100),"P","")</f>
        <v>P</v>
      </c>
      <c r="AAD10" t="str">
        <f>IF(WSING!$L$42&lt;74.9,"P","")</f>
        <v/>
      </c>
      <c r="AAE10" s="102" t="str">
        <f>IF(AND(WSING!$L$42&gt;=75,WSING!$L$42&lt;=83.24),"P","")</f>
        <v/>
      </c>
      <c r="AAF10" s="102" t="str">
        <f>IF(AND(WSING!$L$42&gt;=83.25,WSING!$L$42&lt;=91.4),"P","")</f>
        <v/>
      </c>
      <c r="AAG10" s="102" t="str">
        <f>IF(AND(WSING!$L$42&gt;=91.5,WSING!$L$42&lt;=100),"P","")</f>
        <v/>
      </c>
      <c r="AAH10" t="str">
        <f>IF(WSING!$L$50&lt;74.9,"P","")</f>
        <v/>
      </c>
      <c r="AAI10" s="102" t="str">
        <f>IF(AND(WSING!$L$50&gt;=75,WSING!$L$50&lt;=83.24),"P","")</f>
        <v/>
      </c>
      <c r="AAJ10" s="102" t="str">
        <f>IF(AND(WSING!$L$50&gt;=83.25,WSING!$L$50&lt;=91.4),"P","")</f>
        <v/>
      </c>
      <c r="AAK10" s="102" t="str">
        <f>IF(AND(WSING!$L$50&gt;=91.5,WSING!$L$50&lt;=100),"P","")</f>
        <v/>
      </c>
      <c r="AAL10" t="str">
        <f>IF(WSING!$L$58&lt;74.9,"P","")</f>
        <v/>
      </c>
      <c r="AAM10" s="102" t="str">
        <f>IF(AND(WSING!$L$58&gt;=75,WSING!$L$58&lt;=83.24),"P","")</f>
        <v/>
      </c>
      <c r="AAN10" s="102" t="str">
        <f>IF(AND(WSING!$L$58&gt;=83.25,WSING!$L$58&lt;=91.4),"P","")</f>
        <v/>
      </c>
      <c r="AAO10" s="102" t="str">
        <f>IF(AND(WSING!$L$58&gt;=91.5,WSING!$L$58&lt;=100),"P","")</f>
        <v/>
      </c>
      <c r="AAP10" t="str">
        <f>IF(WSING!$L$66&lt;74.9,"P","")</f>
        <v/>
      </c>
      <c r="AAQ10" s="102" t="str">
        <f>IF(AND(WSING!$L$66&gt;=75,WSING!$L$66&lt;=83.24),"P","")</f>
        <v/>
      </c>
      <c r="AAR10" s="102" t="str">
        <f>IF(AND(WSING!$L$66&gt;=83.25,WSING!$L$66&lt;=91.4),"P","")</f>
        <v/>
      </c>
      <c r="AAS10" s="102" t="str">
        <f>IF(AND(WSING!$L$66&gt;=91.5,WSING!$L$66&lt;=100),"P","")</f>
        <v/>
      </c>
      <c r="AAT10" t="str">
        <f>IF(WSING!$L$74&lt;74.9,"P","")</f>
        <v/>
      </c>
      <c r="AAU10" s="102" t="str">
        <f>IF(AND(WSING!$L$74&gt;=75,WSING!$L$74&lt;=83.24),"P","")</f>
        <v/>
      </c>
      <c r="AAV10" s="102" t="str">
        <f>IF(AND(WSING!$L$74&gt;=83.25,WSING!$L$74&lt;=91.4),"P","")</f>
        <v/>
      </c>
      <c r="AAW10" s="102" t="str">
        <f>IF(AND(WSING!$L$74&gt;=91.5,WSING!$L$74&lt;=100),"P","")</f>
        <v/>
      </c>
      <c r="AAX10" t="str">
        <f>IF(WSING!$L$82&lt;74.9,"P","")</f>
        <v/>
      </c>
      <c r="AAY10" s="102" t="str">
        <f>IF(AND(WSING!$L$82&gt;=75,WSING!$L$82&lt;=83.24),"P","")</f>
        <v/>
      </c>
      <c r="AAZ10" s="102" t="str">
        <f>IF(AND(WSING!$L$82&gt;=83.25,WSING!$L$82&lt;=91.4),"P","")</f>
        <v/>
      </c>
      <c r="ABA10" s="102" t="str">
        <f>IF(AND(WSING!$L$82&gt;=91.5,WSING!$L$82&lt;=100),"P","")</f>
        <v/>
      </c>
      <c r="ABB10" t="str">
        <f>IF(WSING!$L$90&lt;74.9,"P","")</f>
        <v/>
      </c>
      <c r="ABC10" s="102" t="str">
        <f>IF(AND(WSING!$L$90&gt;=75,WSING!$L$90&lt;=83.24),"P","")</f>
        <v/>
      </c>
      <c r="ABD10" s="102" t="str">
        <f>IF(AND(WSING!$L$90&gt;=83.25,WSING!$L$90&lt;=91.4),"P","")</f>
        <v/>
      </c>
      <c r="ABE10" s="102" t="str">
        <f>IF(AND(WSING!$L$90&gt;=91.5,WSING!$L$90&lt;=100),"P","")</f>
        <v/>
      </c>
      <c r="ABF10" t="str">
        <f>IF(WSING!$L$98&lt;74.9,"P","")</f>
        <v/>
      </c>
      <c r="ABG10" s="102" t="str">
        <f>IF(AND(WSING!$L$98&gt;=75,WSING!$L$98&lt;=83.24),"P","")</f>
        <v/>
      </c>
      <c r="ABH10" s="102" t="str">
        <f>IF(AND(WSING!$L$98&gt;=83.25,WSING!$L$98&lt;=91.4),"P","")</f>
        <v/>
      </c>
      <c r="ABI10" s="102" t="str">
        <f>IF(AND(WSING!$L$98&gt;=91.5,WSING!$L$98&lt;=100),"P","")</f>
        <v/>
      </c>
      <c r="ABJ10" t="str">
        <f>IF(WSING!$L$106&lt;74.9,"P","")</f>
        <v/>
      </c>
      <c r="ABK10" s="102" t="str">
        <f>IF(AND(WSING!$L$106&gt;=75,WSING!$L$106&lt;=83.24),"P","")</f>
        <v/>
      </c>
      <c r="ABL10" s="102" t="str">
        <f>IF(AND(WSING!$L$106&gt;=83.25,WSING!$L$106&lt;=91.4),"P","")</f>
        <v/>
      </c>
      <c r="ABM10" s="102" t="str">
        <f>IF(AND(WSING!$L$106&gt;=91.5,WSING!$L$106&lt;=100),"P","")</f>
        <v/>
      </c>
      <c r="ABN10" t="str">
        <f>IF(WSTIK!$L$6&lt;74.9,"P","")</f>
        <v/>
      </c>
      <c r="ABO10" s="102" t="str">
        <f>IF(AND(WSTIK!$L$6&gt;=75,WSTIK!$L$6&lt;=83.24),"P","")</f>
        <v/>
      </c>
      <c r="ABP10" s="102" t="str">
        <f>IF(AND(WSTIK!$L$6&gt;=83.25,WSTIK!$L$6&lt;=91.4),"P","")</f>
        <v/>
      </c>
      <c r="ABQ10" s="102" t="str">
        <f>IF(AND(WSTIK!$L$6&gt;=91.5,WSTIK!$L$6&lt;=100),"P","")</f>
        <v/>
      </c>
      <c r="ABR10" t="str">
        <f>IF(WSTIK!$L$14&lt;74.9,"P","")</f>
        <v/>
      </c>
      <c r="ABS10" s="102" t="str">
        <f>IF(AND(WSTIK!$L$14&gt;=75,WSTIK!$L$14&lt;=83.24),"P","")</f>
        <v/>
      </c>
      <c r="ABT10" s="102" t="str">
        <f>IF(AND(WSTIK!$L$14&gt;=83.25,WSTIK!$L$14&lt;=91.4),"P","")</f>
        <v/>
      </c>
      <c r="ABU10" s="102" t="str">
        <f>IF(AND(WSTIK!$L$14&gt;=91.5,WSTIK!$L$14&lt;=100),"P","")</f>
        <v/>
      </c>
      <c r="ABV10" t="str">
        <f>IF(WSTIK!$L$22&lt;74.9,"P","")</f>
        <v/>
      </c>
      <c r="ABW10" s="102" t="str">
        <f>IF(AND(WSTIK!$L$22&gt;=75,WSTIK!$L$22&lt;=83.24),"P","")</f>
        <v/>
      </c>
      <c r="ABX10" s="102" t="str">
        <f>IF(AND(WSTIK!$L$22&gt;=83.25,WSTIK!$L$22&lt;=91.4),"P","")</f>
        <v/>
      </c>
      <c r="ABY10" s="102" t="str">
        <f>IF(AND(WSTIK!$L$22&gt;=91.5,WSTIK!$L$22&lt;=100),"P","")</f>
        <v/>
      </c>
      <c r="ABZ10" t="str">
        <f>IF(WSTIK!$L$30&lt;74.9,"P","")</f>
        <v/>
      </c>
      <c r="ACA10" s="102" t="str">
        <f>IF(AND(WSTIK!$L$30&gt;=75,WSTIK!$L$30&lt;=83.24),"P","")</f>
        <v/>
      </c>
      <c r="ACB10" s="102" t="str">
        <f>IF(AND(WSTIK!$L$30&gt;=83.25,WSTIK!$L$30&lt;=91.4),"P","")</f>
        <v/>
      </c>
      <c r="ACC10" s="102" t="str">
        <f>IF(AND(WSTIK!$L$30&gt;=91.5,WSTIK!$L$30&lt;=100),"P","")</f>
        <v/>
      </c>
      <c r="ACD10" t="str">
        <f>IF(WSTIK!$L$38&lt;74.9,"P","")</f>
        <v/>
      </c>
      <c r="ACE10" s="102" t="str">
        <f>IF(AND(WSTIK!$L$38&gt;=75,WSTIK!$L$38&lt;=83.24),"P","")</f>
        <v/>
      </c>
      <c r="ACF10" s="102" t="str">
        <f>IF(AND(WSTIK!$L$38&gt;=83.25,WSTIK!$L$38&lt;=91.4),"P","")</f>
        <v/>
      </c>
      <c r="ACG10" s="102" t="str">
        <f>IF(AND(WSTIK!$L$38&gt;=91.5,WSTIK!$L$38&lt;=100),"P","")</f>
        <v/>
      </c>
      <c r="ACH10" t="str">
        <f>IF(WSTIK!$L$46&lt;74.9,"P","")</f>
        <v/>
      </c>
      <c r="ACI10" s="102" t="str">
        <f>IF(AND(WSTIK!$L$46&gt;=75,WSTIK!$L$46&lt;=83.24),"P","")</f>
        <v/>
      </c>
      <c r="ACJ10" s="102" t="str">
        <f>IF(AND(WSTIK!$L$46&gt;=83.25,WSTIK!$L$46&lt;=91.4),"P","")</f>
        <v/>
      </c>
      <c r="ACK10" s="102" t="str">
        <f>IF(AND(WSTIK!$L$46&gt;=91.5,WSTIK!$L$46&lt;=100),"P","")</f>
        <v/>
      </c>
      <c r="ACL10" t="str">
        <f>IF(WSTIK!$L$54&lt;74.9,"P","")</f>
        <v/>
      </c>
      <c r="ACM10" s="102" t="str">
        <f>IF(AND(WSTIK!$L$54&gt;=75,WSTIK!$L$54&lt;=83.24),"P","")</f>
        <v/>
      </c>
      <c r="ACN10" s="102" t="str">
        <f>IF(AND(WSTIK!$L$54&gt;=83.25,WSTIK!$L$54&lt;=91.4),"P","")</f>
        <v/>
      </c>
      <c r="ACO10" s="102" t="str">
        <f>IF(AND(WSTIK!$L$54&gt;=91.5,WSTIK!$L$54&lt;=100),"P","")</f>
        <v/>
      </c>
      <c r="ACP10" t="str">
        <f>IF(WSTIK!$L$62&lt;74.9,"P","")</f>
        <v/>
      </c>
      <c r="ACQ10" s="102" t="str">
        <f>IF(AND(WSTIK!$L$62&gt;=75,WSTIK!$L$62&lt;=83.24),"P","")</f>
        <v/>
      </c>
      <c r="ACR10" s="102" t="str">
        <f>IF(AND(WSTIK!$L$62&gt;=83.25,WSTIK!$L$62&lt;=91.4),"P","")</f>
        <v/>
      </c>
      <c r="ACS10" s="102" t="str">
        <f>IF(AND(WSTIK!$L$62&gt;=91.5,WSTIK!$L$62&lt;=100),"P","")</f>
        <v/>
      </c>
      <c r="ACT10" t="str">
        <f>IF(WSTIK!$L$70&lt;74.9,"P","")</f>
        <v/>
      </c>
      <c r="ACU10" s="102" t="str">
        <f>IF(AND(WSTIK!$L$70&gt;=75,WSTIK!$L$70&lt;=83.24),"P","")</f>
        <v/>
      </c>
      <c r="ACV10" s="102" t="str">
        <f>IF(AND(WSTIK!$L$70&gt;=83.25,WSTIK!$L$70&lt;=91.4),"P","")</f>
        <v/>
      </c>
      <c r="ACW10" s="102" t="str">
        <f>IF(AND(WSTIK!$L$70&gt;=91.5,WSTIK!$L$70&lt;=100),"P","")</f>
        <v/>
      </c>
      <c r="ACX10" t="str">
        <f>IF(WSTIK!$L$78&lt;74.9,"P","")</f>
        <v/>
      </c>
      <c r="ACY10" s="102" t="str">
        <f>IF(AND(WSTIK!$L$78&gt;=75,WSTIK!$L$78&lt;=83.24),"P","")</f>
        <v/>
      </c>
      <c r="ACZ10" s="102" t="str">
        <f>IF(AND(WSTIK!$L$78&gt;=83.25,WSTIK!$L$78&lt;=91.4),"P","")</f>
        <v/>
      </c>
      <c r="ADA10" s="102" t="str">
        <f>IF(AND(WSTIK!$L$78&gt;=91.5,WSTIK!$L$78&lt;=100),"P","")</f>
        <v/>
      </c>
      <c r="ADB10" t="str">
        <f>IF(WSTIK!$L$86&lt;74.9,"P","")</f>
        <v/>
      </c>
      <c r="ADC10" s="102" t="str">
        <f>IF(AND(WSTIK!$L$86&gt;=75,WSTIK!$L$86&lt;=83.24),"P","")</f>
        <v/>
      </c>
      <c r="ADD10" s="102" t="str">
        <f>IF(AND(WSTIK!$L$86&gt;=83.25,WSTIK!$L$86&lt;=91.4),"P","")</f>
        <v/>
      </c>
      <c r="ADE10" s="102" t="str">
        <f>IF(AND(WSTIK!$L$86&gt;=91.5,WSTIK!$L$86&lt;=100),"P","")</f>
        <v/>
      </c>
      <c r="ADF10" t="str">
        <f>IF(WSTIK!$L$94&lt;74.9,"P","")</f>
        <v/>
      </c>
      <c r="ADG10" s="102" t="str">
        <f>IF(AND(WSTIK!$L$94&gt;=75,WSTIK!$L$94&lt;=83.24),"P","")</f>
        <v/>
      </c>
      <c r="ADH10" s="102" t="str">
        <f>IF(AND(WSTIK!$L$94&gt;=83.25,WSTIK!$L$94&lt;=91.4),"P","")</f>
        <v/>
      </c>
      <c r="ADI10" s="102" t="str">
        <f>IF(AND(WSTIK!$L$94&gt;=91.5,WSTIK!$L$94&lt;=100),"P","")</f>
        <v/>
      </c>
      <c r="ADJ10" t="str">
        <f>IF(WSTIK!$L$102&lt;74.9,"P","")</f>
        <v/>
      </c>
      <c r="ADK10" s="102" t="str">
        <f>IF(AND(WSTIK!$L$102&gt;=75,WSTIK!$L$102&lt;=83.24),"P","")</f>
        <v/>
      </c>
      <c r="ADL10" s="102" t="str">
        <f>IF(AND(WSTIK!$L$102&gt;=83.25,WSTIK!$L$102&lt;=91.4),"P","")</f>
        <v/>
      </c>
      <c r="ADM10" s="102" t="str">
        <f>IF(AND(WSTIK!$L$102&gt;=91.5,WSTIK!$L$102&lt;=100),"P","")</f>
        <v/>
      </c>
      <c r="ADN10" t="str">
        <f>IF(WSASWAJA!$L$6&lt;74.9,"P","")</f>
        <v/>
      </c>
      <c r="ADO10" s="102" t="str">
        <f>IF(AND(WSASWAJA!$L$6&gt;=75,WSASWAJA!$L$6&lt;=83.24),"P","")</f>
        <v/>
      </c>
      <c r="ADP10" s="102" t="str">
        <f>IF(AND(WSASWAJA!$L$6&gt;=83.25,WSASWAJA!$L$6&lt;=91.4),"P","")</f>
        <v/>
      </c>
      <c r="ADQ10" s="102" t="str">
        <f>IF(AND(WSASWAJA!$L$6&gt;=91.5,WSASWAJA!$L$6&lt;=100),"P","")</f>
        <v/>
      </c>
      <c r="ADR10" t="str">
        <f>IF(WSASWAJA!$L$14&lt;74.9,"P","")</f>
        <v/>
      </c>
      <c r="ADS10" s="102" t="str">
        <f>IF(AND(WSASWAJA!$L$14&gt;=75,WSASWAJA!$L$14&lt;=83.24),"P","")</f>
        <v/>
      </c>
      <c r="ADT10" s="102" t="str">
        <f>IF(AND(WSASWAJA!$L$14&gt;=83.25,WSASWAJA!$L$14&lt;=91.4),"P","")</f>
        <v/>
      </c>
      <c r="ADU10" s="102" t="str">
        <f>IF(AND(WSASWAJA!$L$14&gt;=91.5,WSASWAJA!$L$14&lt;=100),"P","")</f>
        <v/>
      </c>
      <c r="ADV10" t="str">
        <f>IF(WSASWAJA!$L$22&lt;74.9,"P","")</f>
        <v/>
      </c>
      <c r="ADW10" s="102" t="str">
        <f>IF(AND(WSASWAJA!$L$22&gt;=75,WSASWAJA!$L$22&lt;=83.24),"P","")</f>
        <v/>
      </c>
      <c r="ADX10" s="102" t="str">
        <f>IF(AND(WSASWAJA!$L$22&gt;=83.25,WSASWAJA!$L$22&lt;=91.4),"P","")</f>
        <v/>
      </c>
      <c r="ADY10" s="102" t="str">
        <f>IF(AND(WSASWAJA!$L$22&gt;=91.5,WSASWAJA!$L$22&lt;=100),"P","")</f>
        <v/>
      </c>
      <c r="ADZ10" t="str">
        <f>IF(WSASWAJA!$L$30&lt;74.9,"P","")</f>
        <v/>
      </c>
      <c r="AEA10" s="102" t="str">
        <f>IF(AND(WSASWAJA!$L$30&gt;=75,WSASWAJA!$L$30&lt;=83.24),"P","")</f>
        <v/>
      </c>
      <c r="AEB10" s="102" t="str">
        <f>IF(AND(WSASWAJA!$L$30&gt;=83.25,WSASWAJA!$L$30&lt;=91.4),"P","")</f>
        <v/>
      </c>
      <c r="AEC10" s="102" t="str">
        <f>IF(AND(WSASWAJA!$L$30&gt;=91.5,WSASWAJA!$L$30&lt;=100),"P","")</f>
        <v/>
      </c>
      <c r="AED10" t="str">
        <f>IF(WSASWAJA!$L$38&lt;74.9,"P","")</f>
        <v/>
      </c>
      <c r="AEE10" s="102" t="str">
        <f>IF(AND(WSASWAJA!$L$38&gt;=75,WSASWAJA!$L$38&lt;=83.24),"P","")</f>
        <v/>
      </c>
      <c r="AEF10" s="102" t="str">
        <f>IF(AND(WSASWAJA!$L$38&gt;=83.25,WSASWAJA!$L$38&lt;=91.4),"P","")</f>
        <v/>
      </c>
      <c r="AEG10" s="102" t="str">
        <f>IF(AND(WSASWAJA!$L$38&gt;=91.5,WSASWAJA!$L$38&lt;=100),"P","")</f>
        <v/>
      </c>
      <c r="AEH10" t="str">
        <f>IF(WSASWAJA!$L$46&lt;74.9,"P","")</f>
        <v/>
      </c>
      <c r="AEI10" s="102" t="str">
        <f>IF(AND(WSASWAJA!$L$46&gt;=75,WSASWAJA!$L$46&lt;=83.24),"P","")</f>
        <v/>
      </c>
      <c r="AEJ10" s="102" t="str">
        <f>IF(AND(WSASWAJA!$L$46&gt;=83.25,WSASWAJA!$L$46&lt;=91.4),"P","")</f>
        <v/>
      </c>
      <c r="AEK10" s="102" t="str">
        <f>IF(AND(WSASWAJA!$L$46&gt;=91.5,WSASWAJA!$L$46&lt;=100),"P","")</f>
        <v/>
      </c>
      <c r="AEL10" t="str">
        <f>IF(WSASWAJA!$L$54&lt;74.9,"P","")</f>
        <v/>
      </c>
      <c r="AEM10" s="102" t="str">
        <f>IF(AND(WSASWAJA!$L$54&gt;=75,WSASWAJA!$L$54&lt;=83.24),"P","")</f>
        <v/>
      </c>
      <c r="AEN10" s="102" t="str">
        <f>IF(AND(WSASWAJA!$L$54&gt;=83.25,WSASWAJA!$L$54&lt;=91.4),"P","")</f>
        <v/>
      </c>
      <c r="AEO10" s="102" t="str">
        <f>IF(AND(WSASWAJA!$L$54&gt;=91.5,WSASWAJA!$L$54&lt;=100),"P","")</f>
        <v/>
      </c>
      <c r="AEP10" t="str">
        <f>IF(WSASWAJA!$L$62&lt;74.9,"P","")</f>
        <v/>
      </c>
      <c r="AEQ10" s="102" t="str">
        <f>IF(AND(WSASWAJA!$L$62&gt;=75,WSASWAJA!$L$62&lt;=83.24),"P","")</f>
        <v/>
      </c>
      <c r="AER10" s="102" t="str">
        <f>IF(AND(WSASWAJA!$L$62&gt;=83.25,WSASWAJA!$L$62&lt;=91.4),"P","")</f>
        <v/>
      </c>
      <c r="AES10" s="102" t="str">
        <f>IF(AND(WSASWAJA!$L$62&gt;=91.5,WSASWAJA!$L$62&lt;=100),"P","")</f>
        <v/>
      </c>
      <c r="AET10" t="str">
        <f>IF(WSASWAJA!$L$70&lt;74.9,"P","")</f>
        <v/>
      </c>
      <c r="AEU10" s="102" t="str">
        <f>IF(AND(WSASWAJA!$L$70&gt;=75,WSASWAJA!$L$70&lt;=83.24),"P","")</f>
        <v/>
      </c>
      <c r="AEV10" s="102" t="str">
        <f>IF(AND(WSASWAJA!$L$70&gt;=83.25,WSASWAJA!$L$70&lt;=91.4),"P","")</f>
        <v/>
      </c>
      <c r="AEW10" s="102" t="str">
        <f>IF(AND(WSASWAJA!$L$70&gt;=91.5,WSASWAJA!$L$70&lt;=100),"P","")</f>
        <v/>
      </c>
      <c r="AEX10" t="str">
        <f>IF(WSASWAJA!$L$78&lt;74.9,"P","")</f>
        <v/>
      </c>
      <c r="AEY10" s="102" t="str">
        <f>IF(AND(WSASWAJA!$L$78&gt;=75,WSASWAJA!$L$78&lt;=83.24),"P","")</f>
        <v/>
      </c>
      <c r="AEZ10" s="102" t="str">
        <f>IF(AND(WSASWAJA!$L$78&gt;=83.25,WSASWAJA!$L$78&lt;=91.4),"P","")</f>
        <v/>
      </c>
      <c r="AFA10" s="102" t="str">
        <f>IF(AND(WSASWAJA!$L$78&gt;=91.5,WSASWAJA!$L$78&lt;=100),"P","")</f>
        <v/>
      </c>
      <c r="AFB10" t="str">
        <f>IF(WSASWAJA!$L$86&lt;74.9,"P","")</f>
        <v/>
      </c>
      <c r="AFC10" s="102" t="str">
        <f>IF(AND(WSASWAJA!$L$86&gt;=75,WSASWAJA!$L$86&lt;=83.24),"P","")</f>
        <v/>
      </c>
      <c r="AFD10" s="102" t="str">
        <f>IF(AND(WSASWAJA!$L$86&gt;=83.25,WSASWAJA!$L$86&lt;=91.4),"P","")</f>
        <v/>
      </c>
      <c r="AFE10" s="102" t="str">
        <f>IF(AND(WSASWAJA!$L$86&gt;=91.5,WSASWAJA!$L$86&lt;=100),"P","")</f>
        <v/>
      </c>
      <c r="AFF10" t="str">
        <f>IF(WSASWAJA!$L$94&lt;74.9,"P","")</f>
        <v/>
      </c>
      <c r="AFG10" s="102" t="str">
        <f>IF(AND(WSASWAJA!$L$94&gt;=75,WSASWAJA!$L$94&lt;=83.24),"P","")</f>
        <v/>
      </c>
      <c r="AFH10" s="102" t="str">
        <f>IF(AND(WSASWAJA!$L$94&gt;=83.25,WSASWAJA!$L$94&lt;=91.4),"P","")</f>
        <v/>
      </c>
      <c r="AFI10" s="102" t="str">
        <f>IF(AND(WSASWAJA!$L$94&gt;=91.5,WSASWAJA!$L$94&lt;=100),"P","")</f>
        <v/>
      </c>
      <c r="AFJ10" t="str">
        <f>IF(WSASWAJA!$L$102&lt;74.9,"P","")</f>
        <v/>
      </c>
      <c r="AFK10" s="102" t="str">
        <f>IF(AND(WSASWAJA!$L$102&gt;=75,WSASWAJA!$L$102&lt;=83.24),"P","")</f>
        <v/>
      </c>
      <c r="AFL10" s="102" t="str">
        <f>IF(AND(WSASWAJA!$L$102&gt;=83.25,WSASWAJA!$L$102&lt;=91.4),"P","")</f>
        <v/>
      </c>
      <c r="AFM10" s="102" t="str">
        <f>IF(AND(WSASWAJA!$L$102&gt;=91.5,WSASWAJA!$L$102&lt;=100),"P","")</f>
        <v/>
      </c>
    </row>
    <row r="11" spans="1:852" ht="20.100000000000001" customHeight="1">
      <c r="A11">
        <v>9</v>
      </c>
      <c r="B11" t="str">
        <f>IF(WSALQURAN!$M$6&lt;74.9,"P","")</f>
        <v/>
      </c>
      <c r="C11" s="102" t="str">
        <f>IF(AND(WSALQURAN!$M$6&gt;=75,WSALQURAN!$M$6&lt;=83.24),"P","")</f>
        <v/>
      </c>
      <c r="D11" s="102" t="str">
        <f>IF(AND(WSALQURAN!$M$6&gt;=83.25,WSALQURAN!$M$6&lt;=91.4),"P","")</f>
        <v/>
      </c>
      <c r="E11" s="102" t="str">
        <f>IF(AND(WSALQURAN!$M$6&gt;=91.5,WSALQURAN!$M$6&lt;=100),"P","")</f>
        <v>P</v>
      </c>
      <c r="F11" t="str">
        <f>IF(WSALQURAN!$M$14&lt;74.9,"P","")</f>
        <v/>
      </c>
      <c r="G11" s="102" t="str">
        <f>IF(AND(WSALQURAN!$M$14&gt;=75,WSALQURAN!$M$14&lt;=83.24),"P","")</f>
        <v/>
      </c>
      <c r="H11" s="102" t="str">
        <f>IF(AND(WSALQURAN!$M$14&gt;=83.25,WSALQURAN!$M$14&lt;=91.4),"P","")</f>
        <v>P</v>
      </c>
      <c r="I11" s="102" t="str">
        <f>IF(AND(WSALQURAN!$M$14&gt;=91.5,WSALQURAN!$M$14&lt;=100),"P","")</f>
        <v/>
      </c>
      <c r="J11" t="str">
        <f>IF(WSALQURAN!$M$22&lt;74.9,"P","")</f>
        <v/>
      </c>
      <c r="K11" s="102" t="str">
        <f>IF(AND(WSALQURAN!$M$22&gt;=75,WSALQURAN!$M$22&lt;=83.24),"P","")</f>
        <v>P</v>
      </c>
      <c r="L11" s="102" t="str">
        <f>IF(AND(WSALQURAN!$M$22&gt;=83.25,WSALQURAN!$M$22&lt;=91.4),"P","")</f>
        <v/>
      </c>
      <c r="M11" s="102" t="str">
        <f>IF(AND(WSALQURAN!$M$22&gt;=91.5,WSALQURAN!$M$22&lt;=100),"P","")</f>
        <v/>
      </c>
      <c r="N11" t="str">
        <f>IF(WSALQURAN!$M$30&lt;74.9,"P","")</f>
        <v/>
      </c>
      <c r="O11" s="102" t="str">
        <f>IF(AND(WSALQURAN!$M$30&gt;=75,WSALQURAN!$M$30&lt;=83.24),"P","")</f>
        <v/>
      </c>
      <c r="P11" s="102" t="str">
        <f>IF(AND(WSALQURAN!$M$30&gt;=83.25,WSALQURAN!$M$30&lt;=91.4),"P","")</f>
        <v/>
      </c>
      <c r="Q11" s="102" t="str">
        <f>IF(AND(WSALQURAN!$M$30&gt;=91.5,WSALQURAN!$M$30&lt;=100),"P","")</f>
        <v>P</v>
      </c>
      <c r="R11" t="str">
        <f>IF(WSALQURAN!$M$38&lt;74.9,"P","")</f>
        <v/>
      </c>
      <c r="S11" s="102" t="str">
        <f>IF(AND(WSALQURAN!$M$38&gt;=75,WSALQURAN!$M$38&lt;=83.24),"P","")</f>
        <v/>
      </c>
      <c r="T11" s="102" t="str">
        <f>IF(AND(WSALQURAN!$M$38&gt;=83.25,WSALQURAN!$M$38&lt;=91.4),"P","")</f>
        <v/>
      </c>
      <c r="U11" s="102" t="str">
        <f>IF(AND(WSALQURAN!$M$38&gt;=91.5,WSALQURAN!$M$38&lt;=100),"P","")</f>
        <v>P</v>
      </c>
      <c r="V11" t="str">
        <f>IF(WSALQURAN!$M$46&lt;74.9,"P","")</f>
        <v/>
      </c>
      <c r="W11" s="102" t="str">
        <f>IF(AND(WSALQURAN!$M$46&gt;=75,WSALQURAN!$M$46&lt;=83.24),"P","")</f>
        <v/>
      </c>
      <c r="X11" s="102" t="str">
        <f>IF(AND(WSALQURAN!$M$46&gt;=83.25,WSALQURAN!$M$46&lt;=91.4),"P","")</f>
        <v>P</v>
      </c>
      <c r="Y11" s="102" t="str">
        <f>IF(AND(WSALQURAN!$M$46&gt;=91.5,WSALQURAN!$M$46&lt;=100),"P","")</f>
        <v/>
      </c>
      <c r="Z11" t="str">
        <f>IF(WSALQURAN!$M$54&lt;74.9,"P","")</f>
        <v/>
      </c>
      <c r="AA11" s="102" t="str">
        <f>IF(AND(WSALQURAN!$M$54&gt;=75,WSALQURAN!$M$54&lt;=83.24),"P","")</f>
        <v/>
      </c>
      <c r="AB11" s="102" t="str">
        <f>IF(AND(WSALQURAN!$M$54&gt;=83.25,WSALQURAN!$M$54&lt;=91.4),"P","")</f>
        <v/>
      </c>
      <c r="AC11" s="102" t="str">
        <f>IF(AND(WSALQURAN!$M$54&gt;=91.5,WSALQURAN!$M$54&lt;=100),"P","")</f>
        <v>P</v>
      </c>
      <c r="AD11" t="str">
        <f>IF(WSALQURAN!$M$62&lt;74.9,"P","")</f>
        <v/>
      </c>
      <c r="AE11" s="102" t="str">
        <f>IF(AND(WSALQURAN!$M$62&gt;=75,WSALQURAN!$M$62&lt;=83.24),"P","")</f>
        <v/>
      </c>
      <c r="AF11" s="102" t="str">
        <f>IF(AND(WSALQURAN!$M$62&gt;=83.25,WSALQURAN!$M$62&lt;=91.4),"P","")</f>
        <v/>
      </c>
      <c r="AG11" s="102" t="str">
        <f>IF(AND(WSALQURAN!$M$62&gt;=91.5,WSALQURAN!$M$62&lt;=100),"P","")</f>
        <v/>
      </c>
      <c r="AH11" t="str">
        <f>IF(WSALQURAN!$M$70&lt;74.9,"P","")</f>
        <v/>
      </c>
      <c r="AI11" s="102" t="str">
        <f>IF(AND(WSALQURAN!$M$70&gt;=75,WSALQURAN!$M$70&lt;=83.24),"P","")</f>
        <v/>
      </c>
      <c r="AJ11" s="102" t="str">
        <f>IF(AND(WSALQURAN!$M$70&gt;=83.25,WSALQURAN!$M$70&lt;=91.4),"P","")</f>
        <v/>
      </c>
      <c r="AK11" s="102" t="str">
        <f>IF(AND(WSALQURAN!$M$70&gt;=91.5,WSALQURAN!$M$70&lt;=100),"P","")</f>
        <v/>
      </c>
      <c r="AL11" t="str">
        <f>IF(WSALQURAN!$M$78&lt;74.9,"P","")</f>
        <v/>
      </c>
      <c r="AM11" s="102" t="str">
        <f>IF(AND(WSALQURAN!$M$78&gt;=75,WSALQURAN!$M$78&lt;=83.24),"P","")</f>
        <v/>
      </c>
      <c r="AN11" s="102" t="str">
        <f>IF(AND(WSALQURAN!$M$78&gt;=83.25,WSALQURAN!$M$78&lt;=91.4),"P","")</f>
        <v/>
      </c>
      <c r="AO11" s="102" t="str">
        <f>IF(AND(WSALQURAN!$M$78&gt;=91.5,WSALQURAN!$M$78&lt;=100),"P","")</f>
        <v/>
      </c>
      <c r="AP11" t="str">
        <f>IF(WSALQURAN!$M$86&lt;74.9,"P","")</f>
        <v/>
      </c>
      <c r="AQ11" s="102" t="str">
        <f>IF(AND(WSALQURAN!$M$86&gt;=75,WSALQURAN!$M$86&lt;=83.24),"P","")</f>
        <v/>
      </c>
      <c r="AR11" s="102" t="str">
        <f>IF(AND(WSALQURAN!$M$86&gt;=83.25,WSALQURAN!$M$86&lt;=91.4),"P","")</f>
        <v/>
      </c>
      <c r="AS11" s="102" t="str">
        <f>IF(AND(WSALQURAN!$M$86&gt;=91.5,WSALQURAN!$M$86&lt;=100),"P","")</f>
        <v/>
      </c>
      <c r="AT11" t="str">
        <f>IF(WSALQURAN!$M$94&lt;74.9,"P","")</f>
        <v/>
      </c>
      <c r="AU11" s="102" t="str">
        <f>IF(AND(WSALQURAN!$M$94&gt;=75,WSALQURAN!$M$94&lt;=83.24),"P","")</f>
        <v/>
      </c>
      <c r="AV11" s="102" t="str">
        <f>IF(AND(WSALQURAN!$M$94&gt;=83.25,WSALQURAN!$M$94&lt;=91.4),"P","")</f>
        <v/>
      </c>
      <c r="AW11" s="102" t="str">
        <f>IF(AND(WSALQURAN!$M$94&gt;=91.5,WSALQURAN!$M$94&lt;=100),"P","")</f>
        <v/>
      </c>
      <c r="AX11" t="str">
        <f>IF(WSALQURAN!$M$102&lt;74.9,"P","")</f>
        <v/>
      </c>
      <c r="AY11" s="102" t="str">
        <f>IF(AND(WSALQURAN!$M$102&gt;=75,WSALQURAN!$M$102&lt;=83.24),"P","")</f>
        <v/>
      </c>
      <c r="AZ11" s="102" t="str">
        <f>IF(AND(WSALQURAN!$M$102&gt;=83.25,WSALQURAN!$M$102&lt;=91.4),"P","")</f>
        <v/>
      </c>
      <c r="BA11" s="102" t="str">
        <f>IF(AND(WSALQURAN!$M$102&gt;=91.5,WSALQURAN!$M$102&lt;=100),"P","")</f>
        <v/>
      </c>
      <c r="BB11" t="str">
        <f>IF(WSAQIDAH!$M$6&lt;74.9,"P","")</f>
        <v/>
      </c>
      <c r="BC11" s="102" t="str">
        <f>IF(AND(WSAQIDAH!$M$6&gt;=75,WSAQIDAH!$M$6&lt;=83.24),"P","")</f>
        <v/>
      </c>
      <c r="BD11" s="102" t="str">
        <f>IF(AND(WSAQIDAH!$M$6&gt;=83.25,WSAQIDAH!$M$6&lt;=91.4),"P","")</f>
        <v>P</v>
      </c>
      <c r="BE11" s="102" t="str">
        <f>IF(AND(WSAQIDAH!$M$6&gt;=91.5,WSAQIDAH!$M$6&lt;=100),"P","")</f>
        <v/>
      </c>
      <c r="BF11" t="str">
        <f>IF(WSAQIDAH!$M$14&lt;74.9,"P","")</f>
        <v/>
      </c>
      <c r="BG11" s="102" t="str">
        <f>IF(AND(WSAQIDAH!$M$14&gt;=75,WSAQIDAH!$M$14&lt;=83.24),"P","")</f>
        <v/>
      </c>
      <c r="BH11" s="102" t="str">
        <f>IF(AND(WSAQIDAH!$M$14&gt;=83.25,WSAQIDAH!$M$14&lt;=91.4),"P","")</f>
        <v/>
      </c>
      <c r="BI11" s="102" t="str">
        <f>IF(AND(WSAQIDAH!$M$14&gt;=91.5,WSAQIDAH!$M$14&lt;=100),"P","")</f>
        <v>P</v>
      </c>
      <c r="BJ11" t="str">
        <f>IF(WSAQIDAH!$M$22&lt;74.9,"P","")</f>
        <v/>
      </c>
      <c r="BK11" s="102" t="str">
        <f>IF(AND(WSAQIDAH!$M$22&gt;=75,WSAQIDAH!$M$22&lt;=83.24),"P","")</f>
        <v/>
      </c>
      <c r="BL11" s="102" t="str">
        <f>IF(AND(WSAQIDAH!$M$22&gt;=83.25,WSAQIDAH!$M$22&lt;=91.4),"P","")</f>
        <v/>
      </c>
      <c r="BM11" s="102" t="str">
        <f>IF(AND(WSAQIDAH!$M$22&gt;=91.5,WSAQIDAH!$M$22&lt;=100),"P","")</f>
        <v>P</v>
      </c>
      <c r="BN11" t="str">
        <f>IF(WSAQIDAH!$M$30&lt;74.9,"P","")</f>
        <v/>
      </c>
      <c r="BO11" s="102" t="str">
        <f>IF(AND(WSAQIDAH!$M$30&gt;=75,WSAQIDAH!$M$30&lt;=83.24),"P","")</f>
        <v/>
      </c>
      <c r="BP11" s="102" t="str">
        <f>IF(AND(WSAQIDAH!$M$30&gt;=83.25,WSAQIDAH!$M$30&lt;=91.4),"P","")</f>
        <v/>
      </c>
      <c r="BQ11" s="102" t="str">
        <f>IF(AND(WSAQIDAH!$M$30&gt;=91.5,WSAQIDAH!$M$30&lt;=100),"P","")</f>
        <v>P</v>
      </c>
      <c r="BR11" t="str">
        <f>IF(WSAQIDAH!$M$38&lt;74.9,"P","")</f>
        <v/>
      </c>
      <c r="BS11" s="102" t="str">
        <f>IF(AND(WSAQIDAH!$M$38&gt;=75,WSAQIDAH!$M$38&lt;=83.24),"P","")</f>
        <v/>
      </c>
      <c r="BT11" s="102" t="str">
        <f>IF(AND(WSAQIDAH!$M$38&gt;=83.25,WSAQIDAH!$M$38&lt;=91.4),"P","")</f>
        <v>P</v>
      </c>
      <c r="BU11" s="102" t="str">
        <f>IF(AND(WSAQIDAH!$M$38&gt;=91.5,WSAQIDAH!$M$38&lt;=100),"P","")</f>
        <v/>
      </c>
      <c r="BV11" t="str">
        <f>IF(WSAQIDAH!$M$46&lt;74.9,"P","")</f>
        <v/>
      </c>
      <c r="BW11" s="102" t="str">
        <f>IF(AND(WSAQIDAH!$M$46&gt;=75,WSAQIDAH!$M$46&lt;=83.24),"P","")</f>
        <v/>
      </c>
      <c r="BX11" s="102" t="str">
        <f>IF(AND(WSAQIDAH!$M$46&gt;=83.25,WSAQIDAH!$M$46&lt;=91.4),"P","")</f>
        <v/>
      </c>
      <c r="BY11" s="102" t="str">
        <f>IF(AND(WSAQIDAH!$M$46&gt;=91.5,WSAQIDAH!$M$46&lt;=100),"P","")</f>
        <v>P</v>
      </c>
      <c r="BZ11" t="str">
        <f>IF(WSAQIDAH!$M$54&lt;74.9,"P","")</f>
        <v/>
      </c>
      <c r="CA11" s="102" t="str">
        <f>IF(AND(WSAQIDAH!$M$54&gt;=75,WSAQIDAH!$M$54&lt;=83.24),"P","")</f>
        <v/>
      </c>
      <c r="CB11" s="102" t="str">
        <f>IF(AND(WSAQIDAH!$M$54&gt;=83.25,WSAQIDAH!$M$54&lt;=91.4),"P","")</f>
        <v/>
      </c>
      <c r="CC11" s="102" t="str">
        <f>IF(AND(WSAQIDAH!$M$54&gt;=91.5,WSAQIDAH!$M$54&lt;=100),"P","")</f>
        <v>P</v>
      </c>
      <c r="CD11" t="str">
        <f>IF(WSAQIDAH!$M$62&lt;74.9,"P","")</f>
        <v/>
      </c>
      <c r="CE11" s="102" t="str">
        <f>IF(AND(WSAQIDAH!$M$62&gt;=75,WSAQIDAH!$M$62&lt;=83.24),"P","")</f>
        <v>P</v>
      </c>
      <c r="CF11" s="102" t="str">
        <f>IF(AND(WSAQIDAH!$M$62&gt;=83.25,WSAQIDAH!$M$62&lt;=91.4),"P","")</f>
        <v/>
      </c>
      <c r="CG11" s="102" t="str">
        <f>IF(AND(WSAQIDAH!$M$62&gt;=91.5,WSAQIDAH!$M$62&lt;=100),"P","")</f>
        <v/>
      </c>
      <c r="CH11" t="str">
        <f>IF(WSAQIDAH!$M$70&lt;74.9,"P","")</f>
        <v/>
      </c>
      <c r="CI11" s="102" t="str">
        <f>IF(AND(WSAQIDAH!$M$70&gt;=75,WSAQIDAH!$M$70&lt;=83.24),"P","")</f>
        <v>P</v>
      </c>
      <c r="CJ11" s="102" t="str">
        <f>IF(AND(WSAQIDAH!$M$70&gt;=83.25,WSAQIDAH!$M$70&lt;=91.4),"P","")</f>
        <v/>
      </c>
      <c r="CK11" s="102" t="str">
        <f>IF(AND(WSAQIDAH!$M$70&gt;=91.5,WSAQIDAH!$M$70&lt;=100),"P","")</f>
        <v/>
      </c>
      <c r="CL11" t="str">
        <f>IF(WSAQIDAH!$M$78&lt;74.9,"P","")</f>
        <v/>
      </c>
      <c r="CM11" s="102" t="str">
        <f>IF(AND(WSAQIDAH!$M$78&gt;=75,WSAQIDAH!$M$78&lt;=83.24),"P","")</f>
        <v>P</v>
      </c>
      <c r="CN11" s="102" t="str">
        <f>IF(AND(WSAQIDAH!$M$78&gt;=83.25,WSAQIDAH!$M$78&lt;=91.4),"P","")</f>
        <v/>
      </c>
      <c r="CO11" s="102" t="str">
        <f>IF(AND(WSAQIDAH!$M$78&gt;=91.5,WSAQIDAH!$M$78&lt;=100),"P","")</f>
        <v/>
      </c>
      <c r="CP11" t="str">
        <f>IF(WSAQIDAH!$M$86&lt;74.9,"P","")</f>
        <v/>
      </c>
      <c r="CQ11" s="102" t="str">
        <f>IF(AND(WSAQIDAH!$M$86&gt;=75,WSAQIDAH!$M$86&lt;=83.24),"P","")</f>
        <v/>
      </c>
      <c r="CR11" s="102" t="str">
        <f>IF(AND(WSAQIDAH!$M$86&gt;=83.25,WSAQIDAH!$M$86&lt;=91.4),"P","")</f>
        <v/>
      </c>
      <c r="CS11" s="102" t="str">
        <f>IF(AND(WSAQIDAH!$M$86&gt;=91.5,WSAQIDAH!$M$86&lt;=100),"P","")</f>
        <v/>
      </c>
      <c r="CT11" t="str">
        <f>IF(WSAQIDAH!$M$94&lt;74.9,"P","")</f>
        <v/>
      </c>
      <c r="CU11" s="102" t="str">
        <f>IF(AND(WSAQIDAH!$M$94&gt;=75,WSAQIDAH!$M$94&lt;=83.24),"P","")</f>
        <v/>
      </c>
      <c r="CV11" s="102" t="str">
        <f>IF(AND(WSAQIDAH!$M$94&gt;=83.25,WSAQIDAH!$M$94&lt;=91.4),"P","")</f>
        <v/>
      </c>
      <c r="CW11" s="102" t="str">
        <f>IF(AND(WSAQIDAH!$M$94&gt;=91.5,WSAQIDAH!$M$94&lt;=100),"P","")</f>
        <v/>
      </c>
      <c r="CX11" t="str">
        <f>IF(WSAQIDAH!$M$102&lt;74.9,"P","")</f>
        <v/>
      </c>
      <c r="CY11" s="102" t="str">
        <f>IF(AND(WSAQIDAH!$M$102&gt;=75,WSAQIDAH!$M$102&lt;=83.24),"P","")</f>
        <v/>
      </c>
      <c r="CZ11" s="102" t="str">
        <f>IF(AND(WSAQIDAH!$M$102&gt;=83.25,WSAQIDAH!$M$102&lt;=91.4),"P","")</f>
        <v/>
      </c>
      <c r="DA11" s="102" t="str">
        <f>IF(AND(WSAQIDAH!$M$102&gt;=91.5,WSAQIDAH!$M$102&lt;=100),"P","")</f>
        <v/>
      </c>
      <c r="DB11" t="str">
        <f>IF(WSSKI!$M$6&lt;74.9,"P","")</f>
        <v/>
      </c>
      <c r="DC11" s="102" t="str">
        <f>IF(AND(WSSKI!$M$6&gt;=75,WSSKI!$M$6&lt;=83.24),"P","")</f>
        <v>P</v>
      </c>
      <c r="DD11" s="102" t="str">
        <f>IF(AND(WSSKI!$M$6&gt;=83.25,WSSKI!$M$6&lt;=91.4),"P","")</f>
        <v/>
      </c>
      <c r="DE11" s="102" t="str">
        <f>IF(AND(WSSKI!$M$6&gt;=91.5,WSSKI!$M$6&lt;=100),"P","")</f>
        <v/>
      </c>
      <c r="DF11" t="str">
        <f>IF(WSSKI!$M$14&lt;74.9,"P","")</f>
        <v/>
      </c>
      <c r="DG11" s="102" t="str">
        <f>IF(AND(WSSKI!$M$14&gt;=75,WSSKI!$M$14&lt;=83.24),"P","")</f>
        <v/>
      </c>
      <c r="DH11" s="102" t="str">
        <f>IF(AND(WSSKI!$M$14&gt;=83.25,WSSKI!$M$14&lt;=91.4),"P","")</f>
        <v/>
      </c>
      <c r="DI11" s="102" t="str">
        <f>IF(AND(WSSKI!$M$14&gt;=91.5,WSSKI!$M$14&lt;=100),"P","")</f>
        <v>P</v>
      </c>
      <c r="DJ11" t="str">
        <f>IF(WSSKI!$M$23&lt;74.9,"P","")</f>
        <v/>
      </c>
      <c r="DK11" s="102" t="str">
        <f>IF(AND(WSSKI!$M$23&gt;=75,WSSKI!$M$23&lt;=83.24),"P","")</f>
        <v/>
      </c>
      <c r="DL11" s="102" t="str">
        <f>IF(AND(WSSKI!$M$23&gt;=83.25,WSSKI!$M$23&lt;=91.4),"P","")</f>
        <v>P</v>
      </c>
      <c r="DM11" s="102" t="str">
        <f>IF(AND(WSSKI!$M$23&gt;=91.5,WSSKI!$M$23&lt;=100),"P","")</f>
        <v/>
      </c>
      <c r="DN11" t="str">
        <f>IF(WSSKI!$M$31&lt;74.9,"P","")</f>
        <v/>
      </c>
      <c r="DO11" s="102" t="str">
        <f>IF(AND(WSSKI!$M$31&gt;=75,WSSKI!$M$31&lt;=83.24),"P","")</f>
        <v/>
      </c>
      <c r="DP11" s="102" t="str">
        <f>IF(AND(WSSKI!$M$31&gt;=83.25,WSSKI!$M$31&lt;=91.4),"P","")</f>
        <v>P</v>
      </c>
      <c r="DQ11" s="102" t="str">
        <f>IF(AND(WSSKI!$M$31&gt;=91.5,WSSKI!$M$31&lt;=100),"P","")</f>
        <v/>
      </c>
      <c r="DR11" t="str">
        <f>IF(WSSKI!$M$40&lt;74.9,"P","")</f>
        <v/>
      </c>
      <c r="DS11" s="102" t="str">
        <f>IF(AND(WSSKI!$M$40&gt;=75,WSSKI!$M$40&lt;=83.24),"P","")</f>
        <v/>
      </c>
      <c r="DT11" s="102" t="str">
        <f>IF(AND(WSSKI!$M$40&gt;=83.25,WSSKI!$M$40&lt;=91.4),"P","")</f>
        <v/>
      </c>
      <c r="DU11" s="102" t="str">
        <f>IF(AND(WSSKI!$M$40&gt;=91.5,WSSKI!$M$40&lt;=100),"P","")</f>
        <v>P</v>
      </c>
      <c r="DV11" t="str">
        <f>IF(WSSKI!$M$48&lt;74.9,"P","")</f>
        <v/>
      </c>
      <c r="DW11" s="102" t="str">
        <f>IF(AND(WSSKI!$M$48&gt;=75,WSSKI!$M$48&lt;=83.24),"P","")</f>
        <v>P</v>
      </c>
      <c r="DX11" s="102" t="str">
        <f>IF(AND(WSSKI!$M$48&gt;=83.25,WSSKI!$M$48&lt;=91.4),"P","")</f>
        <v/>
      </c>
      <c r="DY11" s="102" t="str">
        <f>IF(AND(WSSKI!$M$48&gt;=91.5,WSSKI!$M$48&lt;=100),"P","")</f>
        <v/>
      </c>
      <c r="DZ11" t="str">
        <f>IF(WSSKI!$M$56&lt;74.9,"P","")</f>
        <v/>
      </c>
      <c r="EA11" s="102" t="str">
        <f>IF(AND(WSSKI!$M$56&gt;=75,WSSKI!$M$56&lt;=83.24),"P","")</f>
        <v/>
      </c>
      <c r="EB11" s="102" t="str">
        <f>IF(AND(WSSKI!$M$56&gt;=83.25,WSSKI!$M$56&lt;=91.4),"P","")</f>
        <v/>
      </c>
      <c r="EC11" s="102" t="str">
        <f>IF(AND(WSSKI!$M$56&gt;=91.5,WSSKI!$M$56&lt;=100),"P","")</f>
        <v/>
      </c>
      <c r="ED11" t="str">
        <f>IF(WSSKI!$M$64&lt;74.9,"P","")</f>
        <v/>
      </c>
      <c r="EE11" s="102" t="str">
        <f>IF(AND(WSSKI!$M$64&gt;=75,WSSKI!$M$64&lt;=83.24),"P","")</f>
        <v/>
      </c>
      <c r="EF11" s="102" t="str">
        <f>IF(AND(WSSKI!$M$64&gt;=83.25,WSSKI!$M$64&lt;=91.4),"P","")</f>
        <v/>
      </c>
      <c r="EG11" s="102" t="str">
        <f>IF(AND(WSSKI!$M$64&gt;=91.5,WSSKI!$M$64&lt;=100),"P","")</f>
        <v/>
      </c>
      <c r="EH11" t="str">
        <f>IF(WSSKI!$M$72&lt;74.9,"P","")</f>
        <v/>
      </c>
      <c r="EI11" s="102" t="str">
        <f>IF(AND(WSSKI!$M$72&gt;=75,WSSKI!$M$72&lt;=83.24),"P","")</f>
        <v/>
      </c>
      <c r="EJ11" s="102" t="str">
        <f>IF(AND(WSSKI!$M$72&gt;=83.25,WSSKI!$M$72&lt;=91.4),"P","")</f>
        <v/>
      </c>
      <c r="EK11" s="102" t="str">
        <f>IF(AND(WSSKI!$M$72&gt;=91.5,WSSKI!$M$72&lt;=100),"P","")</f>
        <v/>
      </c>
      <c r="EL11" t="str">
        <f>IF(WSSKI!$M$80&lt;74.9,"P","")</f>
        <v/>
      </c>
      <c r="EM11" s="102" t="str">
        <f>IF(AND(WSSKI!$M$80&gt;=75,WSSKI!$M$80&lt;=83.24),"P","")</f>
        <v/>
      </c>
      <c r="EN11" s="102" t="str">
        <f>IF(AND(WSSKI!$M$80&gt;=83.25,WSSKI!$M$80&lt;=91.4),"P","")</f>
        <v/>
      </c>
      <c r="EO11" s="102" t="str">
        <f>IF(AND(WSSKI!$M$80&gt;=91.5,WSSKI!$M$80&lt;=100),"P","")</f>
        <v/>
      </c>
      <c r="EP11" t="str">
        <f>IF(WSSKI!$M$88&lt;74.9,"P","")</f>
        <v/>
      </c>
      <c r="EQ11" s="102" t="str">
        <f>IF(AND(WSSKI!$M$88&gt;=75,WSSKI!$M$88&lt;=83.24),"P","")</f>
        <v/>
      </c>
      <c r="ER11" s="102" t="str">
        <f>IF(AND(WSSKI!$M$88&gt;=83.25,WSSKI!$M$88&lt;=91.4),"P","")</f>
        <v/>
      </c>
      <c r="ES11" s="102" t="str">
        <f>IF(AND(WSSKI!$M$88&gt;=91.5,WSSKI!$M$88&lt;=100),"P","")</f>
        <v/>
      </c>
      <c r="ET11" t="str">
        <f>IF(WSSKI!$M$96&lt;74.9,"P","")</f>
        <v/>
      </c>
      <c r="EU11" s="102" t="str">
        <f>IF(AND(WSSKI!$M$96&gt;=75,WSSKI!$M$96&lt;=83.24),"P","")</f>
        <v/>
      </c>
      <c r="EV11" s="102" t="str">
        <f>IF(AND(WSSKI!$M$96&gt;=83.25,WSSKI!$M$96&lt;=91.4),"P","")</f>
        <v/>
      </c>
      <c r="EW11" s="102" t="str">
        <f>IF(AND(WSSKI!$M$96&gt;=91.5,WSSKI!$M$96&lt;=100),"P","")</f>
        <v/>
      </c>
      <c r="EX11" t="str">
        <f>IF(WSSKI!$M$104&lt;74.9,"P","")</f>
        <v/>
      </c>
      <c r="EY11" s="102" t="str">
        <f>IF(AND(WSSKI!$M$104&gt;=75,WSSKI!$M$104&lt;=83.24),"P","")</f>
        <v/>
      </c>
      <c r="EZ11" s="102" t="str">
        <f>IF(AND(WSSKI!$M$104&gt;=83.25,WSSKI!$M$104&lt;=91.4),"P","")</f>
        <v/>
      </c>
      <c r="FA11" s="102" t="str">
        <f>IF(AND(WSSKI!$M$104&gt;=91.5,WSSKI!$M$104&lt;=100),"P","")</f>
        <v/>
      </c>
      <c r="FB11" t="str">
        <f>IF(WSFIQIH!$M$6&lt;74.9,"P","")</f>
        <v/>
      </c>
      <c r="FC11" s="102" t="str">
        <f>IF(AND(WSFIQIH!$M$6&gt;=75,WSFIQIH!$M$6&lt;=83.24),"P","")</f>
        <v/>
      </c>
      <c r="FD11" s="102" t="str">
        <f>IF(AND(WSFIQIH!$M$6&gt;=83.25,WSFIQIH!$M$6&lt;=91.4),"P","")</f>
        <v>P</v>
      </c>
      <c r="FE11" s="102" t="str">
        <f>IF(AND(WSFIQIH!$M$6&gt;=91.5,WSFIQIH!$M$6&lt;=100),"P","")</f>
        <v/>
      </c>
      <c r="FF11" t="str">
        <f>IF(WSFIQIH!$M$19&lt;74.9,"P","")</f>
        <v/>
      </c>
      <c r="FG11" s="102" t="str">
        <f>IF(AND(WSFIQIH!$M$19&gt;=75,WSFIQIH!$M$19&lt;=83.24),"P","")</f>
        <v>P</v>
      </c>
      <c r="FH11" s="102" t="str">
        <f>IF(AND(WSFIQIH!$M$19&gt;=83.25,WSFIQIH!$M$19&lt;=91.4),"P","")</f>
        <v/>
      </c>
      <c r="FI11" s="102" t="str">
        <f>IF(AND(WSFIQIH!$M$19&gt;=91.5,WSFIQIH!$M$19&lt;=100),"P","")</f>
        <v/>
      </c>
      <c r="FJ11" t="str">
        <f>IF(WSFIQIH!$M$28&lt;74.9,"P","")</f>
        <v/>
      </c>
      <c r="FK11" s="102" t="str">
        <f>IF(AND(WSFIQIH!$M$28&gt;=75,WSFIQIH!$M$28&lt;=83.24),"P","")</f>
        <v/>
      </c>
      <c r="FL11" s="102" t="str">
        <f>IF(AND(WSFIQIH!$M$28&gt;=83.25,WSFIQIH!$M$28&lt;=91.4),"P","")</f>
        <v>P</v>
      </c>
      <c r="FM11" s="102" t="str">
        <f>IF(AND(WSFIQIH!$M$28&gt;=91.5,WSFIQIH!$M$28&lt;=100),"P","")</f>
        <v/>
      </c>
      <c r="FN11" t="str">
        <f>IF(WSFIQIH!$M$41&lt;74.9,"P","")</f>
        <v/>
      </c>
      <c r="FO11" s="102" t="str">
        <f>IF(AND(WSFIQIH!$M$41&gt;=75,WSFIQIH!$M$41&lt;=83.24),"P","")</f>
        <v/>
      </c>
      <c r="FP11" s="102" t="str">
        <f>IF(AND(WSFIQIH!$M$41&gt;=83.25,WSFIQIH!$M$41&lt;=91.4),"P","")</f>
        <v/>
      </c>
      <c r="FQ11" s="102" t="str">
        <f>IF(AND(WSFIQIH!$M$41&gt;=91.5,WSFIQIH!$M$41&lt;=100),"P","")</f>
        <v>P</v>
      </c>
      <c r="FR11" t="str">
        <f>IF(WSFIQIH!$M$49&lt;74.9,"P","")</f>
        <v/>
      </c>
      <c r="FS11" s="102" t="str">
        <f>IF(AND(WSFIQIH!$M$49&gt;=75,WSFIQIH!$M$49&lt;=83.24),"P","")</f>
        <v/>
      </c>
      <c r="FT11" s="102" t="str">
        <f>IF(AND(WSFIQIH!$M$49&gt;=83.25,WSFIQIH!$M$49&lt;=91.4),"P","")</f>
        <v>P</v>
      </c>
      <c r="FU11" s="102" t="str">
        <f>IF(AND(WSFIQIH!$M$49&gt;=91.5,WSFIQIH!$M$49&lt;=100),"P","")</f>
        <v/>
      </c>
      <c r="FV11" t="str">
        <f>IF(WSFIQIH!$M$62&lt;74.9,"P","")</f>
        <v/>
      </c>
      <c r="FW11" s="102" t="str">
        <f>IF(AND(WSFIQIH!$M$62&gt;=75,WSFIQIH!$M$62&lt;=83.24),"P","")</f>
        <v/>
      </c>
      <c r="FX11" s="102" t="str">
        <f>IF(AND(WSFIQIH!$M$62&gt;=83.25,WSFIQIH!$M$62&lt;=91.4),"P","")</f>
        <v/>
      </c>
      <c r="FY11" s="102" t="str">
        <f>IF(AND(WSFIQIH!$M$62&gt;=91.5,WSFIQIH!$M$62&lt;=100),"P","")</f>
        <v>P</v>
      </c>
      <c r="FZ11" t="str">
        <f>IF(WSFIQIH!$M$71&lt;74.9,"P","")</f>
        <v/>
      </c>
      <c r="GA11" s="102" t="str">
        <f>IF(AND(WSFIQIH!$M$71&gt;=75,WSFIQIH!$M$71&lt;=83.24),"P","")</f>
        <v/>
      </c>
      <c r="GB11" s="102" t="str">
        <f>IF(AND(WSFIQIH!$M$71&gt;=83.25,WSFIQIH!$M$71&lt;=91.4),"P","")</f>
        <v/>
      </c>
      <c r="GC11" s="102" t="str">
        <f>IF(AND(WSFIQIH!$M$71&gt;=91.5,WSFIQIH!$M$71&lt;=100),"P","")</f>
        <v>P</v>
      </c>
      <c r="GD11" t="str">
        <f>IF(WSFIQIH!$M$80&lt;74.9,"P","")</f>
        <v/>
      </c>
      <c r="GE11" s="102" t="str">
        <f>IF(AND(WSFIQIH!$M$80&gt;=75,WSFIQIH!$M$80&lt;=83.24),"P","")</f>
        <v>P</v>
      </c>
      <c r="GF11" s="102" t="str">
        <f>IF(AND(WSFIQIH!$M$80&gt;=83.25,WSFIQIH!$M$80&lt;=91.4),"P","")</f>
        <v/>
      </c>
      <c r="GG11" s="102" t="str">
        <f>IF(AND(WSFIQIH!$M$80&gt;=91.5,WSFIQIH!$M$80&lt;=100),"P","")</f>
        <v/>
      </c>
      <c r="GH11" t="str">
        <f>IF(WSFIQIH!$M$88&lt;74.9,"P","")</f>
        <v/>
      </c>
      <c r="GI11" s="102" t="str">
        <f>IF(AND(WSFIQIH!$M$88&gt;=75,WSFIQIH!$M$88&lt;=83.24),"P","")</f>
        <v/>
      </c>
      <c r="GJ11" s="102" t="str">
        <f>IF(AND(WSFIQIH!$M$88&gt;=83.25,WSFIQIH!$M$88&lt;=91.4),"P","")</f>
        <v/>
      </c>
      <c r="GK11" s="102" t="str">
        <f>IF(AND(WSFIQIH!$M$88&gt;=91.5,WSFIQIH!$M$88&lt;=100),"P","")</f>
        <v/>
      </c>
      <c r="GL11" t="str">
        <f>IF(WSFIQIH!$M$96&lt;74.9,"P","")</f>
        <v/>
      </c>
      <c r="GM11" s="102" t="str">
        <f>IF(AND(WSFIQIH!$M$96&gt;=75,WSFIQIH!$M$96&lt;=83.24),"P","")</f>
        <v/>
      </c>
      <c r="GN11" s="102" t="str">
        <f>IF(AND(WSFIQIH!$M$96&gt;=83.25,WSFIQIH!$M$96&lt;=91.4),"P","")</f>
        <v/>
      </c>
      <c r="GO11" s="102" t="str">
        <f>IF(AND(WSFIQIH!$M$96&gt;=91.5,WSFIQIH!$M$96&lt;=100),"P","")</f>
        <v/>
      </c>
      <c r="GP11" t="str">
        <f>IF(WSFIQIH!$M$104&lt;74.9,"P","")</f>
        <v/>
      </c>
      <c r="GQ11" s="102" t="str">
        <f>IF(AND(WSFIQIH!$M$104&gt;=75,WSFIQIH!$M$104&lt;=83.24),"P","")</f>
        <v/>
      </c>
      <c r="GR11" s="102" t="str">
        <f>IF(AND(WSFIQIH!$M$104&gt;=83.25,WSFIQIH!$M$104&lt;=91.4),"P","")</f>
        <v/>
      </c>
      <c r="GS11" s="102" t="str">
        <f>IF(AND(WSFIQIH!$M$104&gt;=91.5,WSFIQIH!$M$104&lt;=100),"P","")</f>
        <v/>
      </c>
      <c r="GT11" t="str">
        <f>IF(WSFIQIH!$M$112&lt;74.9,"P","")</f>
        <v/>
      </c>
      <c r="GU11" s="102" t="str">
        <f>IF(AND(WSFIQIH!$M$112&gt;=75,WSFIQIH!$M$112&lt;=83.24),"P","")</f>
        <v/>
      </c>
      <c r="GV11" s="102" t="str">
        <f>IF(AND(WSFIQIH!$M$112&gt;=83.25,WSFIQIH!$M$112&lt;=91.4),"P","")</f>
        <v/>
      </c>
      <c r="GW11" s="102" t="str">
        <f>IF(AND(WSFIQIH!$M$112&gt;=91.5,WSFIQIH!$M$112&lt;=100),"P","")</f>
        <v/>
      </c>
      <c r="GX11" t="str">
        <f>IF(WSFIQIH!$M$120&lt;74.9,"P","")</f>
        <v/>
      </c>
      <c r="GY11" s="102" t="str">
        <f>IF(AND(WSFIQIH!$M$120&gt;=75,WSFIQIH!$M$120&lt;=83.24),"P","")</f>
        <v/>
      </c>
      <c r="GZ11" s="102" t="str">
        <f>IF(AND(WSFIQIH!$M$120&gt;=83.25,WSFIQIH!$M$120&lt;=91.4),"P","")</f>
        <v/>
      </c>
      <c r="HA11" s="102" t="str">
        <f>IF(AND(WSFIQIH!$M$120&gt;=91.5,WSFIQIH!$M$120&lt;=100),"P","")</f>
        <v/>
      </c>
      <c r="HB11" t="str">
        <f>IF(WSPKN!$M$6&lt;74.9,"P","")</f>
        <v/>
      </c>
      <c r="HC11" s="102" t="str">
        <f>IF(AND(WSPKN!$M$6&gt;=75,WSPKN!$M$6&lt;=83.24),"P","")</f>
        <v/>
      </c>
      <c r="HD11" s="102" t="str">
        <f>IF(AND(WSPKN!$M$6&gt;=83.25,WSPKN!$M$6&lt;=91.4),"P","")</f>
        <v/>
      </c>
      <c r="HE11" s="102" t="str">
        <f>IF(AND(WSPKN!$M$6&gt;=91.5,WSPKN!$M$6&lt;=100),"P","")</f>
        <v>P</v>
      </c>
      <c r="HF11" t="str">
        <f>IF(WSPKN!$M$32&lt;74.9,"P","")</f>
        <v/>
      </c>
      <c r="HG11" s="102" t="str">
        <f>IF(AND(WSPKN!$M$32&gt;=75,WSPKN!$M$32&lt;=83.24),"P","")</f>
        <v/>
      </c>
      <c r="HH11" s="102" t="str">
        <f>IF(AND(WSPKN!$M$32&gt;=83.25,WSPKN!$M$32&lt;=91.4),"P","")</f>
        <v/>
      </c>
      <c r="HI11" s="102" t="str">
        <f>IF(AND(WSPKN!$M$32&gt;=91.5,WSPKN!$M$32&lt;=100),"P","")</f>
        <v>P</v>
      </c>
      <c r="HJ11" t="str">
        <f>IF(WSPKN!$M$55&lt;74.9,"P","")</f>
        <v/>
      </c>
      <c r="HK11" s="102" t="str">
        <f>IF(AND(WSPKN!$M$55&gt;=75,WSPKN!$M$55&lt;=83.24),"P","")</f>
        <v/>
      </c>
      <c r="HL11" s="102" t="str">
        <f>IF(AND(WSPKN!$M$55&gt;=83.25,WSPKN!$M$55&lt;=91.4),"P","")</f>
        <v/>
      </c>
      <c r="HM11" s="102" t="str">
        <f>IF(AND(WSPKN!$M$55&gt;=91.5,WSPKN!$M$55&lt;=100),"P","")</f>
        <v>P</v>
      </c>
      <c r="HN11" t="str">
        <f>IF(WSPKN!$M$72&lt;74.9,"P","")</f>
        <v/>
      </c>
      <c r="HO11" s="102" t="str">
        <f>IF(AND(WSPKN!$M$72&gt;=75,WSPKN!$M$72&lt;=83.24),"P","")</f>
        <v/>
      </c>
      <c r="HP11" s="102" t="str">
        <f>IF(AND(WSPKN!$M$72&gt;=83.25,WSPKN!$M$72&lt;=91.4),"P","")</f>
        <v>P</v>
      </c>
      <c r="HQ11" s="102" t="str">
        <f>IF(AND(WSPKN!$M$72&gt;=91.5,WSPKN!$M$72&lt;=100),"P","")</f>
        <v/>
      </c>
      <c r="HR11" t="str">
        <f>IF(WSPKN!$M$86&lt;74.9,"P","")</f>
        <v/>
      </c>
      <c r="HS11" s="102" t="str">
        <f>IF(AND(WSPKN!$M$86&gt;=75,WSPKN!$M$86&lt;=83.24),"P","")</f>
        <v/>
      </c>
      <c r="HT11" s="102" t="str">
        <f>IF(AND(WSPKN!$M$86&gt;=83.25,WSPKN!$M$86&lt;=91.4),"P","")</f>
        <v/>
      </c>
      <c r="HU11" s="102" t="str">
        <f>IF(AND(WSPKN!$M$86&gt;=91.5,WSPKN!$M$86&lt;=100),"P","")</f>
        <v>P</v>
      </c>
      <c r="HV11" t="str">
        <f>IF(WSPKN!$M$108&lt;74.9,"P","")</f>
        <v/>
      </c>
      <c r="HW11" s="102" t="str">
        <f>IF(AND(WSPKN!$M$108&gt;=75,WSPKN!$M$108&lt;=83.24),"P","")</f>
        <v/>
      </c>
      <c r="HX11" s="102" t="str">
        <f>IF(AND(WSPKN!$M$108&gt;=83.25,WSPKN!$M$108&lt;=91.4),"P","")</f>
        <v/>
      </c>
      <c r="HY11" s="102" t="str">
        <f>IF(AND(WSPKN!$M$108&gt;=91.5,WSPKN!$M$108&lt;=100),"P","")</f>
        <v>P</v>
      </c>
      <c r="HZ11" t="str">
        <f>IF(WSPKN!$M$132&lt;74.9,"P","")</f>
        <v/>
      </c>
      <c r="IA11" s="102" t="str">
        <f>IF(AND(WSPKN!$M$132&gt;=75,WSPKN!$M$132&lt;=83.24),"P","")</f>
        <v/>
      </c>
      <c r="IB11" s="102" t="str">
        <f>IF(AND(WSPKN!$M$132&gt;=83.25,WSPKN!$M$132&lt;=91.4),"P","")</f>
        <v/>
      </c>
      <c r="IC11" s="102" t="str">
        <f>IF(AND(WSPKN!$M$132&gt;=91.5,WSPKN!$M$132&lt;=100),"P","")</f>
        <v>P</v>
      </c>
      <c r="ID11" t="str">
        <f>IF(WSPKN!$M$148&lt;74.9,"P","")</f>
        <v/>
      </c>
      <c r="IE11" s="102" t="str">
        <f>IF(AND(WSPKN!$M$148&gt;=75,WSPKN!$M$148&lt;=83.24),"P","")</f>
        <v/>
      </c>
      <c r="IF11" s="102" t="str">
        <f>IF(AND(WSPKN!$M$148&gt;=83.25,WSPKN!$M$148&lt;=91.4),"P","")</f>
        <v>P</v>
      </c>
      <c r="IG11" s="102" t="str">
        <f>IF(AND(WSPKN!$M$148&gt;=91.5,WSPKN!$M$148&lt;=100),"P","")</f>
        <v/>
      </c>
      <c r="IH11" t="str">
        <f>IF(WSPKN!$M$165&lt;74.9,"P","")</f>
        <v/>
      </c>
      <c r="II11" s="102" t="str">
        <f>IF(AND(WSPKN!$M$165&gt;=75,WSPKN!$M$165&lt;=83.24),"P","")</f>
        <v/>
      </c>
      <c r="IJ11" s="102" t="str">
        <f>IF(AND(WSPKN!$M$165&gt;=83.25,WSPKN!$M$165&lt;=91.4),"P","")</f>
        <v/>
      </c>
      <c r="IK11" s="102" t="str">
        <f>IF(AND(WSPKN!$M$165&gt;=91.5,WSPKN!$M$165&lt;=100),"P","")</f>
        <v/>
      </c>
      <c r="IL11" t="str">
        <f>IF(WSPKN!$M$173&lt;74.9,"P","")</f>
        <v/>
      </c>
      <c r="IM11" s="102" t="str">
        <f>IF(AND(WSPKN!$M$173&gt;=75,WSPKN!$M$173&lt;=83.24),"P","")</f>
        <v/>
      </c>
      <c r="IN11" s="102" t="str">
        <f>IF(AND(WSPKN!$M$173&gt;=83.25,WSPKN!$M$173&lt;=91.4),"P","")</f>
        <v/>
      </c>
      <c r="IO11" s="102" t="str">
        <f>IF(AND(WSPKN!$M$173&gt;=91.5,WSPKN!$M$173&lt;=100),"P","")</f>
        <v/>
      </c>
      <c r="IP11" t="str">
        <f>IF(WSPKN!$M$181&lt;74.9,"P","")</f>
        <v/>
      </c>
      <c r="IQ11" s="102" t="str">
        <f>IF(AND(WSPKN!$M$181&gt;=75,WSPKN!$M$181&lt;=83.24),"P","")</f>
        <v/>
      </c>
      <c r="IR11" s="102" t="str">
        <f>IF(AND(WSPKN!$M$181&gt;=83.25,WSPKN!$M$181&lt;=91.4),"P","")</f>
        <v/>
      </c>
      <c r="IS11" s="102" t="str">
        <f>IF(AND(WSPKN!$M$181&gt;=91.5,WSPKN!$M$181&lt;=100),"P","")</f>
        <v/>
      </c>
      <c r="IT11" t="str">
        <f>IF(WSPKN!$M$189&lt;74.9,"P","")</f>
        <v/>
      </c>
      <c r="IU11" s="102" t="str">
        <f>IF(AND(WSPKN!$M$189&gt;=75,WSPKN!$M$189&lt;=83.24),"P","")</f>
        <v/>
      </c>
      <c r="IV11" s="102" t="str">
        <f>IF(AND(WSPKN!$M$189&gt;=83.25,WSPKN!$M$189&lt;=91.4),"P","")</f>
        <v/>
      </c>
      <c r="IW11" s="102" t="str">
        <f>IF(AND(WSPKN!$M$189&gt;=91.5,WSPKN!$M$189&lt;=100),"P","")</f>
        <v/>
      </c>
      <c r="IX11" t="str">
        <f>IF(WSPKN!$M$197&lt;74.9,"P","")</f>
        <v/>
      </c>
      <c r="IY11" s="102" t="str">
        <f>IF(AND(WSPKN!$M$197&gt;=75,WSPKN!$M$197&lt;=83.24),"P","")</f>
        <v/>
      </c>
      <c r="IZ11" s="102" t="str">
        <f>IF(AND(WSPKN!$M$197&gt;=83.25,WSPKN!$M$197&lt;=91.4),"P","")</f>
        <v/>
      </c>
      <c r="JA11" s="102" t="str">
        <f>IF(AND(WSPKN!$M$197&gt;=91.5,WSPKN!$M$197&lt;=100),"P","")</f>
        <v/>
      </c>
      <c r="JB11" t="str">
        <f>IF(WSIND!$M$6&lt;74.9,"P","")</f>
        <v/>
      </c>
      <c r="JC11" s="102" t="str">
        <f>IF(AND(WSIND!$M$6&gt;=75,WSIND!$M$6&lt;=83.24),"P","")</f>
        <v/>
      </c>
      <c r="JD11" s="102" t="str">
        <f>IF(AND(WSIND!$M$6&gt;=83.25,WSIND!$M$6&lt;=91.4),"P","")</f>
        <v/>
      </c>
      <c r="JE11" s="102" t="str">
        <f>IF(AND(WSIND!$M$6&gt;=91.5,WSIND!$M$6&lt;=100),"P","")</f>
        <v>P</v>
      </c>
      <c r="JF11" t="str">
        <f>IF(WSIND!$M$65&lt;74.9,"P","")</f>
        <v/>
      </c>
      <c r="JG11" s="102" t="str">
        <f>IF(AND(WSIND!$M$65&gt;=75,WSIND!$M$65&lt;=83.24),"P","")</f>
        <v/>
      </c>
      <c r="JH11" s="102" t="str">
        <f>IF(AND(WSIND!$M$65&gt;=83.25,WSIND!$M$65&lt;=91.4),"P","")</f>
        <v/>
      </c>
      <c r="JI11" s="102" t="str">
        <f>IF(AND(WSIND!$M$65&gt;=91.5,WSIND!$M$65&lt;=100),"P","")</f>
        <v>P</v>
      </c>
      <c r="JJ11" t="str">
        <f>IF(WSIND!$M$113&lt;74.9,"P","")</f>
        <v/>
      </c>
      <c r="JK11" s="102" t="str">
        <f>IF(AND(WSIND!$M$113&gt;=75,WSIND!$M$113&lt;=83.24),"P","")</f>
        <v/>
      </c>
      <c r="JL11" s="102" t="str">
        <f>IF(AND(WSIND!$M$113&gt;=83.25,WSIND!$M$113&lt;=91.4),"P","")</f>
        <v/>
      </c>
      <c r="JM11" s="102" t="str">
        <f>IF(AND(WSIND!$M$113&gt;=91.5,WSIND!$M$113&lt;=100),"P","")</f>
        <v>P</v>
      </c>
      <c r="JN11" t="str">
        <f>IF(WSIND!$M$133&lt;74.9,"P","")</f>
        <v/>
      </c>
      <c r="JO11" s="102" t="str">
        <f>IF(AND(WSIND!$M$133&gt;=75,WSIND!$M$133&lt;=83.24),"P","")</f>
        <v/>
      </c>
      <c r="JP11" s="102" t="str">
        <f>IF(AND(WSIND!$M$133&gt;=83.25,WSIND!$M$133&lt;=91.4),"P","")</f>
        <v/>
      </c>
      <c r="JQ11" s="102" t="str">
        <f>IF(AND(WSIND!$M$133&gt;=91.5,WSIND!$M$133&lt;=100),"P","")</f>
        <v>P</v>
      </c>
      <c r="JR11" t="str">
        <f>IF(WSIND!$M$161&lt;74.9,"P","")</f>
        <v/>
      </c>
      <c r="JS11" s="102" t="str">
        <f>IF(AND(WSIND!$M$161&gt;=75,WSIND!$M$161&lt;=83.24),"P","")</f>
        <v/>
      </c>
      <c r="JT11" s="102" t="str">
        <f>IF(AND(WSIND!$M$161&gt;=83.25,WSIND!$M$161&lt;=91.4),"P","")</f>
        <v/>
      </c>
      <c r="JU11" s="102" t="str">
        <f>IF(AND(WSIND!$M$161&gt;=91.5,WSIND!$M$161&lt;=100),"P","")</f>
        <v>P</v>
      </c>
      <c r="JV11" t="str">
        <f>IF(WSIND!$M$192&lt;74.9,"P","")</f>
        <v/>
      </c>
      <c r="JW11" s="102" t="str">
        <f>IF(AND(WSIND!$M$192&gt;=75,WSIND!$M$192&lt;=83.24),"P","")</f>
        <v/>
      </c>
      <c r="JX11" s="102" t="str">
        <f>IF(AND(WSIND!$M$192&gt;=83.25,WSIND!$M$192&lt;=91.4),"P","")</f>
        <v/>
      </c>
      <c r="JY11" s="102" t="str">
        <f>IF(AND(WSIND!$M$192&gt;=91.5,WSIND!$M$192&lt;=100),"P","")</f>
        <v>P</v>
      </c>
      <c r="JZ11" t="str">
        <f>IF(WSIND!$M$228&lt;74.9,"P","")</f>
        <v/>
      </c>
      <c r="KA11" s="102" t="str">
        <f>IF(AND(WSIND!$M$228&gt;=75,WSIND!$M$228&lt;=83.24),"P","")</f>
        <v/>
      </c>
      <c r="KB11" s="102" t="str">
        <f>IF(AND(WSIND!$M$228&gt;=83.25,WSIND!$M$228&lt;=91.4),"P","")</f>
        <v/>
      </c>
      <c r="KC11" s="102" t="str">
        <f>IF(AND(WSIND!$M$228&gt;=91.5,WSIND!$M$228&lt;=100),"P","")</f>
        <v>P</v>
      </c>
      <c r="KD11" t="str">
        <f>IF(WSIND!$M$256&lt;74.9,"P","")</f>
        <v/>
      </c>
      <c r="KE11" s="102" t="str">
        <f>IF(AND(WSIND!$M$256&gt;=75,WSIND!$M$256&lt;=83.24),"P","")</f>
        <v/>
      </c>
      <c r="KF11" s="102" t="str">
        <f>IF(AND(WSIND!$M$256&gt;=83.25,WSIND!$M$256&lt;=91.4),"P","")</f>
        <v/>
      </c>
      <c r="KG11" s="102" t="str">
        <f>IF(AND(WSIND!$M$256&gt;=91.5,WSIND!$M$256&lt;=100),"P","")</f>
        <v>P</v>
      </c>
      <c r="KH11" t="str">
        <f>IF(WSIND!$M$277&lt;74.9,"P","")</f>
        <v/>
      </c>
      <c r="KI11" s="102" t="str">
        <f>IF(AND(WSIND!$M$277&gt;=75,WSIND!$M$277&lt;=83.24),"P","")</f>
        <v/>
      </c>
      <c r="KJ11" s="102" t="str">
        <f>IF(AND(WSIND!$M$277&gt;=83.25,WSIND!$M$277&lt;=91.4),"P","")</f>
        <v/>
      </c>
      <c r="KK11" s="102" t="str">
        <f>IF(AND(WSIND!$M$277&gt;=91.5,WSIND!$M$277&lt;=100),"P","")</f>
        <v>P</v>
      </c>
      <c r="KL11" t="str">
        <f>IF(WSIND!$M$305&lt;74.9,"P","")</f>
        <v/>
      </c>
      <c r="KM11" s="102" t="str">
        <f>IF(AND(WSIND!$M$305&gt;=75,WSIND!$M$305&lt;=83.24),"P","")</f>
        <v/>
      </c>
      <c r="KN11" s="102" t="str">
        <f>IF(AND(WSIND!$M$305&gt;=83.25,WSIND!$M$305&lt;=91.4),"P","")</f>
        <v/>
      </c>
      <c r="KO11" s="102" t="str">
        <f>IF(AND(WSIND!$M$305&gt;=91.5,WSIND!$M$305&lt;=100),"P","")</f>
        <v>P</v>
      </c>
      <c r="KP11" t="str">
        <f>IF(WSIND!$M$329&lt;74.9,"P","")</f>
        <v/>
      </c>
      <c r="KQ11" s="102" t="str">
        <f>IF(AND(WSIND!$M$329&gt;=75,WSIND!$M$329&lt;=83.24),"P","")</f>
        <v/>
      </c>
      <c r="KR11" s="102" t="str">
        <f>IF(AND(WSIND!$M$329&gt;=83.25,WSIND!$M$329&lt;=91.4),"P","")</f>
        <v/>
      </c>
      <c r="KS11" s="102" t="str">
        <f>IF(AND(WSIND!$M$329&gt;=91.5,WSIND!$M$329&lt;=100),"P","")</f>
        <v/>
      </c>
      <c r="KT11" t="str">
        <f>IF(WSIND!$M$337&lt;74.9,"P","")</f>
        <v/>
      </c>
      <c r="KU11" s="102" t="str">
        <f>IF(AND(WSIND!$M$337&gt;=75,WSIND!$M$337&lt;=83.24),"P","")</f>
        <v/>
      </c>
      <c r="KV11" s="102" t="str">
        <f>IF(AND(WSIND!$M$337&gt;=83.25,WSIND!$M$337&lt;=91.4),"P","")</f>
        <v/>
      </c>
      <c r="KW11" s="102" t="str">
        <f>IF(AND(WSIND!$M$337&gt;=91.5,WSIND!$M$337&lt;=100),"P","")</f>
        <v/>
      </c>
      <c r="KX11" t="str">
        <f>IF(WSIND!$M$345&lt;74.9,"P","")</f>
        <v/>
      </c>
      <c r="KY11" s="102" t="str">
        <f>IF(AND(WSIND!$M$345&gt;=75,WSIND!$M$345&lt;=83.24),"P","")</f>
        <v/>
      </c>
      <c r="KZ11" s="102" t="str">
        <f>IF(AND(WSIND!$M$345&gt;=83.25,WSIND!$M$345&lt;=91.4),"P","")</f>
        <v/>
      </c>
      <c r="LA11" s="102" t="str">
        <f>IF(AND(WSIND!$M$345&gt;=91.5,WSIND!$M$345&lt;=100),"P","")</f>
        <v/>
      </c>
      <c r="LB11" t="str">
        <f>IF(WSARAB!$M$6&lt;74.9,"P","")</f>
        <v/>
      </c>
      <c r="LC11" s="102" t="str">
        <f>IF(AND(WSARAB!$M$6&gt;=75,WSARAB!$M$6&lt;=83.24),"P","")</f>
        <v/>
      </c>
      <c r="LD11" s="102" t="str">
        <f>IF(AND(WSARAB!$M$6&gt;=83.25,WSARAB!$M$6&lt;=91.4),"P","")</f>
        <v/>
      </c>
      <c r="LE11" s="102" t="str">
        <f>IF(AND(WSARAB!$M$6&gt;=91.5,WSARAB!$M$6&lt;=100),"P","")</f>
        <v/>
      </c>
      <c r="LF11" t="str">
        <f>IF(WSARAB!$M$17&lt;74.9,"P","")</f>
        <v/>
      </c>
      <c r="LG11" s="102" t="str">
        <f>IF(AND(WSARAB!$M$17&gt;=75,WSARAB!$M$17&lt;=83.24),"P","")</f>
        <v/>
      </c>
      <c r="LH11" s="102" t="str">
        <f>IF(AND(WSARAB!$M$17&gt;=83.25,WSARAB!$M$17&lt;=91.4),"P","")</f>
        <v/>
      </c>
      <c r="LI11" s="102" t="str">
        <f>IF(AND(WSARAB!$M$17&gt;=91.5,WSARAB!$M$17&lt;=100),"P","")</f>
        <v/>
      </c>
      <c r="LJ11" t="str">
        <f>IF(WSARAB!$M$29&lt;74.9,"P","")</f>
        <v/>
      </c>
      <c r="LK11" s="102" t="str">
        <f>IF(AND(WSARAB!$M$29&gt;=75,WSARAB!$M$29&lt;=83.24),"P","")</f>
        <v/>
      </c>
      <c r="LL11" s="102" t="str">
        <f>IF(AND(WSARAB!$M$29&gt;=83.25,WSARAB!$M$29&lt;=91.4),"P","")</f>
        <v/>
      </c>
      <c r="LM11" s="102" t="str">
        <f>IF(AND(WSARAB!$M$29&gt;=91.5,WSARAB!$M$29&lt;=100),"P","")</f>
        <v/>
      </c>
      <c r="LN11" t="str">
        <f>IF(WSARAB!$M$37&lt;74.9,"P","")</f>
        <v/>
      </c>
      <c r="LO11" s="102" t="str">
        <f>IF(AND(WSARAB!$M$37&gt;=75,WSARAB!$M$37&lt;=83.24),"P","")</f>
        <v/>
      </c>
      <c r="LP11" s="102" t="str">
        <f>IF(AND(WSARAB!$M$37&gt;=83.25,WSARAB!$M$37&lt;=91.4),"P","")</f>
        <v/>
      </c>
      <c r="LQ11" s="102" t="str">
        <f>IF(AND(WSARAB!$M$37&gt;=91.5,WSARAB!$M$37&lt;=100),"P","")</f>
        <v/>
      </c>
      <c r="LR11" t="str">
        <f>IF(WSARAB!$M$45&lt;74.9,"P","")</f>
        <v/>
      </c>
      <c r="LS11" s="102" t="str">
        <f>IF(AND(WSARAB!$M$45&gt;=75,WSARAB!$M$45&lt;=83.24),"P","")</f>
        <v/>
      </c>
      <c r="LT11" s="102" t="str">
        <f>IF(AND(WSARAB!$M$45&gt;=83.25,WSARAB!$M$45&lt;=91.4),"P","")</f>
        <v/>
      </c>
      <c r="LU11" s="102" t="str">
        <f>IF(AND(WSARAB!$M$45&gt;=91.5,WSARAB!$M$45&lt;=100),"P","")</f>
        <v/>
      </c>
      <c r="LV11" t="str">
        <f>IF(WSARAB!$M$53&lt;74.9,"P","")</f>
        <v/>
      </c>
      <c r="LW11" s="102" t="str">
        <f>IF(AND(WSARAB!$M$53&gt;=75,WSARAB!$M$53&lt;=83.24),"P","")</f>
        <v/>
      </c>
      <c r="LX11" s="102" t="str">
        <f>IF(AND(WSARAB!$M$53&gt;=83.25,WSARAB!$M$53&lt;=91.4),"P","")</f>
        <v/>
      </c>
      <c r="LY11" s="102" t="str">
        <f>IF(AND(WSARAB!$M$53&gt;=91.5,WSARAB!$M$53&lt;=100),"P","")</f>
        <v/>
      </c>
      <c r="LZ11" t="str">
        <f>IF(WSARAB!$M$65&lt;74.9,"P","")</f>
        <v/>
      </c>
      <c r="MA11" s="102" t="str">
        <f>IF(AND(WSARAB!$M$65&gt;=75,WSARAB!$M$65&lt;=83.24),"P","")</f>
        <v/>
      </c>
      <c r="MB11" s="102" t="str">
        <f>IF(AND(WSARAB!$M$65&gt;=83.25,WSARAB!$M$65&lt;=91.4),"P","")</f>
        <v/>
      </c>
      <c r="MC11" s="102" t="str">
        <f>IF(AND(WSARAB!$M$65&gt;=91.5,WSARAB!$M$65&lt;=100),"P","")</f>
        <v/>
      </c>
      <c r="MD11" t="str">
        <f>IF(WSARAB!$M$73&lt;74.9,"P","")</f>
        <v/>
      </c>
      <c r="ME11" s="102" t="str">
        <f>IF(AND(WSARAB!$M$73&gt;=75,WSARAB!$M$73&lt;=83.24),"P","")</f>
        <v/>
      </c>
      <c r="MF11" s="102" t="str">
        <f>IF(AND(WSARAB!$M$73&gt;=83.25,WSARAB!$M$73&lt;=91.4),"P","")</f>
        <v/>
      </c>
      <c r="MG11" s="102" t="str">
        <f>IF(AND(WSARAB!$M$73&gt;=91.5,WSARAB!$M$73&lt;=100),"P","")</f>
        <v/>
      </c>
      <c r="MH11" t="str">
        <f>IF(WSARAB!$M$81&lt;74.9,"P","")</f>
        <v/>
      </c>
      <c r="MI11" s="102" t="str">
        <f>IF(AND(WSARAB!$M$81&gt;=75,WSARAB!$M$81&lt;=83.24),"P","")</f>
        <v/>
      </c>
      <c r="MJ11" s="102" t="str">
        <f>IF(AND(WSARAB!$M$81&gt;=83.25,WSARAB!$M$81&lt;=91.4),"P","")</f>
        <v/>
      </c>
      <c r="MK11" s="102" t="str">
        <f>IF(AND(WSARAB!$M$81&gt;=91.5,WSARAB!$M$81&lt;=100),"P","")</f>
        <v/>
      </c>
      <c r="ML11" t="str">
        <f>IF(WSARAB!$M$89&lt;74.9,"P","")</f>
        <v/>
      </c>
      <c r="MM11" s="102" t="str">
        <f>IF(AND(WSARAB!$M$89&gt;=75,WSARAB!$M$89&lt;=83.24),"P","")</f>
        <v/>
      </c>
      <c r="MN11" s="102" t="str">
        <f>IF(AND(WSARAB!$M$89&gt;=83.25,WSARAB!$M$89&lt;=91.4),"P","")</f>
        <v/>
      </c>
      <c r="MO11" s="102" t="str">
        <f>IF(AND(WSARAB!$M$89&gt;=91.5,WSARAB!$M$89&lt;=100),"P","")</f>
        <v/>
      </c>
      <c r="MP11" t="str">
        <f>IF(WSARAB!$M$97&lt;74.9,"P","")</f>
        <v/>
      </c>
      <c r="MQ11" s="102" t="str">
        <f>IF(AND(WSARAB!$M$97&gt;=75,WSARAB!$M$97&lt;=83.24),"P","")</f>
        <v/>
      </c>
      <c r="MR11" s="102" t="str">
        <f>IF(AND(WSARAB!$M$97&gt;=83.25,WSARAB!$M$97&lt;=91.4),"P","")</f>
        <v/>
      </c>
      <c r="MS11" s="102" t="str">
        <f>IF(AND(WSARAB!$M$97&gt;=91.5,WSARAB!$M$97&lt;=100),"P","")</f>
        <v/>
      </c>
      <c r="MT11" t="str">
        <f>IF(WSARAB!$M$105&lt;74.9,"P","")</f>
        <v/>
      </c>
      <c r="MU11" s="102" t="str">
        <f>IF(AND(WSARAB!$M$105&gt;=75,WSARAB!$M$105&lt;=83.24),"P","")</f>
        <v/>
      </c>
      <c r="MV11" s="102" t="str">
        <f>IF(AND(WSARAB!$M$105&gt;=83.25,WSARAB!$M$105&lt;=91.4),"P","")</f>
        <v/>
      </c>
      <c r="MW11" s="102" t="str">
        <f>IF(AND(WSARAB!$M$105&gt;=91.5,WSARAB!$M$105&lt;=100),"P","")</f>
        <v/>
      </c>
      <c r="MX11" t="str">
        <f>IF(WSARAB!$M$113&lt;74.9,"P","")</f>
        <v/>
      </c>
      <c r="MY11" s="102" t="str">
        <f>IF(AND(WSARAB!$M$113&gt;=75,WSARAB!$M$113&lt;=83.24),"P","")</f>
        <v/>
      </c>
      <c r="MZ11" s="102" t="str">
        <f>IF(AND(WSARAB!$M$113&gt;=83.25,WSARAB!$M$113&lt;=91.4),"P","")</f>
        <v/>
      </c>
      <c r="NA11" s="102" t="str">
        <f>IF(AND(WSARAB!$M$113&gt;=91.5,WSARAB!$M$113&lt;=100),"P","")</f>
        <v/>
      </c>
      <c r="NB11" t="str">
        <f>IF(WSMTK!$M$6&lt;74.9,"P","")</f>
        <v/>
      </c>
      <c r="NC11" s="102" t="str">
        <f>IF(AND(WSMTK!$M$6&gt;=75,WSMTK!$M$6&lt;=83.24),"P","")</f>
        <v/>
      </c>
      <c r="ND11" s="102" t="str">
        <f>IF(AND(WSMTK!$M$6&gt;=83.25,WSMTK!$M$6&lt;=91.4),"P","")</f>
        <v/>
      </c>
      <c r="NE11" s="102" t="str">
        <f>IF(AND(WSMTK!$M$6&gt;=91.5,WSMTK!$M$6&lt;=100),"P","")</f>
        <v>P</v>
      </c>
      <c r="NF11" t="str">
        <f>IF(WSMTK!$M$22&lt;74.9,"P","")</f>
        <v/>
      </c>
      <c r="NG11" s="102" t="str">
        <f>IF(AND(WSMTK!$M$22&gt;=75,WSMTK!$M$22&lt;=83.24),"P","")</f>
        <v/>
      </c>
      <c r="NH11" s="102" t="str">
        <f>IF(AND(WSMTK!$M$22&gt;=83.25,WSMTK!$M$22&lt;=91.4),"P","")</f>
        <v/>
      </c>
      <c r="NI11" s="102" t="str">
        <f>IF(AND(WSMTK!$M$22&gt;=91.5,WSMTK!$M$22&lt;=100),"P","")</f>
        <v>P</v>
      </c>
      <c r="NJ11" t="str">
        <f>IF(WSMTK!$M$35&lt;74.9,"P","")</f>
        <v/>
      </c>
      <c r="NK11" s="102" t="str">
        <f>IF(AND(WSMTK!$M$35&gt;=75,WSMTK!$M$35&lt;=83.24),"P","")</f>
        <v/>
      </c>
      <c r="NL11" s="102" t="str">
        <f>IF(AND(WSMTK!$M$35&gt;=83.25,WSMTK!$M$35&lt;=91.4),"P","")</f>
        <v/>
      </c>
      <c r="NM11" s="102" t="str">
        <f>IF(AND(WSMTK!$M$35&gt;=91.5,WSMTK!$M$35&lt;=100),"P","")</f>
        <v>P</v>
      </c>
      <c r="NN11" t="str">
        <f>IF(WSMTK!$M$69&lt;74.9,"P","")</f>
        <v/>
      </c>
      <c r="NO11" s="102" t="str">
        <f>IF(AND(WSMTK!$M$69&gt;=75,WSMTK!$M$69&lt;=83.24),"P","")</f>
        <v/>
      </c>
      <c r="NP11" s="102" t="str">
        <f>IF(AND(WSMTK!$M$69&gt;=83.25,WSMTK!$M$69&lt;=91.4),"P","")</f>
        <v/>
      </c>
      <c r="NQ11" s="102" t="str">
        <f>IF(AND(WSMTK!$M$69&gt;=91.5,WSMTK!$M$69&lt;=100),"P","")</f>
        <v>P</v>
      </c>
      <c r="NR11" t="str">
        <f>IF(WSMTK!$M$87&lt;74.9,"P","")</f>
        <v/>
      </c>
      <c r="NS11" s="102" t="str">
        <f>IF(AND(WSMTK!$M$87&gt;=75,WSMTK!$M$87&lt;=83.24),"P","")</f>
        <v/>
      </c>
      <c r="NT11" s="102" t="str">
        <f>IF(AND(WSMTK!$M$87&gt;=83.25,WSMTK!$M$87&lt;=91.4),"P","")</f>
        <v/>
      </c>
      <c r="NU11" s="102" t="str">
        <f>IF(AND(WSMTK!$M$87&gt;=91.5,WSMTK!$M$87&lt;=100),"P","")</f>
        <v>P</v>
      </c>
      <c r="NV11" t="str">
        <f>IF(WSMTK!$M$99&lt;74.9,"P","")</f>
        <v/>
      </c>
      <c r="NW11" s="102" t="str">
        <f>IF(AND(WSMTK!$M$99&gt;=75,WSMTK!$M$99&lt;=83.24),"P","")</f>
        <v/>
      </c>
      <c r="NX11" s="102" t="str">
        <f>IF(AND(WSMTK!$M$99&gt;=83.25,WSMTK!$M$99&lt;=91.4),"P","")</f>
        <v/>
      </c>
      <c r="NY11" s="102" t="str">
        <f>IF(AND(WSMTK!$M$99&gt;=91.5,WSMTK!$M$99&lt;=100),"P","")</f>
        <v>P</v>
      </c>
      <c r="NZ11" t="str">
        <f>IF(WSMTK!$M$113&lt;74.9,"P","")</f>
        <v/>
      </c>
      <c r="OA11" s="102" t="str">
        <f>IF(AND(WSMTK!$M$113&gt;=75,WSMTK!$M$113&lt;=83.24),"P","")</f>
        <v/>
      </c>
      <c r="OB11" s="102" t="str">
        <f>IF(AND(WSMTK!$M$113&gt;=83.25,WSMTK!$M$113&lt;=91.4),"P","")</f>
        <v/>
      </c>
      <c r="OC11" s="102" t="str">
        <f>IF(AND(WSMTK!$M$113&gt;=91.5,WSMTK!$M$113&lt;=100),"P","")</f>
        <v>P</v>
      </c>
      <c r="OD11" t="str">
        <f>IF(WSMTK!$M$145&lt;74.9,"P","")</f>
        <v/>
      </c>
      <c r="OE11" s="102" t="str">
        <f>IF(AND(WSMTK!$M$145&gt;=75,WSMTK!$M$145&lt;=83.24),"P","")</f>
        <v/>
      </c>
      <c r="OF11" s="102" t="str">
        <f>IF(AND(WSMTK!$M$145&gt;=83.25,WSMTK!$M$145&lt;=91.4),"P","")</f>
        <v/>
      </c>
      <c r="OG11" s="102" t="str">
        <f>IF(AND(WSMTK!$M$145&gt;=91.5,WSMTK!$M$145&lt;=100),"P","")</f>
        <v>P</v>
      </c>
      <c r="OH11" t="str">
        <f>IF(WSMTK!$M$168&lt;74.9,"P","")</f>
        <v/>
      </c>
      <c r="OI11" s="102" t="str">
        <f>IF(AND(WSMTK!$M$168&gt;=75,WSMTK!$M$168&lt;=83.24),"P","")</f>
        <v/>
      </c>
      <c r="OJ11" s="102" t="str">
        <f>IF(AND(WSMTK!$M$168&gt;=83.25,WSMTK!$M$168&lt;=91.4),"P","")</f>
        <v/>
      </c>
      <c r="OK11" s="102" t="str">
        <f>IF(AND(WSMTK!$M$168&gt;=91.5,WSMTK!$M$168&lt;=100),"P","")</f>
        <v/>
      </c>
      <c r="OL11" t="str">
        <f>IF(WSMTK!$M$176&lt;74.9,"P","")</f>
        <v/>
      </c>
      <c r="OM11" s="102" t="str">
        <f>IF(AND(WSMTK!$M$176&gt;=75,WSMTK!$M$176&lt;=83.24),"P","")</f>
        <v/>
      </c>
      <c r="ON11" s="102" t="str">
        <f>IF(AND(WSMTK!$M$176&gt;=83.25,WSMTK!$M$176&lt;=91.4),"P","")</f>
        <v/>
      </c>
      <c r="OO11" s="102" t="str">
        <f>IF(AND(WSMTK!$M$176&gt;=91.5,WSMTK!$M$176&lt;=100),"P","")</f>
        <v/>
      </c>
      <c r="OP11" t="str">
        <f>IF(WSMTK!$M$184&lt;74.9,"P","")</f>
        <v/>
      </c>
      <c r="OQ11" s="102" t="str">
        <f>IF(AND(WSMTK!$M$184&gt;=75,WSMTK!$M$184&lt;=83.24),"P","")</f>
        <v/>
      </c>
      <c r="OR11" s="102" t="str">
        <f>IF(AND(WSMTK!$M$184&gt;=83.25,WSMTK!$M$184&lt;=91.4),"P","")</f>
        <v/>
      </c>
      <c r="OS11" s="102" t="str">
        <f>IF(AND(WSMTK!$M$184&gt;=91.5,WSMTK!$M$184&lt;=100),"P","")</f>
        <v/>
      </c>
      <c r="OT11" t="str">
        <f>IF(WSMTK!$M$192&lt;74.9,"P","")</f>
        <v/>
      </c>
      <c r="OU11" s="102" t="str">
        <f>IF(AND(WSMTK!$M$192&gt;=75,WSMTK!$M$192&lt;=83.24),"P","")</f>
        <v/>
      </c>
      <c r="OV11" s="102" t="str">
        <f>IF(AND(WSMTK!$M$192&gt;=83.25,WSMTK!$M$192&lt;=91.4),"P","")</f>
        <v/>
      </c>
      <c r="OW11" s="102" t="str">
        <f>IF(AND(WSMTK!$M$192&gt;=91.5,WSMTK!$M$192&lt;=100),"P","")</f>
        <v/>
      </c>
      <c r="OX11" t="str">
        <f>IF(WSMTK!$M$200&lt;74.9,"P","")</f>
        <v/>
      </c>
      <c r="OY11" s="102" t="str">
        <f>IF(AND(WSMTK!$M$200&gt;=75,WSMTK!$M$200&lt;=83.24),"P","")</f>
        <v/>
      </c>
      <c r="OZ11" s="102" t="str">
        <f>IF(AND(WSMTK!$M$200&gt;=83.25,WSMTK!$M$200&lt;=91.4),"P","")</f>
        <v/>
      </c>
      <c r="PA11" s="102" t="str">
        <f>IF(AND(WSMTK!$M$200&gt;=91.5,WSMTK!$M$200&lt;=100),"P","")</f>
        <v/>
      </c>
      <c r="PB11" t="str">
        <f>IF(WSIPA!$M$6&lt;74.9,"P","")</f>
        <v/>
      </c>
      <c r="PC11" s="102" t="str">
        <f>IF(AND(WSIPA!$M$6&gt;=75,WSIPA!$M$6&lt;=83.24),"P","")</f>
        <v/>
      </c>
      <c r="PD11" s="102" t="str">
        <f>IF(AND(WSIPA!$M$6&gt;=83.25,WSIPA!$M$6&lt;=91.4),"P","")</f>
        <v/>
      </c>
      <c r="PE11" s="102" t="str">
        <f>IF(AND(WSIPA!$M$6&gt;=91.5,WSIPA!$M$6&lt;=100),"P","")</f>
        <v/>
      </c>
      <c r="PF11" t="str">
        <f>IF(WSIPA!$M$14&lt;74.9,"P","")</f>
        <v/>
      </c>
      <c r="PG11" s="102" t="str">
        <f>IF(AND(WSIPA!$M$14&gt;=75,WSIPA!$M$14&lt;=83.24),"P","")</f>
        <v/>
      </c>
      <c r="PH11" s="102" t="str">
        <f>IF(AND(WSIPA!$M$14&gt;=83.25,WSIPA!$M$14&lt;=91.4),"P","")</f>
        <v/>
      </c>
      <c r="PI11" s="102" t="str">
        <f>IF(AND(WSIPA!$M$14&gt;=91.5,WSIPA!$M$14&lt;=100),"P","")</f>
        <v/>
      </c>
      <c r="PJ11" t="str">
        <f>IF(WSIPA!$M$22&lt;74.9,"P","")</f>
        <v/>
      </c>
      <c r="PK11" s="102" t="str">
        <f>IF(AND(WSIPA!$M$22&gt;=75,WSIPA!$M$22&lt;=83.24),"P","")</f>
        <v/>
      </c>
      <c r="PL11" s="102" t="str">
        <f>IF(AND(WSIPA!$M$22&gt;=83.25,WSIPA!$M$22&lt;=91.4),"P","")</f>
        <v/>
      </c>
      <c r="PM11" s="102" t="str">
        <f>IF(AND(WSIPA!$M$22&gt;=91.5,WSIPA!$M$22&lt;=100),"P","")</f>
        <v/>
      </c>
      <c r="PN11" t="str">
        <f>IF(WSIPA!$M$30&lt;74.9,"P","")</f>
        <v/>
      </c>
      <c r="PO11" s="102" t="str">
        <f>IF(AND(WSIPA!$M$30&gt;=75,WSIPA!$M$30&lt;=83.24),"P","")</f>
        <v/>
      </c>
      <c r="PP11" s="102" t="str">
        <f>IF(AND(WSIPA!$M$30&gt;=83.25,WSIPA!$M$30&lt;=91.4),"P","")</f>
        <v/>
      </c>
      <c r="PQ11" s="102" t="str">
        <f>IF(AND(WSIPA!$M$30&gt;=91.5,WSIPA!$M$30&lt;=100),"P","")</f>
        <v/>
      </c>
      <c r="PR11" t="str">
        <f>IF(WSIPA!$M$38&lt;74.9,"P","")</f>
        <v/>
      </c>
      <c r="PS11" s="102" t="str">
        <f>IF(AND(WSIPA!$M$38&gt;=75,WSIPA!$M$38&lt;=83.24),"P","")</f>
        <v/>
      </c>
      <c r="PT11" s="102" t="str">
        <f>IF(AND(WSIPA!$M$38&gt;=83.25,WSIPA!$M$38&lt;=91.4),"P","")</f>
        <v/>
      </c>
      <c r="PU11" s="102" t="str">
        <f>IF(AND(WSIPA!$M$38&gt;=91.5,WSIPA!$M$38&lt;=100),"P","")</f>
        <v/>
      </c>
      <c r="PV11" t="str">
        <f>IF(WSIPA!$M$46&lt;74.9,"P","")</f>
        <v/>
      </c>
      <c r="PW11" s="102" t="str">
        <f>IF(AND(WSIPA!$M$46&gt;=75,WSIPA!$M$46&lt;=83.24),"P","")</f>
        <v/>
      </c>
      <c r="PX11" s="102" t="str">
        <f>IF(AND(WSIPA!$M$46&gt;=83.25,WSIPA!$M$46&lt;=91.4),"P","")</f>
        <v/>
      </c>
      <c r="PY11" s="102" t="str">
        <f>IF(AND(WSIPA!$M$46&gt;=91.5,WSIPA!$M$46&lt;=100),"P","")</f>
        <v/>
      </c>
      <c r="PZ11" t="str">
        <f>IF(WSIPA!$M$54&lt;74.9,"P","")</f>
        <v/>
      </c>
      <c r="QA11" s="102" t="str">
        <f>IF(AND(WSIPA!$M$54&gt;=75,WSIPA!$M$54&lt;=83.24),"P","")</f>
        <v/>
      </c>
      <c r="QB11" s="102" t="str">
        <f>IF(AND(WSIPA!$M$54&gt;=83.25,WSIPA!$M$54&lt;=91.4),"P","")</f>
        <v/>
      </c>
      <c r="QC11" s="102" t="str">
        <f>IF(AND(WSIPA!$M$54&gt;=91.5,WSIPA!$M$54&lt;=100),"P","")</f>
        <v/>
      </c>
      <c r="QD11" t="str">
        <f>IF(WSIPA!$M$62&lt;74.9,"P","")</f>
        <v/>
      </c>
      <c r="QE11" s="102" t="str">
        <f>IF(AND(WSIPA!$M$62&gt;=75,WSIPA!$M$62&lt;=83.24),"P","")</f>
        <v/>
      </c>
      <c r="QF11" s="102" t="str">
        <f>IF(AND(WSIPA!$M$62&gt;=83.25,WSIPA!$M$62&lt;=91.4),"P","")</f>
        <v/>
      </c>
      <c r="QG11" s="102" t="str">
        <f>IF(AND(WSIPA!$M$62&gt;=91.5,WSIPA!$M$62&lt;=100),"P","")</f>
        <v/>
      </c>
      <c r="QH11" t="str">
        <f>IF(WSIPA!$M$70&lt;74.9,"P","")</f>
        <v/>
      </c>
      <c r="QI11" s="102" t="str">
        <f>IF(AND(WSIPA!$M$70&gt;=75,WSIPA!$M$70&lt;=83.24),"P","")</f>
        <v/>
      </c>
      <c r="QJ11" s="102" t="str">
        <f>IF(AND(WSIPA!$M$70&gt;=83.25,WSIPA!$M$70&lt;=91.4),"P","")</f>
        <v/>
      </c>
      <c r="QK11" s="102" t="str">
        <f>IF(AND(WSIPA!$M$70&gt;=91.5,WSIPA!$M$70&lt;=100),"P","")</f>
        <v/>
      </c>
      <c r="QL11" t="str">
        <f>IF(WSIPA!$M$78&lt;74.9,"P","")</f>
        <v/>
      </c>
      <c r="QM11" s="102" t="str">
        <f>IF(AND(WSIPA!$M$78&gt;=75,WSIPA!$M$78&lt;=83.24),"P","")</f>
        <v/>
      </c>
      <c r="QN11" s="102" t="str">
        <f>IF(AND(WSIPA!$M$78&gt;=83.25,WSIPA!$M$78&lt;=91.4),"P","")</f>
        <v/>
      </c>
      <c r="QO11" s="102" t="str">
        <f>IF(AND(WSIPA!$M$78&gt;=91.5,WSIPA!$M$78&lt;=100),"P","")</f>
        <v/>
      </c>
      <c r="QP11" t="str">
        <f>IF(WSIPA!$M$86&lt;74.9,"P","")</f>
        <v/>
      </c>
      <c r="QQ11" s="102" t="str">
        <f>IF(AND(WSIPA!$M$86&gt;=75,WSIPA!$M$86&lt;=83.24),"P","")</f>
        <v/>
      </c>
      <c r="QR11" s="102" t="str">
        <f>IF(AND(WSIPA!$M$86&gt;=83.25,WSIPA!$M$86&lt;=91.4),"P","")</f>
        <v/>
      </c>
      <c r="QS11" s="102" t="str">
        <f>IF(AND(WSIPA!$M$86&gt;=91.5,WSIPA!$M$86&lt;=100),"P","")</f>
        <v/>
      </c>
      <c r="QT11" t="str">
        <f>IF(WSIPA!$M$94&lt;74.9,"P","")</f>
        <v/>
      </c>
      <c r="QU11" s="102" t="str">
        <f>IF(AND(WSIPA!$M$94&gt;=75,WSIPA!$M$94&lt;=83.24),"P","")</f>
        <v/>
      </c>
      <c r="QV11" s="102" t="str">
        <f>IF(AND(WSIPA!$M$94&gt;=83.25,WSIPA!$M$94&lt;=91.4),"P","")</f>
        <v/>
      </c>
      <c r="QW11" s="102" t="str">
        <f>IF(AND(WSIPA!$M$94&gt;=91.5,WSIPA!$M$94&lt;=100),"P","")</f>
        <v/>
      </c>
      <c r="QX11" t="str">
        <f>IF(WSIPA!$M$102&lt;74.9,"P","")</f>
        <v/>
      </c>
      <c r="QY11" s="102" t="str">
        <f>IF(AND(WSIPA!$M$102&gt;=75,WSIPA!$M$102&lt;=83.24),"P","")</f>
        <v/>
      </c>
      <c r="QZ11" s="102" t="str">
        <f>IF(AND(WSIPA!$M$102&gt;=83.25,WSIPA!$M$102&lt;=91.4),"P","")</f>
        <v/>
      </c>
      <c r="RA11" s="102" t="str">
        <f>IF(AND(WSIPA!$M$102&gt;=91.5,WSIPA!$M$102&lt;=100),"P","")</f>
        <v/>
      </c>
      <c r="RB11" t="str">
        <f>IF(WSIPS!$M$6&lt;74.9,"P","")</f>
        <v/>
      </c>
      <c r="RC11" s="102" t="str">
        <f>IF(AND(WSIPS!$M$6&gt;=75,WSIPS!$M$6&lt;=83.24),"P","")</f>
        <v/>
      </c>
      <c r="RD11" s="102" t="str">
        <f>IF(AND(WSIPS!$M$6&gt;=83.25,WSIPS!$M$6&lt;=91.4),"P","")</f>
        <v/>
      </c>
      <c r="RE11" s="102" t="str">
        <f>IF(AND(WSIPS!$M$6&gt;=91.5,WSIPS!$M$6&lt;=100),"P","")</f>
        <v/>
      </c>
      <c r="RF11" t="str">
        <f>IF(WSIPS!$M$14&lt;74.9,"P","")</f>
        <v/>
      </c>
      <c r="RG11" s="102" t="str">
        <f>IF(AND(WSIPS!$M$14&gt;=75,WSIPS!$M$14&lt;=83.24),"P","")</f>
        <v/>
      </c>
      <c r="RH11" s="102" t="str">
        <f>IF(AND(WSIPS!$M$14&gt;=83.25,WSIPS!$M$14&lt;=91.4),"P","")</f>
        <v/>
      </c>
      <c r="RI11" s="102" t="str">
        <f>IF(AND(WSIPS!$M$14&gt;=91.5,WSIPS!$M$14&lt;=100),"P","")</f>
        <v/>
      </c>
      <c r="RJ11" t="str">
        <f>IF(WSIPS!$M$22&lt;74.9,"P","")</f>
        <v/>
      </c>
      <c r="RK11" s="102" t="str">
        <f>IF(AND(WSIPS!$M$22&gt;=75,WSIPS!$M$22&lt;=83.24),"P","")</f>
        <v/>
      </c>
      <c r="RL11" s="102" t="str">
        <f>IF(AND(WSIPS!$M$22&gt;=83.25,WSIPS!$M$22&lt;=91.4),"P","")</f>
        <v/>
      </c>
      <c r="RM11" s="102" t="str">
        <f>IF(AND(WSIPS!$M$22&gt;=91.5,WSIPS!$M$22&lt;=100),"P","")</f>
        <v/>
      </c>
      <c r="RN11" t="str">
        <f>IF(WSIPS!$M$30&lt;74.9,"P","")</f>
        <v/>
      </c>
      <c r="RO11" s="102" t="str">
        <f>IF(AND(WSIPS!$M$30&gt;=75,WSIPS!$M$30&lt;=83.24),"P","")</f>
        <v/>
      </c>
      <c r="RP11" s="102" t="str">
        <f>IF(AND(WSIPS!$M$30&gt;=83.25,WSIPS!$M$30&lt;=91.4),"P","")</f>
        <v/>
      </c>
      <c r="RQ11" s="102" t="str">
        <f>IF(AND(WSIPS!$M$30&gt;=91.5,WSIPS!$M$30&lt;=100),"P","")</f>
        <v/>
      </c>
      <c r="RR11" t="str">
        <f>IF(WSIPS!$M$38&lt;74.9,"P","")</f>
        <v/>
      </c>
      <c r="RS11" s="102" t="str">
        <f>IF(AND(WSIPS!$M$38&gt;=75,WSIPS!$M$38&lt;=83.24),"P","")</f>
        <v/>
      </c>
      <c r="RT11" s="102" t="str">
        <f>IF(AND(WSIPS!$M$38&gt;=83.25,WSIPS!$M$38&lt;=91.4),"P","")</f>
        <v/>
      </c>
      <c r="RU11" s="102" t="str">
        <f>IF(AND(WSIPS!$M$38&gt;=91.5,WSIPS!$M$38&lt;=100),"P","")</f>
        <v/>
      </c>
      <c r="RV11" t="str">
        <f>IF(WSIPS!$M$46&lt;74.9,"P","")</f>
        <v/>
      </c>
      <c r="RW11" s="102" t="str">
        <f>IF(AND(WSIPS!$M$46&gt;=75,WSIPS!$M$46&lt;=83.24),"P","")</f>
        <v/>
      </c>
      <c r="RX11" s="102" t="str">
        <f>IF(AND(WSIPS!$M$46&gt;=83.25,WSIPS!$M$46&lt;=91.4),"P","")</f>
        <v/>
      </c>
      <c r="RY11" s="102" t="str">
        <f>IF(AND(WSIPS!$M$46&gt;=91.5,WSIPS!$M$46&lt;=100),"P","")</f>
        <v/>
      </c>
      <c r="RZ11" t="str">
        <f>IF(WSIPS!$M$54&lt;74.9,"P","")</f>
        <v/>
      </c>
      <c r="SA11" s="102" t="str">
        <f>IF(AND(WSIPS!$M$54&gt;=75,WSIPS!$M$54&lt;=83.24),"P","")</f>
        <v/>
      </c>
      <c r="SB11" s="102" t="str">
        <f>IF(AND(WSIPS!$M$54&gt;=83.25,WSIPS!$M$54&lt;=91.4),"P","")</f>
        <v/>
      </c>
      <c r="SC11" s="102" t="str">
        <f>IF(AND(WSIPS!$M$54&gt;=91.5,WSIPS!$M$54&lt;=100),"P","")</f>
        <v/>
      </c>
      <c r="SD11" t="str">
        <f>IF(WSIPS!$M$62&lt;74.9,"P","")</f>
        <v/>
      </c>
      <c r="SE11" s="102" t="str">
        <f>IF(AND(WSIPS!$M$62&gt;=75,WSIPS!$M$62&lt;=83.24),"P","")</f>
        <v/>
      </c>
      <c r="SF11" s="102" t="str">
        <f>IF(AND(WSIPS!$M$62&gt;=83.25,WSIPS!$M$62&lt;=91.4),"P","")</f>
        <v/>
      </c>
      <c r="SG11" s="102" t="str">
        <f>IF(AND(WSIPS!$M$62&gt;=91.5,WSIPS!$M$62&lt;=100),"P","")</f>
        <v/>
      </c>
      <c r="SH11" t="str">
        <f>IF(WSIPS!$M$70&lt;74.9,"P","")</f>
        <v/>
      </c>
      <c r="SI11" s="102" t="str">
        <f>IF(AND(WSIPS!$M$70&gt;=75,WSIPS!$M$70&lt;=83.24),"P","")</f>
        <v/>
      </c>
      <c r="SJ11" s="102" t="str">
        <f>IF(AND(WSIPS!$M$70&gt;=83.25,WSIPS!$M$70&lt;=91.4),"P","")</f>
        <v/>
      </c>
      <c r="SK11" s="102" t="str">
        <f>IF(AND(WSIPS!$M$70&gt;=91.5,WSIPS!$M$70&lt;=100),"P","")</f>
        <v/>
      </c>
      <c r="SL11" t="str">
        <f>IF(WSIPS!$M$78&lt;74.9,"P","")</f>
        <v/>
      </c>
      <c r="SM11" s="102" t="str">
        <f>IF(AND(WSIPS!$M$78&gt;=75,WSIPS!$M$78&lt;=83.24),"P","")</f>
        <v/>
      </c>
      <c r="SN11" s="102" t="str">
        <f>IF(AND(WSIPS!$M$78&gt;=83.25,WSIPS!$M$78&lt;=91.4),"P","")</f>
        <v/>
      </c>
      <c r="SO11" s="102" t="str">
        <f>IF(AND(WSIPS!$M$78&gt;=91.5,WSIPS!$M$78&lt;=100),"P","")</f>
        <v/>
      </c>
      <c r="SP11" t="str">
        <f>IF(WSIPS!$M$86&lt;74.9,"P","")</f>
        <v/>
      </c>
      <c r="SQ11" s="102" t="str">
        <f>IF(AND(WSIPS!$M$86&gt;=75,WSIPS!$M$86&lt;=83.24),"P","")</f>
        <v/>
      </c>
      <c r="SR11" s="102" t="str">
        <f>IF(AND(WSIPS!$M$86&gt;=83.25,WSIPS!$M$86&lt;=91.4),"P","")</f>
        <v/>
      </c>
      <c r="SS11" s="102" t="str">
        <f>IF(AND(WSIPS!$M$86&gt;=91.5,WSIPS!$M$86&lt;=100),"P","")</f>
        <v/>
      </c>
      <c r="ST11" t="str">
        <f>IF(WSIPS!$M$94&lt;74.9,"P","")</f>
        <v/>
      </c>
      <c r="SU11" s="102" t="str">
        <f>IF(AND(WSIPS!$M$94&gt;=75,WSIPS!$M$94&lt;=83.24),"P","")</f>
        <v/>
      </c>
      <c r="SV11" s="102" t="str">
        <f>IF(AND(WSIPS!$M$94&gt;=83.25,WSIPS!$M$94&lt;=91.4),"P","")</f>
        <v/>
      </c>
      <c r="SW11" s="102" t="str">
        <f>IF(AND(WSIPS!$M$94&gt;=91.5,WSIPS!$M$94&lt;=100),"P","")</f>
        <v/>
      </c>
      <c r="SX11" t="str">
        <f>IF(WSIPS!$M$102&lt;74.9,"P","")</f>
        <v/>
      </c>
      <c r="SY11" s="102" t="str">
        <f>IF(AND(WSIPS!$M$102&gt;=75,WSIPS!$M$102&lt;=83.24),"P","")</f>
        <v/>
      </c>
      <c r="SZ11" s="102" t="str">
        <f>IF(AND(WSIPS!$M$102&gt;=83.25,WSIPS!$M$102&lt;=91.4),"P","")</f>
        <v/>
      </c>
      <c r="TA11" s="102" t="str">
        <f>IF(AND(WSIPS!$M$102&gt;=91.5,WSIPS!$M$102&lt;=100),"P","")</f>
        <v/>
      </c>
      <c r="TB11" t="str">
        <f>IF(WSSBK!$M$6&lt;74.9,"P","")</f>
        <v/>
      </c>
      <c r="TC11" s="102" t="str">
        <f>IF(AND(WSSBK!$M$6&gt;=75,WSSBK!$M$6&lt;=83.24),"P","")</f>
        <v/>
      </c>
      <c r="TD11" s="102" t="str">
        <f>IF(AND(WSSBK!$M$6&gt;=83.25,WSSBK!$M$6&lt;=91.4),"P","")</f>
        <v/>
      </c>
      <c r="TE11" s="102" t="str">
        <f>IF(AND(WSSBK!$M$6&gt;=91.5,WSSBK!$M$6&lt;=100),"P","")</f>
        <v>P</v>
      </c>
      <c r="TF11" t="str">
        <f>IF(WSSBK!$M$16&lt;74.9,"P","")</f>
        <v/>
      </c>
      <c r="TG11" s="102" t="str">
        <f>IF(AND(WSSBK!$M$16&gt;=75,WSSBK!$M$16&lt;=83.24),"P","")</f>
        <v/>
      </c>
      <c r="TH11" s="102" t="str">
        <f>IF(AND(WSSBK!$M$16&gt;=83.25,WSSBK!$M$16&lt;=91.4),"P","")</f>
        <v/>
      </c>
      <c r="TI11" s="102" t="str">
        <f>IF(AND(WSSBK!$M$16&gt;=91.5,WSSBK!$M$16&lt;=100),"P","")</f>
        <v>P</v>
      </c>
      <c r="TJ11" t="str">
        <f>IF(WSSBK!$M$26&lt;74.9,"P","")</f>
        <v/>
      </c>
      <c r="TK11" s="102" t="str">
        <f>IF(AND(WSSBK!$M$26&gt;=75,WSSBK!$M$26&lt;=83.24),"P","")</f>
        <v/>
      </c>
      <c r="TL11" s="102" t="str">
        <f>IF(AND(WSSBK!$M$26&gt;=83.25,WSSBK!$M$26&lt;=91.4),"P","")</f>
        <v>P</v>
      </c>
      <c r="TM11" s="102" t="str">
        <f>IF(AND(WSSBK!$M$26&gt;=91.5,WSSBK!$M$26&lt;=100),"P","")</f>
        <v/>
      </c>
      <c r="TN11" t="str">
        <f>IF(WSSBK!$M$36&lt;74.9,"P","")</f>
        <v/>
      </c>
      <c r="TO11" s="102" t="str">
        <f>IF(AND(WSSBK!$M$36&gt;=75,WSSBK!$M$36&lt;=83.24),"P","")</f>
        <v/>
      </c>
      <c r="TP11" s="102" t="str">
        <f>IF(AND(WSSBK!$M$36&gt;=83.25,WSSBK!$M$36&lt;=91.4),"P","")</f>
        <v>P</v>
      </c>
      <c r="TQ11" s="102" t="str">
        <f>IF(AND(WSSBK!$M$36&gt;=91.5,WSSBK!$M$36&lt;=100),"P","")</f>
        <v/>
      </c>
      <c r="TR11" t="str">
        <f>IF(WSSBK!$M$46&lt;74.9,"P","")</f>
        <v/>
      </c>
      <c r="TS11" s="102" t="str">
        <f>IF(AND(WSSBK!$M$46&gt;=75,WSSBK!$M$46&lt;=83.24),"P","")</f>
        <v/>
      </c>
      <c r="TT11" s="102" t="str">
        <f>IF(AND(WSSBK!$M$46&gt;=83.25,WSSBK!$M$46&lt;=91.4),"P","")</f>
        <v/>
      </c>
      <c r="TU11" s="102" t="str">
        <f>IF(AND(WSSBK!$M$46&gt;=91.5,WSSBK!$M$46&lt;=100),"P","")</f>
        <v>P</v>
      </c>
      <c r="TV11" t="str">
        <f>IF(WSSBK!$M$58&lt;74.9,"P","")</f>
        <v/>
      </c>
      <c r="TW11" s="102" t="str">
        <f>IF(AND(WSSBK!$M$58&gt;=75,WSSBK!$M$58&lt;=83.24),"P","")</f>
        <v/>
      </c>
      <c r="TX11" s="102" t="str">
        <f>IF(AND(WSSBK!$M$58&gt;=83.25,WSSBK!$M$58&lt;=91.4),"P","")</f>
        <v/>
      </c>
      <c r="TY11" s="102" t="str">
        <f>IF(AND(WSSBK!$M$58&gt;=91.5,WSSBK!$M$58&lt;=100),"P","")</f>
        <v>P</v>
      </c>
      <c r="TZ11" t="str">
        <f>IF(WSSBK!$M$68&lt;74.9,"P","")</f>
        <v/>
      </c>
      <c r="UA11" s="102" t="str">
        <f>IF(AND(WSSBK!$M$68&gt;=75,WSSBK!$M$68&lt;=83.24),"P","")</f>
        <v/>
      </c>
      <c r="UB11" s="102" t="str">
        <f>IF(AND(WSSBK!$M$68&gt;=83.25,WSSBK!$M$68&lt;=91.4),"P","")</f>
        <v>P</v>
      </c>
      <c r="UC11" s="102" t="str">
        <f>IF(AND(WSSBK!$M$68&gt;=91.5,WSSBK!$M$68&lt;=100),"P","")</f>
        <v/>
      </c>
      <c r="UD11" t="str">
        <f>IF(WSSBK!$M$77&lt;74.9,"P","")</f>
        <v/>
      </c>
      <c r="UE11" s="102" t="str">
        <f>IF(AND(WSSBK!$M$77&gt;=75,WSSBK!$M$77&lt;=83.24),"P","")</f>
        <v/>
      </c>
      <c r="UF11" s="102" t="str">
        <f>IF(AND(WSSBK!$M$77&gt;=83.25,WSSBK!$M$77&lt;=91.4),"P","")</f>
        <v>P</v>
      </c>
      <c r="UG11" s="102" t="str">
        <f>IF(AND(WSSBK!$M$77&gt;=91.5,WSSBK!$M$77&lt;=100),"P","")</f>
        <v/>
      </c>
      <c r="UH11" t="str">
        <f>IF(WSSBK!$M$87&lt;74.9,"P","")</f>
        <v/>
      </c>
      <c r="UI11" s="102" t="str">
        <f>IF(AND(WSSBK!$M$87&gt;=75,WSSBK!$M$87&lt;=83.24),"P","")</f>
        <v/>
      </c>
      <c r="UJ11" s="102" t="str">
        <f>IF(AND(WSSBK!$M$87&gt;=83.25,WSSBK!$M$87&lt;=91.4),"P","")</f>
        <v/>
      </c>
      <c r="UK11" s="102" t="str">
        <f>IF(AND(WSSBK!$M$87&gt;=91.5,WSSBK!$M$87&lt;=100),"P","")</f>
        <v/>
      </c>
      <c r="UL11" t="str">
        <f>IF(WSSBK!$M$95&lt;74.9,"P","")</f>
        <v/>
      </c>
      <c r="UM11" s="102" t="str">
        <f>IF(AND(WSSBK!$M$95&gt;=75,WSSBK!$M$95&lt;=83.24),"P","")</f>
        <v/>
      </c>
      <c r="UN11" s="102" t="str">
        <f>IF(AND(WSSBK!$M$95&gt;=83.25,WSSBK!$M$95&lt;=91.4),"P","")</f>
        <v/>
      </c>
      <c r="UO11" s="102" t="str">
        <f>IF(AND(WSSBK!$M$95&gt;=91.5,WSSBK!$M$95&lt;=100),"P","")</f>
        <v/>
      </c>
      <c r="UP11" t="str">
        <f>IF(WSSBK!$M$103&lt;74.9,"P","")</f>
        <v/>
      </c>
      <c r="UQ11" s="102" t="str">
        <f>IF(AND(WSSBK!$M$103&gt;=75,WSSBK!$M$103&lt;=83.24),"P","")</f>
        <v/>
      </c>
      <c r="UR11" s="102" t="str">
        <f>IF(AND(WSSBK!$M$103&gt;=83.25,WSSBK!$M$103&lt;=91.4),"P","")</f>
        <v/>
      </c>
      <c r="US11" s="102" t="str">
        <f>IF(AND(WSSBK!$M$103&gt;=91.5,WSSBK!$M$103&lt;=100),"P","")</f>
        <v/>
      </c>
      <c r="UT11" t="str">
        <f>IF(WSSBK!$M$111&lt;74.9,"P","")</f>
        <v/>
      </c>
      <c r="UU11" s="102" t="str">
        <f>IF(AND(WSSBK!$M$111&gt;=75,WSSBK!$M$111&lt;=83.24),"P","")</f>
        <v/>
      </c>
      <c r="UV11" s="102" t="str">
        <f>IF(AND(WSSBK!$M$111&gt;=83.25,WSSBK!$M$111&lt;=91.4),"P","")</f>
        <v/>
      </c>
      <c r="UW11" s="102" t="str">
        <f>IF(AND(WSSBK!$M$111&gt;=91.5,WSSBK!$M$111&lt;=100),"P","")</f>
        <v/>
      </c>
      <c r="UX11" t="str">
        <f>IF(WSSBK!$M$119&lt;74.9,"P","")</f>
        <v/>
      </c>
      <c r="UY11" s="102" t="str">
        <f>IF(AND(WSSBK!$M$119&gt;=75,WSSBK!$M$119&lt;=83.24),"P","")</f>
        <v/>
      </c>
      <c r="UZ11" s="102" t="str">
        <f>IF(AND(WSSBK!$M$119&gt;=83.25,WSSBK!$M$119&lt;=91.4),"P","")</f>
        <v/>
      </c>
      <c r="VA11" s="102" t="str">
        <f>IF(AND(WSSBK!$M$119&gt;=91.5,WSSBK!$M$119&lt;=100),"P","")</f>
        <v/>
      </c>
      <c r="VB11" s="102" t="str">
        <f>IF(AND(WSPENJAS!$M$6&gt;0,WSPENJAS!$M$6&lt;=74.9),"P","")</f>
        <v/>
      </c>
      <c r="VC11" s="102" t="str">
        <f>IF(AND(WSPENJAS!$M$6&gt;=75,WSPENJAS!$M$6&lt;=83.24),"P","")</f>
        <v/>
      </c>
      <c r="VD11" s="102" t="str">
        <f>IF(AND(WSPENJAS!$M$6&gt;=83.25,WSPENJAS!$M$6&lt;=91.4),"P","")</f>
        <v>P</v>
      </c>
      <c r="VE11" s="102" t="str">
        <f>IF(AND(WSPENJAS!$M$6&gt;=91.5,WSPENJAS!$M$6&lt;=100),"P","")</f>
        <v/>
      </c>
      <c r="VF11" s="102" t="str">
        <f>IF(AND(WSPENJAS!$M$7&gt;0,WSPENJAS!$M$7&lt;=74.9),"P","")</f>
        <v/>
      </c>
      <c r="VG11" s="102" t="str">
        <f>IF(AND(WSPENJAS!$M$7&gt;=75,WSPENJAS!$M$7&lt;=83.24),"P","")</f>
        <v/>
      </c>
      <c r="VH11" s="102" t="str">
        <f>IF(AND(WSPENJAS!$M$7&gt;=83.25,WSPENJAS!$M$7&lt;=91.4),"P","")</f>
        <v>P</v>
      </c>
      <c r="VI11" s="102" t="str">
        <f>IF(AND(WSPENJAS!$M$7&gt;=91.5,WSPENJAS!$M$7&lt;=100),"P","")</f>
        <v/>
      </c>
      <c r="VJ11" s="102" t="str">
        <f>IF(AND(WSPENJAS!$M$8&gt;0,WSPENJAS!$M$8&lt;=74.9),"P","")</f>
        <v/>
      </c>
      <c r="VK11" s="102" t="str">
        <f>IF(AND(WSPENJAS!$M$8&gt;=75,WSPENJAS!$M$8&lt;=83.24),"P","")</f>
        <v/>
      </c>
      <c r="VL11" s="102" t="str">
        <f>IF(AND(WSPENJAS!$M$8&gt;=83.25,WSPENJAS!$M$8&lt;=91.4),"P","")</f>
        <v>P</v>
      </c>
      <c r="VM11" s="102" t="str">
        <f>IF(AND(WSPENJAS!$M$8&gt;=91.5,WSPENJAS!$M$8&lt;=100),"P","")</f>
        <v/>
      </c>
      <c r="VN11" s="102" t="str">
        <f>IF(AND(WSPENJAS!$M$9&gt;0,WSPENJAS!$M$9&lt;=74.9),"P","")</f>
        <v/>
      </c>
      <c r="VO11" s="102" t="str">
        <f>IF(AND(WSPENJAS!$M$9&gt;=75,WSPENJAS!$M$9&lt;=83.24),"P","")</f>
        <v/>
      </c>
      <c r="VP11" s="102" t="str">
        <f>IF(AND(WSPENJAS!$M$9&gt;=83.25,WSPENJAS!$M$9&lt;=91.4),"P","")</f>
        <v>P</v>
      </c>
      <c r="VQ11" s="102" t="str">
        <f>IF(AND(WSPENJAS!$M$9&gt;=91.5,WSPENJAS!$M$9&lt;=100),"P","")</f>
        <v/>
      </c>
      <c r="VR11" s="102" t="str">
        <f>IF(AND(WSPENJAS!$M$10&gt;0,WSPENJAS!$M$10&lt;=74.9),"P","")</f>
        <v/>
      </c>
      <c r="VS11" s="102" t="str">
        <f>IF(AND(WSPENJAS!$M$10&gt;=75,WSPENJAS!$M$10&lt;=83.24),"P","")</f>
        <v/>
      </c>
      <c r="VT11" s="102" t="str">
        <f>IF(AND(WSPENJAS!$M$10&gt;=83.25,WSPENJAS!$M$10&lt;=91.4),"P","")</f>
        <v>P</v>
      </c>
      <c r="VU11" s="102" t="str">
        <f>IF(AND(WSPENJAS!$M$10&gt;=91.5,WSPENJAS!$M$10&lt;=100),"P","")</f>
        <v/>
      </c>
      <c r="VV11" s="102" t="str">
        <f>IF(AND(WSPENJAS!$M$11&gt;0,WSPENJAS!$M$11&lt;=74.9),"P","")</f>
        <v/>
      </c>
      <c r="VW11" s="102" t="str">
        <f>IF(AND(WSPENJAS!$M$411&gt;=75,WSPENJAS!$M$411&lt;=83.24),"P","")</f>
        <v/>
      </c>
      <c r="VX11" s="102" t="str">
        <f>IF(AND(WSPENJAS!$M$411&gt;=83.25,WSPENJAS!$M$411&lt;=91.4),"P","")</f>
        <v/>
      </c>
      <c r="VY11" s="102" t="str">
        <f>IF(AND(WSPENJAS!$M$411&gt;=91.5,WSPENJAS!$M$411&lt;=100),"P","")</f>
        <v/>
      </c>
      <c r="VZ11" s="102" t="str">
        <f>IF(AND(WSPENJAS!$M$12&gt;0,WSPENJAS!$M$12&lt;=74.9),"P","")</f>
        <v/>
      </c>
      <c r="WA11" s="102" t="str">
        <f>IF(AND(WSPENJAS!$M$12&gt;=75,WSPENJAS!$M$12&lt;=83.24),"P","")</f>
        <v/>
      </c>
      <c r="WB11" s="102" t="str">
        <f>IF(AND(WSPENJAS!$M$12&gt;=83.25,WSPENJAS!$M$12&lt;=91.4),"P","")</f>
        <v>P</v>
      </c>
      <c r="WC11" s="102" t="str">
        <f>IF(AND(WSPENJAS!$M$12&gt;=91.5,WSPENJAS!$M$12&lt;=100),"P","")</f>
        <v/>
      </c>
      <c r="WD11" s="102" t="str">
        <f>IF(AND(WSPENJAS!$M$13&gt;0,WSPENJAS!$M$13&lt;=74.9),"P","")</f>
        <v/>
      </c>
      <c r="WE11" s="102" t="str">
        <f>IF(AND(WSPENJAS!$M$13&gt;=75,WSPENJAS!$M$13&lt;=83.24),"P","")</f>
        <v/>
      </c>
      <c r="WF11" s="102" t="str">
        <f>IF(AND(WSPENJAS!$M$13&gt;=83.25,WSPENJAS!$M$13&lt;=91.4),"P","")</f>
        <v>P</v>
      </c>
      <c r="WG11" s="102" t="str">
        <f>IF(AND(WSPENJAS!$M$13&gt;=91.5,WSPENJAS!$M$13&lt;=100),"P","")</f>
        <v/>
      </c>
      <c r="WH11" s="102" t="str">
        <f>IF(AND(WSPENJAS!$M$14&gt;0,WSPENJAS!$M$14&lt;=74.9),"P","")</f>
        <v/>
      </c>
      <c r="WI11" s="102" t="str">
        <f>IF(AND(WSPENJAS!$M$14&gt;=75,WSPENJAS!$M$14&lt;=83.24),"P","")</f>
        <v/>
      </c>
      <c r="WJ11" s="102" t="str">
        <f>IF(AND(WSPENJAS!$M$14&gt;=83.25,WSPENJAS!$M$14&lt;=91.4),"P","")</f>
        <v>P</v>
      </c>
      <c r="WK11" s="102" t="str">
        <f>IF(AND(WSPENJAS!$M$14&gt;=91.5,WSPENJAS!$M$14&lt;=100),"P","")</f>
        <v/>
      </c>
      <c r="WL11" s="102" t="str">
        <f>IF(AND(WSPENJAS!$M$15&gt;0,WSPENJAS!$M$15&lt;=74.9),"P","")</f>
        <v/>
      </c>
      <c r="WM11" s="102" t="str">
        <f>IF(AND(WSPENJAS!$M$15&gt;=75,WSPENJAS!$M$15&lt;=83.24),"P","")</f>
        <v/>
      </c>
      <c r="WN11" s="102" t="str">
        <f>IF(AND(WSPENJAS!$M$15&gt;=83.25,WSPENJAS!$M$15&lt;=91.4),"P","")</f>
        <v>P</v>
      </c>
      <c r="WO11" s="102" t="str">
        <f>IF(AND(WSPENJAS!$M$15&gt;=91.5,WSPENJAS!$M$15&lt;=100),"P","")</f>
        <v/>
      </c>
      <c r="WP11" s="102" t="str">
        <f>IF(AND(WSPENJAS!$M$16&gt;0,WSPENJAS!$M$16&lt;=74.9),"P","")</f>
        <v/>
      </c>
      <c r="WQ11" s="102" t="str">
        <f>IF(AND(WSPENJAS!$M$16&gt;=75,WSPENJAS!$M$16&lt;=83.24),"P","")</f>
        <v/>
      </c>
      <c r="WR11" s="102" t="str">
        <f>IF(AND(WSPENJAS!$M$16&gt;=83.25,WSPENJAS!$M$16&lt;=91.4),"P","")</f>
        <v/>
      </c>
      <c r="WS11" s="102" t="str">
        <f>IF(AND(WSPENJAS!$M$16&gt;=91.5,WSPENJAS!$M$16&lt;=100),"P","")</f>
        <v/>
      </c>
      <c r="WT11" s="102" t="str">
        <f>IF(AND(WSPENJAS!$M$17&gt;0,WSPENJAS!$M$17&lt;=74.9),"P","")</f>
        <v/>
      </c>
      <c r="WU11" s="102" t="str">
        <f>IF(AND(WSPENJAS!$M$17&gt;=75,WSPENJAS!$M$17&lt;=83.24),"P","")</f>
        <v/>
      </c>
      <c r="WV11" s="102" t="str">
        <f>IF(AND(WSPENJAS!$M$17&gt;=83.25,WSPENJAS!$M$17&lt;=91.4),"P","")</f>
        <v/>
      </c>
      <c r="WW11" s="102" t="str">
        <f>IF(AND(WSPENJAS!$M$17&gt;=91.5,WSPENJAS!$M$17&lt;=100),"P","")</f>
        <v/>
      </c>
      <c r="WX11" s="102" t="str">
        <f>IF(AND(WSPENJAS!$M$18&gt;0,WSPENJAS!$M$18&lt;=74.9),"P","")</f>
        <v/>
      </c>
      <c r="WY11" s="102" t="str">
        <f>IF(AND(WSPENJAS!$M$18&gt;=75,WSPENJAS!$M$18&lt;=83.24),"P","")</f>
        <v/>
      </c>
      <c r="WZ11" s="102" t="str">
        <f>IF(AND(WSPENJAS!$M$18&gt;=83.25,WSPENJAS!$M$18&lt;=91.4),"P","")</f>
        <v/>
      </c>
      <c r="XA11" s="102" t="str">
        <f>IF(AND(WSPENJAS!$M$18&gt;=91.5,WSPENJAS!$M$18&lt;=100),"P","")</f>
        <v/>
      </c>
      <c r="XB11" s="102" t="str">
        <f>IF(AND(WSPENJAS!$M$19&gt;0,WSPENJAS!$M$19&lt;=74.9),"P","")</f>
        <v/>
      </c>
      <c r="XC11" s="102" t="str">
        <f>IF(AND(WSPENJAS!$M$19&gt;=75,WSPENJAS!$M$19&lt;=83.24),"P","")</f>
        <v/>
      </c>
      <c r="XD11" s="102" t="str">
        <f>IF(AND(WSPENJAS!$M$19&gt;=83.25,WSPENJAS!$M$19&lt;=91.4),"P","")</f>
        <v/>
      </c>
      <c r="XE11" s="102" t="str">
        <f>IF(AND(WSPENJAS!$M$19&gt;=91.5,WSPENJAS!$M$19&lt;=100),"P","")</f>
        <v/>
      </c>
      <c r="XF11" s="102" t="str">
        <f>IF(AND(WSPENJAS!$M$20&gt;0,WSPENJAS!$M$20&lt;=74.9),"P","")</f>
        <v/>
      </c>
      <c r="XG11" s="102" t="str">
        <f>IF(AND(WSPENJAS!$M$20&gt;=75,WSPENJAS!$M$20&lt;=83.24),"P","")</f>
        <v/>
      </c>
      <c r="XH11" s="102" t="str">
        <f>IF(AND(WSPENJAS!$M$20&gt;=83.25,WSPENJAS!$M$20&lt;=91.4),"P","")</f>
        <v/>
      </c>
      <c r="XI11" s="102" t="str">
        <f>IF(AND(WSPENJAS!$M$20&gt;=91.5,WSPENJAS!$M$20&lt;=100),"P","")</f>
        <v/>
      </c>
      <c r="XJ11" s="102" t="str">
        <f>IF(AND(WSPENJAS!$M$21&gt;0,WSPENJAS!$M$21&lt;=74.9),"P","")</f>
        <v/>
      </c>
      <c r="XK11" s="102" t="str">
        <f>IF(AND(WSPENJAS!$M$21&gt;=75,WSPENJAS!$M$21&lt;=83.24),"P","")</f>
        <v/>
      </c>
      <c r="XL11" s="102" t="str">
        <f>IF(AND(WSPENJAS!$M$21&gt;=83.25,WSPENJAS!$M$21&lt;=91.4),"P","")</f>
        <v/>
      </c>
      <c r="XM11" s="102" t="str">
        <f>IF(AND(WSPENJAS!$M$21&gt;=91.5,WSPENJAS!$M$21&lt;=100),"P","")</f>
        <v/>
      </c>
      <c r="XN11" t="str">
        <f>IF(WSJAWA!$M$6&lt;74.9,"P","")</f>
        <v/>
      </c>
      <c r="XO11" s="102" t="str">
        <f>IF(AND(WSJAWA!$M$6&gt;=75,WSJAWA!$M$6&lt;=83.24),"P","")</f>
        <v/>
      </c>
      <c r="XP11" s="102" t="str">
        <f>IF(AND(WSJAWA!$M$6&gt;=83.25,WSJAWA!$M$6&lt;=91.4),"P","")</f>
        <v/>
      </c>
      <c r="XQ11" s="102" t="str">
        <f>IF(AND(WSJAWA!$M$6&gt;=91.5,WSJAWA!$M$6&lt;=100),"P","")</f>
        <v>P</v>
      </c>
      <c r="XR11" t="str">
        <f>IF(WSJAWA!$M$14&lt;74.9,"P","")</f>
        <v/>
      </c>
      <c r="XS11" s="102" t="str">
        <f>IF(AND(WSJAWA!$M$14&gt;=75,WSJAWA!$M$14&lt;=83.24),"P","")</f>
        <v/>
      </c>
      <c r="XT11" s="102" t="str">
        <f>IF(AND(WSJAWA!$M$14&gt;=83.25,WSJAWA!$M$14&lt;=91.4),"P","")</f>
        <v/>
      </c>
      <c r="XU11" s="102" t="str">
        <f>IF(AND(WSJAWA!$M$14&gt;=91.5,WSJAWA!$M$14&lt;=100),"P","")</f>
        <v>P</v>
      </c>
      <c r="XV11" t="str">
        <f>IF(WSJAWA!$M$22&lt;74.9,"P","")</f>
        <v/>
      </c>
      <c r="XW11" s="102" t="str">
        <f>IF(AND(WSJAWA!$M$22&gt;=75,WSJAWA!$M$22&lt;=83.24),"P","")</f>
        <v/>
      </c>
      <c r="XX11" s="102" t="str">
        <f>IF(AND(WSJAWA!$M$22&gt;=83.25,WSJAWA!$M$22&lt;=91.4),"P","")</f>
        <v/>
      </c>
      <c r="XY11" s="102" t="str">
        <f>IF(AND(WSJAWA!$M$22&gt;=91.5,WSJAWA!$M$22&lt;=100),"P","")</f>
        <v>P</v>
      </c>
      <c r="XZ11" t="str">
        <f>IF(WSJAWA!$M$30&lt;74.9,"P","")</f>
        <v/>
      </c>
      <c r="YA11" s="102" t="str">
        <f>IF(AND(WSJAWA!$M$30&gt;=75,WSJAWA!$M$30&lt;=83.24),"P","")</f>
        <v/>
      </c>
      <c r="YB11" s="102" t="str">
        <f>IF(AND(WSJAWA!$M$30&gt;=83.25,WSJAWA!$M$30&lt;=91.4),"P","")</f>
        <v/>
      </c>
      <c r="YC11" s="102" t="str">
        <f>IF(AND(WSJAWA!$M$30&gt;=91.5,WSJAWA!$M$30&lt;=100),"P","")</f>
        <v>P</v>
      </c>
      <c r="YD11" t="str">
        <f>IF(WSJAWA!$M$38&lt;74.9,"P","")</f>
        <v/>
      </c>
      <c r="YE11" s="102" t="str">
        <f>IF(AND(WSJAWA!$M$38&gt;=75,WSJAWA!$M$38&lt;=83.24),"P","")</f>
        <v/>
      </c>
      <c r="YF11" s="102" t="str">
        <f>IF(AND(WSJAWA!$M$38&gt;=83.25,WSJAWA!$M$38&lt;=91.4),"P","")</f>
        <v/>
      </c>
      <c r="YG11" s="102" t="str">
        <f>IF(AND(WSJAWA!$M$38&gt;=91.5,WSJAWA!$M$38&lt;=100),"P","")</f>
        <v>P</v>
      </c>
      <c r="YH11" t="str">
        <f>IF(WSJAWA!$M$46&lt;74.9,"P","")</f>
        <v/>
      </c>
      <c r="YI11" s="102" t="str">
        <f>IF(AND(WSJAWA!$M$46&gt;=75,WSJAWA!$M$46&lt;=83.24),"P","")</f>
        <v/>
      </c>
      <c r="YJ11" s="102" t="str">
        <f>IF(AND(WSJAWA!$M$46&gt;=83.25,WSJAWA!$M$46&lt;=91.4),"P","")</f>
        <v/>
      </c>
      <c r="YK11" s="102" t="str">
        <f>IF(AND(WSJAWA!$M$46&gt;=91.5,WSJAWA!$M$46&lt;=100),"P","")</f>
        <v>P</v>
      </c>
      <c r="YL11" t="str">
        <f>IF(WSJAWA!$M$54&lt;74.9,"P","")</f>
        <v/>
      </c>
      <c r="YM11" s="102" t="str">
        <f>IF(AND(WSJAWA!$M$54&gt;=75,WSJAWA!$M$54&lt;=83.24),"P","")</f>
        <v/>
      </c>
      <c r="YN11" s="102" t="str">
        <f>IF(AND(WSJAWA!$M$54&gt;=83.25,WSJAWA!$M$54&lt;=91.4),"P","")</f>
        <v/>
      </c>
      <c r="YO11" s="102" t="str">
        <f>IF(AND(WSJAWA!$M$54&gt;=91.5,WSJAWA!$M$54&lt;=100),"P","")</f>
        <v>P</v>
      </c>
      <c r="YP11" t="str">
        <f>IF(WSJAWA!$M$62&lt;74.9,"P","")</f>
        <v/>
      </c>
      <c r="YQ11" s="102" t="str">
        <f>IF(AND(WSJAWA!$M$62&gt;=75,WSJAWA!$M$62&lt;=83.24),"P","")</f>
        <v/>
      </c>
      <c r="YR11" s="102" t="str">
        <f>IF(AND(WSJAWA!$M$62&gt;=83.25,WSJAWA!$M$62&lt;=91.4),"P","")</f>
        <v/>
      </c>
      <c r="YS11" s="102" t="str">
        <f>IF(AND(WSJAWA!$M$62&gt;=91.5,WSJAWA!$M$62&lt;=100),"P","")</f>
        <v>P</v>
      </c>
      <c r="YT11" t="str">
        <f>IF(WSJAWA!$M$70&lt;74.9,"P","")</f>
        <v/>
      </c>
      <c r="YU11" s="102" t="str">
        <f>IF(AND(WSJAWA!$M$70&gt;=75,WSJAWA!$M$70&lt;=83.24),"P","")</f>
        <v/>
      </c>
      <c r="YV11" s="102" t="str">
        <f>IF(AND(WSJAWA!$M$70&gt;=83.25,WSJAWA!$M$70&lt;=91.4),"P","")</f>
        <v/>
      </c>
      <c r="YW11" s="102" t="str">
        <f>IF(AND(WSJAWA!$M$70&gt;=91.5,WSJAWA!$M$70&lt;=100),"P","")</f>
        <v/>
      </c>
      <c r="YX11" t="str">
        <f>IF(WSJAWA!$M$78&lt;74.9,"P","")</f>
        <v/>
      </c>
      <c r="YY11" s="102" t="str">
        <f>IF(AND(WSJAWA!$M$78&gt;=75,WSJAWA!$M$78&lt;=83.24),"P","")</f>
        <v/>
      </c>
      <c r="YZ11" s="102" t="str">
        <f>IF(AND(WSJAWA!$M$78&gt;=83.25,WSJAWA!$M$78&lt;=91.4),"P","")</f>
        <v/>
      </c>
      <c r="ZA11" s="102" t="str">
        <f>IF(AND(WSJAWA!$M$78&gt;=91.5,WSJAWA!$M$78&lt;=100),"P","")</f>
        <v/>
      </c>
      <c r="ZB11" t="str">
        <f>IF(WSJAWA!$M$86&lt;74.9,"P","")</f>
        <v/>
      </c>
      <c r="ZC11" s="102" t="str">
        <f>IF(AND(WSJAWA!$M$86&gt;=75,WSJAWA!$M$86&lt;=83.24),"P","")</f>
        <v/>
      </c>
      <c r="ZD11" s="102" t="str">
        <f>IF(AND(WSJAWA!$M$86&gt;=83.25,WSJAWA!$M$86&lt;=91.4),"P","")</f>
        <v/>
      </c>
      <c r="ZE11" s="102" t="str">
        <f>IF(AND(WSJAWA!$M$86&gt;=91.5,WSJAWA!$M$86&lt;=100),"P","")</f>
        <v/>
      </c>
      <c r="ZF11" t="str">
        <f>IF(WSJAWA!$M$94&lt;74.9,"P","")</f>
        <v/>
      </c>
      <c r="ZG11" s="102" t="str">
        <f>IF(AND(WSJAWA!$M$94&gt;=75,WSJAWA!$M$94&lt;=83.24),"P","")</f>
        <v/>
      </c>
      <c r="ZH11" s="102" t="str">
        <f>IF(AND(WSJAWA!$M$94&gt;=83.25,WSJAWA!$M$94&lt;=91.4),"P","")</f>
        <v/>
      </c>
      <c r="ZI11" s="102" t="str">
        <f>IF(AND(WSJAWA!$M$94&gt;=91.5,WSJAWA!$M$94&lt;=100),"P","")</f>
        <v/>
      </c>
      <c r="ZJ11" t="str">
        <f>IF(WSJAWA!$M$102&lt;74.9,"P","")</f>
        <v/>
      </c>
      <c r="ZK11" s="102" t="str">
        <f>IF(AND(WSJAWA!$M$102&gt;=75,WSJAWA!$M$102&lt;=83.24),"P","")</f>
        <v/>
      </c>
      <c r="ZL11" s="102" t="str">
        <f>IF(AND(WSJAWA!$M$102&gt;=83.25,WSJAWA!$M$102&lt;=91.4),"P","")</f>
        <v/>
      </c>
      <c r="ZM11" s="102" t="str">
        <f>IF(AND(WSJAWA!$M$102&gt;=91.5,WSJAWA!$M$102&lt;=100),"P","")</f>
        <v/>
      </c>
      <c r="ZN11" t="str">
        <f>IF(WSING!$M$6&lt;74.9,"P","")</f>
        <v/>
      </c>
      <c r="ZO11" s="102" t="str">
        <f>IF(AND(WSING!$M$6&gt;=75,WSING!$M$6&lt;=83.24),"P","")</f>
        <v/>
      </c>
      <c r="ZP11" s="102" t="str">
        <f>IF(AND(WSING!$M$6&gt;=83.25,WSING!$M$6&lt;=91.4),"P","")</f>
        <v/>
      </c>
      <c r="ZQ11" s="102" t="str">
        <f>IF(AND(WSING!$M$6&gt;=91.5,WSING!$M$6&lt;=100),"P","")</f>
        <v>P</v>
      </c>
      <c r="ZR11" t="str">
        <f>IF(WSING!$M$15&lt;74.9,"P","")</f>
        <v/>
      </c>
      <c r="ZS11" s="102" t="str">
        <f>IF(AND(WSING!$M$15&gt;=75,WSING!$M$15&lt;=83.24),"P","")</f>
        <v/>
      </c>
      <c r="ZT11" s="102" t="str">
        <f>IF(AND(WSING!$M$15&gt;=83.25,WSING!$M$15&lt;=91.4),"P","")</f>
        <v/>
      </c>
      <c r="ZU11" s="102" t="str">
        <f>IF(AND(WSING!$M$15&gt;=91.5,WSING!$M$15&lt;=100),"P","")</f>
        <v>P</v>
      </c>
      <c r="ZV11" t="str">
        <f>IF(WSING!$M$24&lt;74.9,"P","")</f>
        <v/>
      </c>
      <c r="ZW11" s="102" t="str">
        <f>IF(AND(WSING!$M$24&gt;=75,WSING!$M$24&lt;=83.24),"P","")</f>
        <v/>
      </c>
      <c r="ZX11" s="102" t="str">
        <f>IF(AND(WSING!$M$24&gt;=83.25,WSING!$M$24&lt;=91.4),"P","")</f>
        <v/>
      </c>
      <c r="ZY11" s="102" t="str">
        <f>IF(AND(WSING!$M$24&gt;=91.5,WSING!$M$24&lt;=100),"P","")</f>
        <v>P</v>
      </c>
      <c r="ZZ11" t="str">
        <f>IF(WSING!$M$33&lt;74.9,"P","")</f>
        <v/>
      </c>
      <c r="AAA11" s="102" t="str">
        <f>IF(AND(WSING!$M$33&gt;=75,WSING!$M$33&lt;=83.24),"P","")</f>
        <v/>
      </c>
      <c r="AAB11" s="102" t="str">
        <f>IF(AND(WSING!$M$33&gt;=83.25,WSING!$M$33&lt;=91.4),"P","")</f>
        <v/>
      </c>
      <c r="AAC11" s="102" t="str">
        <f>IF(AND(WSING!$M$33&gt;=91.5,WSING!$M$33&lt;=100),"P","")</f>
        <v>P</v>
      </c>
      <c r="AAD11" t="str">
        <f>IF(WSING!$M$42&lt;74.9,"P","")</f>
        <v/>
      </c>
      <c r="AAE11" s="102" t="str">
        <f>IF(AND(WSING!$M$42&gt;=75,WSING!$M$42&lt;=83.24),"P","")</f>
        <v/>
      </c>
      <c r="AAF11" s="102" t="str">
        <f>IF(AND(WSING!$M$42&gt;=83.25,WSING!$M$42&lt;=91.4),"P","")</f>
        <v/>
      </c>
      <c r="AAG11" s="102" t="str">
        <f>IF(AND(WSING!$M$42&gt;=91.5,WSING!$M$42&lt;=100),"P","")</f>
        <v/>
      </c>
      <c r="AAH11" t="str">
        <f>IF(WSING!$M$50&lt;74.9,"P","")</f>
        <v/>
      </c>
      <c r="AAI11" s="102" t="str">
        <f>IF(AND(WSING!$M$50&gt;=75,WSING!$M$50&lt;=83.24),"P","")</f>
        <v/>
      </c>
      <c r="AAJ11" s="102" t="str">
        <f>IF(AND(WSING!$M$50&gt;=83.25,WSING!$M$50&lt;=91.4),"P","")</f>
        <v/>
      </c>
      <c r="AAK11" s="102" t="str">
        <f>IF(AND(WSING!$M$50&gt;=91.5,WSING!$M$50&lt;=100),"P","")</f>
        <v/>
      </c>
      <c r="AAL11" t="str">
        <f>IF(WSING!$M$58&lt;74.9,"P","")</f>
        <v/>
      </c>
      <c r="AAM11" s="102" t="str">
        <f>IF(AND(WSING!$M$58&gt;=75,WSING!$M$58&lt;=83.24),"P","")</f>
        <v/>
      </c>
      <c r="AAN11" s="102" t="str">
        <f>IF(AND(WSING!$M$58&gt;=83.25,WSING!$M$58&lt;=91.4),"P","")</f>
        <v/>
      </c>
      <c r="AAO11" s="102" t="str">
        <f>IF(AND(WSING!$M$58&gt;=91.5,WSING!$M$58&lt;=100),"P","")</f>
        <v/>
      </c>
      <c r="AAP11" t="str">
        <f>IF(WSING!$M$66&lt;74.9,"P","")</f>
        <v/>
      </c>
      <c r="AAQ11" s="102" t="str">
        <f>IF(AND(WSING!$M$66&gt;=75,WSING!$M$66&lt;=83.24),"P","")</f>
        <v/>
      </c>
      <c r="AAR11" s="102" t="str">
        <f>IF(AND(WSING!$M$66&gt;=83.25,WSING!$M$66&lt;=91.4),"P","")</f>
        <v/>
      </c>
      <c r="AAS11" s="102" t="str">
        <f>IF(AND(WSING!$M$66&gt;=91.5,WSING!$M$66&lt;=100),"P","")</f>
        <v/>
      </c>
      <c r="AAT11" t="str">
        <f>IF(WSING!$M$74&lt;74.9,"P","")</f>
        <v/>
      </c>
      <c r="AAU11" s="102" t="str">
        <f>IF(AND(WSING!$M$74&gt;=75,WSING!$M$74&lt;=83.24),"P","")</f>
        <v/>
      </c>
      <c r="AAV11" s="102" t="str">
        <f>IF(AND(WSING!$M$74&gt;=83.25,WSING!$M$74&lt;=91.4),"P","")</f>
        <v/>
      </c>
      <c r="AAW11" s="102" t="str">
        <f>IF(AND(WSING!$M$74&gt;=91.5,WSING!$M$74&lt;=100),"P","")</f>
        <v/>
      </c>
      <c r="AAX11" t="str">
        <f>IF(WSING!$M$82&lt;74.9,"P","")</f>
        <v/>
      </c>
      <c r="AAY11" s="102" t="str">
        <f>IF(AND(WSING!$M$82&gt;=75,WSING!$M$82&lt;=83.24),"P","")</f>
        <v/>
      </c>
      <c r="AAZ11" s="102" t="str">
        <f>IF(AND(WSING!$M$82&gt;=83.25,WSING!$M$82&lt;=91.4),"P","")</f>
        <v/>
      </c>
      <c r="ABA11" s="102" t="str">
        <f>IF(AND(WSING!$M$82&gt;=91.5,WSING!$M$82&lt;=100),"P","")</f>
        <v/>
      </c>
      <c r="ABB11" t="str">
        <f>IF(WSING!$M$90&lt;74.9,"P","")</f>
        <v/>
      </c>
      <c r="ABC11" s="102" t="str">
        <f>IF(AND(WSING!$M$90&gt;=75,WSING!$M$90&lt;=83.24),"P","")</f>
        <v/>
      </c>
      <c r="ABD11" s="102" t="str">
        <f>IF(AND(WSING!$M$90&gt;=83.25,WSING!$M$90&lt;=91.4),"P","")</f>
        <v/>
      </c>
      <c r="ABE11" s="102" t="str">
        <f>IF(AND(WSING!$M$90&gt;=91.5,WSING!$M$90&lt;=100),"P","")</f>
        <v/>
      </c>
      <c r="ABF11" t="str">
        <f>IF(WSING!$M$98&lt;74.9,"P","")</f>
        <v/>
      </c>
      <c r="ABG11" s="102" t="str">
        <f>IF(AND(WSING!$M$98&gt;=75,WSING!$M$98&lt;=83.24),"P","")</f>
        <v/>
      </c>
      <c r="ABH11" s="102" t="str">
        <f>IF(AND(WSING!$M$98&gt;=83.25,WSING!$M$98&lt;=91.4),"P","")</f>
        <v/>
      </c>
      <c r="ABI11" s="102" t="str">
        <f>IF(AND(WSING!$M$98&gt;=91.5,WSING!$M$98&lt;=100),"P","")</f>
        <v/>
      </c>
      <c r="ABJ11" t="str">
        <f>IF(WSING!$M$106&lt;74.9,"P","")</f>
        <v/>
      </c>
      <c r="ABK11" s="102" t="str">
        <f>IF(AND(WSING!$M$106&gt;=75,WSING!$M$106&lt;=83.24),"P","")</f>
        <v/>
      </c>
      <c r="ABL11" s="102" t="str">
        <f>IF(AND(WSING!$M$106&gt;=83.25,WSING!$M$106&lt;=91.4),"P","")</f>
        <v/>
      </c>
      <c r="ABM11" s="102" t="str">
        <f>IF(AND(WSING!$M$106&gt;=91.5,WSING!$M$106&lt;=100),"P","")</f>
        <v/>
      </c>
      <c r="ABN11" t="str">
        <f>IF(WSTIK!$M$6&lt;74.9,"P","")</f>
        <v/>
      </c>
      <c r="ABO11" s="102" t="str">
        <f>IF(AND(WSTIK!$M$6&gt;=75,WSTIK!$M$6&lt;=83.24),"P","")</f>
        <v/>
      </c>
      <c r="ABP11" s="102" t="str">
        <f>IF(AND(WSTIK!$M$6&gt;=83.25,WSTIK!$M$6&lt;=91.4),"P","")</f>
        <v/>
      </c>
      <c r="ABQ11" s="102" t="str">
        <f>IF(AND(WSTIK!$M$6&gt;=91.5,WSTIK!$M$6&lt;=100),"P","")</f>
        <v/>
      </c>
      <c r="ABR11" t="str">
        <f>IF(WSTIK!$M$14&lt;74.9,"P","")</f>
        <v/>
      </c>
      <c r="ABS11" s="102" t="str">
        <f>IF(AND(WSTIK!$M$14&gt;=75,WSTIK!$M$14&lt;=83.24),"P","")</f>
        <v/>
      </c>
      <c r="ABT11" s="102" t="str">
        <f>IF(AND(WSTIK!$M$14&gt;=83.25,WSTIK!$M$14&lt;=91.4),"P","")</f>
        <v/>
      </c>
      <c r="ABU11" s="102" t="str">
        <f>IF(AND(WSTIK!$M$14&gt;=91.5,WSTIK!$M$14&lt;=100),"P","")</f>
        <v/>
      </c>
      <c r="ABV11" t="str">
        <f>IF(WSTIK!$M$22&lt;74.9,"P","")</f>
        <v/>
      </c>
      <c r="ABW11" s="102" t="str">
        <f>IF(AND(WSTIK!$M$22&gt;=75,WSTIK!$M$22&lt;=83.24),"P","")</f>
        <v/>
      </c>
      <c r="ABX11" s="102" t="str">
        <f>IF(AND(WSTIK!$M$22&gt;=83.25,WSTIK!$M$22&lt;=91.4),"P","")</f>
        <v/>
      </c>
      <c r="ABY11" s="102" t="str">
        <f>IF(AND(WSTIK!$M$22&gt;=91.5,WSTIK!$M$22&lt;=100),"P","")</f>
        <v/>
      </c>
      <c r="ABZ11" t="str">
        <f>IF(WSTIK!$M$30&lt;74.9,"P","")</f>
        <v/>
      </c>
      <c r="ACA11" s="102" t="str">
        <f>IF(AND(WSTIK!$M$30&gt;=75,WSTIK!$M$30&lt;=83.24),"P","")</f>
        <v/>
      </c>
      <c r="ACB11" s="102" t="str">
        <f>IF(AND(WSTIK!$M$30&gt;=83.25,WSTIK!$M$30&lt;=91.4),"P","")</f>
        <v/>
      </c>
      <c r="ACC11" s="102" t="str">
        <f>IF(AND(WSTIK!$M$30&gt;=91.5,WSTIK!$M$30&lt;=100),"P","")</f>
        <v/>
      </c>
      <c r="ACD11" t="str">
        <f>IF(WSTIK!$M$38&lt;74.9,"P","")</f>
        <v/>
      </c>
      <c r="ACE11" s="102" t="str">
        <f>IF(AND(WSTIK!$M$38&gt;=75,WSTIK!$M$38&lt;=83.24),"P","")</f>
        <v/>
      </c>
      <c r="ACF11" s="102" t="str">
        <f>IF(AND(WSTIK!$M$38&gt;=83.25,WSTIK!$M$38&lt;=91.4),"P","")</f>
        <v/>
      </c>
      <c r="ACG11" s="102" t="str">
        <f>IF(AND(WSTIK!$M$38&gt;=91.5,WSTIK!$M$38&lt;=100),"P","")</f>
        <v/>
      </c>
      <c r="ACH11" t="str">
        <f>IF(WSTIK!$M$46&lt;74.9,"P","")</f>
        <v/>
      </c>
      <c r="ACI11" s="102" t="str">
        <f>IF(AND(WSTIK!$M$46&gt;=75,WSTIK!$M$46&lt;=83.24),"P","")</f>
        <v/>
      </c>
      <c r="ACJ11" s="102" t="str">
        <f>IF(AND(WSTIK!$M$46&gt;=83.25,WSTIK!$M$46&lt;=91.4),"P","")</f>
        <v/>
      </c>
      <c r="ACK11" s="102" t="str">
        <f>IF(AND(WSTIK!$M$46&gt;=91.5,WSTIK!$M$46&lt;=100),"P","")</f>
        <v/>
      </c>
      <c r="ACL11" t="str">
        <f>IF(WSTIK!$M$54&lt;74.9,"P","")</f>
        <v/>
      </c>
      <c r="ACM11" s="102" t="str">
        <f>IF(AND(WSTIK!$M$54&gt;=75,WSTIK!$M$54&lt;=83.24),"P","")</f>
        <v/>
      </c>
      <c r="ACN11" s="102" t="str">
        <f>IF(AND(WSTIK!$M$54&gt;=83.25,WSTIK!$M$54&lt;=91.4),"P","")</f>
        <v/>
      </c>
      <c r="ACO11" s="102" t="str">
        <f>IF(AND(WSTIK!$M$54&gt;=91.5,WSTIK!$M$54&lt;=100),"P","")</f>
        <v/>
      </c>
      <c r="ACP11" t="str">
        <f>IF(WSTIK!$M$62&lt;74.9,"P","")</f>
        <v/>
      </c>
      <c r="ACQ11" s="102" t="str">
        <f>IF(AND(WSTIK!$M$62&gt;=75,WSTIK!$M$62&lt;=83.24),"P","")</f>
        <v/>
      </c>
      <c r="ACR11" s="102" t="str">
        <f>IF(AND(WSTIK!$M$62&gt;=83.25,WSTIK!$M$62&lt;=91.4),"P","")</f>
        <v/>
      </c>
      <c r="ACS11" s="102" t="str">
        <f>IF(AND(WSTIK!$M$62&gt;=91.5,WSTIK!$M$62&lt;=100),"P","")</f>
        <v/>
      </c>
      <c r="ACT11" t="str">
        <f>IF(WSTIK!$M$70&lt;74.9,"P","")</f>
        <v/>
      </c>
      <c r="ACU11" s="102" t="str">
        <f>IF(AND(WSTIK!$M$70&gt;=75,WSTIK!$M$70&lt;=83.24),"P","")</f>
        <v/>
      </c>
      <c r="ACV11" s="102" t="str">
        <f>IF(AND(WSTIK!$M$70&gt;=83.25,WSTIK!$M$70&lt;=91.4),"P","")</f>
        <v/>
      </c>
      <c r="ACW11" s="102" t="str">
        <f>IF(AND(WSTIK!$M$70&gt;=91.5,WSTIK!$M$70&lt;=100),"P","")</f>
        <v/>
      </c>
      <c r="ACX11" t="str">
        <f>IF(WSTIK!$M$78&lt;74.9,"P","")</f>
        <v/>
      </c>
      <c r="ACY11" s="102" t="str">
        <f>IF(AND(WSTIK!$M$78&gt;=75,WSTIK!$M$78&lt;=83.24),"P","")</f>
        <v/>
      </c>
      <c r="ACZ11" s="102" t="str">
        <f>IF(AND(WSTIK!$M$78&gt;=83.25,WSTIK!$M$78&lt;=91.4),"P","")</f>
        <v/>
      </c>
      <c r="ADA11" s="102" t="str">
        <f>IF(AND(WSTIK!$M$78&gt;=91.5,WSTIK!$M$78&lt;=100),"P","")</f>
        <v/>
      </c>
      <c r="ADB11" t="str">
        <f>IF(WSTIK!$M$86&lt;74.9,"P","")</f>
        <v/>
      </c>
      <c r="ADC11" s="102" t="str">
        <f>IF(AND(WSTIK!$M$86&gt;=75,WSTIK!$M$86&lt;=83.24),"P","")</f>
        <v/>
      </c>
      <c r="ADD11" s="102" t="str">
        <f>IF(AND(WSTIK!$M$86&gt;=83.25,WSTIK!$M$86&lt;=91.4),"P","")</f>
        <v/>
      </c>
      <c r="ADE11" s="102" t="str">
        <f>IF(AND(WSTIK!$M$86&gt;=91.5,WSTIK!$M$86&lt;=100),"P","")</f>
        <v/>
      </c>
      <c r="ADF11" t="str">
        <f>IF(WSTIK!$M$94&lt;74.9,"P","")</f>
        <v/>
      </c>
      <c r="ADG11" s="102" t="str">
        <f>IF(AND(WSTIK!$M$94&gt;=75,WSTIK!$M$94&lt;=83.24),"P","")</f>
        <v/>
      </c>
      <c r="ADH11" s="102" t="str">
        <f>IF(AND(WSTIK!$M$94&gt;=83.25,WSTIK!$M$94&lt;=91.4),"P","")</f>
        <v/>
      </c>
      <c r="ADI11" s="102" t="str">
        <f>IF(AND(WSTIK!$M$94&gt;=91.5,WSTIK!$M$94&lt;=100),"P","")</f>
        <v/>
      </c>
      <c r="ADJ11" t="str">
        <f>IF(WSTIK!$M$102&lt;74.9,"P","")</f>
        <v/>
      </c>
      <c r="ADK11" s="102" t="str">
        <f>IF(AND(WSTIK!$M$102&gt;=75,WSTIK!$M$102&lt;=83.24),"P","")</f>
        <v/>
      </c>
      <c r="ADL11" s="102" t="str">
        <f>IF(AND(WSTIK!$M$102&gt;=83.25,WSTIK!$M$102&lt;=91.4),"P","")</f>
        <v/>
      </c>
      <c r="ADM11" s="102" t="str">
        <f>IF(AND(WSTIK!$M$102&gt;=91.5,WSTIK!$M$102&lt;=100),"P","")</f>
        <v/>
      </c>
      <c r="ADN11" t="str">
        <f>IF(WSASWAJA!$M$6&lt;74.9,"P","")</f>
        <v/>
      </c>
      <c r="ADO11" s="102" t="str">
        <f>IF(AND(WSASWAJA!$M$6&gt;=75,WSASWAJA!$M$6&lt;=83.24),"P","")</f>
        <v/>
      </c>
      <c r="ADP11" s="102" t="str">
        <f>IF(AND(WSASWAJA!$M$6&gt;=83.25,WSASWAJA!$M$6&lt;=91.4),"P","")</f>
        <v/>
      </c>
      <c r="ADQ11" s="102" t="str">
        <f>IF(AND(WSASWAJA!$M$6&gt;=91.5,WSASWAJA!$M$6&lt;=100),"P","")</f>
        <v/>
      </c>
      <c r="ADR11" t="str">
        <f>IF(WSASWAJA!$M$14&lt;74.9,"P","")</f>
        <v/>
      </c>
      <c r="ADS11" s="102" t="str">
        <f>IF(AND(WSASWAJA!$M$14&gt;=75,WSASWAJA!$M$14&lt;=83.24),"P","")</f>
        <v/>
      </c>
      <c r="ADT11" s="102" t="str">
        <f>IF(AND(WSASWAJA!$M$14&gt;=83.25,WSASWAJA!$M$14&lt;=91.4),"P","")</f>
        <v/>
      </c>
      <c r="ADU11" s="102" t="str">
        <f>IF(AND(WSASWAJA!$M$14&gt;=91.5,WSASWAJA!$M$14&lt;=100),"P","")</f>
        <v/>
      </c>
      <c r="ADV11" t="str">
        <f>IF(WSASWAJA!$M$22&lt;74.9,"P","")</f>
        <v/>
      </c>
      <c r="ADW11" s="102" t="str">
        <f>IF(AND(WSASWAJA!$M$22&gt;=75,WSASWAJA!$M$22&lt;=83.24),"P","")</f>
        <v/>
      </c>
      <c r="ADX11" s="102" t="str">
        <f>IF(AND(WSASWAJA!$M$22&gt;=83.25,WSASWAJA!$M$22&lt;=91.4),"P","")</f>
        <v/>
      </c>
      <c r="ADY11" s="102" t="str">
        <f>IF(AND(WSASWAJA!$M$22&gt;=91.5,WSASWAJA!$M$22&lt;=100),"P","")</f>
        <v/>
      </c>
      <c r="ADZ11" t="str">
        <f>IF(WSASWAJA!$M$30&lt;74.9,"P","")</f>
        <v/>
      </c>
      <c r="AEA11" s="102" t="str">
        <f>IF(AND(WSASWAJA!$M$30&gt;=75,WSASWAJA!$M$30&lt;=83.24),"P","")</f>
        <v/>
      </c>
      <c r="AEB11" s="102" t="str">
        <f>IF(AND(WSASWAJA!$M$30&gt;=83.25,WSASWAJA!$M$30&lt;=91.4),"P","")</f>
        <v/>
      </c>
      <c r="AEC11" s="102" t="str">
        <f>IF(AND(WSASWAJA!$M$30&gt;=91.5,WSASWAJA!$M$30&lt;=100),"P","")</f>
        <v/>
      </c>
      <c r="AED11" t="str">
        <f>IF(WSASWAJA!$M$38&lt;74.9,"P","")</f>
        <v/>
      </c>
      <c r="AEE11" s="102" t="str">
        <f>IF(AND(WSASWAJA!$M$38&gt;=75,WSASWAJA!$M$38&lt;=83.24),"P","")</f>
        <v/>
      </c>
      <c r="AEF11" s="102" t="str">
        <f>IF(AND(WSASWAJA!$M$38&gt;=83.25,WSASWAJA!$M$38&lt;=91.4),"P","")</f>
        <v/>
      </c>
      <c r="AEG11" s="102" t="str">
        <f>IF(AND(WSASWAJA!$M$38&gt;=91.5,WSASWAJA!$M$38&lt;=100),"P","")</f>
        <v/>
      </c>
      <c r="AEH11" t="str">
        <f>IF(WSASWAJA!$M$46&lt;74.9,"P","")</f>
        <v/>
      </c>
      <c r="AEI11" s="102" t="str">
        <f>IF(AND(WSASWAJA!$M$46&gt;=75,WSASWAJA!$M$46&lt;=83.24),"P","")</f>
        <v/>
      </c>
      <c r="AEJ11" s="102" t="str">
        <f>IF(AND(WSASWAJA!$M$46&gt;=83.25,WSASWAJA!$M$46&lt;=91.4),"P","")</f>
        <v/>
      </c>
      <c r="AEK11" s="102" t="str">
        <f>IF(AND(WSASWAJA!$M$46&gt;=91.5,WSASWAJA!$M$46&lt;=100),"P","")</f>
        <v/>
      </c>
      <c r="AEL11" t="str">
        <f>IF(WSASWAJA!$M$54&lt;74.9,"P","")</f>
        <v/>
      </c>
      <c r="AEM11" s="102" t="str">
        <f>IF(AND(WSASWAJA!$M$54&gt;=75,WSASWAJA!$M$54&lt;=83.24),"P","")</f>
        <v/>
      </c>
      <c r="AEN11" s="102" t="str">
        <f>IF(AND(WSASWAJA!$M$54&gt;=83.25,WSASWAJA!$M$54&lt;=91.4),"P","")</f>
        <v/>
      </c>
      <c r="AEO11" s="102" t="str">
        <f>IF(AND(WSASWAJA!$M$54&gt;=91.5,WSASWAJA!$M$54&lt;=100),"P","")</f>
        <v/>
      </c>
      <c r="AEP11" t="str">
        <f>IF(WSASWAJA!$M$62&lt;74.9,"P","")</f>
        <v/>
      </c>
      <c r="AEQ11" s="102" t="str">
        <f>IF(AND(WSASWAJA!$M$62&gt;=75,WSASWAJA!$M$62&lt;=83.24),"P","")</f>
        <v/>
      </c>
      <c r="AER11" s="102" t="str">
        <f>IF(AND(WSASWAJA!$M$62&gt;=83.25,WSASWAJA!$M$62&lt;=91.4),"P","")</f>
        <v/>
      </c>
      <c r="AES11" s="102" t="str">
        <f>IF(AND(WSASWAJA!$M$62&gt;=91.5,WSASWAJA!$M$62&lt;=100),"P","")</f>
        <v/>
      </c>
      <c r="AET11" t="str">
        <f>IF(WSASWAJA!$M$70&lt;74.9,"P","")</f>
        <v/>
      </c>
      <c r="AEU11" s="102" t="str">
        <f>IF(AND(WSASWAJA!$M$70&gt;=75,WSASWAJA!$M$70&lt;=83.24),"P","")</f>
        <v/>
      </c>
      <c r="AEV11" s="102" t="str">
        <f>IF(AND(WSASWAJA!$M$70&gt;=83.25,WSASWAJA!$M$70&lt;=91.4),"P","")</f>
        <v/>
      </c>
      <c r="AEW11" s="102" t="str">
        <f>IF(AND(WSASWAJA!$M$70&gt;=91.5,WSASWAJA!$M$70&lt;=100),"P","")</f>
        <v/>
      </c>
      <c r="AEX11" t="str">
        <f>IF(WSASWAJA!$M$78&lt;74.9,"P","")</f>
        <v/>
      </c>
      <c r="AEY11" s="102" t="str">
        <f>IF(AND(WSASWAJA!$M$78&gt;=75,WSASWAJA!$M$78&lt;=83.24),"P","")</f>
        <v/>
      </c>
      <c r="AEZ11" s="102" t="str">
        <f>IF(AND(WSASWAJA!$M$78&gt;=83.25,WSASWAJA!$M$78&lt;=91.4),"P","")</f>
        <v/>
      </c>
      <c r="AFA11" s="102" t="str">
        <f>IF(AND(WSASWAJA!$M$78&gt;=91.5,WSASWAJA!$M$78&lt;=100),"P","")</f>
        <v/>
      </c>
      <c r="AFB11" t="str">
        <f>IF(WSASWAJA!$M$86&lt;74.9,"P","")</f>
        <v/>
      </c>
      <c r="AFC11" s="102" t="str">
        <f>IF(AND(WSASWAJA!$M$86&gt;=75,WSASWAJA!$M$86&lt;=83.24),"P","")</f>
        <v/>
      </c>
      <c r="AFD11" s="102" t="str">
        <f>IF(AND(WSASWAJA!$M$86&gt;=83.25,WSASWAJA!$M$86&lt;=91.4),"P","")</f>
        <v/>
      </c>
      <c r="AFE11" s="102" t="str">
        <f>IF(AND(WSASWAJA!$M$86&gt;=91.5,WSASWAJA!$M$86&lt;=100),"P","")</f>
        <v/>
      </c>
      <c r="AFF11" t="str">
        <f>IF(WSASWAJA!$M$94&lt;74.9,"P","")</f>
        <v/>
      </c>
      <c r="AFG11" s="102" t="str">
        <f>IF(AND(WSASWAJA!$M$94&gt;=75,WSASWAJA!$M$94&lt;=83.24),"P","")</f>
        <v/>
      </c>
      <c r="AFH11" s="102" t="str">
        <f>IF(AND(WSASWAJA!$M$94&gt;=83.25,WSASWAJA!$M$94&lt;=91.4),"P","")</f>
        <v/>
      </c>
      <c r="AFI11" s="102" t="str">
        <f>IF(AND(WSASWAJA!$M$94&gt;=91.5,WSASWAJA!$M$94&lt;=100),"P","")</f>
        <v/>
      </c>
      <c r="AFJ11" t="str">
        <f>IF(WSASWAJA!$M$102&lt;74.9,"P","")</f>
        <v/>
      </c>
      <c r="AFK11" s="102" t="str">
        <f>IF(AND(WSASWAJA!$M$102&gt;=75,WSASWAJA!$M$102&lt;=83.24),"P","")</f>
        <v/>
      </c>
      <c r="AFL11" s="102" t="str">
        <f>IF(AND(WSASWAJA!$M$102&gt;=83.25,WSASWAJA!$M$102&lt;=91.4),"P","")</f>
        <v/>
      </c>
      <c r="AFM11" s="102" t="str">
        <f>IF(AND(WSASWAJA!$M$102&gt;=91.5,WSASWAJA!$M$102&lt;=100),"P","")</f>
        <v/>
      </c>
    </row>
    <row r="12" spans="1:852" ht="20.100000000000001" customHeight="1">
      <c r="A12">
        <v>10</v>
      </c>
      <c r="B12" t="str">
        <f>IF(WSALQURAN!$N$6&lt;74.9,"P","")</f>
        <v/>
      </c>
      <c r="C12" s="102" t="str">
        <f>IF(AND(WSALQURAN!$N$6&gt;=75,WSALQURAN!$N$6&lt;=83.24),"P","")</f>
        <v/>
      </c>
      <c r="D12" s="102" t="str">
        <f>IF(AND(WSALQURAN!$N$6&gt;=83.25,WSALQURAN!$N$6&lt;=91.4),"P","")</f>
        <v/>
      </c>
      <c r="E12" s="102" t="str">
        <f>IF(AND(WSALQURAN!$N$6&gt;=91.5,WSALQURAN!$N$6&lt;=100),"P","")</f>
        <v>P</v>
      </c>
      <c r="F12" t="str">
        <f>IF(WSALQURAN!$N$14&lt;74.9,"P","")</f>
        <v/>
      </c>
      <c r="G12" s="102" t="str">
        <f>IF(AND(WSALQURAN!$N$14&gt;=75,WSALQURAN!$N$14&lt;=83.24),"P","")</f>
        <v/>
      </c>
      <c r="H12" s="102" t="str">
        <f>IF(AND(WSALQURAN!$N$14&gt;=83.25,WSALQURAN!$N$14&lt;=91.4),"P","")</f>
        <v/>
      </c>
      <c r="I12" s="102" t="str">
        <f>IF(AND(WSALQURAN!$N$14&gt;=91.5,WSALQURAN!$N$14&lt;=100),"P","")</f>
        <v>P</v>
      </c>
      <c r="J12" t="str">
        <f>IF(WSALQURAN!$N$22&lt;74.9,"P","")</f>
        <v/>
      </c>
      <c r="K12" s="102" t="str">
        <f>IF(AND(WSALQURAN!$N$22&gt;=75,WSALQURAN!$N$22&lt;=83.24),"P","")</f>
        <v/>
      </c>
      <c r="L12" s="102" t="str">
        <f>IF(AND(WSALQURAN!$N$22&gt;=83.25,WSALQURAN!$N$22&lt;=91.4),"P","")</f>
        <v>P</v>
      </c>
      <c r="M12" s="102" t="str">
        <f>IF(AND(WSALQURAN!$N$22&gt;=91.5,WSALQURAN!$N$22&lt;=100),"P","")</f>
        <v/>
      </c>
      <c r="N12" t="str">
        <f>IF(WSALQURAN!$N$30&lt;74.9,"P","")</f>
        <v/>
      </c>
      <c r="O12" s="102" t="str">
        <f>IF(AND(WSALQURAN!$N$30&gt;=75,WSALQURAN!$N$30&lt;=83.24),"P","")</f>
        <v/>
      </c>
      <c r="P12" s="102" t="str">
        <f>IF(AND(WSALQURAN!$N$30&gt;=83.25,WSALQURAN!$N$30&lt;=91.4),"P","")</f>
        <v/>
      </c>
      <c r="Q12" s="102" t="str">
        <f>IF(AND(WSALQURAN!$N$30&gt;=91.5,WSALQURAN!$N$30&lt;=100),"P","")</f>
        <v>P</v>
      </c>
      <c r="R12" t="str">
        <f>IF(WSALQURAN!$N$38&lt;74.9,"P","")</f>
        <v/>
      </c>
      <c r="S12" s="102" t="str">
        <f>IF(AND(WSALQURAN!$N$38&gt;=75,WSALQURAN!$N$38&lt;=83.24),"P","")</f>
        <v/>
      </c>
      <c r="T12" s="102" t="str">
        <f>IF(AND(WSALQURAN!$N$38&gt;=83.25,WSALQURAN!$N$38&lt;=91.4),"P","")</f>
        <v/>
      </c>
      <c r="U12" s="102" t="str">
        <f>IF(AND(WSALQURAN!$N$38&gt;=91.5,WSALQURAN!$N$38&lt;=100),"P","")</f>
        <v>P</v>
      </c>
      <c r="V12" t="str">
        <f>IF(WSALQURAN!$N$46&lt;74.9,"P","")</f>
        <v/>
      </c>
      <c r="W12" s="102" t="str">
        <f>IF(AND(WSALQURAN!$N$46&gt;=75,WSALQURAN!$N$46&lt;=83.24),"P","")</f>
        <v/>
      </c>
      <c r="X12" s="102" t="str">
        <f>IF(AND(WSALQURAN!$N$46&gt;=83.25,WSALQURAN!$N$46&lt;=91.4),"P","")</f>
        <v/>
      </c>
      <c r="Y12" s="102" t="str">
        <f>IF(AND(WSALQURAN!$N$46&gt;=91.5,WSALQURAN!$N$46&lt;=100),"P","")</f>
        <v>P</v>
      </c>
      <c r="Z12" t="str">
        <f>IF(WSALQURAN!$N$54&lt;74.9,"P","")</f>
        <v/>
      </c>
      <c r="AA12" s="102" t="str">
        <f>IF(AND(WSALQURAN!$N$54&gt;=75,WSALQURAN!$N$54&lt;=83.24),"P","")</f>
        <v/>
      </c>
      <c r="AB12" s="102" t="str">
        <f>IF(AND(WSALQURAN!$N$54&gt;=83.25,WSALQURAN!$N$54&lt;=91.4),"P","")</f>
        <v/>
      </c>
      <c r="AC12" s="102" t="str">
        <f>IF(AND(WSALQURAN!$N$54&gt;=91.5,WSALQURAN!$N$54&lt;=100),"P","")</f>
        <v>P</v>
      </c>
      <c r="AD12" t="str">
        <f>IF(WSALQURAN!$N$62&lt;74.9,"P","")</f>
        <v/>
      </c>
      <c r="AE12" s="102" t="str">
        <f>IF(AND(WSALQURAN!$N$62&gt;=75,WSALQURAN!$N$62&lt;=83.24),"P","")</f>
        <v/>
      </c>
      <c r="AF12" s="102" t="str">
        <f>IF(AND(WSALQURAN!$N$62&gt;=83.25,WSALQURAN!$N$62&lt;=91.4),"P","")</f>
        <v/>
      </c>
      <c r="AG12" s="102" t="str">
        <f>IF(AND(WSALQURAN!$N$62&gt;=91.5,WSALQURAN!$N$62&lt;=100),"P","")</f>
        <v/>
      </c>
      <c r="AH12" t="str">
        <f>IF(WSALQURAN!$N$70&lt;74.9,"P","")</f>
        <v/>
      </c>
      <c r="AI12" s="102" t="str">
        <f>IF(AND(WSALQURAN!$N$70&gt;=75,WSALQURAN!$N$70&lt;=83.24),"P","")</f>
        <v/>
      </c>
      <c r="AJ12" s="102" t="str">
        <f>IF(AND(WSALQURAN!$N$70&gt;=83.25,WSALQURAN!$N$70&lt;=91.4),"P","")</f>
        <v/>
      </c>
      <c r="AK12" s="102" t="str">
        <f>IF(AND(WSALQURAN!$N$70&gt;=91.5,WSALQURAN!$N$70&lt;=100),"P","")</f>
        <v/>
      </c>
      <c r="AL12" t="str">
        <f>IF(WSALQURAN!$N$78&lt;74.9,"P","")</f>
        <v/>
      </c>
      <c r="AM12" s="102" t="str">
        <f>IF(AND(WSALQURAN!$N$78&gt;=75,WSALQURAN!$N$78&lt;=83.24),"P","")</f>
        <v/>
      </c>
      <c r="AN12" s="102" t="str">
        <f>IF(AND(WSALQURAN!$N$78&gt;=83.25,WSALQURAN!$N$78&lt;=91.4),"P","")</f>
        <v/>
      </c>
      <c r="AO12" s="102" t="str">
        <f>IF(AND(WSALQURAN!$N$78&gt;=91.5,WSALQURAN!$N$78&lt;=100),"P","")</f>
        <v/>
      </c>
      <c r="AP12" t="str">
        <f>IF(WSALQURAN!$N$86&lt;74.9,"P","")</f>
        <v/>
      </c>
      <c r="AQ12" s="102" t="str">
        <f>IF(AND(WSALQURAN!$N$86&gt;=75,WSALQURAN!$N$86&lt;=83.24),"P","")</f>
        <v/>
      </c>
      <c r="AR12" s="102" t="str">
        <f>IF(AND(WSALQURAN!$N$86&gt;=83.25,WSALQURAN!$N$86&lt;=91.4),"P","")</f>
        <v/>
      </c>
      <c r="AS12" s="102" t="str">
        <f>IF(AND(WSALQURAN!$N$86&gt;=91.5,WSALQURAN!$N$86&lt;=100),"P","")</f>
        <v/>
      </c>
      <c r="AT12" t="str">
        <f>IF(WSALQURAN!$N$94&lt;74.9,"P","")</f>
        <v/>
      </c>
      <c r="AU12" s="102" t="str">
        <f>IF(AND(WSALQURAN!$N$94&gt;=75,WSALQURAN!$N$94&lt;=83.24),"P","")</f>
        <v/>
      </c>
      <c r="AV12" s="102" t="str">
        <f>IF(AND(WSALQURAN!$N$94&gt;=83.25,WSALQURAN!$N$94&lt;=91.4),"P","")</f>
        <v/>
      </c>
      <c r="AW12" s="102" t="str">
        <f>IF(AND(WSALQURAN!$N$94&gt;=91.5,WSALQURAN!$N$94&lt;=100),"P","")</f>
        <v/>
      </c>
      <c r="AX12" t="str">
        <f>IF(WSALQURAN!$N$102&lt;74.9,"P","")</f>
        <v/>
      </c>
      <c r="AY12" s="102" t="str">
        <f>IF(AND(WSALQURAN!$N$102&gt;=75,WSALQURAN!$N$102&lt;=83.24),"P","")</f>
        <v/>
      </c>
      <c r="AZ12" s="102" t="str">
        <f>IF(AND(WSALQURAN!$N$102&gt;=83.25,WSALQURAN!$N$102&lt;=91.4),"P","")</f>
        <v/>
      </c>
      <c r="BA12" s="102" t="str">
        <f>IF(AND(WSALQURAN!$N$102&gt;=91.5,WSALQURAN!$N$102&lt;=100),"P","")</f>
        <v/>
      </c>
      <c r="BB12" t="str">
        <f>IF(WSAQIDAH!$N$6&lt;74.9,"P","")</f>
        <v/>
      </c>
      <c r="BC12" s="102" t="str">
        <f>IF(AND(WSAQIDAH!$N$6&gt;=75,WSAQIDAH!$N$6&lt;=83.24),"P","")</f>
        <v/>
      </c>
      <c r="BD12" s="102" t="str">
        <f>IF(AND(WSAQIDAH!$N$6&gt;=83.25,WSAQIDAH!$N$6&lt;=91.4),"P","")</f>
        <v/>
      </c>
      <c r="BE12" s="102" t="str">
        <f>IF(AND(WSAQIDAH!$N$6&gt;=91.5,WSAQIDAH!$N$6&lt;=100),"P","")</f>
        <v>P</v>
      </c>
      <c r="BF12" t="str">
        <f>IF(WSAQIDAH!$N$14&lt;74.9,"P","")</f>
        <v/>
      </c>
      <c r="BG12" s="102" t="str">
        <f>IF(AND(WSAQIDAH!$N$14&gt;=75,WSAQIDAH!$N$14&lt;=83.24),"P","")</f>
        <v/>
      </c>
      <c r="BH12" s="102" t="str">
        <f>IF(AND(WSAQIDAH!$N$14&gt;=83.25,WSAQIDAH!$N$14&lt;=91.4),"P","")</f>
        <v/>
      </c>
      <c r="BI12" s="102" t="str">
        <f>IF(AND(WSAQIDAH!$N$14&gt;=91.5,WSAQIDAH!$N$14&lt;=100),"P","")</f>
        <v>P</v>
      </c>
      <c r="BJ12" t="str">
        <f>IF(WSAQIDAH!$N$22&lt;74.9,"P","")</f>
        <v/>
      </c>
      <c r="BK12" s="102" t="str">
        <f>IF(AND(WSAQIDAH!$N$22&gt;=75,WSAQIDAH!$N$22&lt;=83.24),"P","")</f>
        <v>P</v>
      </c>
      <c r="BL12" s="102" t="str">
        <f>IF(AND(WSAQIDAH!$N$22&gt;=83.25,WSAQIDAH!$N$22&lt;=91.4),"P","")</f>
        <v/>
      </c>
      <c r="BM12" s="102" t="str">
        <f>IF(AND(WSAQIDAH!$N$22&gt;=91.5,WSAQIDAH!$N$22&lt;=100),"P","")</f>
        <v/>
      </c>
      <c r="BN12" t="str">
        <f>IF(WSAQIDAH!$N$30&lt;74.9,"P","")</f>
        <v/>
      </c>
      <c r="BO12" s="102" t="str">
        <f>IF(AND(WSAQIDAH!$N$30&gt;=75,WSAQIDAH!$N$30&lt;=83.24),"P","")</f>
        <v/>
      </c>
      <c r="BP12" s="102" t="str">
        <f>IF(AND(WSAQIDAH!$N$30&gt;=83.25,WSAQIDAH!$N$30&lt;=91.4),"P","")</f>
        <v/>
      </c>
      <c r="BQ12" s="102" t="str">
        <f>IF(AND(WSAQIDAH!$N$30&gt;=91.5,WSAQIDAH!$N$30&lt;=100),"P","")</f>
        <v>P</v>
      </c>
      <c r="BR12" t="str">
        <f>IF(WSAQIDAH!$N$38&lt;74.9,"P","")</f>
        <v/>
      </c>
      <c r="BS12" s="102" t="str">
        <f>IF(AND(WSAQIDAH!$N$38&gt;=75,WSAQIDAH!$N$38&lt;=83.24),"P","")</f>
        <v/>
      </c>
      <c r="BT12" s="102" t="str">
        <f>IF(AND(WSAQIDAH!$N$38&gt;=83.25,WSAQIDAH!$N$38&lt;=91.4),"P","")</f>
        <v/>
      </c>
      <c r="BU12" s="102" t="str">
        <f>IF(AND(WSAQIDAH!$N$38&gt;=91.5,WSAQIDAH!$N$38&lt;=100),"P","")</f>
        <v>P</v>
      </c>
      <c r="BV12" t="str">
        <f>IF(WSAQIDAH!$N$46&lt;74.9,"P","")</f>
        <v/>
      </c>
      <c r="BW12" s="102" t="str">
        <f>IF(AND(WSAQIDAH!$N$46&gt;=75,WSAQIDAH!$N$46&lt;=83.24),"P","")</f>
        <v/>
      </c>
      <c r="BX12" s="102" t="str">
        <f>IF(AND(WSAQIDAH!$N$46&gt;=83.25,WSAQIDAH!$N$46&lt;=91.4),"P","")</f>
        <v>P</v>
      </c>
      <c r="BY12" s="102" t="str">
        <f>IF(AND(WSAQIDAH!$N$46&gt;=91.5,WSAQIDAH!$N$46&lt;=100),"P","")</f>
        <v/>
      </c>
      <c r="BZ12" t="str">
        <f>IF(WSAQIDAH!$N$54&lt;74.9,"P","")</f>
        <v/>
      </c>
      <c r="CA12" s="102" t="str">
        <f>IF(AND(WSAQIDAH!$N$54&gt;=75,WSAQIDAH!$N$54&lt;=83.24),"P","")</f>
        <v/>
      </c>
      <c r="CB12" s="102" t="str">
        <f>IF(AND(WSAQIDAH!$N$54&gt;=83.25,WSAQIDAH!$N$54&lt;=91.4),"P","")</f>
        <v/>
      </c>
      <c r="CC12" s="102" t="str">
        <f>IF(AND(WSAQIDAH!$N$54&gt;=91.5,WSAQIDAH!$N$54&lt;=100),"P","")</f>
        <v>P</v>
      </c>
      <c r="CD12" t="str">
        <f>IF(WSAQIDAH!$N$62&lt;74.9,"P","")</f>
        <v/>
      </c>
      <c r="CE12" s="102" t="str">
        <f>IF(AND(WSAQIDAH!$N$62&gt;=75,WSAQIDAH!$N$62&lt;=83.24),"P","")</f>
        <v/>
      </c>
      <c r="CF12" s="102" t="str">
        <f>IF(AND(WSAQIDAH!$N$62&gt;=83.25,WSAQIDAH!$N$62&lt;=91.4),"P","")</f>
        <v>P</v>
      </c>
      <c r="CG12" s="102" t="str">
        <f>IF(AND(WSAQIDAH!$N$62&gt;=91.5,WSAQIDAH!$N$62&lt;=100),"P","")</f>
        <v/>
      </c>
      <c r="CH12" t="str">
        <f>IF(WSAQIDAH!$N$70&lt;74.9,"P","")</f>
        <v/>
      </c>
      <c r="CI12" s="102" t="str">
        <f>IF(AND(WSAQIDAH!$N$70&gt;=75,WSAQIDAH!$N$70&lt;=83.24),"P","")</f>
        <v/>
      </c>
      <c r="CJ12" s="102" t="str">
        <f>IF(AND(WSAQIDAH!$N$70&gt;=83.25,WSAQIDAH!$N$70&lt;=91.4),"P","")</f>
        <v>P</v>
      </c>
      <c r="CK12" s="102" t="str">
        <f>IF(AND(WSAQIDAH!$N$70&gt;=91.5,WSAQIDAH!$N$70&lt;=100),"P","")</f>
        <v/>
      </c>
      <c r="CL12" t="str">
        <f>IF(WSAQIDAH!$N$78&lt;74.9,"P","")</f>
        <v/>
      </c>
      <c r="CM12" s="102" t="str">
        <f>IF(AND(WSAQIDAH!$N$78&gt;=75,WSAQIDAH!$N$78&lt;=83.24),"P","")</f>
        <v/>
      </c>
      <c r="CN12" s="102" t="str">
        <f>IF(AND(WSAQIDAH!$N$78&gt;=83.25,WSAQIDAH!$N$78&lt;=91.4),"P","")</f>
        <v>P</v>
      </c>
      <c r="CO12" s="102" t="str">
        <f>IF(AND(WSAQIDAH!$N$78&gt;=91.5,WSAQIDAH!$N$78&lt;=100),"P","")</f>
        <v/>
      </c>
      <c r="CP12" t="str">
        <f>IF(WSAQIDAH!$N$86&lt;74.9,"P","")</f>
        <v/>
      </c>
      <c r="CQ12" s="102" t="str">
        <f>IF(AND(WSAQIDAH!$N$86&gt;=75,WSAQIDAH!$N$86&lt;=83.24),"P","")</f>
        <v/>
      </c>
      <c r="CR12" s="102" t="str">
        <f>IF(AND(WSAQIDAH!$N$86&gt;=83.25,WSAQIDAH!$N$86&lt;=91.4),"P","")</f>
        <v/>
      </c>
      <c r="CS12" s="102" t="str">
        <f>IF(AND(WSAQIDAH!$N$86&gt;=91.5,WSAQIDAH!$N$86&lt;=100),"P","")</f>
        <v/>
      </c>
      <c r="CT12" t="str">
        <f>IF(WSAQIDAH!$N$94&lt;74.9,"P","")</f>
        <v/>
      </c>
      <c r="CU12" s="102" t="str">
        <f>IF(AND(WSAQIDAH!$N$94&gt;=75,WSAQIDAH!$N$94&lt;=83.24),"P","")</f>
        <v/>
      </c>
      <c r="CV12" s="102" t="str">
        <f>IF(AND(WSAQIDAH!$N$94&gt;=83.25,WSAQIDAH!$N$94&lt;=91.4),"P","")</f>
        <v/>
      </c>
      <c r="CW12" s="102" t="str">
        <f>IF(AND(WSAQIDAH!$N$94&gt;=91.5,WSAQIDAH!$N$94&lt;=100),"P","")</f>
        <v/>
      </c>
      <c r="CX12" t="str">
        <f>IF(WSAQIDAH!$N$102&lt;74.9,"P","")</f>
        <v/>
      </c>
      <c r="CY12" s="102" t="str">
        <f>IF(AND(WSAQIDAH!$N$102&gt;=75,WSAQIDAH!$N$102&lt;=83.24),"P","")</f>
        <v/>
      </c>
      <c r="CZ12" s="102" t="str">
        <f>IF(AND(WSAQIDAH!$N$102&gt;=83.25,WSAQIDAH!$N$102&lt;=91.4),"P","")</f>
        <v/>
      </c>
      <c r="DA12" s="102" t="str">
        <f>IF(AND(WSAQIDAH!$N$102&gt;=91.5,WSAQIDAH!$N$102&lt;=100),"P","")</f>
        <v/>
      </c>
      <c r="DB12" t="str">
        <f>IF(WSSKI!$N$6&lt;74.9,"P","")</f>
        <v/>
      </c>
      <c r="DC12" s="102" t="str">
        <f>IF(AND(WSSKI!$N$6&gt;=75,WSSKI!$N$6&lt;=83.24),"P","")</f>
        <v/>
      </c>
      <c r="DD12" s="102" t="str">
        <f>IF(AND(WSSKI!$N$6&gt;=83.25,WSSKI!$N$6&lt;=91.4),"P","")</f>
        <v/>
      </c>
      <c r="DE12" s="102" t="str">
        <f>IF(AND(WSSKI!$N$6&gt;=91.5,WSSKI!$N$6&lt;=100),"P","")</f>
        <v>P</v>
      </c>
      <c r="DF12" t="str">
        <f>IF(WSSKI!$N$14&lt;74.9,"P","")</f>
        <v/>
      </c>
      <c r="DG12" s="102" t="str">
        <f>IF(AND(WSSKI!$N$14&gt;=75,WSSKI!$N$14&lt;=83.24),"P","")</f>
        <v/>
      </c>
      <c r="DH12" s="102" t="str">
        <f>IF(AND(WSSKI!$N$14&gt;=83.25,WSSKI!$N$14&lt;=91.4),"P","")</f>
        <v>P</v>
      </c>
      <c r="DI12" s="102" t="str">
        <f>IF(AND(WSSKI!$N$14&gt;=91.5,WSSKI!$N$14&lt;=100),"P","")</f>
        <v/>
      </c>
      <c r="DJ12" t="str">
        <f>IF(WSSKI!$N$23&lt;74.9,"P","")</f>
        <v/>
      </c>
      <c r="DK12" s="102" t="str">
        <f>IF(AND(WSSKI!$N$23&gt;=75,WSSKI!$N$23&lt;=83.24),"P","")</f>
        <v/>
      </c>
      <c r="DL12" s="102" t="str">
        <f>IF(AND(WSSKI!$N$23&gt;=83.25,WSSKI!$N$23&lt;=91.4),"P","")</f>
        <v>P</v>
      </c>
      <c r="DM12" s="102" t="str">
        <f>IF(AND(WSSKI!$N$23&gt;=91.5,WSSKI!$N$23&lt;=100),"P","")</f>
        <v/>
      </c>
      <c r="DN12" t="str">
        <f>IF(WSSKI!$N$31&lt;74.9,"P","")</f>
        <v/>
      </c>
      <c r="DO12" s="102" t="str">
        <f>IF(AND(WSSKI!$N$31&gt;=75,WSSKI!$N$31&lt;=83.24),"P","")</f>
        <v/>
      </c>
      <c r="DP12" s="102" t="str">
        <f>IF(AND(WSSKI!$N$31&gt;=83.25,WSSKI!$N$31&lt;=91.4),"P","")</f>
        <v>P</v>
      </c>
      <c r="DQ12" s="102" t="str">
        <f>IF(AND(WSSKI!$N$31&gt;=91.5,WSSKI!$N$31&lt;=100),"P","")</f>
        <v/>
      </c>
      <c r="DR12" t="str">
        <f>IF(WSSKI!$N$40&lt;74.9,"P","")</f>
        <v/>
      </c>
      <c r="DS12" s="102" t="str">
        <f>IF(AND(WSSKI!$N$40&gt;=75,WSSKI!$N$40&lt;=83.24),"P","")</f>
        <v/>
      </c>
      <c r="DT12" s="102" t="str">
        <f>IF(AND(WSSKI!$N$40&gt;=83.25,WSSKI!$N$40&lt;=91.4),"P","")</f>
        <v/>
      </c>
      <c r="DU12" s="102" t="str">
        <f>IF(AND(WSSKI!$N$40&gt;=91.5,WSSKI!$N$40&lt;=100),"P","")</f>
        <v>P</v>
      </c>
      <c r="DV12" t="str">
        <f>IF(WSSKI!$N$48&lt;74.9,"P","")</f>
        <v/>
      </c>
      <c r="DW12" s="102" t="str">
        <f>IF(AND(WSSKI!$N$48&gt;=75,WSSKI!$N$48&lt;=83.24),"P","")</f>
        <v>P</v>
      </c>
      <c r="DX12" s="102" t="str">
        <f>IF(AND(WSSKI!$N$48&gt;=83.25,WSSKI!$N$48&lt;=91.4),"P","")</f>
        <v/>
      </c>
      <c r="DY12" s="102" t="str">
        <f>IF(AND(WSSKI!$N$48&gt;=91.5,WSSKI!$N$48&lt;=100),"P","")</f>
        <v/>
      </c>
      <c r="DZ12" t="str">
        <f>IF(WSSKI!$N$56&lt;74.9,"P","")</f>
        <v/>
      </c>
      <c r="EA12" s="102" t="str">
        <f>IF(AND(WSSKI!$N$56&gt;=75,WSSKI!$N$56&lt;=83.24),"P","")</f>
        <v/>
      </c>
      <c r="EB12" s="102" t="str">
        <f>IF(AND(WSSKI!$N$56&gt;=83.25,WSSKI!$N$56&lt;=91.4),"P","")</f>
        <v/>
      </c>
      <c r="EC12" s="102" t="str">
        <f>IF(AND(WSSKI!$N$56&gt;=91.5,WSSKI!$N$56&lt;=100),"P","")</f>
        <v/>
      </c>
      <c r="ED12" t="str">
        <f>IF(WSSKI!$N$64&lt;74.9,"P","")</f>
        <v/>
      </c>
      <c r="EE12" s="102" t="str">
        <f>IF(AND(WSSKI!$N$64&gt;=75,WSSKI!$N$64&lt;=83.24),"P","")</f>
        <v/>
      </c>
      <c r="EF12" s="102" t="str">
        <f>IF(AND(WSSKI!$N$64&gt;=83.25,WSSKI!$N$64&lt;=91.4),"P","")</f>
        <v/>
      </c>
      <c r="EG12" s="102" t="str">
        <f>IF(AND(WSSKI!$N$64&gt;=91.5,WSSKI!$N$64&lt;=100),"P","")</f>
        <v/>
      </c>
      <c r="EH12" t="str">
        <f>IF(WSSKI!$N$72&lt;74.9,"P","")</f>
        <v/>
      </c>
      <c r="EI12" s="102" t="str">
        <f>IF(AND(WSSKI!$N$72&gt;=75,WSSKI!$N$72&lt;=83.24),"P","")</f>
        <v/>
      </c>
      <c r="EJ12" s="102" t="str">
        <f>IF(AND(WSSKI!$N$72&gt;=83.25,WSSKI!$N$72&lt;=91.4),"P","")</f>
        <v/>
      </c>
      <c r="EK12" s="102" t="str">
        <f>IF(AND(WSSKI!$N$72&gt;=91.5,WSSKI!$N$72&lt;=100),"P","")</f>
        <v/>
      </c>
      <c r="EL12" t="str">
        <f>IF(WSSKI!$N$80&lt;74.9,"P","")</f>
        <v/>
      </c>
      <c r="EM12" s="102" t="str">
        <f>IF(AND(WSSKI!$N$80&gt;=75,WSSKI!$N$80&lt;=83.24),"P","")</f>
        <v/>
      </c>
      <c r="EN12" s="102" t="str">
        <f>IF(AND(WSSKI!$N$80&gt;=83.25,WSSKI!$N$80&lt;=91.4),"P","")</f>
        <v/>
      </c>
      <c r="EO12" s="102" t="str">
        <f>IF(AND(WSSKI!$N$80&gt;=91.5,WSSKI!$N$80&lt;=100),"P","")</f>
        <v/>
      </c>
      <c r="EP12" t="str">
        <f>IF(WSSKI!$N$88&lt;74.9,"P","")</f>
        <v/>
      </c>
      <c r="EQ12" s="102" t="str">
        <f>IF(AND(WSSKI!$N$88&gt;=75,WSSKI!$N$88&lt;=83.24),"P","")</f>
        <v/>
      </c>
      <c r="ER12" s="102" t="str">
        <f>IF(AND(WSSKI!$N$88&gt;=83.25,WSSKI!$N$88&lt;=91.4),"P","")</f>
        <v/>
      </c>
      <c r="ES12" s="102" t="str">
        <f>IF(AND(WSSKI!$N$88&gt;=91.5,WSSKI!$N$88&lt;=100),"P","")</f>
        <v/>
      </c>
      <c r="ET12" t="str">
        <f>IF(WSSKI!$N$96&lt;74.9,"P","")</f>
        <v/>
      </c>
      <c r="EU12" s="102" t="str">
        <f>IF(AND(WSSKI!$N$96&gt;=75,WSSKI!$N$96&lt;=83.24),"P","")</f>
        <v/>
      </c>
      <c r="EV12" s="102" t="str">
        <f>IF(AND(WSSKI!$N$96&gt;=83.25,WSSKI!$N$96&lt;=91.4),"P","")</f>
        <v/>
      </c>
      <c r="EW12" s="102" t="str">
        <f>IF(AND(WSSKI!$N$96&gt;=91.5,WSSKI!$N$96&lt;=100),"P","")</f>
        <v/>
      </c>
      <c r="EX12" t="str">
        <f>IF(WSSKI!$N$104&lt;74.9,"P","")</f>
        <v/>
      </c>
      <c r="EY12" s="102" t="str">
        <f>IF(AND(WSSKI!$N$104&gt;=75,WSSKI!$N$104&lt;=83.24),"P","")</f>
        <v/>
      </c>
      <c r="EZ12" s="102" t="str">
        <f>IF(AND(WSSKI!$N$104&gt;=83.25,WSSKI!$N$104&lt;=91.4),"P","")</f>
        <v/>
      </c>
      <c r="FA12" s="102" t="str">
        <f>IF(AND(WSSKI!$N$104&gt;=91.5,WSSKI!$N$104&lt;=100),"P","")</f>
        <v/>
      </c>
      <c r="FB12" t="str">
        <f>IF(WSFIQIH!$N$6&lt;74.9,"P","")</f>
        <v/>
      </c>
      <c r="FC12" s="102" t="str">
        <f>IF(AND(WSFIQIH!$N$6&gt;=75,WSFIQIH!$N$6&lt;=83.24),"P","")</f>
        <v/>
      </c>
      <c r="FD12" s="102" t="str">
        <f>IF(AND(WSFIQIH!$N$6&gt;=83.25,WSFIQIH!$N$6&lt;=91.4),"P","")</f>
        <v>P</v>
      </c>
      <c r="FE12" s="102" t="str">
        <f>IF(AND(WSFIQIH!$N$6&gt;=91.5,WSFIQIH!$N$6&lt;=100),"P","")</f>
        <v/>
      </c>
      <c r="FF12" t="str">
        <f>IF(WSFIQIH!$N$19&lt;74.9,"P","")</f>
        <v/>
      </c>
      <c r="FG12" s="102" t="str">
        <f>IF(AND(WSFIQIH!$N$19&gt;=75,WSFIQIH!$N$19&lt;=83.24),"P","")</f>
        <v/>
      </c>
      <c r="FH12" s="102" t="str">
        <f>IF(AND(WSFIQIH!$N$19&gt;=83.25,WSFIQIH!$N$19&lt;=91.4),"P","")</f>
        <v>P</v>
      </c>
      <c r="FI12" s="102" t="str">
        <f>IF(AND(WSFIQIH!$N$19&gt;=91.5,WSFIQIH!$N$19&lt;=100),"P","")</f>
        <v/>
      </c>
      <c r="FJ12" t="str">
        <f>IF(WSFIQIH!$N$28&lt;74.9,"P","")</f>
        <v/>
      </c>
      <c r="FK12" s="102" t="str">
        <f>IF(AND(WSFIQIH!$N$28&gt;=75,WSFIQIH!$N$28&lt;=83.24),"P","")</f>
        <v/>
      </c>
      <c r="FL12" s="102" t="str">
        <f>IF(AND(WSFIQIH!$N$28&gt;=83.25,WSFIQIH!$N$28&lt;=91.4),"P","")</f>
        <v/>
      </c>
      <c r="FM12" s="102" t="str">
        <f>IF(AND(WSFIQIH!$N$28&gt;=91.5,WSFIQIH!$N$28&lt;=100),"P","")</f>
        <v>P</v>
      </c>
      <c r="FN12" t="str">
        <f>IF(WSFIQIH!$N$41&lt;74.9,"P","")</f>
        <v/>
      </c>
      <c r="FO12" s="102" t="str">
        <f>IF(AND(WSFIQIH!$N$41&gt;=75,WSFIQIH!$N$41&lt;=83.24),"P","")</f>
        <v/>
      </c>
      <c r="FP12" s="102" t="str">
        <f>IF(AND(WSFIQIH!$N$41&gt;=83.25,WSFIQIH!$N$41&lt;=91.4),"P","")</f>
        <v/>
      </c>
      <c r="FQ12" s="102" t="str">
        <f>IF(AND(WSFIQIH!$N$41&gt;=91.5,WSFIQIH!$N$41&lt;=100),"P","")</f>
        <v>P</v>
      </c>
      <c r="FR12" t="str">
        <f>IF(WSFIQIH!$N$49&lt;74.9,"P","")</f>
        <v/>
      </c>
      <c r="FS12" s="102" t="str">
        <f>IF(AND(WSFIQIH!$N$49&gt;=75,WSFIQIH!$N$49&lt;=83.24),"P","")</f>
        <v/>
      </c>
      <c r="FT12" s="102" t="str">
        <f>IF(AND(WSFIQIH!$N$49&gt;=83.25,WSFIQIH!$N$49&lt;=91.4),"P","")</f>
        <v/>
      </c>
      <c r="FU12" s="102" t="str">
        <f>IF(AND(WSFIQIH!$N$49&gt;=91.5,WSFIQIH!$N$49&lt;=100),"P","")</f>
        <v>P</v>
      </c>
      <c r="FV12" t="str">
        <f>IF(WSFIQIH!$N$62&lt;74.9,"P","")</f>
        <v/>
      </c>
      <c r="FW12" s="102" t="str">
        <f>IF(AND(WSFIQIH!$N$62&gt;=75,WSFIQIH!$N$62&lt;=83.24),"P","")</f>
        <v/>
      </c>
      <c r="FX12" s="102" t="str">
        <f>IF(AND(WSFIQIH!$N$62&gt;=83.25,WSFIQIH!$N$62&lt;=91.4),"P","")</f>
        <v>P</v>
      </c>
      <c r="FY12" s="102" t="str">
        <f>IF(AND(WSFIQIH!$N$62&gt;=91.5,WSFIQIH!$N$62&lt;=100),"P","")</f>
        <v/>
      </c>
      <c r="FZ12" t="str">
        <f>IF(WSFIQIH!$N$71&lt;74.9,"P","")</f>
        <v/>
      </c>
      <c r="GA12" s="102" t="str">
        <f>IF(AND(WSFIQIH!$N$71&gt;=75,WSFIQIH!$N$71&lt;=83.24),"P","")</f>
        <v/>
      </c>
      <c r="GB12" s="102" t="str">
        <f>IF(AND(WSFIQIH!$N$71&gt;=83.25,WSFIQIH!$N$71&lt;=91.4),"P","")</f>
        <v/>
      </c>
      <c r="GC12" s="102" t="str">
        <f>IF(AND(WSFIQIH!$N$71&gt;=91.5,WSFIQIH!$N$71&lt;=100),"P","")</f>
        <v>P</v>
      </c>
      <c r="GD12" t="str">
        <f>IF(WSFIQIH!$N$80&lt;74.9,"P","")</f>
        <v/>
      </c>
      <c r="GE12" s="102" t="str">
        <f>IF(AND(WSFIQIH!$N$80&gt;=75,WSFIQIH!$N$80&lt;=83.24),"P","")</f>
        <v>P</v>
      </c>
      <c r="GF12" s="102" t="str">
        <f>IF(AND(WSFIQIH!$N$80&gt;=83.25,WSFIQIH!$N$80&lt;=91.4),"P","")</f>
        <v/>
      </c>
      <c r="GG12" s="102" t="str">
        <f>IF(AND(WSFIQIH!$N$80&gt;=91.5,WSFIQIH!$N$80&lt;=100),"P","")</f>
        <v/>
      </c>
      <c r="GH12" t="str">
        <f>IF(WSFIQIH!$N$88&lt;74.9,"P","")</f>
        <v/>
      </c>
      <c r="GI12" s="102" t="str">
        <f>IF(AND(WSFIQIH!$N$88&gt;=75,WSFIQIH!$N$88&lt;=83.24),"P","")</f>
        <v/>
      </c>
      <c r="GJ12" s="102" t="str">
        <f>IF(AND(WSFIQIH!$N$88&gt;=83.25,WSFIQIH!$N$88&lt;=91.4),"P","")</f>
        <v/>
      </c>
      <c r="GK12" s="102" t="str">
        <f>IF(AND(WSFIQIH!$N$88&gt;=91.5,WSFIQIH!$N$88&lt;=100),"P","")</f>
        <v/>
      </c>
      <c r="GL12" t="str">
        <f>IF(WSFIQIH!$N$96&lt;74.9,"P","")</f>
        <v/>
      </c>
      <c r="GM12" s="102" t="str">
        <f>IF(AND(WSFIQIH!$N$96&gt;=75,WSFIQIH!$N$96&lt;=83.24),"P","")</f>
        <v/>
      </c>
      <c r="GN12" s="102" t="str">
        <f>IF(AND(WSFIQIH!$N$96&gt;=83.25,WSFIQIH!$N$96&lt;=91.4),"P","")</f>
        <v/>
      </c>
      <c r="GO12" s="102" t="str">
        <f>IF(AND(WSFIQIH!$N$96&gt;=91.5,WSFIQIH!$N$96&lt;=100),"P","")</f>
        <v/>
      </c>
      <c r="GP12" t="str">
        <f>IF(WSFIQIH!$N$104&lt;74.9,"P","")</f>
        <v/>
      </c>
      <c r="GQ12" s="102" t="str">
        <f>IF(AND(WSFIQIH!$N$104&gt;=75,WSFIQIH!$N$104&lt;=83.24),"P","")</f>
        <v/>
      </c>
      <c r="GR12" s="102" t="str">
        <f>IF(AND(WSFIQIH!$N$104&gt;=83.25,WSFIQIH!$N$104&lt;=91.4),"P","")</f>
        <v/>
      </c>
      <c r="GS12" s="102" t="str">
        <f>IF(AND(WSFIQIH!$N$104&gt;=91.5,WSFIQIH!$N$104&lt;=100),"P","")</f>
        <v/>
      </c>
      <c r="GT12" t="str">
        <f>IF(WSFIQIH!$N$112&lt;74.9,"P","")</f>
        <v/>
      </c>
      <c r="GU12" s="102" t="str">
        <f>IF(AND(WSFIQIH!$N$112&gt;=75,WSFIQIH!$N$112&lt;=83.24),"P","")</f>
        <v/>
      </c>
      <c r="GV12" s="102" t="str">
        <f>IF(AND(WSFIQIH!$N$112&gt;=83.25,WSFIQIH!$N$112&lt;=91.4),"P","")</f>
        <v/>
      </c>
      <c r="GW12" s="102" t="str">
        <f>IF(AND(WSFIQIH!$N$112&gt;=91.5,WSFIQIH!$N$112&lt;=100),"P","")</f>
        <v/>
      </c>
      <c r="GX12" t="str">
        <f>IF(WSFIQIH!$N$120&lt;74.9,"P","")</f>
        <v/>
      </c>
      <c r="GY12" s="102" t="str">
        <f>IF(AND(WSFIQIH!$N$120&gt;=75,WSFIQIH!$N$120&lt;=83.24),"P","")</f>
        <v/>
      </c>
      <c r="GZ12" s="102" t="str">
        <f>IF(AND(WSFIQIH!$N$120&gt;=83.25,WSFIQIH!$N$120&lt;=91.4),"P","")</f>
        <v/>
      </c>
      <c r="HA12" s="102" t="str">
        <f>IF(AND(WSFIQIH!$N$120&gt;=91.5,WSFIQIH!$N$120&lt;=100),"P","")</f>
        <v/>
      </c>
      <c r="HB12" t="str">
        <f>IF(WSPKN!$N$6&lt;74.9,"P","")</f>
        <v/>
      </c>
      <c r="HC12" s="102" t="str">
        <f>IF(AND(WSPKN!$N$6&gt;=75,WSPKN!$N$6&lt;=83.24),"P","")</f>
        <v/>
      </c>
      <c r="HD12" s="102" t="str">
        <f>IF(AND(WSPKN!$N$6&gt;=83.25,WSPKN!$N$6&lt;=91.4),"P","")</f>
        <v/>
      </c>
      <c r="HE12" s="102" t="str">
        <f>IF(AND(WSPKN!$N$6&gt;=91.5,WSPKN!$N$6&lt;=100),"P","")</f>
        <v>P</v>
      </c>
      <c r="HF12" t="str">
        <f>IF(WSPKN!$N$32&lt;74.9,"P","")</f>
        <v/>
      </c>
      <c r="HG12" s="102" t="str">
        <f>IF(AND(WSPKN!$N$32&gt;=75,WSPKN!$N$32&lt;=83.24),"P","")</f>
        <v/>
      </c>
      <c r="HH12" s="102" t="str">
        <f>IF(AND(WSPKN!$N$32&gt;=83.25,WSPKN!$N$32&lt;=91.4),"P","")</f>
        <v/>
      </c>
      <c r="HI12" s="102" t="str">
        <f>IF(AND(WSPKN!$N$32&gt;=91.5,WSPKN!$N$32&lt;=100),"P","")</f>
        <v>P</v>
      </c>
      <c r="HJ12" t="str">
        <f>IF(WSPKN!$N$55&lt;74.9,"P","")</f>
        <v/>
      </c>
      <c r="HK12" s="102" t="str">
        <f>IF(AND(WSPKN!$N$55&gt;=75,WSPKN!$N$55&lt;=83.24),"P","")</f>
        <v/>
      </c>
      <c r="HL12" s="102" t="str">
        <f>IF(AND(WSPKN!$N$55&gt;=83.25,WSPKN!$N$55&lt;=91.4),"P","")</f>
        <v/>
      </c>
      <c r="HM12" s="102" t="str">
        <f>IF(AND(WSPKN!$N$55&gt;=91.5,WSPKN!$N$55&lt;=100),"P","")</f>
        <v>P</v>
      </c>
      <c r="HN12" t="str">
        <f>IF(WSPKN!$N$72&lt;74.9,"P","")</f>
        <v/>
      </c>
      <c r="HO12" s="102" t="str">
        <f>IF(AND(WSPKN!$N$72&gt;=75,WSPKN!$N$72&lt;=83.24),"P","")</f>
        <v/>
      </c>
      <c r="HP12" s="102" t="str">
        <f>IF(AND(WSPKN!$N$72&gt;=83.25,WSPKN!$N$72&lt;=91.4),"P","")</f>
        <v/>
      </c>
      <c r="HQ12" s="102" t="str">
        <f>IF(AND(WSPKN!$N$72&gt;=91.5,WSPKN!$N$72&lt;=100),"P","")</f>
        <v>P</v>
      </c>
      <c r="HR12" t="str">
        <f>IF(WSPKN!$N$86&lt;74.9,"P","")</f>
        <v/>
      </c>
      <c r="HS12" s="102" t="str">
        <f>IF(AND(WSPKN!$N$86&gt;=75,WSPKN!$N$86&lt;=83.24),"P","")</f>
        <v/>
      </c>
      <c r="HT12" s="102" t="str">
        <f>IF(AND(WSPKN!$N$86&gt;=83.25,WSPKN!$N$86&lt;=91.4),"P","")</f>
        <v/>
      </c>
      <c r="HU12" s="102" t="str">
        <f>IF(AND(WSPKN!$N$86&gt;=91.5,WSPKN!$N$86&lt;=100),"P","")</f>
        <v>P</v>
      </c>
      <c r="HV12" t="str">
        <f>IF(WSPKN!$N$108&lt;74.9,"P","")</f>
        <v/>
      </c>
      <c r="HW12" s="102" t="str">
        <f>IF(AND(WSPKN!$N$108&gt;=75,WSPKN!$N$108&lt;=83.24),"P","")</f>
        <v/>
      </c>
      <c r="HX12" s="102" t="str">
        <f>IF(AND(WSPKN!$N$108&gt;=83.25,WSPKN!$N$108&lt;=91.4),"P","")</f>
        <v/>
      </c>
      <c r="HY12" s="102" t="str">
        <f>IF(AND(WSPKN!$N$108&gt;=91.5,WSPKN!$N$108&lt;=100),"P","")</f>
        <v>P</v>
      </c>
      <c r="HZ12" t="str">
        <f>IF(WSPKN!$N$132&lt;74.9,"P","")</f>
        <v/>
      </c>
      <c r="IA12" s="102" t="str">
        <f>IF(AND(WSPKN!$N$132&gt;=75,WSPKN!$N$132&lt;=83.24),"P","")</f>
        <v/>
      </c>
      <c r="IB12" s="102" t="str">
        <f>IF(AND(WSPKN!$N$132&gt;=83.25,WSPKN!$N$132&lt;=91.4),"P","")</f>
        <v/>
      </c>
      <c r="IC12" s="102" t="str">
        <f>IF(AND(WSPKN!$N$132&gt;=91.5,WSPKN!$N$132&lt;=100),"P","")</f>
        <v>P</v>
      </c>
      <c r="ID12" t="str">
        <f>IF(WSPKN!$N$148&lt;74.9,"P","")</f>
        <v/>
      </c>
      <c r="IE12" s="102" t="str">
        <f>IF(AND(WSPKN!$N$148&gt;=75,WSPKN!$N$148&lt;=83.24),"P","")</f>
        <v/>
      </c>
      <c r="IF12" s="102" t="str">
        <f>IF(AND(WSPKN!$N$148&gt;=83.25,WSPKN!$N$148&lt;=91.4),"P","")</f>
        <v/>
      </c>
      <c r="IG12" s="102" t="str">
        <f>IF(AND(WSPKN!$N$148&gt;=91.5,WSPKN!$N$148&lt;=100),"P","")</f>
        <v>P</v>
      </c>
      <c r="IH12" t="str">
        <f>IF(WSPKN!$N$165&lt;74.9,"P","")</f>
        <v/>
      </c>
      <c r="II12" s="102" t="str">
        <f>IF(AND(WSPKN!$N$165&gt;=75,WSPKN!$N$165&lt;=83.24),"P","")</f>
        <v/>
      </c>
      <c r="IJ12" s="102" t="str">
        <f>IF(AND(WSPKN!$N$165&gt;=83.25,WSPKN!$N$165&lt;=91.4),"P","")</f>
        <v/>
      </c>
      <c r="IK12" s="102" t="str">
        <f>IF(AND(WSPKN!$N$165&gt;=91.5,WSPKN!$N$165&lt;=100),"P","")</f>
        <v/>
      </c>
      <c r="IL12" t="str">
        <f>IF(WSPKN!$N$173&lt;74.9,"P","")</f>
        <v/>
      </c>
      <c r="IM12" s="102" t="str">
        <f>IF(AND(WSPKN!$N$173&gt;=75,WSPKN!$N$173&lt;=83.24),"P","")</f>
        <v/>
      </c>
      <c r="IN12" s="102" t="str">
        <f>IF(AND(WSPKN!$N$173&gt;=83.25,WSPKN!$N$173&lt;=91.4),"P","")</f>
        <v/>
      </c>
      <c r="IO12" s="102" t="str">
        <f>IF(AND(WSPKN!$N$173&gt;=91.5,WSPKN!$N$173&lt;=100),"P","")</f>
        <v/>
      </c>
      <c r="IP12" t="str">
        <f>IF(WSPKN!$N$181&lt;74.9,"P","")</f>
        <v/>
      </c>
      <c r="IQ12" s="102" t="str">
        <f>IF(AND(WSPKN!$N$181&gt;=75,WSPKN!$N$181&lt;=83.24),"P","")</f>
        <v/>
      </c>
      <c r="IR12" s="102" t="str">
        <f>IF(AND(WSPKN!$N$181&gt;=83.25,WSPKN!$N$181&lt;=91.4),"P","")</f>
        <v/>
      </c>
      <c r="IS12" s="102" t="str">
        <f>IF(AND(WSPKN!$N$181&gt;=91.5,WSPKN!$N$181&lt;=100),"P","")</f>
        <v/>
      </c>
      <c r="IT12" t="str">
        <f>IF(WSPKN!$N$189&lt;74.9,"P","")</f>
        <v/>
      </c>
      <c r="IU12" s="102" t="str">
        <f>IF(AND(WSPKN!$N$189&gt;=75,WSPKN!$N$189&lt;=83.24),"P","")</f>
        <v/>
      </c>
      <c r="IV12" s="102" t="str">
        <f>IF(AND(WSPKN!$N$189&gt;=83.25,WSPKN!$N$189&lt;=91.4),"P","")</f>
        <v/>
      </c>
      <c r="IW12" s="102" t="str">
        <f>IF(AND(WSPKN!$N$189&gt;=91.5,WSPKN!$N$189&lt;=100),"P","")</f>
        <v/>
      </c>
      <c r="IX12" t="str">
        <f>IF(WSPKN!$N$197&lt;74.9,"P","")</f>
        <v/>
      </c>
      <c r="IY12" s="102" t="str">
        <f>IF(AND(WSPKN!$N$197&gt;=75,WSPKN!$N$197&lt;=83.24),"P","")</f>
        <v/>
      </c>
      <c r="IZ12" s="102" t="str">
        <f>IF(AND(WSPKN!$N$197&gt;=83.25,WSPKN!$N$197&lt;=91.4),"P","")</f>
        <v/>
      </c>
      <c r="JA12" s="102" t="str">
        <f>IF(AND(WSPKN!$N$197&gt;=91.5,WSPKN!$N$197&lt;=100),"P","")</f>
        <v/>
      </c>
      <c r="JB12" t="str">
        <f>IF(WSIND!$N$6&lt;74.9,"P","")</f>
        <v/>
      </c>
      <c r="JC12" s="102" t="str">
        <f>IF(AND(WSIND!$N$6&gt;=75,WSIND!$N$6&lt;=83.24),"P","")</f>
        <v/>
      </c>
      <c r="JD12" s="102" t="str">
        <f>IF(AND(WSIND!$N$6&gt;=83.25,WSIND!$N$6&lt;=91.4),"P","")</f>
        <v/>
      </c>
      <c r="JE12" s="102" t="str">
        <f>IF(AND(WSIND!$N$6&gt;=91.5,WSIND!$N$6&lt;=100),"P","")</f>
        <v>P</v>
      </c>
      <c r="JF12" t="str">
        <f>IF(WSIND!$N$65&lt;74.9,"P","")</f>
        <v/>
      </c>
      <c r="JG12" s="102" t="str">
        <f>IF(AND(WSIND!$N$65&gt;=75,WSIND!$N$65&lt;=83.24),"P","")</f>
        <v/>
      </c>
      <c r="JH12" s="102" t="str">
        <f>IF(AND(WSIND!$N$65&gt;=83.25,WSIND!$N$65&lt;=91.4),"P","")</f>
        <v/>
      </c>
      <c r="JI12" s="102" t="str">
        <f>IF(AND(WSIND!$N$65&gt;=91.5,WSIND!$N$65&lt;=100),"P","")</f>
        <v>P</v>
      </c>
      <c r="JJ12" t="str">
        <f>IF(WSIND!$N$113&lt;74.9,"P","")</f>
        <v/>
      </c>
      <c r="JK12" s="102" t="str">
        <f>IF(AND(WSIND!$N$113&gt;=75,WSIND!$N$113&lt;=83.24),"P","")</f>
        <v/>
      </c>
      <c r="JL12" s="102" t="str">
        <f>IF(AND(WSIND!$N$113&gt;=83.25,WSIND!$N$113&lt;=91.4),"P","")</f>
        <v/>
      </c>
      <c r="JM12" s="102" t="str">
        <f>IF(AND(WSIND!$N$113&gt;=91.5,WSIND!$N$113&lt;=100),"P","")</f>
        <v>P</v>
      </c>
      <c r="JN12" t="str">
        <f>IF(WSIND!$N$133&lt;74.9,"P","")</f>
        <v/>
      </c>
      <c r="JO12" s="102" t="str">
        <f>IF(AND(WSIND!$N$133&gt;=75,WSIND!$N$133&lt;=83.24),"P","")</f>
        <v/>
      </c>
      <c r="JP12" s="102" t="str">
        <f>IF(AND(WSIND!$N$133&gt;=83.25,WSIND!$N$133&lt;=91.4),"P","")</f>
        <v/>
      </c>
      <c r="JQ12" s="102" t="str">
        <f>IF(AND(WSIND!$N$133&gt;=91.5,WSIND!$N$133&lt;=100),"P","")</f>
        <v>P</v>
      </c>
      <c r="JR12" t="str">
        <f>IF(WSIND!$N$161&lt;74.9,"P","")</f>
        <v/>
      </c>
      <c r="JS12" s="102" t="str">
        <f>IF(AND(WSIND!$N$161&gt;=75,WSIND!$N$161&lt;=83.24),"P","")</f>
        <v/>
      </c>
      <c r="JT12" s="102" t="str">
        <f>IF(AND(WSIND!$N$161&gt;=83.25,WSIND!$N$161&lt;=91.4),"P","")</f>
        <v/>
      </c>
      <c r="JU12" s="102" t="str">
        <f>IF(AND(WSIND!$N$161&gt;=91.5,WSIND!$N$161&lt;=100),"P","")</f>
        <v>P</v>
      </c>
      <c r="JV12" t="str">
        <f>IF(WSIND!$N$192&lt;74.9,"P","")</f>
        <v/>
      </c>
      <c r="JW12" s="102" t="str">
        <f>IF(AND(WSIND!$N$192&gt;=75,WSIND!$N$192&lt;=83.24),"P","")</f>
        <v/>
      </c>
      <c r="JX12" s="102" t="str">
        <f>IF(AND(WSIND!$N$192&gt;=83.25,WSIND!$N$192&lt;=91.4),"P","")</f>
        <v/>
      </c>
      <c r="JY12" s="102" t="str">
        <f>IF(AND(WSIND!$N$192&gt;=91.5,WSIND!$N$192&lt;=100),"P","")</f>
        <v>P</v>
      </c>
      <c r="JZ12" t="str">
        <f>IF(WSIND!$N$228&lt;74.9,"P","")</f>
        <v/>
      </c>
      <c r="KA12" s="102" t="str">
        <f>IF(AND(WSIND!$N$228&gt;=75,WSIND!$N$228&lt;=83.24),"P","")</f>
        <v/>
      </c>
      <c r="KB12" s="102" t="str">
        <f>IF(AND(WSIND!$N$228&gt;=83.25,WSIND!$N$228&lt;=91.4),"P","")</f>
        <v/>
      </c>
      <c r="KC12" s="102" t="str">
        <f>IF(AND(WSIND!$N$228&gt;=91.5,WSIND!$N$228&lt;=100),"P","")</f>
        <v>P</v>
      </c>
      <c r="KD12" t="str">
        <f>IF(WSIND!$N$256&lt;74.9,"P","")</f>
        <v/>
      </c>
      <c r="KE12" s="102" t="str">
        <f>IF(AND(WSIND!$N$256&gt;=75,WSIND!$N$256&lt;=83.24),"P","")</f>
        <v/>
      </c>
      <c r="KF12" s="102" t="str">
        <f>IF(AND(WSIND!$N$256&gt;=83.25,WSIND!$N$256&lt;=91.4),"P","")</f>
        <v/>
      </c>
      <c r="KG12" s="102" t="str">
        <f>IF(AND(WSIND!$N$256&gt;=91.5,WSIND!$N$256&lt;=100),"P","")</f>
        <v>P</v>
      </c>
      <c r="KH12" t="str">
        <f>IF(WSIND!$N$277&lt;74.9,"P","")</f>
        <v/>
      </c>
      <c r="KI12" s="102" t="str">
        <f>IF(AND(WSIND!$N$277&gt;=75,WSIND!$N$277&lt;=83.24),"P","")</f>
        <v/>
      </c>
      <c r="KJ12" s="102" t="str">
        <f>IF(AND(WSIND!$N$277&gt;=83.25,WSIND!$N$277&lt;=91.4),"P","")</f>
        <v/>
      </c>
      <c r="KK12" s="102" t="str">
        <f>IF(AND(WSIND!$N$277&gt;=91.5,WSIND!$N$277&lt;=100),"P","")</f>
        <v>P</v>
      </c>
      <c r="KL12" t="str">
        <f>IF(WSIND!$N$305&lt;74.9,"P","")</f>
        <v/>
      </c>
      <c r="KM12" s="102" t="str">
        <f>IF(AND(WSIND!$N$305&gt;=75,WSIND!$N$305&lt;=83.24),"P","")</f>
        <v/>
      </c>
      <c r="KN12" s="102" t="str">
        <f>IF(AND(WSIND!$N$305&gt;=83.25,WSIND!$N$305&lt;=91.4),"P","")</f>
        <v/>
      </c>
      <c r="KO12" s="102" t="str">
        <f>IF(AND(WSIND!$N$305&gt;=91.5,WSIND!$N$305&lt;=100),"P","")</f>
        <v>P</v>
      </c>
      <c r="KP12" t="str">
        <f>IF(WSIND!$N$329&lt;74.9,"P","")</f>
        <v/>
      </c>
      <c r="KQ12" s="102" t="str">
        <f>IF(AND(WSIND!$N$329&gt;=75,WSIND!$N$329&lt;=83.24),"P","")</f>
        <v/>
      </c>
      <c r="KR12" s="102" t="str">
        <f>IF(AND(WSIND!$N$329&gt;=83.25,WSIND!$N$329&lt;=91.4),"P","")</f>
        <v/>
      </c>
      <c r="KS12" s="102" t="str">
        <f>IF(AND(WSIND!$N$329&gt;=91.5,WSIND!$N$329&lt;=100),"P","")</f>
        <v/>
      </c>
      <c r="KT12" t="str">
        <f>IF(WSIND!$N$337&lt;74.9,"P","")</f>
        <v/>
      </c>
      <c r="KU12" s="102" t="str">
        <f>IF(AND(WSIND!$N$337&gt;=75,WSIND!$N$337&lt;=83.24),"P","")</f>
        <v/>
      </c>
      <c r="KV12" s="102" t="str">
        <f>IF(AND(WSIND!$N$337&gt;=83.25,WSIND!$N$337&lt;=91.4),"P","")</f>
        <v/>
      </c>
      <c r="KW12" s="102" t="str">
        <f>IF(AND(WSIND!$N$337&gt;=91.5,WSIND!$N$337&lt;=100),"P","")</f>
        <v/>
      </c>
      <c r="KX12" t="str">
        <f>IF(WSIND!$N$345&lt;74.9,"P","")</f>
        <v/>
      </c>
      <c r="KY12" s="102" t="str">
        <f>IF(AND(WSIND!$N$345&gt;=75,WSIND!$N$345&lt;=83.24),"P","")</f>
        <v/>
      </c>
      <c r="KZ12" s="102" t="str">
        <f>IF(AND(WSIND!$N$345&gt;=83.25,WSIND!$N$345&lt;=91.4),"P","")</f>
        <v/>
      </c>
      <c r="LA12" s="102" t="str">
        <f>IF(AND(WSIND!$N$345&gt;=91.5,WSIND!$N$345&lt;=100),"P","")</f>
        <v/>
      </c>
      <c r="LB12" t="str">
        <f>IF(WSARAB!$N$6&lt;74.9,"P","")</f>
        <v/>
      </c>
      <c r="LC12" s="102" t="str">
        <f>IF(AND(WSARAB!$N$6&gt;=75,WSARAB!$N$6&lt;=83.24),"P","")</f>
        <v/>
      </c>
      <c r="LD12" s="102" t="str">
        <f>IF(AND(WSARAB!$N$6&gt;=83.25,WSARAB!$N$6&lt;=91.4),"P","")</f>
        <v/>
      </c>
      <c r="LE12" s="102" t="str">
        <f>IF(AND(WSARAB!$N$6&gt;=91.5,WSARAB!$N$6&lt;=100),"P","")</f>
        <v/>
      </c>
      <c r="LF12" t="str">
        <f>IF(WSARAB!$N$17&lt;74.9,"P","")</f>
        <v/>
      </c>
      <c r="LG12" s="102" t="str">
        <f>IF(AND(WSARAB!$N$17&gt;=75,WSARAB!$N$17&lt;=83.24),"P","")</f>
        <v/>
      </c>
      <c r="LH12" s="102" t="str">
        <f>IF(AND(WSARAB!$N$17&gt;=83.25,WSARAB!$N$17&lt;=91.4),"P","")</f>
        <v/>
      </c>
      <c r="LI12" s="102" t="str">
        <f>IF(AND(WSARAB!$N$17&gt;=91.5,WSARAB!$N$17&lt;=100),"P","")</f>
        <v/>
      </c>
      <c r="LJ12" t="str">
        <f>IF(WSARAB!$N$29&lt;74.9,"P","")</f>
        <v/>
      </c>
      <c r="LK12" s="102" t="str">
        <f>IF(AND(WSARAB!$N$29&gt;=75,WSARAB!$N$29&lt;=83.24),"P","")</f>
        <v/>
      </c>
      <c r="LL12" s="102" t="str">
        <f>IF(AND(WSARAB!$N$29&gt;=83.25,WSARAB!$N$29&lt;=91.4),"P","")</f>
        <v/>
      </c>
      <c r="LM12" s="102" t="str">
        <f>IF(AND(WSARAB!$N$29&gt;=91.5,WSARAB!$N$29&lt;=100),"P","")</f>
        <v/>
      </c>
      <c r="LN12" t="str">
        <f>IF(WSARAB!$N$37&lt;74.9,"P","")</f>
        <v/>
      </c>
      <c r="LO12" s="102" t="str">
        <f>IF(AND(WSARAB!$N$37&gt;=75,WSARAB!$N$37&lt;=83.24),"P","")</f>
        <v/>
      </c>
      <c r="LP12" s="102" t="str">
        <f>IF(AND(WSARAB!$N$37&gt;=83.25,WSARAB!$N$37&lt;=91.4),"P","")</f>
        <v/>
      </c>
      <c r="LQ12" s="102" t="str">
        <f>IF(AND(WSARAB!$N$37&gt;=91.5,WSARAB!$N$37&lt;=100),"P","")</f>
        <v/>
      </c>
      <c r="LR12" t="str">
        <f>IF(WSARAB!$N$45&lt;74.9,"P","")</f>
        <v/>
      </c>
      <c r="LS12" s="102" t="str">
        <f>IF(AND(WSARAB!$N$45&gt;=75,WSARAB!$N$45&lt;=83.24),"P","")</f>
        <v/>
      </c>
      <c r="LT12" s="102" t="str">
        <f>IF(AND(WSARAB!$N$45&gt;=83.25,WSARAB!$N$45&lt;=91.4),"P","")</f>
        <v/>
      </c>
      <c r="LU12" s="102" t="str">
        <f>IF(AND(WSARAB!$N$45&gt;=91.5,WSARAB!$N$45&lt;=100),"P","")</f>
        <v/>
      </c>
      <c r="LV12" t="str">
        <f>IF(WSARAB!$N$53&lt;74.9,"P","")</f>
        <v/>
      </c>
      <c r="LW12" s="102" t="str">
        <f>IF(AND(WSARAB!$N$53&gt;=75,WSARAB!$N$53&lt;=83.24),"P","")</f>
        <v/>
      </c>
      <c r="LX12" s="102" t="str">
        <f>IF(AND(WSARAB!$N$53&gt;=83.25,WSARAB!$N$53&lt;=91.4),"P","")</f>
        <v/>
      </c>
      <c r="LY12" s="102" t="str">
        <f>IF(AND(WSARAB!$N$53&gt;=91.5,WSARAB!$N$53&lt;=100),"P","")</f>
        <v/>
      </c>
      <c r="LZ12" t="str">
        <f>IF(WSARAB!$N$65&lt;74.9,"P","")</f>
        <v/>
      </c>
      <c r="MA12" s="102" t="str">
        <f>IF(AND(WSARAB!$N$65&gt;=75,WSARAB!$N$65&lt;=83.24),"P","")</f>
        <v/>
      </c>
      <c r="MB12" s="102" t="str">
        <f>IF(AND(WSARAB!$N$65&gt;=83.25,WSARAB!$N$65&lt;=91.4),"P","")</f>
        <v/>
      </c>
      <c r="MC12" s="102" t="str">
        <f>IF(AND(WSARAB!$N$65&gt;=91.5,WSARAB!$N$65&lt;=100),"P","")</f>
        <v/>
      </c>
      <c r="MD12" t="str">
        <f>IF(WSARAB!$N$73&lt;74.9,"P","")</f>
        <v/>
      </c>
      <c r="ME12" s="102" t="str">
        <f>IF(AND(WSARAB!$N$73&gt;=75,WSARAB!$N$73&lt;=83.24),"P","")</f>
        <v/>
      </c>
      <c r="MF12" s="102" t="str">
        <f>IF(AND(WSARAB!$N$73&gt;=83.25,WSARAB!$N$73&lt;=91.4),"P","")</f>
        <v/>
      </c>
      <c r="MG12" s="102" t="str">
        <f>IF(AND(WSARAB!$N$73&gt;=91.5,WSARAB!$N$73&lt;=100),"P","")</f>
        <v/>
      </c>
      <c r="MH12" t="str">
        <f>IF(WSARAB!$N$81&lt;74.9,"P","")</f>
        <v/>
      </c>
      <c r="MI12" s="102" t="str">
        <f>IF(AND(WSARAB!$N$81&gt;=75,WSARAB!$N$81&lt;=83.24),"P","")</f>
        <v/>
      </c>
      <c r="MJ12" s="102" t="str">
        <f>IF(AND(WSARAB!$N$81&gt;=83.25,WSARAB!$N$81&lt;=91.4),"P","")</f>
        <v/>
      </c>
      <c r="MK12" s="102" t="str">
        <f>IF(AND(WSARAB!$N$81&gt;=91.5,WSARAB!$N$81&lt;=100),"P","")</f>
        <v/>
      </c>
      <c r="ML12" t="str">
        <f>IF(WSARAB!$N$89&lt;74.9,"P","")</f>
        <v/>
      </c>
      <c r="MM12" s="102" t="str">
        <f>IF(AND(WSARAB!$N$89&gt;=75,WSARAB!$N$89&lt;=83.24),"P","")</f>
        <v/>
      </c>
      <c r="MN12" s="102" t="str">
        <f>IF(AND(WSARAB!$N$89&gt;=83.25,WSARAB!$N$89&lt;=91.4),"P","")</f>
        <v/>
      </c>
      <c r="MO12" s="102" t="str">
        <f>IF(AND(WSARAB!$N$89&gt;=91.5,WSARAB!$N$89&lt;=100),"P","")</f>
        <v/>
      </c>
      <c r="MP12" t="str">
        <f>IF(WSARAB!$N$97&lt;74.9,"P","")</f>
        <v/>
      </c>
      <c r="MQ12" s="102" t="str">
        <f>IF(AND(WSARAB!$N$97&gt;=75,WSARAB!$N$97&lt;=83.24),"P","")</f>
        <v/>
      </c>
      <c r="MR12" s="102" t="str">
        <f>IF(AND(WSARAB!$N$97&gt;=83.25,WSARAB!$N$97&lt;=91.4),"P","")</f>
        <v/>
      </c>
      <c r="MS12" s="102" t="str">
        <f>IF(AND(WSARAB!$N$97&gt;=91.5,WSARAB!$N$97&lt;=100),"P","")</f>
        <v/>
      </c>
      <c r="MT12" t="str">
        <f>IF(WSARAB!$N$105&lt;74.9,"P","")</f>
        <v/>
      </c>
      <c r="MU12" s="102" t="str">
        <f>IF(AND(WSARAB!$N$105&gt;=75,WSARAB!$N$105&lt;=83.24),"P","")</f>
        <v/>
      </c>
      <c r="MV12" s="102" t="str">
        <f>IF(AND(WSARAB!$N$105&gt;=83.25,WSARAB!$N$105&lt;=91.4),"P","")</f>
        <v/>
      </c>
      <c r="MW12" s="102" t="str">
        <f>IF(AND(WSARAB!$N$105&gt;=91.5,WSARAB!$N$105&lt;=100),"P","")</f>
        <v/>
      </c>
      <c r="MX12" t="str">
        <f>IF(WSARAB!$N$113&lt;74.9,"P","")</f>
        <v/>
      </c>
      <c r="MY12" s="102" t="str">
        <f>IF(AND(WSARAB!$N$113&gt;=75,WSARAB!$N$113&lt;=83.24),"P","")</f>
        <v/>
      </c>
      <c r="MZ12" s="102" t="str">
        <f>IF(AND(WSARAB!$N$113&gt;=83.25,WSARAB!$N$113&lt;=91.4),"P","")</f>
        <v/>
      </c>
      <c r="NA12" s="102" t="str">
        <f>IF(AND(WSARAB!$N$113&gt;=91.5,WSARAB!$N$113&lt;=100),"P","")</f>
        <v/>
      </c>
      <c r="NB12" t="str">
        <f>IF(WSMTK!$N$6&lt;74.9,"P","")</f>
        <v/>
      </c>
      <c r="NC12" s="102" t="str">
        <f>IF(AND(WSMTK!$N$6&gt;=75,WSMTK!$N$6&lt;=83.24),"P","")</f>
        <v/>
      </c>
      <c r="ND12" s="102" t="str">
        <f>IF(AND(WSMTK!$N$6&gt;=83.25,WSMTK!$N$6&lt;=91.4),"P","")</f>
        <v/>
      </c>
      <c r="NE12" s="102" t="str">
        <f>IF(AND(WSMTK!$N$6&gt;=91.5,WSMTK!$N$6&lt;=100),"P","")</f>
        <v>P</v>
      </c>
      <c r="NF12" t="str">
        <f>IF(WSMTK!$N$22&lt;74.9,"P","")</f>
        <v/>
      </c>
      <c r="NG12" s="102" t="str">
        <f>IF(AND(WSMTK!$N$22&gt;=75,WSMTK!$N$22&lt;=83.24),"P","")</f>
        <v/>
      </c>
      <c r="NH12" s="102" t="str">
        <f>IF(AND(WSMTK!$N$22&gt;=83.25,WSMTK!$N$22&lt;=91.4),"P","")</f>
        <v/>
      </c>
      <c r="NI12" s="102" t="str">
        <f>IF(AND(WSMTK!$N$22&gt;=91.5,WSMTK!$N$22&lt;=100),"P","")</f>
        <v>P</v>
      </c>
      <c r="NJ12" t="str">
        <f>IF(WSMTK!$N$35&lt;74.9,"P","")</f>
        <v/>
      </c>
      <c r="NK12" s="102" t="str">
        <f>IF(AND(WSMTK!$N$35&gt;=75,WSMTK!$N$35&lt;=83.24),"P","")</f>
        <v/>
      </c>
      <c r="NL12" s="102" t="str">
        <f>IF(AND(WSMTK!$N$35&gt;=83.25,WSMTK!$N$35&lt;=91.4),"P","")</f>
        <v/>
      </c>
      <c r="NM12" s="102" t="str">
        <f>IF(AND(WSMTK!$N$35&gt;=91.5,WSMTK!$N$35&lt;=100),"P","")</f>
        <v>P</v>
      </c>
      <c r="NN12" t="str">
        <f>IF(WSMTK!$N$69&lt;74.9,"P","")</f>
        <v/>
      </c>
      <c r="NO12" s="102" t="str">
        <f>IF(AND(WSMTK!$N$69&gt;=75,WSMTK!$N$69&lt;=83.24),"P","")</f>
        <v/>
      </c>
      <c r="NP12" s="102" t="str">
        <f>IF(AND(WSMTK!$N$69&gt;=83.25,WSMTK!$N$69&lt;=91.4),"P","")</f>
        <v/>
      </c>
      <c r="NQ12" s="102" t="str">
        <f>IF(AND(WSMTK!$N$69&gt;=91.5,WSMTK!$N$69&lt;=100),"P","")</f>
        <v>P</v>
      </c>
      <c r="NR12" t="str">
        <f>IF(WSMTK!$N$87&lt;74.9,"P","")</f>
        <v/>
      </c>
      <c r="NS12" s="102" t="str">
        <f>IF(AND(WSMTK!$N$87&gt;=75,WSMTK!$N$87&lt;=83.24),"P","")</f>
        <v/>
      </c>
      <c r="NT12" s="102" t="str">
        <f>IF(AND(WSMTK!$N$87&gt;=83.25,WSMTK!$N$87&lt;=91.4),"P","")</f>
        <v/>
      </c>
      <c r="NU12" s="102" t="str">
        <f>IF(AND(WSMTK!$N$87&gt;=91.5,WSMTK!$N$87&lt;=100),"P","")</f>
        <v>P</v>
      </c>
      <c r="NV12" t="str">
        <f>IF(WSMTK!$N$99&lt;74.9,"P","")</f>
        <v/>
      </c>
      <c r="NW12" s="102" t="str">
        <f>IF(AND(WSMTK!$N$99&gt;=75,WSMTK!$N$99&lt;=83.24),"P","")</f>
        <v/>
      </c>
      <c r="NX12" s="102" t="str">
        <f>IF(AND(WSMTK!$N$99&gt;=83.25,WSMTK!$N$99&lt;=91.4),"P","")</f>
        <v/>
      </c>
      <c r="NY12" s="102" t="str">
        <f>IF(AND(WSMTK!$N$99&gt;=91.5,WSMTK!$N$99&lt;=100),"P","")</f>
        <v>P</v>
      </c>
      <c r="NZ12" t="str">
        <f>IF(WSMTK!$N$113&lt;74.9,"P","")</f>
        <v/>
      </c>
      <c r="OA12" s="102" t="str">
        <f>IF(AND(WSMTK!$N$113&gt;=75,WSMTK!$N$113&lt;=83.24),"P","")</f>
        <v/>
      </c>
      <c r="OB12" s="102" t="str">
        <f>IF(AND(WSMTK!$N$113&gt;=83.25,WSMTK!$N$113&lt;=91.4),"P","")</f>
        <v/>
      </c>
      <c r="OC12" s="102" t="str">
        <f>IF(AND(WSMTK!$N$113&gt;=91.5,WSMTK!$N$113&lt;=100),"P","")</f>
        <v>P</v>
      </c>
      <c r="OD12" t="str">
        <f>IF(WSMTK!$N$145&lt;74.9,"P","")</f>
        <v/>
      </c>
      <c r="OE12" s="102" t="str">
        <f>IF(AND(WSMTK!$N$145&gt;=75,WSMTK!$N$145&lt;=83.24),"P","")</f>
        <v/>
      </c>
      <c r="OF12" s="102" t="str">
        <f>IF(AND(WSMTK!$N$145&gt;=83.25,WSMTK!$N$145&lt;=91.4),"P","")</f>
        <v/>
      </c>
      <c r="OG12" s="102" t="str">
        <f>IF(AND(WSMTK!$N$145&gt;=91.5,WSMTK!$N$145&lt;=100),"P","")</f>
        <v>P</v>
      </c>
      <c r="OH12" t="str">
        <f>IF(WSMTK!$N$168&lt;74.9,"P","")</f>
        <v/>
      </c>
      <c r="OI12" s="102" t="str">
        <f>IF(AND(WSMTK!$N$168&gt;=75,WSMTK!$N$168&lt;=83.24),"P","")</f>
        <v/>
      </c>
      <c r="OJ12" s="102" t="str">
        <f>IF(AND(WSMTK!$N$168&gt;=83.25,WSMTK!$N$168&lt;=91.4),"P","")</f>
        <v/>
      </c>
      <c r="OK12" s="102" t="str">
        <f>IF(AND(WSMTK!$N$168&gt;=91.5,WSMTK!$N$168&lt;=100),"P","")</f>
        <v/>
      </c>
      <c r="OL12" t="str">
        <f>IF(WSMTK!$N$176&lt;74.9,"P","")</f>
        <v/>
      </c>
      <c r="OM12" s="102" t="str">
        <f>IF(AND(WSMTK!$N$176&gt;=75,WSMTK!$N$176&lt;=83.24),"P","")</f>
        <v/>
      </c>
      <c r="ON12" s="102" t="str">
        <f>IF(AND(WSMTK!$N$176&gt;=83.25,WSMTK!$N$176&lt;=91.4),"P","")</f>
        <v/>
      </c>
      <c r="OO12" s="102" t="str">
        <f>IF(AND(WSMTK!$N$176&gt;=91.5,WSMTK!$N$176&lt;=100),"P","")</f>
        <v/>
      </c>
      <c r="OP12" t="str">
        <f>IF(WSMTK!$N$184&lt;74.9,"P","")</f>
        <v/>
      </c>
      <c r="OQ12" s="102" t="str">
        <f>IF(AND(WSMTK!$N$184&gt;=75,WSMTK!$N$184&lt;=83.24),"P","")</f>
        <v/>
      </c>
      <c r="OR12" s="102" t="str">
        <f>IF(AND(WSMTK!$N$184&gt;=83.25,WSMTK!$N$184&lt;=91.4),"P","")</f>
        <v/>
      </c>
      <c r="OS12" s="102" t="str">
        <f>IF(AND(WSMTK!$N$184&gt;=91.5,WSMTK!$N$184&lt;=100),"P","")</f>
        <v/>
      </c>
      <c r="OT12" t="str">
        <f>IF(WSMTK!$N$192&lt;74.9,"P","")</f>
        <v/>
      </c>
      <c r="OU12" s="102" t="str">
        <f>IF(AND(WSMTK!$N$192&gt;=75,WSMTK!$N$192&lt;=83.24),"P","")</f>
        <v/>
      </c>
      <c r="OV12" s="102" t="str">
        <f>IF(AND(WSMTK!$N$192&gt;=83.25,WSMTK!$N$192&lt;=91.4),"P","")</f>
        <v/>
      </c>
      <c r="OW12" s="102" t="str">
        <f>IF(AND(WSMTK!$N$192&gt;=91.5,WSMTK!$N$192&lt;=100),"P","")</f>
        <v/>
      </c>
      <c r="OX12" t="str">
        <f>IF(WSMTK!$N$200&lt;74.9,"P","")</f>
        <v/>
      </c>
      <c r="OY12" s="102" t="str">
        <f>IF(AND(WSMTK!$N$200&gt;=75,WSMTK!$N$200&lt;=83.24),"P","")</f>
        <v/>
      </c>
      <c r="OZ12" s="102" t="str">
        <f>IF(AND(WSMTK!$N$200&gt;=83.25,WSMTK!$N$200&lt;=91.4),"P","")</f>
        <v/>
      </c>
      <c r="PA12" s="102" t="str">
        <f>IF(AND(WSMTK!$N$200&gt;=91.5,WSMTK!$N$200&lt;=100),"P","")</f>
        <v/>
      </c>
      <c r="PB12" t="str">
        <f>IF(WSIPA!$N$6&lt;74.9,"P","")</f>
        <v/>
      </c>
      <c r="PC12" s="102" t="str">
        <f>IF(AND(WSIPA!$N$6&gt;=75,WSIPA!$N$6&lt;=83.24),"P","")</f>
        <v/>
      </c>
      <c r="PD12" s="102" t="str">
        <f>IF(AND(WSIPA!$N$6&gt;=83.25,WSIPA!$N$6&lt;=91.4),"P","")</f>
        <v/>
      </c>
      <c r="PE12" s="102" t="str">
        <f>IF(AND(WSIPA!$N$6&gt;=91.5,WSIPA!$N$6&lt;=100),"P","")</f>
        <v/>
      </c>
      <c r="PF12" t="str">
        <f>IF(WSIPA!$N$14&lt;74.9,"P","")</f>
        <v/>
      </c>
      <c r="PG12" s="102" t="str">
        <f>IF(AND(WSIPA!$N$14&gt;=75,WSIPA!$N$14&lt;=83.24),"P","")</f>
        <v/>
      </c>
      <c r="PH12" s="102" t="str">
        <f>IF(AND(WSIPA!$N$14&gt;=83.25,WSIPA!$N$14&lt;=91.4),"P","")</f>
        <v/>
      </c>
      <c r="PI12" s="102" t="str">
        <f>IF(AND(WSIPA!$N$14&gt;=91.5,WSIPA!$N$14&lt;=100),"P","")</f>
        <v/>
      </c>
      <c r="PJ12" t="str">
        <f>IF(WSIPA!$N$22&lt;74.9,"P","")</f>
        <v/>
      </c>
      <c r="PK12" s="102" t="str">
        <f>IF(AND(WSIPA!$N$22&gt;=75,WSIPA!$N$22&lt;=83.24),"P","")</f>
        <v/>
      </c>
      <c r="PL12" s="102" t="str">
        <f>IF(AND(WSIPA!$N$22&gt;=83.25,WSIPA!$N$22&lt;=91.4),"P","")</f>
        <v/>
      </c>
      <c r="PM12" s="102" t="str">
        <f>IF(AND(WSIPA!$N$22&gt;=91.5,WSIPA!$N$22&lt;=100),"P","")</f>
        <v/>
      </c>
      <c r="PN12" t="str">
        <f>IF(WSIPA!$N$30&lt;74.9,"P","")</f>
        <v/>
      </c>
      <c r="PO12" s="102" t="str">
        <f>IF(AND(WSIPA!$N$30&gt;=75,WSIPA!$N$30&lt;=83.24),"P","")</f>
        <v/>
      </c>
      <c r="PP12" s="102" t="str">
        <f>IF(AND(WSIPA!$N$30&gt;=83.25,WSIPA!$N$30&lt;=91.4),"P","")</f>
        <v/>
      </c>
      <c r="PQ12" s="102" t="str">
        <f>IF(AND(WSIPA!$N$30&gt;=91.5,WSIPA!$N$30&lt;=100),"P","")</f>
        <v/>
      </c>
      <c r="PR12" t="str">
        <f>IF(WSIPA!$N$38&lt;74.9,"P","")</f>
        <v/>
      </c>
      <c r="PS12" s="102" t="str">
        <f>IF(AND(WSIPA!$N$38&gt;=75,WSIPA!$N$38&lt;=83.24),"P","")</f>
        <v/>
      </c>
      <c r="PT12" s="102" t="str">
        <f>IF(AND(WSIPA!$N$38&gt;=83.25,WSIPA!$N$38&lt;=91.4),"P","")</f>
        <v/>
      </c>
      <c r="PU12" s="102" t="str">
        <f>IF(AND(WSIPA!$N$38&gt;=91.5,WSIPA!$N$38&lt;=100),"P","")</f>
        <v/>
      </c>
      <c r="PV12" t="str">
        <f>IF(WSIPA!$N$46&lt;74.9,"P","")</f>
        <v/>
      </c>
      <c r="PW12" s="102" t="str">
        <f>IF(AND(WSIPA!$N$46&gt;=75,WSIPA!$N$46&lt;=83.24),"P","")</f>
        <v/>
      </c>
      <c r="PX12" s="102" t="str">
        <f>IF(AND(WSIPA!$N$46&gt;=83.25,WSIPA!$N$46&lt;=91.4),"P","")</f>
        <v/>
      </c>
      <c r="PY12" s="102" t="str">
        <f>IF(AND(WSIPA!$N$46&gt;=91.5,WSIPA!$N$46&lt;=100),"P","")</f>
        <v/>
      </c>
      <c r="PZ12" t="str">
        <f>IF(WSIPA!$N$54&lt;74.9,"P","")</f>
        <v/>
      </c>
      <c r="QA12" s="102" t="str">
        <f>IF(AND(WSIPA!$N$54&gt;=75,WSIPA!$N$54&lt;=83.24),"P","")</f>
        <v/>
      </c>
      <c r="QB12" s="102" t="str">
        <f>IF(AND(WSIPA!$N$54&gt;=83.25,WSIPA!$N$54&lt;=91.4),"P","")</f>
        <v/>
      </c>
      <c r="QC12" s="102" t="str">
        <f>IF(AND(WSIPA!$N$54&gt;=91.5,WSIPA!$N$54&lt;=100),"P","")</f>
        <v/>
      </c>
      <c r="QD12" t="str">
        <f>IF(WSIPA!$N$62&lt;74.9,"P","")</f>
        <v/>
      </c>
      <c r="QE12" s="102" t="str">
        <f>IF(AND(WSIPA!$N$62&gt;=75,WSIPA!$N$62&lt;=83.24),"P","")</f>
        <v/>
      </c>
      <c r="QF12" s="102" t="str">
        <f>IF(AND(WSIPA!$N$62&gt;=83.25,WSIPA!$N$62&lt;=91.4),"P","")</f>
        <v/>
      </c>
      <c r="QG12" s="102" t="str">
        <f>IF(AND(WSIPA!$N$62&gt;=91.5,WSIPA!$N$62&lt;=100),"P","")</f>
        <v/>
      </c>
      <c r="QH12" t="str">
        <f>IF(WSIPA!$N$70&lt;74.9,"P","")</f>
        <v/>
      </c>
      <c r="QI12" s="102" t="str">
        <f>IF(AND(WSIPA!$N$70&gt;=75,WSIPA!$N$70&lt;=83.24),"P","")</f>
        <v/>
      </c>
      <c r="QJ12" s="102" t="str">
        <f>IF(AND(WSIPA!$N$70&gt;=83.25,WSIPA!$N$70&lt;=91.4),"P","")</f>
        <v/>
      </c>
      <c r="QK12" s="102" t="str">
        <f>IF(AND(WSIPA!$N$70&gt;=91.5,WSIPA!$N$70&lt;=100),"P","")</f>
        <v/>
      </c>
      <c r="QL12" t="str">
        <f>IF(WSIPA!$N$78&lt;74.9,"P","")</f>
        <v/>
      </c>
      <c r="QM12" s="102" t="str">
        <f>IF(AND(WSIPA!$N$78&gt;=75,WSIPA!$N$78&lt;=83.24),"P","")</f>
        <v/>
      </c>
      <c r="QN12" s="102" t="str">
        <f>IF(AND(WSIPA!$N$78&gt;=83.25,WSIPA!$N$78&lt;=91.4),"P","")</f>
        <v/>
      </c>
      <c r="QO12" s="102" t="str">
        <f>IF(AND(WSIPA!$N$78&gt;=91.5,WSIPA!$N$78&lt;=100),"P","")</f>
        <v/>
      </c>
      <c r="QP12" t="str">
        <f>IF(WSIPA!$N$86&lt;74.9,"P","")</f>
        <v/>
      </c>
      <c r="QQ12" s="102" t="str">
        <f>IF(AND(WSIPA!$N$86&gt;=75,WSIPA!$N$86&lt;=83.24),"P","")</f>
        <v/>
      </c>
      <c r="QR12" s="102" t="str">
        <f>IF(AND(WSIPA!$N$86&gt;=83.25,WSIPA!$N$86&lt;=91.4),"P","")</f>
        <v/>
      </c>
      <c r="QS12" s="102" t="str">
        <f>IF(AND(WSIPA!$N$86&gt;=91.5,WSIPA!$N$86&lt;=100),"P","")</f>
        <v/>
      </c>
      <c r="QT12" t="str">
        <f>IF(WSIPA!$N$94&lt;74.9,"P","")</f>
        <v/>
      </c>
      <c r="QU12" s="102" t="str">
        <f>IF(AND(WSIPA!$N$94&gt;=75,WSIPA!$N$94&lt;=83.24),"P","")</f>
        <v/>
      </c>
      <c r="QV12" s="102" t="str">
        <f>IF(AND(WSIPA!$N$94&gt;=83.25,WSIPA!$N$94&lt;=91.4),"P","")</f>
        <v/>
      </c>
      <c r="QW12" s="102" t="str">
        <f>IF(AND(WSIPA!$N$94&gt;=91.5,WSIPA!$N$94&lt;=100),"P","")</f>
        <v/>
      </c>
      <c r="QX12" t="str">
        <f>IF(WSIPA!$N$102&lt;74.9,"P","")</f>
        <v/>
      </c>
      <c r="QY12" s="102" t="str">
        <f>IF(AND(WSIPA!$N$102&gt;=75,WSIPA!$N$102&lt;=83.24),"P","")</f>
        <v/>
      </c>
      <c r="QZ12" s="102" t="str">
        <f>IF(AND(WSIPA!$N$102&gt;=83.25,WSIPA!$N$102&lt;=91.4),"P","")</f>
        <v/>
      </c>
      <c r="RA12" s="102" t="str">
        <f>IF(AND(WSIPA!$N$102&gt;=91.5,WSIPA!$N$102&lt;=100),"P","")</f>
        <v/>
      </c>
      <c r="RB12" t="str">
        <f>IF(WSIPS!$N$6&lt;74.9,"P","")</f>
        <v/>
      </c>
      <c r="RC12" s="102" t="str">
        <f>IF(AND(WSIPS!$N$6&gt;=75,WSIPS!$N$6&lt;=83.24),"P","")</f>
        <v/>
      </c>
      <c r="RD12" s="102" t="str">
        <f>IF(AND(WSIPS!$N$6&gt;=83.25,WSIPS!$N$6&lt;=91.4),"P","")</f>
        <v/>
      </c>
      <c r="RE12" s="102" t="str">
        <f>IF(AND(WSIPS!$N$6&gt;=91.5,WSIPS!$N$6&lt;=100),"P","")</f>
        <v/>
      </c>
      <c r="RF12" t="str">
        <f>IF(WSIPS!$N$14&lt;74.9,"P","")</f>
        <v/>
      </c>
      <c r="RG12" s="102" t="str">
        <f>IF(AND(WSIPS!$N$14&gt;=75,WSIPS!$N$14&lt;=83.24),"P","")</f>
        <v/>
      </c>
      <c r="RH12" s="102" t="str">
        <f>IF(AND(WSIPS!$N$14&gt;=83.25,WSIPS!$N$14&lt;=91.4),"P","")</f>
        <v/>
      </c>
      <c r="RI12" s="102" t="str">
        <f>IF(AND(WSIPS!$N$14&gt;=91.5,WSIPS!$N$14&lt;=100),"P","")</f>
        <v/>
      </c>
      <c r="RJ12" t="str">
        <f>IF(WSIPS!$N$22&lt;74.9,"P","")</f>
        <v/>
      </c>
      <c r="RK12" s="102" t="str">
        <f>IF(AND(WSIPS!$N$22&gt;=75,WSIPS!$N$22&lt;=83.24),"P","")</f>
        <v/>
      </c>
      <c r="RL12" s="102" t="str">
        <f>IF(AND(WSIPS!$N$22&gt;=83.25,WSIPS!$N$22&lt;=91.4),"P","")</f>
        <v/>
      </c>
      <c r="RM12" s="102" t="str">
        <f>IF(AND(WSIPS!$N$22&gt;=91.5,WSIPS!$N$22&lt;=100),"P","")</f>
        <v/>
      </c>
      <c r="RN12" t="str">
        <f>IF(WSIPS!$N$30&lt;74.9,"P","")</f>
        <v/>
      </c>
      <c r="RO12" s="102" t="str">
        <f>IF(AND(WSIPS!$N$30&gt;=75,WSIPS!$N$30&lt;=83.24),"P","")</f>
        <v/>
      </c>
      <c r="RP12" s="102" t="str">
        <f>IF(AND(WSIPS!$N$30&gt;=83.25,WSIPS!$N$30&lt;=91.4),"P","")</f>
        <v/>
      </c>
      <c r="RQ12" s="102" t="str">
        <f>IF(AND(WSIPS!$N$30&gt;=91.5,WSIPS!$N$30&lt;=100),"P","")</f>
        <v/>
      </c>
      <c r="RR12" t="str">
        <f>IF(WSIPS!$N$38&lt;74.9,"P","")</f>
        <v/>
      </c>
      <c r="RS12" s="102" t="str">
        <f>IF(AND(WSIPS!$N$38&gt;=75,WSIPS!$N$38&lt;=83.24),"P","")</f>
        <v/>
      </c>
      <c r="RT12" s="102" t="str">
        <f>IF(AND(WSIPS!$N$38&gt;=83.25,WSIPS!$N$38&lt;=91.4),"P","")</f>
        <v/>
      </c>
      <c r="RU12" s="102" t="str">
        <f>IF(AND(WSIPS!$N$38&gt;=91.5,WSIPS!$N$38&lt;=100),"P","")</f>
        <v/>
      </c>
      <c r="RV12" t="str">
        <f>IF(WSIPS!$N$46&lt;74.9,"P","")</f>
        <v/>
      </c>
      <c r="RW12" s="102" t="str">
        <f>IF(AND(WSIPS!$N$46&gt;=75,WSIPS!$N$46&lt;=83.24),"P","")</f>
        <v/>
      </c>
      <c r="RX12" s="102" t="str">
        <f>IF(AND(WSIPS!$N$46&gt;=83.25,WSIPS!$N$46&lt;=91.4),"P","")</f>
        <v/>
      </c>
      <c r="RY12" s="102" t="str">
        <f>IF(AND(WSIPS!$N$46&gt;=91.5,WSIPS!$N$46&lt;=100),"P","")</f>
        <v/>
      </c>
      <c r="RZ12" t="str">
        <f>IF(WSIPS!$N$54&lt;74.9,"P","")</f>
        <v/>
      </c>
      <c r="SA12" s="102" t="str">
        <f>IF(AND(WSIPS!$N$54&gt;=75,WSIPS!$N$54&lt;=83.24),"P","")</f>
        <v/>
      </c>
      <c r="SB12" s="102" t="str">
        <f>IF(AND(WSIPS!$N$54&gt;=83.25,WSIPS!$N$54&lt;=91.4),"P","")</f>
        <v/>
      </c>
      <c r="SC12" s="102" t="str">
        <f>IF(AND(WSIPS!$N$54&gt;=91.5,WSIPS!$N$54&lt;=100),"P","")</f>
        <v/>
      </c>
      <c r="SD12" t="str">
        <f>IF(WSIPS!$N$62&lt;74.9,"P","")</f>
        <v/>
      </c>
      <c r="SE12" s="102" t="str">
        <f>IF(AND(WSIPS!$N$62&gt;=75,WSIPS!$N$62&lt;=83.24),"P","")</f>
        <v/>
      </c>
      <c r="SF12" s="102" t="str">
        <f>IF(AND(WSIPS!$N$62&gt;=83.25,WSIPS!$N$62&lt;=91.4),"P","")</f>
        <v/>
      </c>
      <c r="SG12" s="102" t="str">
        <f>IF(AND(WSIPS!$N$62&gt;=91.5,WSIPS!$N$62&lt;=100),"P","")</f>
        <v/>
      </c>
      <c r="SH12" t="str">
        <f>IF(WSIPS!$N$70&lt;74.9,"P","")</f>
        <v/>
      </c>
      <c r="SI12" s="102" t="str">
        <f>IF(AND(WSIPS!$N$70&gt;=75,WSIPS!$N$70&lt;=83.24),"P","")</f>
        <v/>
      </c>
      <c r="SJ12" s="102" t="str">
        <f>IF(AND(WSIPS!$N$70&gt;=83.25,WSIPS!$N$70&lt;=91.4),"P","")</f>
        <v/>
      </c>
      <c r="SK12" s="102" t="str">
        <f>IF(AND(WSIPS!$N$70&gt;=91.5,WSIPS!$N$70&lt;=100),"P","")</f>
        <v/>
      </c>
      <c r="SL12" t="str">
        <f>IF(WSIPS!$N$78&lt;74.9,"P","")</f>
        <v/>
      </c>
      <c r="SM12" s="102" t="str">
        <f>IF(AND(WSIPS!$N$78&gt;=75,WSIPS!$N$78&lt;=83.24),"P","")</f>
        <v/>
      </c>
      <c r="SN12" s="102" t="str">
        <f>IF(AND(WSIPS!$N$78&gt;=83.25,WSIPS!$N$78&lt;=91.4),"P","")</f>
        <v/>
      </c>
      <c r="SO12" s="102" t="str">
        <f>IF(AND(WSIPS!$N$78&gt;=91.5,WSIPS!$N$78&lt;=100),"P","")</f>
        <v/>
      </c>
      <c r="SP12" t="str">
        <f>IF(WSIPS!$N$86&lt;74.9,"P","")</f>
        <v/>
      </c>
      <c r="SQ12" s="102" t="str">
        <f>IF(AND(WSIPS!$N$86&gt;=75,WSIPS!$N$86&lt;=83.24),"P","")</f>
        <v/>
      </c>
      <c r="SR12" s="102" t="str">
        <f>IF(AND(WSIPS!$N$86&gt;=83.25,WSIPS!$N$86&lt;=91.4),"P","")</f>
        <v/>
      </c>
      <c r="SS12" s="102" t="str">
        <f>IF(AND(WSIPS!$N$86&gt;=91.5,WSIPS!$N$86&lt;=100),"P","")</f>
        <v/>
      </c>
      <c r="ST12" t="str">
        <f>IF(WSIPS!$N$94&lt;74.9,"P","")</f>
        <v/>
      </c>
      <c r="SU12" s="102" t="str">
        <f>IF(AND(WSIPS!$N$94&gt;=75,WSIPS!$N$94&lt;=83.24),"P","")</f>
        <v/>
      </c>
      <c r="SV12" s="102" t="str">
        <f>IF(AND(WSIPS!$N$94&gt;=83.25,WSIPS!$N$94&lt;=91.4),"P","")</f>
        <v/>
      </c>
      <c r="SW12" s="102" t="str">
        <f>IF(AND(WSIPS!$N$94&gt;=91.5,WSIPS!$N$94&lt;=100),"P","")</f>
        <v/>
      </c>
      <c r="SX12" t="str">
        <f>IF(WSIPS!$N$102&lt;74.9,"P","")</f>
        <v/>
      </c>
      <c r="SY12" s="102" t="str">
        <f>IF(AND(WSIPS!$N$102&gt;=75,WSIPS!$N$102&lt;=83.24),"P","")</f>
        <v/>
      </c>
      <c r="SZ12" s="102" t="str">
        <f>IF(AND(WSIPS!$N$102&gt;=83.25,WSIPS!$N$102&lt;=91.4),"P","")</f>
        <v/>
      </c>
      <c r="TA12" s="102" t="str">
        <f>IF(AND(WSIPS!$N$102&gt;=91.5,WSIPS!$N$102&lt;=100),"P","")</f>
        <v/>
      </c>
      <c r="TB12" t="str">
        <f>IF(WSSBK!$N$6&lt;74.9,"P","")</f>
        <v/>
      </c>
      <c r="TC12" s="102" t="str">
        <f>IF(AND(WSSBK!$N$6&gt;=75,WSSBK!$N$6&lt;=83.24),"P","")</f>
        <v/>
      </c>
      <c r="TD12" s="102" t="str">
        <f>IF(AND(WSSBK!$N$6&gt;=83.25,WSSBK!$N$6&lt;=91.4),"P","")</f>
        <v/>
      </c>
      <c r="TE12" s="102" t="str">
        <f>IF(AND(WSSBK!$N$6&gt;=91.5,WSSBK!$N$6&lt;=100),"P","")</f>
        <v>P</v>
      </c>
      <c r="TF12" t="str">
        <f>IF(WSSBK!$N$16&lt;74.9,"P","")</f>
        <v/>
      </c>
      <c r="TG12" s="102" t="str">
        <f>IF(AND(WSSBK!$N$16&gt;=75,WSSBK!$N$16&lt;=83.24),"P","")</f>
        <v/>
      </c>
      <c r="TH12" s="102" t="str">
        <f>IF(AND(WSSBK!$N$16&gt;=83.25,WSSBK!$N$16&lt;=91.4),"P","")</f>
        <v/>
      </c>
      <c r="TI12" s="102" t="str">
        <f>IF(AND(WSSBK!$N$16&gt;=91.5,WSSBK!$N$16&lt;=100),"P","")</f>
        <v>P</v>
      </c>
      <c r="TJ12" t="str">
        <f>IF(WSSBK!$N$26&lt;74.9,"P","")</f>
        <v/>
      </c>
      <c r="TK12" s="102" t="str">
        <f>IF(AND(WSSBK!$N$26&gt;=75,WSSBK!$N$26&lt;=83.24),"P","")</f>
        <v/>
      </c>
      <c r="TL12" s="102" t="str">
        <f>IF(AND(WSSBK!$N$26&gt;=83.25,WSSBK!$N$26&lt;=91.4),"P","")</f>
        <v/>
      </c>
      <c r="TM12" s="102" t="str">
        <f>IF(AND(WSSBK!$N$26&gt;=91.5,WSSBK!$N$26&lt;=100),"P","")</f>
        <v>P</v>
      </c>
      <c r="TN12" t="str">
        <f>IF(WSSBK!$N$36&lt;74.9,"P","")</f>
        <v/>
      </c>
      <c r="TO12" s="102" t="str">
        <f>IF(AND(WSSBK!$N$36&gt;=75,WSSBK!$N$36&lt;=83.24),"P","")</f>
        <v/>
      </c>
      <c r="TP12" s="102" t="str">
        <f>IF(AND(WSSBK!$N$36&gt;=83.25,WSSBK!$N$36&lt;=91.4),"P","")</f>
        <v/>
      </c>
      <c r="TQ12" s="102" t="str">
        <f>IF(AND(WSSBK!$N$36&gt;=91.5,WSSBK!$N$36&lt;=100),"P","")</f>
        <v>P</v>
      </c>
      <c r="TR12" t="str">
        <f>IF(WSSBK!$N$46&lt;74.9,"P","")</f>
        <v/>
      </c>
      <c r="TS12" s="102" t="str">
        <f>IF(AND(WSSBK!$N$46&gt;=75,WSSBK!$N$46&lt;=83.24),"P","")</f>
        <v/>
      </c>
      <c r="TT12" s="102" t="str">
        <f>IF(AND(WSSBK!$N$46&gt;=83.25,WSSBK!$N$46&lt;=91.4),"P","")</f>
        <v/>
      </c>
      <c r="TU12" s="102" t="str">
        <f>IF(AND(WSSBK!$N$46&gt;=91.5,WSSBK!$N$46&lt;=100),"P","")</f>
        <v>P</v>
      </c>
      <c r="TV12" t="str">
        <f>IF(WSSBK!$N$58&lt;74.9,"P","")</f>
        <v/>
      </c>
      <c r="TW12" s="102" t="str">
        <f>IF(AND(WSSBK!$N$58&gt;=75,WSSBK!$N$58&lt;=83.24),"P","")</f>
        <v/>
      </c>
      <c r="TX12" s="102" t="str">
        <f>IF(AND(WSSBK!$N$58&gt;=83.25,WSSBK!$N$58&lt;=91.4),"P","")</f>
        <v/>
      </c>
      <c r="TY12" s="102" t="str">
        <f>IF(AND(WSSBK!$N$58&gt;=91.5,WSSBK!$N$58&lt;=100),"P","")</f>
        <v>P</v>
      </c>
      <c r="TZ12" t="str">
        <f>IF(WSSBK!$N$68&lt;74.9,"P","")</f>
        <v/>
      </c>
      <c r="UA12" s="102" t="str">
        <f>IF(AND(WSSBK!$N$68&gt;=75,WSSBK!$N$68&lt;=83.24),"P","")</f>
        <v/>
      </c>
      <c r="UB12" s="102" t="str">
        <f>IF(AND(WSSBK!$N$68&gt;=83.25,WSSBK!$N$68&lt;=91.4),"P","")</f>
        <v/>
      </c>
      <c r="UC12" s="102" t="str">
        <f>IF(AND(WSSBK!$N$68&gt;=91.5,WSSBK!$N$68&lt;=100),"P","")</f>
        <v>P</v>
      </c>
      <c r="UD12" t="str">
        <f>IF(WSSBK!$N$77&lt;74.9,"P","")</f>
        <v/>
      </c>
      <c r="UE12" s="102" t="str">
        <f>IF(AND(WSSBK!$N$77&gt;=75,WSSBK!$N$77&lt;=83.24),"P","")</f>
        <v/>
      </c>
      <c r="UF12" s="102" t="str">
        <f>IF(AND(WSSBK!$N$77&gt;=83.25,WSSBK!$N$77&lt;=91.4),"P","")</f>
        <v/>
      </c>
      <c r="UG12" s="102" t="str">
        <f>IF(AND(WSSBK!$N$77&gt;=91.5,WSSBK!$N$77&lt;=100),"P","")</f>
        <v>P</v>
      </c>
      <c r="UH12" t="str">
        <f>IF(WSSBK!$N$87&lt;74.9,"P","")</f>
        <v/>
      </c>
      <c r="UI12" s="102" t="str">
        <f>IF(AND(WSSBK!$N$87&gt;=75,WSSBK!$N$87&lt;=83.24),"P","")</f>
        <v/>
      </c>
      <c r="UJ12" s="102" t="str">
        <f>IF(AND(WSSBK!$N$87&gt;=83.25,WSSBK!$N$87&lt;=91.4),"P","")</f>
        <v/>
      </c>
      <c r="UK12" s="102" t="str">
        <f>IF(AND(WSSBK!$N$87&gt;=91.5,WSSBK!$N$87&lt;=100),"P","")</f>
        <v/>
      </c>
      <c r="UL12" t="str">
        <f>IF(WSSBK!$N$95&lt;74.9,"P","")</f>
        <v/>
      </c>
      <c r="UM12" s="102" t="str">
        <f>IF(AND(WSSBK!$N$95&gt;=75,WSSBK!$N$95&lt;=83.24),"P","")</f>
        <v/>
      </c>
      <c r="UN12" s="102" t="str">
        <f>IF(AND(WSSBK!$N$95&gt;=83.25,WSSBK!$N$95&lt;=91.4),"P","")</f>
        <v/>
      </c>
      <c r="UO12" s="102" t="str">
        <f>IF(AND(WSSBK!$N$95&gt;=91.5,WSSBK!$N$95&lt;=100),"P","")</f>
        <v/>
      </c>
      <c r="UP12" t="str">
        <f>IF(WSSBK!$N$103&lt;74.9,"P","")</f>
        <v/>
      </c>
      <c r="UQ12" s="102" t="str">
        <f>IF(AND(WSSBK!$N$103&gt;=75,WSSBK!$N$103&lt;=83.24),"P","")</f>
        <v/>
      </c>
      <c r="UR12" s="102" t="str">
        <f>IF(AND(WSSBK!$N$103&gt;=83.25,WSSBK!$N$103&lt;=91.4),"P","")</f>
        <v/>
      </c>
      <c r="US12" s="102" t="str">
        <f>IF(AND(WSSBK!$N$103&gt;=91.5,WSSBK!$N$103&lt;=100),"P","")</f>
        <v/>
      </c>
      <c r="UT12" t="str">
        <f>IF(WSSBK!$N$111&lt;74.9,"P","")</f>
        <v/>
      </c>
      <c r="UU12" s="102" t="str">
        <f>IF(AND(WSSBK!$N$111&gt;=75,WSSBK!$N$111&lt;=83.24),"P","")</f>
        <v/>
      </c>
      <c r="UV12" s="102" t="str">
        <f>IF(AND(WSSBK!$N$111&gt;=83.25,WSSBK!$N$111&lt;=91.4),"P","")</f>
        <v/>
      </c>
      <c r="UW12" s="102" t="str">
        <f>IF(AND(WSSBK!$N$111&gt;=91.5,WSSBK!$N$111&lt;=100),"P","")</f>
        <v/>
      </c>
      <c r="UX12" t="str">
        <f>IF(WSSBK!$N$119&lt;74.9,"P","")</f>
        <v/>
      </c>
      <c r="UY12" s="102" t="str">
        <f>IF(AND(WSSBK!$N$119&gt;=75,WSSBK!$N$119&lt;=83.24),"P","")</f>
        <v/>
      </c>
      <c r="UZ12" s="102" t="str">
        <f>IF(AND(WSSBK!$N$119&gt;=83.25,WSSBK!$N$119&lt;=91.4),"P","")</f>
        <v/>
      </c>
      <c r="VA12" s="102" t="str">
        <f>IF(AND(WSSBK!$N$119&gt;=91.5,WSSBK!$N$119&lt;=100),"P","")</f>
        <v/>
      </c>
      <c r="VB12" s="102" t="str">
        <f>IF(AND(WSPENJAS!$N$6&gt;0,WSPENJAS!$N$6&lt;=74.9),"P","")</f>
        <v/>
      </c>
      <c r="VC12" s="102" t="str">
        <f>IF(AND(WSPENJAS!$N$6&gt;=75,WSPENJAS!$N$6&lt;=83.24),"P","")</f>
        <v/>
      </c>
      <c r="VD12" s="102" t="str">
        <f>IF(AND(WSPENJAS!$N$6&gt;=83.25,WSPENJAS!$N$6&lt;=91.4),"P","")</f>
        <v>P</v>
      </c>
      <c r="VE12" s="102" t="str">
        <f>IF(AND(WSPENJAS!$N$6&gt;=91.5,WSPENJAS!$N$6&lt;=100),"P","")</f>
        <v/>
      </c>
      <c r="VF12" s="102" t="str">
        <f>IF(AND(WSPENJAS!$N$7&gt;0,WSPENJAS!$N$7&lt;=74.9),"P","")</f>
        <v/>
      </c>
      <c r="VG12" s="102" t="str">
        <f>IF(AND(WSPENJAS!$N$7&gt;=75,WSPENJAS!$N$7&lt;=83.24),"P","")</f>
        <v/>
      </c>
      <c r="VH12" s="102" t="str">
        <f>IF(AND(WSPENJAS!$N$7&gt;=83.25,WSPENJAS!$N$7&lt;=91.4),"P","")</f>
        <v>P</v>
      </c>
      <c r="VI12" s="102" t="str">
        <f>IF(AND(WSPENJAS!$N$7&gt;=91.5,WSPENJAS!$N$7&lt;=100),"P","")</f>
        <v/>
      </c>
      <c r="VJ12" s="102" t="str">
        <f>IF(AND(WSPENJAS!$N$8&gt;0,WSPENJAS!$N$8&lt;=74.9),"P","")</f>
        <v/>
      </c>
      <c r="VK12" s="102" t="str">
        <f>IF(AND(WSPENJAS!$N$8&gt;=75,WSPENJAS!$N$8&lt;=83.24),"P","")</f>
        <v/>
      </c>
      <c r="VL12" s="102" t="str">
        <f>IF(AND(WSPENJAS!$N$8&gt;=83.25,WSPENJAS!$N$8&lt;=91.4),"P","")</f>
        <v>P</v>
      </c>
      <c r="VM12" s="102" t="str">
        <f>IF(AND(WSPENJAS!$N$8&gt;=91.5,WSPENJAS!$N$8&lt;=100),"P","")</f>
        <v/>
      </c>
      <c r="VN12" s="102" t="str">
        <f>IF(AND(WSPENJAS!$N$9&gt;0,WSPENJAS!$N$9&lt;=74.9),"P","")</f>
        <v/>
      </c>
      <c r="VO12" s="102" t="str">
        <f>IF(AND(WSPENJAS!$N$9&gt;=75,WSPENJAS!$N$9&lt;=83.24),"P","")</f>
        <v/>
      </c>
      <c r="VP12" s="102" t="str">
        <f>IF(AND(WSPENJAS!$N$9&gt;=83.25,WSPENJAS!$N$9&lt;=91.4),"P","")</f>
        <v>P</v>
      </c>
      <c r="VQ12" s="102" t="str">
        <f>IF(AND(WSPENJAS!$N$9&gt;=91.5,WSPENJAS!$N$9&lt;=100),"P","")</f>
        <v/>
      </c>
      <c r="VR12" s="102" t="str">
        <f>IF(AND(WSPENJAS!$N$10&gt;0,WSPENJAS!$N$10&lt;=74.9),"P","")</f>
        <v/>
      </c>
      <c r="VS12" s="102" t="str">
        <f>IF(AND(WSPENJAS!$N$10&gt;=75,WSPENJAS!$N$10&lt;=83.24),"P","")</f>
        <v/>
      </c>
      <c r="VT12" s="102" t="str">
        <f>IF(AND(WSPENJAS!$N$10&gt;=83.25,WSPENJAS!$N$10&lt;=91.4),"P","")</f>
        <v>P</v>
      </c>
      <c r="VU12" s="102" t="str">
        <f>IF(AND(WSPENJAS!$N$10&gt;=91.5,WSPENJAS!$N$10&lt;=100),"P","")</f>
        <v/>
      </c>
      <c r="VV12" s="102" t="str">
        <f>IF(AND(WSPENJAS!$N$11&gt;0,WSPENJAS!$N$11&lt;=74.9),"P","")</f>
        <v/>
      </c>
      <c r="VW12" s="102" t="str">
        <f>IF(AND(WSPENJAS!$N$411&gt;=75,WSPENJAS!$N$411&lt;=83.24),"P","")</f>
        <v/>
      </c>
      <c r="VX12" s="102" t="str">
        <f>IF(AND(WSPENJAS!$N$411&gt;=83.25,WSPENJAS!$N$411&lt;=91.4),"P","")</f>
        <v/>
      </c>
      <c r="VY12" s="102" t="str">
        <f>IF(AND(WSPENJAS!$N$411&gt;=91.5,WSPENJAS!$N$411&lt;=100),"P","")</f>
        <v/>
      </c>
      <c r="VZ12" s="102" t="str">
        <f>IF(AND(WSPENJAS!$N$12&gt;0,WSPENJAS!$N$12&lt;=74.9),"P","")</f>
        <v/>
      </c>
      <c r="WA12" s="102" t="str">
        <f>IF(AND(WSPENJAS!$N$12&gt;=75,WSPENJAS!$N$12&lt;=83.24),"P","")</f>
        <v/>
      </c>
      <c r="WB12" s="102" t="str">
        <f>IF(AND(WSPENJAS!$N$12&gt;=83.25,WSPENJAS!$N$12&lt;=91.4),"P","")</f>
        <v>P</v>
      </c>
      <c r="WC12" s="102" t="str">
        <f>IF(AND(WSPENJAS!$N$12&gt;=91.5,WSPENJAS!$N$12&lt;=100),"P","")</f>
        <v/>
      </c>
      <c r="WD12" s="102" t="str">
        <f>IF(AND(WSPENJAS!$N$13&gt;0,WSPENJAS!$N$13&lt;=74.9),"P","")</f>
        <v/>
      </c>
      <c r="WE12" s="102" t="str">
        <f>IF(AND(WSPENJAS!$N$13&gt;=75,WSPENJAS!$N$13&lt;=83.24),"P","")</f>
        <v/>
      </c>
      <c r="WF12" s="102" t="str">
        <f>IF(AND(WSPENJAS!$N$13&gt;=83.25,WSPENJAS!$N$13&lt;=91.4),"P","")</f>
        <v>P</v>
      </c>
      <c r="WG12" s="102" t="str">
        <f>IF(AND(WSPENJAS!$N$13&gt;=91.5,WSPENJAS!$N$13&lt;=100),"P","")</f>
        <v/>
      </c>
      <c r="WH12" s="102" t="str">
        <f>IF(AND(WSPENJAS!$N$14&gt;0,WSPENJAS!$N$14&lt;=74.9),"P","")</f>
        <v/>
      </c>
      <c r="WI12" s="102" t="str">
        <f>IF(AND(WSPENJAS!$N$14&gt;=75,WSPENJAS!$N$14&lt;=83.24),"P","")</f>
        <v/>
      </c>
      <c r="WJ12" s="102" t="str">
        <f>IF(AND(WSPENJAS!$N$14&gt;=83.25,WSPENJAS!$N$14&lt;=91.4),"P","")</f>
        <v>P</v>
      </c>
      <c r="WK12" s="102" t="str">
        <f>IF(AND(WSPENJAS!$N$14&gt;=91.5,WSPENJAS!$N$14&lt;=100),"P","")</f>
        <v/>
      </c>
      <c r="WL12" s="102" t="str">
        <f>IF(AND(WSPENJAS!$N$15&gt;0,WSPENJAS!$N$15&lt;=74.9),"P","")</f>
        <v/>
      </c>
      <c r="WM12" s="102" t="str">
        <f>IF(AND(WSPENJAS!$N$15&gt;=75,WSPENJAS!$N$15&lt;=83.24),"P","")</f>
        <v/>
      </c>
      <c r="WN12" s="102" t="str">
        <f>IF(AND(WSPENJAS!$N$15&gt;=83.25,WSPENJAS!$N$15&lt;=91.4),"P","")</f>
        <v>P</v>
      </c>
      <c r="WO12" s="102" t="str">
        <f>IF(AND(WSPENJAS!$N$15&gt;=91.5,WSPENJAS!$N$15&lt;=100),"P","")</f>
        <v/>
      </c>
      <c r="WP12" s="102" t="str">
        <f>IF(AND(WSPENJAS!$N$16&gt;0,WSPENJAS!$N$16&lt;=74.9),"P","")</f>
        <v/>
      </c>
      <c r="WQ12" s="102" t="str">
        <f>IF(AND(WSPENJAS!$N$16&gt;=75,WSPENJAS!$N$16&lt;=83.24),"P","")</f>
        <v/>
      </c>
      <c r="WR12" s="102" t="str">
        <f>IF(AND(WSPENJAS!$N$16&gt;=83.25,WSPENJAS!$N$16&lt;=91.4),"P","")</f>
        <v/>
      </c>
      <c r="WS12" s="102" t="str">
        <f>IF(AND(WSPENJAS!$N$16&gt;=91.5,WSPENJAS!$N$16&lt;=100),"P","")</f>
        <v/>
      </c>
      <c r="WT12" s="102" t="str">
        <f>IF(AND(WSPENJAS!$N$17&gt;0,WSPENJAS!$N$17&lt;=74.9),"P","")</f>
        <v/>
      </c>
      <c r="WU12" s="102" t="str">
        <f>IF(AND(WSPENJAS!$N$17&gt;=75,WSPENJAS!$N$17&lt;=83.24),"P","")</f>
        <v/>
      </c>
      <c r="WV12" s="102" t="str">
        <f>IF(AND(WSPENJAS!$N$17&gt;=83.25,WSPENJAS!$N$17&lt;=91.4),"P","")</f>
        <v/>
      </c>
      <c r="WW12" s="102" t="str">
        <f>IF(AND(WSPENJAS!$N$17&gt;=91.5,WSPENJAS!$N$17&lt;=100),"P","")</f>
        <v/>
      </c>
      <c r="WX12" s="102" t="str">
        <f>IF(AND(WSPENJAS!$N$18&gt;0,WSPENJAS!$N$18&lt;=74.9),"P","")</f>
        <v/>
      </c>
      <c r="WY12" s="102" t="str">
        <f>IF(AND(WSPENJAS!$N$18&gt;=75,WSPENJAS!$N$18&lt;=83.24),"P","")</f>
        <v/>
      </c>
      <c r="WZ12" s="102" t="str">
        <f>IF(AND(WSPENJAS!$N$18&gt;=83.25,WSPENJAS!$N$18&lt;=91.4),"P","")</f>
        <v/>
      </c>
      <c r="XA12" s="102" t="str">
        <f>IF(AND(WSPENJAS!$N$18&gt;=91.5,WSPENJAS!$N$18&lt;=100),"P","")</f>
        <v/>
      </c>
      <c r="XB12" s="102" t="str">
        <f>IF(AND(WSPENJAS!$N$19&gt;0,WSPENJAS!$N$19&lt;=74.9),"P","")</f>
        <v/>
      </c>
      <c r="XC12" s="102" t="str">
        <f>IF(AND(WSPENJAS!$N$19&gt;=75,WSPENJAS!$N$19&lt;=83.24),"P","")</f>
        <v/>
      </c>
      <c r="XD12" s="102" t="str">
        <f>IF(AND(WSPENJAS!$N$19&gt;=83.25,WSPENJAS!$N$19&lt;=91.4),"P","")</f>
        <v/>
      </c>
      <c r="XE12" s="102" t="str">
        <f>IF(AND(WSPENJAS!$N$19&gt;=91.5,WSPENJAS!$N$19&lt;=100),"P","")</f>
        <v/>
      </c>
      <c r="XF12" s="102" t="str">
        <f>IF(AND(WSPENJAS!$N$20&gt;0,WSPENJAS!$N$20&lt;=74.9),"P","")</f>
        <v/>
      </c>
      <c r="XG12" s="102" t="str">
        <f>IF(AND(WSPENJAS!$N$20&gt;=75,WSPENJAS!$N$20&lt;=83.24),"P","")</f>
        <v/>
      </c>
      <c r="XH12" s="102" t="str">
        <f>IF(AND(WSPENJAS!$N$20&gt;=83.25,WSPENJAS!$N$20&lt;=91.4),"P","")</f>
        <v/>
      </c>
      <c r="XI12" s="102" t="str">
        <f>IF(AND(WSPENJAS!$N$20&gt;=91.5,WSPENJAS!$N$20&lt;=100),"P","")</f>
        <v/>
      </c>
      <c r="XJ12" s="102" t="str">
        <f>IF(AND(WSPENJAS!$N$21&gt;0,WSPENJAS!$N$21&lt;=74.9),"P","")</f>
        <v/>
      </c>
      <c r="XK12" s="102" t="str">
        <f>IF(AND(WSPENJAS!$N$21&gt;=75,WSPENJAS!$N$21&lt;=83.24),"P","")</f>
        <v/>
      </c>
      <c r="XL12" s="102" t="str">
        <f>IF(AND(WSPENJAS!$N$21&gt;=83.25,WSPENJAS!$N$21&lt;=91.4),"P","")</f>
        <v/>
      </c>
      <c r="XM12" s="102" t="str">
        <f>IF(AND(WSPENJAS!$N$21&gt;=91.5,WSPENJAS!$N$21&lt;=100),"P","")</f>
        <v/>
      </c>
      <c r="XN12" t="str">
        <f>IF(WSJAWA!$N$6&lt;74.9,"P","")</f>
        <v/>
      </c>
      <c r="XO12" s="102" t="str">
        <f>IF(AND(WSJAWA!$N$6&gt;=75,WSJAWA!$N$6&lt;=83.24),"P","")</f>
        <v/>
      </c>
      <c r="XP12" s="102" t="str">
        <f>IF(AND(WSJAWA!$N$6&gt;=83.25,WSJAWA!$N$6&lt;=91.4),"P","")</f>
        <v/>
      </c>
      <c r="XQ12" s="102" t="str">
        <f>IF(AND(WSJAWA!$N$6&gt;=91.5,WSJAWA!$N$6&lt;=100),"P","")</f>
        <v>P</v>
      </c>
      <c r="XR12" t="str">
        <f>IF(WSJAWA!$N$14&lt;74.9,"P","")</f>
        <v/>
      </c>
      <c r="XS12" s="102" t="str">
        <f>IF(AND(WSJAWA!$N$14&gt;=75,WSJAWA!$N$14&lt;=83.24),"P","")</f>
        <v/>
      </c>
      <c r="XT12" s="102" t="str">
        <f>IF(AND(WSJAWA!$N$14&gt;=83.25,WSJAWA!$N$14&lt;=91.4),"P","")</f>
        <v/>
      </c>
      <c r="XU12" s="102" t="str">
        <f>IF(AND(WSJAWA!$N$14&gt;=91.5,WSJAWA!$N$14&lt;=100),"P","")</f>
        <v>P</v>
      </c>
      <c r="XV12" t="str">
        <f>IF(WSJAWA!$N$22&lt;74.9,"P","")</f>
        <v/>
      </c>
      <c r="XW12" s="102" t="str">
        <f>IF(AND(WSJAWA!$N$22&gt;=75,WSJAWA!$N$22&lt;=83.24),"P","")</f>
        <v/>
      </c>
      <c r="XX12" s="102" t="str">
        <f>IF(AND(WSJAWA!$N$22&gt;=83.25,WSJAWA!$N$22&lt;=91.4),"P","")</f>
        <v/>
      </c>
      <c r="XY12" s="102" t="str">
        <f>IF(AND(WSJAWA!$N$22&gt;=91.5,WSJAWA!$N$22&lt;=100),"P","")</f>
        <v>P</v>
      </c>
      <c r="XZ12" t="str">
        <f>IF(WSJAWA!$N$30&lt;74.9,"P","")</f>
        <v/>
      </c>
      <c r="YA12" s="102" t="str">
        <f>IF(AND(WSJAWA!$N$30&gt;=75,WSJAWA!$N$30&lt;=83.24),"P","")</f>
        <v/>
      </c>
      <c r="YB12" s="102" t="str">
        <f>IF(AND(WSJAWA!$N$30&gt;=83.25,WSJAWA!$N$30&lt;=91.4),"P","")</f>
        <v/>
      </c>
      <c r="YC12" s="102" t="str">
        <f>IF(AND(WSJAWA!$N$30&gt;=91.5,WSJAWA!$N$30&lt;=100),"P","")</f>
        <v>P</v>
      </c>
      <c r="YD12" t="str">
        <f>IF(WSJAWA!$N$38&lt;74.9,"P","")</f>
        <v/>
      </c>
      <c r="YE12" s="102" t="str">
        <f>IF(AND(WSJAWA!$N$38&gt;=75,WSJAWA!$N$38&lt;=83.24),"P","")</f>
        <v/>
      </c>
      <c r="YF12" s="102" t="str">
        <f>IF(AND(WSJAWA!$N$38&gt;=83.25,WSJAWA!$N$38&lt;=91.4),"P","")</f>
        <v/>
      </c>
      <c r="YG12" s="102" t="str">
        <f>IF(AND(WSJAWA!$N$38&gt;=91.5,WSJAWA!$N$38&lt;=100),"P","")</f>
        <v>P</v>
      </c>
      <c r="YH12" t="str">
        <f>IF(WSJAWA!$N$46&lt;74.9,"P","")</f>
        <v/>
      </c>
      <c r="YI12" s="102" t="str">
        <f>IF(AND(WSJAWA!$N$46&gt;=75,WSJAWA!$N$46&lt;=83.24),"P","")</f>
        <v/>
      </c>
      <c r="YJ12" s="102" t="str">
        <f>IF(AND(WSJAWA!$N$46&gt;=83.25,WSJAWA!$N$46&lt;=91.4),"P","")</f>
        <v>P</v>
      </c>
      <c r="YK12" s="102" t="str">
        <f>IF(AND(WSJAWA!$N$46&gt;=91.5,WSJAWA!$N$46&lt;=100),"P","")</f>
        <v/>
      </c>
      <c r="YL12" t="str">
        <f>IF(WSJAWA!$N$54&lt;74.9,"P","")</f>
        <v/>
      </c>
      <c r="YM12" s="102" t="str">
        <f>IF(AND(WSJAWA!$N$54&gt;=75,WSJAWA!$N$54&lt;=83.24),"P","")</f>
        <v/>
      </c>
      <c r="YN12" s="102" t="str">
        <f>IF(AND(WSJAWA!$N$54&gt;=83.25,WSJAWA!$N$54&lt;=91.4),"P","")</f>
        <v>P</v>
      </c>
      <c r="YO12" s="102" t="str">
        <f>IF(AND(WSJAWA!$N$54&gt;=91.5,WSJAWA!$N$54&lt;=100),"P","")</f>
        <v/>
      </c>
      <c r="YP12" t="str">
        <f>IF(WSJAWA!$N$62&lt;74.9,"P","")</f>
        <v/>
      </c>
      <c r="YQ12" s="102" t="str">
        <f>IF(AND(WSJAWA!$N$62&gt;=75,WSJAWA!$N$62&lt;=83.24),"P","")</f>
        <v/>
      </c>
      <c r="YR12" s="102" t="str">
        <f>IF(AND(WSJAWA!$N$62&gt;=83.25,WSJAWA!$N$62&lt;=91.4),"P","")</f>
        <v/>
      </c>
      <c r="YS12" s="102" t="str">
        <f>IF(AND(WSJAWA!$N$62&gt;=91.5,WSJAWA!$N$62&lt;=100),"P","")</f>
        <v>P</v>
      </c>
      <c r="YT12" t="str">
        <f>IF(WSJAWA!$N$70&lt;74.9,"P","")</f>
        <v/>
      </c>
      <c r="YU12" s="102" t="str">
        <f>IF(AND(WSJAWA!$N$70&gt;=75,WSJAWA!$N$70&lt;=83.24),"P","")</f>
        <v/>
      </c>
      <c r="YV12" s="102" t="str">
        <f>IF(AND(WSJAWA!$N$70&gt;=83.25,WSJAWA!$N$70&lt;=91.4),"P","")</f>
        <v/>
      </c>
      <c r="YW12" s="102" t="str">
        <f>IF(AND(WSJAWA!$N$70&gt;=91.5,WSJAWA!$N$70&lt;=100),"P","")</f>
        <v/>
      </c>
      <c r="YX12" t="str">
        <f>IF(WSJAWA!$N$78&lt;74.9,"P","")</f>
        <v/>
      </c>
      <c r="YY12" s="102" t="str">
        <f>IF(AND(WSJAWA!$N$78&gt;=75,WSJAWA!$N$78&lt;=83.24),"P","")</f>
        <v/>
      </c>
      <c r="YZ12" s="102" t="str">
        <f>IF(AND(WSJAWA!$N$78&gt;=83.25,WSJAWA!$N$78&lt;=91.4),"P","")</f>
        <v/>
      </c>
      <c r="ZA12" s="102" t="str">
        <f>IF(AND(WSJAWA!$N$78&gt;=91.5,WSJAWA!$N$78&lt;=100),"P","")</f>
        <v/>
      </c>
      <c r="ZB12" t="str">
        <f>IF(WSJAWA!$N$86&lt;74.9,"P","")</f>
        <v/>
      </c>
      <c r="ZC12" s="102" t="str">
        <f>IF(AND(WSJAWA!$N$86&gt;=75,WSJAWA!$N$86&lt;=83.24),"P","")</f>
        <v/>
      </c>
      <c r="ZD12" s="102" t="str">
        <f>IF(AND(WSJAWA!$N$86&gt;=83.25,WSJAWA!$N$86&lt;=91.4),"P","")</f>
        <v/>
      </c>
      <c r="ZE12" s="102" t="str">
        <f>IF(AND(WSJAWA!$N$86&gt;=91.5,WSJAWA!$N$86&lt;=100),"P","")</f>
        <v/>
      </c>
      <c r="ZF12" t="str">
        <f>IF(WSJAWA!$N$94&lt;74.9,"P","")</f>
        <v/>
      </c>
      <c r="ZG12" s="102" t="str">
        <f>IF(AND(WSJAWA!$N$94&gt;=75,WSJAWA!$N$94&lt;=83.24),"P","")</f>
        <v/>
      </c>
      <c r="ZH12" s="102" t="str">
        <f>IF(AND(WSJAWA!$N$94&gt;=83.25,WSJAWA!$N$94&lt;=91.4),"P","")</f>
        <v/>
      </c>
      <c r="ZI12" s="102" t="str">
        <f>IF(AND(WSJAWA!$N$94&gt;=91.5,WSJAWA!$N$94&lt;=100),"P","")</f>
        <v/>
      </c>
      <c r="ZJ12" t="str">
        <f>IF(WSJAWA!$N$102&lt;74.9,"P","")</f>
        <v/>
      </c>
      <c r="ZK12" s="102" t="str">
        <f>IF(AND(WSJAWA!$N$102&gt;=75,WSJAWA!$N$102&lt;=83.24),"P","")</f>
        <v/>
      </c>
      <c r="ZL12" s="102" t="str">
        <f>IF(AND(WSJAWA!$N$102&gt;=83.25,WSJAWA!$N$102&lt;=91.4),"P","")</f>
        <v/>
      </c>
      <c r="ZM12" s="102" t="str">
        <f>IF(AND(WSJAWA!$N$102&gt;=91.5,WSJAWA!$N$102&lt;=100),"P","")</f>
        <v/>
      </c>
      <c r="ZN12" t="str">
        <f>IF(WSING!$N$6&lt;74.9,"P","")</f>
        <v/>
      </c>
      <c r="ZO12" s="102" t="str">
        <f>IF(AND(WSING!$N$6&gt;=75,WSING!$N$6&lt;=83.24),"P","")</f>
        <v/>
      </c>
      <c r="ZP12" s="102" t="str">
        <f>IF(AND(WSING!$N$6&gt;=83.25,WSING!$N$6&lt;=91.4),"P","")</f>
        <v/>
      </c>
      <c r="ZQ12" s="102" t="str">
        <f>IF(AND(WSING!$N$6&gt;=91.5,WSING!$N$6&lt;=100),"P","")</f>
        <v>P</v>
      </c>
      <c r="ZR12" t="str">
        <f>IF(WSING!$N$15&lt;74.9,"P","")</f>
        <v/>
      </c>
      <c r="ZS12" s="102" t="str">
        <f>IF(AND(WSING!$N$15&gt;=75,WSING!$N$15&lt;=83.24),"P","")</f>
        <v/>
      </c>
      <c r="ZT12" s="102" t="str">
        <f>IF(AND(WSING!$N$15&gt;=83.25,WSING!$N$15&lt;=91.4),"P","")</f>
        <v/>
      </c>
      <c r="ZU12" s="102" t="str">
        <f>IF(AND(WSING!$N$15&gt;=91.5,WSING!$N$15&lt;=100),"P","")</f>
        <v>P</v>
      </c>
      <c r="ZV12" t="str">
        <f>IF(WSING!$N$24&lt;74.9,"P","")</f>
        <v/>
      </c>
      <c r="ZW12" s="102" t="str">
        <f>IF(AND(WSING!$N$24&gt;=75,WSING!$N$24&lt;=83.24),"P","")</f>
        <v/>
      </c>
      <c r="ZX12" s="102" t="str">
        <f>IF(AND(WSING!$N$24&gt;=83.25,WSING!$N$24&lt;=91.4),"P","")</f>
        <v/>
      </c>
      <c r="ZY12" s="102" t="str">
        <f>IF(AND(WSING!$N$24&gt;=91.5,WSING!$N$24&lt;=100),"P","")</f>
        <v>P</v>
      </c>
      <c r="ZZ12" t="str">
        <f>IF(WSING!$N$33&lt;74.9,"P","")</f>
        <v/>
      </c>
      <c r="AAA12" s="102" t="str">
        <f>IF(AND(WSING!$N$33&gt;=75,WSING!$N$33&lt;=83.24),"P","")</f>
        <v/>
      </c>
      <c r="AAB12" s="102" t="str">
        <f>IF(AND(WSING!$N$33&gt;=83.25,WSING!$N$33&lt;=91.4),"P","")</f>
        <v/>
      </c>
      <c r="AAC12" s="102" t="str">
        <f>IF(AND(WSING!$N$33&gt;=91.5,WSING!$N$33&lt;=100),"P","")</f>
        <v>P</v>
      </c>
      <c r="AAD12" t="str">
        <f>IF(WSING!$N$42&lt;74.9,"P","")</f>
        <v/>
      </c>
      <c r="AAE12" s="102" t="str">
        <f>IF(AND(WSING!$N$42&gt;=75,WSING!$N$42&lt;=83.24),"P","")</f>
        <v/>
      </c>
      <c r="AAF12" s="102" t="str">
        <f>IF(AND(WSING!$N$42&gt;=83.25,WSING!$N$42&lt;=91.4),"P","")</f>
        <v/>
      </c>
      <c r="AAG12" s="102" t="str">
        <f>IF(AND(WSING!$N$42&gt;=91.5,WSING!$N$42&lt;=100),"P","")</f>
        <v/>
      </c>
      <c r="AAH12" t="str">
        <f>IF(WSING!$N$50&lt;74.9,"P","")</f>
        <v/>
      </c>
      <c r="AAI12" s="102" t="str">
        <f>IF(AND(WSING!$N$50&gt;=75,WSING!$N$50&lt;=83.24),"P","")</f>
        <v/>
      </c>
      <c r="AAJ12" s="102" t="str">
        <f>IF(AND(WSING!$N$50&gt;=83.25,WSING!$N$50&lt;=91.4),"P","")</f>
        <v/>
      </c>
      <c r="AAK12" s="102" t="str">
        <f>IF(AND(WSING!$N$50&gt;=91.5,WSING!$N$50&lt;=100),"P","")</f>
        <v/>
      </c>
      <c r="AAL12" t="str">
        <f>IF(WSING!$N$58&lt;74.9,"P","")</f>
        <v/>
      </c>
      <c r="AAM12" s="102" t="str">
        <f>IF(AND(WSING!$N$58&gt;=75,WSING!$N$58&lt;=83.24),"P","")</f>
        <v/>
      </c>
      <c r="AAN12" s="102" t="str">
        <f>IF(AND(WSING!$N$58&gt;=83.25,WSING!$N$58&lt;=91.4),"P","")</f>
        <v/>
      </c>
      <c r="AAO12" s="102" t="str">
        <f>IF(AND(WSING!$N$58&gt;=91.5,WSING!$N$58&lt;=100),"P","")</f>
        <v/>
      </c>
      <c r="AAP12" t="str">
        <f>IF(WSING!$N$66&lt;74.9,"P","")</f>
        <v/>
      </c>
      <c r="AAQ12" s="102" t="str">
        <f>IF(AND(WSING!$N$66&gt;=75,WSING!$N$66&lt;=83.24),"P","")</f>
        <v/>
      </c>
      <c r="AAR12" s="102" t="str">
        <f>IF(AND(WSING!$N$66&gt;=83.25,WSING!$N$66&lt;=91.4),"P","")</f>
        <v/>
      </c>
      <c r="AAS12" s="102" t="str">
        <f>IF(AND(WSING!$N$66&gt;=91.5,WSING!$N$66&lt;=100),"P","")</f>
        <v/>
      </c>
      <c r="AAT12" t="str">
        <f>IF(WSING!$N$74&lt;74.9,"P","")</f>
        <v/>
      </c>
      <c r="AAU12" s="102" t="str">
        <f>IF(AND(WSING!$N$74&gt;=75,WSING!$N$74&lt;=83.24),"P","")</f>
        <v/>
      </c>
      <c r="AAV12" s="102" t="str">
        <f>IF(AND(WSING!$N$74&gt;=83.25,WSING!$N$74&lt;=91.4),"P","")</f>
        <v/>
      </c>
      <c r="AAW12" s="102" t="str">
        <f>IF(AND(WSING!$N$74&gt;=91.5,WSING!$N$74&lt;=100),"P","")</f>
        <v/>
      </c>
      <c r="AAX12" t="str">
        <f>IF(WSING!$N$82&lt;74.9,"P","")</f>
        <v/>
      </c>
      <c r="AAY12" s="102" t="str">
        <f>IF(AND(WSING!$N$82&gt;=75,WSING!$N$82&lt;=83.24),"P","")</f>
        <v/>
      </c>
      <c r="AAZ12" s="102" t="str">
        <f>IF(AND(WSING!$N$82&gt;=83.25,WSING!$N$82&lt;=91.4),"P","")</f>
        <v/>
      </c>
      <c r="ABA12" s="102" t="str">
        <f>IF(AND(WSING!$N$82&gt;=91.5,WSING!$N$82&lt;=100),"P","")</f>
        <v/>
      </c>
      <c r="ABB12" t="str">
        <f>IF(WSING!$N$90&lt;74.9,"P","")</f>
        <v/>
      </c>
      <c r="ABC12" s="102" t="str">
        <f>IF(AND(WSING!$N$90&gt;=75,WSING!$N$90&lt;=83.24),"P","")</f>
        <v/>
      </c>
      <c r="ABD12" s="102" t="str">
        <f>IF(AND(WSING!$N$90&gt;=83.25,WSING!$N$90&lt;=91.4),"P","")</f>
        <v/>
      </c>
      <c r="ABE12" s="102" t="str">
        <f>IF(AND(WSING!$N$90&gt;=91.5,WSING!$N$90&lt;=100),"P","")</f>
        <v/>
      </c>
      <c r="ABF12" t="str">
        <f>IF(WSING!$N$98&lt;74.9,"P","")</f>
        <v/>
      </c>
      <c r="ABG12" s="102" t="str">
        <f>IF(AND(WSING!$N$98&gt;=75,WSING!$N$98&lt;=83.24),"P","")</f>
        <v/>
      </c>
      <c r="ABH12" s="102" t="str">
        <f>IF(AND(WSING!$N$98&gt;=83.25,WSING!$N$98&lt;=91.4),"P","")</f>
        <v/>
      </c>
      <c r="ABI12" s="102" t="str">
        <f>IF(AND(WSING!$N$98&gt;=91.5,WSING!$N$98&lt;=100),"P","")</f>
        <v/>
      </c>
      <c r="ABJ12" t="str">
        <f>IF(WSING!$N$106&lt;74.9,"P","")</f>
        <v/>
      </c>
      <c r="ABK12" s="102" t="str">
        <f>IF(AND(WSING!$N$106&gt;=75,WSING!$N$106&lt;=83.24),"P","")</f>
        <v/>
      </c>
      <c r="ABL12" s="102" t="str">
        <f>IF(AND(WSING!$N$106&gt;=83.25,WSING!$N$106&lt;=91.4),"P","")</f>
        <v/>
      </c>
      <c r="ABM12" s="102" t="str">
        <f>IF(AND(WSING!$N$106&gt;=91.5,WSING!$N$106&lt;=100),"P","")</f>
        <v/>
      </c>
      <c r="ABN12" t="str">
        <f>IF(WSTIK!$N$6&lt;74.9,"P","")</f>
        <v/>
      </c>
      <c r="ABO12" s="102" t="str">
        <f>IF(AND(WSTIK!$N$6&gt;=75,WSTIK!$N$6&lt;=83.24),"P","")</f>
        <v/>
      </c>
      <c r="ABP12" s="102" t="str">
        <f>IF(AND(WSTIK!$N$6&gt;=83.25,WSTIK!$N$6&lt;=91.4),"P","")</f>
        <v/>
      </c>
      <c r="ABQ12" s="102" t="str">
        <f>IF(AND(WSTIK!$N$6&gt;=91.5,WSTIK!$N$6&lt;=100),"P","")</f>
        <v/>
      </c>
      <c r="ABR12" t="str">
        <f>IF(WSTIK!$N$14&lt;74.9,"P","")</f>
        <v/>
      </c>
      <c r="ABS12" s="102" t="str">
        <f>IF(AND(WSTIK!$N$14&gt;=75,WSTIK!$N$14&lt;=83.24),"P","")</f>
        <v/>
      </c>
      <c r="ABT12" s="102" t="str">
        <f>IF(AND(WSTIK!$N$14&gt;=83.25,WSTIK!$N$14&lt;=91.4),"P","")</f>
        <v/>
      </c>
      <c r="ABU12" s="102" t="str">
        <f>IF(AND(WSTIK!$N$14&gt;=91.5,WSTIK!$N$14&lt;=100),"P","")</f>
        <v/>
      </c>
      <c r="ABV12" t="str">
        <f>IF(WSTIK!$N$22&lt;74.9,"P","")</f>
        <v/>
      </c>
      <c r="ABW12" s="102" t="str">
        <f>IF(AND(WSTIK!$N$22&gt;=75,WSTIK!$N$22&lt;=83.24),"P","")</f>
        <v/>
      </c>
      <c r="ABX12" s="102" t="str">
        <f>IF(AND(WSTIK!$N$22&gt;=83.25,WSTIK!$N$22&lt;=91.4),"P","")</f>
        <v/>
      </c>
      <c r="ABY12" s="102" t="str">
        <f>IF(AND(WSTIK!$N$22&gt;=91.5,WSTIK!$N$22&lt;=100),"P","")</f>
        <v/>
      </c>
      <c r="ABZ12" t="str">
        <f>IF(WSTIK!$N$30&lt;74.9,"P","")</f>
        <v/>
      </c>
      <c r="ACA12" s="102" t="str">
        <f>IF(AND(WSTIK!$N$30&gt;=75,WSTIK!$N$30&lt;=83.24),"P","")</f>
        <v/>
      </c>
      <c r="ACB12" s="102" t="str">
        <f>IF(AND(WSTIK!$N$30&gt;=83.25,WSTIK!$N$30&lt;=91.4),"P","")</f>
        <v/>
      </c>
      <c r="ACC12" s="102" t="str">
        <f>IF(AND(WSTIK!$N$30&gt;=91.5,WSTIK!$N$30&lt;=100),"P","")</f>
        <v/>
      </c>
      <c r="ACD12" t="str">
        <f>IF(WSTIK!$N$38&lt;74.9,"P","")</f>
        <v/>
      </c>
      <c r="ACE12" s="102" t="str">
        <f>IF(AND(WSTIK!$N$38&gt;=75,WSTIK!$N$38&lt;=83.24),"P","")</f>
        <v/>
      </c>
      <c r="ACF12" s="102" t="str">
        <f>IF(AND(WSTIK!$N$38&gt;=83.25,WSTIK!$N$38&lt;=91.4),"P","")</f>
        <v/>
      </c>
      <c r="ACG12" s="102" t="str">
        <f>IF(AND(WSTIK!$N$38&gt;=91.5,WSTIK!$N$38&lt;=100),"P","")</f>
        <v/>
      </c>
      <c r="ACH12" t="str">
        <f>IF(WSTIK!$N$46&lt;74.9,"P","")</f>
        <v/>
      </c>
      <c r="ACI12" s="102" t="str">
        <f>IF(AND(WSTIK!$N$46&gt;=75,WSTIK!$N$46&lt;=83.24),"P","")</f>
        <v/>
      </c>
      <c r="ACJ12" s="102" t="str">
        <f>IF(AND(WSTIK!$N$46&gt;=83.25,WSTIK!$N$46&lt;=91.4),"P","")</f>
        <v/>
      </c>
      <c r="ACK12" s="102" t="str">
        <f>IF(AND(WSTIK!$N$46&gt;=91.5,WSTIK!$N$46&lt;=100),"P","")</f>
        <v/>
      </c>
      <c r="ACL12" t="str">
        <f>IF(WSTIK!$N$54&lt;74.9,"P","")</f>
        <v/>
      </c>
      <c r="ACM12" s="102" t="str">
        <f>IF(AND(WSTIK!$N$54&gt;=75,WSTIK!$N$54&lt;=83.24),"P","")</f>
        <v/>
      </c>
      <c r="ACN12" s="102" t="str">
        <f>IF(AND(WSTIK!$N$54&gt;=83.25,WSTIK!$N$54&lt;=91.4),"P","")</f>
        <v/>
      </c>
      <c r="ACO12" s="102" t="str">
        <f>IF(AND(WSTIK!$N$54&gt;=91.5,WSTIK!$N$54&lt;=100),"P","")</f>
        <v/>
      </c>
      <c r="ACP12" t="str">
        <f>IF(WSTIK!$N$62&lt;74.9,"P","")</f>
        <v/>
      </c>
      <c r="ACQ12" s="102" t="str">
        <f>IF(AND(WSTIK!$N$62&gt;=75,WSTIK!$N$62&lt;=83.24),"P","")</f>
        <v/>
      </c>
      <c r="ACR12" s="102" t="str">
        <f>IF(AND(WSTIK!$N$62&gt;=83.25,WSTIK!$N$62&lt;=91.4),"P","")</f>
        <v/>
      </c>
      <c r="ACS12" s="102" t="str">
        <f>IF(AND(WSTIK!$N$62&gt;=91.5,WSTIK!$N$62&lt;=100),"P","")</f>
        <v/>
      </c>
      <c r="ACT12" t="str">
        <f>IF(WSTIK!$N$70&lt;74.9,"P","")</f>
        <v/>
      </c>
      <c r="ACU12" s="102" t="str">
        <f>IF(AND(WSTIK!$N$70&gt;=75,WSTIK!$N$70&lt;=83.24),"P","")</f>
        <v/>
      </c>
      <c r="ACV12" s="102" t="str">
        <f>IF(AND(WSTIK!$N$70&gt;=83.25,WSTIK!$N$70&lt;=91.4),"P","")</f>
        <v/>
      </c>
      <c r="ACW12" s="102" t="str">
        <f>IF(AND(WSTIK!$N$70&gt;=91.5,WSTIK!$N$70&lt;=100),"P","")</f>
        <v/>
      </c>
      <c r="ACX12" t="str">
        <f>IF(WSTIK!$N$78&lt;74.9,"P","")</f>
        <v/>
      </c>
      <c r="ACY12" s="102" t="str">
        <f>IF(AND(WSTIK!$N$78&gt;=75,WSTIK!$N$78&lt;=83.24),"P","")</f>
        <v/>
      </c>
      <c r="ACZ12" s="102" t="str">
        <f>IF(AND(WSTIK!$N$78&gt;=83.25,WSTIK!$N$78&lt;=91.4),"P","")</f>
        <v/>
      </c>
      <c r="ADA12" s="102" t="str">
        <f>IF(AND(WSTIK!$N$78&gt;=91.5,WSTIK!$N$78&lt;=100),"P","")</f>
        <v/>
      </c>
      <c r="ADB12" t="str">
        <f>IF(WSTIK!$N$86&lt;74.9,"P","")</f>
        <v/>
      </c>
      <c r="ADC12" s="102" t="str">
        <f>IF(AND(WSTIK!$N$86&gt;=75,WSTIK!$N$86&lt;=83.24),"P","")</f>
        <v/>
      </c>
      <c r="ADD12" s="102" t="str">
        <f>IF(AND(WSTIK!$N$86&gt;=83.25,WSTIK!$N$86&lt;=91.4),"P","")</f>
        <v/>
      </c>
      <c r="ADE12" s="102" t="str">
        <f>IF(AND(WSTIK!$N$86&gt;=91.5,WSTIK!$N$86&lt;=100),"P","")</f>
        <v/>
      </c>
      <c r="ADF12" t="str">
        <f>IF(WSTIK!$N$94&lt;74.9,"P","")</f>
        <v/>
      </c>
      <c r="ADG12" s="102" t="str">
        <f>IF(AND(WSTIK!$N$94&gt;=75,WSTIK!$N$94&lt;=83.24),"P","")</f>
        <v/>
      </c>
      <c r="ADH12" s="102" t="str">
        <f>IF(AND(WSTIK!$N$94&gt;=83.25,WSTIK!$N$94&lt;=91.4),"P","")</f>
        <v/>
      </c>
      <c r="ADI12" s="102" t="str">
        <f>IF(AND(WSTIK!$N$94&gt;=91.5,WSTIK!$N$94&lt;=100),"P","")</f>
        <v/>
      </c>
      <c r="ADJ12" t="str">
        <f>IF(WSTIK!$N$102&lt;74.9,"P","")</f>
        <v/>
      </c>
      <c r="ADK12" s="102" t="str">
        <f>IF(AND(WSTIK!$N$102&gt;=75,WSTIK!$N$102&lt;=83.24),"P","")</f>
        <v/>
      </c>
      <c r="ADL12" s="102" t="str">
        <f>IF(AND(WSTIK!$N$102&gt;=83.25,WSTIK!$N$102&lt;=91.4),"P","")</f>
        <v/>
      </c>
      <c r="ADM12" s="102" t="str">
        <f>IF(AND(WSTIK!$N$102&gt;=91.5,WSTIK!$N$102&lt;=100),"P","")</f>
        <v/>
      </c>
      <c r="ADN12" t="str">
        <f>IF(WSASWAJA!$N$6&lt;74.9,"P","")</f>
        <v/>
      </c>
      <c r="ADO12" s="102" t="str">
        <f>IF(AND(WSASWAJA!$N$6&gt;=75,WSASWAJA!$N$6&lt;=83.24),"P","")</f>
        <v/>
      </c>
      <c r="ADP12" s="102" t="str">
        <f>IF(AND(WSASWAJA!$N$6&gt;=83.25,WSASWAJA!$N$6&lt;=91.4),"P","")</f>
        <v/>
      </c>
      <c r="ADQ12" s="102" t="str">
        <f>IF(AND(WSASWAJA!$N$6&gt;=91.5,WSASWAJA!$N$6&lt;=100),"P","")</f>
        <v/>
      </c>
      <c r="ADR12" t="str">
        <f>IF(WSASWAJA!$N$14&lt;74.9,"P","")</f>
        <v/>
      </c>
      <c r="ADS12" s="102" t="str">
        <f>IF(AND(WSASWAJA!$N$14&gt;=75,WSASWAJA!$N$14&lt;=83.24),"P","")</f>
        <v/>
      </c>
      <c r="ADT12" s="102" t="str">
        <f>IF(AND(WSASWAJA!$N$14&gt;=83.25,WSASWAJA!$N$14&lt;=91.4),"P","")</f>
        <v/>
      </c>
      <c r="ADU12" s="102" t="str">
        <f>IF(AND(WSASWAJA!$N$14&gt;=91.5,WSASWAJA!$N$14&lt;=100),"P","")</f>
        <v/>
      </c>
      <c r="ADV12" t="str">
        <f>IF(WSASWAJA!$N$22&lt;74.9,"P","")</f>
        <v/>
      </c>
      <c r="ADW12" s="102" t="str">
        <f>IF(AND(WSASWAJA!$N$22&gt;=75,WSASWAJA!$N$22&lt;=83.24),"P","")</f>
        <v/>
      </c>
      <c r="ADX12" s="102" t="str">
        <f>IF(AND(WSASWAJA!$N$22&gt;=83.25,WSASWAJA!$N$22&lt;=91.4),"P","")</f>
        <v/>
      </c>
      <c r="ADY12" s="102" t="str">
        <f>IF(AND(WSASWAJA!$N$22&gt;=91.5,WSASWAJA!$N$22&lt;=100),"P","")</f>
        <v/>
      </c>
      <c r="ADZ12" t="str">
        <f>IF(WSASWAJA!$N$30&lt;74.9,"P","")</f>
        <v/>
      </c>
      <c r="AEA12" s="102" t="str">
        <f>IF(AND(WSASWAJA!$N$30&gt;=75,WSASWAJA!$N$30&lt;=83.24),"P","")</f>
        <v/>
      </c>
      <c r="AEB12" s="102" t="str">
        <f>IF(AND(WSASWAJA!$N$30&gt;=83.25,WSASWAJA!$N$30&lt;=91.4),"P","")</f>
        <v/>
      </c>
      <c r="AEC12" s="102" t="str">
        <f>IF(AND(WSASWAJA!$N$30&gt;=91.5,WSASWAJA!$N$30&lt;=100),"P","")</f>
        <v/>
      </c>
      <c r="AED12" t="str">
        <f>IF(WSASWAJA!$N$38&lt;74.9,"P","")</f>
        <v/>
      </c>
      <c r="AEE12" s="102" t="str">
        <f>IF(AND(WSASWAJA!$N$38&gt;=75,WSASWAJA!$N$38&lt;=83.24),"P","")</f>
        <v/>
      </c>
      <c r="AEF12" s="102" t="str">
        <f>IF(AND(WSASWAJA!$N$38&gt;=83.25,WSASWAJA!$N$38&lt;=91.4),"P","")</f>
        <v/>
      </c>
      <c r="AEG12" s="102" t="str">
        <f>IF(AND(WSASWAJA!$N$38&gt;=91.5,WSASWAJA!$N$38&lt;=100),"P","")</f>
        <v/>
      </c>
      <c r="AEH12" t="str">
        <f>IF(WSASWAJA!$N$46&lt;74.9,"P","")</f>
        <v/>
      </c>
      <c r="AEI12" s="102" t="str">
        <f>IF(AND(WSASWAJA!$N$46&gt;=75,WSASWAJA!$N$46&lt;=83.24),"P","")</f>
        <v/>
      </c>
      <c r="AEJ12" s="102" t="str">
        <f>IF(AND(WSASWAJA!$N$46&gt;=83.25,WSASWAJA!$N$46&lt;=91.4),"P","")</f>
        <v/>
      </c>
      <c r="AEK12" s="102" t="str">
        <f>IF(AND(WSASWAJA!$N$46&gt;=91.5,WSASWAJA!$N$46&lt;=100),"P","")</f>
        <v/>
      </c>
      <c r="AEL12" t="str">
        <f>IF(WSASWAJA!$N$54&lt;74.9,"P","")</f>
        <v/>
      </c>
      <c r="AEM12" s="102" t="str">
        <f>IF(AND(WSASWAJA!$N$54&gt;=75,WSASWAJA!$N$54&lt;=83.24),"P","")</f>
        <v/>
      </c>
      <c r="AEN12" s="102" t="str">
        <f>IF(AND(WSASWAJA!$N$54&gt;=83.25,WSASWAJA!$N$54&lt;=91.4),"P","")</f>
        <v/>
      </c>
      <c r="AEO12" s="102" t="str">
        <f>IF(AND(WSASWAJA!$N$54&gt;=91.5,WSASWAJA!$N$54&lt;=100),"P","")</f>
        <v/>
      </c>
      <c r="AEP12" t="str">
        <f>IF(WSASWAJA!$N$62&lt;74.9,"P","")</f>
        <v/>
      </c>
      <c r="AEQ12" s="102" t="str">
        <f>IF(AND(WSASWAJA!$N$62&gt;=75,WSASWAJA!$N$62&lt;=83.24),"P","")</f>
        <v/>
      </c>
      <c r="AER12" s="102" t="str">
        <f>IF(AND(WSASWAJA!$N$62&gt;=83.25,WSASWAJA!$N$62&lt;=91.4),"P","")</f>
        <v/>
      </c>
      <c r="AES12" s="102" t="str">
        <f>IF(AND(WSASWAJA!$N$62&gt;=91.5,WSASWAJA!$N$62&lt;=100),"P","")</f>
        <v/>
      </c>
      <c r="AET12" t="str">
        <f>IF(WSASWAJA!$N$70&lt;74.9,"P","")</f>
        <v/>
      </c>
      <c r="AEU12" s="102" t="str">
        <f>IF(AND(WSASWAJA!$N$70&gt;=75,WSASWAJA!$N$70&lt;=83.24),"P","")</f>
        <v/>
      </c>
      <c r="AEV12" s="102" t="str">
        <f>IF(AND(WSASWAJA!$N$70&gt;=83.25,WSASWAJA!$N$70&lt;=91.4),"P","")</f>
        <v/>
      </c>
      <c r="AEW12" s="102" t="str">
        <f>IF(AND(WSASWAJA!$N$70&gt;=91.5,WSASWAJA!$N$70&lt;=100),"P","")</f>
        <v/>
      </c>
      <c r="AEX12" t="str">
        <f>IF(WSASWAJA!$N$78&lt;74.9,"P","")</f>
        <v/>
      </c>
      <c r="AEY12" s="102" t="str">
        <f>IF(AND(WSASWAJA!$N$78&gt;=75,WSASWAJA!$N$78&lt;=83.24),"P","")</f>
        <v/>
      </c>
      <c r="AEZ12" s="102" t="str">
        <f>IF(AND(WSASWAJA!$N$78&gt;=83.25,WSASWAJA!$N$78&lt;=91.4),"P","")</f>
        <v/>
      </c>
      <c r="AFA12" s="102" t="str">
        <f>IF(AND(WSASWAJA!$N$78&gt;=91.5,WSASWAJA!$N$78&lt;=100),"P","")</f>
        <v/>
      </c>
      <c r="AFB12" t="str">
        <f>IF(WSASWAJA!$N$86&lt;74.9,"P","")</f>
        <v/>
      </c>
      <c r="AFC12" s="102" t="str">
        <f>IF(AND(WSASWAJA!$N$86&gt;=75,WSASWAJA!$N$86&lt;=83.24),"P","")</f>
        <v/>
      </c>
      <c r="AFD12" s="102" t="str">
        <f>IF(AND(WSASWAJA!$N$86&gt;=83.25,WSASWAJA!$N$86&lt;=91.4),"P","")</f>
        <v/>
      </c>
      <c r="AFE12" s="102" t="str">
        <f>IF(AND(WSASWAJA!$N$86&gt;=91.5,WSASWAJA!$N$86&lt;=100),"P","")</f>
        <v/>
      </c>
      <c r="AFF12" t="str">
        <f>IF(WSASWAJA!$N$94&lt;74.9,"P","")</f>
        <v/>
      </c>
      <c r="AFG12" s="102" t="str">
        <f>IF(AND(WSASWAJA!$N$94&gt;=75,WSASWAJA!$N$94&lt;=83.24),"P","")</f>
        <v/>
      </c>
      <c r="AFH12" s="102" t="str">
        <f>IF(AND(WSASWAJA!$N$94&gt;=83.25,WSASWAJA!$N$94&lt;=91.4),"P","")</f>
        <v/>
      </c>
      <c r="AFI12" s="102" t="str">
        <f>IF(AND(WSASWAJA!$N$94&gt;=91.5,WSASWAJA!$N$94&lt;=100),"P","")</f>
        <v/>
      </c>
      <c r="AFJ12" t="str">
        <f>IF(WSASWAJA!$N$102&lt;74.9,"P","")</f>
        <v/>
      </c>
      <c r="AFK12" s="102" t="str">
        <f>IF(AND(WSASWAJA!$N$102&gt;=75,WSASWAJA!$N$102&lt;=83.24),"P","")</f>
        <v/>
      </c>
      <c r="AFL12" s="102" t="str">
        <f>IF(AND(WSASWAJA!$N$102&gt;=83.25,WSASWAJA!$N$102&lt;=91.4),"P","")</f>
        <v/>
      </c>
      <c r="AFM12" s="102" t="str">
        <f>IF(AND(WSASWAJA!$N$102&gt;=91.5,WSASWAJA!$N$102&lt;=100),"P","")</f>
        <v/>
      </c>
    </row>
    <row r="13" spans="1:852" ht="20.100000000000001" customHeight="1">
      <c r="A13">
        <v>11</v>
      </c>
      <c r="B13" t="str">
        <f>IF(WSALQURAN!$O$6&lt;74.9,"P","")</f>
        <v/>
      </c>
      <c r="C13" s="102" t="str">
        <f>IF(AND(WSALQURAN!$O$6&gt;=75,WSALQURAN!$O$6&lt;=83.24),"P","")</f>
        <v/>
      </c>
      <c r="D13" s="102" t="str">
        <f>IF(AND(WSALQURAN!$O$6&gt;=83.25,WSALQURAN!$O$6&lt;=91.4),"P","")</f>
        <v/>
      </c>
      <c r="E13" s="102" t="str">
        <f>IF(AND(WSALQURAN!$O$6&gt;=91.5,WSALQURAN!$O$6&lt;=100),"P","")</f>
        <v>P</v>
      </c>
      <c r="F13" t="str">
        <f>IF(WSALQURAN!$O$14&lt;74.9,"P","")</f>
        <v/>
      </c>
      <c r="G13" s="102" t="str">
        <f>IF(AND(WSALQURAN!$O$14&gt;=75,WSALQURAN!$O$14&lt;=83.24),"P","")</f>
        <v/>
      </c>
      <c r="H13" s="102" t="str">
        <f>IF(AND(WSALQURAN!$O$14&gt;=83.25,WSALQURAN!$O$14&lt;=91.4),"P","")</f>
        <v/>
      </c>
      <c r="I13" s="102" t="str">
        <f>IF(AND(WSALQURAN!$O$14&gt;=91.5,WSALQURAN!$O$14&lt;=100),"P","")</f>
        <v>P</v>
      </c>
      <c r="J13" t="str">
        <f>IF(WSALQURAN!$O$22&lt;74.9,"P","")</f>
        <v/>
      </c>
      <c r="K13" s="102" t="str">
        <f>IF(AND(WSALQURAN!$O$22&gt;=75,WSALQURAN!$O$22&lt;=83.24),"P","")</f>
        <v/>
      </c>
      <c r="L13" s="102" t="str">
        <f>IF(AND(WSALQURAN!$O$22&gt;=83.25,WSALQURAN!$O$22&lt;=91.4),"P","")</f>
        <v/>
      </c>
      <c r="M13" s="102" t="str">
        <f>IF(AND(WSALQURAN!$O$22&gt;=91.5,WSALQURAN!$O$22&lt;=100),"P","")</f>
        <v>P</v>
      </c>
      <c r="N13" t="str">
        <f>IF(WSALQURAN!$O$30&lt;74.9,"P","")</f>
        <v/>
      </c>
      <c r="O13" s="102" t="str">
        <f>IF(AND(WSALQURAN!$O$30&gt;=75,WSALQURAN!$O$30&lt;=83.24),"P","")</f>
        <v/>
      </c>
      <c r="P13" s="102" t="str">
        <f>IF(AND(WSALQURAN!$O$30&gt;=83.25,WSALQURAN!$O$30&lt;=91.4),"P","")</f>
        <v/>
      </c>
      <c r="Q13" s="102" t="str">
        <f>IF(AND(WSALQURAN!$O$30&gt;=91.5,WSALQURAN!$O$30&lt;=100),"P","")</f>
        <v>P</v>
      </c>
      <c r="R13" t="str">
        <f>IF(WSALQURAN!$O$38&lt;74.9,"P","")</f>
        <v/>
      </c>
      <c r="S13" s="102" t="str">
        <f>IF(AND(WSALQURAN!$O$38&gt;=75,WSALQURAN!$O$38&lt;=83.24),"P","")</f>
        <v/>
      </c>
      <c r="T13" s="102" t="str">
        <f>IF(AND(WSALQURAN!$O$38&gt;=83.25,WSALQURAN!$O$38&lt;=91.4),"P","")</f>
        <v/>
      </c>
      <c r="U13" s="102" t="str">
        <f>IF(AND(WSALQURAN!$O$38&gt;=91.5,WSALQURAN!$O$38&lt;=100),"P","")</f>
        <v>P</v>
      </c>
      <c r="V13" t="str">
        <f>IF(WSALQURAN!$O$46&lt;74.9,"P","")</f>
        <v/>
      </c>
      <c r="W13" s="102" t="str">
        <f>IF(AND(WSALQURAN!$O$46&gt;=75,WSALQURAN!$O$46&lt;=83.24),"P","")</f>
        <v/>
      </c>
      <c r="X13" s="102" t="str">
        <f>IF(AND(WSALQURAN!$O$46&gt;=83.25,WSALQURAN!$O$46&lt;=91.4),"P","")</f>
        <v/>
      </c>
      <c r="Y13" s="102" t="str">
        <f>IF(AND(WSALQURAN!$O$46&gt;=91.5,WSALQURAN!$O$46&lt;=100),"P","")</f>
        <v>P</v>
      </c>
      <c r="Z13" t="str">
        <f>IF(WSALQURAN!$O$54&lt;74.9,"P","")</f>
        <v/>
      </c>
      <c r="AA13" s="102" t="str">
        <f>IF(AND(WSALQURAN!$O$54&gt;=75,WSALQURAN!$O$54&lt;=83.24),"P","")</f>
        <v/>
      </c>
      <c r="AB13" s="102" t="str">
        <f>IF(AND(WSALQURAN!$O$54&gt;=83.25,WSALQURAN!$O$54&lt;=91.4),"P","")</f>
        <v/>
      </c>
      <c r="AC13" s="102" t="str">
        <f>IF(AND(WSALQURAN!$O$54&gt;=91.5,WSALQURAN!$O$54&lt;=100),"P","")</f>
        <v>P</v>
      </c>
      <c r="AD13" t="str">
        <f>IF(WSALQURAN!$O$62&lt;74.9,"P","")</f>
        <v/>
      </c>
      <c r="AE13" s="102" t="str">
        <f>IF(AND(WSALQURAN!$O$62&gt;=75,WSALQURAN!$O$62&lt;=83.24),"P","")</f>
        <v/>
      </c>
      <c r="AF13" s="102" t="str">
        <f>IF(AND(WSALQURAN!$O$62&gt;=83.25,WSALQURAN!$O$62&lt;=91.4),"P","")</f>
        <v/>
      </c>
      <c r="AG13" s="102" t="str">
        <f>IF(AND(WSALQURAN!$O$62&gt;=91.5,WSALQURAN!$O$62&lt;=100),"P","")</f>
        <v/>
      </c>
      <c r="AH13" t="str">
        <f>IF(WSALQURAN!$O$70&lt;74.9,"P","")</f>
        <v/>
      </c>
      <c r="AI13" s="102" t="str">
        <f>IF(AND(WSALQURAN!$O$70&gt;=75,WSALQURAN!$O$70&lt;=83.24),"P","")</f>
        <v/>
      </c>
      <c r="AJ13" s="102" t="str">
        <f>IF(AND(WSALQURAN!$O$70&gt;=83.25,WSALQURAN!$O$70&lt;=91.4),"P","")</f>
        <v/>
      </c>
      <c r="AK13" s="102" t="str">
        <f>IF(AND(WSALQURAN!$O$70&gt;=91.5,WSALQURAN!$O$70&lt;=100),"P","")</f>
        <v/>
      </c>
      <c r="AL13" t="str">
        <f>IF(WSALQURAN!$O$78&lt;74.9,"P","")</f>
        <v/>
      </c>
      <c r="AM13" s="102" t="str">
        <f>IF(AND(WSALQURAN!$O$78&gt;=75,WSALQURAN!$O$78&lt;=83.24),"P","")</f>
        <v/>
      </c>
      <c r="AN13" s="102" t="str">
        <f>IF(AND(WSALQURAN!$O$78&gt;=83.25,WSALQURAN!$O$78&lt;=91.4),"P","")</f>
        <v/>
      </c>
      <c r="AO13" s="102" t="str">
        <f>IF(AND(WSALQURAN!$O$78&gt;=91.5,WSALQURAN!$O$78&lt;=100),"P","")</f>
        <v/>
      </c>
      <c r="AP13" t="str">
        <f>IF(WSALQURAN!$O$86&lt;74.9,"P","")</f>
        <v/>
      </c>
      <c r="AQ13" s="102" t="str">
        <f>IF(AND(WSALQURAN!$O$86&gt;=75,WSALQURAN!$O$86&lt;=83.24),"P","")</f>
        <v/>
      </c>
      <c r="AR13" s="102" t="str">
        <f>IF(AND(WSALQURAN!$O$86&gt;=83.25,WSALQURAN!$O$86&lt;=91.4),"P","")</f>
        <v/>
      </c>
      <c r="AS13" s="102" t="str">
        <f>IF(AND(WSALQURAN!$O$86&gt;=91.5,WSALQURAN!$O$86&lt;=100),"P","")</f>
        <v/>
      </c>
      <c r="AT13" t="str">
        <f>IF(WSALQURAN!$O$94&lt;74.9,"P","")</f>
        <v/>
      </c>
      <c r="AU13" s="102" t="str">
        <f>IF(AND(WSALQURAN!$O$94&gt;=75,WSALQURAN!$O$94&lt;=83.24),"P","")</f>
        <v/>
      </c>
      <c r="AV13" s="102" t="str">
        <f>IF(AND(WSALQURAN!$O$94&gt;=83.25,WSALQURAN!$O$94&lt;=91.4),"P","")</f>
        <v/>
      </c>
      <c r="AW13" s="102" t="str">
        <f>IF(AND(WSALQURAN!$O$94&gt;=91.5,WSALQURAN!$O$94&lt;=100),"P","")</f>
        <v/>
      </c>
      <c r="AX13" t="str">
        <f>IF(WSALQURAN!$O$102&lt;74.9,"P","")</f>
        <v/>
      </c>
      <c r="AY13" s="102" t="str">
        <f>IF(AND(WSALQURAN!$O$102&gt;=75,WSALQURAN!$O$102&lt;=83.24),"P","")</f>
        <v/>
      </c>
      <c r="AZ13" s="102" t="str">
        <f>IF(AND(WSALQURAN!$O$102&gt;=83.25,WSALQURAN!$O$102&lt;=91.4),"P","")</f>
        <v/>
      </c>
      <c r="BA13" s="102" t="str">
        <f>IF(AND(WSALQURAN!$O$102&gt;=91.5,WSALQURAN!$O$102&lt;=100),"P","")</f>
        <v/>
      </c>
      <c r="BB13" t="str">
        <f>IF(WSAQIDAH!$O$6&lt;74.9,"P","")</f>
        <v/>
      </c>
      <c r="BC13" s="102" t="str">
        <f>IF(AND(WSAQIDAH!$O$6&gt;=75,WSAQIDAH!$O$6&lt;=83.24),"P","")</f>
        <v/>
      </c>
      <c r="BD13" s="102" t="str">
        <f>IF(AND(WSAQIDAH!$O$6&gt;=83.25,WSAQIDAH!$O$6&lt;=91.4),"P","")</f>
        <v>P</v>
      </c>
      <c r="BE13" s="102" t="str">
        <f>IF(AND(WSAQIDAH!$O$6&gt;=91.5,WSAQIDAH!$O$6&lt;=100),"P","")</f>
        <v/>
      </c>
      <c r="BF13" t="str">
        <f>IF(WSAQIDAH!$O$14&lt;74.9,"P","")</f>
        <v/>
      </c>
      <c r="BG13" s="102" t="str">
        <f>IF(AND(WSAQIDAH!$O$14&gt;=75,WSAQIDAH!$O$14&lt;=83.24),"P","")</f>
        <v/>
      </c>
      <c r="BH13" s="102" t="str">
        <f>IF(AND(WSAQIDAH!$O$14&gt;=83.25,WSAQIDAH!$O$14&lt;=91.4),"P","")</f>
        <v/>
      </c>
      <c r="BI13" s="102" t="str">
        <f>IF(AND(WSAQIDAH!$O$14&gt;=91.5,WSAQIDAH!$O$14&lt;=100),"P","")</f>
        <v>P</v>
      </c>
      <c r="BJ13" t="str">
        <f>IF(WSAQIDAH!$O$22&lt;74.9,"P","")</f>
        <v/>
      </c>
      <c r="BK13" s="102" t="str">
        <f>IF(AND(WSAQIDAH!$O$22&gt;=75,WSAQIDAH!$O$22&lt;=83.24),"P","")</f>
        <v/>
      </c>
      <c r="BL13" s="102" t="str">
        <f>IF(AND(WSAQIDAH!$O$22&gt;=83.25,WSAQIDAH!$O$22&lt;=91.4),"P","")</f>
        <v/>
      </c>
      <c r="BM13" s="102" t="str">
        <f>IF(AND(WSAQIDAH!$O$22&gt;=91.5,WSAQIDAH!$O$22&lt;=100),"P","")</f>
        <v>P</v>
      </c>
      <c r="BN13" t="str">
        <f>IF(WSAQIDAH!$O$30&lt;74.9,"P","")</f>
        <v/>
      </c>
      <c r="BO13" s="102" t="str">
        <f>IF(AND(WSAQIDAH!$O$30&gt;=75,WSAQIDAH!$O$30&lt;=83.24),"P","")</f>
        <v/>
      </c>
      <c r="BP13" s="102" t="str">
        <f>IF(AND(WSAQIDAH!$O$30&gt;=83.25,WSAQIDAH!$O$30&lt;=91.4),"P","")</f>
        <v/>
      </c>
      <c r="BQ13" s="102" t="str">
        <f>IF(AND(WSAQIDAH!$O$30&gt;=91.5,WSAQIDAH!$O$30&lt;=100),"P","")</f>
        <v>P</v>
      </c>
      <c r="BR13" t="str">
        <f>IF(WSAQIDAH!$O$38&lt;74.9,"P","")</f>
        <v/>
      </c>
      <c r="BS13" s="102" t="str">
        <f>IF(AND(WSAQIDAH!$O$38&gt;=75,WSAQIDAH!$O$38&lt;=83.24),"P","")</f>
        <v/>
      </c>
      <c r="BT13" s="102" t="str">
        <f>IF(AND(WSAQIDAH!$O$38&gt;=83.25,WSAQIDAH!$O$38&lt;=91.4),"P","")</f>
        <v/>
      </c>
      <c r="BU13" s="102" t="str">
        <f>IF(AND(WSAQIDAH!$O$38&gt;=91.5,WSAQIDAH!$O$38&lt;=100),"P","")</f>
        <v>P</v>
      </c>
      <c r="BV13" t="str">
        <f>IF(WSAQIDAH!$O$46&lt;74.9,"P","")</f>
        <v/>
      </c>
      <c r="BW13" s="102" t="str">
        <f>IF(AND(WSAQIDAH!$O$46&gt;=75,WSAQIDAH!$O$46&lt;=83.24),"P","")</f>
        <v/>
      </c>
      <c r="BX13" s="102" t="str">
        <f>IF(AND(WSAQIDAH!$O$46&gt;=83.25,WSAQIDAH!$O$46&lt;=91.4),"P","")</f>
        <v/>
      </c>
      <c r="BY13" s="102" t="str">
        <f>IF(AND(WSAQIDAH!$O$46&gt;=91.5,WSAQIDAH!$O$46&lt;=100),"P","")</f>
        <v>P</v>
      </c>
      <c r="BZ13" t="str">
        <f>IF(WSAQIDAH!$O$54&lt;74.9,"P","")</f>
        <v/>
      </c>
      <c r="CA13" s="102" t="str">
        <f>IF(AND(WSAQIDAH!$O$54&gt;=75,WSAQIDAH!$O$54&lt;=83.24),"P","")</f>
        <v/>
      </c>
      <c r="CB13" s="102" t="str">
        <f>IF(AND(WSAQIDAH!$O$54&gt;=83.25,WSAQIDAH!$O$54&lt;=91.4),"P","")</f>
        <v/>
      </c>
      <c r="CC13" s="102" t="str">
        <f>IF(AND(WSAQIDAH!$O$54&gt;=91.5,WSAQIDAH!$O$54&lt;=100),"P","")</f>
        <v>P</v>
      </c>
      <c r="CD13" t="str">
        <f>IF(WSAQIDAH!$O$62&lt;74.9,"P","")</f>
        <v/>
      </c>
      <c r="CE13" s="102" t="str">
        <f>IF(AND(WSAQIDAH!$O$62&gt;=75,WSAQIDAH!$O$62&lt;=83.24),"P","")</f>
        <v>P</v>
      </c>
      <c r="CF13" s="102" t="str">
        <f>IF(AND(WSAQIDAH!$O$62&gt;=83.25,WSAQIDAH!$O$62&lt;=91.4),"P","")</f>
        <v/>
      </c>
      <c r="CG13" s="102" t="str">
        <f>IF(AND(WSAQIDAH!$O$62&gt;=91.5,WSAQIDAH!$O$62&lt;=100),"P","")</f>
        <v/>
      </c>
      <c r="CH13" t="str">
        <f>IF(WSAQIDAH!$O$70&lt;74.9,"P","")</f>
        <v/>
      </c>
      <c r="CI13" s="102" t="str">
        <f>IF(AND(WSAQIDAH!$O$70&gt;=75,WSAQIDAH!$O$70&lt;=83.24),"P","")</f>
        <v>P</v>
      </c>
      <c r="CJ13" s="102" t="str">
        <f>IF(AND(WSAQIDAH!$O$70&gt;=83.25,WSAQIDAH!$O$70&lt;=91.4),"P","")</f>
        <v/>
      </c>
      <c r="CK13" s="102" t="str">
        <f>IF(AND(WSAQIDAH!$O$70&gt;=91.5,WSAQIDAH!$O$70&lt;=100),"P","")</f>
        <v/>
      </c>
      <c r="CL13" t="str">
        <f>IF(WSAQIDAH!$O$78&lt;74.9,"P","")</f>
        <v/>
      </c>
      <c r="CM13" s="102" t="str">
        <f>IF(AND(WSAQIDAH!$O$78&gt;=75,WSAQIDAH!$O$78&lt;=83.24),"P","")</f>
        <v>P</v>
      </c>
      <c r="CN13" s="102" t="str">
        <f>IF(AND(WSAQIDAH!$O$78&gt;=83.25,WSAQIDAH!$O$78&lt;=91.4),"P","")</f>
        <v/>
      </c>
      <c r="CO13" s="102" t="str">
        <f>IF(AND(WSAQIDAH!$O$78&gt;=91.5,WSAQIDAH!$O$78&lt;=100),"P","")</f>
        <v/>
      </c>
      <c r="CP13" t="str">
        <f>IF(WSAQIDAH!$O$86&lt;74.9,"P","")</f>
        <v/>
      </c>
      <c r="CQ13" s="102" t="str">
        <f>IF(AND(WSAQIDAH!$O$86&gt;=75,WSAQIDAH!$O$86&lt;=83.24),"P","")</f>
        <v/>
      </c>
      <c r="CR13" s="102" t="str">
        <f>IF(AND(WSAQIDAH!$O$86&gt;=83.25,WSAQIDAH!$O$86&lt;=91.4),"P","")</f>
        <v/>
      </c>
      <c r="CS13" s="102" t="str">
        <f>IF(AND(WSAQIDAH!$O$86&gt;=91.5,WSAQIDAH!$O$86&lt;=100),"P","")</f>
        <v/>
      </c>
      <c r="CT13" t="str">
        <f>IF(WSAQIDAH!$O$94&lt;74.9,"P","")</f>
        <v/>
      </c>
      <c r="CU13" s="102" t="str">
        <f>IF(AND(WSAQIDAH!$O$94&gt;=75,WSAQIDAH!$O$94&lt;=83.24),"P","")</f>
        <v/>
      </c>
      <c r="CV13" s="102" t="str">
        <f>IF(AND(WSAQIDAH!$O$94&gt;=83.25,WSAQIDAH!$O$94&lt;=91.4),"P","")</f>
        <v/>
      </c>
      <c r="CW13" s="102" t="str">
        <f>IF(AND(WSAQIDAH!$O$94&gt;=91.5,WSAQIDAH!$O$94&lt;=100),"P","")</f>
        <v/>
      </c>
      <c r="CX13" t="str">
        <f>IF(WSAQIDAH!$O$102&lt;74.9,"P","")</f>
        <v/>
      </c>
      <c r="CY13" s="102" t="str">
        <f>IF(AND(WSAQIDAH!$O$102&gt;=75,WSAQIDAH!$O$102&lt;=83.24),"P","")</f>
        <v/>
      </c>
      <c r="CZ13" s="102" t="str">
        <f>IF(AND(WSAQIDAH!$O$102&gt;=83.25,WSAQIDAH!$O$102&lt;=91.4),"P","")</f>
        <v/>
      </c>
      <c r="DA13" s="102" t="str">
        <f>IF(AND(WSAQIDAH!$O$102&gt;=91.5,WSAQIDAH!$O$102&lt;=100),"P","")</f>
        <v/>
      </c>
      <c r="DB13" t="str">
        <f>IF(WSSKI!$O$6&lt;74.9,"P","")</f>
        <v/>
      </c>
      <c r="DC13" s="102" t="str">
        <f>IF(AND(WSSKI!$O$6&gt;=75,WSSKI!$O$6&lt;=83.24),"P","")</f>
        <v/>
      </c>
      <c r="DD13" s="102" t="str">
        <f>IF(AND(WSSKI!$O$6&gt;=83.25,WSSKI!$O$6&lt;=91.4),"P","")</f>
        <v>P</v>
      </c>
      <c r="DE13" s="102" t="str">
        <f>IF(AND(WSSKI!$O$6&gt;=91.5,WSSKI!$O$6&lt;=100),"P","")</f>
        <v/>
      </c>
      <c r="DF13" t="str">
        <f>IF(WSSKI!$O$14&lt;74.9,"P","")</f>
        <v/>
      </c>
      <c r="DG13" s="102" t="str">
        <f>IF(AND(WSSKI!$O$14&gt;=75,WSSKI!$O$14&lt;=83.24),"P","")</f>
        <v/>
      </c>
      <c r="DH13" s="102" t="str">
        <f>IF(AND(WSSKI!$O$14&gt;=83.25,WSSKI!$O$14&lt;=91.4),"P","")</f>
        <v/>
      </c>
      <c r="DI13" s="102" t="str">
        <f>IF(AND(WSSKI!$O$14&gt;=91.5,WSSKI!$O$14&lt;=100),"P","")</f>
        <v>P</v>
      </c>
      <c r="DJ13" t="str">
        <f>IF(WSSKI!$O$23&lt;74.9,"P","")</f>
        <v/>
      </c>
      <c r="DK13" s="102" t="str">
        <f>IF(AND(WSSKI!$O$23&gt;=75,WSSKI!$O$23&lt;=83.24),"P","")</f>
        <v/>
      </c>
      <c r="DL13" s="102" t="str">
        <f>IF(AND(WSSKI!$O$23&gt;=83.25,WSSKI!$O$23&lt;=91.4),"P","")</f>
        <v>P</v>
      </c>
      <c r="DM13" s="102" t="str">
        <f>IF(AND(WSSKI!$O$23&gt;=91.5,WSSKI!$O$23&lt;=100),"P","")</f>
        <v/>
      </c>
      <c r="DN13" t="str">
        <f>IF(WSSKI!$O$31&lt;74.9,"P","")</f>
        <v/>
      </c>
      <c r="DO13" s="102" t="str">
        <f>IF(AND(WSSKI!$O$31&gt;=75,WSSKI!$O$31&lt;=83.24),"P","")</f>
        <v>P</v>
      </c>
      <c r="DP13" s="102" t="str">
        <f>IF(AND(WSSKI!$O$31&gt;=83.25,WSSKI!$O$31&lt;=91.4),"P","")</f>
        <v/>
      </c>
      <c r="DQ13" s="102" t="str">
        <f>IF(AND(WSSKI!$O$31&gt;=91.5,WSSKI!$O$31&lt;=100),"P","")</f>
        <v/>
      </c>
      <c r="DR13" t="str">
        <f>IF(WSSKI!$O$40&lt;74.9,"P","")</f>
        <v/>
      </c>
      <c r="DS13" s="102" t="str">
        <f>IF(AND(WSSKI!$O$40&gt;=75,WSSKI!$O$40&lt;=83.24),"P","")</f>
        <v/>
      </c>
      <c r="DT13" s="102" t="str">
        <f>IF(AND(WSSKI!$O$40&gt;=83.25,WSSKI!$O$40&lt;=91.4),"P","")</f>
        <v/>
      </c>
      <c r="DU13" s="102" t="str">
        <f>IF(AND(WSSKI!$O$40&gt;=91.5,WSSKI!$O$40&lt;=100),"P","")</f>
        <v>P</v>
      </c>
      <c r="DV13" t="str">
        <f>IF(WSSKI!$O$48&lt;74.9,"P","")</f>
        <v/>
      </c>
      <c r="DW13" s="102" t="str">
        <f>IF(AND(WSSKI!$O$48&gt;=75,WSSKI!$O$48&lt;=83.24),"P","")</f>
        <v>P</v>
      </c>
      <c r="DX13" s="102" t="str">
        <f>IF(AND(WSSKI!$O$48&gt;=83.25,WSSKI!$O$48&lt;=91.4),"P","")</f>
        <v/>
      </c>
      <c r="DY13" s="102" t="str">
        <f>IF(AND(WSSKI!$O$48&gt;=91.5,WSSKI!$O$48&lt;=100),"P","")</f>
        <v/>
      </c>
      <c r="DZ13" t="str">
        <f>IF(WSSKI!$O$56&lt;74.9,"P","")</f>
        <v/>
      </c>
      <c r="EA13" s="102" t="str">
        <f>IF(AND(WSSKI!$O$56&gt;=75,WSSKI!$O$56&lt;=83.24),"P","")</f>
        <v/>
      </c>
      <c r="EB13" s="102" t="str">
        <f>IF(AND(WSSKI!$O$56&gt;=83.25,WSSKI!$O$56&lt;=91.4),"P","")</f>
        <v/>
      </c>
      <c r="EC13" s="102" t="str">
        <f>IF(AND(WSSKI!$O$56&gt;=91.5,WSSKI!$O$56&lt;=100),"P","")</f>
        <v/>
      </c>
      <c r="ED13" t="str">
        <f>IF(WSSKI!$O$64&lt;74.9,"P","")</f>
        <v/>
      </c>
      <c r="EE13" s="102" t="str">
        <f>IF(AND(WSSKI!$O$64&gt;=75,WSSKI!$O$64&lt;=83.24),"P","")</f>
        <v/>
      </c>
      <c r="EF13" s="102" t="str">
        <f>IF(AND(WSSKI!$O$64&gt;=83.25,WSSKI!$O$64&lt;=91.4),"P","")</f>
        <v/>
      </c>
      <c r="EG13" s="102" t="str">
        <f>IF(AND(WSSKI!$O$64&gt;=91.5,WSSKI!$O$64&lt;=100),"P","")</f>
        <v/>
      </c>
      <c r="EH13" t="str">
        <f>IF(WSSKI!$O$72&lt;74.9,"P","")</f>
        <v/>
      </c>
      <c r="EI13" s="102" t="str">
        <f>IF(AND(WSSKI!$O$72&gt;=75,WSSKI!$O$72&lt;=83.24),"P","")</f>
        <v/>
      </c>
      <c r="EJ13" s="102" t="str">
        <f>IF(AND(WSSKI!$O$72&gt;=83.25,WSSKI!$O$72&lt;=91.4),"P","")</f>
        <v/>
      </c>
      <c r="EK13" s="102" t="str">
        <f>IF(AND(WSSKI!$O$72&gt;=91.5,WSSKI!$O$72&lt;=100),"P","")</f>
        <v/>
      </c>
      <c r="EL13" t="str">
        <f>IF(WSSKI!$O$80&lt;74.9,"P","")</f>
        <v/>
      </c>
      <c r="EM13" s="102" t="str">
        <f>IF(AND(WSSKI!$O$80&gt;=75,WSSKI!$O$80&lt;=83.24),"P","")</f>
        <v/>
      </c>
      <c r="EN13" s="102" t="str">
        <f>IF(AND(WSSKI!$O$80&gt;=83.25,WSSKI!$O$80&lt;=91.4),"P","")</f>
        <v/>
      </c>
      <c r="EO13" s="102" t="str">
        <f>IF(AND(WSSKI!$O$80&gt;=91.5,WSSKI!$O$80&lt;=100),"P","")</f>
        <v/>
      </c>
      <c r="EP13" t="str">
        <f>IF(WSSKI!$O$88&lt;74.9,"P","")</f>
        <v/>
      </c>
      <c r="EQ13" s="102" t="str">
        <f>IF(AND(WSSKI!$O$88&gt;=75,WSSKI!$O$88&lt;=83.24),"P","")</f>
        <v/>
      </c>
      <c r="ER13" s="102" t="str">
        <f>IF(AND(WSSKI!$O$88&gt;=83.25,WSSKI!$O$88&lt;=91.4),"P","")</f>
        <v/>
      </c>
      <c r="ES13" s="102" t="str">
        <f>IF(AND(WSSKI!$O$88&gt;=91.5,WSSKI!$O$88&lt;=100),"P","")</f>
        <v/>
      </c>
      <c r="ET13" t="str">
        <f>IF(WSSKI!$O$96&lt;74.9,"P","")</f>
        <v/>
      </c>
      <c r="EU13" s="102" t="str">
        <f>IF(AND(WSSKI!$O$96&gt;=75,WSSKI!$O$96&lt;=83.24),"P","")</f>
        <v/>
      </c>
      <c r="EV13" s="102" t="str">
        <f>IF(AND(WSSKI!$O$96&gt;=83.25,WSSKI!$O$96&lt;=91.4),"P","")</f>
        <v/>
      </c>
      <c r="EW13" s="102" t="str">
        <f>IF(AND(WSSKI!$O$96&gt;=91.5,WSSKI!$O$96&lt;=100),"P","")</f>
        <v/>
      </c>
      <c r="EX13" t="str">
        <f>IF(WSSKI!$O$104&lt;74.9,"P","")</f>
        <v/>
      </c>
      <c r="EY13" s="102" t="str">
        <f>IF(AND(WSSKI!$O$104&gt;=75,WSSKI!$O$104&lt;=83.24),"P","")</f>
        <v/>
      </c>
      <c r="EZ13" s="102" t="str">
        <f>IF(AND(WSSKI!$O$104&gt;=83.25,WSSKI!$O$104&lt;=91.4),"P","")</f>
        <v/>
      </c>
      <c r="FA13" s="102" t="str">
        <f>IF(AND(WSSKI!$O$104&gt;=91.5,WSSKI!$O$104&lt;=100),"P","")</f>
        <v/>
      </c>
      <c r="FB13" t="str">
        <f>IF(WSFIQIH!$O$6&lt;74.9,"P","")</f>
        <v/>
      </c>
      <c r="FC13" s="102" t="str">
        <f>IF(AND(WSFIQIH!$O$6&gt;=75,WSFIQIH!$O$6&lt;=83.24),"P","")</f>
        <v/>
      </c>
      <c r="FD13" s="102" t="str">
        <f>IF(AND(WSFIQIH!$O$6&gt;=83.25,WSFIQIH!$O$6&lt;=91.4),"P","")</f>
        <v/>
      </c>
      <c r="FE13" s="102" t="str">
        <f>IF(AND(WSFIQIH!$O$6&gt;=91.5,WSFIQIH!$O$6&lt;=100),"P","")</f>
        <v>P</v>
      </c>
      <c r="FF13" t="str">
        <f>IF(WSFIQIH!$O$19&lt;74.9,"P","")</f>
        <v/>
      </c>
      <c r="FG13" s="102" t="str">
        <f>IF(AND(WSFIQIH!$O$19&gt;=75,WSFIQIH!$O$19&lt;=83.24),"P","")</f>
        <v/>
      </c>
      <c r="FH13" s="102" t="str">
        <f>IF(AND(WSFIQIH!$O$19&gt;=83.25,WSFIQIH!$O$19&lt;=91.4),"P","")</f>
        <v/>
      </c>
      <c r="FI13" s="102" t="str">
        <f>IF(AND(WSFIQIH!$O$19&gt;=91.5,WSFIQIH!$O$19&lt;=100),"P","")</f>
        <v>P</v>
      </c>
      <c r="FJ13" t="str">
        <f>IF(WSFIQIH!$O$28&lt;74.9,"P","")</f>
        <v/>
      </c>
      <c r="FK13" s="102" t="str">
        <f>IF(AND(WSFIQIH!$O$28&gt;=75,WSFIQIH!$O$28&lt;=83.24),"P","")</f>
        <v/>
      </c>
      <c r="FL13" s="102" t="str">
        <f>IF(AND(WSFIQIH!$O$28&gt;=83.25,WSFIQIH!$O$28&lt;=91.4),"P","")</f>
        <v/>
      </c>
      <c r="FM13" s="102" t="str">
        <f>IF(AND(WSFIQIH!$O$28&gt;=91.5,WSFIQIH!$O$28&lt;=100),"P","")</f>
        <v>P</v>
      </c>
      <c r="FN13" t="str">
        <f>IF(WSFIQIH!$O$41&lt;74.9,"P","")</f>
        <v/>
      </c>
      <c r="FO13" s="102" t="str">
        <f>IF(AND(WSFIQIH!$O$41&gt;=75,WSFIQIH!$O$41&lt;=83.24),"P","")</f>
        <v/>
      </c>
      <c r="FP13" s="102" t="str">
        <f>IF(AND(WSFIQIH!$O$41&gt;=83.25,WSFIQIH!$O$41&lt;=91.4),"P","")</f>
        <v/>
      </c>
      <c r="FQ13" s="102" t="str">
        <f>IF(AND(WSFIQIH!$O$41&gt;=91.5,WSFIQIH!$O$41&lt;=100),"P","")</f>
        <v>P</v>
      </c>
      <c r="FR13" t="str">
        <f>IF(WSFIQIH!$O$49&lt;74.9,"P","")</f>
        <v/>
      </c>
      <c r="FS13" s="102" t="str">
        <f>IF(AND(WSFIQIH!$O$49&gt;=75,WSFIQIH!$O$49&lt;=83.24),"P","")</f>
        <v>P</v>
      </c>
      <c r="FT13" s="102" t="str">
        <f>IF(AND(WSFIQIH!$O$49&gt;=83.25,WSFIQIH!$O$49&lt;=91.4),"P","")</f>
        <v/>
      </c>
      <c r="FU13" s="102" t="str">
        <f>IF(AND(WSFIQIH!$O$49&gt;=91.5,WSFIQIH!$O$49&lt;=100),"P","")</f>
        <v/>
      </c>
      <c r="FV13" t="str">
        <f>IF(WSFIQIH!$O$62&lt;74.9,"P","")</f>
        <v/>
      </c>
      <c r="FW13" s="102" t="str">
        <f>IF(AND(WSFIQIH!$O$62&gt;=75,WSFIQIH!$O$62&lt;=83.24),"P","")</f>
        <v/>
      </c>
      <c r="FX13" s="102" t="str">
        <f>IF(AND(WSFIQIH!$O$62&gt;=83.25,WSFIQIH!$O$62&lt;=91.4),"P","")</f>
        <v/>
      </c>
      <c r="FY13" s="102" t="str">
        <f>IF(AND(WSFIQIH!$O$62&gt;=91.5,WSFIQIH!$O$62&lt;=100),"P","")</f>
        <v>P</v>
      </c>
      <c r="FZ13" t="str">
        <f>IF(WSFIQIH!$O$71&lt;74.9,"P","")</f>
        <v/>
      </c>
      <c r="GA13" s="102" t="str">
        <f>IF(AND(WSFIQIH!$O$71&gt;=75,WSFIQIH!$O$71&lt;=83.24),"P","")</f>
        <v/>
      </c>
      <c r="GB13" s="102" t="str">
        <f>IF(AND(WSFIQIH!$O$71&gt;=83.25,WSFIQIH!$O$71&lt;=91.4),"P","")</f>
        <v/>
      </c>
      <c r="GC13" s="102" t="str">
        <f>IF(AND(WSFIQIH!$O$71&gt;=91.5,WSFIQIH!$O$71&lt;=100),"P","")</f>
        <v>P</v>
      </c>
      <c r="GD13" t="str">
        <f>IF(WSFIQIH!$O$80&lt;74.9,"P","")</f>
        <v/>
      </c>
      <c r="GE13" s="102" t="str">
        <f>IF(AND(WSFIQIH!$O$80&gt;=75,WSFIQIH!$O$80&lt;=83.24),"P","")</f>
        <v/>
      </c>
      <c r="GF13" s="102" t="str">
        <f>IF(AND(WSFIQIH!$O$80&gt;=83.25,WSFIQIH!$O$80&lt;=91.4),"P","")</f>
        <v>P</v>
      </c>
      <c r="GG13" s="102" t="str">
        <f>IF(AND(WSFIQIH!$O$80&gt;=91.5,WSFIQIH!$O$80&lt;=100),"P","")</f>
        <v/>
      </c>
      <c r="GH13" t="str">
        <f>IF(WSFIQIH!$O$88&lt;74.9,"P","")</f>
        <v/>
      </c>
      <c r="GI13" s="102" t="str">
        <f>IF(AND(WSFIQIH!$O$88&gt;=75,WSFIQIH!$O$88&lt;=83.24),"P","")</f>
        <v/>
      </c>
      <c r="GJ13" s="102" t="str">
        <f>IF(AND(WSFIQIH!$O$88&gt;=83.25,WSFIQIH!$O$88&lt;=91.4),"P","")</f>
        <v/>
      </c>
      <c r="GK13" s="102" t="str">
        <f>IF(AND(WSFIQIH!$O$88&gt;=91.5,WSFIQIH!$O$88&lt;=100),"P","")</f>
        <v/>
      </c>
      <c r="GL13" t="str">
        <f>IF(WSFIQIH!$O$96&lt;74.9,"P","")</f>
        <v/>
      </c>
      <c r="GM13" s="102" t="str">
        <f>IF(AND(WSFIQIH!$O$96&gt;=75,WSFIQIH!$O$96&lt;=83.24),"P","")</f>
        <v/>
      </c>
      <c r="GN13" s="102" t="str">
        <f>IF(AND(WSFIQIH!$O$96&gt;=83.25,WSFIQIH!$O$96&lt;=91.4),"P","")</f>
        <v/>
      </c>
      <c r="GO13" s="102" t="str">
        <f>IF(AND(WSFIQIH!$O$96&gt;=91.5,WSFIQIH!$O$96&lt;=100),"P","")</f>
        <v/>
      </c>
      <c r="GP13" t="str">
        <f>IF(WSFIQIH!$O$104&lt;74.9,"P","")</f>
        <v/>
      </c>
      <c r="GQ13" s="102" t="str">
        <f>IF(AND(WSFIQIH!$O$104&gt;=75,WSFIQIH!$O$104&lt;=83.24),"P","")</f>
        <v/>
      </c>
      <c r="GR13" s="102" t="str">
        <f>IF(AND(WSFIQIH!$O$104&gt;=83.25,WSFIQIH!$O$104&lt;=91.4),"P","")</f>
        <v/>
      </c>
      <c r="GS13" s="102" t="str">
        <f>IF(AND(WSFIQIH!$O$104&gt;=91.5,WSFIQIH!$O$104&lt;=100),"P","")</f>
        <v/>
      </c>
      <c r="GT13" t="str">
        <f>IF(WSFIQIH!$O$112&lt;74.9,"P","")</f>
        <v/>
      </c>
      <c r="GU13" s="102" t="str">
        <f>IF(AND(WSFIQIH!$O$112&gt;=75,WSFIQIH!$O$112&lt;=83.24),"P","")</f>
        <v/>
      </c>
      <c r="GV13" s="102" t="str">
        <f>IF(AND(WSFIQIH!$O$112&gt;=83.25,WSFIQIH!$O$112&lt;=91.4),"P","")</f>
        <v/>
      </c>
      <c r="GW13" s="102" t="str">
        <f>IF(AND(WSFIQIH!$O$112&gt;=91.5,WSFIQIH!$O$112&lt;=100),"P","")</f>
        <v/>
      </c>
      <c r="GX13" t="str">
        <f>IF(WSFIQIH!$O$120&lt;74.9,"P","")</f>
        <v/>
      </c>
      <c r="GY13" s="102" t="str">
        <f>IF(AND(WSFIQIH!$O$120&gt;=75,WSFIQIH!$O$120&lt;=83.24),"P","")</f>
        <v/>
      </c>
      <c r="GZ13" s="102" t="str">
        <f>IF(AND(WSFIQIH!$O$120&gt;=83.25,WSFIQIH!$O$120&lt;=91.4),"P","")</f>
        <v/>
      </c>
      <c r="HA13" s="102" t="str">
        <f>IF(AND(WSFIQIH!$O$120&gt;=91.5,WSFIQIH!$O$120&lt;=100),"P","")</f>
        <v/>
      </c>
      <c r="HB13" t="str">
        <f>IF(WSPKN!$O$6&lt;74.9,"P","")</f>
        <v/>
      </c>
      <c r="HC13" s="102" t="str">
        <f>IF(AND(WSPKN!$O$6&gt;=75,WSPKN!$O$6&lt;=83.24),"P","")</f>
        <v/>
      </c>
      <c r="HD13" s="102" t="str">
        <f>IF(AND(WSPKN!$O$6&gt;=83.25,WSPKN!$O$6&lt;=91.4),"P","")</f>
        <v/>
      </c>
      <c r="HE13" s="102" t="str">
        <f>IF(AND(WSPKN!$O$6&gt;=91.5,WSPKN!$O$6&lt;=100),"P","")</f>
        <v>P</v>
      </c>
      <c r="HF13" t="str">
        <f>IF(WSPKN!$O$32&lt;74.9,"P","")</f>
        <v/>
      </c>
      <c r="HG13" s="102" t="str">
        <f>IF(AND(WSPKN!$O$32&gt;=75,WSPKN!$O$32&lt;=83.24),"P","")</f>
        <v/>
      </c>
      <c r="HH13" s="102" t="str">
        <f>IF(AND(WSPKN!$O$32&gt;=83.25,WSPKN!$O$32&lt;=91.4),"P","")</f>
        <v/>
      </c>
      <c r="HI13" s="102" t="str">
        <f>IF(AND(WSPKN!$O$32&gt;=91.5,WSPKN!$O$32&lt;=100),"P","")</f>
        <v>P</v>
      </c>
      <c r="HJ13" t="str">
        <f>IF(WSPKN!$O$55&lt;74.9,"P","")</f>
        <v/>
      </c>
      <c r="HK13" s="102" t="str">
        <f>IF(AND(WSPKN!$O$55&gt;=75,WSPKN!$O$55&lt;=83.24),"P","")</f>
        <v/>
      </c>
      <c r="HL13" s="102" t="str">
        <f>IF(AND(WSPKN!$O$55&gt;=83.25,WSPKN!$O$55&lt;=91.4),"P","")</f>
        <v/>
      </c>
      <c r="HM13" s="102" t="str">
        <f>IF(AND(WSPKN!$O$55&gt;=91.5,WSPKN!$O$55&lt;=100),"P","")</f>
        <v>P</v>
      </c>
      <c r="HN13" t="str">
        <f>IF(WSPKN!$O$72&lt;74.9,"P","")</f>
        <v/>
      </c>
      <c r="HO13" s="102" t="str">
        <f>IF(AND(WSPKN!$O$72&gt;=75,WSPKN!$O$72&lt;=83.24),"P","")</f>
        <v/>
      </c>
      <c r="HP13" s="102" t="str">
        <f>IF(AND(WSPKN!$O$72&gt;=83.25,WSPKN!$O$72&lt;=91.4),"P","")</f>
        <v/>
      </c>
      <c r="HQ13" s="102" t="str">
        <f>IF(AND(WSPKN!$O$72&gt;=91.5,WSPKN!$O$72&lt;=100),"P","")</f>
        <v>P</v>
      </c>
      <c r="HR13" t="str">
        <f>IF(WSPKN!$O$86&lt;74.9,"P","")</f>
        <v/>
      </c>
      <c r="HS13" s="102" t="str">
        <f>IF(AND(WSPKN!$O$86&gt;=75,WSPKN!$O$86&lt;=83.24),"P","")</f>
        <v/>
      </c>
      <c r="HT13" s="102" t="str">
        <f>IF(AND(WSPKN!$O$86&gt;=83.25,WSPKN!$O$86&lt;=91.4),"P","")</f>
        <v/>
      </c>
      <c r="HU13" s="102" t="str">
        <f>IF(AND(WSPKN!$O$86&gt;=91.5,WSPKN!$O$86&lt;=100),"P","")</f>
        <v>P</v>
      </c>
      <c r="HV13" t="str">
        <f>IF(WSPKN!$O$108&lt;74.9,"P","")</f>
        <v/>
      </c>
      <c r="HW13" s="102" t="str">
        <f>IF(AND(WSPKN!$O$108&gt;=75,WSPKN!$O$108&lt;=83.24),"P","")</f>
        <v/>
      </c>
      <c r="HX13" s="102" t="str">
        <f>IF(AND(WSPKN!$O$108&gt;=83.25,WSPKN!$O$108&lt;=91.4),"P","")</f>
        <v/>
      </c>
      <c r="HY13" s="102" t="str">
        <f>IF(AND(WSPKN!$O$108&gt;=91.5,WSPKN!$O$108&lt;=100),"P","")</f>
        <v>P</v>
      </c>
      <c r="HZ13" t="str">
        <f>IF(WSPKN!$O$132&lt;74.9,"P","")</f>
        <v/>
      </c>
      <c r="IA13" s="102" t="str">
        <f>IF(AND(WSPKN!$O$132&gt;=75,WSPKN!$O$132&lt;=83.24),"P","")</f>
        <v/>
      </c>
      <c r="IB13" s="102" t="str">
        <f>IF(AND(WSPKN!$O$132&gt;=83.25,WSPKN!$O$132&lt;=91.4),"P","")</f>
        <v/>
      </c>
      <c r="IC13" s="102" t="str">
        <f>IF(AND(WSPKN!$O$132&gt;=91.5,WSPKN!$O$132&lt;=100),"P","")</f>
        <v>P</v>
      </c>
      <c r="ID13" t="str">
        <f>IF(WSPKN!$O$148&lt;74.9,"P","")</f>
        <v/>
      </c>
      <c r="IE13" s="102" t="str">
        <f>IF(AND(WSPKN!$O$148&gt;=75,WSPKN!$O$148&lt;=83.24),"P","")</f>
        <v/>
      </c>
      <c r="IF13" s="102" t="str">
        <f>IF(AND(WSPKN!$O$148&gt;=83.25,WSPKN!$O$148&lt;=91.4),"P","")</f>
        <v/>
      </c>
      <c r="IG13" s="102" t="str">
        <f>IF(AND(WSPKN!$O$148&gt;=91.5,WSPKN!$O$148&lt;=100),"P","")</f>
        <v>P</v>
      </c>
      <c r="IH13" t="str">
        <f>IF(WSPKN!$O$165&lt;74.9,"P","")</f>
        <v/>
      </c>
      <c r="II13" s="102" t="str">
        <f>IF(AND(WSPKN!$O$165&gt;=75,WSPKN!$O$165&lt;=83.24),"P","")</f>
        <v/>
      </c>
      <c r="IJ13" s="102" t="str">
        <f>IF(AND(WSPKN!$O$165&gt;=83.25,WSPKN!$O$165&lt;=91.4),"P","")</f>
        <v/>
      </c>
      <c r="IK13" s="102" t="str">
        <f>IF(AND(WSPKN!$O$165&gt;=91.5,WSPKN!$O$165&lt;=100),"P","")</f>
        <v/>
      </c>
      <c r="IL13" t="str">
        <f>IF(WSPKN!$O$173&lt;74.9,"P","")</f>
        <v/>
      </c>
      <c r="IM13" s="102" t="str">
        <f>IF(AND(WSPKN!$O$173&gt;=75,WSPKN!$O$173&lt;=83.24),"P","")</f>
        <v/>
      </c>
      <c r="IN13" s="102" t="str">
        <f>IF(AND(WSPKN!$O$173&gt;=83.25,WSPKN!$O$173&lt;=91.4),"P","")</f>
        <v/>
      </c>
      <c r="IO13" s="102" t="str">
        <f>IF(AND(WSPKN!$O$173&gt;=91.5,WSPKN!$O$173&lt;=100),"P","")</f>
        <v/>
      </c>
      <c r="IP13" t="str">
        <f>IF(WSPKN!$O$181&lt;74.9,"P","")</f>
        <v/>
      </c>
      <c r="IQ13" s="102" t="str">
        <f>IF(AND(WSPKN!$O$181&gt;=75,WSPKN!$O$181&lt;=83.24),"P","")</f>
        <v/>
      </c>
      <c r="IR13" s="102" t="str">
        <f>IF(AND(WSPKN!$O$181&gt;=83.25,WSPKN!$O$181&lt;=91.4),"P","")</f>
        <v/>
      </c>
      <c r="IS13" s="102" t="str">
        <f>IF(AND(WSPKN!$O$181&gt;=91.5,WSPKN!$O$181&lt;=100),"P","")</f>
        <v/>
      </c>
      <c r="IT13" t="str">
        <f>IF(WSPKN!$O$189&lt;74.9,"P","")</f>
        <v/>
      </c>
      <c r="IU13" s="102" t="str">
        <f>IF(AND(WSPKN!$O$189&gt;=75,WSPKN!$O$189&lt;=83.24),"P","")</f>
        <v/>
      </c>
      <c r="IV13" s="102" t="str">
        <f>IF(AND(WSPKN!$O$189&gt;=83.25,WSPKN!$O$189&lt;=91.4),"P","")</f>
        <v/>
      </c>
      <c r="IW13" s="102" t="str">
        <f>IF(AND(WSPKN!$O$189&gt;=91.5,WSPKN!$O$189&lt;=100),"P","")</f>
        <v/>
      </c>
      <c r="IX13" t="str">
        <f>IF(WSPKN!$O$197&lt;74.9,"P","")</f>
        <v/>
      </c>
      <c r="IY13" s="102" t="str">
        <f>IF(AND(WSPKN!$O$197&gt;=75,WSPKN!$O$197&lt;=83.24),"P","")</f>
        <v/>
      </c>
      <c r="IZ13" s="102" t="str">
        <f>IF(AND(WSPKN!$O$197&gt;=83.25,WSPKN!$O$197&lt;=91.4),"P","")</f>
        <v/>
      </c>
      <c r="JA13" s="102" t="str">
        <f>IF(AND(WSPKN!$O$197&gt;=91.5,WSPKN!$O$197&lt;=100),"P","")</f>
        <v/>
      </c>
      <c r="JB13" t="str">
        <f>IF(WSIND!$O$6&lt;74.9,"P","")</f>
        <v/>
      </c>
      <c r="JC13" s="102" t="str">
        <f>IF(AND(WSIND!$O$6&gt;=75,WSIND!$O$6&lt;=83.24),"P","")</f>
        <v/>
      </c>
      <c r="JD13" s="102" t="str">
        <f>IF(AND(WSIND!$O$6&gt;=83.25,WSIND!$O$6&lt;=91.4),"P","")</f>
        <v/>
      </c>
      <c r="JE13" s="102" t="str">
        <f>IF(AND(WSIND!$O$6&gt;=91.5,WSIND!$O$6&lt;=100),"P","")</f>
        <v>P</v>
      </c>
      <c r="JF13" t="str">
        <f>IF(WSIND!$O$65&lt;74.9,"P","")</f>
        <v/>
      </c>
      <c r="JG13" s="102" t="str">
        <f>IF(AND(WSIND!$O$65&gt;=75,WSIND!$O$65&lt;=83.24),"P","")</f>
        <v/>
      </c>
      <c r="JH13" s="102" t="str">
        <f>IF(AND(WSIND!$O$65&gt;=83.25,WSIND!$O$65&lt;=91.4),"P","")</f>
        <v/>
      </c>
      <c r="JI13" s="102" t="str">
        <f>IF(AND(WSIND!$O$65&gt;=91.5,WSIND!$O$65&lt;=100),"P","")</f>
        <v>P</v>
      </c>
      <c r="JJ13" t="str">
        <f>IF(WSIND!$O$113&lt;74.9,"P","")</f>
        <v/>
      </c>
      <c r="JK13" s="102" t="str">
        <f>IF(AND(WSIND!$O$113&gt;=75,WSIND!$O$113&lt;=83.24),"P","")</f>
        <v/>
      </c>
      <c r="JL13" s="102" t="str">
        <f>IF(AND(WSIND!$O$113&gt;=83.25,WSIND!$O$113&lt;=91.4),"P","")</f>
        <v/>
      </c>
      <c r="JM13" s="102" t="str">
        <f>IF(AND(WSIND!$O$113&gt;=91.5,WSIND!$O$113&lt;=100),"P","")</f>
        <v>P</v>
      </c>
      <c r="JN13" t="str">
        <f>IF(WSIND!$O$133&lt;74.9,"P","")</f>
        <v/>
      </c>
      <c r="JO13" s="102" t="str">
        <f>IF(AND(WSIND!$O$133&gt;=75,WSIND!$O$133&lt;=83.24),"P","")</f>
        <v/>
      </c>
      <c r="JP13" s="102" t="str">
        <f>IF(AND(WSIND!$O$133&gt;=83.25,WSIND!$O$133&lt;=91.4),"P","")</f>
        <v/>
      </c>
      <c r="JQ13" s="102" t="str">
        <f>IF(AND(WSIND!$O$133&gt;=91.5,WSIND!$O$133&lt;=100),"P","")</f>
        <v>P</v>
      </c>
      <c r="JR13" t="str">
        <f>IF(WSIND!$O$161&lt;74.9,"P","")</f>
        <v/>
      </c>
      <c r="JS13" s="102" t="str">
        <f>IF(AND(WSIND!$O$161&gt;=75,WSIND!$O$161&lt;=83.24),"P","")</f>
        <v/>
      </c>
      <c r="JT13" s="102" t="str">
        <f>IF(AND(WSIND!$O$161&gt;=83.25,WSIND!$O$161&lt;=91.4),"P","")</f>
        <v/>
      </c>
      <c r="JU13" s="102" t="str">
        <f>IF(AND(WSIND!$O$161&gt;=91.5,WSIND!$O$161&lt;=100),"P","")</f>
        <v>P</v>
      </c>
      <c r="JV13" t="str">
        <f>IF(WSIND!$O$192&lt;74.9,"P","")</f>
        <v/>
      </c>
      <c r="JW13" s="102" t="str">
        <f>IF(AND(WSIND!$O$192&gt;=75,WSIND!$O$192&lt;=83.24),"P","")</f>
        <v/>
      </c>
      <c r="JX13" s="102" t="str">
        <f>IF(AND(WSIND!$O$192&gt;=83.25,WSIND!$O$192&lt;=91.4),"P","")</f>
        <v/>
      </c>
      <c r="JY13" s="102" t="str">
        <f>IF(AND(WSIND!$O$192&gt;=91.5,WSIND!$O$192&lt;=100),"P","")</f>
        <v>P</v>
      </c>
      <c r="JZ13" t="str">
        <f>IF(WSIND!$O$228&lt;74.9,"P","")</f>
        <v/>
      </c>
      <c r="KA13" s="102" t="str">
        <f>IF(AND(WSIND!$O$228&gt;=75,WSIND!$O$228&lt;=83.24),"P","")</f>
        <v/>
      </c>
      <c r="KB13" s="102" t="str">
        <f>IF(AND(WSIND!$O$228&gt;=83.25,WSIND!$O$228&lt;=91.4),"P","")</f>
        <v/>
      </c>
      <c r="KC13" s="102" t="str">
        <f>IF(AND(WSIND!$O$228&gt;=91.5,WSIND!$O$228&lt;=100),"P","")</f>
        <v>P</v>
      </c>
      <c r="KD13" t="str">
        <f>IF(WSIND!$O$256&lt;74.9,"P","")</f>
        <v/>
      </c>
      <c r="KE13" s="102" t="str">
        <f>IF(AND(WSIND!$O$256&gt;=75,WSIND!$O$256&lt;=83.24),"P","")</f>
        <v/>
      </c>
      <c r="KF13" s="102" t="str">
        <f>IF(AND(WSIND!$O$256&gt;=83.25,WSIND!$O$256&lt;=91.4),"P","")</f>
        <v/>
      </c>
      <c r="KG13" s="102" t="str">
        <f>IF(AND(WSIND!$O$256&gt;=91.5,WSIND!$O$256&lt;=100),"P","")</f>
        <v>P</v>
      </c>
      <c r="KH13" t="str">
        <f>IF(WSIND!$O$277&lt;74.9,"P","")</f>
        <v/>
      </c>
      <c r="KI13" s="102" t="str">
        <f>IF(AND(WSIND!$O$277&gt;=75,WSIND!$O$277&lt;=83.24),"P","")</f>
        <v/>
      </c>
      <c r="KJ13" s="102" t="str">
        <f>IF(AND(WSIND!$O$277&gt;=83.25,WSIND!$O$277&lt;=91.4),"P","")</f>
        <v/>
      </c>
      <c r="KK13" s="102" t="str">
        <f>IF(AND(WSIND!$O$277&gt;=91.5,WSIND!$O$277&lt;=100),"P","")</f>
        <v>P</v>
      </c>
      <c r="KL13" t="str">
        <f>IF(WSIND!$O$305&lt;74.9,"P","")</f>
        <v/>
      </c>
      <c r="KM13" s="102" t="str">
        <f>IF(AND(WSIND!$O$305&gt;=75,WSIND!$O$305&lt;=83.24),"P","")</f>
        <v/>
      </c>
      <c r="KN13" s="102" t="str">
        <f>IF(AND(WSIND!$O$305&gt;=83.25,WSIND!$O$305&lt;=91.4),"P","")</f>
        <v/>
      </c>
      <c r="KO13" s="102" t="str">
        <f>IF(AND(WSIND!$O$305&gt;=91.5,WSIND!$O$305&lt;=100),"P","")</f>
        <v>P</v>
      </c>
      <c r="KP13" t="str">
        <f>IF(WSIND!$O$329&lt;74.9,"P","")</f>
        <v/>
      </c>
      <c r="KQ13" s="102" t="str">
        <f>IF(AND(WSIND!$O$329&gt;=75,WSIND!$O$329&lt;=83.24),"P","")</f>
        <v/>
      </c>
      <c r="KR13" s="102" t="str">
        <f>IF(AND(WSIND!$O$329&gt;=83.25,WSIND!$O$329&lt;=91.4),"P","")</f>
        <v/>
      </c>
      <c r="KS13" s="102" t="str">
        <f>IF(AND(WSIND!$O$329&gt;=91.5,WSIND!$O$329&lt;=100),"P","")</f>
        <v/>
      </c>
      <c r="KT13" t="str">
        <f>IF(WSIND!$O$337&lt;74.9,"P","")</f>
        <v/>
      </c>
      <c r="KU13" s="102" t="str">
        <f>IF(AND(WSIND!$O$337&gt;=75,WSIND!$O$337&lt;=83.24),"P","")</f>
        <v/>
      </c>
      <c r="KV13" s="102" t="str">
        <f>IF(AND(WSIND!$O$337&gt;=83.25,WSIND!$O$337&lt;=91.4),"P","")</f>
        <v/>
      </c>
      <c r="KW13" s="102" t="str">
        <f>IF(AND(WSIND!$O$337&gt;=91.5,WSIND!$O$337&lt;=100),"P","")</f>
        <v/>
      </c>
      <c r="KX13" t="str">
        <f>IF(WSIND!$O$345&lt;74.9,"P","")</f>
        <v/>
      </c>
      <c r="KY13" s="102" t="str">
        <f>IF(AND(WSIND!$O$345&gt;=75,WSIND!$O$345&lt;=83.24),"P","")</f>
        <v/>
      </c>
      <c r="KZ13" s="102" t="str">
        <f>IF(AND(WSIND!$O$345&gt;=83.25,WSIND!$O$345&lt;=91.4),"P","")</f>
        <v/>
      </c>
      <c r="LA13" s="102" t="str">
        <f>IF(AND(WSIND!$O$345&gt;=91.5,WSIND!$O$345&lt;=100),"P","")</f>
        <v/>
      </c>
      <c r="LB13" t="str">
        <f>IF(WSARAB!$O$6&lt;74.9,"P","")</f>
        <v/>
      </c>
      <c r="LC13" s="102" t="str">
        <f>IF(AND(WSARAB!$O$6&gt;=75,WSARAB!$O$6&lt;=83.24),"P","")</f>
        <v/>
      </c>
      <c r="LD13" s="102" t="str">
        <f>IF(AND(WSARAB!$O$6&gt;=83.25,WSARAB!$O$6&lt;=91.4),"P","")</f>
        <v/>
      </c>
      <c r="LE13" s="102" t="str">
        <f>IF(AND(WSARAB!$O$6&gt;=91.5,WSARAB!$O$6&lt;=100),"P","")</f>
        <v/>
      </c>
      <c r="LF13" t="str">
        <f>IF(WSARAB!$O$17&lt;74.9,"P","")</f>
        <v/>
      </c>
      <c r="LG13" s="102" t="str">
        <f>IF(AND(WSARAB!$O$17&gt;=75,WSARAB!$O$17&lt;=83.24),"P","")</f>
        <v/>
      </c>
      <c r="LH13" s="102" t="str">
        <f>IF(AND(WSARAB!$O$17&gt;=83.25,WSARAB!$O$17&lt;=91.4),"P","")</f>
        <v/>
      </c>
      <c r="LI13" s="102" t="str">
        <f>IF(AND(WSARAB!$O$17&gt;=91.5,WSARAB!$O$17&lt;=100),"P","")</f>
        <v/>
      </c>
      <c r="LJ13" t="str">
        <f>IF(WSARAB!$O$29&lt;74.9,"P","")</f>
        <v/>
      </c>
      <c r="LK13" s="102" t="str">
        <f>IF(AND(WSARAB!$O$29&gt;=75,WSARAB!$O$29&lt;=83.24),"P","")</f>
        <v/>
      </c>
      <c r="LL13" s="102" t="str">
        <f>IF(AND(WSARAB!$O$29&gt;=83.25,WSARAB!$O$29&lt;=91.4),"P","")</f>
        <v/>
      </c>
      <c r="LM13" s="102" t="str">
        <f>IF(AND(WSARAB!$O$29&gt;=91.5,WSARAB!$O$29&lt;=100),"P","")</f>
        <v/>
      </c>
      <c r="LN13" t="str">
        <f>IF(WSARAB!$O$37&lt;74.9,"P","")</f>
        <v/>
      </c>
      <c r="LO13" s="102" t="str">
        <f>IF(AND(WSARAB!$O$37&gt;=75,WSARAB!$O$37&lt;=83.24),"P","")</f>
        <v/>
      </c>
      <c r="LP13" s="102" t="str">
        <f>IF(AND(WSARAB!$O$37&gt;=83.25,WSARAB!$O$37&lt;=91.4),"P","")</f>
        <v/>
      </c>
      <c r="LQ13" s="102" t="str">
        <f>IF(AND(WSARAB!$O$37&gt;=91.5,WSARAB!$O$37&lt;=100),"P","")</f>
        <v/>
      </c>
      <c r="LR13" t="str">
        <f>IF(WSARAB!$O$45&lt;74.9,"P","")</f>
        <v/>
      </c>
      <c r="LS13" s="102" t="str">
        <f>IF(AND(WSARAB!$O$45&gt;=75,WSARAB!$O$45&lt;=83.24),"P","")</f>
        <v/>
      </c>
      <c r="LT13" s="102" t="str">
        <f>IF(AND(WSARAB!$O$45&gt;=83.25,WSARAB!$O$45&lt;=91.4),"P","")</f>
        <v/>
      </c>
      <c r="LU13" s="102" t="str">
        <f>IF(AND(WSARAB!$O$45&gt;=91.5,WSARAB!$O$45&lt;=100),"P","")</f>
        <v/>
      </c>
      <c r="LV13" t="str">
        <f>IF(WSARAB!$O$53&lt;74.9,"P","")</f>
        <v/>
      </c>
      <c r="LW13" s="102" t="str">
        <f>IF(AND(WSARAB!$O$53&gt;=75,WSARAB!$O$53&lt;=83.24),"P","")</f>
        <v/>
      </c>
      <c r="LX13" s="102" t="str">
        <f>IF(AND(WSARAB!$O$53&gt;=83.25,WSARAB!$O$53&lt;=91.4),"P","")</f>
        <v/>
      </c>
      <c r="LY13" s="102" t="str">
        <f>IF(AND(WSARAB!$O$53&gt;=91.5,WSARAB!$O$53&lt;=100),"P","")</f>
        <v/>
      </c>
      <c r="LZ13" t="str">
        <f>IF(WSARAB!$O$65&lt;74.9,"P","")</f>
        <v/>
      </c>
      <c r="MA13" s="102" t="str">
        <f>IF(AND(WSARAB!$O$65&gt;=75,WSARAB!$O$65&lt;=83.24),"P","")</f>
        <v/>
      </c>
      <c r="MB13" s="102" t="str">
        <f>IF(AND(WSARAB!$O$65&gt;=83.25,WSARAB!$O$65&lt;=91.4),"P","")</f>
        <v/>
      </c>
      <c r="MC13" s="102" t="str">
        <f>IF(AND(WSARAB!$O$65&gt;=91.5,WSARAB!$O$65&lt;=100),"P","")</f>
        <v/>
      </c>
      <c r="MD13" t="str">
        <f>IF(WSARAB!$O$73&lt;74.9,"P","")</f>
        <v/>
      </c>
      <c r="ME13" s="102" t="str">
        <f>IF(AND(WSARAB!$O$73&gt;=75,WSARAB!$O$73&lt;=83.24),"P","")</f>
        <v/>
      </c>
      <c r="MF13" s="102" t="str">
        <f>IF(AND(WSARAB!$O$73&gt;=83.25,WSARAB!$O$73&lt;=91.4),"P","")</f>
        <v/>
      </c>
      <c r="MG13" s="102" t="str">
        <f>IF(AND(WSARAB!$O$73&gt;=91.5,WSARAB!$O$73&lt;=100),"P","")</f>
        <v/>
      </c>
      <c r="MH13" t="str">
        <f>IF(WSARAB!$O$81&lt;74.9,"P","")</f>
        <v/>
      </c>
      <c r="MI13" s="102" t="str">
        <f>IF(AND(WSARAB!$O$81&gt;=75,WSARAB!$O$81&lt;=83.24),"P","")</f>
        <v/>
      </c>
      <c r="MJ13" s="102" t="str">
        <f>IF(AND(WSARAB!$O$81&gt;=83.25,WSARAB!$O$81&lt;=91.4),"P","")</f>
        <v/>
      </c>
      <c r="MK13" s="102" t="str">
        <f>IF(AND(WSARAB!$O$81&gt;=91.5,WSARAB!$O$81&lt;=100),"P","")</f>
        <v/>
      </c>
      <c r="ML13" t="str">
        <f>IF(WSARAB!$O$89&lt;74.9,"P","")</f>
        <v/>
      </c>
      <c r="MM13" s="102" t="str">
        <f>IF(AND(WSARAB!$O$89&gt;=75,WSARAB!$O$89&lt;=83.24),"P","")</f>
        <v/>
      </c>
      <c r="MN13" s="102" t="str">
        <f>IF(AND(WSARAB!$O$89&gt;=83.25,WSARAB!$O$89&lt;=91.4),"P","")</f>
        <v/>
      </c>
      <c r="MO13" s="102" t="str">
        <f>IF(AND(WSARAB!$O$89&gt;=91.5,WSARAB!$O$89&lt;=100),"P","")</f>
        <v/>
      </c>
      <c r="MP13" t="str">
        <f>IF(WSARAB!$O$97&lt;74.9,"P","")</f>
        <v/>
      </c>
      <c r="MQ13" s="102" t="str">
        <f>IF(AND(WSARAB!$O$97&gt;=75,WSARAB!$O$97&lt;=83.24),"P","")</f>
        <v/>
      </c>
      <c r="MR13" s="102" t="str">
        <f>IF(AND(WSARAB!$O$97&gt;=83.25,WSARAB!$O$97&lt;=91.4),"P","")</f>
        <v/>
      </c>
      <c r="MS13" s="102" t="str">
        <f>IF(AND(WSARAB!$O$97&gt;=91.5,WSARAB!$O$97&lt;=100),"P","")</f>
        <v/>
      </c>
      <c r="MT13" t="str">
        <f>IF(WSARAB!$O$105&lt;74.9,"P","")</f>
        <v/>
      </c>
      <c r="MU13" s="102" t="str">
        <f>IF(AND(WSARAB!$O$105&gt;=75,WSARAB!$O$105&lt;=83.24),"P","")</f>
        <v/>
      </c>
      <c r="MV13" s="102" t="str">
        <f>IF(AND(WSARAB!$O$105&gt;=83.25,WSARAB!$O$105&lt;=91.4),"P","")</f>
        <v/>
      </c>
      <c r="MW13" s="102" t="str">
        <f>IF(AND(WSARAB!$O$105&gt;=91.5,WSARAB!$O$105&lt;=100),"P","")</f>
        <v/>
      </c>
      <c r="MX13" t="str">
        <f>IF(WSARAB!$O$113&lt;74.9,"P","")</f>
        <v/>
      </c>
      <c r="MY13" s="102" t="str">
        <f>IF(AND(WSARAB!$O$113&gt;=75,WSARAB!$O$113&lt;=83.24),"P","")</f>
        <v/>
      </c>
      <c r="MZ13" s="102" t="str">
        <f>IF(AND(WSARAB!$O$113&gt;=83.25,WSARAB!$O$113&lt;=91.4),"P","")</f>
        <v/>
      </c>
      <c r="NA13" s="102" t="str">
        <f>IF(AND(WSARAB!$O$113&gt;=91.5,WSARAB!$O$113&lt;=100),"P","")</f>
        <v/>
      </c>
      <c r="NB13" t="str">
        <f>IF(WSMTK!$O$6&lt;74.9,"P","")</f>
        <v/>
      </c>
      <c r="NC13" s="102" t="str">
        <f>IF(AND(WSMTK!$O$6&gt;=75,WSMTK!$O$6&lt;=83.24),"P","")</f>
        <v/>
      </c>
      <c r="ND13" s="102" t="str">
        <f>IF(AND(WSMTK!$O$6&gt;=83.25,WSMTK!$O$6&lt;=91.4),"P","")</f>
        <v/>
      </c>
      <c r="NE13" s="102" t="str">
        <f>IF(AND(WSMTK!$O$6&gt;=91.5,WSMTK!$O$6&lt;=100),"P","")</f>
        <v>P</v>
      </c>
      <c r="NF13" t="str">
        <f>IF(WSMTK!$O$22&lt;74.9,"P","")</f>
        <v/>
      </c>
      <c r="NG13" s="102" t="str">
        <f>IF(AND(WSMTK!$O$22&gt;=75,WSMTK!$O$22&lt;=83.24),"P","")</f>
        <v/>
      </c>
      <c r="NH13" s="102" t="str">
        <f>IF(AND(WSMTK!$O$22&gt;=83.25,WSMTK!$O$22&lt;=91.4),"P","")</f>
        <v/>
      </c>
      <c r="NI13" s="102" t="str">
        <f>IF(AND(WSMTK!$O$22&gt;=91.5,WSMTK!$O$22&lt;=100),"P","")</f>
        <v>P</v>
      </c>
      <c r="NJ13" t="str">
        <f>IF(WSMTK!$O$35&lt;74.9,"P","")</f>
        <v/>
      </c>
      <c r="NK13" s="102" t="str">
        <f>IF(AND(WSMTK!$O$35&gt;=75,WSMTK!$O$35&lt;=83.24),"P","")</f>
        <v/>
      </c>
      <c r="NL13" s="102" t="str">
        <f>IF(AND(WSMTK!$O$35&gt;=83.25,WSMTK!$O$35&lt;=91.4),"P","")</f>
        <v/>
      </c>
      <c r="NM13" s="102" t="str">
        <f>IF(AND(WSMTK!$O$35&gt;=91.5,WSMTK!$O$35&lt;=100),"P","")</f>
        <v>P</v>
      </c>
      <c r="NN13" t="str">
        <f>IF(WSMTK!$O$69&lt;74.9,"P","")</f>
        <v/>
      </c>
      <c r="NO13" s="102" t="str">
        <f>IF(AND(WSMTK!$O$69&gt;=75,WSMTK!$O$69&lt;=83.24),"P","")</f>
        <v/>
      </c>
      <c r="NP13" s="102" t="str">
        <f>IF(AND(WSMTK!$O$69&gt;=83.25,WSMTK!$O$69&lt;=91.4),"P","")</f>
        <v/>
      </c>
      <c r="NQ13" s="102" t="str">
        <f>IF(AND(WSMTK!$O$69&gt;=91.5,WSMTK!$O$69&lt;=100),"P","")</f>
        <v>P</v>
      </c>
      <c r="NR13" t="str">
        <f>IF(WSMTK!$O$87&lt;74.9,"P","")</f>
        <v/>
      </c>
      <c r="NS13" s="102" t="str">
        <f>IF(AND(WSMTK!$O$87&gt;=75,WSMTK!$O$87&lt;=83.24),"P","")</f>
        <v/>
      </c>
      <c r="NT13" s="102" t="str">
        <f>IF(AND(WSMTK!$O$87&gt;=83.25,WSMTK!$O$87&lt;=91.4),"P","")</f>
        <v/>
      </c>
      <c r="NU13" s="102" t="str">
        <f>IF(AND(WSMTK!$O$87&gt;=91.5,WSMTK!$O$87&lt;=100),"P","")</f>
        <v>P</v>
      </c>
      <c r="NV13" t="str">
        <f>IF(WSMTK!$O$99&lt;74.9,"P","")</f>
        <v/>
      </c>
      <c r="NW13" s="102" t="str">
        <f>IF(AND(WSMTK!$O$99&gt;=75,WSMTK!$O$99&lt;=83.24),"P","")</f>
        <v/>
      </c>
      <c r="NX13" s="102" t="str">
        <f>IF(AND(WSMTK!$O$99&gt;=83.25,WSMTK!$O$99&lt;=91.4),"P","")</f>
        <v/>
      </c>
      <c r="NY13" s="102" t="str">
        <f>IF(AND(WSMTK!$O$99&gt;=91.5,WSMTK!$O$99&lt;=100),"P","")</f>
        <v>P</v>
      </c>
      <c r="NZ13" t="str">
        <f>IF(WSMTK!$O$113&lt;74.9,"P","")</f>
        <v/>
      </c>
      <c r="OA13" s="102" t="str">
        <f>IF(AND(WSMTK!$O$113&gt;=75,WSMTK!$O$113&lt;=83.24),"P","")</f>
        <v/>
      </c>
      <c r="OB13" s="102" t="str">
        <f>IF(AND(WSMTK!$O$113&gt;=83.25,WSMTK!$O$113&lt;=91.4),"P","")</f>
        <v/>
      </c>
      <c r="OC13" s="102" t="str">
        <f>IF(AND(WSMTK!$O$113&gt;=91.5,WSMTK!$O$113&lt;=100),"P","")</f>
        <v>P</v>
      </c>
      <c r="OD13" t="str">
        <f>IF(WSMTK!$O$145&lt;74.9,"P","")</f>
        <v/>
      </c>
      <c r="OE13" s="102" t="str">
        <f>IF(AND(WSMTK!$O$145&gt;=75,WSMTK!$O$145&lt;=83.24),"P","")</f>
        <v/>
      </c>
      <c r="OF13" s="102" t="str">
        <f>IF(AND(WSMTK!$O$145&gt;=83.25,WSMTK!$O$145&lt;=91.4),"P","")</f>
        <v/>
      </c>
      <c r="OG13" s="102" t="str">
        <f>IF(AND(WSMTK!$O$145&gt;=91.5,WSMTK!$O$145&lt;=100),"P","")</f>
        <v>P</v>
      </c>
      <c r="OH13" t="str">
        <f>IF(WSMTK!$O$168&lt;74.9,"P","")</f>
        <v/>
      </c>
      <c r="OI13" s="102" t="str">
        <f>IF(AND(WSMTK!$O$168&gt;=75,WSMTK!$O$168&lt;=83.24),"P","")</f>
        <v/>
      </c>
      <c r="OJ13" s="102" t="str">
        <f>IF(AND(WSMTK!$O$168&gt;=83.25,WSMTK!$O$168&lt;=91.4),"P","")</f>
        <v/>
      </c>
      <c r="OK13" s="102" t="str">
        <f>IF(AND(WSMTK!$O$168&gt;=91.5,WSMTK!$O$168&lt;=100),"P","")</f>
        <v/>
      </c>
      <c r="OL13" t="str">
        <f>IF(WSMTK!$O$176&lt;74.9,"P","")</f>
        <v/>
      </c>
      <c r="OM13" s="102" t="str">
        <f>IF(AND(WSMTK!$O$176&gt;=75,WSMTK!$O$176&lt;=83.24),"P","")</f>
        <v/>
      </c>
      <c r="ON13" s="102" t="str">
        <f>IF(AND(WSMTK!$O$176&gt;=83.25,WSMTK!$O$176&lt;=91.4),"P","")</f>
        <v/>
      </c>
      <c r="OO13" s="102" t="str">
        <f>IF(AND(WSMTK!$O$176&gt;=91.5,WSMTK!$O$176&lt;=100),"P","")</f>
        <v/>
      </c>
      <c r="OP13" t="str">
        <f>IF(WSMTK!$O$184&lt;74.9,"P","")</f>
        <v/>
      </c>
      <c r="OQ13" s="102" t="str">
        <f>IF(AND(WSMTK!$O$184&gt;=75,WSMTK!$O$184&lt;=83.24),"P","")</f>
        <v/>
      </c>
      <c r="OR13" s="102" t="str">
        <f>IF(AND(WSMTK!$O$184&gt;=83.25,WSMTK!$O$184&lt;=91.4),"P","")</f>
        <v/>
      </c>
      <c r="OS13" s="102" t="str">
        <f>IF(AND(WSMTK!$O$184&gt;=91.5,WSMTK!$O$184&lt;=100),"P","")</f>
        <v/>
      </c>
      <c r="OT13" t="str">
        <f>IF(WSMTK!$O$192&lt;74.9,"P","")</f>
        <v/>
      </c>
      <c r="OU13" s="102" t="str">
        <f>IF(AND(WSMTK!$O$192&gt;=75,WSMTK!$O$192&lt;=83.24),"P","")</f>
        <v/>
      </c>
      <c r="OV13" s="102" t="str">
        <f>IF(AND(WSMTK!$O$192&gt;=83.25,WSMTK!$O$192&lt;=91.4),"P","")</f>
        <v/>
      </c>
      <c r="OW13" s="102" t="str">
        <f>IF(AND(WSMTK!$O$192&gt;=91.5,WSMTK!$O$192&lt;=100),"P","")</f>
        <v/>
      </c>
      <c r="OX13" t="str">
        <f>IF(WSMTK!$O$200&lt;74.9,"P","")</f>
        <v/>
      </c>
      <c r="OY13" s="102" t="str">
        <f>IF(AND(WSMTK!$O$200&gt;=75,WSMTK!$O$200&lt;=83.24),"P","")</f>
        <v/>
      </c>
      <c r="OZ13" s="102" t="str">
        <f>IF(AND(WSMTK!$O$200&gt;=83.25,WSMTK!$O$200&lt;=91.4),"P","")</f>
        <v/>
      </c>
      <c r="PA13" s="102" t="str">
        <f>IF(AND(WSMTK!$O$200&gt;=91.5,WSMTK!$O$200&lt;=100),"P","")</f>
        <v/>
      </c>
      <c r="PB13" t="str">
        <f>IF(WSIPA!$O$6&lt;74.9,"P","")</f>
        <v/>
      </c>
      <c r="PC13" s="102" t="str">
        <f>IF(AND(WSIPA!$O$6&gt;=75,WSIPA!$O$6&lt;=83.24),"P","")</f>
        <v/>
      </c>
      <c r="PD13" s="102" t="str">
        <f>IF(AND(WSIPA!$O$6&gt;=83.25,WSIPA!$O$6&lt;=91.4),"P","")</f>
        <v/>
      </c>
      <c r="PE13" s="102" t="str">
        <f>IF(AND(WSIPA!$O$6&gt;=91.5,WSIPA!$O$6&lt;=100),"P","")</f>
        <v/>
      </c>
      <c r="PF13" t="str">
        <f>IF(WSIPA!$O$14&lt;74.9,"P","")</f>
        <v/>
      </c>
      <c r="PG13" s="102" t="str">
        <f>IF(AND(WSIPA!$O$14&gt;=75,WSIPA!$O$14&lt;=83.24),"P","")</f>
        <v/>
      </c>
      <c r="PH13" s="102" t="str">
        <f>IF(AND(WSIPA!$O$14&gt;=83.25,WSIPA!$O$14&lt;=91.4),"P","")</f>
        <v/>
      </c>
      <c r="PI13" s="102" t="str">
        <f>IF(AND(WSIPA!$O$14&gt;=91.5,WSIPA!$O$14&lt;=100),"P","")</f>
        <v/>
      </c>
      <c r="PJ13" t="str">
        <f>IF(WSIPA!$O$22&lt;74.9,"P","")</f>
        <v/>
      </c>
      <c r="PK13" s="102" t="str">
        <f>IF(AND(WSIPA!$O$22&gt;=75,WSIPA!$O$22&lt;=83.24),"P","")</f>
        <v/>
      </c>
      <c r="PL13" s="102" t="str">
        <f>IF(AND(WSIPA!$O$22&gt;=83.25,WSIPA!$O$22&lt;=91.4),"P","")</f>
        <v/>
      </c>
      <c r="PM13" s="102" t="str">
        <f>IF(AND(WSIPA!$O$22&gt;=91.5,WSIPA!$O$22&lt;=100),"P","")</f>
        <v/>
      </c>
      <c r="PN13" t="str">
        <f>IF(WSIPA!$O$30&lt;74.9,"P","")</f>
        <v/>
      </c>
      <c r="PO13" s="102" t="str">
        <f>IF(AND(WSIPA!$O$30&gt;=75,WSIPA!$O$30&lt;=83.24),"P","")</f>
        <v/>
      </c>
      <c r="PP13" s="102" t="str">
        <f>IF(AND(WSIPA!$O$30&gt;=83.25,WSIPA!$O$30&lt;=91.4),"P","")</f>
        <v/>
      </c>
      <c r="PQ13" s="102" t="str">
        <f>IF(AND(WSIPA!$O$30&gt;=91.5,WSIPA!$O$30&lt;=100),"P","")</f>
        <v/>
      </c>
      <c r="PR13" t="str">
        <f>IF(WSIPA!$O$38&lt;74.9,"P","")</f>
        <v/>
      </c>
      <c r="PS13" s="102" t="str">
        <f>IF(AND(WSIPA!$O$38&gt;=75,WSIPA!$O$38&lt;=83.24),"P","")</f>
        <v/>
      </c>
      <c r="PT13" s="102" t="str">
        <f>IF(AND(WSIPA!$O$38&gt;=83.25,WSIPA!$O$38&lt;=91.4),"P","")</f>
        <v/>
      </c>
      <c r="PU13" s="102" t="str">
        <f>IF(AND(WSIPA!$O$38&gt;=91.5,WSIPA!$O$38&lt;=100),"P","")</f>
        <v/>
      </c>
      <c r="PV13" t="str">
        <f>IF(WSIPA!$O$46&lt;74.9,"P","")</f>
        <v/>
      </c>
      <c r="PW13" s="102" t="str">
        <f>IF(AND(WSIPA!$O$46&gt;=75,WSIPA!$O$46&lt;=83.24),"P","")</f>
        <v/>
      </c>
      <c r="PX13" s="102" t="str">
        <f>IF(AND(WSIPA!$O$46&gt;=83.25,WSIPA!$O$46&lt;=91.4),"P","")</f>
        <v/>
      </c>
      <c r="PY13" s="102" t="str">
        <f>IF(AND(WSIPA!$O$46&gt;=91.5,WSIPA!$O$46&lt;=100),"P","")</f>
        <v/>
      </c>
      <c r="PZ13" t="str">
        <f>IF(WSIPA!$O$54&lt;74.9,"P","")</f>
        <v/>
      </c>
      <c r="QA13" s="102" t="str">
        <f>IF(AND(WSIPA!$O$54&gt;=75,WSIPA!$O$54&lt;=83.24),"P","")</f>
        <v/>
      </c>
      <c r="QB13" s="102" t="str">
        <f>IF(AND(WSIPA!$O$54&gt;=83.25,WSIPA!$O$54&lt;=91.4),"P","")</f>
        <v/>
      </c>
      <c r="QC13" s="102" t="str">
        <f>IF(AND(WSIPA!$O$54&gt;=91.5,WSIPA!$O$54&lt;=100),"P","")</f>
        <v/>
      </c>
      <c r="QD13" t="str">
        <f>IF(WSIPA!$O$62&lt;74.9,"P","")</f>
        <v/>
      </c>
      <c r="QE13" s="102" t="str">
        <f>IF(AND(WSIPA!$O$62&gt;=75,WSIPA!$O$62&lt;=83.24),"P","")</f>
        <v/>
      </c>
      <c r="QF13" s="102" t="str">
        <f>IF(AND(WSIPA!$O$62&gt;=83.25,WSIPA!$O$62&lt;=91.4),"P","")</f>
        <v/>
      </c>
      <c r="QG13" s="102" t="str">
        <f>IF(AND(WSIPA!$O$62&gt;=91.5,WSIPA!$O$62&lt;=100),"P","")</f>
        <v/>
      </c>
      <c r="QH13" t="str">
        <f>IF(WSIPA!$O$70&lt;74.9,"P","")</f>
        <v/>
      </c>
      <c r="QI13" s="102" t="str">
        <f>IF(AND(WSIPA!$O$70&gt;=75,WSIPA!$O$70&lt;=83.24),"P","")</f>
        <v/>
      </c>
      <c r="QJ13" s="102" t="str">
        <f>IF(AND(WSIPA!$O$70&gt;=83.25,WSIPA!$O$70&lt;=91.4),"P","")</f>
        <v/>
      </c>
      <c r="QK13" s="102" t="str">
        <f>IF(AND(WSIPA!$O$70&gt;=91.5,WSIPA!$O$70&lt;=100),"P","")</f>
        <v/>
      </c>
      <c r="QL13" t="str">
        <f>IF(WSIPA!$O$78&lt;74.9,"P","")</f>
        <v/>
      </c>
      <c r="QM13" s="102" t="str">
        <f>IF(AND(WSIPA!$O$78&gt;=75,WSIPA!$O$78&lt;=83.24),"P","")</f>
        <v/>
      </c>
      <c r="QN13" s="102" t="str">
        <f>IF(AND(WSIPA!$O$78&gt;=83.25,WSIPA!$O$78&lt;=91.4),"P","")</f>
        <v/>
      </c>
      <c r="QO13" s="102" t="str">
        <f>IF(AND(WSIPA!$O$78&gt;=91.5,WSIPA!$O$78&lt;=100),"P","")</f>
        <v/>
      </c>
      <c r="QP13" t="str">
        <f>IF(WSIPA!$O$86&lt;74.9,"P","")</f>
        <v/>
      </c>
      <c r="QQ13" s="102" t="str">
        <f>IF(AND(WSIPA!$O$86&gt;=75,WSIPA!$O$86&lt;=83.24),"P","")</f>
        <v/>
      </c>
      <c r="QR13" s="102" t="str">
        <f>IF(AND(WSIPA!$O$86&gt;=83.25,WSIPA!$O$86&lt;=91.4),"P","")</f>
        <v/>
      </c>
      <c r="QS13" s="102" t="str">
        <f>IF(AND(WSIPA!$O$86&gt;=91.5,WSIPA!$O$86&lt;=100),"P","")</f>
        <v/>
      </c>
      <c r="QT13" t="str">
        <f>IF(WSIPA!$O$94&lt;74.9,"P","")</f>
        <v/>
      </c>
      <c r="QU13" s="102" t="str">
        <f>IF(AND(WSIPA!$O$94&gt;=75,WSIPA!$O$94&lt;=83.24),"P","")</f>
        <v/>
      </c>
      <c r="QV13" s="102" t="str">
        <f>IF(AND(WSIPA!$O$94&gt;=83.25,WSIPA!$O$94&lt;=91.4),"P","")</f>
        <v/>
      </c>
      <c r="QW13" s="102" t="str">
        <f>IF(AND(WSIPA!$O$94&gt;=91.5,WSIPA!$O$94&lt;=100),"P","")</f>
        <v/>
      </c>
      <c r="QX13" t="str">
        <f>IF(WSIPA!$O$102&lt;74.9,"P","")</f>
        <v/>
      </c>
      <c r="QY13" s="102" t="str">
        <f>IF(AND(WSIPA!$O$102&gt;=75,WSIPA!$O$102&lt;=83.24),"P","")</f>
        <v/>
      </c>
      <c r="QZ13" s="102" t="str">
        <f>IF(AND(WSIPA!$O$102&gt;=83.25,WSIPA!$O$102&lt;=91.4),"P","")</f>
        <v/>
      </c>
      <c r="RA13" s="102" t="str">
        <f>IF(AND(WSIPA!$O$102&gt;=91.5,WSIPA!$O$102&lt;=100),"P","")</f>
        <v/>
      </c>
      <c r="RB13" t="str">
        <f>IF(WSIPS!$O$6&lt;74.9,"P","")</f>
        <v/>
      </c>
      <c r="RC13" s="102" t="str">
        <f>IF(AND(WSIPS!$O$6&gt;=75,WSIPS!$O$6&lt;=83.24),"P","")</f>
        <v/>
      </c>
      <c r="RD13" s="102" t="str">
        <f>IF(AND(WSIPS!$O$6&gt;=83.25,WSIPS!$O$6&lt;=91.4),"P","")</f>
        <v/>
      </c>
      <c r="RE13" s="102" t="str">
        <f>IF(AND(WSIPS!$O$6&gt;=91.5,WSIPS!$O$6&lt;=100),"P","")</f>
        <v/>
      </c>
      <c r="RF13" t="str">
        <f>IF(WSIPS!$O$14&lt;74.9,"P","")</f>
        <v/>
      </c>
      <c r="RG13" s="102" t="str">
        <f>IF(AND(WSIPS!$O$14&gt;=75,WSIPS!$O$14&lt;=83.24),"P","")</f>
        <v/>
      </c>
      <c r="RH13" s="102" t="str">
        <f>IF(AND(WSIPS!$O$14&gt;=83.25,WSIPS!$O$14&lt;=91.4),"P","")</f>
        <v/>
      </c>
      <c r="RI13" s="102" t="str">
        <f>IF(AND(WSIPS!$O$14&gt;=91.5,WSIPS!$O$14&lt;=100),"P","")</f>
        <v/>
      </c>
      <c r="RJ13" t="str">
        <f>IF(WSIPS!$O$22&lt;74.9,"P","")</f>
        <v/>
      </c>
      <c r="RK13" s="102" t="str">
        <f>IF(AND(WSIPS!$O$22&gt;=75,WSIPS!$O$22&lt;=83.24),"P","")</f>
        <v/>
      </c>
      <c r="RL13" s="102" t="str">
        <f>IF(AND(WSIPS!$O$22&gt;=83.25,WSIPS!$O$22&lt;=91.4),"P","")</f>
        <v/>
      </c>
      <c r="RM13" s="102" t="str">
        <f>IF(AND(WSIPS!$O$22&gt;=91.5,WSIPS!$O$22&lt;=100),"P","")</f>
        <v/>
      </c>
      <c r="RN13" t="str">
        <f>IF(WSIPS!$O$30&lt;74.9,"P","")</f>
        <v/>
      </c>
      <c r="RO13" s="102" t="str">
        <f>IF(AND(WSIPS!$O$30&gt;=75,WSIPS!$O$30&lt;=83.24),"P","")</f>
        <v/>
      </c>
      <c r="RP13" s="102" t="str">
        <f>IF(AND(WSIPS!$O$30&gt;=83.25,WSIPS!$O$30&lt;=91.4),"P","")</f>
        <v/>
      </c>
      <c r="RQ13" s="102" t="str">
        <f>IF(AND(WSIPS!$O$30&gt;=91.5,WSIPS!$O$30&lt;=100),"P","")</f>
        <v/>
      </c>
      <c r="RR13" t="str">
        <f>IF(WSIPS!$O$38&lt;74.9,"P","")</f>
        <v/>
      </c>
      <c r="RS13" s="102" t="str">
        <f>IF(AND(WSIPS!$O$38&gt;=75,WSIPS!$O$38&lt;=83.24),"P","")</f>
        <v/>
      </c>
      <c r="RT13" s="102" t="str">
        <f>IF(AND(WSIPS!$O$38&gt;=83.25,WSIPS!$O$38&lt;=91.4),"P","")</f>
        <v/>
      </c>
      <c r="RU13" s="102" t="str">
        <f>IF(AND(WSIPS!$O$38&gt;=91.5,WSIPS!$O$38&lt;=100),"P","")</f>
        <v/>
      </c>
      <c r="RV13" t="str">
        <f>IF(WSIPS!$O$46&lt;74.9,"P","")</f>
        <v/>
      </c>
      <c r="RW13" s="102" t="str">
        <f>IF(AND(WSIPS!$O$46&gt;=75,WSIPS!$O$46&lt;=83.24),"P","")</f>
        <v/>
      </c>
      <c r="RX13" s="102" t="str">
        <f>IF(AND(WSIPS!$O$46&gt;=83.25,WSIPS!$O$46&lt;=91.4),"P","")</f>
        <v/>
      </c>
      <c r="RY13" s="102" t="str">
        <f>IF(AND(WSIPS!$O$46&gt;=91.5,WSIPS!$O$46&lt;=100),"P","")</f>
        <v/>
      </c>
      <c r="RZ13" t="str">
        <f>IF(WSIPS!$O$54&lt;74.9,"P","")</f>
        <v/>
      </c>
      <c r="SA13" s="102" t="str">
        <f>IF(AND(WSIPS!$O$54&gt;=75,WSIPS!$O$54&lt;=83.24),"P","")</f>
        <v/>
      </c>
      <c r="SB13" s="102" t="str">
        <f>IF(AND(WSIPS!$O$54&gt;=83.25,WSIPS!$O$54&lt;=91.4),"P","")</f>
        <v/>
      </c>
      <c r="SC13" s="102" t="str">
        <f>IF(AND(WSIPS!$O$54&gt;=91.5,WSIPS!$O$54&lt;=100),"P","")</f>
        <v/>
      </c>
      <c r="SD13" t="str">
        <f>IF(WSIPS!$O$62&lt;74.9,"P","")</f>
        <v/>
      </c>
      <c r="SE13" s="102" t="str">
        <f>IF(AND(WSIPS!$O$62&gt;=75,WSIPS!$O$62&lt;=83.24),"P","")</f>
        <v/>
      </c>
      <c r="SF13" s="102" t="str">
        <f>IF(AND(WSIPS!$O$62&gt;=83.25,WSIPS!$O$62&lt;=91.4),"P","")</f>
        <v/>
      </c>
      <c r="SG13" s="102" t="str">
        <f>IF(AND(WSIPS!$O$62&gt;=91.5,WSIPS!$O$62&lt;=100),"P","")</f>
        <v/>
      </c>
      <c r="SH13" t="str">
        <f>IF(WSIPS!$O$70&lt;74.9,"P","")</f>
        <v/>
      </c>
      <c r="SI13" s="102" t="str">
        <f>IF(AND(WSIPS!$O$70&gt;=75,WSIPS!$O$70&lt;=83.24),"P","")</f>
        <v/>
      </c>
      <c r="SJ13" s="102" t="str">
        <f>IF(AND(WSIPS!$O$70&gt;=83.25,WSIPS!$O$70&lt;=91.4),"P","")</f>
        <v/>
      </c>
      <c r="SK13" s="102" t="str">
        <f>IF(AND(WSIPS!$O$70&gt;=91.5,WSIPS!$O$70&lt;=100),"P","")</f>
        <v/>
      </c>
      <c r="SL13" t="str">
        <f>IF(WSIPS!$O$78&lt;74.9,"P","")</f>
        <v/>
      </c>
      <c r="SM13" s="102" t="str">
        <f>IF(AND(WSIPS!$O$78&gt;=75,WSIPS!$O$78&lt;=83.24),"P","")</f>
        <v/>
      </c>
      <c r="SN13" s="102" t="str">
        <f>IF(AND(WSIPS!$O$78&gt;=83.25,WSIPS!$O$78&lt;=91.4),"P","")</f>
        <v/>
      </c>
      <c r="SO13" s="102" t="str">
        <f>IF(AND(WSIPS!$O$78&gt;=91.5,WSIPS!$O$78&lt;=100),"P","")</f>
        <v/>
      </c>
      <c r="SP13" t="str">
        <f>IF(WSIPS!$O$86&lt;74.9,"P","")</f>
        <v/>
      </c>
      <c r="SQ13" s="102" t="str">
        <f>IF(AND(WSIPS!$O$86&gt;=75,WSIPS!$O$86&lt;=83.24),"P","")</f>
        <v/>
      </c>
      <c r="SR13" s="102" t="str">
        <f>IF(AND(WSIPS!$O$86&gt;=83.25,WSIPS!$O$86&lt;=91.4),"P","")</f>
        <v/>
      </c>
      <c r="SS13" s="102" t="str">
        <f>IF(AND(WSIPS!$O$86&gt;=91.5,WSIPS!$O$86&lt;=100),"P","")</f>
        <v/>
      </c>
      <c r="ST13" t="str">
        <f>IF(WSIPS!$O$94&lt;74.9,"P","")</f>
        <v/>
      </c>
      <c r="SU13" s="102" t="str">
        <f>IF(AND(WSIPS!$O$94&gt;=75,WSIPS!$O$94&lt;=83.24),"P","")</f>
        <v/>
      </c>
      <c r="SV13" s="102" t="str">
        <f>IF(AND(WSIPS!$O$94&gt;=83.25,WSIPS!$O$94&lt;=91.4),"P","")</f>
        <v/>
      </c>
      <c r="SW13" s="102" t="str">
        <f>IF(AND(WSIPS!$O$94&gt;=91.5,WSIPS!$O$94&lt;=100),"P","")</f>
        <v/>
      </c>
      <c r="SX13" t="str">
        <f>IF(WSIPS!$O$102&lt;74.9,"P","")</f>
        <v/>
      </c>
      <c r="SY13" s="102" t="str">
        <f>IF(AND(WSIPS!$O$102&gt;=75,WSIPS!$O$102&lt;=83.24),"P","")</f>
        <v/>
      </c>
      <c r="SZ13" s="102" t="str">
        <f>IF(AND(WSIPS!$O$102&gt;=83.25,WSIPS!$O$102&lt;=91.4),"P","")</f>
        <v/>
      </c>
      <c r="TA13" s="102" t="str">
        <f>IF(AND(WSIPS!$O$102&gt;=91.5,WSIPS!$O$102&lt;=100),"P","")</f>
        <v/>
      </c>
      <c r="TB13" t="str">
        <f>IF(WSSBK!$O$6&lt;74.9,"P","")</f>
        <v/>
      </c>
      <c r="TC13" s="102" t="str">
        <f>IF(AND(WSSBK!$O$6&gt;=75,WSSBK!$O$6&lt;=83.24),"P","")</f>
        <v/>
      </c>
      <c r="TD13" s="102" t="str">
        <f>IF(AND(WSSBK!$O$6&gt;=83.25,WSSBK!$O$6&lt;=91.4),"P","")</f>
        <v/>
      </c>
      <c r="TE13" s="102" t="str">
        <f>IF(AND(WSSBK!$O$6&gt;=91.5,WSSBK!$O$6&lt;=100),"P","")</f>
        <v>P</v>
      </c>
      <c r="TF13" t="str">
        <f>IF(WSSBK!$O$16&lt;74.9,"P","")</f>
        <v/>
      </c>
      <c r="TG13" s="102" t="str">
        <f>IF(AND(WSSBK!$O$16&gt;=75,WSSBK!$O$16&lt;=83.24),"P","")</f>
        <v/>
      </c>
      <c r="TH13" s="102" t="str">
        <f>IF(AND(WSSBK!$O$16&gt;=83.25,WSSBK!$O$16&lt;=91.4),"P","")</f>
        <v/>
      </c>
      <c r="TI13" s="102" t="str">
        <f>IF(AND(WSSBK!$O$16&gt;=91.5,WSSBK!$O$16&lt;=100),"P","")</f>
        <v>P</v>
      </c>
      <c r="TJ13" t="str">
        <f>IF(WSSBK!$O$26&lt;74.9,"P","")</f>
        <v/>
      </c>
      <c r="TK13" s="102" t="str">
        <f>IF(AND(WSSBK!$O$26&gt;=75,WSSBK!$O$26&lt;=83.24),"P","")</f>
        <v/>
      </c>
      <c r="TL13" s="102" t="str">
        <f>IF(AND(WSSBK!$O$26&gt;=83.25,WSSBK!$O$26&lt;=91.4),"P","")</f>
        <v/>
      </c>
      <c r="TM13" s="102" t="str">
        <f>IF(AND(WSSBK!$O$26&gt;=91.5,WSSBK!$O$26&lt;=100),"P","")</f>
        <v>P</v>
      </c>
      <c r="TN13" t="str">
        <f>IF(WSSBK!$O$36&lt;74.9,"P","")</f>
        <v/>
      </c>
      <c r="TO13" s="102" t="str">
        <f>IF(AND(WSSBK!$O$36&gt;=75,WSSBK!$O$36&lt;=83.24),"P","")</f>
        <v/>
      </c>
      <c r="TP13" s="102" t="str">
        <f>IF(AND(WSSBK!$O$36&gt;=83.25,WSSBK!$O$36&lt;=91.4),"P","")</f>
        <v/>
      </c>
      <c r="TQ13" s="102" t="str">
        <f>IF(AND(WSSBK!$O$36&gt;=91.5,WSSBK!$O$36&lt;=100),"P","")</f>
        <v>P</v>
      </c>
      <c r="TR13" t="str">
        <f>IF(WSSBK!$O$46&lt;74.9,"P","")</f>
        <v/>
      </c>
      <c r="TS13" s="102" t="str">
        <f>IF(AND(WSSBK!$O$46&gt;=75,WSSBK!$O$46&lt;=83.24),"P","")</f>
        <v/>
      </c>
      <c r="TT13" s="102" t="str">
        <f>IF(AND(WSSBK!$O$46&gt;=83.25,WSSBK!$O$46&lt;=91.4),"P","")</f>
        <v/>
      </c>
      <c r="TU13" s="102" t="str">
        <f>IF(AND(WSSBK!$O$46&gt;=91.5,WSSBK!$O$46&lt;=100),"P","")</f>
        <v>P</v>
      </c>
      <c r="TV13" t="str">
        <f>IF(WSSBK!$O$58&lt;74.9,"P","")</f>
        <v/>
      </c>
      <c r="TW13" s="102" t="str">
        <f>IF(AND(WSSBK!$O$58&gt;=75,WSSBK!$O$58&lt;=83.24),"P","")</f>
        <v/>
      </c>
      <c r="TX13" s="102" t="str">
        <f>IF(AND(WSSBK!$O$58&gt;=83.25,WSSBK!$O$58&lt;=91.4),"P","")</f>
        <v/>
      </c>
      <c r="TY13" s="102" t="str">
        <f>IF(AND(WSSBK!$O$58&gt;=91.5,WSSBK!$O$58&lt;=100),"P","")</f>
        <v>P</v>
      </c>
      <c r="TZ13" t="str">
        <f>IF(WSSBK!$O$68&lt;74.9,"P","")</f>
        <v/>
      </c>
      <c r="UA13" s="102" t="str">
        <f>IF(AND(WSSBK!$O$68&gt;=75,WSSBK!$O$68&lt;=83.24),"P","")</f>
        <v/>
      </c>
      <c r="UB13" s="102" t="str">
        <f>IF(AND(WSSBK!$O$68&gt;=83.25,WSSBK!$O$68&lt;=91.4),"P","")</f>
        <v/>
      </c>
      <c r="UC13" s="102" t="str">
        <f>IF(AND(WSSBK!$O$68&gt;=91.5,WSSBK!$O$68&lt;=100),"P","")</f>
        <v>P</v>
      </c>
      <c r="UD13" t="str">
        <f>IF(WSSBK!$O$77&lt;74.9,"P","")</f>
        <v/>
      </c>
      <c r="UE13" s="102" t="str">
        <f>IF(AND(WSSBK!$O$77&gt;=75,WSSBK!$O$77&lt;=83.24),"P","")</f>
        <v/>
      </c>
      <c r="UF13" s="102" t="str">
        <f>IF(AND(WSSBK!$O$77&gt;=83.25,WSSBK!$O$77&lt;=91.4),"P","")</f>
        <v/>
      </c>
      <c r="UG13" s="102" t="str">
        <f>IF(AND(WSSBK!$O$77&gt;=91.5,WSSBK!$O$77&lt;=100),"P","")</f>
        <v>P</v>
      </c>
      <c r="UH13" t="str">
        <f>IF(WSSBK!$O$87&lt;74.9,"P","")</f>
        <v/>
      </c>
      <c r="UI13" s="102" t="str">
        <f>IF(AND(WSSBK!$O$87&gt;=75,WSSBK!$O$87&lt;=83.24),"P","")</f>
        <v/>
      </c>
      <c r="UJ13" s="102" t="str">
        <f>IF(AND(WSSBK!$O$87&gt;=83.25,WSSBK!$O$87&lt;=91.4),"P","")</f>
        <v/>
      </c>
      <c r="UK13" s="102" t="str">
        <f>IF(AND(WSSBK!$O$87&gt;=91.5,WSSBK!$O$87&lt;=100),"P","")</f>
        <v/>
      </c>
      <c r="UL13" t="str">
        <f>IF(WSSBK!$O$95&lt;74.9,"P","")</f>
        <v/>
      </c>
      <c r="UM13" s="102" t="str">
        <f>IF(AND(WSSBK!$O$95&gt;=75,WSSBK!$O$95&lt;=83.24),"P","")</f>
        <v/>
      </c>
      <c r="UN13" s="102" t="str">
        <f>IF(AND(WSSBK!$O$95&gt;=83.25,WSSBK!$O$95&lt;=91.4),"P","")</f>
        <v/>
      </c>
      <c r="UO13" s="102" t="str">
        <f>IF(AND(WSSBK!$O$95&gt;=91.5,WSSBK!$O$95&lt;=100),"P","")</f>
        <v/>
      </c>
      <c r="UP13" t="str">
        <f>IF(WSSBK!$O$103&lt;74.9,"P","")</f>
        <v/>
      </c>
      <c r="UQ13" s="102" t="str">
        <f>IF(AND(WSSBK!$O$103&gt;=75,WSSBK!$O$103&lt;=83.24),"P","")</f>
        <v/>
      </c>
      <c r="UR13" s="102" t="str">
        <f>IF(AND(WSSBK!$O$103&gt;=83.25,WSSBK!$O$103&lt;=91.4),"P","")</f>
        <v/>
      </c>
      <c r="US13" s="102" t="str">
        <f>IF(AND(WSSBK!$O$103&gt;=91.5,WSSBK!$O$103&lt;=100),"P","")</f>
        <v/>
      </c>
      <c r="UT13" t="str">
        <f>IF(WSSBK!$O$111&lt;74.9,"P","")</f>
        <v/>
      </c>
      <c r="UU13" s="102" t="str">
        <f>IF(AND(WSSBK!$O$111&gt;=75,WSSBK!$O$111&lt;=83.24),"P","")</f>
        <v/>
      </c>
      <c r="UV13" s="102" t="str">
        <f>IF(AND(WSSBK!$O$111&gt;=83.25,WSSBK!$O$111&lt;=91.4),"P","")</f>
        <v/>
      </c>
      <c r="UW13" s="102" t="str">
        <f>IF(AND(WSSBK!$O$111&gt;=91.5,WSSBK!$O$111&lt;=100),"P","")</f>
        <v/>
      </c>
      <c r="UX13" t="str">
        <f>IF(WSSBK!$O$119&lt;74.9,"P","")</f>
        <v/>
      </c>
      <c r="UY13" s="102" t="str">
        <f>IF(AND(WSSBK!$O$119&gt;=75,WSSBK!$O$119&lt;=83.24),"P","")</f>
        <v/>
      </c>
      <c r="UZ13" s="102" t="str">
        <f>IF(AND(WSSBK!$O$119&gt;=83.25,WSSBK!$O$119&lt;=91.4),"P","")</f>
        <v/>
      </c>
      <c r="VA13" s="102" t="str">
        <f>IF(AND(WSSBK!$O$119&gt;=91.5,WSSBK!$O$119&lt;=100),"P","")</f>
        <v/>
      </c>
      <c r="VB13" s="102" t="str">
        <f>IF(AND(WSPENJAS!$O$6&gt;0,WSPENJAS!$O$6&lt;=74.9),"P","")</f>
        <v/>
      </c>
      <c r="VC13" s="102" t="str">
        <f>IF(AND(WSPENJAS!$O$6&gt;=75,WSPENJAS!$O$6&lt;=83.24),"P","")</f>
        <v/>
      </c>
      <c r="VD13" s="102" t="str">
        <f>IF(AND(WSPENJAS!$O$6&gt;=83.25,WSPENJAS!$O$6&lt;=91.4),"P","")</f>
        <v>P</v>
      </c>
      <c r="VE13" s="102" t="str">
        <f>IF(AND(WSPENJAS!$O$6&gt;=91.5,WSPENJAS!$O$6&lt;=100),"P","")</f>
        <v/>
      </c>
      <c r="VF13" s="102" t="str">
        <f>IF(AND(WSPENJAS!$O$7&gt;0,WSPENJAS!$O$7&lt;=74.9),"P","")</f>
        <v/>
      </c>
      <c r="VG13" s="102" t="str">
        <f>IF(AND(WSPENJAS!$O$7&gt;=75,WSPENJAS!$O$7&lt;=83.24),"P","")</f>
        <v/>
      </c>
      <c r="VH13" s="102" t="str">
        <f>IF(AND(WSPENJAS!$O$7&gt;=83.25,WSPENJAS!$O$7&lt;=91.4),"P","")</f>
        <v>P</v>
      </c>
      <c r="VI13" s="102" t="str">
        <f>IF(AND(WSPENJAS!$O$7&gt;=91.5,WSPENJAS!$O$7&lt;=100),"P","")</f>
        <v/>
      </c>
      <c r="VJ13" s="102" t="str">
        <f>IF(AND(WSPENJAS!$O$8&gt;0,WSPENJAS!$O$8&lt;=74.9),"P","")</f>
        <v/>
      </c>
      <c r="VK13" s="102" t="str">
        <f>IF(AND(WSPENJAS!$O$8&gt;=75,WSPENJAS!$O$8&lt;=83.24),"P","")</f>
        <v/>
      </c>
      <c r="VL13" s="102" t="str">
        <f>IF(AND(WSPENJAS!$O$8&gt;=83.25,WSPENJAS!$O$8&lt;=91.4),"P","")</f>
        <v>P</v>
      </c>
      <c r="VM13" s="102" t="str">
        <f>IF(AND(WSPENJAS!$O$8&gt;=91.5,WSPENJAS!$O$8&lt;=100),"P","")</f>
        <v/>
      </c>
      <c r="VN13" s="102" t="str">
        <f>IF(AND(WSPENJAS!$O$9&gt;0,WSPENJAS!$O$9&lt;=74.9),"P","")</f>
        <v/>
      </c>
      <c r="VO13" s="102" t="str">
        <f>IF(AND(WSPENJAS!$O$9&gt;=75,WSPENJAS!$O$9&lt;=83.24),"P","")</f>
        <v/>
      </c>
      <c r="VP13" s="102" t="str">
        <f>IF(AND(WSPENJAS!$O$9&gt;=83.25,WSPENJAS!$O$9&lt;=91.4),"P","")</f>
        <v>P</v>
      </c>
      <c r="VQ13" s="102" t="str">
        <f>IF(AND(WSPENJAS!$O$9&gt;=91.5,WSPENJAS!$O$9&lt;=100),"P","")</f>
        <v/>
      </c>
      <c r="VR13" s="102" t="str">
        <f>IF(AND(WSPENJAS!$O$10&gt;0,WSPENJAS!$O$10&lt;=74.9),"P","")</f>
        <v/>
      </c>
      <c r="VS13" s="102" t="str">
        <f>IF(AND(WSPENJAS!$O$10&gt;=75,WSPENJAS!$O$10&lt;=83.24),"P","")</f>
        <v/>
      </c>
      <c r="VT13" s="102" t="str">
        <f>IF(AND(WSPENJAS!$O$10&gt;=83.25,WSPENJAS!$O$10&lt;=91.4),"P","")</f>
        <v>P</v>
      </c>
      <c r="VU13" s="102" t="str">
        <f>IF(AND(WSPENJAS!$O$10&gt;=91.5,WSPENJAS!$O$10&lt;=100),"P","")</f>
        <v/>
      </c>
      <c r="VV13" s="102" t="str">
        <f>IF(AND(WSPENJAS!$O$11&gt;0,WSPENJAS!$O$11&lt;=74.9),"P","")</f>
        <v/>
      </c>
      <c r="VW13" s="102" t="str">
        <f>IF(AND(WSPENJAS!$O$411&gt;=75,WSPENJAS!$O$411&lt;=83.24),"P","")</f>
        <v/>
      </c>
      <c r="VX13" s="102" t="str">
        <f>IF(AND(WSPENJAS!$O$411&gt;=83.25,WSPENJAS!$O$411&lt;=91.4),"P","")</f>
        <v/>
      </c>
      <c r="VY13" s="102" t="str">
        <f>IF(AND(WSPENJAS!$O$411&gt;=91.5,WSPENJAS!$O$411&lt;=100),"P","")</f>
        <v/>
      </c>
      <c r="VZ13" s="102" t="str">
        <f>IF(AND(WSPENJAS!$O$12&gt;0,WSPENJAS!$O$12&lt;=74.9),"P","")</f>
        <v/>
      </c>
      <c r="WA13" s="102" t="str">
        <f>IF(AND(WSPENJAS!$O$12&gt;=75,WSPENJAS!$O$12&lt;=83.24),"P","")</f>
        <v/>
      </c>
      <c r="WB13" s="102" t="str">
        <f>IF(AND(WSPENJAS!$O$12&gt;=83.25,WSPENJAS!$O$12&lt;=91.4),"P","")</f>
        <v>P</v>
      </c>
      <c r="WC13" s="102" t="str">
        <f>IF(AND(WSPENJAS!$O$12&gt;=91.5,WSPENJAS!$O$12&lt;=100),"P","")</f>
        <v/>
      </c>
      <c r="WD13" s="102" t="str">
        <f>IF(AND(WSPENJAS!$O$13&gt;0,WSPENJAS!$O$13&lt;=74.9),"P","")</f>
        <v/>
      </c>
      <c r="WE13" s="102" t="str">
        <f>IF(AND(WSPENJAS!$O$13&gt;=75,WSPENJAS!$O$13&lt;=83.24),"P","")</f>
        <v/>
      </c>
      <c r="WF13" s="102" t="str">
        <f>IF(AND(WSPENJAS!$O$13&gt;=83.25,WSPENJAS!$O$13&lt;=91.4),"P","")</f>
        <v>P</v>
      </c>
      <c r="WG13" s="102" t="str">
        <f>IF(AND(WSPENJAS!$O$13&gt;=91.5,WSPENJAS!$O$13&lt;=100),"P","")</f>
        <v/>
      </c>
      <c r="WH13" s="102" t="str">
        <f>IF(AND(WSPENJAS!$O$14&gt;0,WSPENJAS!$O$14&lt;=74.9),"P","")</f>
        <v/>
      </c>
      <c r="WI13" s="102" t="str">
        <f>IF(AND(WSPENJAS!$O$14&gt;=75,WSPENJAS!$O$14&lt;=83.24),"P","")</f>
        <v/>
      </c>
      <c r="WJ13" s="102" t="str">
        <f>IF(AND(WSPENJAS!$O$14&gt;=83.25,WSPENJAS!$O$14&lt;=91.4),"P","")</f>
        <v>P</v>
      </c>
      <c r="WK13" s="102" t="str">
        <f>IF(AND(WSPENJAS!$O$14&gt;=91.5,WSPENJAS!$O$14&lt;=100),"P","")</f>
        <v/>
      </c>
      <c r="WL13" s="102" t="str">
        <f>IF(AND(WSPENJAS!$O$15&gt;0,WSPENJAS!$O$15&lt;=74.9),"P","")</f>
        <v/>
      </c>
      <c r="WM13" s="102" t="str">
        <f>IF(AND(WSPENJAS!$O$15&gt;=75,WSPENJAS!$O$15&lt;=83.24),"P","")</f>
        <v/>
      </c>
      <c r="WN13" s="102" t="str">
        <f>IF(AND(WSPENJAS!$O$15&gt;=83.25,WSPENJAS!$O$15&lt;=91.4),"P","")</f>
        <v>P</v>
      </c>
      <c r="WO13" s="102" t="str">
        <f>IF(AND(WSPENJAS!$O$15&gt;=91.5,WSPENJAS!$O$15&lt;=100),"P","")</f>
        <v/>
      </c>
      <c r="WP13" s="102" t="str">
        <f>IF(AND(WSPENJAS!$O$16&gt;0,WSPENJAS!$O$16&lt;=74.9),"P","")</f>
        <v/>
      </c>
      <c r="WQ13" s="102" t="str">
        <f>IF(AND(WSPENJAS!$O$16&gt;=75,WSPENJAS!$O$16&lt;=83.24),"P","")</f>
        <v/>
      </c>
      <c r="WR13" s="102" t="str">
        <f>IF(AND(WSPENJAS!$O$16&gt;=83.25,WSPENJAS!$O$16&lt;=91.4),"P","")</f>
        <v/>
      </c>
      <c r="WS13" s="102" t="str">
        <f>IF(AND(WSPENJAS!$O$16&gt;=91.5,WSPENJAS!$O$16&lt;=100),"P","")</f>
        <v/>
      </c>
      <c r="WT13" s="102" t="str">
        <f>IF(AND(WSPENJAS!$O$17&gt;0,WSPENJAS!$O$17&lt;=74.9),"P","")</f>
        <v/>
      </c>
      <c r="WU13" s="102" t="str">
        <f>IF(AND(WSPENJAS!$O$17&gt;=75,WSPENJAS!$O$17&lt;=83.24),"P","")</f>
        <v/>
      </c>
      <c r="WV13" s="102" t="str">
        <f>IF(AND(WSPENJAS!$O$17&gt;=83.25,WSPENJAS!$O$17&lt;=91.4),"P","")</f>
        <v/>
      </c>
      <c r="WW13" s="102" t="str">
        <f>IF(AND(WSPENJAS!$O$17&gt;=91.5,WSPENJAS!$O$17&lt;=100),"P","")</f>
        <v/>
      </c>
      <c r="WX13" s="102" t="str">
        <f>IF(AND(WSPENJAS!$O$18&gt;0,WSPENJAS!$O$18&lt;=74.9),"P","")</f>
        <v/>
      </c>
      <c r="WY13" s="102" t="str">
        <f>IF(AND(WSPENJAS!$O$18&gt;=75,WSPENJAS!$O$18&lt;=83.24),"P","")</f>
        <v/>
      </c>
      <c r="WZ13" s="102" t="str">
        <f>IF(AND(WSPENJAS!$O$18&gt;=83.25,WSPENJAS!$O$18&lt;=91.4),"P","")</f>
        <v/>
      </c>
      <c r="XA13" s="102" t="str">
        <f>IF(AND(WSPENJAS!$O$18&gt;=91.5,WSPENJAS!$O$18&lt;=100),"P","")</f>
        <v/>
      </c>
      <c r="XB13" s="102" t="str">
        <f>IF(AND(WSPENJAS!$O$19&gt;0,WSPENJAS!$O$19&lt;=74.9),"P","")</f>
        <v/>
      </c>
      <c r="XC13" s="102" t="str">
        <f>IF(AND(WSPENJAS!$O$19&gt;=75,WSPENJAS!$O$19&lt;=83.24),"P","")</f>
        <v/>
      </c>
      <c r="XD13" s="102" t="str">
        <f>IF(AND(WSPENJAS!$O$19&gt;=83.25,WSPENJAS!$O$19&lt;=91.4),"P","")</f>
        <v/>
      </c>
      <c r="XE13" s="102" t="str">
        <f>IF(AND(WSPENJAS!$O$19&gt;=91.5,WSPENJAS!$O$19&lt;=100),"P","")</f>
        <v/>
      </c>
      <c r="XF13" s="102" t="str">
        <f>IF(AND(WSPENJAS!$O$20&gt;0,WSPENJAS!$O$20&lt;=74.9),"P","")</f>
        <v/>
      </c>
      <c r="XG13" s="102" t="str">
        <f>IF(AND(WSPENJAS!$O$20&gt;=75,WSPENJAS!$O$20&lt;=83.24),"P","")</f>
        <v/>
      </c>
      <c r="XH13" s="102" t="str">
        <f>IF(AND(WSPENJAS!$O$20&gt;=83.25,WSPENJAS!$O$20&lt;=91.4),"P","")</f>
        <v/>
      </c>
      <c r="XI13" s="102" t="str">
        <f>IF(AND(WSPENJAS!$O$20&gt;=91.5,WSPENJAS!$O$20&lt;=100),"P","")</f>
        <v/>
      </c>
      <c r="XJ13" s="102" t="str">
        <f>IF(AND(WSPENJAS!$O$21&gt;0,WSPENJAS!$O$21&lt;=74.9),"P","")</f>
        <v/>
      </c>
      <c r="XK13" s="102" t="str">
        <f>IF(AND(WSPENJAS!$O$21&gt;=75,WSPENJAS!$O$21&lt;=83.24),"P","")</f>
        <v/>
      </c>
      <c r="XL13" s="102" t="str">
        <f>IF(AND(WSPENJAS!$O$21&gt;=83.25,WSPENJAS!$O$21&lt;=91.4),"P","")</f>
        <v/>
      </c>
      <c r="XM13" s="102" t="str">
        <f>IF(AND(WSPENJAS!$O$21&gt;=91.5,WSPENJAS!$O$21&lt;=100),"P","")</f>
        <v/>
      </c>
      <c r="XN13" t="str">
        <f>IF(WSJAWA!$O$6&lt;74.9,"P","")</f>
        <v/>
      </c>
      <c r="XO13" s="102" t="str">
        <f>IF(AND(WSJAWA!$O$6&gt;=75,WSJAWA!$O$6&lt;=83.24),"P","")</f>
        <v/>
      </c>
      <c r="XP13" s="102" t="str">
        <f>IF(AND(WSJAWA!$O$6&gt;=83.25,WSJAWA!$O$6&lt;=91.4),"P","")</f>
        <v/>
      </c>
      <c r="XQ13" s="102" t="str">
        <f>IF(AND(WSJAWA!$O$6&gt;=91.5,WSJAWA!$O$6&lt;=100),"P","")</f>
        <v>P</v>
      </c>
      <c r="XR13" t="str">
        <f>IF(WSJAWA!$O$14&lt;74.9,"P","")</f>
        <v/>
      </c>
      <c r="XS13" s="102" t="str">
        <f>IF(AND(WSJAWA!$O$14&gt;=75,WSJAWA!$O$14&lt;=83.24),"P","")</f>
        <v/>
      </c>
      <c r="XT13" s="102" t="str">
        <f>IF(AND(WSJAWA!$O$14&gt;=83.25,WSJAWA!$O$14&lt;=91.4),"P","")</f>
        <v/>
      </c>
      <c r="XU13" s="102" t="str">
        <f>IF(AND(WSJAWA!$O$14&gt;=91.5,WSJAWA!$O$14&lt;=100),"P","")</f>
        <v>P</v>
      </c>
      <c r="XV13" t="str">
        <f>IF(WSJAWA!$O$22&lt;74.9,"P","")</f>
        <v/>
      </c>
      <c r="XW13" s="102" t="str">
        <f>IF(AND(WSJAWA!$O$22&gt;=75,WSJAWA!$O$22&lt;=83.24),"P","")</f>
        <v/>
      </c>
      <c r="XX13" s="102" t="str">
        <f>IF(AND(WSJAWA!$O$22&gt;=83.25,WSJAWA!$O$22&lt;=91.4),"P","")</f>
        <v/>
      </c>
      <c r="XY13" s="102" t="str">
        <f>IF(AND(WSJAWA!$O$22&gt;=91.5,WSJAWA!$O$22&lt;=100),"P","")</f>
        <v>P</v>
      </c>
      <c r="XZ13" t="str">
        <f>IF(WSJAWA!$O$30&lt;74.9,"P","")</f>
        <v/>
      </c>
      <c r="YA13" s="102" t="str">
        <f>IF(AND(WSJAWA!$O$30&gt;=75,WSJAWA!$O$30&lt;=83.24),"P","")</f>
        <v/>
      </c>
      <c r="YB13" s="102" t="str">
        <f>IF(AND(WSJAWA!$O$30&gt;=83.25,WSJAWA!$O$30&lt;=91.4),"P","")</f>
        <v/>
      </c>
      <c r="YC13" s="102" t="str">
        <f>IF(AND(WSJAWA!$O$30&gt;=91.5,WSJAWA!$O$30&lt;=100),"P","")</f>
        <v>P</v>
      </c>
      <c r="YD13" t="str">
        <f>IF(WSJAWA!$O$38&lt;74.9,"P","")</f>
        <v/>
      </c>
      <c r="YE13" s="102" t="str">
        <f>IF(AND(WSJAWA!$O$38&gt;=75,WSJAWA!$O$38&lt;=83.24),"P","")</f>
        <v/>
      </c>
      <c r="YF13" s="102" t="str">
        <f>IF(AND(WSJAWA!$O$38&gt;=83.25,WSJAWA!$O$38&lt;=91.4),"P","")</f>
        <v/>
      </c>
      <c r="YG13" s="102" t="str">
        <f>IF(AND(WSJAWA!$O$38&gt;=91.5,WSJAWA!$O$38&lt;=100),"P","")</f>
        <v>P</v>
      </c>
      <c r="YH13" t="str">
        <f>IF(WSJAWA!$O$46&lt;74.9,"P","")</f>
        <v/>
      </c>
      <c r="YI13" s="102" t="str">
        <f>IF(AND(WSJAWA!$O$46&gt;=75,WSJAWA!$O$46&lt;=83.24),"P","")</f>
        <v>P</v>
      </c>
      <c r="YJ13" s="102" t="str">
        <f>IF(AND(WSJAWA!$O$46&gt;=83.25,WSJAWA!$O$46&lt;=91.4),"P","")</f>
        <v/>
      </c>
      <c r="YK13" s="102" t="str">
        <f>IF(AND(WSJAWA!$O$46&gt;=91.5,WSJAWA!$O$46&lt;=100),"P","")</f>
        <v/>
      </c>
      <c r="YL13" t="str">
        <f>IF(WSJAWA!$O$54&lt;74.9,"P","")</f>
        <v/>
      </c>
      <c r="YM13" s="102" t="str">
        <f>IF(AND(WSJAWA!$O$54&gt;=75,WSJAWA!$O$54&lt;=83.24),"P","")</f>
        <v/>
      </c>
      <c r="YN13" s="102" t="str">
        <f>IF(AND(WSJAWA!$O$54&gt;=83.25,WSJAWA!$O$54&lt;=91.4),"P","")</f>
        <v/>
      </c>
      <c r="YO13" s="102" t="str">
        <f>IF(AND(WSJAWA!$O$54&gt;=91.5,WSJAWA!$O$54&lt;=100),"P","")</f>
        <v>P</v>
      </c>
      <c r="YP13" t="str">
        <f>IF(WSJAWA!$O$62&lt;74.9,"P","")</f>
        <v/>
      </c>
      <c r="YQ13" s="102" t="str">
        <f>IF(AND(WSJAWA!$O$62&gt;=75,WSJAWA!$O$62&lt;=83.24),"P","")</f>
        <v/>
      </c>
      <c r="YR13" s="102" t="str">
        <f>IF(AND(WSJAWA!$O$62&gt;=83.25,WSJAWA!$O$62&lt;=91.4),"P","")</f>
        <v/>
      </c>
      <c r="YS13" s="102" t="str">
        <f>IF(AND(WSJAWA!$O$62&gt;=91.5,WSJAWA!$O$62&lt;=100),"P","")</f>
        <v>P</v>
      </c>
      <c r="YT13" t="str">
        <f>IF(WSJAWA!$O$70&lt;74.9,"P","")</f>
        <v/>
      </c>
      <c r="YU13" s="102" t="str">
        <f>IF(AND(WSJAWA!$O$70&gt;=75,WSJAWA!$O$70&lt;=83.24),"P","")</f>
        <v/>
      </c>
      <c r="YV13" s="102" t="str">
        <f>IF(AND(WSJAWA!$O$70&gt;=83.25,WSJAWA!$O$70&lt;=91.4),"P","")</f>
        <v/>
      </c>
      <c r="YW13" s="102" t="str">
        <f>IF(AND(WSJAWA!$O$70&gt;=91.5,WSJAWA!$O$70&lt;=100),"P","")</f>
        <v/>
      </c>
      <c r="YX13" t="str">
        <f>IF(WSJAWA!$O$78&lt;74.9,"P","")</f>
        <v/>
      </c>
      <c r="YY13" s="102" t="str">
        <f>IF(AND(WSJAWA!$O$78&gt;=75,WSJAWA!$O$78&lt;=83.24),"P","")</f>
        <v/>
      </c>
      <c r="YZ13" s="102" t="str">
        <f>IF(AND(WSJAWA!$O$78&gt;=83.25,WSJAWA!$O$78&lt;=91.4),"P","")</f>
        <v/>
      </c>
      <c r="ZA13" s="102" t="str">
        <f>IF(AND(WSJAWA!$O$78&gt;=91.5,WSJAWA!$O$78&lt;=100),"P","")</f>
        <v/>
      </c>
      <c r="ZB13" t="str">
        <f>IF(WSJAWA!$O$86&lt;74.9,"P","")</f>
        <v/>
      </c>
      <c r="ZC13" s="102" t="str">
        <f>IF(AND(WSJAWA!$O$86&gt;=75,WSJAWA!$O$86&lt;=83.24),"P","")</f>
        <v/>
      </c>
      <c r="ZD13" s="102" t="str">
        <f>IF(AND(WSJAWA!$O$86&gt;=83.25,WSJAWA!$O$86&lt;=91.4),"P","")</f>
        <v/>
      </c>
      <c r="ZE13" s="102" t="str">
        <f>IF(AND(WSJAWA!$O$86&gt;=91.5,WSJAWA!$O$86&lt;=100),"P","")</f>
        <v/>
      </c>
      <c r="ZF13" t="str">
        <f>IF(WSJAWA!$O$94&lt;74.9,"P","")</f>
        <v/>
      </c>
      <c r="ZG13" s="102" t="str">
        <f>IF(AND(WSJAWA!$O$94&gt;=75,WSJAWA!$O$94&lt;=83.24),"P","")</f>
        <v/>
      </c>
      <c r="ZH13" s="102" t="str">
        <f>IF(AND(WSJAWA!$O$94&gt;=83.25,WSJAWA!$O$94&lt;=91.4),"P","")</f>
        <v/>
      </c>
      <c r="ZI13" s="102" t="str">
        <f>IF(AND(WSJAWA!$O$94&gt;=91.5,WSJAWA!$O$94&lt;=100),"P","")</f>
        <v/>
      </c>
      <c r="ZJ13" t="str">
        <f>IF(WSJAWA!$O$102&lt;74.9,"P","")</f>
        <v/>
      </c>
      <c r="ZK13" s="102" t="str">
        <f>IF(AND(WSJAWA!$O$102&gt;=75,WSJAWA!$O$102&lt;=83.24),"P","")</f>
        <v/>
      </c>
      <c r="ZL13" s="102" t="str">
        <f>IF(AND(WSJAWA!$O$102&gt;=83.25,WSJAWA!$O$102&lt;=91.4),"P","")</f>
        <v/>
      </c>
      <c r="ZM13" s="102" t="str">
        <f>IF(AND(WSJAWA!$O$102&gt;=91.5,WSJAWA!$O$102&lt;=100),"P","")</f>
        <v/>
      </c>
      <c r="ZN13" t="str">
        <f>IF(WSING!$O$6&lt;74.9,"P","")</f>
        <v/>
      </c>
      <c r="ZO13" s="102" t="str">
        <f>IF(AND(WSING!$O$6&gt;=75,WSING!$O$6&lt;=83.24),"P","")</f>
        <v/>
      </c>
      <c r="ZP13" s="102" t="str">
        <f>IF(AND(WSING!$O$6&gt;=83.25,WSING!$O$6&lt;=91.4),"P","")</f>
        <v/>
      </c>
      <c r="ZQ13" s="102" t="str">
        <f>IF(AND(WSING!$O$6&gt;=91.5,WSING!$O$6&lt;=100),"P","")</f>
        <v>P</v>
      </c>
      <c r="ZR13" t="str">
        <f>IF(WSING!$O$15&lt;74.9,"P","")</f>
        <v/>
      </c>
      <c r="ZS13" s="102" t="str">
        <f>IF(AND(WSING!$O$15&gt;=75,WSING!$O$15&lt;=83.24),"P","")</f>
        <v/>
      </c>
      <c r="ZT13" s="102" t="str">
        <f>IF(AND(WSING!$O$15&gt;=83.25,WSING!$O$15&lt;=91.4),"P","")</f>
        <v/>
      </c>
      <c r="ZU13" s="102" t="str">
        <f>IF(AND(WSING!$O$15&gt;=91.5,WSING!$O$15&lt;=100),"P","")</f>
        <v>P</v>
      </c>
      <c r="ZV13" t="str">
        <f>IF(WSING!$O$24&lt;74.9,"P","")</f>
        <v/>
      </c>
      <c r="ZW13" s="102" t="str">
        <f>IF(AND(WSING!$O$24&gt;=75,WSING!$O$24&lt;=83.24),"P","")</f>
        <v/>
      </c>
      <c r="ZX13" s="102" t="str">
        <f>IF(AND(WSING!$O$24&gt;=83.25,WSING!$O$24&lt;=91.4),"P","")</f>
        <v/>
      </c>
      <c r="ZY13" s="102" t="str">
        <f>IF(AND(WSING!$O$24&gt;=91.5,WSING!$O$24&lt;=100),"P","")</f>
        <v>P</v>
      </c>
      <c r="ZZ13" t="str">
        <f>IF(WSING!$O$33&lt;74.9,"P","")</f>
        <v/>
      </c>
      <c r="AAA13" s="102" t="str">
        <f>IF(AND(WSING!$O$33&gt;=75,WSING!$O$33&lt;=83.24),"P","")</f>
        <v/>
      </c>
      <c r="AAB13" s="102" t="str">
        <f>IF(AND(WSING!$O$33&gt;=83.25,WSING!$O$33&lt;=91.4),"P","")</f>
        <v/>
      </c>
      <c r="AAC13" s="102" t="str">
        <f>IF(AND(WSING!$O$33&gt;=91.5,WSING!$O$33&lt;=100),"P","")</f>
        <v>P</v>
      </c>
      <c r="AAD13" t="str">
        <f>IF(WSING!$O$42&lt;74.9,"P","")</f>
        <v/>
      </c>
      <c r="AAE13" s="102" t="str">
        <f>IF(AND(WSING!$O$42&gt;=75,WSING!$O$42&lt;=83.24),"P","")</f>
        <v/>
      </c>
      <c r="AAF13" s="102" t="str">
        <f>IF(AND(WSING!$O$42&gt;=83.25,WSING!$O$42&lt;=91.4),"P","")</f>
        <v/>
      </c>
      <c r="AAG13" s="102" t="str">
        <f>IF(AND(WSING!$O$42&gt;=91.5,WSING!$O$42&lt;=100),"P","")</f>
        <v/>
      </c>
      <c r="AAH13" t="str">
        <f>IF(WSING!$O$50&lt;74.9,"P","")</f>
        <v/>
      </c>
      <c r="AAI13" s="102" t="str">
        <f>IF(AND(WSING!$O$50&gt;=75,WSING!$O$50&lt;=83.24),"P","")</f>
        <v/>
      </c>
      <c r="AAJ13" s="102" t="str">
        <f>IF(AND(WSING!$O$50&gt;=83.25,WSING!$O$50&lt;=91.4),"P","")</f>
        <v/>
      </c>
      <c r="AAK13" s="102" t="str">
        <f>IF(AND(WSING!$O$50&gt;=91.5,WSING!$O$50&lt;=100),"P","")</f>
        <v/>
      </c>
      <c r="AAL13" t="str">
        <f>IF(WSING!$O$58&lt;74.9,"P","")</f>
        <v/>
      </c>
      <c r="AAM13" s="102" t="str">
        <f>IF(AND(WSING!$O$58&gt;=75,WSING!$O$58&lt;=83.24),"P","")</f>
        <v/>
      </c>
      <c r="AAN13" s="102" t="str">
        <f>IF(AND(WSING!$O$58&gt;=83.25,WSING!$O$58&lt;=91.4),"P","")</f>
        <v/>
      </c>
      <c r="AAO13" s="102" t="str">
        <f>IF(AND(WSING!$O$58&gt;=91.5,WSING!$O$58&lt;=100),"P","")</f>
        <v/>
      </c>
      <c r="AAP13" t="str">
        <f>IF(WSING!$O$66&lt;74.9,"P","")</f>
        <v/>
      </c>
      <c r="AAQ13" s="102" t="str">
        <f>IF(AND(WSING!$O$66&gt;=75,WSING!$O$66&lt;=83.24),"P","")</f>
        <v/>
      </c>
      <c r="AAR13" s="102" t="str">
        <f>IF(AND(WSING!$O$66&gt;=83.25,WSING!$O$66&lt;=91.4),"P","")</f>
        <v/>
      </c>
      <c r="AAS13" s="102" t="str">
        <f>IF(AND(WSING!$O$66&gt;=91.5,WSING!$O$66&lt;=100),"P","")</f>
        <v/>
      </c>
      <c r="AAT13" t="str">
        <f>IF(WSING!$O$74&lt;74.9,"P","")</f>
        <v/>
      </c>
      <c r="AAU13" s="102" t="str">
        <f>IF(AND(WSING!$O$74&gt;=75,WSING!$O$74&lt;=83.24),"P","")</f>
        <v/>
      </c>
      <c r="AAV13" s="102" t="str">
        <f>IF(AND(WSING!$O$74&gt;=83.25,WSING!$O$74&lt;=91.4),"P","")</f>
        <v/>
      </c>
      <c r="AAW13" s="102" t="str">
        <f>IF(AND(WSING!$O$74&gt;=91.5,WSING!$O$74&lt;=100),"P","")</f>
        <v/>
      </c>
      <c r="AAX13" t="str">
        <f>IF(WSING!$O$82&lt;74.9,"P","")</f>
        <v/>
      </c>
      <c r="AAY13" s="102" t="str">
        <f>IF(AND(WSING!$O$82&gt;=75,WSING!$O$82&lt;=83.24),"P","")</f>
        <v/>
      </c>
      <c r="AAZ13" s="102" t="str">
        <f>IF(AND(WSING!$O$82&gt;=83.25,WSING!$O$82&lt;=91.4),"P","")</f>
        <v/>
      </c>
      <c r="ABA13" s="102" t="str">
        <f>IF(AND(WSING!$O$82&gt;=91.5,WSING!$O$82&lt;=100),"P","")</f>
        <v/>
      </c>
      <c r="ABB13" t="str">
        <f>IF(WSING!$O$90&lt;74.9,"P","")</f>
        <v/>
      </c>
      <c r="ABC13" s="102" t="str">
        <f>IF(AND(WSING!$O$90&gt;=75,WSING!$O$90&lt;=83.24),"P","")</f>
        <v/>
      </c>
      <c r="ABD13" s="102" t="str">
        <f>IF(AND(WSING!$O$90&gt;=83.25,WSING!$O$90&lt;=91.4),"P","")</f>
        <v/>
      </c>
      <c r="ABE13" s="102" t="str">
        <f>IF(AND(WSING!$O$90&gt;=91.5,WSING!$O$90&lt;=100),"P","")</f>
        <v/>
      </c>
      <c r="ABF13" t="str">
        <f>IF(WSING!$O$98&lt;74.9,"P","")</f>
        <v/>
      </c>
      <c r="ABG13" s="102" t="str">
        <f>IF(AND(WSING!$O$98&gt;=75,WSING!$O$98&lt;=83.24),"P","")</f>
        <v/>
      </c>
      <c r="ABH13" s="102" t="str">
        <f>IF(AND(WSING!$O$98&gt;=83.25,WSING!$O$98&lt;=91.4),"P","")</f>
        <v/>
      </c>
      <c r="ABI13" s="102" t="str">
        <f>IF(AND(WSING!$O$98&gt;=91.5,WSING!$O$98&lt;=100),"P","")</f>
        <v/>
      </c>
      <c r="ABJ13" t="str">
        <f>IF(WSING!$O$106&lt;74.9,"P","")</f>
        <v/>
      </c>
      <c r="ABK13" s="102" t="str">
        <f>IF(AND(WSING!$O$106&gt;=75,WSING!$O$106&lt;=83.24),"P","")</f>
        <v/>
      </c>
      <c r="ABL13" s="102" t="str">
        <f>IF(AND(WSING!$O$106&gt;=83.25,WSING!$O$106&lt;=91.4),"P","")</f>
        <v/>
      </c>
      <c r="ABM13" s="102" t="str">
        <f>IF(AND(WSING!$O$106&gt;=91.5,WSING!$O$106&lt;=100),"P","")</f>
        <v/>
      </c>
      <c r="ABN13" t="str">
        <f>IF(WSTIK!$O$6&lt;74.9,"P","")</f>
        <v/>
      </c>
      <c r="ABO13" s="102" t="str">
        <f>IF(AND(WSTIK!$O$6&gt;=75,WSTIK!$O$6&lt;=83.24),"P","")</f>
        <v/>
      </c>
      <c r="ABP13" s="102" t="str">
        <f>IF(AND(WSTIK!$O$6&gt;=83.25,WSTIK!$O$6&lt;=91.4),"P","")</f>
        <v/>
      </c>
      <c r="ABQ13" s="102" t="str">
        <f>IF(AND(WSTIK!$O$6&gt;=91.5,WSTIK!$O$6&lt;=100),"P","")</f>
        <v/>
      </c>
      <c r="ABR13" t="str">
        <f>IF(WSTIK!$O$14&lt;74.9,"P","")</f>
        <v/>
      </c>
      <c r="ABS13" s="102" t="str">
        <f>IF(AND(WSTIK!$O$14&gt;=75,WSTIK!$O$14&lt;=83.24),"P","")</f>
        <v/>
      </c>
      <c r="ABT13" s="102" t="str">
        <f>IF(AND(WSTIK!$O$14&gt;=83.25,WSTIK!$O$14&lt;=91.4),"P","")</f>
        <v/>
      </c>
      <c r="ABU13" s="102" t="str">
        <f>IF(AND(WSTIK!$O$14&gt;=91.5,WSTIK!$O$14&lt;=100),"P","")</f>
        <v/>
      </c>
      <c r="ABV13" t="str">
        <f>IF(WSTIK!$O$22&lt;74.9,"P","")</f>
        <v/>
      </c>
      <c r="ABW13" s="102" t="str">
        <f>IF(AND(WSTIK!$O$22&gt;=75,WSTIK!$O$22&lt;=83.24),"P","")</f>
        <v/>
      </c>
      <c r="ABX13" s="102" t="str">
        <f>IF(AND(WSTIK!$O$22&gt;=83.25,WSTIK!$O$22&lt;=91.4),"P","")</f>
        <v/>
      </c>
      <c r="ABY13" s="102" t="str">
        <f>IF(AND(WSTIK!$O$22&gt;=91.5,WSTIK!$O$22&lt;=100),"P","")</f>
        <v/>
      </c>
      <c r="ABZ13" t="str">
        <f>IF(WSTIK!$O$30&lt;74.9,"P","")</f>
        <v/>
      </c>
      <c r="ACA13" s="102" t="str">
        <f>IF(AND(WSTIK!$O$30&gt;=75,WSTIK!$O$30&lt;=83.24),"P","")</f>
        <v/>
      </c>
      <c r="ACB13" s="102" t="str">
        <f>IF(AND(WSTIK!$O$30&gt;=83.25,WSTIK!$O$30&lt;=91.4),"P","")</f>
        <v/>
      </c>
      <c r="ACC13" s="102" t="str">
        <f>IF(AND(WSTIK!$O$30&gt;=91.5,WSTIK!$O$30&lt;=100),"P","")</f>
        <v/>
      </c>
      <c r="ACD13" t="str">
        <f>IF(WSTIK!$O$38&lt;74.9,"P","")</f>
        <v/>
      </c>
      <c r="ACE13" s="102" t="str">
        <f>IF(AND(WSTIK!$O$38&gt;=75,WSTIK!$O$38&lt;=83.24),"P","")</f>
        <v/>
      </c>
      <c r="ACF13" s="102" t="str">
        <f>IF(AND(WSTIK!$O$38&gt;=83.25,WSTIK!$O$38&lt;=91.4),"P","")</f>
        <v/>
      </c>
      <c r="ACG13" s="102" t="str">
        <f>IF(AND(WSTIK!$O$38&gt;=91.5,WSTIK!$O$38&lt;=100),"P","")</f>
        <v/>
      </c>
      <c r="ACH13" t="str">
        <f>IF(WSTIK!$O$46&lt;74.9,"P","")</f>
        <v/>
      </c>
      <c r="ACI13" s="102" t="str">
        <f>IF(AND(WSTIK!$O$46&gt;=75,WSTIK!$O$46&lt;=83.24),"P","")</f>
        <v/>
      </c>
      <c r="ACJ13" s="102" t="str">
        <f>IF(AND(WSTIK!$O$46&gt;=83.25,WSTIK!$O$46&lt;=91.4),"P","")</f>
        <v/>
      </c>
      <c r="ACK13" s="102" t="str">
        <f>IF(AND(WSTIK!$O$46&gt;=91.5,WSTIK!$O$46&lt;=100),"P","")</f>
        <v/>
      </c>
      <c r="ACL13" t="str">
        <f>IF(WSTIK!$O$54&lt;74.9,"P","")</f>
        <v/>
      </c>
      <c r="ACM13" s="102" t="str">
        <f>IF(AND(WSTIK!$O$54&gt;=75,WSTIK!$O$54&lt;=83.24),"P","")</f>
        <v/>
      </c>
      <c r="ACN13" s="102" t="str">
        <f>IF(AND(WSTIK!$O$54&gt;=83.25,WSTIK!$O$54&lt;=91.4),"P","")</f>
        <v/>
      </c>
      <c r="ACO13" s="102" t="str">
        <f>IF(AND(WSTIK!$O$54&gt;=91.5,WSTIK!$O$54&lt;=100),"P","")</f>
        <v/>
      </c>
      <c r="ACP13" t="str">
        <f>IF(WSTIK!$O$62&lt;74.9,"P","")</f>
        <v/>
      </c>
      <c r="ACQ13" s="102" t="str">
        <f>IF(AND(WSTIK!$O$62&gt;=75,WSTIK!$O$62&lt;=83.24),"P","")</f>
        <v/>
      </c>
      <c r="ACR13" s="102" t="str">
        <f>IF(AND(WSTIK!$O$62&gt;=83.25,WSTIK!$O$62&lt;=91.4),"P","")</f>
        <v/>
      </c>
      <c r="ACS13" s="102" t="str">
        <f>IF(AND(WSTIK!$O$62&gt;=91.5,WSTIK!$O$62&lt;=100),"P","")</f>
        <v/>
      </c>
      <c r="ACT13" t="str">
        <f>IF(WSTIK!$O$70&lt;74.9,"P","")</f>
        <v/>
      </c>
      <c r="ACU13" s="102" t="str">
        <f>IF(AND(WSTIK!$O$70&gt;=75,WSTIK!$O$70&lt;=83.24),"P","")</f>
        <v/>
      </c>
      <c r="ACV13" s="102" t="str">
        <f>IF(AND(WSTIK!$O$70&gt;=83.25,WSTIK!$O$70&lt;=91.4),"P","")</f>
        <v/>
      </c>
      <c r="ACW13" s="102" t="str">
        <f>IF(AND(WSTIK!$O$70&gt;=91.5,WSTIK!$O$70&lt;=100),"P","")</f>
        <v/>
      </c>
      <c r="ACX13" t="str">
        <f>IF(WSTIK!$O$78&lt;74.9,"P","")</f>
        <v/>
      </c>
      <c r="ACY13" s="102" t="str">
        <f>IF(AND(WSTIK!$O$78&gt;=75,WSTIK!$O$78&lt;=83.24),"P","")</f>
        <v/>
      </c>
      <c r="ACZ13" s="102" t="str">
        <f>IF(AND(WSTIK!$O$78&gt;=83.25,WSTIK!$O$78&lt;=91.4),"P","")</f>
        <v/>
      </c>
      <c r="ADA13" s="102" t="str">
        <f>IF(AND(WSTIK!$O$78&gt;=91.5,WSTIK!$O$78&lt;=100),"P","")</f>
        <v/>
      </c>
      <c r="ADB13" t="str">
        <f>IF(WSTIK!$O$86&lt;74.9,"P","")</f>
        <v/>
      </c>
      <c r="ADC13" s="102" t="str">
        <f>IF(AND(WSTIK!$O$86&gt;=75,WSTIK!$O$86&lt;=83.24),"P","")</f>
        <v/>
      </c>
      <c r="ADD13" s="102" t="str">
        <f>IF(AND(WSTIK!$O$86&gt;=83.25,WSTIK!$O$86&lt;=91.4),"P","")</f>
        <v/>
      </c>
      <c r="ADE13" s="102" t="str">
        <f>IF(AND(WSTIK!$O$86&gt;=91.5,WSTIK!$O$86&lt;=100),"P","")</f>
        <v/>
      </c>
      <c r="ADF13" t="str">
        <f>IF(WSTIK!$O$94&lt;74.9,"P","")</f>
        <v/>
      </c>
      <c r="ADG13" s="102" t="str">
        <f>IF(AND(WSTIK!$O$94&gt;=75,WSTIK!$O$94&lt;=83.24),"P","")</f>
        <v/>
      </c>
      <c r="ADH13" s="102" t="str">
        <f>IF(AND(WSTIK!$O$94&gt;=83.25,WSTIK!$O$94&lt;=91.4),"P","")</f>
        <v/>
      </c>
      <c r="ADI13" s="102" t="str">
        <f>IF(AND(WSTIK!$O$94&gt;=91.5,WSTIK!$O$94&lt;=100),"P","")</f>
        <v/>
      </c>
      <c r="ADJ13" t="str">
        <f>IF(WSTIK!$O$102&lt;74.9,"P","")</f>
        <v/>
      </c>
      <c r="ADK13" s="102" t="str">
        <f>IF(AND(WSTIK!$O$102&gt;=75,WSTIK!$O$102&lt;=83.24),"P","")</f>
        <v/>
      </c>
      <c r="ADL13" s="102" t="str">
        <f>IF(AND(WSTIK!$O$102&gt;=83.25,WSTIK!$O$102&lt;=91.4),"P","")</f>
        <v/>
      </c>
      <c r="ADM13" s="102" t="str">
        <f>IF(AND(WSTIK!$O$102&gt;=91.5,WSTIK!$O$102&lt;=100),"P","")</f>
        <v/>
      </c>
      <c r="ADN13" t="str">
        <f>IF(WSASWAJA!$O$6&lt;74.9,"P","")</f>
        <v/>
      </c>
      <c r="ADO13" s="102" t="str">
        <f>IF(AND(WSASWAJA!$O$6&gt;=75,WSASWAJA!$O$6&lt;=83.24),"P","")</f>
        <v/>
      </c>
      <c r="ADP13" s="102" t="str">
        <f>IF(AND(WSASWAJA!$O$6&gt;=83.25,WSASWAJA!$O$6&lt;=91.4),"P","")</f>
        <v/>
      </c>
      <c r="ADQ13" s="102" t="str">
        <f>IF(AND(WSASWAJA!$O$6&gt;=91.5,WSASWAJA!$O$6&lt;=100),"P","")</f>
        <v/>
      </c>
      <c r="ADR13" t="str">
        <f>IF(WSASWAJA!$O$14&lt;74.9,"P","")</f>
        <v/>
      </c>
      <c r="ADS13" s="102" t="str">
        <f>IF(AND(WSASWAJA!$O$14&gt;=75,WSASWAJA!$O$14&lt;=83.24),"P","")</f>
        <v/>
      </c>
      <c r="ADT13" s="102" t="str">
        <f>IF(AND(WSASWAJA!$O$14&gt;=83.25,WSASWAJA!$O$14&lt;=91.4),"P","")</f>
        <v/>
      </c>
      <c r="ADU13" s="102" t="str">
        <f>IF(AND(WSASWAJA!$O$14&gt;=91.5,WSASWAJA!$O$14&lt;=100),"P","")</f>
        <v/>
      </c>
      <c r="ADV13" t="str">
        <f>IF(WSASWAJA!$O$22&lt;74.9,"P","")</f>
        <v/>
      </c>
      <c r="ADW13" s="102" t="str">
        <f>IF(AND(WSASWAJA!$O$22&gt;=75,WSASWAJA!$O$22&lt;=83.24),"P","")</f>
        <v/>
      </c>
      <c r="ADX13" s="102" t="str">
        <f>IF(AND(WSASWAJA!$O$22&gt;=83.25,WSASWAJA!$O$22&lt;=91.4),"P","")</f>
        <v/>
      </c>
      <c r="ADY13" s="102" t="str">
        <f>IF(AND(WSASWAJA!$O$22&gt;=91.5,WSASWAJA!$O$22&lt;=100),"P","")</f>
        <v/>
      </c>
      <c r="ADZ13" t="str">
        <f>IF(WSASWAJA!$O$30&lt;74.9,"P","")</f>
        <v/>
      </c>
      <c r="AEA13" s="102" t="str">
        <f>IF(AND(WSASWAJA!$O$30&gt;=75,WSASWAJA!$O$30&lt;=83.24),"P","")</f>
        <v/>
      </c>
      <c r="AEB13" s="102" t="str">
        <f>IF(AND(WSASWAJA!$O$30&gt;=83.25,WSASWAJA!$O$30&lt;=91.4),"P","")</f>
        <v/>
      </c>
      <c r="AEC13" s="102" t="str">
        <f>IF(AND(WSASWAJA!$O$30&gt;=91.5,WSASWAJA!$O$30&lt;=100),"P","")</f>
        <v/>
      </c>
      <c r="AED13" t="str">
        <f>IF(WSASWAJA!$O$38&lt;74.9,"P","")</f>
        <v/>
      </c>
      <c r="AEE13" s="102" t="str">
        <f>IF(AND(WSASWAJA!$O$38&gt;=75,WSASWAJA!$O$38&lt;=83.24),"P","")</f>
        <v/>
      </c>
      <c r="AEF13" s="102" t="str">
        <f>IF(AND(WSASWAJA!$O$38&gt;=83.25,WSASWAJA!$O$38&lt;=91.4),"P","")</f>
        <v/>
      </c>
      <c r="AEG13" s="102" t="str">
        <f>IF(AND(WSASWAJA!$O$38&gt;=91.5,WSASWAJA!$O$38&lt;=100),"P","")</f>
        <v/>
      </c>
      <c r="AEH13" t="str">
        <f>IF(WSASWAJA!$O$46&lt;74.9,"P","")</f>
        <v/>
      </c>
      <c r="AEI13" s="102" t="str">
        <f>IF(AND(WSASWAJA!$O$46&gt;=75,WSASWAJA!$O$46&lt;=83.24),"P","")</f>
        <v/>
      </c>
      <c r="AEJ13" s="102" t="str">
        <f>IF(AND(WSASWAJA!$O$46&gt;=83.25,WSASWAJA!$O$46&lt;=91.4),"P","")</f>
        <v/>
      </c>
      <c r="AEK13" s="102" t="str">
        <f>IF(AND(WSASWAJA!$O$46&gt;=91.5,WSASWAJA!$O$46&lt;=100),"P","")</f>
        <v/>
      </c>
      <c r="AEL13" t="str">
        <f>IF(WSASWAJA!$O$54&lt;74.9,"P","")</f>
        <v/>
      </c>
      <c r="AEM13" s="102" t="str">
        <f>IF(AND(WSASWAJA!$O$54&gt;=75,WSASWAJA!$O$54&lt;=83.24),"P","")</f>
        <v/>
      </c>
      <c r="AEN13" s="102" t="str">
        <f>IF(AND(WSASWAJA!$O$54&gt;=83.25,WSASWAJA!$O$54&lt;=91.4),"P","")</f>
        <v/>
      </c>
      <c r="AEO13" s="102" t="str">
        <f>IF(AND(WSASWAJA!$O$54&gt;=91.5,WSASWAJA!$O$54&lt;=100),"P","")</f>
        <v/>
      </c>
      <c r="AEP13" t="str">
        <f>IF(WSASWAJA!$O$62&lt;74.9,"P","")</f>
        <v/>
      </c>
      <c r="AEQ13" s="102" t="str">
        <f>IF(AND(WSASWAJA!$O$62&gt;=75,WSASWAJA!$O$62&lt;=83.24),"P","")</f>
        <v/>
      </c>
      <c r="AER13" s="102" t="str">
        <f>IF(AND(WSASWAJA!$O$62&gt;=83.25,WSASWAJA!$O$62&lt;=91.4),"P","")</f>
        <v/>
      </c>
      <c r="AES13" s="102" t="str">
        <f>IF(AND(WSASWAJA!$O$62&gt;=91.5,WSASWAJA!$O$62&lt;=100),"P","")</f>
        <v/>
      </c>
      <c r="AET13" t="str">
        <f>IF(WSASWAJA!$O$70&lt;74.9,"P","")</f>
        <v/>
      </c>
      <c r="AEU13" s="102" t="str">
        <f>IF(AND(WSASWAJA!$O$70&gt;=75,WSASWAJA!$O$70&lt;=83.24),"P","")</f>
        <v/>
      </c>
      <c r="AEV13" s="102" t="str">
        <f>IF(AND(WSASWAJA!$O$70&gt;=83.25,WSASWAJA!$O$70&lt;=91.4),"P","")</f>
        <v/>
      </c>
      <c r="AEW13" s="102" t="str">
        <f>IF(AND(WSASWAJA!$O$70&gt;=91.5,WSASWAJA!$O$70&lt;=100),"P","")</f>
        <v/>
      </c>
      <c r="AEX13" t="str">
        <f>IF(WSASWAJA!$O$78&lt;74.9,"P","")</f>
        <v/>
      </c>
      <c r="AEY13" s="102" t="str">
        <f>IF(AND(WSASWAJA!$O$78&gt;=75,WSASWAJA!$O$78&lt;=83.24),"P","")</f>
        <v/>
      </c>
      <c r="AEZ13" s="102" t="str">
        <f>IF(AND(WSASWAJA!$O$78&gt;=83.25,WSASWAJA!$O$78&lt;=91.4),"P","")</f>
        <v/>
      </c>
      <c r="AFA13" s="102" t="str">
        <f>IF(AND(WSASWAJA!$O$78&gt;=91.5,WSASWAJA!$O$78&lt;=100),"P","")</f>
        <v/>
      </c>
      <c r="AFB13" t="str">
        <f>IF(WSASWAJA!$O$86&lt;74.9,"P","")</f>
        <v/>
      </c>
      <c r="AFC13" s="102" t="str">
        <f>IF(AND(WSASWAJA!$O$86&gt;=75,WSASWAJA!$O$86&lt;=83.24),"P","")</f>
        <v/>
      </c>
      <c r="AFD13" s="102" t="str">
        <f>IF(AND(WSASWAJA!$O$86&gt;=83.25,WSASWAJA!$O$86&lt;=91.4),"P","")</f>
        <v/>
      </c>
      <c r="AFE13" s="102" t="str">
        <f>IF(AND(WSASWAJA!$O$86&gt;=91.5,WSASWAJA!$O$86&lt;=100),"P","")</f>
        <v/>
      </c>
      <c r="AFF13" t="str">
        <f>IF(WSASWAJA!$O$94&lt;74.9,"P","")</f>
        <v/>
      </c>
      <c r="AFG13" s="102" t="str">
        <f>IF(AND(WSASWAJA!$O$94&gt;=75,WSASWAJA!$O$94&lt;=83.24),"P","")</f>
        <v/>
      </c>
      <c r="AFH13" s="102" t="str">
        <f>IF(AND(WSASWAJA!$O$94&gt;=83.25,WSASWAJA!$O$94&lt;=91.4),"P","")</f>
        <v/>
      </c>
      <c r="AFI13" s="102" t="str">
        <f>IF(AND(WSASWAJA!$O$94&gt;=91.5,WSASWAJA!$O$94&lt;=100),"P","")</f>
        <v/>
      </c>
      <c r="AFJ13" t="str">
        <f>IF(WSASWAJA!$O$102&lt;74.9,"P","")</f>
        <v/>
      </c>
      <c r="AFK13" s="102" t="str">
        <f>IF(AND(WSASWAJA!$O$102&gt;=75,WSASWAJA!$O$102&lt;=83.24),"P","")</f>
        <v/>
      </c>
      <c r="AFL13" s="102" t="str">
        <f>IF(AND(WSASWAJA!$O$102&gt;=83.25,WSASWAJA!$O$102&lt;=91.4),"P","")</f>
        <v/>
      </c>
      <c r="AFM13" s="102" t="str">
        <f>IF(AND(WSASWAJA!$O$102&gt;=91.5,WSASWAJA!$O$102&lt;=100),"P","")</f>
        <v/>
      </c>
    </row>
    <row r="14" spans="1:852" ht="20.100000000000001" customHeight="1">
      <c r="A14">
        <v>12</v>
      </c>
      <c r="B14" t="str">
        <f>IF(WSALQURAN!$P$6&lt;74.9,"P","")</f>
        <v/>
      </c>
      <c r="C14" s="102" t="str">
        <f>IF(AND(WSALQURAN!$P$6&gt;=75,WSALQURAN!$P$6&lt;=83.24),"P","")</f>
        <v/>
      </c>
      <c r="D14" s="102" t="str">
        <f>IF(AND(WSALQURAN!$P$6&gt;=83.25,WSALQURAN!$P$6&lt;=91.4),"P","")</f>
        <v/>
      </c>
      <c r="E14" s="102" t="str">
        <f>IF(AND(WSALQURAN!$P$6&gt;=91.5,WSALQURAN!$P$6&lt;=100),"P","")</f>
        <v>P</v>
      </c>
      <c r="F14" t="str">
        <f>IF(WSALQURAN!$P$14&lt;74.9,"P","")</f>
        <v/>
      </c>
      <c r="G14" s="102" t="str">
        <f>IF(AND(WSALQURAN!$P$14&gt;=75,WSALQURAN!$P$14&lt;=83.24),"P","")</f>
        <v/>
      </c>
      <c r="H14" s="102" t="str">
        <f>IF(AND(WSALQURAN!$P$14&gt;=83.25,WSALQURAN!$P$14&lt;=91.4),"P","")</f>
        <v/>
      </c>
      <c r="I14" s="102" t="str">
        <f>IF(AND(WSALQURAN!$P$14&gt;=91.5,WSALQURAN!$P$14&lt;=100),"P","")</f>
        <v>P</v>
      </c>
      <c r="J14" t="str">
        <f>IF(WSALQURAN!$P$22&lt;74.9,"P","")</f>
        <v/>
      </c>
      <c r="K14" s="102" t="str">
        <f>IF(AND(WSALQURAN!$P$22&gt;=75,WSALQURAN!$P$22&lt;=83.24),"P","")</f>
        <v/>
      </c>
      <c r="L14" s="102" t="str">
        <f>IF(AND(WSALQURAN!$P$22&gt;=83.25,WSALQURAN!$P$22&lt;=91.4),"P","")</f>
        <v/>
      </c>
      <c r="M14" s="102" t="str">
        <f>IF(AND(WSALQURAN!$P$22&gt;=91.5,WSALQURAN!$P$22&lt;=100),"P","")</f>
        <v>P</v>
      </c>
      <c r="N14" t="str">
        <f>IF(WSALQURAN!$P$30&lt;74.9,"P","")</f>
        <v/>
      </c>
      <c r="O14" s="102" t="str">
        <f>IF(AND(WSALQURAN!$P$30&gt;=75,WSALQURAN!$P$30&lt;=83.24),"P","")</f>
        <v/>
      </c>
      <c r="P14" s="102" t="str">
        <f>IF(AND(WSALQURAN!$P$30&gt;=83.25,WSALQURAN!$P$30&lt;=91.4),"P","")</f>
        <v/>
      </c>
      <c r="Q14" s="102" t="str">
        <f>IF(AND(WSALQURAN!$P$30&gt;=91.5,WSALQURAN!$P$30&lt;=100),"P","")</f>
        <v>P</v>
      </c>
      <c r="R14" t="str">
        <f>IF(WSALQURAN!$P$38&lt;74.9,"P","")</f>
        <v/>
      </c>
      <c r="S14" s="102" t="str">
        <f>IF(AND(WSALQURAN!$P$38&gt;=75,WSALQURAN!$P$38&lt;=83.24),"P","")</f>
        <v/>
      </c>
      <c r="T14" s="102" t="str">
        <f>IF(AND(WSALQURAN!$P$38&gt;=83.25,WSALQURAN!$P$38&lt;=91.4),"P","")</f>
        <v/>
      </c>
      <c r="U14" s="102" t="str">
        <f>IF(AND(WSALQURAN!$P$38&gt;=91.5,WSALQURAN!$P$38&lt;=100),"P","")</f>
        <v>P</v>
      </c>
      <c r="V14" t="str">
        <f>IF(WSALQURAN!$P$46&lt;74.9,"P","")</f>
        <v/>
      </c>
      <c r="W14" s="102" t="str">
        <f>IF(AND(WSALQURAN!$P$46&gt;=75,WSALQURAN!$P$46&lt;=83.24),"P","")</f>
        <v/>
      </c>
      <c r="X14" s="102" t="str">
        <f>IF(AND(WSALQURAN!$P$46&gt;=83.25,WSALQURAN!$P$46&lt;=91.4),"P","")</f>
        <v/>
      </c>
      <c r="Y14" s="102" t="str">
        <f>IF(AND(WSALQURAN!$P$46&gt;=91.5,WSALQURAN!$P$46&lt;=100),"P","")</f>
        <v>P</v>
      </c>
      <c r="Z14" t="str">
        <f>IF(WSALQURAN!$P$54&lt;74.9,"P","")</f>
        <v/>
      </c>
      <c r="AA14" s="102" t="str">
        <f>IF(AND(WSALQURAN!$P$54&gt;=75,WSALQURAN!$P$54&lt;=83.24),"P","")</f>
        <v/>
      </c>
      <c r="AB14" s="102" t="str">
        <f>IF(AND(WSALQURAN!$P$54&gt;=83.25,WSALQURAN!$P$54&lt;=91.4),"P","")</f>
        <v/>
      </c>
      <c r="AC14" s="102" t="str">
        <f>IF(AND(WSALQURAN!$P$54&gt;=91.5,WSALQURAN!$P$54&lt;=100),"P","")</f>
        <v>P</v>
      </c>
      <c r="AD14" t="str">
        <f>IF(WSALQURAN!$P$62&lt;74.9,"P","")</f>
        <v/>
      </c>
      <c r="AE14" s="102" t="str">
        <f>IF(AND(WSALQURAN!$P$62&gt;=75,WSALQURAN!$P$62&lt;=83.24),"P","")</f>
        <v/>
      </c>
      <c r="AF14" s="102" t="str">
        <f>IF(AND(WSALQURAN!$P$62&gt;=83.25,WSALQURAN!$P$62&lt;=91.4),"P","")</f>
        <v/>
      </c>
      <c r="AG14" s="102" t="str">
        <f>IF(AND(WSALQURAN!$P$62&gt;=91.5,WSALQURAN!$P$62&lt;=100),"P","")</f>
        <v/>
      </c>
      <c r="AH14" t="str">
        <f>IF(WSALQURAN!$P$70&lt;74.9,"P","")</f>
        <v/>
      </c>
      <c r="AI14" s="102" t="str">
        <f>IF(AND(WSALQURAN!$P$70&gt;=75,WSALQURAN!$P$70&lt;=83.24),"P","")</f>
        <v/>
      </c>
      <c r="AJ14" s="102" t="str">
        <f>IF(AND(WSALQURAN!$P$70&gt;=83.25,WSALQURAN!$P$70&lt;=91.4),"P","")</f>
        <v/>
      </c>
      <c r="AK14" s="102" t="str">
        <f>IF(AND(WSALQURAN!$P$70&gt;=91.5,WSALQURAN!$P$70&lt;=100),"P","")</f>
        <v/>
      </c>
      <c r="AL14" t="str">
        <f>IF(WSALQURAN!$P$78&lt;74.9,"P","")</f>
        <v/>
      </c>
      <c r="AM14" s="102" t="str">
        <f>IF(AND(WSALQURAN!$P$78&gt;=75,WSALQURAN!$P$78&lt;=83.24),"P","")</f>
        <v/>
      </c>
      <c r="AN14" s="102" t="str">
        <f>IF(AND(WSALQURAN!$P$78&gt;=83.25,WSALQURAN!$P$78&lt;=91.4),"P","")</f>
        <v/>
      </c>
      <c r="AO14" s="102" t="str">
        <f>IF(AND(WSALQURAN!$P$78&gt;=91.5,WSALQURAN!$P$78&lt;=100),"P","")</f>
        <v/>
      </c>
      <c r="AP14" t="str">
        <f>IF(WSALQURAN!$P$86&lt;74.9,"P","")</f>
        <v/>
      </c>
      <c r="AQ14" s="102" t="str">
        <f>IF(AND(WSALQURAN!$P$86&gt;=75,WSALQURAN!$P$86&lt;=83.24),"P","")</f>
        <v/>
      </c>
      <c r="AR14" s="102" t="str">
        <f>IF(AND(WSALQURAN!$P$86&gt;=83.25,WSALQURAN!$P$86&lt;=91.4),"P","")</f>
        <v/>
      </c>
      <c r="AS14" s="102" t="str">
        <f>IF(AND(WSALQURAN!$P$86&gt;=91.5,WSALQURAN!$P$86&lt;=100),"P","")</f>
        <v/>
      </c>
      <c r="AT14" t="str">
        <f>IF(WSALQURAN!$P$94&lt;74.9,"P","")</f>
        <v/>
      </c>
      <c r="AU14" s="102" t="str">
        <f>IF(AND(WSALQURAN!$P$94&gt;=75,WSALQURAN!$P$94&lt;=83.24),"P","")</f>
        <v/>
      </c>
      <c r="AV14" s="102" t="str">
        <f>IF(AND(WSALQURAN!$P$94&gt;=83.25,WSALQURAN!$P$94&lt;=91.4),"P","")</f>
        <v/>
      </c>
      <c r="AW14" s="102" t="str">
        <f>IF(AND(WSALQURAN!$P$94&gt;=91.5,WSALQURAN!$P$94&lt;=100),"P","")</f>
        <v/>
      </c>
      <c r="AX14" t="str">
        <f>IF(WSALQURAN!$P$102&lt;74.9,"P","")</f>
        <v/>
      </c>
      <c r="AY14" s="102" t="str">
        <f>IF(AND(WSALQURAN!$P$102&gt;=75,WSALQURAN!$P$102&lt;=83.24),"P","")</f>
        <v/>
      </c>
      <c r="AZ14" s="102" t="str">
        <f>IF(AND(WSALQURAN!$P$102&gt;=83.25,WSALQURAN!$P$102&lt;=91.4),"P","")</f>
        <v/>
      </c>
      <c r="BA14" s="102" t="str">
        <f>IF(AND(WSALQURAN!$P$102&gt;=91.5,WSALQURAN!$P$102&lt;=100),"P","")</f>
        <v/>
      </c>
      <c r="BB14" t="str">
        <f>IF(WSAQIDAH!$P$6&lt;74.9,"P","")</f>
        <v/>
      </c>
      <c r="BC14" s="102" t="str">
        <f>IF(AND(WSAQIDAH!$P$6&gt;=75,WSAQIDAH!$P$6&lt;=83.24),"P","")</f>
        <v/>
      </c>
      <c r="BD14" s="102" t="str">
        <f>IF(AND(WSAQIDAH!$P$6&gt;=83.25,WSAQIDAH!$P$6&lt;=91.4),"P","")</f>
        <v>P</v>
      </c>
      <c r="BE14" s="102" t="str">
        <f>IF(AND(WSAQIDAH!$P$6&gt;=91.5,WSAQIDAH!$P$6&lt;=100),"P","")</f>
        <v/>
      </c>
      <c r="BF14" t="str">
        <f>IF(WSAQIDAH!$P$14&lt;74.9,"P","")</f>
        <v/>
      </c>
      <c r="BG14" s="102" t="str">
        <f>IF(AND(WSAQIDAH!$P$14&gt;=75,WSAQIDAH!$P$14&lt;=83.24),"P","")</f>
        <v/>
      </c>
      <c r="BH14" s="102" t="str">
        <f>IF(AND(WSAQIDAH!$P$14&gt;=83.25,WSAQIDAH!$P$14&lt;=91.4),"P","")</f>
        <v/>
      </c>
      <c r="BI14" s="102" t="str">
        <f>IF(AND(WSAQIDAH!$P$14&gt;=91.5,WSAQIDAH!$P$14&lt;=100),"P","")</f>
        <v>P</v>
      </c>
      <c r="BJ14" t="str">
        <f>IF(WSAQIDAH!$P$22&lt;74.9,"P","")</f>
        <v/>
      </c>
      <c r="BK14" s="102" t="str">
        <f>IF(AND(WSAQIDAH!$P$22&gt;=75,WSAQIDAH!$P$22&lt;=83.24),"P","")</f>
        <v>P</v>
      </c>
      <c r="BL14" s="102" t="str">
        <f>IF(AND(WSAQIDAH!$P$22&gt;=83.25,WSAQIDAH!$P$22&lt;=91.4),"P","")</f>
        <v/>
      </c>
      <c r="BM14" s="102" t="str">
        <f>IF(AND(WSAQIDAH!$P$22&gt;=91.5,WSAQIDAH!$P$22&lt;=100),"P","")</f>
        <v/>
      </c>
      <c r="BN14" t="str">
        <f>IF(WSAQIDAH!$P$30&lt;74.9,"P","")</f>
        <v/>
      </c>
      <c r="BO14" s="102" t="str">
        <f>IF(AND(WSAQIDAH!$P$30&gt;=75,WSAQIDAH!$P$30&lt;=83.24),"P","")</f>
        <v/>
      </c>
      <c r="BP14" s="102" t="str">
        <f>IF(AND(WSAQIDAH!$P$30&gt;=83.25,WSAQIDAH!$P$30&lt;=91.4),"P","")</f>
        <v>P</v>
      </c>
      <c r="BQ14" s="102" t="str">
        <f>IF(AND(WSAQIDAH!$P$30&gt;=91.5,WSAQIDAH!$P$30&lt;=100),"P","")</f>
        <v/>
      </c>
      <c r="BR14" t="str">
        <f>IF(WSAQIDAH!$P$38&lt;74.9,"P","")</f>
        <v/>
      </c>
      <c r="BS14" s="102" t="str">
        <f>IF(AND(WSAQIDAH!$P$38&gt;=75,WSAQIDAH!$P$38&lt;=83.24),"P","")</f>
        <v/>
      </c>
      <c r="BT14" s="102" t="str">
        <f>IF(AND(WSAQIDAH!$P$38&gt;=83.25,WSAQIDAH!$P$38&lt;=91.4),"P","")</f>
        <v/>
      </c>
      <c r="BU14" s="102" t="str">
        <f>IF(AND(WSAQIDAH!$P$38&gt;=91.5,WSAQIDAH!$P$38&lt;=100),"P","")</f>
        <v>P</v>
      </c>
      <c r="BV14" t="str">
        <f>IF(WSAQIDAH!$P$46&lt;74.9,"P","")</f>
        <v/>
      </c>
      <c r="BW14" s="102" t="str">
        <f>IF(AND(WSAQIDAH!$P$46&gt;=75,WSAQIDAH!$P$46&lt;=83.24),"P","")</f>
        <v/>
      </c>
      <c r="BX14" s="102" t="str">
        <f>IF(AND(WSAQIDAH!$P$46&gt;=83.25,WSAQIDAH!$P$46&lt;=91.4),"P","")</f>
        <v/>
      </c>
      <c r="BY14" s="102" t="str">
        <f>IF(AND(WSAQIDAH!$P$46&gt;=91.5,WSAQIDAH!$P$46&lt;=100),"P","")</f>
        <v>P</v>
      </c>
      <c r="BZ14" t="str">
        <f>IF(WSAQIDAH!$P$54&lt;74.9,"P","")</f>
        <v/>
      </c>
      <c r="CA14" s="102" t="str">
        <f>IF(AND(WSAQIDAH!$P$54&gt;=75,WSAQIDAH!$P$54&lt;=83.24),"P","")</f>
        <v/>
      </c>
      <c r="CB14" s="102" t="str">
        <f>IF(AND(WSAQIDAH!$P$54&gt;=83.25,WSAQIDAH!$P$54&lt;=91.4),"P","")</f>
        <v>P</v>
      </c>
      <c r="CC14" s="102" t="str">
        <f>IF(AND(WSAQIDAH!$P$54&gt;=91.5,WSAQIDAH!$P$54&lt;=100),"P","")</f>
        <v/>
      </c>
      <c r="CD14" t="str">
        <f>IF(WSAQIDAH!$P$62&lt;74.9,"P","")</f>
        <v/>
      </c>
      <c r="CE14" s="102" t="str">
        <f>IF(AND(WSAQIDAH!$P$62&gt;=75,WSAQIDAH!$P$62&lt;=83.24),"P","")</f>
        <v/>
      </c>
      <c r="CF14" s="102" t="str">
        <f>IF(AND(WSAQIDAH!$P$62&gt;=83.25,WSAQIDAH!$P$62&lt;=91.4),"P","")</f>
        <v>P</v>
      </c>
      <c r="CG14" s="102" t="str">
        <f>IF(AND(WSAQIDAH!$P$62&gt;=91.5,WSAQIDAH!$P$62&lt;=100),"P","")</f>
        <v/>
      </c>
      <c r="CH14" t="str">
        <f>IF(WSAQIDAH!$P$70&lt;74.9,"P","")</f>
        <v/>
      </c>
      <c r="CI14" s="102" t="str">
        <f>IF(AND(WSAQIDAH!$P$70&gt;=75,WSAQIDAH!$P$70&lt;=83.24),"P","")</f>
        <v/>
      </c>
      <c r="CJ14" s="102" t="str">
        <f>IF(AND(WSAQIDAH!$P$70&gt;=83.25,WSAQIDAH!$P$70&lt;=91.4),"P","")</f>
        <v>P</v>
      </c>
      <c r="CK14" s="102" t="str">
        <f>IF(AND(WSAQIDAH!$P$70&gt;=91.5,WSAQIDAH!$P$70&lt;=100),"P","")</f>
        <v/>
      </c>
      <c r="CL14" t="str">
        <f>IF(WSAQIDAH!$P$78&lt;74.9,"P","")</f>
        <v/>
      </c>
      <c r="CM14" s="102" t="str">
        <f>IF(AND(WSAQIDAH!$P$78&gt;=75,WSAQIDAH!$P$78&lt;=83.24),"P","")</f>
        <v/>
      </c>
      <c r="CN14" s="102" t="str">
        <f>IF(AND(WSAQIDAH!$P$78&gt;=83.25,WSAQIDAH!$P$78&lt;=91.4),"P","")</f>
        <v>P</v>
      </c>
      <c r="CO14" s="102" t="str">
        <f>IF(AND(WSAQIDAH!$P$78&gt;=91.5,WSAQIDAH!$P$78&lt;=100),"P","")</f>
        <v/>
      </c>
      <c r="CP14" t="str">
        <f>IF(WSAQIDAH!$P$86&lt;74.9,"P","")</f>
        <v/>
      </c>
      <c r="CQ14" s="102" t="str">
        <f>IF(AND(WSAQIDAH!$P$86&gt;=75,WSAQIDAH!$P$86&lt;=83.24),"P","")</f>
        <v/>
      </c>
      <c r="CR14" s="102" t="str">
        <f>IF(AND(WSAQIDAH!$P$86&gt;=83.25,WSAQIDAH!$P$86&lt;=91.4),"P","")</f>
        <v/>
      </c>
      <c r="CS14" s="102" t="str">
        <f>IF(AND(WSAQIDAH!$P$86&gt;=91.5,WSAQIDAH!$P$86&lt;=100),"P","")</f>
        <v/>
      </c>
      <c r="CT14" t="str">
        <f>IF(WSAQIDAH!$P$94&lt;74.9,"P","")</f>
        <v/>
      </c>
      <c r="CU14" s="102" t="str">
        <f>IF(AND(WSAQIDAH!$P$94&gt;=75,WSAQIDAH!$P$94&lt;=83.24),"P","")</f>
        <v/>
      </c>
      <c r="CV14" s="102" t="str">
        <f>IF(AND(WSAQIDAH!$P$94&gt;=83.25,WSAQIDAH!$P$94&lt;=91.4),"P","")</f>
        <v/>
      </c>
      <c r="CW14" s="102" t="str">
        <f>IF(AND(WSAQIDAH!$P$94&gt;=91.5,WSAQIDAH!$P$94&lt;=100),"P","")</f>
        <v/>
      </c>
      <c r="CX14" t="str">
        <f>IF(WSAQIDAH!$P$102&lt;74.9,"P","")</f>
        <v/>
      </c>
      <c r="CY14" s="102" t="str">
        <f>IF(AND(WSAQIDAH!$P$102&gt;=75,WSAQIDAH!$P$102&lt;=83.24),"P","")</f>
        <v/>
      </c>
      <c r="CZ14" s="102" t="str">
        <f>IF(AND(WSAQIDAH!$P$102&gt;=83.25,WSAQIDAH!$P$102&lt;=91.4),"P","")</f>
        <v/>
      </c>
      <c r="DA14" s="102" t="str">
        <f>IF(AND(WSAQIDAH!$P$102&gt;=91.5,WSAQIDAH!$P$102&lt;=100),"P","")</f>
        <v/>
      </c>
      <c r="DB14" t="str">
        <f>IF(WSSKI!$P$6&lt;74.9,"P","")</f>
        <v/>
      </c>
      <c r="DC14" s="102" t="str">
        <f>IF(AND(WSSKI!$P$6&gt;=75,WSSKI!$P$6&lt;=83.24),"P","")</f>
        <v/>
      </c>
      <c r="DD14" s="102" t="str">
        <f>IF(AND(WSSKI!$P$6&gt;=83.25,WSSKI!$P$6&lt;=91.4),"P","")</f>
        <v/>
      </c>
      <c r="DE14" s="102" t="str">
        <f>IF(AND(WSSKI!$P$6&gt;=91.5,WSSKI!$P$6&lt;=100),"P","")</f>
        <v>P</v>
      </c>
      <c r="DF14" t="str">
        <f>IF(WSSKI!$P$14&lt;74.9,"P","")</f>
        <v/>
      </c>
      <c r="DG14" s="102" t="str">
        <f>IF(AND(WSSKI!$P$14&gt;=75,WSSKI!$P$14&lt;=83.24),"P","")</f>
        <v/>
      </c>
      <c r="DH14" s="102" t="str">
        <f>IF(AND(WSSKI!$P$14&gt;=83.25,WSSKI!$P$14&lt;=91.4),"P","")</f>
        <v/>
      </c>
      <c r="DI14" s="102" t="str">
        <f>IF(AND(WSSKI!$P$14&gt;=91.5,WSSKI!$P$14&lt;=100),"P","")</f>
        <v>P</v>
      </c>
      <c r="DJ14" t="str">
        <f>IF(WSSKI!$P$23&lt;74.9,"P","")</f>
        <v/>
      </c>
      <c r="DK14" s="102" t="str">
        <f>IF(AND(WSSKI!$P$23&gt;=75,WSSKI!$P$23&lt;=83.24),"P","")</f>
        <v/>
      </c>
      <c r="DL14" s="102" t="str">
        <f>IF(AND(WSSKI!$P$23&gt;=83.25,WSSKI!$P$23&lt;=91.4),"P","")</f>
        <v>P</v>
      </c>
      <c r="DM14" s="102" t="str">
        <f>IF(AND(WSSKI!$P$23&gt;=91.5,WSSKI!$P$23&lt;=100),"P","")</f>
        <v/>
      </c>
      <c r="DN14" t="str">
        <f>IF(WSSKI!$P$31&lt;74.9,"P","")</f>
        <v/>
      </c>
      <c r="DO14" s="102" t="str">
        <f>IF(AND(WSSKI!$P$31&gt;=75,WSSKI!$P$31&lt;=83.24),"P","")</f>
        <v/>
      </c>
      <c r="DP14" s="102" t="str">
        <f>IF(AND(WSSKI!$P$31&gt;=83.25,WSSKI!$P$31&lt;=91.4),"P","")</f>
        <v>P</v>
      </c>
      <c r="DQ14" s="102" t="str">
        <f>IF(AND(WSSKI!$P$31&gt;=91.5,WSSKI!$P$31&lt;=100),"P","")</f>
        <v/>
      </c>
      <c r="DR14" t="str">
        <f>IF(WSSKI!$P$40&lt;74.9,"P","")</f>
        <v/>
      </c>
      <c r="DS14" s="102" t="str">
        <f>IF(AND(WSSKI!$P$40&gt;=75,WSSKI!$P$40&lt;=83.24),"P","")</f>
        <v/>
      </c>
      <c r="DT14" s="102" t="str">
        <f>IF(AND(WSSKI!$P$40&gt;=83.25,WSSKI!$P$40&lt;=91.4),"P","")</f>
        <v/>
      </c>
      <c r="DU14" s="102" t="str">
        <f>IF(AND(WSSKI!$P$40&gt;=91.5,WSSKI!$P$40&lt;=100),"P","")</f>
        <v>P</v>
      </c>
      <c r="DV14" t="str">
        <f>IF(WSSKI!$P$48&lt;74.9,"P","")</f>
        <v>P</v>
      </c>
      <c r="DW14" s="102" t="str">
        <f>IF(AND(WSSKI!$P$48&gt;=75,WSSKI!$P$48&lt;=83.24),"P","")</f>
        <v/>
      </c>
      <c r="DX14" s="102" t="str">
        <f>IF(AND(WSSKI!$P$48&gt;=83.25,WSSKI!$P$48&lt;=91.4),"P","")</f>
        <v/>
      </c>
      <c r="DY14" s="102" t="str">
        <f>IF(AND(WSSKI!$P$48&gt;=91.5,WSSKI!$P$48&lt;=100),"P","")</f>
        <v/>
      </c>
      <c r="DZ14" t="str">
        <f>IF(WSSKI!$P$56&lt;74.9,"P","")</f>
        <v/>
      </c>
      <c r="EA14" s="102" t="str">
        <f>IF(AND(WSSKI!$P$56&gt;=75,WSSKI!$P$56&lt;=83.24),"P","")</f>
        <v/>
      </c>
      <c r="EB14" s="102" t="str">
        <f>IF(AND(WSSKI!$P$56&gt;=83.25,WSSKI!$P$56&lt;=91.4),"P","")</f>
        <v/>
      </c>
      <c r="EC14" s="102" t="str">
        <f>IF(AND(WSSKI!$P$56&gt;=91.5,WSSKI!$P$56&lt;=100),"P","")</f>
        <v/>
      </c>
      <c r="ED14" t="str">
        <f>IF(WSSKI!$P$64&lt;74.9,"P","")</f>
        <v/>
      </c>
      <c r="EE14" s="102" t="str">
        <f>IF(AND(WSSKI!$P$64&gt;=75,WSSKI!$P$64&lt;=83.24),"P","")</f>
        <v/>
      </c>
      <c r="EF14" s="102" t="str">
        <f>IF(AND(WSSKI!$P$64&gt;=83.25,WSSKI!$P$64&lt;=91.4),"P","")</f>
        <v/>
      </c>
      <c r="EG14" s="102" t="str">
        <f>IF(AND(WSSKI!$P$64&gt;=91.5,WSSKI!$P$64&lt;=100),"P","")</f>
        <v/>
      </c>
      <c r="EH14" t="str">
        <f>IF(WSSKI!$P$72&lt;74.9,"P","")</f>
        <v/>
      </c>
      <c r="EI14" s="102" t="str">
        <f>IF(AND(WSSKI!$P$72&gt;=75,WSSKI!$P$72&lt;=83.24),"P","")</f>
        <v/>
      </c>
      <c r="EJ14" s="102" t="str">
        <f>IF(AND(WSSKI!$P$72&gt;=83.25,WSSKI!$P$72&lt;=91.4),"P","")</f>
        <v/>
      </c>
      <c r="EK14" s="102" t="str">
        <f>IF(AND(WSSKI!$P$72&gt;=91.5,WSSKI!$P$72&lt;=100),"P","")</f>
        <v/>
      </c>
      <c r="EL14" t="str">
        <f>IF(WSSKI!$P$80&lt;74.9,"P","")</f>
        <v/>
      </c>
      <c r="EM14" s="102" t="str">
        <f>IF(AND(WSSKI!$P$80&gt;=75,WSSKI!$P$80&lt;=83.24),"P","")</f>
        <v/>
      </c>
      <c r="EN14" s="102" t="str">
        <f>IF(AND(WSSKI!$P$80&gt;=83.25,WSSKI!$P$80&lt;=91.4),"P","")</f>
        <v/>
      </c>
      <c r="EO14" s="102" t="str">
        <f>IF(AND(WSSKI!$P$80&gt;=91.5,WSSKI!$P$80&lt;=100),"P","")</f>
        <v/>
      </c>
      <c r="EP14" t="str">
        <f>IF(WSSKI!$P$88&lt;74.9,"P","")</f>
        <v/>
      </c>
      <c r="EQ14" s="102" t="str">
        <f>IF(AND(WSSKI!$P$88&gt;=75,WSSKI!$P$88&lt;=83.24),"P","")</f>
        <v/>
      </c>
      <c r="ER14" s="102" t="str">
        <f>IF(AND(WSSKI!$P$88&gt;=83.25,WSSKI!$P$88&lt;=91.4),"P","")</f>
        <v/>
      </c>
      <c r="ES14" s="102" t="str">
        <f>IF(AND(WSSKI!$P$88&gt;=91.5,WSSKI!$P$88&lt;=100),"P","")</f>
        <v/>
      </c>
      <c r="ET14" t="str">
        <f>IF(WSSKI!$P$96&lt;74.9,"P","")</f>
        <v/>
      </c>
      <c r="EU14" s="102" t="str">
        <f>IF(AND(WSSKI!$P$96&gt;=75,WSSKI!$P$96&lt;=83.24),"P","")</f>
        <v/>
      </c>
      <c r="EV14" s="102" t="str">
        <f>IF(AND(WSSKI!$P$96&gt;=83.25,WSSKI!$P$96&lt;=91.4),"P","")</f>
        <v/>
      </c>
      <c r="EW14" s="102" t="str">
        <f>IF(AND(WSSKI!$P$96&gt;=91.5,WSSKI!$P$96&lt;=100),"P","")</f>
        <v/>
      </c>
      <c r="EX14" t="str">
        <f>IF(WSSKI!$P$104&lt;74.9,"P","")</f>
        <v/>
      </c>
      <c r="EY14" s="102" t="str">
        <f>IF(AND(WSSKI!$P$104&gt;=75,WSSKI!$P$104&lt;=83.24),"P","")</f>
        <v/>
      </c>
      <c r="EZ14" s="102" t="str">
        <f>IF(AND(WSSKI!$P$104&gt;=83.25,WSSKI!$P$104&lt;=91.4),"P","")</f>
        <v/>
      </c>
      <c r="FA14" s="102" t="str">
        <f>IF(AND(WSSKI!$P$104&gt;=91.5,WSSKI!$P$104&lt;=100),"P","")</f>
        <v/>
      </c>
      <c r="FB14" t="str">
        <f>IF(WSFIQIH!$P$6&lt;74.9,"P","")</f>
        <v/>
      </c>
      <c r="FC14" s="102" t="str">
        <f>IF(AND(WSFIQIH!$P$6&gt;=75,WSFIQIH!$P$6&lt;=83.24),"P","")</f>
        <v/>
      </c>
      <c r="FD14" s="102" t="str">
        <f>IF(AND(WSFIQIH!$P$6&gt;=83.25,WSFIQIH!$P$6&lt;=91.4),"P","")</f>
        <v>P</v>
      </c>
      <c r="FE14" s="102" t="str">
        <f>IF(AND(WSFIQIH!$P$6&gt;=91.5,WSFIQIH!$P$6&lt;=100),"P","")</f>
        <v/>
      </c>
      <c r="FF14" t="str">
        <f>IF(WSFIQIH!$P$19&lt;74.9,"P","")</f>
        <v/>
      </c>
      <c r="FG14" s="102" t="str">
        <f>IF(AND(WSFIQIH!$P$19&gt;=75,WSFIQIH!$P$19&lt;=83.24),"P","")</f>
        <v/>
      </c>
      <c r="FH14" s="102" t="str">
        <f>IF(AND(WSFIQIH!$P$19&gt;=83.25,WSFIQIH!$P$19&lt;=91.4),"P","")</f>
        <v/>
      </c>
      <c r="FI14" s="102" t="str">
        <f>IF(AND(WSFIQIH!$P$19&gt;=91.5,WSFIQIH!$P$19&lt;=100),"P","")</f>
        <v>P</v>
      </c>
      <c r="FJ14" t="str">
        <f>IF(WSFIQIH!$P$28&lt;74.9,"P","")</f>
        <v/>
      </c>
      <c r="FK14" s="102" t="str">
        <f>IF(AND(WSFIQIH!$P$28&gt;=75,WSFIQIH!$P$28&lt;=83.24),"P","")</f>
        <v/>
      </c>
      <c r="FL14" s="102" t="str">
        <f>IF(AND(WSFIQIH!$P$28&gt;=83.25,WSFIQIH!$P$28&lt;=91.4),"P","")</f>
        <v/>
      </c>
      <c r="FM14" s="102" t="str">
        <f>IF(AND(WSFIQIH!$P$28&gt;=91.5,WSFIQIH!$P$28&lt;=100),"P","")</f>
        <v>P</v>
      </c>
      <c r="FN14" t="str">
        <f>IF(WSFIQIH!$P$41&lt;74.9,"P","")</f>
        <v/>
      </c>
      <c r="FO14" s="102" t="str">
        <f>IF(AND(WSFIQIH!$P$41&gt;=75,WSFIQIH!$P$41&lt;=83.24),"P","")</f>
        <v/>
      </c>
      <c r="FP14" s="102" t="str">
        <f>IF(AND(WSFIQIH!$P$41&gt;=83.25,WSFIQIH!$P$41&lt;=91.4),"P","")</f>
        <v/>
      </c>
      <c r="FQ14" s="102" t="str">
        <f>IF(AND(WSFIQIH!$P$41&gt;=91.5,WSFIQIH!$P$41&lt;=100),"P","")</f>
        <v>P</v>
      </c>
      <c r="FR14" t="str">
        <f>IF(WSFIQIH!$P$49&lt;74.9,"P","")</f>
        <v/>
      </c>
      <c r="FS14" s="102" t="str">
        <f>IF(AND(WSFIQIH!$P$49&gt;=75,WSFIQIH!$P$49&lt;=83.24),"P","")</f>
        <v/>
      </c>
      <c r="FT14" s="102" t="str">
        <f>IF(AND(WSFIQIH!$P$49&gt;=83.25,WSFIQIH!$P$49&lt;=91.4),"P","")</f>
        <v>P</v>
      </c>
      <c r="FU14" s="102" t="str">
        <f>IF(AND(WSFIQIH!$P$49&gt;=91.5,WSFIQIH!$P$49&lt;=100),"P","")</f>
        <v/>
      </c>
      <c r="FV14" t="str">
        <f>IF(WSFIQIH!$P$62&lt;74.9,"P","")</f>
        <v/>
      </c>
      <c r="FW14" s="102" t="str">
        <f>IF(AND(WSFIQIH!$P$62&gt;=75,WSFIQIH!$P$62&lt;=83.24),"P","")</f>
        <v/>
      </c>
      <c r="FX14" s="102" t="str">
        <f>IF(AND(WSFIQIH!$P$62&gt;=83.25,WSFIQIH!$P$62&lt;=91.4),"P","")</f>
        <v/>
      </c>
      <c r="FY14" s="102" t="str">
        <f>IF(AND(WSFIQIH!$P$62&gt;=91.5,WSFIQIH!$P$62&lt;=100),"P","")</f>
        <v>P</v>
      </c>
      <c r="FZ14" t="str">
        <f>IF(WSFIQIH!$P$71&lt;74.9,"P","")</f>
        <v/>
      </c>
      <c r="GA14" s="102" t="str">
        <f>IF(AND(WSFIQIH!$P$71&gt;=75,WSFIQIH!$P$71&lt;=83.24),"P","")</f>
        <v/>
      </c>
      <c r="GB14" s="102" t="str">
        <f>IF(AND(WSFIQIH!$P$71&gt;=83.25,WSFIQIH!$P$71&lt;=91.4),"P","")</f>
        <v/>
      </c>
      <c r="GC14" s="102" t="str">
        <f>IF(AND(WSFIQIH!$P$71&gt;=91.5,WSFIQIH!$P$71&lt;=100),"P","")</f>
        <v>P</v>
      </c>
      <c r="GD14" t="str">
        <f>IF(WSFIQIH!$P$80&lt;74.9,"P","")</f>
        <v/>
      </c>
      <c r="GE14" s="102" t="str">
        <f>IF(AND(WSFIQIH!$P$80&gt;=75,WSFIQIH!$P$80&lt;=83.24),"P","")</f>
        <v>P</v>
      </c>
      <c r="GF14" s="102" t="str">
        <f>IF(AND(WSFIQIH!$P$80&gt;=83.25,WSFIQIH!$P$80&lt;=91.4),"P","")</f>
        <v/>
      </c>
      <c r="GG14" s="102" t="str">
        <f>IF(AND(WSFIQIH!$P$80&gt;=91.5,WSFIQIH!$P$80&lt;=100),"P","")</f>
        <v/>
      </c>
      <c r="GH14" t="str">
        <f>IF(WSFIQIH!$P$88&lt;74.9,"P","")</f>
        <v/>
      </c>
      <c r="GI14" s="102" t="str">
        <f>IF(AND(WSFIQIH!$P$88&gt;=75,WSFIQIH!$P$88&lt;=83.24),"P","")</f>
        <v/>
      </c>
      <c r="GJ14" s="102" t="str">
        <f>IF(AND(WSFIQIH!$P$88&gt;=83.25,WSFIQIH!$P$88&lt;=91.4),"P","")</f>
        <v/>
      </c>
      <c r="GK14" s="102" t="str">
        <f>IF(AND(WSFIQIH!$P$88&gt;=91.5,WSFIQIH!$P$88&lt;=100),"P","")</f>
        <v/>
      </c>
      <c r="GL14" t="str">
        <f>IF(WSFIQIH!$P$96&lt;74.9,"P","")</f>
        <v/>
      </c>
      <c r="GM14" s="102" t="str">
        <f>IF(AND(WSFIQIH!$P$96&gt;=75,WSFIQIH!$P$96&lt;=83.24),"P","")</f>
        <v/>
      </c>
      <c r="GN14" s="102" t="str">
        <f>IF(AND(WSFIQIH!$P$96&gt;=83.25,WSFIQIH!$P$96&lt;=91.4),"P","")</f>
        <v/>
      </c>
      <c r="GO14" s="102" t="str">
        <f>IF(AND(WSFIQIH!$P$96&gt;=91.5,WSFIQIH!$P$96&lt;=100),"P","")</f>
        <v/>
      </c>
      <c r="GP14" t="str">
        <f>IF(WSFIQIH!$P$104&lt;74.9,"P","")</f>
        <v/>
      </c>
      <c r="GQ14" s="102" t="str">
        <f>IF(AND(WSFIQIH!$P$104&gt;=75,WSFIQIH!$P$104&lt;=83.24),"P","")</f>
        <v/>
      </c>
      <c r="GR14" s="102" t="str">
        <f>IF(AND(WSFIQIH!$P$104&gt;=83.25,WSFIQIH!$P$104&lt;=91.4),"P","")</f>
        <v/>
      </c>
      <c r="GS14" s="102" t="str">
        <f>IF(AND(WSFIQIH!$P$104&gt;=91.5,WSFIQIH!$P$104&lt;=100),"P","")</f>
        <v/>
      </c>
      <c r="GT14" t="str">
        <f>IF(WSFIQIH!$P$112&lt;74.9,"P","")</f>
        <v/>
      </c>
      <c r="GU14" s="102" t="str">
        <f>IF(AND(WSFIQIH!$P$112&gt;=75,WSFIQIH!$P$112&lt;=83.24),"P","")</f>
        <v/>
      </c>
      <c r="GV14" s="102" t="str">
        <f>IF(AND(WSFIQIH!$P$112&gt;=83.25,WSFIQIH!$P$112&lt;=91.4),"P","")</f>
        <v/>
      </c>
      <c r="GW14" s="102" t="str">
        <f>IF(AND(WSFIQIH!$P$112&gt;=91.5,WSFIQIH!$P$112&lt;=100),"P","")</f>
        <v/>
      </c>
      <c r="GX14" t="str">
        <f>IF(WSFIQIH!$P$120&lt;74.9,"P","")</f>
        <v/>
      </c>
      <c r="GY14" s="102" t="str">
        <f>IF(AND(WSFIQIH!$P$120&gt;=75,WSFIQIH!$P$120&lt;=83.24),"P","")</f>
        <v/>
      </c>
      <c r="GZ14" s="102" t="str">
        <f>IF(AND(WSFIQIH!$P$120&gt;=83.25,WSFIQIH!$P$120&lt;=91.4),"P","")</f>
        <v/>
      </c>
      <c r="HA14" s="102" t="str">
        <f>IF(AND(WSFIQIH!$P$120&gt;=91.5,WSFIQIH!$P$120&lt;=100),"P","")</f>
        <v/>
      </c>
      <c r="HB14" t="str">
        <f>IF(WSPKN!$P$6&lt;74.9,"P","")</f>
        <v/>
      </c>
      <c r="HC14" s="102" t="str">
        <f>IF(AND(WSPKN!$P$6&gt;=75,WSPKN!$P$6&lt;=83.24),"P","")</f>
        <v/>
      </c>
      <c r="HD14" s="102" t="str">
        <f>IF(AND(WSPKN!$P$6&gt;=83.25,WSPKN!$P$6&lt;=91.4),"P","")</f>
        <v/>
      </c>
      <c r="HE14" s="102" t="str">
        <f>IF(AND(WSPKN!$P$6&gt;=91.5,WSPKN!$P$6&lt;=100),"P","")</f>
        <v>P</v>
      </c>
      <c r="HF14" t="str">
        <f>IF(WSPKN!$P$32&lt;74.9,"P","")</f>
        <v/>
      </c>
      <c r="HG14" s="102" t="str">
        <f>IF(AND(WSPKN!$P$32&gt;=75,WSPKN!$P$32&lt;=83.24),"P","")</f>
        <v/>
      </c>
      <c r="HH14" s="102" t="str">
        <f>IF(AND(WSPKN!$P$32&gt;=83.25,WSPKN!$P$32&lt;=91.4),"P","")</f>
        <v/>
      </c>
      <c r="HI14" s="102" t="str">
        <f>IF(AND(WSPKN!$P$32&gt;=91.5,WSPKN!$P$32&lt;=100),"P","")</f>
        <v>P</v>
      </c>
      <c r="HJ14" t="str">
        <f>IF(WSPKN!$P$55&lt;74.9,"P","")</f>
        <v/>
      </c>
      <c r="HK14" s="102" t="str">
        <f>IF(AND(WSPKN!$P$55&gt;=75,WSPKN!$P$55&lt;=83.24),"P","")</f>
        <v/>
      </c>
      <c r="HL14" s="102" t="str">
        <f>IF(AND(WSPKN!$P$55&gt;=83.25,WSPKN!$P$55&lt;=91.4),"P","")</f>
        <v/>
      </c>
      <c r="HM14" s="102" t="str">
        <f>IF(AND(WSPKN!$P$55&gt;=91.5,WSPKN!$P$55&lt;=100),"P","")</f>
        <v>P</v>
      </c>
      <c r="HN14" t="str">
        <f>IF(WSPKN!$P$72&lt;74.9,"P","")</f>
        <v/>
      </c>
      <c r="HO14" s="102" t="str">
        <f>IF(AND(WSPKN!$P$72&gt;=75,WSPKN!$P$72&lt;=83.24),"P","")</f>
        <v/>
      </c>
      <c r="HP14" s="102" t="str">
        <f>IF(AND(WSPKN!$P$72&gt;=83.25,WSPKN!$P$72&lt;=91.4),"P","")</f>
        <v/>
      </c>
      <c r="HQ14" s="102" t="str">
        <f>IF(AND(WSPKN!$P$72&gt;=91.5,WSPKN!$P$72&lt;=100),"P","")</f>
        <v>P</v>
      </c>
      <c r="HR14" t="str">
        <f>IF(WSPKN!$P$86&lt;74.9,"P","")</f>
        <v/>
      </c>
      <c r="HS14" s="102" t="str">
        <f>IF(AND(WSPKN!$P$86&gt;=75,WSPKN!$P$86&lt;=83.24),"P","")</f>
        <v/>
      </c>
      <c r="HT14" s="102" t="str">
        <f>IF(AND(WSPKN!$P$86&gt;=83.25,WSPKN!$P$86&lt;=91.4),"P","")</f>
        <v/>
      </c>
      <c r="HU14" s="102" t="str">
        <f>IF(AND(WSPKN!$P$86&gt;=91.5,WSPKN!$P$86&lt;=100),"P","")</f>
        <v>P</v>
      </c>
      <c r="HV14" t="str">
        <f>IF(WSPKN!$P$108&lt;74.9,"P","")</f>
        <v/>
      </c>
      <c r="HW14" s="102" t="str">
        <f>IF(AND(WSPKN!$P$108&gt;=75,WSPKN!$P$108&lt;=83.24),"P","")</f>
        <v/>
      </c>
      <c r="HX14" s="102" t="str">
        <f>IF(AND(WSPKN!$P$108&gt;=83.25,WSPKN!$P$108&lt;=91.4),"P","")</f>
        <v/>
      </c>
      <c r="HY14" s="102" t="str">
        <f>IF(AND(WSPKN!$P$108&gt;=91.5,WSPKN!$P$108&lt;=100),"P","")</f>
        <v>P</v>
      </c>
      <c r="HZ14" t="str">
        <f>IF(WSPKN!$P$132&lt;74.9,"P","")</f>
        <v/>
      </c>
      <c r="IA14" s="102" t="str">
        <f>IF(AND(WSPKN!$P$132&gt;=75,WSPKN!$P$132&lt;=83.24),"P","")</f>
        <v/>
      </c>
      <c r="IB14" s="102" t="str">
        <f>IF(AND(WSPKN!$P$132&gt;=83.25,WSPKN!$P$132&lt;=91.4),"P","")</f>
        <v/>
      </c>
      <c r="IC14" s="102" t="str">
        <f>IF(AND(WSPKN!$P$132&gt;=91.5,WSPKN!$P$132&lt;=100),"P","")</f>
        <v>P</v>
      </c>
      <c r="ID14" t="str">
        <f>IF(WSPKN!$P$148&lt;74.9,"P","")</f>
        <v/>
      </c>
      <c r="IE14" s="102" t="str">
        <f>IF(AND(WSPKN!$P$148&gt;=75,WSPKN!$P$148&lt;=83.24),"P","")</f>
        <v/>
      </c>
      <c r="IF14" s="102" t="str">
        <f>IF(AND(WSPKN!$P$148&gt;=83.25,WSPKN!$P$148&lt;=91.4),"P","")</f>
        <v/>
      </c>
      <c r="IG14" s="102" t="str">
        <f>IF(AND(WSPKN!$P$148&gt;=91.5,WSPKN!$P$148&lt;=100),"P","")</f>
        <v>P</v>
      </c>
      <c r="IH14" t="str">
        <f>IF(WSPKN!$P$165&lt;74.9,"P","")</f>
        <v/>
      </c>
      <c r="II14" s="102" t="str">
        <f>IF(AND(WSPKN!$P$165&gt;=75,WSPKN!$P$165&lt;=83.24),"P","")</f>
        <v/>
      </c>
      <c r="IJ14" s="102" t="str">
        <f>IF(AND(WSPKN!$P$165&gt;=83.25,WSPKN!$P$165&lt;=91.4),"P","")</f>
        <v/>
      </c>
      <c r="IK14" s="102" t="str">
        <f>IF(AND(WSPKN!$P$165&gt;=91.5,WSPKN!$P$165&lt;=100),"P","")</f>
        <v/>
      </c>
      <c r="IL14" t="str">
        <f>IF(WSPKN!$P$173&lt;74.9,"P","")</f>
        <v/>
      </c>
      <c r="IM14" s="102" t="str">
        <f>IF(AND(WSPKN!$P$173&gt;=75,WSPKN!$P$173&lt;=83.24),"P","")</f>
        <v/>
      </c>
      <c r="IN14" s="102" t="str">
        <f>IF(AND(WSPKN!$P$173&gt;=83.25,WSPKN!$P$173&lt;=91.4),"P","")</f>
        <v/>
      </c>
      <c r="IO14" s="102" t="str">
        <f>IF(AND(WSPKN!$P$173&gt;=91.5,WSPKN!$P$173&lt;=100),"P","")</f>
        <v/>
      </c>
      <c r="IP14" t="str">
        <f>IF(WSPKN!$P$181&lt;74.9,"P","")</f>
        <v/>
      </c>
      <c r="IQ14" s="102" t="str">
        <f>IF(AND(WSPKN!$P$181&gt;=75,WSPKN!$P$181&lt;=83.24),"P","")</f>
        <v/>
      </c>
      <c r="IR14" s="102" t="str">
        <f>IF(AND(WSPKN!$P$181&gt;=83.25,WSPKN!$P$181&lt;=91.4),"P","")</f>
        <v/>
      </c>
      <c r="IS14" s="102" t="str">
        <f>IF(AND(WSPKN!$P$181&gt;=91.5,WSPKN!$P$181&lt;=100),"P","")</f>
        <v/>
      </c>
      <c r="IT14" t="str">
        <f>IF(WSPKN!$P$189&lt;74.9,"P","")</f>
        <v/>
      </c>
      <c r="IU14" s="102" t="str">
        <f>IF(AND(WSPKN!$P$189&gt;=75,WSPKN!$P$189&lt;=83.24),"P","")</f>
        <v/>
      </c>
      <c r="IV14" s="102" t="str">
        <f>IF(AND(WSPKN!$P$189&gt;=83.25,WSPKN!$P$189&lt;=91.4),"P","")</f>
        <v/>
      </c>
      <c r="IW14" s="102" t="str">
        <f>IF(AND(WSPKN!$P$189&gt;=91.5,WSPKN!$P$189&lt;=100),"P","")</f>
        <v/>
      </c>
      <c r="IX14" t="str">
        <f>IF(WSPKN!$P$197&lt;74.9,"P","")</f>
        <v/>
      </c>
      <c r="IY14" s="102" t="str">
        <f>IF(AND(WSPKN!$P$197&gt;=75,WSPKN!$P$197&lt;=83.24),"P","")</f>
        <v/>
      </c>
      <c r="IZ14" s="102" t="str">
        <f>IF(AND(WSPKN!$P$197&gt;=83.25,WSPKN!$P$197&lt;=91.4),"P","")</f>
        <v/>
      </c>
      <c r="JA14" s="102" t="str">
        <f>IF(AND(WSPKN!$P$197&gt;=91.5,WSPKN!$P$197&lt;=100),"P","")</f>
        <v/>
      </c>
      <c r="JB14" t="str">
        <f>IF(WSIND!$P$6&lt;74.9,"P","")</f>
        <v/>
      </c>
      <c r="JC14" s="102" t="str">
        <f>IF(AND(WSIND!$P$6&gt;=75,WSIND!$P$6&lt;=83.24),"P","")</f>
        <v/>
      </c>
      <c r="JD14" s="102" t="str">
        <f>IF(AND(WSIND!$P$6&gt;=83.25,WSIND!$P$6&lt;=91.4),"P","")</f>
        <v/>
      </c>
      <c r="JE14" s="102" t="str">
        <f>IF(AND(WSIND!$P$6&gt;=91.5,WSIND!$P$6&lt;=100),"P","")</f>
        <v>P</v>
      </c>
      <c r="JF14" t="str">
        <f>IF(WSIND!$P$65&lt;74.9,"P","")</f>
        <v/>
      </c>
      <c r="JG14" s="102" t="str">
        <f>IF(AND(WSIND!$P$65&gt;=75,WSIND!$P$65&lt;=83.24),"P","")</f>
        <v/>
      </c>
      <c r="JH14" s="102" t="str">
        <f>IF(AND(WSIND!$P$65&gt;=83.25,WSIND!$P$65&lt;=91.4),"P","")</f>
        <v/>
      </c>
      <c r="JI14" s="102" t="str">
        <f>IF(AND(WSIND!$P$65&gt;=91.5,WSIND!$P$65&lt;=100),"P","")</f>
        <v>P</v>
      </c>
      <c r="JJ14" t="str">
        <f>IF(WSIND!$P$113&lt;74.9,"P","")</f>
        <v/>
      </c>
      <c r="JK14" s="102" t="str">
        <f>IF(AND(WSIND!$P$113&gt;=75,WSIND!$P$113&lt;=83.24),"P","")</f>
        <v/>
      </c>
      <c r="JL14" s="102" t="str">
        <f>IF(AND(WSIND!$P$113&gt;=83.25,WSIND!$P$113&lt;=91.4),"P","")</f>
        <v/>
      </c>
      <c r="JM14" s="102" t="str">
        <f>IF(AND(WSIND!$P$113&gt;=91.5,WSIND!$P$113&lt;=100),"P","")</f>
        <v>P</v>
      </c>
      <c r="JN14" t="str">
        <f>IF(WSIND!$P$133&lt;74.9,"P","")</f>
        <v/>
      </c>
      <c r="JO14" s="102" t="str">
        <f>IF(AND(WSIND!$P$133&gt;=75,WSIND!$P$133&lt;=83.24),"P","")</f>
        <v/>
      </c>
      <c r="JP14" s="102" t="str">
        <f>IF(AND(WSIND!$P$133&gt;=83.25,WSIND!$P$133&lt;=91.4),"P","")</f>
        <v/>
      </c>
      <c r="JQ14" s="102" t="str">
        <f>IF(AND(WSIND!$P$133&gt;=91.5,WSIND!$P$133&lt;=100),"P","")</f>
        <v>P</v>
      </c>
      <c r="JR14" t="str">
        <f>IF(WSIND!$P$161&lt;74.9,"P","")</f>
        <v/>
      </c>
      <c r="JS14" s="102" t="str">
        <f>IF(AND(WSIND!$P$161&gt;=75,WSIND!$P$161&lt;=83.24),"P","")</f>
        <v/>
      </c>
      <c r="JT14" s="102" t="str">
        <f>IF(AND(WSIND!$P$161&gt;=83.25,WSIND!$P$161&lt;=91.4),"P","")</f>
        <v/>
      </c>
      <c r="JU14" s="102" t="str">
        <f>IF(AND(WSIND!$P$161&gt;=91.5,WSIND!$P$161&lt;=100),"P","")</f>
        <v>P</v>
      </c>
      <c r="JV14" t="str">
        <f>IF(WSIND!$P$192&lt;74.9,"P","")</f>
        <v/>
      </c>
      <c r="JW14" s="102" t="str">
        <f>IF(AND(WSIND!$P$192&gt;=75,WSIND!$P$192&lt;=83.24),"P","")</f>
        <v/>
      </c>
      <c r="JX14" s="102" t="str">
        <f>IF(AND(WSIND!$P$192&gt;=83.25,WSIND!$P$192&lt;=91.4),"P","")</f>
        <v/>
      </c>
      <c r="JY14" s="102" t="str">
        <f>IF(AND(WSIND!$P$192&gt;=91.5,WSIND!$P$192&lt;=100),"P","")</f>
        <v>P</v>
      </c>
      <c r="JZ14" t="str">
        <f>IF(WSIND!$P$228&lt;74.9,"P","")</f>
        <v/>
      </c>
      <c r="KA14" s="102" t="str">
        <f>IF(AND(WSIND!$P$228&gt;=75,WSIND!$P$228&lt;=83.24),"P","")</f>
        <v/>
      </c>
      <c r="KB14" s="102" t="str">
        <f>IF(AND(WSIND!$P$228&gt;=83.25,WSIND!$P$228&lt;=91.4),"P","")</f>
        <v/>
      </c>
      <c r="KC14" s="102" t="str">
        <f>IF(AND(WSIND!$P$228&gt;=91.5,WSIND!$P$228&lt;=100),"P","")</f>
        <v>P</v>
      </c>
      <c r="KD14" t="str">
        <f>IF(WSIND!$P$256&lt;74.9,"P","")</f>
        <v/>
      </c>
      <c r="KE14" s="102" t="str">
        <f>IF(AND(WSIND!$P$256&gt;=75,WSIND!$P$256&lt;=83.24),"P","")</f>
        <v/>
      </c>
      <c r="KF14" s="102" t="str">
        <f>IF(AND(WSIND!$P$256&gt;=83.25,WSIND!$P$256&lt;=91.4),"P","")</f>
        <v/>
      </c>
      <c r="KG14" s="102" t="str">
        <f>IF(AND(WSIND!$P$256&gt;=91.5,WSIND!$P$256&lt;=100),"P","")</f>
        <v>P</v>
      </c>
      <c r="KH14" t="str">
        <f>IF(WSIND!$P$277&lt;74.9,"P","")</f>
        <v/>
      </c>
      <c r="KI14" s="102" t="str">
        <f>IF(AND(WSIND!$P$277&gt;=75,WSIND!$P$277&lt;=83.24),"P","")</f>
        <v/>
      </c>
      <c r="KJ14" s="102" t="str">
        <f>IF(AND(WSIND!$P$277&gt;=83.25,WSIND!$P$277&lt;=91.4),"P","")</f>
        <v/>
      </c>
      <c r="KK14" s="102" t="str">
        <f>IF(AND(WSIND!$P$277&gt;=91.5,WSIND!$P$277&lt;=100),"P","")</f>
        <v>P</v>
      </c>
      <c r="KL14" t="str">
        <f>IF(WSIND!$P$305&lt;74.9,"P","")</f>
        <v/>
      </c>
      <c r="KM14" s="102" t="str">
        <f>IF(AND(WSIND!$P$305&gt;=75,WSIND!$P$305&lt;=83.24),"P","")</f>
        <v/>
      </c>
      <c r="KN14" s="102" t="str">
        <f>IF(AND(WSIND!$P$305&gt;=83.25,WSIND!$P$305&lt;=91.4),"P","")</f>
        <v/>
      </c>
      <c r="KO14" s="102" t="str">
        <f>IF(AND(WSIND!$P$305&gt;=91.5,WSIND!$P$305&lt;=100),"P","")</f>
        <v>P</v>
      </c>
      <c r="KP14" t="str">
        <f>IF(WSIND!$P$329&lt;74.9,"P","")</f>
        <v/>
      </c>
      <c r="KQ14" s="102" t="str">
        <f>IF(AND(WSIND!$P$329&gt;=75,WSIND!$P$329&lt;=83.24),"P","")</f>
        <v/>
      </c>
      <c r="KR14" s="102" t="str">
        <f>IF(AND(WSIND!$P$329&gt;=83.25,WSIND!$P$329&lt;=91.4),"P","")</f>
        <v/>
      </c>
      <c r="KS14" s="102" t="str">
        <f>IF(AND(WSIND!$P$329&gt;=91.5,WSIND!$P$329&lt;=100),"P","")</f>
        <v/>
      </c>
      <c r="KT14" t="str">
        <f>IF(WSIND!$P$337&lt;74.9,"P","")</f>
        <v/>
      </c>
      <c r="KU14" s="102" t="str">
        <f>IF(AND(WSIND!$P$337&gt;=75,WSIND!$P$337&lt;=83.24),"P","")</f>
        <v/>
      </c>
      <c r="KV14" s="102" t="str">
        <f>IF(AND(WSIND!$P$337&gt;=83.25,WSIND!$P$337&lt;=91.4),"P","")</f>
        <v/>
      </c>
      <c r="KW14" s="102" t="str">
        <f>IF(AND(WSIND!$P$337&gt;=91.5,WSIND!$P$337&lt;=100),"P","")</f>
        <v/>
      </c>
      <c r="KX14" t="str">
        <f>IF(WSIND!$P$345&lt;74.9,"P","")</f>
        <v/>
      </c>
      <c r="KY14" s="102" t="str">
        <f>IF(AND(WSIND!$P$345&gt;=75,WSIND!$P$345&lt;=83.24),"P","")</f>
        <v/>
      </c>
      <c r="KZ14" s="102" t="str">
        <f>IF(AND(WSIND!$P$345&gt;=83.25,WSIND!$P$345&lt;=91.4),"P","")</f>
        <v/>
      </c>
      <c r="LA14" s="102" t="str">
        <f>IF(AND(WSIND!$P$345&gt;=91.5,WSIND!$P$345&lt;=100),"P","")</f>
        <v/>
      </c>
      <c r="LB14" t="str">
        <f>IF(WSARAB!$P$6&lt;74.9,"P","")</f>
        <v/>
      </c>
      <c r="LC14" s="102" t="str">
        <f>IF(AND(WSARAB!$P$6&gt;=75,WSARAB!$P$6&lt;=83.24),"P","")</f>
        <v/>
      </c>
      <c r="LD14" s="102" t="str">
        <f>IF(AND(WSARAB!$P$6&gt;=83.25,WSARAB!$P$6&lt;=91.4),"P","")</f>
        <v/>
      </c>
      <c r="LE14" s="102" t="str">
        <f>IF(AND(WSARAB!$P$6&gt;=91.5,WSARAB!$P$6&lt;=100),"P","")</f>
        <v/>
      </c>
      <c r="LF14" t="str">
        <f>IF(WSARAB!$P$17&lt;74.9,"P","")</f>
        <v/>
      </c>
      <c r="LG14" s="102" t="str">
        <f>IF(AND(WSARAB!$P$17&gt;=75,WSARAB!$P$17&lt;=83.24),"P","")</f>
        <v/>
      </c>
      <c r="LH14" s="102" t="str">
        <f>IF(AND(WSARAB!$P$17&gt;=83.25,WSARAB!$P$17&lt;=91.4),"P","")</f>
        <v/>
      </c>
      <c r="LI14" s="102" t="str">
        <f>IF(AND(WSARAB!$P$17&gt;=91.5,WSARAB!$P$17&lt;=100),"P","")</f>
        <v/>
      </c>
      <c r="LJ14" t="str">
        <f>IF(WSARAB!$P$29&lt;74.9,"P","")</f>
        <v/>
      </c>
      <c r="LK14" s="102" t="str">
        <f>IF(AND(WSARAB!$P$29&gt;=75,WSARAB!$P$29&lt;=83.24),"P","")</f>
        <v/>
      </c>
      <c r="LL14" s="102" t="str">
        <f>IF(AND(WSARAB!$P$29&gt;=83.25,WSARAB!$P$29&lt;=91.4),"P","")</f>
        <v/>
      </c>
      <c r="LM14" s="102" t="str">
        <f>IF(AND(WSARAB!$P$29&gt;=91.5,WSARAB!$P$29&lt;=100),"P","")</f>
        <v/>
      </c>
      <c r="LN14" t="str">
        <f>IF(WSARAB!$P$37&lt;74.9,"P","")</f>
        <v/>
      </c>
      <c r="LO14" s="102" t="str">
        <f>IF(AND(WSARAB!$P$37&gt;=75,WSARAB!$P$37&lt;=83.24),"P","")</f>
        <v/>
      </c>
      <c r="LP14" s="102" t="str">
        <f>IF(AND(WSARAB!$P$37&gt;=83.25,WSARAB!$P$37&lt;=91.4),"P","")</f>
        <v/>
      </c>
      <c r="LQ14" s="102" t="str">
        <f>IF(AND(WSARAB!$P$37&gt;=91.5,WSARAB!$P$37&lt;=100),"P","")</f>
        <v/>
      </c>
      <c r="LR14" t="str">
        <f>IF(WSARAB!$P$45&lt;74.9,"P","")</f>
        <v/>
      </c>
      <c r="LS14" s="102" t="str">
        <f>IF(AND(WSARAB!$P$45&gt;=75,WSARAB!$P$45&lt;=83.24),"P","")</f>
        <v/>
      </c>
      <c r="LT14" s="102" t="str">
        <f>IF(AND(WSARAB!$P$45&gt;=83.25,WSARAB!$P$45&lt;=91.4),"P","")</f>
        <v/>
      </c>
      <c r="LU14" s="102" t="str">
        <f>IF(AND(WSARAB!$P$45&gt;=91.5,WSARAB!$P$45&lt;=100),"P","")</f>
        <v/>
      </c>
      <c r="LV14" t="str">
        <f>IF(WSARAB!$P$53&lt;74.9,"P","")</f>
        <v/>
      </c>
      <c r="LW14" s="102" t="str">
        <f>IF(AND(WSARAB!$P$53&gt;=75,WSARAB!$P$53&lt;=83.24),"P","")</f>
        <v/>
      </c>
      <c r="LX14" s="102" t="str">
        <f>IF(AND(WSARAB!$P$53&gt;=83.25,WSARAB!$P$53&lt;=91.4),"P","")</f>
        <v/>
      </c>
      <c r="LY14" s="102" t="str">
        <f>IF(AND(WSARAB!$P$53&gt;=91.5,WSARAB!$P$53&lt;=100),"P","")</f>
        <v/>
      </c>
      <c r="LZ14" t="str">
        <f>IF(WSARAB!$P$65&lt;74.9,"P","")</f>
        <v/>
      </c>
      <c r="MA14" s="102" t="str">
        <f>IF(AND(WSARAB!$P$65&gt;=75,WSARAB!$P$65&lt;=83.24),"P","")</f>
        <v/>
      </c>
      <c r="MB14" s="102" t="str">
        <f>IF(AND(WSARAB!$P$65&gt;=83.25,WSARAB!$P$65&lt;=91.4),"P","")</f>
        <v/>
      </c>
      <c r="MC14" s="102" t="str">
        <f>IF(AND(WSARAB!$P$65&gt;=91.5,WSARAB!$P$65&lt;=100),"P","")</f>
        <v/>
      </c>
      <c r="MD14" t="str">
        <f>IF(WSARAB!$P$73&lt;74.9,"P","")</f>
        <v/>
      </c>
      <c r="ME14" s="102" t="str">
        <f>IF(AND(WSARAB!$P$73&gt;=75,WSARAB!$P$73&lt;=83.24),"P","")</f>
        <v/>
      </c>
      <c r="MF14" s="102" t="str">
        <f>IF(AND(WSARAB!$P$73&gt;=83.25,WSARAB!$P$73&lt;=91.4),"P","")</f>
        <v/>
      </c>
      <c r="MG14" s="102" t="str">
        <f>IF(AND(WSARAB!$P$73&gt;=91.5,WSARAB!$P$73&lt;=100),"P","")</f>
        <v/>
      </c>
      <c r="MH14" t="str">
        <f>IF(WSARAB!$P$81&lt;74.9,"P","")</f>
        <v/>
      </c>
      <c r="MI14" s="102" t="str">
        <f>IF(AND(WSARAB!$P$81&gt;=75,WSARAB!$P$81&lt;=83.24),"P","")</f>
        <v/>
      </c>
      <c r="MJ14" s="102" t="str">
        <f>IF(AND(WSARAB!$P$81&gt;=83.25,WSARAB!$P$81&lt;=91.4),"P","")</f>
        <v/>
      </c>
      <c r="MK14" s="102" t="str">
        <f>IF(AND(WSARAB!$P$81&gt;=91.5,WSARAB!$P$81&lt;=100),"P","")</f>
        <v/>
      </c>
      <c r="ML14" t="str">
        <f>IF(WSARAB!$P$89&lt;74.9,"P","")</f>
        <v/>
      </c>
      <c r="MM14" s="102" t="str">
        <f>IF(AND(WSARAB!$P$89&gt;=75,WSARAB!$P$89&lt;=83.24),"P","")</f>
        <v/>
      </c>
      <c r="MN14" s="102" t="str">
        <f>IF(AND(WSARAB!$P$89&gt;=83.25,WSARAB!$P$89&lt;=91.4),"P","")</f>
        <v/>
      </c>
      <c r="MO14" s="102" t="str">
        <f>IF(AND(WSARAB!$P$89&gt;=91.5,WSARAB!$P$89&lt;=100),"P","")</f>
        <v/>
      </c>
      <c r="MP14" t="str">
        <f>IF(WSARAB!$P$97&lt;74.9,"P","")</f>
        <v/>
      </c>
      <c r="MQ14" s="102" t="str">
        <f>IF(AND(WSARAB!$P$97&gt;=75,WSARAB!$P$97&lt;=83.24),"P","")</f>
        <v/>
      </c>
      <c r="MR14" s="102" t="str">
        <f>IF(AND(WSARAB!$P$97&gt;=83.25,WSARAB!$P$97&lt;=91.4),"P","")</f>
        <v/>
      </c>
      <c r="MS14" s="102" t="str">
        <f>IF(AND(WSARAB!$P$97&gt;=91.5,WSARAB!$P$97&lt;=100),"P","")</f>
        <v/>
      </c>
      <c r="MT14" t="str">
        <f>IF(WSARAB!$P$105&lt;74.9,"P","")</f>
        <v/>
      </c>
      <c r="MU14" s="102" t="str">
        <f>IF(AND(WSARAB!$P$105&gt;=75,WSARAB!$P$105&lt;=83.24),"P","")</f>
        <v/>
      </c>
      <c r="MV14" s="102" t="str">
        <f>IF(AND(WSARAB!$P$105&gt;=83.25,WSARAB!$P$105&lt;=91.4),"P","")</f>
        <v/>
      </c>
      <c r="MW14" s="102" t="str">
        <f>IF(AND(WSARAB!$P$105&gt;=91.5,WSARAB!$P$105&lt;=100),"P","")</f>
        <v/>
      </c>
      <c r="MX14" t="str">
        <f>IF(WSARAB!$P$113&lt;74.9,"P","")</f>
        <v/>
      </c>
      <c r="MY14" s="102" t="str">
        <f>IF(AND(WSARAB!$P$113&gt;=75,WSARAB!$P$113&lt;=83.24),"P","")</f>
        <v/>
      </c>
      <c r="MZ14" s="102" t="str">
        <f>IF(AND(WSARAB!$P$113&gt;=83.25,WSARAB!$P$113&lt;=91.4),"P","")</f>
        <v/>
      </c>
      <c r="NA14" s="102" t="str">
        <f>IF(AND(WSARAB!$P$113&gt;=91.5,WSARAB!$P$113&lt;=100),"P","")</f>
        <v/>
      </c>
      <c r="NB14" t="str">
        <f>IF(WSMTK!$P$6&lt;74.9,"P","")</f>
        <v/>
      </c>
      <c r="NC14" s="102" t="str">
        <f>IF(AND(WSMTK!$P$6&gt;=75,WSMTK!$P$6&lt;=83.24),"P","")</f>
        <v/>
      </c>
      <c r="ND14" s="102" t="str">
        <f>IF(AND(WSMTK!$P$6&gt;=83.25,WSMTK!$P$6&lt;=91.4),"P","")</f>
        <v/>
      </c>
      <c r="NE14" s="102" t="str">
        <f>IF(AND(WSMTK!$P$6&gt;=91.5,WSMTK!$P$6&lt;=100),"P","")</f>
        <v>P</v>
      </c>
      <c r="NF14" t="str">
        <f>IF(WSMTK!$P$22&lt;74.9,"P","")</f>
        <v/>
      </c>
      <c r="NG14" s="102" t="str">
        <f>IF(AND(WSMTK!$P$22&gt;=75,WSMTK!$P$22&lt;=83.24),"P","")</f>
        <v/>
      </c>
      <c r="NH14" s="102" t="str">
        <f>IF(AND(WSMTK!$P$22&gt;=83.25,WSMTK!$P$22&lt;=91.4),"P","")</f>
        <v/>
      </c>
      <c r="NI14" s="102" t="str">
        <f>IF(AND(WSMTK!$P$22&gt;=91.5,WSMTK!$P$22&lt;=100),"P","")</f>
        <v>P</v>
      </c>
      <c r="NJ14" t="str">
        <f>IF(WSMTK!$P$35&lt;74.9,"P","")</f>
        <v/>
      </c>
      <c r="NK14" s="102" t="str">
        <f>IF(AND(WSMTK!$P$35&gt;=75,WSMTK!$P$35&lt;=83.24),"P","")</f>
        <v/>
      </c>
      <c r="NL14" s="102" t="str">
        <f>IF(AND(WSMTK!$P$35&gt;=83.25,WSMTK!$P$35&lt;=91.4),"P","")</f>
        <v/>
      </c>
      <c r="NM14" s="102" t="str">
        <f>IF(AND(WSMTK!$P$35&gt;=91.5,WSMTK!$P$35&lt;=100),"P","")</f>
        <v>P</v>
      </c>
      <c r="NN14" t="str">
        <f>IF(WSMTK!$P$69&lt;74.9,"P","")</f>
        <v/>
      </c>
      <c r="NO14" s="102" t="str">
        <f>IF(AND(WSMTK!$P$69&gt;=75,WSMTK!$P$69&lt;=83.24),"P","")</f>
        <v/>
      </c>
      <c r="NP14" s="102" t="str">
        <f>IF(AND(WSMTK!$P$69&gt;=83.25,WSMTK!$P$69&lt;=91.4),"P","")</f>
        <v/>
      </c>
      <c r="NQ14" s="102" t="str">
        <f>IF(AND(WSMTK!$P$69&gt;=91.5,WSMTK!$P$69&lt;=100),"P","")</f>
        <v>P</v>
      </c>
      <c r="NR14" t="str">
        <f>IF(WSMTK!$P$87&lt;74.9,"P","")</f>
        <v/>
      </c>
      <c r="NS14" s="102" t="str">
        <f>IF(AND(WSMTK!$P$87&gt;=75,WSMTK!$P$87&lt;=83.24),"P","")</f>
        <v/>
      </c>
      <c r="NT14" s="102" t="str">
        <f>IF(AND(WSMTK!$P$87&gt;=83.25,WSMTK!$P$87&lt;=91.4),"P","")</f>
        <v/>
      </c>
      <c r="NU14" s="102" t="str">
        <f>IF(AND(WSMTK!$P$87&gt;=91.5,WSMTK!$P$87&lt;=100),"P","")</f>
        <v>P</v>
      </c>
      <c r="NV14" t="str">
        <f>IF(WSMTK!$P$99&lt;74.9,"P","")</f>
        <v/>
      </c>
      <c r="NW14" s="102" t="str">
        <f>IF(AND(WSMTK!$P$99&gt;=75,WSMTK!$P$99&lt;=83.24),"P","")</f>
        <v/>
      </c>
      <c r="NX14" s="102" t="str">
        <f>IF(AND(WSMTK!$P$99&gt;=83.25,WSMTK!$P$99&lt;=91.4),"P","")</f>
        <v/>
      </c>
      <c r="NY14" s="102" t="str">
        <f>IF(AND(WSMTK!$P$99&gt;=91.5,WSMTK!$P$99&lt;=100),"P","")</f>
        <v>P</v>
      </c>
      <c r="NZ14" t="str">
        <f>IF(WSMTK!$P$113&lt;74.9,"P","")</f>
        <v/>
      </c>
      <c r="OA14" s="102" t="str">
        <f>IF(AND(WSMTK!$P$113&gt;=75,WSMTK!$P$113&lt;=83.24),"P","")</f>
        <v/>
      </c>
      <c r="OB14" s="102" t="str">
        <f>IF(AND(WSMTK!$P$113&gt;=83.25,WSMTK!$P$113&lt;=91.4),"P","")</f>
        <v/>
      </c>
      <c r="OC14" s="102" t="str">
        <f>IF(AND(WSMTK!$P$113&gt;=91.5,WSMTK!$P$113&lt;=100),"P","")</f>
        <v>P</v>
      </c>
      <c r="OD14" t="str">
        <f>IF(WSMTK!$P$145&lt;74.9,"P","")</f>
        <v/>
      </c>
      <c r="OE14" s="102" t="str">
        <f>IF(AND(WSMTK!$P$145&gt;=75,WSMTK!$P$145&lt;=83.24),"P","")</f>
        <v/>
      </c>
      <c r="OF14" s="102" t="str">
        <f>IF(AND(WSMTK!$P$145&gt;=83.25,WSMTK!$P$145&lt;=91.4),"P","")</f>
        <v/>
      </c>
      <c r="OG14" s="102" t="str">
        <f>IF(AND(WSMTK!$P$145&gt;=91.5,WSMTK!$P$145&lt;=100),"P","")</f>
        <v>P</v>
      </c>
      <c r="OH14" t="str">
        <f>IF(WSMTK!$P$168&lt;74.9,"P","")</f>
        <v/>
      </c>
      <c r="OI14" s="102" t="str">
        <f>IF(AND(WSMTK!$P$168&gt;=75,WSMTK!$P$168&lt;=83.24),"P","")</f>
        <v/>
      </c>
      <c r="OJ14" s="102" t="str">
        <f>IF(AND(WSMTK!$P$168&gt;=83.25,WSMTK!$P$168&lt;=91.4),"P","")</f>
        <v/>
      </c>
      <c r="OK14" s="102" t="str">
        <f>IF(AND(WSMTK!$P$168&gt;=91.5,WSMTK!$P$168&lt;=100),"P","")</f>
        <v/>
      </c>
      <c r="OL14" t="str">
        <f>IF(WSMTK!$P$176&lt;74.9,"P","")</f>
        <v/>
      </c>
      <c r="OM14" s="102" t="str">
        <f>IF(AND(WSMTK!$P$176&gt;=75,WSMTK!$P$176&lt;=83.24),"P","")</f>
        <v/>
      </c>
      <c r="ON14" s="102" t="str">
        <f>IF(AND(WSMTK!$P$176&gt;=83.25,WSMTK!$P$176&lt;=91.4),"P","")</f>
        <v/>
      </c>
      <c r="OO14" s="102" t="str">
        <f>IF(AND(WSMTK!$P$176&gt;=91.5,WSMTK!$P$176&lt;=100),"P","")</f>
        <v/>
      </c>
      <c r="OP14" t="str">
        <f>IF(WSMTK!$P$184&lt;74.9,"P","")</f>
        <v/>
      </c>
      <c r="OQ14" s="102" t="str">
        <f>IF(AND(WSMTK!$P$184&gt;=75,WSMTK!$P$184&lt;=83.24),"P","")</f>
        <v/>
      </c>
      <c r="OR14" s="102" t="str">
        <f>IF(AND(WSMTK!$P$184&gt;=83.25,WSMTK!$P$184&lt;=91.4),"P","")</f>
        <v/>
      </c>
      <c r="OS14" s="102" t="str">
        <f>IF(AND(WSMTK!$P$184&gt;=91.5,WSMTK!$P$184&lt;=100),"P","")</f>
        <v/>
      </c>
      <c r="OT14" t="str">
        <f>IF(WSMTK!$P$192&lt;74.9,"P","")</f>
        <v/>
      </c>
      <c r="OU14" s="102" t="str">
        <f>IF(AND(WSMTK!$P$192&gt;=75,WSMTK!$P$192&lt;=83.24),"P","")</f>
        <v/>
      </c>
      <c r="OV14" s="102" t="str">
        <f>IF(AND(WSMTK!$P$192&gt;=83.25,WSMTK!$P$192&lt;=91.4),"P","")</f>
        <v/>
      </c>
      <c r="OW14" s="102" t="str">
        <f>IF(AND(WSMTK!$P$192&gt;=91.5,WSMTK!$P$192&lt;=100),"P","")</f>
        <v/>
      </c>
      <c r="OX14" t="str">
        <f>IF(WSMTK!$P$200&lt;74.9,"P","")</f>
        <v/>
      </c>
      <c r="OY14" s="102" t="str">
        <f>IF(AND(WSMTK!$P$200&gt;=75,WSMTK!$P$200&lt;=83.24),"P","")</f>
        <v/>
      </c>
      <c r="OZ14" s="102" t="str">
        <f>IF(AND(WSMTK!$P$200&gt;=83.25,WSMTK!$P$200&lt;=91.4),"P","")</f>
        <v/>
      </c>
      <c r="PA14" s="102" t="str">
        <f>IF(AND(WSMTK!$P$200&gt;=91.5,WSMTK!$P$200&lt;=100),"P","")</f>
        <v/>
      </c>
      <c r="PB14" t="str">
        <f>IF(WSIPA!$P$6&lt;74.9,"P","")</f>
        <v/>
      </c>
      <c r="PC14" s="102" t="str">
        <f>IF(AND(WSIPA!$P$6&gt;=75,WSIPA!$P$6&lt;=83.24),"P","")</f>
        <v/>
      </c>
      <c r="PD14" s="102" t="str">
        <f>IF(AND(WSIPA!$P$6&gt;=83.25,WSIPA!$P$6&lt;=91.4),"P","")</f>
        <v/>
      </c>
      <c r="PE14" s="102" t="str">
        <f>IF(AND(WSIPA!$P$6&gt;=91.5,WSIPA!$P$6&lt;=100),"P","")</f>
        <v/>
      </c>
      <c r="PF14" t="str">
        <f>IF(WSIPA!$P$14&lt;74.9,"P","")</f>
        <v/>
      </c>
      <c r="PG14" s="102" t="str">
        <f>IF(AND(WSIPA!$P$14&gt;=75,WSIPA!$P$14&lt;=83.24),"P","")</f>
        <v/>
      </c>
      <c r="PH14" s="102" t="str">
        <f>IF(AND(WSIPA!$P$14&gt;=83.25,WSIPA!$P$14&lt;=91.4),"P","")</f>
        <v/>
      </c>
      <c r="PI14" s="102" t="str">
        <f>IF(AND(WSIPA!$P$14&gt;=91.5,WSIPA!$P$14&lt;=100),"P","")</f>
        <v/>
      </c>
      <c r="PJ14" t="str">
        <f>IF(WSIPA!$P$22&lt;74.9,"P","")</f>
        <v/>
      </c>
      <c r="PK14" s="102" t="str">
        <f>IF(AND(WSIPA!$P$22&gt;=75,WSIPA!$P$22&lt;=83.24),"P","")</f>
        <v/>
      </c>
      <c r="PL14" s="102" t="str">
        <f>IF(AND(WSIPA!$P$22&gt;=83.25,WSIPA!$P$22&lt;=91.4),"P","")</f>
        <v/>
      </c>
      <c r="PM14" s="102" t="str">
        <f>IF(AND(WSIPA!$P$22&gt;=91.5,WSIPA!$P$22&lt;=100),"P","")</f>
        <v/>
      </c>
      <c r="PN14" t="str">
        <f>IF(WSIPA!$P$30&lt;74.9,"P","")</f>
        <v/>
      </c>
      <c r="PO14" s="102" t="str">
        <f>IF(AND(WSIPA!$P$30&gt;=75,WSIPA!$P$30&lt;=83.24),"P","")</f>
        <v/>
      </c>
      <c r="PP14" s="102" t="str">
        <f>IF(AND(WSIPA!$P$30&gt;=83.25,WSIPA!$P$30&lt;=91.4),"P","")</f>
        <v/>
      </c>
      <c r="PQ14" s="102" t="str">
        <f>IF(AND(WSIPA!$P$30&gt;=91.5,WSIPA!$P$30&lt;=100),"P","")</f>
        <v/>
      </c>
      <c r="PR14" t="str">
        <f>IF(WSIPA!$P$38&lt;74.9,"P","")</f>
        <v/>
      </c>
      <c r="PS14" s="102" t="str">
        <f>IF(AND(WSIPA!$P$38&gt;=75,WSIPA!$P$38&lt;=83.24),"P","")</f>
        <v/>
      </c>
      <c r="PT14" s="102" t="str">
        <f>IF(AND(WSIPA!$P$38&gt;=83.25,WSIPA!$P$38&lt;=91.4),"P","")</f>
        <v/>
      </c>
      <c r="PU14" s="102" t="str">
        <f>IF(AND(WSIPA!$P$38&gt;=91.5,WSIPA!$P$38&lt;=100),"P","")</f>
        <v/>
      </c>
      <c r="PV14" t="str">
        <f>IF(WSIPA!$P$46&lt;74.9,"P","")</f>
        <v/>
      </c>
      <c r="PW14" s="102" t="str">
        <f>IF(AND(WSIPA!$P$46&gt;=75,WSIPA!$P$46&lt;=83.24),"P","")</f>
        <v/>
      </c>
      <c r="PX14" s="102" t="str">
        <f>IF(AND(WSIPA!$P$46&gt;=83.25,WSIPA!$P$46&lt;=91.4),"P","")</f>
        <v/>
      </c>
      <c r="PY14" s="102" t="str">
        <f>IF(AND(WSIPA!$P$46&gt;=91.5,WSIPA!$P$46&lt;=100),"P","")</f>
        <v/>
      </c>
      <c r="PZ14" t="str">
        <f>IF(WSIPA!$P$54&lt;74.9,"P","")</f>
        <v/>
      </c>
      <c r="QA14" s="102" t="str">
        <f>IF(AND(WSIPA!$P$54&gt;=75,WSIPA!$P$54&lt;=83.24),"P","")</f>
        <v/>
      </c>
      <c r="QB14" s="102" t="str">
        <f>IF(AND(WSIPA!$P$54&gt;=83.25,WSIPA!$P$54&lt;=91.4),"P","")</f>
        <v/>
      </c>
      <c r="QC14" s="102" t="str">
        <f>IF(AND(WSIPA!$P$54&gt;=91.5,WSIPA!$P$54&lt;=100),"P","")</f>
        <v/>
      </c>
      <c r="QD14" t="str">
        <f>IF(WSIPA!$P$62&lt;74.9,"P","")</f>
        <v/>
      </c>
      <c r="QE14" s="102" t="str">
        <f>IF(AND(WSIPA!$P$62&gt;=75,WSIPA!$P$62&lt;=83.24),"P","")</f>
        <v/>
      </c>
      <c r="QF14" s="102" t="str">
        <f>IF(AND(WSIPA!$P$62&gt;=83.25,WSIPA!$P$62&lt;=91.4),"P","")</f>
        <v/>
      </c>
      <c r="QG14" s="102" t="str">
        <f>IF(AND(WSIPA!$P$62&gt;=91.5,WSIPA!$P$62&lt;=100),"P","")</f>
        <v/>
      </c>
      <c r="QH14" t="str">
        <f>IF(WSIPA!$P$70&lt;74.9,"P","")</f>
        <v/>
      </c>
      <c r="QI14" s="102" t="str">
        <f>IF(AND(WSIPA!$P$70&gt;=75,WSIPA!$P$70&lt;=83.24),"P","")</f>
        <v/>
      </c>
      <c r="QJ14" s="102" t="str">
        <f>IF(AND(WSIPA!$P$70&gt;=83.25,WSIPA!$P$70&lt;=91.4),"P","")</f>
        <v/>
      </c>
      <c r="QK14" s="102" t="str">
        <f>IF(AND(WSIPA!$P$70&gt;=91.5,WSIPA!$P$70&lt;=100),"P","")</f>
        <v/>
      </c>
      <c r="QL14" t="str">
        <f>IF(WSIPA!$P$78&lt;74.9,"P","")</f>
        <v/>
      </c>
      <c r="QM14" s="102" t="str">
        <f>IF(AND(WSIPA!$P$78&gt;=75,WSIPA!$P$78&lt;=83.24),"P","")</f>
        <v/>
      </c>
      <c r="QN14" s="102" t="str">
        <f>IF(AND(WSIPA!$P$78&gt;=83.25,WSIPA!$P$78&lt;=91.4),"P","")</f>
        <v/>
      </c>
      <c r="QO14" s="102" t="str">
        <f>IF(AND(WSIPA!$P$78&gt;=91.5,WSIPA!$P$78&lt;=100),"P","")</f>
        <v/>
      </c>
      <c r="QP14" t="str">
        <f>IF(WSIPA!$P$86&lt;74.9,"P","")</f>
        <v/>
      </c>
      <c r="QQ14" s="102" t="str">
        <f>IF(AND(WSIPA!$P$86&gt;=75,WSIPA!$P$86&lt;=83.24),"P","")</f>
        <v/>
      </c>
      <c r="QR14" s="102" t="str">
        <f>IF(AND(WSIPA!$P$86&gt;=83.25,WSIPA!$P$86&lt;=91.4),"P","")</f>
        <v/>
      </c>
      <c r="QS14" s="102" t="str">
        <f>IF(AND(WSIPA!$P$86&gt;=91.5,WSIPA!$P$86&lt;=100),"P","")</f>
        <v/>
      </c>
      <c r="QT14" t="str">
        <f>IF(WSIPA!$P$94&lt;74.9,"P","")</f>
        <v/>
      </c>
      <c r="QU14" s="102" t="str">
        <f>IF(AND(WSIPA!$P$94&gt;=75,WSIPA!$P$94&lt;=83.24),"P","")</f>
        <v/>
      </c>
      <c r="QV14" s="102" t="str">
        <f>IF(AND(WSIPA!$P$94&gt;=83.25,WSIPA!$P$94&lt;=91.4),"P","")</f>
        <v/>
      </c>
      <c r="QW14" s="102" t="str">
        <f>IF(AND(WSIPA!$P$94&gt;=91.5,WSIPA!$P$94&lt;=100),"P","")</f>
        <v/>
      </c>
      <c r="QX14" t="str">
        <f>IF(WSIPA!$P$102&lt;74.9,"P","")</f>
        <v/>
      </c>
      <c r="QY14" s="102" t="str">
        <f>IF(AND(WSIPA!$P$102&gt;=75,WSIPA!$P$102&lt;=83.24),"P","")</f>
        <v/>
      </c>
      <c r="QZ14" s="102" t="str">
        <f>IF(AND(WSIPA!$P$102&gt;=83.25,WSIPA!$P$102&lt;=91.4),"P","")</f>
        <v/>
      </c>
      <c r="RA14" s="102" t="str">
        <f>IF(AND(WSIPA!$P$102&gt;=91.5,WSIPA!$P$102&lt;=100),"P","")</f>
        <v/>
      </c>
      <c r="RB14" t="str">
        <f>IF(WSIPS!$P$6&lt;74.9,"P","")</f>
        <v/>
      </c>
      <c r="RC14" s="102" t="str">
        <f>IF(AND(WSIPS!$P$6&gt;=75,WSIPS!$P$6&lt;=83.24),"P","")</f>
        <v/>
      </c>
      <c r="RD14" s="102" t="str">
        <f>IF(AND(WSIPS!$P$6&gt;=83.25,WSIPS!$P$6&lt;=91.4),"P","")</f>
        <v/>
      </c>
      <c r="RE14" s="102" t="str">
        <f>IF(AND(WSIPS!$P$6&gt;=91.5,WSIPS!$P$6&lt;=100),"P","")</f>
        <v/>
      </c>
      <c r="RF14" t="str">
        <f>IF(WSIPS!$P$14&lt;74.9,"P","")</f>
        <v/>
      </c>
      <c r="RG14" s="102" t="str">
        <f>IF(AND(WSIPS!$P$14&gt;=75,WSIPS!$P$14&lt;=83.24),"P","")</f>
        <v/>
      </c>
      <c r="RH14" s="102" t="str">
        <f>IF(AND(WSIPS!$P$14&gt;=83.25,WSIPS!$P$14&lt;=91.4),"P","")</f>
        <v/>
      </c>
      <c r="RI14" s="102" t="str">
        <f>IF(AND(WSIPS!$P$14&gt;=91.5,WSIPS!$P$14&lt;=100),"P","")</f>
        <v/>
      </c>
      <c r="RJ14" t="str">
        <f>IF(WSIPS!$P$22&lt;74.9,"P","")</f>
        <v/>
      </c>
      <c r="RK14" s="102" t="str">
        <f>IF(AND(WSIPS!$P$22&gt;=75,WSIPS!$P$22&lt;=83.24),"P","")</f>
        <v/>
      </c>
      <c r="RL14" s="102" t="str">
        <f>IF(AND(WSIPS!$P$22&gt;=83.25,WSIPS!$P$22&lt;=91.4),"P","")</f>
        <v/>
      </c>
      <c r="RM14" s="102" t="str">
        <f>IF(AND(WSIPS!$P$22&gt;=91.5,WSIPS!$P$22&lt;=100),"P","")</f>
        <v/>
      </c>
      <c r="RN14" t="str">
        <f>IF(WSIPS!$P$30&lt;74.9,"P","")</f>
        <v/>
      </c>
      <c r="RO14" s="102" t="str">
        <f>IF(AND(WSIPS!$P$30&gt;=75,WSIPS!$P$30&lt;=83.24),"P","")</f>
        <v/>
      </c>
      <c r="RP14" s="102" t="str">
        <f>IF(AND(WSIPS!$P$30&gt;=83.25,WSIPS!$P$30&lt;=91.4),"P","")</f>
        <v/>
      </c>
      <c r="RQ14" s="102" t="str">
        <f>IF(AND(WSIPS!$P$30&gt;=91.5,WSIPS!$P$30&lt;=100),"P","")</f>
        <v/>
      </c>
      <c r="RR14" t="str">
        <f>IF(WSIPS!$P$38&lt;74.9,"P","")</f>
        <v/>
      </c>
      <c r="RS14" s="102" t="str">
        <f>IF(AND(WSIPS!$P$38&gt;=75,WSIPS!$P$38&lt;=83.24),"P","")</f>
        <v/>
      </c>
      <c r="RT14" s="102" t="str">
        <f>IF(AND(WSIPS!$P$38&gt;=83.25,WSIPS!$P$38&lt;=91.4),"P","")</f>
        <v/>
      </c>
      <c r="RU14" s="102" t="str">
        <f>IF(AND(WSIPS!$P$38&gt;=91.5,WSIPS!$P$38&lt;=100),"P","")</f>
        <v/>
      </c>
      <c r="RV14" t="str">
        <f>IF(WSIPS!$P$46&lt;74.9,"P","")</f>
        <v/>
      </c>
      <c r="RW14" s="102" t="str">
        <f>IF(AND(WSIPS!$P$46&gt;=75,WSIPS!$P$46&lt;=83.24),"P","")</f>
        <v/>
      </c>
      <c r="RX14" s="102" t="str">
        <f>IF(AND(WSIPS!$P$46&gt;=83.25,WSIPS!$P$46&lt;=91.4),"P","")</f>
        <v/>
      </c>
      <c r="RY14" s="102" t="str">
        <f>IF(AND(WSIPS!$P$46&gt;=91.5,WSIPS!$P$46&lt;=100),"P","")</f>
        <v/>
      </c>
      <c r="RZ14" t="str">
        <f>IF(WSIPS!$P$54&lt;74.9,"P","")</f>
        <v/>
      </c>
      <c r="SA14" s="102" t="str">
        <f>IF(AND(WSIPS!$P$54&gt;=75,WSIPS!$P$54&lt;=83.24),"P","")</f>
        <v/>
      </c>
      <c r="SB14" s="102" t="str">
        <f>IF(AND(WSIPS!$P$54&gt;=83.25,WSIPS!$P$54&lt;=91.4),"P","")</f>
        <v/>
      </c>
      <c r="SC14" s="102" t="str">
        <f>IF(AND(WSIPS!$P$54&gt;=91.5,WSIPS!$P$54&lt;=100),"P","")</f>
        <v/>
      </c>
      <c r="SD14" t="str">
        <f>IF(WSIPS!$P$62&lt;74.9,"P","")</f>
        <v/>
      </c>
      <c r="SE14" s="102" t="str">
        <f>IF(AND(WSIPS!$P$62&gt;=75,WSIPS!$P$62&lt;=83.24),"P","")</f>
        <v/>
      </c>
      <c r="SF14" s="102" t="str">
        <f>IF(AND(WSIPS!$P$62&gt;=83.25,WSIPS!$P$62&lt;=91.4),"P","")</f>
        <v/>
      </c>
      <c r="SG14" s="102" t="str">
        <f>IF(AND(WSIPS!$P$62&gt;=91.5,WSIPS!$P$62&lt;=100),"P","")</f>
        <v/>
      </c>
      <c r="SH14" t="str">
        <f>IF(WSIPS!$P$70&lt;74.9,"P","")</f>
        <v/>
      </c>
      <c r="SI14" s="102" t="str">
        <f>IF(AND(WSIPS!$P$70&gt;=75,WSIPS!$P$70&lt;=83.24),"P","")</f>
        <v/>
      </c>
      <c r="SJ14" s="102" t="str">
        <f>IF(AND(WSIPS!$P$70&gt;=83.25,WSIPS!$P$70&lt;=91.4),"P","")</f>
        <v/>
      </c>
      <c r="SK14" s="102" t="str">
        <f>IF(AND(WSIPS!$P$70&gt;=91.5,WSIPS!$P$70&lt;=100),"P","")</f>
        <v/>
      </c>
      <c r="SL14" t="str">
        <f>IF(WSIPS!$P$78&lt;74.9,"P","")</f>
        <v/>
      </c>
      <c r="SM14" s="102" t="str">
        <f>IF(AND(WSIPS!$P$78&gt;=75,WSIPS!$P$78&lt;=83.24),"P","")</f>
        <v/>
      </c>
      <c r="SN14" s="102" t="str">
        <f>IF(AND(WSIPS!$P$78&gt;=83.25,WSIPS!$P$78&lt;=91.4),"P","")</f>
        <v/>
      </c>
      <c r="SO14" s="102" t="str">
        <f>IF(AND(WSIPS!$P$78&gt;=91.5,WSIPS!$P$78&lt;=100),"P","")</f>
        <v/>
      </c>
      <c r="SP14" t="str">
        <f>IF(WSIPS!$P$86&lt;74.9,"P","")</f>
        <v/>
      </c>
      <c r="SQ14" s="102" t="str">
        <f>IF(AND(WSIPS!$P$86&gt;=75,WSIPS!$P$86&lt;=83.24),"P","")</f>
        <v/>
      </c>
      <c r="SR14" s="102" t="str">
        <f>IF(AND(WSIPS!$P$86&gt;=83.25,WSIPS!$P$86&lt;=91.4),"P","")</f>
        <v/>
      </c>
      <c r="SS14" s="102" t="str">
        <f>IF(AND(WSIPS!$P$86&gt;=91.5,WSIPS!$P$86&lt;=100),"P","")</f>
        <v/>
      </c>
      <c r="ST14" t="str">
        <f>IF(WSIPS!$P$94&lt;74.9,"P","")</f>
        <v/>
      </c>
      <c r="SU14" s="102" t="str">
        <f>IF(AND(WSIPS!$P$94&gt;=75,WSIPS!$P$94&lt;=83.24),"P","")</f>
        <v/>
      </c>
      <c r="SV14" s="102" t="str">
        <f>IF(AND(WSIPS!$P$94&gt;=83.25,WSIPS!$P$94&lt;=91.4),"P","")</f>
        <v/>
      </c>
      <c r="SW14" s="102" t="str">
        <f>IF(AND(WSIPS!$P$94&gt;=91.5,WSIPS!$P$94&lt;=100),"P","")</f>
        <v/>
      </c>
      <c r="SX14" t="str">
        <f>IF(WSIPS!$P$102&lt;74.9,"P","")</f>
        <v/>
      </c>
      <c r="SY14" s="102" t="str">
        <f>IF(AND(WSIPS!$P$102&gt;=75,WSIPS!$P$102&lt;=83.24),"P","")</f>
        <v/>
      </c>
      <c r="SZ14" s="102" t="str">
        <f>IF(AND(WSIPS!$P$102&gt;=83.25,WSIPS!$P$102&lt;=91.4),"P","")</f>
        <v/>
      </c>
      <c r="TA14" s="102" t="str">
        <f>IF(AND(WSIPS!$P$102&gt;=91.5,WSIPS!$P$102&lt;=100),"P","")</f>
        <v/>
      </c>
      <c r="TB14" t="str">
        <f>IF(WSSBK!$P$6&lt;74.9,"P","")</f>
        <v/>
      </c>
      <c r="TC14" s="102" t="str">
        <f>IF(AND(WSSBK!$P$6&gt;=75,WSSBK!$P$6&lt;=83.24),"P","")</f>
        <v/>
      </c>
      <c r="TD14" s="102" t="str">
        <f>IF(AND(WSSBK!$P$6&gt;=83.25,WSSBK!$P$6&lt;=91.4),"P","")</f>
        <v/>
      </c>
      <c r="TE14" s="102" t="str">
        <f>IF(AND(WSSBK!$P$6&gt;=91.5,WSSBK!$P$6&lt;=100),"P","")</f>
        <v>P</v>
      </c>
      <c r="TF14" t="str">
        <f>IF(WSSBK!$P$16&lt;74.9,"P","")</f>
        <v/>
      </c>
      <c r="TG14" s="102" t="str">
        <f>IF(AND(WSSBK!$P$16&gt;=75,WSSBK!$P$16&lt;=83.24),"P","")</f>
        <v/>
      </c>
      <c r="TH14" s="102" t="str">
        <f>IF(AND(WSSBK!$P$16&gt;=83.25,WSSBK!$P$16&lt;=91.4),"P","")</f>
        <v/>
      </c>
      <c r="TI14" s="102" t="str">
        <f>IF(AND(WSSBK!$P$16&gt;=91.5,WSSBK!$P$16&lt;=100),"P","")</f>
        <v>P</v>
      </c>
      <c r="TJ14" t="str">
        <f>IF(WSSBK!$P$26&lt;74.9,"P","")</f>
        <v/>
      </c>
      <c r="TK14" s="102" t="str">
        <f>IF(AND(WSSBK!$P$26&gt;=75,WSSBK!$P$26&lt;=83.24),"P","")</f>
        <v/>
      </c>
      <c r="TL14" s="102" t="str">
        <f>IF(AND(WSSBK!$P$26&gt;=83.25,WSSBK!$P$26&lt;=91.4),"P","")</f>
        <v/>
      </c>
      <c r="TM14" s="102" t="str">
        <f>IF(AND(WSSBK!$P$26&gt;=91.5,WSSBK!$P$26&lt;=100),"P","")</f>
        <v>P</v>
      </c>
      <c r="TN14" t="str">
        <f>IF(WSSBK!$P$36&lt;74.9,"P","")</f>
        <v/>
      </c>
      <c r="TO14" s="102" t="str">
        <f>IF(AND(WSSBK!$P$36&gt;=75,WSSBK!$P$36&lt;=83.24),"P","")</f>
        <v/>
      </c>
      <c r="TP14" s="102" t="str">
        <f>IF(AND(WSSBK!$P$36&gt;=83.25,WSSBK!$P$36&lt;=91.4),"P","")</f>
        <v/>
      </c>
      <c r="TQ14" s="102" t="str">
        <f>IF(AND(WSSBK!$P$36&gt;=91.5,WSSBK!$P$36&lt;=100),"P","")</f>
        <v>P</v>
      </c>
      <c r="TR14" t="str">
        <f>IF(WSSBK!$P$46&lt;74.9,"P","")</f>
        <v/>
      </c>
      <c r="TS14" s="102" t="str">
        <f>IF(AND(WSSBK!$P$46&gt;=75,WSSBK!$P$46&lt;=83.24),"P","")</f>
        <v/>
      </c>
      <c r="TT14" s="102" t="str">
        <f>IF(AND(WSSBK!$P$46&gt;=83.25,WSSBK!$P$46&lt;=91.4),"P","")</f>
        <v/>
      </c>
      <c r="TU14" s="102" t="str">
        <f>IF(AND(WSSBK!$P$46&gt;=91.5,WSSBK!$P$46&lt;=100),"P","")</f>
        <v>P</v>
      </c>
      <c r="TV14" t="str">
        <f>IF(WSSBK!$P$58&lt;74.9,"P","")</f>
        <v/>
      </c>
      <c r="TW14" s="102" t="str">
        <f>IF(AND(WSSBK!$P$58&gt;=75,WSSBK!$P$58&lt;=83.24),"P","")</f>
        <v/>
      </c>
      <c r="TX14" s="102" t="str">
        <f>IF(AND(WSSBK!$P$58&gt;=83.25,WSSBK!$P$58&lt;=91.4),"P","")</f>
        <v/>
      </c>
      <c r="TY14" s="102" t="str">
        <f>IF(AND(WSSBK!$P$58&gt;=91.5,WSSBK!$P$58&lt;=100),"P","")</f>
        <v>P</v>
      </c>
      <c r="TZ14" t="str">
        <f>IF(WSSBK!$P$68&lt;74.9,"P","")</f>
        <v/>
      </c>
      <c r="UA14" s="102" t="str">
        <f>IF(AND(WSSBK!$P$68&gt;=75,WSSBK!$P$68&lt;=83.24),"P","")</f>
        <v/>
      </c>
      <c r="UB14" s="102" t="str">
        <f>IF(AND(WSSBK!$P$68&gt;=83.25,WSSBK!$P$68&lt;=91.4),"P","")</f>
        <v/>
      </c>
      <c r="UC14" s="102" t="str">
        <f>IF(AND(WSSBK!$P$68&gt;=91.5,WSSBK!$P$68&lt;=100),"P","")</f>
        <v>P</v>
      </c>
      <c r="UD14" t="str">
        <f>IF(WSSBK!$P$77&lt;74.9,"P","")</f>
        <v/>
      </c>
      <c r="UE14" s="102" t="str">
        <f>IF(AND(WSSBK!$P$77&gt;=75,WSSBK!$P$77&lt;=83.24),"P","")</f>
        <v/>
      </c>
      <c r="UF14" s="102" t="str">
        <f>IF(AND(WSSBK!$P$77&gt;=83.25,WSSBK!$P$77&lt;=91.4),"P","")</f>
        <v/>
      </c>
      <c r="UG14" s="102" t="str">
        <f>IF(AND(WSSBK!$P$77&gt;=91.5,WSSBK!$P$77&lt;=100),"P","")</f>
        <v>P</v>
      </c>
      <c r="UH14" t="str">
        <f>IF(WSSBK!$P$87&lt;74.9,"P","")</f>
        <v/>
      </c>
      <c r="UI14" s="102" t="str">
        <f>IF(AND(WSSBK!$P$87&gt;=75,WSSBK!$P$87&lt;=83.24),"P","")</f>
        <v/>
      </c>
      <c r="UJ14" s="102" t="str">
        <f>IF(AND(WSSBK!$P$87&gt;=83.25,WSSBK!$P$87&lt;=91.4),"P","")</f>
        <v/>
      </c>
      <c r="UK14" s="102" t="str">
        <f>IF(AND(WSSBK!$P$87&gt;=91.5,WSSBK!$P$87&lt;=100),"P","")</f>
        <v/>
      </c>
      <c r="UL14" t="str">
        <f>IF(WSSBK!$P$95&lt;74.9,"P","")</f>
        <v/>
      </c>
      <c r="UM14" s="102" t="str">
        <f>IF(AND(WSSBK!$P$95&gt;=75,WSSBK!$P$95&lt;=83.24),"P","")</f>
        <v/>
      </c>
      <c r="UN14" s="102" t="str">
        <f>IF(AND(WSSBK!$P$95&gt;=83.25,WSSBK!$P$95&lt;=91.4),"P","")</f>
        <v/>
      </c>
      <c r="UO14" s="102" t="str">
        <f>IF(AND(WSSBK!$P$95&gt;=91.5,WSSBK!$P$95&lt;=100),"P","")</f>
        <v/>
      </c>
      <c r="UP14" t="str">
        <f>IF(WSSBK!$P$103&lt;74.9,"P","")</f>
        <v/>
      </c>
      <c r="UQ14" s="102" t="str">
        <f>IF(AND(WSSBK!$P$103&gt;=75,WSSBK!$P$103&lt;=83.24),"P","")</f>
        <v/>
      </c>
      <c r="UR14" s="102" t="str">
        <f>IF(AND(WSSBK!$P$103&gt;=83.25,WSSBK!$P$103&lt;=91.4),"P","")</f>
        <v/>
      </c>
      <c r="US14" s="102" t="str">
        <f>IF(AND(WSSBK!$P$103&gt;=91.5,WSSBK!$P$103&lt;=100),"P","")</f>
        <v/>
      </c>
      <c r="UT14" t="str">
        <f>IF(WSSBK!$P$111&lt;74.9,"P","")</f>
        <v/>
      </c>
      <c r="UU14" s="102" t="str">
        <f>IF(AND(WSSBK!$P$111&gt;=75,WSSBK!$P$111&lt;=83.24),"P","")</f>
        <v/>
      </c>
      <c r="UV14" s="102" t="str">
        <f>IF(AND(WSSBK!$P$111&gt;=83.25,WSSBK!$P$111&lt;=91.4),"P","")</f>
        <v/>
      </c>
      <c r="UW14" s="102" t="str">
        <f>IF(AND(WSSBK!$P$111&gt;=91.5,WSSBK!$P$111&lt;=100),"P","")</f>
        <v/>
      </c>
      <c r="UX14" t="str">
        <f>IF(WSSBK!$P$119&lt;74.9,"P","")</f>
        <v/>
      </c>
      <c r="UY14" s="102" t="str">
        <f>IF(AND(WSSBK!$P$119&gt;=75,WSSBK!$P$119&lt;=83.24),"P","")</f>
        <v/>
      </c>
      <c r="UZ14" s="102" t="str">
        <f>IF(AND(WSSBK!$P$119&gt;=83.25,WSSBK!$P$119&lt;=91.4),"P","")</f>
        <v/>
      </c>
      <c r="VA14" s="102" t="str">
        <f>IF(AND(WSSBK!$P$119&gt;=91.5,WSSBK!$P$119&lt;=100),"P","")</f>
        <v/>
      </c>
      <c r="VB14" s="102" t="str">
        <f>IF(AND(WSPENJAS!$P$6&gt;0,WSPENJAS!$P$6&lt;=74.9),"P","")</f>
        <v/>
      </c>
      <c r="VC14" s="102" t="str">
        <f>IF(AND(WSPENJAS!$P$6&gt;=75,WSPENJAS!$P$6&lt;=83.24),"P","")</f>
        <v/>
      </c>
      <c r="VD14" s="102" t="str">
        <f>IF(AND(WSPENJAS!$P$6&gt;=83.25,WSPENJAS!$P$6&lt;=91.4),"P","")</f>
        <v/>
      </c>
      <c r="VE14" s="102" t="str">
        <f>IF(AND(WSPENJAS!$P$6&gt;=91.5,WSPENJAS!$P$6&lt;=100),"P","")</f>
        <v>P</v>
      </c>
      <c r="VF14" s="102" t="str">
        <f>IF(AND(WSPENJAS!$P$7&gt;0,WSPENJAS!$P$7&lt;=74.9),"P","")</f>
        <v/>
      </c>
      <c r="VG14" s="102" t="str">
        <f>IF(AND(WSPENJAS!$P$7&gt;=75,WSPENJAS!$P$7&lt;=83.24),"P","")</f>
        <v/>
      </c>
      <c r="VH14" s="102" t="str">
        <f>IF(AND(WSPENJAS!$P$7&gt;=83.25,WSPENJAS!$P$7&lt;=91.4),"P","")</f>
        <v/>
      </c>
      <c r="VI14" s="102" t="str">
        <f>IF(AND(WSPENJAS!$P$7&gt;=91.5,WSPENJAS!$P$7&lt;=100),"P","")</f>
        <v>P</v>
      </c>
      <c r="VJ14" s="102" t="str">
        <f>IF(AND(WSPENJAS!$P$8&gt;0,WSPENJAS!$P$8&lt;=74.9),"P","")</f>
        <v/>
      </c>
      <c r="VK14" s="102" t="str">
        <f>IF(AND(WSPENJAS!$P$8&gt;=75,WSPENJAS!$P$8&lt;=83.24),"P","")</f>
        <v/>
      </c>
      <c r="VL14" s="102" t="str">
        <f>IF(AND(WSPENJAS!$P$8&gt;=83.25,WSPENJAS!$P$8&lt;=91.4),"P","")</f>
        <v/>
      </c>
      <c r="VM14" s="102" t="str">
        <f>IF(AND(WSPENJAS!$P$8&gt;=91.5,WSPENJAS!$P$8&lt;=100),"P","")</f>
        <v>P</v>
      </c>
      <c r="VN14" s="102" t="str">
        <f>IF(AND(WSPENJAS!$P$9&gt;0,WSPENJAS!$P$9&lt;=74.9),"P","")</f>
        <v/>
      </c>
      <c r="VO14" s="102" t="str">
        <f>IF(AND(WSPENJAS!$P$9&gt;=75,WSPENJAS!$P$9&lt;=83.24),"P","")</f>
        <v/>
      </c>
      <c r="VP14" s="102" t="str">
        <f>IF(AND(WSPENJAS!$P$9&gt;=83.25,WSPENJAS!$P$9&lt;=91.4),"P","")</f>
        <v/>
      </c>
      <c r="VQ14" s="102" t="str">
        <f>IF(AND(WSPENJAS!$P$9&gt;=91.5,WSPENJAS!$P$9&lt;=100),"P","")</f>
        <v>P</v>
      </c>
      <c r="VR14" s="102" t="str">
        <f>IF(AND(WSPENJAS!$P$10&gt;0,WSPENJAS!$P$10&lt;=74.9),"P","")</f>
        <v/>
      </c>
      <c r="VS14" s="102" t="str">
        <f>IF(AND(WSPENJAS!$P$10&gt;=75,WSPENJAS!$P$10&lt;=83.24),"P","")</f>
        <v/>
      </c>
      <c r="VT14" s="102" t="str">
        <f>IF(AND(WSPENJAS!$P$10&gt;=83.25,WSPENJAS!$P$10&lt;=91.4),"P","")</f>
        <v/>
      </c>
      <c r="VU14" s="102" t="str">
        <f>IF(AND(WSPENJAS!$P$10&gt;=91.5,WSPENJAS!$P$10&lt;=100),"P","")</f>
        <v>P</v>
      </c>
      <c r="VV14" s="102" t="str">
        <f>IF(AND(WSPENJAS!$P$11&gt;0,WSPENJAS!$P$11&lt;=74.9),"P","")</f>
        <v/>
      </c>
      <c r="VW14" s="102" t="str">
        <f>IF(AND(WSPENJAS!$P$411&gt;=75,WSPENJAS!$P$411&lt;=83.24),"P","")</f>
        <v/>
      </c>
      <c r="VX14" s="102" t="str">
        <f>IF(AND(WSPENJAS!$P$411&gt;=83.25,WSPENJAS!$P$411&lt;=91.4),"P","")</f>
        <v/>
      </c>
      <c r="VY14" s="102" t="str">
        <f>IF(AND(WSPENJAS!$P$411&gt;=91.5,WSPENJAS!$P$411&lt;=100),"P","")</f>
        <v/>
      </c>
      <c r="VZ14" s="102" t="str">
        <f>IF(AND(WSPENJAS!$P$12&gt;0,WSPENJAS!$P$12&lt;=74.9),"P","")</f>
        <v/>
      </c>
      <c r="WA14" s="102" t="str">
        <f>IF(AND(WSPENJAS!$P$12&gt;=75,WSPENJAS!$P$12&lt;=83.24),"P","")</f>
        <v/>
      </c>
      <c r="WB14" s="102" t="str">
        <f>IF(AND(WSPENJAS!$P$12&gt;=83.25,WSPENJAS!$P$12&lt;=91.4),"P","")</f>
        <v/>
      </c>
      <c r="WC14" s="102" t="str">
        <f>IF(AND(WSPENJAS!$P$12&gt;=91.5,WSPENJAS!$P$12&lt;=100),"P","")</f>
        <v>P</v>
      </c>
      <c r="WD14" s="102" t="str">
        <f>IF(AND(WSPENJAS!$P$13&gt;0,WSPENJAS!$P$13&lt;=74.9),"P","")</f>
        <v/>
      </c>
      <c r="WE14" s="102" t="str">
        <f>IF(AND(WSPENJAS!$P$13&gt;=75,WSPENJAS!$P$13&lt;=83.24),"P","")</f>
        <v/>
      </c>
      <c r="WF14" s="102" t="str">
        <f>IF(AND(WSPENJAS!$P$13&gt;=83.25,WSPENJAS!$P$13&lt;=91.4),"P","")</f>
        <v/>
      </c>
      <c r="WG14" s="102" t="str">
        <f>IF(AND(WSPENJAS!$P$13&gt;=91.5,WSPENJAS!$P$13&lt;=100),"P","")</f>
        <v>P</v>
      </c>
      <c r="WH14" s="102" t="str">
        <f>IF(AND(WSPENJAS!$P$14&gt;0,WSPENJAS!$P$14&lt;=74.9),"P","")</f>
        <v/>
      </c>
      <c r="WI14" s="102" t="str">
        <f>IF(AND(WSPENJAS!$P$14&gt;=75,WSPENJAS!$P$14&lt;=83.24),"P","")</f>
        <v/>
      </c>
      <c r="WJ14" s="102" t="str">
        <f>IF(AND(WSPENJAS!$P$14&gt;=83.25,WSPENJAS!$P$14&lt;=91.4),"P","")</f>
        <v/>
      </c>
      <c r="WK14" s="102" t="str">
        <f>IF(AND(WSPENJAS!$P$14&gt;=91.5,WSPENJAS!$P$14&lt;=100),"P","")</f>
        <v>P</v>
      </c>
      <c r="WL14" s="102" t="str">
        <f>IF(AND(WSPENJAS!$P$15&gt;0,WSPENJAS!$P$15&lt;=74.9),"P","")</f>
        <v/>
      </c>
      <c r="WM14" s="102" t="str">
        <f>IF(AND(WSPENJAS!$P$15&gt;=75,WSPENJAS!$P$15&lt;=83.24),"P","")</f>
        <v/>
      </c>
      <c r="WN14" s="102" t="str">
        <f>IF(AND(WSPENJAS!$P$15&gt;=83.25,WSPENJAS!$P$15&lt;=91.4),"P","")</f>
        <v/>
      </c>
      <c r="WO14" s="102" t="str">
        <f>IF(AND(WSPENJAS!$P$15&gt;=91.5,WSPENJAS!$P$15&lt;=100),"P","")</f>
        <v>P</v>
      </c>
      <c r="WP14" s="102" t="str">
        <f>IF(AND(WSPENJAS!$P$16&gt;0,WSPENJAS!$P$16&lt;=74.9),"P","")</f>
        <v/>
      </c>
      <c r="WQ14" s="102" t="str">
        <f>IF(AND(WSPENJAS!$P$16&gt;=75,WSPENJAS!$P$16&lt;=83.24),"P","")</f>
        <v/>
      </c>
      <c r="WR14" s="102" t="str">
        <f>IF(AND(WSPENJAS!$P$16&gt;=83.25,WSPENJAS!$P$16&lt;=91.4),"P","")</f>
        <v/>
      </c>
      <c r="WS14" s="102" t="str">
        <f>IF(AND(WSPENJAS!$P$16&gt;=91.5,WSPENJAS!$P$16&lt;=100),"P","")</f>
        <v/>
      </c>
      <c r="WT14" s="102" t="str">
        <f>IF(AND(WSPENJAS!$P$17&gt;0,WSPENJAS!$P$17&lt;=74.9),"P","")</f>
        <v/>
      </c>
      <c r="WU14" s="102" t="str">
        <f>IF(AND(WSPENJAS!$P$17&gt;=75,WSPENJAS!$P$17&lt;=83.24),"P","")</f>
        <v/>
      </c>
      <c r="WV14" s="102" t="str">
        <f>IF(AND(WSPENJAS!$P$17&gt;=83.25,WSPENJAS!$P$17&lt;=91.4),"P","")</f>
        <v/>
      </c>
      <c r="WW14" s="102" t="str">
        <f>IF(AND(WSPENJAS!$P$17&gt;=91.5,WSPENJAS!$P$17&lt;=100),"P","")</f>
        <v/>
      </c>
      <c r="WX14" s="102" t="str">
        <f>IF(AND(WSPENJAS!$P$18&gt;0,WSPENJAS!$P$18&lt;=74.9),"P","")</f>
        <v/>
      </c>
      <c r="WY14" s="102" t="str">
        <f>IF(AND(WSPENJAS!$P$18&gt;=75,WSPENJAS!$P$18&lt;=83.24),"P","")</f>
        <v/>
      </c>
      <c r="WZ14" s="102" t="str">
        <f>IF(AND(WSPENJAS!$P$18&gt;=83.25,WSPENJAS!$P$18&lt;=91.4),"P","")</f>
        <v/>
      </c>
      <c r="XA14" s="102" t="str">
        <f>IF(AND(WSPENJAS!$P$18&gt;=91.5,WSPENJAS!$P$18&lt;=100),"P","")</f>
        <v/>
      </c>
      <c r="XB14" s="102" t="str">
        <f>IF(AND(WSPENJAS!$P$19&gt;0,WSPENJAS!$P$19&lt;=74.9),"P","")</f>
        <v/>
      </c>
      <c r="XC14" s="102" t="str">
        <f>IF(AND(WSPENJAS!$P$19&gt;=75,WSPENJAS!$P$19&lt;=83.24),"P","")</f>
        <v/>
      </c>
      <c r="XD14" s="102" t="str">
        <f>IF(AND(WSPENJAS!$P$19&gt;=83.25,WSPENJAS!$P$19&lt;=91.4),"P","")</f>
        <v/>
      </c>
      <c r="XE14" s="102" t="str">
        <f>IF(AND(WSPENJAS!$P$19&gt;=91.5,WSPENJAS!$P$19&lt;=100),"P","")</f>
        <v/>
      </c>
      <c r="XF14" s="102" t="str">
        <f>IF(AND(WSPENJAS!$P$20&gt;0,WSPENJAS!$P$20&lt;=74.9),"P","")</f>
        <v/>
      </c>
      <c r="XG14" s="102" t="str">
        <f>IF(AND(WSPENJAS!$P$20&gt;=75,WSPENJAS!$P$20&lt;=83.24),"P","")</f>
        <v/>
      </c>
      <c r="XH14" s="102" t="str">
        <f>IF(AND(WSPENJAS!$P$20&gt;=83.25,WSPENJAS!$P$20&lt;=91.4),"P","")</f>
        <v/>
      </c>
      <c r="XI14" s="102" t="str">
        <f>IF(AND(WSPENJAS!$P$20&gt;=91.5,WSPENJAS!$P$20&lt;=100),"P","")</f>
        <v/>
      </c>
      <c r="XJ14" s="102" t="str">
        <f>IF(AND(WSPENJAS!$P$21&gt;0,WSPENJAS!$P$21&lt;=74.9),"P","")</f>
        <v/>
      </c>
      <c r="XK14" s="102" t="str">
        <f>IF(AND(WSPENJAS!$P$21&gt;=75,WSPENJAS!$P$21&lt;=83.24),"P","")</f>
        <v/>
      </c>
      <c r="XL14" s="102" t="str">
        <f>IF(AND(WSPENJAS!$P$21&gt;=83.25,WSPENJAS!$P$21&lt;=91.4),"P","")</f>
        <v/>
      </c>
      <c r="XM14" s="102" t="str">
        <f>IF(AND(WSPENJAS!$P$21&gt;=91.5,WSPENJAS!$P$21&lt;=100),"P","")</f>
        <v/>
      </c>
      <c r="XN14" t="str">
        <f>IF(WSJAWA!$P$6&lt;74.9,"P","")</f>
        <v/>
      </c>
      <c r="XO14" s="102" t="str">
        <f>IF(AND(WSJAWA!$P$6&gt;=75,WSJAWA!$P$6&lt;=83.24),"P","")</f>
        <v/>
      </c>
      <c r="XP14" s="102" t="str">
        <f>IF(AND(WSJAWA!$P$6&gt;=83.25,WSJAWA!$P$6&lt;=91.4),"P","")</f>
        <v/>
      </c>
      <c r="XQ14" s="102" t="str">
        <f>IF(AND(WSJAWA!$P$6&gt;=91.5,WSJAWA!$P$6&lt;=100),"P","")</f>
        <v>P</v>
      </c>
      <c r="XR14" t="str">
        <f>IF(WSJAWA!$P$14&lt;74.9,"P","")</f>
        <v/>
      </c>
      <c r="XS14" s="102" t="str">
        <f>IF(AND(WSJAWA!$P$14&gt;=75,WSJAWA!$P$14&lt;=83.24),"P","")</f>
        <v/>
      </c>
      <c r="XT14" s="102" t="str">
        <f>IF(AND(WSJAWA!$P$14&gt;=83.25,WSJAWA!$P$14&lt;=91.4),"P","")</f>
        <v/>
      </c>
      <c r="XU14" s="102" t="str">
        <f>IF(AND(WSJAWA!$P$14&gt;=91.5,WSJAWA!$P$14&lt;=100),"P","")</f>
        <v>P</v>
      </c>
      <c r="XV14" t="str">
        <f>IF(WSJAWA!$P$22&lt;74.9,"P","")</f>
        <v/>
      </c>
      <c r="XW14" s="102" t="str">
        <f>IF(AND(WSJAWA!$P$22&gt;=75,WSJAWA!$P$22&lt;=83.24),"P","")</f>
        <v/>
      </c>
      <c r="XX14" s="102" t="str">
        <f>IF(AND(WSJAWA!$P$22&gt;=83.25,WSJAWA!$P$22&lt;=91.4),"P","")</f>
        <v/>
      </c>
      <c r="XY14" s="102" t="str">
        <f>IF(AND(WSJAWA!$P$22&gt;=91.5,WSJAWA!$P$22&lt;=100),"P","")</f>
        <v>P</v>
      </c>
      <c r="XZ14" t="str">
        <f>IF(WSJAWA!$P$30&lt;74.9,"P","")</f>
        <v/>
      </c>
      <c r="YA14" s="102" t="str">
        <f>IF(AND(WSJAWA!$P$30&gt;=75,WSJAWA!$P$30&lt;=83.24),"P","")</f>
        <v/>
      </c>
      <c r="YB14" s="102" t="str">
        <f>IF(AND(WSJAWA!$P$30&gt;=83.25,WSJAWA!$P$30&lt;=91.4),"P","")</f>
        <v/>
      </c>
      <c r="YC14" s="102" t="str">
        <f>IF(AND(WSJAWA!$P$30&gt;=91.5,WSJAWA!$P$30&lt;=100),"P","")</f>
        <v>P</v>
      </c>
      <c r="YD14" t="str">
        <f>IF(WSJAWA!$P$38&lt;74.9,"P","")</f>
        <v/>
      </c>
      <c r="YE14" s="102" t="str">
        <f>IF(AND(WSJAWA!$P$38&gt;=75,WSJAWA!$P$38&lt;=83.24),"P","")</f>
        <v/>
      </c>
      <c r="YF14" s="102" t="str">
        <f>IF(AND(WSJAWA!$P$38&gt;=83.25,WSJAWA!$P$38&lt;=91.4),"P","")</f>
        <v/>
      </c>
      <c r="YG14" s="102" t="str">
        <f>IF(AND(WSJAWA!$P$38&gt;=91.5,WSJAWA!$P$38&lt;=100),"P","")</f>
        <v>P</v>
      </c>
      <c r="YH14" t="str">
        <f>IF(WSJAWA!$P$46&lt;74.9,"P","")</f>
        <v/>
      </c>
      <c r="YI14" s="102" t="str">
        <f>IF(AND(WSJAWA!$P$46&gt;=75,WSJAWA!$P$46&lt;=83.24),"P","")</f>
        <v>P</v>
      </c>
      <c r="YJ14" s="102" t="str">
        <f>IF(AND(WSJAWA!$P$46&gt;=83.25,WSJAWA!$P$46&lt;=91.4),"P","")</f>
        <v/>
      </c>
      <c r="YK14" s="102" t="str">
        <f>IF(AND(WSJAWA!$P$46&gt;=91.5,WSJAWA!$P$46&lt;=100),"P","")</f>
        <v/>
      </c>
      <c r="YL14" t="str">
        <f>IF(WSJAWA!$P$54&lt;74.9,"P","")</f>
        <v/>
      </c>
      <c r="YM14" s="102" t="str">
        <f>IF(AND(WSJAWA!$P$54&gt;=75,WSJAWA!$P$54&lt;=83.24),"P","")</f>
        <v/>
      </c>
      <c r="YN14" s="102" t="str">
        <f>IF(AND(WSJAWA!$P$54&gt;=83.25,WSJAWA!$P$54&lt;=91.4),"P","")</f>
        <v/>
      </c>
      <c r="YO14" s="102" t="str">
        <f>IF(AND(WSJAWA!$P$54&gt;=91.5,WSJAWA!$P$54&lt;=100),"P","")</f>
        <v>P</v>
      </c>
      <c r="YP14" t="str">
        <f>IF(WSJAWA!$P$62&lt;74.9,"P","")</f>
        <v/>
      </c>
      <c r="YQ14" s="102" t="str">
        <f>IF(AND(WSJAWA!$P$62&gt;=75,WSJAWA!$P$62&lt;=83.24),"P","")</f>
        <v/>
      </c>
      <c r="YR14" s="102" t="str">
        <f>IF(AND(WSJAWA!$P$62&gt;=83.25,WSJAWA!$P$62&lt;=91.4),"P","")</f>
        <v/>
      </c>
      <c r="YS14" s="102" t="str">
        <f>IF(AND(WSJAWA!$P$62&gt;=91.5,WSJAWA!$P$62&lt;=100),"P","")</f>
        <v>P</v>
      </c>
      <c r="YT14" t="str">
        <f>IF(WSJAWA!$P$70&lt;74.9,"P","")</f>
        <v/>
      </c>
      <c r="YU14" s="102" t="str">
        <f>IF(AND(WSJAWA!$P$70&gt;=75,WSJAWA!$P$70&lt;=83.24),"P","")</f>
        <v/>
      </c>
      <c r="YV14" s="102" t="str">
        <f>IF(AND(WSJAWA!$P$70&gt;=83.25,WSJAWA!$P$70&lt;=91.4),"P","")</f>
        <v/>
      </c>
      <c r="YW14" s="102" t="str">
        <f>IF(AND(WSJAWA!$P$70&gt;=91.5,WSJAWA!$P$70&lt;=100),"P","")</f>
        <v/>
      </c>
      <c r="YX14" t="str">
        <f>IF(WSJAWA!$P$78&lt;74.9,"P","")</f>
        <v/>
      </c>
      <c r="YY14" s="102" t="str">
        <f>IF(AND(WSJAWA!$P$78&gt;=75,WSJAWA!$P$78&lt;=83.24),"P","")</f>
        <v/>
      </c>
      <c r="YZ14" s="102" t="str">
        <f>IF(AND(WSJAWA!$P$78&gt;=83.25,WSJAWA!$P$78&lt;=91.4),"P","")</f>
        <v/>
      </c>
      <c r="ZA14" s="102" t="str">
        <f>IF(AND(WSJAWA!$P$78&gt;=91.5,WSJAWA!$P$78&lt;=100),"P","")</f>
        <v/>
      </c>
      <c r="ZB14" t="str">
        <f>IF(WSJAWA!$P$86&lt;74.9,"P","")</f>
        <v/>
      </c>
      <c r="ZC14" s="102" t="str">
        <f>IF(AND(WSJAWA!$P$86&gt;=75,WSJAWA!$P$86&lt;=83.24),"P","")</f>
        <v/>
      </c>
      <c r="ZD14" s="102" t="str">
        <f>IF(AND(WSJAWA!$P$86&gt;=83.25,WSJAWA!$P$86&lt;=91.4),"P","")</f>
        <v/>
      </c>
      <c r="ZE14" s="102" t="str">
        <f>IF(AND(WSJAWA!$P$86&gt;=91.5,WSJAWA!$P$86&lt;=100),"P","")</f>
        <v/>
      </c>
      <c r="ZF14" t="str">
        <f>IF(WSJAWA!$P$94&lt;74.9,"P","")</f>
        <v/>
      </c>
      <c r="ZG14" s="102" t="str">
        <f>IF(AND(WSJAWA!$P$94&gt;=75,WSJAWA!$P$94&lt;=83.24),"P","")</f>
        <v/>
      </c>
      <c r="ZH14" s="102" t="str">
        <f>IF(AND(WSJAWA!$P$94&gt;=83.25,WSJAWA!$P$94&lt;=91.4),"P","")</f>
        <v/>
      </c>
      <c r="ZI14" s="102" t="str">
        <f>IF(AND(WSJAWA!$P$94&gt;=91.5,WSJAWA!$P$94&lt;=100),"P","")</f>
        <v/>
      </c>
      <c r="ZJ14" t="str">
        <f>IF(WSJAWA!$P$102&lt;74.9,"P","")</f>
        <v/>
      </c>
      <c r="ZK14" s="102" t="str">
        <f>IF(AND(WSJAWA!$P$102&gt;=75,WSJAWA!$P$102&lt;=83.24),"P","")</f>
        <v/>
      </c>
      <c r="ZL14" s="102" t="str">
        <f>IF(AND(WSJAWA!$P$102&gt;=83.25,WSJAWA!$P$102&lt;=91.4),"P","")</f>
        <v/>
      </c>
      <c r="ZM14" s="102" t="str">
        <f>IF(AND(WSJAWA!$P$102&gt;=91.5,WSJAWA!$P$102&lt;=100),"P","")</f>
        <v/>
      </c>
      <c r="ZN14" t="str">
        <f>IF(WSING!$P$6&lt;74.9,"P","")</f>
        <v/>
      </c>
      <c r="ZO14" s="102" t="str">
        <f>IF(AND(WSING!$P$6&gt;=75,WSING!$P$6&lt;=83.24),"P","")</f>
        <v/>
      </c>
      <c r="ZP14" s="102" t="str">
        <f>IF(AND(WSING!$P$6&gt;=83.25,WSING!$P$6&lt;=91.4),"P","")</f>
        <v/>
      </c>
      <c r="ZQ14" s="102" t="str">
        <f>IF(AND(WSING!$P$6&gt;=91.5,WSING!$P$6&lt;=100),"P","")</f>
        <v>P</v>
      </c>
      <c r="ZR14" t="str">
        <f>IF(WSING!$P$15&lt;74.9,"P","")</f>
        <v/>
      </c>
      <c r="ZS14" s="102" t="str">
        <f>IF(AND(WSING!$P$15&gt;=75,WSING!$P$15&lt;=83.24),"P","")</f>
        <v/>
      </c>
      <c r="ZT14" s="102" t="str">
        <f>IF(AND(WSING!$P$15&gt;=83.25,WSING!$P$15&lt;=91.4),"P","")</f>
        <v/>
      </c>
      <c r="ZU14" s="102" t="str">
        <f>IF(AND(WSING!$P$15&gt;=91.5,WSING!$P$15&lt;=100),"P","")</f>
        <v>P</v>
      </c>
      <c r="ZV14" t="str">
        <f>IF(WSING!$P$24&lt;74.9,"P","")</f>
        <v/>
      </c>
      <c r="ZW14" s="102" t="str">
        <f>IF(AND(WSING!$P$24&gt;=75,WSING!$P$24&lt;=83.24),"P","")</f>
        <v/>
      </c>
      <c r="ZX14" s="102" t="str">
        <f>IF(AND(WSING!$P$24&gt;=83.25,WSING!$P$24&lt;=91.4),"P","")</f>
        <v/>
      </c>
      <c r="ZY14" s="102" t="str">
        <f>IF(AND(WSING!$P$24&gt;=91.5,WSING!$P$24&lt;=100),"P","")</f>
        <v>P</v>
      </c>
      <c r="ZZ14" t="str">
        <f>IF(WSING!$P$33&lt;74.9,"P","")</f>
        <v/>
      </c>
      <c r="AAA14" s="102" t="str">
        <f>IF(AND(WSING!$P$33&gt;=75,WSING!$P$33&lt;=83.24),"P","")</f>
        <v/>
      </c>
      <c r="AAB14" s="102" t="str">
        <f>IF(AND(WSING!$P$33&gt;=83.25,WSING!$P$33&lt;=91.4),"P","")</f>
        <v/>
      </c>
      <c r="AAC14" s="102" t="str">
        <f>IF(AND(WSING!$P$33&gt;=91.5,WSING!$P$33&lt;=100),"P","")</f>
        <v>P</v>
      </c>
      <c r="AAD14" t="str">
        <f>IF(WSING!$P$42&lt;74.9,"P","")</f>
        <v/>
      </c>
      <c r="AAE14" s="102" t="str">
        <f>IF(AND(WSING!$P$42&gt;=75,WSING!$P$42&lt;=83.24),"P","")</f>
        <v/>
      </c>
      <c r="AAF14" s="102" t="str">
        <f>IF(AND(WSING!$P$42&gt;=83.25,WSING!$P$42&lt;=91.4),"P","")</f>
        <v/>
      </c>
      <c r="AAG14" s="102" t="str">
        <f>IF(AND(WSING!$P$42&gt;=91.5,WSING!$P$42&lt;=100),"P","")</f>
        <v/>
      </c>
      <c r="AAH14" t="str">
        <f>IF(WSING!$P$50&lt;74.9,"P","")</f>
        <v/>
      </c>
      <c r="AAI14" s="102" t="str">
        <f>IF(AND(WSING!$P$50&gt;=75,WSING!$P$50&lt;=83.24),"P","")</f>
        <v/>
      </c>
      <c r="AAJ14" s="102" t="str">
        <f>IF(AND(WSING!$P$50&gt;=83.25,WSING!$P$50&lt;=91.4),"P","")</f>
        <v/>
      </c>
      <c r="AAK14" s="102" t="str">
        <f>IF(AND(WSING!$P$50&gt;=91.5,WSING!$P$50&lt;=100),"P","")</f>
        <v/>
      </c>
      <c r="AAL14" t="str">
        <f>IF(WSING!$P$58&lt;74.9,"P","")</f>
        <v/>
      </c>
      <c r="AAM14" s="102" t="str">
        <f>IF(AND(WSING!$P$58&gt;=75,WSING!$P$58&lt;=83.24),"P","")</f>
        <v/>
      </c>
      <c r="AAN14" s="102" t="str">
        <f>IF(AND(WSING!$P$58&gt;=83.25,WSING!$P$58&lt;=91.4),"P","")</f>
        <v/>
      </c>
      <c r="AAO14" s="102" t="str">
        <f>IF(AND(WSING!$P$58&gt;=91.5,WSING!$P$58&lt;=100),"P","")</f>
        <v/>
      </c>
      <c r="AAP14" t="str">
        <f>IF(WSING!$P$66&lt;74.9,"P","")</f>
        <v/>
      </c>
      <c r="AAQ14" s="102" t="str">
        <f>IF(AND(WSING!$P$66&gt;=75,WSING!$P$66&lt;=83.24),"P","")</f>
        <v/>
      </c>
      <c r="AAR14" s="102" t="str">
        <f>IF(AND(WSING!$P$66&gt;=83.25,WSING!$P$66&lt;=91.4),"P","")</f>
        <v/>
      </c>
      <c r="AAS14" s="102" t="str">
        <f>IF(AND(WSING!$P$66&gt;=91.5,WSING!$P$66&lt;=100),"P","")</f>
        <v/>
      </c>
      <c r="AAT14" t="str">
        <f>IF(WSING!$P$74&lt;74.9,"P","")</f>
        <v/>
      </c>
      <c r="AAU14" s="102" t="str">
        <f>IF(AND(WSING!$P$74&gt;=75,WSING!$P$74&lt;=83.24),"P","")</f>
        <v/>
      </c>
      <c r="AAV14" s="102" t="str">
        <f>IF(AND(WSING!$P$74&gt;=83.25,WSING!$P$74&lt;=91.4),"P","")</f>
        <v/>
      </c>
      <c r="AAW14" s="102" t="str">
        <f>IF(AND(WSING!$P$74&gt;=91.5,WSING!$P$74&lt;=100),"P","")</f>
        <v/>
      </c>
      <c r="AAX14" t="str">
        <f>IF(WSING!$P$82&lt;74.9,"P","")</f>
        <v/>
      </c>
      <c r="AAY14" s="102" t="str">
        <f>IF(AND(WSING!$P$82&gt;=75,WSING!$P$82&lt;=83.24),"P","")</f>
        <v/>
      </c>
      <c r="AAZ14" s="102" t="str">
        <f>IF(AND(WSING!$P$82&gt;=83.25,WSING!$P$82&lt;=91.4),"P","")</f>
        <v/>
      </c>
      <c r="ABA14" s="102" t="str">
        <f>IF(AND(WSING!$P$82&gt;=91.5,WSING!$P$82&lt;=100),"P","")</f>
        <v/>
      </c>
      <c r="ABB14" t="str">
        <f>IF(WSING!$P$90&lt;74.9,"P","")</f>
        <v/>
      </c>
      <c r="ABC14" s="102" t="str">
        <f>IF(AND(WSING!$P$90&gt;=75,WSING!$P$90&lt;=83.24),"P","")</f>
        <v/>
      </c>
      <c r="ABD14" s="102" t="str">
        <f>IF(AND(WSING!$P$90&gt;=83.25,WSING!$P$90&lt;=91.4),"P","")</f>
        <v/>
      </c>
      <c r="ABE14" s="102" t="str">
        <f>IF(AND(WSING!$P$90&gt;=91.5,WSING!$P$90&lt;=100),"P","")</f>
        <v/>
      </c>
      <c r="ABF14" t="str">
        <f>IF(WSING!$P$98&lt;74.9,"P","")</f>
        <v/>
      </c>
      <c r="ABG14" s="102" t="str">
        <f>IF(AND(WSING!$P$98&gt;=75,WSING!$P$98&lt;=83.24),"P","")</f>
        <v/>
      </c>
      <c r="ABH14" s="102" t="str">
        <f>IF(AND(WSING!$P$98&gt;=83.25,WSING!$P$98&lt;=91.4),"P","")</f>
        <v/>
      </c>
      <c r="ABI14" s="102" t="str">
        <f>IF(AND(WSING!$P$98&gt;=91.5,WSING!$P$98&lt;=100),"P","")</f>
        <v/>
      </c>
      <c r="ABJ14" t="str">
        <f>IF(WSING!$P$106&lt;74.9,"P","")</f>
        <v/>
      </c>
      <c r="ABK14" s="102" t="str">
        <f>IF(AND(WSING!$P$106&gt;=75,WSING!$P$106&lt;=83.24),"P","")</f>
        <v/>
      </c>
      <c r="ABL14" s="102" t="str">
        <f>IF(AND(WSING!$P$106&gt;=83.25,WSING!$P$106&lt;=91.4),"P","")</f>
        <v/>
      </c>
      <c r="ABM14" s="102" t="str">
        <f>IF(AND(WSING!$P$106&gt;=91.5,WSING!$P$106&lt;=100),"P","")</f>
        <v/>
      </c>
      <c r="ABN14" t="str">
        <f>IF(WSTIK!$P$6&lt;74.9,"P","")</f>
        <v/>
      </c>
      <c r="ABO14" s="102" t="str">
        <f>IF(AND(WSTIK!$P$6&gt;=75,WSTIK!$P$6&lt;=83.24),"P","")</f>
        <v/>
      </c>
      <c r="ABP14" s="102" t="str">
        <f>IF(AND(WSTIK!$P$6&gt;=83.25,WSTIK!$P$6&lt;=91.4),"P","")</f>
        <v/>
      </c>
      <c r="ABQ14" s="102" t="str">
        <f>IF(AND(WSTIK!$P$6&gt;=91.5,WSTIK!$P$6&lt;=100),"P","")</f>
        <v/>
      </c>
      <c r="ABR14" t="str">
        <f>IF(WSTIK!$P$14&lt;74.9,"P","")</f>
        <v/>
      </c>
      <c r="ABS14" s="102" t="str">
        <f>IF(AND(WSTIK!$P$14&gt;=75,WSTIK!$P$14&lt;=83.24),"P","")</f>
        <v/>
      </c>
      <c r="ABT14" s="102" t="str">
        <f>IF(AND(WSTIK!$P$14&gt;=83.25,WSTIK!$P$14&lt;=91.4),"P","")</f>
        <v/>
      </c>
      <c r="ABU14" s="102" t="str">
        <f>IF(AND(WSTIK!$P$14&gt;=91.5,WSTIK!$P$14&lt;=100),"P","")</f>
        <v/>
      </c>
      <c r="ABV14" t="str">
        <f>IF(WSTIK!$P$22&lt;74.9,"P","")</f>
        <v/>
      </c>
      <c r="ABW14" s="102" t="str">
        <f>IF(AND(WSTIK!$P$22&gt;=75,WSTIK!$P$22&lt;=83.24),"P","")</f>
        <v/>
      </c>
      <c r="ABX14" s="102" t="str">
        <f>IF(AND(WSTIK!$P$22&gt;=83.25,WSTIK!$P$22&lt;=91.4),"P","")</f>
        <v/>
      </c>
      <c r="ABY14" s="102" t="str">
        <f>IF(AND(WSTIK!$P$22&gt;=91.5,WSTIK!$P$22&lt;=100),"P","")</f>
        <v/>
      </c>
      <c r="ABZ14" t="str">
        <f>IF(WSTIK!$P$30&lt;74.9,"P","")</f>
        <v/>
      </c>
      <c r="ACA14" s="102" t="str">
        <f>IF(AND(WSTIK!$P$30&gt;=75,WSTIK!$P$30&lt;=83.24),"P","")</f>
        <v/>
      </c>
      <c r="ACB14" s="102" t="str">
        <f>IF(AND(WSTIK!$P$30&gt;=83.25,WSTIK!$P$30&lt;=91.4),"P","")</f>
        <v/>
      </c>
      <c r="ACC14" s="102" t="str">
        <f>IF(AND(WSTIK!$P$30&gt;=91.5,WSTIK!$P$30&lt;=100),"P","")</f>
        <v/>
      </c>
      <c r="ACD14" t="str">
        <f>IF(WSTIK!$P$38&lt;74.9,"P","")</f>
        <v/>
      </c>
      <c r="ACE14" s="102" t="str">
        <f>IF(AND(WSTIK!$P$38&gt;=75,WSTIK!$P$38&lt;=83.24),"P","")</f>
        <v/>
      </c>
      <c r="ACF14" s="102" t="str">
        <f>IF(AND(WSTIK!$P$38&gt;=83.25,WSTIK!$P$38&lt;=91.4),"P","")</f>
        <v/>
      </c>
      <c r="ACG14" s="102" t="str">
        <f>IF(AND(WSTIK!$P$38&gt;=91.5,WSTIK!$P$38&lt;=100),"P","")</f>
        <v/>
      </c>
      <c r="ACH14" t="str">
        <f>IF(WSTIK!$P$46&lt;74.9,"P","")</f>
        <v/>
      </c>
      <c r="ACI14" s="102" t="str">
        <f>IF(AND(WSTIK!$P$46&gt;=75,WSTIK!$P$46&lt;=83.24),"P","")</f>
        <v/>
      </c>
      <c r="ACJ14" s="102" t="str">
        <f>IF(AND(WSTIK!$P$46&gt;=83.25,WSTIK!$P$46&lt;=91.4),"P","")</f>
        <v/>
      </c>
      <c r="ACK14" s="102" t="str">
        <f>IF(AND(WSTIK!$P$46&gt;=91.5,WSTIK!$P$46&lt;=100),"P","")</f>
        <v/>
      </c>
      <c r="ACL14" t="str">
        <f>IF(WSTIK!$P$54&lt;74.9,"P","")</f>
        <v/>
      </c>
      <c r="ACM14" s="102" t="str">
        <f>IF(AND(WSTIK!$P$54&gt;=75,WSTIK!$P$54&lt;=83.24),"P","")</f>
        <v/>
      </c>
      <c r="ACN14" s="102" t="str">
        <f>IF(AND(WSTIK!$P$54&gt;=83.25,WSTIK!$P$54&lt;=91.4),"P","")</f>
        <v/>
      </c>
      <c r="ACO14" s="102" t="str">
        <f>IF(AND(WSTIK!$P$54&gt;=91.5,WSTIK!$P$54&lt;=100),"P","")</f>
        <v/>
      </c>
      <c r="ACP14" t="str">
        <f>IF(WSTIK!$P$62&lt;74.9,"P","")</f>
        <v/>
      </c>
      <c r="ACQ14" s="102" t="str">
        <f>IF(AND(WSTIK!$P$62&gt;=75,WSTIK!$P$62&lt;=83.24),"P","")</f>
        <v/>
      </c>
      <c r="ACR14" s="102" t="str">
        <f>IF(AND(WSTIK!$P$62&gt;=83.25,WSTIK!$P$62&lt;=91.4),"P","")</f>
        <v/>
      </c>
      <c r="ACS14" s="102" t="str">
        <f>IF(AND(WSTIK!$P$62&gt;=91.5,WSTIK!$P$62&lt;=100),"P","")</f>
        <v/>
      </c>
      <c r="ACT14" t="str">
        <f>IF(WSTIK!$P$70&lt;74.9,"P","")</f>
        <v/>
      </c>
      <c r="ACU14" s="102" t="str">
        <f>IF(AND(WSTIK!$P$70&gt;=75,WSTIK!$P$70&lt;=83.24),"P","")</f>
        <v/>
      </c>
      <c r="ACV14" s="102" t="str">
        <f>IF(AND(WSTIK!$P$70&gt;=83.25,WSTIK!$P$70&lt;=91.4),"P","")</f>
        <v/>
      </c>
      <c r="ACW14" s="102" t="str">
        <f>IF(AND(WSTIK!$P$70&gt;=91.5,WSTIK!$P$70&lt;=100),"P","")</f>
        <v/>
      </c>
      <c r="ACX14" t="str">
        <f>IF(WSTIK!$P$78&lt;74.9,"P","")</f>
        <v/>
      </c>
      <c r="ACY14" s="102" t="str">
        <f>IF(AND(WSTIK!$P$78&gt;=75,WSTIK!$P$78&lt;=83.24),"P","")</f>
        <v/>
      </c>
      <c r="ACZ14" s="102" t="str">
        <f>IF(AND(WSTIK!$P$78&gt;=83.25,WSTIK!$P$78&lt;=91.4),"P","")</f>
        <v/>
      </c>
      <c r="ADA14" s="102" t="str">
        <f>IF(AND(WSTIK!$P$78&gt;=91.5,WSTIK!$P$78&lt;=100),"P","")</f>
        <v/>
      </c>
      <c r="ADB14" t="str">
        <f>IF(WSTIK!$P$86&lt;74.9,"P","")</f>
        <v/>
      </c>
      <c r="ADC14" s="102" t="str">
        <f>IF(AND(WSTIK!$P$86&gt;=75,WSTIK!$P$86&lt;=83.24),"P","")</f>
        <v/>
      </c>
      <c r="ADD14" s="102" t="str">
        <f>IF(AND(WSTIK!$P$86&gt;=83.25,WSTIK!$P$86&lt;=91.4),"P","")</f>
        <v/>
      </c>
      <c r="ADE14" s="102" t="str">
        <f>IF(AND(WSTIK!$P$86&gt;=91.5,WSTIK!$P$86&lt;=100),"P","")</f>
        <v/>
      </c>
      <c r="ADF14" t="str">
        <f>IF(WSTIK!$P$94&lt;74.9,"P","")</f>
        <v/>
      </c>
      <c r="ADG14" s="102" t="str">
        <f>IF(AND(WSTIK!$P$94&gt;=75,WSTIK!$P$94&lt;=83.24),"P","")</f>
        <v/>
      </c>
      <c r="ADH14" s="102" t="str">
        <f>IF(AND(WSTIK!$P$94&gt;=83.25,WSTIK!$P$94&lt;=91.4),"P","")</f>
        <v/>
      </c>
      <c r="ADI14" s="102" t="str">
        <f>IF(AND(WSTIK!$P$94&gt;=91.5,WSTIK!$P$94&lt;=100),"P","")</f>
        <v/>
      </c>
      <c r="ADJ14" t="str">
        <f>IF(WSTIK!$P$102&lt;74.9,"P","")</f>
        <v/>
      </c>
      <c r="ADK14" s="102" t="str">
        <f>IF(AND(WSTIK!$P$102&gt;=75,WSTIK!$P$102&lt;=83.24),"P","")</f>
        <v/>
      </c>
      <c r="ADL14" s="102" t="str">
        <f>IF(AND(WSTIK!$P$102&gt;=83.25,WSTIK!$P$102&lt;=91.4),"P","")</f>
        <v/>
      </c>
      <c r="ADM14" s="102" t="str">
        <f>IF(AND(WSTIK!$P$102&gt;=91.5,WSTIK!$P$102&lt;=100),"P","")</f>
        <v/>
      </c>
      <c r="ADN14" t="str">
        <f>IF(WSASWAJA!$P$6&lt;74.9,"P","")</f>
        <v/>
      </c>
      <c r="ADO14" s="102" t="str">
        <f>IF(AND(WSASWAJA!$P$6&gt;=75,WSASWAJA!$P$6&lt;=83.24),"P","")</f>
        <v/>
      </c>
      <c r="ADP14" s="102" t="str">
        <f>IF(AND(WSASWAJA!$P$6&gt;=83.25,WSASWAJA!$P$6&lt;=91.4),"P","")</f>
        <v/>
      </c>
      <c r="ADQ14" s="102" t="str">
        <f>IF(AND(WSASWAJA!$P$6&gt;=91.5,WSASWAJA!$P$6&lt;=100),"P","")</f>
        <v/>
      </c>
      <c r="ADR14" t="str">
        <f>IF(WSASWAJA!$P$14&lt;74.9,"P","")</f>
        <v/>
      </c>
      <c r="ADS14" s="102" t="str">
        <f>IF(AND(WSASWAJA!$P$14&gt;=75,WSASWAJA!$P$14&lt;=83.24),"P","")</f>
        <v/>
      </c>
      <c r="ADT14" s="102" t="str">
        <f>IF(AND(WSASWAJA!$P$14&gt;=83.25,WSASWAJA!$P$14&lt;=91.4),"P","")</f>
        <v/>
      </c>
      <c r="ADU14" s="102" t="str">
        <f>IF(AND(WSASWAJA!$P$14&gt;=91.5,WSASWAJA!$P$14&lt;=100),"P","")</f>
        <v/>
      </c>
      <c r="ADV14" t="str">
        <f>IF(WSASWAJA!$P$22&lt;74.9,"P","")</f>
        <v/>
      </c>
      <c r="ADW14" s="102" t="str">
        <f>IF(AND(WSASWAJA!$P$22&gt;=75,WSASWAJA!$P$22&lt;=83.24),"P","")</f>
        <v/>
      </c>
      <c r="ADX14" s="102" t="str">
        <f>IF(AND(WSASWAJA!$P$22&gt;=83.25,WSASWAJA!$P$22&lt;=91.4),"P","")</f>
        <v/>
      </c>
      <c r="ADY14" s="102" t="str">
        <f>IF(AND(WSASWAJA!$P$22&gt;=91.5,WSASWAJA!$P$22&lt;=100),"P","")</f>
        <v/>
      </c>
      <c r="ADZ14" t="str">
        <f>IF(WSASWAJA!$P$30&lt;74.9,"P","")</f>
        <v/>
      </c>
      <c r="AEA14" s="102" t="str">
        <f>IF(AND(WSASWAJA!$P$30&gt;=75,WSASWAJA!$P$30&lt;=83.24),"P","")</f>
        <v/>
      </c>
      <c r="AEB14" s="102" t="str">
        <f>IF(AND(WSASWAJA!$P$30&gt;=83.25,WSASWAJA!$P$30&lt;=91.4),"P","")</f>
        <v/>
      </c>
      <c r="AEC14" s="102" t="str">
        <f>IF(AND(WSASWAJA!$P$30&gt;=91.5,WSASWAJA!$P$30&lt;=100),"P","")</f>
        <v/>
      </c>
      <c r="AED14" t="str">
        <f>IF(WSASWAJA!$P$38&lt;74.9,"P","")</f>
        <v/>
      </c>
      <c r="AEE14" s="102" t="str">
        <f>IF(AND(WSASWAJA!$P$38&gt;=75,WSASWAJA!$P$38&lt;=83.24),"P","")</f>
        <v/>
      </c>
      <c r="AEF14" s="102" t="str">
        <f>IF(AND(WSASWAJA!$P$38&gt;=83.25,WSASWAJA!$P$38&lt;=91.4),"P","")</f>
        <v/>
      </c>
      <c r="AEG14" s="102" t="str">
        <f>IF(AND(WSASWAJA!$P$38&gt;=91.5,WSASWAJA!$P$38&lt;=100),"P","")</f>
        <v/>
      </c>
      <c r="AEH14" t="str">
        <f>IF(WSASWAJA!$P$46&lt;74.9,"P","")</f>
        <v/>
      </c>
      <c r="AEI14" s="102" t="str">
        <f>IF(AND(WSASWAJA!$P$46&gt;=75,WSASWAJA!$P$46&lt;=83.24),"P","")</f>
        <v/>
      </c>
      <c r="AEJ14" s="102" t="str">
        <f>IF(AND(WSASWAJA!$P$46&gt;=83.25,WSASWAJA!$P$46&lt;=91.4),"P","")</f>
        <v/>
      </c>
      <c r="AEK14" s="102" t="str">
        <f>IF(AND(WSASWAJA!$P$46&gt;=91.5,WSASWAJA!$P$46&lt;=100),"P","")</f>
        <v/>
      </c>
      <c r="AEL14" t="str">
        <f>IF(WSASWAJA!$P$54&lt;74.9,"P","")</f>
        <v/>
      </c>
      <c r="AEM14" s="102" t="str">
        <f>IF(AND(WSASWAJA!$P$54&gt;=75,WSASWAJA!$P$54&lt;=83.24),"P","")</f>
        <v/>
      </c>
      <c r="AEN14" s="102" t="str">
        <f>IF(AND(WSASWAJA!$P$54&gt;=83.25,WSASWAJA!$P$54&lt;=91.4),"P","")</f>
        <v/>
      </c>
      <c r="AEO14" s="102" t="str">
        <f>IF(AND(WSASWAJA!$P$54&gt;=91.5,WSASWAJA!$P$54&lt;=100),"P","")</f>
        <v/>
      </c>
      <c r="AEP14" t="str">
        <f>IF(WSASWAJA!$P$62&lt;74.9,"P","")</f>
        <v/>
      </c>
      <c r="AEQ14" s="102" t="str">
        <f>IF(AND(WSASWAJA!$P$62&gt;=75,WSASWAJA!$P$62&lt;=83.24),"P","")</f>
        <v/>
      </c>
      <c r="AER14" s="102" t="str">
        <f>IF(AND(WSASWAJA!$P$62&gt;=83.25,WSASWAJA!$P$62&lt;=91.4),"P","")</f>
        <v/>
      </c>
      <c r="AES14" s="102" t="str">
        <f>IF(AND(WSASWAJA!$P$62&gt;=91.5,WSASWAJA!$P$62&lt;=100),"P","")</f>
        <v/>
      </c>
      <c r="AET14" t="str">
        <f>IF(WSASWAJA!$P$70&lt;74.9,"P","")</f>
        <v/>
      </c>
      <c r="AEU14" s="102" t="str">
        <f>IF(AND(WSASWAJA!$P$70&gt;=75,WSASWAJA!$P$70&lt;=83.24),"P","")</f>
        <v/>
      </c>
      <c r="AEV14" s="102" t="str">
        <f>IF(AND(WSASWAJA!$P$70&gt;=83.25,WSASWAJA!$P$70&lt;=91.4),"P","")</f>
        <v/>
      </c>
      <c r="AEW14" s="102" t="str">
        <f>IF(AND(WSASWAJA!$P$70&gt;=91.5,WSASWAJA!$P$70&lt;=100),"P","")</f>
        <v/>
      </c>
      <c r="AEX14" t="str">
        <f>IF(WSASWAJA!$P$78&lt;74.9,"P","")</f>
        <v/>
      </c>
      <c r="AEY14" s="102" t="str">
        <f>IF(AND(WSASWAJA!$P$78&gt;=75,WSASWAJA!$P$78&lt;=83.24),"P","")</f>
        <v/>
      </c>
      <c r="AEZ14" s="102" t="str">
        <f>IF(AND(WSASWAJA!$P$78&gt;=83.25,WSASWAJA!$P$78&lt;=91.4),"P","")</f>
        <v/>
      </c>
      <c r="AFA14" s="102" t="str">
        <f>IF(AND(WSASWAJA!$P$78&gt;=91.5,WSASWAJA!$P$78&lt;=100),"P","")</f>
        <v/>
      </c>
      <c r="AFB14" t="str">
        <f>IF(WSASWAJA!$P$86&lt;74.9,"P","")</f>
        <v/>
      </c>
      <c r="AFC14" s="102" t="str">
        <f>IF(AND(WSASWAJA!$P$86&gt;=75,WSASWAJA!$P$86&lt;=83.24),"P","")</f>
        <v/>
      </c>
      <c r="AFD14" s="102" t="str">
        <f>IF(AND(WSASWAJA!$P$86&gt;=83.25,WSASWAJA!$P$86&lt;=91.4),"P","")</f>
        <v/>
      </c>
      <c r="AFE14" s="102" t="str">
        <f>IF(AND(WSASWAJA!$P$86&gt;=91.5,WSASWAJA!$P$86&lt;=100),"P","")</f>
        <v/>
      </c>
      <c r="AFF14" t="str">
        <f>IF(WSASWAJA!$P$94&lt;74.9,"P","")</f>
        <v/>
      </c>
      <c r="AFG14" s="102" t="str">
        <f>IF(AND(WSASWAJA!$P$94&gt;=75,WSASWAJA!$P$94&lt;=83.24),"P","")</f>
        <v/>
      </c>
      <c r="AFH14" s="102" t="str">
        <f>IF(AND(WSASWAJA!$P$94&gt;=83.25,WSASWAJA!$P$94&lt;=91.4),"P","")</f>
        <v/>
      </c>
      <c r="AFI14" s="102" t="str">
        <f>IF(AND(WSASWAJA!$P$94&gt;=91.5,WSASWAJA!$P$94&lt;=100),"P","")</f>
        <v/>
      </c>
      <c r="AFJ14" t="str">
        <f>IF(WSASWAJA!$P$102&lt;74.9,"P","")</f>
        <v/>
      </c>
      <c r="AFK14" s="102" t="str">
        <f>IF(AND(WSASWAJA!$P$102&gt;=75,WSASWAJA!$P$102&lt;=83.24),"P","")</f>
        <v/>
      </c>
      <c r="AFL14" s="102" t="str">
        <f>IF(AND(WSASWAJA!$P$102&gt;=83.25,WSASWAJA!$P$102&lt;=91.4),"P","")</f>
        <v/>
      </c>
      <c r="AFM14" s="102" t="str">
        <f>IF(AND(WSASWAJA!$P$102&gt;=91.5,WSASWAJA!$P$102&lt;=100),"P","")</f>
        <v/>
      </c>
    </row>
    <row r="15" spans="1:852" ht="20.100000000000001" customHeight="1">
      <c r="A15">
        <v>13</v>
      </c>
      <c r="B15" t="str">
        <f>IF(WSALQURAN!$Q$6&lt;74.9,"P","")</f>
        <v/>
      </c>
      <c r="C15" s="102" t="str">
        <f>IF(AND(WSALQURAN!$Q$6&gt;=75,WSALQURAN!$Q$6&lt;=83.24),"P","")</f>
        <v/>
      </c>
      <c r="D15" s="102" t="str">
        <f>IF(AND(WSALQURAN!$Q$6&gt;=83.25,WSALQURAN!$Q$6&lt;=91.4),"P","")</f>
        <v>P</v>
      </c>
      <c r="E15" s="102" t="str">
        <f>IF(AND(WSALQURAN!$Q$6&gt;=91.5,WSALQURAN!$Q$6&lt;=100),"P","")</f>
        <v/>
      </c>
      <c r="F15" t="str">
        <f>IF(WSALQURAN!$Q$14&lt;74.9,"P","")</f>
        <v/>
      </c>
      <c r="G15" s="102" t="str">
        <f>IF(AND(WSALQURAN!$Q$14&gt;=75,WSALQURAN!$Q$14&lt;=83.24),"P","")</f>
        <v/>
      </c>
      <c r="H15" s="102" t="str">
        <f>IF(AND(WSALQURAN!$Q$14&gt;=83.25,WSALQURAN!$Q$14&lt;=91.4),"P","")</f>
        <v/>
      </c>
      <c r="I15" s="102" t="str">
        <f>IF(AND(WSALQURAN!$Q$14&gt;=91.5,WSALQURAN!$Q$14&lt;=100),"P","")</f>
        <v>P</v>
      </c>
      <c r="J15" t="str">
        <f>IF(WSALQURAN!$Q$22&lt;74.9,"P","")</f>
        <v/>
      </c>
      <c r="K15" s="102" t="str">
        <f>IF(AND(WSALQURAN!$Q$22&gt;=75,WSALQURAN!$Q$22&lt;=83.24),"P","")</f>
        <v/>
      </c>
      <c r="L15" s="102" t="str">
        <f>IF(AND(WSALQURAN!$Q$22&gt;=83.25,WSALQURAN!$Q$22&lt;=91.4),"P","")</f>
        <v/>
      </c>
      <c r="M15" s="102" t="str">
        <f>IF(AND(WSALQURAN!$Q$22&gt;=91.5,WSALQURAN!$Q$22&lt;=100),"P","")</f>
        <v>P</v>
      </c>
      <c r="N15" t="str">
        <f>IF(WSALQURAN!$Q$30&lt;74.9,"P","")</f>
        <v/>
      </c>
      <c r="O15" s="102" t="str">
        <f>IF(AND(WSALQURAN!$Q$30&gt;=75,WSALQURAN!$Q$30&lt;=83.24),"P","")</f>
        <v/>
      </c>
      <c r="P15" s="102" t="str">
        <f>IF(AND(WSALQURAN!$Q$30&gt;=83.25,WSALQURAN!$Q$30&lt;=91.4),"P","")</f>
        <v>P</v>
      </c>
      <c r="Q15" s="102" t="str">
        <f>IF(AND(WSALQURAN!$Q$30&gt;=91.5,WSALQURAN!$Q$30&lt;=100),"P","")</f>
        <v/>
      </c>
      <c r="R15" t="str">
        <f>IF(WSALQURAN!$Q$38&lt;74.9,"P","")</f>
        <v/>
      </c>
      <c r="S15" s="102" t="str">
        <f>IF(AND(WSALQURAN!$Q$38&gt;=75,WSALQURAN!$Q$38&lt;=83.24),"P","")</f>
        <v/>
      </c>
      <c r="T15" s="102" t="str">
        <f>IF(AND(WSALQURAN!$Q$38&gt;=83.25,WSALQURAN!$Q$38&lt;=91.4),"P","")</f>
        <v/>
      </c>
      <c r="U15" s="102" t="str">
        <f>IF(AND(WSALQURAN!$Q$38&gt;=91.5,WSALQURAN!$Q$38&lt;=100),"P","")</f>
        <v>P</v>
      </c>
      <c r="V15" t="str">
        <f>IF(WSALQURAN!$Q$46&lt;74.9,"P","")</f>
        <v/>
      </c>
      <c r="W15" s="102" t="str">
        <f>IF(AND(WSALQURAN!$Q$46&gt;=75,WSALQURAN!$Q$46&lt;=83.24),"P","")</f>
        <v/>
      </c>
      <c r="X15" s="102" t="str">
        <f>IF(AND(WSALQURAN!$Q$46&gt;=83.25,WSALQURAN!$Q$46&lt;=91.4),"P","")</f>
        <v>P</v>
      </c>
      <c r="Y15" s="102" t="str">
        <f>IF(AND(WSALQURAN!$Q$46&gt;=91.5,WSALQURAN!$Q$46&lt;=100),"P","")</f>
        <v/>
      </c>
      <c r="Z15" t="str">
        <f>IF(WSALQURAN!$Q$54&lt;74.9,"P","")</f>
        <v/>
      </c>
      <c r="AA15" s="102" t="str">
        <f>IF(AND(WSALQURAN!$Q$54&gt;=75,WSALQURAN!$Q$54&lt;=83.24),"P","")</f>
        <v/>
      </c>
      <c r="AB15" s="102" t="str">
        <f>IF(AND(WSALQURAN!$Q$54&gt;=83.25,WSALQURAN!$Q$54&lt;=91.4),"P","")</f>
        <v/>
      </c>
      <c r="AC15" s="102" t="str">
        <f>IF(AND(WSALQURAN!$Q$54&gt;=91.5,WSALQURAN!$Q$54&lt;=100),"P","")</f>
        <v>P</v>
      </c>
      <c r="AD15" t="str">
        <f>IF(WSALQURAN!$Q$62&lt;74.9,"P","")</f>
        <v/>
      </c>
      <c r="AE15" s="102" t="str">
        <f>IF(AND(WSALQURAN!$Q$62&gt;=75,WSALQURAN!$Q$62&lt;=83.24),"P","")</f>
        <v/>
      </c>
      <c r="AF15" s="102" t="str">
        <f>IF(AND(WSALQURAN!$Q$62&gt;=83.25,WSALQURAN!$Q$62&lt;=91.4),"P","")</f>
        <v/>
      </c>
      <c r="AG15" s="102" t="str">
        <f>IF(AND(WSALQURAN!$Q$62&gt;=91.5,WSALQURAN!$Q$62&lt;=100),"P","")</f>
        <v/>
      </c>
      <c r="AH15" t="str">
        <f>IF(WSALQURAN!$Q$70&lt;74.9,"P","")</f>
        <v/>
      </c>
      <c r="AI15" s="102" t="str">
        <f>IF(AND(WSALQURAN!$Q$70&gt;=75,WSALQURAN!$Q$70&lt;=83.24),"P","")</f>
        <v/>
      </c>
      <c r="AJ15" s="102" t="str">
        <f>IF(AND(WSALQURAN!$Q$70&gt;=83.25,WSALQURAN!$Q$70&lt;=91.4),"P","")</f>
        <v/>
      </c>
      <c r="AK15" s="102" t="str">
        <f>IF(AND(WSALQURAN!$Q$70&gt;=91.5,WSALQURAN!$Q$70&lt;=100),"P","")</f>
        <v/>
      </c>
      <c r="AL15" t="str">
        <f>IF(WSALQURAN!$Q$78&lt;74.9,"P","")</f>
        <v/>
      </c>
      <c r="AM15" s="102" t="str">
        <f>IF(AND(WSALQURAN!$Q$78&gt;=75,WSALQURAN!$Q$78&lt;=83.24),"P","")</f>
        <v/>
      </c>
      <c r="AN15" s="102" t="str">
        <f>IF(AND(WSALQURAN!$Q$78&gt;=83.25,WSALQURAN!$Q$78&lt;=91.4),"P","")</f>
        <v/>
      </c>
      <c r="AO15" s="102" t="str">
        <f>IF(AND(WSALQURAN!$Q$78&gt;=91.5,WSALQURAN!$Q$78&lt;=100),"P","")</f>
        <v/>
      </c>
      <c r="AP15" t="str">
        <f>IF(WSALQURAN!$Q$86&lt;74.9,"P","")</f>
        <v/>
      </c>
      <c r="AQ15" s="102" t="str">
        <f>IF(AND(WSALQURAN!$Q$86&gt;=75,WSALQURAN!$Q$86&lt;=83.24),"P","")</f>
        <v/>
      </c>
      <c r="AR15" s="102" t="str">
        <f>IF(AND(WSALQURAN!$Q$86&gt;=83.25,WSALQURAN!$Q$86&lt;=91.4),"P","")</f>
        <v/>
      </c>
      <c r="AS15" s="102" t="str">
        <f>IF(AND(WSALQURAN!$Q$86&gt;=91.5,WSALQURAN!$Q$86&lt;=100),"P","")</f>
        <v/>
      </c>
      <c r="AT15" t="str">
        <f>IF(WSALQURAN!$Q$94&lt;74.9,"P","")</f>
        <v/>
      </c>
      <c r="AU15" s="102" t="str">
        <f>IF(AND(WSALQURAN!$Q$94&gt;=75,WSALQURAN!$Q$94&lt;=83.24),"P","")</f>
        <v/>
      </c>
      <c r="AV15" s="102" t="str">
        <f>IF(AND(WSALQURAN!$Q$94&gt;=83.25,WSALQURAN!$Q$94&lt;=91.4),"P","")</f>
        <v/>
      </c>
      <c r="AW15" s="102" t="str">
        <f>IF(AND(WSALQURAN!$Q$94&gt;=91.5,WSALQURAN!$Q$94&lt;=100),"P","")</f>
        <v/>
      </c>
      <c r="AX15" t="str">
        <f>IF(WSALQURAN!$Q$102&lt;74.9,"P","")</f>
        <v/>
      </c>
      <c r="AY15" s="102" t="str">
        <f>IF(AND(WSALQURAN!$Q$102&gt;=75,WSALQURAN!$Q$102&lt;=83.24),"P","")</f>
        <v/>
      </c>
      <c r="AZ15" s="102" t="str">
        <f>IF(AND(WSALQURAN!$Q$102&gt;=83.25,WSALQURAN!$Q$102&lt;=91.4),"P","")</f>
        <v/>
      </c>
      <c r="BA15" s="102" t="str">
        <f>IF(AND(WSALQURAN!$Q$102&gt;=91.5,WSALQURAN!$Q$102&lt;=100),"P","")</f>
        <v/>
      </c>
      <c r="BB15" t="str">
        <f>IF(WSAQIDAH!$Q$6&lt;74.9,"P","")</f>
        <v/>
      </c>
      <c r="BC15" s="102" t="str">
        <f>IF(AND(WSAQIDAH!$Q$6&gt;=75,WSAQIDAH!$Q$6&lt;=83.24),"P","")</f>
        <v/>
      </c>
      <c r="BD15" s="102" t="str">
        <f>IF(AND(WSAQIDAH!$Q$6&gt;=83.25,WSAQIDAH!$Q$6&lt;=91.4),"P","")</f>
        <v>P</v>
      </c>
      <c r="BE15" s="102" t="str">
        <f>IF(AND(WSAQIDAH!$Q$6&gt;=91.5,WSAQIDAH!$Q$6&lt;=100),"P","")</f>
        <v/>
      </c>
      <c r="BF15" t="str">
        <f>IF(WSAQIDAH!$Q$14&lt;74.9,"P","")</f>
        <v/>
      </c>
      <c r="BG15" s="102" t="str">
        <f>IF(AND(WSAQIDAH!$Q$14&gt;=75,WSAQIDAH!$Q$14&lt;=83.24),"P","")</f>
        <v/>
      </c>
      <c r="BH15" s="102" t="str">
        <f>IF(AND(WSAQIDAH!$Q$14&gt;=83.25,WSAQIDAH!$Q$14&lt;=91.4),"P","")</f>
        <v/>
      </c>
      <c r="BI15" s="102" t="str">
        <f>IF(AND(WSAQIDAH!$Q$14&gt;=91.5,WSAQIDAH!$Q$14&lt;=100),"P","")</f>
        <v>P</v>
      </c>
      <c r="BJ15" t="str">
        <f>IF(WSAQIDAH!$Q$22&lt;74.9,"P","")</f>
        <v/>
      </c>
      <c r="BK15" s="102" t="str">
        <f>IF(AND(WSAQIDAH!$Q$22&gt;=75,WSAQIDAH!$Q$22&lt;=83.24),"P","")</f>
        <v/>
      </c>
      <c r="BL15" s="102" t="str">
        <f>IF(AND(WSAQIDAH!$Q$22&gt;=83.25,WSAQIDAH!$Q$22&lt;=91.4),"P","")</f>
        <v/>
      </c>
      <c r="BM15" s="102" t="str">
        <f>IF(AND(WSAQIDAH!$Q$22&gt;=91.5,WSAQIDAH!$Q$22&lt;=100),"P","")</f>
        <v>P</v>
      </c>
      <c r="BN15" t="str">
        <f>IF(WSAQIDAH!$Q$30&lt;74.9,"P","")</f>
        <v/>
      </c>
      <c r="BO15" s="102" t="str">
        <f>IF(AND(WSAQIDAH!$Q$30&gt;=75,WSAQIDAH!$Q$30&lt;=83.24),"P","")</f>
        <v/>
      </c>
      <c r="BP15" s="102" t="str">
        <f>IF(AND(WSAQIDAH!$Q$30&gt;=83.25,WSAQIDAH!$Q$30&lt;=91.4),"P","")</f>
        <v/>
      </c>
      <c r="BQ15" s="102" t="str">
        <f>IF(AND(WSAQIDAH!$Q$30&gt;=91.5,WSAQIDAH!$Q$30&lt;=100),"P","")</f>
        <v>P</v>
      </c>
      <c r="BR15" t="str">
        <f>IF(WSAQIDAH!$Q$38&lt;74.9,"P","")</f>
        <v/>
      </c>
      <c r="BS15" s="102" t="str">
        <f>IF(AND(WSAQIDAH!$Q$38&gt;=75,WSAQIDAH!$Q$38&lt;=83.24),"P","")</f>
        <v/>
      </c>
      <c r="BT15" s="102" t="str">
        <f>IF(AND(WSAQIDAH!$Q$38&gt;=83.25,WSAQIDAH!$Q$38&lt;=91.4),"P","")</f>
        <v/>
      </c>
      <c r="BU15" s="102" t="str">
        <f>IF(AND(WSAQIDAH!$Q$38&gt;=91.5,WSAQIDAH!$Q$38&lt;=100),"P","")</f>
        <v>P</v>
      </c>
      <c r="BV15" t="str">
        <f>IF(WSAQIDAH!$Q$46&lt;74.9,"P","")</f>
        <v/>
      </c>
      <c r="BW15" s="102" t="str">
        <f>IF(AND(WSAQIDAH!$Q$46&gt;=75,WSAQIDAH!$Q$46&lt;=83.24),"P","")</f>
        <v/>
      </c>
      <c r="BX15" s="102" t="str">
        <f>IF(AND(WSAQIDAH!$Q$46&gt;=83.25,WSAQIDAH!$Q$46&lt;=91.4),"P","")</f>
        <v/>
      </c>
      <c r="BY15" s="102" t="str">
        <f>IF(AND(WSAQIDAH!$Q$46&gt;=91.5,WSAQIDAH!$Q$46&lt;=100),"P","")</f>
        <v>P</v>
      </c>
      <c r="BZ15" t="str">
        <f>IF(WSAQIDAH!$Q$54&lt;74.9,"P","")</f>
        <v/>
      </c>
      <c r="CA15" s="102" t="str">
        <f>IF(AND(WSAQIDAH!$Q$54&gt;=75,WSAQIDAH!$Q$54&lt;=83.24),"P","")</f>
        <v/>
      </c>
      <c r="CB15" s="102" t="str">
        <f>IF(AND(WSAQIDAH!$Q$54&gt;=83.25,WSAQIDAH!$Q$54&lt;=91.4),"P","")</f>
        <v/>
      </c>
      <c r="CC15" s="102" t="str">
        <f>IF(AND(WSAQIDAH!$Q$54&gt;=91.5,WSAQIDAH!$Q$54&lt;=100),"P","")</f>
        <v>P</v>
      </c>
      <c r="CD15" t="str">
        <f>IF(WSAQIDAH!$Q$62&lt;74.9,"P","")</f>
        <v/>
      </c>
      <c r="CE15" s="102" t="str">
        <f>IF(AND(WSAQIDAH!$Q$62&gt;=75,WSAQIDAH!$Q$62&lt;=83.24),"P","")</f>
        <v>P</v>
      </c>
      <c r="CF15" s="102" t="str">
        <f>IF(AND(WSAQIDAH!$Q$62&gt;=83.25,WSAQIDAH!$Q$62&lt;=91.4),"P","")</f>
        <v/>
      </c>
      <c r="CG15" s="102" t="str">
        <f>IF(AND(WSAQIDAH!$Q$62&gt;=91.5,WSAQIDAH!$Q$62&lt;=100),"P","")</f>
        <v/>
      </c>
      <c r="CH15" t="str">
        <f>IF(WSAQIDAH!$Q$70&lt;74.9,"P","")</f>
        <v/>
      </c>
      <c r="CI15" s="102" t="str">
        <f>IF(AND(WSAQIDAH!$Q$70&gt;=75,WSAQIDAH!$Q$70&lt;=83.24),"P","")</f>
        <v>P</v>
      </c>
      <c r="CJ15" s="102" t="str">
        <f>IF(AND(WSAQIDAH!$Q$70&gt;=83.25,WSAQIDAH!$Q$70&lt;=91.4),"P","")</f>
        <v/>
      </c>
      <c r="CK15" s="102" t="str">
        <f>IF(AND(WSAQIDAH!$Q$70&gt;=91.5,WSAQIDAH!$Q$70&lt;=100),"P","")</f>
        <v/>
      </c>
      <c r="CL15" t="str">
        <f>IF(WSAQIDAH!$Q$78&lt;74.9,"P","")</f>
        <v/>
      </c>
      <c r="CM15" s="102" t="str">
        <f>IF(AND(WSAQIDAH!$Q$78&gt;=75,WSAQIDAH!$Q$78&lt;=83.24),"P","")</f>
        <v>P</v>
      </c>
      <c r="CN15" s="102" t="str">
        <f>IF(AND(WSAQIDAH!$Q$78&gt;=83.25,WSAQIDAH!$Q$78&lt;=91.4),"P","")</f>
        <v/>
      </c>
      <c r="CO15" s="102" t="str">
        <f>IF(AND(WSAQIDAH!$Q$78&gt;=91.5,WSAQIDAH!$Q$78&lt;=100),"P","")</f>
        <v/>
      </c>
      <c r="CP15" t="str">
        <f>IF(WSAQIDAH!$Q$86&lt;74.9,"P","")</f>
        <v/>
      </c>
      <c r="CQ15" s="102" t="str">
        <f>IF(AND(WSAQIDAH!$Q$86&gt;=75,WSAQIDAH!$Q$86&lt;=83.24),"P","")</f>
        <v/>
      </c>
      <c r="CR15" s="102" t="str">
        <f>IF(AND(WSAQIDAH!$Q$86&gt;=83.25,WSAQIDAH!$Q$86&lt;=91.4),"P","")</f>
        <v/>
      </c>
      <c r="CS15" s="102" t="str">
        <f>IF(AND(WSAQIDAH!$Q$86&gt;=91.5,WSAQIDAH!$Q$86&lt;=100),"P","")</f>
        <v/>
      </c>
      <c r="CT15" t="str">
        <f>IF(WSAQIDAH!$Q$94&lt;74.9,"P","")</f>
        <v/>
      </c>
      <c r="CU15" s="102" t="str">
        <f>IF(AND(WSAQIDAH!$Q$94&gt;=75,WSAQIDAH!$Q$94&lt;=83.24),"P","")</f>
        <v/>
      </c>
      <c r="CV15" s="102" t="str">
        <f>IF(AND(WSAQIDAH!$Q$94&gt;=83.25,WSAQIDAH!$Q$94&lt;=91.4),"P","")</f>
        <v/>
      </c>
      <c r="CW15" s="102" t="str">
        <f>IF(AND(WSAQIDAH!$Q$94&gt;=91.5,WSAQIDAH!$Q$94&lt;=100),"P","")</f>
        <v/>
      </c>
      <c r="CX15" t="str">
        <f>IF(WSAQIDAH!$Q$102&lt;74.9,"P","")</f>
        <v/>
      </c>
      <c r="CY15" s="102" t="str">
        <f>IF(AND(WSAQIDAH!$Q$102&gt;=75,WSAQIDAH!$Q$102&lt;=83.24),"P","")</f>
        <v/>
      </c>
      <c r="CZ15" s="102" t="str">
        <f>IF(AND(WSAQIDAH!$Q$102&gt;=83.25,WSAQIDAH!$Q$102&lt;=91.4),"P","")</f>
        <v/>
      </c>
      <c r="DA15" s="102" t="str">
        <f>IF(AND(WSAQIDAH!$Q$102&gt;=91.5,WSAQIDAH!$Q$102&lt;=100),"P","")</f>
        <v/>
      </c>
      <c r="DB15" t="str">
        <f>IF(WSSKI!$Q$6&lt;74.9,"P","")</f>
        <v/>
      </c>
      <c r="DC15" s="102" t="str">
        <f>IF(AND(WSSKI!$Q$6&gt;=75,WSSKI!$Q$6&lt;=83.24),"P","")</f>
        <v/>
      </c>
      <c r="DD15" s="102" t="str">
        <f>IF(AND(WSSKI!$Q$6&gt;=83.25,WSSKI!$Q$6&lt;=91.4),"P","")</f>
        <v>P</v>
      </c>
      <c r="DE15" s="102" t="str">
        <f>IF(AND(WSSKI!$Q$6&gt;=91.5,WSSKI!$Q$6&lt;=100),"P","")</f>
        <v/>
      </c>
      <c r="DF15" t="str">
        <f>IF(WSSKI!$Q$14&lt;74.9,"P","")</f>
        <v/>
      </c>
      <c r="DG15" s="102" t="str">
        <f>IF(AND(WSSKI!$Q$14&gt;=75,WSSKI!$Q$14&lt;=83.24),"P","")</f>
        <v/>
      </c>
      <c r="DH15" s="102" t="str">
        <f>IF(AND(WSSKI!$Q$14&gt;=83.25,WSSKI!$Q$14&lt;=91.4),"P","")</f>
        <v/>
      </c>
      <c r="DI15" s="102" t="str">
        <f>IF(AND(WSSKI!$Q$14&gt;=91.5,WSSKI!$Q$14&lt;=100),"P","")</f>
        <v>P</v>
      </c>
      <c r="DJ15" t="str">
        <f>IF(WSSKI!$Q$23&lt;74.9,"P","")</f>
        <v/>
      </c>
      <c r="DK15" s="102" t="str">
        <f>IF(AND(WSSKI!$Q$23&gt;=75,WSSKI!$Q$23&lt;=83.24),"P","")</f>
        <v/>
      </c>
      <c r="DL15" s="102" t="str">
        <f>IF(AND(WSSKI!$Q$23&gt;=83.25,WSSKI!$Q$23&lt;=91.4),"P","")</f>
        <v>P</v>
      </c>
      <c r="DM15" s="102" t="str">
        <f>IF(AND(WSSKI!$Q$23&gt;=91.5,WSSKI!$Q$23&lt;=100),"P","")</f>
        <v/>
      </c>
      <c r="DN15" t="str">
        <f>IF(WSSKI!$Q$31&lt;74.9,"P","")</f>
        <v/>
      </c>
      <c r="DO15" s="102" t="str">
        <f>IF(AND(WSSKI!$Q$31&gt;=75,WSSKI!$Q$31&lt;=83.24),"P","")</f>
        <v/>
      </c>
      <c r="DP15" s="102" t="str">
        <f>IF(AND(WSSKI!$Q$31&gt;=83.25,WSSKI!$Q$31&lt;=91.4),"P","")</f>
        <v>P</v>
      </c>
      <c r="DQ15" s="102" t="str">
        <f>IF(AND(WSSKI!$Q$31&gt;=91.5,WSSKI!$Q$31&lt;=100),"P","")</f>
        <v/>
      </c>
      <c r="DR15" t="str">
        <f>IF(WSSKI!$Q$40&lt;74.9,"P","")</f>
        <v/>
      </c>
      <c r="DS15" s="102" t="str">
        <f>IF(AND(WSSKI!$Q$40&gt;=75,WSSKI!$Q$40&lt;=83.24),"P","")</f>
        <v/>
      </c>
      <c r="DT15" s="102" t="str">
        <f>IF(AND(WSSKI!$Q$40&gt;=83.25,WSSKI!$Q$40&lt;=91.4),"P","")</f>
        <v/>
      </c>
      <c r="DU15" s="102" t="str">
        <f>IF(AND(WSSKI!$Q$40&gt;=91.5,WSSKI!$Q$40&lt;=100),"P","")</f>
        <v>P</v>
      </c>
      <c r="DV15" t="str">
        <f>IF(WSSKI!$Q$48&lt;74.9,"P","")</f>
        <v/>
      </c>
      <c r="DW15" s="102" t="str">
        <f>IF(AND(WSSKI!$Q$48&gt;=75,WSSKI!$Q$48&lt;=83.24),"P","")</f>
        <v/>
      </c>
      <c r="DX15" s="102" t="str">
        <f>IF(AND(WSSKI!$Q$48&gt;=83.25,WSSKI!$Q$48&lt;=91.4),"P","")</f>
        <v>P</v>
      </c>
      <c r="DY15" s="102" t="str">
        <f>IF(AND(WSSKI!$Q$48&gt;=91.5,WSSKI!$Q$48&lt;=100),"P","")</f>
        <v/>
      </c>
      <c r="DZ15" t="str">
        <f>IF(WSSKI!$Q$56&lt;74.9,"P","")</f>
        <v/>
      </c>
      <c r="EA15" s="102" t="str">
        <f>IF(AND(WSSKI!$Q$56&gt;=75,WSSKI!$Q$56&lt;=83.24),"P","")</f>
        <v/>
      </c>
      <c r="EB15" s="102" t="str">
        <f>IF(AND(WSSKI!$Q$56&gt;=83.25,WSSKI!$Q$56&lt;=91.4),"P","")</f>
        <v/>
      </c>
      <c r="EC15" s="102" t="str">
        <f>IF(AND(WSSKI!$Q$56&gt;=91.5,WSSKI!$Q$56&lt;=100),"P","")</f>
        <v/>
      </c>
      <c r="ED15" t="str">
        <f>IF(WSSKI!$Q$64&lt;74.9,"P","")</f>
        <v/>
      </c>
      <c r="EE15" s="102" t="str">
        <f>IF(AND(WSSKI!$Q$64&gt;=75,WSSKI!$Q$64&lt;=83.24),"P","")</f>
        <v/>
      </c>
      <c r="EF15" s="102" t="str">
        <f>IF(AND(WSSKI!$Q$64&gt;=83.25,WSSKI!$Q$64&lt;=91.4),"P","")</f>
        <v/>
      </c>
      <c r="EG15" s="102" t="str">
        <f>IF(AND(WSSKI!$Q$64&gt;=91.5,WSSKI!$Q$64&lt;=100),"P","")</f>
        <v/>
      </c>
      <c r="EH15" t="str">
        <f>IF(WSSKI!$Q$72&lt;74.9,"P","")</f>
        <v/>
      </c>
      <c r="EI15" s="102" t="str">
        <f>IF(AND(WSSKI!$Q$72&gt;=75,WSSKI!$Q$72&lt;=83.24),"P","")</f>
        <v/>
      </c>
      <c r="EJ15" s="102" t="str">
        <f>IF(AND(WSSKI!$Q$72&gt;=83.25,WSSKI!$Q$72&lt;=91.4),"P","")</f>
        <v/>
      </c>
      <c r="EK15" s="102" t="str">
        <f>IF(AND(WSSKI!$Q$72&gt;=91.5,WSSKI!$Q$72&lt;=100),"P","")</f>
        <v/>
      </c>
      <c r="EL15" t="str">
        <f>IF(WSSKI!$Q$80&lt;74.9,"P","")</f>
        <v/>
      </c>
      <c r="EM15" s="102" t="str">
        <f>IF(AND(WSSKI!$Q$80&gt;=75,WSSKI!$Q$80&lt;=83.24),"P","")</f>
        <v/>
      </c>
      <c r="EN15" s="102" t="str">
        <f>IF(AND(WSSKI!$Q$80&gt;=83.25,WSSKI!$Q$80&lt;=91.4),"P","")</f>
        <v/>
      </c>
      <c r="EO15" s="102" t="str">
        <f>IF(AND(WSSKI!$Q$80&gt;=91.5,WSSKI!$Q$80&lt;=100),"P","")</f>
        <v/>
      </c>
      <c r="EP15" t="str">
        <f>IF(WSSKI!$Q$88&lt;74.9,"P","")</f>
        <v/>
      </c>
      <c r="EQ15" s="102" t="str">
        <f>IF(AND(WSSKI!$Q$88&gt;=75,WSSKI!$Q$88&lt;=83.24),"P","")</f>
        <v/>
      </c>
      <c r="ER15" s="102" t="str">
        <f>IF(AND(WSSKI!$Q$88&gt;=83.25,WSSKI!$Q$88&lt;=91.4),"P","")</f>
        <v/>
      </c>
      <c r="ES15" s="102" t="str">
        <f>IF(AND(WSSKI!$Q$88&gt;=91.5,WSSKI!$Q$88&lt;=100),"P","")</f>
        <v/>
      </c>
      <c r="ET15" t="str">
        <f>IF(WSSKI!$Q$96&lt;74.9,"P","")</f>
        <v/>
      </c>
      <c r="EU15" s="102" t="str">
        <f>IF(AND(WSSKI!$Q$96&gt;=75,WSSKI!$Q$96&lt;=83.24),"P","")</f>
        <v/>
      </c>
      <c r="EV15" s="102" t="str">
        <f>IF(AND(WSSKI!$Q$96&gt;=83.25,WSSKI!$Q$96&lt;=91.4),"P","")</f>
        <v/>
      </c>
      <c r="EW15" s="102" t="str">
        <f>IF(AND(WSSKI!$Q$96&gt;=91.5,WSSKI!$Q$96&lt;=100),"P","")</f>
        <v/>
      </c>
      <c r="EX15" t="str">
        <f>IF(WSSKI!$Q$104&lt;74.9,"P","")</f>
        <v/>
      </c>
      <c r="EY15" s="102" t="str">
        <f>IF(AND(WSSKI!$Q$104&gt;=75,WSSKI!$Q$104&lt;=83.24),"P","")</f>
        <v/>
      </c>
      <c r="EZ15" s="102" t="str">
        <f>IF(AND(WSSKI!$Q$104&gt;=83.25,WSSKI!$Q$104&lt;=91.4),"P","")</f>
        <v/>
      </c>
      <c r="FA15" s="102" t="str">
        <f>IF(AND(WSSKI!$Q$104&gt;=91.5,WSSKI!$Q$104&lt;=100),"P","")</f>
        <v/>
      </c>
      <c r="FB15" t="str">
        <f>IF(WSFIQIH!$Q$6&lt;74.9,"P","")</f>
        <v/>
      </c>
      <c r="FC15" s="102" t="str">
        <f>IF(AND(WSFIQIH!$Q$6&gt;=75,WSFIQIH!$Q$6&lt;=83.24),"P","")</f>
        <v/>
      </c>
      <c r="FD15" s="102" t="str">
        <f>IF(AND(WSFIQIH!$Q$6&gt;=83.25,WSFIQIH!$Q$6&lt;=91.4),"P","")</f>
        <v/>
      </c>
      <c r="FE15" s="102" t="str">
        <f>IF(AND(WSFIQIH!$Q$6&gt;=91.5,WSFIQIH!$Q$6&lt;=100),"P","")</f>
        <v>P</v>
      </c>
      <c r="FF15" t="str">
        <f>IF(WSFIQIH!$Q$19&lt;74.9,"P","")</f>
        <v/>
      </c>
      <c r="FG15" s="102" t="str">
        <f>IF(AND(WSFIQIH!$Q$19&gt;=75,WSFIQIH!$Q$19&lt;=83.24),"P","")</f>
        <v/>
      </c>
      <c r="FH15" s="102" t="str">
        <f>IF(AND(WSFIQIH!$Q$19&gt;=83.25,WSFIQIH!$Q$19&lt;=91.4),"P","")</f>
        <v/>
      </c>
      <c r="FI15" s="102" t="str">
        <f>IF(AND(WSFIQIH!$Q$19&gt;=91.5,WSFIQIH!$Q$19&lt;=100),"P","")</f>
        <v>P</v>
      </c>
      <c r="FJ15" t="str">
        <f>IF(WSFIQIH!$Q$28&lt;74.9,"P","")</f>
        <v/>
      </c>
      <c r="FK15" s="102" t="str">
        <f>IF(AND(WSFIQIH!$Q$28&gt;=75,WSFIQIH!$Q$28&lt;=83.24),"P","")</f>
        <v/>
      </c>
      <c r="FL15" s="102" t="str">
        <f>IF(AND(WSFIQIH!$Q$28&gt;=83.25,WSFIQIH!$Q$28&lt;=91.4),"P","")</f>
        <v/>
      </c>
      <c r="FM15" s="102" t="str">
        <f>IF(AND(WSFIQIH!$Q$28&gt;=91.5,WSFIQIH!$Q$28&lt;=100),"P","")</f>
        <v>P</v>
      </c>
      <c r="FN15" t="str">
        <f>IF(WSFIQIH!$Q$41&lt;74.9,"P","")</f>
        <v/>
      </c>
      <c r="FO15" s="102" t="str">
        <f>IF(AND(WSFIQIH!$Q$41&gt;=75,WSFIQIH!$Q$41&lt;=83.24),"P","")</f>
        <v/>
      </c>
      <c r="FP15" s="102" t="str">
        <f>IF(AND(WSFIQIH!$Q$41&gt;=83.25,WSFIQIH!$Q$41&lt;=91.4),"P","")</f>
        <v/>
      </c>
      <c r="FQ15" s="102" t="str">
        <f>IF(AND(WSFIQIH!$Q$41&gt;=91.5,WSFIQIH!$Q$41&lt;=100),"P","")</f>
        <v>P</v>
      </c>
      <c r="FR15" t="str">
        <f>IF(WSFIQIH!$Q$49&lt;74.9,"P","")</f>
        <v/>
      </c>
      <c r="FS15" s="102" t="str">
        <f>IF(AND(WSFIQIH!$Q$49&gt;=75,WSFIQIH!$Q$49&lt;=83.24),"P","")</f>
        <v/>
      </c>
      <c r="FT15" s="102" t="str">
        <f>IF(AND(WSFIQIH!$Q$49&gt;=83.25,WSFIQIH!$Q$49&lt;=91.4),"P","")</f>
        <v/>
      </c>
      <c r="FU15" s="102" t="str">
        <f>IF(AND(WSFIQIH!$Q$49&gt;=91.5,WSFIQIH!$Q$49&lt;=100),"P","")</f>
        <v>P</v>
      </c>
      <c r="FV15" t="str">
        <f>IF(WSFIQIH!$Q$62&lt;74.9,"P","")</f>
        <v/>
      </c>
      <c r="FW15" s="102" t="str">
        <f>IF(AND(WSFIQIH!$Q$62&gt;=75,WSFIQIH!$Q$62&lt;=83.24),"P","")</f>
        <v/>
      </c>
      <c r="FX15" s="102" t="str">
        <f>IF(AND(WSFIQIH!$Q$62&gt;=83.25,WSFIQIH!$Q$62&lt;=91.4),"P","")</f>
        <v/>
      </c>
      <c r="FY15" s="102" t="str">
        <f>IF(AND(WSFIQIH!$Q$62&gt;=91.5,WSFIQIH!$Q$62&lt;=100),"P","")</f>
        <v>P</v>
      </c>
      <c r="FZ15" t="str">
        <f>IF(WSFIQIH!$Q$71&lt;74.9,"P","")</f>
        <v/>
      </c>
      <c r="GA15" s="102" t="str">
        <f>IF(AND(WSFIQIH!$Q$71&gt;=75,WSFIQIH!$Q$71&lt;=83.24),"P","")</f>
        <v/>
      </c>
      <c r="GB15" s="102" t="str">
        <f>IF(AND(WSFIQIH!$Q$71&gt;=83.25,WSFIQIH!$Q$71&lt;=91.4),"P","")</f>
        <v/>
      </c>
      <c r="GC15" s="102" t="str">
        <f>IF(AND(WSFIQIH!$Q$71&gt;=91.5,WSFIQIH!$Q$71&lt;=100),"P","")</f>
        <v>P</v>
      </c>
      <c r="GD15" t="str">
        <f>IF(WSFIQIH!$Q$80&lt;74.9,"P","")</f>
        <v/>
      </c>
      <c r="GE15" s="102" t="str">
        <f>IF(AND(WSFIQIH!$Q$80&gt;=75,WSFIQIH!$Q$80&lt;=83.24),"P","")</f>
        <v>P</v>
      </c>
      <c r="GF15" s="102" t="str">
        <f>IF(AND(WSFIQIH!$Q$80&gt;=83.25,WSFIQIH!$Q$80&lt;=91.4),"P","")</f>
        <v/>
      </c>
      <c r="GG15" s="102" t="str">
        <f>IF(AND(WSFIQIH!$Q$80&gt;=91.5,WSFIQIH!$Q$80&lt;=100),"P","")</f>
        <v/>
      </c>
      <c r="GH15" t="str">
        <f>IF(WSFIQIH!$Q$88&lt;74.9,"P","")</f>
        <v/>
      </c>
      <c r="GI15" s="102" t="str">
        <f>IF(AND(WSFIQIH!$Q$88&gt;=75,WSFIQIH!$Q$88&lt;=83.24),"P","")</f>
        <v/>
      </c>
      <c r="GJ15" s="102" t="str">
        <f>IF(AND(WSFIQIH!$Q$88&gt;=83.25,WSFIQIH!$Q$88&lt;=91.4),"P","")</f>
        <v/>
      </c>
      <c r="GK15" s="102" t="str">
        <f>IF(AND(WSFIQIH!$Q$88&gt;=91.5,WSFIQIH!$Q$88&lt;=100),"P","")</f>
        <v/>
      </c>
      <c r="GL15" t="str">
        <f>IF(WSFIQIH!$Q$96&lt;74.9,"P","")</f>
        <v/>
      </c>
      <c r="GM15" s="102" t="str">
        <f>IF(AND(WSFIQIH!$Q$96&gt;=75,WSFIQIH!$Q$96&lt;=83.24),"P","")</f>
        <v/>
      </c>
      <c r="GN15" s="102" t="str">
        <f>IF(AND(WSFIQIH!$Q$96&gt;=83.25,WSFIQIH!$Q$96&lt;=91.4),"P","")</f>
        <v/>
      </c>
      <c r="GO15" s="102" t="str">
        <f>IF(AND(WSFIQIH!$Q$96&gt;=91.5,WSFIQIH!$Q$96&lt;=100),"P","")</f>
        <v/>
      </c>
      <c r="GP15" t="str">
        <f>IF(WSFIQIH!$Q$104&lt;74.9,"P","")</f>
        <v/>
      </c>
      <c r="GQ15" s="102" t="str">
        <f>IF(AND(WSFIQIH!$Q$104&gt;=75,WSFIQIH!$Q$104&lt;=83.24),"P","")</f>
        <v/>
      </c>
      <c r="GR15" s="102" t="str">
        <f>IF(AND(WSFIQIH!$Q$104&gt;=83.25,WSFIQIH!$Q$104&lt;=91.4),"P","")</f>
        <v/>
      </c>
      <c r="GS15" s="102" t="str">
        <f>IF(AND(WSFIQIH!$Q$104&gt;=91.5,WSFIQIH!$Q$104&lt;=100),"P","")</f>
        <v/>
      </c>
      <c r="GT15" t="str">
        <f>IF(WSFIQIH!$Q$112&lt;74.9,"P","")</f>
        <v/>
      </c>
      <c r="GU15" s="102" t="str">
        <f>IF(AND(WSFIQIH!$Q$112&gt;=75,WSFIQIH!$Q$112&lt;=83.24),"P","")</f>
        <v/>
      </c>
      <c r="GV15" s="102" t="str">
        <f>IF(AND(WSFIQIH!$Q$112&gt;=83.25,WSFIQIH!$Q$112&lt;=91.4),"P","")</f>
        <v/>
      </c>
      <c r="GW15" s="102" t="str">
        <f>IF(AND(WSFIQIH!$Q$112&gt;=91.5,WSFIQIH!$Q$112&lt;=100),"P","")</f>
        <v/>
      </c>
      <c r="GX15" t="str">
        <f>IF(WSFIQIH!$Q$120&lt;74.9,"P","")</f>
        <v/>
      </c>
      <c r="GY15" s="102" t="str">
        <f>IF(AND(WSFIQIH!$Q$120&gt;=75,WSFIQIH!$Q$120&lt;=83.24),"P","")</f>
        <v/>
      </c>
      <c r="GZ15" s="102" t="str">
        <f>IF(AND(WSFIQIH!$Q$120&gt;=83.25,WSFIQIH!$Q$120&lt;=91.4),"P","")</f>
        <v/>
      </c>
      <c r="HA15" s="102" t="str">
        <f>IF(AND(WSFIQIH!$Q$120&gt;=91.5,WSFIQIH!$Q$120&lt;=100),"P","")</f>
        <v/>
      </c>
      <c r="HB15" t="str">
        <f>IF(WSPKN!$Q$6&lt;74.9,"P","")</f>
        <v/>
      </c>
      <c r="HC15" s="102" t="str">
        <f>IF(AND(WSPKN!$Q$6&gt;=75,WSPKN!$Q$6&lt;=83.24),"P","")</f>
        <v/>
      </c>
      <c r="HD15" s="102" t="str">
        <f>IF(AND(WSPKN!$Q$6&gt;=83.25,WSPKN!$Q$6&lt;=91.4),"P","")</f>
        <v/>
      </c>
      <c r="HE15" s="102" t="str">
        <f>IF(AND(WSPKN!$Q$6&gt;=91.5,WSPKN!$Q$6&lt;=100),"P","")</f>
        <v>P</v>
      </c>
      <c r="HF15" t="str">
        <f>IF(WSPKN!$Q$32&lt;74.9,"P","")</f>
        <v/>
      </c>
      <c r="HG15" s="102" t="str">
        <f>IF(AND(WSPKN!$Q$32&gt;=75,WSPKN!$Q$32&lt;=83.24),"P","")</f>
        <v/>
      </c>
      <c r="HH15" s="102" t="str">
        <f>IF(AND(WSPKN!$Q$32&gt;=83.25,WSPKN!$Q$32&lt;=91.4),"P","")</f>
        <v/>
      </c>
      <c r="HI15" s="102" t="str">
        <f>IF(AND(WSPKN!$Q$32&gt;=91.5,WSPKN!$Q$32&lt;=100),"P","")</f>
        <v>P</v>
      </c>
      <c r="HJ15" t="str">
        <f>IF(WSPKN!$Q$55&lt;74.9,"P","")</f>
        <v/>
      </c>
      <c r="HK15" s="102" t="str">
        <f>IF(AND(WSPKN!$Q$55&gt;=75,WSPKN!$Q$55&lt;=83.24),"P","")</f>
        <v/>
      </c>
      <c r="HL15" s="102" t="str">
        <f>IF(AND(WSPKN!$Q$55&gt;=83.25,WSPKN!$Q$55&lt;=91.4),"P","")</f>
        <v/>
      </c>
      <c r="HM15" s="102" t="str">
        <f>IF(AND(WSPKN!$Q$55&gt;=91.5,WSPKN!$Q$55&lt;=100),"P","")</f>
        <v>P</v>
      </c>
      <c r="HN15" t="str">
        <f>IF(WSPKN!$Q$72&lt;74.9,"P","")</f>
        <v/>
      </c>
      <c r="HO15" s="102" t="str">
        <f>IF(AND(WSPKN!$Q$72&gt;=75,WSPKN!$Q$72&lt;=83.24),"P","")</f>
        <v/>
      </c>
      <c r="HP15" s="102" t="str">
        <f>IF(AND(WSPKN!$Q$72&gt;=83.25,WSPKN!$Q$72&lt;=91.4),"P","")</f>
        <v/>
      </c>
      <c r="HQ15" s="102" t="str">
        <f>IF(AND(WSPKN!$Q$72&gt;=91.5,WSPKN!$Q$72&lt;=100),"P","")</f>
        <v>P</v>
      </c>
      <c r="HR15" t="str">
        <f>IF(WSPKN!$Q$86&lt;74.9,"P","")</f>
        <v/>
      </c>
      <c r="HS15" s="102" t="str">
        <f>IF(AND(WSPKN!$Q$86&gt;=75,WSPKN!$Q$86&lt;=83.24),"P","")</f>
        <v/>
      </c>
      <c r="HT15" s="102" t="str">
        <f>IF(AND(WSPKN!$Q$86&gt;=83.25,WSPKN!$Q$86&lt;=91.4),"P","")</f>
        <v/>
      </c>
      <c r="HU15" s="102" t="str">
        <f>IF(AND(WSPKN!$Q$86&gt;=91.5,WSPKN!$Q$86&lt;=100),"P","")</f>
        <v>P</v>
      </c>
      <c r="HV15" t="str">
        <f>IF(WSPKN!$Q$108&lt;74.9,"P","")</f>
        <v/>
      </c>
      <c r="HW15" s="102" t="str">
        <f>IF(AND(WSPKN!$Q$108&gt;=75,WSPKN!$Q$108&lt;=83.24),"P","")</f>
        <v/>
      </c>
      <c r="HX15" s="102" t="str">
        <f>IF(AND(WSPKN!$Q$108&gt;=83.25,WSPKN!$Q$108&lt;=91.4),"P","")</f>
        <v/>
      </c>
      <c r="HY15" s="102" t="str">
        <f>IF(AND(WSPKN!$Q$108&gt;=91.5,WSPKN!$Q$108&lt;=100),"P","")</f>
        <v>P</v>
      </c>
      <c r="HZ15" t="str">
        <f>IF(WSPKN!$Q$132&lt;74.9,"P","")</f>
        <v/>
      </c>
      <c r="IA15" s="102" t="str">
        <f>IF(AND(WSPKN!$Q$132&gt;=75,WSPKN!$Q$132&lt;=83.24),"P","")</f>
        <v/>
      </c>
      <c r="IB15" s="102" t="str">
        <f>IF(AND(WSPKN!$Q$132&gt;=83.25,WSPKN!$Q$132&lt;=91.4),"P","")</f>
        <v/>
      </c>
      <c r="IC15" s="102" t="str">
        <f>IF(AND(WSPKN!$Q$132&gt;=91.5,WSPKN!$Q$132&lt;=100),"P","")</f>
        <v>P</v>
      </c>
      <c r="ID15" t="str">
        <f>IF(WSPKN!$Q$148&lt;74.9,"P","")</f>
        <v/>
      </c>
      <c r="IE15" s="102" t="str">
        <f>IF(AND(WSPKN!$Q$148&gt;=75,WSPKN!$Q$148&lt;=83.24),"P","")</f>
        <v/>
      </c>
      <c r="IF15" s="102" t="str">
        <f>IF(AND(WSPKN!$Q$148&gt;=83.25,WSPKN!$Q$148&lt;=91.4),"P","")</f>
        <v/>
      </c>
      <c r="IG15" s="102" t="str">
        <f>IF(AND(WSPKN!$Q$148&gt;=91.5,WSPKN!$Q$148&lt;=100),"P","")</f>
        <v>P</v>
      </c>
      <c r="IH15" t="str">
        <f>IF(WSPKN!$Q$165&lt;74.9,"P","")</f>
        <v/>
      </c>
      <c r="II15" s="102" t="str">
        <f>IF(AND(WSPKN!$Q$165&gt;=75,WSPKN!$Q$165&lt;=83.24),"P","")</f>
        <v/>
      </c>
      <c r="IJ15" s="102" t="str">
        <f>IF(AND(WSPKN!$Q$165&gt;=83.25,WSPKN!$Q$165&lt;=91.4),"P","")</f>
        <v/>
      </c>
      <c r="IK15" s="102" t="str">
        <f>IF(AND(WSPKN!$Q$165&gt;=91.5,WSPKN!$Q$165&lt;=100),"P","")</f>
        <v/>
      </c>
      <c r="IL15" t="str">
        <f>IF(WSPKN!$Q$173&lt;74.9,"P","")</f>
        <v/>
      </c>
      <c r="IM15" s="102" t="str">
        <f>IF(AND(WSPKN!$Q$173&gt;=75,WSPKN!$Q$173&lt;=83.24),"P","")</f>
        <v/>
      </c>
      <c r="IN15" s="102" t="str">
        <f>IF(AND(WSPKN!$Q$173&gt;=83.25,WSPKN!$Q$173&lt;=91.4),"P","")</f>
        <v/>
      </c>
      <c r="IO15" s="102" t="str">
        <f>IF(AND(WSPKN!$Q$173&gt;=91.5,WSPKN!$Q$173&lt;=100),"P","")</f>
        <v/>
      </c>
      <c r="IP15" t="str">
        <f>IF(WSPKN!$Q$181&lt;74.9,"P","")</f>
        <v/>
      </c>
      <c r="IQ15" s="102" t="str">
        <f>IF(AND(WSPKN!$Q$181&gt;=75,WSPKN!$Q$181&lt;=83.24),"P","")</f>
        <v/>
      </c>
      <c r="IR15" s="102" t="str">
        <f>IF(AND(WSPKN!$Q$181&gt;=83.25,WSPKN!$Q$181&lt;=91.4),"P","")</f>
        <v/>
      </c>
      <c r="IS15" s="102" t="str">
        <f>IF(AND(WSPKN!$Q$181&gt;=91.5,WSPKN!$Q$181&lt;=100),"P","")</f>
        <v/>
      </c>
      <c r="IT15" t="str">
        <f>IF(WSPKN!$Q$189&lt;74.9,"P","")</f>
        <v/>
      </c>
      <c r="IU15" s="102" t="str">
        <f>IF(AND(WSPKN!$Q$189&gt;=75,WSPKN!$Q$189&lt;=83.24),"P","")</f>
        <v/>
      </c>
      <c r="IV15" s="102" t="str">
        <f>IF(AND(WSPKN!$Q$189&gt;=83.25,WSPKN!$Q$189&lt;=91.4),"P","")</f>
        <v/>
      </c>
      <c r="IW15" s="102" t="str">
        <f>IF(AND(WSPKN!$Q$189&gt;=91.5,WSPKN!$Q$189&lt;=100),"P","")</f>
        <v/>
      </c>
      <c r="IX15" t="str">
        <f>IF(WSPKN!$Q$197&lt;74.9,"P","")</f>
        <v/>
      </c>
      <c r="IY15" s="102" t="str">
        <f>IF(AND(WSPKN!$Q$197&gt;=75,WSPKN!$Q$197&lt;=83.24),"P","")</f>
        <v/>
      </c>
      <c r="IZ15" s="102" t="str">
        <f>IF(AND(WSPKN!$Q$197&gt;=83.25,WSPKN!$Q$197&lt;=91.4),"P","")</f>
        <v/>
      </c>
      <c r="JA15" s="102" t="str">
        <f>IF(AND(WSPKN!$Q$197&gt;=91.5,WSPKN!$Q$197&lt;=100),"P","")</f>
        <v/>
      </c>
      <c r="JB15" t="str">
        <f>IF(WSIND!$Q$6&lt;74.9,"P","")</f>
        <v/>
      </c>
      <c r="JC15" s="102" t="str">
        <f>IF(AND(WSIND!$Q$6&gt;=75,WSIND!$Q$6&lt;=83.24),"P","")</f>
        <v/>
      </c>
      <c r="JD15" s="102" t="str">
        <f>IF(AND(WSIND!$Q$6&gt;=83.25,WSIND!$Q$6&lt;=91.4),"P","")</f>
        <v/>
      </c>
      <c r="JE15" s="102" t="str">
        <f>IF(AND(WSIND!$Q$6&gt;=91.5,WSIND!$Q$6&lt;=100),"P","")</f>
        <v>P</v>
      </c>
      <c r="JF15" t="str">
        <f>IF(WSIND!$Q$65&lt;74.9,"P","")</f>
        <v/>
      </c>
      <c r="JG15" s="102" t="str">
        <f>IF(AND(WSIND!$Q$65&gt;=75,WSIND!$Q$65&lt;=83.24),"P","")</f>
        <v/>
      </c>
      <c r="JH15" s="102" t="str">
        <f>IF(AND(WSIND!$Q$65&gt;=83.25,WSIND!$Q$65&lt;=91.4),"P","")</f>
        <v/>
      </c>
      <c r="JI15" s="102" t="str">
        <f>IF(AND(WSIND!$Q$65&gt;=91.5,WSIND!$Q$65&lt;=100),"P","")</f>
        <v>P</v>
      </c>
      <c r="JJ15" t="str">
        <f>IF(WSIND!$Q$113&lt;74.9,"P","")</f>
        <v/>
      </c>
      <c r="JK15" s="102" t="str">
        <f>IF(AND(WSIND!$Q$113&gt;=75,WSIND!$Q$113&lt;=83.24),"P","")</f>
        <v/>
      </c>
      <c r="JL15" s="102" t="str">
        <f>IF(AND(WSIND!$Q$113&gt;=83.25,WSIND!$Q$113&lt;=91.4),"P","")</f>
        <v/>
      </c>
      <c r="JM15" s="102" t="str">
        <f>IF(AND(WSIND!$Q$113&gt;=91.5,WSIND!$Q$113&lt;=100),"P","")</f>
        <v>P</v>
      </c>
      <c r="JN15" t="str">
        <f>IF(WSIND!$Q$133&lt;74.9,"P","")</f>
        <v/>
      </c>
      <c r="JO15" s="102" t="str">
        <f>IF(AND(WSIND!$Q$133&gt;=75,WSIND!$Q$133&lt;=83.24),"P","")</f>
        <v/>
      </c>
      <c r="JP15" s="102" t="str">
        <f>IF(AND(WSIND!$Q$133&gt;=83.25,WSIND!$Q$133&lt;=91.4),"P","")</f>
        <v/>
      </c>
      <c r="JQ15" s="102" t="str">
        <f>IF(AND(WSIND!$Q$133&gt;=91.5,WSIND!$Q$133&lt;=100),"P","")</f>
        <v>P</v>
      </c>
      <c r="JR15" t="str">
        <f>IF(WSIND!$Q$161&lt;74.9,"P","")</f>
        <v/>
      </c>
      <c r="JS15" s="102" t="str">
        <f>IF(AND(WSIND!$Q$161&gt;=75,WSIND!$Q$161&lt;=83.24),"P","")</f>
        <v/>
      </c>
      <c r="JT15" s="102" t="str">
        <f>IF(AND(WSIND!$Q$161&gt;=83.25,WSIND!$Q$161&lt;=91.4),"P","")</f>
        <v/>
      </c>
      <c r="JU15" s="102" t="str">
        <f>IF(AND(WSIND!$Q$161&gt;=91.5,WSIND!$Q$161&lt;=100),"P","")</f>
        <v>P</v>
      </c>
      <c r="JV15" t="str">
        <f>IF(WSIND!$Q$192&lt;74.9,"P","")</f>
        <v/>
      </c>
      <c r="JW15" s="102" t="str">
        <f>IF(AND(WSIND!$Q$192&gt;=75,WSIND!$Q$192&lt;=83.24),"P","")</f>
        <v/>
      </c>
      <c r="JX15" s="102" t="str">
        <f>IF(AND(WSIND!$Q$192&gt;=83.25,WSIND!$Q$192&lt;=91.4),"P","")</f>
        <v/>
      </c>
      <c r="JY15" s="102" t="str">
        <f>IF(AND(WSIND!$Q$192&gt;=91.5,WSIND!$Q$192&lt;=100),"P","")</f>
        <v>P</v>
      </c>
      <c r="JZ15" t="str">
        <f>IF(WSIND!$Q$228&lt;74.9,"P","")</f>
        <v/>
      </c>
      <c r="KA15" s="102" t="str">
        <f>IF(AND(WSIND!$Q$228&gt;=75,WSIND!$Q$228&lt;=83.24),"P","")</f>
        <v/>
      </c>
      <c r="KB15" s="102" t="str">
        <f>IF(AND(WSIND!$Q$228&gt;=83.25,WSIND!$Q$228&lt;=91.4),"P","")</f>
        <v/>
      </c>
      <c r="KC15" s="102" t="str">
        <f>IF(AND(WSIND!$Q$228&gt;=91.5,WSIND!$Q$228&lt;=100),"P","")</f>
        <v>P</v>
      </c>
      <c r="KD15" t="str">
        <f>IF(WSIND!$Q$256&lt;74.9,"P","")</f>
        <v/>
      </c>
      <c r="KE15" s="102" t="str">
        <f>IF(AND(WSIND!$Q$256&gt;=75,WSIND!$Q$256&lt;=83.24),"P","")</f>
        <v/>
      </c>
      <c r="KF15" s="102" t="str">
        <f>IF(AND(WSIND!$Q$256&gt;=83.25,WSIND!$Q$256&lt;=91.4),"P","")</f>
        <v/>
      </c>
      <c r="KG15" s="102" t="str">
        <f>IF(AND(WSIND!$Q$256&gt;=91.5,WSIND!$Q$256&lt;=100),"P","")</f>
        <v>P</v>
      </c>
      <c r="KH15" t="str">
        <f>IF(WSIND!$Q$277&lt;74.9,"P","")</f>
        <v/>
      </c>
      <c r="KI15" s="102" t="str">
        <f>IF(AND(WSIND!$Q$277&gt;=75,WSIND!$Q$277&lt;=83.24),"P","")</f>
        <v/>
      </c>
      <c r="KJ15" s="102" t="str">
        <f>IF(AND(WSIND!$Q$277&gt;=83.25,WSIND!$Q$277&lt;=91.4),"P","")</f>
        <v/>
      </c>
      <c r="KK15" s="102" t="str">
        <f>IF(AND(WSIND!$Q$277&gt;=91.5,WSIND!$Q$277&lt;=100),"P","")</f>
        <v>P</v>
      </c>
      <c r="KL15" t="str">
        <f>IF(WSIND!$Q$305&lt;74.9,"P","")</f>
        <v/>
      </c>
      <c r="KM15" s="102" t="str">
        <f>IF(AND(WSIND!$Q$305&gt;=75,WSIND!$Q$305&lt;=83.24),"P","")</f>
        <v/>
      </c>
      <c r="KN15" s="102" t="str">
        <f>IF(AND(WSIND!$Q$305&gt;=83.25,WSIND!$Q$305&lt;=91.4),"P","")</f>
        <v/>
      </c>
      <c r="KO15" s="102" t="str">
        <f>IF(AND(WSIND!$Q$305&gt;=91.5,WSIND!$Q$305&lt;=100),"P","")</f>
        <v>P</v>
      </c>
      <c r="KP15" t="str">
        <f>IF(WSIND!$Q$329&lt;74.9,"P","")</f>
        <v/>
      </c>
      <c r="KQ15" s="102" t="str">
        <f>IF(AND(WSIND!$Q$329&gt;=75,WSIND!$Q$329&lt;=83.24),"P","")</f>
        <v/>
      </c>
      <c r="KR15" s="102" t="str">
        <f>IF(AND(WSIND!$Q$329&gt;=83.25,WSIND!$Q$329&lt;=91.4),"P","")</f>
        <v/>
      </c>
      <c r="KS15" s="102" t="str">
        <f>IF(AND(WSIND!$Q$329&gt;=91.5,WSIND!$Q$329&lt;=100),"P","")</f>
        <v/>
      </c>
      <c r="KT15" t="str">
        <f>IF(WSIND!$Q$337&lt;74.9,"P","")</f>
        <v/>
      </c>
      <c r="KU15" s="102" t="str">
        <f>IF(AND(WSIND!$Q$337&gt;=75,WSIND!$Q$337&lt;=83.24),"P","")</f>
        <v/>
      </c>
      <c r="KV15" s="102" t="str">
        <f>IF(AND(WSIND!$Q$337&gt;=83.25,WSIND!$Q$337&lt;=91.4),"P","")</f>
        <v/>
      </c>
      <c r="KW15" s="102" t="str">
        <f>IF(AND(WSIND!$Q$337&gt;=91.5,WSIND!$Q$337&lt;=100),"P","")</f>
        <v/>
      </c>
      <c r="KX15" t="str">
        <f>IF(WSIND!$Q$345&lt;74.9,"P","")</f>
        <v/>
      </c>
      <c r="KY15" s="102" t="str">
        <f>IF(AND(WSIND!$Q$345&gt;=75,WSIND!$Q$345&lt;=83.24),"P","")</f>
        <v/>
      </c>
      <c r="KZ15" s="102" t="str">
        <f>IF(AND(WSIND!$Q$345&gt;=83.25,WSIND!$Q$345&lt;=91.4),"P","")</f>
        <v/>
      </c>
      <c r="LA15" s="102" t="str">
        <f>IF(AND(WSIND!$Q$345&gt;=91.5,WSIND!$Q$345&lt;=100),"P","")</f>
        <v/>
      </c>
      <c r="LB15" t="str">
        <f>IF(WSARAB!$Q$6&lt;74.9,"P","")</f>
        <v/>
      </c>
      <c r="LC15" s="102" t="str">
        <f>IF(AND(WSARAB!$Q$6&gt;=75,WSARAB!$Q$6&lt;=83.24),"P","")</f>
        <v/>
      </c>
      <c r="LD15" s="102" t="str">
        <f>IF(AND(WSARAB!$Q$6&gt;=83.25,WSARAB!$Q$6&lt;=91.4),"P","")</f>
        <v/>
      </c>
      <c r="LE15" s="102" t="str">
        <f>IF(AND(WSARAB!$Q$6&gt;=91.5,WSARAB!$Q$6&lt;=100),"P","")</f>
        <v/>
      </c>
      <c r="LF15" t="str">
        <f>IF(WSARAB!$Q$17&lt;74.9,"P","")</f>
        <v/>
      </c>
      <c r="LG15" s="102" t="str">
        <f>IF(AND(WSARAB!$Q$17&gt;=75,WSARAB!$Q$17&lt;=83.24),"P","")</f>
        <v/>
      </c>
      <c r="LH15" s="102" t="str">
        <f>IF(AND(WSARAB!$Q$17&gt;=83.25,WSARAB!$Q$17&lt;=91.4),"P","")</f>
        <v/>
      </c>
      <c r="LI15" s="102" t="str">
        <f>IF(AND(WSARAB!$Q$17&gt;=91.5,WSARAB!$Q$17&lt;=100),"P","")</f>
        <v/>
      </c>
      <c r="LJ15" t="str">
        <f>IF(WSARAB!$Q$29&lt;74.9,"P","")</f>
        <v/>
      </c>
      <c r="LK15" s="102" t="str">
        <f>IF(AND(WSARAB!$Q$29&gt;=75,WSARAB!$Q$29&lt;=83.24),"P","")</f>
        <v/>
      </c>
      <c r="LL15" s="102" t="str">
        <f>IF(AND(WSARAB!$Q$29&gt;=83.25,WSARAB!$Q$29&lt;=91.4),"P","")</f>
        <v/>
      </c>
      <c r="LM15" s="102" t="str">
        <f>IF(AND(WSARAB!$Q$29&gt;=91.5,WSARAB!$Q$29&lt;=100),"P","")</f>
        <v/>
      </c>
      <c r="LN15" t="str">
        <f>IF(WSARAB!$Q$37&lt;74.9,"P","")</f>
        <v/>
      </c>
      <c r="LO15" s="102" t="str">
        <f>IF(AND(WSARAB!$Q$37&gt;=75,WSARAB!$Q$37&lt;=83.24),"P","")</f>
        <v/>
      </c>
      <c r="LP15" s="102" t="str">
        <f>IF(AND(WSARAB!$Q$37&gt;=83.25,WSARAB!$Q$37&lt;=91.4),"P","")</f>
        <v/>
      </c>
      <c r="LQ15" s="102" t="str">
        <f>IF(AND(WSARAB!$Q$37&gt;=91.5,WSARAB!$Q$37&lt;=100),"P","")</f>
        <v/>
      </c>
      <c r="LR15" t="str">
        <f>IF(WSARAB!$Q$45&lt;74.9,"P","")</f>
        <v/>
      </c>
      <c r="LS15" s="102" t="str">
        <f>IF(AND(WSARAB!$Q$45&gt;=75,WSARAB!$Q$45&lt;=83.24),"P","")</f>
        <v/>
      </c>
      <c r="LT15" s="102" t="str">
        <f>IF(AND(WSARAB!$Q$45&gt;=83.25,WSARAB!$Q$45&lt;=91.4),"P","")</f>
        <v/>
      </c>
      <c r="LU15" s="102" t="str">
        <f>IF(AND(WSARAB!$Q$45&gt;=91.5,WSARAB!$Q$45&lt;=100),"P","")</f>
        <v/>
      </c>
      <c r="LV15" t="str">
        <f>IF(WSARAB!$Q$53&lt;74.9,"P","")</f>
        <v/>
      </c>
      <c r="LW15" s="102" t="str">
        <f>IF(AND(WSARAB!$Q$53&gt;=75,WSARAB!$Q$53&lt;=83.24),"P","")</f>
        <v/>
      </c>
      <c r="LX15" s="102" t="str">
        <f>IF(AND(WSARAB!$Q$53&gt;=83.25,WSARAB!$Q$53&lt;=91.4),"P","")</f>
        <v/>
      </c>
      <c r="LY15" s="102" t="str">
        <f>IF(AND(WSARAB!$Q$53&gt;=91.5,WSARAB!$Q$53&lt;=100),"P","")</f>
        <v/>
      </c>
      <c r="LZ15" t="str">
        <f>IF(WSARAB!$Q$65&lt;74.9,"P","")</f>
        <v/>
      </c>
      <c r="MA15" s="102" t="str">
        <f>IF(AND(WSARAB!$Q$65&gt;=75,WSARAB!$Q$65&lt;=83.24),"P","")</f>
        <v/>
      </c>
      <c r="MB15" s="102" t="str">
        <f>IF(AND(WSARAB!$Q$65&gt;=83.25,WSARAB!$Q$65&lt;=91.4),"P","")</f>
        <v/>
      </c>
      <c r="MC15" s="102" t="str">
        <f>IF(AND(WSARAB!$Q$65&gt;=91.5,WSARAB!$Q$65&lt;=100),"P","")</f>
        <v/>
      </c>
      <c r="MD15" t="str">
        <f>IF(WSARAB!$Q$73&lt;74.9,"P","")</f>
        <v/>
      </c>
      <c r="ME15" s="102" t="str">
        <f>IF(AND(WSARAB!$Q$73&gt;=75,WSARAB!$Q$73&lt;=83.24),"P","")</f>
        <v/>
      </c>
      <c r="MF15" s="102" t="str">
        <f>IF(AND(WSARAB!$Q$73&gt;=83.25,WSARAB!$Q$73&lt;=91.4),"P","")</f>
        <v/>
      </c>
      <c r="MG15" s="102" t="str">
        <f>IF(AND(WSARAB!$Q$73&gt;=91.5,WSARAB!$Q$73&lt;=100),"P","")</f>
        <v/>
      </c>
      <c r="MH15" t="str">
        <f>IF(WSARAB!$Q$81&lt;74.9,"P","")</f>
        <v/>
      </c>
      <c r="MI15" s="102" t="str">
        <f>IF(AND(WSARAB!$Q$81&gt;=75,WSARAB!$Q$81&lt;=83.24),"P","")</f>
        <v/>
      </c>
      <c r="MJ15" s="102" t="str">
        <f>IF(AND(WSARAB!$Q$81&gt;=83.25,WSARAB!$Q$81&lt;=91.4),"P","")</f>
        <v/>
      </c>
      <c r="MK15" s="102" t="str">
        <f>IF(AND(WSARAB!$Q$81&gt;=91.5,WSARAB!$Q$81&lt;=100),"P","")</f>
        <v/>
      </c>
      <c r="ML15" t="str">
        <f>IF(WSARAB!$Q$89&lt;74.9,"P","")</f>
        <v/>
      </c>
      <c r="MM15" s="102" t="str">
        <f>IF(AND(WSARAB!$Q$89&gt;=75,WSARAB!$Q$89&lt;=83.24),"P","")</f>
        <v/>
      </c>
      <c r="MN15" s="102" t="str">
        <f>IF(AND(WSARAB!$Q$89&gt;=83.25,WSARAB!$Q$89&lt;=91.4),"P","")</f>
        <v/>
      </c>
      <c r="MO15" s="102" t="str">
        <f>IF(AND(WSARAB!$Q$89&gt;=91.5,WSARAB!$Q$89&lt;=100),"P","")</f>
        <v/>
      </c>
      <c r="MP15" t="str">
        <f>IF(WSARAB!$Q$97&lt;74.9,"P","")</f>
        <v/>
      </c>
      <c r="MQ15" s="102" t="str">
        <f>IF(AND(WSARAB!$Q$97&gt;=75,WSARAB!$Q$97&lt;=83.24),"P","")</f>
        <v/>
      </c>
      <c r="MR15" s="102" t="str">
        <f>IF(AND(WSARAB!$Q$97&gt;=83.25,WSARAB!$Q$97&lt;=91.4),"P","")</f>
        <v/>
      </c>
      <c r="MS15" s="102" t="str">
        <f>IF(AND(WSARAB!$Q$97&gt;=91.5,WSARAB!$Q$97&lt;=100),"P","")</f>
        <v/>
      </c>
      <c r="MT15" t="str">
        <f>IF(WSARAB!$Q$105&lt;74.9,"P","")</f>
        <v/>
      </c>
      <c r="MU15" s="102" t="str">
        <f>IF(AND(WSARAB!$Q$105&gt;=75,WSARAB!$Q$105&lt;=83.24),"P","")</f>
        <v/>
      </c>
      <c r="MV15" s="102" t="str">
        <f>IF(AND(WSARAB!$Q$105&gt;=83.25,WSARAB!$Q$105&lt;=91.4),"P","")</f>
        <v/>
      </c>
      <c r="MW15" s="102" t="str">
        <f>IF(AND(WSARAB!$Q$105&gt;=91.5,WSARAB!$Q$105&lt;=100),"P","")</f>
        <v/>
      </c>
      <c r="MX15" t="str">
        <f>IF(WSARAB!$Q$113&lt;74.9,"P","")</f>
        <v/>
      </c>
      <c r="MY15" s="102" t="str">
        <f>IF(AND(WSARAB!$Q$113&gt;=75,WSARAB!$Q$113&lt;=83.24),"P","")</f>
        <v/>
      </c>
      <c r="MZ15" s="102" t="str">
        <f>IF(AND(WSARAB!$Q$113&gt;=83.25,WSARAB!$Q$113&lt;=91.4),"P","")</f>
        <v/>
      </c>
      <c r="NA15" s="102" t="str">
        <f>IF(AND(WSARAB!$Q$113&gt;=91.5,WSARAB!$Q$113&lt;=100),"P","")</f>
        <v/>
      </c>
      <c r="NB15" t="str">
        <f>IF(WSMTK!$Q$6&lt;74.9,"P","")</f>
        <v/>
      </c>
      <c r="NC15" s="102" t="str">
        <f>IF(AND(WSMTK!$Q$6&gt;=75,WSMTK!$Q$6&lt;=83.24),"P","")</f>
        <v/>
      </c>
      <c r="ND15" s="102" t="str">
        <f>IF(AND(WSMTK!$Q$6&gt;=83.25,WSMTK!$Q$6&lt;=91.4),"P","")</f>
        <v/>
      </c>
      <c r="NE15" s="102" t="str">
        <f>IF(AND(WSMTK!$Q$6&gt;=91.5,WSMTK!$Q$6&lt;=100),"P","")</f>
        <v>P</v>
      </c>
      <c r="NF15" t="str">
        <f>IF(WSMTK!$Q$22&lt;74.9,"P","")</f>
        <v/>
      </c>
      <c r="NG15" s="102" t="str">
        <f>IF(AND(WSMTK!$Q$22&gt;=75,WSMTK!$Q$22&lt;=83.24),"P","")</f>
        <v/>
      </c>
      <c r="NH15" s="102" t="str">
        <f>IF(AND(WSMTK!$Q$22&gt;=83.25,WSMTK!$Q$22&lt;=91.4),"P","")</f>
        <v/>
      </c>
      <c r="NI15" s="102" t="str">
        <f>IF(AND(WSMTK!$Q$22&gt;=91.5,WSMTK!$Q$22&lt;=100),"P","")</f>
        <v>P</v>
      </c>
      <c r="NJ15" t="str">
        <f>IF(WSMTK!$Q$35&lt;74.9,"P","")</f>
        <v/>
      </c>
      <c r="NK15" s="102" t="str">
        <f>IF(AND(WSMTK!$Q$35&gt;=75,WSMTK!$Q$35&lt;=83.24),"P","")</f>
        <v/>
      </c>
      <c r="NL15" s="102" t="str">
        <f>IF(AND(WSMTK!$Q$35&gt;=83.25,WSMTK!$Q$35&lt;=91.4),"P","")</f>
        <v/>
      </c>
      <c r="NM15" s="102" t="str">
        <f>IF(AND(WSMTK!$Q$35&gt;=91.5,WSMTK!$Q$35&lt;=100),"P","")</f>
        <v>P</v>
      </c>
      <c r="NN15" t="str">
        <f>IF(WSMTK!$Q$69&lt;74.9,"P","")</f>
        <v/>
      </c>
      <c r="NO15" s="102" t="str">
        <f>IF(AND(WSMTK!$Q$69&gt;=75,WSMTK!$Q$69&lt;=83.24),"P","")</f>
        <v/>
      </c>
      <c r="NP15" s="102" t="str">
        <f>IF(AND(WSMTK!$Q$69&gt;=83.25,WSMTK!$Q$69&lt;=91.4),"P","")</f>
        <v/>
      </c>
      <c r="NQ15" s="102" t="str">
        <f>IF(AND(WSMTK!$Q$69&gt;=91.5,WSMTK!$Q$69&lt;=100),"P","")</f>
        <v>P</v>
      </c>
      <c r="NR15" t="str">
        <f>IF(WSMTK!$Q$87&lt;74.9,"P","")</f>
        <v/>
      </c>
      <c r="NS15" s="102" t="str">
        <f>IF(AND(WSMTK!$Q$87&gt;=75,WSMTK!$Q$87&lt;=83.24),"P","")</f>
        <v/>
      </c>
      <c r="NT15" s="102" t="str">
        <f>IF(AND(WSMTK!$Q$87&gt;=83.25,WSMTK!$Q$87&lt;=91.4),"P","")</f>
        <v/>
      </c>
      <c r="NU15" s="102" t="str">
        <f>IF(AND(WSMTK!$Q$87&gt;=91.5,WSMTK!$Q$87&lt;=100),"P","")</f>
        <v>P</v>
      </c>
      <c r="NV15" t="str">
        <f>IF(WSMTK!$Q$99&lt;74.9,"P","")</f>
        <v/>
      </c>
      <c r="NW15" s="102" t="str">
        <f>IF(AND(WSMTK!$Q$99&gt;=75,WSMTK!$Q$99&lt;=83.24),"P","")</f>
        <v/>
      </c>
      <c r="NX15" s="102" t="str">
        <f>IF(AND(WSMTK!$Q$99&gt;=83.25,WSMTK!$Q$99&lt;=91.4),"P","")</f>
        <v/>
      </c>
      <c r="NY15" s="102" t="str">
        <f>IF(AND(WSMTK!$Q$99&gt;=91.5,WSMTK!$Q$99&lt;=100),"P","")</f>
        <v>P</v>
      </c>
      <c r="NZ15" t="str">
        <f>IF(WSMTK!$Q$113&lt;74.9,"P","")</f>
        <v/>
      </c>
      <c r="OA15" s="102" t="str">
        <f>IF(AND(WSMTK!$Q$113&gt;=75,WSMTK!$Q$113&lt;=83.24),"P","")</f>
        <v/>
      </c>
      <c r="OB15" s="102" t="str">
        <f>IF(AND(WSMTK!$Q$113&gt;=83.25,WSMTK!$Q$113&lt;=91.4),"P","")</f>
        <v/>
      </c>
      <c r="OC15" s="102" t="str">
        <f>IF(AND(WSMTK!$Q$113&gt;=91.5,WSMTK!$Q$113&lt;=100),"P","")</f>
        <v>P</v>
      </c>
      <c r="OD15" t="str">
        <f>IF(WSMTK!$Q$145&lt;74.9,"P","")</f>
        <v/>
      </c>
      <c r="OE15" s="102" t="str">
        <f>IF(AND(WSMTK!$Q$145&gt;=75,WSMTK!$Q$145&lt;=83.24),"P","")</f>
        <v/>
      </c>
      <c r="OF15" s="102" t="str">
        <f>IF(AND(WSMTK!$Q$145&gt;=83.25,WSMTK!$Q$145&lt;=91.4),"P","")</f>
        <v/>
      </c>
      <c r="OG15" s="102" t="str">
        <f>IF(AND(WSMTK!$Q$145&gt;=91.5,WSMTK!$Q$145&lt;=100),"P","")</f>
        <v>P</v>
      </c>
      <c r="OH15" t="str">
        <f>IF(WSMTK!$Q$168&lt;74.9,"P","")</f>
        <v/>
      </c>
      <c r="OI15" s="102" t="str">
        <f>IF(AND(WSMTK!$Q$168&gt;=75,WSMTK!$Q$168&lt;=83.24),"P","")</f>
        <v/>
      </c>
      <c r="OJ15" s="102" t="str">
        <f>IF(AND(WSMTK!$Q$168&gt;=83.25,WSMTK!$Q$168&lt;=91.4),"P","")</f>
        <v/>
      </c>
      <c r="OK15" s="102" t="str">
        <f>IF(AND(WSMTK!$Q$168&gt;=91.5,WSMTK!$Q$168&lt;=100),"P","")</f>
        <v/>
      </c>
      <c r="OL15" t="str">
        <f>IF(WSMTK!$Q$176&lt;74.9,"P","")</f>
        <v/>
      </c>
      <c r="OM15" s="102" t="str">
        <f>IF(AND(WSMTK!$Q$176&gt;=75,WSMTK!$Q$176&lt;=83.24),"P","")</f>
        <v/>
      </c>
      <c r="ON15" s="102" t="str">
        <f>IF(AND(WSMTK!$Q$176&gt;=83.25,WSMTK!$Q$176&lt;=91.4),"P","")</f>
        <v/>
      </c>
      <c r="OO15" s="102" t="str">
        <f>IF(AND(WSMTK!$Q$176&gt;=91.5,WSMTK!$Q$176&lt;=100),"P","")</f>
        <v/>
      </c>
      <c r="OP15" t="str">
        <f>IF(WSMTK!$Q$184&lt;74.9,"P","")</f>
        <v/>
      </c>
      <c r="OQ15" s="102" t="str">
        <f>IF(AND(WSMTK!$Q$184&gt;=75,WSMTK!$Q$184&lt;=83.24),"P","")</f>
        <v/>
      </c>
      <c r="OR15" s="102" t="str">
        <f>IF(AND(WSMTK!$Q$184&gt;=83.25,WSMTK!$Q$184&lt;=91.4),"P","")</f>
        <v/>
      </c>
      <c r="OS15" s="102" t="str">
        <f>IF(AND(WSMTK!$Q$184&gt;=91.5,WSMTK!$Q$184&lt;=100),"P","")</f>
        <v/>
      </c>
      <c r="OT15" t="str">
        <f>IF(WSMTK!$Q$192&lt;74.9,"P","")</f>
        <v/>
      </c>
      <c r="OU15" s="102" t="str">
        <f>IF(AND(WSMTK!$Q$192&gt;=75,WSMTK!$Q$192&lt;=83.24),"P","")</f>
        <v/>
      </c>
      <c r="OV15" s="102" t="str">
        <f>IF(AND(WSMTK!$Q$192&gt;=83.25,WSMTK!$Q$192&lt;=91.4),"P","")</f>
        <v/>
      </c>
      <c r="OW15" s="102" t="str">
        <f>IF(AND(WSMTK!$Q$192&gt;=91.5,WSMTK!$Q$192&lt;=100),"P","")</f>
        <v/>
      </c>
      <c r="OX15" t="str">
        <f>IF(WSMTK!$Q$200&lt;74.9,"P","")</f>
        <v/>
      </c>
      <c r="OY15" s="102" t="str">
        <f>IF(AND(WSMTK!$Q$200&gt;=75,WSMTK!$Q$200&lt;=83.24),"P","")</f>
        <v/>
      </c>
      <c r="OZ15" s="102" t="str">
        <f>IF(AND(WSMTK!$Q$200&gt;=83.25,WSMTK!$Q$200&lt;=91.4),"P","")</f>
        <v/>
      </c>
      <c r="PA15" s="102" t="str">
        <f>IF(AND(WSMTK!$Q$200&gt;=91.5,WSMTK!$Q$200&lt;=100),"P","")</f>
        <v/>
      </c>
      <c r="PB15" t="str">
        <f>IF(WSIPA!$Q$6&lt;74.9,"P","")</f>
        <v/>
      </c>
      <c r="PC15" s="102" t="str">
        <f>IF(AND(WSIPA!$Q$6&gt;=75,WSIPA!$Q$6&lt;=83.24),"P","")</f>
        <v/>
      </c>
      <c r="PD15" s="102" t="str">
        <f>IF(AND(WSIPA!$Q$6&gt;=83.25,WSIPA!$Q$6&lt;=91.4),"P","")</f>
        <v/>
      </c>
      <c r="PE15" s="102" t="str">
        <f>IF(AND(WSIPA!$Q$6&gt;=91.5,WSIPA!$Q$6&lt;=100),"P","")</f>
        <v/>
      </c>
      <c r="PF15" t="str">
        <f>IF(WSIPA!$Q$14&lt;74.9,"P","")</f>
        <v/>
      </c>
      <c r="PG15" s="102" t="str">
        <f>IF(AND(WSIPA!$Q$14&gt;=75,WSIPA!$Q$14&lt;=83.24),"P","")</f>
        <v/>
      </c>
      <c r="PH15" s="102" t="str">
        <f>IF(AND(WSIPA!$Q$14&gt;=83.25,WSIPA!$Q$14&lt;=91.4),"P","")</f>
        <v/>
      </c>
      <c r="PI15" s="102" t="str">
        <f>IF(AND(WSIPA!$Q$14&gt;=91.5,WSIPA!$Q$14&lt;=100),"P","")</f>
        <v/>
      </c>
      <c r="PJ15" t="str">
        <f>IF(WSIPA!$Q$22&lt;74.9,"P","")</f>
        <v/>
      </c>
      <c r="PK15" s="102" t="str">
        <f>IF(AND(WSIPA!$Q$22&gt;=75,WSIPA!$Q$22&lt;=83.24),"P","")</f>
        <v/>
      </c>
      <c r="PL15" s="102" t="str">
        <f>IF(AND(WSIPA!$Q$22&gt;=83.25,WSIPA!$Q$22&lt;=91.4),"P","")</f>
        <v/>
      </c>
      <c r="PM15" s="102" t="str">
        <f>IF(AND(WSIPA!$Q$22&gt;=91.5,WSIPA!$Q$22&lt;=100),"P","")</f>
        <v/>
      </c>
      <c r="PN15" t="str">
        <f>IF(WSIPA!$Q$30&lt;74.9,"P","")</f>
        <v/>
      </c>
      <c r="PO15" s="102" t="str">
        <f>IF(AND(WSIPA!$Q$30&gt;=75,WSIPA!$Q$30&lt;=83.24),"P","")</f>
        <v/>
      </c>
      <c r="PP15" s="102" t="str">
        <f>IF(AND(WSIPA!$Q$30&gt;=83.25,WSIPA!$Q$30&lt;=91.4),"P","")</f>
        <v/>
      </c>
      <c r="PQ15" s="102" t="str">
        <f>IF(AND(WSIPA!$Q$30&gt;=91.5,WSIPA!$Q$30&lt;=100),"P","")</f>
        <v/>
      </c>
      <c r="PR15" t="str">
        <f>IF(WSIPA!$Q$38&lt;74.9,"P","")</f>
        <v/>
      </c>
      <c r="PS15" s="102" t="str">
        <f>IF(AND(WSIPA!$Q$38&gt;=75,WSIPA!$Q$38&lt;=83.24),"P","")</f>
        <v/>
      </c>
      <c r="PT15" s="102" t="str">
        <f>IF(AND(WSIPA!$Q$38&gt;=83.25,WSIPA!$Q$38&lt;=91.4),"P","")</f>
        <v/>
      </c>
      <c r="PU15" s="102" t="str">
        <f>IF(AND(WSIPA!$Q$38&gt;=91.5,WSIPA!$Q$38&lt;=100),"P","")</f>
        <v/>
      </c>
      <c r="PV15" t="str">
        <f>IF(WSIPA!$Q$46&lt;74.9,"P","")</f>
        <v/>
      </c>
      <c r="PW15" s="102" t="str">
        <f>IF(AND(WSIPA!$Q$46&gt;=75,WSIPA!$Q$46&lt;=83.24),"P","")</f>
        <v/>
      </c>
      <c r="PX15" s="102" t="str">
        <f>IF(AND(WSIPA!$Q$46&gt;=83.25,WSIPA!$Q$46&lt;=91.4),"P","")</f>
        <v/>
      </c>
      <c r="PY15" s="102" t="str">
        <f>IF(AND(WSIPA!$Q$46&gt;=91.5,WSIPA!$Q$46&lt;=100),"P","")</f>
        <v/>
      </c>
      <c r="PZ15" t="str">
        <f>IF(WSIPA!$Q$54&lt;74.9,"P","")</f>
        <v/>
      </c>
      <c r="QA15" s="102" t="str">
        <f>IF(AND(WSIPA!$Q$54&gt;=75,WSIPA!$Q$54&lt;=83.24),"P","")</f>
        <v/>
      </c>
      <c r="QB15" s="102" t="str">
        <f>IF(AND(WSIPA!$Q$54&gt;=83.25,WSIPA!$Q$54&lt;=91.4),"P","")</f>
        <v/>
      </c>
      <c r="QC15" s="102" t="str">
        <f>IF(AND(WSIPA!$Q$54&gt;=91.5,WSIPA!$Q$54&lt;=100),"P","")</f>
        <v/>
      </c>
      <c r="QD15" t="str">
        <f>IF(WSIPA!$Q$62&lt;74.9,"P","")</f>
        <v/>
      </c>
      <c r="QE15" s="102" t="str">
        <f>IF(AND(WSIPA!$Q$62&gt;=75,WSIPA!$Q$62&lt;=83.24),"P","")</f>
        <v/>
      </c>
      <c r="QF15" s="102" t="str">
        <f>IF(AND(WSIPA!$Q$62&gt;=83.25,WSIPA!$Q$62&lt;=91.4),"P","")</f>
        <v/>
      </c>
      <c r="QG15" s="102" t="str">
        <f>IF(AND(WSIPA!$Q$62&gt;=91.5,WSIPA!$Q$62&lt;=100),"P","")</f>
        <v/>
      </c>
      <c r="QH15" t="str">
        <f>IF(WSIPA!$Q$70&lt;74.9,"P","")</f>
        <v/>
      </c>
      <c r="QI15" s="102" t="str">
        <f>IF(AND(WSIPA!$Q$70&gt;=75,WSIPA!$Q$70&lt;=83.24),"P","")</f>
        <v/>
      </c>
      <c r="QJ15" s="102" t="str">
        <f>IF(AND(WSIPA!$Q$70&gt;=83.25,WSIPA!$Q$70&lt;=91.4),"P","")</f>
        <v/>
      </c>
      <c r="QK15" s="102" t="str">
        <f>IF(AND(WSIPA!$Q$70&gt;=91.5,WSIPA!$Q$70&lt;=100),"P","")</f>
        <v/>
      </c>
      <c r="QL15" t="str">
        <f>IF(WSIPA!$Q$78&lt;74.9,"P","")</f>
        <v/>
      </c>
      <c r="QM15" s="102" t="str">
        <f>IF(AND(WSIPA!$Q$78&gt;=75,WSIPA!$Q$78&lt;=83.24),"P","")</f>
        <v/>
      </c>
      <c r="QN15" s="102" t="str">
        <f>IF(AND(WSIPA!$Q$78&gt;=83.25,WSIPA!$Q$78&lt;=91.4),"P","")</f>
        <v/>
      </c>
      <c r="QO15" s="102" t="str">
        <f>IF(AND(WSIPA!$Q$78&gt;=91.5,WSIPA!$Q$78&lt;=100),"P","")</f>
        <v/>
      </c>
      <c r="QP15" t="str">
        <f>IF(WSIPA!$Q$86&lt;74.9,"P","")</f>
        <v/>
      </c>
      <c r="QQ15" s="102" t="str">
        <f>IF(AND(WSIPA!$Q$86&gt;=75,WSIPA!$Q$86&lt;=83.24),"P","")</f>
        <v/>
      </c>
      <c r="QR15" s="102" t="str">
        <f>IF(AND(WSIPA!$Q$86&gt;=83.25,WSIPA!$Q$86&lt;=91.4),"P","")</f>
        <v/>
      </c>
      <c r="QS15" s="102" t="str">
        <f>IF(AND(WSIPA!$Q$86&gt;=91.5,WSIPA!$Q$86&lt;=100),"P","")</f>
        <v/>
      </c>
      <c r="QT15" t="str">
        <f>IF(WSIPA!$Q$94&lt;74.9,"P","")</f>
        <v/>
      </c>
      <c r="QU15" s="102" t="str">
        <f>IF(AND(WSIPA!$Q$94&gt;=75,WSIPA!$Q$94&lt;=83.24),"P","")</f>
        <v/>
      </c>
      <c r="QV15" s="102" t="str">
        <f>IF(AND(WSIPA!$Q$94&gt;=83.25,WSIPA!$Q$94&lt;=91.4),"P","")</f>
        <v/>
      </c>
      <c r="QW15" s="102" t="str">
        <f>IF(AND(WSIPA!$Q$94&gt;=91.5,WSIPA!$Q$94&lt;=100),"P","")</f>
        <v/>
      </c>
      <c r="QX15" t="str">
        <f>IF(WSIPA!$Q$102&lt;74.9,"P","")</f>
        <v/>
      </c>
      <c r="QY15" s="102" t="str">
        <f>IF(AND(WSIPA!$Q$102&gt;=75,WSIPA!$Q$102&lt;=83.24),"P","")</f>
        <v/>
      </c>
      <c r="QZ15" s="102" t="str">
        <f>IF(AND(WSIPA!$Q$102&gt;=83.25,WSIPA!$Q$102&lt;=91.4),"P","")</f>
        <v/>
      </c>
      <c r="RA15" s="102" t="str">
        <f>IF(AND(WSIPA!$Q$102&gt;=91.5,WSIPA!$Q$102&lt;=100),"P","")</f>
        <v/>
      </c>
      <c r="RB15" t="str">
        <f>IF(WSIPS!$Q$6&lt;74.9,"P","")</f>
        <v/>
      </c>
      <c r="RC15" s="102" t="str">
        <f>IF(AND(WSIPS!$Q$6&gt;=75,WSIPS!$Q$6&lt;=83.24),"P","")</f>
        <v/>
      </c>
      <c r="RD15" s="102" t="str">
        <f>IF(AND(WSIPS!$Q$6&gt;=83.25,WSIPS!$Q$6&lt;=91.4),"P","")</f>
        <v/>
      </c>
      <c r="RE15" s="102" t="str">
        <f>IF(AND(WSIPS!$Q$6&gt;=91.5,WSIPS!$Q$6&lt;=100),"P","")</f>
        <v/>
      </c>
      <c r="RF15" t="str">
        <f>IF(WSIPS!$Q$14&lt;74.9,"P","")</f>
        <v/>
      </c>
      <c r="RG15" s="102" t="str">
        <f>IF(AND(WSIPS!$Q$14&gt;=75,WSIPS!$Q$14&lt;=83.24),"P","")</f>
        <v/>
      </c>
      <c r="RH15" s="102" t="str">
        <f>IF(AND(WSIPS!$Q$14&gt;=83.25,WSIPS!$Q$14&lt;=91.4),"P","")</f>
        <v/>
      </c>
      <c r="RI15" s="102" t="str">
        <f>IF(AND(WSIPS!$Q$14&gt;=91.5,WSIPS!$Q$14&lt;=100),"P","")</f>
        <v/>
      </c>
      <c r="RJ15" t="str">
        <f>IF(WSIPS!$Q$22&lt;74.9,"P","")</f>
        <v/>
      </c>
      <c r="RK15" s="102" t="str">
        <f>IF(AND(WSIPS!$Q$22&gt;=75,WSIPS!$Q$22&lt;=83.24),"P","")</f>
        <v/>
      </c>
      <c r="RL15" s="102" t="str">
        <f>IF(AND(WSIPS!$Q$22&gt;=83.25,WSIPS!$Q$22&lt;=91.4),"P","")</f>
        <v/>
      </c>
      <c r="RM15" s="102" t="str">
        <f>IF(AND(WSIPS!$Q$22&gt;=91.5,WSIPS!$Q$22&lt;=100),"P","")</f>
        <v/>
      </c>
      <c r="RN15" t="str">
        <f>IF(WSIPS!$Q$30&lt;74.9,"P","")</f>
        <v/>
      </c>
      <c r="RO15" s="102" t="str">
        <f>IF(AND(WSIPS!$Q$30&gt;=75,WSIPS!$Q$30&lt;=83.24),"P","")</f>
        <v/>
      </c>
      <c r="RP15" s="102" t="str">
        <f>IF(AND(WSIPS!$Q$30&gt;=83.25,WSIPS!$Q$30&lt;=91.4),"P","")</f>
        <v/>
      </c>
      <c r="RQ15" s="102" t="str">
        <f>IF(AND(WSIPS!$Q$30&gt;=91.5,WSIPS!$Q$30&lt;=100),"P","")</f>
        <v/>
      </c>
      <c r="RR15" t="str">
        <f>IF(WSIPS!$Q$38&lt;74.9,"P","")</f>
        <v/>
      </c>
      <c r="RS15" s="102" t="str">
        <f>IF(AND(WSIPS!$Q$38&gt;=75,WSIPS!$Q$38&lt;=83.24),"P","")</f>
        <v/>
      </c>
      <c r="RT15" s="102" t="str">
        <f>IF(AND(WSIPS!$Q$38&gt;=83.25,WSIPS!$Q$38&lt;=91.4),"P","")</f>
        <v/>
      </c>
      <c r="RU15" s="102" t="str">
        <f>IF(AND(WSIPS!$Q$38&gt;=91.5,WSIPS!$Q$38&lt;=100),"P","")</f>
        <v/>
      </c>
      <c r="RV15" t="str">
        <f>IF(WSIPS!$Q$46&lt;74.9,"P","")</f>
        <v/>
      </c>
      <c r="RW15" s="102" t="str">
        <f>IF(AND(WSIPS!$Q$46&gt;=75,WSIPS!$Q$46&lt;=83.24),"P","")</f>
        <v/>
      </c>
      <c r="RX15" s="102" t="str">
        <f>IF(AND(WSIPS!$Q$46&gt;=83.25,WSIPS!$Q$46&lt;=91.4),"P","")</f>
        <v/>
      </c>
      <c r="RY15" s="102" t="str">
        <f>IF(AND(WSIPS!$Q$46&gt;=91.5,WSIPS!$Q$46&lt;=100),"P","")</f>
        <v/>
      </c>
      <c r="RZ15" t="str">
        <f>IF(WSIPS!$Q$54&lt;74.9,"P","")</f>
        <v/>
      </c>
      <c r="SA15" s="102" t="str">
        <f>IF(AND(WSIPS!$Q$54&gt;=75,WSIPS!$Q$54&lt;=83.24),"P","")</f>
        <v/>
      </c>
      <c r="SB15" s="102" t="str">
        <f>IF(AND(WSIPS!$Q$54&gt;=83.25,WSIPS!$Q$54&lt;=91.4),"P","")</f>
        <v/>
      </c>
      <c r="SC15" s="102" t="str">
        <f>IF(AND(WSIPS!$Q$54&gt;=91.5,WSIPS!$Q$54&lt;=100),"P","")</f>
        <v/>
      </c>
      <c r="SD15" t="str">
        <f>IF(WSIPS!$Q$62&lt;74.9,"P","")</f>
        <v/>
      </c>
      <c r="SE15" s="102" t="str">
        <f>IF(AND(WSIPS!$Q$62&gt;=75,WSIPS!$Q$62&lt;=83.24),"P","")</f>
        <v/>
      </c>
      <c r="SF15" s="102" t="str">
        <f>IF(AND(WSIPS!$Q$62&gt;=83.25,WSIPS!$Q$62&lt;=91.4),"P","")</f>
        <v/>
      </c>
      <c r="SG15" s="102" t="str">
        <f>IF(AND(WSIPS!$Q$62&gt;=91.5,WSIPS!$Q$62&lt;=100),"P","")</f>
        <v/>
      </c>
      <c r="SH15" t="str">
        <f>IF(WSIPS!$Q$70&lt;74.9,"P","")</f>
        <v/>
      </c>
      <c r="SI15" s="102" t="str">
        <f>IF(AND(WSIPS!$Q$70&gt;=75,WSIPS!$Q$70&lt;=83.24),"P","")</f>
        <v/>
      </c>
      <c r="SJ15" s="102" t="str">
        <f>IF(AND(WSIPS!$Q$70&gt;=83.25,WSIPS!$Q$70&lt;=91.4),"P","")</f>
        <v/>
      </c>
      <c r="SK15" s="102" t="str">
        <f>IF(AND(WSIPS!$Q$70&gt;=91.5,WSIPS!$Q$70&lt;=100),"P","")</f>
        <v/>
      </c>
      <c r="SL15" t="str">
        <f>IF(WSIPS!$Q$78&lt;74.9,"P","")</f>
        <v/>
      </c>
      <c r="SM15" s="102" t="str">
        <f>IF(AND(WSIPS!$Q$78&gt;=75,WSIPS!$Q$78&lt;=83.24),"P","")</f>
        <v/>
      </c>
      <c r="SN15" s="102" t="str">
        <f>IF(AND(WSIPS!$Q$78&gt;=83.25,WSIPS!$Q$78&lt;=91.4),"P","")</f>
        <v/>
      </c>
      <c r="SO15" s="102" t="str">
        <f>IF(AND(WSIPS!$Q$78&gt;=91.5,WSIPS!$Q$78&lt;=100),"P","")</f>
        <v/>
      </c>
      <c r="SP15" t="str">
        <f>IF(WSIPS!$Q$86&lt;74.9,"P","")</f>
        <v/>
      </c>
      <c r="SQ15" s="102" t="str">
        <f>IF(AND(WSIPS!$Q$86&gt;=75,WSIPS!$Q$86&lt;=83.24),"P","")</f>
        <v/>
      </c>
      <c r="SR15" s="102" t="str">
        <f>IF(AND(WSIPS!$Q$86&gt;=83.25,WSIPS!$Q$86&lt;=91.4),"P","")</f>
        <v/>
      </c>
      <c r="SS15" s="102" t="str">
        <f>IF(AND(WSIPS!$Q$86&gt;=91.5,WSIPS!$Q$86&lt;=100),"P","")</f>
        <v/>
      </c>
      <c r="ST15" t="str">
        <f>IF(WSIPS!$Q$94&lt;74.9,"P","")</f>
        <v/>
      </c>
      <c r="SU15" s="102" t="str">
        <f>IF(AND(WSIPS!$Q$94&gt;=75,WSIPS!$Q$94&lt;=83.24),"P","")</f>
        <v/>
      </c>
      <c r="SV15" s="102" t="str">
        <f>IF(AND(WSIPS!$Q$94&gt;=83.25,WSIPS!$Q$94&lt;=91.4),"P","")</f>
        <v/>
      </c>
      <c r="SW15" s="102" t="str">
        <f>IF(AND(WSIPS!$Q$94&gt;=91.5,WSIPS!$Q$94&lt;=100),"P","")</f>
        <v/>
      </c>
      <c r="SX15" t="str">
        <f>IF(WSIPS!$Q$102&lt;74.9,"P","")</f>
        <v/>
      </c>
      <c r="SY15" s="102" t="str">
        <f>IF(AND(WSIPS!$Q$102&gt;=75,WSIPS!$Q$102&lt;=83.24),"P","")</f>
        <v/>
      </c>
      <c r="SZ15" s="102" t="str">
        <f>IF(AND(WSIPS!$Q$102&gt;=83.25,WSIPS!$Q$102&lt;=91.4),"P","")</f>
        <v/>
      </c>
      <c r="TA15" s="102" t="str">
        <f>IF(AND(WSIPS!$Q$102&gt;=91.5,WSIPS!$Q$102&lt;=100),"P","")</f>
        <v/>
      </c>
      <c r="TB15" t="str">
        <f>IF(WSSBK!$Q$6&lt;74.9,"P","")</f>
        <v/>
      </c>
      <c r="TC15" s="102" t="str">
        <f>IF(AND(WSSBK!$Q$6&gt;=75,WSSBK!$Q$6&lt;=83.24),"P","")</f>
        <v/>
      </c>
      <c r="TD15" s="102" t="str">
        <f>IF(AND(WSSBK!$Q$6&gt;=83.25,WSSBK!$Q$6&lt;=91.4),"P","")</f>
        <v/>
      </c>
      <c r="TE15" s="102" t="str">
        <f>IF(AND(WSSBK!$Q$6&gt;=91.5,WSSBK!$Q$6&lt;=100),"P","")</f>
        <v>P</v>
      </c>
      <c r="TF15" t="str">
        <f>IF(WSSBK!$Q$16&lt;74.9,"P","")</f>
        <v/>
      </c>
      <c r="TG15" s="102" t="str">
        <f>IF(AND(WSSBK!$Q$16&gt;=75,WSSBK!$Q$16&lt;=83.24),"P","")</f>
        <v/>
      </c>
      <c r="TH15" s="102" t="str">
        <f>IF(AND(WSSBK!$Q$16&gt;=83.25,WSSBK!$Q$16&lt;=91.4),"P","")</f>
        <v/>
      </c>
      <c r="TI15" s="102" t="str">
        <f>IF(AND(WSSBK!$Q$16&gt;=91.5,WSSBK!$Q$16&lt;=100),"P","")</f>
        <v>P</v>
      </c>
      <c r="TJ15" t="str">
        <f>IF(WSSBK!$Q$26&lt;74.9,"P","")</f>
        <v/>
      </c>
      <c r="TK15" s="102" t="str">
        <f>IF(AND(WSSBK!$Q$26&gt;=75,WSSBK!$Q$26&lt;=83.24),"P","")</f>
        <v/>
      </c>
      <c r="TL15" s="102" t="str">
        <f>IF(AND(WSSBK!$Q$26&gt;=83.25,WSSBK!$Q$26&lt;=91.4),"P","")</f>
        <v/>
      </c>
      <c r="TM15" s="102" t="str">
        <f>IF(AND(WSSBK!$Q$26&gt;=91.5,WSSBK!$Q$26&lt;=100),"P","")</f>
        <v>P</v>
      </c>
      <c r="TN15" t="str">
        <f>IF(WSSBK!$Q$36&lt;74.9,"P","")</f>
        <v/>
      </c>
      <c r="TO15" s="102" t="str">
        <f>IF(AND(WSSBK!$Q$36&gt;=75,WSSBK!$Q$36&lt;=83.24),"P","")</f>
        <v/>
      </c>
      <c r="TP15" s="102" t="str">
        <f>IF(AND(WSSBK!$Q$36&gt;=83.25,WSSBK!$Q$36&lt;=91.4),"P","")</f>
        <v/>
      </c>
      <c r="TQ15" s="102" t="str">
        <f>IF(AND(WSSBK!$Q$36&gt;=91.5,WSSBK!$Q$36&lt;=100),"P","")</f>
        <v>P</v>
      </c>
      <c r="TR15" t="str">
        <f>IF(WSSBK!$Q$46&lt;74.9,"P","")</f>
        <v/>
      </c>
      <c r="TS15" s="102" t="str">
        <f>IF(AND(WSSBK!$Q$46&gt;=75,WSSBK!$Q$46&lt;=83.24),"P","")</f>
        <v/>
      </c>
      <c r="TT15" s="102" t="str">
        <f>IF(AND(WSSBK!$Q$46&gt;=83.25,WSSBK!$Q$46&lt;=91.4),"P","")</f>
        <v/>
      </c>
      <c r="TU15" s="102" t="str">
        <f>IF(AND(WSSBK!$Q$46&gt;=91.5,WSSBK!$Q$46&lt;=100),"P","")</f>
        <v>P</v>
      </c>
      <c r="TV15" t="str">
        <f>IF(WSSBK!$Q$58&lt;74.9,"P","")</f>
        <v/>
      </c>
      <c r="TW15" s="102" t="str">
        <f>IF(AND(WSSBK!$Q$58&gt;=75,WSSBK!$Q$58&lt;=83.24),"P","")</f>
        <v/>
      </c>
      <c r="TX15" s="102" t="str">
        <f>IF(AND(WSSBK!$Q$58&gt;=83.25,WSSBK!$Q$58&lt;=91.4),"P","")</f>
        <v/>
      </c>
      <c r="TY15" s="102" t="str">
        <f>IF(AND(WSSBK!$Q$58&gt;=91.5,WSSBK!$Q$58&lt;=100),"P","")</f>
        <v>P</v>
      </c>
      <c r="TZ15" t="str">
        <f>IF(WSSBK!$Q$68&lt;74.9,"P","")</f>
        <v/>
      </c>
      <c r="UA15" s="102" t="str">
        <f>IF(AND(WSSBK!$Q$68&gt;=75,WSSBK!$Q$68&lt;=83.24),"P","")</f>
        <v/>
      </c>
      <c r="UB15" s="102" t="str">
        <f>IF(AND(WSSBK!$Q$68&gt;=83.25,WSSBK!$Q$68&lt;=91.4),"P","")</f>
        <v/>
      </c>
      <c r="UC15" s="102" t="str">
        <f>IF(AND(WSSBK!$Q$68&gt;=91.5,WSSBK!$Q$68&lt;=100),"P","")</f>
        <v>P</v>
      </c>
      <c r="UD15" t="str">
        <f>IF(WSSBK!$Q$77&lt;74.9,"P","")</f>
        <v/>
      </c>
      <c r="UE15" s="102" t="str">
        <f>IF(AND(WSSBK!$Q$77&gt;=75,WSSBK!$Q$77&lt;=83.24),"P","")</f>
        <v/>
      </c>
      <c r="UF15" s="102" t="str">
        <f>IF(AND(WSSBK!$Q$77&gt;=83.25,WSSBK!$Q$77&lt;=91.4),"P","")</f>
        <v/>
      </c>
      <c r="UG15" s="102" t="str">
        <f>IF(AND(WSSBK!$Q$77&gt;=91.5,WSSBK!$Q$77&lt;=100),"P","")</f>
        <v>P</v>
      </c>
      <c r="UH15" t="str">
        <f>IF(WSSBK!$Q$87&lt;74.9,"P","")</f>
        <v/>
      </c>
      <c r="UI15" s="102" t="str">
        <f>IF(AND(WSSBK!$Q$87&gt;=75,WSSBK!$Q$87&lt;=83.24),"P","")</f>
        <v/>
      </c>
      <c r="UJ15" s="102" t="str">
        <f>IF(AND(WSSBK!$Q$87&gt;=83.25,WSSBK!$Q$87&lt;=91.4),"P","")</f>
        <v/>
      </c>
      <c r="UK15" s="102" t="str">
        <f>IF(AND(WSSBK!$Q$87&gt;=91.5,WSSBK!$Q$87&lt;=100),"P","")</f>
        <v/>
      </c>
      <c r="UL15" t="str">
        <f>IF(WSSBK!$Q$95&lt;74.9,"P","")</f>
        <v/>
      </c>
      <c r="UM15" s="102" t="str">
        <f>IF(AND(WSSBK!$Q$95&gt;=75,WSSBK!$Q$95&lt;=83.24),"P","")</f>
        <v/>
      </c>
      <c r="UN15" s="102" t="str">
        <f>IF(AND(WSSBK!$Q$95&gt;=83.25,WSSBK!$Q$95&lt;=91.4),"P","")</f>
        <v/>
      </c>
      <c r="UO15" s="102" t="str">
        <f>IF(AND(WSSBK!$Q$95&gt;=91.5,WSSBK!$Q$95&lt;=100),"P","")</f>
        <v/>
      </c>
      <c r="UP15" t="str">
        <f>IF(WSSBK!$Q$103&lt;74.9,"P","")</f>
        <v/>
      </c>
      <c r="UQ15" s="102" t="str">
        <f>IF(AND(WSSBK!$Q$103&gt;=75,WSSBK!$Q$103&lt;=83.24),"P","")</f>
        <v/>
      </c>
      <c r="UR15" s="102" t="str">
        <f>IF(AND(WSSBK!$Q$103&gt;=83.25,WSSBK!$Q$103&lt;=91.4),"P","")</f>
        <v/>
      </c>
      <c r="US15" s="102" t="str">
        <f>IF(AND(WSSBK!$Q$103&gt;=91.5,WSSBK!$Q$103&lt;=100),"P","")</f>
        <v/>
      </c>
      <c r="UT15" t="str">
        <f>IF(WSSBK!$Q$111&lt;74.9,"P","")</f>
        <v/>
      </c>
      <c r="UU15" s="102" t="str">
        <f>IF(AND(WSSBK!$Q$111&gt;=75,WSSBK!$Q$111&lt;=83.24),"P","")</f>
        <v/>
      </c>
      <c r="UV15" s="102" t="str">
        <f>IF(AND(WSSBK!$Q$111&gt;=83.25,WSSBK!$Q$111&lt;=91.4),"P","")</f>
        <v/>
      </c>
      <c r="UW15" s="102" t="str">
        <f>IF(AND(WSSBK!$Q$111&gt;=91.5,WSSBK!$Q$111&lt;=100),"P","")</f>
        <v/>
      </c>
      <c r="UX15" t="str">
        <f>IF(WSSBK!$Q$119&lt;74.9,"P","")</f>
        <v/>
      </c>
      <c r="UY15" s="102" t="str">
        <f>IF(AND(WSSBK!$Q$119&gt;=75,WSSBK!$Q$119&lt;=83.24),"P","")</f>
        <v/>
      </c>
      <c r="UZ15" s="102" t="str">
        <f>IF(AND(WSSBK!$Q$119&gt;=83.25,WSSBK!$Q$119&lt;=91.4),"P","")</f>
        <v/>
      </c>
      <c r="VA15" s="102" t="str">
        <f>IF(AND(WSSBK!$Q$119&gt;=91.5,WSSBK!$Q$119&lt;=100),"P","")</f>
        <v/>
      </c>
      <c r="VB15" s="102" t="str">
        <f>IF(AND(WSPENJAS!$Q$6&gt;0,WSPENJAS!$Q$6&lt;=74.9),"P","")</f>
        <v/>
      </c>
      <c r="VC15" s="102" t="str">
        <f>IF(AND(WSPENJAS!$Q$6&gt;=75,WSPENJAS!$Q$6&lt;=83.24),"P","")</f>
        <v/>
      </c>
      <c r="VD15" s="102" t="str">
        <f>IF(AND(WSPENJAS!$Q$6&gt;=83.25,WSPENJAS!$Q$6&lt;=91.4),"P","")</f>
        <v>P</v>
      </c>
      <c r="VE15" s="102" t="str">
        <f>IF(AND(WSPENJAS!$Q$6&gt;=91.5,WSPENJAS!$Q$6&lt;=100),"P","")</f>
        <v/>
      </c>
      <c r="VF15" s="102" t="str">
        <f>IF(AND(WSPENJAS!$Q$7&gt;0,WSPENJAS!$Q$7&lt;=74.9),"P","")</f>
        <v/>
      </c>
      <c r="VG15" s="102" t="str">
        <f>IF(AND(WSPENJAS!$Q$7&gt;=75,WSPENJAS!$Q$7&lt;=83.24),"P","")</f>
        <v/>
      </c>
      <c r="VH15" s="102" t="str">
        <f>IF(AND(WSPENJAS!$Q$7&gt;=83.25,WSPENJAS!$Q$7&lt;=91.4),"P","")</f>
        <v>P</v>
      </c>
      <c r="VI15" s="102" t="str">
        <f>IF(AND(WSPENJAS!$Q$7&gt;=91.5,WSPENJAS!$Q$7&lt;=100),"P","")</f>
        <v/>
      </c>
      <c r="VJ15" s="102" t="str">
        <f>IF(AND(WSPENJAS!$Q$8&gt;0,WSPENJAS!$Q$8&lt;=74.9),"P","")</f>
        <v/>
      </c>
      <c r="VK15" s="102" t="str">
        <f>IF(AND(WSPENJAS!$Q$8&gt;=75,WSPENJAS!$Q$8&lt;=83.24),"P","")</f>
        <v/>
      </c>
      <c r="VL15" s="102" t="str">
        <f>IF(AND(WSPENJAS!$Q$8&gt;=83.25,WSPENJAS!$Q$8&lt;=91.4),"P","")</f>
        <v>P</v>
      </c>
      <c r="VM15" s="102" t="str">
        <f>IF(AND(WSPENJAS!$Q$8&gt;=91.5,WSPENJAS!$Q$8&lt;=100),"P","")</f>
        <v/>
      </c>
      <c r="VN15" s="102" t="str">
        <f>IF(AND(WSPENJAS!$Q$9&gt;0,WSPENJAS!$Q$9&lt;=74.9),"P","")</f>
        <v/>
      </c>
      <c r="VO15" s="102" t="str">
        <f>IF(AND(WSPENJAS!$Q$9&gt;=75,WSPENJAS!$Q$9&lt;=83.24),"P","")</f>
        <v/>
      </c>
      <c r="VP15" s="102" t="str">
        <f>IF(AND(WSPENJAS!$Q$9&gt;=83.25,WSPENJAS!$Q$9&lt;=91.4),"P","")</f>
        <v>P</v>
      </c>
      <c r="VQ15" s="102" t="str">
        <f>IF(AND(WSPENJAS!$Q$9&gt;=91.5,WSPENJAS!$Q$9&lt;=100),"P","")</f>
        <v/>
      </c>
      <c r="VR15" s="102" t="str">
        <f>IF(AND(WSPENJAS!$Q$10&gt;0,WSPENJAS!$Q$10&lt;=74.9),"P","")</f>
        <v/>
      </c>
      <c r="VS15" s="102" t="str">
        <f>IF(AND(WSPENJAS!$Q$10&gt;=75,WSPENJAS!$Q$10&lt;=83.24),"P","")</f>
        <v/>
      </c>
      <c r="VT15" s="102" t="str">
        <f>IF(AND(WSPENJAS!$Q$10&gt;=83.25,WSPENJAS!$Q$10&lt;=91.4),"P","")</f>
        <v>P</v>
      </c>
      <c r="VU15" s="102" t="str">
        <f>IF(AND(WSPENJAS!$Q$10&gt;=91.5,WSPENJAS!$Q$10&lt;=100),"P","")</f>
        <v/>
      </c>
      <c r="VV15" s="102" t="str">
        <f>IF(AND(WSPENJAS!$Q$11&gt;0,WSPENJAS!$Q$11&lt;=74.9),"P","")</f>
        <v/>
      </c>
      <c r="VW15" s="102" t="str">
        <f>IF(AND(WSPENJAS!$Q$411&gt;=75,WSPENJAS!$Q$411&lt;=83.24),"P","")</f>
        <v/>
      </c>
      <c r="VX15" s="102" t="str">
        <f>IF(AND(WSPENJAS!$Q$411&gt;=83.25,WSPENJAS!$Q$411&lt;=91.4),"P","")</f>
        <v/>
      </c>
      <c r="VY15" s="102" t="str">
        <f>IF(AND(WSPENJAS!$Q$411&gt;=91.5,WSPENJAS!$Q$411&lt;=100),"P","")</f>
        <v/>
      </c>
      <c r="VZ15" s="102" t="str">
        <f>IF(AND(WSPENJAS!$Q$12&gt;0,WSPENJAS!$Q$12&lt;=74.9),"P","")</f>
        <v/>
      </c>
      <c r="WA15" s="102" t="str">
        <f>IF(AND(WSPENJAS!$Q$12&gt;=75,WSPENJAS!$Q$12&lt;=83.24),"P","")</f>
        <v/>
      </c>
      <c r="WB15" s="102" t="str">
        <f>IF(AND(WSPENJAS!$Q$12&gt;=83.25,WSPENJAS!$Q$12&lt;=91.4),"P","")</f>
        <v>P</v>
      </c>
      <c r="WC15" s="102" t="str">
        <f>IF(AND(WSPENJAS!$Q$12&gt;=91.5,WSPENJAS!$Q$12&lt;=100),"P","")</f>
        <v/>
      </c>
      <c r="WD15" s="102" t="str">
        <f>IF(AND(WSPENJAS!$Q$13&gt;0,WSPENJAS!$Q$13&lt;=74.9),"P","")</f>
        <v/>
      </c>
      <c r="WE15" s="102" t="str">
        <f>IF(AND(WSPENJAS!$Q$13&gt;=75,WSPENJAS!$Q$13&lt;=83.24),"P","")</f>
        <v/>
      </c>
      <c r="WF15" s="102" t="str">
        <f>IF(AND(WSPENJAS!$Q$13&gt;=83.25,WSPENJAS!$Q$13&lt;=91.4),"P","")</f>
        <v>P</v>
      </c>
      <c r="WG15" s="102" t="str">
        <f>IF(AND(WSPENJAS!$Q$13&gt;=91.5,WSPENJAS!$Q$13&lt;=100),"P","")</f>
        <v/>
      </c>
      <c r="WH15" s="102" t="str">
        <f>IF(AND(WSPENJAS!$Q$14&gt;0,WSPENJAS!$Q$14&lt;=74.9),"P","")</f>
        <v/>
      </c>
      <c r="WI15" s="102" t="str">
        <f>IF(AND(WSPENJAS!$Q$14&gt;=75,WSPENJAS!$Q$14&lt;=83.24),"P","")</f>
        <v/>
      </c>
      <c r="WJ15" s="102" t="str">
        <f>IF(AND(WSPENJAS!$Q$14&gt;=83.25,WSPENJAS!$Q$14&lt;=91.4),"P","")</f>
        <v>P</v>
      </c>
      <c r="WK15" s="102" t="str">
        <f>IF(AND(WSPENJAS!$Q$14&gt;=91.5,WSPENJAS!$Q$14&lt;=100),"P","")</f>
        <v/>
      </c>
      <c r="WL15" s="102" t="str">
        <f>IF(AND(WSPENJAS!$Q$15&gt;0,WSPENJAS!$Q$15&lt;=74.9),"P","")</f>
        <v/>
      </c>
      <c r="WM15" s="102" t="str">
        <f>IF(AND(WSPENJAS!$Q$15&gt;=75,WSPENJAS!$Q$15&lt;=83.24),"P","")</f>
        <v/>
      </c>
      <c r="WN15" s="102" t="str">
        <f>IF(AND(WSPENJAS!$Q$15&gt;=83.25,WSPENJAS!$Q$15&lt;=91.4),"P","")</f>
        <v>P</v>
      </c>
      <c r="WO15" s="102" t="str">
        <f>IF(AND(WSPENJAS!$Q$15&gt;=91.5,WSPENJAS!$Q$15&lt;=100),"P","")</f>
        <v/>
      </c>
      <c r="WP15" s="102" t="str">
        <f>IF(AND(WSPENJAS!$Q$16&gt;0,WSPENJAS!$Q$16&lt;=74.9),"P","")</f>
        <v/>
      </c>
      <c r="WQ15" s="102" t="str">
        <f>IF(AND(WSPENJAS!$Q$16&gt;=75,WSPENJAS!$Q$16&lt;=83.24),"P","")</f>
        <v/>
      </c>
      <c r="WR15" s="102" t="str">
        <f>IF(AND(WSPENJAS!$Q$16&gt;=83.25,WSPENJAS!$Q$16&lt;=91.4),"P","")</f>
        <v/>
      </c>
      <c r="WS15" s="102" t="str">
        <f>IF(AND(WSPENJAS!$Q$16&gt;=91.5,WSPENJAS!$Q$16&lt;=100),"P","")</f>
        <v/>
      </c>
      <c r="WT15" s="102" t="str">
        <f>IF(AND(WSPENJAS!$Q$17&gt;0,WSPENJAS!$Q$17&lt;=74.9),"P","")</f>
        <v/>
      </c>
      <c r="WU15" s="102" t="str">
        <f>IF(AND(WSPENJAS!$Q$17&gt;=75,WSPENJAS!$Q$17&lt;=83.24),"P","")</f>
        <v/>
      </c>
      <c r="WV15" s="102" t="str">
        <f>IF(AND(WSPENJAS!$Q$17&gt;=83.25,WSPENJAS!$Q$17&lt;=91.4),"P","")</f>
        <v/>
      </c>
      <c r="WW15" s="102" t="str">
        <f>IF(AND(WSPENJAS!$Q$17&gt;=91.5,WSPENJAS!$Q$17&lt;=100),"P","")</f>
        <v/>
      </c>
      <c r="WX15" s="102" t="str">
        <f>IF(AND(WSPENJAS!$Q$18&gt;0,WSPENJAS!$Q$18&lt;=74.9),"P","")</f>
        <v/>
      </c>
      <c r="WY15" s="102" t="str">
        <f>IF(AND(WSPENJAS!$Q$18&gt;=75,WSPENJAS!$Q$18&lt;=83.24),"P","")</f>
        <v/>
      </c>
      <c r="WZ15" s="102" t="str">
        <f>IF(AND(WSPENJAS!$Q$18&gt;=83.25,WSPENJAS!$Q$18&lt;=91.4),"P","")</f>
        <v/>
      </c>
      <c r="XA15" s="102" t="str">
        <f>IF(AND(WSPENJAS!$Q$18&gt;=91.5,WSPENJAS!$Q$18&lt;=100),"P","")</f>
        <v/>
      </c>
      <c r="XB15" s="102" t="str">
        <f>IF(AND(WSPENJAS!$Q$19&gt;0,WSPENJAS!$Q$19&lt;=74.9),"P","")</f>
        <v/>
      </c>
      <c r="XC15" s="102" t="str">
        <f>IF(AND(WSPENJAS!$Q$19&gt;=75,WSPENJAS!$Q$19&lt;=83.24),"P","")</f>
        <v/>
      </c>
      <c r="XD15" s="102" t="str">
        <f>IF(AND(WSPENJAS!$Q$19&gt;=83.25,WSPENJAS!$Q$19&lt;=91.4),"P","")</f>
        <v/>
      </c>
      <c r="XE15" s="102" t="str">
        <f>IF(AND(WSPENJAS!$Q$19&gt;=91.5,WSPENJAS!$Q$19&lt;=100),"P","")</f>
        <v/>
      </c>
      <c r="XF15" s="102" t="str">
        <f>IF(AND(WSPENJAS!$Q$20&gt;0,WSPENJAS!$Q$20&lt;=74.9),"P","")</f>
        <v/>
      </c>
      <c r="XG15" s="102" t="str">
        <f>IF(AND(WSPENJAS!$Q$20&gt;=75,WSPENJAS!$Q$20&lt;=83.24),"P","")</f>
        <v/>
      </c>
      <c r="XH15" s="102" t="str">
        <f>IF(AND(WSPENJAS!$Q$20&gt;=83.25,WSPENJAS!$Q$20&lt;=91.4),"P","")</f>
        <v/>
      </c>
      <c r="XI15" s="102" t="str">
        <f>IF(AND(WSPENJAS!$Q$20&gt;=91.5,WSPENJAS!$Q$20&lt;=100),"P","")</f>
        <v/>
      </c>
      <c r="XJ15" s="102" t="str">
        <f>IF(AND(WSPENJAS!$Q$21&gt;0,WSPENJAS!$Q$21&lt;=74.9),"P","")</f>
        <v/>
      </c>
      <c r="XK15" s="102" t="str">
        <f>IF(AND(WSPENJAS!$Q$21&gt;=75,WSPENJAS!$Q$21&lt;=83.24),"P","")</f>
        <v/>
      </c>
      <c r="XL15" s="102" t="str">
        <f>IF(AND(WSPENJAS!$Q$21&gt;=83.25,WSPENJAS!$Q$21&lt;=91.4),"P","")</f>
        <v/>
      </c>
      <c r="XM15" s="102" t="str">
        <f>IF(AND(WSPENJAS!$Q$21&gt;=91.5,WSPENJAS!$Q$21&lt;=100),"P","")</f>
        <v/>
      </c>
      <c r="XN15" t="str">
        <f>IF(WSJAWA!$Q$6&lt;74.9,"P","")</f>
        <v/>
      </c>
      <c r="XO15" s="102" t="str">
        <f>IF(AND(WSJAWA!$Q$6&gt;=75,WSJAWA!$Q$6&lt;=83.24),"P","")</f>
        <v/>
      </c>
      <c r="XP15" s="102" t="str">
        <f>IF(AND(WSJAWA!$Q$6&gt;=83.25,WSJAWA!$Q$6&lt;=91.4),"P","")</f>
        <v/>
      </c>
      <c r="XQ15" s="102" t="str">
        <f>IF(AND(WSJAWA!$Q$6&gt;=91.5,WSJAWA!$Q$6&lt;=100),"P","")</f>
        <v>P</v>
      </c>
      <c r="XR15" t="str">
        <f>IF(WSJAWA!$Q$14&lt;74.9,"P","")</f>
        <v/>
      </c>
      <c r="XS15" s="102" t="str">
        <f>IF(AND(WSJAWA!$Q$14&gt;=75,WSJAWA!$Q$14&lt;=83.24),"P","")</f>
        <v/>
      </c>
      <c r="XT15" s="102" t="str">
        <f>IF(AND(WSJAWA!$Q$14&gt;=83.25,WSJAWA!$Q$14&lt;=91.4),"P","")</f>
        <v/>
      </c>
      <c r="XU15" s="102" t="str">
        <f>IF(AND(WSJAWA!$Q$14&gt;=91.5,WSJAWA!$Q$14&lt;=100),"P","")</f>
        <v>P</v>
      </c>
      <c r="XV15" t="str">
        <f>IF(WSJAWA!$Q$22&lt;74.9,"P","")</f>
        <v/>
      </c>
      <c r="XW15" s="102" t="str">
        <f>IF(AND(WSJAWA!$Q$22&gt;=75,WSJAWA!$Q$22&lt;=83.24),"P","")</f>
        <v/>
      </c>
      <c r="XX15" s="102" t="str">
        <f>IF(AND(WSJAWA!$Q$22&gt;=83.25,WSJAWA!$Q$22&lt;=91.4),"P","")</f>
        <v/>
      </c>
      <c r="XY15" s="102" t="str">
        <f>IF(AND(WSJAWA!$Q$22&gt;=91.5,WSJAWA!$Q$22&lt;=100),"P","")</f>
        <v>P</v>
      </c>
      <c r="XZ15" t="str">
        <f>IF(WSJAWA!$Q$30&lt;74.9,"P","")</f>
        <v/>
      </c>
      <c r="YA15" s="102" t="str">
        <f>IF(AND(WSJAWA!$Q$30&gt;=75,WSJAWA!$Q$30&lt;=83.24),"P","")</f>
        <v/>
      </c>
      <c r="YB15" s="102" t="str">
        <f>IF(AND(WSJAWA!$Q$30&gt;=83.25,WSJAWA!$Q$30&lt;=91.4),"P","")</f>
        <v/>
      </c>
      <c r="YC15" s="102" t="str">
        <f>IF(AND(WSJAWA!$Q$30&gt;=91.5,WSJAWA!$Q$30&lt;=100),"P","")</f>
        <v>P</v>
      </c>
      <c r="YD15" t="str">
        <f>IF(WSJAWA!$Q$38&lt;74.9,"P","")</f>
        <v/>
      </c>
      <c r="YE15" s="102" t="str">
        <f>IF(AND(WSJAWA!$Q$38&gt;=75,WSJAWA!$Q$38&lt;=83.24),"P","")</f>
        <v/>
      </c>
      <c r="YF15" s="102" t="str">
        <f>IF(AND(WSJAWA!$Q$38&gt;=83.25,WSJAWA!$Q$38&lt;=91.4),"P","")</f>
        <v/>
      </c>
      <c r="YG15" s="102" t="str">
        <f>IF(AND(WSJAWA!$Q$38&gt;=91.5,WSJAWA!$Q$38&lt;=100),"P","")</f>
        <v>P</v>
      </c>
      <c r="YH15" t="str">
        <f>IF(WSJAWA!$Q$46&lt;74.9,"P","")</f>
        <v/>
      </c>
      <c r="YI15" s="102" t="str">
        <f>IF(AND(WSJAWA!$Q$46&gt;=75,WSJAWA!$Q$46&lt;=83.24),"P","")</f>
        <v/>
      </c>
      <c r="YJ15" s="102" t="str">
        <f>IF(AND(WSJAWA!$Q$46&gt;=83.25,WSJAWA!$Q$46&lt;=91.4),"P","")</f>
        <v>P</v>
      </c>
      <c r="YK15" s="102" t="str">
        <f>IF(AND(WSJAWA!$Q$46&gt;=91.5,WSJAWA!$Q$46&lt;=100),"P","")</f>
        <v/>
      </c>
      <c r="YL15" t="str">
        <f>IF(WSJAWA!$Q$54&lt;74.9,"P","")</f>
        <v/>
      </c>
      <c r="YM15" s="102" t="str">
        <f>IF(AND(WSJAWA!$Q$54&gt;=75,WSJAWA!$Q$54&lt;=83.24),"P","")</f>
        <v/>
      </c>
      <c r="YN15" s="102" t="str">
        <f>IF(AND(WSJAWA!$Q$54&gt;=83.25,WSJAWA!$Q$54&lt;=91.4),"P","")</f>
        <v/>
      </c>
      <c r="YO15" s="102" t="str">
        <f>IF(AND(WSJAWA!$Q$54&gt;=91.5,WSJAWA!$Q$54&lt;=100),"P","")</f>
        <v>P</v>
      </c>
      <c r="YP15" t="str">
        <f>IF(WSJAWA!$Q$62&lt;74.9,"P","")</f>
        <v/>
      </c>
      <c r="YQ15" s="102" t="str">
        <f>IF(AND(WSJAWA!$Q$62&gt;=75,WSJAWA!$Q$62&lt;=83.24),"P","")</f>
        <v/>
      </c>
      <c r="YR15" s="102" t="str">
        <f>IF(AND(WSJAWA!$Q$62&gt;=83.25,WSJAWA!$Q$62&lt;=91.4),"P","")</f>
        <v/>
      </c>
      <c r="YS15" s="102" t="str">
        <f>IF(AND(WSJAWA!$Q$62&gt;=91.5,WSJAWA!$Q$62&lt;=100),"P","")</f>
        <v>P</v>
      </c>
      <c r="YT15" t="str">
        <f>IF(WSJAWA!$Q$70&lt;74.9,"P","")</f>
        <v/>
      </c>
      <c r="YU15" s="102" t="str">
        <f>IF(AND(WSJAWA!$Q$70&gt;=75,WSJAWA!$Q$70&lt;=83.24),"P","")</f>
        <v/>
      </c>
      <c r="YV15" s="102" t="str">
        <f>IF(AND(WSJAWA!$Q$70&gt;=83.25,WSJAWA!$Q$70&lt;=91.4),"P","")</f>
        <v/>
      </c>
      <c r="YW15" s="102" t="str">
        <f>IF(AND(WSJAWA!$Q$70&gt;=91.5,WSJAWA!$Q$70&lt;=100),"P","")</f>
        <v/>
      </c>
      <c r="YX15" t="str">
        <f>IF(WSJAWA!$Q$78&lt;74.9,"P","")</f>
        <v/>
      </c>
      <c r="YY15" s="102" t="str">
        <f>IF(AND(WSJAWA!$Q$78&gt;=75,WSJAWA!$Q$78&lt;=83.24),"P","")</f>
        <v/>
      </c>
      <c r="YZ15" s="102" t="str">
        <f>IF(AND(WSJAWA!$Q$78&gt;=83.25,WSJAWA!$Q$78&lt;=91.4),"P","")</f>
        <v/>
      </c>
      <c r="ZA15" s="102" t="str">
        <f>IF(AND(WSJAWA!$Q$78&gt;=91.5,WSJAWA!$Q$78&lt;=100),"P","")</f>
        <v/>
      </c>
      <c r="ZB15" t="str">
        <f>IF(WSJAWA!$Q$86&lt;74.9,"P","")</f>
        <v/>
      </c>
      <c r="ZC15" s="102" t="str">
        <f>IF(AND(WSJAWA!$Q$86&gt;=75,WSJAWA!$Q$86&lt;=83.24),"P","")</f>
        <v/>
      </c>
      <c r="ZD15" s="102" t="str">
        <f>IF(AND(WSJAWA!$Q$86&gt;=83.25,WSJAWA!$Q$86&lt;=91.4),"P","")</f>
        <v/>
      </c>
      <c r="ZE15" s="102" t="str">
        <f>IF(AND(WSJAWA!$Q$86&gt;=91.5,WSJAWA!$Q$86&lt;=100),"P","")</f>
        <v/>
      </c>
      <c r="ZF15" t="str">
        <f>IF(WSJAWA!$Q$94&lt;74.9,"P","")</f>
        <v/>
      </c>
      <c r="ZG15" s="102" t="str">
        <f>IF(AND(WSJAWA!$Q$94&gt;=75,WSJAWA!$Q$94&lt;=83.24),"P","")</f>
        <v/>
      </c>
      <c r="ZH15" s="102" t="str">
        <f>IF(AND(WSJAWA!$Q$94&gt;=83.25,WSJAWA!$Q$94&lt;=91.4),"P","")</f>
        <v/>
      </c>
      <c r="ZI15" s="102" t="str">
        <f>IF(AND(WSJAWA!$Q$94&gt;=91.5,WSJAWA!$Q$94&lt;=100),"P","")</f>
        <v/>
      </c>
      <c r="ZJ15" t="str">
        <f>IF(WSJAWA!$Q$102&lt;74.9,"P","")</f>
        <v/>
      </c>
      <c r="ZK15" s="102" t="str">
        <f>IF(AND(WSJAWA!$Q$102&gt;=75,WSJAWA!$Q$102&lt;=83.24),"P","")</f>
        <v/>
      </c>
      <c r="ZL15" s="102" t="str">
        <f>IF(AND(WSJAWA!$Q$102&gt;=83.25,WSJAWA!$Q$102&lt;=91.4),"P","")</f>
        <v/>
      </c>
      <c r="ZM15" s="102" t="str">
        <f>IF(AND(WSJAWA!$Q$102&gt;=91.5,WSJAWA!$Q$102&lt;=100),"P","")</f>
        <v/>
      </c>
      <c r="ZN15" t="str">
        <f>IF(WSING!$Q$6&lt;74.9,"P","")</f>
        <v/>
      </c>
      <c r="ZO15" s="102" t="str">
        <f>IF(AND(WSING!$Q$6&gt;=75,WSING!$Q$6&lt;=83.24),"P","")</f>
        <v/>
      </c>
      <c r="ZP15" s="102" t="str">
        <f>IF(AND(WSING!$Q$6&gt;=83.25,WSING!$Q$6&lt;=91.4),"P","")</f>
        <v/>
      </c>
      <c r="ZQ15" s="102" t="str">
        <f>IF(AND(WSING!$Q$6&gt;=91.5,WSING!$Q$6&lt;=100),"P","")</f>
        <v>P</v>
      </c>
      <c r="ZR15" t="str">
        <f>IF(WSING!$Q$15&lt;74.9,"P","")</f>
        <v/>
      </c>
      <c r="ZS15" s="102" t="str">
        <f>IF(AND(WSING!$Q$15&gt;=75,WSING!$Q$15&lt;=83.24),"P","")</f>
        <v/>
      </c>
      <c r="ZT15" s="102" t="str">
        <f>IF(AND(WSING!$Q$15&gt;=83.25,WSING!$Q$15&lt;=91.4),"P","")</f>
        <v/>
      </c>
      <c r="ZU15" s="102" t="str">
        <f>IF(AND(WSING!$Q$15&gt;=91.5,WSING!$Q$15&lt;=100),"P","")</f>
        <v>P</v>
      </c>
      <c r="ZV15" t="str">
        <f>IF(WSING!$Q$24&lt;74.9,"P","")</f>
        <v/>
      </c>
      <c r="ZW15" s="102" t="str">
        <f>IF(AND(WSING!$Q$24&gt;=75,WSING!$Q$24&lt;=83.24),"P","")</f>
        <v/>
      </c>
      <c r="ZX15" s="102" t="str">
        <f>IF(AND(WSING!$Q$24&gt;=83.25,WSING!$Q$24&lt;=91.4),"P","")</f>
        <v/>
      </c>
      <c r="ZY15" s="102" t="str">
        <f>IF(AND(WSING!$Q$24&gt;=91.5,WSING!$Q$24&lt;=100),"P","")</f>
        <v>P</v>
      </c>
      <c r="ZZ15" t="str">
        <f>IF(WSING!$Q$33&lt;74.9,"P","")</f>
        <v/>
      </c>
      <c r="AAA15" s="102" t="str">
        <f>IF(AND(WSING!$Q$33&gt;=75,WSING!$Q$33&lt;=83.24),"P","")</f>
        <v/>
      </c>
      <c r="AAB15" s="102" t="str">
        <f>IF(AND(WSING!$Q$33&gt;=83.25,WSING!$Q$33&lt;=91.4),"P","")</f>
        <v/>
      </c>
      <c r="AAC15" s="102" t="str">
        <f>IF(AND(WSING!$Q$33&gt;=91.5,WSING!$Q$33&lt;=100),"P","")</f>
        <v>P</v>
      </c>
      <c r="AAD15" t="str">
        <f>IF(WSING!$Q$42&lt;74.9,"P","")</f>
        <v/>
      </c>
      <c r="AAE15" s="102" t="str">
        <f>IF(AND(WSING!$Q$42&gt;=75,WSING!$Q$42&lt;=83.24),"P","")</f>
        <v/>
      </c>
      <c r="AAF15" s="102" t="str">
        <f>IF(AND(WSING!$Q$42&gt;=83.25,WSING!$Q$42&lt;=91.4),"P","")</f>
        <v/>
      </c>
      <c r="AAG15" s="102" t="str">
        <f>IF(AND(WSING!$Q$42&gt;=91.5,WSING!$Q$42&lt;=100),"P","")</f>
        <v/>
      </c>
      <c r="AAH15" t="str">
        <f>IF(WSING!$Q$50&lt;74.9,"P","")</f>
        <v/>
      </c>
      <c r="AAI15" s="102" t="str">
        <f>IF(AND(WSING!$Q$50&gt;=75,WSING!$Q$50&lt;=83.24),"P","")</f>
        <v/>
      </c>
      <c r="AAJ15" s="102" t="str">
        <f>IF(AND(WSING!$Q$50&gt;=83.25,WSING!$Q$50&lt;=91.4),"P","")</f>
        <v/>
      </c>
      <c r="AAK15" s="102" t="str">
        <f>IF(AND(WSING!$Q$50&gt;=91.5,WSING!$Q$50&lt;=100),"P","")</f>
        <v/>
      </c>
      <c r="AAL15" t="str">
        <f>IF(WSING!$Q$58&lt;74.9,"P","")</f>
        <v/>
      </c>
      <c r="AAM15" s="102" t="str">
        <f>IF(AND(WSING!$Q$58&gt;=75,WSING!$Q$58&lt;=83.24),"P","")</f>
        <v/>
      </c>
      <c r="AAN15" s="102" t="str">
        <f>IF(AND(WSING!$Q$58&gt;=83.25,WSING!$Q$58&lt;=91.4),"P","")</f>
        <v/>
      </c>
      <c r="AAO15" s="102" t="str">
        <f>IF(AND(WSING!$Q$58&gt;=91.5,WSING!$Q$58&lt;=100),"P","")</f>
        <v/>
      </c>
      <c r="AAP15" t="str">
        <f>IF(WSING!$Q$66&lt;74.9,"P","")</f>
        <v/>
      </c>
      <c r="AAQ15" s="102" t="str">
        <f>IF(AND(WSING!$Q$66&gt;=75,WSING!$Q$66&lt;=83.24),"P","")</f>
        <v/>
      </c>
      <c r="AAR15" s="102" t="str">
        <f>IF(AND(WSING!$Q$66&gt;=83.25,WSING!$Q$66&lt;=91.4),"P","")</f>
        <v/>
      </c>
      <c r="AAS15" s="102" t="str">
        <f>IF(AND(WSING!$Q$66&gt;=91.5,WSING!$Q$66&lt;=100),"P","")</f>
        <v/>
      </c>
      <c r="AAT15" t="str">
        <f>IF(WSING!$Q$74&lt;74.9,"P","")</f>
        <v/>
      </c>
      <c r="AAU15" s="102" t="str">
        <f>IF(AND(WSING!$Q$74&gt;=75,WSING!$Q$74&lt;=83.24),"P","")</f>
        <v/>
      </c>
      <c r="AAV15" s="102" t="str">
        <f>IF(AND(WSING!$Q$74&gt;=83.25,WSING!$Q$74&lt;=91.4),"P","")</f>
        <v/>
      </c>
      <c r="AAW15" s="102" t="str">
        <f>IF(AND(WSING!$Q$74&gt;=91.5,WSING!$Q$74&lt;=100),"P","")</f>
        <v/>
      </c>
      <c r="AAX15" t="str">
        <f>IF(WSING!$Q$82&lt;74.9,"P","")</f>
        <v/>
      </c>
      <c r="AAY15" s="102" t="str">
        <f>IF(AND(WSING!$Q$82&gt;=75,WSING!$Q$82&lt;=83.24),"P","")</f>
        <v/>
      </c>
      <c r="AAZ15" s="102" t="str">
        <f>IF(AND(WSING!$Q$82&gt;=83.25,WSING!$Q$82&lt;=91.4),"P","")</f>
        <v/>
      </c>
      <c r="ABA15" s="102" t="str">
        <f>IF(AND(WSING!$Q$82&gt;=91.5,WSING!$Q$82&lt;=100),"P","")</f>
        <v/>
      </c>
      <c r="ABB15" t="str">
        <f>IF(WSING!$Q$90&lt;74.9,"P","")</f>
        <v/>
      </c>
      <c r="ABC15" s="102" t="str">
        <f>IF(AND(WSING!$Q$90&gt;=75,WSING!$Q$90&lt;=83.24),"P","")</f>
        <v/>
      </c>
      <c r="ABD15" s="102" t="str">
        <f>IF(AND(WSING!$Q$90&gt;=83.25,WSING!$Q$90&lt;=91.4),"P","")</f>
        <v/>
      </c>
      <c r="ABE15" s="102" t="str">
        <f>IF(AND(WSING!$Q$90&gt;=91.5,WSING!$Q$90&lt;=100),"P","")</f>
        <v/>
      </c>
      <c r="ABF15" t="str">
        <f>IF(WSING!$Q$98&lt;74.9,"P","")</f>
        <v/>
      </c>
      <c r="ABG15" s="102" t="str">
        <f>IF(AND(WSING!$Q$98&gt;=75,WSING!$Q$98&lt;=83.24),"P","")</f>
        <v/>
      </c>
      <c r="ABH15" s="102" t="str">
        <f>IF(AND(WSING!$Q$98&gt;=83.25,WSING!$Q$98&lt;=91.4),"P","")</f>
        <v/>
      </c>
      <c r="ABI15" s="102" t="str">
        <f>IF(AND(WSING!$Q$98&gt;=91.5,WSING!$Q$98&lt;=100),"P","")</f>
        <v/>
      </c>
      <c r="ABJ15" t="str">
        <f>IF(WSING!$Q$106&lt;74.9,"P","")</f>
        <v/>
      </c>
      <c r="ABK15" s="102" t="str">
        <f>IF(AND(WSING!$Q$106&gt;=75,WSING!$Q$106&lt;=83.24),"P","")</f>
        <v/>
      </c>
      <c r="ABL15" s="102" t="str">
        <f>IF(AND(WSING!$Q$106&gt;=83.25,WSING!$Q$106&lt;=91.4),"P","")</f>
        <v/>
      </c>
      <c r="ABM15" s="102" t="str">
        <f>IF(AND(WSING!$Q$106&gt;=91.5,WSING!$Q$106&lt;=100),"P","")</f>
        <v/>
      </c>
      <c r="ABN15" t="str">
        <f>IF(WSTIK!$Q$6&lt;74.9,"P","")</f>
        <v/>
      </c>
      <c r="ABO15" s="102" t="str">
        <f>IF(AND(WSTIK!$Q$6&gt;=75,WSTIK!$Q$6&lt;=83.24),"P","")</f>
        <v/>
      </c>
      <c r="ABP15" s="102" t="str">
        <f>IF(AND(WSTIK!$Q$6&gt;=83.25,WSTIK!$Q$6&lt;=91.4),"P","")</f>
        <v/>
      </c>
      <c r="ABQ15" s="102" t="str">
        <f>IF(AND(WSTIK!$Q$6&gt;=91.5,WSTIK!$Q$6&lt;=100),"P","")</f>
        <v/>
      </c>
      <c r="ABR15" t="str">
        <f>IF(WSTIK!$Q$14&lt;74.9,"P","")</f>
        <v/>
      </c>
      <c r="ABS15" s="102" t="str">
        <f>IF(AND(WSTIK!$Q$14&gt;=75,WSTIK!$Q$14&lt;=83.24),"P","")</f>
        <v/>
      </c>
      <c r="ABT15" s="102" t="str">
        <f>IF(AND(WSTIK!$Q$14&gt;=83.25,WSTIK!$Q$14&lt;=91.4),"P","")</f>
        <v/>
      </c>
      <c r="ABU15" s="102" t="str">
        <f>IF(AND(WSTIK!$Q$14&gt;=91.5,WSTIK!$Q$14&lt;=100),"P","")</f>
        <v/>
      </c>
      <c r="ABV15" t="str">
        <f>IF(WSTIK!$Q$22&lt;74.9,"P","")</f>
        <v/>
      </c>
      <c r="ABW15" s="102" t="str">
        <f>IF(AND(WSTIK!$Q$22&gt;=75,WSTIK!$Q$22&lt;=83.24),"P","")</f>
        <v/>
      </c>
      <c r="ABX15" s="102" t="str">
        <f>IF(AND(WSTIK!$Q$22&gt;=83.25,WSTIK!$Q$22&lt;=91.4),"P","")</f>
        <v/>
      </c>
      <c r="ABY15" s="102" t="str">
        <f>IF(AND(WSTIK!$Q$22&gt;=91.5,WSTIK!$Q$22&lt;=100),"P","")</f>
        <v/>
      </c>
      <c r="ABZ15" t="str">
        <f>IF(WSTIK!$Q$30&lt;74.9,"P","")</f>
        <v/>
      </c>
      <c r="ACA15" s="102" t="str">
        <f>IF(AND(WSTIK!$Q$30&gt;=75,WSTIK!$Q$30&lt;=83.24),"P","")</f>
        <v/>
      </c>
      <c r="ACB15" s="102" t="str">
        <f>IF(AND(WSTIK!$Q$30&gt;=83.25,WSTIK!$Q$30&lt;=91.4),"P","")</f>
        <v/>
      </c>
      <c r="ACC15" s="102" t="str">
        <f>IF(AND(WSTIK!$Q$30&gt;=91.5,WSTIK!$Q$30&lt;=100),"P","")</f>
        <v/>
      </c>
      <c r="ACD15" t="str">
        <f>IF(WSTIK!$Q$38&lt;74.9,"P","")</f>
        <v/>
      </c>
      <c r="ACE15" s="102" t="str">
        <f>IF(AND(WSTIK!$Q$38&gt;=75,WSTIK!$Q$38&lt;=83.24),"P","")</f>
        <v/>
      </c>
      <c r="ACF15" s="102" t="str">
        <f>IF(AND(WSTIK!$Q$38&gt;=83.25,WSTIK!$Q$38&lt;=91.4),"P","")</f>
        <v/>
      </c>
      <c r="ACG15" s="102" t="str">
        <f>IF(AND(WSTIK!$Q$38&gt;=91.5,WSTIK!$Q$38&lt;=100),"P","")</f>
        <v/>
      </c>
      <c r="ACH15" t="str">
        <f>IF(WSTIK!$Q$46&lt;74.9,"P","")</f>
        <v/>
      </c>
      <c r="ACI15" s="102" t="str">
        <f>IF(AND(WSTIK!$Q$46&gt;=75,WSTIK!$Q$46&lt;=83.24),"P","")</f>
        <v/>
      </c>
      <c r="ACJ15" s="102" t="str">
        <f>IF(AND(WSTIK!$Q$46&gt;=83.25,WSTIK!$Q$46&lt;=91.4),"P","")</f>
        <v/>
      </c>
      <c r="ACK15" s="102" t="str">
        <f>IF(AND(WSTIK!$Q$46&gt;=91.5,WSTIK!$Q$46&lt;=100),"P","")</f>
        <v/>
      </c>
      <c r="ACL15" t="str">
        <f>IF(WSTIK!$Q$54&lt;74.9,"P","")</f>
        <v/>
      </c>
      <c r="ACM15" s="102" t="str">
        <f>IF(AND(WSTIK!$Q$54&gt;=75,WSTIK!$Q$54&lt;=83.24),"P","")</f>
        <v/>
      </c>
      <c r="ACN15" s="102" t="str">
        <f>IF(AND(WSTIK!$Q$54&gt;=83.25,WSTIK!$Q$54&lt;=91.4),"P","")</f>
        <v/>
      </c>
      <c r="ACO15" s="102" t="str">
        <f>IF(AND(WSTIK!$Q$54&gt;=91.5,WSTIK!$Q$54&lt;=100),"P","")</f>
        <v/>
      </c>
      <c r="ACP15" t="str">
        <f>IF(WSTIK!$Q$62&lt;74.9,"P","")</f>
        <v/>
      </c>
      <c r="ACQ15" s="102" t="str">
        <f>IF(AND(WSTIK!$Q$62&gt;=75,WSTIK!$Q$62&lt;=83.24),"P","")</f>
        <v/>
      </c>
      <c r="ACR15" s="102" t="str">
        <f>IF(AND(WSTIK!$Q$62&gt;=83.25,WSTIK!$Q$62&lt;=91.4),"P","")</f>
        <v/>
      </c>
      <c r="ACS15" s="102" t="str">
        <f>IF(AND(WSTIK!$Q$62&gt;=91.5,WSTIK!$Q$62&lt;=100),"P","")</f>
        <v/>
      </c>
      <c r="ACT15" t="str">
        <f>IF(WSTIK!$Q$70&lt;74.9,"P","")</f>
        <v/>
      </c>
      <c r="ACU15" s="102" t="str">
        <f>IF(AND(WSTIK!$Q$70&gt;=75,WSTIK!$Q$70&lt;=83.24),"P","")</f>
        <v/>
      </c>
      <c r="ACV15" s="102" t="str">
        <f>IF(AND(WSTIK!$Q$70&gt;=83.25,WSTIK!$Q$70&lt;=91.4),"P","")</f>
        <v/>
      </c>
      <c r="ACW15" s="102" t="str">
        <f>IF(AND(WSTIK!$Q$70&gt;=91.5,WSTIK!$Q$70&lt;=100),"P","")</f>
        <v/>
      </c>
      <c r="ACX15" t="str">
        <f>IF(WSTIK!$Q$78&lt;74.9,"P","")</f>
        <v/>
      </c>
      <c r="ACY15" s="102" t="str">
        <f>IF(AND(WSTIK!$Q$78&gt;=75,WSTIK!$Q$78&lt;=83.24),"P","")</f>
        <v/>
      </c>
      <c r="ACZ15" s="102" t="str">
        <f>IF(AND(WSTIK!$Q$78&gt;=83.25,WSTIK!$Q$78&lt;=91.4),"P","")</f>
        <v/>
      </c>
      <c r="ADA15" s="102" t="str">
        <f>IF(AND(WSTIK!$Q$78&gt;=91.5,WSTIK!$Q$78&lt;=100),"P","")</f>
        <v/>
      </c>
      <c r="ADB15" t="str">
        <f>IF(WSTIK!$Q$86&lt;74.9,"P","")</f>
        <v/>
      </c>
      <c r="ADC15" s="102" t="str">
        <f>IF(AND(WSTIK!$Q$86&gt;=75,WSTIK!$Q$86&lt;=83.24),"P","")</f>
        <v/>
      </c>
      <c r="ADD15" s="102" t="str">
        <f>IF(AND(WSTIK!$Q$86&gt;=83.25,WSTIK!$Q$86&lt;=91.4),"P","")</f>
        <v/>
      </c>
      <c r="ADE15" s="102" t="str">
        <f>IF(AND(WSTIK!$Q$86&gt;=91.5,WSTIK!$Q$86&lt;=100),"P","")</f>
        <v/>
      </c>
      <c r="ADF15" t="str">
        <f>IF(WSTIK!$Q$94&lt;74.9,"P","")</f>
        <v/>
      </c>
      <c r="ADG15" s="102" t="str">
        <f>IF(AND(WSTIK!$Q$94&gt;=75,WSTIK!$Q$94&lt;=83.24),"P","")</f>
        <v/>
      </c>
      <c r="ADH15" s="102" t="str">
        <f>IF(AND(WSTIK!$Q$94&gt;=83.25,WSTIK!$Q$94&lt;=91.4),"P","")</f>
        <v/>
      </c>
      <c r="ADI15" s="102" t="str">
        <f>IF(AND(WSTIK!$Q$94&gt;=91.5,WSTIK!$Q$94&lt;=100),"P","")</f>
        <v/>
      </c>
      <c r="ADJ15" t="str">
        <f>IF(WSTIK!$Q$102&lt;74.9,"P","")</f>
        <v/>
      </c>
      <c r="ADK15" s="102" t="str">
        <f>IF(AND(WSTIK!$Q$102&gt;=75,WSTIK!$Q$102&lt;=83.24),"P","")</f>
        <v/>
      </c>
      <c r="ADL15" s="102" t="str">
        <f>IF(AND(WSTIK!$Q$102&gt;=83.25,WSTIK!$Q$102&lt;=91.4),"P","")</f>
        <v/>
      </c>
      <c r="ADM15" s="102" t="str">
        <f>IF(AND(WSTIK!$Q$102&gt;=91.5,WSTIK!$Q$102&lt;=100),"P","")</f>
        <v/>
      </c>
      <c r="ADN15" t="str">
        <f>IF(WSASWAJA!$Q$6&lt;74.9,"P","")</f>
        <v/>
      </c>
      <c r="ADO15" s="102" t="str">
        <f>IF(AND(WSASWAJA!$Q$6&gt;=75,WSASWAJA!$Q$6&lt;=83.24),"P","")</f>
        <v/>
      </c>
      <c r="ADP15" s="102" t="str">
        <f>IF(AND(WSASWAJA!$Q$6&gt;=83.25,WSASWAJA!$Q$6&lt;=91.4),"P","")</f>
        <v/>
      </c>
      <c r="ADQ15" s="102" t="str">
        <f>IF(AND(WSASWAJA!$Q$6&gt;=91.5,WSASWAJA!$Q$6&lt;=100),"P","")</f>
        <v/>
      </c>
      <c r="ADR15" t="str">
        <f>IF(WSASWAJA!$Q$14&lt;74.9,"P","")</f>
        <v/>
      </c>
      <c r="ADS15" s="102" t="str">
        <f>IF(AND(WSASWAJA!$Q$14&gt;=75,WSASWAJA!$Q$14&lt;=83.24),"P","")</f>
        <v/>
      </c>
      <c r="ADT15" s="102" t="str">
        <f>IF(AND(WSASWAJA!$Q$14&gt;=83.25,WSASWAJA!$Q$14&lt;=91.4),"P","")</f>
        <v/>
      </c>
      <c r="ADU15" s="102" t="str">
        <f>IF(AND(WSASWAJA!$Q$14&gt;=91.5,WSASWAJA!$Q$14&lt;=100),"P","")</f>
        <v/>
      </c>
      <c r="ADV15" t="str">
        <f>IF(WSASWAJA!$Q$22&lt;74.9,"P","")</f>
        <v/>
      </c>
      <c r="ADW15" s="102" t="str">
        <f>IF(AND(WSASWAJA!$Q$22&gt;=75,WSASWAJA!$Q$22&lt;=83.24),"P","")</f>
        <v/>
      </c>
      <c r="ADX15" s="102" t="str">
        <f>IF(AND(WSASWAJA!$Q$22&gt;=83.25,WSASWAJA!$Q$22&lt;=91.4),"P","")</f>
        <v/>
      </c>
      <c r="ADY15" s="102" t="str">
        <f>IF(AND(WSASWAJA!$Q$22&gt;=91.5,WSASWAJA!$Q$22&lt;=100),"P","")</f>
        <v/>
      </c>
      <c r="ADZ15" t="str">
        <f>IF(WSASWAJA!$Q$30&lt;74.9,"P","")</f>
        <v/>
      </c>
      <c r="AEA15" s="102" t="str">
        <f>IF(AND(WSASWAJA!$Q$30&gt;=75,WSASWAJA!$Q$30&lt;=83.24),"P","")</f>
        <v/>
      </c>
      <c r="AEB15" s="102" t="str">
        <f>IF(AND(WSASWAJA!$Q$30&gt;=83.25,WSASWAJA!$Q$30&lt;=91.4),"P","")</f>
        <v/>
      </c>
      <c r="AEC15" s="102" t="str">
        <f>IF(AND(WSASWAJA!$Q$30&gt;=91.5,WSASWAJA!$Q$30&lt;=100),"P","")</f>
        <v/>
      </c>
      <c r="AED15" t="str">
        <f>IF(WSASWAJA!$Q$38&lt;74.9,"P","")</f>
        <v/>
      </c>
      <c r="AEE15" s="102" t="str">
        <f>IF(AND(WSASWAJA!$Q$38&gt;=75,WSASWAJA!$Q$38&lt;=83.24),"P","")</f>
        <v/>
      </c>
      <c r="AEF15" s="102" t="str">
        <f>IF(AND(WSASWAJA!$Q$38&gt;=83.25,WSASWAJA!$Q$38&lt;=91.4),"P","")</f>
        <v/>
      </c>
      <c r="AEG15" s="102" t="str">
        <f>IF(AND(WSASWAJA!$Q$38&gt;=91.5,WSASWAJA!$Q$38&lt;=100),"P","")</f>
        <v/>
      </c>
      <c r="AEH15" t="str">
        <f>IF(WSASWAJA!$Q$46&lt;74.9,"P","")</f>
        <v/>
      </c>
      <c r="AEI15" s="102" t="str">
        <f>IF(AND(WSASWAJA!$Q$46&gt;=75,WSASWAJA!$Q$46&lt;=83.24),"P","")</f>
        <v/>
      </c>
      <c r="AEJ15" s="102" t="str">
        <f>IF(AND(WSASWAJA!$Q$46&gt;=83.25,WSASWAJA!$Q$46&lt;=91.4),"P","")</f>
        <v/>
      </c>
      <c r="AEK15" s="102" t="str">
        <f>IF(AND(WSASWAJA!$Q$46&gt;=91.5,WSASWAJA!$Q$46&lt;=100),"P","")</f>
        <v/>
      </c>
      <c r="AEL15" t="str">
        <f>IF(WSASWAJA!$Q$54&lt;74.9,"P","")</f>
        <v/>
      </c>
      <c r="AEM15" s="102" t="str">
        <f>IF(AND(WSASWAJA!$Q$54&gt;=75,WSASWAJA!$Q$54&lt;=83.24),"P","")</f>
        <v/>
      </c>
      <c r="AEN15" s="102" t="str">
        <f>IF(AND(WSASWAJA!$Q$54&gt;=83.25,WSASWAJA!$Q$54&lt;=91.4),"P","")</f>
        <v/>
      </c>
      <c r="AEO15" s="102" t="str">
        <f>IF(AND(WSASWAJA!$Q$54&gt;=91.5,WSASWAJA!$Q$54&lt;=100),"P","")</f>
        <v/>
      </c>
      <c r="AEP15" t="str">
        <f>IF(WSASWAJA!$Q$62&lt;74.9,"P","")</f>
        <v/>
      </c>
      <c r="AEQ15" s="102" t="str">
        <f>IF(AND(WSASWAJA!$Q$62&gt;=75,WSASWAJA!$Q$62&lt;=83.24),"P","")</f>
        <v/>
      </c>
      <c r="AER15" s="102" t="str">
        <f>IF(AND(WSASWAJA!$Q$62&gt;=83.25,WSASWAJA!$Q$62&lt;=91.4),"P","")</f>
        <v/>
      </c>
      <c r="AES15" s="102" t="str">
        <f>IF(AND(WSASWAJA!$Q$62&gt;=91.5,WSASWAJA!$Q$62&lt;=100),"P","")</f>
        <v/>
      </c>
      <c r="AET15" t="str">
        <f>IF(WSASWAJA!$Q$70&lt;74.9,"P","")</f>
        <v/>
      </c>
      <c r="AEU15" s="102" t="str">
        <f>IF(AND(WSASWAJA!$Q$70&gt;=75,WSASWAJA!$Q$70&lt;=83.24),"P","")</f>
        <v/>
      </c>
      <c r="AEV15" s="102" t="str">
        <f>IF(AND(WSASWAJA!$Q$70&gt;=83.25,WSASWAJA!$Q$70&lt;=91.4),"P","")</f>
        <v/>
      </c>
      <c r="AEW15" s="102" t="str">
        <f>IF(AND(WSASWAJA!$Q$70&gt;=91.5,WSASWAJA!$Q$70&lt;=100),"P","")</f>
        <v/>
      </c>
      <c r="AEX15" t="str">
        <f>IF(WSASWAJA!$Q$78&lt;74.9,"P","")</f>
        <v/>
      </c>
      <c r="AEY15" s="102" t="str">
        <f>IF(AND(WSASWAJA!$Q$78&gt;=75,WSASWAJA!$Q$78&lt;=83.24),"P","")</f>
        <v/>
      </c>
      <c r="AEZ15" s="102" t="str">
        <f>IF(AND(WSASWAJA!$Q$78&gt;=83.25,WSASWAJA!$Q$78&lt;=91.4),"P","")</f>
        <v/>
      </c>
      <c r="AFA15" s="102" t="str">
        <f>IF(AND(WSASWAJA!$Q$78&gt;=91.5,WSASWAJA!$Q$78&lt;=100),"P","")</f>
        <v/>
      </c>
      <c r="AFB15" t="str">
        <f>IF(WSASWAJA!$Q$86&lt;74.9,"P","")</f>
        <v/>
      </c>
      <c r="AFC15" s="102" t="str">
        <f>IF(AND(WSASWAJA!$Q$86&gt;=75,WSASWAJA!$Q$86&lt;=83.24),"P","")</f>
        <v/>
      </c>
      <c r="AFD15" s="102" t="str">
        <f>IF(AND(WSASWAJA!$Q$86&gt;=83.25,WSASWAJA!$Q$86&lt;=91.4),"P","")</f>
        <v/>
      </c>
      <c r="AFE15" s="102" t="str">
        <f>IF(AND(WSASWAJA!$Q$86&gt;=91.5,WSASWAJA!$Q$86&lt;=100),"P","")</f>
        <v/>
      </c>
      <c r="AFF15" t="str">
        <f>IF(WSASWAJA!$Q$94&lt;74.9,"P","")</f>
        <v/>
      </c>
      <c r="AFG15" s="102" t="str">
        <f>IF(AND(WSASWAJA!$Q$94&gt;=75,WSASWAJA!$Q$94&lt;=83.24),"P","")</f>
        <v/>
      </c>
      <c r="AFH15" s="102" t="str">
        <f>IF(AND(WSASWAJA!$Q$94&gt;=83.25,WSASWAJA!$Q$94&lt;=91.4),"P","")</f>
        <v/>
      </c>
      <c r="AFI15" s="102" t="str">
        <f>IF(AND(WSASWAJA!$Q$94&gt;=91.5,WSASWAJA!$Q$94&lt;=100),"P","")</f>
        <v/>
      </c>
      <c r="AFJ15" t="str">
        <f>IF(WSASWAJA!$Q$102&lt;74.9,"P","")</f>
        <v/>
      </c>
      <c r="AFK15" s="102" t="str">
        <f>IF(AND(WSASWAJA!$Q$102&gt;=75,WSASWAJA!$Q$102&lt;=83.24),"P","")</f>
        <v/>
      </c>
      <c r="AFL15" s="102" t="str">
        <f>IF(AND(WSASWAJA!$Q$102&gt;=83.25,WSASWAJA!$Q$102&lt;=91.4),"P","")</f>
        <v/>
      </c>
      <c r="AFM15" s="102" t="str">
        <f>IF(AND(WSASWAJA!$Q$102&gt;=91.5,WSASWAJA!$Q$102&lt;=100),"P","")</f>
        <v/>
      </c>
    </row>
    <row r="16" spans="1:852" ht="20.100000000000001" customHeight="1">
      <c r="A16">
        <v>14</v>
      </c>
      <c r="B16" t="str">
        <f>IF(WSALQURAN!$R$6&lt;74.9,"P","")</f>
        <v/>
      </c>
      <c r="C16" s="102" t="str">
        <f>IF(AND(WSALQURAN!$R$6&gt;=75,WSALQURAN!$R$6&lt;=83.24),"P","")</f>
        <v/>
      </c>
      <c r="D16" s="102" t="str">
        <f>IF(AND(WSALQURAN!$R$6&gt;=83.25,WSALQURAN!$R$6&lt;=91.4),"P","")</f>
        <v>P</v>
      </c>
      <c r="E16" s="102" t="str">
        <f>IF(AND(WSALQURAN!$R$6&gt;=91.5,WSALQURAN!$R$6&lt;=100),"P","")</f>
        <v/>
      </c>
      <c r="F16" t="str">
        <f>IF(WSALQURAN!$R$14&lt;74.9,"P","")</f>
        <v/>
      </c>
      <c r="G16" s="102" t="str">
        <f>IF(AND(WSALQURAN!$R$14&gt;=75,WSALQURAN!$R$14&lt;=83.24),"P","")</f>
        <v/>
      </c>
      <c r="H16" s="102" t="str">
        <f>IF(AND(WSALQURAN!$R$14&gt;=83.25,WSALQURAN!$R$14&lt;=91.4),"P","")</f>
        <v/>
      </c>
      <c r="I16" s="102" t="str">
        <f>IF(AND(WSALQURAN!$R$14&gt;=91.5,WSALQURAN!$R$14&lt;=100),"P","")</f>
        <v>P</v>
      </c>
      <c r="J16" t="str">
        <f>IF(WSALQURAN!$R$22&lt;74.9,"P","")</f>
        <v/>
      </c>
      <c r="K16" s="102" t="str">
        <f>IF(AND(WSALQURAN!$R$22&gt;=75,WSALQURAN!$R$22&lt;=83.24),"P","")</f>
        <v/>
      </c>
      <c r="L16" s="102" t="str">
        <f>IF(AND(WSALQURAN!$R$22&gt;=83.25,WSALQURAN!$R$22&lt;=91.4),"P","")</f>
        <v>P</v>
      </c>
      <c r="M16" s="102" t="str">
        <f>IF(AND(WSALQURAN!$R$22&gt;=91.5,WSALQURAN!$R$22&lt;=100),"P","")</f>
        <v/>
      </c>
      <c r="N16" t="str">
        <f>IF(WSALQURAN!$R$30&lt;74.9,"P","")</f>
        <v/>
      </c>
      <c r="O16" s="102" t="str">
        <f>IF(AND(WSALQURAN!$R$30&gt;=75,WSALQURAN!$R$30&lt;=83.24),"P","")</f>
        <v/>
      </c>
      <c r="P16" s="102" t="str">
        <f>IF(AND(WSALQURAN!$R$30&gt;=83.25,WSALQURAN!$R$30&lt;=91.4),"P","")</f>
        <v>P</v>
      </c>
      <c r="Q16" s="102" t="str">
        <f>IF(AND(WSALQURAN!$R$30&gt;=91.5,WSALQURAN!$R$30&lt;=100),"P","")</f>
        <v/>
      </c>
      <c r="R16" t="str">
        <f>IF(WSALQURAN!$R$38&lt;74.9,"P","")</f>
        <v/>
      </c>
      <c r="S16" s="102" t="str">
        <f>IF(AND(WSALQURAN!$R$38&gt;=75,WSALQURAN!$R$38&lt;=83.24),"P","")</f>
        <v/>
      </c>
      <c r="T16" s="102" t="str">
        <f>IF(AND(WSALQURAN!$R$38&gt;=83.25,WSALQURAN!$R$38&lt;=91.4),"P","")</f>
        <v>P</v>
      </c>
      <c r="U16" s="102" t="str">
        <f>IF(AND(WSALQURAN!$R$38&gt;=91.5,WSALQURAN!$R$38&lt;=100),"P","")</f>
        <v/>
      </c>
      <c r="V16" t="str">
        <f>IF(WSALQURAN!$R$46&lt;74.9,"P","")</f>
        <v/>
      </c>
      <c r="W16" s="102" t="str">
        <f>IF(AND(WSALQURAN!$R$46&gt;=75,WSALQURAN!$R$46&lt;=83.24),"P","")</f>
        <v>P</v>
      </c>
      <c r="X16" s="102" t="str">
        <f>IF(AND(WSALQURAN!$R$46&gt;=83.25,WSALQURAN!$R$46&lt;=91.4),"P","")</f>
        <v/>
      </c>
      <c r="Y16" s="102" t="str">
        <f>IF(AND(WSALQURAN!$R$46&gt;=91.5,WSALQURAN!$R$46&lt;=100),"P","")</f>
        <v/>
      </c>
      <c r="Z16" t="str">
        <f>IF(WSALQURAN!$R$54&lt;74.9,"P","")</f>
        <v/>
      </c>
      <c r="AA16" s="102" t="str">
        <f>IF(AND(WSALQURAN!$R$54&gt;=75,WSALQURAN!$R$54&lt;=83.24),"P","")</f>
        <v/>
      </c>
      <c r="AB16" s="102" t="str">
        <f>IF(AND(WSALQURAN!$R$54&gt;=83.25,WSALQURAN!$R$54&lt;=91.4),"P","")</f>
        <v/>
      </c>
      <c r="AC16" s="102" t="str">
        <f>IF(AND(WSALQURAN!$R$54&gt;=91.5,WSALQURAN!$R$54&lt;=100),"P","")</f>
        <v>P</v>
      </c>
      <c r="AD16" t="str">
        <f>IF(WSALQURAN!$R$62&lt;74.9,"P","")</f>
        <v/>
      </c>
      <c r="AE16" s="102" t="str">
        <f>IF(AND(WSALQURAN!$R$62&gt;=75,WSALQURAN!$R$62&lt;=83.24),"P","")</f>
        <v/>
      </c>
      <c r="AF16" s="102" t="str">
        <f>IF(AND(WSALQURAN!$R$62&gt;=83.25,WSALQURAN!$R$62&lt;=91.4),"P","")</f>
        <v/>
      </c>
      <c r="AG16" s="102" t="str">
        <f>IF(AND(WSALQURAN!$R$62&gt;=91.5,WSALQURAN!$R$62&lt;=100),"P","")</f>
        <v/>
      </c>
      <c r="AH16" t="str">
        <f>IF(WSALQURAN!$R$70&lt;74.9,"P","")</f>
        <v/>
      </c>
      <c r="AI16" s="102" t="str">
        <f>IF(AND(WSALQURAN!$R$70&gt;=75,WSALQURAN!$R$70&lt;=83.24),"P","")</f>
        <v/>
      </c>
      <c r="AJ16" s="102" t="str">
        <f>IF(AND(WSALQURAN!$R$70&gt;=83.25,WSALQURAN!$R$70&lt;=91.4),"P","")</f>
        <v/>
      </c>
      <c r="AK16" s="102" t="str">
        <f>IF(AND(WSALQURAN!$R$70&gt;=91.5,WSALQURAN!$R$70&lt;=100),"P","")</f>
        <v/>
      </c>
      <c r="AL16" t="str">
        <f>IF(WSALQURAN!$R$78&lt;74.9,"P","")</f>
        <v/>
      </c>
      <c r="AM16" s="102" t="str">
        <f>IF(AND(WSALQURAN!$R$78&gt;=75,WSALQURAN!$R$78&lt;=83.24),"P","")</f>
        <v/>
      </c>
      <c r="AN16" s="102" t="str">
        <f>IF(AND(WSALQURAN!$R$78&gt;=83.25,WSALQURAN!$R$78&lt;=91.4),"P","")</f>
        <v/>
      </c>
      <c r="AO16" s="102" t="str">
        <f>IF(AND(WSALQURAN!$R$78&gt;=91.5,WSALQURAN!$R$78&lt;=100),"P","")</f>
        <v/>
      </c>
      <c r="AP16" t="str">
        <f>IF(WSALQURAN!$R$86&lt;74.9,"P","")</f>
        <v/>
      </c>
      <c r="AQ16" s="102" t="str">
        <f>IF(AND(WSALQURAN!$R$86&gt;=75,WSALQURAN!$R$86&lt;=83.24),"P","")</f>
        <v/>
      </c>
      <c r="AR16" s="102" t="str">
        <f>IF(AND(WSALQURAN!$R$86&gt;=83.25,WSALQURAN!$R$86&lt;=91.4),"P","")</f>
        <v/>
      </c>
      <c r="AS16" s="102" t="str">
        <f>IF(AND(WSALQURAN!$R$86&gt;=91.5,WSALQURAN!$R$86&lt;=100),"P","")</f>
        <v/>
      </c>
      <c r="AT16" t="str">
        <f>IF(WSALQURAN!$R$94&lt;74.9,"P","")</f>
        <v/>
      </c>
      <c r="AU16" s="102" t="str">
        <f>IF(AND(WSALQURAN!$R$94&gt;=75,WSALQURAN!$R$94&lt;=83.24),"P","")</f>
        <v/>
      </c>
      <c r="AV16" s="102" t="str">
        <f>IF(AND(WSALQURAN!$R$94&gt;=83.25,WSALQURAN!$R$94&lt;=91.4),"P","")</f>
        <v/>
      </c>
      <c r="AW16" s="102" t="str">
        <f>IF(AND(WSALQURAN!$R$94&gt;=91.5,WSALQURAN!$R$94&lt;=100),"P","")</f>
        <v/>
      </c>
      <c r="AX16" t="str">
        <f>IF(WSALQURAN!$R$102&lt;74.9,"P","")</f>
        <v/>
      </c>
      <c r="AY16" s="102" t="str">
        <f>IF(AND(WSALQURAN!$R$102&gt;=75,WSALQURAN!$R$102&lt;=83.24),"P","")</f>
        <v/>
      </c>
      <c r="AZ16" s="102" t="str">
        <f>IF(AND(WSALQURAN!$R$102&gt;=83.25,WSALQURAN!$R$102&lt;=91.4),"P","")</f>
        <v/>
      </c>
      <c r="BA16" s="102" t="str">
        <f>IF(AND(WSALQURAN!$R$102&gt;=91.5,WSALQURAN!$R$102&lt;=100),"P","")</f>
        <v/>
      </c>
      <c r="BB16" t="str">
        <f>IF(WSAQIDAH!$R$6&lt;74.9,"P","")</f>
        <v/>
      </c>
      <c r="BC16" s="102" t="str">
        <f>IF(AND(WSAQIDAH!$R$6&gt;=75,WSAQIDAH!$R$6&lt;=83.24),"P","")</f>
        <v/>
      </c>
      <c r="BD16" s="102" t="str">
        <f>IF(AND(WSAQIDAH!$R$6&gt;=83.25,WSAQIDAH!$R$6&lt;=91.4),"P","")</f>
        <v/>
      </c>
      <c r="BE16" s="102" t="str">
        <f>IF(AND(WSAQIDAH!$R$6&gt;=91.5,WSAQIDAH!$R$6&lt;=100),"P","")</f>
        <v>P</v>
      </c>
      <c r="BF16" t="str">
        <f>IF(WSAQIDAH!$R$14&lt;74.9,"P","")</f>
        <v/>
      </c>
      <c r="BG16" s="102" t="str">
        <f>IF(AND(WSAQIDAH!$R$14&gt;=75,WSAQIDAH!$R$14&lt;=83.24),"P","")</f>
        <v/>
      </c>
      <c r="BH16" s="102" t="str">
        <f>IF(AND(WSAQIDAH!$R$14&gt;=83.25,WSAQIDAH!$R$14&lt;=91.4),"P","")</f>
        <v/>
      </c>
      <c r="BI16" s="102" t="str">
        <f>IF(AND(WSAQIDAH!$R$14&gt;=91.5,WSAQIDAH!$R$14&lt;=100),"P","")</f>
        <v>P</v>
      </c>
      <c r="BJ16" t="str">
        <f>IF(WSAQIDAH!$R$22&lt;74.9,"P","")</f>
        <v/>
      </c>
      <c r="BK16" s="102" t="str">
        <f>IF(AND(WSAQIDAH!$R$22&gt;=75,WSAQIDAH!$R$22&lt;=83.24),"P","")</f>
        <v>P</v>
      </c>
      <c r="BL16" s="102" t="str">
        <f>IF(AND(WSAQIDAH!$R$22&gt;=83.25,WSAQIDAH!$R$22&lt;=91.4),"P","")</f>
        <v/>
      </c>
      <c r="BM16" s="102" t="str">
        <f>IF(AND(WSAQIDAH!$R$22&gt;=91.5,WSAQIDAH!$R$22&lt;=100),"P","")</f>
        <v/>
      </c>
      <c r="BN16" t="str">
        <f>IF(WSAQIDAH!$R$30&lt;74.9,"P","")</f>
        <v/>
      </c>
      <c r="BO16" s="102" t="str">
        <f>IF(AND(WSAQIDAH!$R$30&gt;=75,WSAQIDAH!$R$30&lt;=83.24),"P","")</f>
        <v/>
      </c>
      <c r="BP16" s="102" t="str">
        <f>IF(AND(WSAQIDAH!$R$30&gt;=83.25,WSAQIDAH!$R$30&lt;=91.4),"P","")</f>
        <v/>
      </c>
      <c r="BQ16" s="102" t="str">
        <f>IF(AND(WSAQIDAH!$R$30&gt;=91.5,WSAQIDAH!$R$30&lt;=100),"P","")</f>
        <v>P</v>
      </c>
      <c r="BR16" t="str">
        <f>IF(WSAQIDAH!$R$38&lt;74.9,"P","")</f>
        <v/>
      </c>
      <c r="BS16" s="102" t="str">
        <f>IF(AND(WSAQIDAH!$R$38&gt;=75,WSAQIDAH!$R$38&lt;=83.24),"P","")</f>
        <v>P</v>
      </c>
      <c r="BT16" s="102" t="str">
        <f>IF(AND(WSAQIDAH!$R$38&gt;=83.25,WSAQIDAH!$R$38&lt;=91.4),"P","")</f>
        <v/>
      </c>
      <c r="BU16" s="102" t="str">
        <f>IF(AND(WSAQIDAH!$R$38&gt;=91.5,WSAQIDAH!$R$38&lt;=100),"P","")</f>
        <v/>
      </c>
      <c r="BV16" t="str">
        <f>IF(WSAQIDAH!$R$46&lt;74.9,"P","")</f>
        <v/>
      </c>
      <c r="BW16" s="102" t="str">
        <f>IF(AND(WSAQIDAH!$R$46&gt;=75,WSAQIDAH!$R$46&lt;=83.24),"P","")</f>
        <v/>
      </c>
      <c r="BX16" s="102" t="str">
        <f>IF(AND(WSAQIDAH!$R$46&gt;=83.25,WSAQIDAH!$R$46&lt;=91.4),"P","")</f>
        <v>P</v>
      </c>
      <c r="BY16" s="102" t="str">
        <f>IF(AND(WSAQIDAH!$R$46&gt;=91.5,WSAQIDAH!$R$46&lt;=100),"P","")</f>
        <v/>
      </c>
      <c r="BZ16" t="str">
        <f>IF(WSAQIDAH!$R$54&lt;74.9,"P","")</f>
        <v/>
      </c>
      <c r="CA16" s="102" t="str">
        <f>IF(AND(WSAQIDAH!$R$54&gt;=75,WSAQIDAH!$R$54&lt;=83.24),"P","")</f>
        <v/>
      </c>
      <c r="CB16" s="102" t="str">
        <f>IF(AND(WSAQIDAH!$R$54&gt;=83.25,WSAQIDAH!$R$54&lt;=91.4),"P","")</f>
        <v/>
      </c>
      <c r="CC16" s="102" t="str">
        <f>IF(AND(WSAQIDAH!$R$54&gt;=91.5,WSAQIDAH!$R$54&lt;=100),"P","")</f>
        <v>P</v>
      </c>
      <c r="CD16" t="str">
        <f>IF(WSAQIDAH!$R$62&lt;74.9,"P","")</f>
        <v/>
      </c>
      <c r="CE16" s="102" t="str">
        <f>IF(AND(WSAQIDAH!$R$62&gt;=75,WSAQIDAH!$R$62&lt;=83.24),"P","")</f>
        <v/>
      </c>
      <c r="CF16" s="102" t="str">
        <f>IF(AND(WSAQIDAH!$R$62&gt;=83.25,WSAQIDAH!$R$62&lt;=91.4),"P","")</f>
        <v/>
      </c>
      <c r="CG16" s="102" t="str">
        <f>IF(AND(WSAQIDAH!$R$62&gt;=91.5,WSAQIDAH!$R$62&lt;=100),"P","")</f>
        <v>P</v>
      </c>
      <c r="CH16" t="str">
        <f>IF(WSAQIDAH!$R$70&lt;74.9,"P","")</f>
        <v/>
      </c>
      <c r="CI16" s="102" t="str">
        <f>IF(AND(WSAQIDAH!$R$70&gt;=75,WSAQIDAH!$R$70&lt;=83.24),"P","")</f>
        <v/>
      </c>
      <c r="CJ16" s="102" t="str">
        <f>IF(AND(WSAQIDAH!$R$70&gt;=83.25,WSAQIDAH!$R$70&lt;=91.4),"P","")</f>
        <v/>
      </c>
      <c r="CK16" s="102" t="str">
        <f>IF(AND(WSAQIDAH!$R$70&gt;=91.5,WSAQIDAH!$R$70&lt;=100),"P","")</f>
        <v>P</v>
      </c>
      <c r="CL16" t="str">
        <f>IF(WSAQIDAH!$R$78&lt;74.9,"P","")</f>
        <v/>
      </c>
      <c r="CM16" s="102" t="str">
        <f>IF(AND(WSAQIDAH!$R$78&gt;=75,WSAQIDAH!$R$78&lt;=83.24),"P","")</f>
        <v/>
      </c>
      <c r="CN16" s="102" t="str">
        <f>IF(AND(WSAQIDAH!$R$78&gt;=83.25,WSAQIDAH!$R$78&lt;=91.4),"P","")</f>
        <v/>
      </c>
      <c r="CO16" s="102" t="str">
        <f>IF(AND(WSAQIDAH!$R$78&gt;=91.5,WSAQIDAH!$R$78&lt;=100),"P","")</f>
        <v>P</v>
      </c>
      <c r="CP16" t="str">
        <f>IF(WSAQIDAH!$R$86&lt;74.9,"P","")</f>
        <v/>
      </c>
      <c r="CQ16" s="102" t="str">
        <f>IF(AND(WSAQIDAH!$R$86&gt;=75,WSAQIDAH!$R$86&lt;=83.24),"P","")</f>
        <v/>
      </c>
      <c r="CR16" s="102" t="str">
        <f>IF(AND(WSAQIDAH!$R$86&gt;=83.25,WSAQIDAH!$R$86&lt;=91.4),"P","")</f>
        <v/>
      </c>
      <c r="CS16" s="102" t="str">
        <f>IF(AND(WSAQIDAH!$R$86&gt;=91.5,WSAQIDAH!$R$86&lt;=100),"P","")</f>
        <v/>
      </c>
      <c r="CT16" t="str">
        <f>IF(WSAQIDAH!$R$94&lt;74.9,"P","")</f>
        <v/>
      </c>
      <c r="CU16" s="102" t="str">
        <f>IF(AND(WSAQIDAH!$R$94&gt;=75,WSAQIDAH!$R$94&lt;=83.24),"P","")</f>
        <v/>
      </c>
      <c r="CV16" s="102" t="str">
        <f>IF(AND(WSAQIDAH!$R$94&gt;=83.25,WSAQIDAH!$R$94&lt;=91.4),"P","")</f>
        <v/>
      </c>
      <c r="CW16" s="102" t="str">
        <f>IF(AND(WSAQIDAH!$R$94&gt;=91.5,WSAQIDAH!$R$94&lt;=100),"P","")</f>
        <v/>
      </c>
      <c r="CX16" t="str">
        <f>IF(WSAQIDAH!$R$102&lt;74.9,"P","")</f>
        <v/>
      </c>
      <c r="CY16" s="102" t="str">
        <f>IF(AND(WSAQIDAH!$R$102&gt;=75,WSAQIDAH!$R$102&lt;=83.24),"P","")</f>
        <v/>
      </c>
      <c r="CZ16" s="102" t="str">
        <f>IF(AND(WSAQIDAH!$R$102&gt;=83.25,WSAQIDAH!$R$102&lt;=91.4),"P","")</f>
        <v/>
      </c>
      <c r="DA16" s="102" t="str">
        <f>IF(AND(WSAQIDAH!$R$102&gt;=91.5,WSAQIDAH!$R$102&lt;=100),"P","")</f>
        <v/>
      </c>
      <c r="DB16" t="str">
        <f>IF(WSSKI!$R$6&lt;74.9,"P","")</f>
        <v/>
      </c>
      <c r="DC16" s="102" t="str">
        <f>IF(AND(WSSKI!$R$6&gt;=75,WSSKI!$R$6&lt;=83.24),"P","")</f>
        <v>P</v>
      </c>
      <c r="DD16" s="102" t="str">
        <f>IF(AND(WSSKI!$R$6&gt;=83.25,WSSKI!$R$6&lt;=91.4),"P","")</f>
        <v/>
      </c>
      <c r="DE16" s="102" t="str">
        <f>IF(AND(WSSKI!$R$6&gt;=91.5,WSSKI!$R$6&lt;=100),"P","")</f>
        <v/>
      </c>
      <c r="DF16" t="str">
        <f>IF(WSSKI!$R$14&lt;74.9,"P","")</f>
        <v/>
      </c>
      <c r="DG16" s="102" t="str">
        <f>IF(AND(WSSKI!$R$14&gt;=75,WSSKI!$R$14&lt;=83.24),"P","")</f>
        <v>P</v>
      </c>
      <c r="DH16" s="102" t="str">
        <f>IF(AND(WSSKI!$R$14&gt;=83.25,WSSKI!$R$14&lt;=91.4),"P","")</f>
        <v/>
      </c>
      <c r="DI16" s="102" t="str">
        <f>IF(AND(WSSKI!$R$14&gt;=91.5,WSSKI!$R$14&lt;=100),"P","")</f>
        <v/>
      </c>
      <c r="DJ16" t="str">
        <f>IF(WSSKI!$R$23&lt;74.9,"P","")</f>
        <v/>
      </c>
      <c r="DK16" s="102" t="str">
        <f>IF(AND(WSSKI!$R$23&gt;=75,WSSKI!$R$23&lt;=83.24),"P","")</f>
        <v>P</v>
      </c>
      <c r="DL16" s="102" t="str">
        <f>IF(AND(WSSKI!$R$23&gt;=83.25,WSSKI!$R$23&lt;=91.4),"P","")</f>
        <v/>
      </c>
      <c r="DM16" s="102" t="str">
        <f>IF(AND(WSSKI!$R$23&gt;=91.5,WSSKI!$R$23&lt;=100),"P","")</f>
        <v/>
      </c>
      <c r="DN16" t="str">
        <f>IF(WSSKI!$R$31&lt;74.9,"P","")</f>
        <v/>
      </c>
      <c r="DO16" s="102" t="str">
        <f>IF(AND(WSSKI!$R$31&gt;=75,WSSKI!$R$31&lt;=83.24),"P","")</f>
        <v/>
      </c>
      <c r="DP16" s="102" t="str">
        <f>IF(AND(WSSKI!$R$31&gt;=83.25,WSSKI!$R$31&lt;=91.4),"P","")</f>
        <v/>
      </c>
      <c r="DQ16" s="102" t="str">
        <f>IF(AND(WSSKI!$R$31&gt;=91.5,WSSKI!$R$31&lt;=100),"P","")</f>
        <v>P</v>
      </c>
      <c r="DR16" t="str">
        <f>IF(WSSKI!$R$40&lt;74.9,"P","")</f>
        <v/>
      </c>
      <c r="DS16" s="102" t="str">
        <f>IF(AND(WSSKI!$R$40&gt;=75,WSSKI!$R$40&lt;=83.24),"P","")</f>
        <v/>
      </c>
      <c r="DT16" s="102" t="str">
        <f>IF(AND(WSSKI!$R$40&gt;=83.25,WSSKI!$R$40&lt;=91.4),"P","")</f>
        <v>P</v>
      </c>
      <c r="DU16" s="102" t="str">
        <f>IF(AND(WSSKI!$R$40&gt;=91.5,WSSKI!$R$40&lt;=100),"P","")</f>
        <v/>
      </c>
      <c r="DV16" t="str">
        <f>IF(WSSKI!$R$48&lt;74.9,"P","")</f>
        <v>P</v>
      </c>
      <c r="DW16" s="102" t="str">
        <f>IF(AND(WSSKI!$R$48&gt;=75,WSSKI!$R$48&lt;=83.24),"P","")</f>
        <v/>
      </c>
      <c r="DX16" s="102" t="str">
        <f>IF(AND(WSSKI!$R$48&gt;=83.25,WSSKI!$R$48&lt;=91.4),"P","")</f>
        <v/>
      </c>
      <c r="DY16" s="102" t="str">
        <f>IF(AND(WSSKI!$R$48&gt;=91.5,WSSKI!$R$48&lt;=100),"P","")</f>
        <v/>
      </c>
      <c r="DZ16" t="str">
        <f>IF(WSSKI!$R$56&lt;74.9,"P","")</f>
        <v/>
      </c>
      <c r="EA16" s="102" t="str">
        <f>IF(AND(WSSKI!$R$56&gt;=75,WSSKI!$R$56&lt;=83.24),"P","")</f>
        <v/>
      </c>
      <c r="EB16" s="102" t="str">
        <f>IF(AND(WSSKI!$R$56&gt;=83.25,WSSKI!$R$56&lt;=91.4),"P","")</f>
        <v/>
      </c>
      <c r="EC16" s="102" t="str">
        <f>IF(AND(WSSKI!$R$56&gt;=91.5,WSSKI!$R$56&lt;=100),"P","")</f>
        <v/>
      </c>
      <c r="ED16" t="str">
        <f>IF(WSSKI!$R$64&lt;74.9,"P","")</f>
        <v/>
      </c>
      <c r="EE16" s="102" t="str">
        <f>IF(AND(WSSKI!$R$64&gt;=75,WSSKI!$R$64&lt;=83.24),"P","")</f>
        <v/>
      </c>
      <c r="EF16" s="102" t="str">
        <f>IF(AND(WSSKI!$R$64&gt;=83.25,WSSKI!$R$64&lt;=91.4),"P","")</f>
        <v/>
      </c>
      <c r="EG16" s="102" t="str">
        <f>IF(AND(WSSKI!$R$64&gt;=91.5,WSSKI!$R$64&lt;=100),"P","")</f>
        <v/>
      </c>
      <c r="EH16" t="str">
        <f>IF(WSSKI!$R$72&lt;74.9,"P","")</f>
        <v/>
      </c>
      <c r="EI16" s="102" t="str">
        <f>IF(AND(WSSKI!$R$72&gt;=75,WSSKI!$R$72&lt;=83.24),"P","")</f>
        <v/>
      </c>
      <c r="EJ16" s="102" t="str">
        <f>IF(AND(WSSKI!$R$72&gt;=83.25,WSSKI!$R$72&lt;=91.4),"P","")</f>
        <v/>
      </c>
      <c r="EK16" s="102" t="str">
        <f>IF(AND(WSSKI!$R$72&gt;=91.5,WSSKI!$R$72&lt;=100),"P","")</f>
        <v/>
      </c>
      <c r="EL16" t="str">
        <f>IF(WSSKI!$R$80&lt;74.9,"P","")</f>
        <v/>
      </c>
      <c r="EM16" s="102" t="str">
        <f>IF(AND(WSSKI!$R$80&gt;=75,WSSKI!$R$80&lt;=83.24),"P","")</f>
        <v/>
      </c>
      <c r="EN16" s="102" t="str">
        <f>IF(AND(WSSKI!$R$80&gt;=83.25,WSSKI!$R$80&lt;=91.4),"P","")</f>
        <v/>
      </c>
      <c r="EO16" s="102" t="str">
        <f>IF(AND(WSSKI!$R$80&gt;=91.5,WSSKI!$R$80&lt;=100),"P","")</f>
        <v/>
      </c>
      <c r="EP16" t="str">
        <f>IF(WSSKI!$R$88&lt;74.9,"P","")</f>
        <v/>
      </c>
      <c r="EQ16" s="102" t="str">
        <f>IF(AND(WSSKI!$R$88&gt;=75,WSSKI!$R$88&lt;=83.24),"P","")</f>
        <v/>
      </c>
      <c r="ER16" s="102" t="str">
        <f>IF(AND(WSSKI!$R$88&gt;=83.25,WSSKI!$R$88&lt;=91.4),"P","")</f>
        <v/>
      </c>
      <c r="ES16" s="102" t="str">
        <f>IF(AND(WSSKI!$R$88&gt;=91.5,WSSKI!$R$88&lt;=100),"P","")</f>
        <v/>
      </c>
      <c r="ET16" t="str">
        <f>IF(WSSKI!$R$96&lt;74.9,"P","")</f>
        <v/>
      </c>
      <c r="EU16" s="102" t="str">
        <f>IF(AND(WSSKI!$R$96&gt;=75,WSSKI!$R$96&lt;=83.24),"P","")</f>
        <v/>
      </c>
      <c r="EV16" s="102" t="str">
        <f>IF(AND(WSSKI!$R$96&gt;=83.25,WSSKI!$R$96&lt;=91.4),"P","")</f>
        <v/>
      </c>
      <c r="EW16" s="102" t="str">
        <f>IF(AND(WSSKI!$R$96&gt;=91.5,WSSKI!$R$96&lt;=100),"P","")</f>
        <v/>
      </c>
      <c r="EX16" t="str">
        <f>IF(WSSKI!$R$104&lt;74.9,"P","")</f>
        <v/>
      </c>
      <c r="EY16" s="102" t="str">
        <f>IF(AND(WSSKI!$R$104&gt;=75,WSSKI!$R$104&lt;=83.24),"P","")</f>
        <v/>
      </c>
      <c r="EZ16" s="102" t="str">
        <f>IF(AND(WSSKI!$R$104&gt;=83.25,WSSKI!$R$104&lt;=91.4),"P","")</f>
        <v/>
      </c>
      <c r="FA16" s="102" t="str">
        <f>IF(AND(WSSKI!$R$104&gt;=91.5,WSSKI!$R$104&lt;=100),"P","")</f>
        <v/>
      </c>
      <c r="FB16" t="str">
        <f>IF(WSFIQIH!$R$6&lt;74.9,"P","")</f>
        <v/>
      </c>
      <c r="FC16" s="102" t="str">
        <f>IF(AND(WSFIQIH!$R$6&gt;=75,WSFIQIH!$R$6&lt;=83.24),"P","")</f>
        <v/>
      </c>
      <c r="FD16" s="102" t="str">
        <f>IF(AND(WSFIQIH!$R$6&gt;=83.25,WSFIQIH!$R$6&lt;=91.4),"P","")</f>
        <v>P</v>
      </c>
      <c r="FE16" s="102" t="str">
        <f>IF(AND(WSFIQIH!$R$6&gt;=91.5,WSFIQIH!$R$6&lt;=100),"P","")</f>
        <v/>
      </c>
      <c r="FF16" t="str">
        <f>IF(WSFIQIH!$R$19&lt;74.9,"P","")</f>
        <v/>
      </c>
      <c r="FG16" s="102" t="str">
        <f>IF(AND(WSFIQIH!$R$19&gt;=75,WSFIQIH!$R$19&lt;=83.24),"P","")</f>
        <v>P</v>
      </c>
      <c r="FH16" s="102" t="str">
        <f>IF(AND(WSFIQIH!$R$19&gt;=83.25,WSFIQIH!$R$19&lt;=91.4),"P","")</f>
        <v/>
      </c>
      <c r="FI16" s="102" t="str">
        <f>IF(AND(WSFIQIH!$R$19&gt;=91.5,WSFIQIH!$R$19&lt;=100),"P","")</f>
        <v/>
      </c>
      <c r="FJ16" t="str">
        <f>IF(WSFIQIH!$R$28&lt;74.9,"P","")</f>
        <v/>
      </c>
      <c r="FK16" s="102" t="str">
        <f>IF(AND(WSFIQIH!$R$28&gt;=75,WSFIQIH!$R$28&lt;=83.24),"P","")</f>
        <v>P</v>
      </c>
      <c r="FL16" s="102" t="str">
        <f>IF(AND(WSFIQIH!$R$28&gt;=83.25,WSFIQIH!$R$28&lt;=91.4),"P","")</f>
        <v/>
      </c>
      <c r="FM16" s="102" t="str">
        <f>IF(AND(WSFIQIH!$R$28&gt;=91.5,WSFIQIH!$R$28&lt;=100),"P","")</f>
        <v/>
      </c>
      <c r="FN16" t="str">
        <f>IF(WSFIQIH!$R$41&lt;74.9,"P","")</f>
        <v/>
      </c>
      <c r="FO16" s="102" t="str">
        <f>IF(AND(WSFIQIH!$R$41&gt;=75,WSFIQIH!$R$41&lt;=83.24),"P","")</f>
        <v/>
      </c>
      <c r="FP16" s="102" t="str">
        <f>IF(AND(WSFIQIH!$R$41&gt;=83.25,WSFIQIH!$R$41&lt;=91.4),"P","")</f>
        <v/>
      </c>
      <c r="FQ16" s="102" t="str">
        <f>IF(AND(WSFIQIH!$R$41&gt;=91.5,WSFIQIH!$R$41&lt;=100),"P","")</f>
        <v>P</v>
      </c>
      <c r="FR16" t="str">
        <f>IF(WSFIQIH!$R$49&lt;74.9,"P","")</f>
        <v/>
      </c>
      <c r="FS16" s="102" t="str">
        <f>IF(AND(WSFIQIH!$R$49&gt;=75,WSFIQIH!$R$49&lt;=83.24),"P","")</f>
        <v/>
      </c>
      <c r="FT16" s="102" t="str">
        <f>IF(AND(WSFIQIH!$R$49&gt;=83.25,WSFIQIH!$R$49&lt;=91.4),"P","")</f>
        <v>P</v>
      </c>
      <c r="FU16" s="102" t="str">
        <f>IF(AND(WSFIQIH!$R$49&gt;=91.5,WSFIQIH!$R$49&lt;=100),"P","")</f>
        <v/>
      </c>
      <c r="FV16" t="str">
        <f>IF(WSFIQIH!$R$62&lt;74.9,"P","")</f>
        <v/>
      </c>
      <c r="FW16" s="102" t="str">
        <f>IF(AND(WSFIQIH!$R$62&gt;=75,WSFIQIH!$R$62&lt;=83.24),"P","")</f>
        <v/>
      </c>
      <c r="FX16" s="102" t="str">
        <f>IF(AND(WSFIQIH!$R$62&gt;=83.25,WSFIQIH!$R$62&lt;=91.4),"P","")</f>
        <v/>
      </c>
      <c r="FY16" s="102" t="str">
        <f>IF(AND(WSFIQIH!$R$62&gt;=91.5,WSFIQIH!$R$62&lt;=100),"P","")</f>
        <v>P</v>
      </c>
      <c r="FZ16" t="str">
        <f>IF(WSFIQIH!$R$71&lt;74.9,"P","")</f>
        <v/>
      </c>
      <c r="GA16" s="102" t="str">
        <f>IF(AND(WSFIQIH!$R$71&gt;=75,WSFIQIH!$R$71&lt;=83.24),"P","")</f>
        <v/>
      </c>
      <c r="GB16" s="102" t="str">
        <f>IF(AND(WSFIQIH!$R$71&gt;=83.25,WSFIQIH!$R$71&lt;=91.4),"P","")</f>
        <v/>
      </c>
      <c r="GC16" s="102" t="str">
        <f>IF(AND(WSFIQIH!$R$71&gt;=91.5,WSFIQIH!$R$71&lt;=100),"P","")</f>
        <v>P</v>
      </c>
      <c r="GD16" t="str">
        <f>IF(WSFIQIH!$R$80&lt;74.9,"P","")</f>
        <v/>
      </c>
      <c r="GE16" s="102" t="str">
        <f>IF(AND(WSFIQIH!$R$80&gt;=75,WSFIQIH!$R$80&lt;=83.24),"P","")</f>
        <v>P</v>
      </c>
      <c r="GF16" s="102" t="str">
        <f>IF(AND(WSFIQIH!$R$80&gt;=83.25,WSFIQIH!$R$80&lt;=91.4),"P","")</f>
        <v/>
      </c>
      <c r="GG16" s="102" t="str">
        <f>IF(AND(WSFIQIH!$R$80&gt;=91.5,WSFIQIH!$R$80&lt;=100),"P","")</f>
        <v/>
      </c>
      <c r="GH16" t="str">
        <f>IF(WSFIQIH!$R$88&lt;74.9,"P","")</f>
        <v/>
      </c>
      <c r="GI16" s="102" t="str">
        <f>IF(AND(WSFIQIH!$R$88&gt;=75,WSFIQIH!$R$88&lt;=83.24),"P","")</f>
        <v/>
      </c>
      <c r="GJ16" s="102" t="str">
        <f>IF(AND(WSFIQIH!$R$88&gt;=83.25,WSFIQIH!$R$88&lt;=91.4),"P","")</f>
        <v/>
      </c>
      <c r="GK16" s="102" t="str">
        <f>IF(AND(WSFIQIH!$R$88&gt;=91.5,WSFIQIH!$R$88&lt;=100),"P","")</f>
        <v/>
      </c>
      <c r="GL16" t="str">
        <f>IF(WSFIQIH!$R$96&lt;74.9,"P","")</f>
        <v/>
      </c>
      <c r="GM16" s="102" t="str">
        <f>IF(AND(WSFIQIH!$R$96&gt;=75,WSFIQIH!$R$96&lt;=83.24),"P","")</f>
        <v/>
      </c>
      <c r="GN16" s="102" t="str">
        <f>IF(AND(WSFIQIH!$R$96&gt;=83.25,WSFIQIH!$R$96&lt;=91.4),"P","")</f>
        <v/>
      </c>
      <c r="GO16" s="102" t="str">
        <f>IF(AND(WSFIQIH!$R$96&gt;=91.5,WSFIQIH!$R$96&lt;=100),"P","")</f>
        <v/>
      </c>
      <c r="GP16" t="str">
        <f>IF(WSFIQIH!$R$104&lt;74.9,"P","")</f>
        <v/>
      </c>
      <c r="GQ16" s="102" t="str">
        <f>IF(AND(WSFIQIH!$R$104&gt;=75,WSFIQIH!$R$104&lt;=83.24),"P","")</f>
        <v/>
      </c>
      <c r="GR16" s="102" t="str">
        <f>IF(AND(WSFIQIH!$R$104&gt;=83.25,WSFIQIH!$R$104&lt;=91.4),"P","")</f>
        <v/>
      </c>
      <c r="GS16" s="102" t="str">
        <f>IF(AND(WSFIQIH!$R$104&gt;=91.5,WSFIQIH!$R$104&lt;=100),"P","")</f>
        <v/>
      </c>
      <c r="GT16" t="str">
        <f>IF(WSFIQIH!$R$112&lt;74.9,"P","")</f>
        <v/>
      </c>
      <c r="GU16" s="102" t="str">
        <f>IF(AND(WSFIQIH!$R$112&gt;=75,WSFIQIH!$R$112&lt;=83.24),"P","")</f>
        <v/>
      </c>
      <c r="GV16" s="102" t="str">
        <f>IF(AND(WSFIQIH!$R$112&gt;=83.25,WSFIQIH!$R$112&lt;=91.4),"P","")</f>
        <v/>
      </c>
      <c r="GW16" s="102" t="str">
        <f>IF(AND(WSFIQIH!$R$112&gt;=91.5,WSFIQIH!$R$112&lt;=100),"P","")</f>
        <v/>
      </c>
      <c r="GX16" t="str">
        <f>IF(WSFIQIH!$R$120&lt;74.9,"P","")</f>
        <v/>
      </c>
      <c r="GY16" s="102" t="str">
        <f>IF(AND(WSFIQIH!$R$120&gt;=75,WSFIQIH!$R$120&lt;=83.24),"P","")</f>
        <v/>
      </c>
      <c r="GZ16" s="102" t="str">
        <f>IF(AND(WSFIQIH!$R$120&gt;=83.25,WSFIQIH!$R$120&lt;=91.4),"P","")</f>
        <v/>
      </c>
      <c r="HA16" s="102" t="str">
        <f>IF(AND(WSFIQIH!$R$120&gt;=91.5,WSFIQIH!$R$120&lt;=100),"P","")</f>
        <v/>
      </c>
      <c r="HB16" t="str">
        <f>IF(WSPKN!$R$6&lt;74.9,"P","")</f>
        <v/>
      </c>
      <c r="HC16" s="102" t="str">
        <f>IF(AND(WSPKN!$R$6&gt;=75,WSPKN!$R$6&lt;=83.24),"P","")</f>
        <v/>
      </c>
      <c r="HD16" s="102" t="str">
        <f>IF(AND(WSPKN!$R$6&gt;=83.25,WSPKN!$R$6&lt;=91.4),"P","")</f>
        <v/>
      </c>
      <c r="HE16" s="102" t="str">
        <f>IF(AND(WSPKN!$R$6&gt;=91.5,WSPKN!$R$6&lt;=100),"P","")</f>
        <v>P</v>
      </c>
      <c r="HF16" t="str">
        <f>IF(WSPKN!$R$32&lt;74.9,"P","")</f>
        <v/>
      </c>
      <c r="HG16" s="102" t="str">
        <f>IF(AND(WSPKN!$R$32&gt;=75,WSPKN!$R$32&lt;=83.24),"P","")</f>
        <v/>
      </c>
      <c r="HH16" s="102" t="str">
        <f>IF(AND(WSPKN!$R$32&gt;=83.25,WSPKN!$R$32&lt;=91.4),"P","")</f>
        <v/>
      </c>
      <c r="HI16" s="102" t="str">
        <f>IF(AND(WSPKN!$R$32&gt;=91.5,WSPKN!$R$32&lt;=100),"P","")</f>
        <v>P</v>
      </c>
      <c r="HJ16" t="str">
        <f>IF(WSPKN!$R$55&lt;74.9,"P","")</f>
        <v/>
      </c>
      <c r="HK16" s="102" t="str">
        <f>IF(AND(WSPKN!$R$55&gt;=75,WSPKN!$R$55&lt;=83.24),"P","")</f>
        <v/>
      </c>
      <c r="HL16" s="102" t="str">
        <f>IF(AND(WSPKN!$R$55&gt;=83.25,WSPKN!$R$55&lt;=91.4),"P","")</f>
        <v/>
      </c>
      <c r="HM16" s="102" t="str">
        <f>IF(AND(WSPKN!$R$55&gt;=91.5,WSPKN!$R$55&lt;=100),"P","")</f>
        <v>P</v>
      </c>
      <c r="HN16" t="str">
        <f>IF(WSPKN!$R$72&lt;74.9,"P","")</f>
        <v/>
      </c>
      <c r="HO16" s="102" t="str">
        <f>IF(AND(WSPKN!$R$72&gt;=75,WSPKN!$R$72&lt;=83.24),"P","")</f>
        <v/>
      </c>
      <c r="HP16" s="102" t="str">
        <f>IF(AND(WSPKN!$R$72&gt;=83.25,WSPKN!$R$72&lt;=91.4),"P","")</f>
        <v/>
      </c>
      <c r="HQ16" s="102" t="str">
        <f>IF(AND(WSPKN!$R$72&gt;=91.5,WSPKN!$R$72&lt;=100),"P","")</f>
        <v>P</v>
      </c>
      <c r="HR16" t="str">
        <f>IF(WSPKN!$R$86&lt;74.9,"P","")</f>
        <v/>
      </c>
      <c r="HS16" s="102" t="str">
        <f>IF(AND(WSPKN!$R$86&gt;=75,WSPKN!$R$86&lt;=83.24),"P","")</f>
        <v/>
      </c>
      <c r="HT16" s="102" t="str">
        <f>IF(AND(WSPKN!$R$86&gt;=83.25,WSPKN!$R$86&lt;=91.4),"P","")</f>
        <v/>
      </c>
      <c r="HU16" s="102" t="str">
        <f>IF(AND(WSPKN!$R$86&gt;=91.5,WSPKN!$R$86&lt;=100),"P","")</f>
        <v>P</v>
      </c>
      <c r="HV16" t="str">
        <f>IF(WSPKN!$R$108&lt;74.9,"P","")</f>
        <v/>
      </c>
      <c r="HW16" s="102" t="str">
        <f>IF(AND(WSPKN!$R$108&gt;=75,WSPKN!$R$108&lt;=83.24),"P","")</f>
        <v/>
      </c>
      <c r="HX16" s="102" t="str">
        <f>IF(AND(WSPKN!$R$108&gt;=83.25,WSPKN!$R$108&lt;=91.4),"P","")</f>
        <v/>
      </c>
      <c r="HY16" s="102" t="str">
        <f>IF(AND(WSPKN!$R$108&gt;=91.5,WSPKN!$R$108&lt;=100),"P","")</f>
        <v>P</v>
      </c>
      <c r="HZ16" t="str">
        <f>IF(WSPKN!$R$132&lt;74.9,"P","")</f>
        <v/>
      </c>
      <c r="IA16" s="102" t="str">
        <f>IF(AND(WSPKN!$R$132&gt;=75,WSPKN!$R$132&lt;=83.24),"P","")</f>
        <v/>
      </c>
      <c r="IB16" s="102" t="str">
        <f>IF(AND(WSPKN!$R$132&gt;=83.25,WSPKN!$R$132&lt;=91.4),"P","")</f>
        <v/>
      </c>
      <c r="IC16" s="102" t="str">
        <f>IF(AND(WSPKN!$R$132&gt;=91.5,WSPKN!$R$132&lt;=100),"P","")</f>
        <v>P</v>
      </c>
      <c r="ID16" t="str">
        <f>IF(WSPKN!$R$148&lt;74.9,"P","")</f>
        <v/>
      </c>
      <c r="IE16" s="102" t="str">
        <f>IF(AND(WSPKN!$R$148&gt;=75,WSPKN!$R$148&lt;=83.24),"P","")</f>
        <v/>
      </c>
      <c r="IF16" s="102" t="str">
        <f>IF(AND(WSPKN!$R$148&gt;=83.25,WSPKN!$R$148&lt;=91.4),"P","")</f>
        <v/>
      </c>
      <c r="IG16" s="102" t="str">
        <f>IF(AND(WSPKN!$R$148&gt;=91.5,WSPKN!$R$148&lt;=100),"P","")</f>
        <v>P</v>
      </c>
      <c r="IH16" t="str">
        <f>IF(WSPKN!$R$165&lt;74.9,"P","")</f>
        <v/>
      </c>
      <c r="II16" s="102" t="str">
        <f>IF(AND(WSPKN!$R$165&gt;=75,WSPKN!$R$165&lt;=83.24),"P","")</f>
        <v/>
      </c>
      <c r="IJ16" s="102" t="str">
        <f>IF(AND(WSPKN!$R$165&gt;=83.25,WSPKN!$R$165&lt;=91.4),"P","")</f>
        <v/>
      </c>
      <c r="IK16" s="102" t="str">
        <f>IF(AND(WSPKN!$R$165&gt;=91.5,WSPKN!$R$165&lt;=100),"P","")</f>
        <v/>
      </c>
      <c r="IL16" t="str">
        <f>IF(WSPKN!$R$173&lt;74.9,"P","")</f>
        <v/>
      </c>
      <c r="IM16" s="102" t="str">
        <f>IF(AND(WSPKN!$R$173&gt;=75,WSPKN!$R$173&lt;=83.24),"P","")</f>
        <v/>
      </c>
      <c r="IN16" s="102" t="str">
        <f>IF(AND(WSPKN!$R$173&gt;=83.25,WSPKN!$R$173&lt;=91.4),"P","")</f>
        <v/>
      </c>
      <c r="IO16" s="102" t="str">
        <f>IF(AND(WSPKN!$R$173&gt;=91.5,WSPKN!$R$173&lt;=100),"P","")</f>
        <v/>
      </c>
      <c r="IP16" t="str">
        <f>IF(WSPKN!$R$181&lt;74.9,"P","")</f>
        <v/>
      </c>
      <c r="IQ16" s="102" t="str">
        <f>IF(AND(WSPKN!$R$181&gt;=75,WSPKN!$R$181&lt;=83.24),"P","")</f>
        <v/>
      </c>
      <c r="IR16" s="102" t="str">
        <f>IF(AND(WSPKN!$R$181&gt;=83.25,WSPKN!$R$181&lt;=91.4),"P","")</f>
        <v/>
      </c>
      <c r="IS16" s="102" t="str">
        <f>IF(AND(WSPKN!$R$181&gt;=91.5,WSPKN!$R$181&lt;=100),"P","")</f>
        <v/>
      </c>
      <c r="IT16" t="str">
        <f>IF(WSPKN!$R$189&lt;74.9,"P","")</f>
        <v/>
      </c>
      <c r="IU16" s="102" t="str">
        <f>IF(AND(WSPKN!$R$189&gt;=75,WSPKN!$R$189&lt;=83.24),"P","")</f>
        <v/>
      </c>
      <c r="IV16" s="102" t="str">
        <f>IF(AND(WSPKN!$R$189&gt;=83.25,WSPKN!$R$189&lt;=91.4),"P","")</f>
        <v/>
      </c>
      <c r="IW16" s="102" t="str">
        <f>IF(AND(WSPKN!$R$189&gt;=91.5,WSPKN!$R$189&lt;=100),"P","")</f>
        <v/>
      </c>
      <c r="IX16" t="str">
        <f>IF(WSPKN!$R$197&lt;74.9,"P","")</f>
        <v/>
      </c>
      <c r="IY16" s="102" t="str">
        <f>IF(AND(WSPKN!$R$197&gt;=75,WSPKN!$R$197&lt;=83.24),"P","")</f>
        <v/>
      </c>
      <c r="IZ16" s="102" t="str">
        <f>IF(AND(WSPKN!$R$197&gt;=83.25,WSPKN!$R$197&lt;=91.4),"P","")</f>
        <v/>
      </c>
      <c r="JA16" s="102" t="str">
        <f>IF(AND(WSPKN!$R$197&gt;=91.5,WSPKN!$R$197&lt;=100),"P","")</f>
        <v/>
      </c>
      <c r="JB16" t="str">
        <f>IF(WSIND!$R$6&lt;74.9,"P","")</f>
        <v/>
      </c>
      <c r="JC16" s="102" t="str">
        <f>IF(AND(WSIND!$R$6&gt;=75,WSIND!$R$6&lt;=83.24),"P","")</f>
        <v/>
      </c>
      <c r="JD16" s="102" t="str">
        <f>IF(AND(WSIND!$R$6&gt;=83.25,WSIND!$R$6&lt;=91.4),"P","")</f>
        <v/>
      </c>
      <c r="JE16" s="102" t="str">
        <f>IF(AND(WSIND!$R$6&gt;=91.5,WSIND!$R$6&lt;=100),"P","")</f>
        <v>P</v>
      </c>
      <c r="JF16" t="str">
        <f>IF(WSIND!$R$65&lt;74.9,"P","")</f>
        <v/>
      </c>
      <c r="JG16" s="102" t="str">
        <f>IF(AND(WSIND!$R$65&gt;=75,WSIND!$R$65&lt;=83.24),"P","")</f>
        <v/>
      </c>
      <c r="JH16" s="102" t="str">
        <f>IF(AND(WSIND!$R$65&gt;=83.25,WSIND!$R$65&lt;=91.4),"P","")</f>
        <v/>
      </c>
      <c r="JI16" s="102" t="str">
        <f>IF(AND(WSIND!$R$65&gt;=91.5,WSIND!$R$65&lt;=100),"P","")</f>
        <v>P</v>
      </c>
      <c r="JJ16" t="str">
        <f>IF(WSIND!$R$113&lt;74.9,"P","")</f>
        <v/>
      </c>
      <c r="JK16" s="102" t="str">
        <f>IF(AND(WSIND!$R$113&gt;=75,WSIND!$R$113&lt;=83.24),"P","")</f>
        <v/>
      </c>
      <c r="JL16" s="102" t="str">
        <f>IF(AND(WSIND!$R$113&gt;=83.25,WSIND!$R$113&lt;=91.4),"P","")</f>
        <v/>
      </c>
      <c r="JM16" s="102" t="str">
        <f>IF(AND(WSIND!$R$113&gt;=91.5,WSIND!$R$113&lt;=100),"P","")</f>
        <v>P</v>
      </c>
      <c r="JN16" t="str">
        <f>IF(WSIND!$R$133&lt;74.9,"P","")</f>
        <v/>
      </c>
      <c r="JO16" s="102" t="str">
        <f>IF(AND(WSIND!$R$133&gt;=75,WSIND!$R$133&lt;=83.24),"P","")</f>
        <v/>
      </c>
      <c r="JP16" s="102" t="str">
        <f>IF(AND(WSIND!$R$133&gt;=83.25,WSIND!$R$133&lt;=91.4),"P","")</f>
        <v/>
      </c>
      <c r="JQ16" s="102" t="str">
        <f>IF(AND(WSIND!$R$133&gt;=91.5,WSIND!$R$133&lt;=100),"P","")</f>
        <v>P</v>
      </c>
      <c r="JR16" t="str">
        <f>IF(WSIND!$R$161&lt;74.9,"P","")</f>
        <v/>
      </c>
      <c r="JS16" s="102" t="str">
        <f>IF(AND(WSIND!$R$161&gt;=75,WSIND!$R$161&lt;=83.24),"P","")</f>
        <v/>
      </c>
      <c r="JT16" s="102" t="str">
        <f>IF(AND(WSIND!$R$161&gt;=83.25,WSIND!$R$161&lt;=91.4),"P","")</f>
        <v/>
      </c>
      <c r="JU16" s="102" t="str">
        <f>IF(AND(WSIND!$R$161&gt;=91.5,WSIND!$R$161&lt;=100),"P","")</f>
        <v>P</v>
      </c>
      <c r="JV16" t="str">
        <f>IF(WSIND!$R$192&lt;74.9,"P","")</f>
        <v/>
      </c>
      <c r="JW16" s="102" t="str">
        <f>IF(AND(WSIND!$R$192&gt;=75,WSIND!$R$192&lt;=83.24),"P","")</f>
        <v/>
      </c>
      <c r="JX16" s="102" t="str">
        <f>IF(AND(WSIND!$R$192&gt;=83.25,WSIND!$R$192&lt;=91.4),"P","")</f>
        <v/>
      </c>
      <c r="JY16" s="102" t="str">
        <f>IF(AND(WSIND!$R$192&gt;=91.5,WSIND!$R$192&lt;=100),"P","")</f>
        <v>P</v>
      </c>
      <c r="JZ16" t="str">
        <f>IF(WSIND!$R$228&lt;74.9,"P","")</f>
        <v/>
      </c>
      <c r="KA16" s="102" t="str">
        <f>IF(AND(WSIND!$R$228&gt;=75,WSIND!$R$228&lt;=83.24),"P","")</f>
        <v/>
      </c>
      <c r="KB16" s="102" t="str">
        <f>IF(AND(WSIND!$R$228&gt;=83.25,WSIND!$R$228&lt;=91.4),"P","")</f>
        <v/>
      </c>
      <c r="KC16" s="102" t="str">
        <f>IF(AND(WSIND!$R$228&gt;=91.5,WSIND!$R$228&lt;=100),"P","")</f>
        <v>P</v>
      </c>
      <c r="KD16" t="str">
        <f>IF(WSIND!$R$256&lt;74.9,"P","")</f>
        <v/>
      </c>
      <c r="KE16" s="102" t="str">
        <f>IF(AND(WSIND!$R$256&gt;=75,WSIND!$R$256&lt;=83.24),"P","")</f>
        <v/>
      </c>
      <c r="KF16" s="102" t="str">
        <f>IF(AND(WSIND!$R$256&gt;=83.25,WSIND!$R$256&lt;=91.4),"P","")</f>
        <v/>
      </c>
      <c r="KG16" s="102" t="str">
        <f>IF(AND(WSIND!$R$256&gt;=91.5,WSIND!$R$256&lt;=100),"P","")</f>
        <v>P</v>
      </c>
      <c r="KH16" t="str">
        <f>IF(WSIND!$R$277&lt;74.9,"P","")</f>
        <v/>
      </c>
      <c r="KI16" s="102" t="str">
        <f>IF(AND(WSIND!$R$277&gt;=75,WSIND!$R$277&lt;=83.24),"P","")</f>
        <v/>
      </c>
      <c r="KJ16" s="102" t="str">
        <f>IF(AND(WSIND!$R$277&gt;=83.25,WSIND!$R$277&lt;=91.4),"P","")</f>
        <v/>
      </c>
      <c r="KK16" s="102" t="str">
        <f>IF(AND(WSIND!$R$277&gt;=91.5,WSIND!$R$277&lt;=100),"P","")</f>
        <v>P</v>
      </c>
      <c r="KL16" t="str">
        <f>IF(WSIND!$R$305&lt;74.9,"P","")</f>
        <v/>
      </c>
      <c r="KM16" s="102" t="str">
        <f>IF(AND(WSIND!$R$305&gt;=75,WSIND!$R$305&lt;=83.24),"P","")</f>
        <v/>
      </c>
      <c r="KN16" s="102" t="str">
        <f>IF(AND(WSIND!$R$305&gt;=83.25,WSIND!$R$305&lt;=91.4),"P","")</f>
        <v/>
      </c>
      <c r="KO16" s="102" t="str">
        <f>IF(AND(WSIND!$R$305&gt;=91.5,WSIND!$R$305&lt;=100),"P","")</f>
        <v>P</v>
      </c>
      <c r="KP16" t="str">
        <f>IF(WSIND!$R$329&lt;74.9,"P","")</f>
        <v/>
      </c>
      <c r="KQ16" s="102" t="str">
        <f>IF(AND(WSIND!$R$329&gt;=75,WSIND!$R$329&lt;=83.24),"P","")</f>
        <v/>
      </c>
      <c r="KR16" s="102" t="str">
        <f>IF(AND(WSIND!$R$329&gt;=83.25,WSIND!$R$329&lt;=91.4),"P","")</f>
        <v/>
      </c>
      <c r="KS16" s="102" t="str">
        <f>IF(AND(WSIND!$R$329&gt;=91.5,WSIND!$R$329&lt;=100),"P","")</f>
        <v/>
      </c>
      <c r="KT16" t="str">
        <f>IF(WSIND!$R$337&lt;74.9,"P","")</f>
        <v/>
      </c>
      <c r="KU16" s="102" t="str">
        <f>IF(AND(WSIND!$R$337&gt;=75,WSIND!$R$337&lt;=83.24),"P","")</f>
        <v/>
      </c>
      <c r="KV16" s="102" t="str">
        <f>IF(AND(WSIND!$R$337&gt;=83.25,WSIND!$R$337&lt;=91.4),"P","")</f>
        <v/>
      </c>
      <c r="KW16" s="102" t="str">
        <f>IF(AND(WSIND!$R$337&gt;=91.5,WSIND!$R$337&lt;=100),"P","")</f>
        <v/>
      </c>
      <c r="KX16" t="str">
        <f>IF(WSIND!$R$345&lt;74.9,"P","")</f>
        <v/>
      </c>
      <c r="KY16" s="102" t="str">
        <f>IF(AND(WSIND!$R$345&gt;=75,WSIND!$R$345&lt;=83.24),"P","")</f>
        <v/>
      </c>
      <c r="KZ16" s="102" t="str">
        <f>IF(AND(WSIND!$R$345&gt;=83.25,WSIND!$R$345&lt;=91.4),"P","")</f>
        <v/>
      </c>
      <c r="LA16" s="102" t="str">
        <f>IF(AND(WSIND!$R$345&gt;=91.5,WSIND!$R$345&lt;=100),"P","")</f>
        <v/>
      </c>
      <c r="LB16" t="str">
        <f>IF(WSARAB!$R$6&lt;74.9,"P","")</f>
        <v/>
      </c>
      <c r="LC16" s="102" t="str">
        <f>IF(AND(WSARAB!$R$6&gt;=75,WSARAB!$R$6&lt;=83.24),"P","")</f>
        <v/>
      </c>
      <c r="LD16" s="102" t="str">
        <f>IF(AND(WSARAB!$R$6&gt;=83.25,WSARAB!$R$6&lt;=91.4),"P","")</f>
        <v/>
      </c>
      <c r="LE16" s="102" t="str">
        <f>IF(AND(WSARAB!$R$6&gt;=91.5,WSARAB!$R$6&lt;=100),"P","")</f>
        <v/>
      </c>
      <c r="LF16" t="str">
        <f>IF(WSARAB!$R$17&lt;74.9,"P","")</f>
        <v/>
      </c>
      <c r="LG16" s="102" t="str">
        <f>IF(AND(WSARAB!$R$17&gt;=75,WSARAB!$R$17&lt;=83.24),"P","")</f>
        <v/>
      </c>
      <c r="LH16" s="102" t="str">
        <f>IF(AND(WSARAB!$R$17&gt;=83.25,WSARAB!$R$17&lt;=91.4),"P","")</f>
        <v/>
      </c>
      <c r="LI16" s="102" t="str">
        <f>IF(AND(WSARAB!$R$17&gt;=91.5,WSARAB!$R$17&lt;=100),"P","")</f>
        <v/>
      </c>
      <c r="LJ16" t="str">
        <f>IF(WSARAB!$R$29&lt;74.9,"P","")</f>
        <v/>
      </c>
      <c r="LK16" s="102" t="str">
        <f>IF(AND(WSARAB!$R$29&gt;=75,WSARAB!$R$29&lt;=83.24),"P","")</f>
        <v/>
      </c>
      <c r="LL16" s="102" t="str">
        <f>IF(AND(WSARAB!$R$29&gt;=83.25,WSARAB!$R$29&lt;=91.4),"P","")</f>
        <v/>
      </c>
      <c r="LM16" s="102" t="str">
        <f>IF(AND(WSARAB!$R$29&gt;=91.5,WSARAB!$R$29&lt;=100),"P","")</f>
        <v/>
      </c>
      <c r="LN16" t="str">
        <f>IF(WSARAB!$R$37&lt;74.9,"P","")</f>
        <v/>
      </c>
      <c r="LO16" s="102" t="str">
        <f>IF(AND(WSARAB!$R$37&gt;=75,WSARAB!$R$37&lt;=83.24),"P","")</f>
        <v/>
      </c>
      <c r="LP16" s="102" t="str">
        <f>IF(AND(WSARAB!$R$37&gt;=83.25,WSARAB!$R$37&lt;=91.4),"P","")</f>
        <v/>
      </c>
      <c r="LQ16" s="102" t="str">
        <f>IF(AND(WSARAB!$R$37&gt;=91.5,WSARAB!$R$37&lt;=100),"P","")</f>
        <v/>
      </c>
      <c r="LR16" t="str">
        <f>IF(WSARAB!$R$45&lt;74.9,"P","")</f>
        <v/>
      </c>
      <c r="LS16" s="102" t="str">
        <f>IF(AND(WSARAB!$R$45&gt;=75,WSARAB!$R$45&lt;=83.24),"P","")</f>
        <v/>
      </c>
      <c r="LT16" s="102" t="str">
        <f>IF(AND(WSARAB!$R$45&gt;=83.25,WSARAB!$R$45&lt;=91.4),"P","")</f>
        <v/>
      </c>
      <c r="LU16" s="102" t="str">
        <f>IF(AND(WSARAB!$R$45&gt;=91.5,WSARAB!$R$45&lt;=100),"P","")</f>
        <v/>
      </c>
      <c r="LV16" t="str">
        <f>IF(WSARAB!$R$53&lt;74.9,"P","")</f>
        <v/>
      </c>
      <c r="LW16" s="102" t="str">
        <f>IF(AND(WSARAB!$R$53&gt;=75,WSARAB!$R$53&lt;=83.24),"P","")</f>
        <v/>
      </c>
      <c r="LX16" s="102" t="str">
        <f>IF(AND(WSARAB!$R$53&gt;=83.25,WSARAB!$R$53&lt;=91.4),"P","")</f>
        <v/>
      </c>
      <c r="LY16" s="102" t="str">
        <f>IF(AND(WSARAB!$R$53&gt;=91.5,WSARAB!$R$53&lt;=100),"P","")</f>
        <v/>
      </c>
      <c r="LZ16" t="str">
        <f>IF(WSARAB!$R$65&lt;74.9,"P","")</f>
        <v/>
      </c>
      <c r="MA16" s="102" t="str">
        <f>IF(AND(WSARAB!$R$65&gt;=75,WSARAB!$R$65&lt;=83.24),"P","")</f>
        <v/>
      </c>
      <c r="MB16" s="102" t="str">
        <f>IF(AND(WSARAB!$R$65&gt;=83.25,WSARAB!$R$65&lt;=91.4),"P","")</f>
        <v/>
      </c>
      <c r="MC16" s="102" t="str">
        <f>IF(AND(WSARAB!$R$65&gt;=91.5,WSARAB!$R$65&lt;=100),"P","")</f>
        <v/>
      </c>
      <c r="MD16" t="str">
        <f>IF(WSARAB!$R$73&lt;74.9,"P","")</f>
        <v/>
      </c>
      <c r="ME16" s="102" t="str">
        <f>IF(AND(WSARAB!$R$73&gt;=75,WSARAB!$R$73&lt;=83.24),"P","")</f>
        <v/>
      </c>
      <c r="MF16" s="102" t="str">
        <f>IF(AND(WSARAB!$R$73&gt;=83.25,WSARAB!$R$73&lt;=91.4),"P","")</f>
        <v/>
      </c>
      <c r="MG16" s="102" t="str">
        <f>IF(AND(WSARAB!$R$73&gt;=91.5,WSARAB!$R$73&lt;=100),"P","")</f>
        <v/>
      </c>
      <c r="MH16" t="str">
        <f>IF(WSARAB!$R$81&lt;74.9,"P","")</f>
        <v/>
      </c>
      <c r="MI16" s="102" t="str">
        <f>IF(AND(WSARAB!$R$81&gt;=75,WSARAB!$R$81&lt;=83.24),"P","")</f>
        <v/>
      </c>
      <c r="MJ16" s="102" t="str">
        <f>IF(AND(WSARAB!$R$81&gt;=83.25,WSARAB!$R$81&lt;=91.4),"P","")</f>
        <v/>
      </c>
      <c r="MK16" s="102" t="str">
        <f>IF(AND(WSARAB!$R$81&gt;=91.5,WSARAB!$R$81&lt;=100),"P","")</f>
        <v/>
      </c>
      <c r="ML16" t="str">
        <f>IF(WSARAB!$R$89&lt;74.9,"P","")</f>
        <v/>
      </c>
      <c r="MM16" s="102" t="str">
        <f>IF(AND(WSARAB!$R$89&gt;=75,WSARAB!$R$89&lt;=83.24),"P","")</f>
        <v/>
      </c>
      <c r="MN16" s="102" t="str">
        <f>IF(AND(WSARAB!$R$89&gt;=83.25,WSARAB!$R$89&lt;=91.4),"P","")</f>
        <v/>
      </c>
      <c r="MO16" s="102" t="str">
        <f>IF(AND(WSARAB!$R$89&gt;=91.5,WSARAB!$R$89&lt;=100),"P","")</f>
        <v/>
      </c>
      <c r="MP16" t="str">
        <f>IF(WSARAB!$R$97&lt;74.9,"P","")</f>
        <v/>
      </c>
      <c r="MQ16" s="102" t="str">
        <f>IF(AND(WSARAB!$R$97&gt;=75,WSARAB!$R$97&lt;=83.24),"P","")</f>
        <v/>
      </c>
      <c r="MR16" s="102" t="str">
        <f>IF(AND(WSARAB!$R$97&gt;=83.25,WSARAB!$R$97&lt;=91.4),"P","")</f>
        <v/>
      </c>
      <c r="MS16" s="102" t="str">
        <f>IF(AND(WSARAB!$R$97&gt;=91.5,WSARAB!$R$97&lt;=100),"P","")</f>
        <v/>
      </c>
      <c r="MT16" t="str">
        <f>IF(WSARAB!$R$105&lt;74.9,"P","")</f>
        <v/>
      </c>
      <c r="MU16" s="102" t="str">
        <f>IF(AND(WSARAB!$R$105&gt;=75,WSARAB!$R$105&lt;=83.24),"P","")</f>
        <v/>
      </c>
      <c r="MV16" s="102" t="str">
        <f>IF(AND(WSARAB!$R$105&gt;=83.25,WSARAB!$R$105&lt;=91.4),"P","")</f>
        <v/>
      </c>
      <c r="MW16" s="102" t="str">
        <f>IF(AND(WSARAB!$R$105&gt;=91.5,WSARAB!$R$105&lt;=100),"P","")</f>
        <v/>
      </c>
      <c r="MX16" t="str">
        <f>IF(WSARAB!$R$113&lt;74.9,"P","")</f>
        <v/>
      </c>
      <c r="MY16" s="102" t="str">
        <f>IF(AND(WSARAB!$R$113&gt;=75,WSARAB!$R$113&lt;=83.24),"P","")</f>
        <v/>
      </c>
      <c r="MZ16" s="102" t="str">
        <f>IF(AND(WSARAB!$R$113&gt;=83.25,WSARAB!$R$113&lt;=91.4),"P","")</f>
        <v/>
      </c>
      <c r="NA16" s="102" t="str">
        <f>IF(AND(WSARAB!$R$113&gt;=91.5,WSARAB!$R$113&lt;=100),"P","")</f>
        <v/>
      </c>
      <c r="NB16" t="str">
        <f>IF(WSMTK!$R$6&lt;74.9,"P","")</f>
        <v/>
      </c>
      <c r="NC16" s="102" t="str">
        <f>IF(AND(WSMTK!$R$6&gt;=75,WSMTK!$R$6&lt;=83.24),"P","")</f>
        <v/>
      </c>
      <c r="ND16" s="102" t="str">
        <f>IF(AND(WSMTK!$R$6&gt;=83.25,WSMTK!$R$6&lt;=91.4),"P","")</f>
        <v/>
      </c>
      <c r="NE16" s="102" t="str">
        <f>IF(AND(WSMTK!$R$6&gt;=91.5,WSMTK!$R$6&lt;=100),"P","")</f>
        <v>P</v>
      </c>
      <c r="NF16" t="str">
        <f>IF(WSMTK!$R$22&lt;74.9,"P","")</f>
        <v/>
      </c>
      <c r="NG16" s="102" t="str">
        <f>IF(AND(WSMTK!$R$22&gt;=75,WSMTK!$R$22&lt;=83.24),"P","")</f>
        <v/>
      </c>
      <c r="NH16" s="102" t="str">
        <f>IF(AND(WSMTK!$R$22&gt;=83.25,WSMTK!$R$22&lt;=91.4),"P","")</f>
        <v/>
      </c>
      <c r="NI16" s="102" t="str">
        <f>IF(AND(WSMTK!$R$22&gt;=91.5,WSMTK!$R$22&lt;=100),"P","")</f>
        <v>P</v>
      </c>
      <c r="NJ16" t="str">
        <f>IF(WSMTK!$R$35&lt;74.9,"P","")</f>
        <v/>
      </c>
      <c r="NK16" s="102" t="str">
        <f>IF(AND(WSMTK!$R$35&gt;=75,WSMTK!$R$35&lt;=83.24),"P","")</f>
        <v/>
      </c>
      <c r="NL16" s="102" t="str">
        <f>IF(AND(WSMTK!$R$35&gt;=83.25,WSMTK!$R$35&lt;=91.4),"P","")</f>
        <v/>
      </c>
      <c r="NM16" s="102" t="str">
        <f>IF(AND(WSMTK!$R$35&gt;=91.5,WSMTK!$R$35&lt;=100),"P","")</f>
        <v>P</v>
      </c>
      <c r="NN16" t="str">
        <f>IF(WSMTK!$R$69&lt;74.9,"P","")</f>
        <v/>
      </c>
      <c r="NO16" s="102" t="str">
        <f>IF(AND(WSMTK!$R$69&gt;=75,WSMTK!$R$69&lt;=83.24),"P","")</f>
        <v/>
      </c>
      <c r="NP16" s="102" t="str">
        <f>IF(AND(WSMTK!$R$69&gt;=83.25,WSMTK!$R$69&lt;=91.4),"P","")</f>
        <v/>
      </c>
      <c r="NQ16" s="102" t="str">
        <f>IF(AND(WSMTK!$R$69&gt;=91.5,WSMTK!$R$69&lt;=100),"P","")</f>
        <v>P</v>
      </c>
      <c r="NR16" t="str">
        <f>IF(WSMTK!$R$87&lt;74.9,"P","")</f>
        <v/>
      </c>
      <c r="NS16" s="102" t="str">
        <f>IF(AND(WSMTK!$R$87&gt;=75,WSMTK!$R$87&lt;=83.24),"P","")</f>
        <v/>
      </c>
      <c r="NT16" s="102" t="str">
        <f>IF(AND(WSMTK!$R$87&gt;=83.25,WSMTK!$R$87&lt;=91.4),"P","")</f>
        <v/>
      </c>
      <c r="NU16" s="102" t="str">
        <f>IF(AND(WSMTK!$R$87&gt;=91.5,WSMTK!$R$87&lt;=100),"P","")</f>
        <v>P</v>
      </c>
      <c r="NV16" t="str">
        <f>IF(WSMTK!$R$99&lt;74.9,"P","")</f>
        <v/>
      </c>
      <c r="NW16" s="102" t="str">
        <f>IF(AND(WSMTK!$R$99&gt;=75,WSMTK!$R$99&lt;=83.24),"P","")</f>
        <v/>
      </c>
      <c r="NX16" s="102" t="str">
        <f>IF(AND(WSMTK!$R$99&gt;=83.25,WSMTK!$R$99&lt;=91.4),"P","")</f>
        <v/>
      </c>
      <c r="NY16" s="102" t="str">
        <f>IF(AND(WSMTK!$R$99&gt;=91.5,WSMTK!$R$99&lt;=100),"P","")</f>
        <v>P</v>
      </c>
      <c r="NZ16" t="str">
        <f>IF(WSMTK!$R$113&lt;74.9,"P","")</f>
        <v/>
      </c>
      <c r="OA16" s="102" t="str">
        <f>IF(AND(WSMTK!$R$113&gt;=75,WSMTK!$R$113&lt;=83.24),"P","")</f>
        <v/>
      </c>
      <c r="OB16" s="102" t="str">
        <f>IF(AND(WSMTK!$R$113&gt;=83.25,WSMTK!$R$113&lt;=91.4),"P","")</f>
        <v/>
      </c>
      <c r="OC16" s="102" t="str">
        <f>IF(AND(WSMTK!$R$113&gt;=91.5,WSMTK!$R$113&lt;=100),"P","")</f>
        <v>P</v>
      </c>
      <c r="OD16" t="str">
        <f>IF(WSMTK!$R$145&lt;74.9,"P","")</f>
        <v/>
      </c>
      <c r="OE16" s="102" t="str">
        <f>IF(AND(WSMTK!$R$145&gt;=75,WSMTK!$R$145&lt;=83.24),"P","")</f>
        <v/>
      </c>
      <c r="OF16" s="102" t="str">
        <f>IF(AND(WSMTK!$R$145&gt;=83.25,WSMTK!$R$145&lt;=91.4),"P","")</f>
        <v/>
      </c>
      <c r="OG16" s="102" t="str">
        <f>IF(AND(WSMTK!$R$145&gt;=91.5,WSMTK!$R$145&lt;=100),"P","")</f>
        <v>P</v>
      </c>
      <c r="OH16" t="str">
        <f>IF(WSMTK!$R$168&lt;74.9,"P","")</f>
        <v/>
      </c>
      <c r="OI16" s="102" t="str">
        <f>IF(AND(WSMTK!$R$168&gt;=75,WSMTK!$R$168&lt;=83.24),"P","")</f>
        <v/>
      </c>
      <c r="OJ16" s="102" t="str">
        <f>IF(AND(WSMTK!$R$168&gt;=83.25,WSMTK!$R$168&lt;=91.4),"P","")</f>
        <v/>
      </c>
      <c r="OK16" s="102" t="str">
        <f>IF(AND(WSMTK!$R$168&gt;=91.5,WSMTK!$R$168&lt;=100),"P","")</f>
        <v/>
      </c>
      <c r="OL16" t="str">
        <f>IF(WSMTK!$R$176&lt;74.9,"P","")</f>
        <v/>
      </c>
      <c r="OM16" s="102" t="str">
        <f>IF(AND(WSMTK!$R$176&gt;=75,WSMTK!$R$176&lt;=83.24),"P","")</f>
        <v/>
      </c>
      <c r="ON16" s="102" t="str">
        <f>IF(AND(WSMTK!$R$176&gt;=83.25,WSMTK!$R$176&lt;=91.4),"P","")</f>
        <v/>
      </c>
      <c r="OO16" s="102" t="str">
        <f>IF(AND(WSMTK!$R$176&gt;=91.5,WSMTK!$R$176&lt;=100),"P","")</f>
        <v/>
      </c>
      <c r="OP16" t="str">
        <f>IF(WSMTK!$R$184&lt;74.9,"P","")</f>
        <v/>
      </c>
      <c r="OQ16" s="102" t="str">
        <f>IF(AND(WSMTK!$R$184&gt;=75,WSMTK!$R$184&lt;=83.24),"P","")</f>
        <v/>
      </c>
      <c r="OR16" s="102" t="str">
        <f>IF(AND(WSMTK!$R$184&gt;=83.25,WSMTK!$R$184&lt;=91.4),"P","")</f>
        <v/>
      </c>
      <c r="OS16" s="102" t="str">
        <f>IF(AND(WSMTK!$R$184&gt;=91.5,WSMTK!$R$184&lt;=100),"P","")</f>
        <v/>
      </c>
      <c r="OT16" t="str">
        <f>IF(WSMTK!$R$192&lt;74.9,"P","")</f>
        <v/>
      </c>
      <c r="OU16" s="102" t="str">
        <f>IF(AND(WSMTK!$R$192&gt;=75,WSMTK!$R$192&lt;=83.24),"P","")</f>
        <v/>
      </c>
      <c r="OV16" s="102" t="str">
        <f>IF(AND(WSMTK!$R$192&gt;=83.25,WSMTK!$R$192&lt;=91.4),"P","")</f>
        <v/>
      </c>
      <c r="OW16" s="102" t="str">
        <f>IF(AND(WSMTK!$R$192&gt;=91.5,WSMTK!$R$192&lt;=100),"P","")</f>
        <v/>
      </c>
      <c r="OX16" t="str">
        <f>IF(WSMTK!$R$200&lt;74.9,"P","")</f>
        <v/>
      </c>
      <c r="OY16" s="102" t="str">
        <f>IF(AND(WSMTK!$R$200&gt;=75,WSMTK!$R$200&lt;=83.24),"P","")</f>
        <v/>
      </c>
      <c r="OZ16" s="102" t="str">
        <f>IF(AND(WSMTK!$R$200&gt;=83.25,WSMTK!$R$200&lt;=91.4),"P","")</f>
        <v/>
      </c>
      <c r="PA16" s="102" t="str">
        <f>IF(AND(WSMTK!$R$200&gt;=91.5,WSMTK!$R$200&lt;=100),"P","")</f>
        <v/>
      </c>
      <c r="PB16" t="str">
        <f>IF(WSIPA!$R$6&lt;74.9,"P","")</f>
        <v/>
      </c>
      <c r="PC16" s="102" t="str">
        <f>IF(AND(WSIPA!$R$6&gt;=75,WSIPA!$R$6&lt;=83.24),"P","")</f>
        <v/>
      </c>
      <c r="PD16" s="102" t="str">
        <f>IF(AND(WSIPA!$R$6&gt;=83.25,WSIPA!$R$6&lt;=91.4),"P","")</f>
        <v/>
      </c>
      <c r="PE16" s="102" t="str">
        <f>IF(AND(WSIPA!$R$6&gt;=91.5,WSIPA!$R$6&lt;=100),"P","")</f>
        <v/>
      </c>
      <c r="PF16" t="str">
        <f>IF(WSIPA!$R$14&lt;74.9,"P","")</f>
        <v/>
      </c>
      <c r="PG16" s="102" t="str">
        <f>IF(AND(WSIPA!$R$14&gt;=75,WSIPA!$R$14&lt;=83.24),"P","")</f>
        <v/>
      </c>
      <c r="PH16" s="102" t="str">
        <f>IF(AND(WSIPA!$R$14&gt;=83.25,WSIPA!$R$14&lt;=91.4),"P","")</f>
        <v/>
      </c>
      <c r="PI16" s="102" t="str">
        <f>IF(AND(WSIPA!$R$14&gt;=91.5,WSIPA!$R$14&lt;=100),"P","")</f>
        <v/>
      </c>
      <c r="PJ16" t="str">
        <f>IF(WSIPA!$R$22&lt;74.9,"P","")</f>
        <v/>
      </c>
      <c r="PK16" s="102" t="str">
        <f>IF(AND(WSIPA!$R$22&gt;=75,WSIPA!$R$22&lt;=83.24),"P","")</f>
        <v/>
      </c>
      <c r="PL16" s="102" t="str">
        <f>IF(AND(WSIPA!$R$22&gt;=83.25,WSIPA!$R$22&lt;=91.4),"P","")</f>
        <v/>
      </c>
      <c r="PM16" s="102" t="str">
        <f>IF(AND(WSIPA!$R$22&gt;=91.5,WSIPA!$R$22&lt;=100),"P","")</f>
        <v/>
      </c>
      <c r="PN16" t="str">
        <f>IF(WSIPA!$R$30&lt;74.9,"P","")</f>
        <v/>
      </c>
      <c r="PO16" s="102" t="str">
        <f>IF(AND(WSIPA!$R$30&gt;=75,WSIPA!$R$30&lt;=83.24),"P","")</f>
        <v/>
      </c>
      <c r="PP16" s="102" t="str">
        <f>IF(AND(WSIPA!$R$30&gt;=83.25,WSIPA!$R$30&lt;=91.4),"P","")</f>
        <v/>
      </c>
      <c r="PQ16" s="102" t="str">
        <f>IF(AND(WSIPA!$R$30&gt;=91.5,WSIPA!$R$30&lt;=100),"P","")</f>
        <v/>
      </c>
      <c r="PR16" t="str">
        <f>IF(WSIPA!$R$38&lt;74.9,"P","")</f>
        <v/>
      </c>
      <c r="PS16" s="102" t="str">
        <f>IF(AND(WSIPA!$R$38&gt;=75,WSIPA!$R$38&lt;=83.24),"P","")</f>
        <v/>
      </c>
      <c r="PT16" s="102" t="str">
        <f>IF(AND(WSIPA!$R$38&gt;=83.25,WSIPA!$R$38&lt;=91.4),"P","")</f>
        <v/>
      </c>
      <c r="PU16" s="102" t="str">
        <f>IF(AND(WSIPA!$R$38&gt;=91.5,WSIPA!$R$38&lt;=100),"P","")</f>
        <v/>
      </c>
      <c r="PV16" t="str">
        <f>IF(WSIPA!$R$46&lt;74.9,"P","")</f>
        <v/>
      </c>
      <c r="PW16" s="102" t="str">
        <f>IF(AND(WSIPA!$R$46&gt;=75,WSIPA!$R$46&lt;=83.24),"P","")</f>
        <v/>
      </c>
      <c r="PX16" s="102" t="str">
        <f>IF(AND(WSIPA!$R$46&gt;=83.25,WSIPA!$R$46&lt;=91.4),"P","")</f>
        <v/>
      </c>
      <c r="PY16" s="102" t="str">
        <f>IF(AND(WSIPA!$R$46&gt;=91.5,WSIPA!$R$46&lt;=100),"P","")</f>
        <v/>
      </c>
      <c r="PZ16" t="str">
        <f>IF(WSIPA!$R$54&lt;74.9,"P","")</f>
        <v/>
      </c>
      <c r="QA16" s="102" t="str">
        <f>IF(AND(WSIPA!$R$54&gt;=75,WSIPA!$R$54&lt;=83.24),"P","")</f>
        <v/>
      </c>
      <c r="QB16" s="102" t="str">
        <f>IF(AND(WSIPA!$R$54&gt;=83.25,WSIPA!$R$54&lt;=91.4),"P","")</f>
        <v/>
      </c>
      <c r="QC16" s="102" t="str">
        <f>IF(AND(WSIPA!$R$54&gt;=91.5,WSIPA!$R$54&lt;=100),"P","")</f>
        <v/>
      </c>
      <c r="QD16" t="str">
        <f>IF(WSIPA!$R$62&lt;74.9,"P","")</f>
        <v/>
      </c>
      <c r="QE16" s="102" t="str">
        <f>IF(AND(WSIPA!$R$62&gt;=75,WSIPA!$R$62&lt;=83.24),"P","")</f>
        <v/>
      </c>
      <c r="QF16" s="102" t="str">
        <f>IF(AND(WSIPA!$R$62&gt;=83.25,WSIPA!$R$62&lt;=91.4),"P","")</f>
        <v/>
      </c>
      <c r="QG16" s="102" t="str">
        <f>IF(AND(WSIPA!$R$62&gt;=91.5,WSIPA!$R$62&lt;=100),"P","")</f>
        <v/>
      </c>
      <c r="QH16" t="str">
        <f>IF(WSIPA!$R$70&lt;74.9,"P","")</f>
        <v/>
      </c>
      <c r="QI16" s="102" t="str">
        <f>IF(AND(WSIPA!$R$70&gt;=75,WSIPA!$R$70&lt;=83.24),"P","")</f>
        <v/>
      </c>
      <c r="QJ16" s="102" t="str">
        <f>IF(AND(WSIPA!$R$70&gt;=83.25,WSIPA!$R$70&lt;=91.4),"P","")</f>
        <v/>
      </c>
      <c r="QK16" s="102" t="str">
        <f>IF(AND(WSIPA!$R$70&gt;=91.5,WSIPA!$R$70&lt;=100),"P","")</f>
        <v/>
      </c>
      <c r="QL16" t="str">
        <f>IF(WSIPA!$R$78&lt;74.9,"P","")</f>
        <v/>
      </c>
      <c r="QM16" s="102" t="str">
        <f>IF(AND(WSIPA!$R$78&gt;=75,WSIPA!$R$78&lt;=83.24),"P","")</f>
        <v/>
      </c>
      <c r="QN16" s="102" t="str">
        <f>IF(AND(WSIPA!$R$78&gt;=83.25,WSIPA!$R$78&lt;=91.4),"P","")</f>
        <v/>
      </c>
      <c r="QO16" s="102" t="str">
        <f>IF(AND(WSIPA!$R$78&gt;=91.5,WSIPA!$R$78&lt;=100),"P","")</f>
        <v/>
      </c>
      <c r="QP16" t="str">
        <f>IF(WSIPA!$R$86&lt;74.9,"P","")</f>
        <v/>
      </c>
      <c r="QQ16" s="102" t="str">
        <f>IF(AND(WSIPA!$R$86&gt;=75,WSIPA!$R$86&lt;=83.24),"P","")</f>
        <v/>
      </c>
      <c r="QR16" s="102" t="str">
        <f>IF(AND(WSIPA!$R$86&gt;=83.25,WSIPA!$R$86&lt;=91.4),"P","")</f>
        <v/>
      </c>
      <c r="QS16" s="102" t="str">
        <f>IF(AND(WSIPA!$R$86&gt;=91.5,WSIPA!$R$86&lt;=100),"P","")</f>
        <v/>
      </c>
      <c r="QT16" t="str">
        <f>IF(WSIPA!$R$94&lt;74.9,"P","")</f>
        <v/>
      </c>
      <c r="QU16" s="102" t="str">
        <f>IF(AND(WSIPA!$R$94&gt;=75,WSIPA!$R$94&lt;=83.24),"P","")</f>
        <v/>
      </c>
      <c r="QV16" s="102" t="str">
        <f>IF(AND(WSIPA!$R$94&gt;=83.25,WSIPA!$R$94&lt;=91.4),"P","")</f>
        <v/>
      </c>
      <c r="QW16" s="102" t="str">
        <f>IF(AND(WSIPA!$R$94&gt;=91.5,WSIPA!$R$94&lt;=100),"P","")</f>
        <v/>
      </c>
      <c r="QX16" t="str">
        <f>IF(WSIPA!$R$102&lt;74.9,"P","")</f>
        <v/>
      </c>
      <c r="QY16" s="102" t="str">
        <f>IF(AND(WSIPA!$R$102&gt;=75,WSIPA!$R$102&lt;=83.24),"P","")</f>
        <v/>
      </c>
      <c r="QZ16" s="102" t="str">
        <f>IF(AND(WSIPA!$R$102&gt;=83.25,WSIPA!$R$102&lt;=91.4),"P","")</f>
        <v/>
      </c>
      <c r="RA16" s="102" t="str">
        <f>IF(AND(WSIPA!$R$102&gt;=91.5,WSIPA!$R$102&lt;=100),"P","")</f>
        <v/>
      </c>
      <c r="RB16" t="str">
        <f>IF(WSIPS!$R$6&lt;74.9,"P","")</f>
        <v/>
      </c>
      <c r="RC16" s="102" t="str">
        <f>IF(AND(WSIPS!$R$6&gt;=75,WSIPS!$R$6&lt;=83.24),"P","")</f>
        <v/>
      </c>
      <c r="RD16" s="102" t="str">
        <f>IF(AND(WSIPS!$R$6&gt;=83.25,WSIPS!$R$6&lt;=91.4),"P","")</f>
        <v/>
      </c>
      <c r="RE16" s="102" t="str">
        <f>IF(AND(WSIPS!$R$6&gt;=91.5,WSIPS!$R$6&lt;=100),"P","")</f>
        <v/>
      </c>
      <c r="RF16" t="str">
        <f>IF(WSIPS!$R$14&lt;74.9,"P","")</f>
        <v/>
      </c>
      <c r="RG16" s="102" t="str">
        <f>IF(AND(WSIPS!$R$14&gt;=75,WSIPS!$R$14&lt;=83.24),"P","")</f>
        <v/>
      </c>
      <c r="RH16" s="102" t="str">
        <f>IF(AND(WSIPS!$R$14&gt;=83.25,WSIPS!$R$14&lt;=91.4),"P","")</f>
        <v/>
      </c>
      <c r="RI16" s="102" t="str">
        <f>IF(AND(WSIPS!$R$14&gt;=91.5,WSIPS!$R$14&lt;=100),"P","")</f>
        <v/>
      </c>
      <c r="RJ16" t="str">
        <f>IF(WSIPS!$R$22&lt;74.9,"P","")</f>
        <v/>
      </c>
      <c r="RK16" s="102" t="str">
        <f>IF(AND(WSIPS!$R$22&gt;=75,WSIPS!$R$22&lt;=83.24),"P","")</f>
        <v/>
      </c>
      <c r="RL16" s="102" t="str">
        <f>IF(AND(WSIPS!$R$22&gt;=83.25,WSIPS!$R$22&lt;=91.4),"P","")</f>
        <v/>
      </c>
      <c r="RM16" s="102" t="str">
        <f>IF(AND(WSIPS!$R$22&gt;=91.5,WSIPS!$R$22&lt;=100),"P","")</f>
        <v/>
      </c>
      <c r="RN16" t="str">
        <f>IF(WSIPS!$R$30&lt;74.9,"P","")</f>
        <v/>
      </c>
      <c r="RO16" s="102" t="str">
        <f>IF(AND(WSIPS!$R$30&gt;=75,WSIPS!$R$30&lt;=83.24),"P","")</f>
        <v/>
      </c>
      <c r="RP16" s="102" t="str">
        <f>IF(AND(WSIPS!$R$30&gt;=83.25,WSIPS!$R$30&lt;=91.4),"P","")</f>
        <v/>
      </c>
      <c r="RQ16" s="102" t="str">
        <f>IF(AND(WSIPS!$R$30&gt;=91.5,WSIPS!$R$30&lt;=100),"P","")</f>
        <v/>
      </c>
      <c r="RR16" t="str">
        <f>IF(WSIPS!$R$38&lt;74.9,"P","")</f>
        <v/>
      </c>
      <c r="RS16" s="102" t="str">
        <f>IF(AND(WSIPS!$R$38&gt;=75,WSIPS!$R$38&lt;=83.24),"P","")</f>
        <v/>
      </c>
      <c r="RT16" s="102" t="str">
        <f>IF(AND(WSIPS!$R$38&gt;=83.25,WSIPS!$R$38&lt;=91.4),"P","")</f>
        <v/>
      </c>
      <c r="RU16" s="102" t="str">
        <f>IF(AND(WSIPS!$R$38&gt;=91.5,WSIPS!$R$38&lt;=100),"P","")</f>
        <v/>
      </c>
      <c r="RV16" t="str">
        <f>IF(WSIPS!$R$46&lt;74.9,"P","")</f>
        <v/>
      </c>
      <c r="RW16" s="102" t="str">
        <f>IF(AND(WSIPS!$R$46&gt;=75,WSIPS!$R$46&lt;=83.24),"P","")</f>
        <v/>
      </c>
      <c r="RX16" s="102" t="str">
        <f>IF(AND(WSIPS!$R$46&gt;=83.25,WSIPS!$R$46&lt;=91.4),"P","")</f>
        <v/>
      </c>
      <c r="RY16" s="102" t="str">
        <f>IF(AND(WSIPS!$R$46&gt;=91.5,WSIPS!$R$46&lt;=100),"P","")</f>
        <v/>
      </c>
      <c r="RZ16" t="str">
        <f>IF(WSIPS!$R$54&lt;74.9,"P","")</f>
        <v/>
      </c>
      <c r="SA16" s="102" t="str">
        <f>IF(AND(WSIPS!$R$54&gt;=75,WSIPS!$R$54&lt;=83.24),"P","")</f>
        <v/>
      </c>
      <c r="SB16" s="102" t="str">
        <f>IF(AND(WSIPS!$R$54&gt;=83.25,WSIPS!$R$54&lt;=91.4),"P","")</f>
        <v/>
      </c>
      <c r="SC16" s="102" t="str">
        <f>IF(AND(WSIPS!$R$54&gt;=91.5,WSIPS!$R$54&lt;=100),"P","")</f>
        <v/>
      </c>
      <c r="SD16" t="str">
        <f>IF(WSIPS!$R$62&lt;74.9,"P","")</f>
        <v/>
      </c>
      <c r="SE16" s="102" t="str">
        <f>IF(AND(WSIPS!$R$62&gt;=75,WSIPS!$R$62&lt;=83.24),"P","")</f>
        <v/>
      </c>
      <c r="SF16" s="102" t="str">
        <f>IF(AND(WSIPS!$R$62&gt;=83.25,WSIPS!$R$62&lt;=91.4),"P","")</f>
        <v/>
      </c>
      <c r="SG16" s="102" t="str">
        <f>IF(AND(WSIPS!$R$62&gt;=91.5,WSIPS!$R$62&lt;=100),"P","")</f>
        <v/>
      </c>
      <c r="SH16" t="str">
        <f>IF(WSIPS!$R$70&lt;74.9,"P","")</f>
        <v/>
      </c>
      <c r="SI16" s="102" t="str">
        <f>IF(AND(WSIPS!$R$70&gt;=75,WSIPS!$R$70&lt;=83.24),"P","")</f>
        <v/>
      </c>
      <c r="SJ16" s="102" t="str">
        <f>IF(AND(WSIPS!$R$70&gt;=83.25,WSIPS!$R$70&lt;=91.4),"P","")</f>
        <v/>
      </c>
      <c r="SK16" s="102" t="str">
        <f>IF(AND(WSIPS!$R$70&gt;=91.5,WSIPS!$R$70&lt;=100),"P","")</f>
        <v/>
      </c>
      <c r="SL16" t="str">
        <f>IF(WSIPS!$R$78&lt;74.9,"P","")</f>
        <v/>
      </c>
      <c r="SM16" s="102" t="str">
        <f>IF(AND(WSIPS!$R$78&gt;=75,WSIPS!$R$78&lt;=83.24),"P","")</f>
        <v/>
      </c>
      <c r="SN16" s="102" t="str">
        <f>IF(AND(WSIPS!$R$78&gt;=83.25,WSIPS!$R$78&lt;=91.4),"P","")</f>
        <v/>
      </c>
      <c r="SO16" s="102" t="str">
        <f>IF(AND(WSIPS!$R$78&gt;=91.5,WSIPS!$R$78&lt;=100),"P","")</f>
        <v/>
      </c>
      <c r="SP16" t="str">
        <f>IF(WSIPS!$R$86&lt;74.9,"P","")</f>
        <v/>
      </c>
      <c r="SQ16" s="102" t="str">
        <f>IF(AND(WSIPS!$R$86&gt;=75,WSIPS!$R$86&lt;=83.24),"P","")</f>
        <v/>
      </c>
      <c r="SR16" s="102" t="str">
        <f>IF(AND(WSIPS!$R$86&gt;=83.25,WSIPS!$R$86&lt;=91.4),"P","")</f>
        <v/>
      </c>
      <c r="SS16" s="102" t="str">
        <f>IF(AND(WSIPS!$R$86&gt;=91.5,WSIPS!$R$86&lt;=100),"P","")</f>
        <v/>
      </c>
      <c r="ST16" t="str">
        <f>IF(WSIPS!$R$94&lt;74.9,"P","")</f>
        <v/>
      </c>
      <c r="SU16" s="102" t="str">
        <f>IF(AND(WSIPS!$R$94&gt;=75,WSIPS!$R$94&lt;=83.24),"P","")</f>
        <v/>
      </c>
      <c r="SV16" s="102" t="str">
        <f>IF(AND(WSIPS!$R$94&gt;=83.25,WSIPS!$R$94&lt;=91.4),"P","")</f>
        <v/>
      </c>
      <c r="SW16" s="102" t="str">
        <f>IF(AND(WSIPS!$R$94&gt;=91.5,WSIPS!$R$94&lt;=100),"P","")</f>
        <v/>
      </c>
      <c r="SX16" t="str">
        <f>IF(WSIPS!$R$102&lt;74.9,"P","")</f>
        <v/>
      </c>
      <c r="SY16" s="102" t="str">
        <f>IF(AND(WSIPS!$R$102&gt;=75,WSIPS!$R$102&lt;=83.24),"P","")</f>
        <v/>
      </c>
      <c r="SZ16" s="102" t="str">
        <f>IF(AND(WSIPS!$R$102&gt;=83.25,WSIPS!$R$102&lt;=91.4),"P","")</f>
        <v/>
      </c>
      <c r="TA16" s="102" t="str">
        <f>IF(AND(WSIPS!$R$102&gt;=91.5,WSIPS!$R$102&lt;=100),"P","")</f>
        <v/>
      </c>
      <c r="TB16" t="str">
        <f>IF(WSSBK!$R$6&lt;74.9,"P","")</f>
        <v/>
      </c>
      <c r="TC16" s="102" t="str">
        <f>IF(AND(WSSBK!$R$6&gt;=75,WSSBK!$R$6&lt;=83.24),"P","")</f>
        <v/>
      </c>
      <c r="TD16" s="102" t="str">
        <f>IF(AND(WSSBK!$R$6&gt;=83.25,WSSBK!$R$6&lt;=91.4),"P","")</f>
        <v/>
      </c>
      <c r="TE16" s="102" t="str">
        <f>IF(AND(WSSBK!$R$6&gt;=91.5,WSSBK!$R$6&lt;=100),"P","")</f>
        <v>P</v>
      </c>
      <c r="TF16" t="str">
        <f>IF(WSSBK!$R$16&lt;74.9,"P","")</f>
        <v/>
      </c>
      <c r="TG16" s="102" t="str">
        <f>IF(AND(WSSBK!$R$16&gt;=75,WSSBK!$R$16&lt;=83.24),"P","")</f>
        <v/>
      </c>
      <c r="TH16" s="102" t="str">
        <f>IF(AND(WSSBK!$R$16&gt;=83.25,WSSBK!$R$16&lt;=91.4),"P","")</f>
        <v/>
      </c>
      <c r="TI16" s="102" t="str">
        <f>IF(AND(WSSBK!$R$16&gt;=91.5,WSSBK!$R$16&lt;=100),"P","")</f>
        <v>P</v>
      </c>
      <c r="TJ16" t="str">
        <f>IF(WSSBK!$R$26&lt;74.9,"P","")</f>
        <v/>
      </c>
      <c r="TK16" s="102" t="str">
        <f>IF(AND(WSSBK!$R$26&gt;=75,WSSBK!$R$26&lt;=83.24),"P","")</f>
        <v/>
      </c>
      <c r="TL16" s="102" t="str">
        <f>IF(AND(WSSBK!$R$26&gt;=83.25,WSSBK!$R$26&lt;=91.4),"P","")</f>
        <v/>
      </c>
      <c r="TM16" s="102" t="str">
        <f>IF(AND(WSSBK!$R$26&gt;=91.5,WSSBK!$R$26&lt;=100),"P","")</f>
        <v>P</v>
      </c>
      <c r="TN16" t="str">
        <f>IF(WSSBK!$R$36&lt;74.9,"P","")</f>
        <v/>
      </c>
      <c r="TO16" s="102" t="str">
        <f>IF(AND(WSSBK!$R$36&gt;=75,WSSBK!$R$36&lt;=83.24),"P","")</f>
        <v/>
      </c>
      <c r="TP16" s="102" t="str">
        <f>IF(AND(WSSBK!$R$36&gt;=83.25,WSSBK!$R$36&lt;=91.4),"P","")</f>
        <v>P</v>
      </c>
      <c r="TQ16" s="102" t="str">
        <f>IF(AND(WSSBK!$R$36&gt;=91.5,WSSBK!$R$36&lt;=100),"P","")</f>
        <v/>
      </c>
      <c r="TR16" t="str">
        <f>IF(WSSBK!$R$46&lt;74.9,"P","")</f>
        <v/>
      </c>
      <c r="TS16" s="102" t="str">
        <f>IF(AND(WSSBK!$R$46&gt;=75,WSSBK!$R$46&lt;=83.24),"P","")</f>
        <v/>
      </c>
      <c r="TT16" s="102" t="str">
        <f>IF(AND(WSSBK!$R$46&gt;=83.25,WSSBK!$R$46&lt;=91.4),"P","")</f>
        <v/>
      </c>
      <c r="TU16" s="102" t="str">
        <f>IF(AND(WSSBK!$R$46&gt;=91.5,WSSBK!$R$46&lt;=100),"P","")</f>
        <v>P</v>
      </c>
      <c r="TV16" t="str">
        <f>IF(WSSBK!$R$58&lt;74.9,"P","")</f>
        <v/>
      </c>
      <c r="TW16" s="102" t="str">
        <f>IF(AND(WSSBK!$R$58&gt;=75,WSSBK!$R$58&lt;=83.24),"P","")</f>
        <v/>
      </c>
      <c r="TX16" s="102" t="str">
        <f>IF(AND(WSSBK!$R$58&gt;=83.25,WSSBK!$R$58&lt;=91.4),"P","")</f>
        <v/>
      </c>
      <c r="TY16" s="102" t="str">
        <f>IF(AND(WSSBK!$R$58&gt;=91.5,WSSBK!$R$58&lt;=100),"P","")</f>
        <v>P</v>
      </c>
      <c r="TZ16" t="str">
        <f>IF(WSSBK!$R$68&lt;74.9,"P","")</f>
        <v/>
      </c>
      <c r="UA16" s="102" t="str">
        <f>IF(AND(WSSBK!$R$68&gt;=75,WSSBK!$R$68&lt;=83.24),"P","")</f>
        <v/>
      </c>
      <c r="UB16" s="102" t="str">
        <f>IF(AND(WSSBK!$R$68&gt;=83.25,WSSBK!$R$68&lt;=91.4),"P","")</f>
        <v/>
      </c>
      <c r="UC16" s="102" t="str">
        <f>IF(AND(WSSBK!$R$68&gt;=91.5,WSSBK!$R$68&lt;=100),"P","")</f>
        <v>P</v>
      </c>
      <c r="UD16" t="str">
        <f>IF(WSSBK!$R$77&lt;74.9,"P","")</f>
        <v/>
      </c>
      <c r="UE16" s="102" t="str">
        <f>IF(AND(WSSBK!$R$77&gt;=75,WSSBK!$R$77&lt;=83.24),"P","")</f>
        <v/>
      </c>
      <c r="UF16" s="102" t="str">
        <f>IF(AND(WSSBK!$R$77&gt;=83.25,WSSBK!$R$77&lt;=91.4),"P","")</f>
        <v>P</v>
      </c>
      <c r="UG16" s="102" t="str">
        <f>IF(AND(WSSBK!$R$77&gt;=91.5,WSSBK!$R$77&lt;=100),"P","")</f>
        <v/>
      </c>
      <c r="UH16" t="str">
        <f>IF(WSSBK!$R$87&lt;74.9,"P","")</f>
        <v/>
      </c>
      <c r="UI16" s="102" t="str">
        <f>IF(AND(WSSBK!$R$87&gt;=75,WSSBK!$R$87&lt;=83.24),"P","")</f>
        <v/>
      </c>
      <c r="UJ16" s="102" t="str">
        <f>IF(AND(WSSBK!$R$87&gt;=83.25,WSSBK!$R$87&lt;=91.4),"P","")</f>
        <v/>
      </c>
      <c r="UK16" s="102" t="str">
        <f>IF(AND(WSSBK!$R$87&gt;=91.5,WSSBK!$R$87&lt;=100),"P","")</f>
        <v/>
      </c>
      <c r="UL16" t="str">
        <f>IF(WSSBK!$R$95&lt;74.9,"P","")</f>
        <v/>
      </c>
      <c r="UM16" s="102" t="str">
        <f>IF(AND(WSSBK!$R$95&gt;=75,WSSBK!$R$95&lt;=83.24),"P","")</f>
        <v/>
      </c>
      <c r="UN16" s="102" t="str">
        <f>IF(AND(WSSBK!$R$95&gt;=83.25,WSSBK!$R$95&lt;=91.4),"P","")</f>
        <v/>
      </c>
      <c r="UO16" s="102" t="str">
        <f>IF(AND(WSSBK!$R$95&gt;=91.5,WSSBK!$R$95&lt;=100),"P","")</f>
        <v/>
      </c>
      <c r="UP16" t="str">
        <f>IF(WSSBK!$R$103&lt;74.9,"P","")</f>
        <v/>
      </c>
      <c r="UQ16" s="102" t="str">
        <f>IF(AND(WSSBK!$R$103&gt;=75,WSSBK!$R$103&lt;=83.24),"P","")</f>
        <v/>
      </c>
      <c r="UR16" s="102" t="str">
        <f>IF(AND(WSSBK!$R$103&gt;=83.25,WSSBK!$R$103&lt;=91.4),"P","")</f>
        <v/>
      </c>
      <c r="US16" s="102" t="str">
        <f>IF(AND(WSSBK!$R$103&gt;=91.5,WSSBK!$R$103&lt;=100),"P","")</f>
        <v/>
      </c>
      <c r="UT16" t="str">
        <f>IF(WSSBK!$R$111&lt;74.9,"P","")</f>
        <v/>
      </c>
      <c r="UU16" s="102" t="str">
        <f>IF(AND(WSSBK!$R$111&gt;=75,WSSBK!$R$111&lt;=83.24),"P","")</f>
        <v/>
      </c>
      <c r="UV16" s="102" t="str">
        <f>IF(AND(WSSBK!$R$111&gt;=83.25,WSSBK!$R$111&lt;=91.4),"P","")</f>
        <v/>
      </c>
      <c r="UW16" s="102" t="str">
        <f>IF(AND(WSSBK!$R$111&gt;=91.5,WSSBK!$R$111&lt;=100),"P","")</f>
        <v/>
      </c>
      <c r="UX16" t="str">
        <f>IF(WSSBK!$R$119&lt;74.9,"P","")</f>
        <v/>
      </c>
      <c r="UY16" s="102" t="str">
        <f>IF(AND(WSSBK!$R$119&gt;=75,WSSBK!$R$119&lt;=83.24),"P","")</f>
        <v/>
      </c>
      <c r="UZ16" s="102" t="str">
        <f>IF(AND(WSSBK!$R$119&gt;=83.25,WSSBK!$R$119&lt;=91.4),"P","")</f>
        <v/>
      </c>
      <c r="VA16" s="102" t="str">
        <f>IF(AND(WSSBK!$R$119&gt;=91.5,WSSBK!$R$119&lt;=100),"P","")</f>
        <v/>
      </c>
      <c r="VB16" s="102" t="str">
        <f>IF(AND(WSPENJAS!$R$6&gt;0,WSPENJAS!$R$6&lt;=74.9),"P","")</f>
        <v/>
      </c>
      <c r="VC16" s="102" t="str">
        <f>IF(AND(WSPENJAS!$R$6&gt;=75,WSPENJAS!$R$6&lt;=83.24),"P","")</f>
        <v/>
      </c>
      <c r="VD16" s="102" t="str">
        <f>IF(AND(WSPENJAS!$R$6&gt;=83.25,WSPENJAS!$R$6&lt;=91.4),"P","")</f>
        <v/>
      </c>
      <c r="VE16" s="102" t="str">
        <f>IF(AND(WSPENJAS!$R$6&gt;=91.5,WSPENJAS!$R$6&lt;=100),"P","")</f>
        <v>P</v>
      </c>
      <c r="VF16" s="102" t="str">
        <f>IF(AND(WSPENJAS!$R$7&gt;0,WSPENJAS!$R$7&lt;=74.9),"P","")</f>
        <v/>
      </c>
      <c r="VG16" s="102" t="str">
        <f>IF(AND(WSPENJAS!$R$7&gt;=75,WSPENJAS!$R$7&lt;=83.24),"P","")</f>
        <v/>
      </c>
      <c r="VH16" s="102" t="str">
        <f>IF(AND(WSPENJAS!$R$7&gt;=83.25,WSPENJAS!$R$7&lt;=91.4),"P","")</f>
        <v/>
      </c>
      <c r="VI16" s="102" t="str">
        <f>IF(AND(WSPENJAS!$R$7&gt;=91.5,WSPENJAS!$R$7&lt;=100),"P","")</f>
        <v>P</v>
      </c>
      <c r="VJ16" s="102" t="str">
        <f>IF(AND(WSPENJAS!$R$8&gt;0,WSPENJAS!$R$8&lt;=74.9),"P","")</f>
        <v/>
      </c>
      <c r="VK16" s="102" t="str">
        <f>IF(AND(WSPENJAS!$R$8&gt;=75,WSPENJAS!$R$8&lt;=83.24),"P","")</f>
        <v/>
      </c>
      <c r="VL16" s="102" t="str">
        <f>IF(AND(WSPENJAS!$R$8&gt;=83.25,WSPENJAS!$R$8&lt;=91.4),"P","")</f>
        <v/>
      </c>
      <c r="VM16" s="102" t="str">
        <f>IF(AND(WSPENJAS!$R$8&gt;=91.5,WSPENJAS!$R$8&lt;=100),"P","")</f>
        <v>P</v>
      </c>
      <c r="VN16" s="102" t="str">
        <f>IF(AND(WSPENJAS!$R$9&gt;0,WSPENJAS!$R$9&lt;=74.9),"P","")</f>
        <v/>
      </c>
      <c r="VO16" s="102" t="str">
        <f>IF(AND(WSPENJAS!$R$9&gt;=75,WSPENJAS!$R$9&lt;=83.24),"P","")</f>
        <v/>
      </c>
      <c r="VP16" s="102" t="str">
        <f>IF(AND(WSPENJAS!$R$9&gt;=83.25,WSPENJAS!$R$9&lt;=91.4),"P","")</f>
        <v/>
      </c>
      <c r="VQ16" s="102" t="str">
        <f>IF(AND(WSPENJAS!$R$9&gt;=91.5,WSPENJAS!$R$9&lt;=100),"P","")</f>
        <v>P</v>
      </c>
      <c r="VR16" s="102" t="str">
        <f>IF(AND(WSPENJAS!$R$10&gt;0,WSPENJAS!$R$10&lt;=74.9),"P","")</f>
        <v/>
      </c>
      <c r="VS16" s="102" t="str">
        <f>IF(AND(WSPENJAS!$R$10&gt;=75,WSPENJAS!$R$10&lt;=83.24),"P","")</f>
        <v/>
      </c>
      <c r="VT16" s="102" t="str">
        <f>IF(AND(WSPENJAS!$R$10&gt;=83.25,WSPENJAS!$R$10&lt;=91.4),"P","")</f>
        <v/>
      </c>
      <c r="VU16" s="102" t="str">
        <f>IF(AND(WSPENJAS!$R$10&gt;=91.5,WSPENJAS!$R$10&lt;=100),"P","")</f>
        <v>P</v>
      </c>
      <c r="VV16" s="102" t="str">
        <f>IF(AND(WSPENJAS!$R$11&gt;0,WSPENJAS!$R$11&lt;=74.9),"P","")</f>
        <v/>
      </c>
      <c r="VW16" s="102" t="str">
        <f>IF(AND(WSPENJAS!$R$411&gt;=75,WSPENJAS!$R$411&lt;=83.24),"P","")</f>
        <v/>
      </c>
      <c r="VX16" s="102" t="str">
        <f>IF(AND(WSPENJAS!$R$411&gt;=83.25,WSPENJAS!$R$411&lt;=91.4),"P","")</f>
        <v/>
      </c>
      <c r="VY16" s="102" t="str">
        <f>IF(AND(WSPENJAS!$R$411&gt;=91.5,WSPENJAS!$R$411&lt;=100),"P","")</f>
        <v/>
      </c>
      <c r="VZ16" s="102" t="str">
        <f>IF(AND(WSPENJAS!$R$12&gt;0,WSPENJAS!$R$12&lt;=74.9),"P","")</f>
        <v/>
      </c>
      <c r="WA16" s="102" t="str">
        <f>IF(AND(WSPENJAS!$R$12&gt;=75,WSPENJAS!$R$12&lt;=83.24),"P","")</f>
        <v/>
      </c>
      <c r="WB16" s="102" t="str">
        <f>IF(AND(WSPENJAS!$R$12&gt;=83.25,WSPENJAS!$R$12&lt;=91.4),"P","")</f>
        <v/>
      </c>
      <c r="WC16" s="102" t="str">
        <f>IF(AND(WSPENJAS!$R$12&gt;=91.5,WSPENJAS!$R$12&lt;=100),"P","")</f>
        <v>P</v>
      </c>
      <c r="WD16" s="102" t="str">
        <f>IF(AND(WSPENJAS!$R$13&gt;0,WSPENJAS!$R$13&lt;=74.9),"P","")</f>
        <v/>
      </c>
      <c r="WE16" s="102" t="str">
        <f>IF(AND(WSPENJAS!$R$13&gt;=75,WSPENJAS!$R$13&lt;=83.24),"P","")</f>
        <v/>
      </c>
      <c r="WF16" s="102" t="str">
        <f>IF(AND(WSPENJAS!$R$13&gt;=83.25,WSPENJAS!$R$13&lt;=91.4),"P","")</f>
        <v/>
      </c>
      <c r="WG16" s="102" t="str">
        <f>IF(AND(WSPENJAS!$R$13&gt;=91.5,WSPENJAS!$R$13&lt;=100),"P","")</f>
        <v>P</v>
      </c>
      <c r="WH16" s="102" t="str">
        <f>IF(AND(WSPENJAS!$R$14&gt;0,WSPENJAS!$R$14&lt;=74.9),"P","")</f>
        <v/>
      </c>
      <c r="WI16" s="102" t="str">
        <f>IF(AND(WSPENJAS!$R$14&gt;=75,WSPENJAS!$R$14&lt;=83.24),"P","")</f>
        <v/>
      </c>
      <c r="WJ16" s="102" t="str">
        <f>IF(AND(WSPENJAS!$R$14&gt;=83.25,WSPENJAS!$R$14&lt;=91.4),"P","")</f>
        <v/>
      </c>
      <c r="WK16" s="102" t="str">
        <f>IF(AND(WSPENJAS!$R$14&gt;=91.5,WSPENJAS!$R$14&lt;=100),"P","")</f>
        <v>P</v>
      </c>
      <c r="WL16" s="102" t="str">
        <f>IF(AND(WSPENJAS!$R$15&gt;0,WSPENJAS!$R$15&lt;=74.9),"P","")</f>
        <v/>
      </c>
      <c r="WM16" s="102" t="str">
        <f>IF(AND(WSPENJAS!$R$15&gt;=75,WSPENJAS!$R$15&lt;=83.24),"P","")</f>
        <v/>
      </c>
      <c r="WN16" s="102" t="str">
        <f>IF(AND(WSPENJAS!$R$15&gt;=83.25,WSPENJAS!$R$15&lt;=91.4),"P","")</f>
        <v/>
      </c>
      <c r="WO16" s="102" t="str">
        <f>IF(AND(WSPENJAS!$R$15&gt;=91.5,WSPENJAS!$R$15&lt;=100),"P","")</f>
        <v>P</v>
      </c>
      <c r="WP16" s="102" t="str">
        <f>IF(AND(WSPENJAS!$R$16&gt;0,WSPENJAS!$R$16&lt;=74.9),"P","")</f>
        <v/>
      </c>
      <c r="WQ16" s="102" t="str">
        <f>IF(AND(WSPENJAS!$R$16&gt;=75,WSPENJAS!$R$16&lt;=83.24),"P","")</f>
        <v/>
      </c>
      <c r="WR16" s="102" t="str">
        <f>IF(AND(WSPENJAS!$R$16&gt;=83.25,WSPENJAS!$R$16&lt;=91.4),"P","")</f>
        <v/>
      </c>
      <c r="WS16" s="102" t="str">
        <f>IF(AND(WSPENJAS!$R$16&gt;=91.5,WSPENJAS!$R$16&lt;=100),"P","")</f>
        <v/>
      </c>
      <c r="WT16" s="102" t="str">
        <f>IF(AND(WSPENJAS!$R$17&gt;0,WSPENJAS!$R$17&lt;=74.9),"P","")</f>
        <v/>
      </c>
      <c r="WU16" s="102" t="str">
        <f>IF(AND(WSPENJAS!$R$17&gt;=75,WSPENJAS!$R$17&lt;=83.24),"P","")</f>
        <v/>
      </c>
      <c r="WV16" s="102" t="str">
        <f>IF(AND(WSPENJAS!$R$17&gt;=83.25,WSPENJAS!$R$17&lt;=91.4),"P","")</f>
        <v/>
      </c>
      <c r="WW16" s="102" t="str">
        <f>IF(AND(WSPENJAS!$R$17&gt;=91.5,WSPENJAS!$R$17&lt;=100),"P","")</f>
        <v/>
      </c>
      <c r="WX16" s="102" t="str">
        <f>IF(AND(WSPENJAS!$R$18&gt;0,WSPENJAS!$R$18&lt;=74.9),"P","")</f>
        <v/>
      </c>
      <c r="WY16" s="102" t="str">
        <f>IF(AND(WSPENJAS!$R$18&gt;=75,WSPENJAS!$R$18&lt;=83.24),"P","")</f>
        <v/>
      </c>
      <c r="WZ16" s="102" t="str">
        <f>IF(AND(WSPENJAS!$R$18&gt;=83.25,WSPENJAS!$R$18&lt;=91.4),"P","")</f>
        <v/>
      </c>
      <c r="XA16" s="102" t="str">
        <f>IF(AND(WSPENJAS!$R$18&gt;=91.5,WSPENJAS!$R$18&lt;=100),"P","")</f>
        <v/>
      </c>
      <c r="XB16" s="102" t="str">
        <f>IF(AND(WSPENJAS!$R$19&gt;0,WSPENJAS!$R$19&lt;=74.9),"P","")</f>
        <v/>
      </c>
      <c r="XC16" s="102" t="str">
        <f>IF(AND(WSPENJAS!$R$19&gt;=75,WSPENJAS!$R$19&lt;=83.24),"P","")</f>
        <v/>
      </c>
      <c r="XD16" s="102" t="str">
        <f>IF(AND(WSPENJAS!$R$19&gt;=83.25,WSPENJAS!$R$19&lt;=91.4),"P","")</f>
        <v/>
      </c>
      <c r="XE16" s="102" t="str">
        <f>IF(AND(WSPENJAS!$R$19&gt;=91.5,WSPENJAS!$R$19&lt;=100),"P","")</f>
        <v/>
      </c>
      <c r="XF16" s="102" t="str">
        <f>IF(AND(WSPENJAS!$R$20&gt;0,WSPENJAS!$R$20&lt;=74.9),"P","")</f>
        <v/>
      </c>
      <c r="XG16" s="102" t="str">
        <f>IF(AND(WSPENJAS!$R$20&gt;=75,WSPENJAS!$R$20&lt;=83.24),"P","")</f>
        <v/>
      </c>
      <c r="XH16" s="102" t="str">
        <f>IF(AND(WSPENJAS!$R$20&gt;=83.25,WSPENJAS!$R$20&lt;=91.4),"P","")</f>
        <v/>
      </c>
      <c r="XI16" s="102" t="str">
        <f>IF(AND(WSPENJAS!$R$20&gt;=91.5,WSPENJAS!$R$20&lt;=100),"P","")</f>
        <v/>
      </c>
      <c r="XJ16" s="102" t="str">
        <f>IF(AND(WSPENJAS!$R$21&gt;0,WSPENJAS!$R$21&lt;=74.9),"P","")</f>
        <v/>
      </c>
      <c r="XK16" s="102" t="str">
        <f>IF(AND(WSPENJAS!$R$21&gt;=75,WSPENJAS!$R$21&lt;=83.24),"P","")</f>
        <v/>
      </c>
      <c r="XL16" s="102" t="str">
        <f>IF(AND(WSPENJAS!$R$21&gt;=83.25,WSPENJAS!$R$21&lt;=91.4),"P","")</f>
        <v/>
      </c>
      <c r="XM16" s="102" t="str">
        <f>IF(AND(WSPENJAS!$R$21&gt;=91.5,WSPENJAS!$R$21&lt;=100),"P","")</f>
        <v/>
      </c>
      <c r="XN16" t="str">
        <f>IF(WSJAWA!$R$6&lt;74.9,"P","")</f>
        <v/>
      </c>
      <c r="XO16" s="102" t="str">
        <f>IF(AND(WSJAWA!$R$6&gt;=75,WSJAWA!$R$6&lt;=83.24),"P","")</f>
        <v/>
      </c>
      <c r="XP16" s="102" t="str">
        <f>IF(AND(WSJAWA!$R$6&gt;=83.25,WSJAWA!$R$6&lt;=91.4),"P","")</f>
        <v/>
      </c>
      <c r="XQ16" s="102" t="str">
        <f>IF(AND(WSJAWA!$R$6&gt;=91.5,WSJAWA!$R$6&lt;=100),"P","")</f>
        <v>P</v>
      </c>
      <c r="XR16" t="str">
        <f>IF(WSJAWA!$R$14&lt;74.9,"P","")</f>
        <v/>
      </c>
      <c r="XS16" s="102" t="str">
        <f>IF(AND(WSJAWA!$R$14&gt;=75,WSJAWA!$R$14&lt;=83.24),"P","")</f>
        <v/>
      </c>
      <c r="XT16" s="102" t="str">
        <f>IF(AND(WSJAWA!$R$14&gt;=83.25,WSJAWA!$R$14&lt;=91.4),"P","")</f>
        <v/>
      </c>
      <c r="XU16" s="102" t="str">
        <f>IF(AND(WSJAWA!$R$14&gt;=91.5,WSJAWA!$R$14&lt;=100),"P","")</f>
        <v>P</v>
      </c>
      <c r="XV16" t="str">
        <f>IF(WSJAWA!$R$22&lt;74.9,"P","")</f>
        <v/>
      </c>
      <c r="XW16" s="102" t="str">
        <f>IF(AND(WSJAWA!$R$22&gt;=75,WSJAWA!$R$22&lt;=83.24),"P","")</f>
        <v/>
      </c>
      <c r="XX16" s="102" t="str">
        <f>IF(AND(WSJAWA!$R$22&gt;=83.25,WSJAWA!$R$22&lt;=91.4),"P","")</f>
        <v/>
      </c>
      <c r="XY16" s="102" t="str">
        <f>IF(AND(WSJAWA!$R$22&gt;=91.5,WSJAWA!$R$22&lt;=100),"P","")</f>
        <v>P</v>
      </c>
      <c r="XZ16" t="str">
        <f>IF(WSJAWA!$R$30&lt;74.9,"P","")</f>
        <v/>
      </c>
      <c r="YA16" s="102" t="str">
        <f>IF(AND(WSJAWA!$R$30&gt;=75,WSJAWA!$R$30&lt;=83.24),"P","")</f>
        <v/>
      </c>
      <c r="YB16" s="102" t="str">
        <f>IF(AND(WSJAWA!$R$30&gt;=83.25,WSJAWA!$R$30&lt;=91.4),"P","")</f>
        <v>P</v>
      </c>
      <c r="YC16" s="102" t="str">
        <f>IF(AND(WSJAWA!$R$30&gt;=91.5,WSJAWA!$R$30&lt;=100),"P","")</f>
        <v/>
      </c>
      <c r="YD16" t="str">
        <f>IF(WSJAWA!$R$38&lt;74.9,"P","")</f>
        <v/>
      </c>
      <c r="YE16" s="102" t="str">
        <f>IF(AND(WSJAWA!$R$38&gt;=75,WSJAWA!$R$38&lt;=83.24),"P","")</f>
        <v/>
      </c>
      <c r="YF16" s="102" t="str">
        <f>IF(AND(WSJAWA!$R$38&gt;=83.25,WSJAWA!$R$38&lt;=91.4),"P","")</f>
        <v/>
      </c>
      <c r="YG16" s="102" t="str">
        <f>IF(AND(WSJAWA!$R$38&gt;=91.5,WSJAWA!$R$38&lt;=100),"P","")</f>
        <v>P</v>
      </c>
      <c r="YH16" t="str">
        <f>IF(WSJAWA!$R$46&lt;74.9,"P","")</f>
        <v/>
      </c>
      <c r="YI16" s="102" t="str">
        <f>IF(AND(WSJAWA!$R$46&gt;=75,WSJAWA!$R$46&lt;=83.24),"P","")</f>
        <v/>
      </c>
      <c r="YJ16" s="102" t="str">
        <f>IF(AND(WSJAWA!$R$46&gt;=83.25,WSJAWA!$R$46&lt;=91.4),"P","")</f>
        <v/>
      </c>
      <c r="YK16" s="102" t="str">
        <f>IF(AND(WSJAWA!$R$46&gt;=91.5,WSJAWA!$R$46&lt;=100),"P","")</f>
        <v>P</v>
      </c>
      <c r="YL16" t="str">
        <f>IF(WSJAWA!$R$54&lt;74.9,"P","")</f>
        <v/>
      </c>
      <c r="YM16" s="102" t="str">
        <f>IF(AND(WSJAWA!$R$54&gt;=75,WSJAWA!$R$54&lt;=83.24),"P","")</f>
        <v/>
      </c>
      <c r="YN16" s="102" t="str">
        <f>IF(AND(WSJAWA!$R$54&gt;=83.25,WSJAWA!$R$54&lt;=91.4),"P","")</f>
        <v>P</v>
      </c>
      <c r="YO16" s="102" t="str">
        <f>IF(AND(WSJAWA!$R$54&gt;=91.5,WSJAWA!$R$54&lt;=100),"P","")</f>
        <v/>
      </c>
      <c r="YP16" t="str">
        <f>IF(WSJAWA!$R$62&lt;74.9,"P","")</f>
        <v/>
      </c>
      <c r="YQ16" s="102" t="str">
        <f>IF(AND(WSJAWA!$R$62&gt;=75,WSJAWA!$R$62&lt;=83.24),"P","")</f>
        <v/>
      </c>
      <c r="YR16" s="102" t="str">
        <f>IF(AND(WSJAWA!$R$62&gt;=83.25,WSJAWA!$R$62&lt;=91.4),"P","")</f>
        <v/>
      </c>
      <c r="YS16" s="102" t="str">
        <f>IF(AND(WSJAWA!$R$62&gt;=91.5,WSJAWA!$R$62&lt;=100),"P","")</f>
        <v>P</v>
      </c>
      <c r="YT16" t="str">
        <f>IF(WSJAWA!$R$70&lt;74.9,"P","")</f>
        <v/>
      </c>
      <c r="YU16" s="102" t="str">
        <f>IF(AND(WSJAWA!$R$70&gt;=75,WSJAWA!$R$70&lt;=83.24),"P","")</f>
        <v/>
      </c>
      <c r="YV16" s="102" t="str">
        <f>IF(AND(WSJAWA!$R$70&gt;=83.25,WSJAWA!$R$70&lt;=91.4),"P","")</f>
        <v/>
      </c>
      <c r="YW16" s="102" t="str">
        <f>IF(AND(WSJAWA!$R$70&gt;=91.5,WSJAWA!$R$70&lt;=100),"P","")</f>
        <v/>
      </c>
      <c r="YX16" t="str">
        <f>IF(WSJAWA!$R$78&lt;74.9,"P","")</f>
        <v/>
      </c>
      <c r="YY16" s="102" t="str">
        <f>IF(AND(WSJAWA!$R$78&gt;=75,WSJAWA!$R$78&lt;=83.24),"P","")</f>
        <v/>
      </c>
      <c r="YZ16" s="102" t="str">
        <f>IF(AND(WSJAWA!$R$78&gt;=83.25,WSJAWA!$R$78&lt;=91.4),"P","")</f>
        <v/>
      </c>
      <c r="ZA16" s="102" t="str">
        <f>IF(AND(WSJAWA!$R$78&gt;=91.5,WSJAWA!$R$78&lt;=100),"P","")</f>
        <v/>
      </c>
      <c r="ZB16" t="str">
        <f>IF(WSJAWA!$R$86&lt;74.9,"P","")</f>
        <v/>
      </c>
      <c r="ZC16" s="102" t="str">
        <f>IF(AND(WSJAWA!$R$86&gt;=75,WSJAWA!$R$86&lt;=83.24),"P","")</f>
        <v/>
      </c>
      <c r="ZD16" s="102" t="str">
        <f>IF(AND(WSJAWA!$R$86&gt;=83.25,WSJAWA!$R$86&lt;=91.4),"P","")</f>
        <v/>
      </c>
      <c r="ZE16" s="102" t="str">
        <f>IF(AND(WSJAWA!$R$86&gt;=91.5,WSJAWA!$R$86&lt;=100),"P","")</f>
        <v/>
      </c>
      <c r="ZF16" t="str">
        <f>IF(WSJAWA!$R$94&lt;74.9,"P","")</f>
        <v/>
      </c>
      <c r="ZG16" s="102" t="str">
        <f>IF(AND(WSJAWA!$R$94&gt;=75,WSJAWA!$R$94&lt;=83.24),"P","")</f>
        <v/>
      </c>
      <c r="ZH16" s="102" t="str">
        <f>IF(AND(WSJAWA!$R$94&gt;=83.25,WSJAWA!$R$94&lt;=91.4),"P","")</f>
        <v/>
      </c>
      <c r="ZI16" s="102" t="str">
        <f>IF(AND(WSJAWA!$R$94&gt;=91.5,WSJAWA!$R$94&lt;=100),"P","")</f>
        <v/>
      </c>
      <c r="ZJ16" t="str">
        <f>IF(WSJAWA!$R$102&lt;74.9,"P","")</f>
        <v/>
      </c>
      <c r="ZK16" s="102" t="str">
        <f>IF(AND(WSJAWA!$R$102&gt;=75,WSJAWA!$R$102&lt;=83.24),"P","")</f>
        <v/>
      </c>
      <c r="ZL16" s="102" t="str">
        <f>IF(AND(WSJAWA!$R$102&gt;=83.25,WSJAWA!$R$102&lt;=91.4),"P","")</f>
        <v/>
      </c>
      <c r="ZM16" s="102" t="str">
        <f>IF(AND(WSJAWA!$R$102&gt;=91.5,WSJAWA!$R$102&lt;=100),"P","")</f>
        <v/>
      </c>
      <c r="ZN16" t="str">
        <f>IF(WSING!$R$6&lt;74.9,"P","")</f>
        <v/>
      </c>
      <c r="ZO16" s="102" t="str">
        <f>IF(AND(WSING!$R$6&gt;=75,WSING!$R$6&lt;=83.24),"P","")</f>
        <v/>
      </c>
      <c r="ZP16" s="102" t="str">
        <f>IF(AND(WSING!$R$6&gt;=83.25,WSING!$R$6&lt;=91.4),"P","")</f>
        <v/>
      </c>
      <c r="ZQ16" s="102" t="str">
        <f>IF(AND(WSING!$R$6&gt;=91.5,WSING!$R$6&lt;=100),"P","")</f>
        <v>P</v>
      </c>
      <c r="ZR16" t="str">
        <f>IF(WSING!$R$15&lt;74.9,"P","")</f>
        <v/>
      </c>
      <c r="ZS16" s="102" t="str">
        <f>IF(AND(WSING!$R$15&gt;=75,WSING!$R$15&lt;=83.24),"P","")</f>
        <v/>
      </c>
      <c r="ZT16" s="102" t="str">
        <f>IF(AND(WSING!$R$15&gt;=83.25,WSING!$R$15&lt;=91.4),"P","")</f>
        <v/>
      </c>
      <c r="ZU16" s="102" t="str">
        <f>IF(AND(WSING!$R$15&gt;=91.5,WSING!$R$15&lt;=100),"P","")</f>
        <v>P</v>
      </c>
      <c r="ZV16" t="str">
        <f>IF(WSING!$R$24&lt;74.9,"P","")</f>
        <v/>
      </c>
      <c r="ZW16" s="102" t="str">
        <f>IF(AND(WSING!$R$24&gt;=75,WSING!$R$24&lt;=83.24),"P","")</f>
        <v/>
      </c>
      <c r="ZX16" s="102" t="str">
        <f>IF(AND(WSING!$R$24&gt;=83.25,WSING!$R$24&lt;=91.4),"P","")</f>
        <v/>
      </c>
      <c r="ZY16" s="102" t="str">
        <f>IF(AND(WSING!$R$24&gt;=91.5,WSING!$R$24&lt;=100),"P","")</f>
        <v>P</v>
      </c>
      <c r="ZZ16" t="str">
        <f>IF(WSING!$R$33&lt;74.9,"P","")</f>
        <v/>
      </c>
      <c r="AAA16" s="102" t="str">
        <f>IF(AND(WSING!$R$33&gt;=75,WSING!$R$33&lt;=83.24),"P","")</f>
        <v/>
      </c>
      <c r="AAB16" s="102" t="str">
        <f>IF(AND(WSING!$R$33&gt;=83.25,WSING!$R$33&lt;=91.4),"P","")</f>
        <v/>
      </c>
      <c r="AAC16" s="102" t="str">
        <f>IF(AND(WSING!$R$33&gt;=91.5,WSING!$R$33&lt;=100),"P","")</f>
        <v>P</v>
      </c>
      <c r="AAD16" t="str">
        <f>IF(WSING!$R$42&lt;74.9,"P","")</f>
        <v/>
      </c>
      <c r="AAE16" s="102" t="str">
        <f>IF(AND(WSING!$R$42&gt;=75,WSING!$R$42&lt;=83.24),"P","")</f>
        <v/>
      </c>
      <c r="AAF16" s="102" t="str">
        <f>IF(AND(WSING!$R$42&gt;=83.25,WSING!$R$42&lt;=91.4),"P","")</f>
        <v/>
      </c>
      <c r="AAG16" s="102" t="str">
        <f>IF(AND(WSING!$R$42&gt;=91.5,WSING!$R$42&lt;=100),"P","")</f>
        <v/>
      </c>
      <c r="AAH16" t="str">
        <f>IF(WSING!$R$50&lt;74.9,"P","")</f>
        <v/>
      </c>
      <c r="AAI16" s="102" t="str">
        <f>IF(AND(WSING!$R$50&gt;=75,WSING!$R$50&lt;=83.24),"P","")</f>
        <v/>
      </c>
      <c r="AAJ16" s="102" t="str">
        <f>IF(AND(WSING!$R$50&gt;=83.25,WSING!$R$50&lt;=91.4),"P","")</f>
        <v/>
      </c>
      <c r="AAK16" s="102" t="str">
        <f>IF(AND(WSING!$R$50&gt;=91.5,WSING!$R$50&lt;=100),"P","")</f>
        <v/>
      </c>
      <c r="AAL16" t="str">
        <f>IF(WSING!$R$58&lt;74.9,"P","")</f>
        <v/>
      </c>
      <c r="AAM16" s="102" t="str">
        <f>IF(AND(WSING!$R$58&gt;=75,WSING!$R$58&lt;=83.24),"P","")</f>
        <v/>
      </c>
      <c r="AAN16" s="102" t="str">
        <f>IF(AND(WSING!$R$58&gt;=83.25,WSING!$R$58&lt;=91.4),"P","")</f>
        <v/>
      </c>
      <c r="AAO16" s="102" t="str">
        <f>IF(AND(WSING!$R$58&gt;=91.5,WSING!$R$58&lt;=100),"P","")</f>
        <v/>
      </c>
      <c r="AAP16" t="str">
        <f>IF(WSING!$R$66&lt;74.9,"P","")</f>
        <v/>
      </c>
      <c r="AAQ16" s="102" t="str">
        <f>IF(AND(WSING!$R$66&gt;=75,WSING!$R$66&lt;=83.24),"P","")</f>
        <v/>
      </c>
      <c r="AAR16" s="102" t="str">
        <f>IF(AND(WSING!$R$66&gt;=83.25,WSING!$R$66&lt;=91.4),"P","")</f>
        <v/>
      </c>
      <c r="AAS16" s="102" t="str">
        <f>IF(AND(WSING!$R$66&gt;=91.5,WSING!$R$66&lt;=100),"P","")</f>
        <v/>
      </c>
      <c r="AAT16" t="str">
        <f>IF(WSING!$R$74&lt;74.9,"P","")</f>
        <v/>
      </c>
      <c r="AAU16" s="102" t="str">
        <f>IF(AND(WSING!$R$74&gt;=75,WSING!$R$74&lt;=83.24),"P","")</f>
        <v/>
      </c>
      <c r="AAV16" s="102" t="str">
        <f>IF(AND(WSING!$R$74&gt;=83.25,WSING!$R$74&lt;=91.4),"P","")</f>
        <v/>
      </c>
      <c r="AAW16" s="102" t="str">
        <f>IF(AND(WSING!$R$74&gt;=91.5,WSING!$R$74&lt;=100),"P","")</f>
        <v/>
      </c>
      <c r="AAX16" t="str">
        <f>IF(WSING!$R$82&lt;74.9,"P","")</f>
        <v/>
      </c>
      <c r="AAY16" s="102" t="str">
        <f>IF(AND(WSING!$R$82&gt;=75,WSING!$R$82&lt;=83.24),"P","")</f>
        <v/>
      </c>
      <c r="AAZ16" s="102" t="str">
        <f>IF(AND(WSING!$R$82&gt;=83.25,WSING!$R$82&lt;=91.4),"P","")</f>
        <v/>
      </c>
      <c r="ABA16" s="102" t="str">
        <f>IF(AND(WSING!$R$82&gt;=91.5,WSING!$R$82&lt;=100),"P","")</f>
        <v/>
      </c>
      <c r="ABB16" t="str">
        <f>IF(WSING!$R$90&lt;74.9,"P","")</f>
        <v/>
      </c>
      <c r="ABC16" s="102" t="str">
        <f>IF(AND(WSING!$R$90&gt;=75,WSING!$R$90&lt;=83.24),"P","")</f>
        <v/>
      </c>
      <c r="ABD16" s="102" t="str">
        <f>IF(AND(WSING!$R$90&gt;=83.25,WSING!$R$90&lt;=91.4),"P","")</f>
        <v/>
      </c>
      <c r="ABE16" s="102" t="str">
        <f>IF(AND(WSING!$R$90&gt;=91.5,WSING!$R$90&lt;=100),"P","")</f>
        <v/>
      </c>
      <c r="ABF16" t="str">
        <f>IF(WSING!$R$98&lt;74.9,"P","")</f>
        <v/>
      </c>
      <c r="ABG16" s="102" t="str">
        <f>IF(AND(WSING!$R$98&gt;=75,WSING!$R$98&lt;=83.24),"P","")</f>
        <v/>
      </c>
      <c r="ABH16" s="102" t="str">
        <f>IF(AND(WSING!$R$98&gt;=83.25,WSING!$R$98&lt;=91.4),"P","")</f>
        <v/>
      </c>
      <c r="ABI16" s="102" t="str">
        <f>IF(AND(WSING!$R$98&gt;=91.5,WSING!$R$98&lt;=100),"P","")</f>
        <v/>
      </c>
      <c r="ABJ16" t="str">
        <f>IF(WSING!$R$106&lt;74.9,"P","")</f>
        <v/>
      </c>
      <c r="ABK16" s="102" t="str">
        <f>IF(AND(WSING!$R$106&gt;=75,WSING!$R$106&lt;=83.24),"P","")</f>
        <v/>
      </c>
      <c r="ABL16" s="102" t="str">
        <f>IF(AND(WSING!$R$106&gt;=83.25,WSING!$R$106&lt;=91.4),"P","")</f>
        <v/>
      </c>
      <c r="ABM16" s="102" t="str">
        <f>IF(AND(WSING!$R$106&gt;=91.5,WSING!$R$106&lt;=100),"P","")</f>
        <v/>
      </c>
      <c r="ABN16" t="str">
        <f>IF(WSTIK!$R$6&lt;74.9,"P","")</f>
        <v/>
      </c>
      <c r="ABO16" s="102" t="str">
        <f>IF(AND(WSTIK!$R$6&gt;=75,WSTIK!$R$6&lt;=83.24),"P","")</f>
        <v/>
      </c>
      <c r="ABP16" s="102" t="str">
        <f>IF(AND(WSTIK!$R$6&gt;=83.25,WSTIK!$R$6&lt;=91.4),"P","")</f>
        <v/>
      </c>
      <c r="ABQ16" s="102" t="str">
        <f>IF(AND(WSTIK!$R$6&gt;=91.5,WSTIK!$R$6&lt;=100),"P","")</f>
        <v/>
      </c>
      <c r="ABR16" t="str">
        <f>IF(WSTIK!$R$14&lt;74.9,"P","")</f>
        <v/>
      </c>
      <c r="ABS16" s="102" t="str">
        <f>IF(AND(WSTIK!$R$14&gt;=75,WSTIK!$R$14&lt;=83.24),"P","")</f>
        <v/>
      </c>
      <c r="ABT16" s="102" t="str">
        <f>IF(AND(WSTIK!$R$14&gt;=83.25,WSTIK!$R$14&lt;=91.4),"P","")</f>
        <v/>
      </c>
      <c r="ABU16" s="102" t="str">
        <f>IF(AND(WSTIK!$R$14&gt;=91.5,WSTIK!$R$14&lt;=100),"P","")</f>
        <v/>
      </c>
      <c r="ABV16" t="str">
        <f>IF(WSTIK!$R$22&lt;74.9,"P","")</f>
        <v/>
      </c>
      <c r="ABW16" s="102" t="str">
        <f>IF(AND(WSTIK!$R$22&gt;=75,WSTIK!$R$22&lt;=83.24),"P","")</f>
        <v/>
      </c>
      <c r="ABX16" s="102" t="str">
        <f>IF(AND(WSTIK!$R$22&gt;=83.25,WSTIK!$R$22&lt;=91.4),"P","")</f>
        <v/>
      </c>
      <c r="ABY16" s="102" t="str">
        <f>IF(AND(WSTIK!$R$22&gt;=91.5,WSTIK!$R$22&lt;=100),"P","")</f>
        <v/>
      </c>
      <c r="ABZ16" t="str">
        <f>IF(WSTIK!$R$30&lt;74.9,"P","")</f>
        <v/>
      </c>
      <c r="ACA16" s="102" t="str">
        <f>IF(AND(WSTIK!$R$30&gt;=75,WSTIK!$R$30&lt;=83.24),"P","")</f>
        <v/>
      </c>
      <c r="ACB16" s="102" t="str">
        <f>IF(AND(WSTIK!$R$30&gt;=83.25,WSTIK!$R$30&lt;=91.4),"P","")</f>
        <v/>
      </c>
      <c r="ACC16" s="102" t="str">
        <f>IF(AND(WSTIK!$R$30&gt;=91.5,WSTIK!$R$30&lt;=100),"P","")</f>
        <v/>
      </c>
      <c r="ACD16" t="str">
        <f>IF(WSTIK!$R$38&lt;74.9,"P","")</f>
        <v/>
      </c>
      <c r="ACE16" s="102" t="str">
        <f>IF(AND(WSTIK!$R$38&gt;=75,WSTIK!$R$38&lt;=83.24),"P","")</f>
        <v/>
      </c>
      <c r="ACF16" s="102" t="str">
        <f>IF(AND(WSTIK!$R$38&gt;=83.25,WSTIK!$R$38&lt;=91.4),"P","")</f>
        <v/>
      </c>
      <c r="ACG16" s="102" t="str">
        <f>IF(AND(WSTIK!$R$38&gt;=91.5,WSTIK!$R$38&lt;=100),"P","")</f>
        <v/>
      </c>
      <c r="ACH16" t="str">
        <f>IF(WSTIK!$R$46&lt;74.9,"P","")</f>
        <v/>
      </c>
      <c r="ACI16" s="102" t="str">
        <f>IF(AND(WSTIK!$R$46&gt;=75,WSTIK!$R$46&lt;=83.24),"P","")</f>
        <v/>
      </c>
      <c r="ACJ16" s="102" t="str">
        <f>IF(AND(WSTIK!$R$46&gt;=83.25,WSTIK!$R$46&lt;=91.4),"P","")</f>
        <v/>
      </c>
      <c r="ACK16" s="102" t="str">
        <f>IF(AND(WSTIK!$R$46&gt;=91.5,WSTIK!$R$46&lt;=100),"P","")</f>
        <v/>
      </c>
      <c r="ACL16" t="str">
        <f>IF(WSTIK!$R$54&lt;74.9,"P","")</f>
        <v/>
      </c>
      <c r="ACM16" s="102" t="str">
        <f>IF(AND(WSTIK!$R$54&gt;=75,WSTIK!$R$54&lt;=83.24),"P","")</f>
        <v/>
      </c>
      <c r="ACN16" s="102" t="str">
        <f>IF(AND(WSTIK!$R$54&gt;=83.25,WSTIK!$R$54&lt;=91.4),"P","")</f>
        <v/>
      </c>
      <c r="ACO16" s="102" t="str">
        <f>IF(AND(WSTIK!$R$54&gt;=91.5,WSTIK!$R$54&lt;=100),"P","")</f>
        <v/>
      </c>
      <c r="ACP16" t="str">
        <f>IF(WSTIK!$R$62&lt;74.9,"P","")</f>
        <v/>
      </c>
      <c r="ACQ16" s="102" t="str">
        <f>IF(AND(WSTIK!$R$62&gt;=75,WSTIK!$R$62&lt;=83.24),"P","")</f>
        <v/>
      </c>
      <c r="ACR16" s="102" t="str">
        <f>IF(AND(WSTIK!$R$62&gt;=83.25,WSTIK!$R$62&lt;=91.4),"P","")</f>
        <v/>
      </c>
      <c r="ACS16" s="102" t="str">
        <f>IF(AND(WSTIK!$R$62&gt;=91.5,WSTIK!$R$62&lt;=100),"P","")</f>
        <v/>
      </c>
      <c r="ACT16" t="str">
        <f>IF(WSTIK!$R$70&lt;74.9,"P","")</f>
        <v/>
      </c>
      <c r="ACU16" s="102" t="str">
        <f>IF(AND(WSTIK!$R$70&gt;=75,WSTIK!$R$70&lt;=83.24),"P","")</f>
        <v/>
      </c>
      <c r="ACV16" s="102" t="str">
        <f>IF(AND(WSTIK!$R$70&gt;=83.25,WSTIK!$R$70&lt;=91.4),"P","")</f>
        <v/>
      </c>
      <c r="ACW16" s="102" t="str">
        <f>IF(AND(WSTIK!$R$70&gt;=91.5,WSTIK!$R$70&lt;=100),"P","")</f>
        <v/>
      </c>
      <c r="ACX16" t="str">
        <f>IF(WSTIK!$R$78&lt;74.9,"P","")</f>
        <v/>
      </c>
      <c r="ACY16" s="102" t="str">
        <f>IF(AND(WSTIK!$R$78&gt;=75,WSTIK!$R$78&lt;=83.24),"P","")</f>
        <v/>
      </c>
      <c r="ACZ16" s="102" t="str">
        <f>IF(AND(WSTIK!$R$78&gt;=83.25,WSTIK!$R$78&lt;=91.4),"P","")</f>
        <v/>
      </c>
      <c r="ADA16" s="102" t="str">
        <f>IF(AND(WSTIK!$R$78&gt;=91.5,WSTIK!$R$78&lt;=100),"P","")</f>
        <v/>
      </c>
      <c r="ADB16" t="str">
        <f>IF(WSTIK!$R$86&lt;74.9,"P","")</f>
        <v/>
      </c>
      <c r="ADC16" s="102" t="str">
        <f>IF(AND(WSTIK!$R$86&gt;=75,WSTIK!$R$86&lt;=83.24),"P","")</f>
        <v/>
      </c>
      <c r="ADD16" s="102" t="str">
        <f>IF(AND(WSTIK!$R$86&gt;=83.25,WSTIK!$R$86&lt;=91.4),"P","")</f>
        <v/>
      </c>
      <c r="ADE16" s="102" t="str">
        <f>IF(AND(WSTIK!$R$86&gt;=91.5,WSTIK!$R$86&lt;=100),"P","")</f>
        <v/>
      </c>
      <c r="ADF16" t="str">
        <f>IF(WSTIK!$R$94&lt;74.9,"P","")</f>
        <v/>
      </c>
      <c r="ADG16" s="102" t="str">
        <f>IF(AND(WSTIK!$R$94&gt;=75,WSTIK!$R$94&lt;=83.24),"P","")</f>
        <v/>
      </c>
      <c r="ADH16" s="102" t="str">
        <f>IF(AND(WSTIK!$R$94&gt;=83.25,WSTIK!$R$94&lt;=91.4),"P","")</f>
        <v/>
      </c>
      <c r="ADI16" s="102" t="str">
        <f>IF(AND(WSTIK!$R$94&gt;=91.5,WSTIK!$R$94&lt;=100),"P","")</f>
        <v/>
      </c>
      <c r="ADJ16" t="str">
        <f>IF(WSTIK!$R$102&lt;74.9,"P","")</f>
        <v/>
      </c>
      <c r="ADK16" s="102" t="str">
        <f>IF(AND(WSTIK!$R$102&gt;=75,WSTIK!$R$102&lt;=83.24),"P","")</f>
        <v/>
      </c>
      <c r="ADL16" s="102" t="str">
        <f>IF(AND(WSTIK!$R$102&gt;=83.25,WSTIK!$R$102&lt;=91.4),"P","")</f>
        <v/>
      </c>
      <c r="ADM16" s="102" t="str">
        <f>IF(AND(WSTIK!$R$102&gt;=91.5,WSTIK!$R$102&lt;=100),"P","")</f>
        <v/>
      </c>
      <c r="ADN16" t="str">
        <f>IF(WSASWAJA!$R$6&lt;74.9,"P","")</f>
        <v/>
      </c>
      <c r="ADO16" s="102" t="str">
        <f>IF(AND(WSASWAJA!$R$6&gt;=75,WSASWAJA!$R$6&lt;=83.24),"P","")</f>
        <v/>
      </c>
      <c r="ADP16" s="102" t="str">
        <f>IF(AND(WSASWAJA!$R$6&gt;=83.25,WSASWAJA!$R$6&lt;=91.4),"P","")</f>
        <v/>
      </c>
      <c r="ADQ16" s="102" t="str">
        <f>IF(AND(WSASWAJA!$R$6&gt;=91.5,WSASWAJA!$R$6&lt;=100),"P","")</f>
        <v/>
      </c>
      <c r="ADR16" t="str">
        <f>IF(WSASWAJA!$R$14&lt;74.9,"P","")</f>
        <v/>
      </c>
      <c r="ADS16" s="102" t="str">
        <f>IF(AND(WSASWAJA!$R$14&gt;=75,WSASWAJA!$R$14&lt;=83.24),"P","")</f>
        <v/>
      </c>
      <c r="ADT16" s="102" t="str">
        <f>IF(AND(WSASWAJA!$R$14&gt;=83.25,WSASWAJA!$R$14&lt;=91.4),"P","")</f>
        <v/>
      </c>
      <c r="ADU16" s="102" t="str">
        <f>IF(AND(WSASWAJA!$R$14&gt;=91.5,WSASWAJA!$R$14&lt;=100),"P","")</f>
        <v/>
      </c>
      <c r="ADV16" t="str">
        <f>IF(WSASWAJA!$R$22&lt;74.9,"P","")</f>
        <v/>
      </c>
      <c r="ADW16" s="102" t="str">
        <f>IF(AND(WSASWAJA!$R$22&gt;=75,WSASWAJA!$R$22&lt;=83.24),"P","")</f>
        <v/>
      </c>
      <c r="ADX16" s="102" t="str">
        <f>IF(AND(WSASWAJA!$R$22&gt;=83.25,WSASWAJA!$R$22&lt;=91.4),"P","")</f>
        <v/>
      </c>
      <c r="ADY16" s="102" t="str">
        <f>IF(AND(WSASWAJA!$R$22&gt;=91.5,WSASWAJA!$R$22&lt;=100),"P","")</f>
        <v/>
      </c>
      <c r="ADZ16" t="str">
        <f>IF(WSASWAJA!$R$30&lt;74.9,"P","")</f>
        <v/>
      </c>
      <c r="AEA16" s="102" t="str">
        <f>IF(AND(WSASWAJA!$R$30&gt;=75,WSASWAJA!$R$30&lt;=83.24),"P","")</f>
        <v/>
      </c>
      <c r="AEB16" s="102" t="str">
        <f>IF(AND(WSASWAJA!$R$30&gt;=83.25,WSASWAJA!$R$30&lt;=91.4),"P","")</f>
        <v/>
      </c>
      <c r="AEC16" s="102" t="str">
        <f>IF(AND(WSASWAJA!$R$30&gt;=91.5,WSASWAJA!$R$30&lt;=100),"P","")</f>
        <v/>
      </c>
      <c r="AED16" t="str">
        <f>IF(WSASWAJA!$R$38&lt;74.9,"P","")</f>
        <v/>
      </c>
      <c r="AEE16" s="102" t="str">
        <f>IF(AND(WSASWAJA!$R$38&gt;=75,WSASWAJA!$R$38&lt;=83.24),"P","")</f>
        <v/>
      </c>
      <c r="AEF16" s="102" t="str">
        <f>IF(AND(WSASWAJA!$R$38&gt;=83.25,WSASWAJA!$R$38&lt;=91.4),"P","")</f>
        <v/>
      </c>
      <c r="AEG16" s="102" t="str">
        <f>IF(AND(WSASWAJA!$R$38&gt;=91.5,WSASWAJA!$R$38&lt;=100),"P","")</f>
        <v/>
      </c>
      <c r="AEH16" t="str">
        <f>IF(WSASWAJA!$R$46&lt;74.9,"P","")</f>
        <v/>
      </c>
      <c r="AEI16" s="102" t="str">
        <f>IF(AND(WSASWAJA!$R$46&gt;=75,WSASWAJA!$R$46&lt;=83.24),"P","")</f>
        <v/>
      </c>
      <c r="AEJ16" s="102" t="str">
        <f>IF(AND(WSASWAJA!$R$46&gt;=83.25,WSASWAJA!$R$46&lt;=91.4),"P","")</f>
        <v/>
      </c>
      <c r="AEK16" s="102" t="str">
        <f>IF(AND(WSASWAJA!$R$46&gt;=91.5,WSASWAJA!$R$46&lt;=100),"P","")</f>
        <v/>
      </c>
      <c r="AEL16" t="str">
        <f>IF(WSASWAJA!$R$54&lt;74.9,"P","")</f>
        <v/>
      </c>
      <c r="AEM16" s="102" t="str">
        <f>IF(AND(WSASWAJA!$R$54&gt;=75,WSASWAJA!$R$54&lt;=83.24),"P","")</f>
        <v/>
      </c>
      <c r="AEN16" s="102" t="str">
        <f>IF(AND(WSASWAJA!$R$54&gt;=83.25,WSASWAJA!$R$54&lt;=91.4),"P","")</f>
        <v/>
      </c>
      <c r="AEO16" s="102" t="str">
        <f>IF(AND(WSASWAJA!$R$54&gt;=91.5,WSASWAJA!$R$54&lt;=100),"P","")</f>
        <v/>
      </c>
      <c r="AEP16" t="str">
        <f>IF(WSASWAJA!$R$62&lt;74.9,"P","")</f>
        <v/>
      </c>
      <c r="AEQ16" s="102" t="str">
        <f>IF(AND(WSASWAJA!$R$62&gt;=75,WSASWAJA!$R$62&lt;=83.24),"P","")</f>
        <v/>
      </c>
      <c r="AER16" s="102" t="str">
        <f>IF(AND(WSASWAJA!$R$62&gt;=83.25,WSASWAJA!$R$62&lt;=91.4),"P","")</f>
        <v/>
      </c>
      <c r="AES16" s="102" t="str">
        <f>IF(AND(WSASWAJA!$R$62&gt;=91.5,WSASWAJA!$R$62&lt;=100),"P","")</f>
        <v/>
      </c>
      <c r="AET16" t="str">
        <f>IF(WSASWAJA!$R$70&lt;74.9,"P","")</f>
        <v/>
      </c>
      <c r="AEU16" s="102" t="str">
        <f>IF(AND(WSASWAJA!$R$70&gt;=75,WSASWAJA!$R$70&lt;=83.24),"P","")</f>
        <v/>
      </c>
      <c r="AEV16" s="102" t="str">
        <f>IF(AND(WSASWAJA!$R$70&gt;=83.25,WSASWAJA!$R$70&lt;=91.4),"P","")</f>
        <v/>
      </c>
      <c r="AEW16" s="102" t="str">
        <f>IF(AND(WSASWAJA!$R$70&gt;=91.5,WSASWAJA!$R$70&lt;=100),"P","")</f>
        <v/>
      </c>
      <c r="AEX16" t="str">
        <f>IF(WSASWAJA!$R$78&lt;74.9,"P","")</f>
        <v/>
      </c>
      <c r="AEY16" s="102" t="str">
        <f>IF(AND(WSASWAJA!$R$78&gt;=75,WSASWAJA!$R$78&lt;=83.24),"P","")</f>
        <v/>
      </c>
      <c r="AEZ16" s="102" t="str">
        <f>IF(AND(WSASWAJA!$R$78&gt;=83.25,WSASWAJA!$R$78&lt;=91.4),"P","")</f>
        <v/>
      </c>
      <c r="AFA16" s="102" t="str">
        <f>IF(AND(WSASWAJA!$R$78&gt;=91.5,WSASWAJA!$R$78&lt;=100),"P","")</f>
        <v/>
      </c>
      <c r="AFB16" t="str">
        <f>IF(WSASWAJA!$R$86&lt;74.9,"P","")</f>
        <v/>
      </c>
      <c r="AFC16" s="102" t="str">
        <f>IF(AND(WSASWAJA!$R$86&gt;=75,WSASWAJA!$R$86&lt;=83.24),"P","")</f>
        <v/>
      </c>
      <c r="AFD16" s="102" t="str">
        <f>IF(AND(WSASWAJA!$R$86&gt;=83.25,WSASWAJA!$R$86&lt;=91.4),"P","")</f>
        <v/>
      </c>
      <c r="AFE16" s="102" t="str">
        <f>IF(AND(WSASWAJA!$R$86&gt;=91.5,WSASWAJA!$R$86&lt;=100),"P","")</f>
        <v/>
      </c>
      <c r="AFF16" t="str">
        <f>IF(WSASWAJA!$R$94&lt;74.9,"P","")</f>
        <v/>
      </c>
      <c r="AFG16" s="102" t="str">
        <f>IF(AND(WSASWAJA!$R$94&gt;=75,WSASWAJA!$R$94&lt;=83.24),"P","")</f>
        <v/>
      </c>
      <c r="AFH16" s="102" t="str">
        <f>IF(AND(WSASWAJA!$R$94&gt;=83.25,WSASWAJA!$R$94&lt;=91.4),"P","")</f>
        <v/>
      </c>
      <c r="AFI16" s="102" t="str">
        <f>IF(AND(WSASWAJA!$R$94&gt;=91.5,WSASWAJA!$R$94&lt;=100),"P","")</f>
        <v/>
      </c>
      <c r="AFJ16" t="str">
        <f>IF(WSASWAJA!$R$102&lt;74.9,"P","")</f>
        <v/>
      </c>
      <c r="AFK16" s="102" t="str">
        <f>IF(AND(WSASWAJA!$R$102&gt;=75,WSASWAJA!$R$102&lt;=83.24),"P","")</f>
        <v/>
      </c>
      <c r="AFL16" s="102" t="str">
        <f>IF(AND(WSASWAJA!$R$102&gt;=83.25,WSASWAJA!$R$102&lt;=91.4),"P","")</f>
        <v/>
      </c>
      <c r="AFM16" s="102" t="str">
        <f>IF(AND(WSASWAJA!$R$102&gt;=91.5,WSASWAJA!$R$102&lt;=100),"P","")</f>
        <v/>
      </c>
    </row>
    <row r="17" spans="1:845" ht="20.100000000000001" customHeight="1">
      <c r="A17">
        <v>15</v>
      </c>
      <c r="B17" t="str">
        <f>IF(WSALQURAN!$S$6&lt;74.9,"P","")</f>
        <v/>
      </c>
      <c r="C17" s="102" t="str">
        <f>IF(AND(WSALQURAN!$S$6&gt;=75,WSALQURAN!$S$6&lt;=83.24),"P","")</f>
        <v/>
      </c>
      <c r="D17" s="102" t="str">
        <f>IF(AND(WSALQURAN!$S$6&gt;=83.25,WSALQURAN!$S$6&lt;=91.4),"P","")</f>
        <v/>
      </c>
      <c r="E17" s="102" t="str">
        <f>IF(AND(WSALQURAN!$S$6&gt;=91.5,WSALQURAN!$S$6&lt;=100),"P","")</f>
        <v>P</v>
      </c>
      <c r="F17" t="str">
        <f>IF(WSALQURAN!$S$14&lt;74.9,"P","")</f>
        <v/>
      </c>
      <c r="G17" s="102" t="str">
        <f>IF(AND(WSALQURAN!$S$14&gt;=75,WSALQURAN!$S$14&lt;=83.24),"P","")</f>
        <v/>
      </c>
      <c r="H17" s="102" t="str">
        <f>IF(AND(WSALQURAN!$S$14&gt;=83.25,WSALQURAN!$S$14&lt;=91.4),"P","")</f>
        <v>P</v>
      </c>
      <c r="I17" s="102" t="str">
        <f>IF(AND(WSALQURAN!$S$14&gt;=91.5,WSALQURAN!$S$14&lt;=100),"P","")</f>
        <v/>
      </c>
      <c r="J17" t="str">
        <f>IF(WSALQURAN!$S$22&lt;74.9,"P","")</f>
        <v/>
      </c>
      <c r="K17" s="102" t="str">
        <f>IF(AND(WSALQURAN!$S$22&gt;=75,WSALQURAN!$S$22&lt;=83.24),"P","")</f>
        <v>P</v>
      </c>
      <c r="L17" s="102" t="str">
        <f>IF(AND(WSALQURAN!$S$22&gt;=83.25,WSALQURAN!$S$22&lt;=91.4),"P","")</f>
        <v/>
      </c>
      <c r="M17" s="102" t="str">
        <f>IF(AND(WSALQURAN!$S$22&gt;=91.5,WSALQURAN!$S$22&lt;=100),"P","")</f>
        <v/>
      </c>
      <c r="N17" t="str">
        <f>IF(WSALQURAN!$S$30&lt;74.9,"P","")</f>
        <v/>
      </c>
      <c r="O17" s="102" t="str">
        <f>IF(AND(WSALQURAN!$S$30&gt;=75,WSALQURAN!$S$30&lt;=83.24),"P","")</f>
        <v/>
      </c>
      <c r="P17" s="102" t="str">
        <f>IF(AND(WSALQURAN!$S$30&gt;=83.25,WSALQURAN!$S$30&lt;=91.4),"P","")</f>
        <v/>
      </c>
      <c r="Q17" s="102" t="str">
        <f>IF(AND(WSALQURAN!$S$30&gt;=91.5,WSALQURAN!$S$30&lt;=100),"P","")</f>
        <v>P</v>
      </c>
      <c r="R17" t="str">
        <f>IF(WSALQURAN!$S$38&lt;74.9,"P","")</f>
        <v/>
      </c>
      <c r="S17" s="102" t="str">
        <f>IF(AND(WSALQURAN!$S$38&gt;=75,WSALQURAN!$S$38&lt;=83.24),"P","")</f>
        <v/>
      </c>
      <c r="T17" s="102" t="str">
        <f>IF(AND(WSALQURAN!$S$38&gt;=83.25,WSALQURAN!$S$38&lt;=91.4),"P","")</f>
        <v/>
      </c>
      <c r="U17" s="102" t="str">
        <f>IF(AND(WSALQURAN!$S$38&gt;=91.5,WSALQURAN!$S$38&lt;=100),"P","")</f>
        <v>P</v>
      </c>
      <c r="V17" t="str">
        <f>IF(WSALQURAN!$S$46&lt;74.9,"P","")</f>
        <v/>
      </c>
      <c r="W17" s="102" t="str">
        <f>IF(AND(WSALQURAN!$S$46&gt;=75,WSALQURAN!$S$46&lt;=83.24),"P","")</f>
        <v>P</v>
      </c>
      <c r="X17" s="102" t="str">
        <f>IF(AND(WSALQURAN!$S$46&gt;=83.25,WSALQURAN!$S$46&lt;=91.4),"P","")</f>
        <v/>
      </c>
      <c r="Y17" s="102" t="str">
        <f>IF(AND(WSALQURAN!$S$46&gt;=91.5,WSALQURAN!$S$46&lt;=100),"P","")</f>
        <v/>
      </c>
      <c r="Z17" t="str">
        <f>IF(WSALQURAN!$S$54&lt;74.9,"P","")</f>
        <v/>
      </c>
      <c r="AA17" s="102" t="str">
        <f>IF(AND(WSALQURAN!$S$54&gt;=75,WSALQURAN!$S$54&lt;=83.24),"P","")</f>
        <v/>
      </c>
      <c r="AB17" s="102" t="str">
        <f>IF(AND(WSALQURAN!$S$54&gt;=83.25,WSALQURAN!$S$54&lt;=91.4),"P","")</f>
        <v>P</v>
      </c>
      <c r="AC17" s="102" t="str">
        <f>IF(AND(WSALQURAN!$S$54&gt;=91.5,WSALQURAN!$S$54&lt;=100),"P","")</f>
        <v/>
      </c>
      <c r="AD17" t="str">
        <f>IF(WSALQURAN!$S$62&lt;74.9,"P","")</f>
        <v/>
      </c>
      <c r="AE17" s="102" t="str">
        <f>IF(AND(WSALQURAN!$S$62&gt;=75,WSALQURAN!$S$62&lt;=83.24),"P","")</f>
        <v/>
      </c>
      <c r="AF17" s="102" t="str">
        <f>IF(AND(WSALQURAN!$S$62&gt;=83.25,WSALQURAN!$S$62&lt;=91.4),"P","")</f>
        <v/>
      </c>
      <c r="AG17" s="102" t="str">
        <f>IF(AND(WSALQURAN!$S$62&gt;=91.5,WSALQURAN!$S$62&lt;=100),"P","")</f>
        <v/>
      </c>
      <c r="AH17" t="str">
        <f>IF(WSALQURAN!$S$70&lt;74.9,"P","")</f>
        <v/>
      </c>
      <c r="AI17" s="102" t="str">
        <f>IF(AND(WSALQURAN!$S$70&gt;=75,WSALQURAN!$S$70&lt;=83.24),"P","")</f>
        <v/>
      </c>
      <c r="AJ17" s="102" t="str">
        <f>IF(AND(WSALQURAN!$S$70&gt;=83.25,WSALQURAN!$S$70&lt;=91.4),"P","")</f>
        <v/>
      </c>
      <c r="AK17" s="102" t="str">
        <f>IF(AND(WSALQURAN!$S$70&gt;=91.5,WSALQURAN!$S$70&lt;=100),"P","")</f>
        <v/>
      </c>
      <c r="AL17" t="str">
        <f>IF(WSALQURAN!$S$78&lt;74.9,"P","")</f>
        <v/>
      </c>
      <c r="AM17" s="102" t="str">
        <f>IF(AND(WSALQURAN!$S$78&gt;=75,WSALQURAN!$S$78&lt;=83.24),"P","")</f>
        <v/>
      </c>
      <c r="AN17" s="102" t="str">
        <f>IF(AND(WSALQURAN!$S$78&gt;=83.25,WSALQURAN!$S$78&lt;=91.4),"P","")</f>
        <v/>
      </c>
      <c r="AO17" s="102" t="str">
        <f>IF(AND(WSALQURAN!$S$78&gt;=91.5,WSALQURAN!$S$78&lt;=100),"P","")</f>
        <v/>
      </c>
      <c r="AP17" t="str">
        <f>IF(WSALQURAN!$S$86&lt;74.9,"P","")</f>
        <v/>
      </c>
      <c r="AQ17" s="102" t="str">
        <f>IF(AND(WSALQURAN!$S$86&gt;=75,WSALQURAN!$S$86&lt;=83.24),"P","")</f>
        <v/>
      </c>
      <c r="AR17" s="102" t="str">
        <f>IF(AND(WSALQURAN!$S$86&gt;=83.25,WSALQURAN!$S$86&lt;=91.4),"P","")</f>
        <v/>
      </c>
      <c r="AS17" s="102" t="str">
        <f>IF(AND(WSALQURAN!$S$86&gt;=91.5,WSALQURAN!$S$86&lt;=100),"P","")</f>
        <v/>
      </c>
      <c r="AT17" t="str">
        <f>IF(WSALQURAN!$S$94&lt;74.9,"P","")</f>
        <v/>
      </c>
      <c r="AU17" s="102" t="str">
        <f>IF(AND(WSALQURAN!$S$94&gt;=75,WSALQURAN!$S$94&lt;=83.24),"P","")</f>
        <v/>
      </c>
      <c r="AV17" s="102" t="str">
        <f>IF(AND(WSALQURAN!$S$94&gt;=83.25,WSALQURAN!$S$94&lt;=91.4),"P","")</f>
        <v/>
      </c>
      <c r="AW17" s="102" t="str">
        <f>IF(AND(WSALQURAN!$S$94&gt;=91.5,WSALQURAN!$S$94&lt;=100),"P","")</f>
        <v/>
      </c>
      <c r="AX17" t="str">
        <f>IF(WSALQURAN!$S$102&lt;74.9,"P","")</f>
        <v/>
      </c>
      <c r="AY17" s="102" t="str">
        <f>IF(AND(WSALQURAN!$S$102&gt;=75,WSALQURAN!$S$102&lt;=83.24),"P","")</f>
        <v/>
      </c>
      <c r="AZ17" s="102" t="str">
        <f>IF(AND(WSALQURAN!$S$102&gt;=83.25,WSALQURAN!$S$102&lt;=91.4),"P","")</f>
        <v/>
      </c>
      <c r="BA17" s="102" t="str">
        <f>IF(AND(WSALQURAN!$S$102&gt;=91.5,WSALQURAN!$S$102&lt;=100),"P","")</f>
        <v/>
      </c>
      <c r="BB17" t="str">
        <f>IF(WSAQIDAH!$S$6&lt;74.9,"P","")</f>
        <v/>
      </c>
      <c r="BC17" s="102" t="str">
        <f>IF(AND(WSAQIDAH!$S$6&gt;=75,WSAQIDAH!$S$6&lt;=83.24),"P","")</f>
        <v>P</v>
      </c>
      <c r="BD17" s="102" t="str">
        <f>IF(AND(WSAQIDAH!$S$6&gt;=83.25,WSAQIDAH!$S$6&lt;=91.4),"P","")</f>
        <v/>
      </c>
      <c r="BE17" s="102" t="str">
        <f>IF(AND(WSAQIDAH!$S$6&gt;=91.5,WSAQIDAH!$S$6&lt;=100),"P","")</f>
        <v/>
      </c>
      <c r="BF17" t="str">
        <f>IF(WSAQIDAH!$S$14&lt;74.9,"P","")</f>
        <v/>
      </c>
      <c r="BG17" s="102" t="str">
        <f>IF(AND(WSAQIDAH!$S$14&gt;=75,WSAQIDAH!$S$14&lt;=83.24),"P","")</f>
        <v/>
      </c>
      <c r="BH17" s="102" t="str">
        <f>IF(AND(WSAQIDAH!$S$14&gt;=83.25,WSAQIDAH!$S$14&lt;=91.4),"P","")</f>
        <v/>
      </c>
      <c r="BI17" s="102" t="str">
        <f>IF(AND(WSAQIDAH!$S$14&gt;=91.5,WSAQIDAH!$S$14&lt;=100),"P","")</f>
        <v>P</v>
      </c>
      <c r="BJ17" t="str">
        <f>IF(WSAQIDAH!$S$22&lt;74.9,"P","")</f>
        <v/>
      </c>
      <c r="BK17" s="102" t="str">
        <f>IF(AND(WSAQIDAH!$S$22&gt;=75,WSAQIDAH!$S$22&lt;=83.24),"P","")</f>
        <v>P</v>
      </c>
      <c r="BL17" s="102" t="str">
        <f>IF(AND(WSAQIDAH!$S$22&gt;=83.25,WSAQIDAH!$S$22&lt;=91.4),"P","")</f>
        <v/>
      </c>
      <c r="BM17" s="102" t="str">
        <f>IF(AND(WSAQIDAH!$S$22&gt;=91.5,WSAQIDAH!$S$22&lt;=100),"P","")</f>
        <v/>
      </c>
      <c r="BN17" t="str">
        <f>IF(WSAQIDAH!$S$30&lt;74.9,"P","")</f>
        <v/>
      </c>
      <c r="BO17" s="102" t="str">
        <f>IF(AND(WSAQIDAH!$S$30&gt;=75,WSAQIDAH!$S$30&lt;=83.24),"P","")</f>
        <v>P</v>
      </c>
      <c r="BP17" s="102" t="str">
        <f>IF(AND(WSAQIDAH!$S$30&gt;=83.25,WSAQIDAH!$S$30&lt;=91.4),"P","")</f>
        <v/>
      </c>
      <c r="BQ17" s="102" t="str">
        <f>IF(AND(WSAQIDAH!$S$30&gt;=91.5,WSAQIDAH!$S$30&lt;=100),"P","")</f>
        <v/>
      </c>
      <c r="BR17" t="str">
        <f>IF(WSAQIDAH!$S$38&lt;74.9,"P","")</f>
        <v/>
      </c>
      <c r="BS17" s="102" t="str">
        <f>IF(AND(WSAQIDAH!$S$38&gt;=75,WSAQIDAH!$S$38&lt;=83.24),"P","")</f>
        <v/>
      </c>
      <c r="BT17" s="102" t="str">
        <f>IF(AND(WSAQIDAH!$S$38&gt;=83.25,WSAQIDAH!$S$38&lt;=91.4),"P","")</f>
        <v/>
      </c>
      <c r="BU17" s="102" t="str">
        <f>IF(AND(WSAQIDAH!$S$38&gt;=91.5,WSAQIDAH!$S$38&lt;=100),"P","")</f>
        <v>P</v>
      </c>
      <c r="BV17" t="str">
        <f>IF(WSAQIDAH!$S$46&lt;74.9,"P","")</f>
        <v/>
      </c>
      <c r="BW17" s="102" t="str">
        <f>IF(AND(WSAQIDAH!$S$46&gt;=75,WSAQIDAH!$S$46&lt;=83.24),"P","")</f>
        <v>P</v>
      </c>
      <c r="BX17" s="102" t="str">
        <f>IF(AND(WSAQIDAH!$S$46&gt;=83.25,WSAQIDAH!$S$46&lt;=91.4),"P","")</f>
        <v/>
      </c>
      <c r="BY17" s="102" t="str">
        <f>IF(AND(WSAQIDAH!$S$46&gt;=91.5,WSAQIDAH!$S$46&lt;=100),"P","")</f>
        <v/>
      </c>
      <c r="BZ17" t="str">
        <f>IF(WSAQIDAH!$S$54&lt;74.9,"P","")</f>
        <v/>
      </c>
      <c r="CA17" s="102" t="str">
        <f>IF(AND(WSAQIDAH!$S$54&gt;=75,WSAQIDAH!$S$54&lt;=83.24),"P","")</f>
        <v>P</v>
      </c>
      <c r="CB17" s="102" t="str">
        <f>IF(AND(WSAQIDAH!$S$54&gt;=83.25,WSAQIDAH!$S$54&lt;=91.4),"P","")</f>
        <v/>
      </c>
      <c r="CC17" s="102" t="str">
        <f>IF(AND(WSAQIDAH!$S$54&gt;=91.5,WSAQIDAH!$S$54&lt;=100),"P","")</f>
        <v/>
      </c>
      <c r="CD17" t="str">
        <f>IF(WSAQIDAH!$S$62&lt;74.9,"P","")</f>
        <v/>
      </c>
      <c r="CE17" s="102" t="str">
        <f>IF(AND(WSAQIDAH!$S$62&gt;=75,WSAQIDAH!$S$62&lt;=83.24),"P","")</f>
        <v>P</v>
      </c>
      <c r="CF17" s="102" t="str">
        <f>IF(AND(WSAQIDAH!$S$62&gt;=83.25,WSAQIDAH!$S$62&lt;=91.4),"P","")</f>
        <v/>
      </c>
      <c r="CG17" s="102" t="str">
        <f>IF(AND(WSAQIDAH!$S$62&gt;=91.5,WSAQIDAH!$S$62&lt;=100),"P","")</f>
        <v/>
      </c>
      <c r="CH17" t="str">
        <f>IF(WSAQIDAH!$S$70&lt;74.9,"P","")</f>
        <v/>
      </c>
      <c r="CI17" s="102" t="str">
        <f>IF(AND(WSAQIDAH!$S$70&gt;=75,WSAQIDAH!$S$70&lt;=83.24),"P","")</f>
        <v>P</v>
      </c>
      <c r="CJ17" s="102" t="str">
        <f>IF(AND(WSAQIDAH!$S$70&gt;=83.25,WSAQIDAH!$S$70&lt;=91.4),"P","")</f>
        <v/>
      </c>
      <c r="CK17" s="102" t="str">
        <f>IF(AND(WSAQIDAH!$S$70&gt;=91.5,WSAQIDAH!$S$70&lt;=100),"P","")</f>
        <v/>
      </c>
      <c r="CL17" t="str">
        <f>IF(WSAQIDAH!$S$78&lt;74.9,"P","")</f>
        <v/>
      </c>
      <c r="CM17" s="102" t="str">
        <f>IF(AND(WSAQIDAH!$S$78&gt;=75,WSAQIDAH!$S$78&lt;=83.24),"P","")</f>
        <v>P</v>
      </c>
      <c r="CN17" s="102" t="str">
        <f>IF(AND(WSAQIDAH!$S$78&gt;=83.25,WSAQIDAH!$S$78&lt;=91.4),"P","")</f>
        <v/>
      </c>
      <c r="CO17" s="102" t="str">
        <f>IF(AND(WSAQIDAH!$S$78&gt;=91.5,WSAQIDAH!$S$78&lt;=100),"P","")</f>
        <v/>
      </c>
      <c r="CP17" t="str">
        <f>IF(WSAQIDAH!$S$86&lt;74.9,"P","")</f>
        <v/>
      </c>
      <c r="CQ17" s="102" t="str">
        <f>IF(AND(WSAQIDAH!$S$86&gt;=75,WSAQIDAH!$S$86&lt;=83.24),"P","")</f>
        <v/>
      </c>
      <c r="CR17" s="102" t="str">
        <f>IF(AND(WSAQIDAH!$S$86&gt;=83.25,WSAQIDAH!$S$86&lt;=91.4),"P","")</f>
        <v/>
      </c>
      <c r="CS17" s="102" t="str">
        <f>IF(AND(WSAQIDAH!$S$86&gt;=91.5,WSAQIDAH!$S$86&lt;=100),"P","")</f>
        <v/>
      </c>
      <c r="CT17" t="str">
        <f>IF(WSAQIDAH!$S$94&lt;74.9,"P","")</f>
        <v/>
      </c>
      <c r="CU17" s="102" t="str">
        <f>IF(AND(WSAQIDAH!$S$94&gt;=75,WSAQIDAH!$S$94&lt;=83.24),"P","")</f>
        <v/>
      </c>
      <c r="CV17" s="102" t="str">
        <f>IF(AND(WSAQIDAH!$S$94&gt;=83.25,WSAQIDAH!$S$94&lt;=91.4),"P","")</f>
        <v/>
      </c>
      <c r="CW17" s="102" t="str">
        <f>IF(AND(WSAQIDAH!$S$94&gt;=91.5,WSAQIDAH!$S$94&lt;=100),"P","")</f>
        <v/>
      </c>
      <c r="CX17" t="str">
        <f>IF(WSAQIDAH!$S$102&lt;74.9,"P","")</f>
        <v/>
      </c>
      <c r="CY17" s="102" t="str">
        <f>IF(AND(WSAQIDAH!$S$102&gt;=75,WSAQIDAH!$S$102&lt;=83.24),"P","")</f>
        <v/>
      </c>
      <c r="CZ17" s="102" t="str">
        <f>IF(AND(WSAQIDAH!$S$102&gt;=83.25,WSAQIDAH!$S$102&lt;=91.4),"P","")</f>
        <v/>
      </c>
      <c r="DA17" s="102" t="str">
        <f>IF(AND(WSAQIDAH!$S$102&gt;=91.5,WSAQIDAH!$S$102&lt;=100),"P","")</f>
        <v/>
      </c>
      <c r="DB17" t="str">
        <f>IF(WSSKI!$S$6&lt;74.9,"P","")</f>
        <v/>
      </c>
      <c r="DC17" s="102" t="str">
        <f>IF(AND(WSSKI!$S$6&gt;=75,WSSKI!$S$6&lt;=83.24),"P","")</f>
        <v/>
      </c>
      <c r="DD17" s="102" t="str">
        <f>IF(AND(WSSKI!$S$6&gt;=83.25,WSSKI!$S$6&lt;=91.4),"P","")</f>
        <v>P</v>
      </c>
      <c r="DE17" s="102" t="str">
        <f>IF(AND(WSSKI!$S$6&gt;=91.5,WSSKI!$S$6&lt;=100),"P","")</f>
        <v/>
      </c>
      <c r="DF17" t="str">
        <f>IF(WSSKI!$S$14&lt;74.9,"P","")</f>
        <v/>
      </c>
      <c r="DG17" s="102" t="str">
        <f>IF(AND(WSSKI!$S$14&gt;=75,WSSKI!$S$14&lt;=83.24),"P","")</f>
        <v>P</v>
      </c>
      <c r="DH17" s="102" t="str">
        <f>IF(AND(WSSKI!$S$14&gt;=83.25,WSSKI!$S$14&lt;=91.4),"P","")</f>
        <v/>
      </c>
      <c r="DI17" s="102" t="str">
        <f>IF(AND(WSSKI!$S$14&gt;=91.5,WSSKI!$S$14&lt;=100),"P","")</f>
        <v/>
      </c>
      <c r="DJ17" t="str">
        <f>IF(WSSKI!$S$23&lt;74.9,"P","")</f>
        <v/>
      </c>
      <c r="DK17" s="102" t="str">
        <f>IF(AND(WSSKI!$S$23&gt;=75,WSSKI!$S$23&lt;=83.24),"P","")</f>
        <v>P</v>
      </c>
      <c r="DL17" s="102" t="str">
        <f>IF(AND(WSSKI!$S$23&gt;=83.25,WSSKI!$S$23&lt;=91.4),"P","")</f>
        <v/>
      </c>
      <c r="DM17" s="102" t="str">
        <f>IF(AND(WSSKI!$S$23&gt;=91.5,WSSKI!$S$23&lt;=100),"P","")</f>
        <v/>
      </c>
      <c r="DN17" t="str">
        <f>IF(WSSKI!$S$31&lt;74.9,"P","")</f>
        <v/>
      </c>
      <c r="DO17" s="102" t="str">
        <f>IF(AND(WSSKI!$S$31&gt;=75,WSSKI!$S$31&lt;=83.24),"P","")</f>
        <v/>
      </c>
      <c r="DP17" s="102" t="str">
        <f>IF(AND(WSSKI!$S$31&gt;=83.25,WSSKI!$S$31&lt;=91.4),"P","")</f>
        <v>P</v>
      </c>
      <c r="DQ17" s="102" t="str">
        <f>IF(AND(WSSKI!$S$31&gt;=91.5,WSSKI!$S$31&lt;=100),"P","")</f>
        <v/>
      </c>
      <c r="DR17" t="str">
        <f>IF(WSSKI!$S$40&lt;74.9,"P","")</f>
        <v/>
      </c>
      <c r="DS17" s="102" t="str">
        <f>IF(AND(WSSKI!$S$40&gt;=75,WSSKI!$S$40&lt;=83.24),"P","")</f>
        <v>P</v>
      </c>
      <c r="DT17" s="102" t="str">
        <f>IF(AND(WSSKI!$S$40&gt;=83.25,WSSKI!$S$40&lt;=91.4),"P","")</f>
        <v/>
      </c>
      <c r="DU17" s="102" t="str">
        <f>IF(AND(WSSKI!$S$40&gt;=91.5,WSSKI!$S$40&lt;=100),"P","")</f>
        <v/>
      </c>
      <c r="DV17" t="str">
        <f>IF(WSSKI!$S$48&lt;74.9,"P","")</f>
        <v/>
      </c>
      <c r="DW17" s="102" t="str">
        <f>IF(AND(WSSKI!$S$48&gt;=75,WSSKI!$S$48&lt;=83.24),"P","")</f>
        <v>P</v>
      </c>
      <c r="DX17" s="102" t="str">
        <f>IF(AND(WSSKI!$S$48&gt;=83.25,WSSKI!$S$48&lt;=91.4),"P","")</f>
        <v/>
      </c>
      <c r="DY17" s="102" t="str">
        <f>IF(AND(WSSKI!$S$48&gt;=91.5,WSSKI!$S$48&lt;=100),"P","")</f>
        <v/>
      </c>
      <c r="DZ17" t="str">
        <f>IF(WSSKI!$S$56&lt;74.9,"P","")</f>
        <v/>
      </c>
      <c r="EA17" s="102" t="str">
        <f>IF(AND(WSSKI!$S$56&gt;=75,WSSKI!$S$56&lt;=83.24),"P","")</f>
        <v/>
      </c>
      <c r="EB17" s="102" t="str">
        <f>IF(AND(WSSKI!$S$56&gt;=83.25,WSSKI!$S$56&lt;=91.4),"P","")</f>
        <v/>
      </c>
      <c r="EC17" s="102" t="str">
        <f>IF(AND(WSSKI!$S$56&gt;=91.5,WSSKI!$S$56&lt;=100),"P","")</f>
        <v/>
      </c>
      <c r="ED17" t="str">
        <f>IF(WSSKI!$S$64&lt;74.9,"P","")</f>
        <v/>
      </c>
      <c r="EE17" s="102" t="str">
        <f>IF(AND(WSSKI!$S$64&gt;=75,WSSKI!$S$64&lt;=83.24),"P","")</f>
        <v/>
      </c>
      <c r="EF17" s="102" t="str">
        <f>IF(AND(WSSKI!$S$64&gt;=83.25,WSSKI!$S$64&lt;=91.4),"P","")</f>
        <v/>
      </c>
      <c r="EG17" s="102" t="str">
        <f>IF(AND(WSSKI!$S$64&gt;=91.5,WSSKI!$S$64&lt;=100),"P","")</f>
        <v/>
      </c>
      <c r="EH17" t="str">
        <f>IF(WSSKI!$S$72&lt;74.9,"P","")</f>
        <v/>
      </c>
      <c r="EI17" s="102" t="str">
        <f>IF(AND(WSSKI!$S$72&gt;=75,WSSKI!$S$72&lt;=83.24),"P","")</f>
        <v/>
      </c>
      <c r="EJ17" s="102" t="str">
        <f>IF(AND(WSSKI!$S$72&gt;=83.25,WSSKI!$S$72&lt;=91.4),"P","")</f>
        <v/>
      </c>
      <c r="EK17" s="102" t="str">
        <f>IF(AND(WSSKI!$S$72&gt;=91.5,WSSKI!$S$72&lt;=100),"P","")</f>
        <v/>
      </c>
      <c r="EL17" t="str">
        <f>IF(WSSKI!$S$80&lt;74.9,"P","")</f>
        <v/>
      </c>
      <c r="EM17" s="102" t="str">
        <f>IF(AND(WSSKI!$S$80&gt;=75,WSSKI!$S$80&lt;=83.24),"P","")</f>
        <v/>
      </c>
      <c r="EN17" s="102" t="str">
        <f>IF(AND(WSSKI!$S$80&gt;=83.25,WSSKI!$S$80&lt;=91.4),"P","")</f>
        <v/>
      </c>
      <c r="EO17" s="102" t="str">
        <f>IF(AND(WSSKI!$S$80&gt;=91.5,WSSKI!$S$80&lt;=100),"P","")</f>
        <v/>
      </c>
      <c r="EP17" t="str">
        <f>IF(WSSKI!$S$88&lt;74.9,"P","")</f>
        <v/>
      </c>
      <c r="EQ17" s="102" t="str">
        <f>IF(AND(WSSKI!$S$88&gt;=75,WSSKI!$S$88&lt;=83.24),"P","")</f>
        <v/>
      </c>
      <c r="ER17" s="102" t="str">
        <f>IF(AND(WSSKI!$S$88&gt;=83.25,WSSKI!$S$88&lt;=91.4),"P","")</f>
        <v/>
      </c>
      <c r="ES17" s="102" t="str">
        <f>IF(AND(WSSKI!$S$88&gt;=91.5,WSSKI!$S$88&lt;=100),"P","")</f>
        <v/>
      </c>
      <c r="ET17" t="str">
        <f>IF(WSSKI!$S$96&lt;74.9,"P","")</f>
        <v/>
      </c>
      <c r="EU17" s="102" t="str">
        <f>IF(AND(WSSKI!$S$96&gt;=75,WSSKI!$S$96&lt;=83.24),"P","")</f>
        <v/>
      </c>
      <c r="EV17" s="102" t="str">
        <f>IF(AND(WSSKI!$S$96&gt;=83.25,WSSKI!$S$96&lt;=91.4),"P","")</f>
        <v/>
      </c>
      <c r="EW17" s="102" t="str">
        <f>IF(AND(WSSKI!$S$96&gt;=91.5,WSSKI!$S$96&lt;=100),"P","")</f>
        <v/>
      </c>
      <c r="EX17" t="str">
        <f>IF(WSSKI!$S$104&lt;74.9,"P","")</f>
        <v/>
      </c>
      <c r="EY17" s="102" t="str">
        <f>IF(AND(WSSKI!$S$104&gt;=75,WSSKI!$S$104&lt;=83.24),"P","")</f>
        <v/>
      </c>
      <c r="EZ17" s="102" t="str">
        <f>IF(AND(WSSKI!$S$104&gt;=83.25,WSSKI!$S$104&lt;=91.4),"P","")</f>
        <v/>
      </c>
      <c r="FA17" s="102" t="str">
        <f>IF(AND(WSSKI!$S$104&gt;=91.5,WSSKI!$S$104&lt;=100),"P","")</f>
        <v/>
      </c>
      <c r="FB17" t="str">
        <f>IF(WSFIQIH!$S$6&lt;74.9,"P","")</f>
        <v/>
      </c>
      <c r="FC17" s="102" t="str">
        <f>IF(AND(WSFIQIH!$S$6&gt;=75,WSFIQIH!$S$6&lt;=83.24),"P","")</f>
        <v>P</v>
      </c>
      <c r="FD17" s="102" t="str">
        <f>IF(AND(WSFIQIH!$S$6&gt;=83.25,WSFIQIH!$S$6&lt;=91.4),"P","")</f>
        <v/>
      </c>
      <c r="FE17" s="102" t="str">
        <f>IF(AND(WSFIQIH!$S$6&gt;=91.5,WSFIQIH!$S$6&lt;=100),"P","")</f>
        <v/>
      </c>
      <c r="FF17" t="str">
        <f>IF(WSFIQIH!$S$19&lt;74.9,"P","")</f>
        <v/>
      </c>
      <c r="FG17" s="102" t="str">
        <f>IF(AND(WSFIQIH!$S$19&gt;=75,WSFIQIH!$S$19&lt;=83.24),"P","")</f>
        <v>P</v>
      </c>
      <c r="FH17" s="102" t="str">
        <f>IF(AND(WSFIQIH!$S$19&gt;=83.25,WSFIQIH!$S$19&lt;=91.4),"P","")</f>
        <v/>
      </c>
      <c r="FI17" s="102" t="str">
        <f>IF(AND(WSFIQIH!$S$19&gt;=91.5,WSFIQIH!$S$19&lt;=100),"P","")</f>
        <v/>
      </c>
      <c r="FJ17" t="str">
        <f>IF(WSFIQIH!$S$28&lt;74.9,"P","")</f>
        <v/>
      </c>
      <c r="FK17" s="102" t="str">
        <f>IF(AND(WSFIQIH!$S$28&gt;=75,WSFIQIH!$S$28&lt;=83.24),"P","")</f>
        <v>P</v>
      </c>
      <c r="FL17" s="102" t="str">
        <f>IF(AND(WSFIQIH!$S$28&gt;=83.25,WSFIQIH!$S$28&lt;=91.4),"P","")</f>
        <v/>
      </c>
      <c r="FM17" s="102" t="str">
        <f>IF(AND(WSFIQIH!$S$28&gt;=91.5,WSFIQIH!$S$28&lt;=100),"P","")</f>
        <v/>
      </c>
      <c r="FN17" t="str">
        <f>IF(WSFIQIH!$S$41&lt;74.9,"P","")</f>
        <v/>
      </c>
      <c r="FO17" s="102" t="str">
        <f>IF(AND(WSFIQIH!$S$41&gt;=75,WSFIQIH!$S$41&lt;=83.24),"P","")</f>
        <v>P</v>
      </c>
      <c r="FP17" s="102" t="str">
        <f>IF(AND(WSFIQIH!$S$41&gt;=83.25,WSFIQIH!$S$41&lt;=91.4),"P","")</f>
        <v/>
      </c>
      <c r="FQ17" s="102" t="str">
        <f>IF(AND(WSFIQIH!$S$41&gt;=91.5,WSFIQIH!$S$41&lt;=100),"P","")</f>
        <v/>
      </c>
      <c r="FR17" t="str">
        <f>IF(WSFIQIH!$S$49&lt;74.9,"P","")</f>
        <v/>
      </c>
      <c r="FS17" s="102" t="str">
        <f>IF(AND(WSFIQIH!$S$49&gt;=75,WSFIQIH!$S$49&lt;=83.24),"P","")</f>
        <v>P</v>
      </c>
      <c r="FT17" s="102" t="str">
        <f>IF(AND(WSFIQIH!$S$49&gt;=83.25,WSFIQIH!$S$49&lt;=91.4),"P","")</f>
        <v/>
      </c>
      <c r="FU17" s="102" t="str">
        <f>IF(AND(WSFIQIH!$S$49&gt;=91.5,WSFIQIH!$S$49&lt;=100),"P","")</f>
        <v/>
      </c>
      <c r="FV17" t="str">
        <f>IF(WSFIQIH!$S$62&lt;74.9,"P","")</f>
        <v/>
      </c>
      <c r="FW17" s="102" t="str">
        <f>IF(AND(WSFIQIH!$S$62&gt;=75,WSFIQIH!$S$62&lt;=83.24),"P","")</f>
        <v/>
      </c>
      <c r="FX17" s="102" t="str">
        <f>IF(AND(WSFIQIH!$S$62&gt;=83.25,WSFIQIH!$S$62&lt;=91.4),"P","")</f>
        <v>P</v>
      </c>
      <c r="FY17" s="102" t="str">
        <f>IF(AND(WSFIQIH!$S$62&gt;=91.5,WSFIQIH!$S$62&lt;=100),"P","")</f>
        <v/>
      </c>
      <c r="FZ17" t="str">
        <f>IF(WSFIQIH!$S$71&lt;74.9,"P","")</f>
        <v/>
      </c>
      <c r="GA17" s="102" t="str">
        <f>IF(AND(WSFIQIH!$S$71&gt;=75,WSFIQIH!$S$71&lt;=83.24),"P","")</f>
        <v/>
      </c>
      <c r="GB17" s="102" t="str">
        <f>IF(AND(WSFIQIH!$S$71&gt;=83.25,WSFIQIH!$S$71&lt;=91.4),"P","")</f>
        <v>P</v>
      </c>
      <c r="GC17" s="102" t="str">
        <f>IF(AND(WSFIQIH!$S$71&gt;=91.5,WSFIQIH!$S$71&lt;=100),"P","")</f>
        <v/>
      </c>
      <c r="GD17" t="str">
        <f>IF(WSFIQIH!$S$80&lt;74.9,"P","")</f>
        <v/>
      </c>
      <c r="GE17" s="102" t="str">
        <f>IF(AND(WSFIQIH!$S$80&gt;=75,WSFIQIH!$S$80&lt;=83.24),"P","")</f>
        <v>P</v>
      </c>
      <c r="GF17" s="102" t="str">
        <f>IF(AND(WSFIQIH!$S$80&gt;=83.25,WSFIQIH!$S$80&lt;=91.4),"P","")</f>
        <v/>
      </c>
      <c r="GG17" s="102" t="str">
        <f>IF(AND(WSFIQIH!$S$80&gt;=91.5,WSFIQIH!$S$80&lt;=100),"P","")</f>
        <v/>
      </c>
      <c r="GH17" t="str">
        <f>IF(WSFIQIH!$S$88&lt;74.9,"P","")</f>
        <v/>
      </c>
      <c r="GI17" s="102" t="str">
        <f>IF(AND(WSFIQIH!$S$88&gt;=75,WSFIQIH!$S$88&lt;=83.24),"P","")</f>
        <v/>
      </c>
      <c r="GJ17" s="102" t="str">
        <f>IF(AND(WSFIQIH!$S$88&gt;=83.25,WSFIQIH!$S$88&lt;=91.4),"P","")</f>
        <v/>
      </c>
      <c r="GK17" s="102" t="str">
        <f>IF(AND(WSFIQIH!$S$88&gt;=91.5,WSFIQIH!$S$88&lt;=100),"P","")</f>
        <v/>
      </c>
      <c r="GL17" t="str">
        <f>IF(WSFIQIH!$S$96&lt;74.9,"P","")</f>
        <v/>
      </c>
      <c r="GM17" s="102" t="str">
        <f>IF(AND(WSFIQIH!$S$96&gt;=75,WSFIQIH!$S$96&lt;=83.24),"P","")</f>
        <v/>
      </c>
      <c r="GN17" s="102" t="str">
        <f>IF(AND(WSFIQIH!$S$96&gt;=83.25,WSFIQIH!$S$96&lt;=91.4),"P","")</f>
        <v/>
      </c>
      <c r="GO17" s="102" t="str">
        <f>IF(AND(WSFIQIH!$S$96&gt;=91.5,WSFIQIH!$S$96&lt;=100),"P","")</f>
        <v/>
      </c>
      <c r="GP17" t="str">
        <f>IF(WSFIQIH!$S$104&lt;74.9,"P","")</f>
        <v/>
      </c>
      <c r="GQ17" s="102" t="str">
        <f>IF(AND(WSFIQIH!$S$104&gt;=75,WSFIQIH!$S$104&lt;=83.24),"P","")</f>
        <v/>
      </c>
      <c r="GR17" s="102" t="str">
        <f>IF(AND(WSFIQIH!$S$104&gt;=83.25,WSFIQIH!$S$104&lt;=91.4),"P","")</f>
        <v/>
      </c>
      <c r="GS17" s="102" t="str">
        <f>IF(AND(WSFIQIH!$S$104&gt;=91.5,WSFIQIH!$S$104&lt;=100),"P","")</f>
        <v/>
      </c>
      <c r="GT17" t="str">
        <f>IF(WSFIQIH!$S$112&lt;74.9,"P","")</f>
        <v/>
      </c>
      <c r="GU17" s="102" t="str">
        <f>IF(AND(WSFIQIH!$S$112&gt;=75,WSFIQIH!$S$112&lt;=83.24),"P","")</f>
        <v/>
      </c>
      <c r="GV17" s="102" t="str">
        <f>IF(AND(WSFIQIH!$S$112&gt;=83.25,WSFIQIH!$S$112&lt;=91.4),"P","")</f>
        <v/>
      </c>
      <c r="GW17" s="102" t="str">
        <f>IF(AND(WSFIQIH!$S$112&gt;=91.5,WSFIQIH!$S$112&lt;=100),"P","")</f>
        <v/>
      </c>
      <c r="GX17" t="str">
        <f>IF(WSFIQIH!$S$120&lt;74.9,"P","")</f>
        <v/>
      </c>
      <c r="GY17" s="102" t="str">
        <f>IF(AND(WSFIQIH!$S$120&gt;=75,WSFIQIH!$S$120&lt;=83.24),"P","")</f>
        <v/>
      </c>
      <c r="GZ17" s="102" t="str">
        <f>IF(AND(WSFIQIH!$S$120&gt;=83.25,WSFIQIH!$S$120&lt;=91.4),"P","")</f>
        <v/>
      </c>
      <c r="HA17" s="102" t="str">
        <f>IF(AND(WSFIQIH!$S$120&gt;=91.5,WSFIQIH!$S$120&lt;=100),"P","")</f>
        <v/>
      </c>
      <c r="HB17" t="str">
        <f>IF(WSPKN!$S$6&lt;74.9,"P","")</f>
        <v/>
      </c>
      <c r="HC17" s="102" t="str">
        <f>IF(AND(WSPKN!$S$6&gt;=75,WSPKN!$S$6&lt;=83.24),"P","")</f>
        <v/>
      </c>
      <c r="HD17" s="102" t="str">
        <f>IF(AND(WSPKN!$S$6&gt;=83.25,WSPKN!$S$6&lt;=91.4),"P","")</f>
        <v/>
      </c>
      <c r="HE17" s="102" t="str">
        <f>IF(AND(WSPKN!$S$6&gt;=91.5,WSPKN!$S$6&lt;=100),"P","")</f>
        <v>P</v>
      </c>
      <c r="HF17" t="str">
        <f>IF(WSPKN!$S$32&lt;74.9,"P","")</f>
        <v/>
      </c>
      <c r="HG17" s="102" t="str">
        <f>IF(AND(WSPKN!$S$32&gt;=75,WSPKN!$S$32&lt;=83.24),"P","")</f>
        <v/>
      </c>
      <c r="HH17" s="102" t="str">
        <f>IF(AND(WSPKN!$S$32&gt;=83.25,WSPKN!$S$32&lt;=91.4),"P","")</f>
        <v/>
      </c>
      <c r="HI17" s="102" t="str">
        <f>IF(AND(WSPKN!$S$32&gt;=91.5,WSPKN!$S$32&lt;=100),"P","")</f>
        <v>P</v>
      </c>
      <c r="HJ17" t="str">
        <f>IF(WSPKN!$S$55&lt;74.9,"P","")</f>
        <v/>
      </c>
      <c r="HK17" s="102" t="str">
        <f>IF(AND(WSPKN!$S$55&gt;=75,WSPKN!$S$55&lt;=83.24),"P","")</f>
        <v/>
      </c>
      <c r="HL17" s="102" t="str">
        <f>IF(AND(WSPKN!$S$55&gt;=83.25,WSPKN!$S$55&lt;=91.4),"P","")</f>
        <v/>
      </c>
      <c r="HM17" s="102" t="str">
        <f>IF(AND(WSPKN!$S$55&gt;=91.5,WSPKN!$S$55&lt;=100),"P","")</f>
        <v>P</v>
      </c>
      <c r="HN17" t="str">
        <f>IF(WSPKN!$S$72&lt;74.9,"P","")</f>
        <v/>
      </c>
      <c r="HO17" s="102" t="str">
        <f>IF(AND(WSPKN!$S$72&gt;=75,WSPKN!$S$72&lt;=83.24),"P","")</f>
        <v/>
      </c>
      <c r="HP17" s="102" t="str">
        <f>IF(AND(WSPKN!$S$72&gt;=83.25,WSPKN!$S$72&lt;=91.4),"P","")</f>
        <v>P</v>
      </c>
      <c r="HQ17" s="102" t="str">
        <f>IF(AND(WSPKN!$S$72&gt;=91.5,WSPKN!$S$72&lt;=100),"P","")</f>
        <v/>
      </c>
      <c r="HR17" t="str">
        <f>IF(WSPKN!$S$86&lt;74.9,"P","")</f>
        <v/>
      </c>
      <c r="HS17" s="102" t="str">
        <f>IF(AND(WSPKN!$S$86&gt;=75,WSPKN!$S$86&lt;=83.24),"P","")</f>
        <v/>
      </c>
      <c r="HT17" s="102" t="str">
        <f>IF(AND(WSPKN!$S$86&gt;=83.25,WSPKN!$S$86&lt;=91.4),"P","")</f>
        <v>P</v>
      </c>
      <c r="HU17" s="102" t="str">
        <f>IF(AND(WSPKN!$S$86&gt;=91.5,WSPKN!$S$86&lt;=100),"P","")</f>
        <v/>
      </c>
      <c r="HV17" t="str">
        <f>IF(WSPKN!$S$108&lt;74.9,"P","")</f>
        <v/>
      </c>
      <c r="HW17" s="102" t="str">
        <f>IF(AND(WSPKN!$S$108&gt;=75,WSPKN!$S$108&lt;=83.24),"P","")</f>
        <v/>
      </c>
      <c r="HX17" s="102" t="str">
        <f>IF(AND(WSPKN!$S$108&gt;=83.25,WSPKN!$S$108&lt;=91.4),"P","")</f>
        <v/>
      </c>
      <c r="HY17" s="102" t="str">
        <f>IF(AND(WSPKN!$S$108&gt;=91.5,WSPKN!$S$108&lt;=100),"P","")</f>
        <v>P</v>
      </c>
      <c r="HZ17" t="str">
        <f>IF(WSPKN!$S$132&lt;74.9,"P","")</f>
        <v/>
      </c>
      <c r="IA17" s="102" t="str">
        <f>IF(AND(WSPKN!$S$132&gt;=75,WSPKN!$S$132&lt;=83.24),"P","")</f>
        <v/>
      </c>
      <c r="IB17" s="102" t="str">
        <f>IF(AND(WSPKN!$S$132&gt;=83.25,WSPKN!$S$132&lt;=91.4),"P","")</f>
        <v/>
      </c>
      <c r="IC17" s="102" t="str">
        <f>IF(AND(WSPKN!$S$132&gt;=91.5,WSPKN!$S$132&lt;=100),"P","")</f>
        <v>P</v>
      </c>
      <c r="ID17" t="str">
        <f>IF(WSPKN!$S$148&lt;74.9,"P","")</f>
        <v/>
      </c>
      <c r="IE17" s="102" t="str">
        <f>IF(AND(WSPKN!$S$148&gt;=75,WSPKN!$S$148&lt;=83.24),"P","")</f>
        <v/>
      </c>
      <c r="IF17" s="102" t="str">
        <f>IF(AND(WSPKN!$S$148&gt;=83.25,WSPKN!$S$148&lt;=91.4),"P","")</f>
        <v>P</v>
      </c>
      <c r="IG17" s="102" t="str">
        <f>IF(AND(WSPKN!$S$148&gt;=91.5,WSPKN!$S$148&lt;=100),"P","")</f>
        <v/>
      </c>
      <c r="IH17" t="str">
        <f>IF(WSPKN!$S$165&lt;74.9,"P","")</f>
        <v/>
      </c>
      <c r="II17" s="102" t="str">
        <f>IF(AND(WSPKN!$S$165&gt;=75,WSPKN!$S$165&lt;=83.24),"P","")</f>
        <v/>
      </c>
      <c r="IJ17" s="102" t="str">
        <f>IF(AND(WSPKN!$S$165&gt;=83.25,WSPKN!$S$165&lt;=91.4),"P","")</f>
        <v/>
      </c>
      <c r="IK17" s="102" t="str">
        <f>IF(AND(WSPKN!$S$165&gt;=91.5,WSPKN!$S$165&lt;=100),"P","")</f>
        <v/>
      </c>
      <c r="IL17" t="str">
        <f>IF(WSPKN!$S$173&lt;74.9,"P","")</f>
        <v/>
      </c>
      <c r="IM17" s="102" t="str">
        <f>IF(AND(WSPKN!$S$173&gt;=75,WSPKN!$S$173&lt;=83.24),"P","")</f>
        <v/>
      </c>
      <c r="IN17" s="102" t="str">
        <f>IF(AND(WSPKN!$S$173&gt;=83.25,WSPKN!$S$173&lt;=91.4),"P","")</f>
        <v/>
      </c>
      <c r="IO17" s="102" t="str">
        <f>IF(AND(WSPKN!$S$173&gt;=91.5,WSPKN!$S$173&lt;=100),"P","")</f>
        <v/>
      </c>
      <c r="IP17" t="str">
        <f>IF(WSPKN!$S$181&lt;74.9,"P","")</f>
        <v/>
      </c>
      <c r="IQ17" s="102" t="str">
        <f>IF(AND(WSPKN!$S$181&gt;=75,WSPKN!$S$181&lt;=83.24),"P","")</f>
        <v/>
      </c>
      <c r="IR17" s="102" t="str">
        <f>IF(AND(WSPKN!$S$181&gt;=83.25,WSPKN!$S$181&lt;=91.4),"P","")</f>
        <v/>
      </c>
      <c r="IS17" s="102" t="str">
        <f>IF(AND(WSPKN!$S$181&gt;=91.5,WSPKN!$S$181&lt;=100),"P","")</f>
        <v/>
      </c>
      <c r="IT17" t="str">
        <f>IF(WSPKN!$S$189&lt;74.9,"P","")</f>
        <v/>
      </c>
      <c r="IU17" s="102" t="str">
        <f>IF(AND(WSPKN!$S$189&gt;=75,WSPKN!$S$189&lt;=83.24),"P","")</f>
        <v/>
      </c>
      <c r="IV17" s="102" t="str">
        <f>IF(AND(WSPKN!$S$189&gt;=83.25,WSPKN!$S$189&lt;=91.4),"P","")</f>
        <v/>
      </c>
      <c r="IW17" s="102" t="str">
        <f>IF(AND(WSPKN!$S$189&gt;=91.5,WSPKN!$S$189&lt;=100),"P","")</f>
        <v/>
      </c>
      <c r="IX17" t="str">
        <f>IF(WSPKN!$S$197&lt;74.9,"P","")</f>
        <v/>
      </c>
      <c r="IY17" s="102" t="str">
        <f>IF(AND(WSPKN!$S$197&gt;=75,WSPKN!$S$197&lt;=83.24),"P","")</f>
        <v/>
      </c>
      <c r="IZ17" s="102" t="str">
        <f>IF(AND(WSPKN!$S$197&gt;=83.25,WSPKN!$S$197&lt;=91.4),"P","")</f>
        <v/>
      </c>
      <c r="JA17" s="102" t="str">
        <f>IF(AND(WSPKN!$S$197&gt;=91.5,WSPKN!$S$197&lt;=100),"P","")</f>
        <v/>
      </c>
      <c r="JB17" t="str">
        <f>IF(WSIND!$S$6&lt;74.9,"P","")</f>
        <v/>
      </c>
      <c r="JC17" s="102" t="str">
        <f>IF(AND(WSIND!$S$6&gt;=75,WSIND!$S$6&lt;=83.24),"P","")</f>
        <v/>
      </c>
      <c r="JD17" s="102" t="str">
        <f>IF(AND(WSIND!$S$6&gt;=83.25,WSIND!$S$6&lt;=91.4),"P","")</f>
        <v/>
      </c>
      <c r="JE17" s="102" t="str">
        <f>IF(AND(WSIND!$S$6&gt;=91.5,WSIND!$S$6&lt;=100),"P","")</f>
        <v>P</v>
      </c>
      <c r="JF17" t="str">
        <f>IF(WSIND!$S$65&lt;74.9,"P","")</f>
        <v/>
      </c>
      <c r="JG17" s="102" t="str">
        <f>IF(AND(WSIND!$S$65&gt;=75,WSIND!$S$65&lt;=83.24),"P","")</f>
        <v/>
      </c>
      <c r="JH17" s="102" t="str">
        <f>IF(AND(WSIND!$S$65&gt;=83.25,WSIND!$S$65&lt;=91.4),"P","")</f>
        <v>P</v>
      </c>
      <c r="JI17" s="102" t="str">
        <f>IF(AND(WSIND!$S$65&gt;=91.5,WSIND!$S$65&lt;=100),"P","")</f>
        <v/>
      </c>
      <c r="JJ17" t="str">
        <f>IF(WSIND!$S$113&lt;74.9,"P","")</f>
        <v/>
      </c>
      <c r="JK17" s="102" t="str">
        <f>IF(AND(WSIND!$S$113&gt;=75,WSIND!$S$113&lt;=83.24),"P","")</f>
        <v/>
      </c>
      <c r="JL17" s="102" t="str">
        <f>IF(AND(WSIND!$S$113&gt;=83.25,WSIND!$S$113&lt;=91.4),"P","")</f>
        <v>P</v>
      </c>
      <c r="JM17" s="102" t="str">
        <f>IF(AND(WSIND!$S$113&gt;=91.5,WSIND!$S$113&lt;=100),"P","")</f>
        <v/>
      </c>
      <c r="JN17" t="str">
        <f>IF(WSIND!$S$133&lt;74.9,"P","")</f>
        <v/>
      </c>
      <c r="JO17" s="102" t="str">
        <f>IF(AND(WSIND!$S$133&gt;=75,WSIND!$S$133&lt;=83.24),"P","")</f>
        <v/>
      </c>
      <c r="JP17" s="102" t="str">
        <f>IF(AND(WSIND!$S$133&gt;=83.25,WSIND!$S$133&lt;=91.4),"P","")</f>
        <v>P</v>
      </c>
      <c r="JQ17" s="102" t="str">
        <f>IF(AND(WSIND!$S$133&gt;=91.5,WSIND!$S$133&lt;=100),"P","")</f>
        <v/>
      </c>
      <c r="JR17" t="str">
        <f>IF(WSIND!$S$161&lt;74.9,"P","")</f>
        <v/>
      </c>
      <c r="JS17" s="102" t="str">
        <f>IF(AND(WSIND!$S$161&gt;=75,WSIND!$S$161&lt;=83.24),"P","")</f>
        <v/>
      </c>
      <c r="JT17" s="102" t="str">
        <f>IF(AND(WSIND!$S$161&gt;=83.25,WSIND!$S$161&lt;=91.4),"P","")</f>
        <v/>
      </c>
      <c r="JU17" s="102" t="str">
        <f>IF(AND(WSIND!$S$161&gt;=91.5,WSIND!$S$161&lt;=100),"P","")</f>
        <v>P</v>
      </c>
      <c r="JV17" t="str">
        <f>IF(WSIND!$S$192&lt;74.9,"P","")</f>
        <v/>
      </c>
      <c r="JW17" s="102" t="str">
        <f>IF(AND(WSIND!$S$192&gt;=75,WSIND!$S$192&lt;=83.24),"P","")</f>
        <v/>
      </c>
      <c r="JX17" s="102" t="str">
        <f>IF(AND(WSIND!$S$192&gt;=83.25,WSIND!$S$192&lt;=91.4),"P","")</f>
        <v/>
      </c>
      <c r="JY17" s="102" t="str">
        <f>IF(AND(WSIND!$S$192&gt;=91.5,WSIND!$S$192&lt;=100),"P","")</f>
        <v>P</v>
      </c>
      <c r="JZ17" t="str">
        <f>IF(WSIND!$S$228&lt;74.9,"P","")</f>
        <v/>
      </c>
      <c r="KA17" s="102" t="str">
        <f>IF(AND(WSIND!$S$228&gt;=75,WSIND!$S$228&lt;=83.24),"P","")</f>
        <v/>
      </c>
      <c r="KB17" s="102" t="str">
        <f>IF(AND(WSIND!$S$228&gt;=83.25,WSIND!$S$228&lt;=91.4),"P","")</f>
        <v>P</v>
      </c>
      <c r="KC17" s="102" t="str">
        <f>IF(AND(WSIND!$S$228&gt;=91.5,WSIND!$S$228&lt;=100),"P","")</f>
        <v/>
      </c>
      <c r="KD17" t="str">
        <f>IF(WSIND!$S$256&lt;74.9,"P","")</f>
        <v/>
      </c>
      <c r="KE17" s="102" t="str">
        <f>IF(AND(WSIND!$S$256&gt;=75,WSIND!$S$256&lt;=83.24),"P","")</f>
        <v/>
      </c>
      <c r="KF17" s="102" t="str">
        <f>IF(AND(WSIND!$S$256&gt;=83.25,WSIND!$S$256&lt;=91.4),"P","")</f>
        <v>P</v>
      </c>
      <c r="KG17" s="102" t="str">
        <f>IF(AND(WSIND!$S$256&gt;=91.5,WSIND!$S$256&lt;=100),"P","")</f>
        <v/>
      </c>
      <c r="KH17" t="str">
        <f>IF(WSIND!$S$277&lt;74.9,"P","")</f>
        <v/>
      </c>
      <c r="KI17" s="102" t="str">
        <f>IF(AND(WSIND!$S$277&gt;=75,WSIND!$S$277&lt;=83.24),"P","")</f>
        <v/>
      </c>
      <c r="KJ17" s="102" t="str">
        <f>IF(AND(WSIND!$S$277&gt;=83.25,WSIND!$S$277&lt;=91.4),"P","")</f>
        <v>P</v>
      </c>
      <c r="KK17" s="102" t="str">
        <f>IF(AND(WSIND!$S$277&gt;=91.5,WSIND!$S$277&lt;=100),"P","")</f>
        <v/>
      </c>
      <c r="KL17" t="str">
        <f>IF(WSIND!$S$305&lt;74.9,"P","")</f>
        <v/>
      </c>
      <c r="KM17" s="102" t="str">
        <f>IF(AND(WSIND!$S$305&gt;=75,WSIND!$S$305&lt;=83.24),"P","")</f>
        <v/>
      </c>
      <c r="KN17" s="102" t="str">
        <f>IF(AND(WSIND!$S$305&gt;=83.25,WSIND!$S$305&lt;=91.4),"P","")</f>
        <v/>
      </c>
      <c r="KO17" s="102" t="str">
        <f>IF(AND(WSIND!$S$305&gt;=91.5,WSIND!$S$305&lt;=100),"P","")</f>
        <v>P</v>
      </c>
      <c r="KP17" t="str">
        <f>IF(WSIND!$S$329&lt;74.9,"P","")</f>
        <v/>
      </c>
      <c r="KQ17" s="102" t="str">
        <f>IF(AND(WSIND!$S$329&gt;=75,WSIND!$S$329&lt;=83.24),"P","")</f>
        <v/>
      </c>
      <c r="KR17" s="102" t="str">
        <f>IF(AND(WSIND!$S$329&gt;=83.25,WSIND!$S$329&lt;=91.4),"P","")</f>
        <v/>
      </c>
      <c r="KS17" s="102" t="str">
        <f>IF(AND(WSIND!$S$329&gt;=91.5,WSIND!$S$329&lt;=100),"P","")</f>
        <v/>
      </c>
      <c r="KT17" t="str">
        <f>IF(WSIND!$S$337&lt;74.9,"P","")</f>
        <v/>
      </c>
      <c r="KU17" s="102" t="str">
        <f>IF(AND(WSIND!$S$337&gt;=75,WSIND!$S$337&lt;=83.24),"P","")</f>
        <v/>
      </c>
      <c r="KV17" s="102" t="str">
        <f>IF(AND(WSIND!$S$337&gt;=83.25,WSIND!$S$337&lt;=91.4),"P","")</f>
        <v/>
      </c>
      <c r="KW17" s="102" t="str">
        <f>IF(AND(WSIND!$S$337&gt;=91.5,WSIND!$S$337&lt;=100),"P","")</f>
        <v/>
      </c>
      <c r="KX17" t="str">
        <f>IF(WSIND!$S$345&lt;74.9,"P","")</f>
        <v/>
      </c>
      <c r="KY17" s="102" t="str">
        <f>IF(AND(WSIND!$S$345&gt;=75,WSIND!$S$345&lt;=83.24),"P","")</f>
        <v/>
      </c>
      <c r="KZ17" s="102" t="str">
        <f>IF(AND(WSIND!$S$345&gt;=83.25,WSIND!$S$345&lt;=91.4),"P","")</f>
        <v/>
      </c>
      <c r="LA17" s="102" t="str">
        <f>IF(AND(WSIND!$S$345&gt;=91.5,WSIND!$S$345&lt;=100),"P","")</f>
        <v/>
      </c>
      <c r="LB17" t="str">
        <f>IF(WSARAB!$S$6&lt;74.9,"P","")</f>
        <v/>
      </c>
      <c r="LC17" s="102" t="str">
        <f>IF(AND(WSARAB!$S$6&gt;=75,WSARAB!$S$6&lt;=83.24),"P","")</f>
        <v/>
      </c>
      <c r="LD17" s="102" t="str">
        <f>IF(AND(WSARAB!$S$6&gt;=83.25,WSARAB!$S$6&lt;=91.4),"P","")</f>
        <v/>
      </c>
      <c r="LE17" s="102" t="str">
        <f>IF(AND(WSARAB!$S$6&gt;=91.5,WSARAB!$S$6&lt;=100),"P","")</f>
        <v/>
      </c>
      <c r="LF17" t="str">
        <f>IF(WSARAB!$S$17&lt;74.9,"P","")</f>
        <v/>
      </c>
      <c r="LG17" s="102" t="str">
        <f>IF(AND(WSARAB!$S$17&gt;=75,WSARAB!$S$17&lt;=83.24),"P","")</f>
        <v/>
      </c>
      <c r="LH17" s="102" t="str">
        <f>IF(AND(WSARAB!$S$17&gt;=83.25,WSARAB!$S$17&lt;=91.4),"P","")</f>
        <v/>
      </c>
      <c r="LI17" s="102" t="str">
        <f>IF(AND(WSARAB!$S$17&gt;=91.5,WSARAB!$S$17&lt;=100),"P","")</f>
        <v/>
      </c>
      <c r="LJ17" t="str">
        <f>IF(WSARAB!$S$29&lt;74.9,"P","")</f>
        <v/>
      </c>
      <c r="LK17" s="102" t="str">
        <f>IF(AND(WSARAB!$S$29&gt;=75,WSARAB!$S$29&lt;=83.24),"P","")</f>
        <v/>
      </c>
      <c r="LL17" s="102" t="str">
        <f>IF(AND(WSARAB!$S$29&gt;=83.25,WSARAB!$S$29&lt;=91.4),"P","")</f>
        <v/>
      </c>
      <c r="LM17" s="102" t="str">
        <f>IF(AND(WSARAB!$S$29&gt;=91.5,WSARAB!$S$29&lt;=100),"P","")</f>
        <v/>
      </c>
      <c r="LN17" t="str">
        <f>IF(WSARAB!$S$37&lt;74.9,"P","")</f>
        <v/>
      </c>
      <c r="LO17" s="102" t="str">
        <f>IF(AND(WSARAB!$S$37&gt;=75,WSARAB!$S$37&lt;=83.24),"P","")</f>
        <v/>
      </c>
      <c r="LP17" s="102" t="str">
        <f>IF(AND(WSARAB!$S$37&gt;=83.25,WSARAB!$S$37&lt;=91.4),"P","")</f>
        <v/>
      </c>
      <c r="LQ17" s="102" t="str">
        <f>IF(AND(WSARAB!$S$37&gt;=91.5,WSARAB!$S$37&lt;=100),"P","")</f>
        <v/>
      </c>
      <c r="LR17" t="str">
        <f>IF(WSARAB!$S$45&lt;74.9,"P","")</f>
        <v/>
      </c>
      <c r="LS17" s="102" t="str">
        <f>IF(AND(WSARAB!$S$45&gt;=75,WSARAB!$S$45&lt;=83.24),"P","")</f>
        <v/>
      </c>
      <c r="LT17" s="102" t="str">
        <f>IF(AND(WSARAB!$S$45&gt;=83.25,WSARAB!$S$45&lt;=91.4),"P","")</f>
        <v/>
      </c>
      <c r="LU17" s="102" t="str">
        <f>IF(AND(WSARAB!$S$45&gt;=91.5,WSARAB!$S$45&lt;=100),"P","")</f>
        <v/>
      </c>
      <c r="LV17" t="str">
        <f>IF(WSARAB!$S$53&lt;74.9,"P","")</f>
        <v/>
      </c>
      <c r="LW17" s="102" t="str">
        <f>IF(AND(WSARAB!$S$53&gt;=75,WSARAB!$S$53&lt;=83.24),"P","")</f>
        <v/>
      </c>
      <c r="LX17" s="102" t="str">
        <f>IF(AND(WSARAB!$S$53&gt;=83.25,WSARAB!$S$53&lt;=91.4),"P","")</f>
        <v/>
      </c>
      <c r="LY17" s="102" t="str">
        <f>IF(AND(WSARAB!$S$53&gt;=91.5,WSARAB!$S$53&lt;=100),"P","")</f>
        <v/>
      </c>
      <c r="LZ17" t="str">
        <f>IF(WSARAB!$S$65&lt;74.9,"P","")</f>
        <v/>
      </c>
      <c r="MA17" s="102" t="str">
        <f>IF(AND(WSARAB!$S$65&gt;=75,WSARAB!$S$65&lt;=83.24),"P","")</f>
        <v/>
      </c>
      <c r="MB17" s="102" t="str">
        <f>IF(AND(WSARAB!$S$65&gt;=83.25,WSARAB!$S$65&lt;=91.4),"P","")</f>
        <v/>
      </c>
      <c r="MC17" s="102" t="str">
        <f>IF(AND(WSARAB!$S$65&gt;=91.5,WSARAB!$S$65&lt;=100),"P","")</f>
        <v/>
      </c>
      <c r="MD17" t="str">
        <f>IF(WSARAB!$S$73&lt;74.9,"P","")</f>
        <v/>
      </c>
      <c r="ME17" s="102" t="str">
        <f>IF(AND(WSARAB!$S$73&gt;=75,WSARAB!$S$73&lt;=83.24),"P","")</f>
        <v/>
      </c>
      <c r="MF17" s="102" t="str">
        <f>IF(AND(WSARAB!$S$73&gt;=83.25,WSARAB!$S$73&lt;=91.4),"P","")</f>
        <v/>
      </c>
      <c r="MG17" s="102" t="str">
        <f>IF(AND(WSARAB!$S$73&gt;=91.5,WSARAB!$S$73&lt;=100),"P","")</f>
        <v/>
      </c>
      <c r="MH17" t="str">
        <f>IF(WSARAB!$S$81&lt;74.9,"P","")</f>
        <v/>
      </c>
      <c r="MI17" s="102" t="str">
        <f>IF(AND(WSARAB!$S$81&gt;=75,WSARAB!$S$81&lt;=83.24),"P","")</f>
        <v/>
      </c>
      <c r="MJ17" s="102" t="str">
        <f>IF(AND(WSARAB!$S$81&gt;=83.25,WSARAB!$S$81&lt;=91.4),"P","")</f>
        <v/>
      </c>
      <c r="MK17" s="102" t="str">
        <f>IF(AND(WSARAB!$S$81&gt;=91.5,WSARAB!$S$81&lt;=100),"P","")</f>
        <v/>
      </c>
      <c r="ML17" t="str">
        <f>IF(WSARAB!$S$89&lt;74.9,"P","")</f>
        <v/>
      </c>
      <c r="MM17" s="102" t="str">
        <f>IF(AND(WSARAB!$S$89&gt;=75,WSARAB!$S$89&lt;=83.24),"P","")</f>
        <v/>
      </c>
      <c r="MN17" s="102" t="str">
        <f>IF(AND(WSARAB!$S$89&gt;=83.25,WSARAB!$S$89&lt;=91.4),"P","")</f>
        <v/>
      </c>
      <c r="MO17" s="102" t="str">
        <f>IF(AND(WSARAB!$S$89&gt;=91.5,WSARAB!$S$89&lt;=100),"P","")</f>
        <v/>
      </c>
      <c r="MP17" t="str">
        <f>IF(WSARAB!$S$97&lt;74.9,"P","")</f>
        <v/>
      </c>
      <c r="MQ17" s="102" t="str">
        <f>IF(AND(WSARAB!$S$97&gt;=75,WSARAB!$S$97&lt;=83.24),"P","")</f>
        <v/>
      </c>
      <c r="MR17" s="102" t="str">
        <f>IF(AND(WSARAB!$S$97&gt;=83.25,WSARAB!$S$97&lt;=91.4),"P","")</f>
        <v/>
      </c>
      <c r="MS17" s="102" t="str">
        <f>IF(AND(WSARAB!$S$97&gt;=91.5,WSARAB!$S$97&lt;=100),"P","")</f>
        <v/>
      </c>
      <c r="MT17" t="str">
        <f>IF(WSARAB!$S$105&lt;74.9,"P","")</f>
        <v/>
      </c>
      <c r="MU17" s="102" t="str">
        <f>IF(AND(WSARAB!$S$105&gt;=75,WSARAB!$S$105&lt;=83.24),"P","")</f>
        <v/>
      </c>
      <c r="MV17" s="102" t="str">
        <f>IF(AND(WSARAB!$S$105&gt;=83.25,WSARAB!$S$105&lt;=91.4),"P","")</f>
        <v/>
      </c>
      <c r="MW17" s="102" t="str">
        <f>IF(AND(WSARAB!$S$105&gt;=91.5,WSARAB!$S$105&lt;=100),"P","")</f>
        <v/>
      </c>
      <c r="MX17" t="str">
        <f>IF(WSARAB!$S$113&lt;74.9,"P","")</f>
        <v/>
      </c>
      <c r="MY17" s="102" t="str">
        <f>IF(AND(WSARAB!$S$113&gt;=75,WSARAB!$S$113&lt;=83.24),"P","")</f>
        <v/>
      </c>
      <c r="MZ17" s="102" t="str">
        <f>IF(AND(WSARAB!$S$113&gt;=83.25,WSARAB!$S$113&lt;=91.4),"P","")</f>
        <v/>
      </c>
      <c r="NA17" s="102" t="str">
        <f>IF(AND(WSARAB!$S$113&gt;=91.5,WSARAB!$S$113&lt;=100),"P","")</f>
        <v/>
      </c>
      <c r="NB17" t="str">
        <f>IF(WSMTK!$S$6&lt;74.9,"P","")</f>
        <v/>
      </c>
      <c r="NC17" s="102" t="str">
        <f>IF(AND(WSMTK!$S$6&gt;=75,WSMTK!$S$6&lt;=83.24),"P","")</f>
        <v/>
      </c>
      <c r="ND17" s="102" t="str">
        <f>IF(AND(WSMTK!$S$6&gt;=83.25,WSMTK!$S$6&lt;=91.4),"P","")</f>
        <v>P</v>
      </c>
      <c r="NE17" s="102" t="str">
        <f>IF(AND(WSMTK!$S$6&gt;=91.5,WSMTK!$S$6&lt;=100),"P","")</f>
        <v/>
      </c>
      <c r="NF17" t="str">
        <f>IF(WSMTK!$S$22&lt;74.9,"P","")</f>
        <v/>
      </c>
      <c r="NG17" s="102" t="str">
        <f>IF(AND(WSMTK!$S$22&gt;=75,WSMTK!$S$22&lt;=83.24),"P","")</f>
        <v/>
      </c>
      <c r="NH17" s="102" t="str">
        <f>IF(AND(WSMTK!$S$22&gt;=83.25,WSMTK!$S$22&lt;=91.4),"P","")</f>
        <v>P</v>
      </c>
      <c r="NI17" s="102" t="str">
        <f>IF(AND(WSMTK!$S$22&gt;=91.5,WSMTK!$S$22&lt;=100),"P","")</f>
        <v/>
      </c>
      <c r="NJ17" t="str">
        <f>IF(WSMTK!$S$35&lt;74.9,"P","")</f>
        <v/>
      </c>
      <c r="NK17" s="102" t="str">
        <f>IF(AND(WSMTK!$S$35&gt;=75,WSMTK!$S$35&lt;=83.24),"P","")</f>
        <v/>
      </c>
      <c r="NL17" s="102" t="str">
        <f>IF(AND(WSMTK!$S$35&gt;=83.25,WSMTK!$S$35&lt;=91.4),"P","")</f>
        <v>P</v>
      </c>
      <c r="NM17" s="102" t="str">
        <f>IF(AND(WSMTK!$S$35&gt;=91.5,WSMTK!$S$35&lt;=100),"P","")</f>
        <v/>
      </c>
      <c r="NN17" t="str">
        <f>IF(WSMTK!$S$69&lt;74.9,"P","")</f>
        <v/>
      </c>
      <c r="NO17" s="102" t="str">
        <f>IF(AND(WSMTK!$S$69&gt;=75,WSMTK!$S$69&lt;=83.24),"P","")</f>
        <v/>
      </c>
      <c r="NP17" s="102" t="str">
        <f>IF(AND(WSMTK!$S$69&gt;=83.25,WSMTK!$S$69&lt;=91.4),"P","")</f>
        <v/>
      </c>
      <c r="NQ17" s="102" t="str">
        <f>IF(AND(WSMTK!$S$69&gt;=91.5,WSMTK!$S$69&lt;=100),"P","")</f>
        <v/>
      </c>
      <c r="NR17" t="str">
        <f>IF(WSMTK!$S$87&lt;74.9,"P","")</f>
        <v/>
      </c>
      <c r="NS17" s="102" t="str">
        <f>IF(AND(WSMTK!$S$87&gt;=75,WSMTK!$S$87&lt;=83.24),"P","")</f>
        <v/>
      </c>
      <c r="NT17" s="102" t="str">
        <f>IF(AND(WSMTK!$S$87&gt;=83.25,WSMTK!$S$87&lt;=91.4),"P","")</f>
        <v>P</v>
      </c>
      <c r="NU17" s="102" t="str">
        <f>IF(AND(WSMTK!$S$87&gt;=91.5,WSMTK!$S$87&lt;=100),"P","")</f>
        <v/>
      </c>
      <c r="NV17" t="str">
        <f>IF(WSMTK!$S$99&lt;74.9,"P","")</f>
        <v/>
      </c>
      <c r="NW17" s="102" t="str">
        <f>IF(AND(WSMTK!$S$99&gt;=75,WSMTK!$S$99&lt;=83.24),"P","")</f>
        <v/>
      </c>
      <c r="NX17" s="102" t="str">
        <f>IF(AND(WSMTK!$S$99&gt;=83.25,WSMTK!$S$99&lt;=91.4),"P","")</f>
        <v>P</v>
      </c>
      <c r="NY17" s="102" t="str">
        <f>IF(AND(WSMTK!$S$99&gt;=91.5,WSMTK!$S$99&lt;=100),"P","")</f>
        <v/>
      </c>
      <c r="NZ17" t="str">
        <f>IF(WSMTK!$S$113&lt;74.9,"P","")</f>
        <v/>
      </c>
      <c r="OA17" s="102" t="str">
        <f>IF(AND(WSMTK!$S$113&gt;=75,WSMTK!$S$113&lt;=83.24),"P","")</f>
        <v/>
      </c>
      <c r="OB17" s="102" t="str">
        <f>IF(AND(WSMTK!$S$113&gt;=83.25,WSMTK!$S$113&lt;=91.4),"P","")</f>
        <v>P</v>
      </c>
      <c r="OC17" s="102" t="str">
        <f>IF(AND(WSMTK!$S$113&gt;=91.5,WSMTK!$S$113&lt;=100),"P","")</f>
        <v/>
      </c>
      <c r="OD17" t="str">
        <f>IF(WSMTK!$S$145&lt;74.9,"P","")</f>
        <v/>
      </c>
      <c r="OE17" s="102" t="str">
        <f>IF(AND(WSMTK!$S$145&gt;=75,WSMTK!$S$145&lt;=83.24),"P","")</f>
        <v/>
      </c>
      <c r="OF17" s="102" t="str">
        <f>IF(AND(WSMTK!$S$145&gt;=83.25,WSMTK!$S$145&lt;=91.4),"P","")</f>
        <v/>
      </c>
      <c r="OG17" s="102" t="str">
        <f>IF(AND(WSMTK!$S$145&gt;=91.5,WSMTK!$S$145&lt;=100),"P","")</f>
        <v/>
      </c>
      <c r="OH17" t="str">
        <f>IF(WSMTK!$S$168&lt;74.9,"P","")</f>
        <v/>
      </c>
      <c r="OI17" s="102" t="str">
        <f>IF(AND(WSMTK!$S$168&gt;=75,WSMTK!$S$168&lt;=83.24),"P","")</f>
        <v/>
      </c>
      <c r="OJ17" s="102" t="str">
        <f>IF(AND(WSMTK!$S$168&gt;=83.25,WSMTK!$S$168&lt;=91.4),"P","")</f>
        <v/>
      </c>
      <c r="OK17" s="102" t="str">
        <f>IF(AND(WSMTK!$S$168&gt;=91.5,WSMTK!$S$168&lt;=100),"P","")</f>
        <v/>
      </c>
      <c r="OL17" t="str">
        <f>IF(WSMTK!$S$176&lt;74.9,"P","")</f>
        <v/>
      </c>
      <c r="OM17" s="102" t="str">
        <f>IF(AND(WSMTK!$S$176&gt;=75,WSMTK!$S$176&lt;=83.24),"P","")</f>
        <v/>
      </c>
      <c r="ON17" s="102" t="str">
        <f>IF(AND(WSMTK!$S$176&gt;=83.25,WSMTK!$S$176&lt;=91.4),"P","")</f>
        <v/>
      </c>
      <c r="OO17" s="102" t="str">
        <f>IF(AND(WSMTK!$S$176&gt;=91.5,WSMTK!$S$176&lt;=100),"P","")</f>
        <v/>
      </c>
      <c r="OP17" t="str">
        <f>IF(WSMTK!$S$184&lt;74.9,"P","")</f>
        <v/>
      </c>
      <c r="OQ17" s="102" t="str">
        <f>IF(AND(WSMTK!$S$184&gt;=75,WSMTK!$S$184&lt;=83.24),"P","")</f>
        <v/>
      </c>
      <c r="OR17" s="102" t="str">
        <f>IF(AND(WSMTK!$S$184&gt;=83.25,WSMTK!$S$184&lt;=91.4),"P","")</f>
        <v/>
      </c>
      <c r="OS17" s="102" t="str">
        <f>IF(AND(WSMTK!$S$184&gt;=91.5,WSMTK!$S$184&lt;=100),"P","")</f>
        <v/>
      </c>
      <c r="OT17" t="str">
        <f>IF(WSMTK!$S$192&lt;74.9,"P","")</f>
        <v/>
      </c>
      <c r="OU17" s="102" t="str">
        <f>IF(AND(WSMTK!$S$192&gt;=75,WSMTK!$S$192&lt;=83.24),"P","")</f>
        <v/>
      </c>
      <c r="OV17" s="102" t="str">
        <f>IF(AND(WSMTK!$S$192&gt;=83.25,WSMTK!$S$192&lt;=91.4),"P","")</f>
        <v/>
      </c>
      <c r="OW17" s="102" t="str">
        <f>IF(AND(WSMTK!$S$192&gt;=91.5,WSMTK!$S$192&lt;=100),"P","")</f>
        <v/>
      </c>
      <c r="OX17" t="str">
        <f>IF(WSMTK!$S$200&lt;74.9,"P","")</f>
        <v/>
      </c>
      <c r="OY17" s="102" t="str">
        <f>IF(AND(WSMTK!$S$200&gt;=75,WSMTK!$S$200&lt;=83.24),"P","")</f>
        <v/>
      </c>
      <c r="OZ17" s="102" t="str">
        <f>IF(AND(WSMTK!$S$200&gt;=83.25,WSMTK!$S$200&lt;=91.4),"P","")</f>
        <v/>
      </c>
      <c r="PA17" s="102" t="str">
        <f>IF(AND(WSMTK!$S$200&gt;=91.5,WSMTK!$S$200&lt;=100),"P","")</f>
        <v/>
      </c>
      <c r="PB17" t="str">
        <f>IF(WSIPA!$S$6&lt;74.9,"P","")</f>
        <v/>
      </c>
      <c r="PC17" s="102" t="str">
        <f>IF(AND(WSIPA!$S$6&gt;=75,WSIPA!$S$6&lt;=83.24),"P","")</f>
        <v/>
      </c>
      <c r="PD17" s="102" t="str">
        <f>IF(AND(WSIPA!$S$6&gt;=83.25,WSIPA!$S$6&lt;=91.4),"P","")</f>
        <v/>
      </c>
      <c r="PE17" s="102" t="str">
        <f>IF(AND(WSIPA!$S$6&gt;=91.5,WSIPA!$S$6&lt;=100),"P","")</f>
        <v/>
      </c>
      <c r="PF17" t="str">
        <f>IF(WSIPA!$S$14&lt;74.9,"P","")</f>
        <v/>
      </c>
      <c r="PG17" s="102" t="str">
        <f>IF(AND(WSIPA!$S$14&gt;=75,WSIPA!$S$14&lt;=83.24),"P","")</f>
        <v/>
      </c>
      <c r="PH17" s="102" t="str">
        <f>IF(AND(WSIPA!$S$14&gt;=83.25,WSIPA!$S$14&lt;=91.4),"P","")</f>
        <v/>
      </c>
      <c r="PI17" s="102" t="str">
        <f>IF(AND(WSIPA!$S$14&gt;=91.5,WSIPA!$S$14&lt;=100),"P","")</f>
        <v/>
      </c>
      <c r="PJ17" t="str">
        <f>IF(WSIPA!$S$22&lt;74.9,"P","")</f>
        <v/>
      </c>
      <c r="PK17" s="102" t="str">
        <f>IF(AND(WSIPA!$S$22&gt;=75,WSIPA!$S$22&lt;=83.24),"P","")</f>
        <v/>
      </c>
      <c r="PL17" s="102" t="str">
        <f>IF(AND(WSIPA!$S$22&gt;=83.25,WSIPA!$S$22&lt;=91.4),"P","")</f>
        <v/>
      </c>
      <c r="PM17" s="102" t="str">
        <f>IF(AND(WSIPA!$S$22&gt;=91.5,WSIPA!$S$22&lt;=100),"P","")</f>
        <v/>
      </c>
      <c r="PN17" t="str">
        <f>IF(WSIPA!$S$30&lt;74.9,"P","")</f>
        <v/>
      </c>
      <c r="PO17" s="102" t="str">
        <f>IF(AND(WSIPA!$S$30&gt;=75,WSIPA!$S$30&lt;=83.24),"P","")</f>
        <v/>
      </c>
      <c r="PP17" s="102" t="str">
        <f>IF(AND(WSIPA!$S$30&gt;=83.25,WSIPA!$S$30&lt;=91.4),"P","")</f>
        <v/>
      </c>
      <c r="PQ17" s="102" t="str">
        <f>IF(AND(WSIPA!$S$30&gt;=91.5,WSIPA!$S$30&lt;=100),"P","")</f>
        <v/>
      </c>
      <c r="PR17" t="str">
        <f>IF(WSIPA!$S$38&lt;74.9,"P","")</f>
        <v/>
      </c>
      <c r="PS17" s="102" t="str">
        <f>IF(AND(WSIPA!$S$38&gt;=75,WSIPA!$S$38&lt;=83.24),"P","")</f>
        <v/>
      </c>
      <c r="PT17" s="102" t="str">
        <f>IF(AND(WSIPA!$S$38&gt;=83.25,WSIPA!$S$38&lt;=91.4),"P","")</f>
        <v/>
      </c>
      <c r="PU17" s="102" t="str">
        <f>IF(AND(WSIPA!$S$38&gt;=91.5,WSIPA!$S$38&lt;=100),"P","")</f>
        <v/>
      </c>
      <c r="PV17" t="str">
        <f>IF(WSIPA!$S$46&lt;74.9,"P","")</f>
        <v/>
      </c>
      <c r="PW17" s="102" t="str">
        <f>IF(AND(WSIPA!$S$46&gt;=75,WSIPA!$S$46&lt;=83.24),"P","")</f>
        <v/>
      </c>
      <c r="PX17" s="102" t="str">
        <f>IF(AND(WSIPA!$S$46&gt;=83.25,WSIPA!$S$46&lt;=91.4),"P","")</f>
        <v/>
      </c>
      <c r="PY17" s="102" t="str">
        <f>IF(AND(WSIPA!$S$46&gt;=91.5,WSIPA!$S$46&lt;=100),"P","")</f>
        <v/>
      </c>
      <c r="PZ17" t="str">
        <f>IF(WSIPA!$S$54&lt;74.9,"P","")</f>
        <v/>
      </c>
      <c r="QA17" s="102" t="str">
        <f>IF(AND(WSIPA!$S$54&gt;=75,WSIPA!$S$54&lt;=83.24),"P","")</f>
        <v/>
      </c>
      <c r="QB17" s="102" t="str">
        <f>IF(AND(WSIPA!$S$54&gt;=83.25,WSIPA!$S$54&lt;=91.4),"P","")</f>
        <v/>
      </c>
      <c r="QC17" s="102" t="str">
        <f>IF(AND(WSIPA!$S$54&gt;=91.5,WSIPA!$S$54&lt;=100),"P","")</f>
        <v/>
      </c>
      <c r="QD17" t="str">
        <f>IF(WSIPA!$S$62&lt;74.9,"P","")</f>
        <v/>
      </c>
      <c r="QE17" s="102" t="str">
        <f>IF(AND(WSIPA!$S$62&gt;=75,WSIPA!$S$62&lt;=83.24),"P","")</f>
        <v/>
      </c>
      <c r="QF17" s="102" t="str">
        <f>IF(AND(WSIPA!$S$62&gt;=83.25,WSIPA!$S$62&lt;=91.4),"P","")</f>
        <v/>
      </c>
      <c r="QG17" s="102" t="str">
        <f>IF(AND(WSIPA!$S$62&gt;=91.5,WSIPA!$S$62&lt;=100),"P","")</f>
        <v/>
      </c>
      <c r="QH17" t="str">
        <f>IF(WSIPA!$S$70&lt;74.9,"P","")</f>
        <v/>
      </c>
      <c r="QI17" s="102" t="str">
        <f>IF(AND(WSIPA!$S$70&gt;=75,WSIPA!$S$70&lt;=83.24),"P","")</f>
        <v/>
      </c>
      <c r="QJ17" s="102" t="str">
        <f>IF(AND(WSIPA!$S$70&gt;=83.25,WSIPA!$S$70&lt;=91.4),"P","")</f>
        <v/>
      </c>
      <c r="QK17" s="102" t="str">
        <f>IF(AND(WSIPA!$S$70&gt;=91.5,WSIPA!$S$70&lt;=100),"P","")</f>
        <v/>
      </c>
      <c r="QL17" t="str">
        <f>IF(WSIPA!$S$78&lt;74.9,"P","")</f>
        <v/>
      </c>
      <c r="QM17" s="102" t="str">
        <f>IF(AND(WSIPA!$S$78&gt;=75,WSIPA!$S$78&lt;=83.24),"P","")</f>
        <v/>
      </c>
      <c r="QN17" s="102" t="str">
        <f>IF(AND(WSIPA!$S$78&gt;=83.25,WSIPA!$S$78&lt;=91.4),"P","")</f>
        <v/>
      </c>
      <c r="QO17" s="102" t="str">
        <f>IF(AND(WSIPA!$S$78&gt;=91.5,WSIPA!$S$78&lt;=100),"P","")</f>
        <v/>
      </c>
      <c r="QP17" t="str">
        <f>IF(WSIPA!$S$86&lt;74.9,"P","")</f>
        <v/>
      </c>
      <c r="QQ17" s="102" t="str">
        <f>IF(AND(WSIPA!$S$86&gt;=75,WSIPA!$S$86&lt;=83.24),"P","")</f>
        <v/>
      </c>
      <c r="QR17" s="102" t="str">
        <f>IF(AND(WSIPA!$S$86&gt;=83.25,WSIPA!$S$86&lt;=91.4),"P","")</f>
        <v/>
      </c>
      <c r="QS17" s="102" t="str">
        <f>IF(AND(WSIPA!$S$86&gt;=91.5,WSIPA!$S$86&lt;=100),"P","")</f>
        <v/>
      </c>
      <c r="QT17" t="str">
        <f>IF(WSIPA!$S$94&lt;74.9,"P","")</f>
        <v/>
      </c>
      <c r="QU17" s="102" t="str">
        <f>IF(AND(WSIPA!$S$94&gt;=75,WSIPA!$S$94&lt;=83.24),"P","")</f>
        <v/>
      </c>
      <c r="QV17" s="102" t="str">
        <f>IF(AND(WSIPA!$S$94&gt;=83.25,WSIPA!$S$94&lt;=91.4),"P","")</f>
        <v/>
      </c>
      <c r="QW17" s="102" t="str">
        <f>IF(AND(WSIPA!$S$94&gt;=91.5,WSIPA!$S$94&lt;=100),"P","")</f>
        <v/>
      </c>
      <c r="QX17" t="str">
        <f>IF(WSIPA!$S$102&lt;74.9,"P","")</f>
        <v/>
      </c>
      <c r="QY17" s="102" t="str">
        <f>IF(AND(WSIPA!$S$102&gt;=75,WSIPA!$S$102&lt;=83.24),"P","")</f>
        <v/>
      </c>
      <c r="QZ17" s="102" t="str">
        <f>IF(AND(WSIPA!$S$102&gt;=83.25,WSIPA!$S$102&lt;=91.4),"P","")</f>
        <v/>
      </c>
      <c r="RA17" s="102" t="str">
        <f>IF(AND(WSIPA!$S$102&gt;=91.5,WSIPA!$S$102&lt;=100),"P","")</f>
        <v/>
      </c>
      <c r="RB17" t="str">
        <f>IF(WSIPS!$S$6&lt;74.9,"P","")</f>
        <v/>
      </c>
      <c r="RC17" s="102" t="str">
        <f>IF(AND(WSIPS!$S$6&gt;=75,WSIPS!$S$6&lt;=83.24),"P","")</f>
        <v/>
      </c>
      <c r="RD17" s="102" t="str">
        <f>IF(AND(WSIPS!$S$6&gt;=83.25,WSIPS!$S$6&lt;=91.4),"P","")</f>
        <v/>
      </c>
      <c r="RE17" s="102" t="str">
        <f>IF(AND(WSIPS!$S$6&gt;=91.5,WSIPS!$S$6&lt;=100),"P","")</f>
        <v/>
      </c>
      <c r="RF17" t="str">
        <f>IF(WSIPS!$S$14&lt;74.9,"P","")</f>
        <v/>
      </c>
      <c r="RG17" s="102" t="str">
        <f>IF(AND(WSIPS!$S$14&gt;=75,WSIPS!$S$14&lt;=83.24),"P","")</f>
        <v/>
      </c>
      <c r="RH17" s="102" t="str">
        <f>IF(AND(WSIPS!$S$14&gt;=83.25,WSIPS!$S$14&lt;=91.4),"P","")</f>
        <v/>
      </c>
      <c r="RI17" s="102" t="str">
        <f>IF(AND(WSIPS!$S$14&gt;=91.5,WSIPS!$S$14&lt;=100),"P","")</f>
        <v/>
      </c>
      <c r="RJ17" t="str">
        <f>IF(WSIPS!$S$22&lt;74.9,"P","")</f>
        <v/>
      </c>
      <c r="RK17" s="102" t="str">
        <f>IF(AND(WSIPS!$S$22&gt;=75,WSIPS!$S$22&lt;=83.24),"P","")</f>
        <v/>
      </c>
      <c r="RL17" s="102" t="str">
        <f>IF(AND(WSIPS!$S$22&gt;=83.25,WSIPS!$S$22&lt;=91.4),"P","")</f>
        <v/>
      </c>
      <c r="RM17" s="102" t="str">
        <f>IF(AND(WSIPS!$S$22&gt;=91.5,WSIPS!$S$22&lt;=100),"P","")</f>
        <v/>
      </c>
      <c r="RN17" t="str">
        <f>IF(WSIPS!$S$30&lt;74.9,"P","")</f>
        <v/>
      </c>
      <c r="RO17" s="102" t="str">
        <f>IF(AND(WSIPS!$S$30&gt;=75,WSIPS!$S$30&lt;=83.24),"P","")</f>
        <v/>
      </c>
      <c r="RP17" s="102" t="str">
        <f>IF(AND(WSIPS!$S$30&gt;=83.25,WSIPS!$S$30&lt;=91.4),"P","")</f>
        <v/>
      </c>
      <c r="RQ17" s="102" t="str">
        <f>IF(AND(WSIPS!$S$30&gt;=91.5,WSIPS!$S$30&lt;=100),"P","")</f>
        <v/>
      </c>
      <c r="RR17" t="str">
        <f>IF(WSIPS!$S$38&lt;74.9,"P","")</f>
        <v/>
      </c>
      <c r="RS17" s="102" t="str">
        <f>IF(AND(WSIPS!$S$38&gt;=75,WSIPS!$S$38&lt;=83.24),"P","")</f>
        <v/>
      </c>
      <c r="RT17" s="102" t="str">
        <f>IF(AND(WSIPS!$S$38&gt;=83.25,WSIPS!$S$38&lt;=91.4),"P","")</f>
        <v/>
      </c>
      <c r="RU17" s="102" t="str">
        <f>IF(AND(WSIPS!$S$38&gt;=91.5,WSIPS!$S$38&lt;=100),"P","")</f>
        <v/>
      </c>
      <c r="RV17" t="str">
        <f>IF(WSIPS!$S$46&lt;74.9,"P","")</f>
        <v/>
      </c>
      <c r="RW17" s="102" t="str">
        <f>IF(AND(WSIPS!$S$46&gt;=75,WSIPS!$S$46&lt;=83.24),"P","")</f>
        <v/>
      </c>
      <c r="RX17" s="102" t="str">
        <f>IF(AND(WSIPS!$S$46&gt;=83.25,WSIPS!$S$46&lt;=91.4),"P","")</f>
        <v/>
      </c>
      <c r="RY17" s="102" t="str">
        <f>IF(AND(WSIPS!$S$46&gt;=91.5,WSIPS!$S$46&lt;=100),"P","")</f>
        <v/>
      </c>
      <c r="RZ17" t="str">
        <f>IF(WSIPS!$S$54&lt;74.9,"P","")</f>
        <v/>
      </c>
      <c r="SA17" s="102" t="str">
        <f>IF(AND(WSIPS!$S$54&gt;=75,WSIPS!$S$54&lt;=83.24),"P","")</f>
        <v/>
      </c>
      <c r="SB17" s="102" t="str">
        <f>IF(AND(WSIPS!$S$54&gt;=83.25,WSIPS!$S$54&lt;=91.4),"P","")</f>
        <v/>
      </c>
      <c r="SC17" s="102" t="str">
        <f>IF(AND(WSIPS!$S$54&gt;=91.5,WSIPS!$S$54&lt;=100),"P","")</f>
        <v/>
      </c>
      <c r="SD17" t="str">
        <f>IF(WSIPS!$S$62&lt;74.9,"P","")</f>
        <v/>
      </c>
      <c r="SE17" s="102" t="str">
        <f>IF(AND(WSIPS!$S$62&gt;=75,WSIPS!$S$62&lt;=83.24),"P","")</f>
        <v/>
      </c>
      <c r="SF17" s="102" t="str">
        <f>IF(AND(WSIPS!$S$62&gt;=83.25,WSIPS!$S$62&lt;=91.4),"P","")</f>
        <v/>
      </c>
      <c r="SG17" s="102" t="str">
        <f>IF(AND(WSIPS!$S$62&gt;=91.5,WSIPS!$S$62&lt;=100),"P","")</f>
        <v/>
      </c>
      <c r="SH17" t="str">
        <f>IF(WSIPS!$S$70&lt;74.9,"P","")</f>
        <v/>
      </c>
      <c r="SI17" s="102" t="str">
        <f>IF(AND(WSIPS!$S$70&gt;=75,WSIPS!$S$70&lt;=83.24),"P","")</f>
        <v/>
      </c>
      <c r="SJ17" s="102" t="str">
        <f>IF(AND(WSIPS!$S$70&gt;=83.25,WSIPS!$S$70&lt;=91.4),"P","")</f>
        <v/>
      </c>
      <c r="SK17" s="102" t="str">
        <f>IF(AND(WSIPS!$S$70&gt;=91.5,WSIPS!$S$70&lt;=100),"P","")</f>
        <v/>
      </c>
      <c r="SL17" t="str">
        <f>IF(WSIPS!$S$78&lt;74.9,"P","")</f>
        <v/>
      </c>
      <c r="SM17" s="102" t="str">
        <f>IF(AND(WSIPS!$S$78&gt;=75,WSIPS!$S$78&lt;=83.24),"P","")</f>
        <v/>
      </c>
      <c r="SN17" s="102" t="str">
        <f>IF(AND(WSIPS!$S$78&gt;=83.25,WSIPS!$S$78&lt;=91.4),"P","")</f>
        <v/>
      </c>
      <c r="SO17" s="102" t="str">
        <f>IF(AND(WSIPS!$S$78&gt;=91.5,WSIPS!$S$78&lt;=100),"P","")</f>
        <v/>
      </c>
      <c r="SP17" t="str">
        <f>IF(WSIPS!$S$86&lt;74.9,"P","")</f>
        <v/>
      </c>
      <c r="SQ17" s="102" t="str">
        <f>IF(AND(WSIPS!$S$86&gt;=75,WSIPS!$S$86&lt;=83.24),"P","")</f>
        <v/>
      </c>
      <c r="SR17" s="102" t="str">
        <f>IF(AND(WSIPS!$S$86&gt;=83.25,WSIPS!$S$86&lt;=91.4),"P","")</f>
        <v/>
      </c>
      <c r="SS17" s="102" t="str">
        <f>IF(AND(WSIPS!$S$86&gt;=91.5,WSIPS!$S$86&lt;=100),"P","")</f>
        <v/>
      </c>
      <c r="ST17" t="str">
        <f>IF(WSIPS!$S$94&lt;74.9,"P","")</f>
        <v/>
      </c>
      <c r="SU17" s="102" t="str">
        <f>IF(AND(WSIPS!$S$94&gt;=75,WSIPS!$S$94&lt;=83.24),"P","")</f>
        <v/>
      </c>
      <c r="SV17" s="102" t="str">
        <f>IF(AND(WSIPS!$S$94&gt;=83.25,WSIPS!$S$94&lt;=91.4),"P","")</f>
        <v/>
      </c>
      <c r="SW17" s="102" t="str">
        <f>IF(AND(WSIPS!$S$94&gt;=91.5,WSIPS!$S$94&lt;=100),"P","")</f>
        <v/>
      </c>
      <c r="SX17" t="str">
        <f>IF(WSIPS!$S$102&lt;74.9,"P","")</f>
        <v/>
      </c>
      <c r="SY17" s="102" t="str">
        <f>IF(AND(WSIPS!$S$102&gt;=75,WSIPS!$S$102&lt;=83.24),"P","")</f>
        <v/>
      </c>
      <c r="SZ17" s="102" t="str">
        <f>IF(AND(WSIPS!$S$102&gt;=83.25,WSIPS!$S$102&lt;=91.4),"P","")</f>
        <v/>
      </c>
      <c r="TA17" s="102" t="str">
        <f>IF(AND(WSIPS!$S$102&gt;=91.5,WSIPS!$S$102&lt;=100),"P","")</f>
        <v/>
      </c>
      <c r="TB17" t="str">
        <f>IF(WSSBK!$S$6&lt;74.9,"P","")</f>
        <v/>
      </c>
      <c r="TC17" s="102" t="str">
        <f>IF(AND(WSSBK!$S$6&gt;=75,WSSBK!$S$6&lt;=83.24),"P","")</f>
        <v/>
      </c>
      <c r="TD17" s="102" t="str">
        <f>IF(AND(WSSBK!$S$6&gt;=83.25,WSSBK!$S$6&lt;=91.4),"P","")</f>
        <v/>
      </c>
      <c r="TE17" s="102" t="str">
        <f>IF(AND(WSSBK!$S$6&gt;=91.5,WSSBK!$S$6&lt;=100),"P","")</f>
        <v>P</v>
      </c>
      <c r="TF17" t="str">
        <f>IF(WSSBK!$S$16&lt;74.9,"P","")</f>
        <v/>
      </c>
      <c r="TG17" s="102" t="str">
        <f>IF(AND(WSSBK!$S$16&gt;=75,WSSBK!$S$16&lt;=83.24),"P","")</f>
        <v/>
      </c>
      <c r="TH17" s="102" t="str">
        <f>IF(AND(WSSBK!$S$16&gt;=83.25,WSSBK!$S$16&lt;=91.4),"P","")</f>
        <v>P</v>
      </c>
      <c r="TI17" s="102" t="str">
        <f>IF(AND(WSSBK!$S$16&gt;=91.5,WSSBK!$S$16&lt;=100),"P","")</f>
        <v/>
      </c>
      <c r="TJ17" t="str">
        <f>IF(WSSBK!$S$26&lt;74.9,"P","")</f>
        <v/>
      </c>
      <c r="TK17" s="102" t="str">
        <f>IF(AND(WSSBK!$S$26&gt;=75,WSSBK!$S$26&lt;=83.24),"P","")</f>
        <v/>
      </c>
      <c r="TL17" s="102" t="str">
        <f>IF(AND(WSSBK!$S$26&gt;=83.25,WSSBK!$S$26&lt;=91.4),"P","")</f>
        <v>P</v>
      </c>
      <c r="TM17" s="102" t="str">
        <f>IF(AND(WSSBK!$S$26&gt;=91.5,WSSBK!$S$26&lt;=100),"P","")</f>
        <v/>
      </c>
      <c r="TN17" t="str">
        <f>IF(WSSBK!$S$36&lt;74.9,"P","")</f>
        <v/>
      </c>
      <c r="TO17" s="102" t="str">
        <f>IF(AND(WSSBK!$S$36&gt;=75,WSSBK!$S$36&lt;=83.24),"P","")</f>
        <v/>
      </c>
      <c r="TP17" s="102" t="str">
        <f>IF(AND(WSSBK!$S$36&gt;=83.25,WSSBK!$S$36&lt;=91.4),"P","")</f>
        <v>P</v>
      </c>
      <c r="TQ17" s="102" t="str">
        <f>IF(AND(WSSBK!$S$36&gt;=91.5,WSSBK!$S$36&lt;=100),"P","")</f>
        <v/>
      </c>
      <c r="TR17" t="str">
        <f>IF(WSSBK!$S$46&lt;74.9,"P","")</f>
        <v/>
      </c>
      <c r="TS17" s="102" t="str">
        <f>IF(AND(WSSBK!$S$46&gt;=75,WSSBK!$S$46&lt;=83.24),"P","")</f>
        <v/>
      </c>
      <c r="TT17" s="102" t="str">
        <f>IF(AND(WSSBK!$S$46&gt;=83.25,WSSBK!$S$46&lt;=91.4),"P","")</f>
        <v/>
      </c>
      <c r="TU17" s="102" t="str">
        <f>IF(AND(WSSBK!$S$46&gt;=91.5,WSSBK!$S$46&lt;=100),"P","")</f>
        <v>P</v>
      </c>
      <c r="TV17" t="str">
        <f>IF(WSSBK!$S$58&lt;74.9,"P","")</f>
        <v/>
      </c>
      <c r="TW17" s="102" t="str">
        <f>IF(AND(WSSBK!$S$58&gt;=75,WSSBK!$S$58&lt;=83.24),"P","")</f>
        <v/>
      </c>
      <c r="TX17" s="102" t="str">
        <f>IF(AND(WSSBK!$S$58&gt;=83.25,WSSBK!$S$58&lt;=91.4),"P","")</f>
        <v>P</v>
      </c>
      <c r="TY17" s="102" t="str">
        <f>IF(AND(WSSBK!$S$58&gt;=91.5,WSSBK!$S$58&lt;=100),"P","")</f>
        <v/>
      </c>
      <c r="TZ17" t="str">
        <f>IF(WSSBK!$S$68&lt;74.9,"P","")</f>
        <v/>
      </c>
      <c r="UA17" s="102" t="str">
        <f>IF(AND(WSSBK!$S$68&gt;=75,WSSBK!$S$68&lt;=83.24),"P","")</f>
        <v/>
      </c>
      <c r="UB17" s="102" t="str">
        <f>IF(AND(WSSBK!$S$68&gt;=83.25,WSSBK!$S$68&lt;=91.4),"P","")</f>
        <v>P</v>
      </c>
      <c r="UC17" s="102" t="str">
        <f>IF(AND(WSSBK!$S$68&gt;=91.5,WSSBK!$S$68&lt;=100),"P","")</f>
        <v/>
      </c>
      <c r="UD17" t="str">
        <f>IF(WSSBK!$S$77&lt;74.9,"P","")</f>
        <v/>
      </c>
      <c r="UE17" s="102" t="str">
        <f>IF(AND(WSSBK!$S$77&gt;=75,WSSBK!$S$77&lt;=83.24),"P","")</f>
        <v/>
      </c>
      <c r="UF17" s="102" t="str">
        <f>IF(AND(WSSBK!$S$77&gt;=83.25,WSSBK!$S$77&lt;=91.4),"P","")</f>
        <v>P</v>
      </c>
      <c r="UG17" s="102" t="str">
        <f>IF(AND(WSSBK!$S$77&gt;=91.5,WSSBK!$S$77&lt;=100),"P","")</f>
        <v/>
      </c>
      <c r="UH17" t="str">
        <f>IF(WSSBK!$S$87&lt;74.9,"P","")</f>
        <v/>
      </c>
      <c r="UI17" s="102" t="str">
        <f>IF(AND(WSSBK!$S$87&gt;=75,WSSBK!$S$87&lt;=83.24),"P","")</f>
        <v/>
      </c>
      <c r="UJ17" s="102" t="str">
        <f>IF(AND(WSSBK!$S$87&gt;=83.25,WSSBK!$S$87&lt;=91.4),"P","")</f>
        <v/>
      </c>
      <c r="UK17" s="102" t="str">
        <f>IF(AND(WSSBK!$S$87&gt;=91.5,WSSBK!$S$87&lt;=100),"P","")</f>
        <v/>
      </c>
      <c r="UL17" t="str">
        <f>IF(WSSBK!$S$95&lt;74.9,"P","")</f>
        <v/>
      </c>
      <c r="UM17" s="102" t="str">
        <f>IF(AND(WSSBK!$S$95&gt;=75,WSSBK!$S$95&lt;=83.24),"P","")</f>
        <v/>
      </c>
      <c r="UN17" s="102" t="str">
        <f>IF(AND(WSSBK!$S$95&gt;=83.25,WSSBK!$S$95&lt;=91.4),"P","")</f>
        <v/>
      </c>
      <c r="UO17" s="102" t="str">
        <f>IF(AND(WSSBK!$S$95&gt;=91.5,WSSBK!$S$95&lt;=100),"P","")</f>
        <v/>
      </c>
      <c r="UP17" t="str">
        <f>IF(WSSBK!$S$103&lt;74.9,"P","")</f>
        <v/>
      </c>
      <c r="UQ17" s="102" t="str">
        <f>IF(AND(WSSBK!$S$103&gt;=75,WSSBK!$S$103&lt;=83.24),"P","")</f>
        <v/>
      </c>
      <c r="UR17" s="102" t="str">
        <f>IF(AND(WSSBK!$S$103&gt;=83.25,WSSBK!$S$103&lt;=91.4),"P","")</f>
        <v/>
      </c>
      <c r="US17" s="102" t="str">
        <f>IF(AND(WSSBK!$S$103&gt;=91.5,WSSBK!$S$103&lt;=100),"P","")</f>
        <v/>
      </c>
      <c r="UT17" t="str">
        <f>IF(WSSBK!$S$111&lt;74.9,"P","")</f>
        <v/>
      </c>
      <c r="UU17" s="102" t="str">
        <f>IF(AND(WSSBK!$S$111&gt;=75,WSSBK!$S$111&lt;=83.24),"P","")</f>
        <v/>
      </c>
      <c r="UV17" s="102" t="str">
        <f>IF(AND(WSSBK!$S$111&gt;=83.25,WSSBK!$S$111&lt;=91.4),"P","")</f>
        <v/>
      </c>
      <c r="UW17" s="102" t="str">
        <f>IF(AND(WSSBK!$S$111&gt;=91.5,WSSBK!$S$111&lt;=100),"P","")</f>
        <v/>
      </c>
      <c r="UX17" t="str">
        <f>IF(WSSBK!$S$119&lt;74.9,"P","")</f>
        <v/>
      </c>
      <c r="UY17" s="102" t="str">
        <f>IF(AND(WSSBK!$S$119&gt;=75,WSSBK!$S$119&lt;=83.24),"P","")</f>
        <v/>
      </c>
      <c r="UZ17" s="102" t="str">
        <f>IF(AND(WSSBK!$S$119&gt;=83.25,WSSBK!$S$119&lt;=91.4),"P","")</f>
        <v/>
      </c>
      <c r="VA17" s="102" t="str">
        <f>IF(AND(WSSBK!$S$119&gt;=91.5,WSSBK!$S$119&lt;=100),"P","")</f>
        <v/>
      </c>
      <c r="VB17" s="102" t="str">
        <f>IF(AND(WSPENJAS!$S$6&gt;0,WSPENJAS!$S$6&lt;=74.9),"P","")</f>
        <v/>
      </c>
      <c r="VC17" s="102" t="str">
        <f>IF(AND(WSPENJAS!$S$6&gt;=75,WSPENJAS!$S$6&lt;=83.24),"P","")</f>
        <v/>
      </c>
      <c r="VD17" s="102" t="str">
        <f>IF(AND(WSPENJAS!$S$6&gt;=83.25,WSPENJAS!$S$6&lt;=91.4),"P","")</f>
        <v>P</v>
      </c>
      <c r="VE17" s="102" t="str">
        <f>IF(AND(WSPENJAS!$S$6&gt;=91.5,WSPENJAS!$S$6&lt;=100),"P","")</f>
        <v/>
      </c>
      <c r="VF17" s="102" t="str">
        <f>IF(AND(WSPENJAS!$S$7&gt;0,WSPENJAS!$S$7&lt;=74.9),"P","")</f>
        <v/>
      </c>
      <c r="VG17" s="102" t="str">
        <f>IF(AND(WSPENJAS!$S$7&gt;=75,WSPENJAS!$S$7&lt;=83.24),"P","")</f>
        <v/>
      </c>
      <c r="VH17" s="102" t="str">
        <f>IF(AND(WSPENJAS!$S$7&gt;=83.25,WSPENJAS!$S$7&lt;=91.4),"P","")</f>
        <v>P</v>
      </c>
      <c r="VI17" s="102" t="str">
        <f>IF(AND(WSPENJAS!$S$7&gt;=91.5,WSPENJAS!$S$7&lt;=100),"P","")</f>
        <v/>
      </c>
      <c r="VJ17" s="102" t="str">
        <f>IF(AND(WSPENJAS!$S$8&gt;0,WSPENJAS!$S$8&lt;=74.9),"P","")</f>
        <v/>
      </c>
      <c r="VK17" s="102" t="str">
        <f>IF(AND(WSPENJAS!$S$8&gt;=75,WSPENJAS!$S$8&lt;=83.24),"P","")</f>
        <v/>
      </c>
      <c r="VL17" s="102" t="str">
        <f>IF(AND(WSPENJAS!$S$8&gt;=83.25,WSPENJAS!$S$8&lt;=91.4),"P","")</f>
        <v>P</v>
      </c>
      <c r="VM17" s="102" t="str">
        <f>IF(AND(WSPENJAS!$S$8&gt;=91.5,WSPENJAS!$S$8&lt;=100),"P","")</f>
        <v/>
      </c>
      <c r="VN17" s="102" t="str">
        <f>IF(AND(WSPENJAS!$S$9&gt;0,WSPENJAS!$S$9&lt;=74.9),"P","")</f>
        <v/>
      </c>
      <c r="VO17" s="102" t="str">
        <f>IF(AND(WSPENJAS!$S$9&gt;=75,WSPENJAS!$S$9&lt;=83.24),"P","")</f>
        <v/>
      </c>
      <c r="VP17" s="102" t="str">
        <f>IF(AND(WSPENJAS!$S$9&gt;=83.25,WSPENJAS!$S$9&lt;=91.4),"P","")</f>
        <v>P</v>
      </c>
      <c r="VQ17" s="102" t="str">
        <f>IF(AND(WSPENJAS!$S$9&gt;=91.5,WSPENJAS!$S$9&lt;=100),"P","")</f>
        <v/>
      </c>
      <c r="VR17" s="102" t="str">
        <f>IF(AND(WSPENJAS!$S$10&gt;0,WSPENJAS!$S$10&lt;=74.9),"P","")</f>
        <v/>
      </c>
      <c r="VS17" s="102" t="str">
        <f>IF(AND(WSPENJAS!$S$10&gt;=75,WSPENJAS!$S$10&lt;=83.24),"P","")</f>
        <v/>
      </c>
      <c r="VT17" s="102" t="str">
        <f>IF(AND(WSPENJAS!$S$10&gt;=83.25,WSPENJAS!$S$10&lt;=91.4),"P","")</f>
        <v>P</v>
      </c>
      <c r="VU17" s="102" t="str">
        <f>IF(AND(WSPENJAS!$S$10&gt;=91.5,WSPENJAS!$S$10&lt;=100),"P","")</f>
        <v/>
      </c>
      <c r="VV17" s="102" t="str">
        <f>IF(AND(WSPENJAS!$S$11&gt;0,WSPENJAS!$S$11&lt;=74.9),"P","")</f>
        <v/>
      </c>
      <c r="VW17" s="102" t="str">
        <f>IF(AND(WSPENJAS!$S$411&gt;=75,WSPENJAS!$S$411&lt;=83.24),"P","")</f>
        <v/>
      </c>
      <c r="VX17" s="102" t="str">
        <f>IF(AND(WSPENJAS!$S$411&gt;=83.25,WSPENJAS!$S$411&lt;=91.4),"P","")</f>
        <v/>
      </c>
      <c r="VY17" s="102" t="str">
        <f>IF(AND(WSPENJAS!$S$411&gt;=91.5,WSPENJAS!$S$411&lt;=100),"P","")</f>
        <v/>
      </c>
      <c r="VZ17" s="102" t="str">
        <f>IF(AND(WSPENJAS!$S$12&gt;0,WSPENJAS!$S$12&lt;=74.9),"P","")</f>
        <v/>
      </c>
      <c r="WA17" s="102" t="str">
        <f>IF(AND(WSPENJAS!$S$12&gt;=75,WSPENJAS!$S$12&lt;=83.24),"P","")</f>
        <v/>
      </c>
      <c r="WB17" s="102" t="str">
        <f>IF(AND(WSPENJAS!$S$12&gt;=83.25,WSPENJAS!$S$12&lt;=91.4),"P","")</f>
        <v>P</v>
      </c>
      <c r="WC17" s="102" t="str">
        <f>IF(AND(WSPENJAS!$S$12&gt;=91.5,WSPENJAS!$S$12&lt;=100),"P","")</f>
        <v/>
      </c>
      <c r="WD17" s="102" t="str">
        <f>IF(AND(WSPENJAS!$S$13&gt;0,WSPENJAS!$S$13&lt;=74.9),"P","")</f>
        <v/>
      </c>
      <c r="WE17" s="102" t="str">
        <f>IF(AND(WSPENJAS!$S$13&gt;=75,WSPENJAS!$S$13&lt;=83.24),"P","")</f>
        <v/>
      </c>
      <c r="WF17" s="102" t="str">
        <f>IF(AND(WSPENJAS!$S$13&gt;=83.25,WSPENJAS!$S$13&lt;=91.4),"P","")</f>
        <v>P</v>
      </c>
      <c r="WG17" s="102" t="str">
        <f>IF(AND(WSPENJAS!$S$13&gt;=91.5,WSPENJAS!$S$13&lt;=100),"P","")</f>
        <v/>
      </c>
      <c r="WH17" s="102" t="str">
        <f>IF(AND(WSPENJAS!$S$14&gt;0,WSPENJAS!$S$14&lt;=74.9),"P","")</f>
        <v/>
      </c>
      <c r="WI17" s="102" t="str">
        <f>IF(AND(WSPENJAS!$S$14&gt;=75,WSPENJAS!$S$14&lt;=83.24),"P","")</f>
        <v/>
      </c>
      <c r="WJ17" s="102" t="str">
        <f>IF(AND(WSPENJAS!$S$14&gt;=83.25,WSPENJAS!$S$14&lt;=91.4),"P","")</f>
        <v>P</v>
      </c>
      <c r="WK17" s="102" t="str">
        <f>IF(AND(WSPENJAS!$S$14&gt;=91.5,WSPENJAS!$S$14&lt;=100),"P","")</f>
        <v/>
      </c>
      <c r="WL17" s="102" t="str">
        <f>IF(AND(WSPENJAS!$S$15&gt;0,WSPENJAS!$S$15&lt;=74.9),"P","")</f>
        <v/>
      </c>
      <c r="WM17" s="102" t="str">
        <f>IF(AND(WSPENJAS!$S$15&gt;=75,WSPENJAS!$S$15&lt;=83.24),"P","")</f>
        <v/>
      </c>
      <c r="WN17" s="102" t="str">
        <f>IF(AND(WSPENJAS!$S$15&gt;=83.25,WSPENJAS!$S$15&lt;=91.4),"P","")</f>
        <v>P</v>
      </c>
      <c r="WO17" s="102" t="str">
        <f>IF(AND(WSPENJAS!$S$15&gt;=91.5,WSPENJAS!$S$15&lt;=100),"P","")</f>
        <v/>
      </c>
      <c r="WP17" s="102" t="str">
        <f>IF(AND(WSPENJAS!$S$16&gt;0,WSPENJAS!$S$16&lt;=74.9),"P","")</f>
        <v/>
      </c>
      <c r="WQ17" s="102" t="str">
        <f>IF(AND(WSPENJAS!$S$16&gt;=75,WSPENJAS!$S$16&lt;=83.24),"P","")</f>
        <v/>
      </c>
      <c r="WR17" s="102" t="str">
        <f>IF(AND(WSPENJAS!$S$16&gt;=83.25,WSPENJAS!$S$16&lt;=91.4),"P","")</f>
        <v/>
      </c>
      <c r="WS17" s="102" t="str">
        <f>IF(AND(WSPENJAS!$S$16&gt;=91.5,WSPENJAS!$S$16&lt;=100),"P","")</f>
        <v/>
      </c>
      <c r="WT17" s="102" t="str">
        <f>IF(AND(WSPENJAS!$S$17&gt;0,WSPENJAS!$S$17&lt;=74.9),"P","")</f>
        <v/>
      </c>
      <c r="WU17" s="102" t="str">
        <f>IF(AND(WSPENJAS!$S$17&gt;=75,WSPENJAS!$S$17&lt;=83.24),"P","")</f>
        <v/>
      </c>
      <c r="WV17" s="102" t="str">
        <f>IF(AND(WSPENJAS!$S$17&gt;=83.25,WSPENJAS!$S$17&lt;=91.4),"P","")</f>
        <v/>
      </c>
      <c r="WW17" s="102" t="str">
        <f>IF(AND(WSPENJAS!$S$17&gt;=91.5,WSPENJAS!$S$17&lt;=100),"P","")</f>
        <v/>
      </c>
      <c r="WX17" s="102" t="str">
        <f>IF(AND(WSPENJAS!$S$18&gt;0,WSPENJAS!$S$18&lt;=74.9),"P","")</f>
        <v/>
      </c>
      <c r="WY17" s="102" t="str">
        <f>IF(AND(WSPENJAS!$S$18&gt;=75,WSPENJAS!$S$18&lt;=83.24),"P","")</f>
        <v/>
      </c>
      <c r="WZ17" s="102" t="str">
        <f>IF(AND(WSPENJAS!$S$18&gt;=83.25,WSPENJAS!$S$18&lt;=91.4),"P","")</f>
        <v/>
      </c>
      <c r="XA17" s="102" t="str">
        <f>IF(AND(WSPENJAS!$S$18&gt;=91.5,WSPENJAS!$S$18&lt;=100),"P","")</f>
        <v/>
      </c>
      <c r="XB17" s="102" t="str">
        <f>IF(AND(WSPENJAS!$S$19&gt;0,WSPENJAS!$S$19&lt;=74.9),"P","")</f>
        <v/>
      </c>
      <c r="XC17" s="102" t="str">
        <f>IF(AND(WSPENJAS!$S$19&gt;=75,WSPENJAS!$S$19&lt;=83.24),"P","")</f>
        <v/>
      </c>
      <c r="XD17" s="102" t="str">
        <f>IF(AND(WSPENJAS!$S$19&gt;=83.25,WSPENJAS!$S$19&lt;=91.4),"P","")</f>
        <v/>
      </c>
      <c r="XE17" s="102" t="str">
        <f>IF(AND(WSPENJAS!$S$19&gt;=91.5,WSPENJAS!$S$19&lt;=100),"P","")</f>
        <v/>
      </c>
      <c r="XF17" s="102" t="str">
        <f>IF(AND(WSPENJAS!$S$20&gt;0,WSPENJAS!$S$20&lt;=74.9),"P","")</f>
        <v/>
      </c>
      <c r="XG17" s="102" t="str">
        <f>IF(AND(WSPENJAS!$S$20&gt;=75,WSPENJAS!$S$20&lt;=83.24),"P","")</f>
        <v/>
      </c>
      <c r="XH17" s="102" t="str">
        <f>IF(AND(WSPENJAS!$S$20&gt;=83.25,WSPENJAS!$S$20&lt;=91.4),"P","")</f>
        <v/>
      </c>
      <c r="XI17" s="102" t="str">
        <f>IF(AND(WSPENJAS!$S$20&gt;=91.5,WSPENJAS!$S$20&lt;=100),"P","")</f>
        <v/>
      </c>
      <c r="XJ17" s="102" t="str">
        <f>IF(AND(WSPENJAS!$S$21&gt;0,WSPENJAS!$S$21&lt;=74.9),"P","")</f>
        <v/>
      </c>
      <c r="XK17" s="102" t="str">
        <f>IF(AND(WSPENJAS!$S$21&gt;=75,WSPENJAS!$S$21&lt;=83.24),"P","")</f>
        <v/>
      </c>
      <c r="XL17" s="102" t="str">
        <f>IF(AND(WSPENJAS!$S$21&gt;=83.25,WSPENJAS!$S$21&lt;=91.4),"P","")</f>
        <v/>
      </c>
      <c r="XM17" s="102" t="str">
        <f>IF(AND(WSPENJAS!$S$21&gt;=91.5,WSPENJAS!$S$21&lt;=100),"P","")</f>
        <v/>
      </c>
      <c r="XN17" t="str">
        <f>IF(WSJAWA!$S$6&lt;74.9,"P","")</f>
        <v/>
      </c>
      <c r="XO17" s="102" t="str">
        <f>IF(AND(WSJAWA!$S$6&gt;=75,WSJAWA!$S$6&lt;=83.24),"P","")</f>
        <v/>
      </c>
      <c r="XP17" s="102" t="str">
        <f>IF(AND(WSJAWA!$S$6&gt;=83.25,WSJAWA!$S$6&lt;=91.4),"P","")</f>
        <v/>
      </c>
      <c r="XQ17" s="102" t="str">
        <f>IF(AND(WSJAWA!$S$6&gt;=91.5,WSJAWA!$S$6&lt;=100),"P","")</f>
        <v>P</v>
      </c>
      <c r="XR17" t="str">
        <f>IF(WSJAWA!$S$14&lt;74.9,"P","")</f>
        <v/>
      </c>
      <c r="XS17" s="102" t="str">
        <f>IF(AND(WSJAWA!$S$14&gt;=75,WSJAWA!$S$14&lt;=83.24),"P","")</f>
        <v/>
      </c>
      <c r="XT17" s="102" t="str">
        <f>IF(AND(WSJAWA!$S$14&gt;=83.25,WSJAWA!$S$14&lt;=91.4),"P","")</f>
        <v/>
      </c>
      <c r="XU17" s="102" t="str">
        <f>IF(AND(WSJAWA!$S$14&gt;=91.5,WSJAWA!$S$14&lt;=100),"P","")</f>
        <v>P</v>
      </c>
      <c r="XV17" t="str">
        <f>IF(WSJAWA!$S$22&lt;74.9,"P","")</f>
        <v/>
      </c>
      <c r="XW17" s="102" t="str">
        <f>IF(AND(WSJAWA!$S$22&gt;=75,WSJAWA!$S$22&lt;=83.24),"P","")</f>
        <v/>
      </c>
      <c r="XX17" s="102" t="str">
        <f>IF(AND(WSJAWA!$S$22&gt;=83.25,WSJAWA!$S$22&lt;=91.4),"P","")</f>
        <v>P</v>
      </c>
      <c r="XY17" s="102" t="str">
        <f>IF(AND(WSJAWA!$S$22&gt;=91.5,WSJAWA!$S$22&lt;=100),"P","")</f>
        <v/>
      </c>
      <c r="XZ17" t="str">
        <f>IF(WSJAWA!$S$30&lt;74.9,"P","")</f>
        <v/>
      </c>
      <c r="YA17" s="102" t="str">
        <f>IF(AND(WSJAWA!$S$30&gt;=75,WSJAWA!$S$30&lt;=83.24),"P","")</f>
        <v/>
      </c>
      <c r="YB17" s="102" t="str">
        <f>IF(AND(WSJAWA!$S$30&gt;=83.25,WSJAWA!$S$30&lt;=91.4),"P","")</f>
        <v/>
      </c>
      <c r="YC17" s="102" t="str">
        <f>IF(AND(WSJAWA!$S$30&gt;=91.5,WSJAWA!$S$30&lt;=100),"P","")</f>
        <v>P</v>
      </c>
      <c r="YD17" t="str">
        <f>IF(WSJAWA!$S$38&lt;74.9,"P","")</f>
        <v/>
      </c>
      <c r="YE17" s="102" t="str">
        <f>IF(AND(WSJAWA!$S$38&gt;=75,WSJAWA!$S$38&lt;=83.24),"P","")</f>
        <v/>
      </c>
      <c r="YF17" s="102" t="str">
        <f>IF(AND(WSJAWA!$S$38&gt;=83.25,WSJAWA!$S$38&lt;=91.4),"P","")</f>
        <v/>
      </c>
      <c r="YG17" s="102" t="str">
        <f>IF(AND(WSJAWA!$S$38&gt;=91.5,WSJAWA!$S$38&lt;=100),"P","")</f>
        <v>P</v>
      </c>
      <c r="YH17" t="str">
        <f>IF(WSJAWA!$S$46&lt;74.9,"P","")</f>
        <v/>
      </c>
      <c r="YI17" s="102" t="str">
        <f>IF(AND(WSJAWA!$S$46&gt;=75,WSJAWA!$S$46&lt;=83.24),"P","")</f>
        <v/>
      </c>
      <c r="YJ17" s="102" t="str">
        <f>IF(AND(WSJAWA!$S$46&gt;=83.25,WSJAWA!$S$46&lt;=91.4),"P","")</f>
        <v/>
      </c>
      <c r="YK17" s="102" t="str">
        <f>IF(AND(WSJAWA!$S$46&gt;=91.5,WSJAWA!$S$46&lt;=100),"P","")</f>
        <v>P</v>
      </c>
      <c r="YL17" t="str">
        <f>IF(WSJAWA!$S$54&lt;74.9,"P","")</f>
        <v/>
      </c>
      <c r="YM17" s="102" t="str">
        <f>IF(AND(WSJAWA!$S$54&gt;=75,WSJAWA!$S$54&lt;=83.24),"P","")</f>
        <v/>
      </c>
      <c r="YN17" s="102" t="str">
        <f>IF(AND(WSJAWA!$S$54&gt;=83.25,WSJAWA!$S$54&lt;=91.4),"P","")</f>
        <v>P</v>
      </c>
      <c r="YO17" s="102" t="str">
        <f>IF(AND(WSJAWA!$S$54&gt;=91.5,WSJAWA!$S$54&lt;=100),"P","")</f>
        <v/>
      </c>
      <c r="YP17" t="str">
        <f>IF(WSJAWA!$S$62&lt;74.9,"P","")</f>
        <v/>
      </c>
      <c r="YQ17" s="102" t="str">
        <f>IF(AND(WSJAWA!$S$62&gt;=75,WSJAWA!$S$62&lt;=83.24),"P","")</f>
        <v>P</v>
      </c>
      <c r="YR17" s="102" t="str">
        <f>IF(AND(WSJAWA!$S$62&gt;=83.25,WSJAWA!$S$62&lt;=91.4),"P","")</f>
        <v/>
      </c>
      <c r="YS17" s="102" t="str">
        <f>IF(AND(WSJAWA!$S$62&gt;=91.5,WSJAWA!$S$62&lt;=100),"P","")</f>
        <v/>
      </c>
      <c r="YT17" t="str">
        <f>IF(WSJAWA!$S$70&lt;74.9,"P","")</f>
        <v/>
      </c>
      <c r="YU17" s="102" t="str">
        <f>IF(AND(WSJAWA!$S$70&gt;=75,WSJAWA!$S$70&lt;=83.24),"P","")</f>
        <v/>
      </c>
      <c r="YV17" s="102" t="str">
        <f>IF(AND(WSJAWA!$S$70&gt;=83.25,WSJAWA!$S$70&lt;=91.4),"P","")</f>
        <v/>
      </c>
      <c r="YW17" s="102" t="str">
        <f>IF(AND(WSJAWA!$S$70&gt;=91.5,WSJAWA!$S$70&lt;=100),"P","")</f>
        <v/>
      </c>
      <c r="YX17" t="str">
        <f>IF(WSJAWA!$S$78&lt;74.9,"P","")</f>
        <v/>
      </c>
      <c r="YY17" s="102" t="str">
        <f>IF(AND(WSJAWA!$S$78&gt;=75,WSJAWA!$S$78&lt;=83.24),"P","")</f>
        <v/>
      </c>
      <c r="YZ17" s="102" t="str">
        <f>IF(AND(WSJAWA!$S$78&gt;=83.25,WSJAWA!$S$78&lt;=91.4),"P","")</f>
        <v/>
      </c>
      <c r="ZA17" s="102" t="str">
        <f>IF(AND(WSJAWA!$S$78&gt;=91.5,WSJAWA!$S$78&lt;=100),"P","")</f>
        <v/>
      </c>
      <c r="ZB17" t="str">
        <f>IF(WSJAWA!$S$86&lt;74.9,"P","")</f>
        <v/>
      </c>
      <c r="ZC17" s="102" t="str">
        <f>IF(AND(WSJAWA!$S$86&gt;=75,WSJAWA!$S$86&lt;=83.24),"P","")</f>
        <v/>
      </c>
      <c r="ZD17" s="102" t="str">
        <f>IF(AND(WSJAWA!$S$86&gt;=83.25,WSJAWA!$S$86&lt;=91.4),"P","")</f>
        <v/>
      </c>
      <c r="ZE17" s="102" t="str">
        <f>IF(AND(WSJAWA!$S$86&gt;=91.5,WSJAWA!$S$86&lt;=100),"P","")</f>
        <v/>
      </c>
      <c r="ZF17" t="str">
        <f>IF(WSJAWA!$S$94&lt;74.9,"P","")</f>
        <v/>
      </c>
      <c r="ZG17" s="102" t="str">
        <f>IF(AND(WSJAWA!$S$94&gt;=75,WSJAWA!$S$94&lt;=83.24),"P","")</f>
        <v/>
      </c>
      <c r="ZH17" s="102" t="str">
        <f>IF(AND(WSJAWA!$S$94&gt;=83.25,WSJAWA!$S$94&lt;=91.4),"P","")</f>
        <v/>
      </c>
      <c r="ZI17" s="102" t="str">
        <f>IF(AND(WSJAWA!$S$94&gt;=91.5,WSJAWA!$S$94&lt;=100),"P","")</f>
        <v/>
      </c>
      <c r="ZJ17" t="str">
        <f>IF(WSJAWA!$S$102&lt;74.9,"P","")</f>
        <v/>
      </c>
      <c r="ZK17" s="102" t="str">
        <f>IF(AND(WSJAWA!$S$102&gt;=75,WSJAWA!$S$102&lt;=83.24),"P","")</f>
        <v/>
      </c>
      <c r="ZL17" s="102" t="str">
        <f>IF(AND(WSJAWA!$S$102&gt;=83.25,WSJAWA!$S$102&lt;=91.4),"P","")</f>
        <v/>
      </c>
      <c r="ZM17" s="102" t="str">
        <f>IF(AND(WSJAWA!$S$102&gt;=91.5,WSJAWA!$S$102&lt;=100),"P","")</f>
        <v/>
      </c>
      <c r="ZN17" t="str">
        <f>IF(WSING!$S$6&lt;74.9,"P","")</f>
        <v/>
      </c>
      <c r="ZO17" s="102" t="str">
        <f>IF(AND(WSING!$S$6&gt;=75,WSING!$S$6&lt;=83.24),"P","")</f>
        <v/>
      </c>
      <c r="ZP17" s="102" t="str">
        <f>IF(AND(WSING!$S$6&gt;=83.25,WSING!$S$6&lt;=91.4),"P","")</f>
        <v/>
      </c>
      <c r="ZQ17" s="102" t="str">
        <f>IF(AND(WSING!$S$6&gt;=91.5,WSING!$S$6&lt;=100),"P","")</f>
        <v>P</v>
      </c>
      <c r="ZR17" t="str">
        <f>IF(WSING!$S$15&lt;74.9,"P","")</f>
        <v/>
      </c>
      <c r="ZS17" s="102" t="str">
        <f>IF(AND(WSING!$S$15&gt;=75,WSING!$S$15&lt;=83.24),"P","")</f>
        <v/>
      </c>
      <c r="ZT17" s="102" t="str">
        <f>IF(AND(WSING!$S$15&gt;=83.25,WSING!$S$15&lt;=91.4),"P","")</f>
        <v/>
      </c>
      <c r="ZU17" s="102" t="str">
        <f>IF(AND(WSING!$S$15&gt;=91.5,WSING!$S$15&lt;=100),"P","")</f>
        <v>P</v>
      </c>
      <c r="ZV17" t="str">
        <f>IF(WSING!$S$24&lt;74.9,"P","")</f>
        <v/>
      </c>
      <c r="ZW17" s="102" t="str">
        <f>IF(AND(WSING!$S$24&gt;=75,WSING!$S$24&lt;=83.24),"P","")</f>
        <v>P</v>
      </c>
      <c r="ZX17" s="102" t="str">
        <f>IF(AND(WSING!$S$24&gt;=83.25,WSING!$S$24&lt;=91.4),"P","")</f>
        <v/>
      </c>
      <c r="ZY17" s="102" t="str">
        <f>IF(AND(WSING!$S$24&gt;=91.5,WSING!$S$24&lt;=100),"P","")</f>
        <v/>
      </c>
      <c r="ZZ17" t="str">
        <f>IF(WSING!$S$33&lt;74.9,"P","")</f>
        <v/>
      </c>
      <c r="AAA17" s="102" t="str">
        <f>IF(AND(WSING!$S$33&gt;=75,WSING!$S$33&lt;=83.24),"P","")</f>
        <v>P</v>
      </c>
      <c r="AAB17" s="102" t="str">
        <f>IF(AND(WSING!$S$33&gt;=83.25,WSING!$S$33&lt;=91.4),"P","")</f>
        <v/>
      </c>
      <c r="AAC17" s="102" t="str">
        <f>IF(AND(WSING!$S$33&gt;=91.5,WSING!$S$33&lt;=100),"P","")</f>
        <v/>
      </c>
      <c r="AAD17" t="str">
        <f>IF(WSING!$S$42&lt;74.9,"P","")</f>
        <v/>
      </c>
      <c r="AAE17" s="102" t="str">
        <f>IF(AND(WSING!$S$42&gt;=75,WSING!$S$42&lt;=83.24),"P","")</f>
        <v/>
      </c>
      <c r="AAF17" s="102" t="str">
        <f>IF(AND(WSING!$S$42&gt;=83.25,WSING!$S$42&lt;=91.4),"P","")</f>
        <v/>
      </c>
      <c r="AAG17" s="102" t="str">
        <f>IF(AND(WSING!$S$42&gt;=91.5,WSING!$S$42&lt;=100),"P","")</f>
        <v/>
      </c>
      <c r="AAH17" t="str">
        <f>IF(WSING!$S$50&lt;74.9,"P","")</f>
        <v/>
      </c>
      <c r="AAI17" s="102" t="str">
        <f>IF(AND(WSING!$S$50&gt;=75,WSING!$S$50&lt;=83.24),"P","")</f>
        <v/>
      </c>
      <c r="AAJ17" s="102" t="str">
        <f>IF(AND(WSING!$S$50&gt;=83.25,WSING!$S$50&lt;=91.4),"P","")</f>
        <v/>
      </c>
      <c r="AAK17" s="102" t="str">
        <f>IF(AND(WSING!$S$50&gt;=91.5,WSING!$S$50&lt;=100),"P","")</f>
        <v/>
      </c>
      <c r="AAL17" t="str">
        <f>IF(WSING!$S$58&lt;74.9,"P","")</f>
        <v/>
      </c>
      <c r="AAM17" s="102" t="str">
        <f>IF(AND(WSING!$S$58&gt;=75,WSING!$S$58&lt;=83.24),"P","")</f>
        <v/>
      </c>
      <c r="AAN17" s="102" t="str">
        <f>IF(AND(WSING!$S$58&gt;=83.25,WSING!$S$58&lt;=91.4),"P","")</f>
        <v/>
      </c>
      <c r="AAO17" s="102" t="str">
        <f>IF(AND(WSING!$S$58&gt;=91.5,WSING!$S$58&lt;=100),"P","")</f>
        <v/>
      </c>
      <c r="AAP17" t="str">
        <f>IF(WSING!$S$66&lt;74.9,"P","")</f>
        <v/>
      </c>
      <c r="AAQ17" s="102" t="str">
        <f>IF(AND(WSING!$S$66&gt;=75,WSING!$S$66&lt;=83.24),"P","")</f>
        <v/>
      </c>
      <c r="AAR17" s="102" t="str">
        <f>IF(AND(WSING!$S$66&gt;=83.25,WSING!$S$66&lt;=91.4),"P","")</f>
        <v/>
      </c>
      <c r="AAS17" s="102" t="str">
        <f>IF(AND(WSING!$S$66&gt;=91.5,WSING!$S$66&lt;=100),"P","")</f>
        <v/>
      </c>
      <c r="AAT17" t="str">
        <f>IF(WSING!$S$74&lt;74.9,"P","")</f>
        <v/>
      </c>
      <c r="AAU17" s="102" t="str">
        <f>IF(AND(WSING!$S$74&gt;=75,WSING!$S$74&lt;=83.24),"P","")</f>
        <v/>
      </c>
      <c r="AAV17" s="102" t="str">
        <f>IF(AND(WSING!$S$74&gt;=83.25,WSING!$S$74&lt;=91.4),"P","")</f>
        <v/>
      </c>
      <c r="AAW17" s="102" t="str">
        <f>IF(AND(WSING!$S$74&gt;=91.5,WSING!$S$74&lt;=100),"P","")</f>
        <v/>
      </c>
      <c r="AAX17" t="str">
        <f>IF(WSING!$S$82&lt;74.9,"P","")</f>
        <v/>
      </c>
      <c r="AAY17" s="102" t="str">
        <f>IF(AND(WSING!$S$82&gt;=75,WSING!$S$82&lt;=83.24),"P","")</f>
        <v/>
      </c>
      <c r="AAZ17" s="102" t="str">
        <f>IF(AND(WSING!$S$82&gt;=83.25,WSING!$S$82&lt;=91.4),"P","")</f>
        <v/>
      </c>
      <c r="ABA17" s="102" t="str">
        <f>IF(AND(WSING!$S$82&gt;=91.5,WSING!$S$82&lt;=100),"P","")</f>
        <v/>
      </c>
      <c r="ABB17" t="str">
        <f>IF(WSING!$S$90&lt;74.9,"P","")</f>
        <v/>
      </c>
      <c r="ABC17" s="102" t="str">
        <f>IF(AND(WSING!$S$90&gt;=75,WSING!$S$90&lt;=83.24),"P","")</f>
        <v/>
      </c>
      <c r="ABD17" s="102" t="str">
        <f>IF(AND(WSING!$S$90&gt;=83.25,WSING!$S$90&lt;=91.4),"P","")</f>
        <v/>
      </c>
      <c r="ABE17" s="102" t="str">
        <f>IF(AND(WSING!$S$90&gt;=91.5,WSING!$S$90&lt;=100),"P","")</f>
        <v/>
      </c>
      <c r="ABF17" t="str">
        <f>IF(WSING!$S$98&lt;74.9,"P","")</f>
        <v/>
      </c>
      <c r="ABG17" s="102" t="str">
        <f>IF(AND(WSING!$S$98&gt;=75,WSING!$S$98&lt;=83.24),"P","")</f>
        <v/>
      </c>
      <c r="ABH17" s="102" t="str">
        <f>IF(AND(WSING!$S$98&gt;=83.25,WSING!$S$98&lt;=91.4),"P","")</f>
        <v/>
      </c>
      <c r="ABI17" s="102" t="str">
        <f>IF(AND(WSING!$S$98&gt;=91.5,WSING!$S$98&lt;=100),"P","")</f>
        <v/>
      </c>
      <c r="ABJ17" t="str">
        <f>IF(WSING!$S$106&lt;74.9,"P","")</f>
        <v/>
      </c>
      <c r="ABK17" s="102" t="str">
        <f>IF(AND(WSING!$S$106&gt;=75,WSING!$S$106&lt;=83.24),"P","")</f>
        <v/>
      </c>
      <c r="ABL17" s="102" t="str">
        <f>IF(AND(WSING!$S$106&gt;=83.25,WSING!$S$106&lt;=91.4),"P","")</f>
        <v/>
      </c>
      <c r="ABM17" s="102" t="str">
        <f>IF(AND(WSING!$S$106&gt;=91.5,WSING!$S$106&lt;=100),"P","")</f>
        <v/>
      </c>
      <c r="ABN17" t="str">
        <f>IF(WSTIK!$S$6&lt;74.9,"P","")</f>
        <v/>
      </c>
      <c r="ABO17" s="102" t="str">
        <f>IF(AND(WSTIK!$S$6&gt;=75,WSTIK!$S$6&lt;=83.24),"P","")</f>
        <v/>
      </c>
      <c r="ABP17" s="102" t="str">
        <f>IF(AND(WSTIK!$S$6&gt;=83.25,WSTIK!$S$6&lt;=91.4),"P","")</f>
        <v/>
      </c>
      <c r="ABQ17" s="102" t="str">
        <f>IF(AND(WSTIK!$S$6&gt;=91.5,WSTIK!$S$6&lt;=100),"P","")</f>
        <v/>
      </c>
      <c r="ABR17" t="str">
        <f>IF(WSTIK!$S$14&lt;74.9,"P","")</f>
        <v/>
      </c>
      <c r="ABS17" s="102" t="str">
        <f>IF(AND(WSTIK!$S$14&gt;=75,WSTIK!$S$14&lt;=83.24),"P","")</f>
        <v/>
      </c>
      <c r="ABT17" s="102" t="str">
        <f>IF(AND(WSTIK!$S$14&gt;=83.25,WSTIK!$S$14&lt;=91.4),"P","")</f>
        <v/>
      </c>
      <c r="ABU17" s="102" t="str">
        <f>IF(AND(WSTIK!$S$14&gt;=91.5,WSTIK!$S$14&lt;=100),"P","")</f>
        <v/>
      </c>
      <c r="ABV17" t="str">
        <f>IF(WSTIK!$S$22&lt;74.9,"P","")</f>
        <v/>
      </c>
      <c r="ABW17" s="102" t="str">
        <f>IF(AND(WSTIK!$S$22&gt;=75,WSTIK!$S$22&lt;=83.24),"P","")</f>
        <v/>
      </c>
      <c r="ABX17" s="102" t="str">
        <f>IF(AND(WSTIK!$S$22&gt;=83.25,WSTIK!$S$22&lt;=91.4),"P","")</f>
        <v/>
      </c>
      <c r="ABY17" s="102" t="str">
        <f>IF(AND(WSTIK!$S$22&gt;=91.5,WSTIK!$S$22&lt;=100),"P","")</f>
        <v/>
      </c>
      <c r="ABZ17" t="str">
        <f>IF(WSTIK!$S$30&lt;74.9,"P","")</f>
        <v/>
      </c>
      <c r="ACA17" s="102" t="str">
        <f>IF(AND(WSTIK!$S$30&gt;=75,WSTIK!$S$30&lt;=83.24),"P","")</f>
        <v/>
      </c>
      <c r="ACB17" s="102" t="str">
        <f>IF(AND(WSTIK!$S$30&gt;=83.25,WSTIK!$S$30&lt;=91.4),"P","")</f>
        <v/>
      </c>
      <c r="ACC17" s="102" t="str">
        <f>IF(AND(WSTIK!$S$30&gt;=91.5,WSTIK!$S$30&lt;=100),"P","")</f>
        <v/>
      </c>
      <c r="ACD17" t="str">
        <f>IF(WSTIK!$S$38&lt;74.9,"P","")</f>
        <v/>
      </c>
      <c r="ACE17" s="102" t="str">
        <f>IF(AND(WSTIK!$S$38&gt;=75,WSTIK!$S$38&lt;=83.24),"P","")</f>
        <v/>
      </c>
      <c r="ACF17" s="102" t="str">
        <f>IF(AND(WSTIK!$S$38&gt;=83.25,WSTIK!$S$38&lt;=91.4),"P","")</f>
        <v/>
      </c>
      <c r="ACG17" s="102" t="str">
        <f>IF(AND(WSTIK!$S$38&gt;=91.5,WSTIK!$S$38&lt;=100),"P","")</f>
        <v/>
      </c>
      <c r="ACH17" t="str">
        <f>IF(WSTIK!$S$46&lt;74.9,"P","")</f>
        <v/>
      </c>
      <c r="ACI17" s="102" t="str">
        <f>IF(AND(WSTIK!$S$46&gt;=75,WSTIK!$S$46&lt;=83.24),"P","")</f>
        <v/>
      </c>
      <c r="ACJ17" s="102" t="str">
        <f>IF(AND(WSTIK!$S$46&gt;=83.25,WSTIK!$S$46&lt;=91.4),"P","")</f>
        <v/>
      </c>
      <c r="ACK17" s="102" t="str">
        <f>IF(AND(WSTIK!$S$46&gt;=91.5,WSTIK!$S$46&lt;=100),"P","")</f>
        <v/>
      </c>
      <c r="ACL17" t="str">
        <f>IF(WSTIK!$S$54&lt;74.9,"P","")</f>
        <v/>
      </c>
      <c r="ACM17" s="102" t="str">
        <f>IF(AND(WSTIK!$S$54&gt;=75,WSTIK!$S$54&lt;=83.24),"P","")</f>
        <v/>
      </c>
      <c r="ACN17" s="102" t="str">
        <f>IF(AND(WSTIK!$S$54&gt;=83.25,WSTIK!$S$54&lt;=91.4),"P","")</f>
        <v/>
      </c>
      <c r="ACO17" s="102" t="str">
        <f>IF(AND(WSTIK!$S$54&gt;=91.5,WSTIK!$S$54&lt;=100),"P","")</f>
        <v/>
      </c>
      <c r="ACP17" t="str">
        <f>IF(WSTIK!$S$62&lt;74.9,"P","")</f>
        <v/>
      </c>
      <c r="ACQ17" s="102" t="str">
        <f>IF(AND(WSTIK!$S$62&gt;=75,WSTIK!$S$62&lt;=83.24),"P","")</f>
        <v/>
      </c>
      <c r="ACR17" s="102" t="str">
        <f>IF(AND(WSTIK!$S$62&gt;=83.25,WSTIK!$S$62&lt;=91.4),"P","")</f>
        <v/>
      </c>
      <c r="ACS17" s="102" t="str">
        <f>IF(AND(WSTIK!$S$62&gt;=91.5,WSTIK!$S$62&lt;=100),"P","")</f>
        <v/>
      </c>
      <c r="ACT17" t="str">
        <f>IF(WSTIK!$S$70&lt;74.9,"P","")</f>
        <v/>
      </c>
      <c r="ACU17" s="102" t="str">
        <f>IF(AND(WSTIK!$S$70&gt;=75,WSTIK!$S$70&lt;=83.24),"P","")</f>
        <v/>
      </c>
      <c r="ACV17" s="102" t="str">
        <f>IF(AND(WSTIK!$S$70&gt;=83.25,WSTIK!$S$70&lt;=91.4),"P","")</f>
        <v/>
      </c>
      <c r="ACW17" s="102" t="str">
        <f>IF(AND(WSTIK!$S$70&gt;=91.5,WSTIK!$S$70&lt;=100),"P","")</f>
        <v/>
      </c>
      <c r="ACX17" t="str">
        <f>IF(WSTIK!$S$78&lt;74.9,"P","")</f>
        <v/>
      </c>
      <c r="ACY17" s="102" t="str">
        <f>IF(AND(WSTIK!$S$78&gt;=75,WSTIK!$S$78&lt;=83.24),"P","")</f>
        <v/>
      </c>
      <c r="ACZ17" s="102" t="str">
        <f>IF(AND(WSTIK!$S$78&gt;=83.25,WSTIK!$S$78&lt;=91.4),"P","")</f>
        <v/>
      </c>
      <c r="ADA17" s="102" t="str">
        <f>IF(AND(WSTIK!$S$78&gt;=91.5,WSTIK!$S$78&lt;=100),"P","")</f>
        <v/>
      </c>
      <c r="ADB17" t="str">
        <f>IF(WSTIK!$S$86&lt;74.9,"P","")</f>
        <v/>
      </c>
      <c r="ADC17" s="102" t="str">
        <f>IF(AND(WSTIK!$S$86&gt;=75,WSTIK!$S$86&lt;=83.24),"P","")</f>
        <v/>
      </c>
      <c r="ADD17" s="102" t="str">
        <f>IF(AND(WSTIK!$S$86&gt;=83.25,WSTIK!$S$86&lt;=91.4),"P","")</f>
        <v/>
      </c>
      <c r="ADE17" s="102" t="str">
        <f>IF(AND(WSTIK!$S$86&gt;=91.5,WSTIK!$S$86&lt;=100),"P","")</f>
        <v/>
      </c>
      <c r="ADF17" t="str">
        <f>IF(WSTIK!$S$94&lt;74.9,"P","")</f>
        <v/>
      </c>
      <c r="ADG17" s="102" t="str">
        <f>IF(AND(WSTIK!$S$94&gt;=75,WSTIK!$S$94&lt;=83.24),"P","")</f>
        <v/>
      </c>
      <c r="ADH17" s="102" t="str">
        <f>IF(AND(WSTIK!$S$94&gt;=83.25,WSTIK!$S$94&lt;=91.4),"P","")</f>
        <v/>
      </c>
      <c r="ADI17" s="102" t="str">
        <f>IF(AND(WSTIK!$S$94&gt;=91.5,WSTIK!$S$94&lt;=100),"P","")</f>
        <v/>
      </c>
      <c r="ADJ17" t="str">
        <f>IF(WSTIK!$S$102&lt;74.9,"P","")</f>
        <v/>
      </c>
      <c r="ADK17" s="102" t="str">
        <f>IF(AND(WSTIK!$S$102&gt;=75,WSTIK!$S$102&lt;=83.24),"P","")</f>
        <v/>
      </c>
      <c r="ADL17" s="102" t="str">
        <f>IF(AND(WSTIK!$S$102&gt;=83.25,WSTIK!$S$102&lt;=91.4),"P","")</f>
        <v/>
      </c>
      <c r="ADM17" s="102" t="str">
        <f>IF(AND(WSTIK!$S$102&gt;=91.5,WSTIK!$S$102&lt;=100),"P","")</f>
        <v/>
      </c>
      <c r="ADN17" t="str">
        <f>IF(WSASWAJA!$S$6&lt;74.9,"P","")</f>
        <v/>
      </c>
      <c r="ADO17" s="102" t="str">
        <f>IF(AND(WSASWAJA!$S$6&gt;=75,WSASWAJA!$S$6&lt;=83.24),"P","")</f>
        <v/>
      </c>
      <c r="ADP17" s="102" t="str">
        <f>IF(AND(WSASWAJA!$S$6&gt;=83.25,WSASWAJA!$S$6&lt;=91.4),"P","")</f>
        <v/>
      </c>
      <c r="ADQ17" s="102" t="str">
        <f>IF(AND(WSASWAJA!$S$6&gt;=91.5,WSASWAJA!$S$6&lt;=100),"P","")</f>
        <v/>
      </c>
      <c r="ADR17" t="str">
        <f>IF(WSASWAJA!$S$14&lt;74.9,"P","")</f>
        <v/>
      </c>
      <c r="ADS17" s="102" t="str">
        <f>IF(AND(WSASWAJA!$S$14&gt;=75,WSASWAJA!$S$14&lt;=83.24),"P","")</f>
        <v/>
      </c>
      <c r="ADT17" s="102" t="str">
        <f>IF(AND(WSASWAJA!$S$14&gt;=83.25,WSASWAJA!$S$14&lt;=91.4),"P","")</f>
        <v/>
      </c>
      <c r="ADU17" s="102" t="str">
        <f>IF(AND(WSASWAJA!$S$14&gt;=91.5,WSASWAJA!$S$14&lt;=100),"P","")</f>
        <v/>
      </c>
      <c r="ADV17" t="str">
        <f>IF(WSASWAJA!$S$22&lt;74.9,"P","")</f>
        <v/>
      </c>
      <c r="ADW17" s="102" t="str">
        <f>IF(AND(WSASWAJA!$S$22&gt;=75,WSASWAJA!$S$22&lt;=83.24),"P","")</f>
        <v/>
      </c>
      <c r="ADX17" s="102" t="str">
        <f>IF(AND(WSASWAJA!$S$22&gt;=83.25,WSASWAJA!$S$22&lt;=91.4),"P","")</f>
        <v/>
      </c>
      <c r="ADY17" s="102" t="str">
        <f>IF(AND(WSASWAJA!$S$22&gt;=91.5,WSASWAJA!$S$22&lt;=100),"P","")</f>
        <v/>
      </c>
      <c r="ADZ17" t="str">
        <f>IF(WSASWAJA!$S$30&lt;74.9,"P","")</f>
        <v/>
      </c>
      <c r="AEA17" s="102" t="str">
        <f>IF(AND(WSASWAJA!$S$30&gt;=75,WSASWAJA!$S$30&lt;=83.24),"P","")</f>
        <v/>
      </c>
      <c r="AEB17" s="102" t="str">
        <f>IF(AND(WSASWAJA!$S$30&gt;=83.25,WSASWAJA!$S$30&lt;=91.4),"P","")</f>
        <v/>
      </c>
      <c r="AEC17" s="102" t="str">
        <f>IF(AND(WSASWAJA!$S$30&gt;=91.5,WSASWAJA!$S$30&lt;=100),"P","")</f>
        <v/>
      </c>
      <c r="AED17" t="str">
        <f>IF(WSASWAJA!$S$38&lt;74.9,"P","")</f>
        <v/>
      </c>
      <c r="AEE17" s="102" t="str">
        <f>IF(AND(WSASWAJA!$S$38&gt;=75,WSASWAJA!$S$38&lt;=83.24),"P","")</f>
        <v/>
      </c>
      <c r="AEF17" s="102" t="str">
        <f>IF(AND(WSASWAJA!$S$38&gt;=83.25,WSASWAJA!$S$38&lt;=91.4),"P","")</f>
        <v/>
      </c>
      <c r="AEG17" s="102" t="str">
        <f>IF(AND(WSASWAJA!$S$38&gt;=91.5,WSASWAJA!$S$38&lt;=100),"P","")</f>
        <v/>
      </c>
      <c r="AEH17" t="str">
        <f>IF(WSASWAJA!$S$46&lt;74.9,"P","")</f>
        <v/>
      </c>
      <c r="AEI17" s="102" t="str">
        <f>IF(AND(WSASWAJA!$S$46&gt;=75,WSASWAJA!$S$46&lt;=83.24),"P","")</f>
        <v/>
      </c>
      <c r="AEJ17" s="102" t="str">
        <f>IF(AND(WSASWAJA!$S$46&gt;=83.25,WSASWAJA!$S$46&lt;=91.4),"P","")</f>
        <v/>
      </c>
      <c r="AEK17" s="102" t="str">
        <f>IF(AND(WSASWAJA!$S$46&gt;=91.5,WSASWAJA!$S$46&lt;=100),"P","")</f>
        <v/>
      </c>
      <c r="AEL17" t="str">
        <f>IF(WSASWAJA!$S$54&lt;74.9,"P","")</f>
        <v/>
      </c>
      <c r="AEM17" s="102" t="str">
        <f>IF(AND(WSASWAJA!$S$54&gt;=75,WSASWAJA!$S$54&lt;=83.24),"P","")</f>
        <v/>
      </c>
      <c r="AEN17" s="102" t="str">
        <f>IF(AND(WSASWAJA!$S$54&gt;=83.25,WSASWAJA!$S$54&lt;=91.4),"P","")</f>
        <v/>
      </c>
      <c r="AEO17" s="102" t="str">
        <f>IF(AND(WSASWAJA!$S$54&gt;=91.5,WSASWAJA!$S$54&lt;=100),"P","")</f>
        <v/>
      </c>
      <c r="AEP17" t="str">
        <f>IF(WSASWAJA!$S$62&lt;74.9,"P","")</f>
        <v/>
      </c>
      <c r="AEQ17" s="102" t="str">
        <f>IF(AND(WSASWAJA!$S$62&gt;=75,WSASWAJA!$S$62&lt;=83.24),"P","")</f>
        <v/>
      </c>
      <c r="AER17" s="102" t="str">
        <f>IF(AND(WSASWAJA!$S$62&gt;=83.25,WSASWAJA!$S$62&lt;=91.4),"P","")</f>
        <v/>
      </c>
      <c r="AES17" s="102" t="str">
        <f>IF(AND(WSASWAJA!$S$62&gt;=91.5,WSASWAJA!$S$62&lt;=100),"P","")</f>
        <v/>
      </c>
      <c r="AET17" t="str">
        <f>IF(WSASWAJA!$S$70&lt;74.9,"P","")</f>
        <v/>
      </c>
      <c r="AEU17" s="102" t="str">
        <f>IF(AND(WSASWAJA!$S$70&gt;=75,WSASWAJA!$S$70&lt;=83.24),"P","")</f>
        <v/>
      </c>
      <c r="AEV17" s="102" t="str">
        <f>IF(AND(WSASWAJA!$S$70&gt;=83.25,WSASWAJA!$S$70&lt;=91.4),"P","")</f>
        <v/>
      </c>
      <c r="AEW17" s="102" t="str">
        <f>IF(AND(WSASWAJA!$S$70&gt;=91.5,WSASWAJA!$S$70&lt;=100),"P","")</f>
        <v/>
      </c>
      <c r="AEX17" t="str">
        <f>IF(WSASWAJA!$S$78&lt;74.9,"P","")</f>
        <v/>
      </c>
      <c r="AEY17" s="102" t="str">
        <f>IF(AND(WSASWAJA!$S$78&gt;=75,WSASWAJA!$S$78&lt;=83.24),"P","")</f>
        <v/>
      </c>
      <c r="AEZ17" s="102" t="str">
        <f>IF(AND(WSASWAJA!$S$78&gt;=83.25,WSASWAJA!$S$78&lt;=91.4),"P","")</f>
        <v/>
      </c>
      <c r="AFA17" s="102" t="str">
        <f>IF(AND(WSASWAJA!$S$78&gt;=91.5,WSASWAJA!$S$78&lt;=100),"P","")</f>
        <v/>
      </c>
      <c r="AFB17" t="str">
        <f>IF(WSASWAJA!$S$86&lt;74.9,"P","")</f>
        <v/>
      </c>
      <c r="AFC17" s="102" t="str">
        <f>IF(AND(WSASWAJA!$S$86&gt;=75,WSASWAJA!$S$86&lt;=83.24),"P","")</f>
        <v/>
      </c>
      <c r="AFD17" s="102" t="str">
        <f>IF(AND(WSASWAJA!$S$86&gt;=83.25,WSASWAJA!$S$86&lt;=91.4),"P","")</f>
        <v/>
      </c>
      <c r="AFE17" s="102" t="str">
        <f>IF(AND(WSASWAJA!$S$86&gt;=91.5,WSASWAJA!$S$86&lt;=100),"P","")</f>
        <v/>
      </c>
      <c r="AFF17" t="str">
        <f>IF(WSASWAJA!$S$94&lt;74.9,"P","")</f>
        <v/>
      </c>
      <c r="AFG17" s="102" t="str">
        <f>IF(AND(WSASWAJA!$S$94&gt;=75,WSASWAJA!$S$94&lt;=83.24),"P","")</f>
        <v/>
      </c>
      <c r="AFH17" s="102" t="str">
        <f>IF(AND(WSASWAJA!$S$94&gt;=83.25,WSASWAJA!$S$94&lt;=91.4),"P","")</f>
        <v/>
      </c>
      <c r="AFI17" s="102" t="str">
        <f>IF(AND(WSASWAJA!$S$94&gt;=91.5,WSASWAJA!$S$94&lt;=100),"P","")</f>
        <v/>
      </c>
      <c r="AFJ17" t="str">
        <f>IF(WSASWAJA!$S$102&lt;74.9,"P","")</f>
        <v/>
      </c>
      <c r="AFK17" s="102" t="str">
        <f>IF(AND(WSASWAJA!$S$102&gt;=75,WSASWAJA!$S$102&lt;=83.24),"P","")</f>
        <v/>
      </c>
      <c r="AFL17" s="102" t="str">
        <f>IF(AND(WSASWAJA!$S$102&gt;=83.25,WSASWAJA!$S$102&lt;=91.4),"P","")</f>
        <v/>
      </c>
      <c r="AFM17" s="102" t="str">
        <f>IF(AND(WSASWAJA!$S$102&gt;=91.5,WSASWAJA!$S$102&lt;=100),"P","")</f>
        <v/>
      </c>
    </row>
    <row r="18" spans="1:845" ht="20.100000000000001" customHeight="1">
      <c r="A18">
        <v>16</v>
      </c>
      <c r="B18" t="str">
        <f>IF(WSALQURAN!$T$6&lt;74.9,"P","")</f>
        <v/>
      </c>
      <c r="C18" s="102" t="str">
        <f>IF(AND(WSALQURAN!$T$6&gt;=75,WSALQURAN!$T$6&lt;=83.24),"P","")</f>
        <v/>
      </c>
      <c r="D18" s="102" t="str">
        <f>IF(AND(WSALQURAN!$T$6&gt;=83.25,WSALQURAN!$T$6&lt;=91.4),"P","")</f>
        <v/>
      </c>
      <c r="E18" s="102" t="str">
        <f>IF(AND(WSALQURAN!$T$6&gt;=91.5,WSALQURAN!$T$6&lt;=100),"P","")</f>
        <v>P</v>
      </c>
      <c r="F18" t="str">
        <f>IF(WSALQURAN!$T$14&lt;74.9,"P","")</f>
        <v/>
      </c>
      <c r="G18" s="102" t="str">
        <f>IF(AND(WSALQURAN!$T$14&gt;=75,WSALQURAN!$T$14&lt;=83.24),"P","")</f>
        <v/>
      </c>
      <c r="H18" s="102" t="str">
        <f>IF(AND(WSALQURAN!$T$14&gt;=83.25,WSALQURAN!$T$14&lt;=91.4),"P","")</f>
        <v/>
      </c>
      <c r="I18" s="102" t="str">
        <f>IF(AND(WSALQURAN!$T$14&gt;=91.5,WSALQURAN!$T$14&lt;=100),"P","")</f>
        <v>P</v>
      </c>
      <c r="J18" t="str">
        <f>IF(WSALQURAN!$T$22&lt;74.9,"P","")</f>
        <v/>
      </c>
      <c r="K18" s="102" t="str">
        <f>IF(AND(WSALQURAN!$T$22&gt;=75,WSALQURAN!$T$22&lt;=83.24),"P","")</f>
        <v>P</v>
      </c>
      <c r="L18" s="102" t="str">
        <f>IF(AND(WSALQURAN!$T$22&gt;=83.25,WSALQURAN!$T$22&lt;=91.4),"P","")</f>
        <v/>
      </c>
      <c r="M18" s="102" t="str">
        <f>IF(AND(WSALQURAN!$T$22&gt;=91.5,WSALQURAN!$T$22&lt;=100),"P","")</f>
        <v/>
      </c>
      <c r="N18" t="str">
        <f>IF(WSALQURAN!$T$30&lt;74.9,"P","")</f>
        <v/>
      </c>
      <c r="O18" s="102" t="str">
        <f>IF(AND(WSALQURAN!$T$30&gt;=75,WSALQURAN!$T$30&lt;=83.24),"P","")</f>
        <v/>
      </c>
      <c r="P18" s="102" t="str">
        <f>IF(AND(WSALQURAN!$T$30&gt;=83.25,WSALQURAN!$T$30&lt;=91.4),"P","")</f>
        <v/>
      </c>
      <c r="Q18" s="102" t="str">
        <f>IF(AND(WSALQURAN!$T$30&gt;=91.5,WSALQURAN!$T$30&lt;=100),"P","")</f>
        <v>P</v>
      </c>
      <c r="R18" t="str">
        <f>IF(WSALQURAN!$T$38&lt;74.9,"P","")</f>
        <v/>
      </c>
      <c r="S18" s="102" t="str">
        <f>IF(AND(WSALQURAN!$T$38&gt;=75,WSALQURAN!$T$38&lt;=83.24),"P","")</f>
        <v/>
      </c>
      <c r="T18" s="102" t="str">
        <f>IF(AND(WSALQURAN!$T$38&gt;=83.25,WSALQURAN!$T$38&lt;=91.4),"P","")</f>
        <v/>
      </c>
      <c r="U18" s="102" t="str">
        <f>IF(AND(WSALQURAN!$T$38&gt;=91.5,WSALQURAN!$T$38&lt;=100),"P","")</f>
        <v>P</v>
      </c>
      <c r="V18" t="str">
        <f>IF(WSALQURAN!$T$46&lt;74.9,"P","")</f>
        <v/>
      </c>
      <c r="W18" s="102" t="str">
        <f>IF(AND(WSALQURAN!$T$46&gt;=75,WSALQURAN!$T$46&lt;=83.24),"P","")</f>
        <v/>
      </c>
      <c r="X18" s="102" t="str">
        <f>IF(AND(WSALQURAN!$T$46&gt;=83.25,WSALQURAN!$T$46&lt;=91.4),"P","")</f>
        <v/>
      </c>
      <c r="Y18" s="102" t="str">
        <f>IF(AND(WSALQURAN!$T$46&gt;=91.5,WSALQURAN!$T$46&lt;=100),"P","")</f>
        <v>P</v>
      </c>
      <c r="Z18" t="str">
        <f>IF(WSALQURAN!$T$54&lt;74.9,"P","")</f>
        <v/>
      </c>
      <c r="AA18" s="102" t="str">
        <f>IF(AND(WSALQURAN!$T$54&gt;=75,WSALQURAN!$T$54&lt;=83.24),"P","")</f>
        <v/>
      </c>
      <c r="AB18" s="102" t="str">
        <f>IF(AND(WSALQURAN!$T$54&gt;=83.25,WSALQURAN!$T$54&lt;=91.4),"P","")</f>
        <v>P</v>
      </c>
      <c r="AC18" s="102" t="str">
        <f>IF(AND(WSALQURAN!$T$54&gt;=91.5,WSALQURAN!$T$54&lt;=100),"P","")</f>
        <v/>
      </c>
      <c r="AD18" t="str">
        <f>IF(WSALQURAN!$T$62&lt;74.9,"P","")</f>
        <v/>
      </c>
      <c r="AE18" s="102" t="str">
        <f>IF(AND(WSALQURAN!$T$62&gt;=75,WSALQURAN!$T$62&lt;=83.24),"P","")</f>
        <v/>
      </c>
      <c r="AF18" s="102" t="str">
        <f>IF(AND(WSALQURAN!$T$62&gt;=83.25,WSALQURAN!$T$62&lt;=91.4),"P","")</f>
        <v/>
      </c>
      <c r="AG18" s="102" t="str">
        <f>IF(AND(WSALQURAN!$T$62&gt;=91.5,WSALQURAN!$T$62&lt;=100),"P","")</f>
        <v/>
      </c>
      <c r="AH18" t="str">
        <f>IF(WSALQURAN!$T$70&lt;74.9,"P","")</f>
        <v/>
      </c>
      <c r="AI18" s="102" t="str">
        <f>IF(AND(WSALQURAN!$T$70&gt;=75,WSALQURAN!$T$70&lt;=83.24),"P","")</f>
        <v/>
      </c>
      <c r="AJ18" s="102" t="str">
        <f>IF(AND(WSALQURAN!$T$70&gt;=83.25,WSALQURAN!$T$70&lt;=91.4),"P","")</f>
        <v/>
      </c>
      <c r="AK18" s="102" t="str">
        <f>IF(AND(WSALQURAN!$T$70&gt;=91.5,WSALQURAN!$T$70&lt;=100),"P","")</f>
        <v/>
      </c>
      <c r="AL18" t="str">
        <f>IF(WSALQURAN!$T$78&lt;74.9,"P","")</f>
        <v/>
      </c>
      <c r="AM18" s="102" t="str">
        <f>IF(AND(WSALQURAN!$T$78&gt;=75,WSALQURAN!$T$78&lt;=83.24),"P","")</f>
        <v/>
      </c>
      <c r="AN18" s="102" t="str">
        <f>IF(AND(WSALQURAN!$T$78&gt;=83.25,WSALQURAN!$T$78&lt;=91.4),"P","")</f>
        <v/>
      </c>
      <c r="AO18" s="102" t="str">
        <f>IF(AND(WSALQURAN!$T$78&gt;=91.5,WSALQURAN!$T$78&lt;=100),"P","")</f>
        <v/>
      </c>
      <c r="AP18" t="str">
        <f>IF(WSALQURAN!$T$86&lt;74.9,"P","")</f>
        <v/>
      </c>
      <c r="AQ18" s="102" t="str">
        <f>IF(AND(WSALQURAN!$T$86&gt;=75,WSALQURAN!$T$86&lt;=83.24),"P","")</f>
        <v/>
      </c>
      <c r="AR18" s="102" t="str">
        <f>IF(AND(WSALQURAN!$T$86&gt;=83.25,WSALQURAN!$T$86&lt;=91.4),"P","")</f>
        <v/>
      </c>
      <c r="AS18" s="102" t="str">
        <f>IF(AND(WSALQURAN!$T$86&gt;=91.5,WSALQURAN!$T$86&lt;=100),"P","")</f>
        <v/>
      </c>
      <c r="AT18" t="str">
        <f>IF(WSALQURAN!$T$94&lt;74.9,"P","")</f>
        <v/>
      </c>
      <c r="AU18" s="102" t="str">
        <f>IF(AND(WSALQURAN!$T$94&gt;=75,WSALQURAN!$T$94&lt;=83.24),"P","")</f>
        <v/>
      </c>
      <c r="AV18" s="102" t="str">
        <f>IF(AND(WSALQURAN!$T$94&gt;=83.25,WSALQURAN!$T$94&lt;=91.4),"P","")</f>
        <v/>
      </c>
      <c r="AW18" s="102" t="str">
        <f>IF(AND(WSALQURAN!$T$94&gt;=91.5,WSALQURAN!$T$94&lt;=100),"P","")</f>
        <v/>
      </c>
      <c r="AX18" t="str">
        <f>IF(WSALQURAN!$T$102&lt;74.9,"P","")</f>
        <v/>
      </c>
      <c r="AY18" s="102" t="str">
        <f>IF(AND(WSALQURAN!$T$102&gt;=75,WSALQURAN!$T$102&lt;=83.24),"P","")</f>
        <v/>
      </c>
      <c r="AZ18" s="102" t="str">
        <f>IF(AND(WSALQURAN!$T$102&gt;=83.25,WSALQURAN!$T$102&lt;=91.4),"P","")</f>
        <v/>
      </c>
      <c r="BA18" s="102" t="str">
        <f>IF(AND(WSALQURAN!$T$102&gt;=91.5,WSALQURAN!$T$102&lt;=100),"P","")</f>
        <v/>
      </c>
      <c r="BB18" t="str">
        <f>IF(WSAQIDAH!$T$6&lt;74.9,"P","")</f>
        <v/>
      </c>
      <c r="BC18" s="102" t="str">
        <f>IF(AND(WSAQIDAH!$T$6&gt;=75,WSAQIDAH!$T$6&lt;=83.24),"P","")</f>
        <v>P</v>
      </c>
      <c r="BD18" s="102" t="str">
        <f>IF(AND(WSAQIDAH!$T$6&gt;=83.25,WSAQIDAH!$T$6&lt;=91.4),"P","")</f>
        <v/>
      </c>
      <c r="BE18" s="102" t="str">
        <f>IF(AND(WSAQIDAH!$T$6&gt;=91.5,WSAQIDAH!$T$6&lt;=100),"P","")</f>
        <v/>
      </c>
      <c r="BF18" t="str">
        <f>IF(WSAQIDAH!$T$14&lt;74.9,"P","")</f>
        <v/>
      </c>
      <c r="BG18" s="102" t="str">
        <f>IF(AND(WSAQIDAH!$T$14&gt;=75,WSAQIDAH!$T$14&lt;=83.24),"P","")</f>
        <v/>
      </c>
      <c r="BH18" s="102" t="str">
        <f>IF(AND(WSAQIDAH!$T$14&gt;=83.25,WSAQIDAH!$T$14&lt;=91.4),"P","")</f>
        <v/>
      </c>
      <c r="BI18" s="102" t="str">
        <f>IF(AND(WSAQIDAH!$T$14&gt;=91.5,WSAQIDAH!$T$14&lt;=100),"P","")</f>
        <v>P</v>
      </c>
      <c r="BJ18" t="str">
        <f>IF(WSAQIDAH!$T$22&lt;74.9,"P","")</f>
        <v/>
      </c>
      <c r="BK18" s="102" t="str">
        <f>IF(AND(WSAQIDAH!$T$22&gt;=75,WSAQIDAH!$T$22&lt;=83.24),"P","")</f>
        <v/>
      </c>
      <c r="BL18" s="102" t="str">
        <f>IF(AND(WSAQIDAH!$T$22&gt;=83.25,WSAQIDAH!$T$22&lt;=91.4),"P","")</f>
        <v/>
      </c>
      <c r="BM18" s="102" t="str">
        <f>IF(AND(WSAQIDAH!$T$22&gt;=91.5,WSAQIDAH!$T$22&lt;=100),"P","")</f>
        <v>P</v>
      </c>
      <c r="BN18" t="str">
        <f>IF(WSAQIDAH!$T$30&lt;74.9,"P","")</f>
        <v/>
      </c>
      <c r="BO18" s="102" t="str">
        <f>IF(AND(WSAQIDAH!$T$30&gt;=75,WSAQIDAH!$T$30&lt;=83.24),"P","")</f>
        <v>P</v>
      </c>
      <c r="BP18" s="102" t="str">
        <f>IF(AND(WSAQIDAH!$T$30&gt;=83.25,WSAQIDAH!$T$30&lt;=91.4),"P","")</f>
        <v/>
      </c>
      <c r="BQ18" s="102" t="str">
        <f>IF(AND(WSAQIDAH!$T$30&gt;=91.5,WSAQIDAH!$T$30&lt;=100),"P","")</f>
        <v/>
      </c>
      <c r="BR18" t="str">
        <f>IF(WSAQIDAH!$T$38&lt;74.9,"P","")</f>
        <v/>
      </c>
      <c r="BS18" s="102" t="str">
        <f>IF(AND(WSAQIDAH!$T$38&gt;=75,WSAQIDAH!$T$38&lt;=83.24),"P","")</f>
        <v/>
      </c>
      <c r="BT18" s="102" t="str">
        <f>IF(AND(WSAQIDAH!$T$38&gt;=83.25,WSAQIDAH!$T$38&lt;=91.4),"P","")</f>
        <v/>
      </c>
      <c r="BU18" s="102" t="str">
        <f>IF(AND(WSAQIDAH!$T$38&gt;=91.5,WSAQIDAH!$T$38&lt;=100),"P","")</f>
        <v>P</v>
      </c>
      <c r="BV18" t="str">
        <f>IF(WSAQIDAH!$T$46&lt;74.9,"P","")</f>
        <v/>
      </c>
      <c r="BW18" s="102" t="str">
        <f>IF(AND(WSAQIDAH!$T$46&gt;=75,WSAQIDAH!$T$46&lt;=83.24),"P","")</f>
        <v>P</v>
      </c>
      <c r="BX18" s="102" t="str">
        <f>IF(AND(WSAQIDAH!$T$46&gt;=83.25,WSAQIDAH!$T$46&lt;=91.4),"P","")</f>
        <v/>
      </c>
      <c r="BY18" s="102" t="str">
        <f>IF(AND(WSAQIDAH!$T$46&gt;=91.5,WSAQIDAH!$T$46&lt;=100),"P","")</f>
        <v/>
      </c>
      <c r="BZ18" t="str">
        <f>IF(WSAQIDAH!$T$54&lt;74.9,"P","")</f>
        <v/>
      </c>
      <c r="CA18" s="102" t="str">
        <f>IF(AND(WSAQIDAH!$T$54&gt;=75,WSAQIDAH!$T$54&lt;=83.24),"P","")</f>
        <v>P</v>
      </c>
      <c r="CB18" s="102" t="str">
        <f>IF(AND(WSAQIDAH!$T$54&gt;=83.25,WSAQIDAH!$T$54&lt;=91.4),"P","")</f>
        <v/>
      </c>
      <c r="CC18" s="102" t="str">
        <f>IF(AND(WSAQIDAH!$T$54&gt;=91.5,WSAQIDAH!$T$54&lt;=100),"P","")</f>
        <v/>
      </c>
      <c r="CD18" t="str">
        <f>IF(WSAQIDAH!$T$62&lt;74.9,"P","")</f>
        <v/>
      </c>
      <c r="CE18" s="102" t="str">
        <f>IF(AND(WSAQIDAH!$T$62&gt;=75,WSAQIDAH!$T$62&lt;=83.24),"P","")</f>
        <v>P</v>
      </c>
      <c r="CF18" s="102" t="str">
        <f>IF(AND(WSAQIDAH!$T$62&gt;=83.25,WSAQIDAH!$T$62&lt;=91.4),"P","")</f>
        <v/>
      </c>
      <c r="CG18" s="102" t="str">
        <f>IF(AND(WSAQIDAH!$T$62&gt;=91.5,WSAQIDAH!$T$62&lt;=100),"P","")</f>
        <v/>
      </c>
      <c r="CH18" t="str">
        <f>IF(WSAQIDAH!$T$70&lt;74.9,"P","")</f>
        <v/>
      </c>
      <c r="CI18" s="102" t="str">
        <f>IF(AND(WSAQIDAH!$T$70&gt;=75,WSAQIDAH!$T$70&lt;=83.24),"P","")</f>
        <v>P</v>
      </c>
      <c r="CJ18" s="102" t="str">
        <f>IF(AND(WSAQIDAH!$T$70&gt;=83.25,WSAQIDAH!$T$70&lt;=91.4),"P","")</f>
        <v/>
      </c>
      <c r="CK18" s="102" t="str">
        <f>IF(AND(WSAQIDAH!$T$70&gt;=91.5,WSAQIDAH!$T$70&lt;=100),"P","")</f>
        <v/>
      </c>
      <c r="CL18" t="str">
        <f>IF(WSAQIDAH!$T$78&lt;74.9,"P","")</f>
        <v/>
      </c>
      <c r="CM18" s="102" t="str">
        <f>IF(AND(WSAQIDAH!$T$78&gt;=75,WSAQIDAH!$T$78&lt;=83.24),"P","")</f>
        <v>P</v>
      </c>
      <c r="CN18" s="102" t="str">
        <f>IF(AND(WSAQIDAH!$T$78&gt;=83.25,WSAQIDAH!$T$78&lt;=91.4),"P","")</f>
        <v/>
      </c>
      <c r="CO18" s="102" t="str">
        <f>IF(AND(WSAQIDAH!$T$78&gt;=91.5,WSAQIDAH!$T$78&lt;=100),"P","")</f>
        <v/>
      </c>
      <c r="CP18" t="str">
        <f>IF(WSAQIDAH!$T$86&lt;74.9,"P","")</f>
        <v/>
      </c>
      <c r="CQ18" s="102" t="str">
        <f>IF(AND(WSAQIDAH!$T$86&gt;=75,WSAQIDAH!$T$86&lt;=83.24),"P","")</f>
        <v/>
      </c>
      <c r="CR18" s="102" t="str">
        <f>IF(AND(WSAQIDAH!$T$86&gt;=83.25,WSAQIDAH!$T$86&lt;=91.4),"P","")</f>
        <v/>
      </c>
      <c r="CS18" s="102" t="str">
        <f>IF(AND(WSAQIDAH!$T$86&gt;=91.5,WSAQIDAH!$T$86&lt;=100),"P","")</f>
        <v/>
      </c>
      <c r="CT18" t="str">
        <f>IF(WSAQIDAH!$T$94&lt;74.9,"P","")</f>
        <v/>
      </c>
      <c r="CU18" s="102" t="str">
        <f>IF(AND(WSAQIDAH!$T$94&gt;=75,WSAQIDAH!$T$94&lt;=83.24),"P","")</f>
        <v/>
      </c>
      <c r="CV18" s="102" t="str">
        <f>IF(AND(WSAQIDAH!$T$94&gt;=83.25,WSAQIDAH!$T$94&lt;=91.4),"P","")</f>
        <v/>
      </c>
      <c r="CW18" s="102" t="str">
        <f>IF(AND(WSAQIDAH!$T$94&gt;=91.5,WSAQIDAH!$T$94&lt;=100),"P","")</f>
        <v/>
      </c>
      <c r="CX18" t="str">
        <f>IF(WSAQIDAH!$T$102&lt;74.9,"P","")</f>
        <v/>
      </c>
      <c r="CY18" s="102" t="str">
        <f>IF(AND(WSAQIDAH!$T$102&gt;=75,WSAQIDAH!$T$102&lt;=83.24),"P","")</f>
        <v/>
      </c>
      <c r="CZ18" s="102" t="str">
        <f>IF(AND(WSAQIDAH!$T$102&gt;=83.25,WSAQIDAH!$T$102&lt;=91.4),"P","")</f>
        <v/>
      </c>
      <c r="DA18" s="102" t="str">
        <f>IF(AND(WSAQIDAH!$T$102&gt;=91.5,WSAQIDAH!$T$102&lt;=100),"P","")</f>
        <v/>
      </c>
      <c r="DB18" t="str">
        <f>IF(WSSKI!$T$6&lt;74.9,"P","")</f>
        <v/>
      </c>
      <c r="DC18" s="102" t="str">
        <f>IF(AND(WSSKI!$T$6&gt;=75,WSSKI!$T$6&lt;=83.24),"P","")</f>
        <v>P</v>
      </c>
      <c r="DD18" s="102" t="str">
        <f>IF(AND(WSSKI!$T$6&gt;=83.25,WSSKI!$T$6&lt;=91.4),"P","")</f>
        <v/>
      </c>
      <c r="DE18" s="102" t="str">
        <f>IF(AND(WSSKI!$T$6&gt;=91.5,WSSKI!$T$6&lt;=100),"P","")</f>
        <v/>
      </c>
      <c r="DF18" t="str">
        <f>IF(WSSKI!$T$14&lt;74.9,"P","")</f>
        <v/>
      </c>
      <c r="DG18" s="102" t="str">
        <f>IF(AND(WSSKI!$T$14&gt;=75,WSSKI!$T$14&lt;=83.24),"P","")</f>
        <v/>
      </c>
      <c r="DH18" s="102" t="str">
        <f>IF(AND(WSSKI!$T$14&gt;=83.25,WSSKI!$T$14&lt;=91.4),"P","")</f>
        <v>P</v>
      </c>
      <c r="DI18" s="102" t="str">
        <f>IF(AND(WSSKI!$T$14&gt;=91.5,WSSKI!$T$14&lt;=100),"P","")</f>
        <v/>
      </c>
      <c r="DJ18" t="str">
        <f>IF(WSSKI!$T$23&lt;74.9,"P","")</f>
        <v/>
      </c>
      <c r="DK18" s="102" t="str">
        <f>IF(AND(WSSKI!$T$23&gt;=75,WSSKI!$T$23&lt;=83.24),"P","")</f>
        <v>P</v>
      </c>
      <c r="DL18" s="102" t="str">
        <f>IF(AND(WSSKI!$T$23&gt;=83.25,WSSKI!$T$23&lt;=91.4),"P","")</f>
        <v/>
      </c>
      <c r="DM18" s="102" t="str">
        <f>IF(AND(WSSKI!$T$23&gt;=91.5,WSSKI!$T$23&lt;=100),"P","")</f>
        <v/>
      </c>
      <c r="DN18" t="str">
        <f>IF(WSSKI!$T$31&lt;74.9,"P","")</f>
        <v/>
      </c>
      <c r="DO18" s="102" t="str">
        <f>IF(AND(WSSKI!$T$31&gt;=75,WSSKI!$T$31&lt;=83.24),"P","")</f>
        <v>P</v>
      </c>
      <c r="DP18" s="102" t="str">
        <f>IF(AND(WSSKI!$T$31&gt;=83.25,WSSKI!$T$31&lt;=91.4),"P","")</f>
        <v/>
      </c>
      <c r="DQ18" s="102" t="str">
        <f>IF(AND(WSSKI!$T$31&gt;=91.5,WSSKI!$T$31&lt;=100),"P","")</f>
        <v/>
      </c>
      <c r="DR18" t="str">
        <f>IF(WSSKI!$T$40&lt;74.9,"P","")</f>
        <v/>
      </c>
      <c r="DS18" s="102" t="str">
        <f>IF(AND(WSSKI!$T$40&gt;=75,WSSKI!$T$40&lt;=83.24),"P","")</f>
        <v/>
      </c>
      <c r="DT18" s="102" t="str">
        <f>IF(AND(WSSKI!$T$40&gt;=83.25,WSSKI!$T$40&lt;=91.4),"P","")</f>
        <v>P</v>
      </c>
      <c r="DU18" s="102" t="str">
        <f>IF(AND(WSSKI!$T$40&gt;=91.5,WSSKI!$T$40&lt;=100),"P","")</f>
        <v/>
      </c>
      <c r="DV18" t="str">
        <f>IF(WSSKI!$T$48&lt;74.9,"P","")</f>
        <v>P</v>
      </c>
      <c r="DW18" s="102" t="str">
        <f>IF(AND(WSSKI!$T$48&gt;=75,WSSKI!$T$48&lt;=83.24),"P","")</f>
        <v/>
      </c>
      <c r="DX18" s="102" t="str">
        <f>IF(AND(WSSKI!$T$48&gt;=83.25,WSSKI!$T$48&lt;=91.4),"P","")</f>
        <v/>
      </c>
      <c r="DY18" s="102" t="str">
        <f>IF(AND(WSSKI!$T$48&gt;=91.5,WSSKI!$T$48&lt;=100),"P","")</f>
        <v/>
      </c>
      <c r="DZ18" t="str">
        <f>IF(WSSKI!$T$56&lt;74.9,"P","")</f>
        <v/>
      </c>
      <c r="EA18" s="102" t="str">
        <f>IF(AND(WSSKI!$T$56&gt;=75,WSSKI!$T$56&lt;=83.24),"P","")</f>
        <v/>
      </c>
      <c r="EB18" s="102" t="str">
        <f>IF(AND(WSSKI!$T$56&gt;=83.25,WSSKI!$T$56&lt;=91.4),"P","")</f>
        <v/>
      </c>
      <c r="EC18" s="102" t="str">
        <f>IF(AND(WSSKI!$T$56&gt;=91.5,WSSKI!$T$56&lt;=100),"P","")</f>
        <v/>
      </c>
      <c r="ED18" t="str">
        <f>IF(WSSKI!$T$64&lt;74.9,"P","")</f>
        <v/>
      </c>
      <c r="EE18" s="102" t="str">
        <f>IF(AND(WSSKI!$T$64&gt;=75,WSSKI!$T$64&lt;=83.24),"P","")</f>
        <v/>
      </c>
      <c r="EF18" s="102" t="str">
        <f>IF(AND(WSSKI!$T$64&gt;=83.25,WSSKI!$T$64&lt;=91.4),"P","")</f>
        <v/>
      </c>
      <c r="EG18" s="102" t="str">
        <f>IF(AND(WSSKI!$T$64&gt;=91.5,WSSKI!$T$64&lt;=100),"P","")</f>
        <v/>
      </c>
      <c r="EH18" t="str">
        <f>IF(WSSKI!$T$72&lt;74.9,"P","")</f>
        <v/>
      </c>
      <c r="EI18" s="102" t="str">
        <f>IF(AND(WSSKI!$T$72&gt;=75,WSSKI!$T$72&lt;=83.24),"P","")</f>
        <v/>
      </c>
      <c r="EJ18" s="102" t="str">
        <f>IF(AND(WSSKI!$T$72&gt;=83.25,WSSKI!$T$72&lt;=91.4),"P","")</f>
        <v/>
      </c>
      <c r="EK18" s="102" t="str">
        <f>IF(AND(WSSKI!$T$72&gt;=91.5,WSSKI!$T$72&lt;=100),"P","")</f>
        <v/>
      </c>
      <c r="EL18" t="str">
        <f>IF(WSSKI!$T$80&lt;74.9,"P","")</f>
        <v/>
      </c>
      <c r="EM18" s="102" t="str">
        <f>IF(AND(WSSKI!$T$80&gt;=75,WSSKI!$T$80&lt;=83.24),"P","")</f>
        <v/>
      </c>
      <c r="EN18" s="102" t="str">
        <f>IF(AND(WSSKI!$T$80&gt;=83.25,WSSKI!$T$80&lt;=91.4),"P","")</f>
        <v/>
      </c>
      <c r="EO18" s="102" t="str">
        <f>IF(AND(WSSKI!$T$80&gt;=91.5,WSSKI!$T$80&lt;=100),"P","")</f>
        <v/>
      </c>
      <c r="EP18" t="str">
        <f>IF(WSSKI!$T$88&lt;74.9,"P","")</f>
        <v/>
      </c>
      <c r="EQ18" s="102" t="str">
        <f>IF(AND(WSSKI!$T$88&gt;=75,WSSKI!$T$88&lt;=83.24),"P","")</f>
        <v/>
      </c>
      <c r="ER18" s="102" t="str">
        <f>IF(AND(WSSKI!$T$88&gt;=83.25,WSSKI!$T$88&lt;=91.4),"P","")</f>
        <v/>
      </c>
      <c r="ES18" s="102" t="str">
        <f>IF(AND(WSSKI!$T$88&gt;=91.5,WSSKI!$T$88&lt;=100),"P","")</f>
        <v/>
      </c>
      <c r="ET18" t="str">
        <f>IF(WSSKI!$T$96&lt;74.9,"P","")</f>
        <v/>
      </c>
      <c r="EU18" s="102" t="str">
        <f>IF(AND(WSSKI!$T$96&gt;=75,WSSKI!$T$96&lt;=83.24),"P","")</f>
        <v/>
      </c>
      <c r="EV18" s="102" t="str">
        <f>IF(AND(WSSKI!$T$96&gt;=83.25,WSSKI!$T$96&lt;=91.4),"P","")</f>
        <v/>
      </c>
      <c r="EW18" s="102" t="str">
        <f>IF(AND(WSSKI!$T$96&gt;=91.5,WSSKI!$T$96&lt;=100),"P","")</f>
        <v/>
      </c>
      <c r="EX18" t="str">
        <f>IF(WSSKI!$T$104&lt;74.9,"P","")</f>
        <v/>
      </c>
      <c r="EY18" s="102" t="str">
        <f>IF(AND(WSSKI!$T$104&gt;=75,WSSKI!$T$104&lt;=83.24),"P","")</f>
        <v/>
      </c>
      <c r="EZ18" s="102" t="str">
        <f>IF(AND(WSSKI!$T$104&gt;=83.25,WSSKI!$T$104&lt;=91.4),"P","")</f>
        <v/>
      </c>
      <c r="FA18" s="102" t="str">
        <f>IF(AND(WSSKI!$T$104&gt;=91.5,WSSKI!$T$104&lt;=100),"P","")</f>
        <v/>
      </c>
      <c r="FB18" t="str">
        <f>IF(WSFIQIH!$T$6&lt;74.9,"P","")</f>
        <v/>
      </c>
      <c r="FC18" s="102" t="str">
        <f>IF(AND(WSFIQIH!$T$6&gt;=75,WSFIQIH!$T$6&lt;=83.24),"P","")</f>
        <v/>
      </c>
      <c r="FD18" s="102" t="str">
        <f>IF(AND(WSFIQIH!$T$6&gt;=83.25,WSFIQIH!$T$6&lt;=91.4),"P","")</f>
        <v>P</v>
      </c>
      <c r="FE18" s="102" t="str">
        <f>IF(AND(WSFIQIH!$T$6&gt;=91.5,WSFIQIH!$T$6&lt;=100),"P","")</f>
        <v/>
      </c>
      <c r="FF18" t="str">
        <f>IF(WSFIQIH!$T$19&lt;74.9,"P","")</f>
        <v/>
      </c>
      <c r="FG18" s="102" t="str">
        <f>IF(AND(WSFIQIH!$T$19&gt;=75,WSFIQIH!$T$19&lt;=83.24),"P","")</f>
        <v/>
      </c>
      <c r="FH18" s="102" t="str">
        <f>IF(AND(WSFIQIH!$T$19&gt;=83.25,WSFIQIH!$T$19&lt;=91.4),"P","")</f>
        <v/>
      </c>
      <c r="FI18" s="102" t="str">
        <f>IF(AND(WSFIQIH!$T$19&gt;=91.5,WSFIQIH!$T$19&lt;=100),"P","")</f>
        <v>P</v>
      </c>
      <c r="FJ18" t="str">
        <f>IF(WSFIQIH!$T$28&lt;74.9,"P","")</f>
        <v/>
      </c>
      <c r="FK18" s="102" t="str">
        <f>IF(AND(WSFIQIH!$T$28&gt;=75,WSFIQIH!$T$28&lt;=83.24),"P","")</f>
        <v>P</v>
      </c>
      <c r="FL18" s="102" t="str">
        <f>IF(AND(WSFIQIH!$T$28&gt;=83.25,WSFIQIH!$T$28&lt;=91.4),"P","")</f>
        <v/>
      </c>
      <c r="FM18" s="102" t="str">
        <f>IF(AND(WSFIQIH!$T$28&gt;=91.5,WSFIQIH!$T$28&lt;=100),"P","")</f>
        <v/>
      </c>
      <c r="FN18" t="str">
        <f>IF(WSFIQIH!$T$41&lt;74.9,"P","")</f>
        <v/>
      </c>
      <c r="FO18" s="102" t="str">
        <f>IF(AND(WSFIQIH!$T$41&gt;=75,WSFIQIH!$T$41&lt;=83.24),"P","")</f>
        <v/>
      </c>
      <c r="FP18" s="102" t="str">
        <f>IF(AND(WSFIQIH!$T$41&gt;=83.25,WSFIQIH!$T$41&lt;=91.4),"P","")</f>
        <v>P</v>
      </c>
      <c r="FQ18" s="102" t="str">
        <f>IF(AND(WSFIQIH!$T$41&gt;=91.5,WSFIQIH!$T$41&lt;=100),"P","")</f>
        <v/>
      </c>
      <c r="FR18" t="str">
        <f>IF(WSFIQIH!$T$49&lt;74.9,"P","")</f>
        <v/>
      </c>
      <c r="FS18" s="102" t="str">
        <f>IF(AND(WSFIQIH!$T$49&gt;=75,WSFIQIH!$T$49&lt;=83.24),"P","")</f>
        <v/>
      </c>
      <c r="FT18" s="102" t="str">
        <f>IF(AND(WSFIQIH!$T$49&gt;=83.25,WSFIQIH!$T$49&lt;=91.4),"P","")</f>
        <v/>
      </c>
      <c r="FU18" s="102" t="str">
        <f>IF(AND(WSFIQIH!$T$49&gt;=91.5,WSFIQIH!$T$49&lt;=100),"P","")</f>
        <v>P</v>
      </c>
      <c r="FV18" t="str">
        <f>IF(WSFIQIH!$T$62&lt;74.9,"P","")</f>
        <v/>
      </c>
      <c r="FW18" s="102" t="str">
        <f>IF(AND(WSFIQIH!$T$62&gt;=75,WSFIQIH!$T$62&lt;=83.24),"P","")</f>
        <v>P</v>
      </c>
      <c r="FX18" s="102" t="str">
        <f>IF(AND(WSFIQIH!$T$62&gt;=83.25,WSFIQIH!$T$62&lt;=91.4),"P","")</f>
        <v/>
      </c>
      <c r="FY18" s="102" t="str">
        <f>IF(AND(WSFIQIH!$T$62&gt;=91.5,WSFIQIH!$T$62&lt;=100),"P","")</f>
        <v/>
      </c>
      <c r="FZ18" t="str">
        <f>IF(WSFIQIH!$T$71&lt;74.9,"P","")</f>
        <v/>
      </c>
      <c r="GA18" s="102" t="str">
        <f>IF(AND(WSFIQIH!$T$71&gt;=75,WSFIQIH!$T$71&lt;=83.24),"P","")</f>
        <v/>
      </c>
      <c r="GB18" s="102" t="str">
        <f>IF(AND(WSFIQIH!$T$71&gt;=83.25,WSFIQIH!$T$71&lt;=91.4),"P","")</f>
        <v/>
      </c>
      <c r="GC18" s="102" t="str">
        <f>IF(AND(WSFIQIH!$T$71&gt;=91.5,WSFIQIH!$T$71&lt;=100),"P","")</f>
        <v>P</v>
      </c>
      <c r="GD18" t="str">
        <f>IF(WSFIQIH!$T$80&lt;74.9,"P","")</f>
        <v/>
      </c>
      <c r="GE18" s="102" t="str">
        <f>IF(AND(WSFIQIH!$T$80&gt;=75,WSFIQIH!$T$80&lt;=83.24),"P","")</f>
        <v>P</v>
      </c>
      <c r="GF18" s="102" t="str">
        <f>IF(AND(WSFIQIH!$T$80&gt;=83.25,WSFIQIH!$T$80&lt;=91.4),"P","")</f>
        <v/>
      </c>
      <c r="GG18" s="102" t="str">
        <f>IF(AND(WSFIQIH!$T$80&gt;=91.5,WSFIQIH!$T$80&lt;=100),"P","")</f>
        <v/>
      </c>
      <c r="GH18" t="str">
        <f>IF(WSFIQIH!$T$88&lt;74.9,"P","")</f>
        <v/>
      </c>
      <c r="GI18" s="102" t="str">
        <f>IF(AND(WSFIQIH!$T$88&gt;=75,WSFIQIH!$T$88&lt;=83.24),"P","")</f>
        <v/>
      </c>
      <c r="GJ18" s="102" t="str">
        <f>IF(AND(WSFIQIH!$T$88&gt;=83.25,WSFIQIH!$T$88&lt;=91.4),"P","")</f>
        <v/>
      </c>
      <c r="GK18" s="102" t="str">
        <f>IF(AND(WSFIQIH!$T$88&gt;=91.5,WSFIQIH!$T$88&lt;=100),"P","")</f>
        <v/>
      </c>
      <c r="GL18" t="str">
        <f>IF(WSFIQIH!$T$96&lt;74.9,"P","")</f>
        <v/>
      </c>
      <c r="GM18" s="102" t="str">
        <f>IF(AND(WSFIQIH!$T$96&gt;=75,WSFIQIH!$T$96&lt;=83.24),"P","")</f>
        <v/>
      </c>
      <c r="GN18" s="102" t="str">
        <f>IF(AND(WSFIQIH!$T$96&gt;=83.25,WSFIQIH!$T$96&lt;=91.4),"P","")</f>
        <v/>
      </c>
      <c r="GO18" s="102" t="str">
        <f>IF(AND(WSFIQIH!$T$96&gt;=91.5,WSFIQIH!$T$96&lt;=100),"P","")</f>
        <v/>
      </c>
      <c r="GP18" t="str">
        <f>IF(WSFIQIH!$T$104&lt;74.9,"P","")</f>
        <v/>
      </c>
      <c r="GQ18" s="102" t="str">
        <f>IF(AND(WSFIQIH!$T$104&gt;=75,WSFIQIH!$T$104&lt;=83.24),"P","")</f>
        <v/>
      </c>
      <c r="GR18" s="102" t="str">
        <f>IF(AND(WSFIQIH!$T$104&gt;=83.25,WSFIQIH!$T$104&lt;=91.4),"P","")</f>
        <v/>
      </c>
      <c r="GS18" s="102" t="str">
        <f>IF(AND(WSFIQIH!$T$104&gt;=91.5,WSFIQIH!$T$104&lt;=100),"P","")</f>
        <v/>
      </c>
      <c r="GT18" t="str">
        <f>IF(WSFIQIH!$T$112&lt;74.9,"P","")</f>
        <v/>
      </c>
      <c r="GU18" s="102" t="str">
        <f>IF(AND(WSFIQIH!$T$112&gt;=75,WSFIQIH!$T$112&lt;=83.24),"P","")</f>
        <v/>
      </c>
      <c r="GV18" s="102" t="str">
        <f>IF(AND(WSFIQIH!$T$112&gt;=83.25,WSFIQIH!$T$112&lt;=91.4),"P","")</f>
        <v/>
      </c>
      <c r="GW18" s="102" t="str">
        <f>IF(AND(WSFIQIH!$T$112&gt;=91.5,WSFIQIH!$T$112&lt;=100),"P","")</f>
        <v/>
      </c>
      <c r="GX18" t="str">
        <f>IF(WSFIQIH!$T$120&lt;74.9,"P","")</f>
        <v/>
      </c>
      <c r="GY18" s="102" t="str">
        <f>IF(AND(WSFIQIH!$T$120&gt;=75,WSFIQIH!$T$120&lt;=83.24),"P","")</f>
        <v/>
      </c>
      <c r="GZ18" s="102" t="str">
        <f>IF(AND(WSFIQIH!$T$120&gt;=83.25,WSFIQIH!$T$120&lt;=91.4),"P","")</f>
        <v/>
      </c>
      <c r="HA18" s="102" t="str">
        <f>IF(AND(WSFIQIH!$T$120&gt;=91.5,WSFIQIH!$T$120&lt;=100),"P","")</f>
        <v/>
      </c>
      <c r="HB18" t="str">
        <f>IF(WSPKN!$T$6&lt;74.9,"P","")</f>
        <v/>
      </c>
      <c r="HC18" s="102" t="str">
        <f>IF(AND(WSPKN!$T$6&gt;=75,WSPKN!$T$6&lt;=83.24),"P","")</f>
        <v/>
      </c>
      <c r="HD18" s="102" t="str">
        <f>IF(AND(WSPKN!$T$6&gt;=83.25,WSPKN!$T$6&lt;=91.4),"P","")</f>
        <v/>
      </c>
      <c r="HE18" s="102" t="str">
        <f>IF(AND(WSPKN!$T$6&gt;=91.5,WSPKN!$T$6&lt;=100),"P","")</f>
        <v>P</v>
      </c>
      <c r="HF18" t="str">
        <f>IF(WSPKN!$T$32&lt;74.9,"P","")</f>
        <v/>
      </c>
      <c r="HG18" s="102" t="str">
        <f>IF(AND(WSPKN!$T$32&gt;=75,WSPKN!$T$32&lt;=83.24),"P","")</f>
        <v/>
      </c>
      <c r="HH18" s="102" t="str">
        <f>IF(AND(WSPKN!$T$32&gt;=83.25,WSPKN!$T$32&lt;=91.4),"P","")</f>
        <v/>
      </c>
      <c r="HI18" s="102" t="str">
        <f>IF(AND(WSPKN!$T$32&gt;=91.5,WSPKN!$T$32&lt;=100),"P","")</f>
        <v>P</v>
      </c>
      <c r="HJ18" t="str">
        <f>IF(WSPKN!$T$55&lt;74.9,"P","")</f>
        <v/>
      </c>
      <c r="HK18" s="102" t="str">
        <f>IF(AND(WSPKN!$T$55&gt;=75,WSPKN!$T$55&lt;=83.24),"P","")</f>
        <v/>
      </c>
      <c r="HL18" s="102" t="str">
        <f>IF(AND(WSPKN!$T$55&gt;=83.25,WSPKN!$T$55&lt;=91.4),"P","")</f>
        <v/>
      </c>
      <c r="HM18" s="102" t="str">
        <f>IF(AND(WSPKN!$T$55&gt;=91.5,WSPKN!$T$55&lt;=100),"P","")</f>
        <v>P</v>
      </c>
      <c r="HN18" t="str">
        <f>IF(WSPKN!$T$72&lt;74.9,"P","")</f>
        <v/>
      </c>
      <c r="HO18" s="102" t="str">
        <f>IF(AND(WSPKN!$T$72&gt;=75,WSPKN!$T$72&lt;=83.24),"P","")</f>
        <v/>
      </c>
      <c r="HP18" s="102" t="str">
        <f>IF(AND(WSPKN!$T$72&gt;=83.25,WSPKN!$T$72&lt;=91.4),"P","")</f>
        <v/>
      </c>
      <c r="HQ18" s="102" t="str">
        <f>IF(AND(WSPKN!$T$72&gt;=91.5,WSPKN!$T$72&lt;=100),"P","")</f>
        <v>P</v>
      </c>
      <c r="HR18" t="str">
        <f>IF(WSPKN!$T$86&lt;74.9,"P","")</f>
        <v/>
      </c>
      <c r="HS18" s="102" t="str">
        <f>IF(AND(WSPKN!$T$86&gt;=75,WSPKN!$T$86&lt;=83.24),"P","")</f>
        <v/>
      </c>
      <c r="HT18" s="102" t="str">
        <f>IF(AND(WSPKN!$T$86&gt;=83.25,WSPKN!$T$86&lt;=91.4),"P","")</f>
        <v/>
      </c>
      <c r="HU18" s="102" t="str">
        <f>IF(AND(WSPKN!$T$86&gt;=91.5,WSPKN!$T$86&lt;=100),"P","")</f>
        <v>P</v>
      </c>
      <c r="HV18" t="str">
        <f>IF(WSPKN!$T$108&lt;74.9,"P","")</f>
        <v/>
      </c>
      <c r="HW18" s="102" t="str">
        <f>IF(AND(WSPKN!$T$108&gt;=75,WSPKN!$T$108&lt;=83.24),"P","")</f>
        <v/>
      </c>
      <c r="HX18" s="102" t="str">
        <f>IF(AND(WSPKN!$T$108&gt;=83.25,WSPKN!$T$108&lt;=91.4),"P","")</f>
        <v/>
      </c>
      <c r="HY18" s="102" t="str">
        <f>IF(AND(WSPKN!$T$108&gt;=91.5,WSPKN!$T$108&lt;=100),"P","")</f>
        <v>P</v>
      </c>
      <c r="HZ18" t="str">
        <f>IF(WSPKN!$T$132&lt;74.9,"P","")</f>
        <v/>
      </c>
      <c r="IA18" s="102" t="str">
        <f>IF(AND(WSPKN!$T$132&gt;=75,WSPKN!$T$132&lt;=83.24),"P","")</f>
        <v/>
      </c>
      <c r="IB18" s="102" t="str">
        <f>IF(AND(WSPKN!$T$132&gt;=83.25,WSPKN!$T$132&lt;=91.4),"P","")</f>
        <v/>
      </c>
      <c r="IC18" s="102" t="str">
        <f>IF(AND(WSPKN!$T$132&gt;=91.5,WSPKN!$T$132&lt;=100),"P","")</f>
        <v>P</v>
      </c>
      <c r="ID18" t="str">
        <f>IF(WSPKN!$T$148&lt;74.9,"P","")</f>
        <v/>
      </c>
      <c r="IE18" s="102" t="str">
        <f>IF(AND(WSPKN!$T$148&gt;=75,WSPKN!$T$148&lt;=83.24),"P","")</f>
        <v/>
      </c>
      <c r="IF18" s="102" t="str">
        <f>IF(AND(WSPKN!$T$148&gt;=83.25,WSPKN!$T$148&lt;=91.4),"P","")</f>
        <v/>
      </c>
      <c r="IG18" s="102" t="str">
        <f>IF(AND(WSPKN!$T$148&gt;=91.5,WSPKN!$T$148&lt;=100),"P","")</f>
        <v>P</v>
      </c>
      <c r="IH18" t="str">
        <f>IF(WSPKN!$T$165&lt;74.9,"P","")</f>
        <v/>
      </c>
      <c r="II18" s="102" t="str">
        <f>IF(AND(WSPKN!$T$165&gt;=75,WSPKN!$T$165&lt;=83.24),"P","")</f>
        <v/>
      </c>
      <c r="IJ18" s="102" t="str">
        <f>IF(AND(WSPKN!$T$165&gt;=83.25,WSPKN!$T$165&lt;=91.4),"P","")</f>
        <v/>
      </c>
      <c r="IK18" s="102" t="str">
        <f>IF(AND(WSPKN!$T$165&gt;=91.5,WSPKN!$T$165&lt;=100),"P","")</f>
        <v/>
      </c>
      <c r="IL18" t="str">
        <f>IF(WSPKN!$T$173&lt;74.9,"P","")</f>
        <v/>
      </c>
      <c r="IM18" s="102" t="str">
        <f>IF(AND(WSPKN!$T$173&gt;=75,WSPKN!$T$173&lt;=83.24),"P","")</f>
        <v/>
      </c>
      <c r="IN18" s="102" t="str">
        <f>IF(AND(WSPKN!$T$173&gt;=83.25,WSPKN!$T$173&lt;=91.4),"P","")</f>
        <v/>
      </c>
      <c r="IO18" s="102" t="str">
        <f>IF(AND(WSPKN!$T$173&gt;=91.5,WSPKN!$T$173&lt;=100),"P","")</f>
        <v/>
      </c>
      <c r="IP18" t="str">
        <f>IF(WSPKN!$T$181&lt;74.9,"P","")</f>
        <v/>
      </c>
      <c r="IQ18" s="102" t="str">
        <f>IF(AND(WSPKN!$T$181&gt;=75,WSPKN!$T$181&lt;=83.24),"P","")</f>
        <v/>
      </c>
      <c r="IR18" s="102" t="str">
        <f>IF(AND(WSPKN!$T$181&gt;=83.25,WSPKN!$T$181&lt;=91.4),"P","")</f>
        <v/>
      </c>
      <c r="IS18" s="102" t="str">
        <f>IF(AND(WSPKN!$T$181&gt;=91.5,WSPKN!$T$181&lt;=100),"P","")</f>
        <v/>
      </c>
      <c r="IT18" t="str">
        <f>IF(WSPKN!$T$189&lt;74.9,"P","")</f>
        <v/>
      </c>
      <c r="IU18" s="102" t="str">
        <f>IF(AND(WSPKN!$T$189&gt;=75,WSPKN!$T$189&lt;=83.24),"P","")</f>
        <v/>
      </c>
      <c r="IV18" s="102" t="str">
        <f>IF(AND(WSPKN!$T$189&gt;=83.25,WSPKN!$T$189&lt;=91.4),"P","")</f>
        <v/>
      </c>
      <c r="IW18" s="102" t="str">
        <f>IF(AND(WSPKN!$T$189&gt;=91.5,WSPKN!$T$189&lt;=100),"P","")</f>
        <v/>
      </c>
      <c r="IX18" t="str">
        <f>IF(WSPKN!$T$197&lt;74.9,"P","")</f>
        <v/>
      </c>
      <c r="IY18" s="102" t="str">
        <f>IF(AND(WSPKN!$T$197&gt;=75,WSPKN!$T$197&lt;=83.24),"P","")</f>
        <v/>
      </c>
      <c r="IZ18" s="102" t="str">
        <f>IF(AND(WSPKN!$T$197&gt;=83.25,WSPKN!$T$197&lt;=91.4),"P","")</f>
        <v/>
      </c>
      <c r="JA18" s="102" t="str">
        <f>IF(AND(WSPKN!$T$197&gt;=91.5,WSPKN!$T$197&lt;=100),"P","")</f>
        <v/>
      </c>
      <c r="JB18" t="str">
        <f>IF(WSIND!$T$6&lt;74.9,"P","")</f>
        <v/>
      </c>
      <c r="JC18" s="102" t="str">
        <f>IF(AND(WSIND!$T$6&gt;=75,WSIND!$T$6&lt;=83.24),"P","")</f>
        <v/>
      </c>
      <c r="JD18" s="102" t="str">
        <f>IF(AND(WSIND!$T$6&gt;=83.25,WSIND!$T$6&lt;=91.4),"P","")</f>
        <v/>
      </c>
      <c r="JE18" s="102" t="str">
        <f>IF(AND(WSIND!$T$6&gt;=91.5,WSIND!$T$6&lt;=100),"P","")</f>
        <v>P</v>
      </c>
      <c r="JF18" t="str">
        <f>IF(WSIND!$T$65&lt;74.9,"P","")</f>
        <v/>
      </c>
      <c r="JG18" s="102" t="str">
        <f>IF(AND(WSIND!$T$65&gt;=75,WSIND!$T$65&lt;=83.24),"P","")</f>
        <v/>
      </c>
      <c r="JH18" s="102" t="str">
        <f>IF(AND(WSIND!$T$65&gt;=83.25,WSIND!$T$65&lt;=91.4),"P","")</f>
        <v/>
      </c>
      <c r="JI18" s="102" t="str">
        <f>IF(AND(WSIND!$T$65&gt;=91.5,WSIND!$T$65&lt;=100),"P","")</f>
        <v>P</v>
      </c>
      <c r="JJ18" t="str">
        <f>IF(WSIND!$T$113&lt;74.9,"P","")</f>
        <v/>
      </c>
      <c r="JK18" s="102" t="str">
        <f>IF(AND(WSIND!$T$113&gt;=75,WSIND!$T$113&lt;=83.24),"P","")</f>
        <v/>
      </c>
      <c r="JL18" s="102" t="str">
        <f>IF(AND(WSIND!$T$113&gt;=83.25,WSIND!$T$113&lt;=91.4),"P","")</f>
        <v/>
      </c>
      <c r="JM18" s="102" t="str">
        <f>IF(AND(WSIND!$T$113&gt;=91.5,WSIND!$T$113&lt;=100),"P","")</f>
        <v>P</v>
      </c>
      <c r="JN18" t="str">
        <f>IF(WSIND!$T$133&lt;74.9,"P","")</f>
        <v/>
      </c>
      <c r="JO18" s="102" t="str">
        <f>IF(AND(WSIND!$T$133&gt;=75,WSIND!$T$133&lt;=83.24),"P","")</f>
        <v/>
      </c>
      <c r="JP18" s="102" t="str">
        <f>IF(AND(WSIND!$T$133&gt;=83.25,WSIND!$T$133&lt;=91.4),"P","")</f>
        <v/>
      </c>
      <c r="JQ18" s="102" t="str">
        <f>IF(AND(WSIND!$T$133&gt;=91.5,WSIND!$T$133&lt;=100),"P","")</f>
        <v>P</v>
      </c>
      <c r="JR18" t="str">
        <f>IF(WSIND!$T$161&lt;74.9,"P","")</f>
        <v/>
      </c>
      <c r="JS18" s="102" t="str">
        <f>IF(AND(WSIND!$T$161&gt;=75,WSIND!$T$161&lt;=83.24),"P","")</f>
        <v/>
      </c>
      <c r="JT18" s="102" t="str">
        <f>IF(AND(WSIND!$T$161&gt;=83.25,WSIND!$T$161&lt;=91.4),"P","")</f>
        <v/>
      </c>
      <c r="JU18" s="102" t="str">
        <f>IF(AND(WSIND!$T$161&gt;=91.5,WSIND!$T$161&lt;=100),"P","")</f>
        <v>P</v>
      </c>
      <c r="JV18" t="str">
        <f>IF(WSIND!$T$192&lt;74.9,"P","")</f>
        <v/>
      </c>
      <c r="JW18" s="102" t="str">
        <f>IF(AND(WSIND!$T$192&gt;=75,WSIND!$T$192&lt;=83.24),"P","")</f>
        <v/>
      </c>
      <c r="JX18" s="102" t="str">
        <f>IF(AND(WSIND!$T$192&gt;=83.25,WSIND!$T$192&lt;=91.4),"P","")</f>
        <v/>
      </c>
      <c r="JY18" s="102" t="str">
        <f>IF(AND(WSIND!$T$192&gt;=91.5,WSIND!$T$192&lt;=100),"P","")</f>
        <v>P</v>
      </c>
      <c r="JZ18" t="str">
        <f>IF(WSIND!$T$228&lt;74.9,"P","")</f>
        <v/>
      </c>
      <c r="KA18" s="102" t="str">
        <f>IF(AND(WSIND!$T$228&gt;=75,WSIND!$T$228&lt;=83.24),"P","")</f>
        <v/>
      </c>
      <c r="KB18" s="102" t="str">
        <f>IF(AND(WSIND!$T$228&gt;=83.25,WSIND!$T$228&lt;=91.4),"P","")</f>
        <v/>
      </c>
      <c r="KC18" s="102" t="str">
        <f>IF(AND(WSIND!$T$228&gt;=91.5,WSIND!$T$228&lt;=100),"P","")</f>
        <v>P</v>
      </c>
      <c r="KD18" t="str">
        <f>IF(WSIND!$T$256&lt;74.9,"P","")</f>
        <v/>
      </c>
      <c r="KE18" s="102" t="str">
        <f>IF(AND(WSIND!$T$256&gt;=75,WSIND!$T$256&lt;=83.24),"P","")</f>
        <v/>
      </c>
      <c r="KF18" s="102" t="str">
        <f>IF(AND(WSIND!$T$256&gt;=83.25,WSIND!$T$256&lt;=91.4),"P","")</f>
        <v/>
      </c>
      <c r="KG18" s="102" t="str">
        <f>IF(AND(WSIND!$T$256&gt;=91.5,WSIND!$T$256&lt;=100),"P","")</f>
        <v>P</v>
      </c>
      <c r="KH18" t="str">
        <f>IF(WSIND!$T$277&lt;74.9,"P","")</f>
        <v/>
      </c>
      <c r="KI18" s="102" t="str">
        <f>IF(AND(WSIND!$T$277&gt;=75,WSIND!$T$277&lt;=83.24),"P","")</f>
        <v/>
      </c>
      <c r="KJ18" s="102" t="str">
        <f>IF(AND(WSIND!$T$277&gt;=83.25,WSIND!$T$277&lt;=91.4),"P","")</f>
        <v/>
      </c>
      <c r="KK18" s="102" t="str">
        <f>IF(AND(WSIND!$T$277&gt;=91.5,WSIND!$T$277&lt;=100),"P","")</f>
        <v>P</v>
      </c>
      <c r="KL18" t="str">
        <f>IF(WSIND!$T$305&lt;74.9,"P","")</f>
        <v/>
      </c>
      <c r="KM18" s="102" t="str">
        <f>IF(AND(WSIND!$T$305&gt;=75,WSIND!$T$305&lt;=83.24),"P","")</f>
        <v/>
      </c>
      <c r="KN18" s="102" t="str">
        <f>IF(AND(WSIND!$T$305&gt;=83.25,WSIND!$T$305&lt;=91.4),"P","")</f>
        <v/>
      </c>
      <c r="KO18" s="102" t="str">
        <f>IF(AND(WSIND!$T$305&gt;=91.5,WSIND!$T$305&lt;=100),"P","")</f>
        <v>P</v>
      </c>
      <c r="KP18" t="str">
        <f>IF(WSIND!$T$329&lt;74.9,"P","")</f>
        <v/>
      </c>
      <c r="KQ18" s="102" t="str">
        <f>IF(AND(WSIND!$T$329&gt;=75,WSIND!$T$329&lt;=83.24),"P","")</f>
        <v/>
      </c>
      <c r="KR18" s="102" t="str">
        <f>IF(AND(WSIND!$T$329&gt;=83.25,WSIND!$T$329&lt;=91.4),"P","")</f>
        <v/>
      </c>
      <c r="KS18" s="102" t="str">
        <f>IF(AND(WSIND!$T$329&gt;=91.5,WSIND!$T$329&lt;=100),"P","")</f>
        <v/>
      </c>
      <c r="KT18" t="str">
        <f>IF(WSIND!$T$337&lt;74.9,"P","")</f>
        <v/>
      </c>
      <c r="KU18" s="102" t="str">
        <f>IF(AND(WSIND!$T$337&gt;=75,WSIND!$T$337&lt;=83.24),"P","")</f>
        <v/>
      </c>
      <c r="KV18" s="102" t="str">
        <f>IF(AND(WSIND!$T$337&gt;=83.25,WSIND!$T$337&lt;=91.4),"P","")</f>
        <v/>
      </c>
      <c r="KW18" s="102" t="str">
        <f>IF(AND(WSIND!$T$337&gt;=91.5,WSIND!$T$337&lt;=100),"P","")</f>
        <v/>
      </c>
      <c r="KX18" t="str">
        <f>IF(WSIND!$T$345&lt;74.9,"P","")</f>
        <v/>
      </c>
      <c r="KY18" s="102" t="str">
        <f>IF(AND(WSIND!$T$345&gt;=75,WSIND!$T$345&lt;=83.24),"P","")</f>
        <v/>
      </c>
      <c r="KZ18" s="102" t="str">
        <f>IF(AND(WSIND!$T$345&gt;=83.25,WSIND!$T$345&lt;=91.4),"P","")</f>
        <v/>
      </c>
      <c r="LA18" s="102" t="str">
        <f>IF(AND(WSIND!$T$345&gt;=91.5,WSIND!$T$345&lt;=100),"P","")</f>
        <v/>
      </c>
      <c r="LB18" t="str">
        <f>IF(WSARAB!$T$6&lt;74.9,"P","")</f>
        <v/>
      </c>
      <c r="LC18" s="102" t="str">
        <f>IF(AND(WSARAB!$T$6&gt;=75,WSARAB!$T$6&lt;=83.24),"P","")</f>
        <v/>
      </c>
      <c r="LD18" s="102" t="str">
        <f>IF(AND(WSARAB!$T$6&gt;=83.25,WSARAB!$T$6&lt;=91.4),"P","")</f>
        <v/>
      </c>
      <c r="LE18" s="102" t="str">
        <f>IF(AND(WSARAB!$T$6&gt;=91.5,WSARAB!$T$6&lt;=100),"P","")</f>
        <v/>
      </c>
      <c r="LF18" t="str">
        <f>IF(WSARAB!$T$17&lt;74.9,"P","")</f>
        <v/>
      </c>
      <c r="LG18" s="102" t="str">
        <f>IF(AND(WSARAB!$T$17&gt;=75,WSARAB!$T$17&lt;=83.24),"P","")</f>
        <v/>
      </c>
      <c r="LH18" s="102" t="str">
        <f>IF(AND(WSARAB!$T$17&gt;=83.25,WSARAB!$T$17&lt;=91.4),"P","")</f>
        <v/>
      </c>
      <c r="LI18" s="102" t="str">
        <f>IF(AND(WSARAB!$T$17&gt;=91.5,WSARAB!$T$17&lt;=100),"P","")</f>
        <v/>
      </c>
      <c r="LJ18" t="str">
        <f>IF(WSARAB!$T$29&lt;74.9,"P","")</f>
        <v/>
      </c>
      <c r="LK18" s="102" t="str">
        <f>IF(AND(WSARAB!$T$29&gt;=75,WSARAB!$T$29&lt;=83.24),"P","")</f>
        <v/>
      </c>
      <c r="LL18" s="102" t="str">
        <f>IF(AND(WSARAB!$T$29&gt;=83.25,WSARAB!$T$29&lt;=91.4),"P","")</f>
        <v/>
      </c>
      <c r="LM18" s="102" t="str">
        <f>IF(AND(WSARAB!$T$29&gt;=91.5,WSARAB!$T$29&lt;=100),"P","")</f>
        <v/>
      </c>
      <c r="LN18" t="str">
        <f>IF(WSARAB!$T$37&lt;74.9,"P","")</f>
        <v/>
      </c>
      <c r="LO18" s="102" t="str">
        <f>IF(AND(WSARAB!$T$37&gt;=75,WSARAB!$T$37&lt;=83.24),"P","")</f>
        <v/>
      </c>
      <c r="LP18" s="102" t="str">
        <f>IF(AND(WSARAB!$T$37&gt;=83.25,WSARAB!$T$37&lt;=91.4),"P","")</f>
        <v/>
      </c>
      <c r="LQ18" s="102" t="str">
        <f>IF(AND(WSARAB!$T$37&gt;=91.5,WSARAB!$T$37&lt;=100),"P","")</f>
        <v/>
      </c>
      <c r="LR18" t="str">
        <f>IF(WSARAB!$T$45&lt;74.9,"P","")</f>
        <v/>
      </c>
      <c r="LS18" s="102" t="str">
        <f>IF(AND(WSARAB!$T$45&gt;=75,WSARAB!$T$45&lt;=83.24),"P","")</f>
        <v/>
      </c>
      <c r="LT18" s="102" t="str">
        <f>IF(AND(WSARAB!$T$45&gt;=83.25,WSARAB!$T$45&lt;=91.4),"P","")</f>
        <v/>
      </c>
      <c r="LU18" s="102" t="str">
        <f>IF(AND(WSARAB!$T$45&gt;=91.5,WSARAB!$T$45&lt;=100),"P","")</f>
        <v/>
      </c>
      <c r="LV18" t="str">
        <f>IF(WSARAB!$T$53&lt;74.9,"P","")</f>
        <v/>
      </c>
      <c r="LW18" s="102" t="str">
        <f>IF(AND(WSARAB!$T$53&gt;=75,WSARAB!$T$53&lt;=83.24),"P","")</f>
        <v/>
      </c>
      <c r="LX18" s="102" t="str">
        <f>IF(AND(WSARAB!$T$53&gt;=83.25,WSARAB!$T$53&lt;=91.4),"P","")</f>
        <v/>
      </c>
      <c r="LY18" s="102" t="str">
        <f>IF(AND(WSARAB!$T$53&gt;=91.5,WSARAB!$T$53&lt;=100),"P","")</f>
        <v/>
      </c>
      <c r="LZ18" t="str">
        <f>IF(WSARAB!$T$65&lt;74.9,"P","")</f>
        <v/>
      </c>
      <c r="MA18" s="102" t="str">
        <f>IF(AND(WSARAB!$T$65&gt;=75,WSARAB!$T$65&lt;=83.24),"P","")</f>
        <v/>
      </c>
      <c r="MB18" s="102" t="str">
        <f>IF(AND(WSARAB!$T$65&gt;=83.25,WSARAB!$T$65&lt;=91.4),"P","")</f>
        <v/>
      </c>
      <c r="MC18" s="102" t="str">
        <f>IF(AND(WSARAB!$T$65&gt;=91.5,WSARAB!$T$65&lt;=100),"P","")</f>
        <v/>
      </c>
      <c r="MD18" t="str">
        <f>IF(WSARAB!$T$73&lt;74.9,"P","")</f>
        <v/>
      </c>
      <c r="ME18" s="102" t="str">
        <f>IF(AND(WSARAB!$T$73&gt;=75,WSARAB!$T$73&lt;=83.24),"P","")</f>
        <v/>
      </c>
      <c r="MF18" s="102" t="str">
        <f>IF(AND(WSARAB!$T$73&gt;=83.25,WSARAB!$T$73&lt;=91.4),"P","")</f>
        <v/>
      </c>
      <c r="MG18" s="102" t="str">
        <f>IF(AND(WSARAB!$T$73&gt;=91.5,WSARAB!$T$73&lt;=100),"P","")</f>
        <v/>
      </c>
      <c r="MH18" t="str">
        <f>IF(WSARAB!$T$81&lt;74.9,"P","")</f>
        <v/>
      </c>
      <c r="MI18" s="102" t="str">
        <f>IF(AND(WSARAB!$T$81&gt;=75,WSARAB!$T$81&lt;=83.24),"P","")</f>
        <v/>
      </c>
      <c r="MJ18" s="102" t="str">
        <f>IF(AND(WSARAB!$T$81&gt;=83.25,WSARAB!$T$81&lt;=91.4),"P","")</f>
        <v/>
      </c>
      <c r="MK18" s="102" t="str">
        <f>IF(AND(WSARAB!$T$81&gt;=91.5,WSARAB!$T$81&lt;=100),"P","")</f>
        <v/>
      </c>
      <c r="ML18" t="str">
        <f>IF(WSARAB!$T$89&lt;74.9,"P","")</f>
        <v/>
      </c>
      <c r="MM18" s="102" t="str">
        <f>IF(AND(WSARAB!$T$89&gt;=75,WSARAB!$T$89&lt;=83.24),"P","")</f>
        <v/>
      </c>
      <c r="MN18" s="102" t="str">
        <f>IF(AND(WSARAB!$T$89&gt;=83.25,WSARAB!$T$89&lt;=91.4),"P","")</f>
        <v/>
      </c>
      <c r="MO18" s="102" t="str">
        <f>IF(AND(WSARAB!$T$89&gt;=91.5,WSARAB!$T$89&lt;=100),"P","")</f>
        <v/>
      </c>
      <c r="MP18" t="str">
        <f>IF(WSARAB!$T$97&lt;74.9,"P","")</f>
        <v/>
      </c>
      <c r="MQ18" s="102" t="str">
        <f>IF(AND(WSARAB!$T$97&gt;=75,WSARAB!$T$97&lt;=83.24),"P","")</f>
        <v/>
      </c>
      <c r="MR18" s="102" t="str">
        <f>IF(AND(WSARAB!$T$97&gt;=83.25,WSARAB!$T$97&lt;=91.4),"P","")</f>
        <v/>
      </c>
      <c r="MS18" s="102" t="str">
        <f>IF(AND(WSARAB!$T$97&gt;=91.5,WSARAB!$T$97&lt;=100),"P","")</f>
        <v/>
      </c>
      <c r="MT18" t="str">
        <f>IF(WSARAB!$T$105&lt;74.9,"P","")</f>
        <v/>
      </c>
      <c r="MU18" s="102" t="str">
        <f>IF(AND(WSARAB!$T$105&gt;=75,WSARAB!$T$105&lt;=83.24),"P","")</f>
        <v/>
      </c>
      <c r="MV18" s="102" t="str">
        <f>IF(AND(WSARAB!$T$105&gt;=83.25,WSARAB!$T$105&lt;=91.4),"P","")</f>
        <v/>
      </c>
      <c r="MW18" s="102" t="str">
        <f>IF(AND(WSARAB!$T$105&gt;=91.5,WSARAB!$T$105&lt;=100),"P","")</f>
        <v/>
      </c>
      <c r="MX18" t="str">
        <f>IF(WSARAB!$T$113&lt;74.9,"P","")</f>
        <v/>
      </c>
      <c r="MY18" s="102" t="str">
        <f>IF(AND(WSARAB!$T$113&gt;=75,WSARAB!$T$113&lt;=83.24),"P","")</f>
        <v/>
      </c>
      <c r="MZ18" s="102" t="str">
        <f>IF(AND(WSARAB!$T$113&gt;=83.25,WSARAB!$T$113&lt;=91.4),"P","")</f>
        <v/>
      </c>
      <c r="NA18" s="102" t="str">
        <f>IF(AND(WSARAB!$T$113&gt;=91.5,WSARAB!$T$113&lt;=100),"P","")</f>
        <v/>
      </c>
      <c r="NB18" t="str">
        <f>IF(WSMTK!$T$6&lt;74.9,"P","")</f>
        <v/>
      </c>
      <c r="NC18" s="102" t="str">
        <f>IF(AND(WSMTK!$T$6&gt;=75,WSMTK!$T$6&lt;=83.24),"P","")</f>
        <v/>
      </c>
      <c r="ND18" s="102" t="str">
        <f>IF(AND(WSMTK!$T$6&gt;=83.25,WSMTK!$T$6&lt;=91.4),"P","")</f>
        <v/>
      </c>
      <c r="NE18" s="102" t="str">
        <f>IF(AND(WSMTK!$T$6&gt;=91.5,WSMTK!$T$6&lt;=100),"P","")</f>
        <v>P</v>
      </c>
      <c r="NF18" t="str">
        <f>IF(WSMTK!$T$22&lt;74.9,"P","")</f>
        <v/>
      </c>
      <c r="NG18" s="102" t="str">
        <f>IF(AND(WSMTK!$T$22&gt;=75,WSMTK!$T$22&lt;=83.24),"P","")</f>
        <v/>
      </c>
      <c r="NH18" s="102" t="str">
        <f>IF(AND(WSMTK!$T$22&gt;=83.25,WSMTK!$T$22&lt;=91.4),"P","")</f>
        <v/>
      </c>
      <c r="NI18" s="102" t="str">
        <f>IF(AND(WSMTK!$T$22&gt;=91.5,WSMTK!$T$22&lt;=100),"P","")</f>
        <v>P</v>
      </c>
      <c r="NJ18" t="str">
        <f>IF(WSMTK!$T$35&lt;74.9,"P","")</f>
        <v/>
      </c>
      <c r="NK18" s="102" t="str">
        <f>IF(AND(WSMTK!$T$35&gt;=75,WSMTK!$T$35&lt;=83.24),"P","")</f>
        <v/>
      </c>
      <c r="NL18" s="102" t="str">
        <f>IF(AND(WSMTK!$T$35&gt;=83.25,WSMTK!$T$35&lt;=91.4),"P","")</f>
        <v/>
      </c>
      <c r="NM18" s="102" t="str">
        <f>IF(AND(WSMTK!$T$35&gt;=91.5,WSMTK!$T$35&lt;=100),"P","")</f>
        <v>P</v>
      </c>
      <c r="NN18" t="str">
        <f>IF(WSMTK!$T$69&lt;74.9,"P","")</f>
        <v/>
      </c>
      <c r="NO18" s="102" t="str">
        <f>IF(AND(WSMTK!$T$69&gt;=75,WSMTK!$T$69&lt;=83.24),"P","")</f>
        <v/>
      </c>
      <c r="NP18" s="102" t="str">
        <f>IF(AND(WSMTK!$T$69&gt;=83.25,WSMTK!$T$69&lt;=91.4),"P","")</f>
        <v/>
      </c>
      <c r="NQ18" s="102" t="str">
        <f>IF(AND(WSMTK!$T$69&gt;=91.5,WSMTK!$T$69&lt;=100),"P","")</f>
        <v>P</v>
      </c>
      <c r="NR18" t="str">
        <f>IF(WSMTK!$T$87&lt;74.9,"P","")</f>
        <v/>
      </c>
      <c r="NS18" s="102" t="str">
        <f>IF(AND(WSMTK!$T$87&gt;=75,WSMTK!$T$87&lt;=83.24),"P","")</f>
        <v/>
      </c>
      <c r="NT18" s="102" t="str">
        <f>IF(AND(WSMTK!$T$87&gt;=83.25,WSMTK!$T$87&lt;=91.4),"P","")</f>
        <v/>
      </c>
      <c r="NU18" s="102" t="str">
        <f>IF(AND(WSMTK!$T$87&gt;=91.5,WSMTK!$T$87&lt;=100),"P","")</f>
        <v>P</v>
      </c>
      <c r="NV18" t="str">
        <f>IF(WSMTK!$T$99&lt;74.9,"P","")</f>
        <v/>
      </c>
      <c r="NW18" s="102" t="str">
        <f>IF(AND(WSMTK!$T$99&gt;=75,WSMTK!$T$99&lt;=83.24),"P","")</f>
        <v/>
      </c>
      <c r="NX18" s="102" t="str">
        <f>IF(AND(WSMTK!$T$99&gt;=83.25,WSMTK!$T$99&lt;=91.4),"P","")</f>
        <v/>
      </c>
      <c r="NY18" s="102" t="str">
        <f>IF(AND(WSMTK!$T$99&gt;=91.5,WSMTK!$T$99&lt;=100),"P","")</f>
        <v>P</v>
      </c>
      <c r="NZ18" t="str">
        <f>IF(WSMTK!$T$113&lt;74.9,"P","")</f>
        <v/>
      </c>
      <c r="OA18" s="102" t="str">
        <f>IF(AND(WSMTK!$T$113&gt;=75,WSMTK!$T$113&lt;=83.24),"P","")</f>
        <v/>
      </c>
      <c r="OB18" s="102" t="str">
        <f>IF(AND(WSMTK!$T$113&gt;=83.25,WSMTK!$T$113&lt;=91.4),"P","")</f>
        <v/>
      </c>
      <c r="OC18" s="102" t="str">
        <f>IF(AND(WSMTK!$T$113&gt;=91.5,WSMTK!$T$113&lt;=100),"P","")</f>
        <v>P</v>
      </c>
      <c r="OD18" t="str">
        <f>IF(WSMTK!$T$145&lt;74.9,"P","")</f>
        <v/>
      </c>
      <c r="OE18" s="102" t="str">
        <f>IF(AND(WSMTK!$T$145&gt;=75,WSMTK!$T$145&lt;=83.24),"P","")</f>
        <v/>
      </c>
      <c r="OF18" s="102" t="str">
        <f>IF(AND(WSMTK!$T$145&gt;=83.25,WSMTK!$T$145&lt;=91.4),"P","")</f>
        <v/>
      </c>
      <c r="OG18" s="102" t="str">
        <f>IF(AND(WSMTK!$T$145&gt;=91.5,WSMTK!$T$145&lt;=100),"P","")</f>
        <v>P</v>
      </c>
      <c r="OH18" t="str">
        <f>IF(WSMTK!$T$168&lt;74.9,"P","")</f>
        <v/>
      </c>
      <c r="OI18" s="102" t="str">
        <f>IF(AND(WSMTK!$T$168&gt;=75,WSMTK!$T$168&lt;=83.24),"P","")</f>
        <v/>
      </c>
      <c r="OJ18" s="102" t="str">
        <f>IF(AND(WSMTK!$T$168&gt;=83.25,WSMTK!$T$168&lt;=91.4),"P","")</f>
        <v/>
      </c>
      <c r="OK18" s="102" t="str">
        <f>IF(AND(WSMTK!$T$168&gt;=91.5,WSMTK!$T$168&lt;=100),"P","")</f>
        <v/>
      </c>
      <c r="OL18" t="str">
        <f>IF(WSMTK!$T$176&lt;74.9,"P","")</f>
        <v/>
      </c>
      <c r="OM18" s="102" t="str">
        <f>IF(AND(WSMTK!$T$176&gt;=75,WSMTK!$T$176&lt;=83.24),"P","")</f>
        <v/>
      </c>
      <c r="ON18" s="102" t="str">
        <f>IF(AND(WSMTK!$T$176&gt;=83.25,WSMTK!$T$176&lt;=91.4),"P","")</f>
        <v/>
      </c>
      <c r="OO18" s="102" t="str">
        <f>IF(AND(WSMTK!$T$176&gt;=91.5,WSMTK!$T$176&lt;=100),"P","")</f>
        <v/>
      </c>
      <c r="OP18" t="str">
        <f>IF(WSMTK!$T$184&lt;74.9,"P","")</f>
        <v/>
      </c>
      <c r="OQ18" s="102" t="str">
        <f>IF(AND(WSMTK!$T$184&gt;=75,WSMTK!$T$184&lt;=83.24),"P","")</f>
        <v/>
      </c>
      <c r="OR18" s="102" t="str">
        <f>IF(AND(WSMTK!$T$184&gt;=83.25,WSMTK!$T$184&lt;=91.4),"P","")</f>
        <v/>
      </c>
      <c r="OS18" s="102" t="str">
        <f>IF(AND(WSMTK!$T$184&gt;=91.5,WSMTK!$T$184&lt;=100),"P","")</f>
        <v/>
      </c>
      <c r="OT18" t="str">
        <f>IF(WSMTK!$T$192&lt;74.9,"P","")</f>
        <v/>
      </c>
      <c r="OU18" s="102" t="str">
        <f>IF(AND(WSMTK!$T$192&gt;=75,WSMTK!$T$192&lt;=83.24),"P","")</f>
        <v/>
      </c>
      <c r="OV18" s="102" t="str">
        <f>IF(AND(WSMTK!$T$192&gt;=83.25,WSMTK!$T$192&lt;=91.4),"P","")</f>
        <v/>
      </c>
      <c r="OW18" s="102" t="str">
        <f>IF(AND(WSMTK!$T$192&gt;=91.5,WSMTK!$T$192&lt;=100),"P","")</f>
        <v/>
      </c>
      <c r="OX18" t="str">
        <f>IF(WSMTK!$T$200&lt;74.9,"P","")</f>
        <v/>
      </c>
      <c r="OY18" s="102" t="str">
        <f>IF(AND(WSMTK!$T$200&gt;=75,WSMTK!$T$200&lt;=83.24),"P","")</f>
        <v/>
      </c>
      <c r="OZ18" s="102" t="str">
        <f>IF(AND(WSMTK!$T$200&gt;=83.25,WSMTK!$T$200&lt;=91.4),"P","")</f>
        <v/>
      </c>
      <c r="PA18" s="102" t="str">
        <f>IF(AND(WSMTK!$T$200&gt;=91.5,WSMTK!$T$200&lt;=100),"P","")</f>
        <v/>
      </c>
      <c r="PB18" t="str">
        <f>IF(WSIPA!$T$6&lt;74.9,"P","")</f>
        <v/>
      </c>
      <c r="PC18" s="102" t="str">
        <f>IF(AND(WSIPA!$T$6&gt;=75,WSIPA!$T$6&lt;=83.24),"P","")</f>
        <v/>
      </c>
      <c r="PD18" s="102" t="str">
        <f>IF(AND(WSIPA!$T$6&gt;=83.25,WSIPA!$T$6&lt;=91.4),"P","")</f>
        <v/>
      </c>
      <c r="PE18" s="102" t="str">
        <f>IF(AND(WSIPA!$T$6&gt;=91.5,WSIPA!$T$6&lt;=100),"P","")</f>
        <v/>
      </c>
      <c r="PF18" t="str">
        <f>IF(WSIPA!$T$14&lt;74.9,"P","")</f>
        <v/>
      </c>
      <c r="PG18" s="102" t="str">
        <f>IF(AND(WSIPA!$T$14&gt;=75,WSIPA!$T$14&lt;=83.24),"P","")</f>
        <v/>
      </c>
      <c r="PH18" s="102" t="str">
        <f>IF(AND(WSIPA!$T$14&gt;=83.25,WSIPA!$T$14&lt;=91.4),"P","")</f>
        <v/>
      </c>
      <c r="PI18" s="102" t="str">
        <f>IF(AND(WSIPA!$T$14&gt;=91.5,WSIPA!$T$14&lt;=100),"P","")</f>
        <v/>
      </c>
      <c r="PJ18" t="str">
        <f>IF(WSIPA!$T$22&lt;74.9,"P","")</f>
        <v/>
      </c>
      <c r="PK18" s="102" t="str">
        <f>IF(AND(WSIPA!$T$22&gt;=75,WSIPA!$T$22&lt;=83.24),"P","")</f>
        <v/>
      </c>
      <c r="PL18" s="102" t="str">
        <f>IF(AND(WSIPA!$T$22&gt;=83.25,WSIPA!$T$22&lt;=91.4),"P","")</f>
        <v/>
      </c>
      <c r="PM18" s="102" t="str">
        <f>IF(AND(WSIPA!$T$22&gt;=91.5,WSIPA!$T$22&lt;=100),"P","")</f>
        <v/>
      </c>
      <c r="PN18" t="str">
        <f>IF(WSIPA!$T$30&lt;74.9,"P","")</f>
        <v/>
      </c>
      <c r="PO18" s="102" t="str">
        <f>IF(AND(WSIPA!$T$30&gt;=75,WSIPA!$T$30&lt;=83.24),"P","")</f>
        <v/>
      </c>
      <c r="PP18" s="102" t="str">
        <f>IF(AND(WSIPA!$T$30&gt;=83.25,WSIPA!$T$30&lt;=91.4),"P","")</f>
        <v/>
      </c>
      <c r="PQ18" s="102" t="str">
        <f>IF(AND(WSIPA!$T$30&gt;=91.5,WSIPA!$T$30&lt;=100),"P","")</f>
        <v/>
      </c>
      <c r="PR18" t="str">
        <f>IF(WSIPA!$T$38&lt;74.9,"P","")</f>
        <v/>
      </c>
      <c r="PS18" s="102" t="str">
        <f>IF(AND(WSIPA!$T$38&gt;=75,WSIPA!$T$38&lt;=83.24),"P","")</f>
        <v/>
      </c>
      <c r="PT18" s="102" t="str">
        <f>IF(AND(WSIPA!$T$38&gt;=83.25,WSIPA!$T$38&lt;=91.4),"P","")</f>
        <v/>
      </c>
      <c r="PU18" s="102" t="str">
        <f>IF(AND(WSIPA!$T$38&gt;=91.5,WSIPA!$T$38&lt;=100),"P","")</f>
        <v/>
      </c>
      <c r="PV18" t="str">
        <f>IF(WSIPA!$T$46&lt;74.9,"P","")</f>
        <v/>
      </c>
      <c r="PW18" s="102" t="str">
        <f>IF(AND(WSIPA!$T$46&gt;=75,WSIPA!$T$46&lt;=83.24),"P","")</f>
        <v/>
      </c>
      <c r="PX18" s="102" t="str">
        <f>IF(AND(WSIPA!$T$46&gt;=83.25,WSIPA!$T$46&lt;=91.4),"P","")</f>
        <v/>
      </c>
      <c r="PY18" s="102" t="str">
        <f>IF(AND(WSIPA!$T$46&gt;=91.5,WSIPA!$T$46&lt;=100),"P","")</f>
        <v/>
      </c>
      <c r="PZ18" t="str">
        <f>IF(WSIPA!$T$54&lt;74.9,"P","")</f>
        <v/>
      </c>
      <c r="QA18" s="102" t="str">
        <f>IF(AND(WSIPA!$T$54&gt;=75,WSIPA!$T$54&lt;=83.24),"P","")</f>
        <v/>
      </c>
      <c r="QB18" s="102" t="str">
        <f>IF(AND(WSIPA!$T$54&gt;=83.25,WSIPA!$T$54&lt;=91.4),"P","")</f>
        <v/>
      </c>
      <c r="QC18" s="102" t="str">
        <f>IF(AND(WSIPA!$T$54&gt;=91.5,WSIPA!$T$54&lt;=100),"P","")</f>
        <v/>
      </c>
      <c r="QD18" t="str">
        <f>IF(WSIPA!$T$62&lt;74.9,"P","")</f>
        <v/>
      </c>
      <c r="QE18" s="102" t="str">
        <f>IF(AND(WSIPA!$T$62&gt;=75,WSIPA!$T$62&lt;=83.24),"P","")</f>
        <v/>
      </c>
      <c r="QF18" s="102" t="str">
        <f>IF(AND(WSIPA!$T$62&gt;=83.25,WSIPA!$T$62&lt;=91.4),"P","")</f>
        <v/>
      </c>
      <c r="QG18" s="102" t="str">
        <f>IF(AND(WSIPA!$T$62&gt;=91.5,WSIPA!$T$62&lt;=100),"P","")</f>
        <v/>
      </c>
      <c r="QH18" t="str">
        <f>IF(WSIPA!$T$70&lt;74.9,"P","")</f>
        <v/>
      </c>
      <c r="QI18" s="102" t="str">
        <f>IF(AND(WSIPA!$T$70&gt;=75,WSIPA!$T$70&lt;=83.24),"P","")</f>
        <v/>
      </c>
      <c r="QJ18" s="102" t="str">
        <f>IF(AND(WSIPA!$T$70&gt;=83.25,WSIPA!$T$70&lt;=91.4),"P","")</f>
        <v/>
      </c>
      <c r="QK18" s="102" t="str">
        <f>IF(AND(WSIPA!$T$70&gt;=91.5,WSIPA!$T$70&lt;=100),"P","")</f>
        <v/>
      </c>
      <c r="QL18" t="str">
        <f>IF(WSIPA!$T$78&lt;74.9,"P","")</f>
        <v/>
      </c>
      <c r="QM18" s="102" t="str">
        <f>IF(AND(WSIPA!$T$78&gt;=75,WSIPA!$T$78&lt;=83.24),"P","")</f>
        <v/>
      </c>
      <c r="QN18" s="102" t="str">
        <f>IF(AND(WSIPA!$T$78&gt;=83.25,WSIPA!$T$78&lt;=91.4),"P","")</f>
        <v/>
      </c>
      <c r="QO18" s="102" t="str">
        <f>IF(AND(WSIPA!$T$78&gt;=91.5,WSIPA!$T$78&lt;=100),"P","")</f>
        <v/>
      </c>
      <c r="QP18" t="str">
        <f>IF(WSIPA!$T$86&lt;74.9,"P","")</f>
        <v/>
      </c>
      <c r="QQ18" s="102" t="str">
        <f>IF(AND(WSIPA!$T$86&gt;=75,WSIPA!$T$86&lt;=83.24),"P","")</f>
        <v/>
      </c>
      <c r="QR18" s="102" t="str">
        <f>IF(AND(WSIPA!$T$86&gt;=83.25,WSIPA!$T$86&lt;=91.4),"P","")</f>
        <v/>
      </c>
      <c r="QS18" s="102" t="str">
        <f>IF(AND(WSIPA!$T$86&gt;=91.5,WSIPA!$T$86&lt;=100),"P","")</f>
        <v/>
      </c>
      <c r="QT18" t="str">
        <f>IF(WSIPA!$T$94&lt;74.9,"P","")</f>
        <v/>
      </c>
      <c r="QU18" s="102" t="str">
        <f>IF(AND(WSIPA!$T$94&gt;=75,WSIPA!$T$94&lt;=83.24),"P","")</f>
        <v/>
      </c>
      <c r="QV18" s="102" t="str">
        <f>IF(AND(WSIPA!$T$94&gt;=83.25,WSIPA!$T$94&lt;=91.4),"P","")</f>
        <v/>
      </c>
      <c r="QW18" s="102" t="str">
        <f>IF(AND(WSIPA!$T$94&gt;=91.5,WSIPA!$T$94&lt;=100),"P","")</f>
        <v/>
      </c>
      <c r="QX18" t="str">
        <f>IF(WSIPA!$T$102&lt;74.9,"P","")</f>
        <v/>
      </c>
      <c r="QY18" s="102" t="str">
        <f>IF(AND(WSIPA!$T$102&gt;=75,WSIPA!$T$102&lt;=83.24),"P","")</f>
        <v/>
      </c>
      <c r="QZ18" s="102" t="str">
        <f>IF(AND(WSIPA!$T$102&gt;=83.25,WSIPA!$T$102&lt;=91.4),"P","")</f>
        <v/>
      </c>
      <c r="RA18" s="102" t="str">
        <f>IF(AND(WSIPA!$T$102&gt;=91.5,WSIPA!$T$102&lt;=100),"P","")</f>
        <v/>
      </c>
      <c r="RB18" t="str">
        <f>IF(WSIPS!$T$6&lt;74.9,"P","")</f>
        <v/>
      </c>
      <c r="RC18" s="102" t="str">
        <f>IF(AND(WSIPS!$T$6&gt;=75,WSIPS!$T$6&lt;=83.24),"P","")</f>
        <v/>
      </c>
      <c r="RD18" s="102" t="str">
        <f>IF(AND(WSIPS!$T$6&gt;=83.25,WSIPS!$T$6&lt;=91.4),"P","")</f>
        <v/>
      </c>
      <c r="RE18" s="102" t="str">
        <f>IF(AND(WSIPS!$T$6&gt;=91.5,WSIPS!$T$6&lt;=100),"P","")</f>
        <v/>
      </c>
      <c r="RF18" t="str">
        <f>IF(WSIPS!$T$14&lt;74.9,"P","")</f>
        <v/>
      </c>
      <c r="RG18" s="102" t="str">
        <f>IF(AND(WSIPS!$T$14&gt;=75,WSIPS!$T$14&lt;=83.24),"P","")</f>
        <v/>
      </c>
      <c r="RH18" s="102" t="str">
        <f>IF(AND(WSIPS!$T$14&gt;=83.25,WSIPS!$T$14&lt;=91.4),"P","")</f>
        <v/>
      </c>
      <c r="RI18" s="102" t="str">
        <f>IF(AND(WSIPS!$T$14&gt;=91.5,WSIPS!$T$14&lt;=100),"P","")</f>
        <v/>
      </c>
      <c r="RJ18" t="str">
        <f>IF(WSIPS!$T$22&lt;74.9,"P","")</f>
        <v/>
      </c>
      <c r="RK18" s="102" t="str">
        <f>IF(AND(WSIPS!$T$22&gt;=75,WSIPS!$T$22&lt;=83.24),"P","")</f>
        <v/>
      </c>
      <c r="RL18" s="102" t="str">
        <f>IF(AND(WSIPS!$T$22&gt;=83.25,WSIPS!$T$22&lt;=91.4),"P","")</f>
        <v/>
      </c>
      <c r="RM18" s="102" t="str">
        <f>IF(AND(WSIPS!$T$22&gt;=91.5,WSIPS!$T$22&lt;=100),"P","")</f>
        <v/>
      </c>
      <c r="RN18" t="str">
        <f>IF(WSIPS!$T$30&lt;74.9,"P","")</f>
        <v/>
      </c>
      <c r="RO18" s="102" t="str">
        <f>IF(AND(WSIPS!$T$30&gt;=75,WSIPS!$T$30&lt;=83.24),"P","")</f>
        <v/>
      </c>
      <c r="RP18" s="102" t="str">
        <f>IF(AND(WSIPS!$T$30&gt;=83.25,WSIPS!$T$30&lt;=91.4),"P","")</f>
        <v/>
      </c>
      <c r="RQ18" s="102" t="str">
        <f>IF(AND(WSIPS!$T$30&gt;=91.5,WSIPS!$T$30&lt;=100),"P","")</f>
        <v/>
      </c>
      <c r="RR18" t="str">
        <f>IF(WSIPS!$T$38&lt;74.9,"P","")</f>
        <v/>
      </c>
      <c r="RS18" s="102" t="str">
        <f>IF(AND(WSIPS!$T$38&gt;=75,WSIPS!$T$38&lt;=83.24),"P","")</f>
        <v/>
      </c>
      <c r="RT18" s="102" t="str">
        <f>IF(AND(WSIPS!$T$38&gt;=83.25,WSIPS!$T$38&lt;=91.4),"P","")</f>
        <v/>
      </c>
      <c r="RU18" s="102" t="str">
        <f>IF(AND(WSIPS!$T$38&gt;=91.5,WSIPS!$T$38&lt;=100),"P","")</f>
        <v/>
      </c>
      <c r="RV18" t="str">
        <f>IF(WSIPS!$T$46&lt;74.9,"P","")</f>
        <v/>
      </c>
      <c r="RW18" s="102" t="str">
        <f>IF(AND(WSIPS!$T$46&gt;=75,WSIPS!$T$46&lt;=83.24),"P","")</f>
        <v/>
      </c>
      <c r="RX18" s="102" t="str">
        <f>IF(AND(WSIPS!$T$46&gt;=83.25,WSIPS!$T$46&lt;=91.4),"P","")</f>
        <v/>
      </c>
      <c r="RY18" s="102" t="str">
        <f>IF(AND(WSIPS!$T$46&gt;=91.5,WSIPS!$T$46&lt;=100),"P","")</f>
        <v/>
      </c>
      <c r="RZ18" t="str">
        <f>IF(WSIPS!$T$54&lt;74.9,"P","")</f>
        <v/>
      </c>
      <c r="SA18" s="102" t="str">
        <f>IF(AND(WSIPS!$T$54&gt;=75,WSIPS!$T$54&lt;=83.24),"P","")</f>
        <v/>
      </c>
      <c r="SB18" s="102" t="str">
        <f>IF(AND(WSIPS!$T$54&gt;=83.25,WSIPS!$T$54&lt;=91.4),"P","")</f>
        <v/>
      </c>
      <c r="SC18" s="102" t="str">
        <f>IF(AND(WSIPS!$T$54&gt;=91.5,WSIPS!$T$54&lt;=100),"P","")</f>
        <v/>
      </c>
      <c r="SD18" t="str">
        <f>IF(WSIPS!$T$62&lt;74.9,"P","")</f>
        <v/>
      </c>
      <c r="SE18" s="102" t="str">
        <f>IF(AND(WSIPS!$T$62&gt;=75,WSIPS!$T$62&lt;=83.24),"P","")</f>
        <v/>
      </c>
      <c r="SF18" s="102" t="str">
        <f>IF(AND(WSIPS!$T$62&gt;=83.25,WSIPS!$T$62&lt;=91.4),"P","")</f>
        <v/>
      </c>
      <c r="SG18" s="102" t="str">
        <f>IF(AND(WSIPS!$T$62&gt;=91.5,WSIPS!$T$62&lt;=100),"P","")</f>
        <v/>
      </c>
      <c r="SH18" t="str">
        <f>IF(WSIPS!$T$70&lt;74.9,"P","")</f>
        <v/>
      </c>
      <c r="SI18" s="102" t="str">
        <f>IF(AND(WSIPS!$T$70&gt;=75,WSIPS!$T$70&lt;=83.24),"P","")</f>
        <v/>
      </c>
      <c r="SJ18" s="102" t="str">
        <f>IF(AND(WSIPS!$T$70&gt;=83.25,WSIPS!$T$70&lt;=91.4),"P","")</f>
        <v/>
      </c>
      <c r="SK18" s="102" t="str">
        <f>IF(AND(WSIPS!$T$70&gt;=91.5,WSIPS!$T$70&lt;=100),"P","")</f>
        <v/>
      </c>
      <c r="SL18" t="str">
        <f>IF(WSIPS!$T$78&lt;74.9,"P","")</f>
        <v/>
      </c>
      <c r="SM18" s="102" t="str">
        <f>IF(AND(WSIPS!$T$78&gt;=75,WSIPS!$T$78&lt;=83.24),"P","")</f>
        <v/>
      </c>
      <c r="SN18" s="102" t="str">
        <f>IF(AND(WSIPS!$T$78&gt;=83.25,WSIPS!$T$78&lt;=91.4),"P","")</f>
        <v/>
      </c>
      <c r="SO18" s="102" t="str">
        <f>IF(AND(WSIPS!$T$78&gt;=91.5,WSIPS!$T$78&lt;=100),"P","")</f>
        <v/>
      </c>
      <c r="SP18" t="str">
        <f>IF(WSIPS!$T$86&lt;74.9,"P","")</f>
        <v/>
      </c>
      <c r="SQ18" s="102" t="str">
        <f>IF(AND(WSIPS!$T$86&gt;=75,WSIPS!$T$86&lt;=83.24),"P","")</f>
        <v/>
      </c>
      <c r="SR18" s="102" t="str">
        <f>IF(AND(WSIPS!$T$86&gt;=83.25,WSIPS!$T$86&lt;=91.4),"P","")</f>
        <v/>
      </c>
      <c r="SS18" s="102" t="str">
        <f>IF(AND(WSIPS!$T$86&gt;=91.5,WSIPS!$T$86&lt;=100),"P","")</f>
        <v/>
      </c>
      <c r="ST18" t="str">
        <f>IF(WSIPS!$T$94&lt;74.9,"P","")</f>
        <v/>
      </c>
      <c r="SU18" s="102" t="str">
        <f>IF(AND(WSIPS!$T$94&gt;=75,WSIPS!$T$94&lt;=83.24),"P","")</f>
        <v/>
      </c>
      <c r="SV18" s="102" t="str">
        <f>IF(AND(WSIPS!$T$94&gt;=83.25,WSIPS!$T$94&lt;=91.4),"P","")</f>
        <v/>
      </c>
      <c r="SW18" s="102" t="str">
        <f>IF(AND(WSIPS!$T$94&gt;=91.5,WSIPS!$T$94&lt;=100),"P","")</f>
        <v/>
      </c>
      <c r="SX18" t="str">
        <f>IF(WSIPS!$T$102&lt;74.9,"P","")</f>
        <v/>
      </c>
      <c r="SY18" s="102" t="str">
        <f>IF(AND(WSIPS!$T$102&gt;=75,WSIPS!$T$102&lt;=83.24),"P","")</f>
        <v/>
      </c>
      <c r="SZ18" s="102" t="str">
        <f>IF(AND(WSIPS!$T$102&gt;=83.25,WSIPS!$T$102&lt;=91.4),"P","")</f>
        <v/>
      </c>
      <c r="TA18" s="102" t="str">
        <f>IF(AND(WSIPS!$T$102&gt;=91.5,WSIPS!$T$102&lt;=100),"P","")</f>
        <v/>
      </c>
      <c r="TB18" t="str">
        <f>IF(WSSBK!$T$6&lt;74.9,"P","")</f>
        <v/>
      </c>
      <c r="TC18" s="102" t="str">
        <f>IF(AND(WSSBK!$T$6&gt;=75,WSSBK!$T$6&lt;=83.24),"P","")</f>
        <v/>
      </c>
      <c r="TD18" s="102" t="str">
        <f>IF(AND(WSSBK!$T$6&gt;=83.25,WSSBK!$T$6&lt;=91.4),"P","")</f>
        <v/>
      </c>
      <c r="TE18" s="102" t="str">
        <f>IF(AND(WSSBK!$T$6&gt;=91.5,WSSBK!$T$6&lt;=100),"P","")</f>
        <v>P</v>
      </c>
      <c r="TF18" t="str">
        <f>IF(WSSBK!$T$16&lt;74.9,"P","")</f>
        <v/>
      </c>
      <c r="TG18" s="102" t="str">
        <f>IF(AND(WSSBK!$T$16&gt;=75,WSSBK!$T$16&lt;=83.24),"P","")</f>
        <v/>
      </c>
      <c r="TH18" s="102" t="str">
        <f>IF(AND(WSSBK!$T$16&gt;=83.25,WSSBK!$T$16&lt;=91.4),"P","")</f>
        <v/>
      </c>
      <c r="TI18" s="102" t="str">
        <f>IF(AND(WSSBK!$T$16&gt;=91.5,WSSBK!$T$16&lt;=100),"P","")</f>
        <v>P</v>
      </c>
      <c r="TJ18" t="str">
        <f>IF(WSSBK!$T$26&lt;74.9,"P","")</f>
        <v/>
      </c>
      <c r="TK18" s="102" t="str">
        <f>IF(AND(WSSBK!$T$26&gt;=75,WSSBK!$T$26&lt;=83.24),"P","")</f>
        <v/>
      </c>
      <c r="TL18" s="102" t="str">
        <f>IF(AND(WSSBK!$T$26&gt;=83.25,WSSBK!$T$26&lt;=91.4),"P","")</f>
        <v/>
      </c>
      <c r="TM18" s="102" t="str">
        <f>IF(AND(WSSBK!$T$26&gt;=91.5,WSSBK!$T$26&lt;=100),"P","")</f>
        <v>P</v>
      </c>
      <c r="TN18" t="str">
        <f>IF(WSSBK!$T$36&lt;74.9,"P","")</f>
        <v/>
      </c>
      <c r="TO18" s="102" t="str">
        <f>IF(AND(WSSBK!$T$36&gt;=75,WSSBK!$T$36&lt;=83.24),"P","")</f>
        <v/>
      </c>
      <c r="TP18" s="102" t="str">
        <f>IF(AND(WSSBK!$T$36&gt;=83.25,WSSBK!$T$36&lt;=91.4),"P","")</f>
        <v>P</v>
      </c>
      <c r="TQ18" s="102" t="str">
        <f>IF(AND(WSSBK!$T$36&gt;=91.5,WSSBK!$T$36&lt;=100),"P","")</f>
        <v/>
      </c>
      <c r="TR18" t="str">
        <f>IF(WSSBK!$T$46&lt;74.9,"P","")</f>
        <v/>
      </c>
      <c r="TS18" s="102" t="str">
        <f>IF(AND(WSSBK!$T$46&gt;=75,WSSBK!$T$46&lt;=83.24),"P","")</f>
        <v/>
      </c>
      <c r="TT18" s="102" t="str">
        <f>IF(AND(WSSBK!$T$46&gt;=83.25,WSSBK!$T$46&lt;=91.4),"P","")</f>
        <v/>
      </c>
      <c r="TU18" s="102" t="str">
        <f>IF(AND(WSSBK!$T$46&gt;=91.5,WSSBK!$T$46&lt;=100),"P","")</f>
        <v>P</v>
      </c>
      <c r="TV18" t="str">
        <f>IF(WSSBK!$T$58&lt;74.9,"P","")</f>
        <v/>
      </c>
      <c r="TW18" s="102" t="str">
        <f>IF(AND(WSSBK!$T$58&gt;=75,WSSBK!$T$58&lt;=83.24),"P","")</f>
        <v/>
      </c>
      <c r="TX18" s="102" t="str">
        <f>IF(AND(WSSBK!$T$58&gt;=83.25,WSSBK!$T$58&lt;=91.4),"P","")</f>
        <v/>
      </c>
      <c r="TY18" s="102" t="str">
        <f>IF(AND(WSSBK!$T$58&gt;=91.5,WSSBK!$T$58&lt;=100),"P","")</f>
        <v>P</v>
      </c>
      <c r="TZ18" t="str">
        <f>IF(WSSBK!$T$68&lt;74.9,"P","")</f>
        <v/>
      </c>
      <c r="UA18" s="102" t="str">
        <f>IF(AND(WSSBK!$T$68&gt;=75,WSSBK!$T$68&lt;=83.24),"P","")</f>
        <v/>
      </c>
      <c r="UB18" s="102" t="str">
        <f>IF(AND(WSSBK!$T$68&gt;=83.25,WSSBK!$T$68&lt;=91.4),"P","")</f>
        <v/>
      </c>
      <c r="UC18" s="102" t="str">
        <f>IF(AND(WSSBK!$T$68&gt;=91.5,WSSBK!$T$68&lt;=100),"P","")</f>
        <v>P</v>
      </c>
      <c r="UD18" t="str">
        <f>IF(WSSBK!$T$77&lt;74.9,"P","")</f>
        <v/>
      </c>
      <c r="UE18" s="102" t="str">
        <f>IF(AND(WSSBK!$T$77&gt;=75,WSSBK!$T$77&lt;=83.24),"P","")</f>
        <v/>
      </c>
      <c r="UF18" s="102" t="str">
        <f>IF(AND(WSSBK!$T$77&gt;=83.25,WSSBK!$T$77&lt;=91.4),"P","")</f>
        <v>P</v>
      </c>
      <c r="UG18" s="102" t="str">
        <f>IF(AND(WSSBK!$T$77&gt;=91.5,WSSBK!$T$77&lt;=100),"P","")</f>
        <v/>
      </c>
      <c r="UH18" t="str">
        <f>IF(WSSBK!$T$87&lt;74.9,"P","")</f>
        <v/>
      </c>
      <c r="UI18" s="102" t="str">
        <f>IF(AND(WSSBK!$T$87&gt;=75,WSSBK!$T$87&lt;=83.24),"P","")</f>
        <v/>
      </c>
      <c r="UJ18" s="102" t="str">
        <f>IF(AND(WSSBK!$T$87&gt;=83.25,WSSBK!$T$87&lt;=91.4),"P","")</f>
        <v/>
      </c>
      <c r="UK18" s="102" t="str">
        <f>IF(AND(WSSBK!$T$87&gt;=91.5,WSSBK!$T$87&lt;=100),"P","")</f>
        <v/>
      </c>
      <c r="UL18" t="str">
        <f>IF(WSSBK!$T$95&lt;74.9,"P","")</f>
        <v/>
      </c>
      <c r="UM18" s="102" t="str">
        <f>IF(AND(WSSBK!$T$95&gt;=75,WSSBK!$T$95&lt;=83.24),"P","")</f>
        <v/>
      </c>
      <c r="UN18" s="102" t="str">
        <f>IF(AND(WSSBK!$T$95&gt;=83.25,WSSBK!$T$95&lt;=91.4),"P","")</f>
        <v/>
      </c>
      <c r="UO18" s="102" t="str">
        <f>IF(AND(WSSBK!$T$95&gt;=91.5,WSSBK!$T$95&lt;=100),"P","")</f>
        <v/>
      </c>
      <c r="UP18" t="str">
        <f>IF(WSSBK!$T$103&lt;74.9,"P","")</f>
        <v/>
      </c>
      <c r="UQ18" s="102" t="str">
        <f>IF(AND(WSSBK!$T$103&gt;=75,WSSBK!$T$103&lt;=83.24),"P","")</f>
        <v/>
      </c>
      <c r="UR18" s="102" t="str">
        <f>IF(AND(WSSBK!$T$103&gt;=83.25,WSSBK!$T$103&lt;=91.4),"P","")</f>
        <v/>
      </c>
      <c r="US18" s="102" t="str">
        <f>IF(AND(WSSBK!$T$103&gt;=91.5,WSSBK!$T$103&lt;=100),"P","")</f>
        <v/>
      </c>
      <c r="UT18" t="str">
        <f>IF(WSSBK!$T$111&lt;74.9,"P","")</f>
        <v/>
      </c>
      <c r="UU18" s="102" t="str">
        <f>IF(AND(WSSBK!$T$111&gt;=75,WSSBK!$T$111&lt;=83.24),"P","")</f>
        <v/>
      </c>
      <c r="UV18" s="102" t="str">
        <f>IF(AND(WSSBK!$T$111&gt;=83.25,WSSBK!$T$111&lt;=91.4),"P","")</f>
        <v/>
      </c>
      <c r="UW18" s="102" t="str">
        <f>IF(AND(WSSBK!$T$111&gt;=91.5,WSSBK!$T$111&lt;=100),"P","")</f>
        <v/>
      </c>
      <c r="UX18" t="str">
        <f>IF(WSSBK!$T$119&lt;74.9,"P","")</f>
        <v/>
      </c>
      <c r="UY18" s="102" t="str">
        <f>IF(AND(WSSBK!$T$119&gt;=75,WSSBK!$T$119&lt;=83.24),"P","")</f>
        <v/>
      </c>
      <c r="UZ18" s="102" t="str">
        <f>IF(AND(WSSBK!$T$119&gt;=83.25,WSSBK!$T$119&lt;=91.4),"P","")</f>
        <v/>
      </c>
      <c r="VA18" s="102" t="str">
        <f>IF(AND(WSSBK!$T$119&gt;=91.5,WSSBK!$T$119&lt;=100),"P","")</f>
        <v/>
      </c>
      <c r="VB18" s="102" t="str">
        <f>IF(AND(WSPENJAS!$T$6&gt;0,WSPENJAS!$T$6&lt;=74.9),"P","")</f>
        <v/>
      </c>
      <c r="VC18" s="102" t="str">
        <f>IF(AND(WSPENJAS!$T$6&gt;=75,WSPENJAS!$T$6&lt;=83.24),"P","")</f>
        <v/>
      </c>
      <c r="VD18" s="102" t="str">
        <f>IF(AND(WSPENJAS!$T$6&gt;=83.25,WSPENJAS!$T$6&lt;=91.4),"P","")</f>
        <v/>
      </c>
      <c r="VE18" s="102" t="str">
        <f>IF(AND(WSPENJAS!$T$6&gt;=91.5,WSPENJAS!$T$6&lt;=100),"P","")</f>
        <v>P</v>
      </c>
      <c r="VF18" s="102" t="str">
        <f>IF(AND(WSPENJAS!$T$7&gt;0,WSPENJAS!$T$7&lt;=74.9),"P","")</f>
        <v/>
      </c>
      <c r="VG18" s="102" t="str">
        <f>IF(AND(WSPENJAS!$T$7&gt;=75,WSPENJAS!$T$7&lt;=83.24),"P","")</f>
        <v/>
      </c>
      <c r="VH18" s="102" t="str">
        <f>IF(AND(WSPENJAS!$T$7&gt;=83.25,WSPENJAS!$T$7&lt;=91.4),"P","")</f>
        <v/>
      </c>
      <c r="VI18" s="102" t="str">
        <f>IF(AND(WSPENJAS!$T$7&gt;=91.5,WSPENJAS!$T$7&lt;=100),"P","")</f>
        <v>P</v>
      </c>
      <c r="VJ18" s="102" t="str">
        <f>IF(AND(WSPENJAS!$T$8&gt;0,WSPENJAS!$T$8&lt;=74.9),"P","")</f>
        <v/>
      </c>
      <c r="VK18" s="102" t="str">
        <f>IF(AND(WSPENJAS!$T$8&gt;=75,WSPENJAS!$T$8&lt;=83.24),"P","")</f>
        <v/>
      </c>
      <c r="VL18" s="102" t="str">
        <f>IF(AND(WSPENJAS!$T$8&gt;=83.25,WSPENJAS!$T$8&lt;=91.4),"P","")</f>
        <v/>
      </c>
      <c r="VM18" s="102" t="str">
        <f>IF(AND(WSPENJAS!$T$8&gt;=91.5,WSPENJAS!$T$8&lt;=100),"P","")</f>
        <v>P</v>
      </c>
      <c r="VN18" s="102" t="str">
        <f>IF(AND(WSPENJAS!$T$9&gt;0,WSPENJAS!$T$9&lt;=74.9),"P","")</f>
        <v/>
      </c>
      <c r="VO18" s="102" t="str">
        <f>IF(AND(WSPENJAS!$T$9&gt;=75,WSPENJAS!$T$9&lt;=83.24),"P","")</f>
        <v/>
      </c>
      <c r="VP18" s="102" t="str">
        <f>IF(AND(WSPENJAS!$T$9&gt;=83.25,WSPENJAS!$T$9&lt;=91.4),"P","")</f>
        <v/>
      </c>
      <c r="VQ18" s="102" t="str">
        <f>IF(AND(WSPENJAS!$T$9&gt;=91.5,WSPENJAS!$T$9&lt;=100),"P","")</f>
        <v>P</v>
      </c>
      <c r="VR18" s="102" t="str">
        <f>IF(AND(WSPENJAS!$T$10&gt;0,WSPENJAS!$T$10&lt;=74.9),"P","")</f>
        <v/>
      </c>
      <c r="VS18" s="102" t="str">
        <f>IF(AND(WSPENJAS!$T$10&gt;=75,WSPENJAS!$T$10&lt;=83.24),"P","")</f>
        <v/>
      </c>
      <c r="VT18" s="102" t="str">
        <f>IF(AND(WSPENJAS!$T$10&gt;=83.25,WSPENJAS!$T$10&lt;=91.4),"P","")</f>
        <v/>
      </c>
      <c r="VU18" s="102" t="str">
        <f>IF(AND(WSPENJAS!$T$10&gt;=91.5,WSPENJAS!$T$10&lt;=100),"P","")</f>
        <v>P</v>
      </c>
      <c r="VV18" s="102" t="str">
        <f>IF(AND(WSPENJAS!$T$11&gt;0,WSPENJAS!$T$11&lt;=74.9),"P","")</f>
        <v/>
      </c>
      <c r="VW18" s="102" t="str">
        <f>IF(AND(WSPENJAS!$T$411&gt;=75,WSPENJAS!$T$411&lt;=83.24),"P","")</f>
        <v/>
      </c>
      <c r="VX18" s="102" t="str">
        <f>IF(AND(WSPENJAS!$T$411&gt;=83.25,WSPENJAS!$T$411&lt;=91.4),"P","")</f>
        <v/>
      </c>
      <c r="VY18" s="102" t="str">
        <f>IF(AND(WSPENJAS!$T$411&gt;=91.5,WSPENJAS!$T$411&lt;=100),"P","")</f>
        <v/>
      </c>
      <c r="VZ18" s="102" t="str">
        <f>IF(AND(WSPENJAS!$T$12&gt;0,WSPENJAS!$T$12&lt;=74.9),"P","")</f>
        <v/>
      </c>
      <c r="WA18" s="102" t="str">
        <f>IF(AND(WSPENJAS!$T$12&gt;=75,WSPENJAS!$T$12&lt;=83.24),"P","")</f>
        <v/>
      </c>
      <c r="WB18" s="102" t="str">
        <f>IF(AND(WSPENJAS!$T$12&gt;=83.25,WSPENJAS!$T$12&lt;=91.4),"P","")</f>
        <v/>
      </c>
      <c r="WC18" s="102" t="str">
        <f>IF(AND(WSPENJAS!$T$12&gt;=91.5,WSPENJAS!$T$12&lt;=100),"P","")</f>
        <v>P</v>
      </c>
      <c r="WD18" s="102" t="str">
        <f>IF(AND(WSPENJAS!$T$13&gt;0,WSPENJAS!$T$13&lt;=74.9),"P","")</f>
        <v/>
      </c>
      <c r="WE18" s="102" t="str">
        <f>IF(AND(WSPENJAS!$T$13&gt;=75,WSPENJAS!$T$13&lt;=83.24),"P","")</f>
        <v/>
      </c>
      <c r="WF18" s="102" t="str">
        <f>IF(AND(WSPENJAS!$T$13&gt;=83.25,WSPENJAS!$T$13&lt;=91.4),"P","")</f>
        <v/>
      </c>
      <c r="WG18" s="102" t="str">
        <f>IF(AND(WSPENJAS!$T$13&gt;=91.5,WSPENJAS!$T$13&lt;=100),"P","")</f>
        <v>P</v>
      </c>
      <c r="WH18" s="102" t="str">
        <f>IF(AND(WSPENJAS!$T$14&gt;0,WSPENJAS!$T$14&lt;=74.9),"P","")</f>
        <v/>
      </c>
      <c r="WI18" s="102" t="str">
        <f>IF(AND(WSPENJAS!$T$14&gt;=75,WSPENJAS!$T$14&lt;=83.24),"P","")</f>
        <v/>
      </c>
      <c r="WJ18" s="102" t="str">
        <f>IF(AND(WSPENJAS!$T$14&gt;=83.25,WSPENJAS!$T$14&lt;=91.4),"P","")</f>
        <v/>
      </c>
      <c r="WK18" s="102" t="str">
        <f>IF(AND(WSPENJAS!$T$14&gt;=91.5,WSPENJAS!$T$14&lt;=100),"P","")</f>
        <v>P</v>
      </c>
      <c r="WL18" s="102" t="str">
        <f>IF(AND(WSPENJAS!$T$15&gt;0,WSPENJAS!$T$15&lt;=74.9),"P","")</f>
        <v/>
      </c>
      <c r="WM18" s="102" t="str">
        <f>IF(AND(WSPENJAS!$T$15&gt;=75,WSPENJAS!$T$15&lt;=83.24),"P","")</f>
        <v/>
      </c>
      <c r="WN18" s="102" t="str">
        <f>IF(AND(WSPENJAS!$T$15&gt;=83.25,WSPENJAS!$T$15&lt;=91.4),"P","")</f>
        <v/>
      </c>
      <c r="WO18" s="102" t="str">
        <f>IF(AND(WSPENJAS!$T$15&gt;=91.5,WSPENJAS!$T$15&lt;=100),"P","")</f>
        <v>P</v>
      </c>
      <c r="WP18" s="102" t="str">
        <f>IF(AND(WSPENJAS!$T$16&gt;0,WSPENJAS!$T$16&lt;=74.9),"P","")</f>
        <v/>
      </c>
      <c r="WQ18" s="102" t="str">
        <f>IF(AND(WSPENJAS!$T$16&gt;=75,WSPENJAS!$T$16&lt;=83.24),"P","")</f>
        <v/>
      </c>
      <c r="WR18" s="102" t="str">
        <f>IF(AND(WSPENJAS!$T$16&gt;=83.25,WSPENJAS!$T$16&lt;=91.4),"P","")</f>
        <v/>
      </c>
      <c r="WS18" s="102" t="str">
        <f>IF(AND(WSPENJAS!$T$16&gt;=91.5,WSPENJAS!$T$16&lt;=100),"P","")</f>
        <v/>
      </c>
      <c r="WT18" s="102" t="str">
        <f>IF(AND(WSPENJAS!$T$17&gt;0,WSPENJAS!$T$17&lt;=74.9),"P","")</f>
        <v/>
      </c>
      <c r="WU18" s="102" t="str">
        <f>IF(AND(WSPENJAS!$T$17&gt;=75,WSPENJAS!$T$17&lt;=83.24),"P","")</f>
        <v/>
      </c>
      <c r="WV18" s="102" t="str">
        <f>IF(AND(WSPENJAS!$T$17&gt;=83.25,WSPENJAS!$T$17&lt;=91.4),"P","")</f>
        <v/>
      </c>
      <c r="WW18" s="102" t="str">
        <f>IF(AND(WSPENJAS!$T$17&gt;=91.5,WSPENJAS!$T$17&lt;=100),"P","")</f>
        <v/>
      </c>
      <c r="WX18" s="102" t="str">
        <f>IF(AND(WSPENJAS!$T$18&gt;0,WSPENJAS!$T$18&lt;=74.9),"P","")</f>
        <v/>
      </c>
      <c r="WY18" s="102" t="str">
        <f>IF(AND(WSPENJAS!$T$18&gt;=75,WSPENJAS!$T$18&lt;=83.24),"P","")</f>
        <v/>
      </c>
      <c r="WZ18" s="102" t="str">
        <f>IF(AND(WSPENJAS!$T$18&gt;=83.25,WSPENJAS!$T$18&lt;=91.4),"P","")</f>
        <v/>
      </c>
      <c r="XA18" s="102" t="str">
        <f>IF(AND(WSPENJAS!$T$18&gt;=91.5,WSPENJAS!$T$18&lt;=100),"P","")</f>
        <v/>
      </c>
      <c r="XB18" s="102" t="str">
        <f>IF(AND(WSPENJAS!$T$19&gt;0,WSPENJAS!$T$19&lt;=74.9),"P","")</f>
        <v/>
      </c>
      <c r="XC18" s="102" t="str">
        <f>IF(AND(WSPENJAS!$T$19&gt;=75,WSPENJAS!$T$19&lt;=83.24),"P","")</f>
        <v/>
      </c>
      <c r="XD18" s="102" t="str">
        <f>IF(AND(WSPENJAS!$T$19&gt;=83.25,WSPENJAS!$T$19&lt;=91.4),"P","")</f>
        <v/>
      </c>
      <c r="XE18" s="102" t="str">
        <f>IF(AND(WSPENJAS!$T$19&gt;=91.5,WSPENJAS!$T$19&lt;=100),"P","")</f>
        <v/>
      </c>
      <c r="XF18" s="102" t="str">
        <f>IF(AND(WSPENJAS!$T$20&gt;0,WSPENJAS!$T$20&lt;=74.9),"P","")</f>
        <v/>
      </c>
      <c r="XG18" s="102" t="str">
        <f>IF(AND(WSPENJAS!$T$20&gt;=75,WSPENJAS!$T$20&lt;=83.24),"P","")</f>
        <v/>
      </c>
      <c r="XH18" s="102" t="str">
        <f>IF(AND(WSPENJAS!$T$20&gt;=83.25,WSPENJAS!$T$20&lt;=91.4),"P","")</f>
        <v/>
      </c>
      <c r="XI18" s="102" t="str">
        <f>IF(AND(WSPENJAS!$T$20&gt;=91.5,WSPENJAS!$T$20&lt;=100),"P","")</f>
        <v/>
      </c>
      <c r="XJ18" s="102" t="str">
        <f>IF(AND(WSPENJAS!$T$21&gt;0,WSPENJAS!$T$21&lt;=74.9),"P","")</f>
        <v/>
      </c>
      <c r="XK18" s="102" t="str">
        <f>IF(AND(WSPENJAS!$T$21&gt;=75,WSPENJAS!$T$21&lt;=83.24),"P","")</f>
        <v/>
      </c>
      <c r="XL18" s="102" t="str">
        <f>IF(AND(WSPENJAS!$T$21&gt;=83.25,WSPENJAS!$T$21&lt;=91.4),"P","")</f>
        <v/>
      </c>
      <c r="XM18" s="102" t="str">
        <f>IF(AND(WSPENJAS!$T$21&gt;=91.5,WSPENJAS!$T$21&lt;=100),"P","")</f>
        <v/>
      </c>
      <c r="XN18" t="str">
        <f>IF(WSJAWA!$T$6&lt;74.9,"P","")</f>
        <v/>
      </c>
      <c r="XO18" s="102" t="str">
        <f>IF(AND(WSJAWA!$T$6&gt;=75,WSJAWA!$T$6&lt;=83.24),"P","")</f>
        <v/>
      </c>
      <c r="XP18" s="102" t="str">
        <f>IF(AND(WSJAWA!$T$6&gt;=83.25,WSJAWA!$T$6&lt;=91.4),"P","")</f>
        <v/>
      </c>
      <c r="XQ18" s="102" t="str">
        <f>IF(AND(WSJAWA!$T$6&gt;=91.5,WSJAWA!$T$6&lt;=100),"P","")</f>
        <v>P</v>
      </c>
      <c r="XR18" t="str">
        <f>IF(WSJAWA!$T$14&lt;74.9,"P","")</f>
        <v/>
      </c>
      <c r="XS18" s="102" t="str">
        <f>IF(AND(WSJAWA!$T$14&gt;=75,WSJAWA!$T$14&lt;=83.24),"P","")</f>
        <v/>
      </c>
      <c r="XT18" s="102" t="str">
        <f>IF(AND(WSJAWA!$T$14&gt;=83.25,WSJAWA!$T$14&lt;=91.4),"P","")</f>
        <v>P</v>
      </c>
      <c r="XU18" s="102" t="str">
        <f>IF(AND(WSJAWA!$T$14&gt;=91.5,WSJAWA!$T$14&lt;=100),"P","")</f>
        <v/>
      </c>
      <c r="XV18" t="str">
        <f>IF(WSJAWA!$T$22&lt;74.9,"P","")</f>
        <v/>
      </c>
      <c r="XW18" s="102" t="str">
        <f>IF(AND(WSJAWA!$T$22&gt;=75,WSJAWA!$T$22&lt;=83.24),"P","")</f>
        <v/>
      </c>
      <c r="XX18" s="102" t="str">
        <f>IF(AND(WSJAWA!$T$22&gt;=83.25,WSJAWA!$T$22&lt;=91.4),"P","")</f>
        <v>P</v>
      </c>
      <c r="XY18" s="102" t="str">
        <f>IF(AND(WSJAWA!$T$22&gt;=91.5,WSJAWA!$T$22&lt;=100),"P","")</f>
        <v/>
      </c>
      <c r="XZ18" t="str">
        <f>IF(WSJAWA!$T$30&lt;74.9,"P","")</f>
        <v/>
      </c>
      <c r="YA18" s="102" t="str">
        <f>IF(AND(WSJAWA!$T$30&gt;=75,WSJAWA!$T$30&lt;=83.24),"P","")</f>
        <v/>
      </c>
      <c r="YB18" s="102" t="str">
        <f>IF(AND(WSJAWA!$T$30&gt;=83.25,WSJAWA!$T$30&lt;=91.4),"P","")</f>
        <v/>
      </c>
      <c r="YC18" s="102" t="str">
        <f>IF(AND(WSJAWA!$T$30&gt;=91.5,WSJAWA!$T$30&lt;=100),"P","")</f>
        <v>P</v>
      </c>
      <c r="YD18" t="str">
        <f>IF(WSJAWA!$T$38&lt;74.9,"P","")</f>
        <v/>
      </c>
      <c r="YE18" s="102" t="str">
        <f>IF(AND(WSJAWA!$T$38&gt;=75,WSJAWA!$T$38&lt;=83.24),"P","")</f>
        <v/>
      </c>
      <c r="YF18" s="102" t="str">
        <f>IF(AND(WSJAWA!$T$38&gt;=83.25,WSJAWA!$T$38&lt;=91.4),"P","")</f>
        <v>P</v>
      </c>
      <c r="YG18" s="102" t="str">
        <f>IF(AND(WSJAWA!$T$38&gt;=91.5,WSJAWA!$T$38&lt;=100),"P","")</f>
        <v/>
      </c>
      <c r="YH18" t="str">
        <f>IF(WSJAWA!$T$46&lt;74.9,"P","")</f>
        <v/>
      </c>
      <c r="YI18" s="102" t="str">
        <f>IF(AND(WSJAWA!$T$46&gt;=75,WSJAWA!$T$46&lt;=83.24),"P","")</f>
        <v>P</v>
      </c>
      <c r="YJ18" s="102" t="str">
        <f>IF(AND(WSJAWA!$T$46&gt;=83.25,WSJAWA!$T$46&lt;=91.4),"P","")</f>
        <v/>
      </c>
      <c r="YK18" s="102" t="str">
        <f>IF(AND(WSJAWA!$T$46&gt;=91.5,WSJAWA!$T$46&lt;=100),"P","")</f>
        <v/>
      </c>
      <c r="YL18" t="str">
        <f>IF(WSJAWA!$T$54&lt;74.9,"P","")</f>
        <v/>
      </c>
      <c r="YM18" s="102" t="str">
        <f>IF(AND(WSJAWA!$T$54&gt;=75,WSJAWA!$T$54&lt;=83.24),"P","")</f>
        <v/>
      </c>
      <c r="YN18" s="102" t="str">
        <f>IF(AND(WSJAWA!$T$54&gt;=83.25,WSJAWA!$T$54&lt;=91.4),"P","")</f>
        <v/>
      </c>
      <c r="YO18" s="102" t="str">
        <f>IF(AND(WSJAWA!$T$54&gt;=91.5,WSJAWA!$T$54&lt;=100),"P","")</f>
        <v>P</v>
      </c>
      <c r="YP18" t="str">
        <f>IF(WSJAWA!$T$62&lt;74.9,"P","")</f>
        <v/>
      </c>
      <c r="YQ18" s="102" t="str">
        <f>IF(AND(WSJAWA!$T$62&gt;=75,WSJAWA!$T$62&lt;=83.24),"P","")</f>
        <v/>
      </c>
      <c r="YR18" s="102" t="str">
        <f>IF(AND(WSJAWA!$T$62&gt;=83.25,WSJAWA!$T$62&lt;=91.4),"P","")</f>
        <v/>
      </c>
      <c r="YS18" s="102" t="str">
        <f>IF(AND(WSJAWA!$T$62&gt;=91.5,WSJAWA!$T$62&lt;=100),"P","")</f>
        <v>P</v>
      </c>
      <c r="YT18" t="str">
        <f>IF(WSJAWA!$T$70&lt;74.9,"P","")</f>
        <v/>
      </c>
      <c r="YU18" s="102" t="str">
        <f>IF(AND(WSJAWA!$T$70&gt;=75,WSJAWA!$T$70&lt;=83.24),"P","")</f>
        <v/>
      </c>
      <c r="YV18" s="102" t="str">
        <f>IF(AND(WSJAWA!$T$70&gt;=83.25,WSJAWA!$T$70&lt;=91.4),"P","")</f>
        <v/>
      </c>
      <c r="YW18" s="102" t="str">
        <f>IF(AND(WSJAWA!$T$70&gt;=91.5,WSJAWA!$T$70&lt;=100),"P","")</f>
        <v/>
      </c>
      <c r="YX18" t="str">
        <f>IF(WSJAWA!$T$78&lt;74.9,"P","")</f>
        <v/>
      </c>
      <c r="YY18" s="102" t="str">
        <f>IF(AND(WSJAWA!$T$78&gt;=75,WSJAWA!$T$78&lt;=83.24),"P","")</f>
        <v/>
      </c>
      <c r="YZ18" s="102" t="str">
        <f>IF(AND(WSJAWA!$T$78&gt;=83.25,WSJAWA!$T$78&lt;=91.4),"P","")</f>
        <v/>
      </c>
      <c r="ZA18" s="102" t="str">
        <f>IF(AND(WSJAWA!$T$78&gt;=91.5,WSJAWA!$T$78&lt;=100),"P","")</f>
        <v/>
      </c>
      <c r="ZB18" t="str">
        <f>IF(WSJAWA!$T$86&lt;74.9,"P","")</f>
        <v/>
      </c>
      <c r="ZC18" s="102" t="str">
        <f>IF(AND(WSJAWA!$T$86&gt;=75,WSJAWA!$T$86&lt;=83.24),"P","")</f>
        <v/>
      </c>
      <c r="ZD18" s="102" t="str">
        <f>IF(AND(WSJAWA!$T$86&gt;=83.25,WSJAWA!$T$86&lt;=91.4),"P","")</f>
        <v/>
      </c>
      <c r="ZE18" s="102" t="str">
        <f>IF(AND(WSJAWA!$T$86&gt;=91.5,WSJAWA!$T$86&lt;=100),"P","")</f>
        <v/>
      </c>
      <c r="ZF18" t="str">
        <f>IF(WSJAWA!$T$94&lt;74.9,"P","")</f>
        <v/>
      </c>
      <c r="ZG18" s="102" t="str">
        <f>IF(AND(WSJAWA!$T$94&gt;=75,WSJAWA!$T$94&lt;=83.24),"P","")</f>
        <v/>
      </c>
      <c r="ZH18" s="102" t="str">
        <f>IF(AND(WSJAWA!$T$94&gt;=83.25,WSJAWA!$T$94&lt;=91.4),"P","")</f>
        <v/>
      </c>
      <c r="ZI18" s="102" t="str">
        <f>IF(AND(WSJAWA!$T$94&gt;=91.5,WSJAWA!$T$94&lt;=100),"P","")</f>
        <v/>
      </c>
      <c r="ZJ18" t="str">
        <f>IF(WSJAWA!$T$102&lt;74.9,"P","")</f>
        <v/>
      </c>
      <c r="ZK18" s="102" t="str">
        <f>IF(AND(WSJAWA!$T$102&gt;=75,WSJAWA!$T$102&lt;=83.24),"P","")</f>
        <v/>
      </c>
      <c r="ZL18" s="102" t="str">
        <f>IF(AND(WSJAWA!$T$102&gt;=83.25,WSJAWA!$T$102&lt;=91.4),"P","")</f>
        <v/>
      </c>
      <c r="ZM18" s="102" t="str">
        <f>IF(AND(WSJAWA!$T$102&gt;=91.5,WSJAWA!$T$102&lt;=100),"P","")</f>
        <v/>
      </c>
      <c r="ZN18" t="str">
        <f>IF(WSING!$T$6&lt;74.9,"P","")</f>
        <v/>
      </c>
      <c r="ZO18" s="102" t="str">
        <f>IF(AND(WSING!$T$6&gt;=75,WSING!$T$6&lt;=83.24),"P","")</f>
        <v/>
      </c>
      <c r="ZP18" s="102" t="str">
        <f>IF(AND(WSING!$T$6&gt;=83.25,WSING!$T$6&lt;=91.4),"P","")</f>
        <v/>
      </c>
      <c r="ZQ18" s="102" t="str">
        <f>IF(AND(WSING!$T$6&gt;=91.5,WSING!$T$6&lt;=100),"P","")</f>
        <v>P</v>
      </c>
      <c r="ZR18" t="str">
        <f>IF(WSING!$T$15&lt;74.9,"P","")</f>
        <v/>
      </c>
      <c r="ZS18" s="102" t="str">
        <f>IF(AND(WSING!$T$15&gt;=75,WSING!$T$15&lt;=83.24),"P","")</f>
        <v/>
      </c>
      <c r="ZT18" s="102" t="str">
        <f>IF(AND(WSING!$T$15&gt;=83.25,WSING!$T$15&lt;=91.4),"P","")</f>
        <v/>
      </c>
      <c r="ZU18" s="102" t="str">
        <f>IF(AND(WSING!$T$15&gt;=91.5,WSING!$T$15&lt;=100),"P","")</f>
        <v>P</v>
      </c>
      <c r="ZV18" t="str">
        <f>IF(WSING!$T$24&lt;74.9,"P","")</f>
        <v/>
      </c>
      <c r="ZW18" s="102" t="str">
        <f>IF(AND(WSING!$T$24&gt;=75,WSING!$T$24&lt;=83.24),"P","")</f>
        <v/>
      </c>
      <c r="ZX18" s="102" t="str">
        <f>IF(AND(WSING!$T$24&gt;=83.25,WSING!$T$24&lt;=91.4),"P","")</f>
        <v/>
      </c>
      <c r="ZY18" s="102" t="str">
        <f>IF(AND(WSING!$T$24&gt;=91.5,WSING!$T$24&lt;=100),"P","")</f>
        <v>P</v>
      </c>
      <c r="ZZ18" t="str">
        <f>IF(WSING!$T$33&lt;74.9,"P","")</f>
        <v/>
      </c>
      <c r="AAA18" s="102" t="str">
        <f>IF(AND(WSING!$T$33&gt;=75,WSING!$T$33&lt;=83.24),"P","")</f>
        <v/>
      </c>
      <c r="AAB18" s="102" t="str">
        <f>IF(AND(WSING!$T$33&gt;=83.25,WSING!$T$33&lt;=91.4),"P","")</f>
        <v/>
      </c>
      <c r="AAC18" s="102" t="str">
        <f>IF(AND(WSING!$T$33&gt;=91.5,WSING!$T$33&lt;=100),"P","")</f>
        <v>P</v>
      </c>
      <c r="AAD18" t="str">
        <f>IF(WSING!$T$42&lt;74.9,"P","")</f>
        <v/>
      </c>
      <c r="AAE18" s="102" t="str">
        <f>IF(AND(WSING!$T$42&gt;=75,WSING!$T$42&lt;=83.24),"P","")</f>
        <v/>
      </c>
      <c r="AAF18" s="102" t="str">
        <f>IF(AND(WSING!$T$42&gt;=83.25,WSING!$T$42&lt;=91.4),"P","")</f>
        <v/>
      </c>
      <c r="AAG18" s="102" t="str">
        <f>IF(AND(WSING!$T$42&gt;=91.5,WSING!$T$42&lt;=100),"P","")</f>
        <v/>
      </c>
      <c r="AAH18" t="str">
        <f>IF(WSING!$T$50&lt;74.9,"P","")</f>
        <v/>
      </c>
      <c r="AAI18" s="102" t="str">
        <f>IF(AND(WSING!$T$50&gt;=75,WSING!$T$50&lt;=83.24),"P","")</f>
        <v/>
      </c>
      <c r="AAJ18" s="102" t="str">
        <f>IF(AND(WSING!$T$50&gt;=83.25,WSING!$T$50&lt;=91.4),"P","")</f>
        <v/>
      </c>
      <c r="AAK18" s="102" t="str">
        <f>IF(AND(WSING!$T$50&gt;=91.5,WSING!$T$50&lt;=100),"P","")</f>
        <v/>
      </c>
      <c r="AAL18" t="str">
        <f>IF(WSING!$T$58&lt;74.9,"P","")</f>
        <v/>
      </c>
      <c r="AAM18" s="102" t="str">
        <f>IF(AND(WSING!$T$58&gt;=75,WSING!$T$58&lt;=83.24),"P","")</f>
        <v/>
      </c>
      <c r="AAN18" s="102" t="str">
        <f>IF(AND(WSING!$T$58&gt;=83.25,WSING!$T$58&lt;=91.4),"P","")</f>
        <v/>
      </c>
      <c r="AAO18" s="102" t="str">
        <f>IF(AND(WSING!$T$58&gt;=91.5,WSING!$T$58&lt;=100),"P","")</f>
        <v/>
      </c>
      <c r="AAP18" t="str">
        <f>IF(WSING!$T$66&lt;74.9,"P","")</f>
        <v/>
      </c>
      <c r="AAQ18" s="102" t="str">
        <f>IF(AND(WSING!$T$66&gt;=75,WSING!$T$66&lt;=83.24),"P","")</f>
        <v/>
      </c>
      <c r="AAR18" s="102" t="str">
        <f>IF(AND(WSING!$T$66&gt;=83.25,WSING!$T$66&lt;=91.4),"P","")</f>
        <v/>
      </c>
      <c r="AAS18" s="102" t="str">
        <f>IF(AND(WSING!$T$66&gt;=91.5,WSING!$T$66&lt;=100),"P","")</f>
        <v/>
      </c>
      <c r="AAT18" t="str">
        <f>IF(WSING!$T$74&lt;74.9,"P","")</f>
        <v/>
      </c>
      <c r="AAU18" s="102" t="str">
        <f>IF(AND(WSING!$T$74&gt;=75,WSING!$T$74&lt;=83.24),"P","")</f>
        <v/>
      </c>
      <c r="AAV18" s="102" t="str">
        <f>IF(AND(WSING!$T$74&gt;=83.25,WSING!$T$74&lt;=91.4),"P","")</f>
        <v/>
      </c>
      <c r="AAW18" s="102" t="str">
        <f>IF(AND(WSING!$T$74&gt;=91.5,WSING!$T$74&lt;=100),"P","")</f>
        <v/>
      </c>
      <c r="AAX18" t="str">
        <f>IF(WSING!$T$82&lt;74.9,"P","")</f>
        <v/>
      </c>
      <c r="AAY18" s="102" t="str">
        <f>IF(AND(WSING!$T$82&gt;=75,WSING!$T$82&lt;=83.24),"P","")</f>
        <v/>
      </c>
      <c r="AAZ18" s="102" t="str">
        <f>IF(AND(WSING!$T$82&gt;=83.25,WSING!$T$82&lt;=91.4),"P","")</f>
        <v/>
      </c>
      <c r="ABA18" s="102" t="str">
        <f>IF(AND(WSING!$T$82&gt;=91.5,WSING!$T$82&lt;=100),"P","")</f>
        <v/>
      </c>
      <c r="ABB18" t="str">
        <f>IF(WSING!$T$90&lt;74.9,"P","")</f>
        <v/>
      </c>
      <c r="ABC18" s="102" t="str">
        <f>IF(AND(WSING!$T$90&gt;=75,WSING!$T$90&lt;=83.24),"P","")</f>
        <v/>
      </c>
      <c r="ABD18" s="102" t="str">
        <f>IF(AND(WSING!$T$90&gt;=83.25,WSING!$T$90&lt;=91.4),"P","")</f>
        <v/>
      </c>
      <c r="ABE18" s="102" t="str">
        <f>IF(AND(WSING!$T$90&gt;=91.5,WSING!$T$90&lt;=100),"P","")</f>
        <v/>
      </c>
      <c r="ABF18" t="str">
        <f>IF(WSING!$T$98&lt;74.9,"P","")</f>
        <v/>
      </c>
      <c r="ABG18" s="102" t="str">
        <f>IF(AND(WSING!$T$98&gt;=75,WSING!$T$98&lt;=83.24),"P","")</f>
        <v/>
      </c>
      <c r="ABH18" s="102" t="str">
        <f>IF(AND(WSING!$T$98&gt;=83.25,WSING!$T$98&lt;=91.4),"P","")</f>
        <v/>
      </c>
      <c r="ABI18" s="102" t="str">
        <f>IF(AND(WSING!$T$98&gt;=91.5,WSING!$T$98&lt;=100),"P","")</f>
        <v/>
      </c>
      <c r="ABJ18" t="str">
        <f>IF(WSING!$T$106&lt;74.9,"P","")</f>
        <v/>
      </c>
      <c r="ABK18" s="102" t="str">
        <f>IF(AND(WSING!$T$106&gt;=75,WSING!$T$106&lt;=83.24),"P","")</f>
        <v/>
      </c>
      <c r="ABL18" s="102" t="str">
        <f>IF(AND(WSING!$T$106&gt;=83.25,WSING!$T$106&lt;=91.4),"P","")</f>
        <v/>
      </c>
      <c r="ABM18" s="102" t="str">
        <f>IF(AND(WSING!$T$106&gt;=91.5,WSING!$T$106&lt;=100),"P","")</f>
        <v/>
      </c>
      <c r="ABN18" t="str">
        <f>IF(WSTIK!$T$6&lt;74.9,"P","")</f>
        <v/>
      </c>
      <c r="ABO18" s="102" t="str">
        <f>IF(AND(WSTIK!$T$6&gt;=75,WSTIK!$T$6&lt;=83.24),"P","")</f>
        <v/>
      </c>
      <c r="ABP18" s="102" t="str">
        <f>IF(AND(WSTIK!$T$6&gt;=83.25,WSTIK!$T$6&lt;=91.4),"P","")</f>
        <v/>
      </c>
      <c r="ABQ18" s="102" t="str">
        <f>IF(AND(WSTIK!$T$6&gt;=91.5,WSTIK!$T$6&lt;=100),"P","")</f>
        <v/>
      </c>
      <c r="ABR18" t="str">
        <f>IF(WSTIK!$T$14&lt;74.9,"P","")</f>
        <v/>
      </c>
      <c r="ABS18" s="102" t="str">
        <f>IF(AND(WSTIK!$T$14&gt;=75,WSTIK!$T$14&lt;=83.24),"P","")</f>
        <v/>
      </c>
      <c r="ABT18" s="102" t="str">
        <f>IF(AND(WSTIK!$T$14&gt;=83.25,WSTIK!$T$14&lt;=91.4),"P","")</f>
        <v/>
      </c>
      <c r="ABU18" s="102" t="str">
        <f>IF(AND(WSTIK!$T$14&gt;=91.5,WSTIK!$T$14&lt;=100),"P","")</f>
        <v/>
      </c>
      <c r="ABV18" t="str">
        <f>IF(WSTIK!$T$22&lt;74.9,"P","")</f>
        <v/>
      </c>
      <c r="ABW18" s="102" t="str">
        <f>IF(AND(WSTIK!$T$22&gt;=75,WSTIK!$T$22&lt;=83.24),"P","")</f>
        <v/>
      </c>
      <c r="ABX18" s="102" t="str">
        <f>IF(AND(WSTIK!$T$22&gt;=83.25,WSTIK!$T$22&lt;=91.4),"P","")</f>
        <v/>
      </c>
      <c r="ABY18" s="102" t="str">
        <f>IF(AND(WSTIK!$T$22&gt;=91.5,WSTIK!$T$22&lt;=100),"P","")</f>
        <v/>
      </c>
      <c r="ABZ18" t="str">
        <f>IF(WSTIK!$T$30&lt;74.9,"P","")</f>
        <v/>
      </c>
      <c r="ACA18" s="102" t="str">
        <f>IF(AND(WSTIK!$T$30&gt;=75,WSTIK!$T$30&lt;=83.24),"P","")</f>
        <v/>
      </c>
      <c r="ACB18" s="102" t="str">
        <f>IF(AND(WSTIK!$T$30&gt;=83.25,WSTIK!$T$30&lt;=91.4),"P","")</f>
        <v/>
      </c>
      <c r="ACC18" s="102" t="str">
        <f>IF(AND(WSTIK!$T$30&gt;=91.5,WSTIK!$T$30&lt;=100),"P","")</f>
        <v/>
      </c>
      <c r="ACD18" t="str">
        <f>IF(WSTIK!$T$38&lt;74.9,"P","")</f>
        <v/>
      </c>
      <c r="ACE18" s="102" t="str">
        <f>IF(AND(WSTIK!$T$38&gt;=75,WSTIK!$T$38&lt;=83.24),"P","")</f>
        <v/>
      </c>
      <c r="ACF18" s="102" t="str">
        <f>IF(AND(WSTIK!$T$38&gt;=83.25,WSTIK!$T$38&lt;=91.4),"P","")</f>
        <v/>
      </c>
      <c r="ACG18" s="102" t="str">
        <f>IF(AND(WSTIK!$T$38&gt;=91.5,WSTIK!$T$38&lt;=100),"P","")</f>
        <v/>
      </c>
      <c r="ACH18" t="str">
        <f>IF(WSTIK!$T$46&lt;74.9,"P","")</f>
        <v/>
      </c>
      <c r="ACI18" s="102" t="str">
        <f>IF(AND(WSTIK!$T$46&gt;=75,WSTIK!$T$46&lt;=83.24),"P","")</f>
        <v/>
      </c>
      <c r="ACJ18" s="102" t="str">
        <f>IF(AND(WSTIK!$T$46&gt;=83.25,WSTIK!$T$46&lt;=91.4),"P","")</f>
        <v/>
      </c>
      <c r="ACK18" s="102" t="str">
        <f>IF(AND(WSTIK!$T$46&gt;=91.5,WSTIK!$T$46&lt;=100),"P","")</f>
        <v/>
      </c>
      <c r="ACL18" t="str">
        <f>IF(WSTIK!$T$54&lt;74.9,"P","")</f>
        <v/>
      </c>
      <c r="ACM18" s="102" t="str">
        <f>IF(AND(WSTIK!$T$54&gt;=75,WSTIK!$T$54&lt;=83.24),"P","")</f>
        <v/>
      </c>
      <c r="ACN18" s="102" t="str">
        <f>IF(AND(WSTIK!$T$54&gt;=83.25,WSTIK!$T$54&lt;=91.4),"P","")</f>
        <v/>
      </c>
      <c r="ACO18" s="102" t="str">
        <f>IF(AND(WSTIK!$T$54&gt;=91.5,WSTIK!$T$54&lt;=100),"P","")</f>
        <v/>
      </c>
      <c r="ACP18" t="str">
        <f>IF(WSTIK!$T$62&lt;74.9,"P","")</f>
        <v/>
      </c>
      <c r="ACQ18" s="102" t="str">
        <f>IF(AND(WSTIK!$T$62&gt;=75,WSTIK!$T$62&lt;=83.24),"P","")</f>
        <v/>
      </c>
      <c r="ACR18" s="102" t="str">
        <f>IF(AND(WSTIK!$T$62&gt;=83.25,WSTIK!$T$62&lt;=91.4),"P","")</f>
        <v/>
      </c>
      <c r="ACS18" s="102" t="str">
        <f>IF(AND(WSTIK!$T$62&gt;=91.5,WSTIK!$T$62&lt;=100),"P","")</f>
        <v/>
      </c>
      <c r="ACT18" t="str">
        <f>IF(WSTIK!$T$70&lt;74.9,"P","")</f>
        <v/>
      </c>
      <c r="ACU18" s="102" t="str">
        <f>IF(AND(WSTIK!$T$70&gt;=75,WSTIK!$T$70&lt;=83.24),"P","")</f>
        <v/>
      </c>
      <c r="ACV18" s="102" t="str">
        <f>IF(AND(WSTIK!$T$70&gt;=83.25,WSTIK!$T$70&lt;=91.4),"P","")</f>
        <v/>
      </c>
      <c r="ACW18" s="102" t="str">
        <f>IF(AND(WSTIK!$T$70&gt;=91.5,WSTIK!$T$70&lt;=100),"P","")</f>
        <v/>
      </c>
      <c r="ACX18" t="str">
        <f>IF(WSTIK!$T$78&lt;74.9,"P","")</f>
        <v/>
      </c>
      <c r="ACY18" s="102" t="str">
        <f>IF(AND(WSTIK!$T$78&gt;=75,WSTIK!$T$78&lt;=83.24),"P","")</f>
        <v/>
      </c>
      <c r="ACZ18" s="102" t="str">
        <f>IF(AND(WSTIK!$T$78&gt;=83.25,WSTIK!$T$78&lt;=91.4),"P","")</f>
        <v/>
      </c>
      <c r="ADA18" s="102" t="str">
        <f>IF(AND(WSTIK!$T$78&gt;=91.5,WSTIK!$T$78&lt;=100),"P","")</f>
        <v/>
      </c>
      <c r="ADB18" t="str">
        <f>IF(WSTIK!$T$86&lt;74.9,"P","")</f>
        <v/>
      </c>
      <c r="ADC18" s="102" t="str">
        <f>IF(AND(WSTIK!$T$86&gt;=75,WSTIK!$T$86&lt;=83.24),"P","")</f>
        <v/>
      </c>
      <c r="ADD18" s="102" t="str">
        <f>IF(AND(WSTIK!$T$86&gt;=83.25,WSTIK!$T$86&lt;=91.4),"P","")</f>
        <v/>
      </c>
      <c r="ADE18" s="102" t="str">
        <f>IF(AND(WSTIK!$T$86&gt;=91.5,WSTIK!$T$86&lt;=100),"P","")</f>
        <v/>
      </c>
      <c r="ADF18" t="str">
        <f>IF(WSTIK!$T$94&lt;74.9,"P","")</f>
        <v/>
      </c>
      <c r="ADG18" s="102" t="str">
        <f>IF(AND(WSTIK!$T$94&gt;=75,WSTIK!$T$94&lt;=83.24),"P","")</f>
        <v/>
      </c>
      <c r="ADH18" s="102" t="str">
        <f>IF(AND(WSTIK!$T$94&gt;=83.25,WSTIK!$T$94&lt;=91.4),"P","")</f>
        <v/>
      </c>
      <c r="ADI18" s="102" t="str">
        <f>IF(AND(WSTIK!$T$94&gt;=91.5,WSTIK!$T$94&lt;=100),"P","")</f>
        <v/>
      </c>
      <c r="ADJ18" t="str">
        <f>IF(WSTIK!$T$102&lt;74.9,"P","")</f>
        <v/>
      </c>
      <c r="ADK18" s="102" t="str">
        <f>IF(AND(WSTIK!$T$102&gt;=75,WSTIK!$T$102&lt;=83.24),"P","")</f>
        <v/>
      </c>
      <c r="ADL18" s="102" t="str">
        <f>IF(AND(WSTIK!$T$102&gt;=83.25,WSTIK!$T$102&lt;=91.4),"P","")</f>
        <v/>
      </c>
      <c r="ADM18" s="102" t="str">
        <f>IF(AND(WSTIK!$T$102&gt;=91.5,WSTIK!$T$102&lt;=100),"P","")</f>
        <v/>
      </c>
      <c r="ADN18" t="str">
        <f>IF(WSASWAJA!$T$6&lt;74.9,"P","")</f>
        <v/>
      </c>
      <c r="ADO18" s="102" t="str">
        <f>IF(AND(WSASWAJA!$T$6&gt;=75,WSASWAJA!$T$6&lt;=83.24),"P","")</f>
        <v/>
      </c>
      <c r="ADP18" s="102" t="str">
        <f>IF(AND(WSASWAJA!$T$6&gt;=83.25,WSASWAJA!$T$6&lt;=91.4),"P","")</f>
        <v/>
      </c>
      <c r="ADQ18" s="102" t="str">
        <f>IF(AND(WSASWAJA!$T$6&gt;=91.5,WSASWAJA!$T$6&lt;=100),"P","")</f>
        <v/>
      </c>
      <c r="ADR18" t="str">
        <f>IF(WSASWAJA!$T$14&lt;74.9,"P","")</f>
        <v/>
      </c>
      <c r="ADS18" s="102" t="str">
        <f>IF(AND(WSASWAJA!$T$14&gt;=75,WSASWAJA!$T$14&lt;=83.24),"P","")</f>
        <v/>
      </c>
      <c r="ADT18" s="102" t="str">
        <f>IF(AND(WSASWAJA!$T$14&gt;=83.25,WSASWAJA!$T$14&lt;=91.4),"P","")</f>
        <v/>
      </c>
      <c r="ADU18" s="102" t="str">
        <f>IF(AND(WSASWAJA!$T$14&gt;=91.5,WSASWAJA!$T$14&lt;=100),"P","")</f>
        <v/>
      </c>
      <c r="ADV18" t="str">
        <f>IF(WSASWAJA!$T$22&lt;74.9,"P","")</f>
        <v/>
      </c>
      <c r="ADW18" s="102" t="str">
        <f>IF(AND(WSASWAJA!$T$22&gt;=75,WSASWAJA!$T$22&lt;=83.24),"P","")</f>
        <v/>
      </c>
      <c r="ADX18" s="102" t="str">
        <f>IF(AND(WSASWAJA!$T$22&gt;=83.25,WSASWAJA!$T$22&lt;=91.4),"P","")</f>
        <v/>
      </c>
      <c r="ADY18" s="102" t="str">
        <f>IF(AND(WSASWAJA!$T$22&gt;=91.5,WSASWAJA!$T$22&lt;=100),"P","")</f>
        <v/>
      </c>
      <c r="ADZ18" t="str">
        <f>IF(WSASWAJA!$T$30&lt;74.9,"P","")</f>
        <v/>
      </c>
      <c r="AEA18" s="102" t="str">
        <f>IF(AND(WSASWAJA!$T$30&gt;=75,WSASWAJA!$T$30&lt;=83.24),"P","")</f>
        <v/>
      </c>
      <c r="AEB18" s="102" t="str">
        <f>IF(AND(WSASWAJA!$T$30&gt;=83.25,WSASWAJA!$T$30&lt;=91.4),"P","")</f>
        <v/>
      </c>
      <c r="AEC18" s="102" t="str">
        <f>IF(AND(WSASWAJA!$T$30&gt;=91.5,WSASWAJA!$T$30&lt;=100),"P","")</f>
        <v/>
      </c>
      <c r="AED18" t="str">
        <f>IF(WSASWAJA!$T$38&lt;74.9,"P","")</f>
        <v/>
      </c>
      <c r="AEE18" s="102" t="str">
        <f>IF(AND(WSASWAJA!$T$38&gt;=75,WSASWAJA!$T$38&lt;=83.24),"P","")</f>
        <v/>
      </c>
      <c r="AEF18" s="102" t="str">
        <f>IF(AND(WSASWAJA!$T$38&gt;=83.25,WSASWAJA!$T$38&lt;=91.4),"P","")</f>
        <v/>
      </c>
      <c r="AEG18" s="102" t="str">
        <f>IF(AND(WSASWAJA!$T$38&gt;=91.5,WSASWAJA!$T$38&lt;=100),"P","")</f>
        <v/>
      </c>
      <c r="AEH18" t="str">
        <f>IF(WSASWAJA!$T$46&lt;74.9,"P","")</f>
        <v/>
      </c>
      <c r="AEI18" s="102" t="str">
        <f>IF(AND(WSASWAJA!$T$46&gt;=75,WSASWAJA!$T$46&lt;=83.24),"P","")</f>
        <v/>
      </c>
      <c r="AEJ18" s="102" t="str">
        <f>IF(AND(WSASWAJA!$T$46&gt;=83.25,WSASWAJA!$T$46&lt;=91.4),"P","")</f>
        <v/>
      </c>
      <c r="AEK18" s="102" t="str">
        <f>IF(AND(WSASWAJA!$T$46&gt;=91.5,WSASWAJA!$T$46&lt;=100),"P","")</f>
        <v/>
      </c>
      <c r="AEL18" t="str">
        <f>IF(WSASWAJA!$T$54&lt;74.9,"P","")</f>
        <v/>
      </c>
      <c r="AEM18" s="102" t="str">
        <f>IF(AND(WSASWAJA!$T$54&gt;=75,WSASWAJA!$T$54&lt;=83.24),"P","")</f>
        <v/>
      </c>
      <c r="AEN18" s="102" t="str">
        <f>IF(AND(WSASWAJA!$T$54&gt;=83.25,WSASWAJA!$T$54&lt;=91.4),"P","")</f>
        <v/>
      </c>
      <c r="AEO18" s="102" t="str">
        <f>IF(AND(WSASWAJA!$T$54&gt;=91.5,WSASWAJA!$T$54&lt;=100),"P","")</f>
        <v/>
      </c>
      <c r="AEP18" t="str">
        <f>IF(WSASWAJA!$T$62&lt;74.9,"P","")</f>
        <v/>
      </c>
      <c r="AEQ18" s="102" t="str">
        <f>IF(AND(WSASWAJA!$T$62&gt;=75,WSASWAJA!$T$62&lt;=83.24),"P","")</f>
        <v/>
      </c>
      <c r="AER18" s="102" t="str">
        <f>IF(AND(WSASWAJA!$T$62&gt;=83.25,WSASWAJA!$T$62&lt;=91.4),"P","")</f>
        <v/>
      </c>
      <c r="AES18" s="102" t="str">
        <f>IF(AND(WSASWAJA!$T$62&gt;=91.5,WSASWAJA!$T$62&lt;=100),"P","")</f>
        <v/>
      </c>
      <c r="AET18" t="str">
        <f>IF(WSASWAJA!$T$70&lt;74.9,"P","")</f>
        <v/>
      </c>
      <c r="AEU18" s="102" t="str">
        <f>IF(AND(WSASWAJA!$T$70&gt;=75,WSASWAJA!$T$70&lt;=83.24),"P","")</f>
        <v/>
      </c>
      <c r="AEV18" s="102" t="str">
        <f>IF(AND(WSASWAJA!$T$70&gt;=83.25,WSASWAJA!$T$70&lt;=91.4),"P","")</f>
        <v/>
      </c>
      <c r="AEW18" s="102" t="str">
        <f>IF(AND(WSASWAJA!$T$70&gt;=91.5,WSASWAJA!$T$70&lt;=100),"P","")</f>
        <v/>
      </c>
      <c r="AEX18" t="str">
        <f>IF(WSASWAJA!$T$78&lt;74.9,"P","")</f>
        <v/>
      </c>
      <c r="AEY18" s="102" t="str">
        <f>IF(AND(WSASWAJA!$T$78&gt;=75,WSASWAJA!$T$78&lt;=83.24),"P","")</f>
        <v/>
      </c>
      <c r="AEZ18" s="102" t="str">
        <f>IF(AND(WSASWAJA!$T$78&gt;=83.25,WSASWAJA!$T$78&lt;=91.4),"P","")</f>
        <v/>
      </c>
      <c r="AFA18" s="102" t="str">
        <f>IF(AND(WSASWAJA!$T$78&gt;=91.5,WSASWAJA!$T$78&lt;=100),"P","")</f>
        <v/>
      </c>
      <c r="AFB18" t="str">
        <f>IF(WSASWAJA!$T$86&lt;74.9,"P","")</f>
        <v/>
      </c>
      <c r="AFC18" s="102" t="str">
        <f>IF(AND(WSASWAJA!$T$86&gt;=75,WSASWAJA!$T$86&lt;=83.24),"P","")</f>
        <v/>
      </c>
      <c r="AFD18" s="102" t="str">
        <f>IF(AND(WSASWAJA!$T$86&gt;=83.25,WSASWAJA!$T$86&lt;=91.4),"P","")</f>
        <v/>
      </c>
      <c r="AFE18" s="102" t="str">
        <f>IF(AND(WSASWAJA!$T$86&gt;=91.5,WSASWAJA!$T$86&lt;=100),"P","")</f>
        <v/>
      </c>
      <c r="AFF18" t="str">
        <f>IF(WSASWAJA!$T$94&lt;74.9,"P","")</f>
        <v/>
      </c>
      <c r="AFG18" s="102" t="str">
        <f>IF(AND(WSASWAJA!$T$94&gt;=75,WSASWAJA!$T$94&lt;=83.24),"P","")</f>
        <v/>
      </c>
      <c r="AFH18" s="102" t="str">
        <f>IF(AND(WSASWAJA!$T$94&gt;=83.25,WSASWAJA!$T$94&lt;=91.4),"P","")</f>
        <v/>
      </c>
      <c r="AFI18" s="102" t="str">
        <f>IF(AND(WSASWAJA!$T$94&gt;=91.5,WSASWAJA!$T$94&lt;=100),"P","")</f>
        <v/>
      </c>
      <c r="AFJ18" t="str">
        <f>IF(WSASWAJA!$T$102&lt;74.9,"P","")</f>
        <v/>
      </c>
      <c r="AFK18" s="102" t="str">
        <f>IF(AND(WSASWAJA!$T$102&gt;=75,WSASWAJA!$T$102&lt;=83.24),"P","")</f>
        <v/>
      </c>
      <c r="AFL18" s="102" t="str">
        <f>IF(AND(WSASWAJA!$T$102&gt;=83.25,WSASWAJA!$T$102&lt;=91.4),"P","")</f>
        <v/>
      </c>
      <c r="AFM18" s="102" t="str">
        <f>IF(AND(WSASWAJA!$T$102&gt;=91.5,WSASWAJA!$T$102&lt;=100),"P","")</f>
        <v/>
      </c>
    </row>
    <row r="19" spans="1:845" ht="20.100000000000001" customHeight="1">
      <c r="A19">
        <v>17</v>
      </c>
      <c r="B19" t="str">
        <f>IF(WSALQURAN!$U$6&lt;74.9,"P","")</f>
        <v/>
      </c>
      <c r="C19" s="102" t="str">
        <f>IF(AND(WSALQURAN!$U$6&gt;=75,WSALQURAN!$U$6&lt;=83.24),"P","")</f>
        <v/>
      </c>
      <c r="D19" s="102" t="str">
        <f>IF(AND(WSALQURAN!$U$6&gt;=83.25,WSALQURAN!$U$6&lt;=91.4),"P","")</f>
        <v/>
      </c>
      <c r="E19" s="102" t="str">
        <f>IF(AND(WSALQURAN!$U$6&gt;=91.5,WSALQURAN!$U$6&lt;=100),"P","")</f>
        <v>P</v>
      </c>
      <c r="F19" t="str">
        <f>IF(WSALQURAN!$U$14&lt;74.9,"P","")</f>
        <v/>
      </c>
      <c r="G19" s="102" t="str">
        <f>IF(AND(WSALQURAN!$U$14&gt;=75,WSALQURAN!$U$14&lt;=83.24),"P","")</f>
        <v/>
      </c>
      <c r="H19" s="102" t="str">
        <f>IF(AND(WSALQURAN!$U$14&gt;=83.25,WSALQURAN!$U$14&lt;=91.4),"P","")</f>
        <v/>
      </c>
      <c r="I19" s="102" t="str">
        <f>IF(AND(WSALQURAN!$U$14&gt;=91.5,WSALQURAN!$U$14&lt;=100),"P","")</f>
        <v>P</v>
      </c>
      <c r="J19" t="str">
        <f>IF(WSALQURAN!$U$22&lt;74.9,"P","")</f>
        <v/>
      </c>
      <c r="K19" s="102" t="str">
        <f>IF(AND(WSALQURAN!$U$22&gt;=75,WSALQURAN!$U$22&lt;=83.24),"P","")</f>
        <v/>
      </c>
      <c r="L19" s="102" t="str">
        <f>IF(AND(WSALQURAN!$U$22&gt;=83.25,WSALQURAN!$U$22&lt;=91.4),"P","")</f>
        <v>P</v>
      </c>
      <c r="M19" s="102" t="str">
        <f>IF(AND(WSALQURAN!$U$22&gt;=91.5,WSALQURAN!$U$22&lt;=100),"P","")</f>
        <v/>
      </c>
      <c r="N19" t="str">
        <f>IF(WSALQURAN!$U$30&lt;74.9,"P","")</f>
        <v/>
      </c>
      <c r="O19" s="102" t="str">
        <f>IF(AND(WSALQURAN!$U$30&gt;=75,WSALQURAN!$U$30&lt;=83.24),"P","")</f>
        <v/>
      </c>
      <c r="P19" s="102" t="str">
        <f>IF(AND(WSALQURAN!$U$30&gt;=83.25,WSALQURAN!$U$30&lt;=91.4),"P","")</f>
        <v/>
      </c>
      <c r="Q19" s="102" t="str">
        <f>IF(AND(WSALQURAN!$U$30&gt;=91.5,WSALQURAN!$U$30&lt;=100),"P","")</f>
        <v>P</v>
      </c>
      <c r="R19" t="str">
        <f>IF(WSALQURAN!$U$38&lt;74.9,"P","")</f>
        <v/>
      </c>
      <c r="S19" s="102" t="str">
        <f>IF(AND(WSALQURAN!$U$38&gt;=75,WSALQURAN!$U$38&lt;=83.24),"P","")</f>
        <v/>
      </c>
      <c r="T19" s="102" t="str">
        <f>IF(AND(WSALQURAN!$U$38&gt;=83.25,WSALQURAN!$U$38&lt;=91.4),"P","")</f>
        <v/>
      </c>
      <c r="U19" s="102" t="str">
        <f>IF(AND(WSALQURAN!$U$38&gt;=91.5,WSALQURAN!$U$38&lt;=100),"P","")</f>
        <v>P</v>
      </c>
      <c r="V19" t="str">
        <f>IF(WSALQURAN!$U$46&lt;74.9,"P","")</f>
        <v/>
      </c>
      <c r="W19" s="102" t="str">
        <f>IF(AND(WSALQURAN!$U$46&gt;=75,WSALQURAN!$U$46&lt;=83.24),"P","")</f>
        <v/>
      </c>
      <c r="X19" s="102" t="str">
        <f>IF(AND(WSALQURAN!$U$46&gt;=83.25,WSALQURAN!$U$46&lt;=91.4),"P","")</f>
        <v>P</v>
      </c>
      <c r="Y19" s="102" t="str">
        <f>IF(AND(WSALQURAN!$U$46&gt;=91.5,WSALQURAN!$U$46&lt;=100),"P","")</f>
        <v/>
      </c>
      <c r="Z19" t="str">
        <f>IF(WSALQURAN!$U$54&lt;74.9,"P","")</f>
        <v/>
      </c>
      <c r="AA19" s="102" t="str">
        <f>IF(AND(WSALQURAN!$U$54&gt;=75,WSALQURAN!$U$54&lt;=83.24),"P","")</f>
        <v>P</v>
      </c>
      <c r="AB19" s="102" t="str">
        <f>IF(AND(WSALQURAN!$U$54&gt;=83.25,WSALQURAN!$U$54&lt;=91.4),"P","")</f>
        <v/>
      </c>
      <c r="AC19" s="102" t="str">
        <f>IF(AND(WSALQURAN!$U$54&gt;=91.5,WSALQURAN!$U$54&lt;=100),"P","")</f>
        <v/>
      </c>
      <c r="AD19" t="str">
        <f>IF(WSALQURAN!$U$62&lt;74.9,"P","")</f>
        <v/>
      </c>
      <c r="AE19" s="102" t="str">
        <f>IF(AND(WSALQURAN!$U$62&gt;=75,WSALQURAN!$U$62&lt;=83.24),"P","")</f>
        <v/>
      </c>
      <c r="AF19" s="102" t="str">
        <f>IF(AND(WSALQURAN!$U$62&gt;=83.25,WSALQURAN!$U$62&lt;=91.4),"P","")</f>
        <v/>
      </c>
      <c r="AG19" s="102" t="str">
        <f>IF(AND(WSALQURAN!$U$62&gt;=91.5,WSALQURAN!$U$62&lt;=100),"P","")</f>
        <v/>
      </c>
      <c r="AH19" t="str">
        <f>IF(WSALQURAN!$U$70&lt;74.9,"P","")</f>
        <v/>
      </c>
      <c r="AI19" s="102" t="str">
        <f>IF(AND(WSALQURAN!$U$70&gt;=75,WSALQURAN!$U$70&lt;=83.24),"P","")</f>
        <v/>
      </c>
      <c r="AJ19" s="102" t="str">
        <f>IF(AND(WSALQURAN!$U$70&gt;=83.25,WSALQURAN!$U$70&lt;=91.4),"P","")</f>
        <v/>
      </c>
      <c r="AK19" s="102" t="str">
        <f>IF(AND(WSALQURAN!$U$70&gt;=91.5,WSALQURAN!$U$70&lt;=100),"P","")</f>
        <v/>
      </c>
      <c r="AL19" t="str">
        <f>IF(WSALQURAN!$U$78&lt;74.9,"P","")</f>
        <v/>
      </c>
      <c r="AM19" s="102" t="str">
        <f>IF(AND(WSALQURAN!$U$78&gt;=75,WSALQURAN!$U$78&lt;=83.24),"P","")</f>
        <v/>
      </c>
      <c r="AN19" s="102" t="str">
        <f>IF(AND(WSALQURAN!$U$78&gt;=83.25,WSALQURAN!$U$78&lt;=91.4),"P","")</f>
        <v/>
      </c>
      <c r="AO19" s="102" t="str">
        <f>IF(AND(WSALQURAN!$U$78&gt;=91.5,WSALQURAN!$U$78&lt;=100),"P","")</f>
        <v/>
      </c>
      <c r="AP19" t="str">
        <f>IF(WSALQURAN!$U$86&lt;74.9,"P","")</f>
        <v/>
      </c>
      <c r="AQ19" s="102" t="str">
        <f>IF(AND(WSALQURAN!$U$86&gt;=75,WSALQURAN!$U$86&lt;=83.24),"P","")</f>
        <v/>
      </c>
      <c r="AR19" s="102" t="str">
        <f>IF(AND(WSALQURAN!$U$86&gt;=83.25,WSALQURAN!$U$86&lt;=91.4),"P","")</f>
        <v/>
      </c>
      <c r="AS19" s="102" t="str">
        <f>IF(AND(WSALQURAN!$U$86&gt;=91.5,WSALQURAN!$U$86&lt;=100),"P","")</f>
        <v/>
      </c>
      <c r="AT19" t="str">
        <f>IF(WSALQURAN!$U$94&lt;74.9,"P","")</f>
        <v/>
      </c>
      <c r="AU19" s="102" t="str">
        <f>IF(AND(WSALQURAN!$U$94&gt;=75,WSALQURAN!$U$94&lt;=83.24),"P","")</f>
        <v/>
      </c>
      <c r="AV19" s="102" t="str">
        <f>IF(AND(WSALQURAN!$U$94&gt;=83.25,WSALQURAN!$U$94&lt;=91.4),"P","")</f>
        <v/>
      </c>
      <c r="AW19" s="102" t="str">
        <f>IF(AND(WSALQURAN!$U$94&gt;=91.5,WSALQURAN!$U$94&lt;=100),"P","")</f>
        <v/>
      </c>
      <c r="AX19" t="str">
        <f>IF(WSALQURAN!$U$102&lt;74.9,"P","")</f>
        <v/>
      </c>
      <c r="AY19" s="102" t="str">
        <f>IF(AND(WSALQURAN!$U$102&gt;=75,WSALQURAN!$U$102&lt;=83.24),"P","")</f>
        <v/>
      </c>
      <c r="AZ19" s="102" t="str">
        <f>IF(AND(WSALQURAN!$U$102&gt;=83.25,WSALQURAN!$U$102&lt;=91.4),"P","")</f>
        <v/>
      </c>
      <c r="BA19" s="102" t="str">
        <f>IF(AND(WSALQURAN!$U$102&gt;=91.5,WSALQURAN!$U$102&lt;=100),"P","")</f>
        <v/>
      </c>
      <c r="BB19" t="str">
        <f>IF(WSAQIDAH!$U$6&lt;74.9,"P","")</f>
        <v/>
      </c>
      <c r="BC19" s="102" t="str">
        <f>IF(AND(WSAQIDAH!$U$6&gt;=75,WSAQIDAH!$U$6&lt;=83.24),"P","")</f>
        <v/>
      </c>
      <c r="BD19" s="102" t="str">
        <f>IF(AND(WSAQIDAH!$U$6&gt;=83.25,WSAQIDAH!$U$6&lt;=91.4),"P","")</f>
        <v/>
      </c>
      <c r="BE19" s="102" t="str">
        <f>IF(AND(WSAQIDAH!$U$6&gt;=91.5,WSAQIDAH!$U$6&lt;=100),"P","")</f>
        <v>P</v>
      </c>
      <c r="BF19" t="str">
        <f>IF(WSAQIDAH!$U$14&lt;74.9,"P","")</f>
        <v/>
      </c>
      <c r="BG19" s="102" t="str">
        <f>IF(AND(WSAQIDAH!$U$14&gt;=75,WSAQIDAH!$U$14&lt;=83.24),"P","")</f>
        <v/>
      </c>
      <c r="BH19" s="102" t="str">
        <f>IF(AND(WSAQIDAH!$U$14&gt;=83.25,WSAQIDAH!$U$14&lt;=91.4),"P","")</f>
        <v/>
      </c>
      <c r="BI19" s="102" t="str">
        <f>IF(AND(WSAQIDAH!$U$14&gt;=91.5,WSAQIDAH!$U$14&lt;=100),"P","")</f>
        <v>P</v>
      </c>
      <c r="BJ19" t="str">
        <f>IF(WSAQIDAH!$U$22&lt;74.9,"P","")</f>
        <v/>
      </c>
      <c r="BK19" s="102" t="str">
        <f>IF(AND(WSAQIDAH!$U$22&gt;=75,WSAQIDAH!$U$22&lt;=83.24),"P","")</f>
        <v/>
      </c>
      <c r="BL19" s="102" t="str">
        <f>IF(AND(WSAQIDAH!$U$22&gt;=83.25,WSAQIDAH!$U$22&lt;=91.4),"P","")</f>
        <v/>
      </c>
      <c r="BM19" s="102" t="str">
        <f>IF(AND(WSAQIDAH!$U$22&gt;=91.5,WSAQIDAH!$U$22&lt;=100),"P","")</f>
        <v>P</v>
      </c>
      <c r="BN19" t="str">
        <f>IF(WSAQIDAH!$U$30&lt;74.9,"P","")</f>
        <v/>
      </c>
      <c r="BO19" s="102" t="str">
        <f>IF(AND(WSAQIDAH!$U$30&gt;=75,WSAQIDAH!$U$30&lt;=83.24),"P","")</f>
        <v/>
      </c>
      <c r="BP19" s="102" t="str">
        <f>IF(AND(WSAQIDAH!$U$30&gt;=83.25,WSAQIDAH!$U$30&lt;=91.4),"P","")</f>
        <v/>
      </c>
      <c r="BQ19" s="102" t="str">
        <f>IF(AND(WSAQIDAH!$U$30&gt;=91.5,WSAQIDAH!$U$30&lt;=100),"P","")</f>
        <v>P</v>
      </c>
      <c r="BR19" t="str">
        <f>IF(WSAQIDAH!$U$38&lt;74.9,"P","")</f>
        <v/>
      </c>
      <c r="BS19" s="102" t="str">
        <f>IF(AND(WSAQIDAH!$U$38&gt;=75,WSAQIDAH!$U$38&lt;=83.24),"P","")</f>
        <v/>
      </c>
      <c r="BT19" s="102" t="str">
        <f>IF(AND(WSAQIDAH!$U$38&gt;=83.25,WSAQIDAH!$U$38&lt;=91.4),"P","")</f>
        <v/>
      </c>
      <c r="BU19" s="102" t="str">
        <f>IF(AND(WSAQIDAH!$U$38&gt;=91.5,WSAQIDAH!$U$38&lt;=100),"P","")</f>
        <v>P</v>
      </c>
      <c r="BV19" t="str">
        <f>IF(WSAQIDAH!$U$46&lt;74.9,"P","")</f>
        <v/>
      </c>
      <c r="BW19" s="102" t="str">
        <f>IF(AND(WSAQIDAH!$U$46&gt;=75,WSAQIDAH!$U$46&lt;=83.24),"P","")</f>
        <v/>
      </c>
      <c r="BX19" s="102" t="str">
        <f>IF(AND(WSAQIDAH!$U$46&gt;=83.25,WSAQIDAH!$U$46&lt;=91.4),"P","")</f>
        <v/>
      </c>
      <c r="BY19" s="102" t="str">
        <f>IF(AND(WSAQIDAH!$U$46&gt;=91.5,WSAQIDAH!$U$46&lt;=100),"P","")</f>
        <v>P</v>
      </c>
      <c r="BZ19" t="str">
        <f>IF(WSAQIDAH!$U$54&lt;74.9,"P","")</f>
        <v/>
      </c>
      <c r="CA19" s="102" t="str">
        <f>IF(AND(WSAQIDAH!$U$54&gt;=75,WSAQIDAH!$U$54&lt;=83.24),"P","")</f>
        <v/>
      </c>
      <c r="CB19" s="102" t="str">
        <f>IF(AND(WSAQIDAH!$U$54&gt;=83.25,WSAQIDAH!$U$54&lt;=91.4),"P","")</f>
        <v/>
      </c>
      <c r="CC19" s="102" t="str">
        <f>IF(AND(WSAQIDAH!$U$54&gt;=91.5,WSAQIDAH!$U$54&lt;=100),"P","")</f>
        <v>P</v>
      </c>
      <c r="CD19" t="str">
        <f>IF(WSAQIDAH!$U$62&lt;74.9,"P","")</f>
        <v/>
      </c>
      <c r="CE19" s="102" t="str">
        <f>IF(AND(WSAQIDAH!$U$62&gt;=75,WSAQIDAH!$U$62&lt;=83.24),"P","")</f>
        <v/>
      </c>
      <c r="CF19" s="102" t="str">
        <f>IF(AND(WSAQIDAH!$U$62&gt;=83.25,WSAQIDAH!$U$62&lt;=91.4),"P","")</f>
        <v/>
      </c>
      <c r="CG19" s="102" t="str">
        <f>IF(AND(WSAQIDAH!$U$62&gt;=91.5,WSAQIDAH!$U$62&lt;=100),"P","")</f>
        <v>P</v>
      </c>
      <c r="CH19" t="str">
        <f>IF(WSAQIDAH!$U$70&lt;74.9,"P","")</f>
        <v/>
      </c>
      <c r="CI19" s="102" t="str">
        <f>IF(AND(WSAQIDAH!$U$70&gt;=75,WSAQIDAH!$U$70&lt;=83.24),"P","")</f>
        <v/>
      </c>
      <c r="CJ19" s="102" t="str">
        <f>IF(AND(WSAQIDAH!$U$70&gt;=83.25,WSAQIDAH!$U$70&lt;=91.4),"P","")</f>
        <v/>
      </c>
      <c r="CK19" s="102" t="str">
        <f>IF(AND(WSAQIDAH!$U$70&gt;=91.5,WSAQIDAH!$U$70&lt;=100),"P","")</f>
        <v>P</v>
      </c>
      <c r="CL19" t="str">
        <f>IF(WSAQIDAH!$U$78&lt;74.9,"P","")</f>
        <v/>
      </c>
      <c r="CM19" s="102" t="str">
        <f>IF(AND(WSAQIDAH!$U$78&gt;=75,WSAQIDAH!$U$78&lt;=83.24),"P","")</f>
        <v/>
      </c>
      <c r="CN19" s="102" t="str">
        <f>IF(AND(WSAQIDAH!$U$78&gt;=83.25,WSAQIDAH!$U$78&lt;=91.4),"P","")</f>
        <v/>
      </c>
      <c r="CO19" s="102" t="str">
        <f>IF(AND(WSAQIDAH!$U$78&gt;=91.5,WSAQIDAH!$U$78&lt;=100),"P","")</f>
        <v>P</v>
      </c>
      <c r="CP19" t="str">
        <f>IF(WSAQIDAH!$U$86&lt;74.9,"P","")</f>
        <v/>
      </c>
      <c r="CQ19" s="102" t="str">
        <f>IF(AND(WSAQIDAH!$U$86&gt;=75,WSAQIDAH!$U$86&lt;=83.24),"P","")</f>
        <v/>
      </c>
      <c r="CR19" s="102" t="str">
        <f>IF(AND(WSAQIDAH!$U$86&gt;=83.25,WSAQIDAH!$U$86&lt;=91.4),"P","")</f>
        <v/>
      </c>
      <c r="CS19" s="102" t="str">
        <f>IF(AND(WSAQIDAH!$U$86&gt;=91.5,WSAQIDAH!$U$86&lt;=100),"P","")</f>
        <v/>
      </c>
      <c r="CT19" t="str">
        <f>IF(WSAQIDAH!$U$94&lt;74.9,"P","")</f>
        <v/>
      </c>
      <c r="CU19" s="102" t="str">
        <f>IF(AND(WSAQIDAH!$U$94&gt;=75,WSAQIDAH!$U$94&lt;=83.24),"P","")</f>
        <v/>
      </c>
      <c r="CV19" s="102" t="str">
        <f>IF(AND(WSAQIDAH!$U$94&gt;=83.25,WSAQIDAH!$U$94&lt;=91.4),"P","")</f>
        <v/>
      </c>
      <c r="CW19" s="102" t="str">
        <f>IF(AND(WSAQIDAH!$U$94&gt;=91.5,WSAQIDAH!$U$94&lt;=100),"P","")</f>
        <v/>
      </c>
      <c r="CX19" t="str">
        <f>IF(WSAQIDAH!$U$102&lt;74.9,"P","")</f>
        <v/>
      </c>
      <c r="CY19" s="102" t="str">
        <f>IF(AND(WSAQIDAH!$U$102&gt;=75,WSAQIDAH!$U$102&lt;=83.24),"P","")</f>
        <v/>
      </c>
      <c r="CZ19" s="102" t="str">
        <f>IF(AND(WSAQIDAH!$U$102&gt;=83.25,WSAQIDAH!$U$102&lt;=91.4),"P","")</f>
        <v/>
      </c>
      <c r="DA19" s="102" t="str">
        <f>IF(AND(WSAQIDAH!$U$102&gt;=91.5,WSAQIDAH!$U$102&lt;=100),"P","")</f>
        <v/>
      </c>
      <c r="DB19" t="str">
        <f>IF(WSSKI!$U$6&lt;74.9,"P","")</f>
        <v/>
      </c>
      <c r="DC19" s="102" t="str">
        <f>IF(AND(WSSKI!$U$6&gt;=75,WSSKI!$U$6&lt;=83.24),"P","")</f>
        <v/>
      </c>
      <c r="DD19" s="102" t="str">
        <f>IF(AND(WSSKI!$U$6&gt;=83.25,WSSKI!$U$6&lt;=91.4),"P","")</f>
        <v/>
      </c>
      <c r="DE19" s="102" t="str">
        <f>IF(AND(WSSKI!$U$6&gt;=91.5,WSSKI!$U$6&lt;=100),"P","")</f>
        <v>P</v>
      </c>
      <c r="DF19" t="str">
        <f>IF(WSSKI!$U$14&lt;74.9,"P","")</f>
        <v/>
      </c>
      <c r="DG19" s="102" t="str">
        <f>IF(AND(WSSKI!$U$14&gt;=75,WSSKI!$U$14&lt;=83.24),"P","")</f>
        <v/>
      </c>
      <c r="DH19" s="102" t="str">
        <f>IF(AND(WSSKI!$U$14&gt;=83.25,WSSKI!$U$14&lt;=91.4),"P","")</f>
        <v/>
      </c>
      <c r="DI19" s="102" t="str">
        <f>IF(AND(WSSKI!$U$14&gt;=91.5,WSSKI!$U$14&lt;=100),"P","")</f>
        <v>P</v>
      </c>
      <c r="DJ19" t="str">
        <f>IF(WSSKI!$U$23&lt;74.9,"P","")</f>
        <v/>
      </c>
      <c r="DK19" s="102" t="str">
        <f>IF(AND(WSSKI!$U$23&gt;=75,WSSKI!$U$23&lt;=83.24),"P","")</f>
        <v/>
      </c>
      <c r="DL19" s="102" t="str">
        <f>IF(AND(WSSKI!$U$23&gt;=83.25,WSSKI!$U$23&lt;=91.4),"P","")</f>
        <v/>
      </c>
      <c r="DM19" s="102" t="str">
        <f>IF(AND(WSSKI!$U$23&gt;=91.5,WSSKI!$U$23&lt;=100),"P","")</f>
        <v>P</v>
      </c>
      <c r="DN19" t="str">
        <f>IF(WSSKI!$U$31&lt;74.9,"P","")</f>
        <v/>
      </c>
      <c r="DO19" s="102" t="str">
        <f>IF(AND(WSSKI!$U$31&gt;=75,WSSKI!$U$31&lt;=83.24),"P","")</f>
        <v/>
      </c>
      <c r="DP19" s="102" t="str">
        <f>IF(AND(WSSKI!$U$31&gt;=83.25,WSSKI!$U$31&lt;=91.4),"P","")</f>
        <v/>
      </c>
      <c r="DQ19" s="102" t="str">
        <f>IF(AND(WSSKI!$U$31&gt;=91.5,WSSKI!$U$31&lt;=100),"P","")</f>
        <v>P</v>
      </c>
      <c r="DR19" t="str">
        <f>IF(WSSKI!$U$40&lt;74.9,"P","")</f>
        <v/>
      </c>
      <c r="DS19" s="102" t="str">
        <f>IF(AND(WSSKI!$U$40&gt;=75,WSSKI!$U$40&lt;=83.24),"P","")</f>
        <v/>
      </c>
      <c r="DT19" s="102" t="str">
        <f>IF(AND(WSSKI!$U$40&gt;=83.25,WSSKI!$U$40&lt;=91.4),"P","")</f>
        <v/>
      </c>
      <c r="DU19" s="102" t="str">
        <f>IF(AND(WSSKI!$U$40&gt;=91.5,WSSKI!$U$40&lt;=100),"P","")</f>
        <v>P</v>
      </c>
      <c r="DV19" t="str">
        <f>IF(WSSKI!$U$48&lt;74.9,"P","")</f>
        <v/>
      </c>
      <c r="DW19" s="102" t="str">
        <f>IF(AND(WSSKI!$U$48&gt;=75,WSSKI!$U$48&lt;=83.24),"P","")</f>
        <v/>
      </c>
      <c r="DX19" s="102" t="str">
        <f>IF(AND(WSSKI!$U$48&gt;=83.25,WSSKI!$U$48&lt;=91.4),"P","")</f>
        <v>P</v>
      </c>
      <c r="DY19" s="102" t="str">
        <f>IF(AND(WSSKI!$U$48&gt;=91.5,WSSKI!$U$48&lt;=100),"P","")</f>
        <v/>
      </c>
      <c r="DZ19" t="str">
        <f>IF(WSSKI!$U$56&lt;74.9,"P","")</f>
        <v/>
      </c>
      <c r="EA19" s="102" t="str">
        <f>IF(AND(WSSKI!$U$56&gt;=75,WSSKI!$U$56&lt;=83.24),"P","")</f>
        <v/>
      </c>
      <c r="EB19" s="102" t="str">
        <f>IF(AND(WSSKI!$U$56&gt;=83.25,WSSKI!$U$56&lt;=91.4),"P","")</f>
        <v/>
      </c>
      <c r="EC19" s="102" t="str">
        <f>IF(AND(WSSKI!$U$56&gt;=91.5,WSSKI!$U$56&lt;=100),"P","")</f>
        <v/>
      </c>
      <c r="ED19" t="str">
        <f>IF(WSSKI!$U$64&lt;74.9,"P","")</f>
        <v/>
      </c>
      <c r="EE19" s="102" t="str">
        <f>IF(AND(WSSKI!$U$64&gt;=75,WSSKI!$U$64&lt;=83.24),"P","")</f>
        <v/>
      </c>
      <c r="EF19" s="102" t="str">
        <f>IF(AND(WSSKI!$U$64&gt;=83.25,WSSKI!$U$64&lt;=91.4),"P","")</f>
        <v/>
      </c>
      <c r="EG19" s="102" t="str">
        <f>IF(AND(WSSKI!$U$64&gt;=91.5,WSSKI!$U$64&lt;=100),"P","")</f>
        <v/>
      </c>
      <c r="EH19" t="str">
        <f>IF(WSSKI!$U$72&lt;74.9,"P","")</f>
        <v/>
      </c>
      <c r="EI19" s="102" t="str">
        <f>IF(AND(WSSKI!$U$72&gt;=75,WSSKI!$U$72&lt;=83.24),"P","")</f>
        <v/>
      </c>
      <c r="EJ19" s="102" t="str">
        <f>IF(AND(WSSKI!$U$72&gt;=83.25,WSSKI!$U$72&lt;=91.4),"P","")</f>
        <v/>
      </c>
      <c r="EK19" s="102" t="str">
        <f>IF(AND(WSSKI!$U$72&gt;=91.5,WSSKI!$U$72&lt;=100),"P","")</f>
        <v/>
      </c>
      <c r="EL19" t="str">
        <f>IF(WSSKI!$U$80&lt;74.9,"P","")</f>
        <v/>
      </c>
      <c r="EM19" s="102" t="str">
        <f>IF(AND(WSSKI!$U$80&gt;=75,WSSKI!$U$80&lt;=83.24),"P","")</f>
        <v/>
      </c>
      <c r="EN19" s="102" t="str">
        <f>IF(AND(WSSKI!$U$80&gt;=83.25,WSSKI!$U$80&lt;=91.4),"P","")</f>
        <v/>
      </c>
      <c r="EO19" s="102" t="str">
        <f>IF(AND(WSSKI!$U$80&gt;=91.5,WSSKI!$U$80&lt;=100),"P","")</f>
        <v/>
      </c>
      <c r="EP19" t="str">
        <f>IF(WSSKI!$U$88&lt;74.9,"P","")</f>
        <v/>
      </c>
      <c r="EQ19" s="102" t="str">
        <f>IF(AND(WSSKI!$U$88&gt;=75,WSSKI!$U$88&lt;=83.24),"P","")</f>
        <v/>
      </c>
      <c r="ER19" s="102" t="str">
        <f>IF(AND(WSSKI!$U$88&gt;=83.25,WSSKI!$U$88&lt;=91.4),"P","")</f>
        <v/>
      </c>
      <c r="ES19" s="102" t="str">
        <f>IF(AND(WSSKI!$U$88&gt;=91.5,WSSKI!$U$88&lt;=100),"P","")</f>
        <v/>
      </c>
      <c r="ET19" t="str">
        <f>IF(WSSKI!$U$96&lt;74.9,"P","")</f>
        <v/>
      </c>
      <c r="EU19" s="102" t="str">
        <f>IF(AND(WSSKI!$U$96&gt;=75,WSSKI!$U$96&lt;=83.24),"P","")</f>
        <v/>
      </c>
      <c r="EV19" s="102" t="str">
        <f>IF(AND(WSSKI!$U$96&gt;=83.25,WSSKI!$U$96&lt;=91.4),"P","")</f>
        <v/>
      </c>
      <c r="EW19" s="102" t="str">
        <f>IF(AND(WSSKI!$U$96&gt;=91.5,WSSKI!$U$96&lt;=100),"P","")</f>
        <v/>
      </c>
      <c r="EX19" t="str">
        <f>IF(WSSKI!$U$104&lt;74.9,"P","")</f>
        <v/>
      </c>
      <c r="EY19" s="102" t="str">
        <f>IF(AND(WSSKI!$U$104&gt;=75,WSSKI!$U$104&lt;=83.24),"P","")</f>
        <v/>
      </c>
      <c r="EZ19" s="102" t="str">
        <f>IF(AND(WSSKI!$U$104&gt;=83.25,WSSKI!$U$104&lt;=91.4),"P","")</f>
        <v/>
      </c>
      <c r="FA19" s="102" t="str">
        <f>IF(AND(WSSKI!$U$104&gt;=91.5,WSSKI!$U$104&lt;=100),"P","")</f>
        <v/>
      </c>
      <c r="FB19" t="str">
        <f>IF(WSFIQIH!$U$6&lt;74.9,"P","")</f>
        <v/>
      </c>
      <c r="FC19" s="102" t="str">
        <f>IF(AND(WSFIQIH!$U$6&gt;=75,WSFIQIH!$U$6&lt;=83.24),"P","")</f>
        <v/>
      </c>
      <c r="FD19" s="102" t="str">
        <f>IF(AND(WSFIQIH!$U$6&gt;=83.25,WSFIQIH!$U$6&lt;=91.4),"P","")</f>
        <v/>
      </c>
      <c r="FE19" s="102" t="str">
        <f>IF(AND(WSFIQIH!$U$6&gt;=91.5,WSFIQIH!$U$6&lt;=100),"P","")</f>
        <v>P</v>
      </c>
      <c r="FF19" t="str">
        <f>IF(WSFIQIH!$U$19&lt;74.9,"P","")</f>
        <v/>
      </c>
      <c r="FG19" s="102" t="str">
        <f>IF(AND(WSFIQIH!$U$19&gt;=75,WSFIQIH!$U$19&lt;=83.24),"P","")</f>
        <v/>
      </c>
      <c r="FH19" s="102" t="str">
        <f>IF(AND(WSFIQIH!$U$19&gt;=83.25,WSFIQIH!$U$19&lt;=91.4),"P","")</f>
        <v>P</v>
      </c>
      <c r="FI19" s="102" t="str">
        <f>IF(AND(WSFIQIH!$U$19&gt;=91.5,WSFIQIH!$U$19&lt;=100),"P","")</f>
        <v/>
      </c>
      <c r="FJ19" t="str">
        <f>IF(WSFIQIH!$U$28&lt;74.9,"P","")</f>
        <v/>
      </c>
      <c r="FK19" s="102" t="str">
        <f>IF(AND(WSFIQIH!$U$28&gt;=75,WSFIQIH!$U$28&lt;=83.24),"P","")</f>
        <v/>
      </c>
      <c r="FL19" s="102" t="str">
        <f>IF(AND(WSFIQIH!$U$28&gt;=83.25,WSFIQIH!$U$28&lt;=91.4),"P","")</f>
        <v/>
      </c>
      <c r="FM19" s="102" t="str">
        <f>IF(AND(WSFIQIH!$U$28&gt;=91.5,WSFIQIH!$U$28&lt;=100),"P","")</f>
        <v>P</v>
      </c>
      <c r="FN19" t="str">
        <f>IF(WSFIQIH!$U$41&lt;74.9,"P","")</f>
        <v/>
      </c>
      <c r="FO19" s="102" t="str">
        <f>IF(AND(WSFIQIH!$U$41&gt;=75,WSFIQIH!$U$41&lt;=83.24),"P","")</f>
        <v/>
      </c>
      <c r="FP19" s="102" t="str">
        <f>IF(AND(WSFIQIH!$U$41&gt;=83.25,WSFIQIH!$U$41&lt;=91.4),"P","")</f>
        <v/>
      </c>
      <c r="FQ19" s="102" t="str">
        <f>IF(AND(WSFIQIH!$U$41&gt;=91.5,WSFIQIH!$U$41&lt;=100),"P","")</f>
        <v>P</v>
      </c>
      <c r="FR19" t="str">
        <f>IF(WSFIQIH!$U$49&lt;74.9,"P","")</f>
        <v/>
      </c>
      <c r="FS19" s="102" t="str">
        <f>IF(AND(WSFIQIH!$U$49&gt;=75,WSFIQIH!$U$49&lt;=83.24),"P","")</f>
        <v/>
      </c>
      <c r="FT19" s="102" t="str">
        <f>IF(AND(WSFIQIH!$U$49&gt;=83.25,WSFIQIH!$U$49&lt;=91.4),"P","")</f>
        <v/>
      </c>
      <c r="FU19" s="102" t="str">
        <f>IF(AND(WSFIQIH!$U$49&gt;=91.5,WSFIQIH!$U$49&lt;=100),"P","")</f>
        <v>P</v>
      </c>
      <c r="FV19" t="str">
        <f>IF(WSFIQIH!$U$62&lt;74.9,"P","")</f>
        <v/>
      </c>
      <c r="FW19" s="102" t="str">
        <f>IF(AND(WSFIQIH!$U$62&gt;=75,WSFIQIH!$U$62&lt;=83.24),"P","")</f>
        <v/>
      </c>
      <c r="FX19" s="102" t="str">
        <f>IF(AND(WSFIQIH!$U$62&gt;=83.25,WSFIQIH!$U$62&lt;=91.4),"P","")</f>
        <v/>
      </c>
      <c r="FY19" s="102" t="str">
        <f>IF(AND(WSFIQIH!$U$62&gt;=91.5,WSFIQIH!$U$62&lt;=100),"P","")</f>
        <v>P</v>
      </c>
      <c r="FZ19" t="str">
        <f>IF(WSFIQIH!$U$71&lt;74.9,"P","")</f>
        <v/>
      </c>
      <c r="GA19" s="102" t="str">
        <f>IF(AND(WSFIQIH!$U$71&gt;=75,WSFIQIH!$U$71&lt;=83.24),"P","")</f>
        <v/>
      </c>
      <c r="GB19" s="102" t="str">
        <f>IF(AND(WSFIQIH!$U$71&gt;=83.25,WSFIQIH!$U$71&lt;=91.4),"P","")</f>
        <v>P</v>
      </c>
      <c r="GC19" s="102" t="str">
        <f>IF(AND(WSFIQIH!$U$71&gt;=91.5,WSFIQIH!$U$71&lt;=100),"P","")</f>
        <v/>
      </c>
      <c r="GD19" t="str">
        <f>IF(WSFIQIH!$U$80&lt;74.9,"P","")</f>
        <v/>
      </c>
      <c r="GE19" s="102" t="str">
        <f>IF(AND(WSFIQIH!$U$80&gt;=75,WSFIQIH!$U$80&lt;=83.24),"P","")</f>
        <v>P</v>
      </c>
      <c r="GF19" s="102" t="str">
        <f>IF(AND(WSFIQIH!$U$80&gt;=83.25,WSFIQIH!$U$80&lt;=91.4),"P","")</f>
        <v/>
      </c>
      <c r="GG19" s="102" t="str">
        <f>IF(AND(WSFIQIH!$U$80&gt;=91.5,WSFIQIH!$U$80&lt;=100),"P","")</f>
        <v/>
      </c>
      <c r="GH19" t="str">
        <f>IF(WSFIQIH!$U$88&lt;74.9,"P","")</f>
        <v/>
      </c>
      <c r="GI19" s="102" t="str">
        <f>IF(AND(WSFIQIH!$U$88&gt;=75,WSFIQIH!$U$88&lt;=83.24),"P","")</f>
        <v/>
      </c>
      <c r="GJ19" s="102" t="str">
        <f>IF(AND(WSFIQIH!$U$88&gt;=83.25,WSFIQIH!$U$88&lt;=91.4),"P","")</f>
        <v/>
      </c>
      <c r="GK19" s="102" t="str">
        <f>IF(AND(WSFIQIH!$U$88&gt;=91.5,WSFIQIH!$U$88&lt;=100),"P","")</f>
        <v/>
      </c>
      <c r="GL19" t="str">
        <f>IF(WSFIQIH!$U$96&lt;74.9,"P","")</f>
        <v/>
      </c>
      <c r="GM19" s="102" t="str">
        <f>IF(AND(WSFIQIH!$U$96&gt;=75,WSFIQIH!$U$96&lt;=83.24),"P","")</f>
        <v/>
      </c>
      <c r="GN19" s="102" t="str">
        <f>IF(AND(WSFIQIH!$U$96&gt;=83.25,WSFIQIH!$U$96&lt;=91.4),"P","")</f>
        <v/>
      </c>
      <c r="GO19" s="102" t="str">
        <f>IF(AND(WSFIQIH!$U$96&gt;=91.5,WSFIQIH!$U$96&lt;=100),"P","")</f>
        <v/>
      </c>
      <c r="GP19" t="str">
        <f>IF(WSFIQIH!$U$104&lt;74.9,"P","")</f>
        <v/>
      </c>
      <c r="GQ19" s="102" t="str">
        <f>IF(AND(WSFIQIH!$U$104&gt;=75,WSFIQIH!$U$104&lt;=83.24),"P","")</f>
        <v/>
      </c>
      <c r="GR19" s="102" t="str">
        <f>IF(AND(WSFIQIH!$U$104&gt;=83.25,WSFIQIH!$U$104&lt;=91.4),"P","")</f>
        <v/>
      </c>
      <c r="GS19" s="102" t="str">
        <f>IF(AND(WSFIQIH!$U$104&gt;=91.5,WSFIQIH!$U$104&lt;=100),"P","")</f>
        <v/>
      </c>
      <c r="GT19" t="str">
        <f>IF(WSFIQIH!$U$112&lt;74.9,"P","")</f>
        <v/>
      </c>
      <c r="GU19" s="102" t="str">
        <f>IF(AND(WSFIQIH!$U$112&gt;=75,WSFIQIH!$U$112&lt;=83.24),"P","")</f>
        <v/>
      </c>
      <c r="GV19" s="102" t="str">
        <f>IF(AND(WSFIQIH!$U$112&gt;=83.25,WSFIQIH!$U$112&lt;=91.4),"P","")</f>
        <v/>
      </c>
      <c r="GW19" s="102" t="str">
        <f>IF(AND(WSFIQIH!$U$112&gt;=91.5,WSFIQIH!$U$112&lt;=100),"P","")</f>
        <v/>
      </c>
      <c r="GX19" t="str">
        <f>IF(WSFIQIH!$U$120&lt;74.9,"P","")</f>
        <v/>
      </c>
      <c r="GY19" s="102" t="str">
        <f>IF(AND(WSFIQIH!$U$120&gt;=75,WSFIQIH!$U$120&lt;=83.24),"P","")</f>
        <v/>
      </c>
      <c r="GZ19" s="102" t="str">
        <f>IF(AND(WSFIQIH!$U$120&gt;=83.25,WSFIQIH!$U$120&lt;=91.4),"P","")</f>
        <v/>
      </c>
      <c r="HA19" s="102" t="str">
        <f>IF(AND(WSFIQIH!$U$120&gt;=91.5,WSFIQIH!$U$120&lt;=100),"P","")</f>
        <v/>
      </c>
      <c r="HB19" t="str">
        <f>IF(WSPKN!$U$6&lt;74.9,"P","")</f>
        <v/>
      </c>
      <c r="HC19" s="102" t="str">
        <f>IF(AND(WSPKN!$U$6&gt;=75,WSPKN!$U$6&lt;=83.24),"P","")</f>
        <v/>
      </c>
      <c r="HD19" s="102" t="str">
        <f>IF(AND(WSPKN!$U$6&gt;=83.25,WSPKN!$U$6&lt;=91.4),"P","")</f>
        <v/>
      </c>
      <c r="HE19" s="102" t="str">
        <f>IF(AND(WSPKN!$U$6&gt;=91.5,WSPKN!$U$6&lt;=100),"P","")</f>
        <v>P</v>
      </c>
      <c r="HF19" t="str">
        <f>IF(WSPKN!$U$32&lt;74.9,"P","")</f>
        <v/>
      </c>
      <c r="HG19" s="102" t="str">
        <f>IF(AND(WSPKN!$U$32&gt;=75,WSPKN!$U$32&lt;=83.24),"P","")</f>
        <v/>
      </c>
      <c r="HH19" s="102" t="str">
        <f>IF(AND(WSPKN!$U$32&gt;=83.25,WSPKN!$U$32&lt;=91.4),"P","")</f>
        <v/>
      </c>
      <c r="HI19" s="102" t="str">
        <f>IF(AND(WSPKN!$U$32&gt;=91.5,WSPKN!$U$32&lt;=100),"P","")</f>
        <v>P</v>
      </c>
      <c r="HJ19" t="str">
        <f>IF(WSPKN!$U$55&lt;74.9,"P","")</f>
        <v/>
      </c>
      <c r="HK19" s="102" t="str">
        <f>IF(AND(WSPKN!$U$55&gt;=75,WSPKN!$U$55&lt;=83.24),"P","")</f>
        <v/>
      </c>
      <c r="HL19" s="102" t="str">
        <f>IF(AND(WSPKN!$U$55&gt;=83.25,WSPKN!$U$55&lt;=91.4),"P","")</f>
        <v/>
      </c>
      <c r="HM19" s="102" t="str">
        <f>IF(AND(WSPKN!$U$55&gt;=91.5,WSPKN!$U$55&lt;=100),"P","")</f>
        <v>P</v>
      </c>
      <c r="HN19" t="str">
        <f>IF(WSPKN!$U$72&lt;74.9,"P","")</f>
        <v/>
      </c>
      <c r="HO19" s="102" t="str">
        <f>IF(AND(WSPKN!$U$72&gt;=75,WSPKN!$U$72&lt;=83.24),"P","")</f>
        <v/>
      </c>
      <c r="HP19" s="102" t="str">
        <f>IF(AND(WSPKN!$U$72&gt;=83.25,WSPKN!$U$72&lt;=91.4),"P","")</f>
        <v/>
      </c>
      <c r="HQ19" s="102" t="str">
        <f>IF(AND(WSPKN!$U$72&gt;=91.5,WSPKN!$U$72&lt;=100),"P","")</f>
        <v>P</v>
      </c>
      <c r="HR19" t="str">
        <f>IF(WSPKN!$U$86&lt;74.9,"P","")</f>
        <v/>
      </c>
      <c r="HS19" s="102" t="str">
        <f>IF(AND(WSPKN!$U$86&gt;=75,WSPKN!$U$86&lt;=83.24),"P","")</f>
        <v/>
      </c>
      <c r="HT19" s="102" t="str">
        <f>IF(AND(WSPKN!$U$86&gt;=83.25,WSPKN!$U$86&lt;=91.4),"P","")</f>
        <v/>
      </c>
      <c r="HU19" s="102" t="str">
        <f>IF(AND(WSPKN!$U$86&gt;=91.5,WSPKN!$U$86&lt;=100),"P","")</f>
        <v>P</v>
      </c>
      <c r="HV19" t="str">
        <f>IF(WSPKN!$U$108&lt;74.9,"P","")</f>
        <v/>
      </c>
      <c r="HW19" s="102" t="str">
        <f>IF(AND(WSPKN!$U$108&gt;=75,WSPKN!$U$108&lt;=83.24),"P","")</f>
        <v/>
      </c>
      <c r="HX19" s="102" t="str">
        <f>IF(AND(WSPKN!$U$108&gt;=83.25,WSPKN!$U$108&lt;=91.4),"P","")</f>
        <v/>
      </c>
      <c r="HY19" s="102" t="str">
        <f>IF(AND(WSPKN!$U$108&gt;=91.5,WSPKN!$U$108&lt;=100),"P","")</f>
        <v>P</v>
      </c>
      <c r="HZ19" t="str">
        <f>IF(WSPKN!$U$132&lt;74.9,"P","")</f>
        <v/>
      </c>
      <c r="IA19" s="102" t="str">
        <f>IF(AND(WSPKN!$U$132&gt;=75,WSPKN!$U$132&lt;=83.24),"P","")</f>
        <v/>
      </c>
      <c r="IB19" s="102" t="str">
        <f>IF(AND(WSPKN!$U$132&gt;=83.25,WSPKN!$U$132&lt;=91.4),"P","")</f>
        <v/>
      </c>
      <c r="IC19" s="102" t="str">
        <f>IF(AND(WSPKN!$U$132&gt;=91.5,WSPKN!$U$132&lt;=100),"P","")</f>
        <v>P</v>
      </c>
      <c r="ID19" t="str">
        <f>IF(WSPKN!$U$148&lt;74.9,"P","")</f>
        <v/>
      </c>
      <c r="IE19" s="102" t="str">
        <f>IF(AND(WSPKN!$U$148&gt;=75,WSPKN!$U$148&lt;=83.24),"P","")</f>
        <v/>
      </c>
      <c r="IF19" s="102" t="str">
        <f>IF(AND(WSPKN!$U$148&gt;=83.25,WSPKN!$U$148&lt;=91.4),"P","")</f>
        <v/>
      </c>
      <c r="IG19" s="102" t="str">
        <f>IF(AND(WSPKN!$U$148&gt;=91.5,WSPKN!$U$148&lt;=100),"P","")</f>
        <v>P</v>
      </c>
      <c r="IH19" t="str">
        <f>IF(WSPKN!$U$165&lt;74.9,"P","")</f>
        <v/>
      </c>
      <c r="II19" s="102" t="str">
        <f>IF(AND(WSPKN!$U$165&gt;=75,WSPKN!$U$165&lt;=83.24),"P","")</f>
        <v/>
      </c>
      <c r="IJ19" s="102" t="str">
        <f>IF(AND(WSPKN!$U$165&gt;=83.25,WSPKN!$U$165&lt;=91.4),"P","")</f>
        <v/>
      </c>
      <c r="IK19" s="102" t="str">
        <f>IF(AND(WSPKN!$U$165&gt;=91.5,WSPKN!$U$165&lt;=100),"P","")</f>
        <v/>
      </c>
      <c r="IL19" t="str">
        <f>IF(WSPKN!$U$173&lt;74.9,"P","")</f>
        <v/>
      </c>
      <c r="IM19" s="102" t="str">
        <f>IF(AND(WSPKN!$U$173&gt;=75,WSPKN!$U$173&lt;=83.24),"P","")</f>
        <v/>
      </c>
      <c r="IN19" s="102" t="str">
        <f>IF(AND(WSPKN!$U$173&gt;=83.25,WSPKN!$U$173&lt;=91.4),"P","")</f>
        <v/>
      </c>
      <c r="IO19" s="102" t="str">
        <f>IF(AND(WSPKN!$U$173&gt;=91.5,WSPKN!$U$173&lt;=100),"P","")</f>
        <v/>
      </c>
      <c r="IP19" t="str">
        <f>IF(WSPKN!$U$181&lt;74.9,"P","")</f>
        <v/>
      </c>
      <c r="IQ19" s="102" t="str">
        <f>IF(AND(WSPKN!$U$181&gt;=75,WSPKN!$U$181&lt;=83.24),"P","")</f>
        <v/>
      </c>
      <c r="IR19" s="102" t="str">
        <f>IF(AND(WSPKN!$U$181&gt;=83.25,WSPKN!$U$181&lt;=91.4),"P","")</f>
        <v/>
      </c>
      <c r="IS19" s="102" t="str">
        <f>IF(AND(WSPKN!$U$181&gt;=91.5,WSPKN!$U$181&lt;=100),"P","")</f>
        <v/>
      </c>
      <c r="IT19" t="str">
        <f>IF(WSPKN!$U$189&lt;74.9,"P","")</f>
        <v/>
      </c>
      <c r="IU19" s="102" t="str">
        <f>IF(AND(WSPKN!$U$189&gt;=75,WSPKN!$U$189&lt;=83.24),"P","")</f>
        <v/>
      </c>
      <c r="IV19" s="102" t="str">
        <f>IF(AND(WSPKN!$U$189&gt;=83.25,WSPKN!$U$189&lt;=91.4),"P","")</f>
        <v/>
      </c>
      <c r="IW19" s="102" t="str">
        <f>IF(AND(WSPKN!$U$189&gt;=91.5,WSPKN!$U$189&lt;=100),"P","")</f>
        <v/>
      </c>
      <c r="IX19" t="str">
        <f>IF(WSPKN!$U$197&lt;74.9,"P","")</f>
        <v/>
      </c>
      <c r="IY19" s="102" t="str">
        <f>IF(AND(WSPKN!$U$197&gt;=75,WSPKN!$U$197&lt;=83.24),"P","")</f>
        <v/>
      </c>
      <c r="IZ19" s="102" t="str">
        <f>IF(AND(WSPKN!$U$197&gt;=83.25,WSPKN!$U$197&lt;=91.4),"P","")</f>
        <v/>
      </c>
      <c r="JA19" s="102" t="str">
        <f>IF(AND(WSPKN!$U$197&gt;=91.5,WSPKN!$U$197&lt;=100),"P","")</f>
        <v/>
      </c>
      <c r="JB19" t="str">
        <f>IF(WSIND!$U$6&lt;74.9,"P","")</f>
        <v/>
      </c>
      <c r="JC19" s="102" t="str">
        <f>IF(AND(WSIND!$U$6&gt;=75,WSIND!$U$6&lt;=83.24),"P","")</f>
        <v/>
      </c>
      <c r="JD19" s="102" t="str">
        <f>IF(AND(WSIND!$U$6&gt;=83.25,WSIND!$U$6&lt;=91.4),"P","")</f>
        <v/>
      </c>
      <c r="JE19" s="102" t="str">
        <f>IF(AND(WSIND!$U$6&gt;=91.5,WSIND!$U$6&lt;=100),"P","")</f>
        <v>P</v>
      </c>
      <c r="JF19" t="str">
        <f>IF(WSIND!$U$65&lt;74.9,"P","")</f>
        <v/>
      </c>
      <c r="JG19" s="102" t="str">
        <f>IF(AND(WSIND!$U$65&gt;=75,WSIND!$U$65&lt;=83.24),"P","")</f>
        <v/>
      </c>
      <c r="JH19" s="102" t="str">
        <f>IF(AND(WSIND!$U$65&gt;=83.25,WSIND!$U$65&lt;=91.4),"P","")</f>
        <v/>
      </c>
      <c r="JI19" s="102" t="str">
        <f>IF(AND(WSIND!$U$65&gt;=91.5,WSIND!$U$65&lt;=100),"P","")</f>
        <v>P</v>
      </c>
      <c r="JJ19" t="str">
        <f>IF(WSIND!$U$113&lt;74.9,"P","")</f>
        <v/>
      </c>
      <c r="JK19" s="102" t="str">
        <f>IF(AND(WSIND!$U$113&gt;=75,WSIND!$U$113&lt;=83.24),"P","")</f>
        <v/>
      </c>
      <c r="JL19" s="102" t="str">
        <f>IF(AND(WSIND!$U$113&gt;=83.25,WSIND!$U$113&lt;=91.4),"P","")</f>
        <v/>
      </c>
      <c r="JM19" s="102" t="str">
        <f>IF(AND(WSIND!$U$113&gt;=91.5,WSIND!$U$113&lt;=100),"P","")</f>
        <v>P</v>
      </c>
      <c r="JN19" t="str">
        <f>IF(WSIND!$U$133&lt;74.9,"P","")</f>
        <v/>
      </c>
      <c r="JO19" s="102" t="str">
        <f>IF(AND(WSIND!$U$133&gt;=75,WSIND!$U$133&lt;=83.24),"P","")</f>
        <v/>
      </c>
      <c r="JP19" s="102" t="str">
        <f>IF(AND(WSIND!$U$133&gt;=83.25,WSIND!$U$133&lt;=91.4),"P","")</f>
        <v/>
      </c>
      <c r="JQ19" s="102" t="str">
        <f>IF(AND(WSIND!$U$133&gt;=91.5,WSIND!$U$133&lt;=100),"P","")</f>
        <v>P</v>
      </c>
      <c r="JR19" t="str">
        <f>IF(WSIND!$U$161&lt;74.9,"P","")</f>
        <v/>
      </c>
      <c r="JS19" s="102" t="str">
        <f>IF(AND(WSIND!$U$161&gt;=75,WSIND!$U$161&lt;=83.24),"P","")</f>
        <v/>
      </c>
      <c r="JT19" s="102" t="str">
        <f>IF(AND(WSIND!$U$161&gt;=83.25,WSIND!$U$161&lt;=91.4),"P","")</f>
        <v/>
      </c>
      <c r="JU19" s="102" t="str">
        <f>IF(AND(WSIND!$U$161&gt;=91.5,WSIND!$U$161&lt;=100),"P","")</f>
        <v>P</v>
      </c>
      <c r="JV19" t="str">
        <f>IF(WSIND!$U$192&lt;74.9,"P","")</f>
        <v/>
      </c>
      <c r="JW19" s="102" t="str">
        <f>IF(AND(WSIND!$U$192&gt;=75,WSIND!$U$192&lt;=83.24),"P","")</f>
        <v/>
      </c>
      <c r="JX19" s="102" t="str">
        <f>IF(AND(WSIND!$U$192&gt;=83.25,WSIND!$U$192&lt;=91.4),"P","")</f>
        <v/>
      </c>
      <c r="JY19" s="102" t="str">
        <f>IF(AND(WSIND!$U$192&gt;=91.5,WSIND!$U$192&lt;=100),"P","")</f>
        <v>P</v>
      </c>
      <c r="JZ19" t="str">
        <f>IF(WSIND!$U$228&lt;74.9,"P","")</f>
        <v/>
      </c>
      <c r="KA19" s="102" t="str">
        <f>IF(AND(WSIND!$U$228&gt;=75,WSIND!$U$228&lt;=83.24),"P","")</f>
        <v/>
      </c>
      <c r="KB19" s="102" t="str">
        <f>IF(AND(WSIND!$U$228&gt;=83.25,WSIND!$U$228&lt;=91.4),"P","")</f>
        <v/>
      </c>
      <c r="KC19" s="102" t="str">
        <f>IF(AND(WSIND!$U$228&gt;=91.5,WSIND!$U$228&lt;=100),"P","")</f>
        <v>P</v>
      </c>
      <c r="KD19" t="str">
        <f>IF(WSIND!$U$256&lt;74.9,"P","")</f>
        <v/>
      </c>
      <c r="KE19" s="102" t="str">
        <f>IF(AND(WSIND!$U$256&gt;=75,WSIND!$U$256&lt;=83.24),"P","")</f>
        <v/>
      </c>
      <c r="KF19" s="102" t="str">
        <f>IF(AND(WSIND!$U$256&gt;=83.25,WSIND!$U$256&lt;=91.4),"P","")</f>
        <v/>
      </c>
      <c r="KG19" s="102" t="str">
        <f>IF(AND(WSIND!$U$256&gt;=91.5,WSIND!$U$256&lt;=100),"P","")</f>
        <v>P</v>
      </c>
      <c r="KH19" t="str">
        <f>IF(WSIND!$U$277&lt;74.9,"P","")</f>
        <v/>
      </c>
      <c r="KI19" s="102" t="str">
        <f>IF(AND(WSIND!$U$277&gt;=75,WSIND!$U$277&lt;=83.24),"P","")</f>
        <v/>
      </c>
      <c r="KJ19" s="102" t="str">
        <f>IF(AND(WSIND!$U$277&gt;=83.25,WSIND!$U$277&lt;=91.4),"P","")</f>
        <v/>
      </c>
      <c r="KK19" s="102" t="str">
        <f>IF(AND(WSIND!$U$277&gt;=91.5,WSIND!$U$277&lt;=100),"P","")</f>
        <v>P</v>
      </c>
      <c r="KL19" t="str">
        <f>IF(WSIND!$U$305&lt;74.9,"P","")</f>
        <v/>
      </c>
      <c r="KM19" s="102" t="str">
        <f>IF(AND(WSIND!$U$305&gt;=75,WSIND!$U$305&lt;=83.24),"P","")</f>
        <v/>
      </c>
      <c r="KN19" s="102" t="str">
        <f>IF(AND(WSIND!$U$305&gt;=83.25,WSIND!$U$305&lt;=91.4),"P","")</f>
        <v/>
      </c>
      <c r="KO19" s="102" t="str">
        <f>IF(AND(WSIND!$U$305&gt;=91.5,WSIND!$U$305&lt;=100),"P","")</f>
        <v>P</v>
      </c>
      <c r="KP19" t="str">
        <f>IF(WSIND!$U$329&lt;74.9,"P","")</f>
        <v/>
      </c>
      <c r="KQ19" s="102" t="str">
        <f>IF(AND(WSIND!$U$329&gt;=75,WSIND!$U$329&lt;=83.24),"P","")</f>
        <v/>
      </c>
      <c r="KR19" s="102" t="str">
        <f>IF(AND(WSIND!$U$329&gt;=83.25,WSIND!$U$329&lt;=91.4),"P","")</f>
        <v/>
      </c>
      <c r="KS19" s="102" t="str">
        <f>IF(AND(WSIND!$U$329&gt;=91.5,WSIND!$U$329&lt;=100),"P","")</f>
        <v/>
      </c>
      <c r="KT19" t="str">
        <f>IF(WSIND!$U$337&lt;74.9,"P","")</f>
        <v/>
      </c>
      <c r="KU19" s="102" t="str">
        <f>IF(AND(WSIND!$U$337&gt;=75,WSIND!$U$337&lt;=83.24),"P","")</f>
        <v/>
      </c>
      <c r="KV19" s="102" t="str">
        <f>IF(AND(WSIND!$U$337&gt;=83.25,WSIND!$U$337&lt;=91.4),"P","")</f>
        <v/>
      </c>
      <c r="KW19" s="102" t="str">
        <f>IF(AND(WSIND!$U$337&gt;=91.5,WSIND!$U$337&lt;=100),"P","")</f>
        <v/>
      </c>
      <c r="KX19" t="str">
        <f>IF(WSIND!$U$345&lt;74.9,"P","")</f>
        <v/>
      </c>
      <c r="KY19" s="102" t="str">
        <f>IF(AND(WSIND!$U$345&gt;=75,WSIND!$U$345&lt;=83.24),"P","")</f>
        <v/>
      </c>
      <c r="KZ19" s="102" t="str">
        <f>IF(AND(WSIND!$U$345&gt;=83.25,WSIND!$U$345&lt;=91.4),"P","")</f>
        <v/>
      </c>
      <c r="LA19" s="102" t="str">
        <f>IF(AND(WSIND!$U$345&gt;=91.5,WSIND!$U$345&lt;=100),"P","")</f>
        <v/>
      </c>
      <c r="LB19" t="str">
        <f>IF(WSARAB!$U$6&lt;74.9,"P","")</f>
        <v/>
      </c>
      <c r="LC19" s="102" t="str">
        <f>IF(AND(WSARAB!$U$6&gt;=75,WSARAB!$U$6&lt;=83.24),"P","")</f>
        <v/>
      </c>
      <c r="LD19" s="102" t="str">
        <f>IF(AND(WSARAB!$U$6&gt;=83.25,WSARAB!$U$6&lt;=91.4),"P","")</f>
        <v/>
      </c>
      <c r="LE19" s="102" t="str">
        <f>IF(AND(WSARAB!$U$6&gt;=91.5,WSARAB!$U$6&lt;=100),"P","")</f>
        <v/>
      </c>
      <c r="LF19" t="str">
        <f>IF(WSARAB!$U$17&lt;74.9,"P","")</f>
        <v/>
      </c>
      <c r="LG19" s="102" t="str">
        <f>IF(AND(WSARAB!$U$17&gt;=75,WSARAB!$U$17&lt;=83.24),"P","")</f>
        <v/>
      </c>
      <c r="LH19" s="102" t="str">
        <f>IF(AND(WSARAB!$U$17&gt;=83.25,WSARAB!$U$17&lt;=91.4),"P","")</f>
        <v/>
      </c>
      <c r="LI19" s="102" t="str">
        <f>IF(AND(WSARAB!$U$17&gt;=91.5,WSARAB!$U$17&lt;=100),"P","")</f>
        <v/>
      </c>
      <c r="LJ19" t="str">
        <f>IF(WSARAB!$U$29&lt;74.9,"P","")</f>
        <v/>
      </c>
      <c r="LK19" s="102" t="str">
        <f>IF(AND(WSARAB!$U$29&gt;=75,WSARAB!$U$29&lt;=83.24),"P","")</f>
        <v/>
      </c>
      <c r="LL19" s="102" t="str">
        <f>IF(AND(WSARAB!$U$29&gt;=83.25,WSARAB!$U$29&lt;=91.4),"P","")</f>
        <v/>
      </c>
      <c r="LM19" s="102" t="str">
        <f>IF(AND(WSARAB!$U$29&gt;=91.5,WSARAB!$U$29&lt;=100),"P","")</f>
        <v/>
      </c>
      <c r="LN19" t="str">
        <f>IF(WSARAB!$U$37&lt;74.9,"P","")</f>
        <v/>
      </c>
      <c r="LO19" s="102" t="str">
        <f>IF(AND(WSARAB!$U$37&gt;=75,WSARAB!$U$37&lt;=83.24),"P","")</f>
        <v/>
      </c>
      <c r="LP19" s="102" t="str">
        <f>IF(AND(WSARAB!$U$37&gt;=83.25,WSARAB!$U$37&lt;=91.4),"P","")</f>
        <v/>
      </c>
      <c r="LQ19" s="102" t="str">
        <f>IF(AND(WSARAB!$U$37&gt;=91.5,WSARAB!$U$37&lt;=100),"P","")</f>
        <v/>
      </c>
      <c r="LR19" t="str">
        <f>IF(WSARAB!$U$45&lt;74.9,"P","")</f>
        <v/>
      </c>
      <c r="LS19" s="102" t="str">
        <f>IF(AND(WSARAB!$U$45&gt;=75,WSARAB!$U$45&lt;=83.24),"P","")</f>
        <v/>
      </c>
      <c r="LT19" s="102" t="str">
        <f>IF(AND(WSARAB!$U$45&gt;=83.25,WSARAB!$U$45&lt;=91.4),"P","")</f>
        <v/>
      </c>
      <c r="LU19" s="102" t="str">
        <f>IF(AND(WSARAB!$U$45&gt;=91.5,WSARAB!$U$45&lt;=100),"P","")</f>
        <v/>
      </c>
      <c r="LV19" t="str">
        <f>IF(WSARAB!$U$53&lt;74.9,"P","")</f>
        <v/>
      </c>
      <c r="LW19" s="102" t="str">
        <f>IF(AND(WSARAB!$U$53&gt;=75,WSARAB!$U$53&lt;=83.24),"P","")</f>
        <v/>
      </c>
      <c r="LX19" s="102" t="str">
        <f>IF(AND(WSARAB!$U$53&gt;=83.25,WSARAB!$U$53&lt;=91.4),"P","")</f>
        <v/>
      </c>
      <c r="LY19" s="102" t="str">
        <f>IF(AND(WSARAB!$U$53&gt;=91.5,WSARAB!$U$53&lt;=100),"P","")</f>
        <v/>
      </c>
      <c r="LZ19" t="str">
        <f>IF(WSARAB!$U$65&lt;74.9,"P","")</f>
        <v/>
      </c>
      <c r="MA19" s="102" t="str">
        <f>IF(AND(WSARAB!$U$65&gt;=75,WSARAB!$U$65&lt;=83.24),"P","")</f>
        <v/>
      </c>
      <c r="MB19" s="102" t="str">
        <f>IF(AND(WSARAB!$U$65&gt;=83.25,WSARAB!$U$65&lt;=91.4),"P","")</f>
        <v/>
      </c>
      <c r="MC19" s="102" t="str">
        <f>IF(AND(WSARAB!$U$65&gt;=91.5,WSARAB!$U$65&lt;=100),"P","")</f>
        <v/>
      </c>
      <c r="MD19" t="str">
        <f>IF(WSARAB!$U$73&lt;74.9,"P","")</f>
        <v/>
      </c>
      <c r="ME19" s="102" t="str">
        <f>IF(AND(WSARAB!$U$73&gt;=75,WSARAB!$U$73&lt;=83.24),"P","")</f>
        <v/>
      </c>
      <c r="MF19" s="102" t="str">
        <f>IF(AND(WSARAB!$U$73&gt;=83.25,WSARAB!$U$73&lt;=91.4),"P","")</f>
        <v/>
      </c>
      <c r="MG19" s="102" t="str">
        <f>IF(AND(WSARAB!$U$73&gt;=91.5,WSARAB!$U$73&lt;=100),"P","")</f>
        <v/>
      </c>
      <c r="MH19" t="str">
        <f>IF(WSARAB!$U$81&lt;74.9,"P","")</f>
        <v/>
      </c>
      <c r="MI19" s="102" t="str">
        <f>IF(AND(WSARAB!$U$81&gt;=75,WSARAB!$U$81&lt;=83.24),"P","")</f>
        <v/>
      </c>
      <c r="MJ19" s="102" t="str">
        <f>IF(AND(WSARAB!$U$81&gt;=83.25,WSARAB!$U$81&lt;=91.4),"P","")</f>
        <v/>
      </c>
      <c r="MK19" s="102" t="str">
        <f>IF(AND(WSARAB!$U$81&gt;=91.5,WSARAB!$U$81&lt;=100),"P","")</f>
        <v/>
      </c>
      <c r="ML19" t="str">
        <f>IF(WSARAB!$U$89&lt;74.9,"P","")</f>
        <v/>
      </c>
      <c r="MM19" s="102" t="str">
        <f>IF(AND(WSARAB!$U$89&gt;=75,WSARAB!$U$89&lt;=83.24),"P","")</f>
        <v/>
      </c>
      <c r="MN19" s="102" t="str">
        <f>IF(AND(WSARAB!$U$89&gt;=83.25,WSARAB!$U$89&lt;=91.4),"P","")</f>
        <v/>
      </c>
      <c r="MO19" s="102" t="str">
        <f>IF(AND(WSARAB!$U$89&gt;=91.5,WSARAB!$U$89&lt;=100),"P","")</f>
        <v/>
      </c>
      <c r="MP19" t="str">
        <f>IF(WSARAB!$U$97&lt;74.9,"P","")</f>
        <v/>
      </c>
      <c r="MQ19" s="102" t="str">
        <f>IF(AND(WSARAB!$U$97&gt;=75,WSARAB!$U$97&lt;=83.24),"P","")</f>
        <v/>
      </c>
      <c r="MR19" s="102" t="str">
        <f>IF(AND(WSARAB!$U$97&gt;=83.25,WSARAB!$U$97&lt;=91.4),"P","")</f>
        <v/>
      </c>
      <c r="MS19" s="102" t="str">
        <f>IF(AND(WSARAB!$U$97&gt;=91.5,WSARAB!$U$97&lt;=100),"P","")</f>
        <v/>
      </c>
      <c r="MT19" t="str">
        <f>IF(WSARAB!$U$105&lt;74.9,"P","")</f>
        <v/>
      </c>
      <c r="MU19" s="102" t="str">
        <f>IF(AND(WSARAB!$U$105&gt;=75,WSARAB!$U$105&lt;=83.24),"P","")</f>
        <v/>
      </c>
      <c r="MV19" s="102" t="str">
        <f>IF(AND(WSARAB!$U$105&gt;=83.25,WSARAB!$U$105&lt;=91.4),"P","")</f>
        <v/>
      </c>
      <c r="MW19" s="102" t="str">
        <f>IF(AND(WSARAB!$U$105&gt;=91.5,WSARAB!$U$105&lt;=100),"P","")</f>
        <v/>
      </c>
      <c r="MX19" t="str">
        <f>IF(WSARAB!$U$113&lt;74.9,"P","")</f>
        <v/>
      </c>
      <c r="MY19" s="102" t="str">
        <f>IF(AND(WSARAB!$U$113&gt;=75,WSARAB!$U$113&lt;=83.24),"P","")</f>
        <v/>
      </c>
      <c r="MZ19" s="102" t="str">
        <f>IF(AND(WSARAB!$U$113&gt;=83.25,WSARAB!$U$113&lt;=91.4),"P","")</f>
        <v/>
      </c>
      <c r="NA19" s="102" t="str">
        <f>IF(AND(WSARAB!$U$113&gt;=91.5,WSARAB!$U$113&lt;=100),"P","")</f>
        <v/>
      </c>
      <c r="NB19" t="str">
        <f>IF(WSMTK!$U$6&lt;74.9,"P","")</f>
        <v/>
      </c>
      <c r="NC19" s="102" t="str">
        <f>IF(AND(WSMTK!$U$6&gt;=75,WSMTK!$U$6&lt;=83.24),"P","")</f>
        <v/>
      </c>
      <c r="ND19" s="102" t="str">
        <f>IF(AND(WSMTK!$U$6&gt;=83.25,WSMTK!$U$6&lt;=91.4),"P","")</f>
        <v/>
      </c>
      <c r="NE19" s="102" t="str">
        <f>IF(AND(WSMTK!$U$6&gt;=91.5,WSMTK!$U$6&lt;=100),"P","")</f>
        <v>P</v>
      </c>
      <c r="NF19" t="str">
        <f>IF(WSMTK!$U$22&lt;74.9,"P","")</f>
        <v/>
      </c>
      <c r="NG19" s="102" t="str">
        <f>IF(AND(WSMTK!$U$22&gt;=75,WSMTK!$U$22&lt;=83.24),"P","")</f>
        <v/>
      </c>
      <c r="NH19" s="102" t="str">
        <f>IF(AND(WSMTK!$U$22&gt;=83.25,WSMTK!$U$22&lt;=91.4),"P","")</f>
        <v/>
      </c>
      <c r="NI19" s="102" t="str">
        <f>IF(AND(WSMTK!$U$22&gt;=91.5,WSMTK!$U$22&lt;=100),"P","")</f>
        <v>P</v>
      </c>
      <c r="NJ19" t="str">
        <f>IF(WSMTK!$U$35&lt;74.9,"P","")</f>
        <v/>
      </c>
      <c r="NK19" s="102" t="str">
        <f>IF(AND(WSMTK!$U$35&gt;=75,WSMTK!$U$35&lt;=83.24),"P","")</f>
        <v/>
      </c>
      <c r="NL19" s="102" t="str">
        <f>IF(AND(WSMTK!$U$35&gt;=83.25,WSMTK!$U$35&lt;=91.4),"P","")</f>
        <v/>
      </c>
      <c r="NM19" s="102" t="str">
        <f>IF(AND(WSMTK!$U$35&gt;=91.5,WSMTK!$U$35&lt;=100),"P","")</f>
        <v>P</v>
      </c>
      <c r="NN19" t="str">
        <f>IF(WSMTK!$U$69&lt;74.9,"P","")</f>
        <v/>
      </c>
      <c r="NO19" s="102" t="str">
        <f>IF(AND(WSMTK!$U$69&gt;=75,WSMTK!$U$69&lt;=83.24),"P","")</f>
        <v/>
      </c>
      <c r="NP19" s="102" t="str">
        <f>IF(AND(WSMTK!$U$69&gt;=83.25,WSMTK!$U$69&lt;=91.4),"P","")</f>
        <v/>
      </c>
      <c r="NQ19" s="102" t="str">
        <f>IF(AND(WSMTK!$U$69&gt;=91.5,WSMTK!$U$69&lt;=100),"P","")</f>
        <v>P</v>
      </c>
      <c r="NR19" t="str">
        <f>IF(WSMTK!$U$87&lt;74.9,"P","")</f>
        <v/>
      </c>
      <c r="NS19" s="102" t="str">
        <f>IF(AND(WSMTK!$U$87&gt;=75,WSMTK!$U$87&lt;=83.24),"P","")</f>
        <v/>
      </c>
      <c r="NT19" s="102" t="str">
        <f>IF(AND(WSMTK!$U$87&gt;=83.25,WSMTK!$U$87&lt;=91.4),"P","")</f>
        <v/>
      </c>
      <c r="NU19" s="102" t="str">
        <f>IF(AND(WSMTK!$U$87&gt;=91.5,WSMTK!$U$87&lt;=100),"P","")</f>
        <v>P</v>
      </c>
      <c r="NV19" t="str">
        <f>IF(WSMTK!$U$99&lt;74.9,"P","")</f>
        <v/>
      </c>
      <c r="NW19" s="102" t="str">
        <f>IF(AND(WSMTK!$U$99&gt;=75,WSMTK!$U$99&lt;=83.24),"P","")</f>
        <v/>
      </c>
      <c r="NX19" s="102" t="str">
        <f>IF(AND(WSMTK!$U$99&gt;=83.25,WSMTK!$U$99&lt;=91.4),"P","")</f>
        <v/>
      </c>
      <c r="NY19" s="102" t="str">
        <f>IF(AND(WSMTK!$U$99&gt;=91.5,WSMTK!$U$99&lt;=100),"P","")</f>
        <v>P</v>
      </c>
      <c r="NZ19" t="str">
        <f>IF(WSMTK!$U$113&lt;74.9,"P","")</f>
        <v/>
      </c>
      <c r="OA19" s="102" t="str">
        <f>IF(AND(WSMTK!$U$113&gt;=75,WSMTK!$U$113&lt;=83.24),"P","")</f>
        <v/>
      </c>
      <c r="OB19" s="102" t="str">
        <f>IF(AND(WSMTK!$U$113&gt;=83.25,WSMTK!$U$113&lt;=91.4),"P","")</f>
        <v/>
      </c>
      <c r="OC19" s="102" t="str">
        <f>IF(AND(WSMTK!$U$113&gt;=91.5,WSMTK!$U$113&lt;=100),"P","")</f>
        <v>P</v>
      </c>
      <c r="OD19" t="str">
        <f>IF(WSMTK!$U$145&lt;74.9,"P","")</f>
        <v/>
      </c>
      <c r="OE19" s="102" t="str">
        <f>IF(AND(WSMTK!$U$145&gt;=75,WSMTK!$U$145&lt;=83.24),"P","")</f>
        <v/>
      </c>
      <c r="OF19" s="102" t="str">
        <f>IF(AND(WSMTK!$U$145&gt;=83.25,WSMTK!$U$145&lt;=91.4),"P","")</f>
        <v/>
      </c>
      <c r="OG19" s="102" t="str">
        <f>IF(AND(WSMTK!$U$145&gt;=91.5,WSMTK!$U$145&lt;=100),"P","")</f>
        <v>P</v>
      </c>
      <c r="OH19" t="str">
        <f>IF(WSMTK!$U$168&lt;74.9,"P","")</f>
        <v/>
      </c>
      <c r="OI19" s="102" t="str">
        <f>IF(AND(WSMTK!$U$168&gt;=75,WSMTK!$U$168&lt;=83.24),"P","")</f>
        <v/>
      </c>
      <c r="OJ19" s="102" t="str">
        <f>IF(AND(WSMTK!$U$168&gt;=83.25,WSMTK!$U$168&lt;=91.4),"P","")</f>
        <v/>
      </c>
      <c r="OK19" s="102" t="str">
        <f>IF(AND(WSMTK!$U$168&gt;=91.5,WSMTK!$U$168&lt;=100),"P","")</f>
        <v/>
      </c>
      <c r="OL19" t="str">
        <f>IF(WSMTK!$U$176&lt;74.9,"P","")</f>
        <v/>
      </c>
      <c r="OM19" s="102" t="str">
        <f>IF(AND(WSMTK!$U$176&gt;=75,WSMTK!$U$176&lt;=83.24),"P","")</f>
        <v/>
      </c>
      <c r="ON19" s="102" t="str">
        <f>IF(AND(WSMTK!$U$176&gt;=83.25,WSMTK!$U$176&lt;=91.4),"P","")</f>
        <v/>
      </c>
      <c r="OO19" s="102" t="str">
        <f>IF(AND(WSMTK!$U$176&gt;=91.5,WSMTK!$U$176&lt;=100),"P","")</f>
        <v/>
      </c>
      <c r="OP19" t="str">
        <f>IF(WSMTK!$U$184&lt;74.9,"P","")</f>
        <v/>
      </c>
      <c r="OQ19" s="102" t="str">
        <f>IF(AND(WSMTK!$U$184&gt;=75,WSMTK!$U$184&lt;=83.24),"P","")</f>
        <v/>
      </c>
      <c r="OR19" s="102" t="str">
        <f>IF(AND(WSMTK!$U$184&gt;=83.25,WSMTK!$U$184&lt;=91.4),"P","")</f>
        <v/>
      </c>
      <c r="OS19" s="102" t="str">
        <f>IF(AND(WSMTK!$U$184&gt;=91.5,WSMTK!$U$184&lt;=100),"P","")</f>
        <v/>
      </c>
      <c r="OT19" t="str">
        <f>IF(WSMTK!$U$192&lt;74.9,"P","")</f>
        <v/>
      </c>
      <c r="OU19" s="102" t="str">
        <f>IF(AND(WSMTK!$U$192&gt;=75,WSMTK!$U$192&lt;=83.24),"P","")</f>
        <v/>
      </c>
      <c r="OV19" s="102" t="str">
        <f>IF(AND(WSMTK!$U$192&gt;=83.25,WSMTK!$U$192&lt;=91.4),"P","")</f>
        <v/>
      </c>
      <c r="OW19" s="102" t="str">
        <f>IF(AND(WSMTK!$U$192&gt;=91.5,WSMTK!$U$192&lt;=100),"P","")</f>
        <v/>
      </c>
      <c r="OX19" t="str">
        <f>IF(WSMTK!$U$200&lt;74.9,"P","")</f>
        <v/>
      </c>
      <c r="OY19" s="102" t="str">
        <f>IF(AND(WSMTK!$U$200&gt;=75,WSMTK!$U$200&lt;=83.24),"P","")</f>
        <v/>
      </c>
      <c r="OZ19" s="102" t="str">
        <f>IF(AND(WSMTK!$U$200&gt;=83.25,WSMTK!$U$200&lt;=91.4),"P","")</f>
        <v/>
      </c>
      <c r="PA19" s="102" t="str">
        <f>IF(AND(WSMTK!$U$200&gt;=91.5,WSMTK!$U$200&lt;=100),"P","")</f>
        <v/>
      </c>
      <c r="PB19" t="str">
        <f>IF(WSIPA!$U$6&lt;74.9,"P","")</f>
        <v/>
      </c>
      <c r="PC19" s="102" t="str">
        <f>IF(AND(WSIPA!$U$6&gt;=75,WSIPA!$U$6&lt;=83.24),"P","")</f>
        <v/>
      </c>
      <c r="PD19" s="102" t="str">
        <f>IF(AND(WSIPA!$U$6&gt;=83.25,WSIPA!$U$6&lt;=91.4),"P","")</f>
        <v/>
      </c>
      <c r="PE19" s="102" t="str">
        <f>IF(AND(WSIPA!$U$6&gt;=91.5,WSIPA!$U$6&lt;=100),"P","")</f>
        <v/>
      </c>
      <c r="PF19" t="str">
        <f>IF(WSIPA!$U$14&lt;74.9,"P","")</f>
        <v/>
      </c>
      <c r="PG19" s="102" t="str">
        <f>IF(AND(WSIPA!$U$14&gt;=75,WSIPA!$U$14&lt;=83.24),"P","")</f>
        <v/>
      </c>
      <c r="PH19" s="102" t="str">
        <f>IF(AND(WSIPA!$U$14&gt;=83.25,WSIPA!$U$14&lt;=91.4),"P","")</f>
        <v/>
      </c>
      <c r="PI19" s="102" t="str">
        <f>IF(AND(WSIPA!$U$14&gt;=91.5,WSIPA!$U$14&lt;=100),"P","")</f>
        <v/>
      </c>
      <c r="PJ19" t="str">
        <f>IF(WSIPA!$U$22&lt;74.9,"P","")</f>
        <v/>
      </c>
      <c r="PK19" s="102" t="str">
        <f>IF(AND(WSIPA!$U$22&gt;=75,WSIPA!$U$22&lt;=83.24),"P","")</f>
        <v/>
      </c>
      <c r="PL19" s="102" t="str">
        <f>IF(AND(WSIPA!$U$22&gt;=83.25,WSIPA!$U$22&lt;=91.4),"P","")</f>
        <v/>
      </c>
      <c r="PM19" s="102" t="str">
        <f>IF(AND(WSIPA!$U$22&gt;=91.5,WSIPA!$U$22&lt;=100),"P","")</f>
        <v/>
      </c>
      <c r="PN19" t="str">
        <f>IF(WSIPA!$U$30&lt;74.9,"P","")</f>
        <v/>
      </c>
      <c r="PO19" s="102" t="str">
        <f>IF(AND(WSIPA!$U$30&gt;=75,WSIPA!$U$30&lt;=83.24),"P","")</f>
        <v/>
      </c>
      <c r="PP19" s="102" t="str">
        <f>IF(AND(WSIPA!$U$30&gt;=83.25,WSIPA!$U$30&lt;=91.4),"P","")</f>
        <v/>
      </c>
      <c r="PQ19" s="102" t="str">
        <f>IF(AND(WSIPA!$U$30&gt;=91.5,WSIPA!$U$30&lt;=100),"P","")</f>
        <v/>
      </c>
      <c r="PR19" t="str">
        <f>IF(WSIPA!$U$38&lt;74.9,"P","")</f>
        <v/>
      </c>
      <c r="PS19" s="102" t="str">
        <f>IF(AND(WSIPA!$U$38&gt;=75,WSIPA!$U$38&lt;=83.24),"P","")</f>
        <v/>
      </c>
      <c r="PT19" s="102" t="str">
        <f>IF(AND(WSIPA!$U$38&gt;=83.25,WSIPA!$U$38&lt;=91.4),"P","")</f>
        <v/>
      </c>
      <c r="PU19" s="102" t="str">
        <f>IF(AND(WSIPA!$U$38&gt;=91.5,WSIPA!$U$38&lt;=100),"P","")</f>
        <v/>
      </c>
      <c r="PV19" t="str">
        <f>IF(WSIPA!$U$46&lt;74.9,"P","")</f>
        <v/>
      </c>
      <c r="PW19" s="102" t="str">
        <f>IF(AND(WSIPA!$U$46&gt;=75,WSIPA!$U$46&lt;=83.24),"P","")</f>
        <v/>
      </c>
      <c r="PX19" s="102" t="str">
        <f>IF(AND(WSIPA!$U$46&gt;=83.25,WSIPA!$U$46&lt;=91.4),"P","")</f>
        <v/>
      </c>
      <c r="PY19" s="102" t="str">
        <f>IF(AND(WSIPA!$U$46&gt;=91.5,WSIPA!$U$46&lt;=100),"P","")</f>
        <v/>
      </c>
      <c r="PZ19" t="str">
        <f>IF(WSIPA!$U$54&lt;74.9,"P","")</f>
        <v/>
      </c>
      <c r="QA19" s="102" t="str">
        <f>IF(AND(WSIPA!$U$54&gt;=75,WSIPA!$U$54&lt;=83.24),"P","")</f>
        <v/>
      </c>
      <c r="QB19" s="102" t="str">
        <f>IF(AND(WSIPA!$U$54&gt;=83.25,WSIPA!$U$54&lt;=91.4),"P","")</f>
        <v/>
      </c>
      <c r="QC19" s="102" t="str">
        <f>IF(AND(WSIPA!$U$54&gt;=91.5,WSIPA!$U$54&lt;=100),"P","")</f>
        <v/>
      </c>
      <c r="QD19" t="str">
        <f>IF(WSIPA!$U$62&lt;74.9,"P","")</f>
        <v/>
      </c>
      <c r="QE19" s="102" t="str">
        <f>IF(AND(WSIPA!$U$62&gt;=75,WSIPA!$U$62&lt;=83.24),"P","")</f>
        <v/>
      </c>
      <c r="QF19" s="102" t="str">
        <f>IF(AND(WSIPA!$U$62&gt;=83.25,WSIPA!$U$62&lt;=91.4),"P","")</f>
        <v/>
      </c>
      <c r="QG19" s="102" t="str">
        <f>IF(AND(WSIPA!$U$62&gt;=91.5,WSIPA!$U$62&lt;=100),"P","")</f>
        <v/>
      </c>
      <c r="QH19" t="str">
        <f>IF(WSIPA!$U$70&lt;74.9,"P","")</f>
        <v/>
      </c>
      <c r="QI19" s="102" t="str">
        <f>IF(AND(WSIPA!$U$70&gt;=75,WSIPA!$U$70&lt;=83.24),"P","")</f>
        <v/>
      </c>
      <c r="QJ19" s="102" t="str">
        <f>IF(AND(WSIPA!$U$70&gt;=83.25,WSIPA!$U$70&lt;=91.4),"P","")</f>
        <v/>
      </c>
      <c r="QK19" s="102" t="str">
        <f>IF(AND(WSIPA!$U$70&gt;=91.5,WSIPA!$U$70&lt;=100),"P","")</f>
        <v/>
      </c>
      <c r="QL19" t="str">
        <f>IF(WSIPA!$U$78&lt;74.9,"P","")</f>
        <v/>
      </c>
      <c r="QM19" s="102" t="str">
        <f>IF(AND(WSIPA!$U$78&gt;=75,WSIPA!$U$78&lt;=83.24),"P","")</f>
        <v/>
      </c>
      <c r="QN19" s="102" t="str">
        <f>IF(AND(WSIPA!$U$78&gt;=83.25,WSIPA!$U$78&lt;=91.4),"P","")</f>
        <v/>
      </c>
      <c r="QO19" s="102" t="str">
        <f>IF(AND(WSIPA!$U$78&gt;=91.5,WSIPA!$U$78&lt;=100),"P","")</f>
        <v/>
      </c>
      <c r="QP19" t="str">
        <f>IF(WSIPA!$U$86&lt;74.9,"P","")</f>
        <v/>
      </c>
      <c r="QQ19" s="102" t="str">
        <f>IF(AND(WSIPA!$U$86&gt;=75,WSIPA!$U$86&lt;=83.24),"P","")</f>
        <v/>
      </c>
      <c r="QR19" s="102" t="str">
        <f>IF(AND(WSIPA!$U$86&gt;=83.25,WSIPA!$U$86&lt;=91.4),"P","")</f>
        <v/>
      </c>
      <c r="QS19" s="102" t="str">
        <f>IF(AND(WSIPA!$U$86&gt;=91.5,WSIPA!$U$86&lt;=100),"P","")</f>
        <v/>
      </c>
      <c r="QT19" t="str">
        <f>IF(WSIPA!$U$94&lt;74.9,"P","")</f>
        <v/>
      </c>
      <c r="QU19" s="102" t="str">
        <f>IF(AND(WSIPA!$U$94&gt;=75,WSIPA!$U$94&lt;=83.24),"P","")</f>
        <v/>
      </c>
      <c r="QV19" s="102" t="str">
        <f>IF(AND(WSIPA!$U$94&gt;=83.25,WSIPA!$U$94&lt;=91.4),"P","")</f>
        <v/>
      </c>
      <c r="QW19" s="102" t="str">
        <f>IF(AND(WSIPA!$U$94&gt;=91.5,WSIPA!$U$94&lt;=100),"P","")</f>
        <v/>
      </c>
      <c r="QX19" t="str">
        <f>IF(WSIPA!$U$102&lt;74.9,"P","")</f>
        <v/>
      </c>
      <c r="QY19" s="102" t="str">
        <f>IF(AND(WSIPA!$U$102&gt;=75,WSIPA!$U$102&lt;=83.24),"P","")</f>
        <v/>
      </c>
      <c r="QZ19" s="102" t="str">
        <f>IF(AND(WSIPA!$U$102&gt;=83.25,WSIPA!$U$102&lt;=91.4),"P","")</f>
        <v/>
      </c>
      <c r="RA19" s="102" t="str">
        <f>IF(AND(WSIPA!$U$102&gt;=91.5,WSIPA!$U$102&lt;=100),"P","")</f>
        <v/>
      </c>
      <c r="RB19" t="str">
        <f>IF(WSIPS!$U$6&lt;74.9,"P","")</f>
        <v/>
      </c>
      <c r="RC19" s="102" t="str">
        <f>IF(AND(WSIPS!$U$6&gt;=75,WSIPS!$U$6&lt;=83.24),"P","")</f>
        <v/>
      </c>
      <c r="RD19" s="102" t="str">
        <f>IF(AND(WSIPS!$U$6&gt;=83.25,WSIPS!$U$6&lt;=91.4),"P","")</f>
        <v/>
      </c>
      <c r="RE19" s="102" t="str">
        <f>IF(AND(WSIPS!$U$6&gt;=91.5,WSIPS!$U$6&lt;=100),"P","")</f>
        <v/>
      </c>
      <c r="RF19" t="str">
        <f>IF(WSIPS!$U$14&lt;74.9,"P","")</f>
        <v/>
      </c>
      <c r="RG19" s="102" t="str">
        <f>IF(AND(WSIPS!$U$14&gt;=75,WSIPS!$U$14&lt;=83.24),"P","")</f>
        <v/>
      </c>
      <c r="RH19" s="102" t="str">
        <f>IF(AND(WSIPS!$U$14&gt;=83.25,WSIPS!$U$14&lt;=91.4),"P","")</f>
        <v/>
      </c>
      <c r="RI19" s="102" t="str">
        <f>IF(AND(WSIPS!$U$14&gt;=91.5,WSIPS!$U$14&lt;=100),"P","")</f>
        <v/>
      </c>
      <c r="RJ19" t="str">
        <f>IF(WSIPS!$U$22&lt;74.9,"P","")</f>
        <v/>
      </c>
      <c r="RK19" s="102" t="str">
        <f>IF(AND(WSIPS!$U$22&gt;=75,WSIPS!$U$22&lt;=83.24),"P","")</f>
        <v/>
      </c>
      <c r="RL19" s="102" t="str">
        <f>IF(AND(WSIPS!$U$22&gt;=83.25,WSIPS!$U$22&lt;=91.4),"P","")</f>
        <v/>
      </c>
      <c r="RM19" s="102" t="str">
        <f>IF(AND(WSIPS!$U$22&gt;=91.5,WSIPS!$U$22&lt;=100),"P","")</f>
        <v/>
      </c>
      <c r="RN19" t="str">
        <f>IF(WSIPS!$U$30&lt;74.9,"P","")</f>
        <v/>
      </c>
      <c r="RO19" s="102" t="str">
        <f>IF(AND(WSIPS!$U$30&gt;=75,WSIPS!$U$30&lt;=83.24),"P","")</f>
        <v/>
      </c>
      <c r="RP19" s="102" t="str">
        <f>IF(AND(WSIPS!$U$30&gt;=83.25,WSIPS!$U$30&lt;=91.4),"P","")</f>
        <v/>
      </c>
      <c r="RQ19" s="102" t="str">
        <f>IF(AND(WSIPS!$U$30&gt;=91.5,WSIPS!$U$30&lt;=100),"P","")</f>
        <v/>
      </c>
      <c r="RR19" t="str">
        <f>IF(WSIPS!$U$38&lt;74.9,"P","")</f>
        <v/>
      </c>
      <c r="RS19" s="102" t="str">
        <f>IF(AND(WSIPS!$U$38&gt;=75,WSIPS!$U$38&lt;=83.24),"P","")</f>
        <v/>
      </c>
      <c r="RT19" s="102" t="str">
        <f>IF(AND(WSIPS!$U$38&gt;=83.25,WSIPS!$U$38&lt;=91.4),"P","")</f>
        <v/>
      </c>
      <c r="RU19" s="102" t="str">
        <f>IF(AND(WSIPS!$U$38&gt;=91.5,WSIPS!$U$38&lt;=100),"P","")</f>
        <v/>
      </c>
      <c r="RV19" t="str">
        <f>IF(WSIPS!$U$46&lt;74.9,"P","")</f>
        <v/>
      </c>
      <c r="RW19" s="102" t="str">
        <f>IF(AND(WSIPS!$U$46&gt;=75,WSIPS!$U$46&lt;=83.24),"P","")</f>
        <v/>
      </c>
      <c r="RX19" s="102" t="str">
        <f>IF(AND(WSIPS!$U$46&gt;=83.25,WSIPS!$U$46&lt;=91.4),"P","")</f>
        <v/>
      </c>
      <c r="RY19" s="102" t="str">
        <f>IF(AND(WSIPS!$U$46&gt;=91.5,WSIPS!$U$46&lt;=100),"P","")</f>
        <v/>
      </c>
      <c r="RZ19" t="str">
        <f>IF(WSIPS!$U$54&lt;74.9,"P","")</f>
        <v/>
      </c>
      <c r="SA19" s="102" t="str">
        <f>IF(AND(WSIPS!$U$54&gt;=75,WSIPS!$U$54&lt;=83.24),"P","")</f>
        <v/>
      </c>
      <c r="SB19" s="102" t="str">
        <f>IF(AND(WSIPS!$U$54&gt;=83.25,WSIPS!$U$54&lt;=91.4),"P","")</f>
        <v/>
      </c>
      <c r="SC19" s="102" t="str">
        <f>IF(AND(WSIPS!$U$54&gt;=91.5,WSIPS!$U$54&lt;=100),"P","")</f>
        <v/>
      </c>
      <c r="SD19" t="str">
        <f>IF(WSIPS!$U$62&lt;74.9,"P","")</f>
        <v/>
      </c>
      <c r="SE19" s="102" t="str">
        <f>IF(AND(WSIPS!$U$62&gt;=75,WSIPS!$U$62&lt;=83.24),"P","")</f>
        <v/>
      </c>
      <c r="SF19" s="102" t="str">
        <f>IF(AND(WSIPS!$U$62&gt;=83.25,WSIPS!$U$62&lt;=91.4),"P","")</f>
        <v/>
      </c>
      <c r="SG19" s="102" t="str">
        <f>IF(AND(WSIPS!$U$62&gt;=91.5,WSIPS!$U$62&lt;=100),"P","")</f>
        <v/>
      </c>
      <c r="SH19" t="str">
        <f>IF(WSIPS!$U$70&lt;74.9,"P","")</f>
        <v/>
      </c>
      <c r="SI19" s="102" t="str">
        <f>IF(AND(WSIPS!$U$70&gt;=75,WSIPS!$U$70&lt;=83.24),"P","")</f>
        <v/>
      </c>
      <c r="SJ19" s="102" t="str">
        <f>IF(AND(WSIPS!$U$70&gt;=83.25,WSIPS!$U$70&lt;=91.4),"P","")</f>
        <v/>
      </c>
      <c r="SK19" s="102" t="str">
        <f>IF(AND(WSIPS!$U$70&gt;=91.5,WSIPS!$U$70&lt;=100),"P","")</f>
        <v/>
      </c>
      <c r="SL19" t="str">
        <f>IF(WSIPS!$U$78&lt;74.9,"P","")</f>
        <v/>
      </c>
      <c r="SM19" s="102" t="str">
        <f>IF(AND(WSIPS!$U$78&gt;=75,WSIPS!$U$78&lt;=83.24),"P","")</f>
        <v/>
      </c>
      <c r="SN19" s="102" t="str">
        <f>IF(AND(WSIPS!$U$78&gt;=83.25,WSIPS!$U$78&lt;=91.4),"P","")</f>
        <v/>
      </c>
      <c r="SO19" s="102" t="str">
        <f>IF(AND(WSIPS!$U$78&gt;=91.5,WSIPS!$U$78&lt;=100),"P","")</f>
        <v/>
      </c>
      <c r="SP19" t="str">
        <f>IF(WSIPS!$U$86&lt;74.9,"P","")</f>
        <v/>
      </c>
      <c r="SQ19" s="102" t="str">
        <f>IF(AND(WSIPS!$U$86&gt;=75,WSIPS!$U$86&lt;=83.24),"P","")</f>
        <v/>
      </c>
      <c r="SR19" s="102" t="str">
        <f>IF(AND(WSIPS!$U$86&gt;=83.25,WSIPS!$U$86&lt;=91.4),"P","")</f>
        <v/>
      </c>
      <c r="SS19" s="102" t="str">
        <f>IF(AND(WSIPS!$U$86&gt;=91.5,WSIPS!$U$86&lt;=100),"P","")</f>
        <v/>
      </c>
      <c r="ST19" t="str">
        <f>IF(WSIPS!$U$94&lt;74.9,"P","")</f>
        <v/>
      </c>
      <c r="SU19" s="102" t="str">
        <f>IF(AND(WSIPS!$U$94&gt;=75,WSIPS!$U$94&lt;=83.24),"P","")</f>
        <v/>
      </c>
      <c r="SV19" s="102" t="str">
        <f>IF(AND(WSIPS!$U$94&gt;=83.25,WSIPS!$U$94&lt;=91.4),"P","")</f>
        <v/>
      </c>
      <c r="SW19" s="102" t="str">
        <f>IF(AND(WSIPS!$U$94&gt;=91.5,WSIPS!$U$94&lt;=100),"P","")</f>
        <v/>
      </c>
      <c r="SX19" t="str">
        <f>IF(WSIPS!$U$102&lt;74.9,"P","")</f>
        <v/>
      </c>
      <c r="SY19" s="102" t="str">
        <f>IF(AND(WSIPS!$U$102&gt;=75,WSIPS!$U$102&lt;=83.24),"P","")</f>
        <v/>
      </c>
      <c r="SZ19" s="102" t="str">
        <f>IF(AND(WSIPS!$U$102&gt;=83.25,WSIPS!$U$102&lt;=91.4),"P","")</f>
        <v/>
      </c>
      <c r="TA19" s="102" t="str">
        <f>IF(AND(WSIPS!$U$102&gt;=91.5,WSIPS!$U$102&lt;=100),"P","")</f>
        <v/>
      </c>
      <c r="TB19" t="str">
        <f>IF(WSSBK!$U$6&lt;74.9,"P","")</f>
        <v/>
      </c>
      <c r="TC19" s="102" t="str">
        <f>IF(AND(WSSBK!$U$6&gt;=75,WSSBK!$U$6&lt;=83.24),"P","")</f>
        <v/>
      </c>
      <c r="TD19" s="102" t="str">
        <f>IF(AND(WSSBK!$U$6&gt;=83.25,WSSBK!$U$6&lt;=91.4),"P","")</f>
        <v/>
      </c>
      <c r="TE19" s="102" t="str">
        <f>IF(AND(WSSBK!$U$6&gt;=91.5,WSSBK!$U$6&lt;=100),"P","")</f>
        <v>P</v>
      </c>
      <c r="TF19" t="str">
        <f>IF(WSSBK!$U$16&lt;74.9,"P","")</f>
        <v/>
      </c>
      <c r="TG19" s="102" t="str">
        <f>IF(AND(WSSBK!$U$16&gt;=75,WSSBK!$U$16&lt;=83.24),"P","")</f>
        <v/>
      </c>
      <c r="TH19" s="102" t="str">
        <f>IF(AND(WSSBK!$U$16&gt;=83.25,WSSBK!$U$16&lt;=91.4),"P","")</f>
        <v/>
      </c>
      <c r="TI19" s="102" t="str">
        <f>IF(AND(WSSBK!$U$16&gt;=91.5,WSSBK!$U$16&lt;=100),"P","")</f>
        <v>P</v>
      </c>
      <c r="TJ19" t="str">
        <f>IF(WSSBK!$U$26&lt;74.9,"P","")</f>
        <v/>
      </c>
      <c r="TK19" s="102" t="str">
        <f>IF(AND(WSSBK!$U$26&gt;=75,WSSBK!$U$26&lt;=83.24),"P","")</f>
        <v/>
      </c>
      <c r="TL19" s="102" t="str">
        <f>IF(AND(WSSBK!$U$26&gt;=83.25,WSSBK!$U$26&lt;=91.4),"P","")</f>
        <v/>
      </c>
      <c r="TM19" s="102" t="str">
        <f>IF(AND(WSSBK!$U$26&gt;=91.5,WSSBK!$U$26&lt;=100),"P","")</f>
        <v>P</v>
      </c>
      <c r="TN19" t="str">
        <f>IF(WSSBK!$U$36&lt;74.9,"P","")</f>
        <v/>
      </c>
      <c r="TO19" s="102" t="str">
        <f>IF(AND(WSSBK!$U$36&gt;=75,WSSBK!$U$36&lt;=83.24),"P","")</f>
        <v/>
      </c>
      <c r="TP19" s="102" t="str">
        <f>IF(AND(WSSBK!$U$36&gt;=83.25,WSSBK!$U$36&lt;=91.4),"P","")</f>
        <v/>
      </c>
      <c r="TQ19" s="102" t="str">
        <f>IF(AND(WSSBK!$U$36&gt;=91.5,WSSBK!$U$36&lt;=100),"P","")</f>
        <v>P</v>
      </c>
      <c r="TR19" t="str">
        <f>IF(WSSBK!$U$46&lt;74.9,"P","")</f>
        <v/>
      </c>
      <c r="TS19" s="102" t="str">
        <f>IF(AND(WSSBK!$U$46&gt;=75,WSSBK!$U$46&lt;=83.24),"P","")</f>
        <v/>
      </c>
      <c r="TT19" s="102" t="str">
        <f>IF(AND(WSSBK!$U$46&gt;=83.25,WSSBK!$U$46&lt;=91.4),"P","")</f>
        <v/>
      </c>
      <c r="TU19" s="102" t="str">
        <f>IF(AND(WSSBK!$U$46&gt;=91.5,WSSBK!$U$46&lt;=100),"P","")</f>
        <v>P</v>
      </c>
      <c r="TV19" t="str">
        <f>IF(WSSBK!$U$58&lt;74.9,"P","")</f>
        <v/>
      </c>
      <c r="TW19" s="102" t="str">
        <f>IF(AND(WSSBK!$U$58&gt;=75,WSSBK!$U$58&lt;=83.24),"P","")</f>
        <v/>
      </c>
      <c r="TX19" s="102" t="str">
        <f>IF(AND(WSSBK!$U$58&gt;=83.25,WSSBK!$U$58&lt;=91.4),"P","")</f>
        <v/>
      </c>
      <c r="TY19" s="102" t="str">
        <f>IF(AND(WSSBK!$U$58&gt;=91.5,WSSBK!$U$58&lt;=100),"P","")</f>
        <v>P</v>
      </c>
      <c r="TZ19" t="str">
        <f>IF(WSSBK!$U$68&lt;74.9,"P","")</f>
        <v/>
      </c>
      <c r="UA19" s="102" t="str">
        <f>IF(AND(WSSBK!$U$68&gt;=75,WSSBK!$U$68&lt;=83.24),"P","")</f>
        <v/>
      </c>
      <c r="UB19" s="102" t="str">
        <f>IF(AND(WSSBK!$U$68&gt;=83.25,WSSBK!$U$68&lt;=91.4),"P","")</f>
        <v/>
      </c>
      <c r="UC19" s="102" t="str">
        <f>IF(AND(WSSBK!$U$68&gt;=91.5,WSSBK!$U$68&lt;=100),"P","")</f>
        <v>P</v>
      </c>
      <c r="UD19" t="str">
        <f>IF(WSSBK!$U$77&lt;74.9,"P","")</f>
        <v/>
      </c>
      <c r="UE19" s="102" t="str">
        <f>IF(AND(WSSBK!$U$77&gt;=75,WSSBK!$U$77&lt;=83.24),"P","")</f>
        <v/>
      </c>
      <c r="UF19" s="102" t="str">
        <f>IF(AND(WSSBK!$U$77&gt;=83.25,WSSBK!$U$77&lt;=91.4),"P","")</f>
        <v/>
      </c>
      <c r="UG19" s="102" t="str">
        <f>IF(AND(WSSBK!$U$77&gt;=91.5,WSSBK!$U$77&lt;=100),"P","")</f>
        <v>P</v>
      </c>
      <c r="UH19" t="str">
        <f>IF(WSSBK!$U$87&lt;74.9,"P","")</f>
        <v/>
      </c>
      <c r="UI19" s="102" t="str">
        <f>IF(AND(WSSBK!$U$87&gt;=75,WSSBK!$U$87&lt;=83.24),"P","")</f>
        <v/>
      </c>
      <c r="UJ19" s="102" t="str">
        <f>IF(AND(WSSBK!$U$87&gt;=83.25,WSSBK!$U$87&lt;=91.4),"P","")</f>
        <v/>
      </c>
      <c r="UK19" s="102" t="str">
        <f>IF(AND(WSSBK!$U$87&gt;=91.5,WSSBK!$U$87&lt;=100),"P","")</f>
        <v/>
      </c>
      <c r="UL19" t="str">
        <f>IF(WSSBK!$U$95&lt;74.9,"P","")</f>
        <v/>
      </c>
      <c r="UM19" s="102" t="str">
        <f>IF(AND(WSSBK!$U$95&gt;=75,WSSBK!$U$95&lt;=83.24),"P","")</f>
        <v/>
      </c>
      <c r="UN19" s="102" t="str">
        <f>IF(AND(WSSBK!$U$95&gt;=83.25,WSSBK!$U$95&lt;=91.4),"P","")</f>
        <v/>
      </c>
      <c r="UO19" s="102" t="str">
        <f>IF(AND(WSSBK!$U$95&gt;=91.5,WSSBK!$U$95&lt;=100),"P","")</f>
        <v/>
      </c>
      <c r="UP19" t="str">
        <f>IF(WSSBK!$U$103&lt;74.9,"P","")</f>
        <v/>
      </c>
      <c r="UQ19" s="102" t="str">
        <f>IF(AND(WSSBK!$U$103&gt;=75,WSSBK!$U$103&lt;=83.24),"P","")</f>
        <v/>
      </c>
      <c r="UR19" s="102" t="str">
        <f>IF(AND(WSSBK!$U$103&gt;=83.25,WSSBK!$U$103&lt;=91.4),"P","")</f>
        <v/>
      </c>
      <c r="US19" s="102" t="str">
        <f>IF(AND(WSSBK!$U$103&gt;=91.5,WSSBK!$U$103&lt;=100),"P","")</f>
        <v/>
      </c>
      <c r="UT19" t="str">
        <f>IF(WSSBK!$U$111&lt;74.9,"P","")</f>
        <v/>
      </c>
      <c r="UU19" s="102" t="str">
        <f>IF(AND(WSSBK!$U$111&gt;=75,WSSBK!$U$111&lt;=83.24),"P","")</f>
        <v/>
      </c>
      <c r="UV19" s="102" t="str">
        <f>IF(AND(WSSBK!$U$111&gt;=83.25,WSSBK!$U$111&lt;=91.4),"P","")</f>
        <v/>
      </c>
      <c r="UW19" s="102" t="str">
        <f>IF(AND(WSSBK!$U$111&gt;=91.5,WSSBK!$U$111&lt;=100),"P","")</f>
        <v/>
      </c>
      <c r="UX19" t="str">
        <f>IF(WSSBK!$U$119&lt;74.9,"P","")</f>
        <v/>
      </c>
      <c r="UY19" s="102" t="str">
        <f>IF(AND(WSSBK!$U$119&gt;=75,WSSBK!$U$119&lt;=83.24),"P","")</f>
        <v/>
      </c>
      <c r="UZ19" s="102" t="str">
        <f>IF(AND(WSSBK!$U$119&gt;=83.25,WSSBK!$U$119&lt;=91.4),"P","")</f>
        <v/>
      </c>
      <c r="VA19" s="102" t="str">
        <f>IF(AND(WSSBK!$U$119&gt;=91.5,WSSBK!$U$119&lt;=100),"P","")</f>
        <v/>
      </c>
      <c r="VB19" s="102" t="str">
        <f>IF(AND(WSPENJAS!$U$6&gt;0,WSPENJAS!$U$6&lt;=74.9),"P","")</f>
        <v/>
      </c>
      <c r="VC19" s="102" t="str">
        <f>IF(AND(WSPENJAS!$U$6&gt;=75,WSPENJAS!$U$6&lt;=83.24),"P","")</f>
        <v/>
      </c>
      <c r="VD19" s="102" t="str">
        <f>IF(AND(WSPENJAS!$U$6&gt;=83.25,WSPENJAS!$U$6&lt;=91.4),"P","")</f>
        <v/>
      </c>
      <c r="VE19" s="102" t="str">
        <f>IF(AND(WSPENJAS!$U$6&gt;=91.5,WSPENJAS!$U$6&lt;=100),"P","")</f>
        <v/>
      </c>
      <c r="VF19" s="102" t="str">
        <f>IF(AND(WSPENJAS!$U$7&gt;0,WSPENJAS!$U$7&lt;=74.9),"P","")</f>
        <v/>
      </c>
      <c r="VG19" s="102" t="str">
        <f>IF(AND(WSPENJAS!$U$7&gt;=75,WSPENJAS!$U$7&lt;=83.24),"P","")</f>
        <v/>
      </c>
      <c r="VH19" s="102" t="str">
        <f>IF(AND(WSPENJAS!$U$7&gt;=83.25,WSPENJAS!$U$7&lt;=91.4),"P","")</f>
        <v/>
      </c>
      <c r="VI19" s="102" t="str">
        <f>IF(AND(WSPENJAS!$U$7&gt;=91.5,WSPENJAS!$U$7&lt;=100),"P","")</f>
        <v>P</v>
      </c>
      <c r="VJ19" s="102" t="str">
        <f>IF(AND(WSPENJAS!$U$8&gt;0,WSPENJAS!$U$8&lt;=74.9),"P","")</f>
        <v/>
      </c>
      <c r="VK19" s="102" t="str">
        <f>IF(AND(WSPENJAS!$U$8&gt;=75,WSPENJAS!$U$8&lt;=83.24),"P","")</f>
        <v/>
      </c>
      <c r="VL19" s="102" t="str">
        <f>IF(AND(WSPENJAS!$U$8&gt;=83.25,WSPENJAS!$U$8&lt;=91.4),"P","")</f>
        <v/>
      </c>
      <c r="VM19" s="102" t="str">
        <f>IF(AND(WSPENJAS!$U$8&gt;=91.5,WSPENJAS!$U$8&lt;=100),"P","")</f>
        <v>P</v>
      </c>
      <c r="VN19" s="102" t="str">
        <f>IF(AND(WSPENJAS!$U$9&gt;0,WSPENJAS!$U$9&lt;=74.9),"P","")</f>
        <v/>
      </c>
      <c r="VO19" s="102" t="str">
        <f>IF(AND(WSPENJAS!$U$9&gt;=75,WSPENJAS!$U$9&lt;=83.24),"P","")</f>
        <v/>
      </c>
      <c r="VP19" s="102" t="str">
        <f>IF(AND(WSPENJAS!$U$9&gt;=83.25,WSPENJAS!$U$9&lt;=91.4),"P","")</f>
        <v/>
      </c>
      <c r="VQ19" s="102" t="str">
        <f>IF(AND(WSPENJAS!$U$9&gt;=91.5,WSPENJAS!$U$9&lt;=100),"P","")</f>
        <v>P</v>
      </c>
      <c r="VR19" s="102" t="str">
        <f>IF(AND(WSPENJAS!$U$10&gt;0,WSPENJAS!$U$10&lt;=74.9),"P","")</f>
        <v/>
      </c>
      <c r="VS19" s="102" t="str">
        <f>IF(AND(WSPENJAS!$U$10&gt;=75,WSPENJAS!$U$10&lt;=83.24),"P","")</f>
        <v/>
      </c>
      <c r="VT19" s="102" t="str">
        <f>IF(AND(WSPENJAS!$U$10&gt;=83.25,WSPENJAS!$U$10&lt;=91.4),"P","")</f>
        <v/>
      </c>
      <c r="VU19" s="102" t="str">
        <f>IF(AND(WSPENJAS!$U$10&gt;=91.5,WSPENJAS!$U$10&lt;=100),"P","")</f>
        <v>P</v>
      </c>
      <c r="VV19" s="102" t="str">
        <f>IF(AND(WSPENJAS!$U$11&gt;0,WSPENJAS!$U$11&lt;=74.9),"P","")</f>
        <v/>
      </c>
      <c r="VW19" s="102" t="str">
        <f>IF(AND(WSPENJAS!$U$411&gt;=75,WSPENJAS!$U$411&lt;=83.24),"P","")</f>
        <v/>
      </c>
      <c r="VX19" s="102" t="str">
        <f>IF(AND(WSPENJAS!$U$411&gt;=83.25,WSPENJAS!$U$411&lt;=91.4),"P","")</f>
        <v/>
      </c>
      <c r="VY19" s="102" t="str">
        <f>IF(AND(WSPENJAS!$U$411&gt;=91.5,WSPENJAS!$U$411&lt;=100),"P","")</f>
        <v/>
      </c>
      <c r="VZ19" s="102" t="str">
        <f>IF(AND(WSPENJAS!$U$12&gt;0,WSPENJAS!$U$12&lt;=74.9),"P","")</f>
        <v/>
      </c>
      <c r="WA19" s="102" t="str">
        <f>IF(AND(WSPENJAS!$U$12&gt;=75,WSPENJAS!$U$12&lt;=83.24),"P","")</f>
        <v/>
      </c>
      <c r="WB19" s="102" t="str">
        <f>IF(AND(WSPENJAS!$U$12&gt;=83.25,WSPENJAS!$U$12&lt;=91.4),"P","")</f>
        <v/>
      </c>
      <c r="WC19" s="102" t="str">
        <f>IF(AND(WSPENJAS!$U$12&gt;=91.5,WSPENJAS!$U$12&lt;=100),"P","")</f>
        <v>P</v>
      </c>
      <c r="WD19" s="102" t="str">
        <f>IF(AND(WSPENJAS!$U$13&gt;0,WSPENJAS!$U$13&lt;=74.9),"P","")</f>
        <v/>
      </c>
      <c r="WE19" s="102" t="str">
        <f>IF(AND(WSPENJAS!$U$13&gt;=75,WSPENJAS!$U$13&lt;=83.24),"P","")</f>
        <v/>
      </c>
      <c r="WF19" s="102" t="str">
        <f>IF(AND(WSPENJAS!$U$13&gt;=83.25,WSPENJAS!$U$13&lt;=91.4),"P","")</f>
        <v/>
      </c>
      <c r="WG19" s="102" t="str">
        <f>IF(AND(WSPENJAS!$U$13&gt;=91.5,WSPENJAS!$U$13&lt;=100),"P","")</f>
        <v>P</v>
      </c>
      <c r="WH19" s="102" t="str">
        <f>IF(AND(WSPENJAS!$U$14&gt;0,WSPENJAS!$U$14&lt;=74.9),"P","")</f>
        <v/>
      </c>
      <c r="WI19" s="102" t="str">
        <f>IF(AND(WSPENJAS!$U$14&gt;=75,WSPENJAS!$U$14&lt;=83.24),"P","")</f>
        <v/>
      </c>
      <c r="WJ19" s="102" t="str">
        <f>IF(AND(WSPENJAS!$U$14&gt;=83.25,WSPENJAS!$U$14&lt;=91.4),"P","")</f>
        <v/>
      </c>
      <c r="WK19" s="102" t="str">
        <f>IF(AND(WSPENJAS!$U$14&gt;=91.5,WSPENJAS!$U$14&lt;=100),"P","")</f>
        <v>P</v>
      </c>
      <c r="WL19" s="102" t="str">
        <f>IF(AND(WSPENJAS!$U$15&gt;0,WSPENJAS!$U$15&lt;=74.9),"P","")</f>
        <v/>
      </c>
      <c r="WM19" s="102" t="str">
        <f>IF(AND(WSPENJAS!$U$15&gt;=75,WSPENJAS!$U$15&lt;=83.24),"P","")</f>
        <v/>
      </c>
      <c r="WN19" s="102" t="str">
        <f>IF(AND(WSPENJAS!$U$15&gt;=83.25,WSPENJAS!$U$15&lt;=91.4),"P","")</f>
        <v/>
      </c>
      <c r="WO19" s="102" t="str">
        <f>IF(AND(WSPENJAS!$U$15&gt;=91.5,WSPENJAS!$U$15&lt;=100),"P","")</f>
        <v>P</v>
      </c>
      <c r="WP19" s="102" t="str">
        <f>IF(AND(WSPENJAS!$U$16&gt;0,WSPENJAS!$U$16&lt;=74.9),"P","")</f>
        <v/>
      </c>
      <c r="WQ19" s="102" t="str">
        <f>IF(AND(WSPENJAS!$U$16&gt;=75,WSPENJAS!$U$16&lt;=83.24),"P","")</f>
        <v/>
      </c>
      <c r="WR19" s="102" t="str">
        <f>IF(AND(WSPENJAS!$U$16&gt;=83.25,WSPENJAS!$U$16&lt;=91.4),"P","")</f>
        <v/>
      </c>
      <c r="WS19" s="102" t="str">
        <f>IF(AND(WSPENJAS!$U$16&gt;=91.5,WSPENJAS!$U$16&lt;=100),"P","")</f>
        <v/>
      </c>
      <c r="WT19" s="102" t="str">
        <f>IF(AND(WSPENJAS!$U$17&gt;0,WSPENJAS!$U$17&lt;=74.9),"P","")</f>
        <v/>
      </c>
      <c r="WU19" s="102" t="str">
        <f>IF(AND(WSPENJAS!$U$17&gt;=75,WSPENJAS!$U$17&lt;=83.24),"P","")</f>
        <v/>
      </c>
      <c r="WV19" s="102" t="str">
        <f>IF(AND(WSPENJAS!$U$17&gt;=83.25,WSPENJAS!$U$17&lt;=91.4),"P","")</f>
        <v/>
      </c>
      <c r="WW19" s="102" t="str">
        <f>IF(AND(WSPENJAS!$U$17&gt;=91.5,WSPENJAS!$U$17&lt;=100),"P","")</f>
        <v/>
      </c>
      <c r="WX19" s="102" t="str">
        <f>IF(AND(WSPENJAS!$U$18&gt;0,WSPENJAS!$U$18&lt;=74.9),"P","")</f>
        <v/>
      </c>
      <c r="WY19" s="102" t="str">
        <f>IF(AND(WSPENJAS!$U$18&gt;=75,WSPENJAS!$U$18&lt;=83.24),"P","")</f>
        <v/>
      </c>
      <c r="WZ19" s="102" t="str">
        <f>IF(AND(WSPENJAS!$U$18&gt;=83.25,WSPENJAS!$U$18&lt;=91.4),"P","")</f>
        <v/>
      </c>
      <c r="XA19" s="102" t="str">
        <f>IF(AND(WSPENJAS!$U$18&gt;=91.5,WSPENJAS!$U$18&lt;=100),"P","")</f>
        <v/>
      </c>
      <c r="XB19" s="102" t="str">
        <f>IF(AND(WSPENJAS!$U$19&gt;0,WSPENJAS!$U$19&lt;=74.9),"P","")</f>
        <v/>
      </c>
      <c r="XC19" s="102" t="str">
        <f>IF(AND(WSPENJAS!$U$19&gt;=75,WSPENJAS!$U$19&lt;=83.24),"P","")</f>
        <v/>
      </c>
      <c r="XD19" s="102" t="str">
        <f>IF(AND(WSPENJAS!$U$19&gt;=83.25,WSPENJAS!$U$19&lt;=91.4),"P","")</f>
        <v/>
      </c>
      <c r="XE19" s="102" t="str">
        <f>IF(AND(WSPENJAS!$U$19&gt;=91.5,WSPENJAS!$U$19&lt;=100),"P","")</f>
        <v/>
      </c>
      <c r="XF19" s="102" t="str">
        <f>IF(AND(WSPENJAS!$U$20&gt;0,WSPENJAS!$U$20&lt;=74.9),"P","")</f>
        <v/>
      </c>
      <c r="XG19" s="102" t="str">
        <f>IF(AND(WSPENJAS!$U$20&gt;=75,WSPENJAS!$U$20&lt;=83.24),"P","")</f>
        <v/>
      </c>
      <c r="XH19" s="102" t="str">
        <f>IF(AND(WSPENJAS!$U$20&gt;=83.25,WSPENJAS!$U$20&lt;=91.4),"P","")</f>
        <v/>
      </c>
      <c r="XI19" s="102" t="str">
        <f>IF(AND(WSPENJAS!$U$20&gt;=91.5,WSPENJAS!$U$20&lt;=100),"P","")</f>
        <v/>
      </c>
      <c r="XJ19" s="102" t="str">
        <f>IF(AND(WSPENJAS!$U$21&gt;0,WSPENJAS!$U$21&lt;=74.9),"P","")</f>
        <v/>
      </c>
      <c r="XK19" s="102" t="str">
        <f>IF(AND(WSPENJAS!$U$21&gt;=75,WSPENJAS!$U$21&lt;=83.24),"P","")</f>
        <v/>
      </c>
      <c r="XL19" s="102" t="str">
        <f>IF(AND(WSPENJAS!$U$21&gt;=83.25,WSPENJAS!$U$21&lt;=91.4),"P","")</f>
        <v/>
      </c>
      <c r="XM19" s="102" t="str">
        <f>IF(AND(WSPENJAS!$U$21&gt;=91.5,WSPENJAS!$U$21&lt;=100),"P","")</f>
        <v/>
      </c>
      <c r="XN19" t="str">
        <f>IF(WSJAWA!$U$6&lt;74.9,"P","")</f>
        <v/>
      </c>
      <c r="XO19" s="102" t="str">
        <f>IF(AND(WSJAWA!$U$6&gt;=75,WSJAWA!$U$6&lt;=83.24),"P","")</f>
        <v/>
      </c>
      <c r="XP19" s="102" t="str">
        <f>IF(AND(WSJAWA!$U$6&gt;=83.25,WSJAWA!$U$6&lt;=91.4),"P","")</f>
        <v/>
      </c>
      <c r="XQ19" s="102" t="str">
        <f>IF(AND(WSJAWA!$U$6&gt;=91.5,WSJAWA!$U$6&lt;=100),"P","")</f>
        <v>P</v>
      </c>
      <c r="XR19" t="str">
        <f>IF(WSJAWA!$U$14&lt;74.9,"P","")</f>
        <v/>
      </c>
      <c r="XS19" s="102" t="str">
        <f>IF(AND(WSJAWA!$U$14&gt;=75,WSJAWA!$U$14&lt;=83.24),"P","")</f>
        <v/>
      </c>
      <c r="XT19" s="102" t="str">
        <f>IF(AND(WSJAWA!$U$14&gt;=83.25,WSJAWA!$U$14&lt;=91.4),"P","")</f>
        <v/>
      </c>
      <c r="XU19" s="102" t="str">
        <f>IF(AND(WSJAWA!$U$14&gt;=91.5,WSJAWA!$U$14&lt;=100),"P","")</f>
        <v>P</v>
      </c>
      <c r="XV19" t="str">
        <f>IF(WSJAWA!$U$22&lt;74.9,"P","")</f>
        <v/>
      </c>
      <c r="XW19" s="102" t="str">
        <f>IF(AND(WSJAWA!$U$22&gt;=75,WSJAWA!$U$22&lt;=83.24),"P","")</f>
        <v/>
      </c>
      <c r="XX19" s="102" t="str">
        <f>IF(AND(WSJAWA!$U$22&gt;=83.25,WSJAWA!$U$22&lt;=91.4),"P","")</f>
        <v/>
      </c>
      <c r="XY19" s="102" t="str">
        <f>IF(AND(WSJAWA!$U$22&gt;=91.5,WSJAWA!$U$22&lt;=100),"P","")</f>
        <v>P</v>
      </c>
      <c r="XZ19" t="str">
        <f>IF(WSJAWA!$U$30&lt;74.9,"P","")</f>
        <v/>
      </c>
      <c r="YA19" s="102" t="str">
        <f>IF(AND(WSJAWA!$U$30&gt;=75,WSJAWA!$U$30&lt;=83.24),"P","")</f>
        <v/>
      </c>
      <c r="YB19" s="102" t="str">
        <f>IF(AND(WSJAWA!$U$30&gt;=83.25,WSJAWA!$U$30&lt;=91.4),"P","")</f>
        <v/>
      </c>
      <c r="YC19" s="102" t="str">
        <f>IF(AND(WSJAWA!$U$30&gt;=91.5,WSJAWA!$U$30&lt;=100),"P","")</f>
        <v>P</v>
      </c>
      <c r="YD19" t="str">
        <f>IF(WSJAWA!$U$38&lt;74.9,"P","")</f>
        <v/>
      </c>
      <c r="YE19" s="102" t="str">
        <f>IF(AND(WSJAWA!$U$38&gt;=75,WSJAWA!$U$38&lt;=83.24),"P","")</f>
        <v/>
      </c>
      <c r="YF19" s="102" t="str">
        <f>IF(AND(WSJAWA!$U$38&gt;=83.25,WSJAWA!$U$38&lt;=91.4),"P","")</f>
        <v/>
      </c>
      <c r="YG19" s="102" t="str">
        <f>IF(AND(WSJAWA!$U$38&gt;=91.5,WSJAWA!$U$38&lt;=100),"P","")</f>
        <v>P</v>
      </c>
      <c r="YH19" t="str">
        <f>IF(WSJAWA!$U$46&lt;74.9,"P","")</f>
        <v/>
      </c>
      <c r="YI19" s="102" t="str">
        <f>IF(AND(WSJAWA!$U$46&gt;=75,WSJAWA!$U$46&lt;=83.24),"P","")</f>
        <v/>
      </c>
      <c r="YJ19" s="102" t="str">
        <f>IF(AND(WSJAWA!$U$46&gt;=83.25,WSJAWA!$U$46&lt;=91.4),"P","")</f>
        <v>P</v>
      </c>
      <c r="YK19" s="102" t="str">
        <f>IF(AND(WSJAWA!$U$46&gt;=91.5,WSJAWA!$U$46&lt;=100),"P","")</f>
        <v/>
      </c>
      <c r="YL19" t="str">
        <f>IF(WSJAWA!$U$54&lt;74.9,"P","")</f>
        <v/>
      </c>
      <c r="YM19" s="102" t="str">
        <f>IF(AND(WSJAWA!$U$54&gt;=75,WSJAWA!$U$54&lt;=83.24),"P","")</f>
        <v/>
      </c>
      <c r="YN19" s="102" t="str">
        <f>IF(AND(WSJAWA!$U$54&gt;=83.25,WSJAWA!$U$54&lt;=91.4),"P","")</f>
        <v/>
      </c>
      <c r="YO19" s="102" t="str">
        <f>IF(AND(WSJAWA!$U$54&gt;=91.5,WSJAWA!$U$54&lt;=100),"P","")</f>
        <v>P</v>
      </c>
      <c r="YP19" t="str">
        <f>IF(WSJAWA!$U$62&lt;74.9,"P","")</f>
        <v/>
      </c>
      <c r="YQ19" s="102" t="str">
        <f>IF(AND(WSJAWA!$U$62&gt;=75,WSJAWA!$U$62&lt;=83.24),"P","")</f>
        <v/>
      </c>
      <c r="YR19" s="102" t="str">
        <f>IF(AND(WSJAWA!$U$62&gt;=83.25,WSJAWA!$U$62&lt;=91.4),"P","")</f>
        <v/>
      </c>
      <c r="YS19" s="102" t="str">
        <f>IF(AND(WSJAWA!$U$62&gt;=91.5,WSJAWA!$U$62&lt;=100),"P","")</f>
        <v>P</v>
      </c>
      <c r="YT19" t="str">
        <f>IF(WSJAWA!$U$70&lt;74.9,"P","")</f>
        <v/>
      </c>
      <c r="YU19" s="102" t="str">
        <f>IF(AND(WSJAWA!$U$70&gt;=75,WSJAWA!$U$70&lt;=83.24),"P","")</f>
        <v/>
      </c>
      <c r="YV19" s="102" t="str">
        <f>IF(AND(WSJAWA!$U$70&gt;=83.25,WSJAWA!$U$70&lt;=91.4),"P","")</f>
        <v/>
      </c>
      <c r="YW19" s="102" t="str">
        <f>IF(AND(WSJAWA!$U$70&gt;=91.5,WSJAWA!$U$70&lt;=100),"P","")</f>
        <v/>
      </c>
      <c r="YX19" t="str">
        <f>IF(WSJAWA!$U$78&lt;74.9,"P","")</f>
        <v/>
      </c>
      <c r="YY19" s="102" t="str">
        <f>IF(AND(WSJAWA!$U$78&gt;=75,WSJAWA!$U$78&lt;=83.24),"P","")</f>
        <v/>
      </c>
      <c r="YZ19" s="102" t="str">
        <f>IF(AND(WSJAWA!$U$78&gt;=83.25,WSJAWA!$U$78&lt;=91.4),"P","")</f>
        <v/>
      </c>
      <c r="ZA19" s="102" t="str">
        <f>IF(AND(WSJAWA!$U$78&gt;=91.5,WSJAWA!$U$78&lt;=100),"P","")</f>
        <v/>
      </c>
      <c r="ZB19" t="str">
        <f>IF(WSJAWA!$U$86&lt;74.9,"P","")</f>
        <v/>
      </c>
      <c r="ZC19" s="102" t="str">
        <f>IF(AND(WSJAWA!$U$86&gt;=75,WSJAWA!$U$86&lt;=83.24),"P","")</f>
        <v/>
      </c>
      <c r="ZD19" s="102" t="str">
        <f>IF(AND(WSJAWA!$U$86&gt;=83.25,WSJAWA!$U$86&lt;=91.4),"P","")</f>
        <v/>
      </c>
      <c r="ZE19" s="102" t="str">
        <f>IF(AND(WSJAWA!$U$86&gt;=91.5,WSJAWA!$U$86&lt;=100),"P","")</f>
        <v/>
      </c>
      <c r="ZF19" t="str">
        <f>IF(WSJAWA!$U$94&lt;74.9,"P","")</f>
        <v/>
      </c>
      <c r="ZG19" s="102" t="str">
        <f>IF(AND(WSJAWA!$U$94&gt;=75,WSJAWA!$U$94&lt;=83.24),"P","")</f>
        <v/>
      </c>
      <c r="ZH19" s="102" t="str">
        <f>IF(AND(WSJAWA!$U$94&gt;=83.25,WSJAWA!$U$94&lt;=91.4),"P","")</f>
        <v/>
      </c>
      <c r="ZI19" s="102" t="str">
        <f>IF(AND(WSJAWA!$U$94&gt;=91.5,WSJAWA!$U$94&lt;=100),"P","")</f>
        <v/>
      </c>
      <c r="ZJ19" t="str">
        <f>IF(WSJAWA!$U$102&lt;74.9,"P","")</f>
        <v/>
      </c>
      <c r="ZK19" s="102" t="str">
        <f>IF(AND(WSJAWA!$U$102&gt;=75,WSJAWA!$U$102&lt;=83.24),"P","")</f>
        <v/>
      </c>
      <c r="ZL19" s="102" t="str">
        <f>IF(AND(WSJAWA!$U$102&gt;=83.25,WSJAWA!$U$102&lt;=91.4),"P","")</f>
        <v/>
      </c>
      <c r="ZM19" s="102" t="str">
        <f>IF(AND(WSJAWA!$U$102&gt;=91.5,WSJAWA!$U$102&lt;=100),"P","")</f>
        <v/>
      </c>
      <c r="ZN19" t="str">
        <f>IF(WSING!$U$6&lt;74.9,"P","")</f>
        <v/>
      </c>
      <c r="ZO19" s="102" t="str">
        <f>IF(AND(WSING!$U$6&gt;=75,WSING!$U$6&lt;=83.24),"P","")</f>
        <v/>
      </c>
      <c r="ZP19" s="102" t="str">
        <f>IF(AND(WSING!$U$6&gt;=83.25,WSING!$U$6&lt;=91.4),"P","")</f>
        <v/>
      </c>
      <c r="ZQ19" s="102" t="str">
        <f>IF(AND(WSING!$U$6&gt;=91.5,WSING!$U$6&lt;=100),"P","")</f>
        <v>P</v>
      </c>
      <c r="ZR19" t="str">
        <f>IF(WSING!$U$15&lt;74.9,"P","")</f>
        <v/>
      </c>
      <c r="ZS19" s="102" t="str">
        <f>IF(AND(WSING!$U$15&gt;=75,WSING!$U$15&lt;=83.24),"P","")</f>
        <v/>
      </c>
      <c r="ZT19" s="102" t="str">
        <f>IF(AND(WSING!$U$15&gt;=83.25,WSING!$U$15&lt;=91.4),"P","")</f>
        <v/>
      </c>
      <c r="ZU19" s="102" t="str">
        <f>IF(AND(WSING!$U$15&gt;=91.5,WSING!$U$15&lt;=100),"P","")</f>
        <v>P</v>
      </c>
      <c r="ZV19" t="str">
        <f>IF(WSING!$U$24&lt;74.9,"P","")</f>
        <v/>
      </c>
      <c r="ZW19" s="102" t="str">
        <f>IF(AND(WSING!$U$24&gt;=75,WSING!$U$24&lt;=83.24),"P","")</f>
        <v/>
      </c>
      <c r="ZX19" s="102" t="str">
        <f>IF(AND(WSING!$U$24&gt;=83.25,WSING!$U$24&lt;=91.4),"P","")</f>
        <v/>
      </c>
      <c r="ZY19" s="102" t="str">
        <f>IF(AND(WSING!$U$24&gt;=91.5,WSING!$U$24&lt;=100),"P","")</f>
        <v>P</v>
      </c>
      <c r="ZZ19" t="str">
        <f>IF(WSING!$U$33&lt;74.9,"P","")</f>
        <v/>
      </c>
      <c r="AAA19" s="102" t="str">
        <f>IF(AND(WSING!$U$33&gt;=75,WSING!$U$33&lt;=83.24),"P","")</f>
        <v/>
      </c>
      <c r="AAB19" s="102" t="str">
        <f>IF(AND(WSING!$U$33&gt;=83.25,WSING!$U$33&lt;=91.4),"P","")</f>
        <v/>
      </c>
      <c r="AAC19" s="102" t="str">
        <f>IF(AND(WSING!$U$33&gt;=91.5,WSING!$U$33&lt;=100),"P","")</f>
        <v>P</v>
      </c>
      <c r="AAD19" t="str">
        <f>IF(WSING!$U$42&lt;74.9,"P","")</f>
        <v/>
      </c>
      <c r="AAE19" s="102" t="str">
        <f>IF(AND(WSING!$U$42&gt;=75,WSING!$U$42&lt;=83.24),"P","")</f>
        <v/>
      </c>
      <c r="AAF19" s="102" t="str">
        <f>IF(AND(WSING!$U$42&gt;=83.25,WSING!$U$42&lt;=91.4),"P","")</f>
        <v/>
      </c>
      <c r="AAG19" s="102" t="str">
        <f>IF(AND(WSING!$U$42&gt;=91.5,WSING!$U$42&lt;=100),"P","")</f>
        <v/>
      </c>
      <c r="AAH19" t="str">
        <f>IF(WSING!$U$50&lt;74.9,"P","")</f>
        <v/>
      </c>
      <c r="AAI19" s="102" t="str">
        <f>IF(AND(WSING!$U$50&gt;=75,WSING!$U$50&lt;=83.24),"P","")</f>
        <v/>
      </c>
      <c r="AAJ19" s="102" t="str">
        <f>IF(AND(WSING!$U$50&gt;=83.25,WSING!$U$50&lt;=91.4),"P","")</f>
        <v/>
      </c>
      <c r="AAK19" s="102" t="str">
        <f>IF(AND(WSING!$U$50&gt;=91.5,WSING!$U$50&lt;=100),"P","")</f>
        <v/>
      </c>
      <c r="AAL19" t="str">
        <f>IF(WSING!$U$58&lt;74.9,"P","")</f>
        <v/>
      </c>
      <c r="AAM19" s="102" t="str">
        <f>IF(AND(WSING!$U$58&gt;=75,WSING!$U$58&lt;=83.24),"P","")</f>
        <v/>
      </c>
      <c r="AAN19" s="102" t="str">
        <f>IF(AND(WSING!$U$58&gt;=83.25,WSING!$U$58&lt;=91.4),"P","")</f>
        <v/>
      </c>
      <c r="AAO19" s="102" t="str">
        <f>IF(AND(WSING!$U$58&gt;=91.5,WSING!$U$58&lt;=100),"P","")</f>
        <v/>
      </c>
      <c r="AAP19" t="str">
        <f>IF(WSING!$U$66&lt;74.9,"P","")</f>
        <v/>
      </c>
      <c r="AAQ19" s="102" t="str">
        <f>IF(AND(WSING!$U$66&gt;=75,WSING!$U$66&lt;=83.24),"P","")</f>
        <v/>
      </c>
      <c r="AAR19" s="102" t="str">
        <f>IF(AND(WSING!$U$66&gt;=83.25,WSING!$U$66&lt;=91.4),"P","")</f>
        <v/>
      </c>
      <c r="AAS19" s="102" t="str">
        <f>IF(AND(WSING!$U$66&gt;=91.5,WSING!$U$66&lt;=100),"P","")</f>
        <v/>
      </c>
      <c r="AAT19" t="str">
        <f>IF(WSING!$U$74&lt;74.9,"P","")</f>
        <v/>
      </c>
      <c r="AAU19" s="102" t="str">
        <f>IF(AND(WSING!$U$74&gt;=75,WSING!$U$74&lt;=83.24),"P","")</f>
        <v/>
      </c>
      <c r="AAV19" s="102" t="str">
        <f>IF(AND(WSING!$U$74&gt;=83.25,WSING!$U$74&lt;=91.4),"P","")</f>
        <v/>
      </c>
      <c r="AAW19" s="102" t="str">
        <f>IF(AND(WSING!$U$74&gt;=91.5,WSING!$U$74&lt;=100),"P","")</f>
        <v/>
      </c>
      <c r="AAX19" t="str">
        <f>IF(WSING!$U$82&lt;74.9,"P","")</f>
        <v/>
      </c>
      <c r="AAY19" s="102" t="str">
        <f>IF(AND(WSING!$U$82&gt;=75,WSING!$U$82&lt;=83.24),"P","")</f>
        <v/>
      </c>
      <c r="AAZ19" s="102" t="str">
        <f>IF(AND(WSING!$U$82&gt;=83.25,WSING!$U$82&lt;=91.4),"P","")</f>
        <v/>
      </c>
      <c r="ABA19" s="102" t="str">
        <f>IF(AND(WSING!$U$82&gt;=91.5,WSING!$U$82&lt;=100),"P","")</f>
        <v/>
      </c>
      <c r="ABB19" t="str">
        <f>IF(WSING!$U$90&lt;74.9,"P","")</f>
        <v/>
      </c>
      <c r="ABC19" s="102" t="str">
        <f>IF(AND(WSING!$U$90&gt;=75,WSING!$U$90&lt;=83.24),"P","")</f>
        <v/>
      </c>
      <c r="ABD19" s="102" t="str">
        <f>IF(AND(WSING!$U$90&gt;=83.25,WSING!$U$90&lt;=91.4),"P","")</f>
        <v/>
      </c>
      <c r="ABE19" s="102" t="str">
        <f>IF(AND(WSING!$U$90&gt;=91.5,WSING!$U$90&lt;=100),"P","")</f>
        <v/>
      </c>
      <c r="ABF19" t="str">
        <f>IF(WSING!$U$98&lt;74.9,"P","")</f>
        <v/>
      </c>
      <c r="ABG19" s="102" t="str">
        <f>IF(AND(WSING!$U$98&gt;=75,WSING!$U$98&lt;=83.24),"P","")</f>
        <v/>
      </c>
      <c r="ABH19" s="102" t="str">
        <f>IF(AND(WSING!$U$98&gt;=83.25,WSING!$U$98&lt;=91.4),"P","")</f>
        <v/>
      </c>
      <c r="ABI19" s="102" t="str">
        <f>IF(AND(WSING!$U$98&gt;=91.5,WSING!$U$98&lt;=100),"P","")</f>
        <v/>
      </c>
      <c r="ABJ19" t="str">
        <f>IF(WSING!$U$106&lt;74.9,"P","")</f>
        <v/>
      </c>
      <c r="ABK19" s="102" t="str">
        <f>IF(AND(WSING!$U$106&gt;=75,WSING!$U$106&lt;=83.24),"P","")</f>
        <v/>
      </c>
      <c r="ABL19" s="102" t="str">
        <f>IF(AND(WSING!$U$106&gt;=83.25,WSING!$U$106&lt;=91.4),"P","")</f>
        <v/>
      </c>
      <c r="ABM19" s="102" t="str">
        <f>IF(AND(WSING!$U$106&gt;=91.5,WSING!$U$106&lt;=100),"P","")</f>
        <v/>
      </c>
      <c r="ABN19" t="str">
        <f>IF(WSTIK!$U$6&lt;74.9,"P","")</f>
        <v/>
      </c>
      <c r="ABO19" s="102" t="str">
        <f>IF(AND(WSTIK!$U$6&gt;=75,WSTIK!$U$6&lt;=83.24),"P","")</f>
        <v/>
      </c>
      <c r="ABP19" s="102" t="str">
        <f>IF(AND(WSTIK!$U$6&gt;=83.25,WSTIK!$U$6&lt;=91.4),"P","")</f>
        <v/>
      </c>
      <c r="ABQ19" s="102" t="str">
        <f>IF(AND(WSTIK!$U$6&gt;=91.5,WSTIK!$U$6&lt;=100),"P","")</f>
        <v/>
      </c>
      <c r="ABR19" t="str">
        <f>IF(WSTIK!$U$14&lt;74.9,"P","")</f>
        <v/>
      </c>
      <c r="ABS19" s="102" t="str">
        <f>IF(AND(WSTIK!$U$14&gt;=75,WSTIK!$U$14&lt;=83.24),"P","")</f>
        <v/>
      </c>
      <c r="ABT19" s="102" t="str">
        <f>IF(AND(WSTIK!$U$14&gt;=83.25,WSTIK!$U$14&lt;=91.4),"P","")</f>
        <v/>
      </c>
      <c r="ABU19" s="102" t="str">
        <f>IF(AND(WSTIK!$U$14&gt;=91.5,WSTIK!$U$14&lt;=100),"P","")</f>
        <v/>
      </c>
      <c r="ABV19" t="str">
        <f>IF(WSTIK!$U$22&lt;74.9,"P","")</f>
        <v/>
      </c>
      <c r="ABW19" s="102" t="str">
        <f>IF(AND(WSTIK!$U$22&gt;=75,WSTIK!$U$22&lt;=83.24),"P","")</f>
        <v/>
      </c>
      <c r="ABX19" s="102" t="str">
        <f>IF(AND(WSTIK!$U$22&gt;=83.25,WSTIK!$U$22&lt;=91.4),"P","")</f>
        <v/>
      </c>
      <c r="ABY19" s="102" t="str">
        <f>IF(AND(WSTIK!$U$22&gt;=91.5,WSTIK!$U$22&lt;=100),"P","")</f>
        <v/>
      </c>
      <c r="ABZ19" t="str">
        <f>IF(WSTIK!$U$30&lt;74.9,"P","")</f>
        <v/>
      </c>
      <c r="ACA19" s="102" t="str">
        <f>IF(AND(WSTIK!$U$30&gt;=75,WSTIK!$U$30&lt;=83.24),"P","")</f>
        <v/>
      </c>
      <c r="ACB19" s="102" t="str">
        <f>IF(AND(WSTIK!$U$30&gt;=83.25,WSTIK!$U$30&lt;=91.4),"P","")</f>
        <v/>
      </c>
      <c r="ACC19" s="102" t="str">
        <f>IF(AND(WSTIK!$U$30&gt;=91.5,WSTIK!$U$30&lt;=100),"P","")</f>
        <v/>
      </c>
      <c r="ACD19" t="str">
        <f>IF(WSTIK!$U$38&lt;74.9,"P","")</f>
        <v/>
      </c>
      <c r="ACE19" s="102" t="str">
        <f>IF(AND(WSTIK!$U$38&gt;=75,WSTIK!$U$38&lt;=83.24),"P","")</f>
        <v/>
      </c>
      <c r="ACF19" s="102" t="str">
        <f>IF(AND(WSTIK!$U$38&gt;=83.25,WSTIK!$U$38&lt;=91.4),"P","")</f>
        <v/>
      </c>
      <c r="ACG19" s="102" t="str">
        <f>IF(AND(WSTIK!$U$38&gt;=91.5,WSTIK!$U$38&lt;=100),"P","")</f>
        <v/>
      </c>
      <c r="ACH19" t="str">
        <f>IF(WSTIK!$U$46&lt;74.9,"P","")</f>
        <v/>
      </c>
      <c r="ACI19" s="102" t="str">
        <f>IF(AND(WSTIK!$U$46&gt;=75,WSTIK!$U$46&lt;=83.24),"P","")</f>
        <v/>
      </c>
      <c r="ACJ19" s="102" t="str">
        <f>IF(AND(WSTIK!$U$46&gt;=83.25,WSTIK!$U$46&lt;=91.4),"P","")</f>
        <v/>
      </c>
      <c r="ACK19" s="102" t="str">
        <f>IF(AND(WSTIK!$U$46&gt;=91.5,WSTIK!$U$46&lt;=100),"P","")</f>
        <v/>
      </c>
      <c r="ACL19" t="str">
        <f>IF(WSTIK!$U$54&lt;74.9,"P","")</f>
        <v/>
      </c>
      <c r="ACM19" s="102" t="str">
        <f>IF(AND(WSTIK!$U$54&gt;=75,WSTIK!$U$54&lt;=83.24),"P","")</f>
        <v/>
      </c>
      <c r="ACN19" s="102" t="str">
        <f>IF(AND(WSTIK!$U$54&gt;=83.25,WSTIK!$U$54&lt;=91.4),"P","")</f>
        <v/>
      </c>
      <c r="ACO19" s="102" t="str">
        <f>IF(AND(WSTIK!$U$54&gt;=91.5,WSTIK!$U$54&lt;=100),"P","")</f>
        <v/>
      </c>
      <c r="ACP19" t="str">
        <f>IF(WSTIK!$U$62&lt;74.9,"P","")</f>
        <v/>
      </c>
      <c r="ACQ19" s="102" t="str">
        <f>IF(AND(WSTIK!$U$62&gt;=75,WSTIK!$U$62&lt;=83.24),"P","")</f>
        <v/>
      </c>
      <c r="ACR19" s="102" t="str">
        <f>IF(AND(WSTIK!$U$62&gt;=83.25,WSTIK!$U$62&lt;=91.4),"P","")</f>
        <v/>
      </c>
      <c r="ACS19" s="102" t="str">
        <f>IF(AND(WSTIK!$U$62&gt;=91.5,WSTIK!$U$62&lt;=100),"P","")</f>
        <v/>
      </c>
      <c r="ACT19" t="str">
        <f>IF(WSTIK!$U$70&lt;74.9,"P","")</f>
        <v/>
      </c>
      <c r="ACU19" s="102" t="str">
        <f>IF(AND(WSTIK!$U$70&gt;=75,WSTIK!$U$70&lt;=83.24),"P","")</f>
        <v/>
      </c>
      <c r="ACV19" s="102" t="str">
        <f>IF(AND(WSTIK!$U$70&gt;=83.25,WSTIK!$U$70&lt;=91.4),"P","")</f>
        <v/>
      </c>
      <c r="ACW19" s="102" t="str">
        <f>IF(AND(WSTIK!$U$70&gt;=91.5,WSTIK!$U$70&lt;=100),"P","")</f>
        <v/>
      </c>
      <c r="ACX19" t="str">
        <f>IF(WSTIK!$U$78&lt;74.9,"P","")</f>
        <v/>
      </c>
      <c r="ACY19" s="102" t="str">
        <f>IF(AND(WSTIK!$U$78&gt;=75,WSTIK!$U$78&lt;=83.24),"P","")</f>
        <v/>
      </c>
      <c r="ACZ19" s="102" t="str">
        <f>IF(AND(WSTIK!$U$78&gt;=83.25,WSTIK!$U$78&lt;=91.4),"P","")</f>
        <v/>
      </c>
      <c r="ADA19" s="102" t="str">
        <f>IF(AND(WSTIK!$U$78&gt;=91.5,WSTIK!$U$78&lt;=100),"P","")</f>
        <v/>
      </c>
      <c r="ADB19" t="str">
        <f>IF(WSTIK!$U$86&lt;74.9,"P","")</f>
        <v/>
      </c>
      <c r="ADC19" s="102" t="str">
        <f>IF(AND(WSTIK!$U$86&gt;=75,WSTIK!$U$86&lt;=83.24),"P","")</f>
        <v/>
      </c>
      <c r="ADD19" s="102" t="str">
        <f>IF(AND(WSTIK!$U$86&gt;=83.25,WSTIK!$U$86&lt;=91.4),"P","")</f>
        <v/>
      </c>
      <c r="ADE19" s="102" t="str">
        <f>IF(AND(WSTIK!$U$86&gt;=91.5,WSTIK!$U$86&lt;=100),"P","")</f>
        <v/>
      </c>
      <c r="ADF19" t="str">
        <f>IF(WSTIK!$U$94&lt;74.9,"P","")</f>
        <v/>
      </c>
      <c r="ADG19" s="102" t="str">
        <f>IF(AND(WSTIK!$U$94&gt;=75,WSTIK!$U$94&lt;=83.24),"P","")</f>
        <v/>
      </c>
      <c r="ADH19" s="102" t="str">
        <f>IF(AND(WSTIK!$U$94&gt;=83.25,WSTIK!$U$94&lt;=91.4),"P","")</f>
        <v/>
      </c>
      <c r="ADI19" s="102" t="str">
        <f>IF(AND(WSTIK!$U$94&gt;=91.5,WSTIK!$U$94&lt;=100),"P","")</f>
        <v/>
      </c>
      <c r="ADJ19" t="str">
        <f>IF(WSTIK!$U$102&lt;74.9,"P","")</f>
        <v/>
      </c>
      <c r="ADK19" s="102" t="str">
        <f>IF(AND(WSTIK!$U$102&gt;=75,WSTIK!$U$102&lt;=83.24),"P","")</f>
        <v/>
      </c>
      <c r="ADL19" s="102" t="str">
        <f>IF(AND(WSTIK!$U$102&gt;=83.25,WSTIK!$U$102&lt;=91.4),"P","")</f>
        <v/>
      </c>
      <c r="ADM19" s="102" t="str">
        <f>IF(AND(WSTIK!$U$102&gt;=91.5,WSTIK!$U$102&lt;=100),"P","")</f>
        <v/>
      </c>
      <c r="ADN19" t="str">
        <f>IF(WSASWAJA!$U$6&lt;74.9,"P","")</f>
        <v/>
      </c>
      <c r="ADO19" s="102" t="str">
        <f>IF(AND(WSASWAJA!$U$6&gt;=75,WSASWAJA!$U$6&lt;=83.24),"P","")</f>
        <v/>
      </c>
      <c r="ADP19" s="102" t="str">
        <f>IF(AND(WSASWAJA!$U$6&gt;=83.25,WSASWAJA!$U$6&lt;=91.4),"P","")</f>
        <v/>
      </c>
      <c r="ADQ19" s="102" t="str">
        <f>IF(AND(WSASWAJA!$U$6&gt;=91.5,WSASWAJA!$U$6&lt;=100),"P","")</f>
        <v/>
      </c>
      <c r="ADR19" t="str">
        <f>IF(WSASWAJA!$U$14&lt;74.9,"P","")</f>
        <v/>
      </c>
      <c r="ADS19" s="102" t="str">
        <f>IF(AND(WSASWAJA!$U$14&gt;=75,WSASWAJA!$U$14&lt;=83.24),"P","")</f>
        <v/>
      </c>
      <c r="ADT19" s="102" t="str">
        <f>IF(AND(WSASWAJA!$U$14&gt;=83.25,WSASWAJA!$U$14&lt;=91.4),"P","")</f>
        <v/>
      </c>
      <c r="ADU19" s="102" t="str">
        <f>IF(AND(WSASWAJA!$U$14&gt;=91.5,WSASWAJA!$U$14&lt;=100),"P","")</f>
        <v/>
      </c>
      <c r="ADV19" t="str">
        <f>IF(WSASWAJA!$U$22&lt;74.9,"P","")</f>
        <v/>
      </c>
      <c r="ADW19" s="102" t="str">
        <f>IF(AND(WSASWAJA!$U$22&gt;=75,WSASWAJA!$U$22&lt;=83.24),"P","")</f>
        <v/>
      </c>
      <c r="ADX19" s="102" t="str">
        <f>IF(AND(WSASWAJA!$U$22&gt;=83.25,WSASWAJA!$U$22&lt;=91.4),"P","")</f>
        <v/>
      </c>
      <c r="ADY19" s="102" t="str">
        <f>IF(AND(WSASWAJA!$U$22&gt;=91.5,WSASWAJA!$U$22&lt;=100),"P","")</f>
        <v/>
      </c>
      <c r="ADZ19" t="str">
        <f>IF(WSASWAJA!$U$30&lt;74.9,"P","")</f>
        <v/>
      </c>
      <c r="AEA19" s="102" t="str">
        <f>IF(AND(WSASWAJA!$U$30&gt;=75,WSASWAJA!$U$30&lt;=83.24),"P","")</f>
        <v/>
      </c>
      <c r="AEB19" s="102" t="str">
        <f>IF(AND(WSASWAJA!$U$30&gt;=83.25,WSASWAJA!$U$30&lt;=91.4),"P","")</f>
        <v/>
      </c>
      <c r="AEC19" s="102" t="str">
        <f>IF(AND(WSASWAJA!$U$30&gt;=91.5,WSASWAJA!$U$30&lt;=100),"P","")</f>
        <v/>
      </c>
      <c r="AED19" t="str">
        <f>IF(WSASWAJA!$U$38&lt;74.9,"P","")</f>
        <v/>
      </c>
      <c r="AEE19" s="102" t="str">
        <f>IF(AND(WSASWAJA!$U$38&gt;=75,WSASWAJA!$U$38&lt;=83.24),"P","")</f>
        <v/>
      </c>
      <c r="AEF19" s="102" t="str">
        <f>IF(AND(WSASWAJA!$U$38&gt;=83.25,WSASWAJA!$U$38&lt;=91.4),"P","")</f>
        <v/>
      </c>
      <c r="AEG19" s="102" t="str">
        <f>IF(AND(WSASWAJA!$U$38&gt;=91.5,WSASWAJA!$U$38&lt;=100),"P","")</f>
        <v/>
      </c>
      <c r="AEH19" t="str">
        <f>IF(WSASWAJA!$U$46&lt;74.9,"P","")</f>
        <v/>
      </c>
      <c r="AEI19" s="102" t="str">
        <f>IF(AND(WSASWAJA!$U$46&gt;=75,WSASWAJA!$U$46&lt;=83.24),"P","")</f>
        <v/>
      </c>
      <c r="AEJ19" s="102" t="str">
        <f>IF(AND(WSASWAJA!$U$46&gt;=83.25,WSASWAJA!$U$46&lt;=91.4),"P","")</f>
        <v/>
      </c>
      <c r="AEK19" s="102" t="str">
        <f>IF(AND(WSASWAJA!$U$46&gt;=91.5,WSASWAJA!$U$46&lt;=100),"P","")</f>
        <v/>
      </c>
      <c r="AEL19" t="str">
        <f>IF(WSASWAJA!$U$54&lt;74.9,"P","")</f>
        <v/>
      </c>
      <c r="AEM19" s="102" t="str">
        <f>IF(AND(WSASWAJA!$U$54&gt;=75,WSASWAJA!$U$54&lt;=83.24),"P","")</f>
        <v/>
      </c>
      <c r="AEN19" s="102" t="str">
        <f>IF(AND(WSASWAJA!$U$54&gt;=83.25,WSASWAJA!$U$54&lt;=91.4),"P","")</f>
        <v/>
      </c>
      <c r="AEO19" s="102" t="str">
        <f>IF(AND(WSASWAJA!$U$54&gt;=91.5,WSASWAJA!$U$54&lt;=100),"P","")</f>
        <v/>
      </c>
      <c r="AEP19" t="str">
        <f>IF(WSASWAJA!$U$62&lt;74.9,"P","")</f>
        <v/>
      </c>
      <c r="AEQ19" s="102" t="str">
        <f>IF(AND(WSASWAJA!$U$62&gt;=75,WSASWAJA!$U$62&lt;=83.24),"P","")</f>
        <v/>
      </c>
      <c r="AER19" s="102" t="str">
        <f>IF(AND(WSASWAJA!$U$62&gt;=83.25,WSASWAJA!$U$62&lt;=91.4),"P","")</f>
        <v/>
      </c>
      <c r="AES19" s="102" t="str">
        <f>IF(AND(WSASWAJA!$U$62&gt;=91.5,WSASWAJA!$U$62&lt;=100),"P","")</f>
        <v/>
      </c>
      <c r="AET19" t="str">
        <f>IF(WSASWAJA!$U$70&lt;74.9,"P","")</f>
        <v/>
      </c>
      <c r="AEU19" s="102" t="str">
        <f>IF(AND(WSASWAJA!$U$70&gt;=75,WSASWAJA!$U$70&lt;=83.24),"P","")</f>
        <v/>
      </c>
      <c r="AEV19" s="102" t="str">
        <f>IF(AND(WSASWAJA!$U$70&gt;=83.25,WSASWAJA!$U$70&lt;=91.4),"P","")</f>
        <v/>
      </c>
      <c r="AEW19" s="102" t="str">
        <f>IF(AND(WSASWAJA!$U$70&gt;=91.5,WSASWAJA!$U$70&lt;=100),"P","")</f>
        <v/>
      </c>
      <c r="AEX19" t="str">
        <f>IF(WSASWAJA!$U$78&lt;74.9,"P","")</f>
        <v/>
      </c>
      <c r="AEY19" s="102" t="str">
        <f>IF(AND(WSASWAJA!$U$78&gt;=75,WSASWAJA!$U$78&lt;=83.24),"P","")</f>
        <v/>
      </c>
      <c r="AEZ19" s="102" t="str">
        <f>IF(AND(WSASWAJA!$U$78&gt;=83.25,WSASWAJA!$U$78&lt;=91.4),"P","")</f>
        <v/>
      </c>
      <c r="AFA19" s="102" t="str">
        <f>IF(AND(WSASWAJA!$U$78&gt;=91.5,WSASWAJA!$U$78&lt;=100),"P","")</f>
        <v/>
      </c>
      <c r="AFB19" t="str">
        <f>IF(WSASWAJA!$U$86&lt;74.9,"P","")</f>
        <v/>
      </c>
      <c r="AFC19" s="102" t="str">
        <f>IF(AND(WSASWAJA!$U$86&gt;=75,WSASWAJA!$U$86&lt;=83.24),"P","")</f>
        <v/>
      </c>
      <c r="AFD19" s="102" t="str">
        <f>IF(AND(WSASWAJA!$U$86&gt;=83.25,WSASWAJA!$U$86&lt;=91.4),"P","")</f>
        <v/>
      </c>
      <c r="AFE19" s="102" t="str">
        <f>IF(AND(WSASWAJA!$U$86&gt;=91.5,WSASWAJA!$U$86&lt;=100),"P","")</f>
        <v/>
      </c>
      <c r="AFF19" t="str">
        <f>IF(WSASWAJA!$U$94&lt;74.9,"P","")</f>
        <v/>
      </c>
      <c r="AFG19" s="102" t="str">
        <f>IF(AND(WSASWAJA!$U$94&gt;=75,WSASWAJA!$U$94&lt;=83.24),"P","")</f>
        <v/>
      </c>
      <c r="AFH19" s="102" t="str">
        <f>IF(AND(WSASWAJA!$U$94&gt;=83.25,WSASWAJA!$U$94&lt;=91.4),"P","")</f>
        <v/>
      </c>
      <c r="AFI19" s="102" t="str">
        <f>IF(AND(WSASWAJA!$U$94&gt;=91.5,WSASWAJA!$U$94&lt;=100),"P","")</f>
        <v/>
      </c>
      <c r="AFJ19" t="str">
        <f>IF(WSASWAJA!$U$102&lt;74.9,"P","")</f>
        <v/>
      </c>
      <c r="AFK19" s="102" t="str">
        <f>IF(AND(WSASWAJA!$U$102&gt;=75,WSASWAJA!$U$102&lt;=83.24),"P","")</f>
        <v/>
      </c>
      <c r="AFL19" s="102" t="str">
        <f>IF(AND(WSASWAJA!$U$102&gt;=83.25,WSASWAJA!$U$102&lt;=91.4),"P","")</f>
        <v/>
      </c>
      <c r="AFM19" s="102" t="str">
        <f>IF(AND(WSASWAJA!$U$102&gt;=91.5,WSASWAJA!$U$102&lt;=100),"P","")</f>
        <v/>
      </c>
    </row>
    <row r="20" spans="1:845" ht="20.100000000000001" customHeight="1">
      <c r="A20">
        <v>18</v>
      </c>
      <c r="B20" t="str">
        <f>IF(WSALQURAN!$V$6&lt;74.9,"P","")</f>
        <v/>
      </c>
      <c r="C20" s="102" t="str">
        <f>IF(AND(WSALQURAN!$V$6&gt;=75,WSALQURAN!$V$6&lt;=83.24),"P","")</f>
        <v/>
      </c>
      <c r="D20" s="102" t="str">
        <f>IF(AND(WSALQURAN!$V$6&gt;=83.25,WSALQURAN!$V$6&lt;=91.4),"P","")</f>
        <v/>
      </c>
      <c r="E20" s="102" t="str">
        <f>IF(AND(WSALQURAN!$V$6&gt;=91.5,WSALQURAN!$V$6&lt;=100),"P","")</f>
        <v>P</v>
      </c>
      <c r="F20" t="str">
        <f>IF(WSALQURAN!$V$14&lt;74.9,"P","")</f>
        <v/>
      </c>
      <c r="G20" s="102" t="str">
        <f>IF(AND(WSALQURAN!$V$14&gt;=75,WSALQURAN!$V$14&lt;=83.24),"P","")</f>
        <v/>
      </c>
      <c r="H20" s="102" t="str">
        <f>IF(AND(WSALQURAN!$V$14&gt;=83.25,WSALQURAN!$V$14&lt;=91.4),"P","")</f>
        <v/>
      </c>
      <c r="I20" s="102" t="str">
        <f>IF(AND(WSALQURAN!$V$14&gt;=91.5,WSALQURAN!$V$14&lt;=100),"P","")</f>
        <v>P</v>
      </c>
      <c r="J20" t="str">
        <f>IF(WSALQURAN!$V$22&lt;74.9,"P","")</f>
        <v/>
      </c>
      <c r="K20" s="102" t="str">
        <f>IF(AND(WSALQURAN!$V$22&gt;=75,WSALQURAN!$V$22&lt;=83.24),"P","")</f>
        <v/>
      </c>
      <c r="L20" s="102" t="str">
        <f>IF(AND(WSALQURAN!$V$22&gt;=83.25,WSALQURAN!$V$22&lt;=91.4),"P","")</f>
        <v/>
      </c>
      <c r="M20" s="102" t="str">
        <f>IF(AND(WSALQURAN!$V$22&gt;=91.5,WSALQURAN!$V$22&lt;=100),"P","")</f>
        <v>P</v>
      </c>
      <c r="N20" t="str">
        <f>IF(WSALQURAN!$V$30&lt;74.9,"P","")</f>
        <v/>
      </c>
      <c r="O20" s="102" t="str">
        <f>IF(AND(WSALQURAN!$V$30&gt;=75,WSALQURAN!$V$30&lt;=83.24),"P","")</f>
        <v/>
      </c>
      <c r="P20" s="102" t="str">
        <f>IF(AND(WSALQURAN!$V$30&gt;=83.25,WSALQURAN!$V$30&lt;=91.4),"P","")</f>
        <v/>
      </c>
      <c r="Q20" s="102" t="str">
        <f>IF(AND(WSALQURAN!$V$30&gt;=91.5,WSALQURAN!$V$30&lt;=100),"P","")</f>
        <v>P</v>
      </c>
      <c r="R20" t="str">
        <f>IF(WSALQURAN!$V$38&lt;74.9,"P","")</f>
        <v/>
      </c>
      <c r="S20" s="102" t="str">
        <f>IF(AND(WSALQURAN!$V$38&gt;=75,WSALQURAN!$V$38&lt;=83.24),"P","")</f>
        <v/>
      </c>
      <c r="T20" s="102" t="str">
        <f>IF(AND(WSALQURAN!$V$38&gt;=83.25,WSALQURAN!$V$38&lt;=91.4),"P","")</f>
        <v/>
      </c>
      <c r="U20" s="102" t="str">
        <f>IF(AND(WSALQURAN!$V$38&gt;=91.5,WSALQURAN!$V$38&lt;=100),"P","")</f>
        <v>P</v>
      </c>
      <c r="V20" t="str">
        <f>IF(WSALQURAN!$V$46&lt;74.9,"P","")</f>
        <v/>
      </c>
      <c r="W20" s="102" t="str">
        <f>IF(AND(WSALQURAN!$V$46&gt;=75,WSALQURAN!$V$46&lt;=83.24),"P","")</f>
        <v/>
      </c>
      <c r="X20" s="102" t="str">
        <f>IF(AND(WSALQURAN!$V$46&gt;=83.25,WSALQURAN!$V$46&lt;=91.4),"P","")</f>
        <v>P</v>
      </c>
      <c r="Y20" s="102" t="str">
        <f>IF(AND(WSALQURAN!$V$46&gt;=91.5,WSALQURAN!$V$46&lt;=100),"P","")</f>
        <v/>
      </c>
      <c r="Z20" t="str">
        <f>IF(WSALQURAN!$V$54&lt;74.9,"P","")</f>
        <v/>
      </c>
      <c r="AA20" s="102" t="str">
        <f>IF(AND(WSALQURAN!$V$54&gt;=75,WSALQURAN!$V$54&lt;=83.24),"P","")</f>
        <v/>
      </c>
      <c r="AB20" s="102" t="str">
        <f>IF(AND(WSALQURAN!$V$54&gt;=83.25,WSALQURAN!$V$54&lt;=91.4),"P","")</f>
        <v/>
      </c>
      <c r="AC20" s="102" t="str">
        <f>IF(AND(WSALQURAN!$V$54&gt;=91.5,WSALQURAN!$V$54&lt;=100),"P","")</f>
        <v>P</v>
      </c>
      <c r="AD20" t="str">
        <f>IF(WSALQURAN!$V$62&lt;74.9,"P","")</f>
        <v/>
      </c>
      <c r="AE20" s="102" t="str">
        <f>IF(AND(WSALQURAN!$V$62&gt;=75,WSALQURAN!$V$62&lt;=83.24),"P","")</f>
        <v/>
      </c>
      <c r="AF20" s="102" t="str">
        <f>IF(AND(WSALQURAN!$V$62&gt;=83.25,WSALQURAN!$V$62&lt;=91.4),"P","")</f>
        <v/>
      </c>
      <c r="AG20" s="102" t="str">
        <f>IF(AND(WSALQURAN!$V$62&gt;=91.5,WSALQURAN!$V$62&lt;=100),"P","")</f>
        <v/>
      </c>
      <c r="AH20" t="str">
        <f>IF(WSALQURAN!$V$70&lt;74.9,"P","")</f>
        <v/>
      </c>
      <c r="AI20" s="102" t="str">
        <f>IF(AND(WSALQURAN!$V$70&gt;=75,WSALQURAN!$V$70&lt;=83.24),"P","")</f>
        <v/>
      </c>
      <c r="AJ20" s="102" t="str">
        <f>IF(AND(WSALQURAN!$V$70&gt;=83.25,WSALQURAN!$V$70&lt;=91.4),"P","")</f>
        <v/>
      </c>
      <c r="AK20" s="102" t="str">
        <f>IF(AND(WSALQURAN!$V$70&gt;=91.5,WSALQURAN!$V$70&lt;=100),"P","")</f>
        <v/>
      </c>
      <c r="AL20" t="str">
        <f>IF(WSALQURAN!$V$78&lt;74.9,"P","")</f>
        <v/>
      </c>
      <c r="AM20" s="102" t="str">
        <f>IF(AND(WSALQURAN!$V$78&gt;=75,WSALQURAN!$V$78&lt;=83.24),"P","")</f>
        <v/>
      </c>
      <c r="AN20" s="102" t="str">
        <f>IF(AND(WSALQURAN!$V$78&gt;=83.25,WSALQURAN!$V$78&lt;=91.4),"P","")</f>
        <v/>
      </c>
      <c r="AO20" s="102" t="str">
        <f>IF(AND(WSALQURAN!$V$78&gt;=91.5,WSALQURAN!$V$78&lt;=100),"P","")</f>
        <v/>
      </c>
      <c r="AP20" t="str">
        <f>IF(WSALQURAN!$V$86&lt;74.9,"P","")</f>
        <v/>
      </c>
      <c r="AQ20" s="102" t="str">
        <f>IF(AND(WSALQURAN!$V$86&gt;=75,WSALQURAN!$V$86&lt;=83.24),"P","")</f>
        <v/>
      </c>
      <c r="AR20" s="102" t="str">
        <f>IF(AND(WSALQURAN!$V$86&gt;=83.25,WSALQURAN!$V$86&lt;=91.4),"P","")</f>
        <v/>
      </c>
      <c r="AS20" s="102" t="str">
        <f>IF(AND(WSALQURAN!$V$86&gt;=91.5,WSALQURAN!$V$86&lt;=100),"P","")</f>
        <v/>
      </c>
      <c r="AT20" t="str">
        <f>IF(WSALQURAN!$V$94&lt;74.9,"P","")</f>
        <v/>
      </c>
      <c r="AU20" s="102" t="str">
        <f>IF(AND(WSALQURAN!$V$94&gt;=75,WSALQURAN!$V$94&lt;=83.24),"P","")</f>
        <v/>
      </c>
      <c r="AV20" s="102" t="str">
        <f>IF(AND(WSALQURAN!$V$94&gt;=83.25,WSALQURAN!$V$94&lt;=91.4),"P","")</f>
        <v/>
      </c>
      <c r="AW20" s="102" t="str">
        <f>IF(AND(WSALQURAN!$V$94&gt;=91.5,WSALQURAN!$V$94&lt;=100),"P","")</f>
        <v/>
      </c>
      <c r="AX20" t="str">
        <f>IF(WSALQURAN!$V$102&lt;74.9,"P","")</f>
        <v/>
      </c>
      <c r="AY20" s="102" t="str">
        <f>IF(AND(WSALQURAN!$V$102&gt;=75,WSALQURAN!$V$102&lt;=83.24),"P","")</f>
        <v/>
      </c>
      <c r="AZ20" s="102" t="str">
        <f>IF(AND(WSALQURAN!$V$102&gt;=83.25,WSALQURAN!$V$102&lt;=91.4),"P","")</f>
        <v/>
      </c>
      <c r="BA20" s="102" t="str">
        <f>IF(AND(WSALQURAN!$V$102&gt;=91.5,WSALQURAN!$V$102&lt;=100),"P","")</f>
        <v/>
      </c>
      <c r="BB20" t="str">
        <f>IF(WSAQIDAH!$V$6&lt;74.9,"P","")</f>
        <v/>
      </c>
      <c r="BC20" s="102" t="str">
        <f>IF(AND(WSAQIDAH!$V$6&gt;=75,WSAQIDAH!$V$6&lt;=83.24),"P","")</f>
        <v/>
      </c>
      <c r="BD20" s="102" t="str">
        <f>IF(AND(WSAQIDAH!$V$6&gt;=83.25,WSAQIDAH!$V$6&lt;=91.4),"P","")</f>
        <v>P</v>
      </c>
      <c r="BE20" s="102" t="str">
        <f>IF(AND(WSAQIDAH!$V$6&gt;=91.5,WSAQIDAH!$V$6&lt;=100),"P","")</f>
        <v/>
      </c>
      <c r="BF20" t="str">
        <f>IF(WSAQIDAH!$V$14&lt;74.9,"P","")</f>
        <v/>
      </c>
      <c r="BG20" s="102" t="str">
        <f>IF(AND(WSAQIDAH!$V$14&gt;=75,WSAQIDAH!$V$14&lt;=83.24),"P","")</f>
        <v/>
      </c>
      <c r="BH20" s="102" t="str">
        <f>IF(AND(WSAQIDAH!$V$14&gt;=83.25,WSAQIDAH!$V$14&lt;=91.4),"P","")</f>
        <v/>
      </c>
      <c r="BI20" s="102" t="str">
        <f>IF(AND(WSAQIDAH!$V$14&gt;=91.5,WSAQIDAH!$V$14&lt;=100),"P","")</f>
        <v>P</v>
      </c>
      <c r="BJ20" t="str">
        <f>IF(WSAQIDAH!$V$22&lt;74.9,"P","")</f>
        <v/>
      </c>
      <c r="BK20" s="102" t="str">
        <f>IF(AND(WSAQIDAH!$V$22&gt;=75,WSAQIDAH!$V$22&lt;=83.24),"P","")</f>
        <v/>
      </c>
      <c r="BL20" s="102" t="str">
        <f>IF(AND(WSAQIDAH!$V$22&gt;=83.25,WSAQIDAH!$V$22&lt;=91.4),"P","")</f>
        <v/>
      </c>
      <c r="BM20" s="102" t="str">
        <f>IF(AND(WSAQIDAH!$V$22&gt;=91.5,WSAQIDAH!$V$22&lt;=100),"P","")</f>
        <v>P</v>
      </c>
      <c r="BN20" t="str">
        <f>IF(WSAQIDAH!$V$30&lt;74.9,"P","")</f>
        <v/>
      </c>
      <c r="BO20" s="102" t="str">
        <f>IF(AND(WSAQIDAH!$V$30&gt;=75,WSAQIDAH!$V$30&lt;=83.24),"P","")</f>
        <v/>
      </c>
      <c r="BP20" s="102" t="str">
        <f>IF(AND(WSAQIDAH!$V$30&gt;=83.25,WSAQIDAH!$V$30&lt;=91.4),"P","")</f>
        <v/>
      </c>
      <c r="BQ20" s="102" t="str">
        <f>IF(AND(WSAQIDAH!$V$30&gt;=91.5,WSAQIDAH!$V$30&lt;=100),"P","")</f>
        <v>P</v>
      </c>
      <c r="BR20" t="str">
        <f>IF(WSAQIDAH!$V$38&lt;74.9,"P","")</f>
        <v/>
      </c>
      <c r="BS20" s="102" t="str">
        <f>IF(AND(WSAQIDAH!$V$38&gt;=75,WSAQIDAH!$V$38&lt;=83.24),"P","")</f>
        <v/>
      </c>
      <c r="BT20" s="102" t="str">
        <f>IF(AND(WSAQIDAH!$V$38&gt;=83.25,WSAQIDAH!$V$38&lt;=91.4),"P","")</f>
        <v/>
      </c>
      <c r="BU20" s="102" t="str">
        <f>IF(AND(WSAQIDAH!$V$38&gt;=91.5,WSAQIDAH!$V$38&lt;=100),"P","")</f>
        <v>P</v>
      </c>
      <c r="BV20" t="str">
        <f>IF(WSAQIDAH!$V$46&lt;74.9,"P","")</f>
        <v/>
      </c>
      <c r="BW20" s="102" t="str">
        <f>IF(AND(WSAQIDAH!$V$46&gt;=75,WSAQIDAH!$V$46&lt;=83.24),"P","")</f>
        <v/>
      </c>
      <c r="BX20" s="102" t="str">
        <f>IF(AND(WSAQIDAH!$V$46&gt;=83.25,WSAQIDAH!$V$46&lt;=91.4),"P","")</f>
        <v>P</v>
      </c>
      <c r="BY20" s="102" t="str">
        <f>IF(AND(WSAQIDAH!$V$46&gt;=91.5,WSAQIDAH!$V$46&lt;=100),"P","")</f>
        <v/>
      </c>
      <c r="BZ20" t="str">
        <f>IF(WSAQIDAH!$V$54&lt;74.9,"P","")</f>
        <v/>
      </c>
      <c r="CA20" s="102" t="str">
        <f>IF(AND(WSAQIDAH!$V$54&gt;=75,WSAQIDAH!$V$54&lt;=83.24),"P","")</f>
        <v/>
      </c>
      <c r="CB20" s="102" t="str">
        <f>IF(AND(WSAQIDAH!$V$54&gt;=83.25,WSAQIDAH!$V$54&lt;=91.4),"P","")</f>
        <v/>
      </c>
      <c r="CC20" s="102" t="str">
        <f>IF(AND(WSAQIDAH!$V$54&gt;=91.5,WSAQIDAH!$V$54&lt;=100),"P","")</f>
        <v>P</v>
      </c>
      <c r="CD20" t="str">
        <f>IF(WSAQIDAH!$V$62&lt;74.9,"P","")</f>
        <v/>
      </c>
      <c r="CE20" s="102" t="str">
        <f>IF(AND(WSAQIDAH!$V$62&gt;=75,WSAQIDAH!$V$62&lt;=83.24),"P","")</f>
        <v>P</v>
      </c>
      <c r="CF20" s="102" t="str">
        <f>IF(AND(WSAQIDAH!$V$62&gt;=83.25,WSAQIDAH!$V$62&lt;=91.4),"P","")</f>
        <v/>
      </c>
      <c r="CG20" s="102" t="str">
        <f>IF(AND(WSAQIDAH!$V$62&gt;=91.5,WSAQIDAH!$V$62&lt;=100),"P","")</f>
        <v/>
      </c>
      <c r="CH20" t="str">
        <f>IF(WSAQIDAH!$V$70&lt;74.9,"P","")</f>
        <v/>
      </c>
      <c r="CI20" s="102" t="str">
        <f>IF(AND(WSAQIDAH!$V$70&gt;=75,WSAQIDAH!$V$70&lt;=83.24),"P","")</f>
        <v>P</v>
      </c>
      <c r="CJ20" s="102" t="str">
        <f>IF(AND(WSAQIDAH!$V$70&gt;=83.25,WSAQIDAH!$V$70&lt;=91.4),"P","")</f>
        <v/>
      </c>
      <c r="CK20" s="102" t="str">
        <f>IF(AND(WSAQIDAH!$V$70&gt;=91.5,WSAQIDAH!$V$70&lt;=100),"P","")</f>
        <v/>
      </c>
      <c r="CL20" t="str">
        <f>IF(WSAQIDAH!$V$78&lt;74.9,"P","")</f>
        <v/>
      </c>
      <c r="CM20" s="102" t="str">
        <f>IF(AND(WSAQIDAH!$V$78&gt;=75,WSAQIDAH!$V$78&lt;=83.24),"P","")</f>
        <v>P</v>
      </c>
      <c r="CN20" s="102" t="str">
        <f>IF(AND(WSAQIDAH!$V$78&gt;=83.25,WSAQIDAH!$V$78&lt;=91.4),"P","")</f>
        <v/>
      </c>
      <c r="CO20" s="102" t="str">
        <f>IF(AND(WSAQIDAH!$V$78&gt;=91.5,WSAQIDAH!$V$78&lt;=100),"P","")</f>
        <v/>
      </c>
      <c r="CP20" t="str">
        <f>IF(WSAQIDAH!$V$86&lt;74.9,"P","")</f>
        <v/>
      </c>
      <c r="CQ20" s="102" t="str">
        <f>IF(AND(WSAQIDAH!$V$86&gt;=75,WSAQIDAH!$V$86&lt;=83.24),"P","")</f>
        <v/>
      </c>
      <c r="CR20" s="102" t="str">
        <f>IF(AND(WSAQIDAH!$V$86&gt;=83.25,WSAQIDAH!$V$86&lt;=91.4),"P","")</f>
        <v/>
      </c>
      <c r="CS20" s="102" t="str">
        <f>IF(AND(WSAQIDAH!$V$86&gt;=91.5,WSAQIDAH!$V$86&lt;=100),"P","")</f>
        <v/>
      </c>
      <c r="CT20" t="str">
        <f>IF(WSAQIDAH!$V$94&lt;74.9,"P","")</f>
        <v/>
      </c>
      <c r="CU20" s="102" t="str">
        <f>IF(AND(WSAQIDAH!$V$94&gt;=75,WSAQIDAH!$V$94&lt;=83.24),"P","")</f>
        <v/>
      </c>
      <c r="CV20" s="102" t="str">
        <f>IF(AND(WSAQIDAH!$V$94&gt;=83.25,WSAQIDAH!$V$94&lt;=91.4),"P","")</f>
        <v/>
      </c>
      <c r="CW20" s="102" t="str">
        <f>IF(AND(WSAQIDAH!$V$94&gt;=91.5,WSAQIDAH!$V$94&lt;=100),"P","")</f>
        <v/>
      </c>
      <c r="CX20" t="str">
        <f>IF(WSAQIDAH!$V$102&lt;74.9,"P","")</f>
        <v/>
      </c>
      <c r="CY20" s="102" t="str">
        <f>IF(AND(WSAQIDAH!$V$102&gt;=75,WSAQIDAH!$V$102&lt;=83.24),"P","")</f>
        <v/>
      </c>
      <c r="CZ20" s="102" t="str">
        <f>IF(AND(WSAQIDAH!$V$102&gt;=83.25,WSAQIDAH!$V$102&lt;=91.4),"P","")</f>
        <v/>
      </c>
      <c r="DA20" s="102" t="str">
        <f>IF(AND(WSAQIDAH!$V$102&gt;=91.5,WSAQIDAH!$V$102&lt;=100),"P","")</f>
        <v/>
      </c>
      <c r="DB20" t="str">
        <f>IF(WSSKI!$V$6&lt;74.9,"P","")</f>
        <v/>
      </c>
      <c r="DC20" s="102" t="str">
        <f>IF(AND(WSSKI!$V$6&gt;=75,WSSKI!$V$6&lt;=83.24),"P","")</f>
        <v/>
      </c>
      <c r="DD20" s="102" t="str">
        <f>IF(AND(WSSKI!$V$6&gt;=83.25,WSSKI!$V$6&lt;=91.4),"P","")</f>
        <v/>
      </c>
      <c r="DE20" s="102" t="str">
        <f>IF(AND(WSSKI!$V$6&gt;=91.5,WSSKI!$V$6&lt;=100),"P","")</f>
        <v>P</v>
      </c>
      <c r="DF20" t="str">
        <f>IF(WSSKI!$V$14&lt;74.9,"P","")</f>
        <v/>
      </c>
      <c r="DG20" s="102" t="str">
        <f>IF(AND(WSSKI!$V$14&gt;=75,WSSKI!$V$14&lt;=83.24),"P","")</f>
        <v/>
      </c>
      <c r="DH20" s="102" t="str">
        <f>IF(AND(WSSKI!$V$14&gt;=83.25,WSSKI!$V$14&lt;=91.4),"P","")</f>
        <v/>
      </c>
      <c r="DI20" s="102" t="str">
        <f>IF(AND(WSSKI!$V$14&gt;=91.5,WSSKI!$V$14&lt;=100),"P","")</f>
        <v>P</v>
      </c>
      <c r="DJ20" t="str">
        <f>IF(WSSKI!$V$23&lt;74.9,"P","")</f>
        <v/>
      </c>
      <c r="DK20" s="102" t="str">
        <f>IF(AND(WSSKI!$V$23&gt;=75,WSSKI!$V$23&lt;=83.24),"P","")</f>
        <v>P</v>
      </c>
      <c r="DL20" s="102" t="str">
        <f>IF(AND(WSSKI!$V$23&gt;=83.25,WSSKI!$V$23&lt;=91.4),"P","")</f>
        <v/>
      </c>
      <c r="DM20" s="102" t="str">
        <f>IF(AND(WSSKI!$V$23&gt;=91.5,WSSKI!$V$23&lt;=100),"P","")</f>
        <v/>
      </c>
      <c r="DN20" t="str">
        <f>IF(WSSKI!$V$31&lt;74.9,"P","")</f>
        <v/>
      </c>
      <c r="DO20" s="102" t="str">
        <f>IF(AND(WSSKI!$V$31&gt;=75,WSSKI!$V$31&lt;=83.24),"P","")</f>
        <v/>
      </c>
      <c r="DP20" s="102" t="str">
        <f>IF(AND(WSSKI!$V$31&gt;=83.25,WSSKI!$V$31&lt;=91.4),"P","")</f>
        <v>P</v>
      </c>
      <c r="DQ20" s="102" t="str">
        <f>IF(AND(WSSKI!$V$31&gt;=91.5,WSSKI!$V$31&lt;=100),"P","")</f>
        <v/>
      </c>
      <c r="DR20" t="str">
        <f>IF(WSSKI!$V$40&lt;74.9,"P","")</f>
        <v/>
      </c>
      <c r="DS20" s="102" t="str">
        <f>IF(AND(WSSKI!$V$40&gt;=75,WSSKI!$V$40&lt;=83.24),"P","")</f>
        <v>P</v>
      </c>
      <c r="DT20" s="102" t="str">
        <f>IF(AND(WSSKI!$V$40&gt;=83.25,WSSKI!$V$40&lt;=91.4),"P","")</f>
        <v/>
      </c>
      <c r="DU20" s="102" t="str">
        <f>IF(AND(WSSKI!$V$40&gt;=91.5,WSSKI!$V$40&lt;=100),"P","")</f>
        <v/>
      </c>
      <c r="DV20" t="str">
        <f>IF(WSSKI!$V$48&lt;74.9,"P","")</f>
        <v/>
      </c>
      <c r="DW20" s="102" t="str">
        <f>IF(AND(WSSKI!$V$48&gt;=75,WSSKI!$V$48&lt;=83.24),"P","")</f>
        <v>P</v>
      </c>
      <c r="DX20" s="102" t="str">
        <f>IF(AND(WSSKI!$V$48&gt;=83.25,WSSKI!$V$48&lt;=91.4),"P","")</f>
        <v/>
      </c>
      <c r="DY20" s="102" t="str">
        <f>IF(AND(WSSKI!$V$48&gt;=91.5,WSSKI!$V$48&lt;=100),"P","")</f>
        <v/>
      </c>
      <c r="DZ20" t="str">
        <f>IF(WSSKI!$V$56&lt;74.9,"P","")</f>
        <v/>
      </c>
      <c r="EA20" s="102" t="str">
        <f>IF(AND(WSSKI!$V$56&gt;=75,WSSKI!$V$56&lt;=83.24),"P","")</f>
        <v/>
      </c>
      <c r="EB20" s="102" t="str">
        <f>IF(AND(WSSKI!$V$56&gt;=83.25,WSSKI!$V$56&lt;=91.4),"P","")</f>
        <v/>
      </c>
      <c r="EC20" s="102" t="str">
        <f>IF(AND(WSSKI!$V$56&gt;=91.5,WSSKI!$V$56&lt;=100),"P","")</f>
        <v/>
      </c>
      <c r="ED20" t="str">
        <f>IF(WSSKI!$V$64&lt;74.9,"P","")</f>
        <v/>
      </c>
      <c r="EE20" s="102" t="str">
        <f>IF(AND(WSSKI!$V$64&gt;=75,WSSKI!$V$64&lt;=83.24),"P","")</f>
        <v/>
      </c>
      <c r="EF20" s="102" t="str">
        <f>IF(AND(WSSKI!$V$64&gt;=83.25,WSSKI!$V$64&lt;=91.4),"P","")</f>
        <v/>
      </c>
      <c r="EG20" s="102" t="str">
        <f>IF(AND(WSSKI!$V$64&gt;=91.5,WSSKI!$V$64&lt;=100),"P","")</f>
        <v/>
      </c>
      <c r="EH20" t="str">
        <f>IF(WSSKI!$V$72&lt;74.9,"P","")</f>
        <v/>
      </c>
      <c r="EI20" s="102" t="str">
        <f>IF(AND(WSSKI!$V$72&gt;=75,WSSKI!$V$72&lt;=83.24),"P","")</f>
        <v/>
      </c>
      <c r="EJ20" s="102" t="str">
        <f>IF(AND(WSSKI!$V$72&gt;=83.25,WSSKI!$V$72&lt;=91.4),"P","")</f>
        <v/>
      </c>
      <c r="EK20" s="102" t="str">
        <f>IF(AND(WSSKI!$V$72&gt;=91.5,WSSKI!$V$72&lt;=100),"P","")</f>
        <v/>
      </c>
      <c r="EL20" t="str">
        <f>IF(WSSKI!$V$80&lt;74.9,"P","")</f>
        <v/>
      </c>
      <c r="EM20" s="102" t="str">
        <f>IF(AND(WSSKI!$V$80&gt;=75,WSSKI!$V$80&lt;=83.24),"P","")</f>
        <v/>
      </c>
      <c r="EN20" s="102" t="str">
        <f>IF(AND(WSSKI!$V$80&gt;=83.25,WSSKI!$V$80&lt;=91.4),"P","")</f>
        <v/>
      </c>
      <c r="EO20" s="102" t="str">
        <f>IF(AND(WSSKI!$V$80&gt;=91.5,WSSKI!$V$80&lt;=100),"P","")</f>
        <v/>
      </c>
      <c r="EP20" t="str">
        <f>IF(WSSKI!$V$88&lt;74.9,"P","")</f>
        <v/>
      </c>
      <c r="EQ20" s="102" t="str">
        <f>IF(AND(WSSKI!$V$88&gt;=75,WSSKI!$V$88&lt;=83.24),"P","")</f>
        <v/>
      </c>
      <c r="ER20" s="102" t="str">
        <f>IF(AND(WSSKI!$V$88&gt;=83.25,WSSKI!$V$88&lt;=91.4),"P","")</f>
        <v/>
      </c>
      <c r="ES20" s="102" t="str">
        <f>IF(AND(WSSKI!$V$88&gt;=91.5,WSSKI!$V$88&lt;=100),"P","")</f>
        <v/>
      </c>
      <c r="ET20" t="str">
        <f>IF(WSSKI!$V$96&lt;74.9,"P","")</f>
        <v/>
      </c>
      <c r="EU20" s="102" t="str">
        <f>IF(AND(WSSKI!$V$96&gt;=75,WSSKI!$V$96&lt;=83.24),"P","")</f>
        <v/>
      </c>
      <c r="EV20" s="102" t="str">
        <f>IF(AND(WSSKI!$V$96&gt;=83.25,WSSKI!$V$96&lt;=91.4),"P","")</f>
        <v/>
      </c>
      <c r="EW20" s="102" t="str">
        <f>IF(AND(WSSKI!$V$96&gt;=91.5,WSSKI!$V$96&lt;=100),"P","")</f>
        <v/>
      </c>
      <c r="EX20" t="str">
        <f>IF(WSSKI!$V$104&lt;74.9,"P","")</f>
        <v/>
      </c>
      <c r="EY20" s="102" t="str">
        <f>IF(AND(WSSKI!$V$104&gt;=75,WSSKI!$V$104&lt;=83.24),"P","")</f>
        <v/>
      </c>
      <c r="EZ20" s="102" t="str">
        <f>IF(AND(WSSKI!$V$104&gt;=83.25,WSSKI!$V$104&lt;=91.4),"P","")</f>
        <v/>
      </c>
      <c r="FA20" s="102" t="str">
        <f>IF(AND(WSSKI!$V$104&gt;=91.5,WSSKI!$V$104&lt;=100),"P","")</f>
        <v/>
      </c>
      <c r="FB20" t="str">
        <f>IF(WSFIQIH!$V$6&lt;74.9,"P","")</f>
        <v/>
      </c>
      <c r="FC20" s="102" t="str">
        <f>IF(AND(WSFIQIH!$V$6&gt;=75,WSFIQIH!$V$6&lt;=83.24),"P","")</f>
        <v/>
      </c>
      <c r="FD20" s="102" t="str">
        <f>IF(AND(WSFIQIH!$V$6&gt;=83.25,WSFIQIH!$V$6&lt;=91.4),"P","")</f>
        <v/>
      </c>
      <c r="FE20" s="102" t="str">
        <f>IF(AND(WSFIQIH!$V$6&gt;=91.5,WSFIQIH!$V$6&lt;=100),"P","")</f>
        <v>P</v>
      </c>
      <c r="FF20" t="str">
        <f>IF(WSFIQIH!$V$19&lt;74.9,"P","")</f>
        <v/>
      </c>
      <c r="FG20" s="102" t="str">
        <f>IF(AND(WSFIQIH!$V$19&gt;=75,WSFIQIH!$V$19&lt;=83.24),"P","")</f>
        <v/>
      </c>
      <c r="FH20" s="102" t="str">
        <f>IF(AND(WSFIQIH!$V$19&gt;=83.25,WSFIQIH!$V$19&lt;=91.4),"P","")</f>
        <v/>
      </c>
      <c r="FI20" s="102" t="str">
        <f>IF(AND(WSFIQIH!$V$19&gt;=91.5,WSFIQIH!$V$19&lt;=100),"P","")</f>
        <v>P</v>
      </c>
      <c r="FJ20" t="str">
        <f>IF(WSFIQIH!$V$28&lt;74.9,"P","")</f>
        <v/>
      </c>
      <c r="FK20" s="102" t="str">
        <f>IF(AND(WSFIQIH!$V$28&gt;=75,WSFIQIH!$V$28&lt;=83.24),"P","")</f>
        <v/>
      </c>
      <c r="FL20" s="102" t="str">
        <f>IF(AND(WSFIQIH!$V$28&gt;=83.25,WSFIQIH!$V$28&lt;=91.4),"P","")</f>
        <v/>
      </c>
      <c r="FM20" s="102" t="str">
        <f>IF(AND(WSFIQIH!$V$28&gt;=91.5,WSFIQIH!$V$28&lt;=100),"P","")</f>
        <v>P</v>
      </c>
      <c r="FN20" t="str">
        <f>IF(WSFIQIH!$V$41&lt;74.9,"P","")</f>
        <v/>
      </c>
      <c r="FO20" s="102" t="str">
        <f>IF(AND(WSFIQIH!$V$41&gt;=75,WSFIQIH!$V$41&lt;=83.24),"P","")</f>
        <v/>
      </c>
      <c r="FP20" s="102" t="str">
        <f>IF(AND(WSFIQIH!$V$41&gt;=83.25,WSFIQIH!$V$41&lt;=91.4),"P","")</f>
        <v/>
      </c>
      <c r="FQ20" s="102" t="str">
        <f>IF(AND(WSFIQIH!$V$41&gt;=91.5,WSFIQIH!$V$41&lt;=100),"P","")</f>
        <v>P</v>
      </c>
      <c r="FR20" t="str">
        <f>IF(WSFIQIH!$V$49&lt;74.9,"P","")</f>
        <v/>
      </c>
      <c r="FS20" s="102" t="str">
        <f>IF(AND(WSFIQIH!$V$49&gt;=75,WSFIQIH!$V$49&lt;=83.24),"P","")</f>
        <v/>
      </c>
      <c r="FT20" s="102" t="str">
        <f>IF(AND(WSFIQIH!$V$49&gt;=83.25,WSFIQIH!$V$49&lt;=91.4),"P","")</f>
        <v/>
      </c>
      <c r="FU20" s="102" t="str">
        <f>IF(AND(WSFIQIH!$V$49&gt;=91.5,WSFIQIH!$V$49&lt;=100),"P","")</f>
        <v>P</v>
      </c>
      <c r="FV20" t="str">
        <f>IF(WSFIQIH!$V$62&lt;74.9,"P","")</f>
        <v/>
      </c>
      <c r="FW20" s="102" t="str">
        <f>IF(AND(WSFIQIH!$V$62&gt;=75,WSFIQIH!$V$62&lt;=83.24),"P","")</f>
        <v/>
      </c>
      <c r="FX20" s="102" t="str">
        <f>IF(AND(WSFIQIH!$V$62&gt;=83.25,WSFIQIH!$V$62&lt;=91.4),"P","")</f>
        <v/>
      </c>
      <c r="FY20" s="102" t="str">
        <f>IF(AND(WSFIQIH!$V$62&gt;=91.5,WSFIQIH!$V$62&lt;=100),"P","")</f>
        <v>P</v>
      </c>
      <c r="FZ20" t="str">
        <f>IF(WSFIQIH!$V$71&lt;74.9,"P","")</f>
        <v/>
      </c>
      <c r="GA20" s="102" t="str">
        <f>IF(AND(WSFIQIH!$V$71&gt;=75,WSFIQIH!$V$71&lt;=83.24),"P","")</f>
        <v/>
      </c>
      <c r="GB20" s="102" t="str">
        <f>IF(AND(WSFIQIH!$V$71&gt;=83.25,WSFIQIH!$V$71&lt;=91.4),"P","")</f>
        <v>P</v>
      </c>
      <c r="GC20" s="102" t="str">
        <f>IF(AND(WSFIQIH!$V$71&gt;=91.5,WSFIQIH!$V$71&lt;=100),"P","")</f>
        <v/>
      </c>
      <c r="GD20" t="str">
        <f>IF(WSFIQIH!$V$80&lt;74.9,"P","")</f>
        <v/>
      </c>
      <c r="GE20" s="102" t="str">
        <f>IF(AND(WSFIQIH!$V$80&gt;=75,WSFIQIH!$V$80&lt;=83.24),"P","")</f>
        <v>P</v>
      </c>
      <c r="GF20" s="102" t="str">
        <f>IF(AND(WSFIQIH!$V$80&gt;=83.25,WSFIQIH!$V$80&lt;=91.4),"P","")</f>
        <v/>
      </c>
      <c r="GG20" s="102" t="str">
        <f>IF(AND(WSFIQIH!$V$80&gt;=91.5,WSFIQIH!$V$80&lt;=100),"P","")</f>
        <v/>
      </c>
      <c r="GH20" t="str">
        <f>IF(WSFIQIH!$V$88&lt;74.9,"P","")</f>
        <v/>
      </c>
      <c r="GI20" s="102" t="str">
        <f>IF(AND(WSFIQIH!$V$88&gt;=75,WSFIQIH!$V$88&lt;=83.24),"P","")</f>
        <v/>
      </c>
      <c r="GJ20" s="102" t="str">
        <f>IF(AND(WSFIQIH!$V$88&gt;=83.25,WSFIQIH!$V$88&lt;=91.4),"P","")</f>
        <v/>
      </c>
      <c r="GK20" s="102" t="str">
        <f>IF(AND(WSFIQIH!$V$88&gt;=91.5,WSFIQIH!$V$88&lt;=100),"P","")</f>
        <v/>
      </c>
      <c r="GL20" t="str">
        <f>IF(WSFIQIH!$V$96&lt;74.9,"P","")</f>
        <v/>
      </c>
      <c r="GM20" s="102" t="str">
        <f>IF(AND(WSFIQIH!$V$96&gt;=75,WSFIQIH!$V$96&lt;=83.24),"P","")</f>
        <v/>
      </c>
      <c r="GN20" s="102" t="str">
        <f>IF(AND(WSFIQIH!$V$96&gt;=83.25,WSFIQIH!$V$96&lt;=91.4),"P","")</f>
        <v/>
      </c>
      <c r="GO20" s="102" t="str">
        <f>IF(AND(WSFIQIH!$V$96&gt;=91.5,WSFIQIH!$V$96&lt;=100),"P","")</f>
        <v/>
      </c>
      <c r="GP20" t="str">
        <f>IF(WSFIQIH!$V$104&lt;74.9,"P","")</f>
        <v/>
      </c>
      <c r="GQ20" s="102" t="str">
        <f>IF(AND(WSFIQIH!$V$104&gt;=75,WSFIQIH!$V$104&lt;=83.24),"P","")</f>
        <v/>
      </c>
      <c r="GR20" s="102" t="str">
        <f>IF(AND(WSFIQIH!$V$104&gt;=83.25,WSFIQIH!$V$104&lt;=91.4),"P","")</f>
        <v/>
      </c>
      <c r="GS20" s="102" t="str">
        <f>IF(AND(WSFIQIH!$V$104&gt;=91.5,WSFIQIH!$V$104&lt;=100),"P","")</f>
        <v/>
      </c>
      <c r="GT20" t="str">
        <f>IF(WSFIQIH!$V$112&lt;74.9,"P","")</f>
        <v/>
      </c>
      <c r="GU20" s="102" t="str">
        <f>IF(AND(WSFIQIH!$V$112&gt;=75,WSFIQIH!$V$112&lt;=83.24),"P","")</f>
        <v/>
      </c>
      <c r="GV20" s="102" t="str">
        <f>IF(AND(WSFIQIH!$V$112&gt;=83.25,WSFIQIH!$V$112&lt;=91.4),"P","")</f>
        <v/>
      </c>
      <c r="GW20" s="102" t="str">
        <f>IF(AND(WSFIQIH!$V$112&gt;=91.5,WSFIQIH!$V$112&lt;=100),"P","")</f>
        <v/>
      </c>
      <c r="GX20" t="str">
        <f>IF(WSFIQIH!$V$120&lt;74.9,"P","")</f>
        <v/>
      </c>
      <c r="GY20" s="102" t="str">
        <f>IF(AND(WSFIQIH!$V$120&gt;=75,WSFIQIH!$V$120&lt;=83.24),"P","")</f>
        <v/>
      </c>
      <c r="GZ20" s="102" t="str">
        <f>IF(AND(WSFIQIH!$V$120&gt;=83.25,WSFIQIH!$V$120&lt;=91.4),"P","")</f>
        <v/>
      </c>
      <c r="HA20" s="102" t="str">
        <f>IF(AND(WSFIQIH!$V$120&gt;=91.5,WSFIQIH!$V$120&lt;=100),"P","")</f>
        <v/>
      </c>
      <c r="HB20" t="str">
        <f>IF(WSPKN!$V$6&lt;74.9,"P","")</f>
        <v/>
      </c>
      <c r="HC20" s="102" t="str">
        <f>IF(AND(WSPKN!$V$6&gt;=75,WSPKN!$V$6&lt;=83.24),"P","")</f>
        <v/>
      </c>
      <c r="HD20" s="102" t="str">
        <f>IF(AND(WSPKN!$V$6&gt;=83.25,WSPKN!$V$6&lt;=91.4),"P","")</f>
        <v/>
      </c>
      <c r="HE20" s="102" t="str">
        <f>IF(AND(WSPKN!$V$6&gt;=91.5,WSPKN!$V$6&lt;=100),"P","")</f>
        <v>P</v>
      </c>
      <c r="HF20" t="str">
        <f>IF(WSPKN!$V$32&lt;74.9,"P","")</f>
        <v/>
      </c>
      <c r="HG20" s="102" t="str">
        <f>IF(AND(WSPKN!$V$32&gt;=75,WSPKN!$V$32&lt;=83.24),"P","")</f>
        <v/>
      </c>
      <c r="HH20" s="102" t="str">
        <f>IF(AND(WSPKN!$V$32&gt;=83.25,WSPKN!$V$32&lt;=91.4),"P","")</f>
        <v/>
      </c>
      <c r="HI20" s="102" t="str">
        <f>IF(AND(WSPKN!$V$32&gt;=91.5,WSPKN!$V$32&lt;=100),"P","")</f>
        <v>P</v>
      </c>
      <c r="HJ20" t="str">
        <f>IF(WSPKN!$V$55&lt;74.9,"P","")</f>
        <v/>
      </c>
      <c r="HK20" s="102" t="str">
        <f>IF(AND(WSPKN!$V$55&gt;=75,WSPKN!$V$55&lt;=83.24),"P","")</f>
        <v/>
      </c>
      <c r="HL20" s="102" t="str">
        <f>IF(AND(WSPKN!$V$55&gt;=83.25,WSPKN!$V$55&lt;=91.4),"P","")</f>
        <v/>
      </c>
      <c r="HM20" s="102" t="str">
        <f>IF(AND(WSPKN!$V$55&gt;=91.5,WSPKN!$V$55&lt;=100),"P","")</f>
        <v>P</v>
      </c>
      <c r="HN20" t="str">
        <f>IF(WSPKN!$V$72&lt;74.9,"P","")</f>
        <v/>
      </c>
      <c r="HO20" s="102" t="str">
        <f>IF(AND(WSPKN!$V$72&gt;=75,WSPKN!$V$72&lt;=83.24),"P","")</f>
        <v/>
      </c>
      <c r="HP20" s="102" t="str">
        <f>IF(AND(WSPKN!$V$72&gt;=83.25,WSPKN!$V$72&lt;=91.4),"P","")</f>
        <v/>
      </c>
      <c r="HQ20" s="102" t="str">
        <f>IF(AND(WSPKN!$V$72&gt;=91.5,WSPKN!$V$72&lt;=100),"P","")</f>
        <v>P</v>
      </c>
      <c r="HR20" t="str">
        <f>IF(WSPKN!$V$86&lt;74.9,"P","")</f>
        <v/>
      </c>
      <c r="HS20" s="102" t="str">
        <f>IF(AND(WSPKN!$V$86&gt;=75,WSPKN!$V$86&lt;=83.24),"P","")</f>
        <v/>
      </c>
      <c r="HT20" s="102" t="str">
        <f>IF(AND(WSPKN!$V$86&gt;=83.25,WSPKN!$V$86&lt;=91.4),"P","")</f>
        <v/>
      </c>
      <c r="HU20" s="102" t="str">
        <f>IF(AND(WSPKN!$V$86&gt;=91.5,WSPKN!$V$86&lt;=100),"P","")</f>
        <v>P</v>
      </c>
      <c r="HV20" t="str">
        <f>IF(WSPKN!$V$108&lt;74.9,"P","")</f>
        <v/>
      </c>
      <c r="HW20" s="102" t="str">
        <f>IF(AND(WSPKN!$V$108&gt;=75,WSPKN!$V$108&lt;=83.24),"P","")</f>
        <v/>
      </c>
      <c r="HX20" s="102" t="str">
        <f>IF(AND(WSPKN!$V$108&gt;=83.25,WSPKN!$V$108&lt;=91.4),"P","")</f>
        <v/>
      </c>
      <c r="HY20" s="102" t="str">
        <f>IF(AND(WSPKN!$V$108&gt;=91.5,WSPKN!$V$108&lt;=100),"P","")</f>
        <v>P</v>
      </c>
      <c r="HZ20" t="str">
        <f>IF(WSPKN!$V$132&lt;74.9,"P","")</f>
        <v/>
      </c>
      <c r="IA20" s="102" t="str">
        <f>IF(AND(WSPKN!$V$132&gt;=75,WSPKN!$V$132&lt;=83.24),"P","")</f>
        <v/>
      </c>
      <c r="IB20" s="102" t="str">
        <f>IF(AND(WSPKN!$V$132&gt;=83.25,WSPKN!$V$132&lt;=91.4),"P","")</f>
        <v/>
      </c>
      <c r="IC20" s="102" t="str">
        <f>IF(AND(WSPKN!$V$132&gt;=91.5,WSPKN!$V$132&lt;=100),"P","")</f>
        <v>P</v>
      </c>
      <c r="ID20" t="str">
        <f>IF(WSPKN!$V$148&lt;74.9,"P","")</f>
        <v/>
      </c>
      <c r="IE20" s="102" t="str">
        <f>IF(AND(WSPKN!$V$148&gt;=75,WSPKN!$V$148&lt;=83.24),"P","")</f>
        <v/>
      </c>
      <c r="IF20" s="102" t="str">
        <f>IF(AND(WSPKN!$V$148&gt;=83.25,WSPKN!$V$148&lt;=91.4),"P","")</f>
        <v/>
      </c>
      <c r="IG20" s="102" t="str">
        <f>IF(AND(WSPKN!$V$148&gt;=91.5,WSPKN!$V$148&lt;=100),"P","")</f>
        <v>P</v>
      </c>
      <c r="IH20" t="str">
        <f>IF(WSPKN!$V$165&lt;74.9,"P","")</f>
        <v/>
      </c>
      <c r="II20" s="102" t="str">
        <f>IF(AND(WSPKN!$V$165&gt;=75,WSPKN!$V$165&lt;=83.24),"P","")</f>
        <v/>
      </c>
      <c r="IJ20" s="102" t="str">
        <f>IF(AND(WSPKN!$V$165&gt;=83.25,WSPKN!$V$165&lt;=91.4),"P","")</f>
        <v/>
      </c>
      <c r="IK20" s="102" t="str">
        <f>IF(AND(WSPKN!$V$165&gt;=91.5,WSPKN!$V$165&lt;=100),"P","")</f>
        <v/>
      </c>
      <c r="IL20" t="str">
        <f>IF(WSPKN!$V$173&lt;74.9,"P","")</f>
        <v/>
      </c>
      <c r="IM20" s="102" t="str">
        <f>IF(AND(WSPKN!$V$173&gt;=75,WSPKN!$V$173&lt;=83.24),"P","")</f>
        <v/>
      </c>
      <c r="IN20" s="102" t="str">
        <f>IF(AND(WSPKN!$V$173&gt;=83.25,WSPKN!$V$173&lt;=91.4),"P","")</f>
        <v/>
      </c>
      <c r="IO20" s="102" t="str">
        <f>IF(AND(WSPKN!$V$173&gt;=91.5,WSPKN!$V$173&lt;=100),"P","")</f>
        <v/>
      </c>
      <c r="IP20" t="str">
        <f>IF(WSPKN!$V$181&lt;74.9,"P","")</f>
        <v/>
      </c>
      <c r="IQ20" s="102" t="str">
        <f>IF(AND(WSPKN!$V$181&gt;=75,WSPKN!$V$181&lt;=83.24),"P","")</f>
        <v/>
      </c>
      <c r="IR20" s="102" t="str">
        <f>IF(AND(WSPKN!$V$181&gt;=83.25,WSPKN!$V$181&lt;=91.4),"P","")</f>
        <v/>
      </c>
      <c r="IS20" s="102" t="str">
        <f>IF(AND(WSPKN!$V$181&gt;=91.5,WSPKN!$V$181&lt;=100),"P","")</f>
        <v/>
      </c>
      <c r="IT20" t="str">
        <f>IF(WSPKN!$V$189&lt;74.9,"P","")</f>
        <v/>
      </c>
      <c r="IU20" s="102" t="str">
        <f>IF(AND(WSPKN!$V$189&gt;=75,WSPKN!$V$189&lt;=83.24),"P","")</f>
        <v/>
      </c>
      <c r="IV20" s="102" t="str">
        <f>IF(AND(WSPKN!$V$189&gt;=83.25,WSPKN!$V$189&lt;=91.4),"P","")</f>
        <v/>
      </c>
      <c r="IW20" s="102" t="str">
        <f>IF(AND(WSPKN!$V$189&gt;=91.5,WSPKN!$V$189&lt;=100),"P","")</f>
        <v/>
      </c>
      <c r="IX20" t="str">
        <f>IF(WSPKN!$V$197&lt;74.9,"P","")</f>
        <v/>
      </c>
      <c r="IY20" s="102" t="str">
        <f>IF(AND(WSPKN!$V$197&gt;=75,WSPKN!$V$197&lt;=83.24),"P","")</f>
        <v/>
      </c>
      <c r="IZ20" s="102" t="str">
        <f>IF(AND(WSPKN!$V$197&gt;=83.25,WSPKN!$V$197&lt;=91.4),"P","")</f>
        <v/>
      </c>
      <c r="JA20" s="102" t="str">
        <f>IF(AND(WSPKN!$V$197&gt;=91.5,WSPKN!$V$197&lt;=100),"P","")</f>
        <v/>
      </c>
      <c r="JB20" t="str">
        <f>IF(WSIND!$V$6&lt;74.9,"P","")</f>
        <v/>
      </c>
      <c r="JC20" s="102" t="str">
        <f>IF(AND(WSIND!$V$6&gt;=75,WSIND!$V$6&lt;=83.24),"P","")</f>
        <v/>
      </c>
      <c r="JD20" s="102" t="str">
        <f>IF(AND(WSIND!$V$6&gt;=83.25,WSIND!$V$6&lt;=91.4),"P","")</f>
        <v/>
      </c>
      <c r="JE20" s="102" t="str">
        <f>IF(AND(WSIND!$V$6&gt;=91.5,WSIND!$V$6&lt;=100),"P","")</f>
        <v>P</v>
      </c>
      <c r="JF20" t="str">
        <f>IF(WSIND!$V$65&lt;74.9,"P","")</f>
        <v/>
      </c>
      <c r="JG20" s="102" t="str">
        <f>IF(AND(WSIND!$V$65&gt;=75,WSIND!$V$65&lt;=83.24),"P","")</f>
        <v/>
      </c>
      <c r="JH20" s="102" t="str">
        <f>IF(AND(WSIND!$V$65&gt;=83.25,WSIND!$V$65&lt;=91.4),"P","")</f>
        <v/>
      </c>
      <c r="JI20" s="102" t="str">
        <f>IF(AND(WSIND!$V$65&gt;=91.5,WSIND!$V$65&lt;=100),"P","")</f>
        <v>P</v>
      </c>
      <c r="JJ20" t="str">
        <f>IF(WSIND!$V$113&lt;74.9,"P","")</f>
        <v/>
      </c>
      <c r="JK20" s="102" t="str">
        <f>IF(AND(WSIND!$V$113&gt;=75,WSIND!$V$113&lt;=83.24),"P","")</f>
        <v/>
      </c>
      <c r="JL20" s="102" t="str">
        <f>IF(AND(WSIND!$V$113&gt;=83.25,WSIND!$V$113&lt;=91.4),"P","")</f>
        <v/>
      </c>
      <c r="JM20" s="102" t="str">
        <f>IF(AND(WSIND!$V$113&gt;=91.5,WSIND!$V$113&lt;=100),"P","")</f>
        <v>P</v>
      </c>
      <c r="JN20" t="str">
        <f>IF(WSIND!$V$133&lt;74.9,"P","")</f>
        <v/>
      </c>
      <c r="JO20" s="102" t="str">
        <f>IF(AND(WSIND!$V$133&gt;=75,WSIND!$V$133&lt;=83.24),"P","")</f>
        <v/>
      </c>
      <c r="JP20" s="102" t="str">
        <f>IF(AND(WSIND!$V$133&gt;=83.25,WSIND!$V$133&lt;=91.4),"P","")</f>
        <v/>
      </c>
      <c r="JQ20" s="102" t="str">
        <f>IF(AND(WSIND!$V$133&gt;=91.5,WSIND!$V$133&lt;=100),"P","")</f>
        <v>P</v>
      </c>
      <c r="JR20" t="str">
        <f>IF(WSIND!$V$161&lt;74.9,"P","")</f>
        <v/>
      </c>
      <c r="JS20" s="102" t="str">
        <f>IF(AND(WSIND!$V$161&gt;=75,WSIND!$V$161&lt;=83.24),"P","")</f>
        <v/>
      </c>
      <c r="JT20" s="102" t="str">
        <f>IF(AND(WSIND!$V$161&gt;=83.25,WSIND!$V$161&lt;=91.4),"P","")</f>
        <v/>
      </c>
      <c r="JU20" s="102" t="str">
        <f>IF(AND(WSIND!$V$161&gt;=91.5,WSIND!$V$161&lt;=100),"P","")</f>
        <v>P</v>
      </c>
      <c r="JV20" t="str">
        <f>IF(WSIND!$V$192&lt;74.9,"P","")</f>
        <v/>
      </c>
      <c r="JW20" s="102" t="str">
        <f>IF(AND(WSIND!$V$192&gt;=75,WSIND!$V$192&lt;=83.24),"P","")</f>
        <v/>
      </c>
      <c r="JX20" s="102" t="str">
        <f>IF(AND(WSIND!$V$192&gt;=83.25,WSIND!$V$192&lt;=91.4),"P","")</f>
        <v/>
      </c>
      <c r="JY20" s="102" t="str">
        <f>IF(AND(WSIND!$V$192&gt;=91.5,WSIND!$V$192&lt;=100),"P","")</f>
        <v>P</v>
      </c>
      <c r="JZ20" t="str">
        <f>IF(WSIND!$V$228&lt;74.9,"P","")</f>
        <v/>
      </c>
      <c r="KA20" s="102" t="str">
        <f>IF(AND(WSIND!$V$228&gt;=75,WSIND!$V$228&lt;=83.24),"P","")</f>
        <v/>
      </c>
      <c r="KB20" s="102" t="str">
        <f>IF(AND(WSIND!$V$228&gt;=83.25,WSIND!$V$228&lt;=91.4),"P","")</f>
        <v/>
      </c>
      <c r="KC20" s="102" t="str">
        <f>IF(AND(WSIND!$V$228&gt;=91.5,WSIND!$V$228&lt;=100),"P","")</f>
        <v>P</v>
      </c>
      <c r="KD20" t="str">
        <f>IF(WSIND!$V$256&lt;74.9,"P","")</f>
        <v/>
      </c>
      <c r="KE20" s="102" t="str">
        <f>IF(AND(WSIND!$V$256&gt;=75,WSIND!$V$256&lt;=83.24),"P","")</f>
        <v/>
      </c>
      <c r="KF20" s="102" t="str">
        <f>IF(AND(WSIND!$V$256&gt;=83.25,WSIND!$V$256&lt;=91.4),"P","")</f>
        <v/>
      </c>
      <c r="KG20" s="102" t="str">
        <f>IF(AND(WSIND!$V$256&gt;=91.5,WSIND!$V$256&lt;=100),"P","")</f>
        <v>P</v>
      </c>
      <c r="KH20" t="str">
        <f>IF(WSIND!$V$277&lt;74.9,"P","")</f>
        <v/>
      </c>
      <c r="KI20" s="102" t="str">
        <f>IF(AND(WSIND!$V$277&gt;=75,WSIND!$V$277&lt;=83.24),"P","")</f>
        <v/>
      </c>
      <c r="KJ20" s="102" t="str">
        <f>IF(AND(WSIND!$V$277&gt;=83.25,WSIND!$V$277&lt;=91.4),"P","")</f>
        <v/>
      </c>
      <c r="KK20" s="102" t="str">
        <f>IF(AND(WSIND!$V$277&gt;=91.5,WSIND!$V$277&lt;=100),"P","")</f>
        <v>P</v>
      </c>
      <c r="KL20" t="str">
        <f>IF(WSIND!$V$305&lt;74.9,"P","")</f>
        <v/>
      </c>
      <c r="KM20" s="102" t="str">
        <f>IF(AND(WSIND!$V$305&gt;=75,WSIND!$V$305&lt;=83.24),"P","")</f>
        <v/>
      </c>
      <c r="KN20" s="102" t="str">
        <f>IF(AND(WSIND!$V$305&gt;=83.25,WSIND!$V$305&lt;=91.4),"P","")</f>
        <v/>
      </c>
      <c r="KO20" s="102" t="str">
        <f>IF(AND(WSIND!$V$305&gt;=91.5,WSIND!$V$305&lt;=100),"P","")</f>
        <v>P</v>
      </c>
      <c r="KP20" t="str">
        <f>IF(WSIND!$V$329&lt;74.9,"P","")</f>
        <v/>
      </c>
      <c r="KQ20" s="102" t="str">
        <f>IF(AND(WSIND!$V$329&gt;=75,WSIND!$V$329&lt;=83.24),"P","")</f>
        <v/>
      </c>
      <c r="KR20" s="102" t="str">
        <f>IF(AND(WSIND!$V$329&gt;=83.25,WSIND!$V$329&lt;=91.4),"P","")</f>
        <v/>
      </c>
      <c r="KS20" s="102" t="str">
        <f>IF(AND(WSIND!$V$329&gt;=91.5,WSIND!$V$329&lt;=100),"P","")</f>
        <v/>
      </c>
      <c r="KT20" t="str">
        <f>IF(WSIND!$V$337&lt;74.9,"P","")</f>
        <v/>
      </c>
      <c r="KU20" s="102" t="str">
        <f>IF(AND(WSIND!$V$337&gt;=75,WSIND!$V$337&lt;=83.24),"P","")</f>
        <v/>
      </c>
      <c r="KV20" s="102" t="str">
        <f>IF(AND(WSIND!$V$337&gt;=83.25,WSIND!$V$337&lt;=91.4),"P","")</f>
        <v/>
      </c>
      <c r="KW20" s="102" t="str">
        <f>IF(AND(WSIND!$V$337&gt;=91.5,WSIND!$V$337&lt;=100),"P","")</f>
        <v/>
      </c>
      <c r="KX20" t="str">
        <f>IF(WSIND!$V$345&lt;74.9,"P","")</f>
        <v/>
      </c>
      <c r="KY20" s="102" t="str">
        <f>IF(AND(WSIND!$V$345&gt;=75,WSIND!$V$345&lt;=83.24),"P","")</f>
        <v/>
      </c>
      <c r="KZ20" s="102" t="str">
        <f>IF(AND(WSIND!$V$345&gt;=83.25,WSIND!$V$345&lt;=91.4),"P","")</f>
        <v/>
      </c>
      <c r="LA20" s="102" t="str">
        <f>IF(AND(WSIND!$V$345&gt;=91.5,WSIND!$V$345&lt;=100),"P","")</f>
        <v/>
      </c>
      <c r="LB20" t="str">
        <f>IF(WSARAB!$V$6&lt;74.9,"P","")</f>
        <v/>
      </c>
      <c r="LC20" s="102" t="str">
        <f>IF(AND(WSARAB!$V$6&gt;=75,WSARAB!$V$6&lt;=83.24),"P","")</f>
        <v/>
      </c>
      <c r="LD20" s="102" t="str">
        <f>IF(AND(WSARAB!$V$6&gt;=83.25,WSARAB!$V$6&lt;=91.4),"P","")</f>
        <v/>
      </c>
      <c r="LE20" s="102" t="str">
        <f>IF(AND(WSARAB!$V$6&gt;=91.5,WSARAB!$V$6&lt;=100),"P","")</f>
        <v/>
      </c>
      <c r="LF20" t="str">
        <f>IF(WSARAB!$V$17&lt;74.9,"P","")</f>
        <v/>
      </c>
      <c r="LG20" s="102" t="str">
        <f>IF(AND(WSARAB!$V$17&gt;=75,WSARAB!$V$17&lt;=83.24),"P","")</f>
        <v/>
      </c>
      <c r="LH20" s="102" t="str">
        <f>IF(AND(WSARAB!$V$17&gt;=83.25,WSARAB!$V$17&lt;=91.4),"P","")</f>
        <v/>
      </c>
      <c r="LI20" s="102" t="str">
        <f>IF(AND(WSARAB!$V$17&gt;=91.5,WSARAB!$V$17&lt;=100),"P","")</f>
        <v/>
      </c>
      <c r="LJ20" t="str">
        <f>IF(WSARAB!$V$29&lt;74.9,"P","")</f>
        <v/>
      </c>
      <c r="LK20" s="102" t="str">
        <f>IF(AND(WSARAB!$V$29&gt;=75,WSARAB!$V$29&lt;=83.24),"P","")</f>
        <v/>
      </c>
      <c r="LL20" s="102" t="str">
        <f>IF(AND(WSARAB!$V$29&gt;=83.25,WSARAB!$V$29&lt;=91.4),"P","")</f>
        <v/>
      </c>
      <c r="LM20" s="102" t="str">
        <f>IF(AND(WSARAB!$V$29&gt;=91.5,WSARAB!$V$29&lt;=100),"P","")</f>
        <v/>
      </c>
      <c r="LN20" t="str">
        <f>IF(WSARAB!$V$37&lt;74.9,"P","")</f>
        <v/>
      </c>
      <c r="LO20" s="102" t="str">
        <f>IF(AND(WSARAB!$V$37&gt;=75,WSARAB!$V$37&lt;=83.24),"P","")</f>
        <v/>
      </c>
      <c r="LP20" s="102" t="str">
        <f>IF(AND(WSARAB!$V$37&gt;=83.25,WSARAB!$V$37&lt;=91.4),"P","")</f>
        <v/>
      </c>
      <c r="LQ20" s="102" t="str">
        <f>IF(AND(WSARAB!$V$37&gt;=91.5,WSARAB!$V$37&lt;=100),"P","")</f>
        <v/>
      </c>
      <c r="LR20" t="str">
        <f>IF(WSARAB!$V$45&lt;74.9,"P","")</f>
        <v/>
      </c>
      <c r="LS20" s="102" t="str">
        <f>IF(AND(WSARAB!$V$45&gt;=75,WSARAB!$V$45&lt;=83.24),"P","")</f>
        <v/>
      </c>
      <c r="LT20" s="102" t="str">
        <f>IF(AND(WSARAB!$V$45&gt;=83.25,WSARAB!$V$45&lt;=91.4),"P","")</f>
        <v/>
      </c>
      <c r="LU20" s="102" t="str">
        <f>IF(AND(WSARAB!$V$45&gt;=91.5,WSARAB!$V$45&lt;=100),"P","")</f>
        <v/>
      </c>
      <c r="LV20" t="str">
        <f>IF(WSARAB!$V$53&lt;74.9,"P","")</f>
        <v/>
      </c>
      <c r="LW20" s="102" t="str">
        <f>IF(AND(WSARAB!$V$53&gt;=75,WSARAB!$V$53&lt;=83.24),"P","")</f>
        <v/>
      </c>
      <c r="LX20" s="102" t="str">
        <f>IF(AND(WSARAB!$V$53&gt;=83.25,WSARAB!$V$53&lt;=91.4),"P","")</f>
        <v/>
      </c>
      <c r="LY20" s="102" t="str">
        <f>IF(AND(WSARAB!$V$53&gt;=91.5,WSARAB!$V$53&lt;=100),"P","")</f>
        <v/>
      </c>
      <c r="LZ20" t="str">
        <f>IF(WSARAB!$V$65&lt;74.9,"P","")</f>
        <v/>
      </c>
      <c r="MA20" s="102" t="str">
        <f>IF(AND(WSARAB!$V$65&gt;=75,WSARAB!$V$65&lt;=83.24),"P","")</f>
        <v/>
      </c>
      <c r="MB20" s="102" t="str">
        <f>IF(AND(WSARAB!$V$65&gt;=83.25,WSARAB!$V$65&lt;=91.4),"P","")</f>
        <v/>
      </c>
      <c r="MC20" s="102" t="str">
        <f>IF(AND(WSARAB!$V$65&gt;=91.5,WSARAB!$V$65&lt;=100),"P","")</f>
        <v/>
      </c>
      <c r="MD20" t="str">
        <f>IF(WSARAB!$V$73&lt;74.9,"P","")</f>
        <v/>
      </c>
      <c r="ME20" s="102" t="str">
        <f>IF(AND(WSARAB!$V$73&gt;=75,WSARAB!$V$73&lt;=83.24),"P","")</f>
        <v/>
      </c>
      <c r="MF20" s="102" t="str">
        <f>IF(AND(WSARAB!$V$73&gt;=83.25,WSARAB!$V$73&lt;=91.4),"P","")</f>
        <v/>
      </c>
      <c r="MG20" s="102" t="str">
        <f>IF(AND(WSARAB!$V$73&gt;=91.5,WSARAB!$V$73&lt;=100),"P","")</f>
        <v/>
      </c>
      <c r="MH20" t="str">
        <f>IF(WSARAB!$V$81&lt;74.9,"P","")</f>
        <v/>
      </c>
      <c r="MI20" s="102" t="str">
        <f>IF(AND(WSARAB!$V$81&gt;=75,WSARAB!$V$81&lt;=83.24),"P","")</f>
        <v/>
      </c>
      <c r="MJ20" s="102" t="str">
        <f>IF(AND(WSARAB!$V$81&gt;=83.25,WSARAB!$V$81&lt;=91.4),"P","")</f>
        <v/>
      </c>
      <c r="MK20" s="102" t="str">
        <f>IF(AND(WSARAB!$V$81&gt;=91.5,WSARAB!$V$81&lt;=100),"P","")</f>
        <v/>
      </c>
      <c r="ML20" t="str">
        <f>IF(WSARAB!$V$89&lt;74.9,"P","")</f>
        <v/>
      </c>
      <c r="MM20" s="102" t="str">
        <f>IF(AND(WSARAB!$V$89&gt;=75,WSARAB!$V$89&lt;=83.24),"P","")</f>
        <v/>
      </c>
      <c r="MN20" s="102" t="str">
        <f>IF(AND(WSARAB!$V$89&gt;=83.25,WSARAB!$V$89&lt;=91.4),"P","")</f>
        <v/>
      </c>
      <c r="MO20" s="102" t="str">
        <f>IF(AND(WSARAB!$V$89&gt;=91.5,WSARAB!$V$89&lt;=100),"P","")</f>
        <v/>
      </c>
      <c r="MP20" t="str">
        <f>IF(WSARAB!$V$97&lt;74.9,"P","")</f>
        <v/>
      </c>
      <c r="MQ20" s="102" t="str">
        <f>IF(AND(WSARAB!$V$97&gt;=75,WSARAB!$V$97&lt;=83.24),"P","")</f>
        <v/>
      </c>
      <c r="MR20" s="102" t="str">
        <f>IF(AND(WSARAB!$V$97&gt;=83.25,WSARAB!$V$97&lt;=91.4),"P","")</f>
        <v/>
      </c>
      <c r="MS20" s="102" t="str">
        <f>IF(AND(WSARAB!$V$97&gt;=91.5,WSARAB!$V$97&lt;=100),"P","")</f>
        <v/>
      </c>
      <c r="MT20" t="str">
        <f>IF(WSARAB!$V$105&lt;74.9,"P","")</f>
        <v/>
      </c>
      <c r="MU20" s="102" t="str">
        <f>IF(AND(WSARAB!$V$105&gt;=75,WSARAB!$V$105&lt;=83.24),"P","")</f>
        <v/>
      </c>
      <c r="MV20" s="102" t="str">
        <f>IF(AND(WSARAB!$V$105&gt;=83.25,WSARAB!$V$105&lt;=91.4),"P","")</f>
        <v/>
      </c>
      <c r="MW20" s="102" t="str">
        <f>IF(AND(WSARAB!$V$105&gt;=91.5,WSARAB!$V$105&lt;=100),"P","")</f>
        <v/>
      </c>
      <c r="MX20" t="str">
        <f>IF(WSARAB!$V$113&lt;74.9,"P","")</f>
        <v/>
      </c>
      <c r="MY20" s="102" t="str">
        <f>IF(AND(WSARAB!$V$113&gt;=75,WSARAB!$V$113&lt;=83.24),"P","")</f>
        <v/>
      </c>
      <c r="MZ20" s="102" t="str">
        <f>IF(AND(WSARAB!$V$113&gt;=83.25,WSARAB!$V$113&lt;=91.4),"P","")</f>
        <v/>
      </c>
      <c r="NA20" s="102" t="str">
        <f>IF(AND(WSARAB!$V$113&gt;=91.5,WSARAB!$V$113&lt;=100),"P","")</f>
        <v/>
      </c>
      <c r="NB20" t="str">
        <f>IF(WSMTK!$V$6&lt;74.9,"P","")</f>
        <v/>
      </c>
      <c r="NC20" s="102" t="str">
        <f>IF(AND(WSMTK!$V$6&gt;=75,WSMTK!$V$6&lt;=83.24),"P","")</f>
        <v/>
      </c>
      <c r="ND20" s="102" t="str">
        <f>IF(AND(WSMTK!$V$6&gt;=83.25,WSMTK!$V$6&lt;=91.4),"P","")</f>
        <v/>
      </c>
      <c r="NE20" s="102" t="str">
        <f>IF(AND(WSMTK!$V$6&gt;=91.5,WSMTK!$V$6&lt;=100),"P","")</f>
        <v>P</v>
      </c>
      <c r="NF20" t="str">
        <f>IF(WSMTK!$V$22&lt;74.9,"P","")</f>
        <v/>
      </c>
      <c r="NG20" s="102" t="str">
        <f>IF(AND(WSMTK!$V$22&gt;=75,WSMTK!$V$22&lt;=83.24),"P","")</f>
        <v/>
      </c>
      <c r="NH20" s="102" t="str">
        <f>IF(AND(WSMTK!$V$22&gt;=83.25,WSMTK!$V$22&lt;=91.4),"P","")</f>
        <v/>
      </c>
      <c r="NI20" s="102" t="str">
        <f>IF(AND(WSMTK!$V$22&gt;=91.5,WSMTK!$V$22&lt;=100),"P","")</f>
        <v>P</v>
      </c>
      <c r="NJ20" t="str">
        <f>IF(WSMTK!$V$35&lt;74.9,"P","")</f>
        <v/>
      </c>
      <c r="NK20" s="102" t="str">
        <f>IF(AND(WSMTK!$V$35&gt;=75,WSMTK!$V$35&lt;=83.24),"P","")</f>
        <v/>
      </c>
      <c r="NL20" s="102" t="str">
        <f>IF(AND(WSMTK!$V$35&gt;=83.25,WSMTK!$V$35&lt;=91.4),"P","")</f>
        <v/>
      </c>
      <c r="NM20" s="102" t="str">
        <f>IF(AND(WSMTK!$V$35&gt;=91.5,WSMTK!$V$35&lt;=100),"P","")</f>
        <v>P</v>
      </c>
      <c r="NN20" t="str">
        <f>IF(WSMTK!$V$69&lt;74.9,"P","")</f>
        <v/>
      </c>
      <c r="NO20" s="102" t="str">
        <f>IF(AND(WSMTK!$V$69&gt;=75,WSMTK!$V$69&lt;=83.24),"P","")</f>
        <v/>
      </c>
      <c r="NP20" s="102" t="str">
        <f>IF(AND(WSMTK!$V$69&gt;=83.25,WSMTK!$V$69&lt;=91.4),"P","")</f>
        <v/>
      </c>
      <c r="NQ20" s="102" t="str">
        <f>IF(AND(WSMTK!$V$69&gt;=91.5,WSMTK!$V$69&lt;=100),"P","")</f>
        <v>P</v>
      </c>
      <c r="NR20" t="str">
        <f>IF(WSMTK!$V$87&lt;74.9,"P","")</f>
        <v/>
      </c>
      <c r="NS20" s="102" t="str">
        <f>IF(AND(WSMTK!$V$87&gt;=75,WSMTK!$V$87&lt;=83.24),"P","")</f>
        <v/>
      </c>
      <c r="NT20" s="102" t="str">
        <f>IF(AND(WSMTK!$V$87&gt;=83.25,WSMTK!$V$87&lt;=91.4),"P","")</f>
        <v/>
      </c>
      <c r="NU20" s="102" t="str">
        <f>IF(AND(WSMTK!$V$87&gt;=91.5,WSMTK!$V$87&lt;=100),"P","")</f>
        <v>P</v>
      </c>
      <c r="NV20" t="str">
        <f>IF(WSMTK!$V$99&lt;74.9,"P","")</f>
        <v/>
      </c>
      <c r="NW20" s="102" t="str">
        <f>IF(AND(WSMTK!$V$99&gt;=75,WSMTK!$V$99&lt;=83.24),"P","")</f>
        <v/>
      </c>
      <c r="NX20" s="102" t="str">
        <f>IF(AND(WSMTK!$V$99&gt;=83.25,WSMTK!$V$99&lt;=91.4),"P","")</f>
        <v/>
      </c>
      <c r="NY20" s="102" t="str">
        <f>IF(AND(WSMTK!$V$99&gt;=91.5,WSMTK!$V$99&lt;=100),"P","")</f>
        <v>P</v>
      </c>
      <c r="NZ20" t="str">
        <f>IF(WSMTK!$V$113&lt;74.9,"P","")</f>
        <v/>
      </c>
      <c r="OA20" s="102" t="str">
        <f>IF(AND(WSMTK!$V$113&gt;=75,WSMTK!$V$113&lt;=83.24),"P","")</f>
        <v/>
      </c>
      <c r="OB20" s="102" t="str">
        <f>IF(AND(WSMTK!$V$113&gt;=83.25,WSMTK!$V$113&lt;=91.4),"P","")</f>
        <v/>
      </c>
      <c r="OC20" s="102" t="str">
        <f>IF(AND(WSMTK!$V$113&gt;=91.5,WSMTK!$V$113&lt;=100),"P","")</f>
        <v>P</v>
      </c>
      <c r="OD20" t="str">
        <f>IF(WSMTK!$V$145&lt;74.9,"P","")</f>
        <v/>
      </c>
      <c r="OE20" s="102" t="str">
        <f>IF(AND(WSMTK!$V$145&gt;=75,WSMTK!$V$145&lt;=83.24),"P","")</f>
        <v/>
      </c>
      <c r="OF20" s="102" t="str">
        <f>IF(AND(WSMTK!$V$145&gt;=83.25,WSMTK!$V$145&lt;=91.4),"P","")</f>
        <v/>
      </c>
      <c r="OG20" s="102" t="str">
        <f>IF(AND(WSMTK!$V$145&gt;=91.5,WSMTK!$V$145&lt;=100),"P","")</f>
        <v>P</v>
      </c>
      <c r="OH20" t="str">
        <f>IF(WSMTK!$V$168&lt;74.9,"P","")</f>
        <v/>
      </c>
      <c r="OI20" s="102" t="str">
        <f>IF(AND(WSMTK!$V$168&gt;=75,WSMTK!$V$168&lt;=83.24),"P","")</f>
        <v/>
      </c>
      <c r="OJ20" s="102" t="str">
        <f>IF(AND(WSMTK!$V$168&gt;=83.25,WSMTK!$V$168&lt;=91.4),"P","")</f>
        <v/>
      </c>
      <c r="OK20" s="102" t="str">
        <f>IF(AND(WSMTK!$V$168&gt;=91.5,WSMTK!$V$168&lt;=100),"P","")</f>
        <v/>
      </c>
      <c r="OL20" t="str">
        <f>IF(WSMTK!$V$176&lt;74.9,"P","")</f>
        <v/>
      </c>
      <c r="OM20" s="102" t="str">
        <f>IF(AND(WSMTK!$V$176&gt;=75,WSMTK!$V$176&lt;=83.24),"P","")</f>
        <v/>
      </c>
      <c r="ON20" s="102" t="str">
        <f>IF(AND(WSMTK!$V$176&gt;=83.25,WSMTK!$V$176&lt;=91.4),"P","")</f>
        <v/>
      </c>
      <c r="OO20" s="102" t="str">
        <f>IF(AND(WSMTK!$V$176&gt;=91.5,WSMTK!$V$176&lt;=100),"P","")</f>
        <v/>
      </c>
      <c r="OP20" t="str">
        <f>IF(WSMTK!$V$184&lt;74.9,"P","")</f>
        <v/>
      </c>
      <c r="OQ20" s="102" t="str">
        <f>IF(AND(WSMTK!$V$184&gt;=75,WSMTK!$V$184&lt;=83.24),"P","")</f>
        <v/>
      </c>
      <c r="OR20" s="102" t="str">
        <f>IF(AND(WSMTK!$V$184&gt;=83.25,WSMTK!$V$184&lt;=91.4),"P","")</f>
        <v/>
      </c>
      <c r="OS20" s="102" t="str">
        <f>IF(AND(WSMTK!$V$184&gt;=91.5,WSMTK!$V$184&lt;=100),"P","")</f>
        <v/>
      </c>
      <c r="OT20" t="str">
        <f>IF(WSMTK!$V$192&lt;74.9,"P","")</f>
        <v/>
      </c>
      <c r="OU20" s="102" t="str">
        <f>IF(AND(WSMTK!$V$192&gt;=75,WSMTK!$V$192&lt;=83.24),"P","")</f>
        <v/>
      </c>
      <c r="OV20" s="102" t="str">
        <f>IF(AND(WSMTK!$V$192&gt;=83.25,WSMTK!$V$192&lt;=91.4),"P","")</f>
        <v/>
      </c>
      <c r="OW20" s="102" t="str">
        <f>IF(AND(WSMTK!$V$192&gt;=91.5,WSMTK!$V$192&lt;=100),"P","")</f>
        <v/>
      </c>
      <c r="OX20" t="str">
        <f>IF(WSMTK!$V$200&lt;74.9,"P","")</f>
        <v/>
      </c>
      <c r="OY20" s="102" t="str">
        <f>IF(AND(WSMTK!$V$200&gt;=75,WSMTK!$V$200&lt;=83.24),"P","")</f>
        <v/>
      </c>
      <c r="OZ20" s="102" t="str">
        <f>IF(AND(WSMTK!$V$200&gt;=83.25,WSMTK!$V$200&lt;=91.4),"P","")</f>
        <v/>
      </c>
      <c r="PA20" s="102" t="str">
        <f>IF(AND(WSMTK!$V$200&gt;=91.5,WSMTK!$V$200&lt;=100),"P","")</f>
        <v/>
      </c>
      <c r="PB20" t="str">
        <f>IF(WSIPA!$V$6&lt;74.9,"P","")</f>
        <v/>
      </c>
      <c r="PC20" s="102" t="str">
        <f>IF(AND(WSIPA!$V$6&gt;=75,WSIPA!$V$6&lt;=83.24),"P","")</f>
        <v/>
      </c>
      <c r="PD20" s="102" t="str">
        <f>IF(AND(WSIPA!$V$6&gt;=83.25,WSIPA!$V$6&lt;=91.4),"P","")</f>
        <v/>
      </c>
      <c r="PE20" s="102" t="str">
        <f>IF(AND(WSIPA!$V$6&gt;=91.5,WSIPA!$V$6&lt;=100),"P","")</f>
        <v/>
      </c>
      <c r="PF20" t="str">
        <f>IF(WSIPA!$V$14&lt;74.9,"P","")</f>
        <v/>
      </c>
      <c r="PG20" s="102" t="str">
        <f>IF(AND(WSIPA!$V$14&gt;=75,WSIPA!$V$14&lt;=83.24),"P","")</f>
        <v/>
      </c>
      <c r="PH20" s="102" t="str">
        <f>IF(AND(WSIPA!$V$14&gt;=83.25,WSIPA!$V$14&lt;=91.4),"P","")</f>
        <v/>
      </c>
      <c r="PI20" s="102" t="str">
        <f>IF(AND(WSIPA!$V$14&gt;=91.5,WSIPA!$V$14&lt;=100),"P","")</f>
        <v/>
      </c>
      <c r="PJ20" t="str">
        <f>IF(WSIPA!$V$22&lt;74.9,"P","")</f>
        <v/>
      </c>
      <c r="PK20" s="102" t="str">
        <f>IF(AND(WSIPA!$V$22&gt;=75,WSIPA!$V$22&lt;=83.24),"P","")</f>
        <v/>
      </c>
      <c r="PL20" s="102" t="str">
        <f>IF(AND(WSIPA!$V$22&gt;=83.25,WSIPA!$V$22&lt;=91.4),"P","")</f>
        <v/>
      </c>
      <c r="PM20" s="102" t="str">
        <f>IF(AND(WSIPA!$V$22&gt;=91.5,WSIPA!$V$22&lt;=100),"P","")</f>
        <v/>
      </c>
      <c r="PN20" t="str">
        <f>IF(WSIPA!$V$30&lt;74.9,"P","")</f>
        <v/>
      </c>
      <c r="PO20" s="102" t="str">
        <f>IF(AND(WSIPA!$V$30&gt;=75,WSIPA!$V$30&lt;=83.24),"P","")</f>
        <v/>
      </c>
      <c r="PP20" s="102" t="str">
        <f>IF(AND(WSIPA!$V$30&gt;=83.25,WSIPA!$V$30&lt;=91.4),"P","")</f>
        <v/>
      </c>
      <c r="PQ20" s="102" t="str">
        <f>IF(AND(WSIPA!$V$30&gt;=91.5,WSIPA!$V$30&lt;=100),"P","")</f>
        <v/>
      </c>
      <c r="PR20" t="str">
        <f>IF(WSIPA!$V$38&lt;74.9,"P","")</f>
        <v/>
      </c>
      <c r="PS20" s="102" t="str">
        <f>IF(AND(WSIPA!$V$38&gt;=75,WSIPA!$V$38&lt;=83.24),"P","")</f>
        <v/>
      </c>
      <c r="PT20" s="102" t="str">
        <f>IF(AND(WSIPA!$V$38&gt;=83.25,WSIPA!$V$38&lt;=91.4),"P","")</f>
        <v/>
      </c>
      <c r="PU20" s="102" t="str">
        <f>IF(AND(WSIPA!$V$38&gt;=91.5,WSIPA!$V$38&lt;=100),"P","")</f>
        <v/>
      </c>
      <c r="PV20" t="str">
        <f>IF(WSIPA!$V$46&lt;74.9,"P","")</f>
        <v/>
      </c>
      <c r="PW20" s="102" t="str">
        <f>IF(AND(WSIPA!$V$46&gt;=75,WSIPA!$V$46&lt;=83.24),"P","")</f>
        <v/>
      </c>
      <c r="PX20" s="102" t="str">
        <f>IF(AND(WSIPA!$V$46&gt;=83.25,WSIPA!$V$46&lt;=91.4),"P","")</f>
        <v/>
      </c>
      <c r="PY20" s="102" t="str">
        <f>IF(AND(WSIPA!$V$46&gt;=91.5,WSIPA!$V$46&lt;=100),"P","")</f>
        <v/>
      </c>
      <c r="PZ20" t="str">
        <f>IF(WSIPA!$V$54&lt;74.9,"P","")</f>
        <v/>
      </c>
      <c r="QA20" s="102" t="str">
        <f>IF(AND(WSIPA!$V$54&gt;=75,WSIPA!$V$54&lt;=83.24),"P","")</f>
        <v/>
      </c>
      <c r="QB20" s="102" t="str">
        <f>IF(AND(WSIPA!$V$54&gt;=83.25,WSIPA!$V$54&lt;=91.4),"P","")</f>
        <v/>
      </c>
      <c r="QC20" s="102" t="str">
        <f>IF(AND(WSIPA!$V$54&gt;=91.5,WSIPA!$V$54&lt;=100),"P","")</f>
        <v/>
      </c>
      <c r="QD20" t="str">
        <f>IF(WSIPA!$V$62&lt;74.9,"P","")</f>
        <v/>
      </c>
      <c r="QE20" s="102" t="str">
        <f>IF(AND(WSIPA!$V$62&gt;=75,WSIPA!$V$62&lt;=83.24),"P","")</f>
        <v/>
      </c>
      <c r="QF20" s="102" t="str">
        <f>IF(AND(WSIPA!$V$62&gt;=83.25,WSIPA!$V$62&lt;=91.4),"P","")</f>
        <v/>
      </c>
      <c r="QG20" s="102" t="str">
        <f>IF(AND(WSIPA!$V$62&gt;=91.5,WSIPA!$V$62&lt;=100),"P","")</f>
        <v/>
      </c>
      <c r="QH20" t="str">
        <f>IF(WSIPA!$V$70&lt;74.9,"P","")</f>
        <v/>
      </c>
      <c r="QI20" s="102" t="str">
        <f>IF(AND(WSIPA!$V$70&gt;=75,WSIPA!$V$70&lt;=83.24),"P","")</f>
        <v/>
      </c>
      <c r="QJ20" s="102" t="str">
        <f>IF(AND(WSIPA!$V$70&gt;=83.25,WSIPA!$V$70&lt;=91.4),"P","")</f>
        <v/>
      </c>
      <c r="QK20" s="102" t="str">
        <f>IF(AND(WSIPA!$V$70&gt;=91.5,WSIPA!$V$70&lt;=100),"P","")</f>
        <v/>
      </c>
      <c r="QL20" t="str">
        <f>IF(WSIPA!$V$78&lt;74.9,"P","")</f>
        <v/>
      </c>
      <c r="QM20" s="102" t="str">
        <f>IF(AND(WSIPA!$V$78&gt;=75,WSIPA!$V$78&lt;=83.24),"P","")</f>
        <v/>
      </c>
      <c r="QN20" s="102" t="str">
        <f>IF(AND(WSIPA!$V$78&gt;=83.25,WSIPA!$V$78&lt;=91.4),"P","")</f>
        <v/>
      </c>
      <c r="QO20" s="102" t="str">
        <f>IF(AND(WSIPA!$V$78&gt;=91.5,WSIPA!$V$78&lt;=100),"P","")</f>
        <v/>
      </c>
      <c r="QP20" t="str">
        <f>IF(WSIPA!$V$86&lt;74.9,"P","")</f>
        <v/>
      </c>
      <c r="QQ20" s="102" t="str">
        <f>IF(AND(WSIPA!$V$86&gt;=75,WSIPA!$V$86&lt;=83.24),"P","")</f>
        <v/>
      </c>
      <c r="QR20" s="102" t="str">
        <f>IF(AND(WSIPA!$V$86&gt;=83.25,WSIPA!$V$86&lt;=91.4),"P","")</f>
        <v/>
      </c>
      <c r="QS20" s="102" t="str">
        <f>IF(AND(WSIPA!$V$86&gt;=91.5,WSIPA!$V$86&lt;=100),"P","")</f>
        <v/>
      </c>
      <c r="QT20" t="str">
        <f>IF(WSIPA!$V$94&lt;74.9,"P","")</f>
        <v/>
      </c>
      <c r="QU20" s="102" t="str">
        <f>IF(AND(WSIPA!$V$94&gt;=75,WSIPA!$V$94&lt;=83.24),"P","")</f>
        <v/>
      </c>
      <c r="QV20" s="102" t="str">
        <f>IF(AND(WSIPA!$V$94&gt;=83.25,WSIPA!$V$94&lt;=91.4),"P","")</f>
        <v/>
      </c>
      <c r="QW20" s="102" t="str">
        <f>IF(AND(WSIPA!$V$94&gt;=91.5,WSIPA!$V$94&lt;=100),"P","")</f>
        <v/>
      </c>
      <c r="QX20" t="str">
        <f>IF(WSIPA!$V$102&lt;74.9,"P","")</f>
        <v/>
      </c>
      <c r="QY20" s="102" t="str">
        <f>IF(AND(WSIPA!$V$102&gt;=75,WSIPA!$V$102&lt;=83.24),"P","")</f>
        <v/>
      </c>
      <c r="QZ20" s="102" t="str">
        <f>IF(AND(WSIPA!$V$102&gt;=83.25,WSIPA!$V$102&lt;=91.4),"P","")</f>
        <v/>
      </c>
      <c r="RA20" s="102" t="str">
        <f>IF(AND(WSIPA!$V$102&gt;=91.5,WSIPA!$V$102&lt;=100),"P","")</f>
        <v/>
      </c>
      <c r="RB20" t="str">
        <f>IF(WSIPS!$V$6&lt;74.9,"P","")</f>
        <v/>
      </c>
      <c r="RC20" s="102" t="str">
        <f>IF(AND(WSIPS!$V$6&gt;=75,WSIPS!$V$6&lt;=83.24),"P","")</f>
        <v/>
      </c>
      <c r="RD20" s="102" t="str">
        <f>IF(AND(WSIPS!$V$6&gt;=83.25,WSIPS!$V$6&lt;=91.4),"P","")</f>
        <v/>
      </c>
      <c r="RE20" s="102" t="str">
        <f>IF(AND(WSIPS!$V$6&gt;=91.5,WSIPS!$V$6&lt;=100),"P","")</f>
        <v/>
      </c>
      <c r="RF20" t="str">
        <f>IF(WSIPS!$V$14&lt;74.9,"P","")</f>
        <v/>
      </c>
      <c r="RG20" s="102" t="str">
        <f>IF(AND(WSIPS!$V$14&gt;=75,WSIPS!$V$14&lt;=83.24),"P","")</f>
        <v/>
      </c>
      <c r="RH20" s="102" t="str">
        <f>IF(AND(WSIPS!$V$14&gt;=83.25,WSIPS!$V$14&lt;=91.4),"P","")</f>
        <v/>
      </c>
      <c r="RI20" s="102" t="str">
        <f>IF(AND(WSIPS!$V$14&gt;=91.5,WSIPS!$V$14&lt;=100),"P","")</f>
        <v/>
      </c>
      <c r="RJ20" t="str">
        <f>IF(WSIPS!$V$22&lt;74.9,"P","")</f>
        <v/>
      </c>
      <c r="RK20" s="102" t="str">
        <f>IF(AND(WSIPS!$V$22&gt;=75,WSIPS!$V$22&lt;=83.24),"P","")</f>
        <v/>
      </c>
      <c r="RL20" s="102" t="str">
        <f>IF(AND(WSIPS!$V$22&gt;=83.25,WSIPS!$V$22&lt;=91.4),"P","")</f>
        <v/>
      </c>
      <c r="RM20" s="102" t="str">
        <f>IF(AND(WSIPS!$V$22&gt;=91.5,WSIPS!$V$22&lt;=100),"P","")</f>
        <v/>
      </c>
      <c r="RN20" t="str">
        <f>IF(WSIPS!$V$30&lt;74.9,"P","")</f>
        <v/>
      </c>
      <c r="RO20" s="102" t="str">
        <f>IF(AND(WSIPS!$V$30&gt;=75,WSIPS!$V$30&lt;=83.24),"P","")</f>
        <v/>
      </c>
      <c r="RP20" s="102" t="str">
        <f>IF(AND(WSIPS!$V$30&gt;=83.25,WSIPS!$V$30&lt;=91.4),"P","")</f>
        <v/>
      </c>
      <c r="RQ20" s="102" t="str">
        <f>IF(AND(WSIPS!$V$30&gt;=91.5,WSIPS!$V$30&lt;=100),"P","")</f>
        <v/>
      </c>
      <c r="RR20" t="str">
        <f>IF(WSIPS!$V$38&lt;74.9,"P","")</f>
        <v/>
      </c>
      <c r="RS20" s="102" t="str">
        <f>IF(AND(WSIPS!$V$38&gt;=75,WSIPS!$V$38&lt;=83.24),"P","")</f>
        <v/>
      </c>
      <c r="RT20" s="102" t="str">
        <f>IF(AND(WSIPS!$V$38&gt;=83.25,WSIPS!$V$38&lt;=91.4),"P","")</f>
        <v/>
      </c>
      <c r="RU20" s="102" t="str">
        <f>IF(AND(WSIPS!$V$38&gt;=91.5,WSIPS!$V$38&lt;=100),"P","")</f>
        <v/>
      </c>
      <c r="RV20" t="str">
        <f>IF(WSIPS!$V$46&lt;74.9,"P","")</f>
        <v/>
      </c>
      <c r="RW20" s="102" t="str">
        <f>IF(AND(WSIPS!$V$46&gt;=75,WSIPS!$V$46&lt;=83.24),"P","")</f>
        <v/>
      </c>
      <c r="RX20" s="102" t="str">
        <f>IF(AND(WSIPS!$V$46&gt;=83.25,WSIPS!$V$46&lt;=91.4),"P","")</f>
        <v/>
      </c>
      <c r="RY20" s="102" t="str">
        <f>IF(AND(WSIPS!$V$46&gt;=91.5,WSIPS!$V$46&lt;=100),"P","")</f>
        <v/>
      </c>
      <c r="RZ20" t="str">
        <f>IF(WSIPS!$V$54&lt;74.9,"P","")</f>
        <v/>
      </c>
      <c r="SA20" s="102" t="str">
        <f>IF(AND(WSIPS!$V$54&gt;=75,WSIPS!$V$54&lt;=83.24),"P","")</f>
        <v/>
      </c>
      <c r="SB20" s="102" t="str">
        <f>IF(AND(WSIPS!$V$54&gt;=83.25,WSIPS!$V$54&lt;=91.4),"P","")</f>
        <v/>
      </c>
      <c r="SC20" s="102" t="str">
        <f>IF(AND(WSIPS!$V$54&gt;=91.5,WSIPS!$V$54&lt;=100),"P","")</f>
        <v/>
      </c>
      <c r="SD20" t="str">
        <f>IF(WSIPS!$V$62&lt;74.9,"P","")</f>
        <v/>
      </c>
      <c r="SE20" s="102" t="str">
        <f>IF(AND(WSIPS!$V$62&gt;=75,WSIPS!$V$62&lt;=83.24),"P","")</f>
        <v/>
      </c>
      <c r="SF20" s="102" t="str">
        <f>IF(AND(WSIPS!$V$62&gt;=83.25,WSIPS!$V$62&lt;=91.4),"P","")</f>
        <v/>
      </c>
      <c r="SG20" s="102" t="str">
        <f>IF(AND(WSIPS!$V$62&gt;=91.5,WSIPS!$V$62&lt;=100),"P","")</f>
        <v/>
      </c>
      <c r="SH20" t="str">
        <f>IF(WSIPS!$V$70&lt;74.9,"P","")</f>
        <v/>
      </c>
      <c r="SI20" s="102" t="str">
        <f>IF(AND(WSIPS!$V$70&gt;=75,WSIPS!$V$70&lt;=83.24),"P","")</f>
        <v/>
      </c>
      <c r="SJ20" s="102" t="str">
        <f>IF(AND(WSIPS!$V$70&gt;=83.25,WSIPS!$V$70&lt;=91.4),"P","")</f>
        <v/>
      </c>
      <c r="SK20" s="102" t="str">
        <f>IF(AND(WSIPS!$V$70&gt;=91.5,WSIPS!$V$70&lt;=100),"P","")</f>
        <v/>
      </c>
      <c r="SL20" t="str">
        <f>IF(WSIPS!$V$78&lt;74.9,"P","")</f>
        <v/>
      </c>
      <c r="SM20" s="102" t="str">
        <f>IF(AND(WSIPS!$V$78&gt;=75,WSIPS!$V$78&lt;=83.24),"P","")</f>
        <v/>
      </c>
      <c r="SN20" s="102" t="str">
        <f>IF(AND(WSIPS!$V$78&gt;=83.25,WSIPS!$V$78&lt;=91.4),"P","")</f>
        <v/>
      </c>
      <c r="SO20" s="102" t="str">
        <f>IF(AND(WSIPS!$V$78&gt;=91.5,WSIPS!$V$78&lt;=100),"P","")</f>
        <v/>
      </c>
      <c r="SP20" t="str">
        <f>IF(WSIPS!$V$86&lt;74.9,"P","")</f>
        <v/>
      </c>
      <c r="SQ20" s="102" t="str">
        <f>IF(AND(WSIPS!$V$86&gt;=75,WSIPS!$V$86&lt;=83.24),"P","")</f>
        <v/>
      </c>
      <c r="SR20" s="102" t="str">
        <f>IF(AND(WSIPS!$V$86&gt;=83.25,WSIPS!$V$86&lt;=91.4),"P","")</f>
        <v/>
      </c>
      <c r="SS20" s="102" t="str">
        <f>IF(AND(WSIPS!$V$86&gt;=91.5,WSIPS!$V$86&lt;=100),"P","")</f>
        <v/>
      </c>
      <c r="ST20" t="str">
        <f>IF(WSIPS!$V$94&lt;74.9,"P","")</f>
        <v/>
      </c>
      <c r="SU20" s="102" t="str">
        <f>IF(AND(WSIPS!$V$94&gt;=75,WSIPS!$V$94&lt;=83.24),"P","")</f>
        <v/>
      </c>
      <c r="SV20" s="102" t="str">
        <f>IF(AND(WSIPS!$V$94&gt;=83.25,WSIPS!$V$94&lt;=91.4),"P","")</f>
        <v/>
      </c>
      <c r="SW20" s="102" t="str">
        <f>IF(AND(WSIPS!$V$94&gt;=91.5,WSIPS!$V$94&lt;=100),"P","")</f>
        <v/>
      </c>
      <c r="SX20" t="str">
        <f>IF(WSIPS!$V$102&lt;74.9,"P","")</f>
        <v/>
      </c>
      <c r="SY20" s="102" t="str">
        <f>IF(AND(WSIPS!$V$102&gt;=75,WSIPS!$V$102&lt;=83.24),"P","")</f>
        <v/>
      </c>
      <c r="SZ20" s="102" t="str">
        <f>IF(AND(WSIPS!$V$102&gt;=83.25,WSIPS!$V$102&lt;=91.4),"P","")</f>
        <v/>
      </c>
      <c r="TA20" s="102" t="str">
        <f>IF(AND(WSIPS!$V$102&gt;=91.5,WSIPS!$V$102&lt;=100),"P","")</f>
        <v/>
      </c>
      <c r="TB20" t="str">
        <f>IF(WSSBK!$V$6&lt;74.9,"P","")</f>
        <v/>
      </c>
      <c r="TC20" s="102" t="str">
        <f>IF(AND(WSSBK!$V$6&gt;=75,WSSBK!$V$6&lt;=83.24),"P","")</f>
        <v/>
      </c>
      <c r="TD20" s="102" t="str">
        <f>IF(AND(WSSBK!$V$6&gt;=83.25,WSSBK!$V$6&lt;=91.4),"P","")</f>
        <v/>
      </c>
      <c r="TE20" s="102" t="str">
        <f>IF(AND(WSSBK!$V$6&gt;=91.5,WSSBK!$V$6&lt;=100),"P","")</f>
        <v>P</v>
      </c>
      <c r="TF20" t="str">
        <f>IF(WSSBK!$V$16&lt;74.9,"P","")</f>
        <v/>
      </c>
      <c r="TG20" s="102" t="str">
        <f>IF(AND(WSSBK!$V$16&gt;=75,WSSBK!$V$16&lt;=83.24),"P","")</f>
        <v/>
      </c>
      <c r="TH20" s="102" t="str">
        <f>IF(AND(WSSBK!$V$16&gt;=83.25,WSSBK!$V$16&lt;=91.4),"P","")</f>
        <v/>
      </c>
      <c r="TI20" s="102" t="str">
        <f>IF(AND(WSSBK!$V$16&gt;=91.5,WSSBK!$V$16&lt;=100),"P","")</f>
        <v>P</v>
      </c>
      <c r="TJ20" t="str">
        <f>IF(WSSBK!$V$26&lt;74.9,"P","")</f>
        <v/>
      </c>
      <c r="TK20" s="102" t="str">
        <f>IF(AND(WSSBK!$V$26&gt;=75,WSSBK!$V$26&lt;=83.24),"P","")</f>
        <v/>
      </c>
      <c r="TL20" s="102" t="str">
        <f>IF(AND(WSSBK!$V$26&gt;=83.25,WSSBK!$V$26&lt;=91.4),"P","")</f>
        <v/>
      </c>
      <c r="TM20" s="102" t="str">
        <f>IF(AND(WSSBK!$V$26&gt;=91.5,WSSBK!$V$26&lt;=100),"P","")</f>
        <v>P</v>
      </c>
      <c r="TN20" t="str">
        <f>IF(WSSBK!$V$36&lt;74.9,"P","")</f>
        <v/>
      </c>
      <c r="TO20" s="102" t="str">
        <f>IF(AND(WSSBK!$V$36&gt;=75,WSSBK!$V$36&lt;=83.24),"P","")</f>
        <v/>
      </c>
      <c r="TP20" s="102" t="str">
        <f>IF(AND(WSSBK!$V$36&gt;=83.25,WSSBK!$V$36&lt;=91.4),"P","")</f>
        <v/>
      </c>
      <c r="TQ20" s="102" t="str">
        <f>IF(AND(WSSBK!$V$36&gt;=91.5,WSSBK!$V$36&lt;=100),"P","")</f>
        <v/>
      </c>
      <c r="TR20" t="str">
        <f>IF(WSSBK!$V$46&lt;74.9,"P","")</f>
        <v/>
      </c>
      <c r="TS20" s="102" t="str">
        <f>IF(AND(WSSBK!$V$46&gt;=75,WSSBK!$V$46&lt;=83.24),"P","")</f>
        <v/>
      </c>
      <c r="TT20" s="102" t="str">
        <f>IF(AND(WSSBK!$V$46&gt;=83.25,WSSBK!$V$46&lt;=91.4),"P","")</f>
        <v/>
      </c>
      <c r="TU20" s="102" t="str">
        <f>IF(AND(WSSBK!$V$46&gt;=91.5,WSSBK!$V$46&lt;=100),"P","")</f>
        <v>P</v>
      </c>
      <c r="TV20" t="str">
        <f>IF(WSSBK!$V$58&lt;74.9,"P","")</f>
        <v/>
      </c>
      <c r="TW20" s="102" t="str">
        <f>IF(AND(WSSBK!$V$58&gt;=75,WSSBK!$V$58&lt;=83.24),"P","")</f>
        <v/>
      </c>
      <c r="TX20" s="102" t="str">
        <f>IF(AND(WSSBK!$V$58&gt;=83.25,WSSBK!$V$58&lt;=91.4),"P","")</f>
        <v/>
      </c>
      <c r="TY20" s="102" t="str">
        <f>IF(AND(WSSBK!$V$58&gt;=91.5,WSSBK!$V$58&lt;=100),"P","")</f>
        <v>P</v>
      </c>
      <c r="TZ20" t="str">
        <f>IF(WSSBK!$V$68&lt;74.9,"P","")</f>
        <v/>
      </c>
      <c r="UA20" s="102" t="str">
        <f>IF(AND(WSSBK!$V$68&gt;=75,WSSBK!$V$68&lt;=83.24),"P","")</f>
        <v/>
      </c>
      <c r="UB20" s="102" t="str">
        <f>IF(AND(WSSBK!$V$68&gt;=83.25,WSSBK!$V$68&lt;=91.4),"P","")</f>
        <v/>
      </c>
      <c r="UC20" s="102" t="str">
        <f>IF(AND(WSSBK!$V$68&gt;=91.5,WSSBK!$V$68&lt;=100),"P","")</f>
        <v>P</v>
      </c>
      <c r="UD20" t="str">
        <f>IF(WSSBK!$V$77&lt;74.9,"P","")</f>
        <v/>
      </c>
      <c r="UE20" s="102" t="str">
        <f>IF(AND(WSSBK!$V$77&gt;=75,WSSBK!$V$77&lt;=83.24),"P","")</f>
        <v/>
      </c>
      <c r="UF20" s="102" t="str">
        <f>IF(AND(WSSBK!$V$77&gt;=83.25,WSSBK!$V$77&lt;=91.4),"P","")</f>
        <v/>
      </c>
      <c r="UG20" s="102" t="str">
        <f>IF(AND(WSSBK!$V$77&gt;=91.5,WSSBK!$V$77&lt;=100),"P","")</f>
        <v/>
      </c>
      <c r="UH20" t="str">
        <f>IF(WSSBK!$V$87&lt;74.9,"P","")</f>
        <v/>
      </c>
      <c r="UI20" s="102" t="str">
        <f>IF(AND(WSSBK!$V$87&gt;=75,WSSBK!$V$87&lt;=83.24),"P","")</f>
        <v/>
      </c>
      <c r="UJ20" s="102" t="str">
        <f>IF(AND(WSSBK!$V$87&gt;=83.25,WSSBK!$V$87&lt;=91.4),"P","")</f>
        <v/>
      </c>
      <c r="UK20" s="102" t="str">
        <f>IF(AND(WSSBK!$V$87&gt;=91.5,WSSBK!$V$87&lt;=100),"P","")</f>
        <v/>
      </c>
      <c r="UL20" t="str">
        <f>IF(WSSBK!$V$95&lt;74.9,"P","")</f>
        <v/>
      </c>
      <c r="UM20" s="102" t="str">
        <f>IF(AND(WSSBK!$V$95&gt;=75,WSSBK!$V$95&lt;=83.24),"P","")</f>
        <v/>
      </c>
      <c r="UN20" s="102" t="str">
        <f>IF(AND(WSSBK!$V$95&gt;=83.25,WSSBK!$V$95&lt;=91.4),"P","")</f>
        <v/>
      </c>
      <c r="UO20" s="102" t="str">
        <f>IF(AND(WSSBK!$V$95&gt;=91.5,WSSBK!$V$95&lt;=100),"P","")</f>
        <v/>
      </c>
      <c r="UP20" t="str">
        <f>IF(WSSBK!$V$103&lt;74.9,"P","")</f>
        <v/>
      </c>
      <c r="UQ20" s="102" t="str">
        <f>IF(AND(WSSBK!$V$103&gt;=75,WSSBK!$V$103&lt;=83.24),"P","")</f>
        <v/>
      </c>
      <c r="UR20" s="102" t="str">
        <f>IF(AND(WSSBK!$V$103&gt;=83.25,WSSBK!$V$103&lt;=91.4),"P","")</f>
        <v/>
      </c>
      <c r="US20" s="102" t="str">
        <f>IF(AND(WSSBK!$V$103&gt;=91.5,WSSBK!$V$103&lt;=100),"P","")</f>
        <v/>
      </c>
      <c r="UT20" t="str">
        <f>IF(WSSBK!$V$111&lt;74.9,"P","")</f>
        <v/>
      </c>
      <c r="UU20" s="102" t="str">
        <f>IF(AND(WSSBK!$V$111&gt;=75,WSSBK!$V$111&lt;=83.24),"P","")</f>
        <v/>
      </c>
      <c r="UV20" s="102" t="str">
        <f>IF(AND(WSSBK!$V$111&gt;=83.25,WSSBK!$V$111&lt;=91.4),"P","")</f>
        <v/>
      </c>
      <c r="UW20" s="102" t="str">
        <f>IF(AND(WSSBK!$V$111&gt;=91.5,WSSBK!$V$111&lt;=100),"P","")</f>
        <v/>
      </c>
      <c r="UX20" t="str">
        <f>IF(WSSBK!$V$119&lt;74.9,"P","")</f>
        <v/>
      </c>
      <c r="UY20" s="102" t="str">
        <f>IF(AND(WSSBK!$V$119&gt;=75,WSSBK!$V$119&lt;=83.24),"P","")</f>
        <v/>
      </c>
      <c r="UZ20" s="102" t="str">
        <f>IF(AND(WSSBK!$V$119&gt;=83.25,WSSBK!$V$119&lt;=91.4),"P","")</f>
        <v/>
      </c>
      <c r="VA20" s="102" t="str">
        <f>IF(AND(WSSBK!$V$119&gt;=91.5,WSSBK!$V$119&lt;=100),"P","")</f>
        <v/>
      </c>
      <c r="VB20" s="102" t="str">
        <f>IF(AND(WSPENJAS!$V$6&gt;0,WSPENJAS!$V$6&lt;=74.9),"P","")</f>
        <v/>
      </c>
      <c r="VC20" s="102" t="str">
        <f>IF(AND(WSPENJAS!$V$6&gt;=75,WSPENJAS!$V$6&lt;=83.24),"P","")</f>
        <v/>
      </c>
      <c r="VD20" s="102" t="str">
        <f>IF(AND(WSPENJAS!$V$6&gt;=83.25,WSPENJAS!$V$6&lt;=91.4),"P","")</f>
        <v/>
      </c>
      <c r="VE20" s="102" t="str">
        <f>IF(AND(WSPENJAS!$V$6&gt;=91.5,WSPENJAS!$V$6&lt;=100),"P","")</f>
        <v/>
      </c>
      <c r="VF20" s="102" t="str">
        <f>IF(AND(WSPENJAS!$V$7&gt;0,WSPENJAS!$V$7&lt;=74.9),"P","")</f>
        <v/>
      </c>
      <c r="VG20" s="102" t="str">
        <f>IF(AND(WSPENJAS!$V$7&gt;=75,WSPENJAS!$V$7&lt;=83.24),"P","")</f>
        <v/>
      </c>
      <c r="VH20" s="102" t="str">
        <f>IF(AND(WSPENJAS!$V$7&gt;=83.25,WSPENJAS!$V$7&lt;=91.4),"P","")</f>
        <v>P</v>
      </c>
      <c r="VI20" s="102" t="str">
        <f>IF(AND(WSPENJAS!$V$7&gt;=91.5,WSPENJAS!$V$7&lt;=100),"P","")</f>
        <v/>
      </c>
      <c r="VJ20" s="102" t="str">
        <f>IF(AND(WSPENJAS!$V$8&gt;0,WSPENJAS!$V$8&lt;=74.9),"P","")</f>
        <v/>
      </c>
      <c r="VK20" s="102" t="str">
        <f>IF(AND(WSPENJAS!$V$8&gt;=75,WSPENJAS!$V$8&lt;=83.24),"P","")</f>
        <v/>
      </c>
      <c r="VL20" s="102" t="str">
        <f>IF(AND(WSPENJAS!$V$8&gt;=83.25,WSPENJAS!$V$8&lt;=91.4),"P","")</f>
        <v>P</v>
      </c>
      <c r="VM20" s="102" t="str">
        <f>IF(AND(WSPENJAS!$V$8&gt;=91.5,WSPENJAS!$V$8&lt;=100),"P","")</f>
        <v/>
      </c>
      <c r="VN20" s="102" t="str">
        <f>IF(AND(WSPENJAS!$V$9&gt;0,WSPENJAS!$V$9&lt;=74.9),"P","")</f>
        <v/>
      </c>
      <c r="VO20" s="102" t="str">
        <f>IF(AND(WSPENJAS!$V$9&gt;=75,WSPENJAS!$V$9&lt;=83.24),"P","")</f>
        <v/>
      </c>
      <c r="VP20" s="102" t="str">
        <f>IF(AND(WSPENJAS!$V$9&gt;=83.25,WSPENJAS!$V$9&lt;=91.4),"P","")</f>
        <v>P</v>
      </c>
      <c r="VQ20" s="102" t="str">
        <f>IF(AND(WSPENJAS!$V$9&gt;=91.5,WSPENJAS!$V$9&lt;=100),"P","")</f>
        <v/>
      </c>
      <c r="VR20" s="102" t="str">
        <f>IF(AND(WSPENJAS!$V$10&gt;0,WSPENJAS!$V$10&lt;=74.9),"P","")</f>
        <v/>
      </c>
      <c r="VS20" s="102" t="str">
        <f>IF(AND(WSPENJAS!$V$10&gt;=75,WSPENJAS!$V$10&lt;=83.24),"P","")</f>
        <v/>
      </c>
      <c r="VT20" s="102" t="str">
        <f>IF(AND(WSPENJAS!$V$10&gt;=83.25,WSPENJAS!$V$10&lt;=91.4),"P","")</f>
        <v>P</v>
      </c>
      <c r="VU20" s="102" t="str">
        <f>IF(AND(WSPENJAS!$V$10&gt;=91.5,WSPENJAS!$V$10&lt;=100),"P","")</f>
        <v/>
      </c>
      <c r="VV20" s="102" t="str">
        <f>IF(AND(WSPENJAS!$V$11&gt;0,WSPENJAS!$V$11&lt;=74.9),"P","")</f>
        <v/>
      </c>
      <c r="VW20" s="102" t="str">
        <f>IF(AND(WSPENJAS!$V$411&gt;=75,WSPENJAS!$V$411&lt;=83.24),"P","")</f>
        <v/>
      </c>
      <c r="VX20" s="102" t="str">
        <f>IF(AND(WSPENJAS!$V$411&gt;=83.25,WSPENJAS!$V$411&lt;=91.4),"P","")</f>
        <v/>
      </c>
      <c r="VY20" s="102" t="str">
        <f>IF(AND(WSPENJAS!$V$411&gt;=91.5,WSPENJAS!$V$411&lt;=100),"P","")</f>
        <v/>
      </c>
      <c r="VZ20" s="102" t="str">
        <f>IF(AND(WSPENJAS!$V$12&gt;0,WSPENJAS!$V$12&lt;=74.9),"P","")</f>
        <v/>
      </c>
      <c r="WA20" s="102" t="str">
        <f>IF(AND(WSPENJAS!$V$12&gt;=75,WSPENJAS!$V$12&lt;=83.24),"P","")</f>
        <v/>
      </c>
      <c r="WB20" s="102" t="str">
        <f>IF(AND(WSPENJAS!$V$12&gt;=83.25,WSPENJAS!$V$12&lt;=91.4),"P","")</f>
        <v>P</v>
      </c>
      <c r="WC20" s="102" t="str">
        <f>IF(AND(WSPENJAS!$V$12&gt;=91.5,WSPENJAS!$V$12&lt;=100),"P","")</f>
        <v/>
      </c>
      <c r="WD20" s="102" t="str">
        <f>IF(AND(WSPENJAS!$V$13&gt;0,WSPENJAS!$V$13&lt;=74.9),"P","")</f>
        <v/>
      </c>
      <c r="WE20" s="102" t="str">
        <f>IF(AND(WSPENJAS!$V$13&gt;=75,WSPENJAS!$V$13&lt;=83.24),"P","")</f>
        <v/>
      </c>
      <c r="WF20" s="102" t="str">
        <f>IF(AND(WSPENJAS!$V$13&gt;=83.25,WSPENJAS!$V$13&lt;=91.4),"P","")</f>
        <v>P</v>
      </c>
      <c r="WG20" s="102" t="str">
        <f>IF(AND(WSPENJAS!$V$13&gt;=91.5,WSPENJAS!$V$13&lt;=100),"P","")</f>
        <v/>
      </c>
      <c r="WH20" s="102" t="str">
        <f>IF(AND(WSPENJAS!$V$14&gt;0,WSPENJAS!$V$14&lt;=74.9),"P","")</f>
        <v/>
      </c>
      <c r="WI20" s="102" t="str">
        <f>IF(AND(WSPENJAS!$V$14&gt;=75,WSPENJAS!$V$14&lt;=83.24),"P","")</f>
        <v/>
      </c>
      <c r="WJ20" s="102" t="str">
        <f>IF(AND(WSPENJAS!$V$14&gt;=83.25,WSPENJAS!$V$14&lt;=91.4),"P","")</f>
        <v>P</v>
      </c>
      <c r="WK20" s="102" t="str">
        <f>IF(AND(WSPENJAS!$V$14&gt;=91.5,WSPENJAS!$V$14&lt;=100),"P","")</f>
        <v/>
      </c>
      <c r="WL20" s="102" t="str">
        <f>IF(AND(WSPENJAS!$V$15&gt;0,WSPENJAS!$V$15&lt;=74.9),"P","")</f>
        <v/>
      </c>
      <c r="WM20" s="102" t="str">
        <f>IF(AND(WSPENJAS!$V$15&gt;=75,WSPENJAS!$V$15&lt;=83.24),"P","")</f>
        <v/>
      </c>
      <c r="WN20" s="102" t="str">
        <f>IF(AND(WSPENJAS!$V$15&gt;=83.25,WSPENJAS!$V$15&lt;=91.4),"P","")</f>
        <v>P</v>
      </c>
      <c r="WO20" s="102" t="str">
        <f>IF(AND(WSPENJAS!$V$15&gt;=91.5,WSPENJAS!$V$15&lt;=100),"P","")</f>
        <v/>
      </c>
      <c r="WP20" s="102" t="str">
        <f>IF(AND(WSPENJAS!$V$16&gt;0,WSPENJAS!$V$16&lt;=74.9),"P","")</f>
        <v/>
      </c>
      <c r="WQ20" s="102" t="str">
        <f>IF(AND(WSPENJAS!$V$16&gt;=75,WSPENJAS!$V$16&lt;=83.24),"P","")</f>
        <v/>
      </c>
      <c r="WR20" s="102" t="str">
        <f>IF(AND(WSPENJAS!$V$16&gt;=83.25,WSPENJAS!$V$16&lt;=91.4),"P","")</f>
        <v/>
      </c>
      <c r="WS20" s="102" t="str">
        <f>IF(AND(WSPENJAS!$V$16&gt;=91.5,WSPENJAS!$V$16&lt;=100),"P","")</f>
        <v/>
      </c>
      <c r="WT20" s="102" t="str">
        <f>IF(AND(WSPENJAS!$V$17&gt;0,WSPENJAS!$V$17&lt;=74.9),"P","")</f>
        <v/>
      </c>
      <c r="WU20" s="102" t="str">
        <f>IF(AND(WSPENJAS!$V$17&gt;=75,WSPENJAS!$V$17&lt;=83.24),"P","")</f>
        <v/>
      </c>
      <c r="WV20" s="102" t="str">
        <f>IF(AND(WSPENJAS!$V$17&gt;=83.25,WSPENJAS!$V$17&lt;=91.4),"P","")</f>
        <v/>
      </c>
      <c r="WW20" s="102" t="str">
        <f>IF(AND(WSPENJAS!$V$17&gt;=91.5,WSPENJAS!$V$17&lt;=100),"P","")</f>
        <v/>
      </c>
      <c r="WX20" s="102" t="str">
        <f>IF(AND(WSPENJAS!$V$18&gt;0,WSPENJAS!$V$18&lt;=74.9),"P","")</f>
        <v/>
      </c>
      <c r="WY20" s="102" t="str">
        <f>IF(AND(WSPENJAS!$V$18&gt;=75,WSPENJAS!$V$18&lt;=83.24),"P","")</f>
        <v/>
      </c>
      <c r="WZ20" s="102" t="str">
        <f>IF(AND(WSPENJAS!$V$18&gt;=83.25,WSPENJAS!$V$18&lt;=91.4),"P","")</f>
        <v/>
      </c>
      <c r="XA20" s="102" t="str">
        <f>IF(AND(WSPENJAS!$V$18&gt;=91.5,WSPENJAS!$V$18&lt;=100),"P","")</f>
        <v/>
      </c>
      <c r="XB20" s="102" t="str">
        <f>IF(AND(WSPENJAS!$V$19&gt;0,WSPENJAS!$V$19&lt;=74.9),"P","")</f>
        <v/>
      </c>
      <c r="XC20" s="102" t="str">
        <f>IF(AND(WSPENJAS!$V$19&gt;=75,WSPENJAS!$V$19&lt;=83.24),"P","")</f>
        <v/>
      </c>
      <c r="XD20" s="102" t="str">
        <f>IF(AND(WSPENJAS!$V$19&gt;=83.25,WSPENJAS!$V$19&lt;=91.4),"P","")</f>
        <v/>
      </c>
      <c r="XE20" s="102" t="str">
        <f>IF(AND(WSPENJAS!$V$19&gt;=91.5,WSPENJAS!$V$19&lt;=100),"P","")</f>
        <v/>
      </c>
      <c r="XF20" s="102" t="str">
        <f>IF(AND(WSPENJAS!$V$20&gt;0,WSPENJAS!$V$20&lt;=74.9),"P","")</f>
        <v/>
      </c>
      <c r="XG20" s="102" t="str">
        <f>IF(AND(WSPENJAS!$V$20&gt;=75,WSPENJAS!$V$20&lt;=83.24),"P","")</f>
        <v/>
      </c>
      <c r="XH20" s="102" t="str">
        <f>IF(AND(WSPENJAS!$V$20&gt;=83.25,WSPENJAS!$V$20&lt;=91.4),"P","")</f>
        <v/>
      </c>
      <c r="XI20" s="102" t="str">
        <f>IF(AND(WSPENJAS!$V$20&gt;=91.5,WSPENJAS!$V$20&lt;=100),"P","")</f>
        <v/>
      </c>
      <c r="XJ20" s="102" t="str">
        <f>IF(AND(WSPENJAS!$V$21&gt;0,WSPENJAS!$V$21&lt;=74.9),"P","")</f>
        <v/>
      </c>
      <c r="XK20" s="102" t="str">
        <f>IF(AND(WSPENJAS!$V$21&gt;=75,WSPENJAS!$V$21&lt;=83.24),"P","")</f>
        <v/>
      </c>
      <c r="XL20" s="102" t="str">
        <f>IF(AND(WSPENJAS!$V$21&gt;=83.25,WSPENJAS!$V$21&lt;=91.4),"P","")</f>
        <v/>
      </c>
      <c r="XM20" s="102" t="str">
        <f>IF(AND(WSPENJAS!$V$21&gt;=91.5,WSPENJAS!$V$21&lt;=100),"P","")</f>
        <v/>
      </c>
      <c r="XN20" t="str">
        <f>IF(WSJAWA!$V$6&lt;74.9,"P","")</f>
        <v/>
      </c>
      <c r="XO20" s="102" t="str">
        <f>IF(AND(WSJAWA!$V$6&gt;=75,WSJAWA!$V$6&lt;=83.24),"P","")</f>
        <v/>
      </c>
      <c r="XP20" s="102" t="str">
        <f>IF(AND(WSJAWA!$V$6&gt;=83.25,WSJAWA!$V$6&lt;=91.4),"P","")</f>
        <v/>
      </c>
      <c r="XQ20" s="102" t="str">
        <f>IF(AND(WSJAWA!$V$6&gt;=91.5,WSJAWA!$V$6&lt;=100),"P","")</f>
        <v>P</v>
      </c>
      <c r="XR20" t="str">
        <f>IF(WSJAWA!$V$14&lt;74.9,"P","")</f>
        <v/>
      </c>
      <c r="XS20" s="102" t="str">
        <f>IF(AND(WSJAWA!$V$14&gt;=75,WSJAWA!$V$14&lt;=83.24),"P","")</f>
        <v/>
      </c>
      <c r="XT20" s="102" t="str">
        <f>IF(AND(WSJAWA!$V$14&gt;=83.25,WSJAWA!$V$14&lt;=91.4),"P","")</f>
        <v/>
      </c>
      <c r="XU20" s="102" t="str">
        <f>IF(AND(WSJAWA!$V$14&gt;=91.5,WSJAWA!$V$14&lt;=100),"P","")</f>
        <v>P</v>
      </c>
      <c r="XV20" t="str">
        <f>IF(WSJAWA!$V$22&lt;74.9,"P","")</f>
        <v/>
      </c>
      <c r="XW20" s="102" t="str">
        <f>IF(AND(WSJAWA!$V$22&gt;=75,WSJAWA!$V$22&lt;=83.24),"P","")</f>
        <v/>
      </c>
      <c r="XX20" s="102" t="str">
        <f>IF(AND(WSJAWA!$V$22&gt;=83.25,WSJAWA!$V$22&lt;=91.4),"P","")</f>
        <v/>
      </c>
      <c r="XY20" s="102" t="str">
        <f>IF(AND(WSJAWA!$V$22&gt;=91.5,WSJAWA!$V$22&lt;=100),"P","")</f>
        <v>P</v>
      </c>
      <c r="XZ20" t="str">
        <f>IF(WSJAWA!$V$30&lt;74.9,"P","")</f>
        <v/>
      </c>
      <c r="YA20" s="102" t="str">
        <f>IF(AND(WSJAWA!$V$30&gt;=75,WSJAWA!$V$30&lt;=83.24),"P","")</f>
        <v/>
      </c>
      <c r="YB20" s="102" t="str">
        <f>IF(AND(WSJAWA!$V$30&gt;=83.25,WSJAWA!$V$30&lt;=91.4),"P","")</f>
        <v/>
      </c>
      <c r="YC20" s="102" t="str">
        <f>IF(AND(WSJAWA!$V$30&gt;=91.5,WSJAWA!$V$30&lt;=100),"P","")</f>
        <v>P</v>
      </c>
      <c r="YD20" t="str">
        <f>IF(WSJAWA!$V$38&lt;74.9,"P","")</f>
        <v/>
      </c>
      <c r="YE20" s="102" t="str">
        <f>IF(AND(WSJAWA!$V$38&gt;=75,WSJAWA!$V$38&lt;=83.24),"P","")</f>
        <v/>
      </c>
      <c r="YF20" s="102" t="str">
        <f>IF(AND(WSJAWA!$V$38&gt;=83.25,WSJAWA!$V$38&lt;=91.4),"P","")</f>
        <v/>
      </c>
      <c r="YG20" s="102" t="str">
        <f>IF(AND(WSJAWA!$V$38&gt;=91.5,WSJAWA!$V$38&lt;=100),"P","")</f>
        <v>P</v>
      </c>
      <c r="YH20" t="str">
        <f>IF(WSJAWA!$V$46&lt;74.9,"P","")</f>
        <v/>
      </c>
      <c r="YI20" s="102" t="str">
        <f>IF(AND(WSJAWA!$V$46&gt;=75,WSJAWA!$V$46&lt;=83.24),"P","")</f>
        <v/>
      </c>
      <c r="YJ20" s="102" t="str">
        <f>IF(AND(WSJAWA!$V$46&gt;=83.25,WSJAWA!$V$46&lt;=91.4),"P","")</f>
        <v/>
      </c>
      <c r="YK20" s="102" t="str">
        <f>IF(AND(WSJAWA!$V$46&gt;=91.5,WSJAWA!$V$46&lt;=100),"P","")</f>
        <v>P</v>
      </c>
      <c r="YL20" t="str">
        <f>IF(WSJAWA!$V$54&lt;74.9,"P","")</f>
        <v/>
      </c>
      <c r="YM20" s="102" t="str">
        <f>IF(AND(WSJAWA!$V$54&gt;=75,WSJAWA!$V$54&lt;=83.24),"P","")</f>
        <v/>
      </c>
      <c r="YN20" s="102" t="str">
        <f>IF(AND(WSJAWA!$V$54&gt;=83.25,WSJAWA!$V$54&lt;=91.4),"P","")</f>
        <v/>
      </c>
      <c r="YO20" s="102" t="str">
        <f>IF(AND(WSJAWA!$V$54&gt;=91.5,WSJAWA!$V$54&lt;=100),"P","")</f>
        <v>P</v>
      </c>
      <c r="YP20" t="str">
        <f>IF(WSJAWA!$V$62&lt;74.9,"P","")</f>
        <v/>
      </c>
      <c r="YQ20" s="102" t="str">
        <f>IF(AND(WSJAWA!$V$62&gt;=75,WSJAWA!$V$62&lt;=83.24),"P","")</f>
        <v/>
      </c>
      <c r="YR20" s="102" t="str">
        <f>IF(AND(WSJAWA!$V$62&gt;=83.25,WSJAWA!$V$62&lt;=91.4),"P","")</f>
        <v/>
      </c>
      <c r="YS20" s="102" t="str">
        <f>IF(AND(WSJAWA!$V$62&gt;=91.5,WSJAWA!$V$62&lt;=100),"P","")</f>
        <v>P</v>
      </c>
      <c r="YT20" t="str">
        <f>IF(WSJAWA!$V$70&lt;74.9,"P","")</f>
        <v/>
      </c>
      <c r="YU20" s="102" t="str">
        <f>IF(AND(WSJAWA!$V$70&gt;=75,WSJAWA!$V$70&lt;=83.24),"P","")</f>
        <v/>
      </c>
      <c r="YV20" s="102" t="str">
        <f>IF(AND(WSJAWA!$V$70&gt;=83.25,WSJAWA!$V$70&lt;=91.4),"P","")</f>
        <v/>
      </c>
      <c r="YW20" s="102" t="str">
        <f>IF(AND(WSJAWA!$V$70&gt;=91.5,WSJAWA!$V$70&lt;=100),"P","")</f>
        <v/>
      </c>
      <c r="YX20" t="str">
        <f>IF(WSJAWA!$V$78&lt;74.9,"P","")</f>
        <v/>
      </c>
      <c r="YY20" s="102" t="str">
        <f>IF(AND(WSJAWA!$V$78&gt;=75,WSJAWA!$V$78&lt;=83.24),"P","")</f>
        <v/>
      </c>
      <c r="YZ20" s="102" t="str">
        <f>IF(AND(WSJAWA!$V$78&gt;=83.25,WSJAWA!$V$78&lt;=91.4),"P","")</f>
        <v/>
      </c>
      <c r="ZA20" s="102" t="str">
        <f>IF(AND(WSJAWA!$V$78&gt;=91.5,WSJAWA!$V$78&lt;=100),"P","")</f>
        <v/>
      </c>
      <c r="ZB20" t="str">
        <f>IF(WSJAWA!$V$86&lt;74.9,"P","")</f>
        <v/>
      </c>
      <c r="ZC20" s="102" t="str">
        <f>IF(AND(WSJAWA!$V$86&gt;=75,WSJAWA!$V$86&lt;=83.24),"P","")</f>
        <v/>
      </c>
      <c r="ZD20" s="102" t="str">
        <f>IF(AND(WSJAWA!$V$86&gt;=83.25,WSJAWA!$V$86&lt;=91.4),"P","")</f>
        <v/>
      </c>
      <c r="ZE20" s="102" t="str">
        <f>IF(AND(WSJAWA!$V$86&gt;=91.5,WSJAWA!$V$86&lt;=100),"P","")</f>
        <v/>
      </c>
      <c r="ZF20" t="str">
        <f>IF(WSJAWA!$V$94&lt;74.9,"P","")</f>
        <v/>
      </c>
      <c r="ZG20" s="102" t="str">
        <f>IF(AND(WSJAWA!$V$94&gt;=75,WSJAWA!$V$94&lt;=83.24),"P","")</f>
        <v/>
      </c>
      <c r="ZH20" s="102" t="str">
        <f>IF(AND(WSJAWA!$V$94&gt;=83.25,WSJAWA!$V$94&lt;=91.4),"P","")</f>
        <v/>
      </c>
      <c r="ZI20" s="102" t="str">
        <f>IF(AND(WSJAWA!$V$94&gt;=91.5,WSJAWA!$V$94&lt;=100),"P","")</f>
        <v/>
      </c>
      <c r="ZJ20" t="str">
        <f>IF(WSJAWA!$V$102&lt;74.9,"P","")</f>
        <v/>
      </c>
      <c r="ZK20" s="102" t="str">
        <f>IF(AND(WSJAWA!$V$102&gt;=75,WSJAWA!$V$102&lt;=83.24),"P","")</f>
        <v/>
      </c>
      <c r="ZL20" s="102" t="str">
        <f>IF(AND(WSJAWA!$V$102&gt;=83.25,WSJAWA!$V$102&lt;=91.4),"P","")</f>
        <v/>
      </c>
      <c r="ZM20" s="102" t="str">
        <f>IF(AND(WSJAWA!$V$102&gt;=91.5,WSJAWA!$V$102&lt;=100),"P","")</f>
        <v/>
      </c>
      <c r="ZN20" t="str">
        <f>IF(WSING!$V$6&lt;74.9,"P","")</f>
        <v/>
      </c>
      <c r="ZO20" s="102" t="str">
        <f>IF(AND(WSING!$V$6&gt;=75,WSING!$V$6&lt;=83.24),"P","")</f>
        <v/>
      </c>
      <c r="ZP20" s="102" t="str">
        <f>IF(AND(WSING!$V$6&gt;=83.25,WSING!$V$6&lt;=91.4),"P","")</f>
        <v/>
      </c>
      <c r="ZQ20" s="102" t="str">
        <f>IF(AND(WSING!$V$6&gt;=91.5,WSING!$V$6&lt;=100),"P","")</f>
        <v>P</v>
      </c>
      <c r="ZR20" t="str">
        <f>IF(WSING!$V$15&lt;74.9,"P","")</f>
        <v/>
      </c>
      <c r="ZS20" s="102" t="str">
        <f>IF(AND(WSING!$V$15&gt;=75,WSING!$V$15&lt;=83.24),"P","")</f>
        <v/>
      </c>
      <c r="ZT20" s="102" t="str">
        <f>IF(AND(WSING!$V$15&gt;=83.25,WSING!$V$15&lt;=91.4),"P","")</f>
        <v/>
      </c>
      <c r="ZU20" s="102" t="str">
        <f>IF(AND(WSING!$V$15&gt;=91.5,WSING!$V$15&lt;=100),"P","")</f>
        <v>P</v>
      </c>
      <c r="ZV20" t="str">
        <f>IF(WSING!$V$24&lt;74.9,"P","")</f>
        <v/>
      </c>
      <c r="ZW20" s="102" t="str">
        <f>IF(AND(WSING!$V$24&gt;=75,WSING!$V$24&lt;=83.24),"P","")</f>
        <v/>
      </c>
      <c r="ZX20" s="102" t="str">
        <f>IF(AND(WSING!$V$24&gt;=83.25,WSING!$V$24&lt;=91.4),"P","")</f>
        <v/>
      </c>
      <c r="ZY20" s="102" t="str">
        <f>IF(AND(WSING!$V$24&gt;=91.5,WSING!$V$24&lt;=100),"P","")</f>
        <v>P</v>
      </c>
      <c r="ZZ20" t="str">
        <f>IF(WSING!$V$33&lt;74.9,"P","")</f>
        <v/>
      </c>
      <c r="AAA20" s="102" t="str">
        <f>IF(AND(WSING!$V$33&gt;=75,WSING!$V$33&lt;=83.24),"P","")</f>
        <v/>
      </c>
      <c r="AAB20" s="102" t="str">
        <f>IF(AND(WSING!$V$33&gt;=83.25,WSING!$V$33&lt;=91.4),"P","")</f>
        <v/>
      </c>
      <c r="AAC20" s="102" t="str">
        <f>IF(AND(WSING!$V$33&gt;=91.5,WSING!$V$33&lt;=100),"P","")</f>
        <v>P</v>
      </c>
      <c r="AAD20" t="str">
        <f>IF(WSING!$V$42&lt;74.9,"P","")</f>
        <v/>
      </c>
      <c r="AAE20" s="102" t="str">
        <f>IF(AND(WSING!$V$42&gt;=75,WSING!$V$42&lt;=83.24),"P","")</f>
        <v/>
      </c>
      <c r="AAF20" s="102" t="str">
        <f>IF(AND(WSING!$V$42&gt;=83.25,WSING!$V$42&lt;=91.4),"P","")</f>
        <v/>
      </c>
      <c r="AAG20" s="102" t="str">
        <f>IF(AND(WSING!$V$42&gt;=91.5,WSING!$V$42&lt;=100),"P","")</f>
        <v/>
      </c>
      <c r="AAH20" t="str">
        <f>IF(WSING!$V$50&lt;74.9,"P","")</f>
        <v/>
      </c>
      <c r="AAI20" s="102" t="str">
        <f>IF(AND(WSING!$V$50&gt;=75,WSING!$V$50&lt;=83.24),"P","")</f>
        <v/>
      </c>
      <c r="AAJ20" s="102" t="str">
        <f>IF(AND(WSING!$V$50&gt;=83.25,WSING!$V$50&lt;=91.4),"P","")</f>
        <v/>
      </c>
      <c r="AAK20" s="102" t="str">
        <f>IF(AND(WSING!$V$50&gt;=91.5,WSING!$V$50&lt;=100),"P","")</f>
        <v/>
      </c>
      <c r="AAL20" t="str">
        <f>IF(WSING!$V$58&lt;74.9,"P","")</f>
        <v/>
      </c>
      <c r="AAM20" s="102" t="str">
        <f>IF(AND(WSING!$V$58&gt;=75,WSING!$V$58&lt;=83.24),"P","")</f>
        <v/>
      </c>
      <c r="AAN20" s="102" t="str">
        <f>IF(AND(WSING!$V$58&gt;=83.25,WSING!$V$58&lt;=91.4),"P","")</f>
        <v/>
      </c>
      <c r="AAO20" s="102" t="str">
        <f>IF(AND(WSING!$V$58&gt;=91.5,WSING!$V$58&lt;=100),"P","")</f>
        <v/>
      </c>
      <c r="AAP20" t="str">
        <f>IF(WSING!$V$66&lt;74.9,"P","")</f>
        <v/>
      </c>
      <c r="AAQ20" s="102" t="str">
        <f>IF(AND(WSING!$V$66&gt;=75,WSING!$V$66&lt;=83.24),"P","")</f>
        <v/>
      </c>
      <c r="AAR20" s="102" t="str">
        <f>IF(AND(WSING!$V$66&gt;=83.25,WSING!$V$66&lt;=91.4),"P","")</f>
        <v/>
      </c>
      <c r="AAS20" s="102" t="str">
        <f>IF(AND(WSING!$V$66&gt;=91.5,WSING!$V$66&lt;=100),"P","")</f>
        <v/>
      </c>
      <c r="AAT20" t="str">
        <f>IF(WSING!$V$74&lt;74.9,"P","")</f>
        <v/>
      </c>
      <c r="AAU20" s="102" t="str">
        <f>IF(AND(WSING!$V$74&gt;=75,WSING!$V$74&lt;=83.24),"P","")</f>
        <v/>
      </c>
      <c r="AAV20" s="102" t="str">
        <f>IF(AND(WSING!$V$74&gt;=83.25,WSING!$V$74&lt;=91.4),"P","")</f>
        <v/>
      </c>
      <c r="AAW20" s="102" t="str">
        <f>IF(AND(WSING!$V$74&gt;=91.5,WSING!$V$74&lt;=100),"P","")</f>
        <v/>
      </c>
      <c r="AAX20" t="str">
        <f>IF(WSING!$V$82&lt;74.9,"P","")</f>
        <v/>
      </c>
      <c r="AAY20" s="102" t="str">
        <f>IF(AND(WSING!$V$82&gt;=75,WSING!$V$82&lt;=83.24),"P","")</f>
        <v/>
      </c>
      <c r="AAZ20" s="102" t="str">
        <f>IF(AND(WSING!$V$82&gt;=83.25,WSING!$V$82&lt;=91.4),"P","")</f>
        <v/>
      </c>
      <c r="ABA20" s="102" t="str">
        <f>IF(AND(WSING!$V$82&gt;=91.5,WSING!$V$82&lt;=100),"P","")</f>
        <v/>
      </c>
      <c r="ABB20" t="str">
        <f>IF(WSING!$V$90&lt;74.9,"P","")</f>
        <v/>
      </c>
      <c r="ABC20" s="102" t="str">
        <f>IF(AND(WSING!$V$90&gt;=75,WSING!$V$90&lt;=83.24),"P","")</f>
        <v/>
      </c>
      <c r="ABD20" s="102" t="str">
        <f>IF(AND(WSING!$V$90&gt;=83.25,WSING!$V$90&lt;=91.4),"P","")</f>
        <v/>
      </c>
      <c r="ABE20" s="102" t="str">
        <f>IF(AND(WSING!$V$90&gt;=91.5,WSING!$V$90&lt;=100),"P","")</f>
        <v/>
      </c>
      <c r="ABF20" t="str">
        <f>IF(WSING!$V$98&lt;74.9,"P","")</f>
        <v/>
      </c>
      <c r="ABG20" s="102" t="str">
        <f>IF(AND(WSING!$V$98&gt;=75,WSING!$V$98&lt;=83.24),"P","")</f>
        <v/>
      </c>
      <c r="ABH20" s="102" t="str">
        <f>IF(AND(WSING!$V$98&gt;=83.25,WSING!$V$98&lt;=91.4),"P","")</f>
        <v/>
      </c>
      <c r="ABI20" s="102" t="str">
        <f>IF(AND(WSING!$V$98&gt;=91.5,WSING!$V$98&lt;=100),"P","")</f>
        <v/>
      </c>
      <c r="ABJ20" t="str">
        <f>IF(WSING!$V$106&lt;74.9,"P","")</f>
        <v/>
      </c>
      <c r="ABK20" s="102" t="str">
        <f>IF(AND(WSING!$V$106&gt;=75,WSING!$V$106&lt;=83.24),"P","")</f>
        <v/>
      </c>
      <c r="ABL20" s="102" t="str">
        <f>IF(AND(WSING!$V$106&gt;=83.25,WSING!$V$106&lt;=91.4),"P","")</f>
        <v/>
      </c>
      <c r="ABM20" s="102" t="str">
        <f>IF(AND(WSING!$V$106&gt;=91.5,WSING!$V$106&lt;=100),"P","")</f>
        <v/>
      </c>
      <c r="ABN20" t="str">
        <f>IF(WSTIK!$V$6&lt;74.9,"P","")</f>
        <v/>
      </c>
      <c r="ABO20" s="102" t="str">
        <f>IF(AND(WSTIK!$V$6&gt;=75,WSTIK!$V$6&lt;=83.24),"P","")</f>
        <v/>
      </c>
      <c r="ABP20" s="102" t="str">
        <f>IF(AND(WSTIK!$V$6&gt;=83.25,WSTIK!$V$6&lt;=91.4),"P","")</f>
        <v/>
      </c>
      <c r="ABQ20" s="102" t="str">
        <f>IF(AND(WSTIK!$V$6&gt;=91.5,WSTIK!$V$6&lt;=100),"P","")</f>
        <v/>
      </c>
      <c r="ABR20" t="str">
        <f>IF(WSTIK!$V$14&lt;74.9,"P","")</f>
        <v/>
      </c>
      <c r="ABS20" s="102" t="str">
        <f>IF(AND(WSTIK!$V$14&gt;=75,WSTIK!$V$14&lt;=83.24),"P","")</f>
        <v/>
      </c>
      <c r="ABT20" s="102" t="str">
        <f>IF(AND(WSTIK!$V$14&gt;=83.25,WSTIK!$V$14&lt;=91.4),"P","")</f>
        <v/>
      </c>
      <c r="ABU20" s="102" t="str">
        <f>IF(AND(WSTIK!$V$14&gt;=91.5,WSTIK!$V$14&lt;=100),"P","")</f>
        <v/>
      </c>
      <c r="ABV20" t="str">
        <f>IF(WSTIK!$V$22&lt;74.9,"P","")</f>
        <v/>
      </c>
      <c r="ABW20" s="102" t="str">
        <f>IF(AND(WSTIK!$V$22&gt;=75,WSTIK!$V$22&lt;=83.24),"P","")</f>
        <v/>
      </c>
      <c r="ABX20" s="102" t="str">
        <f>IF(AND(WSTIK!$V$22&gt;=83.25,WSTIK!$V$22&lt;=91.4),"P","")</f>
        <v/>
      </c>
      <c r="ABY20" s="102" t="str">
        <f>IF(AND(WSTIK!$V$22&gt;=91.5,WSTIK!$V$22&lt;=100),"P","")</f>
        <v/>
      </c>
      <c r="ABZ20" t="str">
        <f>IF(WSTIK!$V$30&lt;74.9,"P","")</f>
        <v/>
      </c>
      <c r="ACA20" s="102" t="str">
        <f>IF(AND(WSTIK!$V$30&gt;=75,WSTIK!$V$30&lt;=83.24),"P","")</f>
        <v/>
      </c>
      <c r="ACB20" s="102" t="str">
        <f>IF(AND(WSTIK!$V$30&gt;=83.25,WSTIK!$V$30&lt;=91.4),"P","")</f>
        <v/>
      </c>
      <c r="ACC20" s="102" t="str">
        <f>IF(AND(WSTIK!$V$30&gt;=91.5,WSTIK!$V$30&lt;=100),"P","")</f>
        <v/>
      </c>
      <c r="ACD20" t="str">
        <f>IF(WSTIK!$V$38&lt;74.9,"P","")</f>
        <v/>
      </c>
      <c r="ACE20" s="102" t="str">
        <f>IF(AND(WSTIK!$V$38&gt;=75,WSTIK!$V$38&lt;=83.24),"P","")</f>
        <v/>
      </c>
      <c r="ACF20" s="102" t="str">
        <f>IF(AND(WSTIK!$V$38&gt;=83.25,WSTIK!$V$38&lt;=91.4),"P","")</f>
        <v/>
      </c>
      <c r="ACG20" s="102" t="str">
        <f>IF(AND(WSTIK!$V$38&gt;=91.5,WSTIK!$V$38&lt;=100),"P","")</f>
        <v/>
      </c>
      <c r="ACH20" t="str">
        <f>IF(WSTIK!$V$46&lt;74.9,"P","")</f>
        <v/>
      </c>
      <c r="ACI20" s="102" t="str">
        <f>IF(AND(WSTIK!$V$46&gt;=75,WSTIK!$V$46&lt;=83.24),"P","")</f>
        <v/>
      </c>
      <c r="ACJ20" s="102" t="str">
        <f>IF(AND(WSTIK!$V$46&gt;=83.25,WSTIK!$V$46&lt;=91.4),"P","")</f>
        <v/>
      </c>
      <c r="ACK20" s="102" t="str">
        <f>IF(AND(WSTIK!$V$46&gt;=91.5,WSTIK!$V$46&lt;=100),"P","")</f>
        <v/>
      </c>
      <c r="ACL20" t="str">
        <f>IF(WSTIK!$V$54&lt;74.9,"P","")</f>
        <v/>
      </c>
      <c r="ACM20" s="102" t="str">
        <f>IF(AND(WSTIK!$V$54&gt;=75,WSTIK!$V$54&lt;=83.24),"P","")</f>
        <v/>
      </c>
      <c r="ACN20" s="102" t="str">
        <f>IF(AND(WSTIK!$V$54&gt;=83.25,WSTIK!$V$54&lt;=91.4),"P","")</f>
        <v/>
      </c>
      <c r="ACO20" s="102" t="str">
        <f>IF(AND(WSTIK!$V$54&gt;=91.5,WSTIK!$V$54&lt;=100),"P","")</f>
        <v/>
      </c>
      <c r="ACP20" t="str">
        <f>IF(WSTIK!$V$62&lt;74.9,"P","")</f>
        <v/>
      </c>
      <c r="ACQ20" s="102" t="str">
        <f>IF(AND(WSTIK!$V$62&gt;=75,WSTIK!$V$62&lt;=83.24),"P","")</f>
        <v/>
      </c>
      <c r="ACR20" s="102" t="str">
        <f>IF(AND(WSTIK!$V$62&gt;=83.25,WSTIK!$V$62&lt;=91.4),"P","")</f>
        <v/>
      </c>
      <c r="ACS20" s="102" t="str">
        <f>IF(AND(WSTIK!$V$62&gt;=91.5,WSTIK!$V$62&lt;=100),"P","")</f>
        <v/>
      </c>
      <c r="ACT20" t="str">
        <f>IF(WSTIK!$V$70&lt;74.9,"P","")</f>
        <v/>
      </c>
      <c r="ACU20" s="102" t="str">
        <f>IF(AND(WSTIK!$V$70&gt;=75,WSTIK!$V$70&lt;=83.24),"P","")</f>
        <v/>
      </c>
      <c r="ACV20" s="102" t="str">
        <f>IF(AND(WSTIK!$V$70&gt;=83.25,WSTIK!$V$70&lt;=91.4),"P","")</f>
        <v/>
      </c>
      <c r="ACW20" s="102" t="str">
        <f>IF(AND(WSTIK!$V$70&gt;=91.5,WSTIK!$V$70&lt;=100),"P","")</f>
        <v/>
      </c>
      <c r="ACX20" t="str">
        <f>IF(WSTIK!$V$78&lt;74.9,"P","")</f>
        <v/>
      </c>
      <c r="ACY20" s="102" t="str">
        <f>IF(AND(WSTIK!$V$78&gt;=75,WSTIK!$V$78&lt;=83.24),"P","")</f>
        <v/>
      </c>
      <c r="ACZ20" s="102" t="str">
        <f>IF(AND(WSTIK!$V$78&gt;=83.25,WSTIK!$V$78&lt;=91.4),"P","")</f>
        <v/>
      </c>
      <c r="ADA20" s="102" t="str">
        <f>IF(AND(WSTIK!$V$78&gt;=91.5,WSTIK!$V$78&lt;=100),"P","")</f>
        <v/>
      </c>
      <c r="ADB20" t="str">
        <f>IF(WSTIK!$V$86&lt;74.9,"P","")</f>
        <v/>
      </c>
      <c r="ADC20" s="102" t="str">
        <f>IF(AND(WSTIK!$V$86&gt;=75,WSTIK!$V$86&lt;=83.24),"P","")</f>
        <v/>
      </c>
      <c r="ADD20" s="102" t="str">
        <f>IF(AND(WSTIK!$V$86&gt;=83.25,WSTIK!$V$86&lt;=91.4),"P","")</f>
        <v/>
      </c>
      <c r="ADE20" s="102" t="str">
        <f>IF(AND(WSTIK!$V$86&gt;=91.5,WSTIK!$V$86&lt;=100),"P","")</f>
        <v/>
      </c>
      <c r="ADF20" t="str">
        <f>IF(WSTIK!$V$94&lt;74.9,"P","")</f>
        <v/>
      </c>
      <c r="ADG20" s="102" t="str">
        <f>IF(AND(WSTIK!$V$94&gt;=75,WSTIK!$V$94&lt;=83.24),"P","")</f>
        <v/>
      </c>
      <c r="ADH20" s="102" t="str">
        <f>IF(AND(WSTIK!$V$94&gt;=83.25,WSTIK!$V$94&lt;=91.4),"P","")</f>
        <v/>
      </c>
      <c r="ADI20" s="102" t="str">
        <f>IF(AND(WSTIK!$V$94&gt;=91.5,WSTIK!$V$94&lt;=100),"P","")</f>
        <v/>
      </c>
      <c r="ADJ20" t="str">
        <f>IF(WSTIK!$V$102&lt;74.9,"P","")</f>
        <v/>
      </c>
      <c r="ADK20" s="102" t="str">
        <f>IF(AND(WSTIK!$V$102&gt;=75,WSTIK!$V$102&lt;=83.24),"P","")</f>
        <v/>
      </c>
      <c r="ADL20" s="102" t="str">
        <f>IF(AND(WSTIK!$V$102&gt;=83.25,WSTIK!$V$102&lt;=91.4),"P","")</f>
        <v/>
      </c>
      <c r="ADM20" s="102" t="str">
        <f>IF(AND(WSTIK!$V$102&gt;=91.5,WSTIK!$V$102&lt;=100),"P","")</f>
        <v/>
      </c>
      <c r="ADN20" t="str">
        <f>IF(WSASWAJA!$V$6&lt;74.9,"P","")</f>
        <v/>
      </c>
      <c r="ADO20" s="102" t="str">
        <f>IF(AND(WSASWAJA!$V$6&gt;=75,WSASWAJA!$V$6&lt;=83.24),"P","")</f>
        <v/>
      </c>
      <c r="ADP20" s="102" t="str">
        <f>IF(AND(WSASWAJA!$V$6&gt;=83.25,WSASWAJA!$V$6&lt;=91.4),"P","")</f>
        <v/>
      </c>
      <c r="ADQ20" s="102" t="str">
        <f>IF(AND(WSASWAJA!$V$6&gt;=91.5,WSASWAJA!$V$6&lt;=100),"P","")</f>
        <v/>
      </c>
      <c r="ADR20" t="str">
        <f>IF(WSASWAJA!$V$14&lt;74.9,"P","")</f>
        <v/>
      </c>
      <c r="ADS20" s="102" t="str">
        <f>IF(AND(WSASWAJA!$V$14&gt;=75,WSASWAJA!$V$14&lt;=83.24),"P","")</f>
        <v/>
      </c>
      <c r="ADT20" s="102" t="str">
        <f>IF(AND(WSASWAJA!$V$14&gt;=83.25,WSASWAJA!$V$14&lt;=91.4),"P","")</f>
        <v/>
      </c>
      <c r="ADU20" s="102" t="str">
        <f>IF(AND(WSASWAJA!$V$14&gt;=91.5,WSASWAJA!$V$14&lt;=100),"P","")</f>
        <v/>
      </c>
      <c r="ADV20" t="str">
        <f>IF(WSASWAJA!$V$22&lt;74.9,"P","")</f>
        <v/>
      </c>
      <c r="ADW20" s="102" t="str">
        <f>IF(AND(WSASWAJA!$V$22&gt;=75,WSASWAJA!$V$22&lt;=83.24),"P","")</f>
        <v/>
      </c>
      <c r="ADX20" s="102" t="str">
        <f>IF(AND(WSASWAJA!$V$22&gt;=83.25,WSASWAJA!$V$22&lt;=91.4),"P","")</f>
        <v/>
      </c>
      <c r="ADY20" s="102" t="str">
        <f>IF(AND(WSASWAJA!$V$22&gt;=91.5,WSASWAJA!$V$22&lt;=100),"P","")</f>
        <v/>
      </c>
      <c r="ADZ20" t="str">
        <f>IF(WSASWAJA!$V$30&lt;74.9,"P","")</f>
        <v/>
      </c>
      <c r="AEA20" s="102" t="str">
        <f>IF(AND(WSASWAJA!$V$30&gt;=75,WSASWAJA!$V$30&lt;=83.24),"P","")</f>
        <v/>
      </c>
      <c r="AEB20" s="102" t="str">
        <f>IF(AND(WSASWAJA!$V$30&gt;=83.25,WSASWAJA!$V$30&lt;=91.4),"P","")</f>
        <v/>
      </c>
      <c r="AEC20" s="102" t="str">
        <f>IF(AND(WSASWAJA!$V$30&gt;=91.5,WSASWAJA!$V$30&lt;=100),"P","")</f>
        <v/>
      </c>
      <c r="AED20" t="str">
        <f>IF(WSASWAJA!$V$38&lt;74.9,"P","")</f>
        <v/>
      </c>
      <c r="AEE20" s="102" t="str">
        <f>IF(AND(WSASWAJA!$V$38&gt;=75,WSASWAJA!$V$38&lt;=83.24),"P","")</f>
        <v/>
      </c>
      <c r="AEF20" s="102" t="str">
        <f>IF(AND(WSASWAJA!$V$38&gt;=83.25,WSASWAJA!$V$38&lt;=91.4),"P","")</f>
        <v/>
      </c>
      <c r="AEG20" s="102" t="str">
        <f>IF(AND(WSASWAJA!$V$38&gt;=91.5,WSASWAJA!$V$38&lt;=100),"P","")</f>
        <v/>
      </c>
      <c r="AEH20" t="str">
        <f>IF(WSASWAJA!$V$46&lt;74.9,"P","")</f>
        <v/>
      </c>
      <c r="AEI20" s="102" t="str">
        <f>IF(AND(WSASWAJA!$V$46&gt;=75,WSASWAJA!$V$46&lt;=83.24),"P","")</f>
        <v/>
      </c>
      <c r="AEJ20" s="102" t="str">
        <f>IF(AND(WSASWAJA!$V$46&gt;=83.25,WSASWAJA!$V$46&lt;=91.4),"P","")</f>
        <v/>
      </c>
      <c r="AEK20" s="102" t="str">
        <f>IF(AND(WSASWAJA!$V$46&gt;=91.5,WSASWAJA!$V$46&lt;=100),"P","")</f>
        <v/>
      </c>
      <c r="AEL20" t="str">
        <f>IF(WSASWAJA!$V$54&lt;74.9,"P","")</f>
        <v/>
      </c>
      <c r="AEM20" s="102" t="str">
        <f>IF(AND(WSASWAJA!$V$54&gt;=75,WSASWAJA!$V$54&lt;=83.24),"P","")</f>
        <v/>
      </c>
      <c r="AEN20" s="102" t="str">
        <f>IF(AND(WSASWAJA!$V$54&gt;=83.25,WSASWAJA!$V$54&lt;=91.4),"P","")</f>
        <v/>
      </c>
      <c r="AEO20" s="102" t="str">
        <f>IF(AND(WSASWAJA!$V$54&gt;=91.5,WSASWAJA!$V$54&lt;=100),"P","")</f>
        <v/>
      </c>
      <c r="AEP20" t="str">
        <f>IF(WSASWAJA!$V$62&lt;74.9,"P","")</f>
        <v/>
      </c>
      <c r="AEQ20" s="102" t="str">
        <f>IF(AND(WSASWAJA!$V$62&gt;=75,WSASWAJA!$V$62&lt;=83.24),"P","")</f>
        <v/>
      </c>
      <c r="AER20" s="102" t="str">
        <f>IF(AND(WSASWAJA!$V$62&gt;=83.25,WSASWAJA!$V$62&lt;=91.4),"P","")</f>
        <v/>
      </c>
      <c r="AES20" s="102" t="str">
        <f>IF(AND(WSASWAJA!$V$62&gt;=91.5,WSASWAJA!$V$62&lt;=100),"P","")</f>
        <v/>
      </c>
      <c r="AET20" t="str">
        <f>IF(WSASWAJA!$V$70&lt;74.9,"P","")</f>
        <v/>
      </c>
      <c r="AEU20" s="102" t="str">
        <f>IF(AND(WSASWAJA!$V$70&gt;=75,WSASWAJA!$V$70&lt;=83.24),"P","")</f>
        <v/>
      </c>
      <c r="AEV20" s="102" t="str">
        <f>IF(AND(WSASWAJA!$V$70&gt;=83.25,WSASWAJA!$V$70&lt;=91.4),"P","")</f>
        <v/>
      </c>
      <c r="AEW20" s="102" t="str">
        <f>IF(AND(WSASWAJA!$V$70&gt;=91.5,WSASWAJA!$V$70&lt;=100),"P","")</f>
        <v/>
      </c>
      <c r="AEX20" t="str">
        <f>IF(WSASWAJA!$V$78&lt;74.9,"P","")</f>
        <v/>
      </c>
      <c r="AEY20" s="102" t="str">
        <f>IF(AND(WSASWAJA!$V$78&gt;=75,WSASWAJA!$V$78&lt;=83.24),"P","")</f>
        <v/>
      </c>
      <c r="AEZ20" s="102" t="str">
        <f>IF(AND(WSASWAJA!$V$78&gt;=83.25,WSASWAJA!$V$78&lt;=91.4),"P","")</f>
        <v/>
      </c>
      <c r="AFA20" s="102" t="str">
        <f>IF(AND(WSASWAJA!$V$78&gt;=91.5,WSASWAJA!$V$78&lt;=100),"P","")</f>
        <v/>
      </c>
      <c r="AFB20" t="str">
        <f>IF(WSASWAJA!$V$86&lt;74.9,"P","")</f>
        <v/>
      </c>
      <c r="AFC20" s="102" t="str">
        <f>IF(AND(WSASWAJA!$V$86&gt;=75,WSASWAJA!$V$86&lt;=83.24),"P","")</f>
        <v/>
      </c>
      <c r="AFD20" s="102" t="str">
        <f>IF(AND(WSASWAJA!$V$86&gt;=83.25,WSASWAJA!$V$86&lt;=91.4),"P","")</f>
        <v/>
      </c>
      <c r="AFE20" s="102" t="str">
        <f>IF(AND(WSASWAJA!$V$86&gt;=91.5,WSASWAJA!$V$86&lt;=100),"P","")</f>
        <v/>
      </c>
      <c r="AFF20" t="str">
        <f>IF(WSASWAJA!$V$94&lt;74.9,"P","")</f>
        <v/>
      </c>
      <c r="AFG20" s="102" t="str">
        <f>IF(AND(WSASWAJA!$V$94&gt;=75,WSASWAJA!$V$94&lt;=83.24),"P","")</f>
        <v/>
      </c>
      <c r="AFH20" s="102" t="str">
        <f>IF(AND(WSASWAJA!$V$94&gt;=83.25,WSASWAJA!$V$94&lt;=91.4),"P","")</f>
        <v/>
      </c>
      <c r="AFI20" s="102" t="str">
        <f>IF(AND(WSASWAJA!$V$94&gt;=91.5,WSASWAJA!$V$94&lt;=100),"P","")</f>
        <v/>
      </c>
      <c r="AFJ20" t="str">
        <f>IF(WSASWAJA!$V$102&lt;74.9,"P","")</f>
        <v/>
      </c>
      <c r="AFK20" s="102" t="str">
        <f>IF(AND(WSASWAJA!$V$102&gt;=75,WSASWAJA!$V$102&lt;=83.24),"P","")</f>
        <v/>
      </c>
      <c r="AFL20" s="102" t="str">
        <f>IF(AND(WSASWAJA!$V$102&gt;=83.25,WSASWAJA!$V$102&lt;=91.4),"P","")</f>
        <v/>
      </c>
      <c r="AFM20" s="102" t="str">
        <f>IF(AND(WSASWAJA!$V$102&gt;=91.5,WSASWAJA!$V$102&lt;=100),"P","")</f>
        <v/>
      </c>
    </row>
    <row r="21" spans="1:845" ht="20.100000000000001" customHeight="1">
      <c r="A21">
        <v>19</v>
      </c>
      <c r="B21" t="str">
        <f>IF(WSALQURAN!$W$6&lt;74.9,"P","")</f>
        <v/>
      </c>
      <c r="C21" s="102" t="str">
        <f>IF(AND(WSALQURAN!$W$6&gt;=75,WSALQURAN!$W$6&lt;=83.24),"P","")</f>
        <v>P</v>
      </c>
      <c r="D21" s="102" t="str">
        <f>IF(AND(WSALQURAN!$W$6&gt;=83.25,WSALQURAN!$W$6&lt;=91.4),"P","")</f>
        <v/>
      </c>
      <c r="E21" s="102" t="str">
        <f>IF(AND(WSALQURAN!$W$6&gt;=91.5,WSALQURAN!$W$6&lt;=100),"P","")</f>
        <v/>
      </c>
      <c r="F21" t="str">
        <f>IF(WSALQURAN!$W$14&lt;74.9,"P","")</f>
        <v/>
      </c>
      <c r="G21" s="102" t="str">
        <f>IF(AND(WSALQURAN!$W$14&gt;=75,WSALQURAN!$W$14&lt;=83.24),"P","")</f>
        <v/>
      </c>
      <c r="H21" s="102" t="str">
        <f>IF(AND(WSALQURAN!$W$14&gt;=83.25,WSALQURAN!$W$14&lt;=91.4),"P","")</f>
        <v>P</v>
      </c>
      <c r="I21" s="102" t="str">
        <f>IF(AND(WSALQURAN!$W$14&gt;=91.5,WSALQURAN!$W$14&lt;=100),"P","")</f>
        <v/>
      </c>
      <c r="J21" t="str">
        <f>IF(WSALQURAN!$W$22&lt;74.9,"P","")</f>
        <v/>
      </c>
      <c r="K21" s="102" t="str">
        <f>IF(AND(WSALQURAN!$W$22&gt;=75,WSALQURAN!$W$22&lt;=83.24),"P","")</f>
        <v/>
      </c>
      <c r="L21" s="102" t="str">
        <f>IF(AND(WSALQURAN!$W$22&gt;=83.25,WSALQURAN!$W$22&lt;=91.4),"P","")</f>
        <v/>
      </c>
      <c r="M21" s="102" t="str">
        <f>IF(AND(WSALQURAN!$W$22&gt;=91.5,WSALQURAN!$W$22&lt;=100),"P","")</f>
        <v>P</v>
      </c>
      <c r="N21" t="str">
        <f>IF(WSALQURAN!$W$30&lt;74.9,"P","")</f>
        <v/>
      </c>
      <c r="O21" s="102" t="str">
        <f>IF(AND(WSALQURAN!$W$30&gt;=75,WSALQURAN!$W$30&lt;=83.24),"P","")</f>
        <v>P</v>
      </c>
      <c r="P21" s="102" t="str">
        <f>IF(AND(WSALQURAN!$W$30&gt;=83.25,WSALQURAN!$W$30&lt;=91.4),"P","")</f>
        <v/>
      </c>
      <c r="Q21" s="102" t="str">
        <f>IF(AND(WSALQURAN!$W$30&gt;=91.5,WSALQURAN!$W$30&lt;=100),"P","")</f>
        <v/>
      </c>
      <c r="R21" t="str">
        <f>IF(WSALQURAN!$W$38&lt;74.9,"P","")</f>
        <v/>
      </c>
      <c r="S21" s="102" t="str">
        <f>IF(AND(WSALQURAN!$W$38&gt;=75,WSALQURAN!$W$38&lt;=83.24),"P","")</f>
        <v>P</v>
      </c>
      <c r="T21" s="102" t="str">
        <f>IF(AND(WSALQURAN!$W$38&gt;=83.25,WSALQURAN!$W$38&lt;=91.4),"P","")</f>
        <v/>
      </c>
      <c r="U21" s="102" t="str">
        <f>IF(AND(WSALQURAN!$W$38&gt;=91.5,WSALQURAN!$W$38&lt;=100),"P","")</f>
        <v/>
      </c>
      <c r="V21" t="str">
        <f>IF(WSALQURAN!$W$46&lt;74.9,"P","")</f>
        <v/>
      </c>
      <c r="W21" s="102" t="str">
        <f>IF(AND(WSALQURAN!$W$46&gt;=75,WSALQURAN!$W$46&lt;=83.24),"P","")</f>
        <v/>
      </c>
      <c r="X21" s="102" t="str">
        <f>IF(AND(WSALQURAN!$W$46&gt;=83.25,WSALQURAN!$W$46&lt;=91.4),"P","")</f>
        <v>P</v>
      </c>
      <c r="Y21" s="102" t="str">
        <f>IF(AND(WSALQURAN!$W$46&gt;=91.5,WSALQURAN!$W$46&lt;=100),"P","")</f>
        <v/>
      </c>
      <c r="Z21" t="str">
        <f>IF(WSALQURAN!$W$54&lt;74.9,"P","")</f>
        <v/>
      </c>
      <c r="AA21" s="102" t="str">
        <f>IF(AND(WSALQURAN!$W$54&gt;=75,WSALQURAN!$W$54&lt;=83.24),"P","")</f>
        <v/>
      </c>
      <c r="AB21" s="102" t="str">
        <f>IF(AND(WSALQURAN!$W$54&gt;=83.25,WSALQURAN!$W$54&lt;=91.4),"P","")</f>
        <v>P</v>
      </c>
      <c r="AC21" s="102" t="str">
        <f>IF(AND(WSALQURAN!$W$54&gt;=91.5,WSALQURAN!$W$54&lt;=100),"P","")</f>
        <v/>
      </c>
      <c r="AD21" t="str">
        <f>IF(WSALQURAN!$W$62&lt;74.9,"P","")</f>
        <v/>
      </c>
      <c r="AE21" s="102" t="str">
        <f>IF(AND(WSALQURAN!$W$62&gt;=75,WSALQURAN!$W$62&lt;=83.24),"P","")</f>
        <v/>
      </c>
      <c r="AF21" s="102" t="str">
        <f>IF(AND(WSALQURAN!$W$62&gt;=83.25,WSALQURAN!$W$62&lt;=91.4),"P","")</f>
        <v/>
      </c>
      <c r="AG21" s="102" t="str">
        <f>IF(AND(WSALQURAN!$W$62&gt;=91.5,WSALQURAN!$W$62&lt;=100),"P","")</f>
        <v/>
      </c>
      <c r="AH21" t="str">
        <f>IF(WSALQURAN!$W$70&lt;74.9,"P","")</f>
        <v/>
      </c>
      <c r="AI21" s="102" t="str">
        <f>IF(AND(WSALQURAN!$W$70&gt;=75,WSALQURAN!$W$70&lt;=83.24),"P","")</f>
        <v/>
      </c>
      <c r="AJ21" s="102" t="str">
        <f>IF(AND(WSALQURAN!$W$70&gt;=83.25,WSALQURAN!$W$70&lt;=91.4),"P","")</f>
        <v/>
      </c>
      <c r="AK21" s="102" t="str">
        <f>IF(AND(WSALQURAN!$W$70&gt;=91.5,WSALQURAN!$W$70&lt;=100),"P","")</f>
        <v/>
      </c>
      <c r="AL21" t="str">
        <f>IF(WSALQURAN!$W$78&lt;74.9,"P","")</f>
        <v/>
      </c>
      <c r="AM21" s="102" t="str">
        <f>IF(AND(WSALQURAN!$W$78&gt;=75,WSALQURAN!$W$78&lt;=83.24),"P","")</f>
        <v/>
      </c>
      <c r="AN21" s="102" t="str">
        <f>IF(AND(WSALQURAN!$W$78&gt;=83.25,WSALQURAN!$W$78&lt;=91.4),"P","")</f>
        <v/>
      </c>
      <c r="AO21" s="102" t="str">
        <f>IF(AND(WSALQURAN!$W$78&gt;=91.5,WSALQURAN!$W$78&lt;=100),"P","")</f>
        <v/>
      </c>
      <c r="AP21" t="str">
        <f>IF(WSALQURAN!$W$86&lt;74.9,"P","")</f>
        <v/>
      </c>
      <c r="AQ21" s="102" t="str">
        <f>IF(AND(WSALQURAN!$W$86&gt;=75,WSALQURAN!$W$86&lt;=83.24),"P","")</f>
        <v/>
      </c>
      <c r="AR21" s="102" t="str">
        <f>IF(AND(WSALQURAN!$W$86&gt;=83.25,WSALQURAN!$W$86&lt;=91.4),"P","")</f>
        <v/>
      </c>
      <c r="AS21" s="102" t="str">
        <f>IF(AND(WSALQURAN!$W$86&gt;=91.5,WSALQURAN!$W$86&lt;=100),"P","")</f>
        <v/>
      </c>
      <c r="AT21" t="str">
        <f>IF(WSALQURAN!$W$94&lt;74.9,"P","")</f>
        <v/>
      </c>
      <c r="AU21" s="102" t="str">
        <f>IF(AND(WSALQURAN!$W$94&gt;=75,WSALQURAN!$W$94&lt;=83.24),"P","")</f>
        <v/>
      </c>
      <c r="AV21" s="102" t="str">
        <f>IF(AND(WSALQURAN!$W$94&gt;=83.25,WSALQURAN!$W$94&lt;=91.4),"P","")</f>
        <v/>
      </c>
      <c r="AW21" s="102" t="str">
        <f>IF(AND(WSALQURAN!$W$94&gt;=91.5,WSALQURAN!$W$94&lt;=100),"P","")</f>
        <v/>
      </c>
      <c r="AX21" t="str">
        <f>IF(WSALQURAN!$W$102&lt;74.9,"P","")</f>
        <v/>
      </c>
      <c r="AY21" s="102" t="str">
        <f>IF(AND(WSALQURAN!$W$102&gt;=75,WSALQURAN!$W$102&lt;=83.24),"P","")</f>
        <v/>
      </c>
      <c r="AZ21" s="102" t="str">
        <f>IF(AND(WSALQURAN!$W$102&gt;=83.25,WSALQURAN!$W$102&lt;=91.4),"P","")</f>
        <v/>
      </c>
      <c r="BA21" s="102" t="str">
        <f>IF(AND(WSALQURAN!$W$102&gt;=91.5,WSALQURAN!$W$102&lt;=100),"P","")</f>
        <v/>
      </c>
      <c r="BB21" t="str">
        <f>IF(WSAQIDAH!$W$6&lt;74.9,"P","")</f>
        <v/>
      </c>
      <c r="BC21" s="102" t="str">
        <f>IF(AND(WSAQIDAH!$W$6&gt;=75,WSAQIDAH!$W$6&lt;=83.24),"P","")</f>
        <v>P</v>
      </c>
      <c r="BD21" s="102" t="str">
        <f>IF(AND(WSAQIDAH!$W$6&gt;=83.25,WSAQIDAH!$W$6&lt;=91.4),"P","")</f>
        <v/>
      </c>
      <c r="BE21" s="102" t="str">
        <f>IF(AND(WSAQIDAH!$W$6&gt;=91.5,WSAQIDAH!$W$6&lt;=100),"P","")</f>
        <v/>
      </c>
      <c r="BF21" t="str">
        <f>IF(WSAQIDAH!$W$14&lt;74.9,"P","")</f>
        <v/>
      </c>
      <c r="BG21" s="102" t="str">
        <f>IF(AND(WSAQIDAH!$W$14&gt;=75,WSAQIDAH!$W$14&lt;=83.24),"P","")</f>
        <v/>
      </c>
      <c r="BH21" s="102" t="str">
        <f>IF(AND(WSAQIDAH!$W$14&gt;=83.25,WSAQIDAH!$W$14&lt;=91.4),"P","")</f>
        <v/>
      </c>
      <c r="BI21" s="102" t="str">
        <f>IF(AND(WSAQIDAH!$W$14&gt;=91.5,WSAQIDAH!$W$14&lt;=100),"P","")</f>
        <v>P</v>
      </c>
      <c r="BJ21" t="str">
        <f>IF(WSAQIDAH!$W$22&lt;74.9,"P","")</f>
        <v/>
      </c>
      <c r="BK21" s="102" t="str">
        <f>IF(AND(WSAQIDAH!$W$22&gt;=75,WSAQIDAH!$W$22&lt;=83.24),"P","")</f>
        <v>P</v>
      </c>
      <c r="BL21" s="102" t="str">
        <f>IF(AND(WSAQIDAH!$W$22&gt;=83.25,WSAQIDAH!$W$22&lt;=91.4),"P","")</f>
        <v/>
      </c>
      <c r="BM21" s="102" t="str">
        <f>IF(AND(WSAQIDAH!$W$22&gt;=91.5,WSAQIDAH!$W$22&lt;=100),"P","")</f>
        <v/>
      </c>
      <c r="BN21" t="str">
        <f>IF(WSAQIDAH!$W$30&lt;74.9,"P","")</f>
        <v/>
      </c>
      <c r="BO21" s="102" t="str">
        <f>IF(AND(WSAQIDAH!$W$30&gt;=75,WSAQIDAH!$W$30&lt;=83.24),"P","")</f>
        <v/>
      </c>
      <c r="BP21" s="102" t="str">
        <f>IF(AND(WSAQIDAH!$W$30&gt;=83.25,WSAQIDAH!$W$30&lt;=91.4),"P","")</f>
        <v>P</v>
      </c>
      <c r="BQ21" s="102" t="str">
        <f>IF(AND(WSAQIDAH!$W$30&gt;=91.5,WSAQIDAH!$W$30&lt;=100),"P","")</f>
        <v/>
      </c>
      <c r="BR21" t="str">
        <f>IF(WSAQIDAH!$W$38&lt;74.9,"P","")</f>
        <v/>
      </c>
      <c r="BS21" s="102" t="str">
        <f>IF(AND(WSAQIDAH!$W$38&gt;=75,WSAQIDAH!$W$38&lt;=83.24),"P","")</f>
        <v/>
      </c>
      <c r="BT21" s="102" t="str">
        <f>IF(AND(WSAQIDAH!$W$38&gt;=83.25,WSAQIDAH!$W$38&lt;=91.4),"P","")</f>
        <v/>
      </c>
      <c r="BU21" s="102" t="str">
        <f>IF(AND(WSAQIDAH!$W$38&gt;=91.5,WSAQIDAH!$W$38&lt;=100),"P","")</f>
        <v>P</v>
      </c>
      <c r="BV21" t="str">
        <f>IF(WSAQIDAH!$W$46&lt;74.9,"P","")</f>
        <v/>
      </c>
      <c r="BW21" s="102" t="str">
        <f>IF(AND(WSAQIDAH!$W$46&gt;=75,WSAQIDAH!$W$46&lt;=83.24),"P","")</f>
        <v/>
      </c>
      <c r="BX21" s="102" t="str">
        <f>IF(AND(WSAQIDAH!$W$46&gt;=83.25,WSAQIDAH!$W$46&lt;=91.4),"P","")</f>
        <v/>
      </c>
      <c r="BY21" s="102" t="str">
        <f>IF(AND(WSAQIDAH!$W$46&gt;=91.5,WSAQIDAH!$W$46&lt;=100),"P","")</f>
        <v>P</v>
      </c>
      <c r="BZ21" t="str">
        <f>IF(WSAQIDAH!$W$54&lt;74.9,"P","")</f>
        <v/>
      </c>
      <c r="CA21" s="102" t="str">
        <f>IF(AND(WSAQIDAH!$W$54&gt;=75,WSAQIDAH!$W$54&lt;=83.24),"P","")</f>
        <v/>
      </c>
      <c r="CB21" s="102" t="str">
        <f>IF(AND(WSAQIDAH!$W$54&gt;=83.25,WSAQIDAH!$W$54&lt;=91.4),"P","")</f>
        <v>P</v>
      </c>
      <c r="CC21" s="102" t="str">
        <f>IF(AND(WSAQIDAH!$W$54&gt;=91.5,WSAQIDAH!$W$54&lt;=100),"P","")</f>
        <v/>
      </c>
      <c r="CD21" t="str">
        <f>IF(WSAQIDAH!$W$62&lt;74.9,"P","")</f>
        <v/>
      </c>
      <c r="CE21" s="102" t="str">
        <f>IF(AND(WSAQIDAH!$W$62&gt;=75,WSAQIDAH!$W$62&lt;=83.24),"P","")</f>
        <v>P</v>
      </c>
      <c r="CF21" s="102" t="str">
        <f>IF(AND(WSAQIDAH!$W$62&gt;=83.25,WSAQIDAH!$W$62&lt;=91.4),"P","")</f>
        <v/>
      </c>
      <c r="CG21" s="102" t="str">
        <f>IF(AND(WSAQIDAH!$W$62&gt;=91.5,WSAQIDAH!$W$62&lt;=100),"P","")</f>
        <v/>
      </c>
      <c r="CH21" t="str">
        <f>IF(WSAQIDAH!$W$70&lt;74.9,"P","")</f>
        <v/>
      </c>
      <c r="CI21" s="102" t="str">
        <f>IF(AND(WSAQIDAH!$W$70&gt;=75,WSAQIDAH!$W$70&lt;=83.24),"P","")</f>
        <v>P</v>
      </c>
      <c r="CJ21" s="102" t="str">
        <f>IF(AND(WSAQIDAH!$W$70&gt;=83.25,WSAQIDAH!$W$70&lt;=91.4),"P","")</f>
        <v/>
      </c>
      <c r="CK21" s="102" t="str">
        <f>IF(AND(WSAQIDAH!$W$70&gt;=91.5,WSAQIDAH!$W$70&lt;=100),"P","")</f>
        <v/>
      </c>
      <c r="CL21" t="str">
        <f>IF(WSAQIDAH!$W$78&lt;74.9,"P","")</f>
        <v/>
      </c>
      <c r="CM21" s="102" t="str">
        <f>IF(AND(WSAQIDAH!$W$78&gt;=75,WSAQIDAH!$W$78&lt;=83.24),"P","")</f>
        <v>P</v>
      </c>
      <c r="CN21" s="102" t="str">
        <f>IF(AND(WSAQIDAH!$W$78&gt;=83.25,WSAQIDAH!$W$78&lt;=91.4),"P","")</f>
        <v/>
      </c>
      <c r="CO21" s="102" t="str">
        <f>IF(AND(WSAQIDAH!$W$78&gt;=91.5,WSAQIDAH!$W$78&lt;=100),"P","")</f>
        <v/>
      </c>
      <c r="CP21" t="str">
        <f>IF(WSAQIDAH!$W$86&lt;74.9,"P","")</f>
        <v/>
      </c>
      <c r="CQ21" s="102" t="str">
        <f>IF(AND(WSAQIDAH!$W$86&gt;=75,WSAQIDAH!$W$86&lt;=83.24),"P","")</f>
        <v/>
      </c>
      <c r="CR21" s="102" t="str">
        <f>IF(AND(WSAQIDAH!$W$86&gt;=83.25,WSAQIDAH!$W$86&lt;=91.4),"P","")</f>
        <v/>
      </c>
      <c r="CS21" s="102" t="str">
        <f>IF(AND(WSAQIDAH!$W$86&gt;=91.5,WSAQIDAH!$W$86&lt;=100),"P","")</f>
        <v/>
      </c>
      <c r="CT21" t="str">
        <f>IF(WSAQIDAH!$W$94&lt;74.9,"P","")</f>
        <v/>
      </c>
      <c r="CU21" s="102" t="str">
        <f>IF(AND(WSAQIDAH!$W$94&gt;=75,WSAQIDAH!$W$94&lt;=83.24),"P","")</f>
        <v/>
      </c>
      <c r="CV21" s="102" t="str">
        <f>IF(AND(WSAQIDAH!$W$94&gt;=83.25,WSAQIDAH!$W$94&lt;=91.4),"P","")</f>
        <v/>
      </c>
      <c r="CW21" s="102" t="str">
        <f>IF(AND(WSAQIDAH!$W$94&gt;=91.5,WSAQIDAH!$W$94&lt;=100),"P","")</f>
        <v/>
      </c>
      <c r="CX21" t="str">
        <f>IF(WSAQIDAH!$W$102&lt;74.9,"P","")</f>
        <v/>
      </c>
      <c r="CY21" s="102" t="str">
        <f>IF(AND(WSAQIDAH!$W$102&gt;=75,WSAQIDAH!$W$102&lt;=83.24),"P","")</f>
        <v/>
      </c>
      <c r="CZ21" s="102" t="str">
        <f>IF(AND(WSAQIDAH!$W$102&gt;=83.25,WSAQIDAH!$W$102&lt;=91.4),"P","")</f>
        <v/>
      </c>
      <c r="DA21" s="102" t="str">
        <f>IF(AND(WSAQIDAH!$W$102&gt;=91.5,WSAQIDAH!$W$102&lt;=100),"P","")</f>
        <v/>
      </c>
      <c r="DB21" t="str">
        <f>IF(WSSKI!$W$6&lt;74.9,"P","")</f>
        <v/>
      </c>
      <c r="DC21" s="102" t="str">
        <f>IF(AND(WSSKI!$W$6&gt;=75,WSSKI!$W$6&lt;=83.24),"P","")</f>
        <v>P</v>
      </c>
      <c r="DD21" s="102" t="str">
        <f>IF(AND(WSSKI!$W$6&gt;=83.25,WSSKI!$W$6&lt;=91.4),"P","")</f>
        <v/>
      </c>
      <c r="DE21" s="102" t="str">
        <f>IF(AND(WSSKI!$W$6&gt;=91.5,WSSKI!$W$6&lt;=100),"P","")</f>
        <v/>
      </c>
      <c r="DF21" t="str">
        <f>IF(WSSKI!$W$14&lt;74.9,"P","")</f>
        <v/>
      </c>
      <c r="DG21" s="102" t="str">
        <f>IF(AND(WSSKI!$W$14&gt;=75,WSSKI!$W$14&lt;=83.24),"P","")</f>
        <v/>
      </c>
      <c r="DH21" s="102" t="str">
        <f>IF(AND(WSSKI!$W$14&gt;=83.25,WSSKI!$W$14&lt;=91.4),"P","")</f>
        <v>P</v>
      </c>
      <c r="DI21" s="102" t="str">
        <f>IF(AND(WSSKI!$W$14&gt;=91.5,WSSKI!$W$14&lt;=100),"P","")</f>
        <v/>
      </c>
      <c r="DJ21" t="str">
        <f>IF(WSSKI!$W$23&lt;74.9,"P","")</f>
        <v/>
      </c>
      <c r="DK21" s="102" t="str">
        <f>IF(AND(WSSKI!$W$23&gt;=75,WSSKI!$W$23&lt;=83.24),"P","")</f>
        <v>P</v>
      </c>
      <c r="DL21" s="102" t="str">
        <f>IF(AND(WSSKI!$W$23&gt;=83.25,WSSKI!$W$23&lt;=91.4),"P","")</f>
        <v/>
      </c>
      <c r="DM21" s="102" t="str">
        <f>IF(AND(WSSKI!$W$23&gt;=91.5,WSSKI!$W$23&lt;=100),"P","")</f>
        <v/>
      </c>
      <c r="DN21" t="str">
        <f>IF(WSSKI!$W$31&lt;74.9,"P","")</f>
        <v/>
      </c>
      <c r="DO21" s="102" t="str">
        <f>IF(AND(WSSKI!$W$31&gt;=75,WSSKI!$W$31&lt;=83.24),"P","")</f>
        <v/>
      </c>
      <c r="DP21" s="102" t="str">
        <f>IF(AND(WSSKI!$W$31&gt;=83.25,WSSKI!$W$31&lt;=91.4),"P","")</f>
        <v>P</v>
      </c>
      <c r="DQ21" s="102" t="str">
        <f>IF(AND(WSSKI!$W$31&gt;=91.5,WSSKI!$W$31&lt;=100),"P","")</f>
        <v/>
      </c>
      <c r="DR21" t="str">
        <f>IF(WSSKI!$W$40&lt;74.9,"P","")</f>
        <v/>
      </c>
      <c r="DS21" s="102" t="str">
        <f>IF(AND(WSSKI!$W$40&gt;=75,WSSKI!$W$40&lt;=83.24),"P","")</f>
        <v>P</v>
      </c>
      <c r="DT21" s="102" t="str">
        <f>IF(AND(WSSKI!$W$40&gt;=83.25,WSSKI!$W$40&lt;=91.4),"P","")</f>
        <v/>
      </c>
      <c r="DU21" s="102" t="str">
        <f>IF(AND(WSSKI!$W$40&gt;=91.5,WSSKI!$W$40&lt;=100),"P","")</f>
        <v/>
      </c>
      <c r="DV21" t="str">
        <f>IF(WSSKI!$W$48&lt;74.9,"P","")</f>
        <v/>
      </c>
      <c r="DW21" s="102" t="str">
        <f>IF(AND(WSSKI!$W$48&gt;=75,WSSKI!$W$48&lt;=83.24),"P","")</f>
        <v>P</v>
      </c>
      <c r="DX21" s="102" t="str">
        <f>IF(AND(WSSKI!$W$48&gt;=83.25,WSSKI!$W$48&lt;=91.4),"P","")</f>
        <v/>
      </c>
      <c r="DY21" s="102" t="str">
        <f>IF(AND(WSSKI!$W$48&gt;=91.5,WSSKI!$W$48&lt;=100),"P","")</f>
        <v/>
      </c>
      <c r="DZ21" t="str">
        <f>IF(WSSKI!$W$56&lt;74.9,"P","")</f>
        <v/>
      </c>
      <c r="EA21" s="102" t="str">
        <f>IF(AND(WSSKI!$W$56&gt;=75,WSSKI!$W$56&lt;=83.24),"P","")</f>
        <v/>
      </c>
      <c r="EB21" s="102" t="str">
        <f>IF(AND(WSSKI!$W$56&gt;=83.25,WSSKI!$W$56&lt;=91.4),"P","")</f>
        <v/>
      </c>
      <c r="EC21" s="102" t="str">
        <f>IF(AND(WSSKI!$W$56&gt;=91.5,WSSKI!$W$56&lt;=100),"P","")</f>
        <v/>
      </c>
      <c r="ED21" t="str">
        <f>IF(WSSKI!$W$64&lt;74.9,"P","")</f>
        <v/>
      </c>
      <c r="EE21" s="102" t="str">
        <f>IF(AND(WSSKI!$W$64&gt;=75,WSSKI!$W$64&lt;=83.24),"P","")</f>
        <v/>
      </c>
      <c r="EF21" s="102" t="str">
        <f>IF(AND(WSSKI!$W$64&gt;=83.25,WSSKI!$W$64&lt;=91.4),"P","")</f>
        <v/>
      </c>
      <c r="EG21" s="102" t="str">
        <f>IF(AND(WSSKI!$W$64&gt;=91.5,WSSKI!$W$64&lt;=100),"P","")</f>
        <v/>
      </c>
      <c r="EH21" t="str">
        <f>IF(WSSKI!$W$72&lt;74.9,"P","")</f>
        <v/>
      </c>
      <c r="EI21" s="102" t="str">
        <f>IF(AND(WSSKI!$W$72&gt;=75,WSSKI!$W$72&lt;=83.24),"P","")</f>
        <v/>
      </c>
      <c r="EJ21" s="102" t="str">
        <f>IF(AND(WSSKI!$W$72&gt;=83.25,WSSKI!$W$72&lt;=91.4),"P","")</f>
        <v/>
      </c>
      <c r="EK21" s="102" t="str">
        <f>IF(AND(WSSKI!$W$72&gt;=91.5,WSSKI!$W$72&lt;=100),"P","")</f>
        <v/>
      </c>
      <c r="EL21" t="str">
        <f>IF(WSSKI!$W$80&lt;74.9,"P","")</f>
        <v/>
      </c>
      <c r="EM21" s="102" t="str">
        <f>IF(AND(WSSKI!$W$80&gt;=75,WSSKI!$W$80&lt;=83.24),"P","")</f>
        <v/>
      </c>
      <c r="EN21" s="102" t="str">
        <f>IF(AND(WSSKI!$W$80&gt;=83.25,WSSKI!$W$80&lt;=91.4),"P","")</f>
        <v/>
      </c>
      <c r="EO21" s="102" t="str">
        <f>IF(AND(WSSKI!$W$80&gt;=91.5,WSSKI!$W$80&lt;=100),"P","")</f>
        <v/>
      </c>
      <c r="EP21" t="str">
        <f>IF(WSSKI!$W$88&lt;74.9,"P","")</f>
        <v/>
      </c>
      <c r="EQ21" s="102" t="str">
        <f>IF(AND(WSSKI!$W$88&gt;=75,WSSKI!$W$88&lt;=83.24),"P","")</f>
        <v/>
      </c>
      <c r="ER21" s="102" t="str">
        <f>IF(AND(WSSKI!$W$88&gt;=83.25,WSSKI!$W$88&lt;=91.4),"P","")</f>
        <v/>
      </c>
      <c r="ES21" s="102" t="str">
        <f>IF(AND(WSSKI!$W$88&gt;=91.5,WSSKI!$W$88&lt;=100),"P","")</f>
        <v/>
      </c>
      <c r="ET21" t="str">
        <f>IF(WSSKI!$W$96&lt;74.9,"P","")</f>
        <v/>
      </c>
      <c r="EU21" s="102" t="str">
        <f>IF(AND(WSSKI!$W$96&gt;=75,WSSKI!$W$96&lt;=83.24),"P","")</f>
        <v/>
      </c>
      <c r="EV21" s="102" t="str">
        <f>IF(AND(WSSKI!$W$96&gt;=83.25,WSSKI!$W$96&lt;=91.4),"P","")</f>
        <v/>
      </c>
      <c r="EW21" s="102" t="str">
        <f>IF(AND(WSSKI!$W$96&gt;=91.5,WSSKI!$W$96&lt;=100),"P","")</f>
        <v/>
      </c>
      <c r="EX21" t="str">
        <f>IF(WSSKI!$W$104&lt;74.9,"P","")</f>
        <v/>
      </c>
      <c r="EY21" s="102" t="str">
        <f>IF(AND(WSSKI!$W$104&gt;=75,WSSKI!$W$104&lt;=83.24),"P","")</f>
        <v/>
      </c>
      <c r="EZ21" s="102" t="str">
        <f>IF(AND(WSSKI!$W$104&gt;=83.25,WSSKI!$W$104&lt;=91.4),"P","")</f>
        <v/>
      </c>
      <c r="FA21" s="102" t="str">
        <f>IF(AND(WSSKI!$W$104&gt;=91.5,WSSKI!$W$104&lt;=100),"P","")</f>
        <v/>
      </c>
      <c r="FB21" t="str">
        <f>IF(WSFIQIH!$W$6&lt;74.9,"P","")</f>
        <v/>
      </c>
      <c r="FC21" s="102" t="str">
        <f>IF(AND(WSFIQIH!$W$6&gt;=75,WSFIQIH!$W$6&lt;=83.24),"P","")</f>
        <v>P</v>
      </c>
      <c r="FD21" s="102" t="str">
        <f>IF(AND(WSFIQIH!$W$6&gt;=83.25,WSFIQIH!$W$6&lt;=91.4),"P","")</f>
        <v/>
      </c>
      <c r="FE21" s="102" t="str">
        <f>IF(AND(WSFIQIH!$W$6&gt;=91.5,WSFIQIH!$W$6&lt;=100),"P","")</f>
        <v/>
      </c>
      <c r="FF21" t="str">
        <f>IF(WSFIQIH!$W$19&lt;74.9,"P","")</f>
        <v/>
      </c>
      <c r="FG21" s="102" t="str">
        <f>IF(AND(WSFIQIH!$W$19&gt;=75,WSFIQIH!$W$19&lt;=83.24),"P","")</f>
        <v/>
      </c>
      <c r="FH21" s="102" t="str">
        <f>IF(AND(WSFIQIH!$W$19&gt;=83.25,WSFIQIH!$W$19&lt;=91.4),"P","")</f>
        <v/>
      </c>
      <c r="FI21" s="102" t="str">
        <f>IF(AND(WSFIQIH!$W$19&gt;=91.5,WSFIQIH!$W$19&lt;=100),"P","")</f>
        <v>P</v>
      </c>
      <c r="FJ21" t="str">
        <f>IF(WSFIQIH!$W$28&lt;74.9,"P","")</f>
        <v/>
      </c>
      <c r="FK21" s="102" t="str">
        <f>IF(AND(WSFIQIH!$W$28&gt;=75,WSFIQIH!$W$28&lt;=83.24),"P","")</f>
        <v>P</v>
      </c>
      <c r="FL21" s="102" t="str">
        <f>IF(AND(WSFIQIH!$W$28&gt;=83.25,WSFIQIH!$W$28&lt;=91.4),"P","")</f>
        <v/>
      </c>
      <c r="FM21" s="102" t="str">
        <f>IF(AND(WSFIQIH!$W$28&gt;=91.5,WSFIQIH!$W$28&lt;=100),"P","")</f>
        <v/>
      </c>
      <c r="FN21" t="str">
        <f>IF(WSFIQIH!$W$41&lt;74.9,"P","")</f>
        <v/>
      </c>
      <c r="FO21" s="102" t="str">
        <f>IF(AND(WSFIQIH!$W$41&gt;=75,WSFIQIH!$W$41&lt;=83.24),"P","")</f>
        <v>P</v>
      </c>
      <c r="FP21" s="102" t="str">
        <f>IF(AND(WSFIQIH!$W$41&gt;=83.25,WSFIQIH!$W$41&lt;=91.4),"P","")</f>
        <v/>
      </c>
      <c r="FQ21" s="102" t="str">
        <f>IF(AND(WSFIQIH!$W$41&gt;=91.5,WSFIQIH!$W$41&lt;=100),"P","")</f>
        <v/>
      </c>
      <c r="FR21" t="str">
        <f>IF(WSFIQIH!$W$49&lt;74.9,"P","")</f>
        <v/>
      </c>
      <c r="FS21" s="102" t="str">
        <f>IF(AND(WSFIQIH!$W$49&gt;=75,WSFIQIH!$W$49&lt;=83.24),"P","")</f>
        <v>P</v>
      </c>
      <c r="FT21" s="102" t="str">
        <f>IF(AND(WSFIQIH!$W$49&gt;=83.25,WSFIQIH!$W$49&lt;=91.4),"P","")</f>
        <v/>
      </c>
      <c r="FU21" s="102" t="str">
        <f>IF(AND(WSFIQIH!$W$49&gt;=91.5,WSFIQIH!$W$49&lt;=100),"P","")</f>
        <v/>
      </c>
      <c r="FV21" t="str">
        <f>IF(WSFIQIH!$W$62&lt;74.9,"P","")</f>
        <v/>
      </c>
      <c r="FW21" s="102" t="str">
        <f>IF(AND(WSFIQIH!$W$62&gt;=75,WSFIQIH!$W$62&lt;=83.24),"P","")</f>
        <v/>
      </c>
      <c r="FX21" s="102" t="str">
        <f>IF(AND(WSFIQIH!$W$62&gt;=83.25,WSFIQIH!$W$62&lt;=91.4),"P","")</f>
        <v>P</v>
      </c>
      <c r="FY21" s="102" t="str">
        <f>IF(AND(WSFIQIH!$W$62&gt;=91.5,WSFIQIH!$W$62&lt;=100),"P","")</f>
        <v/>
      </c>
      <c r="FZ21" t="str">
        <f>IF(WSFIQIH!$W$71&lt;74.9,"P","")</f>
        <v/>
      </c>
      <c r="GA21" s="102" t="str">
        <f>IF(AND(WSFIQIH!$W$71&gt;=75,WSFIQIH!$W$71&lt;=83.24),"P","")</f>
        <v/>
      </c>
      <c r="GB21" s="102" t="str">
        <f>IF(AND(WSFIQIH!$W$71&gt;=83.25,WSFIQIH!$W$71&lt;=91.4),"P","")</f>
        <v/>
      </c>
      <c r="GC21" s="102" t="str">
        <f>IF(AND(WSFIQIH!$W$71&gt;=91.5,WSFIQIH!$W$71&lt;=100),"P","")</f>
        <v>P</v>
      </c>
      <c r="GD21" t="str">
        <f>IF(WSFIQIH!$W$80&lt;74.9,"P","")</f>
        <v/>
      </c>
      <c r="GE21" s="102" t="str">
        <f>IF(AND(WSFIQIH!$W$80&gt;=75,WSFIQIH!$W$80&lt;=83.24),"P","")</f>
        <v>P</v>
      </c>
      <c r="GF21" s="102" t="str">
        <f>IF(AND(WSFIQIH!$W$80&gt;=83.25,WSFIQIH!$W$80&lt;=91.4),"P","")</f>
        <v/>
      </c>
      <c r="GG21" s="102" t="str">
        <f>IF(AND(WSFIQIH!$W$80&gt;=91.5,WSFIQIH!$W$80&lt;=100),"P","")</f>
        <v/>
      </c>
      <c r="GH21" t="str">
        <f>IF(WSFIQIH!$W$88&lt;74.9,"P","")</f>
        <v/>
      </c>
      <c r="GI21" s="102" t="str">
        <f>IF(AND(WSFIQIH!$W$88&gt;=75,WSFIQIH!$W$88&lt;=83.24),"P","")</f>
        <v/>
      </c>
      <c r="GJ21" s="102" t="str">
        <f>IF(AND(WSFIQIH!$W$88&gt;=83.25,WSFIQIH!$W$88&lt;=91.4),"P","")</f>
        <v/>
      </c>
      <c r="GK21" s="102" t="str">
        <f>IF(AND(WSFIQIH!$W$88&gt;=91.5,WSFIQIH!$W$88&lt;=100),"P","")</f>
        <v/>
      </c>
      <c r="GL21" t="str">
        <f>IF(WSFIQIH!$W$96&lt;74.9,"P","")</f>
        <v/>
      </c>
      <c r="GM21" s="102" t="str">
        <f>IF(AND(WSFIQIH!$W$96&gt;=75,WSFIQIH!$W$96&lt;=83.24),"P","")</f>
        <v/>
      </c>
      <c r="GN21" s="102" t="str">
        <f>IF(AND(WSFIQIH!$W$96&gt;=83.25,WSFIQIH!$W$96&lt;=91.4),"P","")</f>
        <v/>
      </c>
      <c r="GO21" s="102" t="str">
        <f>IF(AND(WSFIQIH!$W$96&gt;=91.5,WSFIQIH!$W$96&lt;=100),"P","")</f>
        <v/>
      </c>
      <c r="GP21" t="str">
        <f>IF(WSFIQIH!$W$104&lt;74.9,"P","")</f>
        <v/>
      </c>
      <c r="GQ21" s="102" t="str">
        <f>IF(AND(WSFIQIH!$W$104&gt;=75,WSFIQIH!$W$104&lt;=83.24),"P","")</f>
        <v/>
      </c>
      <c r="GR21" s="102" t="str">
        <f>IF(AND(WSFIQIH!$W$104&gt;=83.25,WSFIQIH!$W$104&lt;=91.4),"P","")</f>
        <v/>
      </c>
      <c r="GS21" s="102" t="str">
        <f>IF(AND(WSFIQIH!$W$104&gt;=91.5,WSFIQIH!$W$104&lt;=100),"P","")</f>
        <v/>
      </c>
      <c r="GT21" t="str">
        <f>IF(WSFIQIH!$W$112&lt;74.9,"P","")</f>
        <v/>
      </c>
      <c r="GU21" s="102" t="str">
        <f>IF(AND(WSFIQIH!$W$112&gt;=75,WSFIQIH!$W$112&lt;=83.24),"P","")</f>
        <v/>
      </c>
      <c r="GV21" s="102" t="str">
        <f>IF(AND(WSFIQIH!$W$112&gt;=83.25,WSFIQIH!$W$112&lt;=91.4),"P","")</f>
        <v/>
      </c>
      <c r="GW21" s="102" t="str">
        <f>IF(AND(WSFIQIH!$W$112&gt;=91.5,WSFIQIH!$W$112&lt;=100),"P","")</f>
        <v/>
      </c>
      <c r="GX21" t="str">
        <f>IF(WSFIQIH!$W$120&lt;74.9,"P","")</f>
        <v/>
      </c>
      <c r="GY21" s="102" t="str">
        <f>IF(AND(WSFIQIH!$W$120&gt;=75,WSFIQIH!$W$120&lt;=83.24),"P","")</f>
        <v/>
      </c>
      <c r="GZ21" s="102" t="str">
        <f>IF(AND(WSFIQIH!$W$120&gt;=83.25,WSFIQIH!$W$120&lt;=91.4),"P","")</f>
        <v/>
      </c>
      <c r="HA21" s="102" t="str">
        <f>IF(AND(WSFIQIH!$W$120&gt;=91.5,WSFIQIH!$W$120&lt;=100),"P","")</f>
        <v/>
      </c>
      <c r="HB21" t="str">
        <f>IF(WSPKN!$W$6&lt;74.9,"P","")</f>
        <v/>
      </c>
      <c r="HC21" s="102" t="str">
        <f>IF(AND(WSPKN!$W$6&gt;=75,WSPKN!$W$6&lt;=83.24),"P","")</f>
        <v/>
      </c>
      <c r="HD21" s="102" t="str">
        <f>IF(AND(WSPKN!$W$6&gt;=83.25,WSPKN!$W$6&lt;=91.4),"P","")</f>
        <v/>
      </c>
      <c r="HE21" s="102" t="str">
        <f>IF(AND(WSPKN!$W$6&gt;=91.5,WSPKN!$W$6&lt;=100),"P","")</f>
        <v>P</v>
      </c>
      <c r="HF21" t="str">
        <f>IF(WSPKN!$W$32&lt;74.9,"P","")</f>
        <v/>
      </c>
      <c r="HG21" s="102" t="str">
        <f>IF(AND(WSPKN!$W$32&gt;=75,WSPKN!$W$32&lt;=83.24),"P","")</f>
        <v/>
      </c>
      <c r="HH21" s="102" t="str">
        <f>IF(AND(WSPKN!$W$32&gt;=83.25,WSPKN!$W$32&lt;=91.4),"P","")</f>
        <v/>
      </c>
      <c r="HI21" s="102" t="str">
        <f>IF(AND(WSPKN!$W$32&gt;=91.5,WSPKN!$W$32&lt;=100),"P","")</f>
        <v>P</v>
      </c>
      <c r="HJ21" t="str">
        <f>IF(WSPKN!$W$55&lt;74.9,"P","")</f>
        <v/>
      </c>
      <c r="HK21" s="102" t="str">
        <f>IF(AND(WSPKN!$W$55&gt;=75,WSPKN!$W$55&lt;=83.24),"P","")</f>
        <v/>
      </c>
      <c r="HL21" s="102" t="str">
        <f>IF(AND(WSPKN!$W$55&gt;=83.25,WSPKN!$W$55&lt;=91.4),"P","")</f>
        <v/>
      </c>
      <c r="HM21" s="102" t="str">
        <f>IF(AND(WSPKN!$W$55&gt;=91.5,WSPKN!$W$55&lt;=100),"P","")</f>
        <v>P</v>
      </c>
      <c r="HN21" t="str">
        <f>IF(WSPKN!$W$72&lt;74.9,"P","")</f>
        <v/>
      </c>
      <c r="HO21" s="102" t="str">
        <f>IF(AND(WSPKN!$W$72&gt;=75,WSPKN!$W$72&lt;=83.24),"P","")</f>
        <v/>
      </c>
      <c r="HP21" s="102" t="str">
        <f>IF(AND(WSPKN!$W$72&gt;=83.25,WSPKN!$W$72&lt;=91.4),"P","")</f>
        <v/>
      </c>
      <c r="HQ21" s="102" t="str">
        <f>IF(AND(WSPKN!$W$72&gt;=91.5,WSPKN!$W$72&lt;=100),"P","")</f>
        <v>P</v>
      </c>
      <c r="HR21" t="str">
        <f>IF(WSPKN!$W$86&lt;74.9,"P","")</f>
        <v/>
      </c>
      <c r="HS21" s="102" t="str">
        <f>IF(AND(WSPKN!$W$86&gt;=75,WSPKN!$W$86&lt;=83.24),"P","")</f>
        <v/>
      </c>
      <c r="HT21" s="102" t="str">
        <f>IF(AND(WSPKN!$W$86&gt;=83.25,WSPKN!$W$86&lt;=91.4),"P","")</f>
        <v/>
      </c>
      <c r="HU21" s="102" t="str">
        <f>IF(AND(WSPKN!$W$86&gt;=91.5,WSPKN!$W$86&lt;=100),"P","")</f>
        <v>P</v>
      </c>
      <c r="HV21" t="str">
        <f>IF(WSPKN!$W$108&lt;74.9,"P","")</f>
        <v/>
      </c>
      <c r="HW21" s="102" t="str">
        <f>IF(AND(WSPKN!$W$108&gt;=75,WSPKN!$W$108&lt;=83.24),"P","")</f>
        <v/>
      </c>
      <c r="HX21" s="102" t="str">
        <f>IF(AND(WSPKN!$W$108&gt;=83.25,WSPKN!$W$108&lt;=91.4),"P","")</f>
        <v/>
      </c>
      <c r="HY21" s="102" t="str">
        <f>IF(AND(WSPKN!$W$108&gt;=91.5,WSPKN!$W$108&lt;=100),"P","")</f>
        <v>P</v>
      </c>
      <c r="HZ21" t="str">
        <f>IF(WSPKN!$W$132&lt;74.9,"P","")</f>
        <v/>
      </c>
      <c r="IA21" s="102" t="str">
        <f>IF(AND(WSPKN!$W$132&gt;=75,WSPKN!$W$132&lt;=83.24),"P","")</f>
        <v/>
      </c>
      <c r="IB21" s="102" t="str">
        <f>IF(AND(WSPKN!$W$132&gt;=83.25,WSPKN!$W$132&lt;=91.4),"P","")</f>
        <v/>
      </c>
      <c r="IC21" s="102" t="str">
        <f>IF(AND(WSPKN!$W$132&gt;=91.5,WSPKN!$W$132&lt;=100),"P","")</f>
        <v>P</v>
      </c>
      <c r="ID21" t="str">
        <f>IF(WSPKN!$W$148&lt;74.9,"P","")</f>
        <v/>
      </c>
      <c r="IE21" s="102" t="str">
        <f>IF(AND(WSPKN!$W$148&gt;=75,WSPKN!$W$148&lt;=83.24),"P","")</f>
        <v/>
      </c>
      <c r="IF21" s="102" t="str">
        <f>IF(AND(WSPKN!$W$148&gt;=83.25,WSPKN!$W$148&lt;=91.4),"P","")</f>
        <v/>
      </c>
      <c r="IG21" s="102" t="str">
        <f>IF(AND(WSPKN!$W$148&gt;=91.5,WSPKN!$W$148&lt;=100),"P","")</f>
        <v>P</v>
      </c>
      <c r="IH21" t="str">
        <f>IF(WSPKN!$W$165&lt;74.9,"P","")</f>
        <v/>
      </c>
      <c r="II21" s="102" t="str">
        <f>IF(AND(WSPKN!$W$165&gt;=75,WSPKN!$W$165&lt;=83.24),"P","")</f>
        <v/>
      </c>
      <c r="IJ21" s="102" t="str">
        <f>IF(AND(WSPKN!$W$165&gt;=83.25,WSPKN!$W$165&lt;=91.4),"P","")</f>
        <v/>
      </c>
      <c r="IK21" s="102" t="str">
        <f>IF(AND(WSPKN!$W$165&gt;=91.5,WSPKN!$W$165&lt;=100),"P","")</f>
        <v/>
      </c>
      <c r="IL21" t="str">
        <f>IF(WSPKN!$W$173&lt;74.9,"P","")</f>
        <v/>
      </c>
      <c r="IM21" s="102" t="str">
        <f>IF(AND(WSPKN!$W$173&gt;=75,WSPKN!$W$173&lt;=83.24),"P","")</f>
        <v/>
      </c>
      <c r="IN21" s="102" t="str">
        <f>IF(AND(WSPKN!$W$173&gt;=83.25,WSPKN!$W$173&lt;=91.4),"P","")</f>
        <v/>
      </c>
      <c r="IO21" s="102" t="str">
        <f>IF(AND(WSPKN!$W$173&gt;=91.5,WSPKN!$W$173&lt;=100),"P","")</f>
        <v/>
      </c>
      <c r="IP21" t="str">
        <f>IF(WSPKN!$W$181&lt;74.9,"P","")</f>
        <v/>
      </c>
      <c r="IQ21" s="102" t="str">
        <f>IF(AND(WSPKN!$W$181&gt;=75,WSPKN!$W$181&lt;=83.24),"P","")</f>
        <v/>
      </c>
      <c r="IR21" s="102" t="str">
        <f>IF(AND(WSPKN!$W$181&gt;=83.25,WSPKN!$W$181&lt;=91.4),"P","")</f>
        <v/>
      </c>
      <c r="IS21" s="102" t="str">
        <f>IF(AND(WSPKN!$W$181&gt;=91.5,WSPKN!$W$181&lt;=100),"P","")</f>
        <v/>
      </c>
      <c r="IT21" t="str">
        <f>IF(WSPKN!$W$189&lt;74.9,"P","")</f>
        <v/>
      </c>
      <c r="IU21" s="102" t="str">
        <f>IF(AND(WSPKN!$W$189&gt;=75,WSPKN!$W$189&lt;=83.24),"P","")</f>
        <v/>
      </c>
      <c r="IV21" s="102" t="str">
        <f>IF(AND(WSPKN!$W$189&gt;=83.25,WSPKN!$W$189&lt;=91.4),"P","")</f>
        <v/>
      </c>
      <c r="IW21" s="102" t="str">
        <f>IF(AND(WSPKN!$W$189&gt;=91.5,WSPKN!$W$189&lt;=100),"P","")</f>
        <v/>
      </c>
      <c r="IX21" t="str">
        <f>IF(WSPKN!$W$197&lt;74.9,"P","")</f>
        <v/>
      </c>
      <c r="IY21" s="102" t="str">
        <f>IF(AND(WSPKN!$W$197&gt;=75,WSPKN!$W$197&lt;=83.24),"P","")</f>
        <v/>
      </c>
      <c r="IZ21" s="102" t="str">
        <f>IF(AND(WSPKN!$W$197&gt;=83.25,WSPKN!$W$197&lt;=91.4),"P","")</f>
        <v/>
      </c>
      <c r="JA21" s="102" t="str">
        <f>IF(AND(WSPKN!$W$197&gt;=91.5,WSPKN!$W$197&lt;=100),"P","")</f>
        <v/>
      </c>
      <c r="JB21" t="str">
        <f>IF(WSIND!$W$6&lt;74.9,"P","")</f>
        <v/>
      </c>
      <c r="JC21" s="102" t="str">
        <f>IF(AND(WSIND!$W$6&gt;=75,WSIND!$W$6&lt;=83.24),"P","")</f>
        <v/>
      </c>
      <c r="JD21" s="102" t="str">
        <f>IF(AND(WSIND!$W$6&gt;=83.25,WSIND!$W$6&lt;=91.4),"P","")</f>
        <v/>
      </c>
      <c r="JE21" s="102" t="str">
        <f>IF(AND(WSIND!$W$6&gt;=91.5,WSIND!$W$6&lt;=100),"P","")</f>
        <v>P</v>
      </c>
      <c r="JF21" t="str">
        <f>IF(WSIND!$W$65&lt;74.9,"P","")</f>
        <v/>
      </c>
      <c r="JG21" s="102" t="str">
        <f>IF(AND(WSIND!$W$65&gt;=75,WSIND!$W$65&lt;=83.24),"P","")</f>
        <v/>
      </c>
      <c r="JH21" s="102" t="str">
        <f>IF(AND(WSIND!$W$65&gt;=83.25,WSIND!$W$65&lt;=91.4),"P","")</f>
        <v/>
      </c>
      <c r="JI21" s="102" t="str">
        <f>IF(AND(WSIND!$W$65&gt;=91.5,WSIND!$W$65&lt;=100),"P","")</f>
        <v>P</v>
      </c>
      <c r="JJ21" t="str">
        <f>IF(WSIND!$W$113&lt;74.9,"P","")</f>
        <v/>
      </c>
      <c r="JK21" s="102" t="str">
        <f>IF(AND(WSIND!$W$113&gt;=75,WSIND!$W$113&lt;=83.24),"P","")</f>
        <v/>
      </c>
      <c r="JL21" s="102" t="str">
        <f>IF(AND(WSIND!$W$113&gt;=83.25,WSIND!$W$113&lt;=91.4),"P","")</f>
        <v/>
      </c>
      <c r="JM21" s="102" t="str">
        <f>IF(AND(WSIND!$W$113&gt;=91.5,WSIND!$W$113&lt;=100),"P","")</f>
        <v>P</v>
      </c>
      <c r="JN21" t="str">
        <f>IF(WSIND!$W$133&lt;74.9,"P","")</f>
        <v/>
      </c>
      <c r="JO21" s="102" t="str">
        <f>IF(AND(WSIND!$W$133&gt;=75,WSIND!$W$133&lt;=83.24),"P","")</f>
        <v/>
      </c>
      <c r="JP21" s="102" t="str">
        <f>IF(AND(WSIND!$W$133&gt;=83.25,WSIND!$W$133&lt;=91.4),"P","")</f>
        <v>P</v>
      </c>
      <c r="JQ21" s="102" t="str">
        <f>IF(AND(WSIND!$W$133&gt;=91.5,WSIND!$W$133&lt;=100),"P","")</f>
        <v/>
      </c>
      <c r="JR21" t="str">
        <f>IF(WSIND!$W$161&lt;74.9,"P","")</f>
        <v/>
      </c>
      <c r="JS21" s="102" t="str">
        <f>IF(AND(WSIND!$W$161&gt;=75,WSIND!$W$161&lt;=83.24),"P","")</f>
        <v/>
      </c>
      <c r="JT21" s="102" t="str">
        <f>IF(AND(WSIND!$W$161&gt;=83.25,WSIND!$W$161&lt;=91.4),"P","")</f>
        <v/>
      </c>
      <c r="JU21" s="102" t="str">
        <f>IF(AND(WSIND!$W$161&gt;=91.5,WSIND!$W$161&lt;=100),"P","")</f>
        <v>P</v>
      </c>
      <c r="JV21" t="str">
        <f>IF(WSIND!$W$192&lt;74.9,"P","")</f>
        <v/>
      </c>
      <c r="JW21" s="102" t="str">
        <f>IF(AND(WSIND!$W$192&gt;=75,WSIND!$W$192&lt;=83.24),"P","")</f>
        <v/>
      </c>
      <c r="JX21" s="102" t="str">
        <f>IF(AND(WSIND!$W$192&gt;=83.25,WSIND!$W$192&lt;=91.4),"P","")</f>
        <v/>
      </c>
      <c r="JY21" s="102" t="str">
        <f>IF(AND(WSIND!$W$192&gt;=91.5,WSIND!$W$192&lt;=100),"P","")</f>
        <v>P</v>
      </c>
      <c r="JZ21" t="str">
        <f>IF(WSIND!$W$228&lt;74.9,"P","")</f>
        <v/>
      </c>
      <c r="KA21" s="102" t="str">
        <f>IF(AND(WSIND!$W$228&gt;=75,WSIND!$W$228&lt;=83.24),"P","")</f>
        <v/>
      </c>
      <c r="KB21" s="102" t="str">
        <f>IF(AND(WSIND!$W$228&gt;=83.25,WSIND!$W$228&lt;=91.4),"P","")</f>
        <v/>
      </c>
      <c r="KC21" s="102" t="str">
        <f>IF(AND(WSIND!$W$228&gt;=91.5,WSIND!$W$228&lt;=100),"P","")</f>
        <v>P</v>
      </c>
      <c r="KD21" t="str">
        <f>IF(WSIND!$W$256&lt;74.9,"P","")</f>
        <v/>
      </c>
      <c r="KE21" s="102" t="str">
        <f>IF(AND(WSIND!$W$256&gt;=75,WSIND!$W$256&lt;=83.24),"P","")</f>
        <v/>
      </c>
      <c r="KF21" s="102" t="str">
        <f>IF(AND(WSIND!$W$256&gt;=83.25,WSIND!$W$256&lt;=91.4),"P","")</f>
        <v/>
      </c>
      <c r="KG21" s="102" t="str">
        <f>IF(AND(WSIND!$W$256&gt;=91.5,WSIND!$W$256&lt;=100),"P","")</f>
        <v>P</v>
      </c>
      <c r="KH21" t="str">
        <f>IF(WSIND!$W$277&lt;74.9,"P","")</f>
        <v/>
      </c>
      <c r="KI21" s="102" t="str">
        <f>IF(AND(WSIND!$W$277&gt;=75,WSIND!$W$277&lt;=83.24),"P","")</f>
        <v/>
      </c>
      <c r="KJ21" s="102" t="str">
        <f>IF(AND(WSIND!$W$277&gt;=83.25,WSIND!$W$277&lt;=91.4),"P","")</f>
        <v>P</v>
      </c>
      <c r="KK21" s="102" t="str">
        <f>IF(AND(WSIND!$W$277&gt;=91.5,WSIND!$W$277&lt;=100),"P","")</f>
        <v/>
      </c>
      <c r="KL21" t="str">
        <f>IF(WSIND!$W$305&lt;74.9,"P","")</f>
        <v/>
      </c>
      <c r="KM21" s="102" t="str">
        <f>IF(AND(WSIND!$W$305&gt;=75,WSIND!$W$305&lt;=83.24),"P","")</f>
        <v/>
      </c>
      <c r="KN21" s="102" t="str">
        <f>IF(AND(WSIND!$W$305&gt;=83.25,WSIND!$W$305&lt;=91.4),"P","")</f>
        <v/>
      </c>
      <c r="KO21" s="102" t="str">
        <f>IF(AND(WSIND!$W$305&gt;=91.5,WSIND!$W$305&lt;=100),"P","")</f>
        <v>P</v>
      </c>
      <c r="KP21" t="str">
        <f>IF(WSIND!$W$329&lt;74.9,"P","")</f>
        <v/>
      </c>
      <c r="KQ21" s="102" t="str">
        <f>IF(AND(WSIND!$W$329&gt;=75,WSIND!$W$329&lt;=83.24),"P","")</f>
        <v/>
      </c>
      <c r="KR21" s="102" t="str">
        <f>IF(AND(WSIND!$W$329&gt;=83.25,WSIND!$W$329&lt;=91.4),"P","")</f>
        <v/>
      </c>
      <c r="KS21" s="102" t="str">
        <f>IF(AND(WSIND!$W$329&gt;=91.5,WSIND!$W$329&lt;=100),"P","")</f>
        <v/>
      </c>
      <c r="KT21" t="str">
        <f>IF(WSIND!$W$337&lt;74.9,"P","")</f>
        <v/>
      </c>
      <c r="KU21" s="102" t="str">
        <f>IF(AND(WSIND!$W$337&gt;=75,WSIND!$W$337&lt;=83.24),"P","")</f>
        <v/>
      </c>
      <c r="KV21" s="102" t="str">
        <f>IF(AND(WSIND!$W$337&gt;=83.25,WSIND!$W$337&lt;=91.4),"P","")</f>
        <v/>
      </c>
      <c r="KW21" s="102" t="str">
        <f>IF(AND(WSIND!$W$337&gt;=91.5,WSIND!$W$337&lt;=100),"P","")</f>
        <v/>
      </c>
      <c r="KX21" t="str">
        <f>IF(WSIND!$W$345&lt;74.9,"P","")</f>
        <v/>
      </c>
      <c r="KY21" s="102" t="str">
        <f>IF(AND(WSIND!$W$345&gt;=75,WSIND!$W$345&lt;=83.24),"P","")</f>
        <v/>
      </c>
      <c r="KZ21" s="102" t="str">
        <f>IF(AND(WSIND!$W$345&gt;=83.25,WSIND!$W$345&lt;=91.4),"P","")</f>
        <v/>
      </c>
      <c r="LA21" s="102" t="str">
        <f>IF(AND(WSIND!$W$345&gt;=91.5,WSIND!$W$345&lt;=100),"P","")</f>
        <v/>
      </c>
      <c r="LB21" t="str">
        <f>IF(WSARAB!$W$6&lt;74.9,"P","")</f>
        <v/>
      </c>
      <c r="LC21" s="102" t="str">
        <f>IF(AND(WSARAB!$W$6&gt;=75,WSARAB!$W$6&lt;=83.24),"P","")</f>
        <v/>
      </c>
      <c r="LD21" s="102" t="str">
        <f>IF(AND(WSARAB!$W$6&gt;=83.25,WSARAB!$W$6&lt;=91.4),"P","")</f>
        <v/>
      </c>
      <c r="LE21" s="102" t="str">
        <f>IF(AND(WSARAB!$W$6&gt;=91.5,WSARAB!$W$6&lt;=100),"P","")</f>
        <v/>
      </c>
      <c r="LF21" t="str">
        <f>IF(WSARAB!$W$17&lt;74.9,"P","")</f>
        <v/>
      </c>
      <c r="LG21" s="102" t="str">
        <f>IF(AND(WSARAB!$W$17&gt;=75,WSARAB!$W$17&lt;=83.24),"P","")</f>
        <v/>
      </c>
      <c r="LH21" s="102" t="str">
        <f>IF(AND(WSARAB!$W$17&gt;=83.25,WSARAB!$W$17&lt;=91.4),"P","")</f>
        <v/>
      </c>
      <c r="LI21" s="102" t="str">
        <f>IF(AND(WSARAB!$W$17&gt;=91.5,WSARAB!$W$17&lt;=100),"P","")</f>
        <v/>
      </c>
      <c r="LJ21" t="str">
        <f>IF(WSARAB!$W$29&lt;74.9,"P","")</f>
        <v/>
      </c>
      <c r="LK21" s="102" t="str">
        <f>IF(AND(WSARAB!$W$29&gt;=75,WSARAB!$W$29&lt;=83.24),"P","")</f>
        <v/>
      </c>
      <c r="LL21" s="102" t="str">
        <f>IF(AND(WSARAB!$W$29&gt;=83.25,WSARAB!$W$29&lt;=91.4),"P","")</f>
        <v/>
      </c>
      <c r="LM21" s="102" t="str">
        <f>IF(AND(WSARAB!$W$29&gt;=91.5,WSARAB!$W$29&lt;=100),"P","")</f>
        <v/>
      </c>
      <c r="LN21" t="str">
        <f>IF(WSARAB!$W$37&lt;74.9,"P","")</f>
        <v/>
      </c>
      <c r="LO21" s="102" t="str">
        <f>IF(AND(WSARAB!$W$37&gt;=75,WSARAB!$W$37&lt;=83.24),"P","")</f>
        <v/>
      </c>
      <c r="LP21" s="102" t="str">
        <f>IF(AND(WSARAB!$W$37&gt;=83.25,WSARAB!$W$37&lt;=91.4),"P","")</f>
        <v/>
      </c>
      <c r="LQ21" s="102" t="str">
        <f>IF(AND(WSARAB!$W$37&gt;=91.5,WSARAB!$W$37&lt;=100),"P","")</f>
        <v/>
      </c>
      <c r="LR21" t="str">
        <f>IF(WSARAB!$W$45&lt;74.9,"P","")</f>
        <v/>
      </c>
      <c r="LS21" s="102" t="str">
        <f>IF(AND(WSARAB!$W$45&gt;=75,WSARAB!$W$45&lt;=83.24),"P","")</f>
        <v/>
      </c>
      <c r="LT21" s="102" t="str">
        <f>IF(AND(WSARAB!$W$45&gt;=83.25,WSARAB!$W$45&lt;=91.4),"P","")</f>
        <v/>
      </c>
      <c r="LU21" s="102" t="str">
        <f>IF(AND(WSARAB!$W$45&gt;=91.5,WSARAB!$W$45&lt;=100),"P","")</f>
        <v/>
      </c>
      <c r="LV21" t="str">
        <f>IF(WSARAB!$W$53&lt;74.9,"P","")</f>
        <v/>
      </c>
      <c r="LW21" s="102" t="str">
        <f>IF(AND(WSARAB!$W$53&gt;=75,WSARAB!$W$53&lt;=83.24),"P","")</f>
        <v/>
      </c>
      <c r="LX21" s="102" t="str">
        <f>IF(AND(WSARAB!$W$53&gt;=83.25,WSARAB!$W$53&lt;=91.4),"P","")</f>
        <v/>
      </c>
      <c r="LY21" s="102" t="str">
        <f>IF(AND(WSARAB!$W$53&gt;=91.5,WSARAB!$W$53&lt;=100),"P","")</f>
        <v/>
      </c>
      <c r="LZ21" t="str">
        <f>IF(WSARAB!$W$65&lt;74.9,"P","")</f>
        <v/>
      </c>
      <c r="MA21" s="102" t="str">
        <f>IF(AND(WSARAB!$W$65&gt;=75,WSARAB!$W$65&lt;=83.24),"P","")</f>
        <v/>
      </c>
      <c r="MB21" s="102" t="str">
        <f>IF(AND(WSARAB!$W$65&gt;=83.25,WSARAB!$W$65&lt;=91.4),"P","")</f>
        <v/>
      </c>
      <c r="MC21" s="102" t="str">
        <f>IF(AND(WSARAB!$W$65&gt;=91.5,WSARAB!$W$65&lt;=100),"P","")</f>
        <v/>
      </c>
      <c r="MD21" t="str">
        <f>IF(WSARAB!$W$73&lt;74.9,"P","")</f>
        <v/>
      </c>
      <c r="ME21" s="102" t="str">
        <f>IF(AND(WSARAB!$W$73&gt;=75,WSARAB!$W$73&lt;=83.24),"P","")</f>
        <v/>
      </c>
      <c r="MF21" s="102" t="str">
        <f>IF(AND(WSARAB!$W$73&gt;=83.25,WSARAB!$W$73&lt;=91.4),"P","")</f>
        <v/>
      </c>
      <c r="MG21" s="102" t="str">
        <f>IF(AND(WSARAB!$W$73&gt;=91.5,WSARAB!$W$73&lt;=100),"P","")</f>
        <v/>
      </c>
      <c r="MH21" t="str">
        <f>IF(WSARAB!$W$81&lt;74.9,"P","")</f>
        <v/>
      </c>
      <c r="MI21" s="102" t="str">
        <f>IF(AND(WSARAB!$W$81&gt;=75,WSARAB!$W$81&lt;=83.24),"P","")</f>
        <v/>
      </c>
      <c r="MJ21" s="102" t="str">
        <f>IF(AND(WSARAB!$W$81&gt;=83.25,WSARAB!$W$81&lt;=91.4),"P","")</f>
        <v/>
      </c>
      <c r="MK21" s="102" t="str">
        <f>IF(AND(WSARAB!$W$81&gt;=91.5,WSARAB!$W$81&lt;=100),"P","")</f>
        <v/>
      </c>
      <c r="ML21" t="str">
        <f>IF(WSARAB!$W$89&lt;74.9,"P","")</f>
        <v/>
      </c>
      <c r="MM21" s="102" t="str">
        <f>IF(AND(WSARAB!$W$89&gt;=75,WSARAB!$W$89&lt;=83.24),"P","")</f>
        <v/>
      </c>
      <c r="MN21" s="102" t="str">
        <f>IF(AND(WSARAB!$W$89&gt;=83.25,WSARAB!$W$89&lt;=91.4),"P","")</f>
        <v/>
      </c>
      <c r="MO21" s="102" t="str">
        <f>IF(AND(WSARAB!$W$89&gt;=91.5,WSARAB!$W$89&lt;=100),"P","")</f>
        <v/>
      </c>
      <c r="MP21" t="str">
        <f>IF(WSARAB!$W$97&lt;74.9,"P","")</f>
        <v/>
      </c>
      <c r="MQ21" s="102" t="str">
        <f>IF(AND(WSARAB!$W$97&gt;=75,WSARAB!$W$97&lt;=83.24),"P","")</f>
        <v/>
      </c>
      <c r="MR21" s="102" t="str">
        <f>IF(AND(WSARAB!$W$97&gt;=83.25,WSARAB!$W$97&lt;=91.4),"P","")</f>
        <v/>
      </c>
      <c r="MS21" s="102" t="str">
        <f>IF(AND(WSARAB!$W$97&gt;=91.5,WSARAB!$W$97&lt;=100),"P","")</f>
        <v/>
      </c>
      <c r="MT21" t="str">
        <f>IF(WSARAB!$W$105&lt;74.9,"P","")</f>
        <v/>
      </c>
      <c r="MU21" s="102" t="str">
        <f>IF(AND(WSARAB!$W$105&gt;=75,WSARAB!$W$105&lt;=83.24),"P","")</f>
        <v/>
      </c>
      <c r="MV21" s="102" t="str">
        <f>IF(AND(WSARAB!$W$105&gt;=83.25,WSARAB!$W$105&lt;=91.4),"P","")</f>
        <v/>
      </c>
      <c r="MW21" s="102" t="str">
        <f>IF(AND(WSARAB!$W$105&gt;=91.5,WSARAB!$W$105&lt;=100),"P","")</f>
        <v/>
      </c>
      <c r="MX21" t="str">
        <f>IF(WSARAB!$W$113&lt;74.9,"P","")</f>
        <v/>
      </c>
      <c r="MY21" s="102" t="str">
        <f>IF(AND(WSARAB!$W$113&gt;=75,WSARAB!$W$113&lt;=83.24),"P","")</f>
        <v/>
      </c>
      <c r="MZ21" s="102" t="str">
        <f>IF(AND(WSARAB!$W$113&gt;=83.25,WSARAB!$W$113&lt;=91.4),"P","")</f>
        <v/>
      </c>
      <c r="NA21" s="102" t="str">
        <f>IF(AND(WSARAB!$W$113&gt;=91.5,WSARAB!$W$113&lt;=100),"P","")</f>
        <v/>
      </c>
      <c r="NB21" t="str">
        <f>IF(WSMTK!$W$6&lt;74.9,"P","")</f>
        <v/>
      </c>
      <c r="NC21" s="102" t="str">
        <f>IF(AND(WSMTK!$W$6&gt;=75,WSMTK!$W$6&lt;=83.24),"P","")</f>
        <v/>
      </c>
      <c r="ND21" s="102" t="str">
        <f>IF(AND(WSMTK!$W$6&gt;=83.25,WSMTK!$W$6&lt;=91.4),"P","")</f>
        <v>P</v>
      </c>
      <c r="NE21" s="102" t="str">
        <f>IF(AND(WSMTK!$W$6&gt;=91.5,WSMTK!$W$6&lt;=100),"P","")</f>
        <v/>
      </c>
      <c r="NF21" t="str">
        <f>IF(WSMTK!$W$22&lt;74.9,"P","")</f>
        <v/>
      </c>
      <c r="NG21" s="102" t="str">
        <f>IF(AND(WSMTK!$W$22&gt;=75,WSMTK!$W$22&lt;=83.24),"P","")</f>
        <v/>
      </c>
      <c r="NH21" s="102" t="str">
        <f>IF(AND(WSMTK!$W$22&gt;=83.25,WSMTK!$W$22&lt;=91.4),"P","")</f>
        <v>P</v>
      </c>
      <c r="NI21" s="102" t="str">
        <f>IF(AND(WSMTK!$W$22&gt;=91.5,WSMTK!$W$22&lt;=100),"P","")</f>
        <v/>
      </c>
      <c r="NJ21" t="str">
        <f>IF(WSMTK!$W$35&lt;74.9,"P","")</f>
        <v/>
      </c>
      <c r="NK21" s="102" t="str">
        <f>IF(AND(WSMTK!$W$35&gt;=75,WSMTK!$W$35&lt;=83.24),"P","")</f>
        <v/>
      </c>
      <c r="NL21" s="102" t="str">
        <f>IF(AND(WSMTK!$W$35&gt;=83.25,WSMTK!$W$35&lt;=91.4),"P","")</f>
        <v/>
      </c>
      <c r="NM21" s="102" t="str">
        <f>IF(AND(WSMTK!$W$35&gt;=91.5,WSMTK!$W$35&lt;=100),"P","")</f>
        <v>P</v>
      </c>
      <c r="NN21" t="str">
        <f>IF(WSMTK!$W$69&lt;74.9,"P","")</f>
        <v/>
      </c>
      <c r="NO21" s="102" t="str">
        <f>IF(AND(WSMTK!$W$69&gt;=75,WSMTK!$W$69&lt;=83.24),"P","")</f>
        <v/>
      </c>
      <c r="NP21" s="102" t="str">
        <f>IF(AND(WSMTK!$W$69&gt;=83.25,WSMTK!$W$69&lt;=91.4),"P","")</f>
        <v/>
      </c>
      <c r="NQ21" s="102" t="str">
        <f>IF(AND(WSMTK!$W$69&gt;=91.5,WSMTK!$W$69&lt;=100),"P","")</f>
        <v>P</v>
      </c>
      <c r="NR21" t="str">
        <f>IF(WSMTK!$W$87&lt;74.9,"P","")</f>
        <v/>
      </c>
      <c r="NS21" s="102" t="str">
        <f>IF(AND(WSMTK!$W$87&gt;=75,WSMTK!$W$87&lt;=83.24),"P","")</f>
        <v/>
      </c>
      <c r="NT21" s="102" t="str">
        <f>IF(AND(WSMTK!$W$87&gt;=83.25,WSMTK!$W$87&lt;=91.4),"P","")</f>
        <v>P</v>
      </c>
      <c r="NU21" s="102" t="str">
        <f>IF(AND(WSMTK!$W$87&gt;=91.5,WSMTK!$W$87&lt;=100),"P","")</f>
        <v/>
      </c>
      <c r="NV21" t="str">
        <f>IF(WSMTK!$W$99&lt;74.9,"P","")</f>
        <v/>
      </c>
      <c r="NW21" s="102" t="str">
        <f>IF(AND(WSMTK!$W$99&gt;=75,WSMTK!$W$99&lt;=83.24),"P","")</f>
        <v/>
      </c>
      <c r="NX21" s="102" t="str">
        <f>IF(AND(WSMTK!$W$99&gt;=83.25,WSMTK!$W$99&lt;=91.4),"P","")</f>
        <v>P</v>
      </c>
      <c r="NY21" s="102" t="str">
        <f>IF(AND(WSMTK!$W$99&gt;=91.5,WSMTK!$W$99&lt;=100),"P","")</f>
        <v/>
      </c>
      <c r="NZ21" t="str">
        <f>IF(WSMTK!$W$113&lt;74.9,"P","")</f>
        <v/>
      </c>
      <c r="OA21" s="102" t="str">
        <f>IF(AND(WSMTK!$W$113&gt;=75,WSMTK!$W$113&lt;=83.24),"P","")</f>
        <v/>
      </c>
      <c r="OB21" s="102" t="str">
        <f>IF(AND(WSMTK!$W$113&gt;=83.25,WSMTK!$W$113&lt;=91.4),"P","")</f>
        <v/>
      </c>
      <c r="OC21" s="102" t="str">
        <f>IF(AND(WSMTK!$W$113&gt;=91.5,WSMTK!$W$113&lt;=100),"P","")</f>
        <v>P</v>
      </c>
      <c r="OD21" t="str">
        <f>IF(WSMTK!$W$145&lt;74.9,"P","")</f>
        <v/>
      </c>
      <c r="OE21" s="102" t="str">
        <f>IF(AND(WSMTK!$W$145&gt;=75,WSMTK!$W$145&lt;=83.24),"P","")</f>
        <v/>
      </c>
      <c r="OF21" s="102" t="str">
        <f>IF(AND(WSMTK!$W$145&gt;=83.25,WSMTK!$W$145&lt;=91.4),"P","")</f>
        <v/>
      </c>
      <c r="OG21" s="102" t="str">
        <f>IF(AND(WSMTK!$W$145&gt;=91.5,WSMTK!$W$145&lt;=100),"P","")</f>
        <v>P</v>
      </c>
      <c r="OH21" t="str">
        <f>IF(WSMTK!$W$168&lt;74.9,"P","")</f>
        <v/>
      </c>
      <c r="OI21" s="102" t="str">
        <f>IF(AND(WSMTK!$W$168&gt;=75,WSMTK!$W$168&lt;=83.24),"P","")</f>
        <v/>
      </c>
      <c r="OJ21" s="102" t="str">
        <f>IF(AND(WSMTK!$W$168&gt;=83.25,WSMTK!$W$168&lt;=91.4),"P","")</f>
        <v/>
      </c>
      <c r="OK21" s="102" t="str">
        <f>IF(AND(WSMTK!$W$168&gt;=91.5,WSMTK!$W$168&lt;=100),"P","")</f>
        <v/>
      </c>
      <c r="OL21" t="str">
        <f>IF(WSMTK!$W$176&lt;74.9,"P","")</f>
        <v/>
      </c>
      <c r="OM21" s="102" t="str">
        <f>IF(AND(WSMTK!$W$176&gt;=75,WSMTK!$W$176&lt;=83.24),"P","")</f>
        <v/>
      </c>
      <c r="ON21" s="102" t="str">
        <f>IF(AND(WSMTK!$W$176&gt;=83.25,WSMTK!$W$176&lt;=91.4),"P","")</f>
        <v/>
      </c>
      <c r="OO21" s="102" t="str">
        <f>IF(AND(WSMTK!$W$176&gt;=91.5,WSMTK!$W$176&lt;=100),"P","")</f>
        <v/>
      </c>
      <c r="OP21" t="str">
        <f>IF(WSMTK!$W$184&lt;74.9,"P","")</f>
        <v/>
      </c>
      <c r="OQ21" s="102" t="str">
        <f>IF(AND(WSMTK!$W$184&gt;=75,WSMTK!$W$184&lt;=83.24),"P","")</f>
        <v/>
      </c>
      <c r="OR21" s="102" t="str">
        <f>IF(AND(WSMTK!$W$184&gt;=83.25,WSMTK!$W$184&lt;=91.4),"P","")</f>
        <v/>
      </c>
      <c r="OS21" s="102" t="str">
        <f>IF(AND(WSMTK!$W$184&gt;=91.5,WSMTK!$W$184&lt;=100),"P","")</f>
        <v/>
      </c>
      <c r="OT21" t="str">
        <f>IF(WSMTK!$W$192&lt;74.9,"P","")</f>
        <v/>
      </c>
      <c r="OU21" s="102" t="str">
        <f>IF(AND(WSMTK!$W$192&gt;=75,WSMTK!$W$192&lt;=83.24),"P","")</f>
        <v/>
      </c>
      <c r="OV21" s="102" t="str">
        <f>IF(AND(WSMTK!$W$192&gt;=83.25,WSMTK!$W$192&lt;=91.4),"P","")</f>
        <v/>
      </c>
      <c r="OW21" s="102" t="str">
        <f>IF(AND(WSMTK!$W$192&gt;=91.5,WSMTK!$W$192&lt;=100),"P","")</f>
        <v/>
      </c>
      <c r="OX21" t="str">
        <f>IF(WSMTK!$W$200&lt;74.9,"P","")</f>
        <v/>
      </c>
      <c r="OY21" s="102" t="str">
        <f>IF(AND(WSMTK!$W$200&gt;=75,WSMTK!$W$200&lt;=83.24),"P","")</f>
        <v/>
      </c>
      <c r="OZ21" s="102" t="str">
        <f>IF(AND(WSMTK!$W$200&gt;=83.25,WSMTK!$W$200&lt;=91.4),"P","")</f>
        <v/>
      </c>
      <c r="PA21" s="102" t="str">
        <f>IF(AND(WSMTK!$W$200&gt;=91.5,WSMTK!$W$200&lt;=100),"P","")</f>
        <v/>
      </c>
      <c r="PB21" t="str">
        <f>IF(WSIPA!$W$6&lt;74.9,"P","")</f>
        <v/>
      </c>
      <c r="PC21" s="102" t="str">
        <f>IF(AND(WSIPA!$W$6&gt;=75,WSIPA!$W$6&lt;=83.24),"P","")</f>
        <v/>
      </c>
      <c r="PD21" s="102" t="str">
        <f>IF(AND(WSIPA!$W$6&gt;=83.25,WSIPA!$W$6&lt;=91.4),"P","")</f>
        <v/>
      </c>
      <c r="PE21" s="102" t="str">
        <f>IF(AND(WSIPA!$W$6&gt;=91.5,WSIPA!$W$6&lt;=100),"P","")</f>
        <v/>
      </c>
      <c r="PF21" t="str">
        <f>IF(WSIPA!$W$14&lt;74.9,"P","")</f>
        <v/>
      </c>
      <c r="PG21" s="102" t="str">
        <f>IF(AND(WSIPA!$W$14&gt;=75,WSIPA!$W$14&lt;=83.24),"P","")</f>
        <v/>
      </c>
      <c r="PH21" s="102" t="str">
        <f>IF(AND(WSIPA!$W$14&gt;=83.25,WSIPA!$W$14&lt;=91.4),"P","")</f>
        <v/>
      </c>
      <c r="PI21" s="102" t="str">
        <f>IF(AND(WSIPA!$W$14&gt;=91.5,WSIPA!$W$14&lt;=100),"P","")</f>
        <v/>
      </c>
      <c r="PJ21" t="str">
        <f>IF(WSIPA!$W$22&lt;74.9,"P","")</f>
        <v/>
      </c>
      <c r="PK21" s="102" t="str">
        <f>IF(AND(WSIPA!$W$22&gt;=75,WSIPA!$W$22&lt;=83.24),"P","")</f>
        <v/>
      </c>
      <c r="PL21" s="102" t="str">
        <f>IF(AND(WSIPA!$W$22&gt;=83.25,WSIPA!$W$22&lt;=91.4),"P","")</f>
        <v/>
      </c>
      <c r="PM21" s="102" t="str">
        <f>IF(AND(WSIPA!$W$22&gt;=91.5,WSIPA!$W$22&lt;=100),"P","")</f>
        <v/>
      </c>
      <c r="PN21" t="str">
        <f>IF(WSIPA!$W$30&lt;74.9,"P","")</f>
        <v/>
      </c>
      <c r="PO21" s="102" t="str">
        <f>IF(AND(WSIPA!$W$30&gt;=75,WSIPA!$W$30&lt;=83.24),"P","")</f>
        <v/>
      </c>
      <c r="PP21" s="102" t="str">
        <f>IF(AND(WSIPA!$W$30&gt;=83.25,WSIPA!$W$30&lt;=91.4),"P","")</f>
        <v/>
      </c>
      <c r="PQ21" s="102" t="str">
        <f>IF(AND(WSIPA!$W$30&gt;=91.5,WSIPA!$W$30&lt;=100),"P","")</f>
        <v/>
      </c>
      <c r="PR21" t="str">
        <f>IF(WSIPA!$W$38&lt;74.9,"P","")</f>
        <v/>
      </c>
      <c r="PS21" s="102" t="str">
        <f>IF(AND(WSIPA!$W$38&gt;=75,WSIPA!$W$38&lt;=83.24),"P","")</f>
        <v/>
      </c>
      <c r="PT21" s="102" t="str">
        <f>IF(AND(WSIPA!$W$38&gt;=83.25,WSIPA!$W$38&lt;=91.4),"P","")</f>
        <v/>
      </c>
      <c r="PU21" s="102" t="str">
        <f>IF(AND(WSIPA!$W$38&gt;=91.5,WSIPA!$W$38&lt;=100),"P","")</f>
        <v/>
      </c>
      <c r="PV21" t="str">
        <f>IF(WSIPA!$W$46&lt;74.9,"P","")</f>
        <v/>
      </c>
      <c r="PW21" s="102" t="str">
        <f>IF(AND(WSIPA!$W$46&gt;=75,WSIPA!$W$46&lt;=83.24),"P","")</f>
        <v/>
      </c>
      <c r="PX21" s="102" t="str">
        <f>IF(AND(WSIPA!$W$46&gt;=83.25,WSIPA!$W$46&lt;=91.4),"P","")</f>
        <v/>
      </c>
      <c r="PY21" s="102" t="str">
        <f>IF(AND(WSIPA!$W$46&gt;=91.5,WSIPA!$W$46&lt;=100),"P","")</f>
        <v/>
      </c>
      <c r="PZ21" t="str">
        <f>IF(WSIPA!$W$54&lt;74.9,"P","")</f>
        <v/>
      </c>
      <c r="QA21" s="102" t="str">
        <f>IF(AND(WSIPA!$W$54&gt;=75,WSIPA!$W$54&lt;=83.24),"P","")</f>
        <v/>
      </c>
      <c r="QB21" s="102" t="str">
        <f>IF(AND(WSIPA!$W$54&gt;=83.25,WSIPA!$W$54&lt;=91.4),"P","")</f>
        <v/>
      </c>
      <c r="QC21" s="102" t="str">
        <f>IF(AND(WSIPA!$W$54&gt;=91.5,WSIPA!$W$54&lt;=100),"P","")</f>
        <v/>
      </c>
      <c r="QD21" t="str">
        <f>IF(WSIPA!$W$62&lt;74.9,"P","")</f>
        <v/>
      </c>
      <c r="QE21" s="102" t="str">
        <f>IF(AND(WSIPA!$W$62&gt;=75,WSIPA!$W$62&lt;=83.24),"P","")</f>
        <v/>
      </c>
      <c r="QF21" s="102" t="str">
        <f>IF(AND(WSIPA!$W$62&gt;=83.25,WSIPA!$W$62&lt;=91.4),"P","")</f>
        <v/>
      </c>
      <c r="QG21" s="102" t="str">
        <f>IF(AND(WSIPA!$W$62&gt;=91.5,WSIPA!$W$62&lt;=100),"P","")</f>
        <v/>
      </c>
      <c r="QH21" t="str">
        <f>IF(WSIPA!$W$70&lt;74.9,"P","")</f>
        <v/>
      </c>
      <c r="QI21" s="102" t="str">
        <f>IF(AND(WSIPA!$W$70&gt;=75,WSIPA!$W$70&lt;=83.24),"P","")</f>
        <v/>
      </c>
      <c r="QJ21" s="102" t="str">
        <f>IF(AND(WSIPA!$W$70&gt;=83.25,WSIPA!$W$70&lt;=91.4),"P","")</f>
        <v/>
      </c>
      <c r="QK21" s="102" t="str">
        <f>IF(AND(WSIPA!$W$70&gt;=91.5,WSIPA!$W$70&lt;=100),"P","")</f>
        <v/>
      </c>
      <c r="QL21" t="str">
        <f>IF(WSIPA!$W$78&lt;74.9,"P","")</f>
        <v/>
      </c>
      <c r="QM21" s="102" t="str">
        <f>IF(AND(WSIPA!$W$78&gt;=75,WSIPA!$W$78&lt;=83.24),"P","")</f>
        <v/>
      </c>
      <c r="QN21" s="102" t="str">
        <f>IF(AND(WSIPA!$W$78&gt;=83.25,WSIPA!$W$78&lt;=91.4),"P","")</f>
        <v/>
      </c>
      <c r="QO21" s="102" t="str">
        <f>IF(AND(WSIPA!$W$78&gt;=91.5,WSIPA!$W$78&lt;=100),"P","")</f>
        <v/>
      </c>
      <c r="QP21" t="str">
        <f>IF(WSIPA!$W$86&lt;74.9,"P","")</f>
        <v/>
      </c>
      <c r="QQ21" s="102" t="str">
        <f>IF(AND(WSIPA!$W$86&gt;=75,WSIPA!$W$86&lt;=83.24),"P","")</f>
        <v/>
      </c>
      <c r="QR21" s="102" t="str">
        <f>IF(AND(WSIPA!$W$86&gt;=83.25,WSIPA!$W$86&lt;=91.4),"P","")</f>
        <v/>
      </c>
      <c r="QS21" s="102" t="str">
        <f>IF(AND(WSIPA!$W$86&gt;=91.5,WSIPA!$W$86&lt;=100),"P","")</f>
        <v/>
      </c>
      <c r="QT21" t="str">
        <f>IF(WSIPA!$W$94&lt;74.9,"P","")</f>
        <v/>
      </c>
      <c r="QU21" s="102" t="str">
        <f>IF(AND(WSIPA!$W$94&gt;=75,WSIPA!$W$94&lt;=83.24),"P","")</f>
        <v/>
      </c>
      <c r="QV21" s="102" t="str">
        <f>IF(AND(WSIPA!$W$94&gt;=83.25,WSIPA!$W$94&lt;=91.4),"P","")</f>
        <v/>
      </c>
      <c r="QW21" s="102" t="str">
        <f>IF(AND(WSIPA!$W$94&gt;=91.5,WSIPA!$W$94&lt;=100),"P","")</f>
        <v/>
      </c>
      <c r="QX21" t="str">
        <f>IF(WSIPA!$W$102&lt;74.9,"P","")</f>
        <v/>
      </c>
      <c r="QY21" s="102" t="str">
        <f>IF(AND(WSIPA!$W$102&gt;=75,WSIPA!$W$102&lt;=83.24),"P","")</f>
        <v/>
      </c>
      <c r="QZ21" s="102" t="str">
        <f>IF(AND(WSIPA!$W$102&gt;=83.25,WSIPA!$W$102&lt;=91.4),"P","")</f>
        <v/>
      </c>
      <c r="RA21" s="102" t="str">
        <f>IF(AND(WSIPA!$W$102&gt;=91.5,WSIPA!$W$102&lt;=100),"P","")</f>
        <v/>
      </c>
      <c r="RB21" t="str">
        <f>IF(WSIPS!$W$6&lt;74.9,"P","")</f>
        <v/>
      </c>
      <c r="RC21" s="102" t="str">
        <f>IF(AND(WSIPS!$W$6&gt;=75,WSIPS!$W$6&lt;=83.24),"P","")</f>
        <v/>
      </c>
      <c r="RD21" s="102" t="str">
        <f>IF(AND(WSIPS!$W$6&gt;=83.25,WSIPS!$W$6&lt;=91.4),"P","")</f>
        <v/>
      </c>
      <c r="RE21" s="102" t="str">
        <f>IF(AND(WSIPS!$W$6&gt;=91.5,WSIPS!$W$6&lt;=100),"P","")</f>
        <v/>
      </c>
      <c r="RF21" t="str">
        <f>IF(WSIPS!$W$14&lt;74.9,"P","")</f>
        <v/>
      </c>
      <c r="RG21" s="102" t="str">
        <f>IF(AND(WSIPS!$W$14&gt;=75,WSIPS!$W$14&lt;=83.24),"P","")</f>
        <v/>
      </c>
      <c r="RH21" s="102" t="str">
        <f>IF(AND(WSIPS!$W$14&gt;=83.25,WSIPS!$W$14&lt;=91.4),"P","")</f>
        <v/>
      </c>
      <c r="RI21" s="102" t="str">
        <f>IF(AND(WSIPS!$W$14&gt;=91.5,WSIPS!$W$14&lt;=100),"P","")</f>
        <v/>
      </c>
      <c r="RJ21" t="str">
        <f>IF(WSIPS!$W$22&lt;74.9,"P","")</f>
        <v/>
      </c>
      <c r="RK21" s="102" t="str">
        <f>IF(AND(WSIPS!$W$22&gt;=75,WSIPS!$W$22&lt;=83.24),"P","")</f>
        <v/>
      </c>
      <c r="RL21" s="102" t="str">
        <f>IF(AND(WSIPS!$W$22&gt;=83.25,WSIPS!$W$22&lt;=91.4),"P","")</f>
        <v/>
      </c>
      <c r="RM21" s="102" t="str">
        <f>IF(AND(WSIPS!$W$22&gt;=91.5,WSIPS!$W$22&lt;=100),"P","")</f>
        <v/>
      </c>
      <c r="RN21" t="str">
        <f>IF(WSIPS!$W$30&lt;74.9,"P","")</f>
        <v/>
      </c>
      <c r="RO21" s="102" t="str">
        <f>IF(AND(WSIPS!$W$30&gt;=75,WSIPS!$W$30&lt;=83.24),"P","")</f>
        <v/>
      </c>
      <c r="RP21" s="102" t="str">
        <f>IF(AND(WSIPS!$W$30&gt;=83.25,WSIPS!$W$30&lt;=91.4),"P","")</f>
        <v/>
      </c>
      <c r="RQ21" s="102" t="str">
        <f>IF(AND(WSIPS!$W$30&gt;=91.5,WSIPS!$W$30&lt;=100),"P","")</f>
        <v/>
      </c>
      <c r="RR21" t="str">
        <f>IF(WSIPS!$W$38&lt;74.9,"P","")</f>
        <v/>
      </c>
      <c r="RS21" s="102" t="str">
        <f>IF(AND(WSIPS!$W$38&gt;=75,WSIPS!$W$38&lt;=83.24),"P","")</f>
        <v/>
      </c>
      <c r="RT21" s="102" t="str">
        <f>IF(AND(WSIPS!$W$38&gt;=83.25,WSIPS!$W$38&lt;=91.4),"P","")</f>
        <v/>
      </c>
      <c r="RU21" s="102" t="str">
        <f>IF(AND(WSIPS!$W$38&gt;=91.5,WSIPS!$W$38&lt;=100),"P","")</f>
        <v/>
      </c>
      <c r="RV21" t="str">
        <f>IF(WSIPS!$W$46&lt;74.9,"P","")</f>
        <v/>
      </c>
      <c r="RW21" s="102" t="str">
        <f>IF(AND(WSIPS!$W$46&gt;=75,WSIPS!$W$46&lt;=83.24),"P","")</f>
        <v/>
      </c>
      <c r="RX21" s="102" t="str">
        <f>IF(AND(WSIPS!$W$46&gt;=83.25,WSIPS!$W$46&lt;=91.4),"P","")</f>
        <v/>
      </c>
      <c r="RY21" s="102" t="str">
        <f>IF(AND(WSIPS!$W$46&gt;=91.5,WSIPS!$W$46&lt;=100),"P","")</f>
        <v/>
      </c>
      <c r="RZ21" t="str">
        <f>IF(WSIPS!$W$54&lt;74.9,"P","")</f>
        <v/>
      </c>
      <c r="SA21" s="102" t="str">
        <f>IF(AND(WSIPS!$W$54&gt;=75,WSIPS!$W$54&lt;=83.24),"P","")</f>
        <v/>
      </c>
      <c r="SB21" s="102" t="str">
        <f>IF(AND(WSIPS!$W$54&gt;=83.25,WSIPS!$W$54&lt;=91.4),"P","")</f>
        <v/>
      </c>
      <c r="SC21" s="102" t="str">
        <f>IF(AND(WSIPS!$W$54&gt;=91.5,WSIPS!$W$54&lt;=100),"P","")</f>
        <v/>
      </c>
      <c r="SD21" t="str">
        <f>IF(WSIPS!$W$62&lt;74.9,"P","")</f>
        <v/>
      </c>
      <c r="SE21" s="102" t="str">
        <f>IF(AND(WSIPS!$W$62&gt;=75,WSIPS!$W$62&lt;=83.24),"P","")</f>
        <v/>
      </c>
      <c r="SF21" s="102" t="str">
        <f>IF(AND(WSIPS!$W$62&gt;=83.25,WSIPS!$W$62&lt;=91.4),"P","")</f>
        <v/>
      </c>
      <c r="SG21" s="102" t="str">
        <f>IF(AND(WSIPS!$W$62&gt;=91.5,WSIPS!$W$62&lt;=100),"P","")</f>
        <v/>
      </c>
      <c r="SH21" t="str">
        <f>IF(WSIPS!$W$70&lt;74.9,"P","")</f>
        <v/>
      </c>
      <c r="SI21" s="102" t="str">
        <f>IF(AND(WSIPS!$W$70&gt;=75,WSIPS!$W$70&lt;=83.24),"P","")</f>
        <v/>
      </c>
      <c r="SJ21" s="102" t="str">
        <f>IF(AND(WSIPS!$W$70&gt;=83.25,WSIPS!$W$70&lt;=91.4),"P","")</f>
        <v/>
      </c>
      <c r="SK21" s="102" t="str">
        <f>IF(AND(WSIPS!$W$70&gt;=91.5,WSIPS!$W$70&lt;=100),"P","")</f>
        <v/>
      </c>
      <c r="SL21" t="str">
        <f>IF(WSIPS!$W$78&lt;74.9,"P","")</f>
        <v/>
      </c>
      <c r="SM21" s="102" t="str">
        <f>IF(AND(WSIPS!$W$78&gt;=75,WSIPS!$W$78&lt;=83.24),"P","")</f>
        <v/>
      </c>
      <c r="SN21" s="102" t="str">
        <f>IF(AND(WSIPS!$W$78&gt;=83.25,WSIPS!$W$78&lt;=91.4),"P","")</f>
        <v/>
      </c>
      <c r="SO21" s="102" t="str">
        <f>IF(AND(WSIPS!$W$78&gt;=91.5,WSIPS!$W$78&lt;=100),"P","")</f>
        <v/>
      </c>
      <c r="SP21" t="str">
        <f>IF(WSIPS!$W$86&lt;74.9,"P","")</f>
        <v/>
      </c>
      <c r="SQ21" s="102" t="str">
        <f>IF(AND(WSIPS!$W$86&gt;=75,WSIPS!$W$86&lt;=83.24),"P","")</f>
        <v/>
      </c>
      <c r="SR21" s="102" t="str">
        <f>IF(AND(WSIPS!$W$86&gt;=83.25,WSIPS!$W$86&lt;=91.4),"P","")</f>
        <v/>
      </c>
      <c r="SS21" s="102" t="str">
        <f>IF(AND(WSIPS!$W$86&gt;=91.5,WSIPS!$W$86&lt;=100),"P","")</f>
        <v/>
      </c>
      <c r="ST21" t="str">
        <f>IF(WSIPS!$W$94&lt;74.9,"P","")</f>
        <v/>
      </c>
      <c r="SU21" s="102" t="str">
        <f>IF(AND(WSIPS!$W$94&gt;=75,WSIPS!$W$94&lt;=83.24),"P","")</f>
        <v/>
      </c>
      <c r="SV21" s="102" t="str">
        <f>IF(AND(WSIPS!$W$94&gt;=83.25,WSIPS!$W$94&lt;=91.4),"P","")</f>
        <v/>
      </c>
      <c r="SW21" s="102" t="str">
        <f>IF(AND(WSIPS!$W$94&gt;=91.5,WSIPS!$W$94&lt;=100),"P","")</f>
        <v/>
      </c>
      <c r="SX21" t="str">
        <f>IF(WSIPS!$W$102&lt;74.9,"P","")</f>
        <v/>
      </c>
      <c r="SY21" s="102" t="str">
        <f>IF(AND(WSIPS!$W$102&gt;=75,WSIPS!$W$102&lt;=83.24),"P","")</f>
        <v/>
      </c>
      <c r="SZ21" s="102" t="str">
        <f>IF(AND(WSIPS!$W$102&gt;=83.25,WSIPS!$W$102&lt;=91.4),"P","")</f>
        <v/>
      </c>
      <c r="TA21" s="102" t="str">
        <f>IF(AND(WSIPS!$W$102&gt;=91.5,WSIPS!$W$102&lt;=100),"P","")</f>
        <v/>
      </c>
      <c r="TB21" t="str">
        <f>IF(WSSBK!$W$6&lt;74.9,"P","")</f>
        <v/>
      </c>
      <c r="TC21" s="102" t="str">
        <f>IF(AND(WSSBK!$W$6&gt;=75,WSSBK!$W$6&lt;=83.24),"P","")</f>
        <v/>
      </c>
      <c r="TD21" s="102" t="str">
        <f>IF(AND(WSSBK!$W$6&gt;=83.25,WSSBK!$W$6&lt;=91.4),"P","")</f>
        <v>P</v>
      </c>
      <c r="TE21" s="102" t="str">
        <f>IF(AND(WSSBK!$W$6&gt;=91.5,WSSBK!$W$6&lt;=100),"P","")</f>
        <v/>
      </c>
      <c r="TF21" t="str">
        <f>IF(WSSBK!$W$16&lt;74.9,"P","")</f>
        <v/>
      </c>
      <c r="TG21" s="102" t="str">
        <f>IF(AND(WSSBK!$W$16&gt;=75,WSSBK!$W$16&lt;=83.24),"P","")</f>
        <v/>
      </c>
      <c r="TH21" s="102" t="str">
        <f>IF(AND(WSSBK!$W$16&gt;=83.25,WSSBK!$W$16&lt;=91.4),"P","")</f>
        <v/>
      </c>
      <c r="TI21" s="102" t="str">
        <f>IF(AND(WSSBK!$W$16&gt;=91.5,WSSBK!$W$16&lt;=100),"P","")</f>
        <v>P</v>
      </c>
      <c r="TJ21" t="str">
        <f>IF(WSSBK!$W$26&lt;74.9,"P","")</f>
        <v/>
      </c>
      <c r="TK21" s="102" t="str">
        <f>IF(AND(WSSBK!$W$26&gt;=75,WSSBK!$W$26&lt;=83.24),"P","")</f>
        <v/>
      </c>
      <c r="TL21" s="102" t="str">
        <f>IF(AND(WSSBK!$W$26&gt;=83.25,WSSBK!$W$26&lt;=91.4),"P","")</f>
        <v/>
      </c>
      <c r="TM21" s="102" t="str">
        <f>IF(AND(WSSBK!$W$26&gt;=91.5,WSSBK!$W$26&lt;=100),"P","")</f>
        <v>P</v>
      </c>
      <c r="TN21" t="str">
        <f>IF(WSSBK!$W$36&lt;74.9,"P","")</f>
        <v/>
      </c>
      <c r="TO21" s="102" t="str">
        <f>IF(AND(WSSBK!$W$36&gt;=75,WSSBK!$W$36&lt;=83.24),"P","")</f>
        <v/>
      </c>
      <c r="TP21" s="102" t="str">
        <f>IF(AND(WSSBK!$W$36&gt;=83.25,WSSBK!$W$36&lt;=91.4),"P","")</f>
        <v/>
      </c>
      <c r="TQ21" s="102" t="str">
        <f>IF(AND(WSSBK!$W$36&gt;=91.5,WSSBK!$W$36&lt;=100),"P","")</f>
        <v>P</v>
      </c>
      <c r="TR21" t="str">
        <f>IF(WSSBK!$W$46&lt;74.9,"P","")</f>
        <v/>
      </c>
      <c r="TS21" s="102" t="str">
        <f>IF(AND(WSSBK!$W$46&gt;=75,WSSBK!$W$46&lt;=83.24),"P","")</f>
        <v/>
      </c>
      <c r="TT21" s="102" t="str">
        <f>IF(AND(WSSBK!$W$46&gt;=83.25,WSSBK!$W$46&lt;=91.4),"P","")</f>
        <v>P</v>
      </c>
      <c r="TU21" s="102" t="str">
        <f>IF(AND(WSSBK!$W$46&gt;=91.5,WSSBK!$W$46&lt;=100),"P","")</f>
        <v/>
      </c>
      <c r="TV21" t="str">
        <f>IF(WSSBK!$W$58&lt;74.9,"P","")</f>
        <v/>
      </c>
      <c r="TW21" s="102" t="str">
        <f>IF(AND(WSSBK!$W$58&gt;=75,WSSBK!$W$58&lt;=83.24),"P","")</f>
        <v/>
      </c>
      <c r="TX21" s="102" t="str">
        <f>IF(AND(WSSBK!$W$58&gt;=83.25,WSSBK!$W$58&lt;=91.4),"P","")</f>
        <v/>
      </c>
      <c r="TY21" s="102" t="str">
        <f>IF(AND(WSSBK!$W$58&gt;=91.5,WSSBK!$W$58&lt;=100),"P","")</f>
        <v>P</v>
      </c>
      <c r="TZ21" t="str">
        <f>IF(WSSBK!$W$68&lt;74.9,"P","")</f>
        <v/>
      </c>
      <c r="UA21" s="102" t="str">
        <f>IF(AND(WSSBK!$W$68&gt;=75,WSSBK!$W$68&lt;=83.24),"P","")</f>
        <v/>
      </c>
      <c r="UB21" s="102" t="str">
        <f>IF(AND(WSSBK!$W$68&gt;=83.25,WSSBK!$W$68&lt;=91.4),"P","")</f>
        <v/>
      </c>
      <c r="UC21" s="102" t="str">
        <f>IF(AND(WSSBK!$W$68&gt;=91.5,WSSBK!$W$68&lt;=100),"P","")</f>
        <v>P</v>
      </c>
      <c r="UD21" t="str">
        <f>IF(WSSBK!$W$77&lt;74.9,"P","")</f>
        <v/>
      </c>
      <c r="UE21" s="102" t="str">
        <f>IF(AND(WSSBK!$W$77&gt;=75,WSSBK!$W$77&lt;=83.24),"P","")</f>
        <v/>
      </c>
      <c r="UF21" s="102" t="str">
        <f>IF(AND(WSSBK!$W$77&gt;=83.25,WSSBK!$W$77&lt;=91.4),"P","")</f>
        <v/>
      </c>
      <c r="UG21" s="102" t="str">
        <f>IF(AND(WSSBK!$W$77&gt;=91.5,WSSBK!$W$77&lt;=100),"P","")</f>
        <v>P</v>
      </c>
      <c r="UH21" t="str">
        <f>IF(WSSBK!$W$87&lt;74.9,"P","")</f>
        <v/>
      </c>
      <c r="UI21" s="102" t="str">
        <f>IF(AND(WSSBK!$W$87&gt;=75,WSSBK!$W$87&lt;=83.24),"P","")</f>
        <v/>
      </c>
      <c r="UJ21" s="102" t="str">
        <f>IF(AND(WSSBK!$W$87&gt;=83.25,WSSBK!$W$87&lt;=91.4),"P","")</f>
        <v/>
      </c>
      <c r="UK21" s="102" t="str">
        <f>IF(AND(WSSBK!$W$87&gt;=91.5,WSSBK!$W$87&lt;=100),"P","")</f>
        <v/>
      </c>
      <c r="UL21" t="str">
        <f>IF(WSSBK!$W$95&lt;74.9,"P","")</f>
        <v/>
      </c>
      <c r="UM21" s="102" t="str">
        <f>IF(AND(WSSBK!$W$95&gt;=75,WSSBK!$W$95&lt;=83.24),"P","")</f>
        <v/>
      </c>
      <c r="UN21" s="102" t="str">
        <f>IF(AND(WSSBK!$W$95&gt;=83.25,WSSBK!$W$95&lt;=91.4),"P","")</f>
        <v/>
      </c>
      <c r="UO21" s="102" t="str">
        <f>IF(AND(WSSBK!$W$95&gt;=91.5,WSSBK!$W$95&lt;=100),"P","")</f>
        <v/>
      </c>
      <c r="UP21" t="str">
        <f>IF(WSSBK!$W$103&lt;74.9,"P","")</f>
        <v/>
      </c>
      <c r="UQ21" s="102" t="str">
        <f>IF(AND(WSSBK!$W$103&gt;=75,WSSBK!$W$103&lt;=83.24),"P","")</f>
        <v/>
      </c>
      <c r="UR21" s="102" t="str">
        <f>IF(AND(WSSBK!$W$103&gt;=83.25,WSSBK!$W$103&lt;=91.4),"P","")</f>
        <v/>
      </c>
      <c r="US21" s="102" t="str">
        <f>IF(AND(WSSBK!$W$103&gt;=91.5,WSSBK!$W$103&lt;=100),"P","")</f>
        <v/>
      </c>
      <c r="UT21" t="str">
        <f>IF(WSSBK!$W$111&lt;74.9,"P","")</f>
        <v/>
      </c>
      <c r="UU21" s="102" t="str">
        <f>IF(AND(WSSBK!$W$111&gt;=75,WSSBK!$W$111&lt;=83.24),"P","")</f>
        <v/>
      </c>
      <c r="UV21" s="102" t="str">
        <f>IF(AND(WSSBK!$W$111&gt;=83.25,WSSBK!$W$111&lt;=91.4),"P","")</f>
        <v/>
      </c>
      <c r="UW21" s="102" t="str">
        <f>IF(AND(WSSBK!$W$111&gt;=91.5,WSSBK!$W$111&lt;=100),"P","")</f>
        <v/>
      </c>
      <c r="UX21" t="str">
        <f>IF(WSSBK!$W$119&lt;74.9,"P","")</f>
        <v/>
      </c>
      <c r="UY21" s="102" t="str">
        <f>IF(AND(WSSBK!$W$119&gt;=75,WSSBK!$W$119&lt;=83.24),"P","")</f>
        <v/>
      </c>
      <c r="UZ21" s="102" t="str">
        <f>IF(AND(WSSBK!$W$119&gt;=83.25,WSSBK!$W$119&lt;=91.4),"P","")</f>
        <v/>
      </c>
      <c r="VA21" s="102" t="str">
        <f>IF(AND(WSSBK!$W$119&gt;=91.5,WSSBK!$W$119&lt;=100),"P","")</f>
        <v/>
      </c>
      <c r="VB21" s="102" t="str">
        <f>IF(AND(WSPENJAS!$W$6&gt;0,WSPENJAS!$W$6&lt;=74.9),"P","")</f>
        <v/>
      </c>
      <c r="VC21" s="102" t="str">
        <f>IF(AND(WSPENJAS!$W$6&gt;=75,WSPENJAS!$W$6&lt;=83.24),"P","")</f>
        <v/>
      </c>
      <c r="VD21" s="102" t="str">
        <f>IF(AND(WSPENJAS!$W$6&gt;=83.25,WSPENJAS!$W$6&lt;=91.4),"P","")</f>
        <v/>
      </c>
      <c r="VE21" s="102" t="str">
        <f>IF(AND(WSPENJAS!$W$6&gt;=91.5,WSPENJAS!$W$6&lt;=100),"P","")</f>
        <v/>
      </c>
      <c r="VF21" s="102" t="str">
        <f>IF(AND(WSPENJAS!$W$7&gt;0,WSPENJAS!$W$7&lt;=74.9),"P","")</f>
        <v/>
      </c>
      <c r="VG21" s="102" t="str">
        <f>IF(AND(WSPENJAS!$W$7&gt;=75,WSPENJAS!$W$7&lt;=83.24),"P","")</f>
        <v/>
      </c>
      <c r="VH21" s="102" t="str">
        <f>IF(AND(WSPENJAS!$W$7&gt;=83.25,WSPENJAS!$W$7&lt;=91.4),"P","")</f>
        <v>P</v>
      </c>
      <c r="VI21" s="102" t="str">
        <f>IF(AND(WSPENJAS!$W$7&gt;=91.5,WSPENJAS!$W$7&lt;=100),"P","")</f>
        <v/>
      </c>
      <c r="VJ21" s="102" t="str">
        <f>IF(AND(WSPENJAS!$W$8&gt;0,WSPENJAS!$W$8&lt;=74.9),"P","")</f>
        <v/>
      </c>
      <c r="VK21" s="102" t="str">
        <f>IF(AND(WSPENJAS!$W$8&gt;=75,WSPENJAS!$W$8&lt;=83.24),"P","")</f>
        <v/>
      </c>
      <c r="VL21" s="102" t="str">
        <f>IF(AND(WSPENJAS!$W$8&gt;=83.25,WSPENJAS!$W$8&lt;=91.4),"P","")</f>
        <v>P</v>
      </c>
      <c r="VM21" s="102" t="str">
        <f>IF(AND(WSPENJAS!$W$8&gt;=91.5,WSPENJAS!$W$8&lt;=100),"P","")</f>
        <v/>
      </c>
      <c r="VN21" s="102" t="str">
        <f>IF(AND(WSPENJAS!$W$9&gt;0,WSPENJAS!$W$9&lt;=74.9),"P","")</f>
        <v/>
      </c>
      <c r="VO21" s="102" t="str">
        <f>IF(AND(WSPENJAS!$W$9&gt;=75,WSPENJAS!$W$9&lt;=83.24),"P","")</f>
        <v/>
      </c>
      <c r="VP21" s="102" t="str">
        <f>IF(AND(WSPENJAS!$W$9&gt;=83.25,WSPENJAS!$W$9&lt;=91.4),"P","")</f>
        <v>P</v>
      </c>
      <c r="VQ21" s="102" t="str">
        <f>IF(AND(WSPENJAS!$W$9&gt;=91.5,WSPENJAS!$W$9&lt;=100),"P","")</f>
        <v/>
      </c>
      <c r="VR21" s="102" t="str">
        <f>IF(AND(WSPENJAS!$W$10&gt;0,WSPENJAS!$W$10&lt;=74.9),"P","")</f>
        <v/>
      </c>
      <c r="VS21" s="102" t="str">
        <f>IF(AND(WSPENJAS!$W$10&gt;=75,WSPENJAS!$W$10&lt;=83.24),"P","")</f>
        <v/>
      </c>
      <c r="VT21" s="102" t="str">
        <f>IF(AND(WSPENJAS!$W$10&gt;=83.25,WSPENJAS!$W$10&lt;=91.4),"P","")</f>
        <v>P</v>
      </c>
      <c r="VU21" s="102" t="str">
        <f>IF(AND(WSPENJAS!$W$10&gt;=91.5,WSPENJAS!$W$10&lt;=100),"P","")</f>
        <v/>
      </c>
      <c r="VV21" s="102" t="str">
        <f>IF(AND(WSPENJAS!$W$11&gt;0,WSPENJAS!$W$11&lt;=74.9),"P","")</f>
        <v/>
      </c>
      <c r="VW21" s="102" t="str">
        <f>IF(AND(WSPENJAS!$W$411&gt;=75,WSPENJAS!$W$411&lt;=83.24),"P","")</f>
        <v/>
      </c>
      <c r="VX21" s="102" t="str">
        <f>IF(AND(WSPENJAS!$W$411&gt;=83.25,WSPENJAS!$W$411&lt;=91.4),"P","")</f>
        <v/>
      </c>
      <c r="VY21" s="102" t="str">
        <f>IF(AND(WSPENJAS!$W$411&gt;=91.5,WSPENJAS!$W$411&lt;=100),"P","")</f>
        <v/>
      </c>
      <c r="VZ21" s="102" t="str">
        <f>IF(AND(WSPENJAS!$W$12&gt;0,WSPENJAS!$W$12&lt;=74.9),"P","")</f>
        <v/>
      </c>
      <c r="WA21" s="102" t="str">
        <f>IF(AND(WSPENJAS!$W$12&gt;=75,WSPENJAS!$W$12&lt;=83.24),"P","")</f>
        <v/>
      </c>
      <c r="WB21" s="102" t="str">
        <f>IF(AND(WSPENJAS!$W$12&gt;=83.25,WSPENJAS!$W$12&lt;=91.4),"P","")</f>
        <v>P</v>
      </c>
      <c r="WC21" s="102" t="str">
        <f>IF(AND(WSPENJAS!$W$12&gt;=91.5,WSPENJAS!$W$12&lt;=100),"P","")</f>
        <v/>
      </c>
      <c r="WD21" s="102" t="str">
        <f>IF(AND(WSPENJAS!$W$13&gt;0,WSPENJAS!$W$13&lt;=74.9),"P","")</f>
        <v/>
      </c>
      <c r="WE21" s="102" t="str">
        <f>IF(AND(WSPENJAS!$W$13&gt;=75,WSPENJAS!$W$13&lt;=83.24),"P","")</f>
        <v/>
      </c>
      <c r="WF21" s="102" t="str">
        <f>IF(AND(WSPENJAS!$W$13&gt;=83.25,WSPENJAS!$W$13&lt;=91.4),"P","")</f>
        <v>P</v>
      </c>
      <c r="WG21" s="102" t="str">
        <f>IF(AND(WSPENJAS!$W$13&gt;=91.5,WSPENJAS!$W$13&lt;=100),"P","")</f>
        <v/>
      </c>
      <c r="WH21" s="102" t="str">
        <f>IF(AND(WSPENJAS!$W$14&gt;0,WSPENJAS!$W$14&lt;=74.9),"P","")</f>
        <v/>
      </c>
      <c r="WI21" s="102" t="str">
        <f>IF(AND(WSPENJAS!$W$14&gt;=75,WSPENJAS!$W$14&lt;=83.24),"P","")</f>
        <v/>
      </c>
      <c r="WJ21" s="102" t="str">
        <f>IF(AND(WSPENJAS!$W$14&gt;=83.25,WSPENJAS!$W$14&lt;=91.4),"P","")</f>
        <v>P</v>
      </c>
      <c r="WK21" s="102" t="str">
        <f>IF(AND(WSPENJAS!$W$14&gt;=91.5,WSPENJAS!$W$14&lt;=100),"P","")</f>
        <v/>
      </c>
      <c r="WL21" s="102" t="str">
        <f>IF(AND(WSPENJAS!$W$15&gt;0,WSPENJAS!$W$15&lt;=74.9),"P","")</f>
        <v/>
      </c>
      <c r="WM21" s="102" t="str">
        <f>IF(AND(WSPENJAS!$W$15&gt;=75,WSPENJAS!$W$15&lt;=83.24),"P","")</f>
        <v/>
      </c>
      <c r="WN21" s="102" t="str">
        <f>IF(AND(WSPENJAS!$W$15&gt;=83.25,WSPENJAS!$W$15&lt;=91.4),"P","")</f>
        <v>P</v>
      </c>
      <c r="WO21" s="102" t="str">
        <f>IF(AND(WSPENJAS!$W$15&gt;=91.5,WSPENJAS!$W$15&lt;=100),"P","")</f>
        <v/>
      </c>
      <c r="WP21" s="102" t="str">
        <f>IF(AND(WSPENJAS!$W$16&gt;0,WSPENJAS!$W$16&lt;=74.9),"P","")</f>
        <v/>
      </c>
      <c r="WQ21" s="102" t="str">
        <f>IF(AND(WSPENJAS!$W$16&gt;=75,WSPENJAS!$W$16&lt;=83.24),"P","")</f>
        <v/>
      </c>
      <c r="WR21" s="102" t="str">
        <f>IF(AND(WSPENJAS!$W$16&gt;=83.25,WSPENJAS!$W$16&lt;=91.4),"P","")</f>
        <v/>
      </c>
      <c r="WS21" s="102" t="str">
        <f>IF(AND(WSPENJAS!$W$16&gt;=91.5,WSPENJAS!$W$16&lt;=100),"P","")</f>
        <v/>
      </c>
      <c r="WT21" s="102" t="str">
        <f>IF(AND(WSPENJAS!$W$17&gt;0,WSPENJAS!$W$17&lt;=74.9),"P","")</f>
        <v/>
      </c>
      <c r="WU21" s="102" t="str">
        <f>IF(AND(WSPENJAS!$W$17&gt;=75,WSPENJAS!$W$17&lt;=83.24),"P","")</f>
        <v/>
      </c>
      <c r="WV21" s="102" t="str">
        <f>IF(AND(WSPENJAS!$W$17&gt;=83.25,WSPENJAS!$W$17&lt;=91.4),"P","")</f>
        <v/>
      </c>
      <c r="WW21" s="102" t="str">
        <f>IF(AND(WSPENJAS!$W$17&gt;=91.5,WSPENJAS!$W$17&lt;=100),"P","")</f>
        <v/>
      </c>
      <c r="WX21" s="102" t="str">
        <f>IF(AND(WSPENJAS!$W$18&gt;0,WSPENJAS!$W$18&lt;=74.9),"P","")</f>
        <v/>
      </c>
      <c r="WY21" s="102" t="str">
        <f>IF(AND(WSPENJAS!$W$18&gt;=75,WSPENJAS!$W$18&lt;=83.24),"P","")</f>
        <v/>
      </c>
      <c r="WZ21" s="102" t="str">
        <f>IF(AND(WSPENJAS!$W$18&gt;=83.25,WSPENJAS!$W$18&lt;=91.4),"P","")</f>
        <v/>
      </c>
      <c r="XA21" s="102" t="str">
        <f>IF(AND(WSPENJAS!$W$18&gt;=91.5,WSPENJAS!$W$18&lt;=100),"P","")</f>
        <v/>
      </c>
      <c r="XB21" s="102" t="str">
        <f>IF(AND(WSPENJAS!$W$19&gt;0,WSPENJAS!$W$19&lt;=74.9),"P","")</f>
        <v/>
      </c>
      <c r="XC21" s="102" t="str">
        <f>IF(AND(WSPENJAS!$W$19&gt;=75,WSPENJAS!$W$19&lt;=83.24),"P","")</f>
        <v/>
      </c>
      <c r="XD21" s="102" t="str">
        <f>IF(AND(WSPENJAS!$W$19&gt;=83.25,WSPENJAS!$W$19&lt;=91.4),"P","")</f>
        <v/>
      </c>
      <c r="XE21" s="102" t="str">
        <f>IF(AND(WSPENJAS!$W$19&gt;=91.5,WSPENJAS!$W$19&lt;=100),"P","")</f>
        <v/>
      </c>
      <c r="XF21" s="102" t="str">
        <f>IF(AND(WSPENJAS!$W$20&gt;0,WSPENJAS!$W$20&lt;=74.9),"P","")</f>
        <v/>
      </c>
      <c r="XG21" s="102" t="str">
        <f>IF(AND(WSPENJAS!$W$20&gt;=75,WSPENJAS!$W$20&lt;=83.24),"P","")</f>
        <v/>
      </c>
      <c r="XH21" s="102" t="str">
        <f>IF(AND(WSPENJAS!$W$20&gt;=83.25,WSPENJAS!$W$20&lt;=91.4),"P","")</f>
        <v/>
      </c>
      <c r="XI21" s="102" t="str">
        <f>IF(AND(WSPENJAS!$W$20&gt;=91.5,WSPENJAS!$W$20&lt;=100),"P","")</f>
        <v/>
      </c>
      <c r="XJ21" s="102" t="str">
        <f>IF(AND(WSPENJAS!$W$21&gt;0,WSPENJAS!$W$21&lt;=74.9),"P","")</f>
        <v/>
      </c>
      <c r="XK21" s="102" t="str">
        <f>IF(AND(WSPENJAS!$W$21&gt;=75,WSPENJAS!$W$21&lt;=83.24),"P","")</f>
        <v/>
      </c>
      <c r="XL21" s="102" t="str">
        <f>IF(AND(WSPENJAS!$W$21&gt;=83.25,WSPENJAS!$W$21&lt;=91.4),"P","")</f>
        <v/>
      </c>
      <c r="XM21" s="102" t="str">
        <f>IF(AND(WSPENJAS!$W$21&gt;=91.5,WSPENJAS!$W$21&lt;=100),"P","")</f>
        <v/>
      </c>
      <c r="XN21" t="str">
        <f>IF(WSJAWA!$W$6&lt;74.9,"P","")</f>
        <v/>
      </c>
      <c r="XO21" s="102" t="str">
        <f>IF(AND(WSJAWA!$W$6&gt;=75,WSJAWA!$W$6&lt;=83.24),"P","")</f>
        <v/>
      </c>
      <c r="XP21" s="102" t="str">
        <f>IF(AND(WSJAWA!$W$6&gt;=83.25,WSJAWA!$W$6&lt;=91.4),"P","")</f>
        <v/>
      </c>
      <c r="XQ21" s="102" t="str">
        <f>IF(AND(WSJAWA!$W$6&gt;=91.5,WSJAWA!$W$6&lt;=100),"P","")</f>
        <v>P</v>
      </c>
      <c r="XR21" t="str">
        <f>IF(WSJAWA!$W$14&lt;74.9,"P","")</f>
        <v/>
      </c>
      <c r="XS21" s="102" t="str">
        <f>IF(AND(WSJAWA!$W$14&gt;=75,WSJAWA!$W$14&lt;=83.24),"P","")</f>
        <v/>
      </c>
      <c r="XT21" s="102" t="str">
        <f>IF(AND(WSJAWA!$W$14&gt;=83.25,WSJAWA!$W$14&lt;=91.4),"P","")</f>
        <v>P</v>
      </c>
      <c r="XU21" s="102" t="str">
        <f>IF(AND(WSJAWA!$W$14&gt;=91.5,WSJAWA!$W$14&lt;=100),"P","")</f>
        <v/>
      </c>
      <c r="XV21" t="str">
        <f>IF(WSJAWA!$W$22&lt;74.9,"P","")</f>
        <v/>
      </c>
      <c r="XW21" s="102" t="str">
        <f>IF(AND(WSJAWA!$W$22&gt;=75,WSJAWA!$W$22&lt;=83.24),"P","")</f>
        <v/>
      </c>
      <c r="XX21" s="102" t="str">
        <f>IF(AND(WSJAWA!$W$22&gt;=83.25,WSJAWA!$W$22&lt;=91.4),"P","")</f>
        <v/>
      </c>
      <c r="XY21" s="102" t="str">
        <f>IF(AND(WSJAWA!$W$22&gt;=91.5,WSJAWA!$W$22&lt;=100),"P","")</f>
        <v>P</v>
      </c>
      <c r="XZ21" t="str">
        <f>IF(WSJAWA!$W$30&lt;74.9,"P","")</f>
        <v/>
      </c>
      <c r="YA21" s="102" t="str">
        <f>IF(AND(WSJAWA!$W$30&gt;=75,WSJAWA!$W$30&lt;=83.24),"P","")</f>
        <v/>
      </c>
      <c r="YB21" s="102" t="str">
        <f>IF(AND(WSJAWA!$W$30&gt;=83.25,WSJAWA!$W$30&lt;=91.4),"P","")</f>
        <v/>
      </c>
      <c r="YC21" s="102" t="str">
        <f>IF(AND(WSJAWA!$W$30&gt;=91.5,WSJAWA!$W$30&lt;=100),"P","")</f>
        <v>P</v>
      </c>
      <c r="YD21" t="str">
        <f>IF(WSJAWA!$W$38&lt;74.9,"P","")</f>
        <v/>
      </c>
      <c r="YE21" s="102" t="str">
        <f>IF(AND(WSJAWA!$W$38&gt;=75,WSJAWA!$W$38&lt;=83.24),"P","")</f>
        <v/>
      </c>
      <c r="YF21" s="102" t="str">
        <f>IF(AND(WSJAWA!$W$38&gt;=83.25,WSJAWA!$W$38&lt;=91.4),"P","")</f>
        <v>P</v>
      </c>
      <c r="YG21" s="102" t="str">
        <f>IF(AND(WSJAWA!$W$38&gt;=91.5,WSJAWA!$W$38&lt;=100),"P","")</f>
        <v/>
      </c>
      <c r="YH21" t="str">
        <f>IF(WSJAWA!$W$46&lt;74.9,"P","")</f>
        <v/>
      </c>
      <c r="YI21" s="102" t="str">
        <f>IF(AND(WSJAWA!$W$46&gt;=75,WSJAWA!$W$46&lt;=83.24),"P","")</f>
        <v/>
      </c>
      <c r="YJ21" s="102" t="str">
        <f>IF(AND(WSJAWA!$W$46&gt;=83.25,WSJAWA!$W$46&lt;=91.4),"P","")</f>
        <v>P</v>
      </c>
      <c r="YK21" s="102" t="str">
        <f>IF(AND(WSJAWA!$W$46&gt;=91.5,WSJAWA!$W$46&lt;=100),"P","")</f>
        <v/>
      </c>
      <c r="YL21" t="str">
        <f>IF(WSJAWA!$W$54&lt;74.9,"P","")</f>
        <v/>
      </c>
      <c r="YM21" s="102" t="str">
        <f>IF(AND(WSJAWA!$W$54&gt;=75,WSJAWA!$W$54&lt;=83.24),"P","")</f>
        <v>P</v>
      </c>
      <c r="YN21" s="102" t="str">
        <f>IF(AND(WSJAWA!$W$54&gt;=83.25,WSJAWA!$W$54&lt;=91.4),"P","")</f>
        <v/>
      </c>
      <c r="YO21" s="102" t="str">
        <f>IF(AND(WSJAWA!$W$54&gt;=91.5,WSJAWA!$W$54&lt;=100),"P","")</f>
        <v/>
      </c>
      <c r="YP21" t="str">
        <f>IF(WSJAWA!$W$62&lt;74.9,"P","")</f>
        <v/>
      </c>
      <c r="YQ21" s="102" t="str">
        <f>IF(AND(WSJAWA!$W$62&gt;=75,WSJAWA!$W$62&lt;=83.24),"P","")</f>
        <v/>
      </c>
      <c r="YR21" s="102" t="str">
        <f>IF(AND(WSJAWA!$W$62&gt;=83.25,WSJAWA!$W$62&lt;=91.4),"P","")</f>
        <v/>
      </c>
      <c r="YS21" s="102" t="str">
        <f>IF(AND(WSJAWA!$W$62&gt;=91.5,WSJAWA!$W$62&lt;=100),"P","")</f>
        <v>P</v>
      </c>
      <c r="YT21" t="str">
        <f>IF(WSJAWA!$W$70&lt;74.9,"P","")</f>
        <v/>
      </c>
      <c r="YU21" s="102" t="str">
        <f>IF(AND(WSJAWA!$W$70&gt;=75,WSJAWA!$W$70&lt;=83.24),"P","")</f>
        <v/>
      </c>
      <c r="YV21" s="102" t="str">
        <f>IF(AND(WSJAWA!$W$70&gt;=83.25,WSJAWA!$W$70&lt;=91.4),"P","")</f>
        <v/>
      </c>
      <c r="YW21" s="102" t="str">
        <f>IF(AND(WSJAWA!$W$70&gt;=91.5,WSJAWA!$W$70&lt;=100),"P","")</f>
        <v/>
      </c>
      <c r="YX21" t="str">
        <f>IF(WSJAWA!$W$78&lt;74.9,"P","")</f>
        <v/>
      </c>
      <c r="YY21" s="102" t="str">
        <f>IF(AND(WSJAWA!$W$78&gt;=75,WSJAWA!$W$78&lt;=83.24),"P","")</f>
        <v/>
      </c>
      <c r="YZ21" s="102" t="str">
        <f>IF(AND(WSJAWA!$W$78&gt;=83.25,WSJAWA!$W$78&lt;=91.4),"P","")</f>
        <v/>
      </c>
      <c r="ZA21" s="102" t="str">
        <f>IF(AND(WSJAWA!$W$78&gt;=91.5,WSJAWA!$W$78&lt;=100),"P","")</f>
        <v/>
      </c>
      <c r="ZB21" t="str">
        <f>IF(WSJAWA!$W$86&lt;74.9,"P","")</f>
        <v/>
      </c>
      <c r="ZC21" s="102" t="str">
        <f>IF(AND(WSJAWA!$W$86&gt;=75,WSJAWA!$W$86&lt;=83.24),"P","")</f>
        <v/>
      </c>
      <c r="ZD21" s="102" t="str">
        <f>IF(AND(WSJAWA!$W$86&gt;=83.25,WSJAWA!$W$86&lt;=91.4),"P","")</f>
        <v/>
      </c>
      <c r="ZE21" s="102" t="str">
        <f>IF(AND(WSJAWA!$W$86&gt;=91.5,WSJAWA!$W$86&lt;=100),"P","")</f>
        <v/>
      </c>
      <c r="ZF21" t="str">
        <f>IF(WSJAWA!$W$94&lt;74.9,"P","")</f>
        <v/>
      </c>
      <c r="ZG21" s="102" t="str">
        <f>IF(AND(WSJAWA!$W$94&gt;=75,WSJAWA!$W$94&lt;=83.24),"P","")</f>
        <v/>
      </c>
      <c r="ZH21" s="102" t="str">
        <f>IF(AND(WSJAWA!$W$94&gt;=83.25,WSJAWA!$W$94&lt;=91.4),"P","")</f>
        <v/>
      </c>
      <c r="ZI21" s="102" t="str">
        <f>IF(AND(WSJAWA!$W$94&gt;=91.5,WSJAWA!$W$94&lt;=100),"P","")</f>
        <v/>
      </c>
      <c r="ZJ21" t="str">
        <f>IF(WSJAWA!$W$102&lt;74.9,"P","")</f>
        <v/>
      </c>
      <c r="ZK21" s="102" t="str">
        <f>IF(AND(WSJAWA!$W$102&gt;=75,WSJAWA!$W$102&lt;=83.24),"P","")</f>
        <v/>
      </c>
      <c r="ZL21" s="102" t="str">
        <f>IF(AND(WSJAWA!$W$102&gt;=83.25,WSJAWA!$W$102&lt;=91.4),"P","")</f>
        <v/>
      </c>
      <c r="ZM21" s="102" t="str">
        <f>IF(AND(WSJAWA!$W$102&gt;=91.5,WSJAWA!$W$102&lt;=100),"P","")</f>
        <v/>
      </c>
      <c r="ZN21" t="str">
        <f>IF(WSING!$W$6&lt;74.9,"P","")</f>
        <v/>
      </c>
      <c r="ZO21" s="102" t="str">
        <f>IF(AND(WSING!$W$6&gt;=75,WSING!$W$6&lt;=83.24),"P","")</f>
        <v/>
      </c>
      <c r="ZP21" s="102" t="str">
        <f>IF(AND(WSING!$W$6&gt;=83.25,WSING!$W$6&lt;=91.4),"P","")</f>
        <v>P</v>
      </c>
      <c r="ZQ21" s="102" t="str">
        <f>IF(AND(WSING!$W$6&gt;=91.5,WSING!$W$6&lt;=100),"P","")</f>
        <v/>
      </c>
      <c r="ZR21" t="str">
        <f>IF(WSING!$W$15&lt;74.9,"P","")</f>
        <v/>
      </c>
      <c r="ZS21" s="102" t="str">
        <f>IF(AND(WSING!$W$15&gt;=75,WSING!$W$15&lt;=83.24),"P","")</f>
        <v/>
      </c>
      <c r="ZT21" s="102" t="str">
        <f>IF(AND(WSING!$W$15&gt;=83.25,WSING!$W$15&lt;=91.4),"P","")</f>
        <v>P</v>
      </c>
      <c r="ZU21" s="102" t="str">
        <f>IF(AND(WSING!$W$15&gt;=91.5,WSING!$W$15&lt;=100),"P","")</f>
        <v/>
      </c>
      <c r="ZV21" t="str">
        <f>IF(WSING!$W$24&lt;74.9,"P","")</f>
        <v/>
      </c>
      <c r="ZW21" s="102" t="str">
        <f>IF(AND(WSING!$W$24&gt;=75,WSING!$W$24&lt;=83.24),"P","")</f>
        <v/>
      </c>
      <c r="ZX21" s="102" t="str">
        <f>IF(AND(WSING!$W$24&gt;=83.25,WSING!$W$24&lt;=91.4),"P","")</f>
        <v>P</v>
      </c>
      <c r="ZY21" s="102" t="str">
        <f>IF(AND(WSING!$W$24&gt;=91.5,WSING!$W$24&lt;=100),"P","")</f>
        <v/>
      </c>
      <c r="ZZ21" t="str">
        <f>IF(WSING!$W$33&lt;74.9,"P","")</f>
        <v/>
      </c>
      <c r="AAA21" s="102" t="str">
        <f>IF(AND(WSING!$W$33&gt;=75,WSING!$W$33&lt;=83.24),"P","")</f>
        <v/>
      </c>
      <c r="AAB21" s="102" t="str">
        <f>IF(AND(WSING!$W$33&gt;=83.25,WSING!$W$33&lt;=91.4),"P","")</f>
        <v>P</v>
      </c>
      <c r="AAC21" s="102" t="str">
        <f>IF(AND(WSING!$W$33&gt;=91.5,WSING!$W$33&lt;=100),"P","")</f>
        <v/>
      </c>
      <c r="AAD21" t="str">
        <f>IF(WSING!$W$42&lt;74.9,"P","")</f>
        <v/>
      </c>
      <c r="AAE21" s="102" t="str">
        <f>IF(AND(WSING!$W$42&gt;=75,WSING!$W$42&lt;=83.24),"P","")</f>
        <v/>
      </c>
      <c r="AAF21" s="102" t="str">
        <f>IF(AND(WSING!$W$42&gt;=83.25,WSING!$W$42&lt;=91.4),"P","")</f>
        <v/>
      </c>
      <c r="AAG21" s="102" t="str">
        <f>IF(AND(WSING!$W$42&gt;=91.5,WSING!$W$42&lt;=100),"P","")</f>
        <v/>
      </c>
      <c r="AAH21" t="str">
        <f>IF(WSING!$W$50&lt;74.9,"P","")</f>
        <v/>
      </c>
      <c r="AAI21" s="102" t="str">
        <f>IF(AND(WSING!$W$50&gt;=75,WSING!$W$50&lt;=83.24),"P","")</f>
        <v/>
      </c>
      <c r="AAJ21" s="102" t="str">
        <f>IF(AND(WSING!$W$50&gt;=83.25,WSING!$W$50&lt;=91.4),"P","")</f>
        <v/>
      </c>
      <c r="AAK21" s="102" t="str">
        <f>IF(AND(WSING!$W$50&gt;=91.5,WSING!$W$50&lt;=100),"P","")</f>
        <v/>
      </c>
      <c r="AAL21" t="str">
        <f>IF(WSING!$W$58&lt;74.9,"P","")</f>
        <v/>
      </c>
      <c r="AAM21" s="102" t="str">
        <f>IF(AND(WSING!$W$58&gt;=75,WSING!$W$58&lt;=83.24),"P","")</f>
        <v/>
      </c>
      <c r="AAN21" s="102" t="str">
        <f>IF(AND(WSING!$W$58&gt;=83.25,WSING!$W$58&lt;=91.4),"P","")</f>
        <v/>
      </c>
      <c r="AAO21" s="102" t="str">
        <f>IF(AND(WSING!$W$58&gt;=91.5,WSING!$W$58&lt;=100),"P","")</f>
        <v/>
      </c>
      <c r="AAP21" t="str">
        <f>IF(WSING!$W$66&lt;74.9,"P","")</f>
        <v/>
      </c>
      <c r="AAQ21" s="102" t="str">
        <f>IF(AND(WSING!$W$66&gt;=75,WSING!$W$66&lt;=83.24),"P","")</f>
        <v/>
      </c>
      <c r="AAR21" s="102" t="str">
        <f>IF(AND(WSING!$W$66&gt;=83.25,WSING!$W$66&lt;=91.4),"P","")</f>
        <v/>
      </c>
      <c r="AAS21" s="102" t="str">
        <f>IF(AND(WSING!$W$66&gt;=91.5,WSING!$W$66&lt;=100),"P","")</f>
        <v/>
      </c>
      <c r="AAT21" t="str">
        <f>IF(WSING!$W$74&lt;74.9,"P","")</f>
        <v/>
      </c>
      <c r="AAU21" s="102" t="str">
        <f>IF(AND(WSING!$W$74&gt;=75,WSING!$W$74&lt;=83.24),"P","")</f>
        <v/>
      </c>
      <c r="AAV21" s="102" t="str">
        <f>IF(AND(WSING!$W$74&gt;=83.25,WSING!$W$74&lt;=91.4),"P","")</f>
        <v/>
      </c>
      <c r="AAW21" s="102" t="str">
        <f>IF(AND(WSING!$W$74&gt;=91.5,WSING!$W$74&lt;=100),"P","")</f>
        <v/>
      </c>
      <c r="AAX21" t="str">
        <f>IF(WSING!$W$82&lt;74.9,"P","")</f>
        <v/>
      </c>
      <c r="AAY21" s="102" t="str">
        <f>IF(AND(WSING!$W$82&gt;=75,WSING!$W$82&lt;=83.24),"P","")</f>
        <v/>
      </c>
      <c r="AAZ21" s="102" t="str">
        <f>IF(AND(WSING!$W$82&gt;=83.25,WSING!$W$82&lt;=91.4),"P","")</f>
        <v/>
      </c>
      <c r="ABA21" s="102" t="str">
        <f>IF(AND(WSING!$W$82&gt;=91.5,WSING!$W$82&lt;=100),"P","")</f>
        <v/>
      </c>
      <c r="ABB21" t="str">
        <f>IF(WSING!$W$90&lt;74.9,"P","")</f>
        <v/>
      </c>
      <c r="ABC21" s="102" t="str">
        <f>IF(AND(WSING!$W$90&gt;=75,WSING!$W$90&lt;=83.24),"P","")</f>
        <v/>
      </c>
      <c r="ABD21" s="102" t="str">
        <f>IF(AND(WSING!$W$90&gt;=83.25,WSING!$W$90&lt;=91.4),"P","")</f>
        <v/>
      </c>
      <c r="ABE21" s="102" t="str">
        <f>IF(AND(WSING!$W$90&gt;=91.5,WSING!$W$90&lt;=100),"P","")</f>
        <v/>
      </c>
      <c r="ABF21" t="str">
        <f>IF(WSING!$W$98&lt;74.9,"P","")</f>
        <v/>
      </c>
      <c r="ABG21" s="102" t="str">
        <f>IF(AND(WSING!$W$98&gt;=75,WSING!$W$98&lt;=83.24),"P","")</f>
        <v/>
      </c>
      <c r="ABH21" s="102" t="str">
        <f>IF(AND(WSING!$W$98&gt;=83.25,WSING!$W$98&lt;=91.4),"P","")</f>
        <v/>
      </c>
      <c r="ABI21" s="102" t="str">
        <f>IF(AND(WSING!$W$98&gt;=91.5,WSING!$W$98&lt;=100),"P","")</f>
        <v/>
      </c>
      <c r="ABJ21" t="str">
        <f>IF(WSING!$W$106&lt;74.9,"P","")</f>
        <v/>
      </c>
      <c r="ABK21" s="102" t="str">
        <f>IF(AND(WSING!$W$106&gt;=75,WSING!$W$106&lt;=83.24),"P","")</f>
        <v/>
      </c>
      <c r="ABL21" s="102" t="str">
        <f>IF(AND(WSING!$W$106&gt;=83.25,WSING!$W$106&lt;=91.4),"P","")</f>
        <v/>
      </c>
      <c r="ABM21" s="102" t="str">
        <f>IF(AND(WSING!$W$106&gt;=91.5,WSING!$W$106&lt;=100),"P","")</f>
        <v/>
      </c>
      <c r="ABN21" t="str">
        <f>IF(WSTIK!$W$6&lt;74.9,"P","")</f>
        <v/>
      </c>
      <c r="ABO21" s="102" t="str">
        <f>IF(AND(WSTIK!$W$6&gt;=75,WSTIK!$W$6&lt;=83.24),"P","")</f>
        <v/>
      </c>
      <c r="ABP21" s="102" t="str">
        <f>IF(AND(WSTIK!$W$6&gt;=83.25,WSTIK!$W$6&lt;=91.4),"P","")</f>
        <v/>
      </c>
      <c r="ABQ21" s="102" t="str">
        <f>IF(AND(WSTIK!$W$6&gt;=91.5,WSTIK!$W$6&lt;=100),"P","")</f>
        <v/>
      </c>
      <c r="ABR21" t="str">
        <f>IF(WSTIK!$W$14&lt;74.9,"P","")</f>
        <v/>
      </c>
      <c r="ABS21" s="102" t="str">
        <f>IF(AND(WSTIK!$W$14&gt;=75,WSTIK!$W$14&lt;=83.24),"P","")</f>
        <v/>
      </c>
      <c r="ABT21" s="102" t="str">
        <f>IF(AND(WSTIK!$W$14&gt;=83.25,WSTIK!$W$14&lt;=91.4),"P","")</f>
        <v/>
      </c>
      <c r="ABU21" s="102" t="str">
        <f>IF(AND(WSTIK!$W$14&gt;=91.5,WSTIK!$W$14&lt;=100),"P","")</f>
        <v/>
      </c>
      <c r="ABV21" t="str">
        <f>IF(WSTIK!$W$22&lt;74.9,"P","")</f>
        <v/>
      </c>
      <c r="ABW21" s="102" t="str">
        <f>IF(AND(WSTIK!$W$22&gt;=75,WSTIK!$W$22&lt;=83.24),"P","")</f>
        <v/>
      </c>
      <c r="ABX21" s="102" t="str">
        <f>IF(AND(WSTIK!$W$22&gt;=83.25,WSTIK!$W$22&lt;=91.4),"P","")</f>
        <v/>
      </c>
      <c r="ABY21" s="102" t="str">
        <f>IF(AND(WSTIK!$W$22&gt;=91.5,WSTIK!$W$22&lt;=100),"P","")</f>
        <v/>
      </c>
      <c r="ABZ21" t="str">
        <f>IF(WSTIK!$W$30&lt;74.9,"P","")</f>
        <v/>
      </c>
      <c r="ACA21" s="102" t="str">
        <f>IF(AND(WSTIK!$W$30&gt;=75,WSTIK!$W$30&lt;=83.24),"P","")</f>
        <v/>
      </c>
      <c r="ACB21" s="102" t="str">
        <f>IF(AND(WSTIK!$W$30&gt;=83.25,WSTIK!$W$30&lt;=91.4),"P","")</f>
        <v/>
      </c>
      <c r="ACC21" s="102" t="str">
        <f>IF(AND(WSTIK!$W$30&gt;=91.5,WSTIK!$W$30&lt;=100),"P","")</f>
        <v/>
      </c>
      <c r="ACD21" t="str">
        <f>IF(WSTIK!$W$38&lt;74.9,"P","")</f>
        <v/>
      </c>
      <c r="ACE21" s="102" t="str">
        <f>IF(AND(WSTIK!$W$38&gt;=75,WSTIK!$W$38&lt;=83.24),"P","")</f>
        <v/>
      </c>
      <c r="ACF21" s="102" t="str">
        <f>IF(AND(WSTIK!$W$38&gt;=83.25,WSTIK!$W$38&lt;=91.4),"P","")</f>
        <v/>
      </c>
      <c r="ACG21" s="102" t="str">
        <f>IF(AND(WSTIK!$W$38&gt;=91.5,WSTIK!$W$38&lt;=100),"P","")</f>
        <v/>
      </c>
      <c r="ACH21" t="str">
        <f>IF(WSTIK!$W$46&lt;74.9,"P","")</f>
        <v/>
      </c>
      <c r="ACI21" s="102" t="str">
        <f>IF(AND(WSTIK!$W$46&gt;=75,WSTIK!$W$46&lt;=83.24),"P","")</f>
        <v/>
      </c>
      <c r="ACJ21" s="102" t="str">
        <f>IF(AND(WSTIK!$W$46&gt;=83.25,WSTIK!$W$46&lt;=91.4),"P","")</f>
        <v/>
      </c>
      <c r="ACK21" s="102" t="str">
        <f>IF(AND(WSTIK!$W$46&gt;=91.5,WSTIK!$W$46&lt;=100),"P","")</f>
        <v/>
      </c>
      <c r="ACL21" t="str">
        <f>IF(WSTIK!$W$54&lt;74.9,"P","")</f>
        <v/>
      </c>
      <c r="ACM21" s="102" t="str">
        <f>IF(AND(WSTIK!$W$54&gt;=75,WSTIK!$W$54&lt;=83.24),"P","")</f>
        <v/>
      </c>
      <c r="ACN21" s="102" t="str">
        <f>IF(AND(WSTIK!$W$54&gt;=83.25,WSTIK!$W$54&lt;=91.4),"P","")</f>
        <v/>
      </c>
      <c r="ACO21" s="102" t="str">
        <f>IF(AND(WSTIK!$W$54&gt;=91.5,WSTIK!$W$54&lt;=100),"P","")</f>
        <v/>
      </c>
      <c r="ACP21" t="str">
        <f>IF(WSTIK!$W$62&lt;74.9,"P","")</f>
        <v/>
      </c>
      <c r="ACQ21" s="102" t="str">
        <f>IF(AND(WSTIK!$W$62&gt;=75,WSTIK!$W$62&lt;=83.24),"P","")</f>
        <v/>
      </c>
      <c r="ACR21" s="102" t="str">
        <f>IF(AND(WSTIK!$W$62&gt;=83.25,WSTIK!$W$62&lt;=91.4),"P","")</f>
        <v/>
      </c>
      <c r="ACS21" s="102" t="str">
        <f>IF(AND(WSTIK!$W$62&gt;=91.5,WSTIK!$W$62&lt;=100),"P","")</f>
        <v/>
      </c>
      <c r="ACT21" t="str">
        <f>IF(WSTIK!$W$70&lt;74.9,"P","")</f>
        <v/>
      </c>
      <c r="ACU21" s="102" t="str">
        <f>IF(AND(WSTIK!$W$70&gt;=75,WSTIK!$W$70&lt;=83.24),"P","")</f>
        <v/>
      </c>
      <c r="ACV21" s="102" t="str">
        <f>IF(AND(WSTIK!$W$70&gt;=83.25,WSTIK!$W$70&lt;=91.4),"P","")</f>
        <v/>
      </c>
      <c r="ACW21" s="102" t="str">
        <f>IF(AND(WSTIK!$W$70&gt;=91.5,WSTIK!$W$70&lt;=100),"P","")</f>
        <v/>
      </c>
      <c r="ACX21" t="str">
        <f>IF(WSTIK!$W$78&lt;74.9,"P","")</f>
        <v/>
      </c>
      <c r="ACY21" s="102" t="str">
        <f>IF(AND(WSTIK!$W$78&gt;=75,WSTIK!$W$78&lt;=83.24),"P","")</f>
        <v/>
      </c>
      <c r="ACZ21" s="102" t="str">
        <f>IF(AND(WSTIK!$W$78&gt;=83.25,WSTIK!$W$78&lt;=91.4),"P","")</f>
        <v/>
      </c>
      <c r="ADA21" s="102" t="str">
        <f>IF(AND(WSTIK!$W$78&gt;=91.5,WSTIK!$W$78&lt;=100),"P","")</f>
        <v/>
      </c>
      <c r="ADB21" t="str">
        <f>IF(WSTIK!$W$86&lt;74.9,"P","")</f>
        <v/>
      </c>
      <c r="ADC21" s="102" t="str">
        <f>IF(AND(WSTIK!$W$86&gt;=75,WSTIK!$W$86&lt;=83.24),"P","")</f>
        <v/>
      </c>
      <c r="ADD21" s="102" t="str">
        <f>IF(AND(WSTIK!$W$86&gt;=83.25,WSTIK!$W$86&lt;=91.4),"P","")</f>
        <v/>
      </c>
      <c r="ADE21" s="102" t="str">
        <f>IF(AND(WSTIK!$W$86&gt;=91.5,WSTIK!$W$86&lt;=100),"P","")</f>
        <v/>
      </c>
      <c r="ADF21" t="str">
        <f>IF(WSTIK!$W$94&lt;74.9,"P","")</f>
        <v/>
      </c>
      <c r="ADG21" s="102" t="str">
        <f>IF(AND(WSTIK!$W$94&gt;=75,WSTIK!$W$94&lt;=83.24),"P","")</f>
        <v/>
      </c>
      <c r="ADH21" s="102" t="str">
        <f>IF(AND(WSTIK!$W$94&gt;=83.25,WSTIK!$W$94&lt;=91.4),"P","")</f>
        <v/>
      </c>
      <c r="ADI21" s="102" t="str">
        <f>IF(AND(WSTIK!$W$94&gt;=91.5,WSTIK!$W$94&lt;=100),"P","")</f>
        <v/>
      </c>
      <c r="ADJ21" t="str">
        <f>IF(WSTIK!$W$102&lt;74.9,"P","")</f>
        <v/>
      </c>
      <c r="ADK21" s="102" t="str">
        <f>IF(AND(WSTIK!$W$102&gt;=75,WSTIK!$W$102&lt;=83.24),"P","")</f>
        <v/>
      </c>
      <c r="ADL21" s="102" t="str">
        <f>IF(AND(WSTIK!$W$102&gt;=83.25,WSTIK!$W$102&lt;=91.4),"P","")</f>
        <v/>
      </c>
      <c r="ADM21" s="102" t="str">
        <f>IF(AND(WSTIK!$W$102&gt;=91.5,WSTIK!$W$102&lt;=100),"P","")</f>
        <v/>
      </c>
      <c r="ADN21" t="str">
        <f>IF(WSASWAJA!$W$6&lt;74.9,"P","")</f>
        <v/>
      </c>
      <c r="ADO21" s="102" t="str">
        <f>IF(AND(WSASWAJA!$W$6&gt;=75,WSASWAJA!$W$6&lt;=83.24),"P","")</f>
        <v/>
      </c>
      <c r="ADP21" s="102" t="str">
        <f>IF(AND(WSASWAJA!$W$6&gt;=83.25,WSASWAJA!$W$6&lt;=91.4),"P","")</f>
        <v/>
      </c>
      <c r="ADQ21" s="102" t="str">
        <f>IF(AND(WSASWAJA!$W$6&gt;=91.5,WSASWAJA!$W$6&lt;=100),"P","")</f>
        <v/>
      </c>
      <c r="ADR21" t="str">
        <f>IF(WSASWAJA!$W$14&lt;74.9,"P","")</f>
        <v/>
      </c>
      <c r="ADS21" s="102" t="str">
        <f>IF(AND(WSASWAJA!$W$14&gt;=75,WSASWAJA!$W$14&lt;=83.24),"P","")</f>
        <v/>
      </c>
      <c r="ADT21" s="102" t="str">
        <f>IF(AND(WSASWAJA!$W$14&gt;=83.25,WSASWAJA!$W$14&lt;=91.4),"P","")</f>
        <v/>
      </c>
      <c r="ADU21" s="102" t="str">
        <f>IF(AND(WSASWAJA!$W$14&gt;=91.5,WSASWAJA!$W$14&lt;=100),"P","")</f>
        <v/>
      </c>
      <c r="ADV21" t="str">
        <f>IF(WSASWAJA!$W$22&lt;74.9,"P","")</f>
        <v/>
      </c>
      <c r="ADW21" s="102" t="str">
        <f>IF(AND(WSASWAJA!$W$22&gt;=75,WSASWAJA!$W$22&lt;=83.24),"P","")</f>
        <v/>
      </c>
      <c r="ADX21" s="102" t="str">
        <f>IF(AND(WSASWAJA!$W$22&gt;=83.25,WSASWAJA!$W$22&lt;=91.4),"P","")</f>
        <v/>
      </c>
      <c r="ADY21" s="102" t="str">
        <f>IF(AND(WSASWAJA!$W$22&gt;=91.5,WSASWAJA!$W$22&lt;=100),"P","")</f>
        <v/>
      </c>
      <c r="ADZ21" t="str">
        <f>IF(WSASWAJA!$W$30&lt;74.9,"P","")</f>
        <v/>
      </c>
      <c r="AEA21" s="102" t="str">
        <f>IF(AND(WSASWAJA!$W$30&gt;=75,WSASWAJA!$W$30&lt;=83.24),"P","")</f>
        <v/>
      </c>
      <c r="AEB21" s="102" t="str">
        <f>IF(AND(WSASWAJA!$W$30&gt;=83.25,WSASWAJA!$W$30&lt;=91.4),"P","")</f>
        <v/>
      </c>
      <c r="AEC21" s="102" t="str">
        <f>IF(AND(WSASWAJA!$W$30&gt;=91.5,WSASWAJA!$W$30&lt;=100),"P","")</f>
        <v/>
      </c>
      <c r="AED21" t="str">
        <f>IF(WSASWAJA!$W$38&lt;74.9,"P","")</f>
        <v/>
      </c>
      <c r="AEE21" s="102" t="str">
        <f>IF(AND(WSASWAJA!$W$38&gt;=75,WSASWAJA!$W$38&lt;=83.24),"P","")</f>
        <v/>
      </c>
      <c r="AEF21" s="102" t="str">
        <f>IF(AND(WSASWAJA!$W$38&gt;=83.25,WSASWAJA!$W$38&lt;=91.4),"P","")</f>
        <v/>
      </c>
      <c r="AEG21" s="102" t="str">
        <f>IF(AND(WSASWAJA!$W$38&gt;=91.5,WSASWAJA!$W$38&lt;=100),"P","")</f>
        <v/>
      </c>
      <c r="AEH21" t="str">
        <f>IF(WSASWAJA!$W$46&lt;74.9,"P","")</f>
        <v/>
      </c>
      <c r="AEI21" s="102" t="str">
        <f>IF(AND(WSASWAJA!$W$46&gt;=75,WSASWAJA!$W$46&lt;=83.24),"P","")</f>
        <v/>
      </c>
      <c r="AEJ21" s="102" t="str">
        <f>IF(AND(WSASWAJA!$W$46&gt;=83.25,WSASWAJA!$W$46&lt;=91.4),"P","")</f>
        <v/>
      </c>
      <c r="AEK21" s="102" t="str">
        <f>IF(AND(WSASWAJA!$W$46&gt;=91.5,WSASWAJA!$W$46&lt;=100),"P","")</f>
        <v/>
      </c>
      <c r="AEL21" t="str">
        <f>IF(WSASWAJA!$W$54&lt;74.9,"P","")</f>
        <v/>
      </c>
      <c r="AEM21" s="102" t="str">
        <f>IF(AND(WSASWAJA!$W$54&gt;=75,WSASWAJA!$W$54&lt;=83.24),"P","")</f>
        <v/>
      </c>
      <c r="AEN21" s="102" t="str">
        <f>IF(AND(WSASWAJA!$W$54&gt;=83.25,WSASWAJA!$W$54&lt;=91.4),"P","")</f>
        <v/>
      </c>
      <c r="AEO21" s="102" t="str">
        <f>IF(AND(WSASWAJA!$W$54&gt;=91.5,WSASWAJA!$W$54&lt;=100),"P","")</f>
        <v/>
      </c>
      <c r="AEP21" t="str">
        <f>IF(WSASWAJA!$W$62&lt;74.9,"P","")</f>
        <v/>
      </c>
      <c r="AEQ21" s="102" t="str">
        <f>IF(AND(WSASWAJA!$W$62&gt;=75,WSASWAJA!$W$62&lt;=83.24),"P","")</f>
        <v/>
      </c>
      <c r="AER21" s="102" t="str">
        <f>IF(AND(WSASWAJA!$W$62&gt;=83.25,WSASWAJA!$W$62&lt;=91.4),"P","")</f>
        <v/>
      </c>
      <c r="AES21" s="102" t="str">
        <f>IF(AND(WSASWAJA!$W$62&gt;=91.5,WSASWAJA!$W$62&lt;=100),"P","")</f>
        <v/>
      </c>
      <c r="AET21" t="str">
        <f>IF(WSASWAJA!$W$70&lt;74.9,"P","")</f>
        <v/>
      </c>
      <c r="AEU21" s="102" t="str">
        <f>IF(AND(WSASWAJA!$W$70&gt;=75,WSASWAJA!$W$70&lt;=83.24),"P","")</f>
        <v/>
      </c>
      <c r="AEV21" s="102" t="str">
        <f>IF(AND(WSASWAJA!$W$70&gt;=83.25,WSASWAJA!$W$70&lt;=91.4),"P","")</f>
        <v/>
      </c>
      <c r="AEW21" s="102" t="str">
        <f>IF(AND(WSASWAJA!$W$70&gt;=91.5,WSASWAJA!$W$70&lt;=100),"P","")</f>
        <v/>
      </c>
      <c r="AEX21" t="str">
        <f>IF(WSASWAJA!$W$78&lt;74.9,"P","")</f>
        <v/>
      </c>
      <c r="AEY21" s="102" t="str">
        <f>IF(AND(WSASWAJA!$W$78&gt;=75,WSASWAJA!$W$78&lt;=83.24),"P","")</f>
        <v/>
      </c>
      <c r="AEZ21" s="102" t="str">
        <f>IF(AND(WSASWAJA!$W$78&gt;=83.25,WSASWAJA!$W$78&lt;=91.4),"P","")</f>
        <v/>
      </c>
      <c r="AFA21" s="102" t="str">
        <f>IF(AND(WSASWAJA!$W$78&gt;=91.5,WSASWAJA!$W$78&lt;=100),"P","")</f>
        <v/>
      </c>
      <c r="AFB21" t="str">
        <f>IF(WSASWAJA!$W$86&lt;74.9,"P","")</f>
        <v/>
      </c>
      <c r="AFC21" s="102" t="str">
        <f>IF(AND(WSASWAJA!$W$86&gt;=75,WSASWAJA!$W$86&lt;=83.24),"P","")</f>
        <v/>
      </c>
      <c r="AFD21" s="102" t="str">
        <f>IF(AND(WSASWAJA!$W$86&gt;=83.25,WSASWAJA!$W$86&lt;=91.4),"P","")</f>
        <v/>
      </c>
      <c r="AFE21" s="102" t="str">
        <f>IF(AND(WSASWAJA!$W$86&gt;=91.5,WSASWAJA!$W$86&lt;=100),"P","")</f>
        <v/>
      </c>
      <c r="AFF21" t="str">
        <f>IF(WSASWAJA!$W$94&lt;74.9,"P","")</f>
        <v/>
      </c>
      <c r="AFG21" s="102" t="str">
        <f>IF(AND(WSASWAJA!$W$94&gt;=75,WSASWAJA!$W$94&lt;=83.24),"P","")</f>
        <v/>
      </c>
      <c r="AFH21" s="102" t="str">
        <f>IF(AND(WSASWAJA!$W$94&gt;=83.25,WSASWAJA!$W$94&lt;=91.4),"P","")</f>
        <v/>
      </c>
      <c r="AFI21" s="102" t="str">
        <f>IF(AND(WSASWAJA!$W$94&gt;=91.5,WSASWAJA!$W$94&lt;=100),"P","")</f>
        <v/>
      </c>
      <c r="AFJ21" t="str">
        <f>IF(WSASWAJA!$W$102&lt;74.9,"P","")</f>
        <v/>
      </c>
      <c r="AFK21" s="102" t="str">
        <f>IF(AND(WSASWAJA!$W$102&gt;=75,WSASWAJA!$W$102&lt;=83.24),"P","")</f>
        <v/>
      </c>
      <c r="AFL21" s="102" t="str">
        <f>IF(AND(WSASWAJA!$W$102&gt;=83.25,WSASWAJA!$W$102&lt;=91.4),"P","")</f>
        <v/>
      </c>
      <c r="AFM21" s="102" t="str">
        <f>IF(AND(WSASWAJA!$W$102&gt;=91.5,WSASWAJA!$W$102&lt;=100),"P","")</f>
        <v/>
      </c>
    </row>
    <row r="22" spans="1:845" ht="20.100000000000001" customHeight="1">
      <c r="A22">
        <v>20</v>
      </c>
      <c r="B22" t="str">
        <f>IF(WSALQURAN!$X$6&lt;74.9,"P","")</f>
        <v/>
      </c>
      <c r="C22" s="102" t="str">
        <f>IF(AND(WSALQURAN!$X$6&gt;=75,WSALQURAN!$X$6&lt;=83.24),"P","")</f>
        <v/>
      </c>
      <c r="D22" s="102" t="str">
        <f>IF(AND(WSALQURAN!$X$6&gt;=83.25,WSALQURAN!$X$6&lt;=91.4),"P","")</f>
        <v>P</v>
      </c>
      <c r="E22" s="102" t="str">
        <f>IF(AND(WSALQURAN!$X$6&gt;=91.5,WSALQURAN!$X$6&lt;=100),"P","")</f>
        <v/>
      </c>
      <c r="F22" t="str">
        <f>IF(WSALQURAN!$X$14&lt;74.9,"P","")</f>
        <v/>
      </c>
      <c r="G22" s="102" t="str">
        <f>IF(AND(WSALQURAN!$X$14&gt;=75,WSALQURAN!$X$14&lt;=83.24),"P","")</f>
        <v/>
      </c>
      <c r="H22" s="102" t="str">
        <f>IF(AND(WSALQURAN!$X$14&gt;=83.25,WSALQURAN!$X$14&lt;=91.4),"P","")</f>
        <v/>
      </c>
      <c r="I22" s="102" t="str">
        <f>IF(AND(WSALQURAN!$X$14&gt;=91.5,WSALQURAN!$X$14&lt;=100),"P","")</f>
        <v>P</v>
      </c>
      <c r="J22" t="str">
        <f>IF(WSALQURAN!$X$22&lt;74.9,"P","")</f>
        <v/>
      </c>
      <c r="K22" s="102" t="str">
        <f>IF(AND(WSALQURAN!$X$22&gt;=75,WSALQURAN!$X$22&lt;=83.24),"P","")</f>
        <v>P</v>
      </c>
      <c r="L22" s="102" t="str">
        <f>IF(AND(WSALQURAN!$X$22&gt;=83.25,WSALQURAN!$X$22&lt;=91.4),"P","")</f>
        <v/>
      </c>
      <c r="M22" s="102" t="str">
        <f>IF(AND(WSALQURAN!$X$22&gt;=91.5,WSALQURAN!$X$22&lt;=100),"P","")</f>
        <v/>
      </c>
      <c r="N22" t="str">
        <f>IF(WSALQURAN!$X$30&lt;74.9,"P","")</f>
        <v/>
      </c>
      <c r="O22" s="102" t="str">
        <f>IF(AND(WSALQURAN!$X$30&gt;=75,WSALQURAN!$X$30&lt;=83.24),"P","")</f>
        <v/>
      </c>
      <c r="P22" s="102" t="str">
        <f>IF(AND(WSALQURAN!$X$30&gt;=83.25,WSALQURAN!$X$30&lt;=91.4),"P","")</f>
        <v>P</v>
      </c>
      <c r="Q22" s="102" t="str">
        <f>IF(AND(WSALQURAN!$X$30&gt;=91.5,WSALQURAN!$X$30&lt;=100),"P","")</f>
        <v/>
      </c>
      <c r="R22" t="str">
        <f>IF(WSALQURAN!$X$38&lt;74.9,"P","")</f>
        <v/>
      </c>
      <c r="S22" s="102" t="str">
        <f>IF(AND(WSALQURAN!$X$38&gt;=75,WSALQURAN!$X$38&lt;=83.24),"P","")</f>
        <v/>
      </c>
      <c r="T22" s="102" t="str">
        <f>IF(AND(WSALQURAN!$X$38&gt;=83.25,WSALQURAN!$X$38&lt;=91.4),"P","")</f>
        <v>P</v>
      </c>
      <c r="U22" s="102" t="str">
        <f>IF(AND(WSALQURAN!$X$38&gt;=91.5,WSALQURAN!$X$38&lt;=100),"P","")</f>
        <v/>
      </c>
      <c r="V22" t="str">
        <f>IF(WSALQURAN!$X$46&lt;74.9,"P","")</f>
        <v/>
      </c>
      <c r="W22" s="102" t="str">
        <f>IF(AND(WSALQURAN!$X$46&gt;=75,WSALQURAN!$X$46&lt;=83.24),"P","")</f>
        <v/>
      </c>
      <c r="X22" s="102" t="str">
        <f>IF(AND(WSALQURAN!$X$46&gt;=83.25,WSALQURAN!$X$46&lt;=91.4),"P","")</f>
        <v/>
      </c>
      <c r="Y22" s="102" t="str">
        <f>IF(AND(WSALQURAN!$X$46&gt;=91.5,WSALQURAN!$X$46&lt;=100),"P","")</f>
        <v>P</v>
      </c>
      <c r="Z22" t="str">
        <f>IF(WSALQURAN!$X$54&lt;74.9,"P","")</f>
        <v/>
      </c>
      <c r="AA22" s="102" t="str">
        <f>IF(AND(WSALQURAN!$X$54&gt;=75,WSALQURAN!$X$54&lt;=83.24),"P","")</f>
        <v/>
      </c>
      <c r="AB22" s="102" t="str">
        <f>IF(AND(WSALQURAN!$X$54&gt;=83.25,WSALQURAN!$X$54&lt;=91.4),"P","")</f>
        <v>P</v>
      </c>
      <c r="AC22" s="102" t="str">
        <f>IF(AND(WSALQURAN!$X$54&gt;=91.5,WSALQURAN!$X$54&lt;=100),"P","")</f>
        <v/>
      </c>
      <c r="AD22" t="str">
        <f>IF(WSALQURAN!$X$62&lt;74.9,"P","")</f>
        <v/>
      </c>
      <c r="AE22" s="102" t="str">
        <f>IF(AND(WSALQURAN!$X$62&gt;=75,WSALQURAN!$X$62&lt;=83.24),"P","")</f>
        <v/>
      </c>
      <c r="AF22" s="102" t="str">
        <f>IF(AND(WSALQURAN!$X$62&gt;=83.25,WSALQURAN!$X$62&lt;=91.4),"P","")</f>
        <v/>
      </c>
      <c r="AG22" s="102" t="str">
        <f>IF(AND(WSALQURAN!$X$62&gt;=91.5,WSALQURAN!$X$62&lt;=100),"P","")</f>
        <v/>
      </c>
      <c r="AH22" t="str">
        <f>IF(WSALQURAN!$X$70&lt;74.9,"P","")</f>
        <v/>
      </c>
      <c r="AI22" s="102" t="str">
        <f>IF(AND(WSALQURAN!$X$70&gt;=75,WSALQURAN!$X$70&lt;=83.24),"P","")</f>
        <v/>
      </c>
      <c r="AJ22" s="102" t="str">
        <f>IF(AND(WSALQURAN!$X$70&gt;=83.25,WSALQURAN!$X$70&lt;=91.4),"P","")</f>
        <v/>
      </c>
      <c r="AK22" s="102" t="str">
        <f>IF(AND(WSALQURAN!$X$70&gt;=91.5,WSALQURAN!$X$70&lt;=100),"P","")</f>
        <v/>
      </c>
      <c r="AL22" t="str">
        <f>IF(WSALQURAN!$X$78&lt;74.9,"P","")</f>
        <v/>
      </c>
      <c r="AM22" s="102" t="str">
        <f>IF(AND(WSALQURAN!$X$78&gt;=75,WSALQURAN!$X$78&lt;=83.24),"P","")</f>
        <v/>
      </c>
      <c r="AN22" s="102" t="str">
        <f>IF(AND(WSALQURAN!$X$78&gt;=83.25,WSALQURAN!$X$78&lt;=91.4),"P","")</f>
        <v/>
      </c>
      <c r="AO22" s="102" t="str">
        <f>IF(AND(WSALQURAN!$X$78&gt;=91.5,WSALQURAN!$X$78&lt;=100),"P","")</f>
        <v/>
      </c>
      <c r="AP22" t="str">
        <f>IF(WSALQURAN!$X$86&lt;74.9,"P","")</f>
        <v/>
      </c>
      <c r="AQ22" s="102" t="str">
        <f>IF(AND(WSALQURAN!$X$86&gt;=75,WSALQURAN!$X$86&lt;=83.24),"P","")</f>
        <v/>
      </c>
      <c r="AR22" s="102" t="str">
        <f>IF(AND(WSALQURAN!$X$86&gt;=83.25,WSALQURAN!$X$86&lt;=91.4),"P","")</f>
        <v/>
      </c>
      <c r="AS22" s="102" t="str">
        <f>IF(AND(WSALQURAN!$X$86&gt;=91.5,WSALQURAN!$X$86&lt;=100),"P","")</f>
        <v/>
      </c>
      <c r="AT22" t="str">
        <f>IF(WSALQURAN!$X$94&lt;74.9,"P","")</f>
        <v/>
      </c>
      <c r="AU22" s="102" t="str">
        <f>IF(AND(WSALQURAN!$X$94&gt;=75,WSALQURAN!$X$94&lt;=83.24),"P","")</f>
        <v/>
      </c>
      <c r="AV22" s="102" t="str">
        <f>IF(AND(WSALQURAN!$X$94&gt;=83.25,WSALQURAN!$X$94&lt;=91.4),"P","")</f>
        <v/>
      </c>
      <c r="AW22" s="102" t="str">
        <f>IF(AND(WSALQURAN!$X$94&gt;=91.5,WSALQURAN!$X$94&lt;=100),"P","")</f>
        <v/>
      </c>
      <c r="AX22" t="str">
        <f>IF(WSALQURAN!$X$102&lt;74.9,"P","")</f>
        <v/>
      </c>
      <c r="AY22" s="102" t="str">
        <f>IF(AND(WSALQURAN!$X$102&gt;=75,WSALQURAN!$X$102&lt;=83.24),"P","")</f>
        <v/>
      </c>
      <c r="AZ22" s="102" t="str">
        <f>IF(AND(WSALQURAN!$X$102&gt;=83.25,WSALQURAN!$X$102&lt;=91.4),"P","")</f>
        <v/>
      </c>
      <c r="BA22" s="102" t="str">
        <f>IF(AND(WSALQURAN!$X$102&gt;=91.5,WSALQURAN!$X$102&lt;=100),"P","")</f>
        <v/>
      </c>
      <c r="BB22" t="str">
        <f>IF(WSAQIDAH!$X$6&lt;74.9,"P","")</f>
        <v/>
      </c>
      <c r="BC22" s="102" t="str">
        <f>IF(AND(WSAQIDAH!$X$6&gt;=75,WSAQIDAH!$X$6&lt;=83.24),"P","")</f>
        <v/>
      </c>
      <c r="BD22" s="102" t="str">
        <f>IF(AND(WSAQIDAH!$X$6&gt;=83.25,WSAQIDAH!$X$6&lt;=91.4),"P","")</f>
        <v>P</v>
      </c>
      <c r="BE22" s="102" t="str">
        <f>IF(AND(WSAQIDAH!$X$6&gt;=91.5,WSAQIDAH!$X$6&lt;=100),"P","")</f>
        <v/>
      </c>
      <c r="BF22" t="str">
        <f>IF(WSAQIDAH!$X$14&lt;74.9,"P","")</f>
        <v/>
      </c>
      <c r="BG22" s="102" t="str">
        <f>IF(AND(WSAQIDAH!$X$14&gt;=75,WSAQIDAH!$X$14&lt;=83.24),"P","")</f>
        <v/>
      </c>
      <c r="BH22" s="102" t="str">
        <f>IF(AND(WSAQIDAH!$X$14&gt;=83.25,WSAQIDAH!$X$14&lt;=91.4),"P","")</f>
        <v/>
      </c>
      <c r="BI22" s="102" t="str">
        <f>IF(AND(WSAQIDAH!$X$14&gt;=91.5,WSAQIDAH!$X$14&lt;=100),"P","")</f>
        <v>P</v>
      </c>
      <c r="BJ22" t="str">
        <f>IF(WSAQIDAH!$X$22&lt;74.9,"P","")</f>
        <v/>
      </c>
      <c r="BK22" s="102" t="str">
        <f>IF(AND(WSAQIDAH!$X$22&gt;=75,WSAQIDAH!$X$22&lt;=83.24),"P","")</f>
        <v/>
      </c>
      <c r="BL22" s="102" t="str">
        <f>IF(AND(WSAQIDAH!$X$22&gt;=83.25,WSAQIDAH!$X$22&lt;=91.4),"P","")</f>
        <v/>
      </c>
      <c r="BM22" s="102" t="str">
        <f>IF(AND(WSAQIDAH!$X$22&gt;=91.5,WSAQIDAH!$X$22&lt;=100),"P","")</f>
        <v>P</v>
      </c>
      <c r="BN22" t="str">
        <f>IF(WSAQIDAH!$X$30&lt;74.9,"P","")</f>
        <v/>
      </c>
      <c r="BO22" s="102" t="str">
        <f>IF(AND(WSAQIDAH!$X$30&gt;=75,WSAQIDAH!$X$30&lt;=83.24),"P","")</f>
        <v>P</v>
      </c>
      <c r="BP22" s="102" t="str">
        <f>IF(AND(WSAQIDAH!$X$30&gt;=83.25,WSAQIDAH!$X$30&lt;=91.4),"P","")</f>
        <v/>
      </c>
      <c r="BQ22" s="102" t="str">
        <f>IF(AND(WSAQIDAH!$X$30&gt;=91.5,WSAQIDAH!$X$30&lt;=100),"P","")</f>
        <v/>
      </c>
      <c r="BR22" t="str">
        <f>IF(WSAQIDAH!$X$38&lt;74.9,"P","")</f>
        <v/>
      </c>
      <c r="BS22" s="102" t="str">
        <f>IF(AND(WSAQIDAH!$X$38&gt;=75,WSAQIDAH!$X$38&lt;=83.24),"P","")</f>
        <v/>
      </c>
      <c r="BT22" s="102" t="str">
        <f>IF(AND(WSAQIDAH!$X$38&gt;=83.25,WSAQIDAH!$X$38&lt;=91.4),"P","")</f>
        <v>P</v>
      </c>
      <c r="BU22" s="102" t="str">
        <f>IF(AND(WSAQIDAH!$X$38&gt;=91.5,WSAQIDAH!$X$38&lt;=100),"P","")</f>
        <v/>
      </c>
      <c r="BV22" t="str">
        <f>IF(WSAQIDAH!$X$46&lt;74.9,"P","")</f>
        <v/>
      </c>
      <c r="BW22" s="102" t="str">
        <f>IF(AND(WSAQIDAH!$X$46&gt;=75,WSAQIDAH!$X$46&lt;=83.24),"P","")</f>
        <v>P</v>
      </c>
      <c r="BX22" s="102" t="str">
        <f>IF(AND(WSAQIDAH!$X$46&gt;=83.25,WSAQIDAH!$X$46&lt;=91.4),"P","")</f>
        <v/>
      </c>
      <c r="BY22" s="102" t="str">
        <f>IF(AND(WSAQIDAH!$X$46&gt;=91.5,WSAQIDAH!$X$46&lt;=100),"P","")</f>
        <v/>
      </c>
      <c r="BZ22" t="str">
        <f>IF(WSAQIDAH!$X$54&lt;74.9,"P","")</f>
        <v/>
      </c>
      <c r="CA22" s="102" t="str">
        <f>IF(AND(WSAQIDAH!$X$54&gt;=75,WSAQIDAH!$X$54&lt;=83.24),"P","")</f>
        <v>P</v>
      </c>
      <c r="CB22" s="102" t="str">
        <f>IF(AND(WSAQIDAH!$X$54&gt;=83.25,WSAQIDAH!$X$54&lt;=91.4),"P","")</f>
        <v/>
      </c>
      <c r="CC22" s="102" t="str">
        <f>IF(AND(WSAQIDAH!$X$54&gt;=91.5,WSAQIDAH!$X$54&lt;=100),"P","")</f>
        <v/>
      </c>
      <c r="CD22" t="str">
        <f>IF(WSAQIDAH!$X$62&lt;74.9,"P","")</f>
        <v/>
      </c>
      <c r="CE22" s="102" t="str">
        <f>IF(AND(WSAQIDAH!$X$62&gt;=75,WSAQIDAH!$X$62&lt;=83.24),"P","")</f>
        <v/>
      </c>
      <c r="CF22" s="102" t="str">
        <f>IF(AND(WSAQIDAH!$X$62&gt;=83.25,WSAQIDAH!$X$62&lt;=91.4),"P","")</f>
        <v/>
      </c>
      <c r="CG22" s="102" t="str">
        <f>IF(AND(WSAQIDAH!$X$62&gt;=91.5,WSAQIDAH!$X$62&lt;=100),"P","")</f>
        <v>P</v>
      </c>
      <c r="CH22" t="str">
        <f>IF(WSAQIDAH!$X$70&lt;74.9,"P","")</f>
        <v/>
      </c>
      <c r="CI22" s="102" t="str">
        <f>IF(AND(WSAQIDAH!$X$70&gt;=75,WSAQIDAH!$X$70&lt;=83.24),"P","")</f>
        <v/>
      </c>
      <c r="CJ22" s="102" t="str">
        <f>IF(AND(WSAQIDAH!$X$70&gt;=83.25,WSAQIDAH!$X$70&lt;=91.4),"P","")</f>
        <v/>
      </c>
      <c r="CK22" s="102" t="str">
        <f>IF(AND(WSAQIDAH!$X$70&gt;=91.5,WSAQIDAH!$X$70&lt;=100),"P","")</f>
        <v>P</v>
      </c>
      <c r="CL22" t="str">
        <f>IF(WSAQIDAH!$X$78&lt;74.9,"P","")</f>
        <v/>
      </c>
      <c r="CM22" s="102" t="str">
        <f>IF(AND(WSAQIDAH!$X$78&gt;=75,WSAQIDAH!$X$78&lt;=83.24),"P","")</f>
        <v/>
      </c>
      <c r="CN22" s="102" t="str">
        <f>IF(AND(WSAQIDAH!$X$78&gt;=83.25,WSAQIDAH!$X$78&lt;=91.4),"P","")</f>
        <v/>
      </c>
      <c r="CO22" s="102" t="str">
        <f>IF(AND(WSAQIDAH!$X$78&gt;=91.5,WSAQIDAH!$X$78&lt;=100),"P","")</f>
        <v>P</v>
      </c>
      <c r="CP22" t="str">
        <f>IF(WSAQIDAH!$X$86&lt;74.9,"P","")</f>
        <v/>
      </c>
      <c r="CQ22" s="102" t="str">
        <f>IF(AND(WSAQIDAH!$X$86&gt;=75,WSAQIDAH!$X$86&lt;=83.24),"P","")</f>
        <v/>
      </c>
      <c r="CR22" s="102" t="str">
        <f>IF(AND(WSAQIDAH!$X$86&gt;=83.25,WSAQIDAH!$X$86&lt;=91.4),"P","")</f>
        <v/>
      </c>
      <c r="CS22" s="102" t="str">
        <f>IF(AND(WSAQIDAH!$X$86&gt;=91.5,WSAQIDAH!$X$86&lt;=100),"P","")</f>
        <v/>
      </c>
      <c r="CT22" t="str">
        <f>IF(WSAQIDAH!$X$94&lt;74.9,"P","")</f>
        <v/>
      </c>
      <c r="CU22" s="102" t="str">
        <f>IF(AND(WSAQIDAH!$X$94&gt;=75,WSAQIDAH!$X$94&lt;=83.24),"P","")</f>
        <v/>
      </c>
      <c r="CV22" s="102" t="str">
        <f>IF(AND(WSAQIDAH!$X$94&gt;=83.25,WSAQIDAH!$X$94&lt;=91.4),"P","")</f>
        <v/>
      </c>
      <c r="CW22" s="102" t="str">
        <f>IF(AND(WSAQIDAH!$X$94&gt;=91.5,WSAQIDAH!$X$94&lt;=100),"P","")</f>
        <v/>
      </c>
      <c r="CX22" t="str">
        <f>IF(WSAQIDAH!$X$102&lt;74.9,"P","")</f>
        <v/>
      </c>
      <c r="CY22" s="102" t="str">
        <f>IF(AND(WSAQIDAH!$X$102&gt;=75,WSAQIDAH!$X$102&lt;=83.24),"P","")</f>
        <v/>
      </c>
      <c r="CZ22" s="102" t="str">
        <f>IF(AND(WSAQIDAH!$X$102&gt;=83.25,WSAQIDAH!$X$102&lt;=91.4),"P","")</f>
        <v/>
      </c>
      <c r="DA22" s="102" t="str">
        <f>IF(AND(WSAQIDAH!$X$102&gt;=91.5,WSAQIDAH!$X$102&lt;=100),"P","")</f>
        <v/>
      </c>
      <c r="DB22" t="str">
        <f>IF(WSSKI!$X$6&lt;74.9,"P","")</f>
        <v/>
      </c>
      <c r="DC22" s="102" t="str">
        <f>IF(AND(WSSKI!$X$6&gt;=75,WSSKI!$X$6&lt;=83.24),"P","")</f>
        <v>P</v>
      </c>
      <c r="DD22" s="102" t="str">
        <f>IF(AND(WSSKI!$X$6&gt;=83.25,WSSKI!$X$6&lt;=91.4),"P","")</f>
        <v/>
      </c>
      <c r="DE22" s="102" t="str">
        <f>IF(AND(WSSKI!$X$6&gt;=91.5,WSSKI!$X$6&lt;=100),"P","")</f>
        <v/>
      </c>
      <c r="DF22" t="str">
        <f>IF(WSSKI!$X$14&lt;74.9,"P","")</f>
        <v/>
      </c>
      <c r="DG22" s="102" t="str">
        <f>IF(AND(WSSKI!$X$14&gt;=75,WSSKI!$X$14&lt;=83.24),"P","")</f>
        <v>P</v>
      </c>
      <c r="DH22" s="102" t="str">
        <f>IF(AND(WSSKI!$X$14&gt;=83.25,WSSKI!$X$14&lt;=91.4),"P","")</f>
        <v/>
      </c>
      <c r="DI22" s="102" t="str">
        <f>IF(AND(WSSKI!$X$14&gt;=91.5,WSSKI!$X$14&lt;=100),"P","")</f>
        <v/>
      </c>
      <c r="DJ22" t="str">
        <f>IF(WSSKI!$X$23&lt;74.9,"P","")</f>
        <v/>
      </c>
      <c r="DK22" s="102" t="str">
        <f>IF(AND(WSSKI!$X$23&gt;=75,WSSKI!$X$23&lt;=83.24),"P","")</f>
        <v>P</v>
      </c>
      <c r="DL22" s="102" t="str">
        <f>IF(AND(WSSKI!$X$23&gt;=83.25,WSSKI!$X$23&lt;=91.4),"P","")</f>
        <v/>
      </c>
      <c r="DM22" s="102" t="str">
        <f>IF(AND(WSSKI!$X$23&gt;=91.5,WSSKI!$X$23&lt;=100),"P","")</f>
        <v/>
      </c>
      <c r="DN22" t="str">
        <f>IF(WSSKI!$X$31&lt;74.9,"P","")</f>
        <v/>
      </c>
      <c r="DO22" s="102" t="str">
        <f>IF(AND(WSSKI!$X$31&gt;=75,WSSKI!$X$31&lt;=83.24),"P","")</f>
        <v/>
      </c>
      <c r="DP22" s="102" t="str">
        <f>IF(AND(WSSKI!$X$31&gt;=83.25,WSSKI!$X$31&lt;=91.4),"P","")</f>
        <v>P</v>
      </c>
      <c r="DQ22" s="102" t="str">
        <f>IF(AND(WSSKI!$X$31&gt;=91.5,WSSKI!$X$31&lt;=100),"P","")</f>
        <v/>
      </c>
      <c r="DR22" t="str">
        <f>IF(WSSKI!$X$40&lt;74.9,"P","")</f>
        <v/>
      </c>
      <c r="DS22" s="102" t="str">
        <f>IF(AND(WSSKI!$X$40&gt;=75,WSSKI!$X$40&lt;=83.24),"P","")</f>
        <v>P</v>
      </c>
      <c r="DT22" s="102" t="str">
        <f>IF(AND(WSSKI!$X$40&gt;=83.25,WSSKI!$X$40&lt;=91.4),"P","")</f>
        <v/>
      </c>
      <c r="DU22" s="102" t="str">
        <f>IF(AND(WSSKI!$X$40&gt;=91.5,WSSKI!$X$40&lt;=100),"P","")</f>
        <v/>
      </c>
      <c r="DV22" t="str">
        <f>IF(WSSKI!$X$48&lt;74.9,"P","")</f>
        <v/>
      </c>
      <c r="DW22" s="102" t="str">
        <f>IF(AND(WSSKI!$X$48&gt;=75,WSSKI!$X$48&lt;=83.24),"P","")</f>
        <v>P</v>
      </c>
      <c r="DX22" s="102" t="str">
        <f>IF(AND(WSSKI!$X$48&gt;=83.25,WSSKI!$X$48&lt;=91.4),"P","")</f>
        <v/>
      </c>
      <c r="DY22" s="102" t="str">
        <f>IF(AND(WSSKI!$X$48&gt;=91.5,WSSKI!$X$48&lt;=100),"P","")</f>
        <v/>
      </c>
      <c r="DZ22" t="str">
        <f>IF(WSSKI!$X$56&lt;74.9,"P","")</f>
        <v/>
      </c>
      <c r="EA22" s="102" t="str">
        <f>IF(AND(WSSKI!$X$56&gt;=75,WSSKI!$X$56&lt;=83.24),"P","")</f>
        <v/>
      </c>
      <c r="EB22" s="102" t="str">
        <f>IF(AND(WSSKI!$X$56&gt;=83.25,WSSKI!$X$56&lt;=91.4),"P","")</f>
        <v/>
      </c>
      <c r="EC22" s="102" t="str">
        <f>IF(AND(WSSKI!$X$56&gt;=91.5,WSSKI!$X$56&lt;=100),"P","")</f>
        <v/>
      </c>
      <c r="ED22" t="str">
        <f>IF(WSSKI!$X$64&lt;74.9,"P","")</f>
        <v/>
      </c>
      <c r="EE22" s="102" t="str">
        <f>IF(AND(WSSKI!$X$64&gt;=75,WSSKI!$X$64&lt;=83.24),"P","")</f>
        <v/>
      </c>
      <c r="EF22" s="102" t="str">
        <f>IF(AND(WSSKI!$X$64&gt;=83.25,WSSKI!$X$64&lt;=91.4),"P","")</f>
        <v/>
      </c>
      <c r="EG22" s="102" t="str">
        <f>IF(AND(WSSKI!$X$64&gt;=91.5,WSSKI!$X$64&lt;=100),"P","")</f>
        <v/>
      </c>
      <c r="EH22" t="str">
        <f>IF(WSSKI!$X$72&lt;74.9,"P","")</f>
        <v/>
      </c>
      <c r="EI22" s="102" t="str">
        <f>IF(AND(WSSKI!$X$72&gt;=75,WSSKI!$X$72&lt;=83.24),"P","")</f>
        <v/>
      </c>
      <c r="EJ22" s="102" t="str">
        <f>IF(AND(WSSKI!$X$72&gt;=83.25,WSSKI!$X$72&lt;=91.4),"P","")</f>
        <v/>
      </c>
      <c r="EK22" s="102" t="str">
        <f>IF(AND(WSSKI!$X$72&gt;=91.5,WSSKI!$X$72&lt;=100),"P","")</f>
        <v/>
      </c>
      <c r="EL22" t="str">
        <f>IF(WSSKI!$X$80&lt;74.9,"P","")</f>
        <v/>
      </c>
      <c r="EM22" s="102" t="str">
        <f>IF(AND(WSSKI!$X$80&gt;=75,WSSKI!$X$80&lt;=83.24),"P","")</f>
        <v/>
      </c>
      <c r="EN22" s="102" t="str">
        <f>IF(AND(WSSKI!$X$80&gt;=83.25,WSSKI!$X$80&lt;=91.4),"P","")</f>
        <v/>
      </c>
      <c r="EO22" s="102" t="str">
        <f>IF(AND(WSSKI!$X$80&gt;=91.5,WSSKI!$X$80&lt;=100),"P","")</f>
        <v/>
      </c>
      <c r="EP22" t="str">
        <f>IF(WSSKI!$X$88&lt;74.9,"P","")</f>
        <v/>
      </c>
      <c r="EQ22" s="102" t="str">
        <f>IF(AND(WSSKI!$X$88&gt;=75,WSSKI!$X$88&lt;=83.24),"P","")</f>
        <v/>
      </c>
      <c r="ER22" s="102" t="str">
        <f>IF(AND(WSSKI!$X$88&gt;=83.25,WSSKI!$X$88&lt;=91.4),"P","")</f>
        <v/>
      </c>
      <c r="ES22" s="102" t="str">
        <f>IF(AND(WSSKI!$X$88&gt;=91.5,WSSKI!$X$88&lt;=100),"P","")</f>
        <v/>
      </c>
      <c r="ET22" t="str">
        <f>IF(WSSKI!$X$96&lt;74.9,"P","")</f>
        <v/>
      </c>
      <c r="EU22" s="102" t="str">
        <f>IF(AND(WSSKI!$X$96&gt;=75,WSSKI!$X$96&lt;=83.24),"P","")</f>
        <v/>
      </c>
      <c r="EV22" s="102" t="str">
        <f>IF(AND(WSSKI!$X$96&gt;=83.25,WSSKI!$X$96&lt;=91.4),"P","")</f>
        <v/>
      </c>
      <c r="EW22" s="102" t="str">
        <f>IF(AND(WSSKI!$X$96&gt;=91.5,WSSKI!$X$96&lt;=100),"P","")</f>
        <v/>
      </c>
      <c r="EX22" t="str">
        <f>IF(WSSKI!$X$104&lt;74.9,"P","")</f>
        <v/>
      </c>
      <c r="EY22" s="102" t="str">
        <f>IF(AND(WSSKI!$X$104&gt;=75,WSSKI!$X$104&lt;=83.24),"P","")</f>
        <v/>
      </c>
      <c r="EZ22" s="102" t="str">
        <f>IF(AND(WSSKI!$X$104&gt;=83.25,WSSKI!$X$104&lt;=91.4),"P","")</f>
        <v/>
      </c>
      <c r="FA22" s="102" t="str">
        <f>IF(AND(WSSKI!$X$104&gt;=91.5,WSSKI!$X$104&lt;=100),"P","")</f>
        <v/>
      </c>
      <c r="FB22" t="str">
        <f>IF(WSFIQIH!$X$6&lt;74.9,"P","")</f>
        <v/>
      </c>
      <c r="FC22" s="102" t="str">
        <f>IF(AND(WSFIQIH!$X$6&gt;=75,WSFIQIH!$X$6&lt;=83.24),"P","")</f>
        <v>P</v>
      </c>
      <c r="FD22" s="102" t="str">
        <f>IF(AND(WSFIQIH!$X$6&gt;=83.25,WSFIQIH!$X$6&lt;=91.4),"P","")</f>
        <v/>
      </c>
      <c r="FE22" s="102" t="str">
        <f>IF(AND(WSFIQIH!$X$6&gt;=91.5,WSFIQIH!$X$6&lt;=100),"P","")</f>
        <v/>
      </c>
      <c r="FF22" t="str">
        <f>IF(WSFIQIH!$X$19&lt;74.9,"P","")</f>
        <v/>
      </c>
      <c r="FG22" s="102" t="str">
        <f>IF(AND(WSFIQIH!$X$19&gt;=75,WSFIQIH!$X$19&lt;=83.24),"P","")</f>
        <v/>
      </c>
      <c r="FH22" s="102" t="str">
        <f>IF(AND(WSFIQIH!$X$19&gt;=83.25,WSFIQIH!$X$19&lt;=91.4),"P","")</f>
        <v>P</v>
      </c>
      <c r="FI22" s="102" t="str">
        <f>IF(AND(WSFIQIH!$X$19&gt;=91.5,WSFIQIH!$X$19&lt;=100),"P","")</f>
        <v/>
      </c>
      <c r="FJ22" t="str">
        <f>IF(WSFIQIH!$X$28&lt;74.9,"P","")</f>
        <v/>
      </c>
      <c r="FK22" s="102" t="str">
        <f>IF(AND(WSFIQIH!$X$28&gt;=75,WSFIQIH!$X$28&lt;=83.24),"P","")</f>
        <v>P</v>
      </c>
      <c r="FL22" s="102" t="str">
        <f>IF(AND(WSFIQIH!$X$28&gt;=83.25,WSFIQIH!$X$28&lt;=91.4),"P","")</f>
        <v/>
      </c>
      <c r="FM22" s="102" t="str">
        <f>IF(AND(WSFIQIH!$X$28&gt;=91.5,WSFIQIH!$X$28&lt;=100),"P","")</f>
        <v/>
      </c>
      <c r="FN22" t="str">
        <f>IF(WSFIQIH!$X$41&lt;74.9,"P","")</f>
        <v/>
      </c>
      <c r="FO22" s="102" t="str">
        <f>IF(AND(WSFIQIH!$X$41&gt;=75,WSFIQIH!$X$41&lt;=83.24),"P","")</f>
        <v/>
      </c>
      <c r="FP22" s="102" t="str">
        <f>IF(AND(WSFIQIH!$X$41&gt;=83.25,WSFIQIH!$X$41&lt;=91.4),"P","")</f>
        <v>P</v>
      </c>
      <c r="FQ22" s="102" t="str">
        <f>IF(AND(WSFIQIH!$X$41&gt;=91.5,WSFIQIH!$X$41&lt;=100),"P","")</f>
        <v/>
      </c>
      <c r="FR22" t="str">
        <f>IF(WSFIQIH!$X$49&lt;74.9,"P","")</f>
        <v/>
      </c>
      <c r="FS22" s="102" t="str">
        <f>IF(AND(WSFIQIH!$X$49&gt;=75,WSFIQIH!$X$49&lt;=83.24),"P","")</f>
        <v>P</v>
      </c>
      <c r="FT22" s="102" t="str">
        <f>IF(AND(WSFIQIH!$X$49&gt;=83.25,WSFIQIH!$X$49&lt;=91.4),"P","")</f>
        <v/>
      </c>
      <c r="FU22" s="102" t="str">
        <f>IF(AND(WSFIQIH!$X$49&gt;=91.5,WSFIQIH!$X$49&lt;=100),"P","")</f>
        <v/>
      </c>
      <c r="FV22" t="str">
        <f>IF(WSFIQIH!$X$62&lt;74.9,"P","")</f>
        <v/>
      </c>
      <c r="FW22" s="102" t="str">
        <f>IF(AND(WSFIQIH!$X$62&gt;=75,WSFIQIH!$X$62&lt;=83.24),"P","")</f>
        <v>P</v>
      </c>
      <c r="FX22" s="102" t="str">
        <f>IF(AND(WSFIQIH!$X$62&gt;=83.25,WSFIQIH!$X$62&lt;=91.4),"P","")</f>
        <v/>
      </c>
      <c r="FY22" s="102" t="str">
        <f>IF(AND(WSFIQIH!$X$62&gt;=91.5,WSFIQIH!$X$62&lt;=100),"P","")</f>
        <v/>
      </c>
      <c r="FZ22" t="str">
        <f>IF(WSFIQIH!$X$71&lt;74.9,"P","")</f>
        <v/>
      </c>
      <c r="GA22" s="102" t="str">
        <f>IF(AND(WSFIQIH!$X$71&gt;=75,WSFIQIH!$X$71&lt;=83.24),"P","")</f>
        <v>P</v>
      </c>
      <c r="GB22" s="102" t="str">
        <f>IF(AND(WSFIQIH!$X$71&gt;=83.25,WSFIQIH!$X$71&lt;=91.4),"P","")</f>
        <v/>
      </c>
      <c r="GC22" s="102" t="str">
        <f>IF(AND(WSFIQIH!$X$71&gt;=91.5,WSFIQIH!$X$71&lt;=100),"P","")</f>
        <v/>
      </c>
      <c r="GD22" t="str">
        <f>IF(WSFIQIH!$X$80&lt;74.9,"P","")</f>
        <v/>
      </c>
      <c r="GE22" s="102" t="str">
        <f>IF(AND(WSFIQIH!$X$80&gt;=75,WSFIQIH!$X$80&lt;=83.24),"P","")</f>
        <v>P</v>
      </c>
      <c r="GF22" s="102" t="str">
        <f>IF(AND(WSFIQIH!$X$80&gt;=83.25,WSFIQIH!$X$80&lt;=91.4),"P","")</f>
        <v/>
      </c>
      <c r="GG22" s="102" t="str">
        <f>IF(AND(WSFIQIH!$X$80&gt;=91.5,WSFIQIH!$X$80&lt;=100),"P","")</f>
        <v/>
      </c>
      <c r="GH22" t="str">
        <f>IF(WSFIQIH!$X$88&lt;74.9,"P","")</f>
        <v/>
      </c>
      <c r="GI22" s="102" t="str">
        <f>IF(AND(WSFIQIH!$X$88&gt;=75,WSFIQIH!$X$88&lt;=83.24),"P","")</f>
        <v/>
      </c>
      <c r="GJ22" s="102" t="str">
        <f>IF(AND(WSFIQIH!$X$88&gt;=83.25,WSFIQIH!$X$88&lt;=91.4),"P","")</f>
        <v/>
      </c>
      <c r="GK22" s="102" t="str">
        <f>IF(AND(WSFIQIH!$X$88&gt;=91.5,WSFIQIH!$X$88&lt;=100),"P","")</f>
        <v/>
      </c>
      <c r="GL22" t="str">
        <f>IF(WSFIQIH!$X$96&lt;74.9,"P","")</f>
        <v/>
      </c>
      <c r="GM22" s="102" t="str">
        <f>IF(AND(WSFIQIH!$X$96&gt;=75,WSFIQIH!$X$96&lt;=83.24),"P","")</f>
        <v/>
      </c>
      <c r="GN22" s="102" t="str">
        <f>IF(AND(WSFIQIH!$X$96&gt;=83.25,WSFIQIH!$X$96&lt;=91.4),"P","")</f>
        <v/>
      </c>
      <c r="GO22" s="102" t="str">
        <f>IF(AND(WSFIQIH!$X$96&gt;=91.5,WSFIQIH!$X$96&lt;=100),"P","")</f>
        <v/>
      </c>
      <c r="GP22" t="str">
        <f>IF(WSFIQIH!$X$104&lt;74.9,"P","")</f>
        <v/>
      </c>
      <c r="GQ22" s="102" t="str">
        <f>IF(AND(WSFIQIH!$X$104&gt;=75,WSFIQIH!$X$104&lt;=83.24),"P","")</f>
        <v/>
      </c>
      <c r="GR22" s="102" t="str">
        <f>IF(AND(WSFIQIH!$X$104&gt;=83.25,WSFIQIH!$X$104&lt;=91.4),"P","")</f>
        <v/>
      </c>
      <c r="GS22" s="102" t="str">
        <f>IF(AND(WSFIQIH!$X$104&gt;=91.5,WSFIQIH!$X$104&lt;=100),"P","")</f>
        <v/>
      </c>
      <c r="GT22" t="str">
        <f>IF(WSFIQIH!$X$112&lt;74.9,"P","")</f>
        <v/>
      </c>
      <c r="GU22" s="102" t="str">
        <f>IF(AND(WSFIQIH!$X$112&gt;=75,WSFIQIH!$X$112&lt;=83.24),"P","")</f>
        <v/>
      </c>
      <c r="GV22" s="102" t="str">
        <f>IF(AND(WSFIQIH!$X$112&gt;=83.25,WSFIQIH!$X$112&lt;=91.4),"P","")</f>
        <v/>
      </c>
      <c r="GW22" s="102" t="str">
        <f>IF(AND(WSFIQIH!$X$112&gt;=91.5,WSFIQIH!$X$112&lt;=100),"P","")</f>
        <v/>
      </c>
      <c r="GX22" t="str">
        <f>IF(WSFIQIH!$X$120&lt;74.9,"P","")</f>
        <v/>
      </c>
      <c r="GY22" s="102" t="str">
        <f>IF(AND(WSFIQIH!$X$120&gt;=75,WSFIQIH!$X$120&lt;=83.24),"P","")</f>
        <v/>
      </c>
      <c r="GZ22" s="102" t="str">
        <f>IF(AND(WSFIQIH!$X$120&gt;=83.25,WSFIQIH!$X$120&lt;=91.4),"P","")</f>
        <v/>
      </c>
      <c r="HA22" s="102" t="str">
        <f>IF(AND(WSFIQIH!$X$120&gt;=91.5,WSFIQIH!$X$120&lt;=100),"P","")</f>
        <v/>
      </c>
      <c r="HB22" t="str">
        <f>IF(WSPKN!$X$6&lt;74.9,"P","")</f>
        <v/>
      </c>
      <c r="HC22" s="102" t="str">
        <f>IF(AND(WSPKN!$X$6&gt;=75,WSPKN!$X$6&lt;=83.24),"P","")</f>
        <v/>
      </c>
      <c r="HD22" s="102" t="str">
        <f>IF(AND(WSPKN!$X$6&gt;=83.25,WSPKN!$X$6&lt;=91.4),"P","")</f>
        <v/>
      </c>
      <c r="HE22" s="102" t="str">
        <f>IF(AND(WSPKN!$X$6&gt;=91.5,WSPKN!$X$6&lt;=100),"P","")</f>
        <v>P</v>
      </c>
      <c r="HF22" t="str">
        <f>IF(WSPKN!$X$32&lt;74.9,"P","")</f>
        <v/>
      </c>
      <c r="HG22" s="102" t="str">
        <f>IF(AND(WSPKN!$X$32&gt;=75,WSPKN!$X$32&lt;=83.24),"P","")</f>
        <v/>
      </c>
      <c r="HH22" s="102" t="str">
        <f>IF(AND(WSPKN!$X$32&gt;=83.25,WSPKN!$X$32&lt;=91.4),"P","")</f>
        <v>P</v>
      </c>
      <c r="HI22" s="102" t="str">
        <f>IF(AND(WSPKN!$X$32&gt;=91.5,WSPKN!$X$32&lt;=100),"P","")</f>
        <v/>
      </c>
      <c r="HJ22" t="str">
        <f>IF(WSPKN!$X$55&lt;74.9,"P","")</f>
        <v/>
      </c>
      <c r="HK22" s="102" t="str">
        <f>IF(AND(WSPKN!$X$55&gt;=75,WSPKN!$X$55&lt;=83.24),"P","")</f>
        <v/>
      </c>
      <c r="HL22" s="102" t="str">
        <f>IF(AND(WSPKN!$X$55&gt;=83.25,WSPKN!$X$55&lt;=91.4),"P","")</f>
        <v/>
      </c>
      <c r="HM22" s="102" t="str">
        <f>IF(AND(WSPKN!$X$55&gt;=91.5,WSPKN!$X$55&lt;=100),"P","")</f>
        <v>P</v>
      </c>
      <c r="HN22" t="str">
        <f>IF(WSPKN!$X$72&lt;74.9,"P","")</f>
        <v/>
      </c>
      <c r="HO22" s="102" t="str">
        <f>IF(AND(WSPKN!$X$72&gt;=75,WSPKN!$X$72&lt;=83.24),"P","")</f>
        <v/>
      </c>
      <c r="HP22" s="102" t="str">
        <f>IF(AND(WSPKN!$X$72&gt;=83.25,WSPKN!$X$72&lt;=91.4),"P","")</f>
        <v/>
      </c>
      <c r="HQ22" s="102" t="str">
        <f>IF(AND(WSPKN!$X$72&gt;=91.5,WSPKN!$X$72&lt;=100),"P","")</f>
        <v>P</v>
      </c>
      <c r="HR22" t="str">
        <f>IF(WSPKN!$X$86&lt;74.9,"P","")</f>
        <v/>
      </c>
      <c r="HS22" s="102" t="str">
        <f>IF(AND(WSPKN!$X$86&gt;=75,WSPKN!$X$86&lt;=83.24),"P","")</f>
        <v/>
      </c>
      <c r="HT22" s="102" t="str">
        <f>IF(AND(WSPKN!$X$86&gt;=83.25,WSPKN!$X$86&lt;=91.4),"P","")</f>
        <v/>
      </c>
      <c r="HU22" s="102" t="str">
        <f>IF(AND(WSPKN!$X$86&gt;=91.5,WSPKN!$X$86&lt;=100),"P","")</f>
        <v>P</v>
      </c>
      <c r="HV22" t="str">
        <f>IF(WSPKN!$X$108&lt;74.9,"P","")</f>
        <v/>
      </c>
      <c r="HW22" s="102" t="str">
        <f>IF(AND(WSPKN!$X$108&gt;=75,WSPKN!$X$108&lt;=83.24),"P","")</f>
        <v/>
      </c>
      <c r="HX22" s="102" t="str">
        <f>IF(AND(WSPKN!$X$108&gt;=83.25,WSPKN!$X$108&lt;=91.4),"P","")</f>
        <v>P</v>
      </c>
      <c r="HY22" s="102" t="str">
        <f>IF(AND(WSPKN!$X$108&gt;=91.5,WSPKN!$X$108&lt;=100),"P","")</f>
        <v/>
      </c>
      <c r="HZ22" t="str">
        <f>IF(WSPKN!$X$132&lt;74.9,"P","")</f>
        <v/>
      </c>
      <c r="IA22" s="102" t="str">
        <f>IF(AND(WSPKN!$X$132&gt;=75,WSPKN!$X$132&lt;=83.24),"P","")</f>
        <v/>
      </c>
      <c r="IB22" s="102" t="str">
        <f>IF(AND(WSPKN!$X$132&gt;=83.25,WSPKN!$X$132&lt;=91.4),"P","")</f>
        <v/>
      </c>
      <c r="IC22" s="102" t="str">
        <f>IF(AND(WSPKN!$X$132&gt;=91.5,WSPKN!$X$132&lt;=100),"P","")</f>
        <v>P</v>
      </c>
      <c r="ID22" t="str">
        <f>IF(WSPKN!$X$148&lt;74.9,"P","")</f>
        <v/>
      </c>
      <c r="IE22" s="102" t="str">
        <f>IF(AND(WSPKN!$X$148&gt;=75,WSPKN!$X$148&lt;=83.24),"P","")</f>
        <v/>
      </c>
      <c r="IF22" s="102" t="str">
        <f>IF(AND(WSPKN!$X$148&gt;=83.25,WSPKN!$X$148&lt;=91.4),"P","")</f>
        <v/>
      </c>
      <c r="IG22" s="102" t="str">
        <f>IF(AND(WSPKN!$X$148&gt;=91.5,WSPKN!$X$148&lt;=100),"P","")</f>
        <v>P</v>
      </c>
      <c r="IH22" t="str">
        <f>IF(WSPKN!$X$165&lt;74.9,"P","")</f>
        <v/>
      </c>
      <c r="II22" s="102" t="str">
        <f>IF(AND(WSPKN!$X$165&gt;=75,WSPKN!$X$165&lt;=83.24),"P","")</f>
        <v/>
      </c>
      <c r="IJ22" s="102" t="str">
        <f>IF(AND(WSPKN!$X$165&gt;=83.25,WSPKN!$X$165&lt;=91.4),"P","")</f>
        <v/>
      </c>
      <c r="IK22" s="102" t="str">
        <f>IF(AND(WSPKN!$X$165&gt;=91.5,WSPKN!$X$165&lt;=100),"P","")</f>
        <v/>
      </c>
      <c r="IL22" t="str">
        <f>IF(WSPKN!$X$173&lt;74.9,"P","")</f>
        <v/>
      </c>
      <c r="IM22" s="102" t="str">
        <f>IF(AND(WSPKN!$X$173&gt;=75,WSPKN!$X$173&lt;=83.24),"P","")</f>
        <v/>
      </c>
      <c r="IN22" s="102" t="str">
        <f>IF(AND(WSPKN!$X$173&gt;=83.25,WSPKN!$X$173&lt;=91.4),"P","")</f>
        <v/>
      </c>
      <c r="IO22" s="102" t="str">
        <f>IF(AND(WSPKN!$X$173&gt;=91.5,WSPKN!$X$173&lt;=100),"P","")</f>
        <v/>
      </c>
      <c r="IP22" t="str">
        <f>IF(WSPKN!$X$181&lt;74.9,"P","")</f>
        <v/>
      </c>
      <c r="IQ22" s="102" t="str">
        <f>IF(AND(WSPKN!$X$181&gt;=75,WSPKN!$X$181&lt;=83.24),"P","")</f>
        <v/>
      </c>
      <c r="IR22" s="102" t="str">
        <f>IF(AND(WSPKN!$X$181&gt;=83.25,WSPKN!$X$181&lt;=91.4),"P","")</f>
        <v/>
      </c>
      <c r="IS22" s="102" t="str">
        <f>IF(AND(WSPKN!$X$181&gt;=91.5,WSPKN!$X$181&lt;=100),"P","")</f>
        <v/>
      </c>
      <c r="IT22" t="str">
        <f>IF(WSPKN!$X$189&lt;74.9,"P","")</f>
        <v/>
      </c>
      <c r="IU22" s="102" t="str">
        <f>IF(AND(WSPKN!$X$189&gt;=75,WSPKN!$X$189&lt;=83.24),"P","")</f>
        <v/>
      </c>
      <c r="IV22" s="102" t="str">
        <f>IF(AND(WSPKN!$X$189&gt;=83.25,WSPKN!$X$189&lt;=91.4),"P","")</f>
        <v/>
      </c>
      <c r="IW22" s="102" t="str">
        <f>IF(AND(WSPKN!$X$189&gt;=91.5,WSPKN!$X$189&lt;=100),"P","")</f>
        <v/>
      </c>
      <c r="IX22" t="str">
        <f>IF(WSPKN!$X$197&lt;74.9,"P","")</f>
        <v/>
      </c>
      <c r="IY22" s="102" t="str">
        <f>IF(AND(WSPKN!$X$197&gt;=75,WSPKN!$X$197&lt;=83.24),"P","")</f>
        <v/>
      </c>
      <c r="IZ22" s="102" t="str">
        <f>IF(AND(WSPKN!$X$197&gt;=83.25,WSPKN!$X$197&lt;=91.4),"P","")</f>
        <v/>
      </c>
      <c r="JA22" s="102" t="str">
        <f>IF(AND(WSPKN!$X$197&gt;=91.5,WSPKN!$X$197&lt;=100),"P","")</f>
        <v/>
      </c>
      <c r="JB22" t="str">
        <f>IF(WSIND!$X$6&lt;74.9,"P","")</f>
        <v/>
      </c>
      <c r="JC22" s="102" t="str">
        <f>IF(AND(WSIND!$X$6&gt;=75,WSIND!$X$6&lt;=83.24),"P","")</f>
        <v/>
      </c>
      <c r="JD22" s="102" t="str">
        <f>IF(AND(WSIND!$X$6&gt;=83.25,WSIND!$X$6&lt;=91.4),"P","")</f>
        <v/>
      </c>
      <c r="JE22" s="102" t="str">
        <f>IF(AND(WSIND!$X$6&gt;=91.5,WSIND!$X$6&lt;=100),"P","")</f>
        <v>P</v>
      </c>
      <c r="JF22" t="str">
        <f>IF(WSIND!$X$65&lt;74.9,"P","")</f>
        <v/>
      </c>
      <c r="JG22" s="102" t="str">
        <f>IF(AND(WSIND!$X$65&gt;=75,WSIND!$X$65&lt;=83.24),"P","")</f>
        <v/>
      </c>
      <c r="JH22" s="102" t="str">
        <f>IF(AND(WSIND!$X$65&gt;=83.25,WSIND!$X$65&lt;=91.4),"P","")</f>
        <v/>
      </c>
      <c r="JI22" s="102" t="str">
        <f>IF(AND(WSIND!$X$65&gt;=91.5,WSIND!$X$65&lt;=100),"P","")</f>
        <v>P</v>
      </c>
      <c r="JJ22" t="str">
        <f>IF(WSIND!$X$113&lt;74.9,"P","")</f>
        <v/>
      </c>
      <c r="JK22" s="102" t="str">
        <f>IF(AND(WSIND!$X$113&gt;=75,WSIND!$X$113&lt;=83.24),"P","")</f>
        <v/>
      </c>
      <c r="JL22" s="102" t="str">
        <f>IF(AND(WSIND!$X$113&gt;=83.25,WSIND!$X$113&lt;=91.4),"P","")</f>
        <v>P</v>
      </c>
      <c r="JM22" s="102" t="str">
        <f>IF(AND(WSIND!$X$113&gt;=91.5,WSIND!$X$113&lt;=100),"P","")</f>
        <v/>
      </c>
      <c r="JN22" t="str">
        <f>IF(WSIND!$X$133&lt;74.9,"P","")</f>
        <v/>
      </c>
      <c r="JO22" s="102" t="str">
        <f>IF(AND(WSIND!$X$133&gt;=75,WSIND!$X$133&lt;=83.24),"P","")</f>
        <v/>
      </c>
      <c r="JP22" s="102" t="str">
        <f>IF(AND(WSIND!$X$133&gt;=83.25,WSIND!$X$133&lt;=91.4),"P","")</f>
        <v/>
      </c>
      <c r="JQ22" s="102" t="str">
        <f>IF(AND(WSIND!$X$133&gt;=91.5,WSIND!$X$133&lt;=100),"P","")</f>
        <v>P</v>
      </c>
      <c r="JR22" t="str">
        <f>IF(WSIND!$X$161&lt;74.9,"P","")</f>
        <v/>
      </c>
      <c r="JS22" s="102" t="str">
        <f>IF(AND(WSIND!$X$161&gt;=75,WSIND!$X$161&lt;=83.24),"P","")</f>
        <v/>
      </c>
      <c r="JT22" s="102" t="str">
        <f>IF(AND(WSIND!$X$161&gt;=83.25,WSIND!$X$161&lt;=91.4),"P","")</f>
        <v>P</v>
      </c>
      <c r="JU22" s="102" t="str">
        <f>IF(AND(WSIND!$X$161&gt;=91.5,WSIND!$X$161&lt;=100),"P","")</f>
        <v/>
      </c>
      <c r="JV22" t="str">
        <f>IF(WSIND!$X$192&lt;74.9,"P","")</f>
        <v/>
      </c>
      <c r="JW22" s="102" t="str">
        <f>IF(AND(WSIND!$X$192&gt;=75,WSIND!$X$192&lt;=83.24),"P","")</f>
        <v/>
      </c>
      <c r="JX22" s="102" t="str">
        <f>IF(AND(WSIND!$X$192&gt;=83.25,WSIND!$X$192&lt;=91.4),"P","")</f>
        <v/>
      </c>
      <c r="JY22" s="102" t="str">
        <f>IF(AND(WSIND!$X$192&gt;=91.5,WSIND!$X$192&lt;=100),"P","")</f>
        <v>P</v>
      </c>
      <c r="JZ22" t="str">
        <f>IF(WSIND!$X$228&lt;74.9,"P","")</f>
        <v/>
      </c>
      <c r="KA22" s="102" t="str">
        <f>IF(AND(WSIND!$X$228&gt;=75,WSIND!$X$228&lt;=83.24),"P","")</f>
        <v/>
      </c>
      <c r="KB22" s="102" t="str">
        <f>IF(AND(WSIND!$X$228&gt;=83.25,WSIND!$X$228&lt;=91.4),"P","")</f>
        <v/>
      </c>
      <c r="KC22" s="102" t="str">
        <f>IF(AND(WSIND!$X$228&gt;=91.5,WSIND!$X$228&lt;=100),"P","")</f>
        <v>P</v>
      </c>
      <c r="KD22" t="str">
        <f>IF(WSIND!$X$256&lt;74.9,"P","")</f>
        <v/>
      </c>
      <c r="KE22" s="102" t="str">
        <f>IF(AND(WSIND!$X$256&gt;=75,WSIND!$X$256&lt;=83.24),"P","")</f>
        <v/>
      </c>
      <c r="KF22" s="102" t="str">
        <f>IF(AND(WSIND!$X$256&gt;=83.25,WSIND!$X$256&lt;=91.4),"P","")</f>
        <v>P</v>
      </c>
      <c r="KG22" s="102" t="str">
        <f>IF(AND(WSIND!$X$256&gt;=91.5,WSIND!$X$256&lt;=100),"P","")</f>
        <v/>
      </c>
      <c r="KH22" t="str">
        <f>IF(WSIND!$X$277&lt;74.9,"P","")</f>
        <v/>
      </c>
      <c r="KI22" s="102" t="str">
        <f>IF(AND(WSIND!$X$277&gt;=75,WSIND!$X$277&lt;=83.24),"P","")</f>
        <v/>
      </c>
      <c r="KJ22" s="102" t="str">
        <f>IF(AND(WSIND!$X$277&gt;=83.25,WSIND!$X$277&lt;=91.4),"P","")</f>
        <v/>
      </c>
      <c r="KK22" s="102" t="str">
        <f>IF(AND(WSIND!$X$277&gt;=91.5,WSIND!$X$277&lt;=100),"P","")</f>
        <v>P</v>
      </c>
      <c r="KL22" t="str">
        <f>IF(WSIND!$X$305&lt;74.9,"P","")</f>
        <v/>
      </c>
      <c r="KM22" s="102" t="str">
        <f>IF(AND(WSIND!$X$305&gt;=75,WSIND!$X$305&lt;=83.24),"P","")</f>
        <v/>
      </c>
      <c r="KN22" s="102" t="str">
        <f>IF(AND(WSIND!$X$305&gt;=83.25,WSIND!$X$305&lt;=91.4),"P","")</f>
        <v>P</v>
      </c>
      <c r="KO22" s="102" t="str">
        <f>IF(AND(WSIND!$X$305&gt;=91.5,WSIND!$X$305&lt;=100),"P","")</f>
        <v/>
      </c>
      <c r="KP22" t="str">
        <f>IF(WSIND!$X$329&lt;74.9,"P","")</f>
        <v/>
      </c>
      <c r="KQ22" s="102" t="str">
        <f>IF(AND(WSIND!$X$329&gt;=75,WSIND!$X$329&lt;=83.24),"P","")</f>
        <v/>
      </c>
      <c r="KR22" s="102" t="str">
        <f>IF(AND(WSIND!$X$329&gt;=83.25,WSIND!$X$329&lt;=91.4),"P","")</f>
        <v/>
      </c>
      <c r="KS22" s="102" t="str">
        <f>IF(AND(WSIND!$X$329&gt;=91.5,WSIND!$X$329&lt;=100),"P","")</f>
        <v/>
      </c>
      <c r="KT22" t="str">
        <f>IF(WSIND!$X$337&lt;74.9,"P","")</f>
        <v/>
      </c>
      <c r="KU22" s="102" t="str">
        <f>IF(AND(WSIND!$X$337&gt;=75,WSIND!$X$337&lt;=83.24),"P","")</f>
        <v/>
      </c>
      <c r="KV22" s="102" t="str">
        <f>IF(AND(WSIND!$X$337&gt;=83.25,WSIND!$X$337&lt;=91.4),"P","")</f>
        <v/>
      </c>
      <c r="KW22" s="102" t="str">
        <f>IF(AND(WSIND!$X$337&gt;=91.5,WSIND!$X$337&lt;=100),"P","")</f>
        <v/>
      </c>
      <c r="KX22" t="str">
        <f>IF(WSIND!$X$345&lt;74.9,"P","")</f>
        <v/>
      </c>
      <c r="KY22" s="102" t="str">
        <f>IF(AND(WSIND!$X$345&gt;=75,WSIND!$X$345&lt;=83.24),"P","")</f>
        <v/>
      </c>
      <c r="KZ22" s="102" t="str">
        <f>IF(AND(WSIND!$X$345&gt;=83.25,WSIND!$X$345&lt;=91.4),"P","")</f>
        <v/>
      </c>
      <c r="LA22" s="102" t="str">
        <f>IF(AND(WSIND!$X$345&gt;=91.5,WSIND!$X$345&lt;=100),"P","")</f>
        <v/>
      </c>
      <c r="LB22" t="str">
        <f>IF(WSARAB!$X$6&lt;74.9,"P","")</f>
        <v/>
      </c>
      <c r="LC22" s="102" t="str">
        <f>IF(AND(WSARAB!$X$6&gt;=75,WSARAB!$X$6&lt;=83.24),"P","")</f>
        <v/>
      </c>
      <c r="LD22" s="102" t="str">
        <f>IF(AND(WSARAB!$X$6&gt;=83.25,WSARAB!$X$6&lt;=91.4),"P","")</f>
        <v/>
      </c>
      <c r="LE22" s="102" t="str">
        <f>IF(AND(WSARAB!$X$6&gt;=91.5,WSARAB!$X$6&lt;=100),"P","")</f>
        <v/>
      </c>
      <c r="LF22" t="str">
        <f>IF(WSARAB!$X$17&lt;74.9,"P","")</f>
        <v/>
      </c>
      <c r="LG22" s="102" t="str">
        <f>IF(AND(WSARAB!$X$17&gt;=75,WSARAB!$X$17&lt;=83.24),"P","")</f>
        <v/>
      </c>
      <c r="LH22" s="102" t="str">
        <f>IF(AND(WSARAB!$X$17&gt;=83.25,WSARAB!$X$17&lt;=91.4),"P","")</f>
        <v/>
      </c>
      <c r="LI22" s="102" t="str">
        <f>IF(AND(WSARAB!$X$17&gt;=91.5,WSARAB!$X$17&lt;=100),"P","")</f>
        <v/>
      </c>
      <c r="LJ22" t="str">
        <f>IF(WSARAB!$X$29&lt;74.9,"P","")</f>
        <v/>
      </c>
      <c r="LK22" s="102" t="str">
        <f>IF(AND(WSARAB!$X$29&gt;=75,WSARAB!$X$29&lt;=83.24),"P","")</f>
        <v/>
      </c>
      <c r="LL22" s="102" t="str">
        <f>IF(AND(WSARAB!$X$29&gt;=83.25,WSARAB!$X$29&lt;=91.4),"P","")</f>
        <v/>
      </c>
      <c r="LM22" s="102" t="str">
        <f>IF(AND(WSARAB!$X$29&gt;=91.5,WSARAB!$X$29&lt;=100),"P","")</f>
        <v/>
      </c>
      <c r="LN22" t="str">
        <f>IF(WSARAB!$X$37&lt;74.9,"P","")</f>
        <v/>
      </c>
      <c r="LO22" s="102" t="str">
        <f>IF(AND(WSARAB!$X$37&gt;=75,WSARAB!$X$37&lt;=83.24),"P","")</f>
        <v/>
      </c>
      <c r="LP22" s="102" t="str">
        <f>IF(AND(WSARAB!$X$37&gt;=83.25,WSARAB!$X$37&lt;=91.4),"P","")</f>
        <v/>
      </c>
      <c r="LQ22" s="102" t="str">
        <f>IF(AND(WSARAB!$X$37&gt;=91.5,WSARAB!$X$37&lt;=100),"P","")</f>
        <v/>
      </c>
      <c r="LR22" t="str">
        <f>IF(WSARAB!$X$45&lt;74.9,"P","")</f>
        <v/>
      </c>
      <c r="LS22" s="102" t="str">
        <f>IF(AND(WSARAB!$X$45&gt;=75,WSARAB!$X$45&lt;=83.24),"P","")</f>
        <v/>
      </c>
      <c r="LT22" s="102" t="str">
        <f>IF(AND(WSARAB!$X$45&gt;=83.25,WSARAB!$X$45&lt;=91.4),"P","")</f>
        <v/>
      </c>
      <c r="LU22" s="102" t="str">
        <f>IF(AND(WSARAB!$X$45&gt;=91.5,WSARAB!$X$45&lt;=100),"P","")</f>
        <v/>
      </c>
      <c r="LV22" t="str">
        <f>IF(WSARAB!$X$53&lt;74.9,"P","")</f>
        <v/>
      </c>
      <c r="LW22" s="102" t="str">
        <f>IF(AND(WSARAB!$X$53&gt;=75,WSARAB!$X$53&lt;=83.24),"P","")</f>
        <v/>
      </c>
      <c r="LX22" s="102" t="str">
        <f>IF(AND(WSARAB!$X$53&gt;=83.25,WSARAB!$X$53&lt;=91.4),"P","")</f>
        <v/>
      </c>
      <c r="LY22" s="102" t="str">
        <f>IF(AND(WSARAB!$X$53&gt;=91.5,WSARAB!$X$53&lt;=100),"P","")</f>
        <v/>
      </c>
      <c r="LZ22" t="str">
        <f>IF(WSARAB!$X$65&lt;74.9,"P","")</f>
        <v/>
      </c>
      <c r="MA22" s="102" t="str">
        <f>IF(AND(WSARAB!$X$65&gt;=75,WSARAB!$X$65&lt;=83.24),"P","")</f>
        <v/>
      </c>
      <c r="MB22" s="102" t="str">
        <f>IF(AND(WSARAB!$X$65&gt;=83.25,WSARAB!$X$65&lt;=91.4),"P","")</f>
        <v/>
      </c>
      <c r="MC22" s="102" t="str">
        <f>IF(AND(WSARAB!$X$65&gt;=91.5,WSARAB!$X$65&lt;=100),"P","")</f>
        <v/>
      </c>
      <c r="MD22" t="str">
        <f>IF(WSARAB!$X$73&lt;74.9,"P","")</f>
        <v/>
      </c>
      <c r="ME22" s="102" t="str">
        <f>IF(AND(WSARAB!$X$73&gt;=75,WSARAB!$X$73&lt;=83.24),"P","")</f>
        <v/>
      </c>
      <c r="MF22" s="102" t="str">
        <f>IF(AND(WSARAB!$X$73&gt;=83.25,WSARAB!$X$73&lt;=91.4),"P","")</f>
        <v/>
      </c>
      <c r="MG22" s="102" t="str">
        <f>IF(AND(WSARAB!$X$73&gt;=91.5,WSARAB!$X$73&lt;=100),"P","")</f>
        <v/>
      </c>
      <c r="MH22" t="str">
        <f>IF(WSARAB!$X$81&lt;74.9,"P","")</f>
        <v/>
      </c>
      <c r="MI22" s="102" t="str">
        <f>IF(AND(WSARAB!$X$81&gt;=75,WSARAB!$X$81&lt;=83.24),"P","")</f>
        <v/>
      </c>
      <c r="MJ22" s="102" t="str">
        <f>IF(AND(WSARAB!$X$81&gt;=83.25,WSARAB!$X$81&lt;=91.4),"P","")</f>
        <v/>
      </c>
      <c r="MK22" s="102" t="str">
        <f>IF(AND(WSARAB!$X$81&gt;=91.5,WSARAB!$X$81&lt;=100),"P","")</f>
        <v/>
      </c>
      <c r="ML22" t="str">
        <f>IF(WSARAB!$X$89&lt;74.9,"P","")</f>
        <v/>
      </c>
      <c r="MM22" s="102" t="str">
        <f>IF(AND(WSARAB!$X$89&gt;=75,WSARAB!$X$89&lt;=83.24),"P","")</f>
        <v/>
      </c>
      <c r="MN22" s="102" t="str">
        <f>IF(AND(WSARAB!$X$89&gt;=83.25,WSARAB!$X$89&lt;=91.4),"P","")</f>
        <v/>
      </c>
      <c r="MO22" s="102" t="str">
        <f>IF(AND(WSARAB!$X$89&gt;=91.5,WSARAB!$X$89&lt;=100),"P","")</f>
        <v/>
      </c>
      <c r="MP22" t="str">
        <f>IF(WSARAB!$X$97&lt;74.9,"P","")</f>
        <v/>
      </c>
      <c r="MQ22" s="102" t="str">
        <f>IF(AND(WSARAB!$X$97&gt;=75,WSARAB!$X$97&lt;=83.24),"P","")</f>
        <v/>
      </c>
      <c r="MR22" s="102" t="str">
        <f>IF(AND(WSARAB!$X$97&gt;=83.25,WSARAB!$X$97&lt;=91.4),"P","")</f>
        <v/>
      </c>
      <c r="MS22" s="102" t="str">
        <f>IF(AND(WSARAB!$X$97&gt;=91.5,WSARAB!$X$97&lt;=100),"P","")</f>
        <v/>
      </c>
      <c r="MT22" t="str">
        <f>IF(WSARAB!$X$105&lt;74.9,"P","")</f>
        <v/>
      </c>
      <c r="MU22" s="102" t="str">
        <f>IF(AND(WSARAB!$X$105&gt;=75,WSARAB!$X$105&lt;=83.24),"P","")</f>
        <v/>
      </c>
      <c r="MV22" s="102" t="str">
        <f>IF(AND(WSARAB!$X$105&gt;=83.25,WSARAB!$X$105&lt;=91.4),"P","")</f>
        <v/>
      </c>
      <c r="MW22" s="102" t="str">
        <f>IF(AND(WSARAB!$X$105&gt;=91.5,WSARAB!$X$105&lt;=100),"P","")</f>
        <v/>
      </c>
      <c r="MX22" t="str">
        <f>IF(WSARAB!$X$113&lt;74.9,"P","")</f>
        <v/>
      </c>
      <c r="MY22" s="102" t="str">
        <f>IF(AND(WSARAB!$X$113&gt;=75,WSARAB!$X$113&lt;=83.24),"P","")</f>
        <v/>
      </c>
      <c r="MZ22" s="102" t="str">
        <f>IF(AND(WSARAB!$X$113&gt;=83.25,WSARAB!$X$113&lt;=91.4),"P","")</f>
        <v/>
      </c>
      <c r="NA22" s="102" t="str">
        <f>IF(AND(WSARAB!$X$113&gt;=91.5,WSARAB!$X$113&lt;=100),"P","")</f>
        <v/>
      </c>
      <c r="NB22" t="str">
        <f>IF(WSMTK!$X$6&lt;74.9,"P","")</f>
        <v/>
      </c>
      <c r="NC22" s="102" t="str">
        <f>IF(AND(WSMTK!$X$6&gt;=75,WSMTK!$X$6&lt;=83.24),"P","")</f>
        <v/>
      </c>
      <c r="ND22" s="102" t="str">
        <f>IF(AND(WSMTK!$X$6&gt;=83.25,WSMTK!$X$6&lt;=91.4),"P","")</f>
        <v/>
      </c>
      <c r="NE22" s="102" t="str">
        <f>IF(AND(WSMTK!$X$6&gt;=91.5,WSMTK!$X$6&lt;=100),"P","")</f>
        <v>P</v>
      </c>
      <c r="NF22" t="str">
        <f>IF(WSMTK!$X$22&lt;74.9,"P","")</f>
        <v/>
      </c>
      <c r="NG22" s="102" t="str">
        <f>IF(AND(WSMTK!$X$22&gt;=75,WSMTK!$X$22&lt;=83.24),"P","")</f>
        <v/>
      </c>
      <c r="NH22" s="102" t="str">
        <f>IF(AND(WSMTK!$X$22&gt;=83.25,WSMTK!$X$22&lt;=91.4),"P","")</f>
        <v>P</v>
      </c>
      <c r="NI22" s="102" t="str">
        <f>IF(AND(WSMTK!$X$22&gt;=91.5,WSMTK!$X$22&lt;=100),"P","")</f>
        <v/>
      </c>
      <c r="NJ22" t="str">
        <f>IF(WSMTK!$X$35&lt;74.9,"P","")</f>
        <v/>
      </c>
      <c r="NK22" s="102" t="str">
        <f>IF(AND(WSMTK!$X$35&gt;=75,WSMTK!$X$35&lt;=83.24),"P","")</f>
        <v/>
      </c>
      <c r="NL22" s="102" t="str">
        <f>IF(AND(WSMTK!$X$35&gt;=83.25,WSMTK!$X$35&lt;=91.4),"P","")</f>
        <v>P</v>
      </c>
      <c r="NM22" s="102" t="str">
        <f>IF(AND(WSMTK!$X$35&gt;=91.5,WSMTK!$X$35&lt;=100),"P","")</f>
        <v/>
      </c>
      <c r="NN22" t="str">
        <f>IF(WSMTK!$X$69&lt;74.9,"P","")</f>
        <v/>
      </c>
      <c r="NO22" s="102" t="str">
        <f>IF(AND(WSMTK!$X$69&gt;=75,WSMTK!$X$69&lt;=83.24),"P","")</f>
        <v/>
      </c>
      <c r="NP22" s="102" t="str">
        <f>IF(AND(WSMTK!$X$69&gt;=83.25,WSMTK!$X$69&lt;=91.4),"P","")</f>
        <v/>
      </c>
      <c r="NQ22" s="102" t="str">
        <f>IF(AND(WSMTK!$X$69&gt;=91.5,WSMTK!$X$69&lt;=100),"P","")</f>
        <v>P</v>
      </c>
      <c r="NR22" t="str">
        <f>IF(WSMTK!$X$87&lt;74.9,"P","")</f>
        <v/>
      </c>
      <c r="NS22" s="102" t="str">
        <f>IF(AND(WSMTK!$X$87&gt;=75,WSMTK!$X$87&lt;=83.24),"P","")</f>
        <v/>
      </c>
      <c r="NT22" s="102" t="str">
        <f>IF(AND(WSMTK!$X$87&gt;=83.25,WSMTK!$X$87&lt;=91.4),"P","")</f>
        <v/>
      </c>
      <c r="NU22" s="102" t="str">
        <f>IF(AND(WSMTK!$X$87&gt;=91.5,WSMTK!$X$87&lt;=100),"P","")</f>
        <v>P</v>
      </c>
      <c r="NV22" t="str">
        <f>IF(WSMTK!$X$99&lt;74.9,"P","")</f>
        <v/>
      </c>
      <c r="NW22" s="102" t="str">
        <f>IF(AND(WSMTK!$X$99&gt;=75,WSMTK!$X$99&lt;=83.24),"P","")</f>
        <v/>
      </c>
      <c r="NX22" s="102" t="str">
        <f>IF(AND(WSMTK!$X$99&gt;=83.25,WSMTK!$X$99&lt;=91.4),"P","")</f>
        <v>P</v>
      </c>
      <c r="NY22" s="102" t="str">
        <f>IF(AND(WSMTK!$X$99&gt;=91.5,WSMTK!$X$99&lt;=100),"P","")</f>
        <v/>
      </c>
      <c r="NZ22" t="str">
        <f>IF(WSMTK!$X$113&lt;74.9,"P","")</f>
        <v/>
      </c>
      <c r="OA22" s="102" t="str">
        <f>IF(AND(WSMTK!$X$113&gt;=75,WSMTK!$X$113&lt;=83.24),"P","")</f>
        <v/>
      </c>
      <c r="OB22" s="102" t="str">
        <f>IF(AND(WSMTK!$X$113&gt;=83.25,WSMTK!$X$113&lt;=91.4),"P","")</f>
        <v>P</v>
      </c>
      <c r="OC22" s="102" t="str">
        <f>IF(AND(WSMTK!$X$113&gt;=91.5,WSMTK!$X$113&lt;=100),"P","")</f>
        <v/>
      </c>
      <c r="OD22" t="str">
        <f>IF(WSMTK!$X$145&lt;74.9,"P","")</f>
        <v/>
      </c>
      <c r="OE22" s="102" t="str">
        <f>IF(AND(WSMTK!$X$145&gt;=75,WSMTK!$X$145&lt;=83.24),"P","")</f>
        <v/>
      </c>
      <c r="OF22" s="102" t="str">
        <f>IF(AND(WSMTK!$X$145&gt;=83.25,WSMTK!$X$145&lt;=91.4),"P","")</f>
        <v/>
      </c>
      <c r="OG22" s="102" t="str">
        <f>IF(AND(WSMTK!$X$145&gt;=91.5,WSMTK!$X$145&lt;=100),"P","")</f>
        <v>P</v>
      </c>
      <c r="OH22" t="str">
        <f>IF(WSMTK!$X$168&lt;74.9,"P","")</f>
        <v/>
      </c>
      <c r="OI22" s="102" t="str">
        <f>IF(AND(WSMTK!$X$168&gt;=75,WSMTK!$X$168&lt;=83.24),"P","")</f>
        <v/>
      </c>
      <c r="OJ22" s="102" t="str">
        <f>IF(AND(WSMTK!$X$168&gt;=83.25,WSMTK!$X$168&lt;=91.4),"P","")</f>
        <v/>
      </c>
      <c r="OK22" s="102" t="str">
        <f>IF(AND(WSMTK!$X$168&gt;=91.5,WSMTK!$X$168&lt;=100),"P","")</f>
        <v/>
      </c>
      <c r="OL22" t="str">
        <f>IF(WSMTK!$X$176&lt;74.9,"P","")</f>
        <v/>
      </c>
      <c r="OM22" s="102" t="str">
        <f>IF(AND(WSMTK!$X$176&gt;=75,WSMTK!$X$176&lt;=83.24),"P","")</f>
        <v/>
      </c>
      <c r="ON22" s="102" t="str">
        <f>IF(AND(WSMTK!$X$176&gt;=83.25,WSMTK!$X$176&lt;=91.4),"P","")</f>
        <v/>
      </c>
      <c r="OO22" s="102" t="str">
        <f>IF(AND(WSMTK!$X$176&gt;=91.5,WSMTK!$X$176&lt;=100),"P","")</f>
        <v/>
      </c>
      <c r="OP22" t="str">
        <f>IF(WSMTK!$X$184&lt;74.9,"P","")</f>
        <v/>
      </c>
      <c r="OQ22" s="102" t="str">
        <f>IF(AND(WSMTK!$X$184&gt;=75,WSMTK!$X$184&lt;=83.24),"P","")</f>
        <v/>
      </c>
      <c r="OR22" s="102" t="str">
        <f>IF(AND(WSMTK!$X$184&gt;=83.25,WSMTK!$X$184&lt;=91.4),"P","")</f>
        <v/>
      </c>
      <c r="OS22" s="102" t="str">
        <f>IF(AND(WSMTK!$X$184&gt;=91.5,WSMTK!$X$184&lt;=100),"P","")</f>
        <v/>
      </c>
      <c r="OT22" t="str">
        <f>IF(WSMTK!$X$192&lt;74.9,"P","")</f>
        <v/>
      </c>
      <c r="OU22" s="102" t="str">
        <f>IF(AND(WSMTK!$X$192&gt;=75,WSMTK!$X$192&lt;=83.24),"P","")</f>
        <v/>
      </c>
      <c r="OV22" s="102" t="str">
        <f>IF(AND(WSMTK!$X$192&gt;=83.25,WSMTK!$X$192&lt;=91.4),"P","")</f>
        <v/>
      </c>
      <c r="OW22" s="102" t="str">
        <f>IF(AND(WSMTK!$X$192&gt;=91.5,WSMTK!$X$192&lt;=100),"P","")</f>
        <v/>
      </c>
      <c r="OX22" t="str">
        <f>IF(WSMTK!$X$200&lt;74.9,"P","")</f>
        <v/>
      </c>
      <c r="OY22" s="102" t="str">
        <f>IF(AND(WSMTK!$X$200&gt;=75,WSMTK!$X$200&lt;=83.24),"P","")</f>
        <v/>
      </c>
      <c r="OZ22" s="102" t="str">
        <f>IF(AND(WSMTK!$X$200&gt;=83.25,WSMTK!$X$200&lt;=91.4),"P","")</f>
        <v/>
      </c>
      <c r="PA22" s="102" t="str">
        <f>IF(AND(WSMTK!$X$200&gt;=91.5,WSMTK!$X$200&lt;=100),"P","")</f>
        <v/>
      </c>
      <c r="PB22" t="str">
        <f>IF(WSIPA!$X$6&lt;74.9,"P","")</f>
        <v/>
      </c>
      <c r="PC22" s="102" t="str">
        <f>IF(AND(WSIPA!$X$6&gt;=75,WSIPA!$X$6&lt;=83.24),"P","")</f>
        <v/>
      </c>
      <c r="PD22" s="102" t="str">
        <f>IF(AND(WSIPA!$X$6&gt;=83.25,WSIPA!$X$6&lt;=91.4),"P","")</f>
        <v/>
      </c>
      <c r="PE22" s="102" t="str">
        <f>IF(AND(WSIPA!$X$6&gt;=91.5,WSIPA!$X$6&lt;=100),"P","")</f>
        <v/>
      </c>
      <c r="PF22" t="str">
        <f>IF(WSIPA!$X$14&lt;74.9,"P","")</f>
        <v/>
      </c>
      <c r="PG22" s="102" t="str">
        <f>IF(AND(WSIPA!$X$14&gt;=75,WSIPA!$X$14&lt;=83.24),"P","")</f>
        <v/>
      </c>
      <c r="PH22" s="102" t="str">
        <f>IF(AND(WSIPA!$X$14&gt;=83.25,WSIPA!$X$14&lt;=91.4),"P","")</f>
        <v/>
      </c>
      <c r="PI22" s="102" t="str">
        <f>IF(AND(WSIPA!$X$14&gt;=91.5,WSIPA!$X$14&lt;=100),"P","")</f>
        <v/>
      </c>
      <c r="PJ22" t="str">
        <f>IF(WSIPA!$X$22&lt;74.9,"P","")</f>
        <v/>
      </c>
      <c r="PK22" s="102" t="str">
        <f>IF(AND(WSIPA!$X$22&gt;=75,WSIPA!$X$22&lt;=83.24),"P","")</f>
        <v/>
      </c>
      <c r="PL22" s="102" t="str">
        <f>IF(AND(WSIPA!$X$22&gt;=83.25,WSIPA!$X$22&lt;=91.4),"P","")</f>
        <v/>
      </c>
      <c r="PM22" s="102" t="str">
        <f>IF(AND(WSIPA!$X$22&gt;=91.5,WSIPA!$X$22&lt;=100),"P","")</f>
        <v/>
      </c>
      <c r="PN22" t="str">
        <f>IF(WSIPA!$X$30&lt;74.9,"P","")</f>
        <v/>
      </c>
      <c r="PO22" s="102" t="str">
        <f>IF(AND(WSIPA!$X$30&gt;=75,WSIPA!$X$30&lt;=83.24),"P","")</f>
        <v/>
      </c>
      <c r="PP22" s="102" t="str">
        <f>IF(AND(WSIPA!$X$30&gt;=83.25,WSIPA!$X$30&lt;=91.4),"P","")</f>
        <v/>
      </c>
      <c r="PQ22" s="102" t="str">
        <f>IF(AND(WSIPA!$X$30&gt;=91.5,WSIPA!$X$30&lt;=100),"P","")</f>
        <v/>
      </c>
      <c r="PR22" t="str">
        <f>IF(WSIPA!$X$38&lt;74.9,"P","")</f>
        <v/>
      </c>
      <c r="PS22" s="102" t="str">
        <f>IF(AND(WSIPA!$X$38&gt;=75,WSIPA!$X$38&lt;=83.24),"P","")</f>
        <v/>
      </c>
      <c r="PT22" s="102" t="str">
        <f>IF(AND(WSIPA!$X$38&gt;=83.25,WSIPA!$X$38&lt;=91.4),"P","")</f>
        <v/>
      </c>
      <c r="PU22" s="102" t="str">
        <f>IF(AND(WSIPA!$X$38&gt;=91.5,WSIPA!$X$38&lt;=100),"P","")</f>
        <v/>
      </c>
      <c r="PV22" t="str">
        <f>IF(WSIPA!$X$46&lt;74.9,"P","")</f>
        <v/>
      </c>
      <c r="PW22" s="102" t="str">
        <f>IF(AND(WSIPA!$X$46&gt;=75,WSIPA!$X$46&lt;=83.24),"P","")</f>
        <v/>
      </c>
      <c r="PX22" s="102" t="str">
        <f>IF(AND(WSIPA!$X$46&gt;=83.25,WSIPA!$X$46&lt;=91.4),"P","")</f>
        <v/>
      </c>
      <c r="PY22" s="102" t="str">
        <f>IF(AND(WSIPA!$X$46&gt;=91.5,WSIPA!$X$46&lt;=100),"P","")</f>
        <v/>
      </c>
      <c r="PZ22" t="str">
        <f>IF(WSIPA!$X$54&lt;74.9,"P","")</f>
        <v/>
      </c>
      <c r="QA22" s="102" t="str">
        <f>IF(AND(WSIPA!$X$54&gt;=75,WSIPA!$X$54&lt;=83.24),"P","")</f>
        <v/>
      </c>
      <c r="QB22" s="102" t="str">
        <f>IF(AND(WSIPA!$X$54&gt;=83.25,WSIPA!$X$54&lt;=91.4),"P","")</f>
        <v/>
      </c>
      <c r="QC22" s="102" t="str">
        <f>IF(AND(WSIPA!$X$54&gt;=91.5,WSIPA!$X$54&lt;=100),"P","")</f>
        <v/>
      </c>
      <c r="QD22" t="str">
        <f>IF(WSIPA!$X$62&lt;74.9,"P","")</f>
        <v/>
      </c>
      <c r="QE22" s="102" t="str">
        <f>IF(AND(WSIPA!$X$62&gt;=75,WSIPA!$X$62&lt;=83.24),"P","")</f>
        <v/>
      </c>
      <c r="QF22" s="102" t="str">
        <f>IF(AND(WSIPA!$X$62&gt;=83.25,WSIPA!$X$62&lt;=91.4),"P","")</f>
        <v/>
      </c>
      <c r="QG22" s="102" t="str">
        <f>IF(AND(WSIPA!$X$62&gt;=91.5,WSIPA!$X$62&lt;=100),"P","")</f>
        <v/>
      </c>
      <c r="QH22" t="str">
        <f>IF(WSIPA!$X$70&lt;74.9,"P","")</f>
        <v/>
      </c>
      <c r="QI22" s="102" t="str">
        <f>IF(AND(WSIPA!$X$70&gt;=75,WSIPA!$X$70&lt;=83.24),"P","")</f>
        <v/>
      </c>
      <c r="QJ22" s="102" t="str">
        <f>IF(AND(WSIPA!$X$70&gt;=83.25,WSIPA!$X$70&lt;=91.4),"P","")</f>
        <v/>
      </c>
      <c r="QK22" s="102" t="str">
        <f>IF(AND(WSIPA!$X$70&gt;=91.5,WSIPA!$X$70&lt;=100),"P","")</f>
        <v/>
      </c>
      <c r="QL22" t="str">
        <f>IF(WSIPA!$X$78&lt;74.9,"P","")</f>
        <v/>
      </c>
      <c r="QM22" s="102" t="str">
        <f>IF(AND(WSIPA!$X$78&gt;=75,WSIPA!$X$78&lt;=83.24),"P","")</f>
        <v/>
      </c>
      <c r="QN22" s="102" t="str">
        <f>IF(AND(WSIPA!$X$78&gt;=83.25,WSIPA!$X$78&lt;=91.4),"P","")</f>
        <v/>
      </c>
      <c r="QO22" s="102" t="str">
        <f>IF(AND(WSIPA!$X$78&gt;=91.5,WSIPA!$X$78&lt;=100),"P","")</f>
        <v/>
      </c>
      <c r="QP22" t="str">
        <f>IF(WSIPA!$X$86&lt;74.9,"P","")</f>
        <v/>
      </c>
      <c r="QQ22" s="102" t="str">
        <f>IF(AND(WSIPA!$X$86&gt;=75,WSIPA!$X$86&lt;=83.24),"P","")</f>
        <v/>
      </c>
      <c r="QR22" s="102" t="str">
        <f>IF(AND(WSIPA!$X$86&gt;=83.25,WSIPA!$X$86&lt;=91.4),"P","")</f>
        <v/>
      </c>
      <c r="QS22" s="102" t="str">
        <f>IF(AND(WSIPA!$X$86&gt;=91.5,WSIPA!$X$86&lt;=100),"P","")</f>
        <v/>
      </c>
      <c r="QT22" t="str">
        <f>IF(WSIPA!$X$94&lt;74.9,"P","")</f>
        <v/>
      </c>
      <c r="QU22" s="102" t="str">
        <f>IF(AND(WSIPA!$X$94&gt;=75,WSIPA!$X$94&lt;=83.24),"P","")</f>
        <v/>
      </c>
      <c r="QV22" s="102" t="str">
        <f>IF(AND(WSIPA!$X$94&gt;=83.25,WSIPA!$X$94&lt;=91.4),"P","")</f>
        <v/>
      </c>
      <c r="QW22" s="102" t="str">
        <f>IF(AND(WSIPA!$X$94&gt;=91.5,WSIPA!$X$94&lt;=100),"P","")</f>
        <v/>
      </c>
      <c r="QX22" t="str">
        <f>IF(WSIPA!$X$102&lt;74.9,"P","")</f>
        <v/>
      </c>
      <c r="QY22" s="102" t="str">
        <f>IF(AND(WSIPA!$X$102&gt;=75,WSIPA!$X$102&lt;=83.24),"P","")</f>
        <v/>
      </c>
      <c r="QZ22" s="102" t="str">
        <f>IF(AND(WSIPA!$X$102&gt;=83.25,WSIPA!$X$102&lt;=91.4),"P","")</f>
        <v/>
      </c>
      <c r="RA22" s="102" t="str">
        <f>IF(AND(WSIPA!$X$102&gt;=91.5,WSIPA!$X$102&lt;=100),"P","")</f>
        <v/>
      </c>
      <c r="RB22" t="str">
        <f>IF(WSIPS!$X$6&lt;74.9,"P","")</f>
        <v/>
      </c>
      <c r="RC22" s="102" t="str">
        <f>IF(AND(WSIPS!$X$6&gt;=75,WSIPS!$X$6&lt;=83.24),"P","")</f>
        <v/>
      </c>
      <c r="RD22" s="102" t="str">
        <f>IF(AND(WSIPS!$X$6&gt;=83.25,WSIPS!$X$6&lt;=91.4),"P","")</f>
        <v/>
      </c>
      <c r="RE22" s="102" t="str">
        <f>IF(AND(WSIPS!$X$6&gt;=91.5,WSIPS!$X$6&lt;=100),"P","")</f>
        <v/>
      </c>
      <c r="RF22" t="str">
        <f>IF(WSIPS!$X$14&lt;74.9,"P","")</f>
        <v/>
      </c>
      <c r="RG22" s="102" t="str">
        <f>IF(AND(WSIPS!$X$14&gt;=75,WSIPS!$X$14&lt;=83.24),"P","")</f>
        <v/>
      </c>
      <c r="RH22" s="102" t="str">
        <f>IF(AND(WSIPS!$X$14&gt;=83.25,WSIPS!$X$14&lt;=91.4),"P","")</f>
        <v/>
      </c>
      <c r="RI22" s="102" t="str">
        <f>IF(AND(WSIPS!$X$14&gt;=91.5,WSIPS!$X$14&lt;=100),"P","")</f>
        <v/>
      </c>
      <c r="RJ22" t="str">
        <f>IF(WSIPS!$X$22&lt;74.9,"P","")</f>
        <v/>
      </c>
      <c r="RK22" s="102" t="str">
        <f>IF(AND(WSIPS!$X$22&gt;=75,WSIPS!$X$22&lt;=83.24),"P","")</f>
        <v/>
      </c>
      <c r="RL22" s="102" t="str">
        <f>IF(AND(WSIPS!$X$22&gt;=83.25,WSIPS!$X$22&lt;=91.4),"P","")</f>
        <v/>
      </c>
      <c r="RM22" s="102" t="str">
        <f>IF(AND(WSIPS!$X$22&gt;=91.5,WSIPS!$X$22&lt;=100),"P","")</f>
        <v/>
      </c>
      <c r="RN22" t="str">
        <f>IF(WSIPS!$X$30&lt;74.9,"P","")</f>
        <v/>
      </c>
      <c r="RO22" s="102" t="str">
        <f>IF(AND(WSIPS!$X$30&gt;=75,WSIPS!$X$30&lt;=83.24),"P","")</f>
        <v/>
      </c>
      <c r="RP22" s="102" t="str">
        <f>IF(AND(WSIPS!$X$30&gt;=83.25,WSIPS!$X$30&lt;=91.4),"P","")</f>
        <v/>
      </c>
      <c r="RQ22" s="102" t="str">
        <f>IF(AND(WSIPS!$X$30&gt;=91.5,WSIPS!$X$30&lt;=100),"P","")</f>
        <v/>
      </c>
      <c r="RR22" t="str">
        <f>IF(WSIPS!$X$38&lt;74.9,"P","")</f>
        <v/>
      </c>
      <c r="RS22" s="102" t="str">
        <f>IF(AND(WSIPS!$X$38&gt;=75,WSIPS!$X$38&lt;=83.24),"P","")</f>
        <v/>
      </c>
      <c r="RT22" s="102" t="str">
        <f>IF(AND(WSIPS!$X$38&gt;=83.25,WSIPS!$X$38&lt;=91.4),"P","")</f>
        <v/>
      </c>
      <c r="RU22" s="102" t="str">
        <f>IF(AND(WSIPS!$X$38&gt;=91.5,WSIPS!$X$38&lt;=100),"P","")</f>
        <v/>
      </c>
      <c r="RV22" t="str">
        <f>IF(WSIPS!$X$46&lt;74.9,"P","")</f>
        <v/>
      </c>
      <c r="RW22" s="102" t="str">
        <f>IF(AND(WSIPS!$X$46&gt;=75,WSIPS!$X$46&lt;=83.24),"P","")</f>
        <v/>
      </c>
      <c r="RX22" s="102" t="str">
        <f>IF(AND(WSIPS!$X$46&gt;=83.25,WSIPS!$X$46&lt;=91.4),"P","")</f>
        <v/>
      </c>
      <c r="RY22" s="102" t="str">
        <f>IF(AND(WSIPS!$X$46&gt;=91.5,WSIPS!$X$46&lt;=100),"P","")</f>
        <v/>
      </c>
      <c r="RZ22" t="str">
        <f>IF(WSIPS!$X$54&lt;74.9,"P","")</f>
        <v/>
      </c>
      <c r="SA22" s="102" t="str">
        <f>IF(AND(WSIPS!$X$54&gt;=75,WSIPS!$X$54&lt;=83.24),"P","")</f>
        <v/>
      </c>
      <c r="SB22" s="102" t="str">
        <f>IF(AND(WSIPS!$X$54&gt;=83.25,WSIPS!$X$54&lt;=91.4),"P","")</f>
        <v/>
      </c>
      <c r="SC22" s="102" t="str">
        <f>IF(AND(WSIPS!$X$54&gt;=91.5,WSIPS!$X$54&lt;=100),"P","")</f>
        <v/>
      </c>
      <c r="SD22" t="str">
        <f>IF(WSIPS!$X$62&lt;74.9,"P","")</f>
        <v/>
      </c>
      <c r="SE22" s="102" t="str">
        <f>IF(AND(WSIPS!$X$62&gt;=75,WSIPS!$X$62&lt;=83.24),"P","")</f>
        <v/>
      </c>
      <c r="SF22" s="102" t="str">
        <f>IF(AND(WSIPS!$X$62&gt;=83.25,WSIPS!$X$62&lt;=91.4),"P","")</f>
        <v/>
      </c>
      <c r="SG22" s="102" t="str">
        <f>IF(AND(WSIPS!$X$62&gt;=91.5,WSIPS!$X$62&lt;=100),"P","")</f>
        <v/>
      </c>
      <c r="SH22" t="str">
        <f>IF(WSIPS!$X$70&lt;74.9,"P","")</f>
        <v/>
      </c>
      <c r="SI22" s="102" t="str">
        <f>IF(AND(WSIPS!$X$70&gt;=75,WSIPS!$X$70&lt;=83.24),"P","")</f>
        <v/>
      </c>
      <c r="SJ22" s="102" t="str">
        <f>IF(AND(WSIPS!$X$70&gt;=83.25,WSIPS!$X$70&lt;=91.4),"P","")</f>
        <v/>
      </c>
      <c r="SK22" s="102" t="str">
        <f>IF(AND(WSIPS!$X$70&gt;=91.5,WSIPS!$X$70&lt;=100),"P","")</f>
        <v/>
      </c>
      <c r="SL22" t="str">
        <f>IF(WSIPS!$X$78&lt;74.9,"P","")</f>
        <v/>
      </c>
      <c r="SM22" s="102" t="str">
        <f>IF(AND(WSIPS!$X$78&gt;=75,WSIPS!$X$78&lt;=83.24),"P","")</f>
        <v/>
      </c>
      <c r="SN22" s="102" t="str">
        <f>IF(AND(WSIPS!$X$78&gt;=83.25,WSIPS!$X$78&lt;=91.4),"P","")</f>
        <v/>
      </c>
      <c r="SO22" s="102" t="str">
        <f>IF(AND(WSIPS!$X$78&gt;=91.5,WSIPS!$X$78&lt;=100),"P","")</f>
        <v/>
      </c>
      <c r="SP22" t="str">
        <f>IF(WSIPS!$X$86&lt;74.9,"P","")</f>
        <v/>
      </c>
      <c r="SQ22" s="102" t="str">
        <f>IF(AND(WSIPS!$X$86&gt;=75,WSIPS!$X$86&lt;=83.24),"P","")</f>
        <v/>
      </c>
      <c r="SR22" s="102" t="str">
        <f>IF(AND(WSIPS!$X$86&gt;=83.25,WSIPS!$X$86&lt;=91.4),"P","")</f>
        <v/>
      </c>
      <c r="SS22" s="102" t="str">
        <f>IF(AND(WSIPS!$X$86&gt;=91.5,WSIPS!$X$86&lt;=100),"P","")</f>
        <v/>
      </c>
      <c r="ST22" t="str">
        <f>IF(WSIPS!$X$94&lt;74.9,"P","")</f>
        <v/>
      </c>
      <c r="SU22" s="102" t="str">
        <f>IF(AND(WSIPS!$X$94&gt;=75,WSIPS!$X$94&lt;=83.24),"P","")</f>
        <v/>
      </c>
      <c r="SV22" s="102" t="str">
        <f>IF(AND(WSIPS!$X$94&gt;=83.25,WSIPS!$X$94&lt;=91.4),"P","")</f>
        <v/>
      </c>
      <c r="SW22" s="102" t="str">
        <f>IF(AND(WSIPS!$X$94&gt;=91.5,WSIPS!$X$94&lt;=100),"P","")</f>
        <v/>
      </c>
      <c r="SX22" t="str">
        <f>IF(WSIPS!$X$102&lt;74.9,"P","")</f>
        <v/>
      </c>
      <c r="SY22" s="102" t="str">
        <f>IF(AND(WSIPS!$X$102&gt;=75,WSIPS!$X$102&lt;=83.24),"P","")</f>
        <v/>
      </c>
      <c r="SZ22" s="102" t="str">
        <f>IF(AND(WSIPS!$X$102&gt;=83.25,WSIPS!$X$102&lt;=91.4),"P","")</f>
        <v/>
      </c>
      <c r="TA22" s="102" t="str">
        <f>IF(AND(WSIPS!$X$102&gt;=91.5,WSIPS!$X$102&lt;=100),"P","")</f>
        <v/>
      </c>
      <c r="TB22" t="str">
        <f>IF(WSSBK!$X$6&lt;74.9,"P","")</f>
        <v/>
      </c>
      <c r="TC22" s="102" t="str">
        <f>IF(AND(WSSBK!$X$6&gt;=75,WSSBK!$X$6&lt;=83.24),"P","")</f>
        <v/>
      </c>
      <c r="TD22" s="102" t="str">
        <f>IF(AND(WSSBK!$X$6&gt;=83.25,WSSBK!$X$6&lt;=91.4),"P","")</f>
        <v/>
      </c>
      <c r="TE22" s="102" t="str">
        <f>IF(AND(WSSBK!$X$6&gt;=91.5,WSSBK!$X$6&lt;=100),"P","")</f>
        <v>P</v>
      </c>
      <c r="TF22" t="str">
        <f>IF(WSSBK!$X$16&lt;74.9,"P","")</f>
        <v/>
      </c>
      <c r="TG22" s="102" t="str">
        <f>IF(AND(WSSBK!$X$16&gt;=75,WSSBK!$X$16&lt;=83.24),"P","")</f>
        <v/>
      </c>
      <c r="TH22" s="102" t="str">
        <f>IF(AND(WSSBK!$X$16&gt;=83.25,WSSBK!$X$16&lt;=91.4),"P","")</f>
        <v/>
      </c>
      <c r="TI22" s="102" t="str">
        <f>IF(AND(WSSBK!$X$16&gt;=91.5,WSSBK!$X$16&lt;=100),"P","")</f>
        <v>P</v>
      </c>
      <c r="TJ22" t="str">
        <f>IF(WSSBK!$X$26&lt;74.9,"P","")</f>
        <v/>
      </c>
      <c r="TK22" s="102" t="str">
        <f>IF(AND(WSSBK!$X$26&gt;=75,WSSBK!$X$26&lt;=83.24),"P","")</f>
        <v>P</v>
      </c>
      <c r="TL22" s="102" t="str">
        <f>IF(AND(WSSBK!$X$26&gt;=83.25,WSSBK!$X$26&lt;=91.4),"P","")</f>
        <v/>
      </c>
      <c r="TM22" s="102" t="str">
        <f>IF(AND(WSSBK!$X$26&gt;=91.5,WSSBK!$X$26&lt;=100),"P","")</f>
        <v/>
      </c>
      <c r="TN22" t="str">
        <f>IF(WSSBK!$X$36&lt;74.9,"P","")</f>
        <v/>
      </c>
      <c r="TO22" s="102" t="str">
        <f>IF(AND(WSSBK!$X$36&gt;=75,WSSBK!$X$36&lt;=83.24),"P","")</f>
        <v/>
      </c>
      <c r="TP22" s="102" t="str">
        <f>IF(AND(WSSBK!$X$36&gt;=83.25,WSSBK!$X$36&lt;=91.4),"P","")</f>
        <v/>
      </c>
      <c r="TQ22" s="102" t="str">
        <f>IF(AND(WSSBK!$X$36&gt;=91.5,WSSBK!$X$36&lt;=100),"P","")</f>
        <v>P</v>
      </c>
      <c r="TR22" t="str">
        <f>IF(WSSBK!$X$46&lt;74.9,"P","")</f>
        <v/>
      </c>
      <c r="TS22" s="102" t="str">
        <f>IF(AND(WSSBK!$X$46&gt;=75,WSSBK!$X$46&lt;=83.24),"P","")</f>
        <v/>
      </c>
      <c r="TT22" s="102" t="str">
        <f>IF(AND(WSSBK!$X$46&gt;=83.25,WSSBK!$X$46&lt;=91.4),"P","")</f>
        <v/>
      </c>
      <c r="TU22" s="102" t="str">
        <f>IF(AND(WSSBK!$X$46&gt;=91.5,WSSBK!$X$46&lt;=100),"P","")</f>
        <v>P</v>
      </c>
      <c r="TV22" t="str">
        <f>IF(WSSBK!$X$58&lt;74.9,"P","")</f>
        <v/>
      </c>
      <c r="TW22" s="102" t="str">
        <f>IF(AND(WSSBK!$X$58&gt;=75,WSSBK!$X$58&lt;=83.24),"P","")</f>
        <v/>
      </c>
      <c r="TX22" s="102" t="str">
        <f>IF(AND(WSSBK!$X$58&gt;=83.25,WSSBK!$X$58&lt;=91.4),"P","")</f>
        <v/>
      </c>
      <c r="TY22" s="102" t="str">
        <f>IF(AND(WSSBK!$X$58&gt;=91.5,WSSBK!$X$58&lt;=100),"P","")</f>
        <v>P</v>
      </c>
      <c r="TZ22" t="str">
        <f>IF(WSSBK!$X$68&lt;74.9,"P","")</f>
        <v/>
      </c>
      <c r="UA22" s="102" t="str">
        <f>IF(AND(WSSBK!$X$68&gt;=75,WSSBK!$X$68&lt;=83.24),"P","")</f>
        <v>P</v>
      </c>
      <c r="UB22" s="102" t="str">
        <f>IF(AND(WSSBK!$X$68&gt;=83.25,WSSBK!$X$68&lt;=91.4),"P","")</f>
        <v/>
      </c>
      <c r="UC22" s="102" t="str">
        <f>IF(AND(WSSBK!$X$68&gt;=91.5,WSSBK!$X$68&lt;=100),"P","")</f>
        <v/>
      </c>
      <c r="UD22" t="str">
        <f>IF(WSSBK!$X$77&lt;74.9,"P","")</f>
        <v/>
      </c>
      <c r="UE22" s="102" t="str">
        <f>IF(AND(WSSBK!$X$77&gt;=75,WSSBK!$X$77&lt;=83.24),"P","")</f>
        <v/>
      </c>
      <c r="UF22" s="102" t="str">
        <f>IF(AND(WSSBK!$X$77&gt;=83.25,WSSBK!$X$77&lt;=91.4),"P","")</f>
        <v/>
      </c>
      <c r="UG22" s="102" t="str">
        <f>IF(AND(WSSBK!$X$77&gt;=91.5,WSSBK!$X$77&lt;=100),"P","")</f>
        <v>P</v>
      </c>
      <c r="UH22" t="str">
        <f>IF(WSSBK!$X$87&lt;74.9,"P","")</f>
        <v/>
      </c>
      <c r="UI22" s="102" t="str">
        <f>IF(AND(WSSBK!$X$87&gt;=75,WSSBK!$X$87&lt;=83.24),"P","")</f>
        <v/>
      </c>
      <c r="UJ22" s="102" t="str">
        <f>IF(AND(WSSBK!$X$87&gt;=83.25,WSSBK!$X$87&lt;=91.4),"P","")</f>
        <v/>
      </c>
      <c r="UK22" s="102" t="str">
        <f>IF(AND(WSSBK!$X$87&gt;=91.5,WSSBK!$X$87&lt;=100),"P","")</f>
        <v/>
      </c>
      <c r="UL22" t="str">
        <f>IF(WSSBK!$X$95&lt;74.9,"P","")</f>
        <v/>
      </c>
      <c r="UM22" s="102" t="str">
        <f>IF(AND(WSSBK!$X$95&gt;=75,WSSBK!$X$95&lt;=83.24),"P","")</f>
        <v/>
      </c>
      <c r="UN22" s="102" t="str">
        <f>IF(AND(WSSBK!$X$95&gt;=83.25,WSSBK!$X$95&lt;=91.4),"P","")</f>
        <v/>
      </c>
      <c r="UO22" s="102" t="str">
        <f>IF(AND(WSSBK!$X$95&gt;=91.5,WSSBK!$X$95&lt;=100),"P","")</f>
        <v/>
      </c>
      <c r="UP22" t="str">
        <f>IF(WSSBK!$X$103&lt;74.9,"P","")</f>
        <v/>
      </c>
      <c r="UQ22" s="102" t="str">
        <f>IF(AND(WSSBK!$X$103&gt;=75,WSSBK!$X$103&lt;=83.24),"P","")</f>
        <v/>
      </c>
      <c r="UR22" s="102" t="str">
        <f>IF(AND(WSSBK!$X$103&gt;=83.25,WSSBK!$X$103&lt;=91.4),"P","")</f>
        <v/>
      </c>
      <c r="US22" s="102" t="str">
        <f>IF(AND(WSSBK!$X$103&gt;=91.5,WSSBK!$X$103&lt;=100),"P","")</f>
        <v/>
      </c>
      <c r="UT22" t="str">
        <f>IF(WSSBK!$X$111&lt;74.9,"P","")</f>
        <v/>
      </c>
      <c r="UU22" s="102" t="str">
        <f>IF(AND(WSSBK!$X$111&gt;=75,WSSBK!$X$111&lt;=83.24),"P","")</f>
        <v/>
      </c>
      <c r="UV22" s="102" t="str">
        <f>IF(AND(WSSBK!$X$111&gt;=83.25,WSSBK!$X$111&lt;=91.4),"P","")</f>
        <v/>
      </c>
      <c r="UW22" s="102" t="str">
        <f>IF(AND(WSSBK!$X$111&gt;=91.5,WSSBK!$X$111&lt;=100),"P","")</f>
        <v/>
      </c>
      <c r="UX22" t="str">
        <f>IF(WSSBK!$X$119&lt;74.9,"P","")</f>
        <v/>
      </c>
      <c r="UY22" s="102" t="str">
        <f>IF(AND(WSSBK!$X$119&gt;=75,WSSBK!$X$119&lt;=83.24),"P","")</f>
        <v/>
      </c>
      <c r="UZ22" s="102" t="str">
        <f>IF(AND(WSSBK!$X$119&gt;=83.25,WSSBK!$X$119&lt;=91.4),"P","")</f>
        <v/>
      </c>
      <c r="VA22" s="102" t="str">
        <f>IF(AND(WSSBK!$X$119&gt;=91.5,WSSBK!$X$119&lt;=100),"P","")</f>
        <v/>
      </c>
      <c r="VB22" s="102" t="str">
        <f>IF(AND(WSPENJAS!$X$6&gt;0,WSPENJAS!$X$6&lt;=74.9),"P","")</f>
        <v/>
      </c>
      <c r="VC22" s="102" t="str">
        <f>IF(AND(WSPENJAS!$X$6&gt;=75,WSPENJAS!$X$6&lt;=83.24),"P","")</f>
        <v/>
      </c>
      <c r="VD22" s="102" t="str">
        <f>IF(AND(WSPENJAS!$X$6&gt;=83.25,WSPENJAS!$X$6&lt;=91.4),"P","")</f>
        <v/>
      </c>
      <c r="VE22" s="102" t="str">
        <f>IF(AND(WSPENJAS!$X$6&gt;=91.5,WSPENJAS!$X$6&lt;=100),"P","")</f>
        <v/>
      </c>
      <c r="VF22" s="102" t="str">
        <f>IF(AND(WSPENJAS!$X$7&gt;0,WSPENJAS!$X$7&lt;=74.9),"P","")</f>
        <v/>
      </c>
      <c r="VG22" s="102" t="str">
        <f>IF(AND(WSPENJAS!$X$7&gt;=75,WSPENJAS!$X$7&lt;=83.24),"P","")</f>
        <v/>
      </c>
      <c r="VH22" s="102" t="str">
        <f>IF(AND(WSPENJAS!$X$7&gt;=83.25,WSPENJAS!$X$7&lt;=91.4),"P","")</f>
        <v>P</v>
      </c>
      <c r="VI22" s="102" t="str">
        <f>IF(AND(WSPENJAS!$X$7&gt;=91.5,WSPENJAS!$X$7&lt;=100),"P","")</f>
        <v/>
      </c>
      <c r="VJ22" s="102" t="str">
        <f>IF(AND(WSPENJAS!$X$8&gt;0,WSPENJAS!$X$8&lt;=74.9),"P","")</f>
        <v/>
      </c>
      <c r="VK22" s="102" t="str">
        <f>IF(AND(WSPENJAS!$X$8&gt;=75,WSPENJAS!$X$8&lt;=83.24),"P","")</f>
        <v/>
      </c>
      <c r="VL22" s="102" t="str">
        <f>IF(AND(WSPENJAS!$X$8&gt;=83.25,WSPENJAS!$X$8&lt;=91.4),"P","")</f>
        <v>P</v>
      </c>
      <c r="VM22" s="102" t="str">
        <f>IF(AND(WSPENJAS!$X$8&gt;=91.5,WSPENJAS!$X$8&lt;=100),"P","")</f>
        <v/>
      </c>
      <c r="VN22" s="102" t="str">
        <f>IF(AND(WSPENJAS!$X$9&gt;0,WSPENJAS!$X$9&lt;=74.9),"P","")</f>
        <v/>
      </c>
      <c r="VO22" s="102" t="str">
        <f>IF(AND(WSPENJAS!$X$9&gt;=75,WSPENJAS!$X$9&lt;=83.24),"P","")</f>
        <v/>
      </c>
      <c r="VP22" s="102" t="str">
        <f>IF(AND(WSPENJAS!$X$9&gt;=83.25,WSPENJAS!$X$9&lt;=91.4),"P","")</f>
        <v>P</v>
      </c>
      <c r="VQ22" s="102" t="str">
        <f>IF(AND(WSPENJAS!$X$9&gt;=91.5,WSPENJAS!$X$9&lt;=100),"P","")</f>
        <v/>
      </c>
      <c r="VR22" s="102" t="str">
        <f>IF(AND(WSPENJAS!$X$10&gt;0,WSPENJAS!$X$10&lt;=74.9),"P","")</f>
        <v/>
      </c>
      <c r="VS22" s="102" t="str">
        <f>IF(AND(WSPENJAS!$X$10&gt;=75,WSPENJAS!$X$10&lt;=83.24),"P","")</f>
        <v/>
      </c>
      <c r="VT22" s="102" t="str">
        <f>IF(AND(WSPENJAS!$X$10&gt;=83.25,WSPENJAS!$X$10&lt;=91.4),"P","")</f>
        <v>P</v>
      </c>
      <c r="VU22" s="102" t="str">
        <f>IF(AND(WSPENJAS!$X$10&gt;=91.5,WSPENJAS!$X$10&lt;=100),"P","")</f>
        <v/>
      </c>
      <c r="VV22" s="102" t="str">
        <f>IF(AND(WSPENJAS!$X$11&gt;0,WSPENJAS!$X$11&lt;=74.9),"P","")</f>
        <v/>
      </c>
      <c r="VW22" s="102" t="str">
        <f>IF(AND(WSPENJAS!$X$411&gt;=75,WSPENJAS!$X$411&lt;=83.24),"P","")</f>
        <v/>
      </c>
      <c r="VX22" s="102" t="str">
        <f>IF(AND(WSPENJAS!$X$411&gt;=83.25,WSPENJAS!$X$411&lt;=91.4),"P","")</f>
        <v/>
      </c>
      <c r="VY22" s="102" t="str">
        <f>IF(AND(WSPENJAS!$X$411&gt;=91.5,WSPENJAS!$X$411&lt;=100),"P","")</f>
        <v/>
      </c>
      <c r="VZ22" s="102" t="str">
        <f>IF(AND(WSPENJAS!$X$12&gt;0,WSPENJAS!$X$12&lt;=74.9),"P","")</f>
        <v/>
      </c>
      <c r="WA22" s="102" t="str">
        <f>IF(AND(WSPENJAS!$X$12&gt;=75,WSPENJAS!$X$12&lt;=83.24),"P","")</f>
        <v/>
      </c>
      <c r="WB22" s="102" t="str">
        <f>IF(AND(WSPENJAS!$X$12&gt;=83.25,WSPENJAS!$X$12&lt;=91.4),"P","")</f>
        <v>P</v>
      </c>
      <c r="WC22" s="102" t="str">
        <f>IF(AND(WSPENJAS!$X$12&gt;=91.5,WSPENJAS!$X$12&lt;=100),"P","")</f>
        <v/>
      </c>
      <c r="WD22" s="102" t="str">
        <f>IF(AND(WSPENJAS!$X$13&gt;0,WSPENJAS!$X$13&lt;=74.9),"P","")</f>
        <v/>
      </c>
      <c r="WE22" s="102" t="str">
        <f>IF(AND(WSPENJAS!$X$13&gt;=75,WSPENJAS!$X$13&lt;=83.24),"P","")</f>
        <v/>
      </c>
      <c r="WF22" s="102" t="str">
        <f>IF(AND(WSPENJAS!$X$13&gt;=83.25,WSPENJAS!$X$13&lt;=91.4),"P","")</f>
        <v>P</v>
      </c>
      <c r="WG22" s="102" t="str">
        <f>IF(AND(WSPENJAS!$X$13&gt;=91.5,WSPENJAS!$X$13&lt;=100),"P","")</f>
        <v/>
      </c>
      <c r="WH22" s="102" t="str">
        <f>IF(AND(WSPENJAS!$X$14&gt;0,WSPENJAS!$X$14&lt;=74.9),"P","")</f>
        <v/>
      </c>
      <c r="WI22" s="102" t="str">
        <f>IF(AND(WSPENJAS!$X$14&gt;=75,WSPENJAS!$X$14&lt;=83.24),"P","")</f>
        <v/>
      </c>
      <c r="WJ22" s="102" t="str">
        <f>IF(AND(WSPENJAS!$X$14&gt;=83.25,WSPENJAS!$X$14&lt;=91.4),"P","")</f>
        <v>P</v>
      </c>
      <c r="WK22" s="102" t="str">
        <f>IF(AND(WSPENJAS!$X$14&gt;=91.5,WSPENJAS!$X$14&lt;=100),"P","")</f>
        <v/>
      </c>
      <c r="WL22" s="102" t="str">
        <f>IF(AND(WSPENJAS!$X$15&gt;0,WSPENJAS!$X$15&lt;=74.9),"P","")</f>
        <v/>
      </c>
      <c r="WM22" s="102" t="str">
        <f>IF(AND(WSPENJAS!$X$15&gt;=75,WSPENJAS!$X$15&lt;=83.24),"P","")</f>
        <v/>
      </c>
      <c r="WN22" s="102" t="str">
        <f>IF(AND(WSPENJAS!$X$15&gt;=83.25,WSPENJAS!$X$15&lt;=91.4),"P","")</f>
        <v>P</v>
      </c>
      <c r="WO22" s="102" t="str">
        <f>IF(AND(WSPENJAS!$X$15&gt;=91.5,WSPENJAS!$X$15&lt;=100),"P","")</f>
        <v/>
      </c>
      <c r="WP22" s="102" t="str">
        <f>IF(AND(WSPENJAS!$X$16&gt;0,WSPENJAS!$X$16&lt;=74.9),"P","")</f>
        <v/>
      </c>
      <c r="WQ22" s="102" t="str">
        <f>IF(AND(WSPENJAS!$X$16&gt;=75,WSPENJAS!$X$16&lt;=83.24),"P","")</f>
        <v/>
      </c>
      <c r="WR22" s="102" t="str">
        <f>IF(AND(WSPENJAS!$X$16&gt;=83.25,WSPENJAS!$X$16&lt;=91.4),"P","")</f>
        <v/>
      </c>
      <c r="WS22" s="102" t="str">
        <f>IF(AND(WSPENJAS!$X$16&gt;=91.5,WSPENJAS!$X$16&lt;=100),"P","")</f>
        <v/>
      </c>
      <c r="WT22" s="102" t="str">
        <f>IF(AND(WSPENJAS!$X$17&gt;0,WSPENJAS!$X$17&lt;=74.9),"P","")</f>
        <v/>
      </c>
      <c r="WU22" s="102" t="str">
        <f>IF(AND(WSPENJAS!$X$17&gt;=75,WSPENJAS!$X$17&lt;=83.24),"P","")</f>
        <v/>
      </c>
      <c r="WV22" s="102" t="str">
        <f>IF(AND(WSPENJAS!$X$17&gt;=83.25,WSPENJAS!$X$17&lt;=91.4),"P","")</f>
        <v/>
      </c>
      <c r="WW22" s="102" t="str">
        <f>IF(AND(WSPENJAS!$X$17&gt;=91.5,WSPENJAS!$X$17&lt;=100),"P","")</f>
        <v/>
      </c>
      <c r="WX22" s="102" t="str">
        <f>IF(AND(WSPENJAS!$X$18&gt;0,WSPENJAS!$X$18&lt;=74.9),"P","")</f>
        <v/>
      </c>
      <c r="WY22" s="102" t="str">
        <f>IF(AND(WSPENJAS!$X$18&gt;=75,WSPENJAS!$X$18&lt;=83.24),"P","")</f>
        <v/>
      </c>
      <c r="WZ22" s="102" t="str">
        <f>IF(AND(WSPENJAS!$X$18&gt;=83.25,WSPENJAS!$X$18&lt;=91.4),"P","")</f>
        <v/>
      </c>
      <c r="XA22" s="102" t="str">
        <f>IF(AND(WSPENJAS!$X$18&gt;=91.5,WSPENJAS!$X$18&lt;=100),"P","")</f>
        <v/>
      </c>
      <c r="XB22" s="102" t="str">
        <f>IF(AND(WSPENJAS!$X$19&gt;0,WSPENJAS!$X$19&lt;=74.9),"P","")</f>
        <v/>
      </c>
      <c r="XC22" s="102" t="str">
        <f>IF(AND(WSPENJAS!$X$19&gt;=75,WSPENJAS!$X$19&lt;=83.24),"P","")</f>
        <v/>
      </c>
      <c r="XD22" s="102" t="str">
        <f>IF(AND(WSPENJAS!$X$19&gt;=83.25,WSPENJAS!$X$19&lt;=91.4),"P","")</f>
        <v/>
      </c>
      <c r="XE22" s="102" t="str">
        <f>IF(AND(WSPENJAS!$X$19&gt;=91.5,WSPENJAS!$X$19&lt;=100),"P","")</f>
        <v/>
      </c>
      <c r="XF22" s="102" t="str">
        <f>IF(AND(WSPENJAS!$X$20&gt;0,WSPENJAS!$X$20&lt;=74.9),"P","")</f>
        <v/>
      </c>
      <c r="XG22" s="102" t="str">
        <f>IF(AND(WSPENJAS!$X$20&gt;=75,WSPENJAS!$X$20&lt;=83.24),"P","")</f>
        <v/>
      </c>
      <c r="XH22" s="102" t="str">
        <f>IF(AND(WSPENJAS!$X$20&gt;=83.25,WSPENJAS!$X$20&lt;=91.4),"P","")</f>
        <v/>
      </c>
      <c r="XI22" s="102" t="str">
        <f>IF(AND(WSPENJAS!$X$20&gt;=91.5,WSPENJAS!$X$20&lt;=100),"P","")</f>
        <v/>
      </c>
      <c r="XJ22" s="102" t="str">
        <f>IF(AND(WSPENJAS!$X$21&gt;0,WSPENJAS!$X$21&lt;=74.9),"P","")</f>
        <v/>
      </c>
      <c r="XK22" s="102" t="str">
        <f>IF(AND(WSPENJAS!$X$21&gt;=75,WSPENJAS!$X$21&lt;=83.24),"P","")</f>
        <v/>
      </c>
      <c r="XL22" s="102" t="str">
        <f>IF(AND(WSPENJAS!$X$21&gt;=83.25,WSPENJAS!$X$21&lt;=91.4),"P","")</f>
        <v/>
      </c>
      <c r="XM22" s="102" t="str">
        <f>IF(AND(WSPENJAS!$X$21&gt;=91.5,WSPENJAS!$X$21&lt;=100),"P","")</f>
        <v/>
      </c>
      <c r="XN22" t="str">
        <f>IF(WSJAWA!$X$6&lt;74.9,"P","")</f>
        <v/>
      </c>
      <c r="XO22" s="102" t="str">
        <f>IF(AND(WSJAWA!$X$6&gt;=75,WSJAWA!$X$6&lt;=83.24),"P","")</f>
        <v/>
      </c>
      <c r="XP22" s="102" t="str">
        <f>IF(AND(WSJAWA!$X$6&gt;=83.25,WSJAWA!$X$6&lt;=91.4),"P","")</f>
        <v/>
      </c>
      <c r="XQ22" s="102" t="str">
        <f>IF(AND(WSJAWA!$X$6&gt;=91.5,WSJAWA!$X$6&lt;=100),"P","")</f>
        <v>P</v>
      </c>
      <c r="XR22" t="str">
        <f>IF(WSJAWA!$X$14&lt;74.9,"P","")</f>
        <v/>
      </c>
      <c r="XS22" s="102" t="str">
        <f>IF(AND(WSJAWA!$X$14&gt;=75,WSJAWA!$X$14&lt;=83.24),"P","")</f>
        <v/>
      </c>
      <c r="XT22" s="102" t="str">
        <f>IF(AND(WSJAWA!$X$14&gt;=83.25,WSJAWA!$X$14&lt;=91.4),"P","")</f>
        <v>P</v>
      </c>
      <c r="XU22" s="102" t="str">
        <f>IF(AND(WSJAWA!$X$14&gt;=91.5,WSJAWA!$X$14&lt;=100),"P","")</f>
        <v/>
      </c>
      <c r="XV22" t="str">
        <f>IF(WSJAWA!$X$22&lt;74.9,"P","")</f>
        <v/>
      </c>
      <c r="XW22" s="102" t="str">
        <f>IF(AND(WSJAWA!$X$22&gt;=75,WSJAWA!$X$22&lt;=83.24),"P","")</f>
        <v/>
      </c>
      <c r="XX22" s="102" t="str">
        <f>IF(AND(WSJAWA!$X$22&gt;=83.25,WSJAWA!$X$22&lt;=91.4),"P","")</f>
        <v>P</v>
      </c>
      <c r="XY22" s="102" t="str">
        <f>IF(AND(WSJAWA!$X$22&gt;=91.5,WSJAWA!$X$22&lt;=100),"P","")</f>
        <v/>
      </c>
      <c r="XZ22" t="str">
        <f>IF(WSJAWA!$X$30&lt;74.9,"P","")</f>
        <v/>
      </c>
      <c r="YA22" s="102" t="str">
        <f>IF(AND(WSJAWA!$X$30&gt;=75,WSJAWA!$X$30&lt;=83.24),"P","")</f>
        <v/>
      </c>
      <c r="YB22" s="102" t="str">
        <f>IF(AND(WSJAWA!$X$30&gt;=83.25,WSJAWA!$X$30&lt;=91.4),"P","")</f>
        <v/>
      </c>
      <c r="YC22" s="102" t="str">
        <f>IF(AND(WSJAWA!$X$30&gt;=91.5,WSJAWA!$X$30&lt;=100),"P","")</f>
        <v>P</v>
      </c>
      <c r="YD22" t="str">
        <f>IF(WSJAWA!$X$38&lt;74.9,"P","")</f>
        <v/>
      </c>
      <c r="YE22" s="102" t="str">
        <f>IF(AND(WSJAWA!$X$38&gt;=75,WSJAWA!$X$38&lt;=83.24),"P","")</f>
        <v/>
      </c>
      <c r="YF22" s="102" t="str">
        <f>IF(AND(WSJAWA!$X$38&gt;=83.25,WSJAWA!$X$38&lt;=91.4),"P","")</f>
        <v/>
      </c>
      <c r="YG22" s="102" t="str">
        <f>IF(AND(WSJAWA!$X$38&gt;=91.5,WSJAWA!$X$38&lt;=100),"P","")</f>
        <v>P</v>
      </c>
      <c r="YH22" t="str">
        <f>IF(WSJAWA!$X$46&lt;74.9,"P","")</f>
        <v/>
      </c>
      <c r="YI22" s="102" t="str">
        <f>IF(AND(WSJAWA!$X$46&gt;=75,WSJAWA!$X$46&lt;=83.24),"P","")</f>
        <v>P</v>
      </c>
      <c r="YJ22" s="102" t="str">
        <f>IF(AND(WSJAWA!$X$46&gt;=83.25,WSJAWA!$X$46&lt;=91.4),"P","")</f>
        <v/>
      </c>
      <c r="YK22" s="102" t="str">
        <f>IF(AND(WSJAWA!$X$46&gt;=91.5,WSJAWA!$X$46&lt;=100),"P","")</f>
        <v/>
      </c>
      <c r="YL22" t="str">
        <f>IF(WSJAWA!$X$54&lt;74.9,"P","")</f>
        <v/>
      </c>
      <c r="YM22" s="102" t="str">
        <f>IF(AND(WSJAWA!$X$54&gt;=75,WSJAWA!$X$54&lt;=83.24),"P","")</f>
        <v/>
      </c>
      <c r="YN22" s="102" t="str">
        <f>IF(AND(WSJAWA!$X$54&gt;=83.25,WSJAWA!$X$54&lt;=91.4),"P","")</f>
        <v/>
      </c>
      <c r="YO22" s="102" t="str">
        <f>IF(AND(WSJAWA!$X$54&gt;=91.5,WSJAWA!$X$54&lt;=100),"P","")</f>
        <v>P</v>
      </c>
      <c r="YP22" t="str">
        <f>IF(WSJAWA!$X$62&lt;74.9,"P","")</f>
        <v/>
      </c>
      <c r="YQ22" s="102" t="str">
        <f>IF(AND(WSJAWA!$X$62&gt;=75,WSJAWA!$X$62&lt;=83.24),"P","")</f>
        <v/>
      </c>
      <c r="YR22" s="102" t="str">
        <f>IF(AND(WSJAWA!$X$62&gt;=83.25,WSJAWA!$X$62&lt;=91.4),"P","")</f>
        <v/>
      </c>
      <c r="YS22" s="102" t="str">
        <f>IF(AND(WSJAWA!$X$62&gt;=91.5,WSJAWA!$X$62&lt;=100),"P","")</f>
        <v>P</v>
      </c>
      <c r="YT22" t="str">
        <f>IF(WSJAWA!$X$70&lt;74.9,"P","")</f>
        <v/>
      </c>
      <c r="YU22" s="102" t="str">
        <f>IF(AND(WSJAWA!$X$70&gt;=75,WSJAWA!$X$70&lt;=83.24),"P","")</f>
        <v/>
      </c>
      <c r="YV22" s="102" t="str">
        <f>IF(AND(WSJAWA!$X$70&gt;=83.25,WSJAWA!$X$70&lt;=91.4),"P","")</f>
        <v/>
      </c>
      <c r="YW22" s="102" t="str">
        <f>IF(AND(WSJAWA!$X$70&gt;=91.5,WSJAWA!$X$70&lt;=100),"P","")</f>
        <v/>
      </c>
      <c r="YX22" t="str">
        <f>IF(WSJAWA!$X$78&lt;74.9,"P","")</f>
        <v/>
      </c>
      <c r="YY22" s="102" t="str">
        <f>IF(AND(WSJAWA!$X$78&gt;=75,WSJAWA!$X$78&lt;=83.24),"P","")</f>
        <v/>
      </c>
      <c r="YZ22" s="102" t="str">
        <f>IF(AND(WSJAWA!$X$78&gt;=83.25,WSJAWA!$X$78&lt;=91.4),"P","")</f>
        <v/>
      </c>
      <c r="ZA22" s="102" t="str">
        <f>IF(AND(WSJAWA!$X$78&gt;=91.5,WSJAWA!$X$78&lt;=100),"P","")</f>
        <v/>
      </c>
      <c r="ZB22" t="str">
        <f>IF(WSJAWA!$X$86&lt;74.9,"P","")</f>
        <v/>
      </c>
      <c r="ZC22" s="102" t="str">
        <f>IF(AND(WSJAWA!$X$86&gt;=75,WSJAWA!$X$86&lt;=83.24),"P","")</f>
        <v/>
      </c>
      <c r="ZD22" s="102" t="str">
        <f>IF(AND(WSJAWA!$X$86&gt;=83.25,WSJAWA!$X$86&lt;=91.4),"P","")</f>
        <v/>
      </c>
      <c r="ZE22" s="102" t="str">
        <f>IF(AND(WSJAWA!$X$86&gt;=91.5,WSJAWA!$X$86&lt;=100),"P","")</f>
        <v/>
      </c>
      <c r="ZF22" t="str">
        <f>IF(WSJAWA!$X$94&lt;74.9,"P","")</f>
        <v/>
      </c>
      <c r="ZG22" s="102" t="str">
        <f>IF(AND(WSJAWA!$X$94&gt;=75,WSJAWA!$X$94&lt;=83.24),"P","")</f>
        <v/>
      </c>
      <c r="ZH22" s="102" t="str">
        <f>IF(AND(WSJAWA!$X$94&gt;=83.25,WSJAWA!$X$94&lt;=91.4),"P","")</f>
        <v/>
      </c>
      <c r="ZI22" s="102" t="str">
        <f>IF(AND(WSJAWA!$X$94&gt;=91.5,WSJAWA!$X$94&lt;=100),"P","")</f>
        <v/>
      </c>
      <c r="ZJ22" t="str">
        <f>IF(WSJAWA!$X$102&lt;74.9,"P","")</f>
        <v/>
      </c>
      <c r="ZK22" s="102" t="str">
        <f>IF(AND(WSJAWA!$X$102&gt;=75,WSJAWA!$X$102&lt;=83.24),"P","")</f>
        <v/>
      </c>
      <c r="ZL22" s="102" t="str">
        <f>IF(AND(WSJAWA!$X$102&gt;=83.25,WSJAWA!$X$102&lt;=91.4),"P","")</f>
        <v/>
      </c>
      <c r="ZM22" s="102" t="str">
        <f>IF(AND(WSJAWA!$X$102&gt;=91.5,WSJAWA!$X$102&lt;=100),"P","")</f>
        <v/>
      </c>
      <c r="ZN22" t="str">
        <f>IF(WSING!$X$6&lt;74.9,"P","")</f>
        <v/>
      </c>
      <c r="ZO22" s="102" t="str">
        <f>IF(AND(WSING!$X$6&gt;=75,WSING!$X$6&lt;=83.24),"P","")</f>
        <v/>
      </c>
      <c r="ZP22" s="102" t="str">
        <f>IF(AND(WSING!$X$6&gt;=83.25,WSING!$X$6&lt;=91.4),"P","")</f>
        <v/>
      </c>
      <c r="ZQ22" s="102" t="str">
        <f>IF(AND(WSING!$X$6&gt;=91.5,WSING!$X$6&lt;=100),"P","")</f>
        <v>P</v>
      </c>
      <c r="ZR22" t="str">
        <f>IF(WSING!$X$15&lt;74.9,"P","")</f>
        <v/>
      </c>
      <c r="ZS22" s="102" t="str">
        <f>IF(AND(WSING!$X$15&gt;=75,WSING!$X$15&lt;=83.24),"P","")</f>
        <v/>
      </c>
      <c r="ZT22" s="102" t="str">
        <f>IF(AND(WSING!$X$15&gt;=83.25,WSING!$X$15&lt;=91.4),"P","")</f>
        <v/>
      </c>
      <c r="ZU22" s="102" t="str">
        <f>IF(AND(WSING!$X$15&gt;=91.5,WSING!$X$15&lt;=100),"P","")</f>
        <v>P</v>
      </c>
      <c r="ZV22" t="str">
        <f>IF(WSING!$X$24&lt;74.9,"P","")</f>
        <v/>
      </c>
      <c r="ZW22" s="102" t="str">
        <f>IF(AND(WSING!$X$24&gt;=75,WSING!$X$24&lt;=83.24),"P","")</f>
        <v/>
      </c>
      <c r="ZX22" s="102" t="str">
        <f>IF(AND(WSING!$X$24&gt;=83.25,WSING!$X$24&lt;=91.4),"P","")</f>
        <v>P</v>
      </c>
      <c r="ZY22" s="102" t="str">
        <f>IF(AND(WSING!$X$24&gt;=91.5,WSING!$X$24&lt;=100),"P","")</f>
        <v/>
      </c>
      <c r="ZZ22" t="str">
        <f>IF(WSING!$X$33&lt;74.9,"P","")</f>
        <v/>
      </c>
      <c r="AAA22" s="102" t="str">
        <f>IF(AND(WSING!$X$33&gt;=75,WSING!$X$33&lt;=83.24),"P","")</f>
        <v/>
      </c>
      <c r="AAB22" s="102" t="str">
        <f>IF(AND(WSING!$X$33&gt;=83.25,WSING!$X$33&lt;=91.4),"P","")</f>
        <v>P</v>
      </c>
      <c r="AAC22" s="102" t="str">
        <f>IF(AND(WSING!$X$33&gt;=91.5,WSING!$X$33&lt;=100),"P","")</f>
        <v/>
      </c>
      <c r="AAD22" t="str">
        <f>IF(WSING!$X$42&lt;74.9,"P","")</f>
        <v/>
      </c>
      <c r="AAE22" s="102" t="str">
        <f>IF(AND(WSING!$X$42&gt;=75,WSING!$X$42&lt;=83.24),"P","")</f>
        <v/>
      </c>
      <c r="AAF22" s="102" t="str">
        <f>IF(AND(WSING!$X$42&gt;=83.25,WSING!$X$42&lt;=91.4),"P","")</f>
        <v/>
      </c>
      <c r="AAG22" s="102" t="str">
        <f>IF(AND(WSING!$X$42&gt;=91.5,WSING!$X$42&lt;=100),"P","")</f>
        <v/>
      </c>
      <c r="AAH22" t="str">
        <f>IF(WSING!$X$50&lt;74.9,"P","")</f>
        <v/>
      </c>
      <c r="AAI22" s="102" t="str">
        <f>IF(AND(WSING!$X$50&gt;=75,WSING!$X$50&lt;=83.24),"P","")</f>
        <v/>
      </c>
      <c r="AAJ22" s="102" t="str">
        <f>IF(AND(WSING!$X$50&gt;=83.25,WSING!$X$50&lt;=91.4),"P","")</f>
        <v/>
      </c>
      <c r="AAK22" s="102" t="str">
        <f>IF(AND(WSING!$X$50&gt;=91.5,WSING!$X$50&lt;=100),"P","")</f>
        <v/>
      </c>
      <c r="AAL22" t="str">
        <f>IF(WSING!$X$58&lt;74.9,"P","")</f>
        <v/>
      </c>
      <c r="AAM22" s="102" t="str">
        <f>IF(AND(WSING!$X$58&gt;=75,WSING!$X$58&lt;=83.24),"P","")</f>
        <v/>
      </c>
      <c r="AAN22" s="102" t="str">
        <f>IF(AND(WSING!$X$58&gt;=83.25,WSING!$X$58&lt;=91.4),"P","")</f>
        <v/>
      </c>
      <c r="AAO22" s="102" t="str">
        <f>IF(AND(WSING!$X$58&gt;=91.5,WSING!$X$58&lt;=100),"P","")</f>
        <v/>
      </c>
      <c r="AAP22" t="str">
        <f>IF(WSING!$X$66&lt;74.9,"P","")</f>
        <v/>
      </c>
      <c r="AAQ22" s="102" t="str">
        <f>IF(AND(WSING!$X$66&gt;=75,WSING!$X$66&lt;=83.24),"P","")</f>
        <v/>
      </c>
      <c r="AAR22" s="102" t="str">
        <f>IF(AND(WSING!$X$66&gt;=83.25,WSING!$X$66&lt;=91.4),"P","")</f>
        <v/>
      </c>
      <c r="AAS22" s="102" t="str">
        <f>IF(AND(WSING!$X$66&gt;=91.5,WSING!$X$66&lt;=100),"P","")</f>
        <v/>
      </c>
      <c r="AAT22" t="str">
        <f>IF(WSING!$X$74&lt;74.9,"P","")</f>
        <v/>
      </c>
      <c r="AAU22" s="102" t="str">
        <f>IF(AND(WSING!$X$74&gt;=75,WSING!$X$74&lt;=83.24),"P","")</f>
        <v/>
      </c>
      <c r="AAV22" s="102" t="str">
        <f>IF(AND(WSING!$X$74&gt;=83.25,WSING!$X$74&lt;=91.4),"P","")</f>
        <v/>
      </c>
      <c r="AAW22" s="102" t="str">
        <f>IF(AND(WSING!$X$74&gt;=91.5,WSING!$X$74&lt;=100),"P","")</f>
        <v/>
      </c>
      <c r="AAX22" t="str">
        <f>IF(WSING!$X$82&lt;74.9,"P","")</f>
        <v/>
      </c>
      <c r="AAY22" s="102" t="str">
        <f>IF(AND(WSING!$X$82&gt;=75,WSING!$X$82&lt;=83.24),"P","")</f>
        <v/>
      </c>
      <c r="AAZ22" s="102" t="str">
        <f>IF(AND(WSING!$X$82&gt;=83.25,WSING!$X$82&lt;=91.4),"P","")</f>
        <v/>
      </c>
      <c r="ABA22" s="102" t="str">
        <f>IF(AND(WSING!$X$82&gt;=91.5,WSING!$X$82&lt;=100),"P","")</f>
        <v/>
      </c>
      <c r="ABB22" t="str">
        <f>IF(WSING!$X$90&lt;74.9,"P","")</f>
        <v/>
      </c>
      <c r="ABC22" s="102" t="str">
        <f>IF(AND(WSING!$X$90&gt;=75,WSING!$X$90&lt;=83.24),"P","")</f>
        <v/>
      </c>
      <c r="ABD22" s="102" t="str">
        <f>IF(AND(WSING!$X$90&gt;=83.25,WSING!$X$90&lt;=91.4),"P","")</f>
        <v/>
      </c>
      <c r="ABE22" s="102" t="str">
        <f>IF(AND(WSING!$X$90&gt;=91.5,WSING!$X$90&lt;=100),"P","")</f>
        <v/>
      </c>
      <c r="ABF22" t="str">
        <f>IF(WSING!$X$98&lt;74.9,"P","")</f>
        <v/>
      </c>
      <c r="ABG22" s="102" t="str">
        <f>IF(AND(WSING!$X$98&gt;=75,WSING!$X$98&lt;=83.24),"P","")</f>
        <v/>
      </c>
      <c r="ABH22" s="102" t="str">
        <f>IF(AND(WSING!$X$98&gt;=83.25,WSING!$X$98&lt;=91.4),"P","")</f>
        <v/>
      </c>
      <c r="ABI22" s="102" t="str">
        <f>IF(AND(WSING!$X$98&gt;=91.5,WSING!$X$98&lt;=100),"P","")</f>
        <v/>
      </c>
      <c r="ABJ22" t="str">
        <f>IF(WSING!$X$106&lt;74.9,"P","")</f>
        <v/>
      </c>
      <c r="ABK22" s="102" t="str">
        <f>IF(AND(WSING!$X$106&gt;=75,WSING!$X$106&lt;=83.24),"P","")</f>
        <v/>
      </c>
      <c r="ABL22" s="102" t="str">
        <f>IF(AND(WSING!$X$106&gt;=83.25,WSING!$X$106&lt;=91.4),"P","")</f>
        <v/>
      </c>
      <c r="ABM22" s="102" t="str">
        <f>IF(AND(WSING!$X$106&gt;=91.5,WSING!$X$106&lt;=100),"P","")</f>
        <v/>
      </c>
      <c r="ABN22" t="str">
        <f>IF(WSTIK!$X$6&lt;74.9,"P","")</f>
        <v/>
      </c>
      <c r="ABO22" s="102" t="str">
        <f>IF(AND(WSTIK!$X$6&gt;=75,WSTIK!$X$6&lt;=83.24),"P","")</f>
        <v/>
      </c>
      <c r="ABP22" s="102" t="str">
        <f>IF(AND(WSTIK!$X$6&gt;=83.25,WSTIK!$X$6&lt;=91.4),"P","")</f>
        <v/>
      </c>
      <c r="ABQ22" s="102" t="str">
        <f>IF(AND(WSTIK!$X$6&gt;=91.5,WSTIK!$X$6&lt;=100),"P","")</f>
        <v/>
      </c>
      <c r="ABR22" t="str">
        <f>IF(WSTIK!$X$14&lt;74.9,"P","")</f>
        <v/>
      </c>
      <c r="ABS22" s="102" t="str">
        <f>IF(AND(WSTIK!$X$14&gt;=75,WSTIK!$X$14&lt;=83.24),"P","")</f>
        <v/>
      </c>
      <c r="ABT22" s="102" t="str">
        <f>IF(AND(WSTIK!$X$14&gt;=83.25,WSTIK!$X$14&lt;=91.4),"P","")</f>
        <v/>
      </c>
      <c r="ABU22" s="102" t="str">
        <f>IF(AND(WSTIK!$X$14&gt;=91.5,WSTIK!$X$14&lt;=100),"P","")</f>
        <v/>
      </c>
      <c r="ABV22" t="str">
        <f>IF(WSTIK!$X$22&lt;74.9,"P","")</f>
        <v/>
      </c>
      <c r="ABW22" s="102" t="str">
        <f>IF(AND(WSTIK!$X$22&gt;=75,WSTIK!$X$22&lt;=83.24),"P","")</f>
        <v/>
      </c>
      <c r="ABX22" s="102" t="str">
        <f>IF(AND(WSTIK!$X$22&gt;=83.25,WSTIK!$X$22&lt;=91.4),"P","")</f>
        <v/>
      </c>
      <c r="ABY22" s="102" t="str">
        <f>IF(AND(WSTIK!$X$22&gt;=91.5,WSTIK!$X$22&lt;=100),"P","")</f>
        <v/>
      </c>
      <c r="ABZ22" t="str">
        <f>IF(WSTIK!$X$30&lt;74.9,"P","")</f>
        <v/>
      </c>
      <c r="ACA22" s="102" t="str">
        <f>IF(AND(WSTIK!$X$30&gt;=75,WSTIK!$X$30&lt;=83.24),"P","")</f>
        <v/>
      </c>
      <c r="ACB22" s="102" t="str">
        <f>IF(AND(WSTIK!$X$30&gt;=83.25,WSTIK!$X$30&lt;=91.4),"P","")</f>
        <v/>
      </c>
      <c r="ACC22" s="102" t="str">
        <f>IF(AND(WSTIK!$X$30&gt;=91.5,WSTIK!$X$30&lt;=100),"P","")</f>
        <v/>
      </c>
      <c r="ACD22" t="str">
        <f>IF(WSTIK!$X$38&lt;74.9,"P","")</f>
        <v/>
      </c>
      <c r="ACE22" s="102" t="str">
        <f>IF(AND(WSTIK!$X$38&gt;=75,WSTIK!$X$38&lt;=83.24),"P","")</f>
        <v/>
      </c>
      <c r="ACF22" s="102" t="str">
        <f>IF(AND(WSTIK!$X$38&gt;=83.25,WSTIK!$X$38&lt;=91.4),"P","")</f>
        <v/>
      </c>
      <c r="ACG22" s="102" t="str">
        <f>IF(AND(WSTIK!$X$38&gt;=91.5,WSTIK!$X$38&lt;=100),"P","")</f>
        <v/>
      </c>
      <c r="ACH22" t="str">
        <f>IF(WSTIK!$X$46&lt;74.9,"P","")</f>
        <v/>
      </c>
      <c r="ACI22" s="102" t="str">
        <f>IF(AND(WSTIK!$X$46&gt;=75,WSTIK!$X$46&lt;=83.24),"P","")</f>
        <v/>
      </c>
      <c r="ACJ22" s="102" t="str">
        <f>IF(AND(WSTIK!$X$46&gt;=83.25,WSTIK!$X$46&lt;=91.4),"P","")</f>
        <v/>
      </c>
      <c r="ACK22" s="102" t="str">
        <f>IF(AND(WSTIK!$X$46&gt;=91.5,WSTIK!$X$46&lt;=100),"P","")</f>
        <v/>
      </c>
      <c r="ACL22" t="str">
        <f>IF(WSTIK!$X$54&lt;74.9,"P","")</f>
        <v/>
      </c>
      <c r="ACM22" s="102" t="str">
        <f>IF(AND(WSTIK!$X$54&gt;=75,WSTIK!$X$54&lt;=83.24),"P","")</f>
        <v/>
      </c>
      <c r="ACN22" s="102" t="str">
        <f>IF(AND(WSTIK!$X$54&gt;=83.25,WSTIK!$X$54&lt;=91.4),"P","")</f>
        <v/>
      </c>
      <c r="ACO22" s="102" t="str">
        <f>IF(AND(WSTIK!$X$54&gt;=91.5,WSTIK!$X$54&lt;=100),"P","")</f>
        <v/>
      </c>
      <c r="ACP22" t="str">
        <f>IF(WSTIK!$X$62&lt;74.9,"P","")</f>
        <v/>
      </c>
      <c r="ACQ22" s="102" t="str">
        <f>IF(AND(WSTIK!$X$62&gt;=75,WSTIK!$X$62&lt;=83.24),"P","")</f>
        <v/>
      </c>
      <c r="ACR22" s="102" t="str">
        <f>IF(AND(WSTIK!$X$62&gt;=83.25,WSTIK!$X$62&lt;=91.4),"P","")</f>
        <v/>
      </c>
      <c r="ACS22" s="102" t="str">
        <f>IF(AND(WSTIK!$X$62&gt;=91.5,WSTIK!$X$62&lt;=100),"P","")</f>
        <v/>
      </c>
      <c r="ACT22" t="str">
        <f>IF(WSTIK!$X$70&lt;74.9,"P","")</f>
        <v/>
      </c>
      <c r="ACU22" s="102" t="str">
        <f>IF(AND(WSTIK!$X$70&gt;=75,WSTIK!$X$70&lt;=83.24),"P","")</f>
        <v/>
      </c>
      <c r="ACV22" s="102" t="str">
        <f>IF(AND(WSTIK!$X$70&gt;=83.25,WSTIK!$X$70&lt;=91.4),"P","")</f>
        <v/>
      </c>
      <c r="ACW22" s="102" t="str">
        <f>IF(AND(WSTIK!$X$70&gt;=91.5,WSTIK!$X$70&lt;=100),"P","")</f>
        <v/>
      </c>
      <c r="ACX22" t="str">
        <f>IF(WSTIK!$X$78&lt;74.9,"P","")</f>
        <v/>
      </c>
      <c r="ACY22" s="102" t="str">
        <f>IF(AND(WSTIK!$X$78&gt;=75,WSTIK!$X$78&lt;=83.24),"P","")</f>
        <v/>
      </c>
      <c r="ACZ22" s="102" t="str">
        <f>IF(AND(WSTIK!$X$78&gt;=83.25,WSTIK!$X$78&lt;=91.4),"P","")</f>
        <v/>
      </c>
      <c r="ADA22" s="102" t="str">
        <f>IF(AND(WSTIK!$X$78&gt;=91.5,WSTIK!$X$78&lt;=100),"P","")</f>
        <v/>
      </c>
      <c r="ADB22" t="str">
        <f>IF(WSTIK!$X$86&lt;74.9,"P","")</f>
        <v/>
      </c>
      <c r="ADC22" s="102" t="str">
        <f>IF(AND(WSTIK!$X$86&gt;=75,WSTIK!$X$86&lt;=83.24),"P","")</f>
        <v/>
      </c>
      <c r="ADD22" s="102" t="str">
        <f>IF(AND(WSTIK!$X$86&gt;=83.25,WSTIK!$X$86&lt;=91.4),"P","")</f>
        <v/>
      </c>
      <c r="ADE22" s="102" t="str">
        <f>IF(AND(WSTIK!$X$86&gt;=91.5,WSTIK!$X$86&lt;=100),"P","")</f>
        <v/>
      </c>
      <c r="ADF22" t="str">
        <f>IF(WSTIK!$X$94&lt;74.9,"P","")</f>
        <v/>
      </c>
      <c r="ADG22" s="102" t="str">
        <f>IF(AND(WSTIK!$X$94&gt;=75,WSTIK!$X$94&lt;=83.24),"P","")</f>
        <v/>
      </c>
      <c r="ADH22" s="102" t="str">
        <f>IF(AND(WSTIK!$X$94&gt;=83.25,WSTIK!$X$94&lt;=91.4),"P","")</f>
        <v/>
      </c>
      <c r="ADI22" s="102" t="str">
        <f>IF(AND(WSTIK!$X$94&gt;=91.5,WSTIK!$X$94&lt;=100),"P","")</f>
        <v/>
      </c>
      <c r="ADJ22" t="str">
        <f>IF(WSTIK!$X$102&lt;74.9,"P","")</f>
        <v/>
      </c>
      <c r="ADK22" s="102" t="str">
        <f>IF(AND(WSTIK!$X$102&gt;=75,WSTIK!$X$102&lt;=83.24),"P","")</f>
        <v/>
      </c>
      <c r="ADL22" s="102" t="str">
        <f>IF(AND(WSTIK!$X$102&gt;=83.25,WSTIK!$X$102&lt;=91.4),"P","")</f>
        <v/>
      </c>
      <c r="ADM22" s="102" t="str">
        <f>IF(AND(WSTIK!$X$102&gt;=91.5,WSTIK!$X$102&lt;=100),"P","")</f>
        <v/>
      </c>
      <c r="ADN22" t="str">
        <f>IF(WSASWAJA!$X$6&lt;74.9,"P","")</f>
        <v/>
      </c>
      <c r="ADO22" s="102" t="str">
        <f>IF(AND(WSASWAJA!$X$6&gt;=75,WSASWAJA!$X$6&lt;=83.24),"P","")</f>
        <v/>
      </c>
      <c r="ADP22" s="102" t="str">
        <f>IF(AND(WSASWAJA!$X$6&gt;=83.25,WSASWAJA!$X$6&lt;=91.4),"P","")</f>
        <v/>
      </c>
      <c r="ADQ22" s="102" t="str">
        <f>IF(AND(WSASWAJA!$X$6&gt;=91.5,WSASWAJA!$X$6&lt;=100),"P","")</f>
        <v/>
      </c>
      <c r="ADR22" t="str">
        <f>IF(WSASWAJA!$X$14&lt;74.9,"P","")</f>
        <v/>
      </c>
      <c r="ADS22" s="102" t="str">
        <f>IF(AND(WSASWAJA!$X$14&gt;=75,WSASWAJA!$X$14&lt;=83.24),"P","")</f>
        <v/>
      </c>
      <c r="ADT22" s="102" t="str">
        <f>IF(AND(WSASWAJA!$X$14&gt;=83.25,WSASWAJA!$X$14&lt;=91.4),"P","")</f>
        <v/>
      </c>
      <c r="ADU22" s="102" t="str">
        <f>IF(AND(WSASWAJA!$X$14&gt;=91.5,WSASWAJA!$X$14&lt;=100),"P","")</f>
        <v/>
      </c>
      <c r="ADV22" t="str">
        <f>IF(WSASWAJA!$X$22&lt;74.9,"P","")</f>
        <v/>
      </c>
      <c r="ADW22" s="102" t="str">
        <f>IF(AND(WSASWAJA!$X$22&gt;=75,WSASWAJA!$X$22&lt;=83.24),"P","")</f>
        <v/>
      </c>
      <c r="ADX22" s="102" t="str">
        <f>IF(AND(WSASWAJA!$X$22&gt;=83.25,WSASWAJA!$X$22&lt;=91.4),"P","")</f>
        <v/>
      </c>
      <c r="ADY22" s="102" t="str">
        <f>IF(AND(WSASWAJA!$X$22&gt;=91.5,WSASWAJA!$X$22&lt;=100),"P","")</f>
        <v/>
      </c>
      <c r="ADZ22" t="str">
        <f>IF(WSASWAJA!$X$30&lt;74.9,"P","")</f>
        <v/>
      </c>
      <c r="AEA22" s="102" t="str">
        <f>IF(AND(WSASWAJA!$X$30&gt;=75,WSASWAJA!$X$30&lt;=83.24),"P","")</f>
        <v/>
      </c>
      <c r="AEB22" s="102" t="str">
        <f>IF(AND(WSASWAJA!$X$30&gt;=83.25,WSASWAJA!$X$30&lt;=91.4),"P","")</f>
        <v/>
      </c>
      <c r="AEC22" s="102" t="str">
        <f>IF(AND(WSASWAJA!$X$30&gt;=91.5,WSASWAJA!$X$30&lt;=100),"P","")</f>
        <v/>
      </c>
      <c r="AED22" t="str">
        <f>IF(WSASWAJA!$X$38&lt;74.9,"P","")</f>
        <v/>
      </c>
      <c r="AEE22" s="102" t="str">
        <f>IF(AND(WSASWAJA!$X$38&gt;=75,WSASWAJA!$X$38&lt;=83.24),"P","")</f>
        <v/>
      </c>
      <c r="AEF22" s="102" t="str">
        <f>IF(AND(WSASWAJA!$X$38&gt;=83.25,WSASWAJA!$X$38&lt;=91.4),"P","")</f>
        <v/>
      </c>
      <c r="AEG22" s="102" t="str">
        <f>IF(AND(WSASWAJA!$X$38&gt;=91.5,WSASWAJA!$X$38&lt;=100),"P","")</f>
        <v/>
      </c>
      <c r="AEH22" t="str">
        <f>IF(WSASWAJA!$X$46&lt;74.9,"P","")</f>
        <v/>
      </c>
      <c r="AEI22" s="102" t="str">
        <f>IF(AND(WSASWAJA!$X$46&gt;=75,WSASWAJA!$X$46&lt;=83.24),"P","")</f>
        <v/>
      </c>
      <c r="AEJ22" s="102" t="str">
        <f>IF(AND(WSASWAJA!$X$46&gt;=83.25,WSASWAJA!$X$46&lt;=91.4),"P","")</f>
        <v/>
      </c>
      <c r="AEK22" s="102" t="str">
        <f>IF(AND(WSASWAJA!$X$46&gt;=91.5,WSASWAJA!$X$46&lt;=100),"P","")</f>
        <v/>
      </c>
      <c r="AEL22" t="str">
        <f>IF(WSASWAJA!$X$54&lt;74.9,"P","")</f>
        <v/>
      </c>
      <c r="AEM22" s="102" t="str">
        <f>IF(AND(WSASWAJA!$X$54&gt;=75,WSASWAJA!$X$54&lt;=83.24),"P","")</f>
        <v/>
      </c>
      <c r="AEN22" s="102" t="str">
        <f>IF(AND(WSASWAJA!$X$54&gt;=83.25,WSASWAJA!$X$54&lt;=91.4),"P","")</f>
        <v/>
      </c>
      <c r="AEO22" s="102" t="str">
        <f>IF(AND(WSASWAJA!$X$54&gt;=91.5,WSASWAJA!$X$54&lt;=100),"P","")</f>
        <v/>
      </c>
      <c r="AEP22" t="str">
        <f>IF(WSASWAJA!$X$62&lt;74.9,"P","")</f>
        <v/>
      </c>
      <c r="AEQ22" s="102" t="str">
        <f>IF(AND(WSASWAJA!$X$62&gt;=75,WSASWAJA!$X$62&lt;=83.24),"P","")</f>
        <v/>
      </c>
      <c r="AER22" s="102" t="str">
        <f>IF(AND(WSASWAJA!$X$62&gt;=83.25,WSASWAJA!$X$62&lt;=91.4),"P","")</f>
        <v/>
      </c>
      <c r="AES22" s="102" t="str">
        <f>IF(AND(WSASWAJA!$X$62&gt;=91.5,WSASWAJA!$X$62&lt;=100),"P","")</f>
        <v/>
      </c>
      <c r="AET22" t="str">
        <f>IF(WSASWAJA!$X$70&lt;74.9,"P","")</f>
        <v/>
      </c>
      <c r="AEU22" s="102" t="str">
        <f>IF(AND(WSASWAJA!$X$70&gt;=75,WSASWAJA!$X$70&lt;=83.24),"P","")</f>
        <v/>
      </c>
      <c r="AEV22" s="102" t="str">
        <f>IF(AND(WSASWAJA!$X$70&gt;=83.25,WSASWAJA!$X$70&lt;=91.4),"P","")</f>
        <v/>
      </c>
      <c r="AEW22" s="102" t="str">
        <f>IF(AND(WSASWAJA!$X$70&gt;=91.5,WSASWAJA!$X$70&lt;=100),"P","")</f>
        <v/>
      </c>
      <c r="AEX22" t="str">
        <f>IF(WSASWAJA!$X$78&lt;74.9,"P","")</f>
        <v/>
      </c>
      <c r="AEY22" s="102" t="str">
        <f>IF(AND(WSASWAJA!$X$78&gt;=75,WSASWAJA!$X$78&lt;=83.24),"P","")</f>
        <v/>
      </c>
      <c r="AEZ22" s="102" t="str">
        <f>IF(AND(WSASWAJA!$X$78&gt;=83.25,WSASWAJA!$X$78&lt;=91.4),"P","")</f>
        <v/>
      </c>
      <c r="AFA22" s="102" t="str">
        <f>IF(AND(WSASWAJA!$X$78&gt;=91.5,WSASWAJA!$X$78&lt;=100),"P","")</f>
        <v/>
      </c>
      <c r="AFB22" t="str">
        <f>IF(WSASWAJA!$X$86&lt;74.9,"P","")</f>
        <v/>
      </c>
      <c r="AFC22" s="102" t="str">
        <f>IF(AND(WSASWAJA!$X$86&gt;=75,WSASWAJA!$X$86&lt;=83.24),"P","")</f>
        <v/>
      </c>
      <c r="AFD22" s="102" t="str">
        <f>IF(AND(WSASWAJA!$X$86&gt;=83.25,WSASWAJA!$X$86&lt;=91.4),"P","")</f>
        <v/>
      </c>
      <c r="AFE22" s="102" t="str">
        <f>IF(AND(WSASWAJA!$X$86&gt;=91.5,WSASWAJA!$X$86&lt;=100),"P","")</f>
        <v/>
      </c>
      <c r="AFF22" t="str">
        <f>IF(WSASWAJA!$X$94&lt;74.9,"P","")</f>
        <v/>
      </c>
      <c r="AFG22" s="102" t="str">
        <f>IF(AND(WSASWAJA!$X$94&gt;=75,WSASWAJA!$X$94&lt;=83.24),"P","")</f>
        <v/>
      </c>
      <c r="AFH22" s="102" t="str">
        <f>IF(AND(WSASWAJA!$X$94&gt;=83.25,WSASWAJA!$X$94&lt;=91.4),"P","")</f>
        <v/>
      </c>
      <c r="AFI22" s="102" t="str">
        <f>IF(AND(WSASWAJA!$X$94&gt;=91.5,WSASWAJA!$X$94&lt;=100),"P","")</f>
        <v/>
      </c>
      <c r="AFJ22" t="str">
        <f>IF(WSASWAJA!$X$102&lt;74.9,"P","")</f>
        <v/>
      </c>
      <c r="AFK22" s="102" t="str">
        <f>IF(AND(WSASWAJA!$X$102&gt;=75,WSASWAJA!$X$102&lt;=83.24),"P","")</f>
        <v/>
      </c>
      <c r="AFL22" s="102" t="str">
        <f>IF(AND(WSASWAJA!$X$102&gt;=83.25,WSASWAJA!$X$102&lt;=91.4),"P","")</f>
        <v/>
      </c>
      <c r="AFM22" s="102" t="str">
        <f>IF(AND(WSASWAJA!$X$102&gt;=91.5,WSASWAJA!$X$102&lt;=100),"P","")</f>
        <v/>
      </c>
    </row>
    <row r="23" spans="1:845" ht="20.100000000000001" customHeight="1">
      <c r="A23">
        <v>21</v>
      </c>
      <c r="B23" t="str">
        <f>IF(WSALQURAN!$Y$6&lt;74.9,"P","")</f>
        <v/>
      </c>
      <c r="C23" s="102" t="str">
        <f>IF(AND(WSALQURAN!$Y$6&gt;=75,WSALQURAN!$Y$6&lt;=83.24),"P","")</f>
        <v/>
      </c>
      <c r="D23" s="102" t="str">
        <f>IF(AND(WSALQURAN!$Y$6&gt;=83.25,WSALQURAN!$Y$6&lt;=91.4),"P","")</f>
        <v/>
      </c>
      <c r="E23" s="102" t="str">
        <f>IF(AND(WSALQURAN!$Y$6&gt;=91.5,WSALQURAN!$Y$6&lt;=100),"P","")</f>
        <v>P</v>
      </c>
      <c r="F23" t="str">
        <f>IF(WSALQURAN!$Y$14&lt;74.9,"P","")</f>
        <v/>
      </c>
      <c r="G23" s="102" t="str">
        <f>IF(AND(WSALQURAN!$Y$14&gt;=75,WSALQURAN!$Y$14&lt;=83.24),"P","")</f>
        <v/>
      </c>
      <c r="H23" s="102" t="str">
        <f>IF(AND(WSALQURAN!$Y$14&gt;=83.25,WSALQURAN!$Y$14&lt;=91.4),"P","")</f>
        <v/>
      </c>
      <c r="I23" s="102" t="str">
        <f>IF(AND(WSALQURAN!$Y$14&gt;=91.5,WSALQURAN!$Y$14&lt;=100),"P","")</f>
        <v>P</v>
      </c>
      <c r="J23" t="str">
        <f>IF(WSALQURAN!$Y$22&lt;74.9,"P","")</f>
        <v/>
      </c>
      <c r="K23" s="102" t="str">
        <f>IF(AND(WSALQURAN!$Y$22&gt;=75,WSALQURAN!$Y$22&lt;=83.24),"P","")</f>
        <v>P</v>
      </c>
      <c r="L23" s="102" t="str">
        <f>IF(AND(WSALQURAN!$Y$22&gt;=83.25,WSALQURAN!$Y$22&lt;=91.4),"P","")</f>
        <v/>
      </c>
      <c r="M23" s="102" t="str">
        <f>IF(AND(WSALQURAN!$Y$22&gt;=91.5,WSALQURAN!$Y$22&lt;=100),"P","")</f>
        <v/>
      </c>
      <c r="N23" t="str">
        <f>IF(WSALQURAN!$Y$30&lt;74.9,"P","")</f>
        <v/>
      </c>
      <c r="O23" s="102" t="str">
        <f>IF(AND(WSALQURAN!$Y$30&gt;=75,WSALQURAN!$Y$30&lt;=83.24),"P","")</f>
        <v/>
      </c>
      <c r="P23" s="102" t="str">
        <f>IF(AND(WSALQURAN!$Y$30&gt;=83.25,WSALQURAN!$Y$30&lt;=91.4),"P","")</f>
        <v/>
      </c>
      <c r="Q23" s="102" t="str">
        <f>IF(AND(WSALQURAN!$Y$30&gt;=91.5,WSALQURAN!$Y$30&lt;=100),"P","")</f>
        <v>P</v>
      </c>
      <c r="R23" t="str">
        <f>IF(WSALQURAN!$Y$38&lt;74.9,"P","")</f>
        <v/>
      </c>
      <c r="S23" s="102" t="str">
        <f>IF(AND(WSALQURAN!$Y$38&gt;=75,WSALQURAN!$Y$38&lt;=83.24),"P","")</f>
        <v/>
      </c>
      <c r="T23" s="102" t="str">
        <f>IF(AND(WSALQURAN!$Y$38&gt;=83.25,WSALQURAN!$Y$38&lt;=91.4),"P","")</f>
        <v/>
      </c>
      <c r="U23" s="102" t="str">
        <f>IF(AND(WSALQURAN!$Y$38&gt;=91.5,WSALQURAN!$Y$38&lt;=100),"P","")</f>
        <v>P</v>
      </c>
      <c r="V23" t="str">
        <f>IF(WSALQURAN!$Y$46&lt;74.9,"P","")</f>
        <v/>
      </c>
      <c r="W23" s="102" t="str">
        <f>IF(AND(WSALQURAN!$Y$46&gt;=75,WSALQURAN!$Y$46&lt;=83.24),"P","")</f>
        <v/>
      </c>
      <c r="X23" s="102" t="str">
        <f>IF(AND(WSALQURAN!$Y$46&gt;=83.25,WSALQURAN!$Y$46&lt;=91.4),"P","")</f>
        <v/>
      </c>
      <c r="Y23" s="102" t="str">
        <f>IF(AND(WSALQURAN!$Y$46&gt;=91.5,WSALQURAN!$Y$46&lt;=100),"P","")</f>
        <v>P</v>
      </c>
      <c r="Z23" t="str">
        <f>IF(WSALQURAN!$Y$54&lt;74.9,"P","")</f>
        <v/>
      </c>
      <c r="AA23" s="102" t="str">
        <f>IF(AND(WSALQURAN!$Y$54&gt;=75,WSALQURAN!$Y$54&lt;=83.24),"P","")</f>
        <v/>
      </c>
      <c r="AB23" s="102" t="str">
        <f>IF(AND(WSALQURAN!$Y$54&gt;=83.25,WSALQURAN!$Y$54&lt;=91.4),"P","")</f>
        <v/>
      </c>
      <c r="AC23" s="102" t="str">
        <f>IF(AND(WSALQURAN!$Y$54&gt;=91.5,WSALQURAN!$Y$54&lt;=100),"P","")</f>
        <v>P</v>
      </c>
      <c r="AD23" t="str">
        <f>IF(WSALQURAN!$Y$62&lt;74.9,"P","")</f>
        <v/>
      </c>
      <c r="AE23" s="102" t="str">
        <f>IF(AND(WSALQURAN!$Y$62&gt;=75,WSALQURAN!$Y$62&lt;=83.24),"P","")</f>
        <v/>
      </c>
      <c r="AF23" s="102" t="str">
        <f>IF(AND(WSALQURAN!$Y$62&gt;=83.25,WSALQURAN!$Y$62&lt;=91.4),"P","")</f>
        <v/>
      </c>
      <c r="AG23" s="102" t="str">
        <f>IF(AND(WSALQURAN!$Y$62&gt;=91.5,WSALQURAN!$Y$62&lt;=100),"P","")</f>
        <v/>
      </c>
      <c r="AH23" t="str">
        <f>IF(WSALQURAN!$Y$70&lt;74.9,"P","")</f>
        <v/>
      </c>
      <c r="AI23" s="102" t="str">
        <f>IF(AND(WSALQURAN!$Y$70&gt;=75,WSALQURAN!$Y$70&lt;=83.24),"P","")</f>
        <v/>
      </c>
      <c r="AJ23" s="102" t="str">
        <f>IF(AND(WSALQURAN!$Y$70&gt;=83.25,WSALQURAN!$Y$70&lt;=91.4),"P","")</f>
        <v/>
      </c>
      <c r="AK23" s="102" t="str">
        <f>IF(AND(WSALQURAN!$Y$70&gt;=91.5,WSALQURAN!$Y$70&lt;=100),"P","")</f>
        <v/>
      </c>
      <c r="AL23" t="str">
        <f>IF(WSALQURAN!$Y$78&lt;74.9,"P","")</f>
        <v/>
      </c>
      <c r="AM23" s="102" t="str">
        <f>IF(AND(WSALQURAN!$Y$78&gt;=75,WSALQURAN!$Y$78&lt;=83.24),"P","")</f>
        <v/>
      </c>
      <c r="AN23" s="102" t="str">
        <f>IF(AND(WSALQURAN!$Y$78&gt;=83.25,WSALQURAN!$Y$78&lt;=91.4),"P","")</f>
        <v/>
      </c>
      <c r="AO23" s="102" t="str">
        <f>IF(AND(WSALQURAN!$Y$78&gt;=91.5,WSALQURAN!$Y$78&lt;=100),"P","")</f>
        <v/>
      </c>
      <c r="AP23" t="str">
        <f>IF(WSALQURAN!$Y$86&lt;74.9,"P","")</f>
        <v/>
      </c>
      <c r="AQ23" s="102" t="str">
        <f>IF(AND(WSALQURAN!$Y$86&gt;=75,WSALQURAN!$Y$86&lt;=83.24),"P","")</f>
        <v/>
      </c>
      <c r="AR23" s="102" t="str">
        <f>IF(AND(WSALQURAN!$Y$86&gt;=83.25,WSALQURAN!$Y$86&lt;=91.4),"P","")</f>
        <v/>
      </c>
      <c r="AS23" s="102" t="str">
        <f>IF(AND(WSALQURAN!$Y$86&gt;=91.5,WSALQURAN!$Y$86&lt;=100),"P","")</f>
        <v/>
      </c>
      <c r="AT23" t="str">
        <f>IF(WSALQURAN!$Y$94&lt;74.9,"P","")</f>
        <v/>
      </c>
      <c r="AU23" s="102" t="str">
        <f>IF(AND(WSALQURAN!$Y$94&gt;=75,WSALQURAN!$Y$94&lt;=83.24),"P","")</f>
        <v/>
      </c>
      <c r="AV23" s="102" t="str">
        <f>IF(AND(WSALQURAN!$Y$94&gt;=83.25,WSALQURAN!$Y$94&lt;=91.4),"P","")</f>
        <v/>
      </c>
      <c r="AW23" s="102" t="str">
        <f>IF(AND(WSALQURAN!$Y$94&gt;=91.5,WSALQURAN!$Y$94&lt;=100),"P","")</f>
        <v/>
      </c>
      <c r="AX23" t="str">
        <f>IF(WSALQURAN!$Y$102&lt;74.9,"P","")</f>
        <v/>
      </c>
      <c r="AY23" s="102" t="str">
        <f>IF(AND(WSALQURAN!$Y$102&gt;=75,WSALQURAN!$Y$102&lt;=83.24),"P","")</f>
        <v/>
      </c>
      <c r="AZ23" s="102" t="str">
        <f>IF(AND(WSALQURAN!$Y$102&gt;=83.25,WSALQURAN!$Y$102&lt;=91.4),"P","")</f>
        <v/>
      </c>
      <c r="BA23" s="102" t="str">
        <f>IF(AND(WSALQURAN!$Y$102&gt;=91.5,WSALQURAN!$Y$102&lt;=100),"P","")</f>
        <v/>
      </c>
      <c r="BB23" t="str">
        <f>IF(WSAQIDAH!$Y$6&lt;74.9,"P","")</f>
        <v/>
      </c>
      <c r="BC23" s="102" t="str">
        <f>IF(AND(WSAQIDAH!$Y$6&gt;=75,WSAQIDAH!$Y$6&lt;=83.24),"P","")</f>
        <v/>
      </c>
      <c r="BD23" s="102" t="str">
        <f>IF(AND(WSAQIDAH!$Y$6&gt;=83.25,WSAQIDAH!$Y$6&lt;=91.4),"P","")</f>
        <v>P</v>
      </c>
      <c r="BE23" s="102" t="str">
        <f>IF(AND(WSAQIDAH!$Y$6&gt;=91.5,WSAQIDAH!$Y$6&lt;=100),"P","")</f>
        <v/>
      </c>
      <c r="BF23" t="str">
        <f>IF(WSAQIDAH!$Y$14&lt;74.9,"P","")</f>
        <v/>
      </c>
      <c r="BG23" s="102" t="str">
        <f>IF(AND(WSAQIDAH!$Y$14&gt;=75,WSAQIDAH!$Y$14&lt;=83.24),"P","")</f>
        <v/>
      </c>
      <c r="BH23" s="102" t="str">
        <f>IF(AND(WSAQIDAH!$Y$14&gt;=83.25,WSAQIDAH!$Y$14&lt;=91.4),"P","")</f>
        <v/>
      </c>
      <c r="BI23" s="102" t="str">
        <f>IF(AND(WSAQIDAH!$Y$14&gt;=91.5,WSAQIDAH!$Y$14&lt;=100),"P","")</f>
        <v>P</v>
      </c>
      <c r="BJ23" t="str">
        <f>IF(WSAQIDAH!$Y$22&lt;74.9,"P","")</f>
        <v/>
      </c>
      <c r="BK23" s="102" t="str">
        <f>IF(AND(WSAQIDAH!$Y$22&gt;=75,WSAQIDAH!$Y$22&lt;=83.24),"P","")</f>
        <v/>
      </c>
      <c r="BL23" s="102" t="str">
        <f>IF(AND(WSAQIDAH!$Y$22&gt;=83.25,WSAQIDAH!$Y$22&lt;=91.4),"P","")</f>
        <v/>
      </c>
      <c r="BM23" s="102" t="str">
        <f>IF(AND(WSAQIDAH!$Y$22&gt;=91.5,WSAQIDAH!$Y$22&lt;=100),"P","")</f>
        <v>P</v>
      </c>
      <c r="BN23" t="str">
        <f>IF(WSAQIDAH!$Y$30&lt;74.9,"P","")</f>
        <v/>
      </c>
      <c r="BO23" s="102" t="str">
        <f>IF(AND(WSAQIDAH!$Y$30&gt;=75,WSAQIDAH!$Y$30&lt;=83.24),"P","")</f>
        <v/>
      </c>
      <c r="BP23" s="102" t="str">
        <f>IF(AND(WSAQIDAH!$Y$30&gt;=83.25,WSAQIDAH!$Y$30&lt;=91.4),"P","")</f>
        <v/>
      </c>
      <c r="BQ23" s="102" t="str">
        <f>IF(AND(WSAQIDAH!$Y$30&gt;=91.5,WSAQIDAH!$Y$30&lt;=100),"P","")</f>
        <v>P</v>
      </c>
      <c r="BR23" t="str">
        <f>IF(WSAQIDAH!$Y$38&lt;74.9,"P","")</f>
        <v/>
      </c>
      <c r="BS23" s="102" t="str">
        <f>IF(AND(WSAQIDAH!$Y$38&gt;=75,WSAQIDAH!$Y$38&lt;=83.24),"P","")</f>
        <v/>
      </c>
      <c r="BT23" s="102" t="str">
        <f>IF(AND(WSAQIDAH!$Y$38&gt;=83.25,WSAQIDAH!$Y$38&lt;=91.4),"P","")</f>
        <v/>
      </c>
      <c r="BU23" s="102" t="str">
        <f>IF(AND(WSAQIDAH!$Y$38&gt;=91.5,WSAQIDAH!$Y$38&lt;=100),"P","")</f>
        <v>P</v>
      </c>
      <c r="BV23" t="str">
        <f>IF(WSAQIDAH!$Y$46&lt;74.9,"P","")</f>
        <v/>
      </c>
      <c r="BW23" s="102" t="str">
        <f>IF(AND(WSAQIDAH!$Y$46&gt;=75,WSAQIDAH!$Y$46&lt;=83.24),"P","")</f>
        <v/>
      </c>
      <c r="BX23" s="102" t="str">
        <f>IF(AND(WSAQIDAH!$Y$46&gt;=83.25,WSAQIDAH!$Y$46&lt;=91.4),"P","")</f>
        <v>P</v>
      </c>
      <c r="BY23" s="102" t="str">
        <f>IF(AND(WSAQIDAH!$Y$46&gt;=91.5,WSAQIDAH!$Y$46&lt;=100),"P","")</f>
        <v/>
      </c>
      <c r="BZ23" t="str">
        <f>IF(WSAQIDAH!$Y$54&lt;74.9,"P","")</f>
        <v/>
      </c>
      <c r="CA23" s="102" t="str">
        <f>IF(AND(WSAQIDAH!$Y$54&gt;=75,WSAQIDAH!$Y$54&lt;=83.24),"P","")</f>
        <v/>
      </c>
      <c r="CB23" s="102" t="str">
        <f>IF(AND(WSAQIDAH!$Y$54&gt;=83.25,WSAQIDAH!$Y$54&lt;=91.4),"P","")</f>
        <v/>
      </c>
      <c r="CC23" s="102" t="str">
        <f>IF(AND(WSAQIDAH!$Y$54&gt;=91.5,WSAQIDAH!$Y$54&lt;=100),"P","")</f>
        <v>P</v>
      </c>
      <c r="CD23" t="str">
        <f>IF(WSAQIDAH!$Y$62&lt;74.9,"P","")</f>
        <v/>
      </c>
      <c r="CE23" s="102" t="str">
        <f>IF(AND(WSAQIDAH!$Y$62&gt;=75,WSAQIDAH!$Y$62&lt;=83.24),"P","")</f>
        <v>P</v>
      </c>
      <c r="CF23" s="102" t="str">
        <f>IF(AND(WSAQIDAH!$Y$62&gt;=83.25,WSAQIDAH!$Y$62&lt;=91.4),"P","")</f>
        <v/>
      </c>
      <c r="CG23" s="102" t="str">
        <f>IF(AND(WSAQIDAH!$Y$62&gt;=91.5,WSAQIDAH!$Y$62&lt;=100),"P","")</f>
        <v/>
      </c>
      <c r="CH23" t="str">
        <f>IF(WSAQIDAH!$Y$70&lt;74.9,"P","")</f>
        <v/>
      </c>
      <c r="CI23" s="102" t="str">
        <f>IF(AND(WSAQIDAH!$Y$70&gt;=75,WSAQIDAH!$Y$70&lt;=83.24),"P","")</f>
        <v>P</v>
      </c>
      <c r="CJ23" s="102" t="str">
        <f>IF(AND(WSAQIDAH!$Y$70&gt;=83.25,WSAQIDAH!$Y$70&lt;=91.4),"P","")</f>
        <v/>
      </c>
      <c r="CK23" s="102" t="str">
        <f>IF(AND(WSAQIDAH!$Y$70&gt;=91.5,WSAQIDAH!$Y$70&lt;=100),"P","")</f>
        <v/>
      </c>
      <c r="CL23" t="str">
        <f>IF(WSAQIDAH!$Y$78&lt;74.9,"P","")</f>
        <v/>
      </c>
      <c r="CM23" s="102" t="str">
        <f>IF(AND(WSAQIDAH!$Y$78&gt;=75,WSAQIDAH!$Y$78&lt;=83.24),"P","")</f>
        <v>P</v>
      </c>
      <c r="CN23" s="102" t="str">
        <f>IF(AND(WSAQIDAH!$Y$78&gt;=83.25,WSAQIDAH!$Y$78&lt;=91.4),"P","")</f>
        <v/>
      </c>
      <c r="CO23" s="102" t="str">
        <f>IF(AND(WSAQIDAH!$Y$78&gt;=91.5,WSAQIDAH!$Y$78&lt;=100),"P","")</f>
        <v/>
      </c>
      <c r="CP23" t="str">
        <f>IF(WSAQIDAH!$Y$86&lt;74.9,"P","")</f>
        <v/>
      </c>
      <c r="CQ23" s="102" t="str">
        <f>IF(AND(WSAQIDAH!$Y$86&gt;=75,WSAQIDAH!$Y$86&lt;=83.24),"P","")</f>
        <v/>
      </c>
      <c r="CR23" s="102" t="str">
        <f>IF(AND(WSAQIDAH!$Y$86&gt;=83.25,WSAQIDAH!$Y$86&lt;=91.4),"P","")</f>
        <v/>
      </c>
      <c r="CS23" s="102" t="str">
        <f>IF(AND(WSAQIDAH!$Y$86&gt;=91.5,WSAQIDAH!$Y$86&lt;=100),"P","")</f>
        <v/>
      </c>
      <c r="CT23" t="str">
        <f>IF(WSAQIDAH!$Y$94&lt;74.9,"P","")</f>
        <v/>
      </c>
      <c r="CU23" s="102" t="str">
        <f>IF(AND(WSAQIDAH!$Y$94&gt;=75,WSAQIDAH!$Y$94&lt;=83.24),"P","")</f>
        <v/>
      </c>
      <c r="CV23" s="102" t="str">
        <f>IF(AND(WSAQIDAH!$Y$94&gt;=83.25,WSAQIDAH!$Y$94&lt;=91.4),"P","")</f>
        <v/>
      </c>
      <c r="CW23" s="102" t="str">
        <f>IF(AND(WSAQIDAH!$Y$94&gt;=91.5,WSAQIDAH!$Y$94&lt;=100),"P","")</f>
        <v/>
      </c>
      <c r="CX23" t="str">
        <f>IF(WSAQIDAH!$Y$102&lt;74.9,"P","")</f>
        <v/>
      </c>
      <c r="CY23" s="102" t="str">
        <f>IF(AND(WSAQIDAH!$Y$102&gt;=75,WSAQIDAH!$Y$102&lt;=83.24),"P","")</f>
        <v/>
      </c>
      <c r="CZ23" s="102" t="str">
        <f>IF(AND(WSAQIDAH!$Y$102&gt;=83.25,WSAQIDAH!$Y$102&lt;=91.4),"P","")</f>
        <v/>
      </c>
      <c r="DA23" s="102" t="str">
        <f>IF(AND(WSAQIDAH!$Y$102&gt;=91.5,WSAQIDAH!$Y$102&lt;=100),"P","")</f>
        <v/>
      </c>
      <c r="DB23" t="str">
        <f>IF(WSSKI!$Y$6&lt;74.9,"P","")</f>
        <v/>
      </c>
      <c r="DC23" s="102" t="str">
        <f>IF(AND(WSSKI!$Y$6&gt;=75,WSSKI!$Y$6&lt;=83.24),"P","")</f>
        <v/>
      </c>
      <c r="DD23" s="102" t="str">
        <f>IF(AND(WSSKI!$Y$6&gt;=83.25,WSSKI!$Y$6&lt;=91.4),"P","")</f>
        <v/>
      </c>
      <c r="DE23" s="102" t="str">
        <f>IF(AND(WSSKI!$Y$6&gt;=91.5,WSSKI!$Y$6&lt;=100),"P","")</f>
        <v>P</v>
      </c>
      <c r="DF23" t="str">
        <f>IF(WSSKI!$Y$14&lt;74.9,"P","")</f>
        <v/>
      </c>
      <c r="DG23" s="102" t="str">
        <f>IF(AND(WSSKI!$Y$14&gt;=75,WSSKI!$Y$14&lt;=83.24),"P","")</f>
        <v/>
      </c>
      <c r="DH23" s="102" t="str">
        <f>IF(AND(WSSKI!$Y$14&gt;=83.25,WSSKI!$Y$14&lt;=91.4),"P","")</f>
        <v/>
      </c>
      <c r="DI23" s="102" t="str">
        <f>IF(AND(WSSKI!$Y$14&gt;=91.5,WSSKI!$Y$14&lt;=100),"P","")</f>
        <v>P</v>
      </c>
      <c r="DJ23" t="str">
        <f>IF(WSSKI!$Y$23&lt;74.9,"P","")</f>
        <v/>
      </c>
      <c r="DK23" s="102" t="str">
        <f>IF(AND(WSSKI!$Y$23&gt;=75,WSSKI!$Y$23&lt;=83.24),"P","")</f>
        <v/>
      </c>
      <c r="DL23" s="102" t="str">
        <f>IF(AND(WSSKI!$Y$23&gt;=83.25,WSSKI!$Y$23&lt;=91.4),"P","")</f>
        <v>P</v>
      </c>
      <c r="DM23" s="102" t="str">
        <f>IF(AND(WSSKI!$Y$23&gt;=91.5,WSSKI!$Y$23&lt;=100),"P","")</f>
        <v/>
      </c>
      <c r="DN23" t="str">
        <f>IF(WSSKI!$Y$31&lt;74.9,"P","")</f>
        <v/>
      </c>
      <c r="DO23" s="102" t="str">
        <f>IF(AND(WSSKI!$Y$31&gt;=75,WSSKI!$Y$31&lt;=83.24),"P","")</f>
        <v>P</v>
      </c>
      <c r="DP23" s="102" t="str">
        <f>IF(AND(WSSKI!$Y$31&gt;=83.25,WSSKI!$Y$31&lt;=91.4),"P","")</f>
        <v/>
      </c>
      <c r="DQ23" s="102" t="str">
        <f>IF(AND(WSSKI!$Y$31&gt;=91.5,WSSKI!$Y$31&lt;=100),"P","")</f>
        <v/>
      </c>
      <c r="DR23" t="str">
        <f>IF(WSSKI!$Y$40&lt;74.9,"P","")</f>
        <v/>
      </c>
      <c r="DS23" s="102" t="str">
        <f>IF(AND(WSSKI!$Y$40&gt;=75,WSSKI!$Y$40&lt;=83.24),"P","")</f>
        <v/>
      </c>
      <c r="DT23" s="102" t="str">
        <f>IF(AND(WSSKI!$Y$40&gt;=83.25,WSSKI!$Y$40&lt;=91.4),"P","")</f>
        <v/>
      </c>
      <c r="DU23" s="102" t="str">
        <f>IF(AND(WSSKI!$Y$40&gt;=91.5,WSSKI!$Y$40&lt;=100),"P","")</f>
        <v>P</v>
      </c>
      <c r="DV23" t="str">
        <f>IF(WSSKI!$Y$48&lt;74.9,"P","")</f>
        <v/>
      </c>
      <c r="DW23" s="102" t="str">
        <f>IF(AND(WSSKI!$Y$48&gt;=75,WSSKI!$Y$48&lt;=83.24),"P","")</f>
        <v>P</v>
      </c>
      <c r="DX23" s="102" t="str">
        <f>IF(AND(WSSKI!$Y$48&gt;=83.25,WSSKI!$Y$48&lt;=91.4),"P","")</f>
        <v/>
      </c>
      <c r="DY23" s="102" t="str">
        <f>IF(AND(WSSKI!$Y$48&gt;=91.5,WSSKI!$Y$48&lt;=100),"P","")</f>
        <v/>
      </c>
      <c r="DZ23" t="str">
        <f>IF(WSSKI!$Y$56&lt;74.9,"P","")</f>
        <v/>
      </c>
      <c r="EA23" s="102" t="str">
        <f>IF(AND(WSSKI!$Y$56&gt;=75,WSSKI!$Y$56&lt;=83.24),"P","")</f>
        <v/>
      </c>
      <c r="EB23" s="102" t="str">
        <f>IF(AND(WSSKI!$Y$56&gt;=83.25,WSSKI!$Y$56&lt;=91.4),"P","")</f>
        <v/>
      </c>
      <c r="EC23" s="102" t="str">
        <f>IF(AND(WSSKI!$Y$56&gt;=91.5,WSSKI!$Y$56&lt;=100),"P","")</f>
        <v/>
      </c>
      <c r="ED23" t="str">
        <f>IF(WSSKI!$Y$64&lt;74.9,"P","")</f>
        <v/>
      </c>
      <c r="EE23" s="102" t="str">
        <f>IF(AND(WSSKI!$Y$64&gt;=75,WSSKI!$Y$64&lt;=83.24),"P","")</f>
        <v/>
      </c>
      <c r="EF23" s="102" t="str">
        <f>IF(AND(WSSKI!$Y$64&gt;=83.25,WSSKI!$Y$64&lt;=91.4),"P","")</f>
        <v/>
      </c>
      <c r="EG23" s="102" t="str">
        <f>IF(AND(WSSKI!$Y$64&gt;=91.5,WSSKI!$Y$64&lt;=100),"P","")</f>
        <v/>
      </c>
      <c r="EH23" t="str">
        <f>IF(WSSKI!$Y$72&lt;74.9,"P","")</f>
        <v/>
      </c>
      <c r="EI23" s="102" t="str">
        <f>IF(AND(WSSKI!$Y$72&gt;=75,WSSKI!$Y$72&lt;=83.24),"P","")</f>
        <v/>
      </c>
      <c r="EJ23" s="102" t="str">
        <f>IF(AND(WSSKI!$Y$72&gt;=83.25,WSSKI!$Y$72&lt;=91.4),"P","")</f>
        <v/>
      </c>
      <c r="EK23" s="102" t="str">
        <f>IF(AND(WSSKI!$Y$72&gt;=91.5,WSSKI!$Y$72&lt;=100),"P","")</f>
        <v/>
      </c>
      <c r="EL23" t="str">
        <f>IF(WSSKI!$Y$80&lt;74.9,"P","")</f>
        <v/>
      </c>
      <c r="EM23" s="102" t="str">
        <f>IF(AND(WSSKI!$Y$80&gt;=75,WSSKI!$Y$80&lt;=83.24),"P","")</f>
        <v/>
      </c>
      <c r="EN23" s="102" t="str">
        <f>IF(AND(WSSKI!$Y$80&gt;=83.25,WSSKI!$Y$80&lt;=91.4),"P","")</f>
        <v/>
      </c>
      <c r="EO23" s="102" t="str">
        <f>IF(AND(WSSKI!$Y$80&gt;=91.5,WSSKI!$Y$80&lt;=100),"P","")</f>
        <v/>
      </c>
      <c r="EP23" t="str">
        <f>IF(WSSKI!$Y$88&lt;74.9,"P","")</f>
        <v/>
      </c>
      <c r="EQ23" s="102" t="str">
        <f>IF(AND(WSSKI!$Y$88&gt;=75,WSSKI!$Y$88&lt;=83.24),"P","")</f>
        <v/>
      </c>
      <c r="ER23" s="102" t="str">
        <f>IF(AND(WSSKI!$Y$88&gt;=83.25,WSSKI!$Y$88&lt;=91.4),"P","")</f>
        <v/>
      </c>
      <c r="ES23" s="102" t="str">
        <f>IF(AND(WSSKI!$Y$88&gt;=91.5,WSSKI!$Y$88&lt;=100),"P","")</f>
        <v/>
      </c>
      <c r="ET23" t="str">
        <f>IF(WSSKI!$Y$96&lt;74.9,"P","")</f>
        <v/>
      </c>
      <c r="EU23" s="102" t="str">
        <f>IF(AND(WSSKI!$Y$96&gt;=75,WSSKI!$Y$96&lt;=83.24),"P","")</f>
        <v/>
      </c>
      <c r="EV23" s="102" t="str">
        <f>IF(AND(WSSKI!$Y$96&gt;=83.25,WSSKI!$Y$96&lt;=91.4),"P","")</f>
        <v/>
      </c>
      <c r="EW23" s="102" t="str">
        <f>IF(AND(WSSKI!$Y$96&gt;=91.5,WSSKI!$Y$96&lt;=100),"P","")</f>
        <v/>
      </c>
      <c r="EX23" t="str">
        <f>IF(WSSKI!$Y$104&lt;74.9,"P","")</f>
        <v/>
      </c>
      <c r="EY23" s="102" t="str">
        <f>IF(AND(WSSKI!$Y$104&gt;=75,WSSKI!$Y$104&lt;=83.24),"P","")</f>
        <v/>
      </c>
      <c r="EZ23" s="102" t="str">
        <f>IF(AND(WSSKI!$Y$104&gt;=83.25,WSSKI!$Y$104&lt;=91.4),"P","")</f>
        <v/>
      </c>
      <c r="FA23" s="102" t="str">
        <f>IF(AND(WSSKI!$Y$104&gt;=91.5,WSSKI!$Y$104&lt;=100),"P","")</f>
        <v/>
      </c>
      <c r="FB23" t="str">
        <f>IF(WSFIQIH!$Y$6&lt;74.9,"P","")</f>
        <v/>
      </c>
      <c r="FC23" s="102" t="str">
        <f>IF(AND(WSFIQIH!$Y$6&gt;=75,WSFIQIH!$Y$6&lt;=83.24),"P","")</f>
        <v/>
      </c>
      <c r="FD23" s="102" t="str">
        <f>IF(AND(WSFIQIH!$Y$6&gt;=83.25,WSFIQIH!$Y$6&lt;=91.4),"P","")</f>
        <v/>
      </c>
      <c r="FE23" s="102" t="str">
        <f>IF(AND(WSFIQIH!$Y$6&gt;=91.5,WSFIQIH!$Y$6&lt;=100),"P","")</f>
        <v>P</v>
      </c>
      <c r="FF23" t="str">
        <f>IF(WSFIQIH!$Y$19&lt;74.9,"P","")</f>
        <v/>
      </c>
      <c r="FG23" s="102" t="str">
        <f>IF(AND(WSFIQIH!$Y$19&gt;=75,WSFIQIH!$Y$19&lt;=83.24),"P","")</f>
        <v/>
      </c>
      <c r="FH23" s="102" t="str">
        <f>IF(AND(WSFIQIH!$Y$19&gt;=83.25,WSFIQIH!$Y$19&lt;=91.4),"P","")</f>
        <v>P</v>
      </c>
      <c r="FI23" s="102" t="str">
        <f>IF(AND(WSFIQIH!$Y$19&gt;=91.5,WSFIQIH!$Y$19&lt;=100),"P","")</f>
        <v/>
      </c>
      <c r="FJ23" t="str">
        <f>IF(WSFIQIH!$Y$28&lt;74.9,"P","")</f>
        <v/>
      </c>
      <c r="FK23" s="102" t="str">
        <f>IF(AND(WSFIQIH!$Y$28&gt;=75,WSFIQIH!$Y$28&lt;=83.24),"P","")</f>
        <v/>
      </c>
      <c r="FL23" s="102" t="str">
        <f>IF(AND(WSFIQIH!$Y$28&gt;=83.25,WSFIQIH!$Y$28&lt;=91.4),"P","")</f>
        <v>P</v>
      </c>
      <c r="FM23" s="102" t="str">
        <f>IF(AND(WSFIQIH!$Y$28&gt;=91.5,WSFIQIH!$Y$28&lt;=100),"P","")</f>
        <v/>
      </c>
      <c r="FN23" t="str">
        <f>IF(WSFIQIH!$Y$41&lt;74.9,"P","")</f>
        <v/>
      </c>
      <c r="FO23" s="102" t="str">
        <f>IF(AND(WSFIQIH!$Y$41&gt;=75,WSFIQIH!$Y$41&lt;=83.24),"P","")</f>
        <v/>
      </c>
      <c r="FP23" s="102" t="str">
        <f>IF(AND(WSFIQIH!$Y$41&gt;=83.25,WSFIQIH!$Y$41&lt;=91.4),"P","")</f>
        <v/>
      </c>
      <c r="FQ23" s="102" t="str">
        <f>IF(AND(WSFIQIH!$Y$41&gt;=91.5,WSFIQIH!$Y$41&lt;=100),"P","")</f>
        <v>P</v>
      </c>
      <c r="FR23" t="str">
        <f>IF(WSFIQIH!$Y$49&lt;74.9,"P","")</f>
        <v/>
      </c>
      <c r="FS23" s="102" t="str">
        <f>IF(AND(WSFIQIH!$Y$49&gt;=75,WSFIQIH!$Y$49&lt;=83.24),"P","")</f>
        <v>P</v>
      </c>
      <c r="FT23" s="102" t="str">
        <f>IF(AND(WSFIQIH!$Y$49&gt;=83.25,WSFIQIH!$Y$49&lt;=91.4),"P","")</f>
        <v/>
      </c>
      <c r="FU23" s="102" t="str">
        <f>IF(AND(WSFIQIH!$Y$49&gt;=91.5,WSFIQIH!$Y$49&lt;=100),"P","")</f>
        <v/>
      </c>
      <c r="FV23" t="str">
        <f>IF(WSFIQIH!$Y$62&lt;74.9,"P","")</f>
        <v/>
      </c>
      <c r="FW23" s="102" t="str">
        <f>IF(AND(WSFIQIH!$Y$62&gt;=75,WSFIQIH!$Y$62&lt;=83.24),"P","")</f>
        <v/>
      </c>
      <c r="FX23" s="102" t="str">
        <f>IF(AND(WSFIQIH!$Y$62&gt;=83.25,WSFIQIH!$Y$62&lt;=91.4),"P","")</f>
        <v>P</v>
      </c>
      <c r="FY23" s="102" t="str">
        <f>IF(AND(WSFIQIH!$Y$62&gt;=91.5,WSFIQIH!$Y$62&lt;=100),"P","")</f>
        <v/>
      </c>
      <c r="FZ23" t="str">
        <f>IF(WSFIQIH!$Y$71&lt;74.9,"P","")</f>
        <v/>
      </c>
      <c r="GA23" s="102" t="str">
        <f>IF(AND(WSFIQIH!$Y$71&gt;=75,WSFIQIH!$Y$71&lt;=83.24),"P","")</f>
        <v/>
      </c>
      <c r="GB23" s="102" t="str">
        <f>IF(AND(WSFIQIH!$Y$71&gt;=83.25,WSFIQIH!$Y$71&lt;=91.4),"P","")</f>
        <v>P</v>
      </c>
      <c r="GC23" s="102" t="str">
        <f>IF(AND(WSFIQIH!$Y$71&gt;=91.5,WSFIQIH!$Y$71&lt;=100),"P","")</f>
        <v/>
      </c>
      <c r="GD23" t="str">
        <f>IF(WSFIQIH!$Y$80&lt;74.9,"P","")</f>
        <v/>
      </c>
      <c r="GE23" s="102" t="str">
        <f>IF(AND(WSFIQIH!$Y$80&gt;=75,WSFIQIH!$Y$80&lt;=83.24),"P","")</f>
        <v/>
      </c>
      <c r="GF23" s="102" t="str">
        <f>IF(AND(WSFIQIH!$Y$80&gt;=83.25,WSFIQIH!$Y$80&lt;=91.4),"P","")</f>
        <v>P</v>
      </c>
      <c r="GG23" s="102" t="str">
        <f>IF(AND(WSFIQIH!$Y$80&gt;=91.5,WSFIQIH!$Y$80&lt;=100),"P","")</f>
        <v/>
      </c>
      <c r="GH23" t="str">
        <f>IF(WSFIQIH!$Y$88&lt;74.9,"P","")</f>
        <v/>
      </c>
      <c r="GI23" s="102" t="str">
        <f>IF(AND(WSFIQIH!$Y$88&gt;=75,WSFIQIH!$Y$88&lt;=83.24),"P","")</f>
        <v/>
      </c>
      <c r="GJ23" s="102" t="str">
        <f>IF(AND(WSFIQIH!$Y$88&gt;=83.25,WSFIQIH!$Y$88&lt;=91.4),"P","")</f>
        <v/>
      </c>
      <c r="GK23" s="102" t="str">
        <f>IF(AND(WSFIQIH!$Y$88&gt;=91.5,WSFIQIH!$Y$88&lt;=100),"P","")</f>
        <v/>
      </c>
      <c r="GL23" t="str">
        <f>IF(WSFIQIH!$Y$96&lt;74.9,"P","")</f>
        <v/>
      </c>
      <c r="GM23" s="102" t="str">
        <f>IF(AND(WSFIQIH!$Y$96&gt;=75,WSFIQIH!$Y$96&lt;=83.24),"P","")</f>
        <v/>
      </c>
      <c r="GN23" s="102" t="str">
        <f>IF(AND(WSFIQIH!$Y$96&gt;=83.25,WSFIQIH!$Y$96&lt;=91.4),"P","")</f>
        <v/>
      </c>
      <c r="GO23" s="102" t="str">
        <f>IF(AND(WSFIQIH!$Y$96&gt;=91.5,WSFIQIH!$Y$96&lt;=100),"P","")</f>
        <v/>
      </c>
      <c r="GP23" t="str">
        <f>IF(WSFIQIH!$Y$104&lt;74.9,"P","")</f>
        <v/>
      </c>
      <c r="GQ23" s="102" t="str">
        <f>IF(AND(WSFIQIH!$Y$104&gt;=75,WSFIQIH!$Y$104&lt;=83.24),"P","")</f>
        <v/>
      </c>
      <c r="GR23" s="102" t="str">
        <f>IF(AND(WSFIQIH!$Y$104&gt;=83.25,WSFIQIH!$Y$104&lt;=91.4),"P","")</f>
        <v/>
      </c>
      <c r="GS23" s="102" t="str">
        <f>IF(AND(WSFIQIH!$Y$104&gt;=91.5,WSFIQIH!$Y$104&lt;=100),"P","")</f>
        <v/>
      </c>
      <c r="GT23" t="str">
        <f>IF(WSFIQIH!$Y$112&lt;74.9,"P","")</f>
        <v/>
      </c>
      <c r="GU23" s="102" t="str">
        <f>IF(AND(WSFIQIH!$Y$112&gt;=75,WSFIQIH!$Y$112&lt;=83.24),"P","")</f>
        <v/>
      </c>
      <c r="GV23" s="102" t="str">
        <f>IF(AND(WSFIQIH!$Y$112&gt;=83.25,WSFIQIH!$Y$112&lt;=91.4),"P","")</f>
        <v/>
      </c>
      <c r="GW23" s="102" t="str">
        <f>IF(AND(WSFIQIH!$Y$112&gt;=91.5,WSFIQIH!$Y$112&lt;=100),"P","")</f>
        <v/>
      </c>
      <c r="GX23" t="str">
        <f>IF(WSFIQIH!$Y$120&lt;74.9,"P","")</f>
        <v/>
      </c>
      <c r="GY23" s="102" t="str">
        <f>IF(AND(WSFIQIH!$Y$120&gt;=75,WSFIQIH!$Y$120&lt;=83.24),"P","")</f>
        <v/>
      </c>
      <c r="GZ23" s="102" t="str">
        <f>IF(AND(WSFIQIH!$Y$120&gt;=83.25,WSFIQIH!$Y$120&lt;=91.4),"P","")</f>
        <v/>
      </c>
      <c r="HA23" s="102" t="str">
        <f>IF(AND(WSFIQIH!$Y$120&gt;=91.5,WSFIQIH!$Y$120&lt;=100),"P","")</f>
        <v/>
      </c>
      <c r="HB23" t="str">
        <f>IF(WSPKN!$Y$6&lt;74.9,"P","")</f>
        <v/>
      </c>
      <c r="HC23" s="102" t="str">
        <f>IF(AND(WSPKN!$Y$6&gt;=75,WSPKN!$Y$6&lt;=83.24),"P","")</f>
        <v/>
      </c>
      <c r="HD23" s="102" t="str">
        <f>IF(AND(WSPKN!$Y$6&gt;=83.25,WSPKN!$Y$6&lt;=91.4),"P","")</f>
        <v/>
      </c>
      <c r="HE23" s="102" t="str">
        <f>IF(AND(WSPKN!$Y$6&gt;=91.5,WSPKN!$Y$6&lt;=100),"P","")</f>
        <v>P</v>
      </c>
      <c r="HF23" t="str">
        <f>IF(WSPKN!$Y$32&lt;74.9,"P","")</f>
        <v/>
      </c>
      <c r="HG23" s="102" t="str">
        <f>IF(AND(WSPKN!$Y$32&gt;=75,WSPKN!$Y$32&lt;=83.24),"P","")</f>
        <v/>
      </c>
      <c r="HH23" s="102" t="str">
        <f>IF(AND(WSPKN!$Y$32&gt;=83.25,WSPKN!$Y$32&lt;=91.4),"P","")</f>
        <v/>
      </c>
      <c r="HI23" s="102" t="str">
        <f>IF(AND(WSPKN!$Y$32&gt;=91.5,WSPKN!$Y$32&lt;=100),"P","")</f>
        <v>P</v>
      </c>
      <c r="HJ23" t="str">
        <f>IF(WSPKN!$Y$55&lt;74.9,"P","")</f>
        <v/>
      </c>
      <c r="HK23" s="102" t="str">
        <f>IF(AND(WSPKN!$Y$55&gt;=75,WSPKN!$Y$55&lt;=83.24),"P","")</f>
        <v/>
      </c>
      <c r="HL23" s="102" t="str">
        <f>IF(AND(WSPKN!$Y$55&gt;=83.25,WSPKN!$Y$55&lt;=91.4),"P","")</f>
        <v/>
      </c>
      <c r="HM23" s="102" t="str">
        <f>IF(AND(WSPKN!$Y$55&gt;=91.5,WSPKN!$Y$55&lt;=100),"P","")</f>
        <v>P</v>
      </c>
      <c r="HN23" t="str">
        <f>IF(WSPKN!$Y$72&lt;74.9,"P","")</f>
        <v/>
      </c>
      <c r="HO23" s="102" t="str">
        <f>IF(AND(WSPKN!$Y$72&gt;=75,WSPKN!$Y$72&lt;=83.24),"P","")</f>
        <v/>
      </c>
      <c r="HP23" s="102" t="str">
        <f>IF(AND(WSPKN!$Y$72&gt;=83.25,WSPKN!$Y$72&lt;=91.4),"P","")</f>
        <v/>
      </c>
      <c r="HQ23" s="102" t="str">
        <f>IF(AND(WSPKN!$Y$72&gt;=91.5,WSPKN!$Y$72&lt;=100),"P","")</f>
        <v>P</v>
      </c>
      <c r="HR23" t="str">
        <f>IF(WSPKN!$Y$86&lt;74.9,"P","")</f>
        <v/>
      </c>
      <c r="HS23" s="102" t="str">
        <f>IF(AND(WSPKN!$Y$86&gt;=75,WSPKN!$Y$86&lt;=83.24),"P","")</f>
        <v/>
      </c>
      <c r="HT23" s="102" t="str">
        <f>IF(AND(WSPKN!$Y$86&gt;=83.25,WSPKN!$Y$86&lt;=91.4),"P","")</f>
        <v/>
      </c>
      <c r="HU23" s="102" t="str">
        <f>IF(AND(WSPKN!$Y$86&gt;=91.5,WSPKN!$Y$86&lt;=100),"P","")</f>
        <v>P</v>
      </c>
      <c r="HV23" t="str">
        <f>IF(WSPKN!$Y$108&lt;74.9,"P","")</f>
        <v/>
      </c>
      <c r="HW23" s="102" t="str">
        <f>IF(AND(WSPKN!$Y$108&gt;=75,WSPKN!$Y$108&lt;=83.24),"P","")</f>
        <v/>
      </c>
      <c r="HX23" s="102" t="str">
        <f>IF(AND(WSPKN!$Y$108&gt;=83.25,WSPKN!$Y$108&lt;=91.4),"P","")</f>
        <v/>
      </c>
      <c r="HY23" s="102" t="str">
        <f>IF(AND(WSPKN!$Y$108&gt;=91.5,WSPKN!$Y$108&lt;=100),"P","")</f>
        <v>P</v>
      </c>
      <c r="HZ23" t="str">
        <f>IF(WSPKN!$Y$132&lt;74.9,"P","")</f>
        <v/>
      </c>
      <c r="IA23" s="102" t="str">
        <f>IF(AND(WSPKN!$Y$132&gt;=75,WSPKN!$Y$132&lt;=83.24),"P","")</f>
        <v/>
      </c>
      <c r="IB23" s="102" t="str">
        <f>IF(AND(WSPKN!$Y$132&gt;=83.25,WSPKN!$Y$132&lt;=91.4),"P","")</f>
        <v/>
      </c>
      <c r="IC23" s="102" t="str">
        <f>IF(AND(WSPKN!$Y$132&gt;=91.5,WSPKN!$Y$132&lt;=100),"P","")</f>
        <v>P</v>
      </c>
      <c r="ID23" t="str">
        <f>IF(WSPKN!$Y$148&lt;74.9,"P","")</f>
        <v/>
      </c>
      <c r="IE23" s="102" t="str">
        <f>IF(AND(WSPKN!$Y$148&gt;=75,WSPKN!$Y$148&lt;=83.24),"P","")</f>
        <v/>
      </c>
      <c r="IF23" s="102" t="str">
        <f>IF(AND(WSPKN!$Y$148&gt;=83.25,WSPKN!$Y$148&lt;=91.4),"P","")</f>
        <v/>
      </c>
      <c r="IG23" s="102" t="str">
        <f>IF(AND(WSPKN!$Y$148&gt;=91.5,WSPKN!$Y$148&lt;=100),"P","")</f>
        <v>P</v>
      </c>
      <c r="IH23" t="str">
        <f>IF(WSPKN!$Y$165&lt;74.9,"P","")</f>
        <v/>
      </c>
      <c r="II23" s="102" t="str">
        <f>IF(AND(WSPKN!$Y$165&gt;=75,WSPKN!$Y$165&lt;=83.24),"P","")</f>
        <v/>
      </c>
      <c r="IJ23" s="102" t="str">
        <f>IF(AND(WSPKN!$Y$165&gt;=83.25,WSPKN!$Y$165&lt;=91.4),"P","")</f>
        <v/>
      </c>
      <c r="IK23" s="102" t="str">
        <f>IF(AND(WSPKN!$Y$165&gt;=91.5,WSPKN!$Y$165&lt;=100),"P","")</f>
        <v/>
      </c>
      <c r="IL23" t="str">
        <f>IF(WSPKN!$Y$173&lt;74.9,"P","")</f>
        <v/>
      </c>
      <c r="IM23" s="102" t="str">
        <f>IF(AND(WSPKN!$Y$173&gt;=75,WSPKN!$Y$173&lt;=83.24),"P","")</f>
        <v/>
      </c>
      <c r="IN23" s="102" t="str">
        <f>IF(AND(WSPKN!$Y$173&gt;=83.25,WSPKN!$Y$173&lt;=91.4),"P","")</f>
        <v/>
      </c>
      <c r="IO23" s="102" t="str">
        <f>IF(AND(WSPKN!$Y$173&gt;=91.5,WSPKN!$Y$173&lt;=100),"P","")</f>
        <v/>
      </c>
      <c r="IP23" t="str">
        <f>IF(WSPKN!$Y$181&lt;74.9,"P","")</f>
        <v/>
      </c>
      <c r="IQ23" s="102" t="str">
        <f>IF(AND(WSPKN!$Y$181&gt;=75,WSPKN!$Y$181&lt;=83.24),"P","")</f>
        <v/>
      </c>
      <c r="IR23" s="102" t="str">
        <f>IF(AND(WSPKN!$Y$181&gt;=83.25,WSPKN!$Y$181&lt;=91.4),"P","")</f>
        <v/>
      </c>
      <c r="IS23" s="102" t="str">
        <f>IF(AND(WSPKN!$Y$181&gt;=91.5,WSPKN!$Y$181&lt;=100),"P","")</f>
        <v/>
      </c>
      <c r="IT23" t="str">
        <f>IF(WSPKN!$Y$189&lt;74.9,"P","")</f>
        <v/>
      </c>
      <c r="IU23" s="102" t="str">
        <f>IF(AND(WSPKN!$Y$189&gt;=75,WSPKN!$Y$189&lt;=83.24),"P","")</f>
        <v/>
      </c>
      <c r="IV23" s="102" t="str">
        <f>IF(AND(WSPKN!$Y$189&gt;=83.25,WSPKN!$Y$189&lt;=91.4),"P","")</f>
        <v/>
      </c>
      <c r="IW23" s="102" t="str">
        <f>IF(AND(WSPKN!$Y$189&gt;=91.5,WSPKN!$Y$189&lt;=100),"P","")</f>
        <v/>
      </c>
      <c r="IX23" t="str">
        <f>IF(WSPKN!$Y$197&lt;74.9,"P","")</f>
        <v/>
      </c>
      <c r="IY23" s="102" t="str">
        <f>IF(AND(WSPKN!$Y$197&gt;=75,WSPKN!$Y$197&lt;=83.24),"P","")</f>
        <v/>
      </c>
      <c r="IZ23" s="102" t="str">
        <f>IF(AND(WSPKN!$Y$197&gt;=83.25,WSPKN!$Y$197&lt;=91.4),"P","")</f>
        <v/>
      </c>
      <c r="JA23" s="102" t="str">
        <f>IF(AND(WSPKN!$Y$197&gt;=91.5,WSPKN!$Y$197&lt;=100),"P","")</f>
        <v/>
      </c>
      <c r="JB23" t="str">
        <f>IF(WSIND!$Y$6&lt;74.9,"P","")</f>
        <v/>
      </c>
      <c r="JC23" s="102" t="str">
        <f>IF(AND(WSIND!$Y$6&gt;=75,WSIND!$Y$6&lt;=83.24),"P","")</f>
        <v/>
      </c>
      <c r="JD23" s="102" t="str">
        <f>IF(AND(WSIND!$Y$6&gt;=83.25,WSIND!$Y$6&lt;=91.4),"P","")</f>
        <v/>
      </c>
      <c r="JE23" s="102" t="str">
        <f>IF(AND(WSIND!$Y$6&gt;=91.5,WSIND!$Y$6&lt;=100),"P","")</f>
        <v>P</v>
      </c>
      <c r="JF23" t="str">
        <f>IF(WSIND!$Y$65&lt;74.9,"P","")</f>
        <v/>
      </c>
      <c r="JG23" s="102" t="str">
        <f>IF(AND(WSIND!$Y$65&gt;=75,WSIND!$Y$65&lt;=83.24),"P","")</f>
        <v/>
      </c>
      <c r="JH23" s="102" t="str">
        <f>IF(AND(WSIND!$Y$65&gt;=83.25,WSIND!$Y$65&lt;=91.4),"P","")</f>
        <v/>
      </c>
      <c r="JI23" s="102" t="str">
        <f>IF(AND(WSIND!$Y$65&gt;=91.5,WSIND!$Y$65&lt;=100),"P","")</f>
        <v>P</v>
      </c>
      <c r="JJ23" t="str">
        <f>IF(WSIND!$Y$113&lt;74.9,"P","")</f>
        <v/>
      </c>
      <c r="JK23" s="102" t="str">
        <f>IF(AND(WSIND!$Y$113&gt;=75,WSIND!$Y$113&lt;=83.24),"P","")</f>
        <v/>
      </c>
      <c r="JL23" s="102" t="str">
        <f>IF(AND(WSIND!$Y$113&gt;=83.25,WSIND!$Y$113&lt;=91.4),"P","")</f>
        <v/>
      </c>
      <c r="JM23" s="102" t="str">
        <f>IF(AND(WSIND!$Y$113&gt;=91.5,WSIND!$Y$113&lt;=100),"P","")</f>
        <v>P</v>
      </c>
      <c r="JN23" t="str">
        <f>IF(WSIND!$Y$133&lt;74.9,"P","")</f>
        <v/>
      </c>
      <c r="JO23" s="102" t="str">
        <f>IF(AND(WSIND!$Y$133&gt;=75,WSIND!$Y$133&lt;=83.24),"P","")</f>
        <v/>
      </c>
      <c r="JP23" s="102" t="str">
        <f>IF(AND(WSIND!$Y$133&gt;=83.25,WSIND!$Y$133&lt;=91.4),"P","")</f>
        <v/>
      </c>
      <c r="JQ23" s="102" t="str">
        <f>IF(AND(WSIND!$Y$133&gt;=91.5,WSIND!$Y$133&lt;=100),"P","")</f>
        <v>P</v>
      </c>
      <c r="JR23" t="str">
        <f>IF(WSIND!$Y$161&lt;74.9,"P","")</f>
        <v/>
      </c>
      <c r="JS23" s="102" t="str">
        <f>IF(AND(WSIND!$Y$161&gt;=75,WSIND!$Y$161&lt;=83.24),"P","")</f>
        <v/>
      </c>
      <c r="JT23" s="102" t="str">
        <f>IF(AND(WSIND!$Y$161&gt;=83.25,WSIND!$Y$161&lt;=91.4),"P","")</f>
        <v/>
      </c>
      <c r="JU23" s="102" t="str">
        <f>IF(AND(WSIND!$Y$161&gt;=91.5,WSIND!$Y$161&lt;=100),"P","")</f>
        <v>P</v>
      </c>
      <c r="JV23" t="str">
        <f>IF(WSIND!$Y$192&lt;74.9,"P","")</f>
        <v/>
      </c>
      <c r="JW23" s="102" t="str">
        <f>IF(AND(WSIND!$Y$192&gt;=75,WSIND!$Y$192&lt;=83.24),"P","")</f>
        <v/>
      </c>
      <c r="JX23" s="102" t="str">
        <f>IF(AND(WSIND!$Y$192&gt;=83.25,WSIND!$Y$192&lt;=91.4),"P","")</f>
        <v/>
      </c>
      <c r="JY23" s="102" t="str">
        <f>IF(AND(WSIND!$Y$192&gt;=91.5,WSIND!$Y$192&lt;=100),"P","")</f>
        <v>P</v>
      </c>
      <c r="JZ23" t="str">
        <f>IF(WSIND!$Y$228&lt;74.9,"P","")</f>
        <v/>
      </c>
      <c r="KA23" s="102" t="str">
        <f>IF(AND(WSIND!$Y$228&gt;=75,WSIND!$Y$228&lt;=83.24),"P","")</f>
        <v/>
      </c>
      <c r="KB23" s="102" t="str">
        <f>IF(AND(WSIND!$Y$228&gt;=83.25,WSIND!$Y$228&lt;=91.4),"P","")</f>
        <v/>
      </c>
      <c r="KC23" s="102" t="str">
        <f>IF(AND(WSIND!$Y$228&gt;=91.5,WSIND!$Y$228&lt;=100),"P","")</f>
        <v>P</v>
      </c>
      <c r="KD23" t="str">
        <f>IF(WSIND!$Y$256&lt;74.9,"P","")</f>
        <v/>
      </c>
      <c r="KE23" s="102" t="str">
        <f>IF(AND(WSIND!$Y$256&gt;=75,WSIND!$Y$256&lt;=83.24),"P","")</f>
        <v/>
      </c>
      <c r="KF23" s="102" t="str">
        <f>IF(AND(WSIND!$Y$256&gt;=83.25,WSIND!$Y$256&lt;=91.4),"P","")</f>
        <v/>
      </c>
      <c r="KG23" s="102" t="str">
        <f>IF(AND(WSIND!$Y$256&gt;=91.5,WSIND!$Y$256&lt;=100),"P","")</f>
        <v>P</v>
      </c>
      <c r="KH23" t="str">
        <f>IF(WSIND!$Y$277&lt;74.9,"P","")</f>
        <v/>
      </c>
      <c r="KI23" s="102" t="str">
        <f>IF(AND(WSIND!$Y$277&gt;=75,WSIND!$Y$277&lt;=83.24),"P","")</f>
        <v/>
      </c>
      <c r="KJ23" s="102" t="str">
        <f>IF(AND(WSIND!$Y$277&gt;=83.25,WSIND!$Y$277&lt;=91.4),"P","")</f>
        <v/>
      </c>
      <c r="KK23" s="102" t="str">
        <f>IF(AND(WSIND!$Y$277&gt;=91.5,WSIND!$Y$277&lt;=100),"P","")</f>
        <v>P</v>
      </c>
      <c r="KL23" t="str">
        <f>IF(WSIND!$Y$305&lt;74.9,"P","")</f>
        <v/>
      </c>
      <c r="KM23" s="102" t="str">
        <f>IF(AND(WSIND!$Y$305&gt;=75,WSIND!$Y$305&lt;=83.24),"P","")</f>
        <v/>
      </c>
      <c r="KN23" s="102" t="str">
        <f>IF(AND(WSIND!$Y$305&gt;=83.25,WSIND!$Y$305&lt;=91.4),"P","")</f>
        <v/>
      </c>
      <c r="KO23" s="102" t="str">
        <f>IF(AND(WSIND!$Y$305&gt;=91.5,WSIND!$Y$305&lt;=100),"P","")</f>
        <v>P</v>
      </c>
      <c r="KP23" t="str">
        <f>IF(WSIND!$Y$329&lt;74.9,"P","")</f>
        <v/>
      </c>
      <c r="KQ23" s="102" t="str">
        <f>IF(AND(WSIND!$Y$329&gt;=75,WSIND!$Y$329&lt;=83.24),"P","")</f>
        <v/>
      </c>
      <c r="KR23" s="102" t="str">
        <f>IF(AND(WSIND!$Y$329&gt;=83.25,WSIND!$Y$329&lt;=91.4),"P","")</f>
        <v/>
      </c>
      <c r="KS23" s="102" t="str">
        <f>IF(AND(WSIND!$Y$329&gt;=91.5,WSIND!$Y$329&lt;=100),"P","")</f>
        <v/>
      </c>
      <c r="KT23" t="str">
        <f>IF(WSIND!$Y$337&lt;74.9,"P","")</f>
        <v/>
      </c>
      <c r="KU23" s="102" t="str">
        <f>IF(AND(WSIND!$Y$337&gt;=75,WSIND!$Y$337&lt;=83.24),"P","")</f>
        <v/>
      </c>
      <c r="KV23" s="102" t="str">
        <f>IF(AND(WSIND!$Y$337&gt;=83.25,WSIND!$Y$337&lt;=91.4),"P","")</f>
        <v/>
      </c>
      <c r="KW23" s="102" t="str">
        <f>IF(AND(WSIND!$Y$337&gt;=91.5,WSIND!$Y$337&lt;=100),"P","")</f>
        <v/>
      </c>
      <c r="KX23" t="str">
        <f>IF(WSIND!$Y$345&lt;74.9,"P","")</f>
        <v/>
      </c>
      <c r="KY23" s="102" t="str">
        <f>IF(AND(WSIND!$Y$345&gt;=75,WSIND!$Y$345&lt;=83.24),"P","")</f>
        <v/>
      </c>
      <c r="KZ23" s="102" t="str">
        <f>IF(AND(WSIND!$Y$345&gt;=83.25,WSIND!$Y$345&lt;=91.4),"P","")</f>
        <v/>
      </c>
      <c r="LA23" s="102" t="str">
        <f>IF(AND(WSIND!$Y$345&gt;=91.5,WSIND!$Y$345&lt;=100),"P","")</f>
        <v/>
      </c>
      <c r="LB23" t="str">
        <f>IF(WSARAB!$Y$6&lt;74.9,"P","")</f>
        <v/>
      </c>
      <c r="LC23" s="102" t="str">
        <f>IF(AND(WSARAB!$Y$6&gt;=75,WSARAB!$Y$6&lt;=83.24),"P","")</f>
        <v/>
      </c>
      <c r="LD23" s="102" t="str">
        <f>IF(AND(WSARAB!$Y$6&gt;=83.25,WSARAB!$Y$6&lt;=91.4),"P","")</f>
        <v/>
      </c>
      <c r="LE23" s="102" t="str">
        <f>IF(AND(WSARAB!$Y$6&gt;=91.5,WSARAB!$Y$6&lt;=100),"P","")</f>
        <v/>
      </c>
      <c r="LF23" t="str">
        <f>IF(WSARAB!$Y$17&lt;74.9,"P","")</f>
        <v/>
      </c>
      <c r="LG23" s="102" t="str">
        <f>IF(AND(WSARAB!$Y$17&gt;=75,WSARAB!$Y$17&lt;=83.24),"P","")</f>
        <v/>
      </c>
      <c r="LH23" s="102" t="str">
        <f>IF(AND(WSARAB!$Y$17&gt;=83.25,WSARAB!$Y$17&lt;=91.4),"P","")</f>
        <v/>
      </c>
      <c r="LI23" s="102" t="str">
        <f>IF(AND(WSARAB!$Y$17&gt;=91.5,WSARAB!$Y$17&lt;=100),"P","")</f>
        <v/>
      </c>
      <c r="LJ23" t="str">
        <f>IF(WSARAB!$Y$29&lt;74.9,"P","")</f>
        <v/>
      </c>
      <c r="LK23" s="102" t="str">
        <f>IF(AND(WSARAB!$Y$29&gt;=75,WSARAB!$Y$29&lt;=83.24),"P","")</f>
        <v/>
      </c>
      <c r="LL23" s="102" t="str">
        <f>IF(AND(WSARAB!$Y$29&gt;=83.25,WSARAB!$Y$29&lt;=91.4),"P","")</f>
        <v/>
      </c>
      <c r="LM23" s="102" t="str">
        <f>IF(AND(WSARAB!$Y$29&gt;=91.5,WSARAB!$Y$29&lt;=100),"P","")</f>
        <v/>
      </c>
      <c r="LN23" t="str">
        <f>IF(WSARAB!$Y$37&lt;74.9,"P","")</f>
        <v/>
      </c>
      <c r="LO23" s="102" t="str">
        <f>IF(AND(WSARAB!$Y$37&gt;=75,WSARAB!$Y$37&lt;=83.24),"P","")</f>
        <v/>
      </c>
      <c r="LP23" s="102" t="str">
        <f>IF(AND(WSARAB!$Y$37&gt;=83.25,WSARAB!$Y$37&lt;=91.4),"P","")</f>
        <v/>
      </c>
      <c r="LQ23" s="102" t="str">
        <f>IF(AND(WSARAB!$Y$37&gt;=91.5,WSARAB!$Y$37&lt;=100),"P","")</f>
        <v/>
      </c>
      <c r="LR23" t="str">
        <f>IF(WSARAB!$Y$45&lt;74.9,"P","")</f>
        <v/>
      </c>
      <c r="LS23" s="102" t="str">
        <f>IF(AND(WSARAB!$Y$45&gt;=75,WSARAB!$Y$45&lt;=83.24),"P","")</f>
        <v/>
      </c>
      <c r="LT23" s="102" t="str">
        <f>IF(AND(WSARAB!$Y$45&gt;=83.25,WSARAB!$Y$45&lt;=91.4),"P","")</f>
        <v/>
      </c>
      <c r="LU23" s="102" t="str">
        <f>IF(AND(WSARAB!$Y$45&gt;=91.5,WSARAB!$Y$45&lt;=100),"P","")</f>
        <v/>
      </c>
      <c r="LV23" t="str">
        <f>IF(WSARAB!$Y$53&lt;74.9,"P","")</f>
        <v/>
      </c>
      <c r="LW23" s="102" t="str">
        <f>IF(AND(WSARAB!$Y$53&gt;=75,WSARAB!$Y$53&lt;=83.24),"P","")</f>
        <v/>
      </c>
      <c r="LX23" s="102" t="str">
        <f>IF(AND(WSARAB!$Y$53&gt;=83.25,WSARAB!$Y$53&lt;=91.4),"P","")</f>
        <v/>
      </c>
      <c r="LY23" s="102" t="str">
        <f>IF(AND(WSARAB!$Y$53&gt;=91.5,WSARAB!$Y$53&lt;=100),"P","")</f>
        <v/>
      </c>
      <c r="LZ23" t="str">
        <f>IF(WSARAB!$Y$65&lt;74.9,"P","")</f>
        <v/>
      </c>
      <c r="MA23" s="102" t="str">
        <f>IF(AND(WSARAB!$Y$65&gt;=75,WSARAB!$Y$65&lt;=83.24),"P","")</f>
        <v/>
      </c>
      <c r="MB23" s="102" t="str">
        <f>IF(AND(WSARAB!$Y$65&gt;=83.25,WSARAB!$Y$65&lt;=91.4),"P","")</f>
        <v/>
      </c>
      <c r="MC23" s="102" t="str">
        <f>IF(AND(WSARAB!$Y$65&gt;=91.5,WSARAB!$Y$65&lt;=100),"P","")</f>
        <v/>
      </c>
      <c r="MD23" t="str">
        <f>IF(WSARAB!$Y$73&lt;74.9,"P","")</f>
        <v/>
      </c>
      <c r="ME23" s="102" t="str">
        <f>IF(AND(WSARAB!$Y$73&gt;=75,WSARAB!$Y$73&lt;=83.24),"P","")</f>
        <v/>
      </c>
      <c r="MF23" s="102" t="str">
        <f>IF(AND(WSARAB!$Y$73&gt;=83.25,WSARAB!$Y$73&lt;=91.4),"P","")</f>
        <v/>
      </c>
      <c r="MG23" s="102" t="str">
        <f>IF(AND(WSARAB!$Y$73&gt;=91.5,WSARAB!$Y$73&lt;=100),"P","")</f>
        <v/>
      </c>
      <c r="MH23" t="str">
        <f>IF(WSARAB!$Y$81&lt;74.9,"P","")</f>
        <v/>
      </c>
      <c r="MI23" s="102" t="str">
        <f>IF(AND(WSARAB!$Y$81&gt;=75,WSARAB!$Y$81&lt;=83.24),"P","")</f>
        <v/>
      </c>
      <c r="MJ23" s="102" t="str">
        <f>IF(AND(WSARAB!$Y$81&gt;=83.25,WSARAB!$Y$81&lt;=91.4),"P","")</f>
        <v/>
      </c>
      <c r="MK23" s="102" t="str">
        <f>IF(AND(WSARAB!$Y$81&gt;=91.5,WSARAB!$Y$81&lt;=100),"P","")</f>
        <v/>
      </c>
      <c r="ML23" t="str">
        <f>IF(WSARAB!$Y$89&lt;74.9,"P","")</f>
        <v/>
      </c>
      <c r="MM23" s="102" t="str">
        <f>IF(AND(WSARAB!$Y$89&gt;=75,WSARAB!$Y$89&lt;=83.24),"P","")</f>
        <v/>
      </c>
      <c r="MN23" s="102" t="str">
        <f>IF(AND(WSARAB!$Y$89&gt;=83.25,WSARAB!$Y$89&lt;=91.4),"P","")</f>
        <v/>
      </c>
      <c r="MO23" s="102" t="str">
        <f>IF(AND(WSARAB!$Y$89&gt;=91.5,WSARAB!$Y$89&lt;=100),"P","")</f>
        <v/>
      </c>
      <c r="MP23" t="str">
        <f>IF(WSARAB!$Y$97&lt;74.9,"P","")</f>
        <v/>
      </c>
      <c r="MQ23" s="102" t="str">
        <f>IF(AND(WSARAB!$Y$97&gt;=75,WSARAB!$Y$97&lt;=83.24),"P","")</f>
        <v/>
      </c>
      <c r="MR23" s="102" t="str">
        <f>IF(AND(WSARAB!$Y$97&gt;=83.25,WSARAB!$Y$97&lt;=91.4),"P","")</f>
        <v/>
      </c>
      <c r="MS23" s="102" t="str">
        <f>IF(AND(WSARAB!$Y$97&gt;=91.5,WSARAB!$Y$97&lt;=100),"P","")</f>
        <v/>
      </c>
      <c r="MT23" t="str">
        <f>IF(WSARAB!$Y$105&lt;74.9,"P","")</f>
        <v/>
      </c>
      <c r="MU23" s="102" t="str">
        <f>IF(AND(WSARAB!$Y$105&gt;=75,WSARAB!$Y$105&lt;=83.24),"P","")</f>
        <v/>
      </c>
      <c r="MV23" s="102" t="str">
        <f>IF(AND(WSARAB!$Y$105&gt;=83.25,WSARAB!$Y$105&lt;=91.4),"P","")</f>
        <v/>
      </c>
      <c r="MW23" s="102" t="str">
        <f>IF(AND(WSARAB!$Y$105&gt;=91.5,WSARAB!$Y$105&lt;=100),"P","")</f>
        <v/>
      </c>
      <c r="MX23" t="str">
        <f>IF(WSARAB!$Y$113&lt;74.9,"P","")</f>
        <v/>
      </c>
      <c r="MY23" s="102" t="str">
        <f>IF(AND(WSARAB!$Y$113&gt;=75,WSARAB!$Y$113&lt;=83.24),"P","")</f>
        <v/>
      </c>
      <c r="MZ23" s="102" t="str">
        <f>IF(AND(WSARAB!$Y$113&gt;=83.25,WSARAB!$Y$113&lt;=91.4),"P","")</f>
        <v/>
      </c>
      <c r="NA23" s="102" t="str">
        <f>IF(AND(WSARAB!$Y$113&gt;=91.5,WSARAB!$Y$113&lt;=100),"P","")</f>
        <v/>
      </c>
      <c r="NB23" t="str">
        <f>IF(WSMTK!$Y$6&lt;74.9,"P","")</f>
        <v/>
      </c>
      <c r="NC23" s="102" t="str">
        <f>IF(AND(WSMTK!$Y$6&gt;=75,WSMTK!$Y$6&lt;=83.24),"P","")</f>
        <v/>
      </c>
      <c r="ND23" s="102" t="str">
        <f>IF(AND(WSMTK!$Y$6&gt;=83.25,WSMTK!$Y$6&lt;=91.4),"P","")</f>
        <v/>
      </c>
      <c r="NE23" s="102" t="str">
        <f>IF(AND(WSMTK!$Y$6&gt;=91.5,WSMTK!$Y$6&lt;=100),"P","")</f>
        <v>P</v>
      </c>
      <c r="NF23" t="str">
        <f>IF(WSMTK!$Y$22&lt;74.9,"P","")</f>
        <v/>
      </c>
      <c r="NG23" s="102" t="str">
        <f>IF(AND(WSMTK!$Y$22&gt;=75,WSMTK!$Y$22&lt;=83.24),"P","")</f>
        <v/>
      </c>
      <c r="NH23" s="102" t="str">
        <f>IF(AND(WSMTK!$Y$22&gt;=83.25,WSMTK!$Y$22&lt;=91.4),"P","")</f>
        <v/>
      </c>
      <c r="NI23" s="102" t="str">
        <f>IF(AND(WSMTK!$Y$22&gt;=91.5,WSMTK!$Y$22&lt;=100),"P","")</f>
        <v>P</v>
      </c>
      <c r="NJ23" t="str">
        <f>IF(WSMTK!$Y$35&lt;74.9,"P","")</f>
        <v/>
      </c>
      <c r="NK23" s="102" t="str">
        <f>IF(AND(WSMTK!$Y$35&gt;=75,WSMTK!$Y$35&lt;=83.24),"P","")</f>
        <v/>
      </c>
      <c r="NL23" s="102" t="str">
        <f>IF(AND(WSMTK!$Y$35&gt;=83.25,WSMTK!$Y$35&lt;=91.4),"P","")</f>
        <v/>
      </c>
      <c r="NM23" s="102" t="str">
        <f>IF(AND(WSMTK!$Y$35&gt;=91.5,WSMTK!$Y$35&lt;=100),"P","")</f>
        <v>P</v>
      </c>
      <c r="NN23" t="str">
        <f>IF(WSMTK!$Y$69&lt;74.9,"P","")</f>
        <v/>
      </c>
      <c r="NO23" s="102" t="str">
        <f>IF(AND(WSMTK!$Y$69&gt;=75,WSMTK!$Y$69&lt;=83.24),"P","")</f>
        <v/>
      </c>
      <c r="NP23" s="102" t="str">
        <f>IF(AND(WSMTK!$Y$69&gt;=83.25,WSMTK!$Y$69&lt;=91.4),"P","")</f>
        <v/>
      </c>
      <c r="NQ23" s="102" t="str">
        <f>IF(AND(WSMTK!$Y$69&gt;=91.5,WSMTK!$Y$69&lt;=100),"P","")</f>
        <v>P</v>
      </c>
      <c r="NR23" t="str">
        <f>IF(WSMTK!$Y$87&lt;74.9,"P","")</f>
        <v/>
      </c>
      <c r="NS23" s="102" t="str">
        <f>IF(AND(WSMTK!$Y$87&gt;=75,WSMTK!$Y$87&lt;=83.24),"P","")</f>
        <v/>
      </c>
      <c r="NT23" s="102" t="str">
        <f>IF(AND(WSMTK!$Y$87&gt;=83.25,WSMTK!$Y$87&lt;=91.4),"P","")</f>
        <v/>
      </c>
      <c r="NU23" s="102" t="str">
        <f>IF(AND(WSMTK!$Y$87&gt;=91.5,WSMTK!$Y$87&lt;=100),"P","")</f>
        <v>P</v>
      </c>
      <c r="NV23" t="str">
        <f>IF(WSMTK!$Y$99&lt;74.9,"P","")</f>
        <v/>
      </c>
      <c r="NW23" s="102" t="str">
        <f>IF(AND(WSMTK!$Y$99&gt;=75,WSMTK!$Y$99&lt;=83.24),"P","")</f>
        <v/>
      </c>
      <c r="NX23" s="102" t="str">
        <f>IF(AND(WSMTK!$Y$99&gt;=83.25,WSMTK!$Y$99&lt;=91.4),"P","")</f>
        <v/>
      </c>
      <c r="NY23" s="102" t="str">
        <f>IF(AND(WSMTK!$Y$99&gt;=91.5,WSMTK!$Y$99&lt;=100),"P","")</f>
        <v>P</v>
      </c>
      <c r="NZ23" t="str">
        <f>IF(WSMTK!$Y$113&lt;74.9,"P","")</f>
        <v/>
      </c>
      <c r="OA23" s="102" t="str">
        <f>IF(AND(WSMTK!$Y$113&gt;=75,WSMTK!$Y$113&lt;=83.24),"P","")</f>
        <v/>
      </c>
      <c r="OB23" s="102" t="str">
        <f>IF(AND(WSMTK!$Y$113&gt;=83.25,WSMTK!$Y$113&lt;=91.4),"P","")</f>
        <v/>
      </c>
      <c r="OC23" s="102" t="str">
        <f>IF(AND(WSMTK!$Y$113&gt;=91.5,WSMTK!$Y$113&lt;=100),"P","")</f>
        <v>P</v>
      </c>
      <c r="OD23" t="str">
        <f>IF(WSMTK!$Y$145&lt;74.9,"P","")</f>
        <v/>
      </c>
      <c r="OE23" s="102" t="str">
        <f>IF(AND(WSMTK!$Y$145&gt;=75,WSMTK!$Y$145&lt;=83.24),"P","")</f>
        <v/>
      </c>
      <c r="OF23" s="102" t="str">
        <f>IF(AND(WSMTK!$Y$145&gt;=83.25,WSMTK!$Y$145&lt;=91.4),"P","")</f>
        <v/>
      </c>
      <c r="OG23" s="102" t="str">
        <f>IF(AND(WSMTK!$Y$145&gt;=91.5,WSMTK!$Y$145&lt;=100),"P","")</f>
        <v>P</v>
      </c>
      <c r="OH23" t="str">
        <f>IF(WSMTK!$Y$168&lt;74.9,"P","")</f>
        <v/>
      </c>
      <c r="OI23" s="102" t="str">
        <f>IF(AND(WSMTK!$Y$168&gt;=75,WSMTK!$Y$168&lt;=83.24),"P","")</f>
        <v/>
      </c>
      <c r="OJ23" s="102" t="str">
        <f>IF(AND(WSMTK!$Y$168&gt;=83.25,WSMTK!$Y$168&lt;=91.4),"P","")</f>
        <v/>
      </c>
      <c r="OK23" s="102" t="str">
        <f>IF(AND(WSMTK!$Y$168&gt;=91.5,WSMTK!$Y$168&lt;=100),"P","")</f>
        <v/>
      </c>
      <c r="OL23" t="str">
        <f>IF(WSMTK!$Y$176&lt;74.9,"P","")</f>
        <v/>
      </c>
      <c r="OM23" s="102" t="str">
        <f>IF(AND(WSMTK!$Y$176&gt;=75,WSMTK!$Y$176&lt;=83.24),"P","")</f>
        <v/>
      </c>
      <c r="ON23" s="102" t="str">
        <f>IF(AND(WSMTK!$Y$176&gt;=83.25,WSMTK!$Y$176&lt;=91.4),"P","")</f>
        <v/>
      </c>
      <c r="OO23" s="102" t="str">
        <f>IF(AND(WSMTK!$Y$176&gt;=91.5,WSMTK!$Y$176&lt;=100),"P","")</f>
        <v/>
      </c>
      <c r="OP23" t="str">
        <f>IF(WSMTK!$Y$184&lt;74.9,"P","")</f>
        <v/>
      </c>
      <c r="OQ23" s="102" t="str">
        <f>IF(AND(WSMTK!$Y$184&gt;=75,WSMTK!$Y$184&lt;=83.24),"P","")</f>
        <v/>
      </c>
      <c r="OR23" s="102" t="str">
        <f>IF(AND(WSMTK!$Y$184&gt;=83.25,WSMTK!$Y$184&lt;=91.4),"P","")</f>
        <v/>
      </c>
      <c r="OS23" s="102" t="str">
        <f>IF(AND(WSMTK!$Y$184&gt;=91.5,WSMTK!$Y$184&lt;=100),"P","")</f>
        <v/>
      </c>
      <c r="OT23" t="str">
        <f>IF(WSMTK!$Y$192&lt;74.9,"P","")</f>
        <v/>
      </c>
      <c r="OU23" s="102" t="str">
        <f>IF(AND(WSMTK!$Y$192&gt;=75,WSMTK!$Y$192&lt;=83.24),"P","")</f>
        <v/>
      </c>
      <c r="OV23" s="102" t="str">
        <f>IF(AND(WSMTK!$Y$192&gt;=83.25,WSMTK!$Y$192&lt;=91.4),"P","")</f>
        <v/>
      </c>
      <c r="OW23" s="102" t="str">
        <f>IF(AND(WSMTK!$Y$192&gt;=91.5,WSMTK!$Y$192&lt;=100),"P","")</f>
        <v/>
      </c>
      <c r="OX23" t="str">
        <f>IF(WSMTK!$Y$200&lt;74.9,"P","")</f>
        <v/>
      </c>
      <c r="OY23" s="102" t="str">
        <f>IF(AND(WSMTK!$Y$200&gt;=75,WSMTK!$Y$200&lt;=83.24),"P","")</f>
        <v/>
      </c>
      <c r="OZ23" s="102" t="str">
        <f>IF(AND(WSMTK!$Y$200&gt;=83.25,WSMTK!$Y$200&lt;=91.4),"P","")</f>
        <v/>
      </c>
      <c r="PA23" s="102" t="str">
        <f>IF(AND(WSMTK!$Y$200&gt;=91.5,WSMTK!$Y$200&lt;=100),"P","")</f>
        <v/>
      </c>
      <c r="PB23" t="str">
        <f>IF(WSIPA!$Y$6&lt;74.9,"P","")</f>
        <v/>
      </c>
      <c r="PC23" s="102" t="str">
        <f>IF(AND(WSIPA!$Y$6&gt;=75,WSIPA!$Y$6&lt;=83.24),"P","")</f>
        <v/>
      </c>
      <c r="PD23" s="102" t="str">
        <f>IF(AND(WSIPA!$Y$6&gt;=83.25,WSIPA!$Y$6&lt;=91.4),"P","")</f>
        <v/>
      </c>
      <c r="PE23" s="102" t="str">
        <f>IF(AND(WSIPA!$Y$6&gt;=91.5,WSIPA!$Y$6&lt;=100),"P","")</f>
        <v/>
      </c>
      <c r="PF23" t="str">
        <f>IF(WSIPA!$Y$14&lt;74.9,"P","")</f>
        <v/>
      </c>
      <c r="PG23" s="102" t="str">
        <f>IF(AND(WSIPA!$Y$14&gt;=75,WSIPA!$Y$14&lt;=83.24),"P","")</f>
        <v/>
      </c>
      <c r="PH23" s="102" t="str">
        <f>IF(AND(WSIPA!$Y$14&gt;=83.25,WSIPA!$Y$14&lt;=91.4),"P","")</f>
        <v/>
      </c>
      <c r="PI23" s="102" t="str">
        <f>IF(AND(WSIPA!$Y$14&gt;=91.5,WSIPA!$Y$14&lt;=100),"P","")</f>
        <v/>
      </c>
      <c r="PJ23" t="str">
        <f>IF(WSIPA!$Y$22&lt;74.9,"P","")</f>
        <v/>
      </c>
      <c r="PK23" s="102" t="str">
        <f>IF(AND(WSIPA!$Y$22&gt;=75,WSIPA!$Y$22&lt;=83.24),"P","")</f>
        <v/>
      </c>
      <c r="PL23" s="102" t="str">
        <f>IF(AND(WSIPA!$Y$22&gt;=83.25,WSIPA!$Y$22&lt;=91.4),"P","")</f>
        <v/>
      </c>
      <c r="PM23" s="102" t="str">
        <f>IF(AND(WSIPA!$Y$22&gt;=91.5,WSIPA!$Y$22&lt;=100),"P","")</f>
        <v/>
      </c>
      <c r="PN23" t="str">
        <f>IF(WSIPA!$Y$30&lt;74.9,"P","")</f>
        <v/>
      </c>
      <c r="PO23" s="102" t="str">
        <f>IF(AND(WSIPA!$Y$30&gt;=75,WSIPA!$Y$30&lt;=83.24),"P","")</f>
        <v/>
      </c>
      <c r="PP23" s="102" t="str">
        <f>IF(AND(WSIPA!$Y$30&gt;=83.25,WSIPA!$Y$30&lt;=91.4),"P","")</f>
        <v/>
      </c>
      <c r="PQ23" s="102" t="str">
        <f>IF(AND(WSIPA!$Y$30&gt;=91.5,WSIPA!$Y$30&lt;=100),"P","")</f>
        <v/>
      </c>
      <c r="PR23" t="str">
        <f>IF(WSIPA!$Y$38&lt;74.9,"P","")</f>
        <v/>
      </c>
      <c r="PS23" s="102" t="str">
        <f>IF(AND(WSIPA!$Y$38&gt;=75,WSIPA!$Y$38&lt;=83.24),"P","")</f>
        <v/>
      </c>
      <c r="PT23" s="102" t="str">
        <f>IF(AND(WSIPA!$Y$38&gt;=83.25,WSIPA!$Y$38&lt;=91.4),"P","")</f>
        <v/>
      </c>
      <c r="PU23" s="102" t="str">
        <f>IF(AND(WSIPA!$Y$38&gt;=91.5,WSIPA!$Y$38&lt;=100),"P","")</f>
        <v/>
      </c>
      <c r="PV23" t="str">
        <f>IF(WSIPA!$Y$46&lt;74.9,"P","")</f>
        <v/>
      </c>
      <c r="PW23" s="102" t="str">
        <f>IF(AND(WSIPA!$Y$46&gt;=75,WSIPA!$Y$46&lt;=83.24),"P","")</f>
        <v/>
      </c>
      <c r="PX23" s="102" t="str">
        <f>IF(AND(WSIPA!$Y$46&gt;=83.25,WSIPA!$Y$46&lt;=91.4),"P","")</f>
        <v/>
      </c>
      <c r="PY23" s="102" t="str">
        <f>IF(AND(WSIPA!$Y$46&gt;=91.5,WSIPA!$Y$46&lt;=100),"P","")</f>
        <v/>
      </c>
      <c r="PZ23" t="str">
        <f>IF(WSIPA!$Y$54&lt;74.9,"P","")</f>
        <v/>
      </c>
      <c r="QA23" s="102" t="str">
        <f>IF(AND(WSIPA!$Y$54&gt;=75,WSIPA!$Y$54&lt;=83.24),"P","")</f>
        <v/>
      </c>
      <c r="QB23" s="102" t="str">
        <f>IF(AND(WSIPA!$Y$54&gt;=83.25,WSIPA!$Y$54&lt;=91.4),"P","")</f>
        <v/>
      </c>
      <c r="QC23" s="102" t="str">
        <f>IF(AND(WSIPA!$Y$54&gt;=91.5,WSIPA!$Y$54&lt;=100),"P","")</f>
        <v/>
      </c>
      <c r="QD23" t="str">
        <f>IF(WSIPA!$Y$62&lt;74.9,"P","")</f>
        <v/>
      </c>
      <c r="QE23" s="102" t="str">
        <f>IF(AND(WSIPA!$Y$62&gt;=75,WSIPA!$Y$62&lt;=83.24),"P","")</f>
        <v/>
      </c>
      <c r="QF23" s="102" t="str">
        <f>IF(AND(WSIPA!$Y$62&gt;=83.25,WSIPA!$Y$62&lt;=91.4),"P","")</f>
        <v/>
      </c>
      <c r="QG23" s="102" t="str">
        <f>IF(AND(WSIPA!$Y$62&gt;=91.5,WSIPA!$Y$62&lt;=100),"P","")</f>
        <v/>
      </c>
      <c r="QH23" t="str">
        <f>IF(WSIPA!$Y$70&lt;74.9,"P","")</f>
        <v/>
      </c>
      <c r="QI23" s="102" t="str">
        <f>IF(AND(WSIPA!$Y$70&gt;=75,WSIPA!$Y$70&lt;=83.24),"P","")</f>
        <v/>
      </c>
      <c r="QJ23" s="102" t="str">
        <f>IF(AND(WSIPA!$Y$70&gt;=83.25,WSIPA!$Y$70&lt;=91.4),"P","")</f>
        <v/>
      </c>
      <c r="QK23" s="102" t="str">
        <f>IF(AND(WSIPA!$Y$70&gt;=91.5,WSIPA!$Y$70&lt;=100),"P","")</f>
        <v/>
      </c>
      <c r="QL23" t="str">
        <f>IF(WSIPA!$Y$78&lt;74.9,"P","")</f>
        <v/>
      </c>
      <c r="QM23" s="102" t="str">
        <f>IF(AND(WSIPA!$Y$78&gt;=75,WSIPA!$Y$78&lt;=83.24),"P","")</f>
        <v/>
      </c>
      <c r="QN23" s="102" t="str">
        <f>IF(AND(WSIPA!$Y$78&gt;=83.25,WSIPA!$Y$78&lt;=91.4),"P","")</f>
        <v/>
      </c>
      <c r="QO23" s="102" t="str">
        <f>IF(AND(WSIPA!$Y$78&gt;=91.5,WSIPA!$Y$78&lt;=100),"P","")</f>
        <v/>
      </c>
      <c r="QP23" t="str">
        <f>IF(WSIPA!$Y$86&lt;74.9,"P","")</f>
        <v/>
      </c>
      <c r="QQ23" s="102" t="str">
        <f>IF(AND(WSIPA!$Y$86&gt;=75,WSIPA!$Y$86&lt;=83.24),"P","")</f>
        <v/>
      </c>
      <c r="QR23" s="102" t="str">
        <f>IF(AND(WSIPA!$Y$86&gt;=83.25,WSIPA!$Y$86&lt;=91.4),"P","")</f>
        <v/>
      </c>
      <c r="QS23" s="102" t="str">
        <f>IF(AND(WSIPA!$Y$86&gt;=91.5,WSIPA!$Y$86&lt;=100),"P","")</f>
        <v/>
      </c>
      <c r="QT23" t="str">
        <f>IF(WSIPA!$Y$94&lt;74.9,"P","")</f>
        <v/>
      </c>
      <c r="QU23" s="102" t="str">
        <f>IF(AND(WSIPA!$Y$94&gt;=75,WSIPA!$Y$94&lt;=83.24),"P","")</f>
        <v/>
      </c>
      <c r="QV23" s="102" t="str">
        <f>IF(AND(WSIPA!$Y$94&gt;=83.25,WSIPA!$Y$94&lt;=91.4),"P","")</f>
        <v/>
      </c>
      <c r="QW23" s="102" t="str">
        <f>IF(AND(WSIPA!$Y$94&gt;=91.5,WSIPA!$Y$94&lt;=100),"P","")</f>
        <v/>
      </c>
      <c r="QX23" t="str">
        <f>IF(WSIPA!$Y$102&lt;74.9,"P","")</f>
        <v/>
      </c>
      <c r="QY23" s="102" t="str">
        <f>IF(AND(WSIPA!$Y$102&gt;=75,WSIPA!$Y$102&lt;=83.24),"P","")</f>
        <v/>
      </c>
      <c r="QZ23" s="102" t="str">
        <f>IF(AND(WSIPA!$Y$102&gt;=83.25,WSIPA!$Y$102&lt;=91.4),"P","")</f>
        <v/>
      </c>
      <c r="RA23" s="102" t="str">
        <f>IF(AND(WSIPA!$Y$102&gt;=91.5,WSIPA!$Y$102&lt;=100),"P","")</f>
        <v/>
      </c>
      <c r="RB23" t="str">
        <f>IF(WSIPS!$Y$6&lt;74.9,"P","")</f>
        <v/>
      </c>
      <c r="RC23" s="102" t="str">
        <f>IF(AND(WSIPS!$Y$6&gt;=75,WSIPS!$Y$6&lt;=83.24),"P","")</f>
        <v/>
      </c>
      <c r="RD23" s="102" t="str">
        <f>IF(AND(WSIPS!$Y$6&gt;=83.25,WSIPS!$Y$6&lt;=91.4),"P","")</f>
        <v/>
      </c>
      <c r="RE23" s="102" t="str">
        <f>IF(AND(WSIPS!$Y$6&gt;=91.5,WSIPS!$Y$6&lt;=100),"P","")</f>
        <v/>
      </c>
      <c r="RF23" t="str">
        <f>IF(WSIPS!$Y$14&lt;74.9,"P","")</f>
        <v/>
      </c>
      <c r="RG23" s="102" t="str">
        <f>IF(AND(WSIPS!$Y$14&gt;=75,WSIPS!$Y$14&lt;=83.24),"P","")</f>
        <v/>
      </c>
      <c r="RH23" s="102" t="str">
        <f>IF(AND(WSIPS!$Y$14&gt;=83.25,WSIPS!$Y$14&lt;=91.4),"P","")</f>
        <v/>
      </c>
      <c r="RI23" s="102" t="str">
        <f>IF(AND(WSIPS!$Y$14&gt;=91.5,WSIPS!$Y$14&lt;=100),"P","")</f>
        <v/>
      </c>
      <c r="RJ23" t="str">
        <f>IF(WSIPS!$Y$22&lt;74.9,"P","")</f>
        <v/>
      </c>
      <c r="RK23" s="102" t="str">
        <f>IF(AND(WSIPS!$Y$22&gt;=75,WSIPS!$Y$22&lt;=83.24),"P","")</f>
        <v/>
      </c>
      <c r="RL23" s="102" t="str">
        <f>IF(AND(WSIPS!$Y$22&gt;=83.25,WSIPS!$Y$22&lt;=91.4),"P","")</f>
        <v/>
      </c>
      <c r="RM23" s="102" t="str">
        <f>IF(AND(WSIPS!$Y$22&gt;=91.5,WSIPS!$Y$22&lt;=100),"P","")</f>
        <v/>
      </c>
      <c r="RN23" t="str">
        <f>IF(WSIPS!$Y$30&lt;74.9,"P","")</f>
        <v/>
      </c>
      <c r="RO23" s="102" t="str">
        <f>IF(AND(WSIPS!$Y$30&gt;=75,WSIPS!$Y$30&lt;=83.24),"P","")</f>
        <v/>
      </c>
      <c r="RP23" s="102" t="str">
        <f>IF(AND(WSIPS!$Y$30&gt;=83.25,WSIPS!$Y$30&lt;=91.4),"P","")</f>
        <v/>
      </c>
      <c r="RQ23" s="102" t="str">
        <f>IF(AND(WSIPS!$Y$30&gt;=91.5,WSIPS!$Y$30&lt;=100),"P","")</f>
        <v/>
      </c>
      <c r="RR23" t="str">
        <f>IF(WSIPS!$Y$38&lt;74.9,"P","")</f>
        <v/>
      </c>
      <c r="RS23" s="102" t="str">
        <f>IF(AND(WSIPS!$Y$38&gt;=75,WSIPS!$Y$38&lt;=83.24),"P","")</f>
        <v/>
      </c>
      <c r="RT23" s="102" t="str">
        <f>IF(AND(WSIPS!$Y$38&gt;=83.25,WSIPS!$Y$38&lt;=91.4),"P","")</f>
        <v/>
      </c>
      <c r="RU23" s="102" t="str">
        <f>IF(AND(WSIPS!$Y$38&gt;=91.5,WSIPS!$Y$38&lt;=100),"P","")</f>
        <v/>
      </c>
      <c r="RV23" t="str">
        <f>IF(WSIPS!$Y$46&lt;74.9,"P","")</f>
        <v/>
      </c>
      <c r="RW23" s="102" t="str">
        <f>IF(AND(WSIPS!$Y$46&gt;=75,WSIPS!$Y$46&lt;=83.24),"P","")</f>
        <v/>
      </c>
      <c r="RX23" s="102" t="str">
        <f>IF(AND(WSIPS!$Y$46&gt;=83.25,WSIPS!$Y$46&lt;=91.4),"P","")</f>
        <v/>
      </c>
      <c r="RY23" s="102" t="str">
        <f>IF(AND(WSIPS!$Y$46&gt;=91.5,WSIPS!$Y$46&lt;=100),"P","")</f>
        <v/>
      </c>
      <c r="RZ23" t="str">
        <f>IF(WSIPS!$Y$54&lt;74.9,"P","")</f>
        <v/>
      </c>
      <c r="SA23" s="102" t="str">
        <f>IF(AND(WSIPS!$Y$54&gt;=75,WSIPS!$Y$54&lt;=83.24),"P","")</f>
        <v/>
      </c>
      <c r="SB23" s="102" t="str">
        <f>IF(AND(WSIPS!$Y$54&gt;=83.25,WSIPS!$Y$54&lt;=91.4),"P","")</f>
        <v/>
      </c>
      <c r="SC23" s="102" t="str">
        <f>IF(AND(WSIPS!$Y$54&gt;=91.5,WSIPS!$Y$54&lt;=100),"P","")</f>
        <v/>
      </c>
      <c r="SD23" t="str">
        <f>IF(WSIPS!$Y$62&lt;74.9,"P","")</f>
        <v/>
      </c>
      <c r="SE23" s="102" t="str">
        <f>IF(AND(WSIPS!$Y$62&gt;=75,WSIPS!$Y$62&lt;=83.24),"P","")</f>
        <v/>
      </c>
      <c r="SF23" s="102" t="str">
        <f>IF(AND(WSIPS!$Y$62&gt;=83.25,WSIPS!$Y$62&lt;=91.4),"P","")</f>
        <v/>
      </c>
      <c r="SG23" s="102" t="str">
        <f>IF(AND(WSIPS!$Y$62&gt;=91.5,WSIPS!$Y$62&lt;=100),"P","")</f>
        <v/>
      </c>
      <c r="SH23" t="str">
        <f>IF(WSIPS!$Y$70&lt;74.9,"P","")</f>
        <v/>
      </c>
      <c r="SI23" s="102" t="str">
        <f>IF(AND(WSIPS!$Y$70&gt;=75,WSIPS!$Y$70&lt;=83.24),"P","")</f>
        <v/>
      </c>
      <c r="SJ23" s="102" t="str">
        <f>IF(AND(WSIPS!$Y$70&gt;=83.25,WSIPS!$Y$70&lt;=91.4),"P","")</f>
        <v/>
      </c>
      <c r="SK23" s="102" t="str">
        <f>IF(AND(WSIPS!$Y$70&gt;=91.5,WSIPS!$Y$70&lt;=100),"P","")</f>
        <v/>
      </c>
      <c r="SL23" t="str">
        <f>IF(WSIPS!$Y$78&lt;74.9,"P","")</f>
        <v/>
      </c>
      <c r="SM23" s="102" t="str">
        <f>IF(AND(WSIPS!$Y$78&gt;=75,WSIPS!$Y$78&lt;=83.24),"P","")</f>
        <v/>
      </c>
      <c r="SN23" s="102" t="str">
        <f>IF(AND(WSIPS!$Y$78&gt;=83.25,WSIPS!$Y$78&lt;=91.4),"P","")</f>
        <v/>
      </c>
      <c r="SO23" s="102" t="str">
        <f>IF(AND(WSIPS!$Y$78&gt;=91.5,WSIPS!$Y$78&lt;=100),"P","")</f>
        <v/>
      </c>
      <c r="SP23" t="str">
        <f>IF(WSIPS!$Y$86&lt;74.9,"P","")</f>
        <v/>
      </c>
      <c r="SQ23" s="102" t="str">
        <f>IF(AND(WSIPS!$Y$86&gt;=75,WSIPS!$Y$86&lt;=83.24),"P","")</f>
        <v/>
      </c>
      <c r="SR23" s="102" t="str">
        <f>IF(AND(WSIPS!$Y$86&gt;=83.25,WSIPS!$Y$86&lt;=91.4),"P","")</f>
        <v/>
      </c>
      <c r="SS23" s="102" t="str">
        <f>IF(AND(WSIPS!$Y$86&gt;=91.5,WSIPS!$Y$86&lt;=100),"P","")</f>
        <v/>
      </c>
      <c r="ST23" t="str">
        <f>IF(WSIPS!$Y$94&lt;74.9,"P","")</f>
        <v/>
      </c>
      <c r="SU23" s="102" t="str">
        <f>IF(AND(WSIPS!$Y$94&gt;=75,WSIPS!$Y$94&lt;=83.24),"P","")</f>
        <v/>
      </c>
      <c r="SV23" s="102" t="str">
        <f>IF(AND(WSIPS!$Y$94&gt;=83.25,WSIPS!$Y$94&lt;=91.4),"P","")</f>
        <v/>
      </c>
      <c r="SW23" s="102" t="str">
        <f>IF(AND(WSIPS!$Y$94&gt;=91.5,WSIPS!$Y$94&lt;=100),"P","")</f>
        <v/>
      </c>
      <c r="SX23" t="str">
        <f>IF(WSIPS!$Y$102&lt;74.9,"P","")</f>
        <v/>
      </c>
      <c r="SY23" s="102" t="str">
        <f>IF(AND(WSIPS!$Y$102&gt;=75,WSIPS!$Y$102&lt;=83.24),"P","")</f>
        <v/>
      </c>
      <c r="SZ23" s="102" t="str">
        <f>IF(AND(WSIPS!$Y$102&gt;=83.25,WSIPS!$Y$102&lt;=91.4),"P","")</f>
        <v/>
      </c>
      <c r="TA23" s="102" t="str">
        <f>IF(AND(WSIPS!$Y$102&gt;=91.5,WSIPS!$Y$102&lt;=100),"P","")</f>
        <v/>
      </c>
      <c r="TB23" t="str">
        <f>IF(WSSBK!$Y$6&lt;74.9,"P","")</f>
        <v/>
      </c>
      <c r="TC23" s="102" t="str">
        <f>IF(AND(WSSBK!$Y$6&gt;=75,WSSBK!$Y$6&lt;=83.24),"P","")</f>
        <v/>
      </c>
      <c r="TD23" s="102" t="str">
        <f>IF(AND(WSSBK!$Y$6&gt;=83.25,WSSBK!$Y$6&lt;=91.4),"P","")</f>
        <v/>
      </c>
      <c r="TE23" s="102" t="str">
        <f>IF(AND(WSSBK!$Y$6&gt;=91.5,WSSBK!$Y$6&lt;=100),"P","")</f>
        <v>P</v>
      </c>
      <c r="TF23" t="str">
        <f>IF(WSSBK!$Y$16&lt;74.9,"P","")</f>
        <v/>
      </c>
      <c r="TG23" s="102" t="str">
        <f>IF(AND(WSSBK!$Y$16&gt;=75,WSSBK!$Y$16&lt;=83.24),"P","")</f>
        <v/>
      </c>
      <c r="TH23" s="102" t="str">
        <f>IF(AND(WSSBK!$Y$16&gt;=83.25,WSSBK!$Y$16&lt;=91.4),"P","")</f>
        <v/>
      </c>
      <c r="TI23" s="102" t="str">
        <f>IF(AND(WSSBK!$Y$16&gt;=91.5,WSSBK!$Y$16&lt;=100),"P","")</f>
        <v>P</v>
      </c>
      <c r="TJ23" t="str">
        <f>IF(WSSBK!$Y$26&lt;74.9,"P","")</f>
        <v/>
      </c>
      <c r="TK23" s="102" t="str">
        <f>IF(AND(WSSBK!$Y$26&gt;=75,WSSBK!$Y$26&lt;=83.24),"P","")</f>
        <v/>
      </c>
      <c r="TL23" s="102" t="str">
        <f>IF(AND(WSSBK!$Y$26&gt;=83.25,WSSBK!$Y$26&lt;=91.4),"P","")</f>
        <v/>
      </c>
      <c r="TM23" s="102" t="str">
        <f>IF(AND(WSSBK!$Y$26&gt;=91.5,WSSBK!$Y$26&lt;=100),"P","")</f>
        <v>P</v>
      </c>
      <c r="TN23" t="str">
        <f>IF(WSSBK!$Y$36&lt;74.9,"P","")</f>
        <v/>
      </c>
      <c r="TO23" s="102" t="str">
        <f>IF(AND(WSSBK!$Y$36&gt;=75,WSSBK!$Y$36&lt;=83.24),"P","")</f>
        <v/>
      </c>
      <c r="TP23" s="102" t="str">
        <f>IF(AND(WSSBK!$Y$36&gt;=83.25,WSSBK!$Y$36&lt;=91.4),"P","")</f>
        <v/>
      </c>
      <c r="TQ23" s="102" t="str">
        <f>IF(AND(WSSBK!$Y$36&gt;=91.5,WSSBK!$Y$36&lt;=100),"P","")</f>
        <v>P</v>
      </c>
      <c r="TR23" t="str">
        <f>IF(WSSBK!$Y$46&lt;74.9,"P","")</f>
        <v/>
      </c>
      <c r="TS23" s="102" t="str">
        <f>IF(AND(WSSBK!$Y$46&gt;=75,WSSBK!$Y$46&lt;=83.24),"P","")</f>
        <v/>
      </c>
      <c r="TT23" s="102" t="str">
        <f>IF(AND(WSSBK!$Y$46&gt;=83.25,WSSBK!$Y$46&lt;=91.4),"P","")</f>
        <v/>
      </c>
      <c r="TU23" s="102" t="str">
        <f>IF(AND(WSSBK!$Y$46&gt;=91.5,WSSBK!$Y$46&lt;=100),"P","")</f>
        <v>P</v>
      </c>
      <c r="TV23" t="str">
        <f>IF(WSSBK!$Y$58&lt;74.9,"P","")</f>
        <v/>
      </c>
      <c r="TW23" s="102" t="str">
        <f>IF(AND(WSSBK!$Y$58&gt;=75,WSSBK!$Y$58&lt;=83.24),"P","")</f>
        <v/>
      </c>
      <c r="TX23" s="102" t="str">
        <f>IF(AND(WSSBK!$Y$58&gt;=83.25,WSSBK!$Y$58&lt;=91.4),"P","")</f>
        <v/>
      </c>
      <c r="TY23" s="102" t="str">
        <f>IF(AND(WSSBK!$Y$58&gt;=91.5,WSSBK!$Y$58&lt;=100),"P","")</f>
        <v>P</v>
      </c>
      <c r="TZ23" t="str">
        <f>IF(WSSBK!$Y$68&lt;74.9,"P","")</f>
        <v/>
      </c>
      <c r="UA23" s="102" t="str">
        <f>IF(AND(WSSBK!$Y$68&gt;=75,WSSBK!$Y$68&lt;=83.24),"P","")</f>
        <v/>
      </c>
      <c r="UB23" s="102" t="str">
        <f>IF(AND(WSSBK!$Y$68&gt;=83.25,WSSBK!$Y$68&lt;=91.4),"P","")</f>
        <v/>
      </c>
      <c r="UC23" s="102" t="str">
        <f>IF(AND(WSSBK!$Y$68&gt;=91.5,WSSBK!$Y$68&lt;=100),"P","")</f>
        <v>P</v>
      </c>
      <c r="UD23" t="str">
        <f>IF(WSSBK!$Y$77&lt;74.9,"P","")</f>
        <v/>
      </c>
      <c r="UE23" s="102" t="str">
        <f>IF(AND(WSSBK!$Y$77&gt;=75,WSSBK!$Y$77&lt;=83.24),"P","")</f>
        <v/>
      </c>
      <c r="UF23" s="102" t="str">
        <f>IF(AND(WSSBK!$Y$77&gt;=83.25,WSSBK!$Y$77&lt;=91.4),"P","")</f>
        <v/>
      </c>
      <c r="UG23" s="102" t="str">
        <f>IF(AND(WSSBK!$Y$77&gt;=91.5,WSSBK!$Y$77&lt;=100),"P","")</f>
        <v>P</v>
      </c>
      <c r="UH23" t="str">
        <f>IF(WSSBK!$Y$87&lt;74.9,"P","")</f>
        <v/>
      </c>
      <c r="UI23" s="102" t="str">
        <f>IF(AND(WSSBK!$Y$87&gt;=75,WSSBK!$Y$87&lt;=83.24),"P","")</f>
        <v/>
      </c>
      <c r="UJ23" s="102" t="str">
        <f>IF(AND(WSSBK!$Y$87&gt;=83.25,WSSBK!$Y$87&lt;=91.4),"P","")</f>
        <v/>
      </c>
      <c r="UK23" s="102" t="str">
        <f>IF(AND(WSSBK!$Y$87&gt;=91.5,WSSBK!$Y$87&lt;=100),"P","")</f>
        <v/>
      </c>
      <c r="UL23" t="str">
        <f>IF(WSSBK!$Y$95&lt;74.9,"P","")</f>
        <v/>
      </c>
      <c r="UM23" s="102" t="str">
        <f>IF(AND(WSSBK!$Y$95&gt;=75,WSSBK!$Y$95&lt;=83.24),"P","")</f>
        <v/>
      </c>
      <c r="UN23" s="102" t="str">
        <f>IF(AND(WSSBK!$Y$95&gt;=83.25,WSSBK!$Y$95&lt;=91.4),"P","")</f>
        <v/>
      </c>
      <c r="UO23" s="102" t="str">
        <f>IF(AND(WSSBK!$Y$95&gt;=91.5,WSSBK!$Y$95&lt;=100),"P","")</f>
        <v/>
      </c>
      <c r="UP23" t="str">
        <f>IF(WSSBK!$Y$103&lt;74.9,"P","")</f>
        <v/>
      </c>
      <c r="UQ23" s="102" t="str">
        <f>IF(AND(WSSBK!$Y$103&gt;=75,WSSBK!$Y$103&lt;=83.24),"P","")</f>
        <v/>
      </c>
      <c r="UR23" s="102" t="str">
        <f>IF(AND(WSSBK!$Y$103&gt;=83.25,WSSBK!$Y$103&lt;=91.4),"P","")</f>
        <v/>
      </c>
      <c r="US23" s="102" t="str">
        <f>IF(AND(WSSBK!$Y$103&gt;=91.5,WSSBK!$Y$103&lt;=100),"P","")</f>
        <v/>
      </c>
      <c r="UT23" t="str">
        <f>IF(WSSBK!$Y$111&lt;74.9,"P","")</f>
        <v/>
      </c>
      <c r="UU23" s="102" t="str">
        <f>IF(AND(WSSBK!$Y$111&gt;=75,WSSBK!$Y$111&lt;=83.24),"P","")</f>
        <v/>
      </c>
      <c r="UV23" s="102" t="str">
        <f>IF(AND(WSSBK!$Y$111&gt;=83.25,WSSBK!$Y$111&lt;=91.4),"P","")</f>
        <v/>
      </c>
      <c r="UW23" s="102" t="str">
        <f>IF(AND(WSSBK!$Y$111&gt;=91.5,WSSBK!$Y$111&lt;=100),"P","")</f>
        <v/>
      </c>
      <c r="UX23" t="str">
        <f>IF(WSSBK!$Y$119&lt;74.9,"P","")</f>
        <v/>
      </c>
      <c r="UY23" s="102" t="str">
        <f>IF(AND(WSSBK!$Y$119&gt;=75,WSSBK!$Y$119&lt;=83.24),"P","")</f>
        <v/>
      </c>
      <c r="UZ23" s="102" t="str">
        <f>IF(AND(WSSBK!$Y$119&gt;=83.25,WSSBK!$Y$119&lt;=91.4),"P","")</f>
        <v/>
      </c>
      <c r="VA23" s="102" t="str">
        <f>IF(AND(WSSBK!$Y$119&gt;=91.5,WSSBK!$Y$119&lt;=100),"P","")</f>
        <v/>
      </c>
      <c r="VB23" s="102" t="str">
        <f>IF(AND(WSPENJAS!$Y$6&gt;0,WSPENJAS!$Y$6&lt;=74.9),"P","")</f>
        <v/>
      </c>
      <c r="VC23" s="102" t="str">
        <f>IF(AND(WSPENJAS!$Y$6&gt;=75,WSPENJAS!$Y$6&lt;=83.24),"P","")</f>
        <v/>
      </c>
      <c r="VD23" s="102" t="str">
        <f>IF(AND(WSPENJAS!$Y$6&gt;=83.25,WSPENJAS!$Y$6&lt;=91.4),"P","")</f>
        <v/>
      </c>
      <c r="VE23" s="102" t="str">
        <f>IF(AND(WSPENJAS!$Y$6&gt;=91.5,WSPENJAS!$Y$6&lt;=100),"P","")</f>
        <v/>
      </c>
      <c r="VF23" s="102" t="str">
        <f>IF(AND(WSPENJAS!$Y$7&gt;0,WSPENJAS!$Y$7&lt;=74.9),"P","")</f>
        <v/>
      </c>
      <c r="VG23" s="102" t="str">
        <f>IF(AND(WSPENJAS!$Y$7&gt;=75,WSPENJAS!$Y$7&lt;=83.24),"P","")</f>
        <v/>
      </c>
      <c r="VH23" s="102" t="str">
        <f>IF(AND(WSPENJAS!$Y$7&gt;=83.25,WSPENJAS!$Y$7&lt;=91.4),"P","")</f>
        <v>P</v>
      </c>
      <c r="VI23" s="102" t="str">
        <f>IF(AND(WSPENJAS!$Y$7&gt;=91.5,WSPENJAS!$Y$7&lt;=100),"P","")</f>
        <v/>
      </c>
      <c r="VJ23" s="102" t="str">
        <f>IF(AND(WSPENJAS!$Y$8&gt;0,WSPENJAS!$Y$8&lt;=74.9),"P","")</f>
        <v/>
      </c>
      <c r="VK23" s="102" t="str">
        <f>IF(AND(WSPENJAS!$Y$8&gt;=75,WSPENJAS!$Y$8&lt;=83.24),"P","")</f>
        <v/>
      </c>
      <c r="VL23" s="102" t="str">
        <f>IF(AND(WSPENJAS!$Y$8&gt;=83.25,WSPENJAS!$Y$8&lt;=91.4),"P","")</f>
        <v>P</v>
      </c>
      <c r="VM23" s="102" t="str">
        <f>IF(AND(WSPENJAS!$Y$8&gt;=91.5,WSPENJAS!$Y$8&lt;=100),"P","")</f>
        <v/>
      </c>
      <c r="VN23" s="102" t="str">
        <f>IF(AND(WSPENJAS!$Y$9&gt;0,WSPENJAS!$Y$9&lt;=74.9),"P","")</f>
        <v/>
      </c>
      <c r="VO23" s="102" t="str">
        <f>IF(AND(WSPENJAS!$Y$9&gt;=75,WSPENJAS!$Y$9&lt;=83.24),"P","")</f>
        <v/>
      </c>
      <c r="VP23" s="102" t="str">
        <f>IF(AND(WSPENJAS!$Y$9&gt;=83.25,WSPENJAS!$Y$9&lt;=91.4),"P","")</f>
        <v>P</v>
      </c>
      <c r="VQ23" s="102" t="str">
        <f>IF(AND(WSPENJAS!$Y$9&gt;=91.5,WSPENJAS!$Y$9&lt;=100),"P","")</f>
        <v/>
      </c>
      <c r="VR23" s="102" t="str">
        <f>IF(AND(WSPENJAS!$Y$10&gt;0,WSPENJAS!$Y$10&lt;=74.9),"P","")</f>
        <v/>
      </c>
      <c r="VS23" s="102" t="str">
        <f>IF(AND(WSPENJAS!$Y$10&gt;=75,WSPENJAS!$Y$10&lt;=83.24),"P","")</f>
        <v/>
      </c>
      <c r="VT23" s="102" t="str">
        <f>IF(AND(WSPENJAS!$Y$10&gt;=83.25,WSPENJAS!$Y$10&lt;=91.4),"P","")</f>
        <v>P</v>
      </c>
      <c r="VU23" s="102" t="str">
        <f>IF(AND(WSPENJAS!$Y$10&gt;=91.5,WSPENJAS!$Y$10&lt;=100),"P","")</f>
        <v/>
      </c>
      <c r="VV23" s="102" t="str">
        <f>IF(AND(WSPENJAS!$Y$11&gt;0,WSPENJAS!$Y$11&lt;=74.9),"P","")</f>
        <v/>
      </c>
      <c r="VW23" s="102" t="str">
        <f>IF(AND(WSPENJAS!$Y$411&gt;=75,WSPENJAS!$Y$411&lt;=83.24),"P","")</f>
        <v/>
      </c>
      <c r="VX23" s="102" t="str">
        <f>IF(AND(WSPENJAS!$Y$411&gt;=83.25,WSPENJAS!$Y$411&lt;=91.4),"P","")</f>
        <v/>
      </c>
      <c r="VY23" s="102" t="str">
        <f>IF(AND(WSPENJAS!$Y$411&gt;=91.5,WSPENJAS!$Y$411&lt;=100),"P","")</f>
        <v/>
      </c>
      <c r="VZ23" s="102" t="str">
        <f>IF(AND(WSPENJAS!$Y$12&gt;0,WSPENJAS!$Y$12&lt;=74.9),"P","")</f>
        <v/>
      </c>
      <c r="WA23" s="102" t="str">
        <f>IF(AND(WSPENJAS!$Y$12&gt;=75,WSPENJAS!$Y$12&lt;=83.24),"P","")</f>
        <v/>
      </c>
      <c r="WB23" s="102" t="str">
        <f>IF(AND(WSPENJAS!$Y$12&gt;=83.25,WSPENJAS!$Y$12&lt;=91.4),"P","")</f>
        <v>P</v>
      </c>
      <c r="WC23" s="102" t="str">
        <f>IF(AND(WSPENJAS!$Y$12&gt;=91.5,WSPENJAS!$Y$12&lt;=100),"P","")</f>
        <v/>
      </c>
      <c r="WD23" s="102" t="str">
        <f>IF(AND(WSPENJAS!$Y$13&gt;0,WSPENJAS!$Y$13&lt;=74.9),"P","")</f>
        <v/>
      </c>
      <c r="WE23" s="102" t="str">
        <f>IF(AND(WSPENJAS!$Y$13&gt;=75,WSPENJAS!$Y$13&lt;=83.24),"P","")</f>
        <v/>
      </c>
      <c r="WF23" s="102" t="str">
        <f>IF(AND(WSPENJAS!$Y$13&gt;=83.25,WSPENJAS!$Y$13&lt;=91.4),"P","")</f>
        <v>P</v>
      </c>
      <c r="WG23" s="102" t="str">
        <f>IF(AND(WSPENJAS!$Y$13&gt;=91.5,WSPENJAS!$Y$13&lt;=100),"P","")</f>
        <v/>
      </c>
      <c r="WH23" s="102" t="str">
        <f>IF(AND(WSPENJAS!$Y$14&gt;0,WSPENJAS!$Y$14&lt;=74.9),"P","")</f>
        <v/>
      </c>
      <c r="WI23" s="102" t="str">
        <f>IF(AND(WSPENJAS!$Y$14&gt;=75,WSPENJAS!$Y$14&lt;=83.24),"P","")</f>
        <v/>
      </c>
      <c r="WJ23" s="102" t="str">
        <f>IF(AND(WSPENJAS!$Y$14&gt;=83.25,WSPENJAS!$Y$14&lt;=91.4),"P","")</f>
        <v>P</v>
      </c>
      <c r="WK23" s="102" t="str">
        <f>IF(AND(WSPENJAS!$Y$14&gt;=91.5,WSPENJAS!$Y$14&lt;=100),"P","")</f>
        <v/>
      </c>
      <c r="WL23" s="102" t="str">
        <f>IF(AND(WSPENJAS!$Y$15&gt;0,WSPENJAS!$Y$15&lt;=74.9),"P","")</f>
        <v/>
      </c>
      <c r="WM23" s="102" t="str">
        <f>IF(AND(WSPENJAS!$Y$15&gt;=75,WSPENJAS!$Y$15&lt;=83.24),"P","")</f>
        <v/>
      </c>
      <c r="WN23" s="102" t="str">
        <f>IF(AND(WSPENJAS!$Y$15&gt;=83.25,WSPENJAS!$Y$15&lt;=91.4),"P","")</f>
        <v>P</v>
      </c>
      <c r="WO23" s="102" t="str">
        <f>IF(AND(WSPENJAS!$Y$15&gt;=91.5,WSPENJAS!$Y$15&lt;=100),"P","")</f>
        <v/>
      </c>
      <c r="WP23" s="102" t="str">
        <f>IF(AND(WSPENJAS!$Y$16&gt;0,WSPENJAS!$Y$16&lt;=74.9),"P","")</f>
        <v/>
      </c>
      <c r="WQ23" s="102" t="str">
        <f>IF(AND(WSPENJAS!$Y$16&gt;=75,WSPENJAS!$Y$16&lt;=83.24),"P","")</f>
        <v/>
      </c>
      <c r="WR23" s="102" t="str">
        <f>IF(AND(WSPENJAS!$Y$16&gt;=83.25,WSPENJAS!$Y$16&lt;=91.4),"P","")</f>
        <v/>
      </c>
      <c r="WS23" s="102" t="str">
        <f>IF(AND(WSPENJAS!$Y$16&gt;=91.5,WSPENJAS!$Y$16&lt;=100),"P","")</f>
        <v/>
      </c>
      <c r="WT23" s="102" t="str">
        <f>IF(AND(WSPENJAS!$Y$17&gt;0,WSPENJAS!$Y$17&lt;=74.9),"P","")</f>
        <v/>
      </c>
      <c r="WU23" s="102" t="str">
        <f>IF(AND(WSPENJAS!$Y$17&gt;=75,WSPENJAS!$Y$17&lt;=83.24),"P","")</f>
        <v/>
      </c>
      <c r="WV23" s="102" t="str">
        <f>IF(AND(WSPENJAS!$Y$17&gt;=83.25,WSPENJAS!$Y$17&lt;=91.4),"P","")</f>
        <v/>
      </c>
      <c r="WW23" s="102" t="str">
        <f>IF(AND(WSPENJAS!$Y$17&gt;=91.5,WSPENJAS!$Y$17&lt;=100),"P","")</f>
        <v/>
      </c>
      <c r="WX23" s="102" t="str">
        <f>IF(AND(WSPENJAS!$Y$18&gt;0,WSPENJAS!$Y$18&lt;=74.9),"P","")</f>
        <v/>
      </c>
      <c r="WY23" s="102" t="str">
        <f>IF(AND(WSPENJAS!$Y$18&gt;=75,WSPENJAS!$Y$18&lt;=83.24),"P","")</f>
        <v/>
      </c>
      <c r="WZ23" s="102" t="str">
        <f>IF(AND(WSPENJAS!$Y$18&gt;=83.25,WSPENJAS!$Y$18&lt;=91.4),"P","")</f>
        <v/>
      </c>
      <c r="XA23" s="102" t="str">
        <f>IF(AND(WSPENJAS!$Y$18&gt;=91.5,WSPENJAS!$Y$18&lt;=100),"P","")</f>
        <v/>
      </c>
      <c r="XB23" s="102" t="str">
        <f>IF(AND(WSPENJAS!$Y$19&gt;0,WSPENJAS!$Y$19&lt;=74.9),"P","")</f>
        <v/>
      </c>
      <c r="XC23" s="102" t="str">
        <f>IF(AND(WSPENJAS!$Y$19&gt;=75,WSPENJAS!$Y$19&lt;=83.24),"P","")</f>
        <v/>
      </c>
      <c r="XD23" s="102" t="str">
        <f>IF(AND(WSPENJAS!$Y$19&gt;=83.25,WSPENJAS!$Y$19&lt;=91.4),"P","")</f>
        <v/>
      </c>
      <c r="XE23" s="102" t="str">
        <f>IF(AND(WSPENJAS!$Y$19&gt;=91.5,WSPENJAS!$Y$19&lt;=100),"P","")</f>
        <v/>
      </c>
      <c r="XF23" s="102" t="str">
        <f>IF(AND(WSPENJAS!$Y$20&gt;0,WSPENJAS!$Y$20&lt;=74.9),"P","")</f>
        <v/>
      </c>
      <c r="XG23" s="102" t="str">
        <f>IF(AND(WSPENJAS!$Y$20&gt;=75,WSPENJAS!$Y$20&lt;=83.24),"P","")</f>
        <v/>
      </c>
      <c r="XH23" s="102" t="str">
        <f>IF(AND(WSPENJAS!$Y$20&gt;=83.25,WSPENJAS!$Y$20&lt;=91.4),"P","")</f>
        <v/>
      </c>
      <c r="XI23" s="102" t="str">
        <f>IF(AND(WSPENJAS!$Y$20&gt;=91.5,WSPENJAS!$Y$20&lt;=100),"P","")</f>
        <v/>
      </c>
      <c r="XJ23" s="102" t="str">
        <f>IF(AND(WSPENJAS!$Y$21&gt;0,WSPENJAS!$Y$21&lt;=74.9),"P","")</f>
        <v/>
      </c>
      <c r="XK23" s="102" t="str">
        <f>IF(AND(WSPENJAS!$Y$21&gt;=75,WSPENJAS!$Y$21&lt;=83.24),"P","")</f>
        <v/>
      </c>
      <c r="XL23" s="102" t="str">
        <f>IF(AND(WSPENJAS!$Y$21&gt;=83.25,WSPENJAS!$Y$21&lt;=91.4),"P","")</f>
        <v/>
      </c>
      <c r="XM23" s="102" t="str">
        <f>IF(AND(WSPENJAS!$Y$21&gt;=91.5,WSPENJAS!$Y$21&lt;=100),"P","")</f>
        <v/>
      </c>
      <c r="XN23" t="str">
        <f>IF(WSJAWA!$Y$6&lt;74.9,"P","")</f>
        <v/>
      </c>
      <c r="XO23" s="102" t="str">
        <f>IF(AND(WSJAWA!$Y$6&gt;=75,WSJAWA!$Y$6&lt;=83.24),"P","")</f>
        <v/>
      </c>
      <c r="XP23" s="102" t="str">
        <f>IF(AND(WSJAWA!$Y$6&gt;=83.25,WSJAWA!$Y$6&lt;=91.4),"P","")</f>
        <v/>
      </c>
      <c r="XQ23" s="102" t="str">
        <f>IF(AND(WSJAWA!$Y$6&gt;=91.5,WSJAWA!$Y$6&lt;=100),"P","")</f>
        <v>P</v>
      </c>
      <c r="XR23" t="str">
        <f>IF(WSJAWA!$Y$14&lt;74.9,"P","")</f>
        <v/>
      </c>
      <c r="XS23" s="102" t="str">
        <f>IF(AND(WSJAWA!$Y$14&gt;=75,WSJAWA!$Y$14&lt;=83.24),"P","")</f>
        <v/>
      </c>
      <c r="XT23" s="102" t="str">
        <f>IF(AND(WSJAWA!$Y$14&gt;=83.25,WSJAWA!$Y$14&lt;=91.4),"P","")</f>
        <v/>
      </c>
      <c r="XU23" s="102" t="str">
        <f>IF(AND(WSJAWA!$Y$14&gt;=91.5,WSJAWA!$Y$14&lt;=100),"P","")</f>
        <v>P</v>
      </c>
      <c r="XV23" t="str">
        <f>IF(WSJAWA!$Y$22&lt;74.9,"P","")</f>
        <v/>
      </c>
      <c r="XW23" s="102" t="str">
        <f>IF(AND(WSJAWA!$Y$22&gt;=75,WSJAWA!$Y$22&lt;=83.24),"P","")</f>
        <v/>
      </c>
      <c r="XX23" s="102" t="str">
        <f>IF(AND(WSJAWA!$Y$22&gt;=83.25,WSJAWA!$Y$22&lt;=91.4),"P","")</f>
        <v/>
      </c>
      <c r="XY23" s="102" t="str">
        <f>IF(AND(WSJAWA!$Y$22&gt;=91.5,WSJAWA!$Y$22&lt;=100),"P","")</f>
        <v>P</v>
      </c>
      <c r="XZ23" t="str">
        <f>IF(WSJAWA!$Y$30&lt;74.9,"P","")</f>
        <v/>
      </c>
      <c r="YA23" s="102" t="str">
        <f>IF(AND(WSJAWA!$Y$30&gt;=75,WSJAWA!$Y$30&lt;=83.24),"P","")</f>
        <v/>
      </c>
      <c r="YB23" s="102" t="str">
        <f>IF(AND(WSJAWA!$Y$30&gt;=83.25,WSJAWA!$Y$30&lt;=91.4),"P","")</f>
        <v/>
      </c>
      <c r="YC23" s="102" t="str">
        <f>IF(AND(WSJAWA!$Y$30&gt;=91.5,WSJAWA!$Y$30&lt;=100),"P","")</f>
        <v>P</v>
      </c>
      <c r="YD23" t="str">
        <f>IF(WSJAWA!$Y$38&lt;74.9,"P","")</f>
        <v/>
      </c>
      <c r="YE23" s="102" t="str">
        <f>IF(AND(WSJAWA!$Y$38&gt;=75,WSJAWA!$Y$38&lt;=83.24),"P","")</f>
        <v/>
      </c>
      <c r="YF23" s="102" t="str">
        <f>IF(AND(WSJAWA!$Y$38&gt;=83.25,WSJAWA!$Y$38&lt;=91.4),"P","")</f>
        <v/>
      </c>
      <c r="YG23" s="102" t="str">
        <f>IF(AND(WSJAWA!$Y$38&gt;=91.5,WSJAWA!$Y$38&lt;=100),"P","")</f>
        <v>P</v>
      </c>
      <c r="YH23" t="str">
        <f>IF(WSJAWA!$Y$46&lt;74.9,"P","")</f>
        <v/>
      </c>
      <c r="YI23" s="102" t="str">
        <f>IF(AND(WSJAWA!$Y$46&gt;=75,WSJAWA!$Y$46&lt;=83.24),"P","")</f>
        <v/>
      </c>
      <c r="YJ23" s="102" t="str">
        <f>IF(AND(WSJAWA!$Y$46&gt;=83.25,WSJAWA!$Y$46&lt;=91.4),"P","")</f>
        <v/>
      </c>
      <c r="YK23" s="102" t="str">
        <f>IF(AND(WSJAWA!$Y$46&gt;=91.5,WSJAWA!$Y$46&lt;=100),"P","")</f>
        <v>P</v>
      </c>
      <c r="YL23" t="str">
        <f>IF(WSJAWA!$Y$54&lt;74.9,"P","")</f>
        <v/>
      </c>
      <c r="YM23" s="102" t="str">
        <f>IF(AND(WSJAWA!$Y$54&gt;=75,WSJAWA!$Y$54&lt;=83.24),"P","")</f>
        <v/>
      </c>
      <c r="YN23" s="102" t="str">
        <f>IF(AND(WSJAWA!$Y$54&gt;=83.25,WSJAWA!$Y$54&lt;=91.4),"P","")</f>
        <v/>
      </c>
      <c r="YO23" s="102" t="str">
        <f>IF(AND(WSJAWA!$Y$54&gt;=91.5,WSJAWA!$Y$54&lt;=100),"P","")</f>
        <v>P</v>
      </c>
      <c r="YP23" t="str">
        <f>IF(WSJAWA!$Y$62&lt;74.9,"P","")</f>
        <v/>
      </c>
      <c r="YQ23" s="102" t="str">
        <f>IF(AND(WSJAWA!$Y$62&gt;=75,WSJAWA!$Y$62&lt;=83.24),"P","")</f>
        <v/>
      </c>
      <c r="YR23" s="102" t="str">
        <f>IF(AND(WSJAWA!$Y$62&gt;=83.25,WSJAWA!$Y$62&lt;=91.4),"P","")</f>
        <v/>
      </c>
      <c r="YS23" s="102" t="str">
        <f>IF(AND(WSJAWA!$Y$62&gt;=91.5,WSJAWA!$Y$62&lt;=100),"P","")</f>
        <v>P</v>
      </c>
      <c r="YT23" t="str">
        <f>IF(WSJAWA!$Y$70&lt;74.9,"P","")</f>
        <v/>
      </c>
      <c r="YU23" s="102" t="str">
        <f>IF(AND(WSJAWA!$Y$70&gt;=75,WSJAWA!$Y$70&lt;=83.24),"P","")</f>
        <v/>
      </c>
      <c r="YV23" s="102" t="str">
        <f>IF(AND(WSJAWA!$Y$70&gt;=83.25,WSJAWA!$Y$70&lt;=91.4),"P","")</f>
        <v/>
      </c>
      <c r="YW23" s="102" t="str">
        <f>IF(AND(WSJAWA!$Y$70&gt;=91.5,WSJAWA!$Y$70&lt;=100),"P","")</f>
        <v/>
      </c>
      <c r="YX23" t="str">
        <f>IF(WSJAWA!$Y$78&lt;74.9,"P","")</f>
        <v/>
      </c>
      <c r="YY23" s="102" t="str">
        <f>IF(AND(WSJAWA!$Y$78&gt;=75,WSJAWA!$Y$78&lt;=83.24),"P","")</f>
        <v/>
      </c>
      <c r="YZ23" s="102" t="str">
        <f>IF(AND(WSJAWA!$Y$78&gt;=83.25,WSJAWA!$Y$78&lt;=91.4),"P","")</f>
        <v/>
      </c>
      <c r="ZA23" s="102" t="str">
        <f>IF(AND(WSJAWA!$Y$78&gt;=91.5,WSJAWA!$Y$78&lt;=100),"P","")</f>
        <v/>
      </c>
      <c r="ZB23" t="str">
        <f>IF(WSJAWA!$Y$86&lt;74.9,"P","")</f>
        <v/>
      </c>
      <c r="ZC23" s="102" t="str">
        <f>IF(AND(WSJAWA!$Y$86&gt;=75,WSJAWA!$Y$86&lt;=83.24),"P","")</f>
        <v/>
      </c>
      <c r="ZD23" s="102" t="str">
        <f>IF(AND(WSJAWA!$Y$86&gt;=83.25,WSJAWA!$Y$86&lt;=91.4),"P","")</f>
        <v/>
      </c>
      <c r="ZE23" s="102" t="str">
        <f>IF(AND(WSJAWA!$Y$86&gt;=91.5,WSJAWA!$Y$86&lt;=100),"P","")</f>
        <v/>
      </c>
      <c r="ZF23" t="str">
        <f>IF(WSJAWA!$Y$94&lt;74.9,"P","")</f>
        <v/>
      </c>
      <c r="ZG23" s="102" t="str">
        <f>IF(AND(WSJAWA!$Y$94&gt;=75,WSJAWA!$Y$94&lt;=83.24),"P","")</f>
        <v/>
      </c>
      <c r="ZH23" s="102" t="str">
        <f>IF(AND(WSJAWA!$Y$94&gt;=83.25,WSJAWA!$Y$94&lt;=91.4),"P","")</f>
        <v/>
      </c>
      <c r="ZI23" s="102" t="str">
        <f>IF(AND(WSJAWA!$Y$94&gt;=91.5,WSJAWA!$Y$94&lt;=100),"P","")</f>
        <v/>
      </c>
      <c r="ZJ23" t="str">
        <f>IF(WSJAWA!$Y$102&lt;74.9,"P","")</f>
        <v/>
      </c>
      <c r="ZK23" s="102" t="str">
        <f>IF(AND(WSJAWA!$Y$102&gt;=75,WSJAWA!$Y$102&lt;=83.24),"P","")</f>
        <v/>
      </c>
      <c r="ZL23" s="102" t="str">
        <f>IF(AND(WSJAWA!$Y$102&gt;=83.25,WSJAWA!$Y$102&lt;=91.4),"P","")</f>
        <v/>
      </c>
      <c r="ZM23" s="102" t="str">
        <f>IF(AND(WSJAWA!$Y$102&gt;=91.5,WSJAWA!$Y$102&lt;=100),"P","")</f>
        <v/>
      </c>
      <c r="ZN23" t="str">
        <f>IF(WSING!$Y$6&lt;74.9,"P","")</f>
        <v/>
      </c>
      <c r="ZO23" s="102" t="str">
        <f>IF(AND(WSING!$Y$6&gt;=75,WSING!$Y$6&lt;=83.24),"P","")</f>
        <v/>
      </c>
      <c r="ZP23" s="102" t="str">
        <f>IF(AND(WSING!$Y$6&gt;=83.25,WSING!$Y$6&lt;=91.4),"P","")</f>
        <v/>
      </c>
      <c r="ZQ23" s="102" t="str">
        <f>IF(AND(WSING!$Y$6&gt;=91.5,WSING!$Y$6&lt;=100),"P","")</f>
        <v>P</v>
      </c>
      <c r="ZR23" t="str">
        <f>IF(WSING!$Y$15&lt;74.9,"P","")</f>
        <v/>
      </c>
      <c r="ZS23" s="102" t="str">
        <f>IF(AND(WSING!$Y$15&gt;=75,WSING!$Y$15&lt;=83.24),"P","")</f>
        <v/>
      </c>
      <c r="ZT23" s="102" t="str">
        <f>IF(AND(WSING!$Y$15&gt;=83.25,WSING!$Y$15&lt;=91.4),"P","")</f>
        <v/>
      </c>
      <c r="ZU23" s="102" t="str">
        <f>IF(AND(WSING!$Y$15&gt;=91.5,WSING!$Y$15&lt;=100),"P","")</f>
        <v>P</v>
      </c>
      <c r="ZV23" t="str">
        <f>IF(WSING!$Y$24&lt;74.9,"P","")</f>
        <v/>
      </c>
      <c r="ZW23" s="102" t="str">
        <f>IF(AND(WSING!$Y$24&gt;=75,WSING!$Y$24&lt;=83.24),"P","")</f>
        <v/>
      </c>
      <c r="ZX23" s="102" t="str">
        <f>IF(AND(WSING!$Y$24&gt;=83.25,WSING!$Y$24&lt;=91.4),"P","")</f>
        <v/>
      </c>
      <c r="ZY23" s="102" t="str">
        <f>IF(AND(WSING!$Y$24&gt;=91.5,WSING!$Y$24&lt;=100),"P","")</f>
        <v>P</v>
      </c>
      <c r="ZZ23" t="str">
        <f>IF(WSING!$Y$33&lt;74.9,"P","")</f>
        <v/>
      </c>
      <c r="AAA23" s="102" t="str">
        <f>IF(AND(WSING!$Y$33&gt;=75,WSING!$Y$33&lt;=83.24),"P","")</f>
        <v/>
      </c>
      <c r="AAB23" s="102" t="str">
        <f>IF(AND(WSING!$Y$33&gt;=83.25,WSING!$Y$33&lt;=91.4),"P","")</f>
        <v/>
      </c>
      <c r="AAC23" s="102" t="str">
        <f>IF(AND(WSING!$Y$33&gt;=91.5,WSING!$Y$33&lt;=100),"P","")</f>
        <v>P</v>
      </c>
      <c r="AAD23" t="str">
        <f>IF(WSING!$Y$42&lt;74.9,"P","")</f>
        <v/>
      </c>
      <c r="AAE23" s="102" t="str">
        <f>IF(AND(WSING!$Y$42&gt;=75,WSING!$Y$42&lt;=83.24),"P","")</f>
        <v/>
      </c>
      <c r="AAF23" s="102" t="str">
        <f>IF(AND(WSING!$Y$42&gt;=83.25,WSING!$Y$42&lt;=91.4),"P","")</f>
        <v/>
      </c>
      <c r="AAG23" s="102" t="str">
        <f>IF(AND(WSING!$Y$42&gt;=91.5,WSING!$Y$42&lt;=100),"P","")</f>
        <v/>
      </c>
      <c r="AAH23" t="str">
        <f>IF(WSING!$Y$50&lt;74.9,"P","")</f>
        <v/>
      </c>
      <c r="AAI23" s="102" t="str">
        <f>IF(AND(WSING!$Y$50&gt;=75,WSING!$Y$50&lt;=83.24),"P","")</f>
        <v/>
      </c>
      <c r="AAJ23" s="102" t="str">
        <f>IF(AND(WSING!$Y$50&gt;=83.25,WSING!$Y$50&lt;=91.4),"P","")</f>
        <v/>
      </c>
      <c r="AAK23" s="102" t="str">
        <f>IF(AND(WSING!$Y$50&gt;=91.5,WSING!$Y$50&lt;=100),"P","")</f>
        <v/>
      </c>
      <c r="AAL23" t="str">
        <f>IF(WSING!$Y$58&lt;74.9,"P","")</f>
        <v/>
      </c>
      <c r="AAM23" s="102" t="str">
        <f>IF(AND(WSING!$Y$58&gt;=75,WSING!$Y$58&lt;=83.24),"P","")</f>
        <v/>
      </c>
      <c r="AAN23" s="102" t="str">
        <f>IF(AND(WSING!$Y$58&gt;=83.25,WSING!$Y$58&lt;=91.4),"P","")</f>
        <v/>
      </c>
      <c r="AAO23" s="102" t="str">
        <f>IF(AND(WSING!$Y$58&gt;=91.5,WSING!$Y$58&lt;=100),"P","")</f>
        <v/>
      </c>
      <c r="AAP23" t="str">
        <f>IF(WSING!$Y$66&lt;74.9,"P","")</f>
        <v/>
      </c>
      <c r="AAQ23" s="102" t="str">
        <f>IF(AND(WSING!$Y$66&gt;=75,WSING!$Y$66&lt;=83.24),"P","")</f>
        <v/>
      </c>
      <c r="AAR23" s="102" t="str">
        <f>IF(AND(WSING!$Y$66&gt;=83.25,WSING!$Y$66&lt;=91.4),"P","")</f>
        <v/>
      </c>
      <c r="AAS23" s="102" t="str">
        <f>IF(AND(WSING!$Y$66&gt;=91.5,WSING!$Y$66&lt;=100),"P","")</f>
        <v/>
      </c>
      <c r="AAT23" t="str">
        <f>IF(WSING!$Y$74&lt;74.9,"P","")</f>
        <v/>
      </c>
      <c r="AAU23" s="102" t="str">
        <f>IF(AND(WSING!$Y$74&gt;=75,WSING!$Y$74&lt;=83.24),"P","")</f>
        <v/>
      </c>
      <c r="AAV23" s="102" t="str">
        <f>IF(AND(WSING!$Y$74&gt;=83.25,WSING!$Y$74&lt;=91.4),"P","")</f>
        <v/>
      </c>
      <c r="AAW23" s="102" t="str">
        <f>IF(AND(WSING!$Y$74&gt;=91.5,WSING!$Y$74&lt;=100),"P","")</f>
        <v/>
      </c>
      <c r="AAX23" t="str">
        <f>IF(WSING!$Y$82&lt;74.9,"P","")</f>
        <v/>
      </c>
      <c r="AAY23" s="102" t="str">
        <f>IF(AND(WSING!$Y$82&gt;=75,WSING!$Y$82&lt;=83.24),"P","")</f>
        <v/>
      </c>
      <c r="AAZ23" s="102" t="str">
        <f>IF(AND(WSING!$Y$82&gt;=83.25,WSING!$Y$82&lt;=91.4),"P","")</f>
        <v/>
      </c>
      <c r="ABA23" s="102" t="str">
        <f>IF(AND(WSING!$Y$82&gt;=91.5,WSING!$Y$82&lt;=100),"P","")</f>
        <v/>
      </c>
      <c r="ABB23" t="str">
        <f>IF(WSING!$Y$90&lt;74.9,"P","")</f>
        <v/>
      </c>
      <c r="ABC23" s="102" t="str">
        <f>IF(AND(WSING!$Y$90&gt;=75,WSING!$Y$90&lt;=83.24),"P","")</f>
        <v/>
      </c>
      <c r="ABD23" s="102" t="str">
        <f>IF(AND(WSING!$Y$90&gt;=83.25,WSING!$Y$90&lt;=91.4),"P","")</f>
        <v/>
      </c>
      <c r="ABE23" s="102" t="str">
        <f>IF(AND(WSING!$Y$90&gt;=91.5,WSING!$Y$90&lt;=100),"P","")</f>
        <v/>
      </c>
      <c r="ABF23" t="str">
        <f>IF(WSING!$Y$98&lt;74.9,"P","")</f>
        <v/>
      </c>
      <c r="ABG23" s="102" t="str">
        <f>IF(AND(WSING!$Y$98&gt;=75,WSING!$Y$98&lt;=83.24),"P","")</f>
        <v/>
      </c>
      <c r="ABH23" s="102" t="str">
        <f>IF(AND(WSING!$Y$98&gt;=83.25,WSING!$Y$98&lt;=91.4),"P","")</f>
        <v/>
      </c>
      <c r="ABI23" s="102" t="str">
        <f>IF(AND(WSING!$Y$98&gt;=91.5,WSING!$Y$98&lt;=100),"P","")</f>
        <v/>
      </c>
      <c r="ABJ23" t="str">
        <f>IF(WSING!$Y$106&lt;74.9,"P","")</f>
        <v/>
      </c>
      <c r="ABK23" s="102" t="str">
        <f>IF(AND(WSING!$Y$106&gt;=75,WSING!$Y$106&lt;=83.24),"P","")</f>
        <v/>
      </c>
      <c r="ABL23" s="102" t="str">
        <f>IF(AND(WSING!$Y$106&gt;=83.25,WSING!$Y$106&lt;=91.4),"P","")</f>
        <v/>
      </c>
      <c r="ABM23" s="102" t="str">
        <f>IF(AND(WSING!$Y$106&gt;=91.5,WSING!$Y$106&lt;=100),"P","")</f>
        <v/>
      </c>
      <c r="ABN23" t="str">
        <f>IF(WSTIK!$Y$6&lt;74.9,"P","")</f>
        <v/>
      </c>
      <c r="ABO23" s="102" t="str">
        <f>IF(AND(WSTIK!$Y$6&gt;=75,WSTIK!$Y$6&lt;=83.24),"P","")</f>
        <v/>
      </c>
      <c r="ABP23" s="102" t="str">
        <f>IF(AND(WSTIK!$Y$6&gt;=83.25,WSTIK!$Y$6&lt;=91.4),"P","")</f>
        <v/>
      </c>
      <c r="ABQ23" s="102" t="str">
        <f>IF(AND(WSTIK!$Y$6&gt;=91.5,WSTIK!$Y$6&lt;=100),"P","")</f>
        <v/>
      </c>
      <c r="ABR23" t="str">
        <f>IF(WSTIK!$Y$14&lt;74.9,"P","")</f>
        <v/>
      </c>
      <c r="ABS23" s="102" t="str">
        <f>IF(AND(WSTIK!$Y$14&gt;=75,WSTIK!$Y$14&lt;=83.24),"P","")</f>
        <v/>
      </c>
      <c r="ABT23" s="102" t="str">
        <f>IF(AND(WSTIK!$Y$14&gt;=83.25,WSTIK!$Y$14&lt;=91.4),"P","")</f>
        <v/>
      </c>
      <c r="ABU23" s="102" t="str">
        <f>IF(AND(WSTIK!$Y$14&gt;=91.5,WSTIK!$Y$14&lt;=100),"P","")</f>
        <v/>
      </c>
      <c r="ABV23" t="str">
        <f>IF(WSTIK!$Y$22&lt;74.9,"P","")</f>
        <v/>
      </c>
      <c r="ABW23" s="102" t="str">
        <f>IF(AND(WSTIK!$Y$22&gt;=75,WSTIK!$Y$22&lt;=83.24),"P","")</f>
        <v/>
      </c>
      <c r="ABX23" s="102" t="str">
        <f>IF(AND(WSTIK!$Y$22&gt;=83.25,WSTIK!$Y$22&lt;=91.4),"P","")</f>
        <v/>
      </c>
      <c r="ABY23" s="102" t="str">
        <f>IF(AND(WSTIK!$Y$22&gt;=91.5,WSTIK!$Y$22&lt;=100),"P","")</f>
        <v/>
      </c>
      <c r="ABZ23" t="str">
        <f>IF(WSTIK!$Y$30&lt;74.9,"P","")</f>
        <v/>
      </c>
      <c r="ACA23" s="102" t="str">
        <f>IF(AND(WSTIK!$Y$30&gt;=75,WSTIK!$Y$30&lt;=83.24),"P","")</f>
        <v/>
      </c>
      <c r="ACB23" s="102" t="str">
        <f>IF(AND(WSTIK!$Y$30&gt;=83.25,WSTIK!$Y$30&lt;=91.4),"P","")</f>
        <v/>
      </c>
      <c r="ACC23" s="102" t="str">
        <f>IF(AND(WSTIK!$Y$30&gt;=91.5,WSTIK!$Y$30&lt;=100),"P","")</f>
        <v/>
      </c>
      <c r="ACD23" t="str">
        <f>IF(WSTIK!$Y$38&lt;74.9,"P","")</f>
        <v/>
      </c>
      <c r="ACE23" s="102" t="str">
        <f>IF(AND(WSTIK!$Y$38&gt;=75,WSTIK!$Y$38&lt;=83.24),"P","")</f>
        <v/>
      </c>
      <c r="ACF23" s="102" t="str">
        <f>IF(AND(WSTIK!$Y$38&gt;=83.25,WSTIK!$Y$38&lt;=91.4),"P","")</f>
        <v/>
      </c>
      <c r="ACG23" s="102" t="str">
        <f>IF(AND(WSTIK!$Y$38&gt;=91.5,WSTIK!$Y$38&lt;=100),"P","")</f>
        <v/>
      </c>
      <c r="ACH23" t="str">
        <f>IF(WSTIK!$Y$46&lt;74.9,"P","")</f>
        <v/>
      </c>
      <c r="ACI23" s="102" t="str">
        <f>IF(AND(WSTIK!$Y$46&gt;=75,WSTIK!$Y$46&lt;=83.24),"P","")</f>
        <v/>
      </c>
      <c r="ACJ23" s="102" t="str">
        <f>IF(AND(WSTIK!$Y$46&gt;=83.25,WSTIK!$Y$46&lt;=91.4),"P","")</f>
        <v/>
      </c>
      <c r="ACK23" s="102" t="str">
        <f>IF(AND(WSTIK!$Y$46&gt;=91.5,WSTIK!$Y$46&lt;=100),"P","")</f>
        <v/>
      </c>
      <c r="ACL23" t="str">
        <f>IF(WSTIK!$Y$54&lt;74.9,"P","")</f>
        <v/>
      </c>
      <c r="ACM23" s="102" t="str">
        <f>IF(AND(WSTIK!$Y$54&gt;=75,WSTIK!$Y$54&lt;=83.24),"P","")</f>
        <v/>
      </c>
      <c r="ACN23" s="102" t="str">
        <f>IF(AND(WSTIK!$Y$54&gt;=83.25,WSTIK!$Y$54&lt;=91.4),"P","")</f>
        <v/>
      </c>
      <c r="ACO23" s="102" t="str">
        <f>IF(AND(WSTIK!$Y$54&gt;=91.5,WSTIK!$Y$54&lt;=100),"P","")</f>
        <v/>
      </c>
      <c r="ACP23" t="str">
        <f>IF(WSTIK!$Y$62&lt;74.9,"P","")</f>
        <v/>
      </c>
      <c r="ACQ23" s="102" t="str">
        <f>IF(AND(WSTIK!$Y$62&gt;=75,WSTIK!$Y$62&lt;=83.24),"P","")</f>
        <v/>
      </c>
      <c r="ACR23" s="102" t="str">
        <f>IF(AND(WSTIK!$Y$62&gt;=83.25,WSTIK!$Y$62&lt;=91.4),"P","")</f>
        <v/>
      </c>
      <c r="ACS23" s="102" t="str">
        <f>IF(AND(WSTIK!$Y$62&gt;=91.5,WSTIK!$Y$62&lt;=100),"P","")</f>
        <v/>
      </c>
      <c r="ACT23" t="str">
        <f>IF(WSTIK!$Y$70&lt;74.9,"P","")</f>
        <v/>
      </c>
      <c r="ACU23" s="102" t="str">
        <f>IF(AND(WSTIK!$Y$70&gt;=75,WSTIK!$Y$70&lt;=83.24),"P","")</f>
        <v/>
      </c>
      <c r="ACV23" s="102" t="str">
        <f>IF(AND(WSTIK!$Y$70&gt;=83.25,WSTIK!$Y$70&lt;=91.4),"P","")</f>
        <v/>
      </c>
      <c r="ACW23" s="102" t="str">
        <f>IF(AND(WSTIK!$Y$70&gt;=91.5,WSTIK!$Y$70&lt;=100),"P","")</f>
        <v/>
      </c>
      <c r="ACX23" t="str">
        <f>IF(WSTIK!$Y$78&lt;74.9,"P","")</f>
        <v/>
      </c>
      <c r="ACY23" s="102" t="str">
        <f>IF(AND(WSTIK!$Y$78&gt;=75,WSTIK!$Y$78&lt;=83.24),"P","")</f>
        <v/>
      </c>
      <c r="ACZ23" s="102" t="str">
        <f>IF(AND(WSTIK!$Y$78&gt;=83.25,WSTIK!$Y$78&lt;=91.4),"P","")</f>
        <v/>
      </c>
      <c r="ADA23" s="102" t="str">
        <f>IF(AND(WSTIK!$Y$78&gt;=91.5,WSTIK!$Y$78&lt;=100),"P","")</f>
        <v/>
      </c>
      <c r="ADB23" t="str">
        <f>IF(WSTIK!$Y$86&lt;74.9,"P","")</f>
        <v/>
      </c>
      <c r="ADC23" s="102" t="str">
        <f>IF(AND(WSTIK!$Y$86&gt;=75,WSTIK!$Y$86&lt;=83.24),"P","")</f>
        <v/>
      </c>
      <c r="ADD23" s="102" t="str">
        <f>IF(AND(WSTIK!$Y$86&gt;=83.25,WSTIK!$Y$86&lt;=91.4),"P","")</f>
        <v/>
      </c>
      <c r="ADE23" s="102" t="str">
        <f>IF(AND(WSTIK!$Y$86&gt;=91.5,WSTIK!$Y$86&lt;=100),"P","")</f>
        <v/>
      </c>
      <c r="ADF23" t="str">
        <f>IF(WSTIK!$Y$94&lt;74.9,"P","")</f>
        <v/>
      </c>
      <c r="ADG23" s="102" t="str">
        <f>IF(AND(WSTIK!$Y$94&gt;=75,WSTIK!$Y$94&lt;=83.24),"P","")</f>
        <v/>
      </c>
      <c r="ADH23" s="102" t="str">
        <f>IF(AND(WSTIK!$Y$94&gt;=83.25,WSTIK!$Y$94&lt;=91.4),"P","")</f>
        <v/>
      </c>
      <c r="ADI23" s="102" t="str">
        <f>IF(AND(WSTIK!$Y$94&gt;=91.5,WSTIK!$Y$94&lt;=100),"P","")</f>
        <v/>
      </c>
      <c r="ADJ23" t="str">
        <f>IF(WSTIK!$Y$102&lt;74.9,"P","")</f>
        <v/>
      </c>
      <c r="ADK23" s="102" t="str">
        <f>IF(AND(WSTIK!$Y$102&gt;=75,WSTIK!$Y$102&lt;=83.24),"P","")</f>
        <v/>
      </c>
      <c r="ADL23" s="102" t="str">
        <f>IF(AND(WSTIK!$Y$102&gt;=83.25,WSTIK!$Y$102&lt;=91.4),"P","")</f>
        <v/>
      </c>
      <c r="ADM23" s="102" t="str">
        <f>IF(AND(WSTIK!$Y$102&gt;=91.5,WSTIK!$Y$102&lt;=100),"P","")</f>
        <v/>
      </c>
      <c r="ADN23" t="str">
        <f>IF(WSASWAJA!$Y$6&lt;74.9,"P","")</f>
        <v/>
      </c>
      <c r="ADO23" s="102" t="str">
        <f>IF(AND(WSASWAJA!$Y$6&gt;=75,WSASWAJA!$Y$6&lt;=83.24),"P","")</f>
        <v/>
      </c>
      <c r="ADP23" s="102" t="str">
        <f>IF(AND(WSASWAJA!$Y$6&gt;=83.25,WSASWAJA!$Y$6&lt;=91.4),"P","")</f>
        <v/>
      </c>
      <c r="ADQ23" s="102" t="str">
        <f>IF(AND(WSASWAJA!$Y$6&gt;=91.5,WSASWAJA!$Y$6&lt;=100),"P","")</f>
        <v/>
      </c>
      <c r="ADR23" t="str">
        <f>IF(WSASWAJA!$Y$14&lt;74.9,"P","")</f>
        <v/>
      </c>
      <c r="ADS23" s="102" t="str">
        <f>IF(AND(WSASWAJA!$Y$14&gt;=75,WSASWAJA!$Y$14&lt;=83.24),"P","")</f>
        <v/>
      </c>
      <c r="ADT23" s="102" t="str">
        <f>IF(AND(WSASWAJA!$Y$14&gt;=83.25,WSASWAJA!$Y$14&lt;=91.4),"P","")</f>
        <v/>
      </c>
      <c r="ADU23" s="102" t="str">
        <f>IF(AND(WSASWAJA!$Y$14&gt;=91.5,WSASWAJA!$Y$14&lt;=100),"P","")</f>
        <v/>
      </c>
      <c r="ADV23" t="str">
        <f>IF(WSASWAJA!$Y$22&lt;74.9,"P","")</f>
        <v/>
      </c>
      <c r="ADW23" s="102" t="str">
        <f>IF(AND(WSASWAJA!$Y$22&gt;=75,WSASWAJA!$Y$22&lt;=83.24),"P","")</f>
        <v/>
      </c>
      <c r="ADX23" s="102" t="str">
        <f>IF(AND(WSASWAJA!$Y$22&gt;=83.25,WSASWAJA!$Y$22&lt;=91.4),"P","")</f>
        <v/>
      </c>
      <c r="ADY23" s="102" t="str">
        <f>IF(AND(WSASWAJA!$Y$22&gt;=91.5,WSASWAJA!$Y$22&lt;=100),"P","")</f>
        <v/>
      </c>
      <c r="ADZ23" t="str">
        <f>IF(WSASWAJA!$Y$30&lt;74.9,"P","")</f>
        <v/>
      </c>
      <c r="AEA23" s="102" t="str">
        <f>IF(AND(WSASWAJA!$Y$30&gt;=75,WSASWAJA!$Y$30&lt;=83.24),"P","")</f>
        <v/>
      </c>
      <c r="AEB23" s="102" t="str">
        <f>IF(AND(WSASWAJA!$Y$30&gt;=83.25,WSASWAJA!$Y$30&lt;=91.4),"P","")</f>
        <v/>
      </c>
      <c r="AEC23" s="102" t="str">
        <f>IF(AND(WSASWAJA!$Y$30&gt;=91.5,WSASWAJA!$Y$30&lt;=100),"P","")</f>
        <v/>
      </c>
      <c r="AED23" t="str">
        <f>IF(WSASWAJA!$Y$38&lt;74.9,"P","")</f>
        <v/>
      </c>
      <c r="AEE23" s="102" t="str">
        <f>IF(AND(WSASWAJA!$Y$38&gt;=75,WSASWAJA!$Y$38&lt;=83.24),"P","")</f>
        <v/>
      </c>
      <c r="AEF23" s="102" t="str">
        <f>IF(AND(WSASWAJA!$Y$38&gt;=83.25,WSASWAJA!$Y$38&lt;=91.4),"P","")</f>
        <v/>
      </c>
      <c r="AEG23" s="102" t="str">
        <f>IF(AND(WSASWAJA!$Y$38&gt;=91.5,WSASWAJA!$Y$38&lt;=100),"P","")</f>
        <v/>
      </c>
      <c r="AEH23" t="str">
        <f>IF(WSASWAJA!$Y$46&lt;74.9,"P","")</f>
        <v/>
      </c>
      <c r="AEI23" s="102" t="str">
        <f>IF(AND(WSASWAJA!$Y$46&gt;=75,WSASWAJA!$Y$46&lt;=83.24),"P","")</f>
        <v/>
      </c>
      <c r="AEJ23" s="102" t="str">
        <f>IF(AND(WSASWAJA!$Y$46&gt;=83.25,WSASWAJA!$Y$46&lt;=91.4),"P","")</f>
        <v/>
      </c>
      <c r="AEK23" s="102" t="str">
        <f>IF(AND(WSASWAJA!$Y$46&gt;=91.5,WSASWAJA!$Y$46&lt;=100),"P","")</f>
        <v/>
      </c>
      <c r="AEL23" t="str">
        <f>IF(WSASWAJA!$Y$54&lt;74.9,"P","")</f>
        <v/>
      </c>
      <c r="AEM23" s="102" t="str">
        <f>IF(AND(WSASWAJA!$Y$54&gt;=75,WSASWAJA!$Y$54&lt;=83.24),"P","")</f>
        <v/>
      </c>
      <c r="AEN23" s="102" t="str">
        <f>IF(AND(WSASWAJA!$Y$54&gt;=83.25,WSASWAJA!$Y$54&lt;=91.4),"P","")</f>
        <v/>
      </c>
      <c r="AEO23" s="102" t="str">
        <f>IF(AND(WSASWAJA!$Y$54&gt;=91.5,WSASWAJA!$Y$54&lt;=100),"P","")</f>
        <v/>
      </c>
      <c r="AEP23" t="str">
        <f>IF(WSASWAJA!$Y$62&lt;74.9,"P","")</f>
        <v/>
      </c>
      <c r="AEQ23" s="102" t="str">
        <f>IF(AND(WSASWAJA!$Y$62&gt;=75,WSASWAJA!$Y$62&lt;=83.24),"P","")</f>
        <v/>
      </c>
      <c r="AER23" s="102" t="str">
        <f>IF(AND(WSASWAJA!$Y$62&gt;=83.25,WSASWAJA!$Y$62&lt;=91.4),"P","")</f>
        <v/>
      </c>
      <c r="AES23" s="102" t="str">
        <f>IF(AND(WSASWAJA!$Y$62&gt;=91.5,WSASWAJA!$Y$62&lt;=100),"P","")</f>
        <v/>
      </c>
      <c r="AET23" t="str">
        <f>IF(WSASWAJA!$Y$70&lt;74.9,"P","")</f>
        <v/>
      </c>
      <c r="AEU23" s="102" t="str">
        <f>IF(AND(WSASWAJA!$Y$70&gt;=75,WSASWAJA!$Y$70&lt;=83.24),"P","")</f>
        <v/>
      </c>
      <c r="AEV23" s="102" t="str">
        <f>IF(AND(WSASWAJA!$Y$70&gt;=83.25,WSASWAJA!$Y$70&lt;=91.4),"P","")</f>
        <v/>
      </c>
      <c r="AEW23" s="102" t="str">
        <f>IF(AND(WSASWAJA!$Y$70&gt;=91.5,WSASWAJA!$Y$70&lt;=100),"P","")</f>
        <v/>
      </c>
      <c r="AEX23" t="str">
        <f>IF(WSASWAJA!$Y$78&lt;74.9,"P","")</f>
        <v/>
      </c>
      <c r="AEY23" s="102" t="str">
        <f>IF(AND(WSASWAJA!$Y$78&gt;=75,WSASWAJA!$Y$78&lt;=83.24),"P","")</f>
        <v/>
      </c>
      <c r="AEZ23" s="102" t="str">
        <f>IF(AND(WSASWAJA!$Y$78&gt;=83.25,WSASWAJA!$Y$78&lt;=91.4),"P","")</f>
        <v/>
      </c>
      <c r="AFA23" s="102" t="str">
        <f>IF(AND(WSASWAJA!$Y$78&gt;=91.5,WSASWAJA!$Y$78&lt;=100),"P","")</f>
        <v/>
      </c>
      <c r="AFB23" t="str">
        <f>IF(WSASWAJA!$Y$86&lt;74.9,"P","")</f>
        <v/>
      </c>
      <c r="AFC23" s="102" t="str">
        <f>IF(AND(WSASWAJA!$Y$86&gt;=75,WSASWAJA!$Y$86&lt;=83.24),"P","")</f>
        <v/>
      </c>
      <c r="AFD23" s="102" t="str">
        <f>IF(AND(WSASWAJA!$Y$86&gt;=83.25,WSASWAJA!$Y$86&lt;=91.4),"P","")</f>
        <v/>
      </c>
      <c r="AFE23" s="102" t="str">
        <f>IF(AND(WSASWAJA!$Y$86&gt;=91.5,WSASWAJA!$Y$86&lt;=100),"P","")</f>
        <v/>
      </c>
      <c r="AFF23" t="str">
        <f>IF(WSASWAJA!$Y$94&lt;74.9,"P","")</f>
        <v/>
      </c>
      <c r="AFG23" s="102" t="str">
        <f>IF(AND(WSASWAJA!$Y$94&gt;=75,WSASWAJA!$Y$94&lt;=83.24),"P","")</f>
        <v/>
      </c>
      <c r="AFH23" s="102" t="str">
        <f>IF(AND(WSASWAJA!$Y$94&gt;=83.25,WSASWAJA!$Y$94&lt;=91.4),"P","")</f>
        <v/>
      </c>
      <c r="AFI23" s="102" t="str">
        <f>IF(AND(WSASWAJA!$Y$94&gt;=91.5,WSASWAJA!$Y$94&lt;=100),"P","")</f>
        <v/>
      </c>
      <c r="AFJ23" t="str">
        <f>IF(WSASWAJA!$Y$102&lt;74.9,"P","")</f>
        <v/>
      </c>
      <c r="AFK23" s="102" t="str">
        <f>IF(AND(WSASWAJA!$Y$102&gt;=75,WSASWAJA!$Y$102&lt;=83.24),"P","")</f>
        <v/>
      </c>
      <c r="AFL23" s="102" t="str">
        <f>IF(AND(WSASWAJA!$Y$102&gt;=83.25,WSASWAJA!$Y$102&lt;=91.4),"P","")</f>
        <v/>
      </c>
      <c r="AFM23" s="102" t="str">
        <f>IF(AND(WSASWAJA!$Y$102&gt;=91.5,WSASWAJA!$Y$102&lt;=100),"P","")</f>
        <v/>
      </c>
    </row>
    <row r="24" spans="1:845" ht="20.100000000000001" customHeight="1">
      <c r="A24">
        <v>22</v>
      </c>
      <c r="B24" t="str">
        <f>IF(WSALQURAN!$Z$6&lt;74.9,"P","")</f>
        <v/>
      </c>
      <c r="C24" s="102" t="str">
        <f>IF(AND(WSALQURAN!$Z$6&gt;=75,WSALQURAN!$Z$6&lt;=83.24),"P","")</f>
        <v/>
      </c>
      <c r="D24" s="102" t="str">
        <f>IF(AND(WSALQURAN!$Z$6&gt;=83.25,WSALQURAN!$Z$6&lt;=91.4),"P","")</f>
        <v>P</v>
      </c>
      <c r="E24" s="102" t="str">
        <f>IF(AND(WSALQURAN!$Z$6&gt;=91.5,WSALQURAN!$Z$6&lt;=100),"P","")</f>
        <v/>
      </c>
      <c r="F24" t="str">
        <f>IF(WSALQURAN!$Z$14&lt;74.9,"P","")</f>
        <v/>
      </c>
      <c r="G24" s="102" t="str">
        <f>IF(AND(WSALQURAN!$Z$14&gt;=75,WSALQURAN!$Z$14&lt;=83.24),"P","")</f>
        <v/>
      </c>
      <c r="H24" s="102" t="str">
        <f>IF(AND(WSALQURAN!$Z$14&gt;=83.25,WSALQURAN!$Z$14&lt;=91.4),"P","")</f>
        <v/>
      </c>
      <c r="I24" s="102" t="str">
        <f>IF(AND(WSALQURAN!$Z$14&gt;=91.5,WSALQURAN!$Z$14&lt;=100),"P","")</f>
        <v>P</v>
      </c>
      <c r="J24" t="str">
        <f>IF(WSALQURAN!$Z$22&lt;74.9,"P","")</f>
        <v/>
      </c>
      <c r="K24" s="102" t="str">
        <f>IF(AND(WSALQURAN!$Z$22&gt;=75,WSALQURAN!$Z$22&lt;=83.24),"P","")</f>
        <v/>
      </c>
      <c r="L24" s="102" t="str">
        <f>IF(AND(WSALQURAN!$Z$22&gt;=83.25,WSALQURAN!$Z$22&lt;=91.4),"P","")</f>
        <v>P</v>
      </c>
      <c r="M24" s="102" t="str">
        <f>IF(AND(WSALQURAN!$Z$22&gt;=91.5,WSALQURAN!$Z$22&lt;=100),"P","")</f>
        <v/>
      </c>
      <c r="N24" t="str">
        <f>IF(WSALQURAN!$Z$30&lt;74.9,"P","")</f>
        <v/>
      </c>
      <c r="O24" s="102" t="str">
        <f>IF(AND(WSALQURAN!$Z$30&gt;=75,WSALQURAN!$Z$30&lt;=83.24),"P","")</f>
        <v/>
      </c>
      <c r="P24" s="102" t="str">
        <f>IF(AND(WSALQURAN!$Z$30&gt;=83.25,WSALQURAN!$Z$30&lt;=91.4),"P","")</f>
        <v>P</v>
      </c>
      <c r="Q24" s="102" t="str">
        <f>IF(AND(WSALQURAN!$Z$30&gt;=91.5,WSALQURAN!$Z$30&lt;=100),"P","")</f>
        <v/>
      </c>
      <c r="R24" t="str">
        <f>IF(WSALQURAN!$Z$38&lt;74.9,"P","")</f>
        <v/>
      </c>
      <c r="S24" s="102" t="str">
        <f>IF(AND(WSALQURAN!$Z$38&gt;=75,WSALQURAN!$Z$38&lt;=83.24),"P","")</f>
        <v/>
      </c>
      <c r="T24" s="102" t="str">
        <f>IF(AND(WSALQURAN!$Z$38&gt;=83.25,WSALQURAN!$Z$38&lt;=91.4),"P","")</f>
        <v>P</v>
      </c>
      <c r="U24" s="102" t="str">
        <f>IF(AND(WSALQURAN!$Z$38&gt;=91.5,WSALQURAN!$Z$38&lt;=100),"P","")</f>
        <v/>
      </c>
      <c r="V24" t="str">
        <f>IF(WSALQURAN!$Z$46&lt;74.9,"P","")</f>
        <v/>
      </c>
      <c r="W24" s="102" t="str">
        <f>IF(AND(WSALQURAN!$Z$46&gt;=75,WSALQURAN!$Z$46&lt;=83.24),"P","")</f>
        <v>P</v>
      </c>
      <c r="X24" s="102" t="str">
        <f>IF(AND(WSALQURAN!$Z$46&gt;=83.25,WSALQURAN!$Z$46&lt;=91.4),"P","")</f>
        <v/>
      </c>
      <c r="Y24" s="102" t="str">
        <f>IF(AND(WSALQURAN!$Z$46&gt;=91.5,WSALQURAN!$Z$46&lt;=100),"P","")</f>
        <v/>
      </c>
      <c r="Z24" t="str">
        <f>IF(WSALQURAN!$Z$54&lt;74.9,"P","")</f>
        <v/>
      </c>
      <c r="AA24" s="102" t="str">
        <f>IF(AND(WSALQURAN!$Z$54&gt;=75,WSALQURAN!$Z$54&lt;=83.24),"P","")</f>
        <v/>
      </c>
      <c r="AB24" s="102" t="str">
        <f>IF(AND(WSALQURAN!$Z$54&gt;=83.25,WSALQURAN!$Z$54&lt;=91.4),"P","")</f>
        <v/>
      </c>
      <c r="AC24" s="102" t="str">
        <f>IF(AND(WSALQURAN!$Z$54&gt;=91.5,WSALQURAN!$Z$54&lt;=100),"P","")</f>
        <v>P</v>
      </c>
      <c r="AD24" t="str">
        <f>IF(WSALQURAN!$Z$62&lt;74.9,"P","")</f>
        <v/>
      </c>
      <c r="AE24" s="102" t="str">
        <f>IF(AND(WSALQURAN!$Z$62&gt;=75,WSALQURAN!$Z$62&lt;=83.24),"P","")</f>
        <v/>
      </c>
      <c r="AF24" s="102" t="str">
        <f>IF(AND(WSALQURAN!$Z$62&gt;=83.25,WSALQURAN!$Z$62&lt;=91.4),"P","")</f>
        <v/>
      </c>
      <c r="AG24" s="102" t="str">
        <f>IF(AND(WSALQURAN!$Z$62&gt;=91.5,WSALQURAN!$Z$62&lt;=100),"P","")</f>
        <v/>
      </c>
      <c r="AH24" t="str">
        <f>IF(WSALQURAN!$Z$70&lt;74.9,"P","")</f>
        <v/>
      </c>
      <c r="AI24" s="102" t="str">
        <f>IF(AND(WSALQURAN!$Z$70&gt;=75,WSALQURAN!$Z$70&lt;=83.24),"P","")</f>
        <v/>
      </c>
      <c r="AJ24" s="102" t="str">
        <f>IF(AND(WSALQURAN!$Z$70&gt;=83.25,WSALQURAN!$Z$70&lt;=91.4),"P","")</f>
        <v/>
      </c>
      <c r="AK24" s="102" t="str">
        <f>IF(AND(WSALQURAN!$Z$70&gt;=91.5,WSALQURAN!$Z$70&lt;=100),"P","")</f>
        <v/>
      </c>
      <c r="AL24" t="str">
        <f>IF(WSALQURAN!$Z$78&lt;74.9,"P","")</f>
        <v/>
      </c>
      <c r="AM24" s="102" t="str">
        <f>IF(AND(WSALQURAN!$Z$78&gt;=75,WSALQURAN!$Z$78&lt;=83.24),"P","")</f>
        <v/>
      </c>
      <c r="AN24" s="102" t="str">
        <f>IF(AND(WSALQURAN!$Z$78&gt;=83.25,WSALQURAN!$Z$78&lt;=91.4),"P","")</f>
        <v/>
      </c>
      <c r="AO24" s="102" t="str">
        <f>IF(AND(WSALQURAN!$Z$78&gt;=91.5,WSALQURAN!$Z$78&lt;=100),"P","")</f>
        <v/>
      </c>
      <c r="AP24" t="str">
        <f>IF(WSALQURAN!$Z$86&lt;74.9,"P","")</f>
        <v/>
      </c>
      <c r="AQ24" s="102" t="str">
        <f>IF(AND(WSALQURAN!$Z$86&gt;=75,WSALQURAN!$Z$86&lt;=83.24),"P","")</f>
        <v/>
      </c>
      <c r="AR24" s="102" t="str">
        <f>IF(AND(WSALQURAN!$Z$86&gt;=83.25,WSALQURAN!$Z$86&lt;=91.4),"P","")</f>
        <v/>
      </c>
      <c r="AS24" s="102" t="str">
        <f>IF(AND(WSALQURAN!$Z$86&gt;=91.5,WSALQURAN!$Z$86&lt;=100),"P","")</f>
        <v/>
      </c>
      <c r="AT24" t="str">
        <f>IF(WSALQURAN!$Z$94&lt;74.9,"P","")</f>
        <v/>
      </c>
      <c r="AU24" s="102" t="str">
        <f>IF(AND(WSALQURAN!$Z$94&gt;=75,WSALQURAN!$Z$94&lt;=83.24),"P","")</f>
        <v/>
      </c>
      <c r="AV24" s="102" t="str">
        <f>IF(AND(WSALQURAN!$Z$94&gt;=83.25,WSALQURAN!$Z$94&lt;=91.4),"P","")</f>
        <v/>
      </c>
      <c r="AW24" s="102" t="str">
        <f>IF(AND(WSALQURAN!$Z$94&gt;=91.5,WSALQURAN!$Z$94&lt;=100),"P","")</f>
        <v/>
      </c>
      <c r="AX24" t="str">
        <f>IF(WSALQURAN!$Z$102&lt;74.9,"P","")</f>
        <v/>
      </c>
      <c r="AY24" s="102" t="str">
        <f>IF(AND(WSALQURAN!$Z$102&gt;=75,WSALQURAN!$Z$102&lt;=83.24),"P","")</f>
        <v/>
      </c>
      <c r="AZ24" s="102" t="str">
        <f>IF(AND(WSALQURAN!$Z$102&gt;=83.25,WSALQURAN!$Z$102&lt;=91.4),"P","")</f>
        <v/>
      </c>
      <c r="BA24" s="102" t="str">
        <f>IF(AND(WSALQURAN!$Z$102&gt;=91.5,WSALQURAN!$Z$102&lt;=100),"P","")</f>
        <v/>
      </c>
      <c r="BB24" t="str">
        <f>IF(WSAQIDAH!$Z$6&lt;74.9,"P","")</f>
        <v/>
      </c>
      <c r="BC24" s="102" t="str">
        <f>IF(AND(WSAQIDAH!$Z$6&gt;=75,WSAQIDAH!$Z$6&lt;=83.24),"P","")</f>
        <v>P</v>
      </c>
      <c r="BD24" s="102" t="str">
        <f>IF(AND(WSAQIDAH!$Z$6&gt;=83.25,WSAQIDAH!$Z$6&lt;=91.4),"P","")</f>
        <v/>
      </c>
      <c r="BE24" s="102" t="str">
        <f>IF(AND(WSAQIDAH!$Z$6&gt;=91.5,WSAQIDAH!$Z$6&lt;=100),"P","")</f>
        <v/>
      </c>
      <c r="BF24" t="str">
        <f>IF(WSAQIDAH!$Z$14&lt;74.9,"P","")</f>
        <v/>
      </c>
      <c r="BG24" s="102" t="str">
        <f>IF(AND(WSAQIDAH!$Z$14&gt;=75,WSAQIDAH!$Z$14&lt;=83.24),"P","")</f>
        <v/>
      </c>
      <c r="BH24" s="102" t="str">
        <f>IF(AND(WSAQIDAH!$Z$14&gt;=83.25,WSAQIDAH!$Z$14&lt;=91.4),"P","")</f>
        <v/>
      </c>
      <c r="BI24" s="102" t="str">
        <f>IF(AND(WSAQIDAH!$Z$14&gt;=91.5,WSAQIDAH!$Z$14&lt;=100),"P","")</f>
        <v>P</v>
      </c>
      <c r="BJ24" t="str">
        <f>IF(WSAQIDAH!$Z$22&lt;74.9,"P","")</f>
        <v/>
      </c>
      <c r="BK24" s="102" t="str">
        <f>IF(AND(WSAQIDAH!$Z$22&gt;=75,WSAQIDAH!$Z$22&lt;=83.24),"P","")</f>
        <v>P</v>
      </c>
      <c r="BL24" s="102" t="str">
        <f>IF(AND(WSAQIDAH!$Z$22&gt;=83.25,WSAQIDAH!$Z$22&lt;=91.4),"P","")</f>
        <v/>
      </c>
      <c r="BM24" s="102" t="str">
        <f>IF(AND(WSAQIDAH!$Z$22&gt;=91.5,WSAQIDAH!$Z$22&lt;=100),"P","")</f>
        <v/>
      </c>
      <c r="BN24" t="str">
        <f>IF(WSAQIDAH!$Z$30&lt;74.9,"P","")</f>
        <v/>
      </c>
      <c r="BO24" s="102" t="str">
        <f>IF(AND(WSAQIDAH!$Z$30&gt;=75,WSAQIDAH!$Z$30&lt;=83.24),"P","")</f>
        <v>P</v>
      </c>
      <c r="BP24" s="102" t="str">
        <f>IF(AND(WSAQIDAH!$Z$30&gt;=83.25,WSAQIDAH!$Z$30&lt;=91.4),"P","")</f>
        <v/>
      </c>
      <c r="BQ24" s="102" t="str">
        <f>IF(AND(WSAQIDAH!$Z$30&gt;=91.5,WSAQIDAH!$Z$30&lt;=100),"P","")</f>
        <v/>
      </c>
      <c r="BR24" t="str">
        <f>IF(WSAQIDAH!$Z$38&lt;74.9,"P","")</f>
        <v/>
      </c>
      <c r="BS24" s="102" t="str">
        <f>IF(AND(WSAQIDAH!$Z$38&gt;=75,WSAQIDAH!$Z$38&lt;=83.24),"P","")</f>
        <v/>
      </c>
      <c r="BT24" s="102" t="str">
        <f>IF(AND(WSAQIDAH!$Z$38&gt;=83.25,WSAQIDAH!$Z$38&lt;=91.4),"P","")</f>
        <v>P</v>
      </c>
      <c r="BU24" s="102" t="str">
        <f>IF(AND(WSAQIDAH!$Z$38&gt;=91.5,WSAQIDAH!$Z$38&lt;=100),"P","")</f>
        <v/>
      </c>
      <c r="BV24" t="str">
        <f>IF(WSAQIDAH!$Z$46&lt;74.9,"P","")</f>
        <v/>
      </c>
      <c r="BW24" s="102" t="str">
        <f>IF(AND(WSAQIDAH!$Z$46&gt;=75,WSAQIDAH!$Z$46&lt;=83.24),"P","")</f>
        <v/>
      </c>
      <c r="BX24" s="102" t="str">
        <f>IF(AND(WSAQIDAH!$Z$46&gt;=83.25,WSAQIDAH!$Z$46&lt;=91.4),"P","")</f>
        <v>P</v>
      </c>
      <c r="BY24" s="102" t="str">
        <f>IF(AND(WSAQIDAH!$Z$46&gt;=91.5,WSAQIDAH!$Z$46&lt;=100),"P","")</f>
        <v/>
      </c>
      <c r="BZ24" t="str">
        <f>IF(WSAQIDAH!$Z$54&lt;74.9,"P","")</f>
        <v/>
      </c>
      <c r="CA24" s="102" t="str">
        <f>IF(AND(WSAQIDAH!$Z$54&gt;=75,WSAQIDAH!$Z$54&lt;=83.24),"P","")</f>
        <v>P</v>
      </c>
      <c r="CB24" s="102" t="str">
        <f>IF(AND(WSAQIDAH!$Z$54&gt;=83.25,WSAQIDAH!$Z$54&lt;=91.4),"P","")</f>
        <v/>
      </c>
      <c r="CC24" s="102" t="str">
        <f>IF(AND(WSAQIDAH!$Z$54&gt;=91.5,WSAQIDAH!$Z$54&lt;=100),"P","")</f>
        <v/>
      </c>
      <c r="CD24" t="str">
        <f>IF(WSAQIDAH!$Z$62&lt;74.9,"P","")</f>
        <v/>
      </c>
      <c r="CE24" s="102" t="str">
        <f>IF(AND(WSAQIDAH!$Z$62&gt;=75,WSAQIDAH!$Z$62&lt;=83.24),"P","")</f>
        <v>P</v>
      </c>
      <c r="CF24" s="102" t="str">
        <f>IF(AND(WSAQIDAH!$Z$62&gt;=83.25,WSAQIDAH!$Z$62&lt;=91.4),"P","")</f>
        <v/>
      </c>
      <c r="CG24" s="102" t="str">
        <f>IF(AND(WSAQIDAH!$Z$62&gt;=91.5,WSAQIDAH!$Z$62&lt;=100),"P","")</f>
        <v/>
      </c>
      <c r="CH24" t="str">
        <f>IF(WSAQIDAH!$Z$70&lt;74.9,"P","")</f>
        <v/>
      </c>
      <c r="CI24" s="102" t="str">
        <f>IF(AND(WSAQIDAH!$Z$70&gt;=75,WSAQIDAH!$Z$70&lt;=83.24),"P","")</f>
        <v>P</v>
      </c>
      <c r="CJ24" s="102" t="str">
        <f>IF(AND(WSAQIDAH!$Z$70&gt;=83.25,WSAQIDAH!$Z$70&lt;=91.4),"P","")</f>
        <v/>
      </c>
      <c r="CK24" s="102" t="str">
        <f>IF(AND(WSAQIDAH!$Z$70&gt;=91.5,WSAQIDAH!$Z$70&lt;=100),"P","")</f>
        <v/>
      </c>
      <c r="CL24" t="str">
        <f>IF(WSAQIDAH!$Z$78&lt;74.9,"P","")</f>
        <v/>
      </c>
      <c r="CM24" s="102" t="str">
        <f>IF(AND(WSAQIDAH!$Z$78&gt;=75,WSAQIDAH!$Z$78&lt;=83.24),"P","")</f>
        <v>P</v>
      </c>
      <c r="CN24" s="102" t="str">
        <f>IF(AND(WSAQIDAH!$Z$78&gt;=83.25,WSAQIDAH!$Z$78&lt;=91.4),"P","")</f>
        <v/>
      </c>
      <c r="CO24" s="102" t="str">
        <f>IF(AND(WSAQIDAH!$Z$78&gt;=91.5,WSAQIDAH!$Z$78&lt;=100),"P","")</f>
        <v/>
      </c>
      <c r="CP24" t="str">
        <f>IF(WSAQIDAH!$Z$86&lt;74.9,"P","")</f>
        <v/>
      </c>
      <c r="CQ24" s="102" t="str">
        <f>IF(AND(WSAQIDAH!$Z$86&gt;=75,WSAQIDAH!$Z$86&lt;=83.24),"P","")</f>
        <v/>
      </c>
      <c r="CR24" s="102" t="str">
        <f>IF(AND(WSAQIDAH!$Z$86&gt;=83.25,WSAQIDAH!$Z$86&lt;=91.4),"P","")</f>
        <v/>
      </c>
      <c r="CS24" s="102" t="str">
        <f>IF(AND(WSAQIDAH!$Z$86&gt;=91.5,WSAQIDAH!$Z$86&lt;=100),"P","")</f>
        <v/>
      </c>
      <c r="CT24" t="str">
        <f>IF(WSAQIDAH!$Z$94&lt;74.9,"P","")</f>
        <v/>
      </c>
      <c r="CU24" s="102" t="str">
        <f>IF(AND(WSAQIDAH!$Z$94&gt;=75,WSAQIDAH!$Z$94&lt;=83.24),"P","")</f>
        <v/>
      </c>
      <c r="CV24" s="102" t="str">
        <f>IF(AND(WSAQIDAH!$Z$94&gt;=83.25,WSAQIDAH!$Z$94&lt;=91.4),"P","")</f>
        <v/>
      </c>
      <c r="CW24" s="102" t="str">
        <f>IF(AND(WSAQIDAH!$Z$94&gt;=91.5,WSAQIDAH!$Z$94&lt;=100),"P","")</f>
        <v/>
      </c>
      <c r="CX24" t="str">
        <f>IF(WSAQIDAH!$Z$102&lt;74.9,"P","")</f>
        <v/>
      </c>
      <c r="CY24" s="102" t="str">
        <f>IF(AND(WSAQIDAH!$Z$102&gt;=75,WSAQIDAH!$Z$102&lt;=83.24),"P","")</f>
        <v/>
      </c>
      <c r="CZ24" s="102" t="str">
        <f>IF(AND(WSAQIDAH!$Z$102&gt;=83.25,WSAQIDAH!$Z$102&lt;=91.4),"P","")</f>
        <v/>
      </c>
      <c r="DA24" s="102" t="str">
        <f>IF(AND(WSAQIDAH!$Z$102&gt;=91.5,WSAQIDAH!$Z$102&lt;=100),"P","")</f>
        <v/>
      </c>
      <c r="DB24" t="str">
        <f>IF(WSSKI!$Z$6&lt;74.9,"P","")</f>
        <v/>
      </c>
      <c r="DC24" s="102" t="str">
        <f>IF(AND(WSSKI!$Z$6&gt;=75,WSSKI!$Z$6&lt;=83.24),"P","")</f>
        <v>P</v>
      </c>
      <c r="DD24" s="102" t="str">
        <f>IF(AND(WSSKI!$Z$6&gt;=83.25,WSSKI!$Z$6&lt;=91.4),"P","")</f>
        <v/>
      </c>
      <c r="DE24" s="102" t="str">
        <f>IF(AND(WSSKI!$Z$6&gt;=91.5,WSSKI!$Z$6&lt;=100),"P","")</f>
        <v/>
      </c>
      <c r="DF24" t="str">
        <f>IF(WSSKI!$Z$14&lt;74.9,"P","")</f>
        <v/>
      </c>
      <c r="DG24" s="102" t="str">
        <f>IF(AND(WSSKI!$Z$14&gt;=75,WSSKI!$Z$14&lt;=83.24),"P","")</f>
        <v/>
      </c>
      <c r="DH24" s="102" t="str">
        <f>IF(AND(WSSKI!$Z$14&gt;=83.25,WSSKI!$Z$14&lt;=91.4),"P","")</f>
        <v>P</v>
      </c>
      <c r="DI24" s="102" t="str">
        <f>IF(AND(WSSKI!$Z$14&gt;=91.5,WSSKI!$Z$14&lt;=100),"P","")</f>
        <v/>
      </c>
      <c r="DJ24" t="str">
        <f>IF(WSSKI!$Z$23&lt;74.9,"P","")</f>
        <v/>
      </c>
      <c r="DK24" s="102" t="str">
        <f>IF(AND(WSSKI!$Z$23&gt;=75,WSSKI!$Z$23&lt;=83.24),"P","")</f>
        <v/>
      </c>
      <c r="DL24" s="102" t="str">
        <f>IF(AND(WSSKI!$Z$23&gt;=83.25,WSSKI!$Z$23&lt;=91.4),"P","")</f>
        <v>P</v>
      </c>
      <c r="DM24" s="102" t="str">
        <f>IF(AND(WSSKI!$Z$23&gt;=91.5,WSSKI!$Z$23&lt;=100),"P","")</f>
        <v/>
      </c>
      <c r="DN24" t="str">
        <f>IF(WSSKI!$Z$31&lt;74.9,"P","")</f>
        <v/>
      </c>
      <c r="DO24" s="102" t="str">
        <f>IF(AND(WSSKI!$Z$31&gt;=75,WSSKI!$Z$31&lt;=83.24),"P","")</f>
        <v/>
      </c>
      <c r="DP24" s="102" t="str">
        <f>IF(AND(WSSKI!$Z$31&gt;=83.25,WSSKI!$Z$31&lt;=91.4),"P","")</f>
        <v/>
      </c>
      <c r="DQ24" s="102" t="str">
        <f>IF(AND(WSSKI!$Z$31&gt;=91.5,WSSKI!$Z$31&lt;=100),"P","")</f>
        <v>P</v>
      </c>
      <c r="DR24" t="str">
        <f>IF(WSSKI!$Z$40&lt;74.9,"P","")</f>
        <v/>
      </c>
      <c r="DS24" s="102" t="str">
        <f>IF(AND(WSSKI!$Z$40&gt;=75,WSSKI!$Z$40&lt;=83.24),"P","")</f>
        <v/>
      </c>
      <c r="DT24" s="102" t="str">
        <f>IF(AND(WSSKI!$Z$40&gt;=83.25,WSSKI!$Z$40&lt;=91.4),"P","")</f>
        <v/>
      </c>
      <c r="DU24" s="102" t="str">
        <f>IF(AND(WSSKI!$Z$40&gt;=91.5,WSSKI!$Z$40&lt;=100),"P","")</f>
        <v>P</v>
      </c>
      <c r="DV24" t="str">
        <f>IF(WSSKI!$Z$48&lt;74.9,"P","")</f>
        <v/>
      </c>
      <c r="DW24" s="102" t="str">
        <f>IF(AND(WSSKI!$Z$48&gt;=75,WSSKI!$Z$48&lt;=83.24),"P","")</f>
        <v>P</v>
      </c>
      <c r="DX24" s="102" t="str">
        <f>IF(AND(WSSKI!$Z$48&gt;=83.25,WSSKI!$Z$48&lt;=91.4),"P","")</f>
        <v/>
      </c>
      <c r="DY24" s="102" t="str">
        <f>IF(AND(WSSKI!$Z$48&gt;=91.5,WSSKI!$Z$48&lt;=100),"P","")</f>
        <v/>
      </c>
      <c r="DZ24" t="str">
        <f>IF(WSSKI!$Z$56&lt;74.9,"P","")</f>
        <v/>
      </c>
      <c r="EA24" s="102" t="str">
        <f>IF(AND(WSSKI!$Z$56&gt;=75,WSSKI!$Z$56&lt;=83.24),"P","")</f>
        <v/>
      </c>
      <c r="EB24" s="102" t="str">
        <f>IF(AND(WSSKI!$Z$56&gt;=83.25,WSSKI!$Z$56&lt;=91.4),"P","")</f>
        <v/>
      </c>
      <c r="EC24" s="102" t="str">
        <f>IF(AND(WSSKI!$Z$56&gt;=91.5,WSSKI!$Z$56&lt;=100),"P","")</f>
        <v/>
      </c>
      <c r="ED24" t="str">
        <f>IF(WSSKI!$Z$64&lt;74.9,"P","")</f>
        <v/>
      </c>
      <c r="EE24" s="102" t="str">
        <f>IF(AND(WSSKI!$Z$64&gt;=75,WSSKI!$Z$64&lt;=83.24),"P","")</f>
        <v/>
      </c>
      <c r="EF24" s="102" t="str">
        <f>IF(AND(WSSKI!$Z$64&gt;=83.25,WSSKI!$Z$64&lt;=91.4),"P","")</f>
        <v/>
      </c>
      <c r="EG24" s="102" t="str">
        <f>IF(AND(WSSKI!$Z$64&gt;=91.5,WSSKI!$Z$64&lt;=100),"P","")</f>
        <v/>
      </c>
      <c r="EH24" t="str">
        <f>IF(WSSKI!$Z$72&lt;74.9,"P","")</f>
        <v/>
      </c>
      <c r="EI24" s="102" t="str">
        <f>IF(AND(WSSKI!$Z$72&gt;=75,WSSKI!$Z$72&lt;=83.24),"P","")</f>
        <v/>
      </c>
      <c r="EJ24" s="102" t="str">
        <f>IF(AND(WSSKI!$Z$72&gt;=83.25,WSSKI!$Z$72&lt;=91.4),"P","")</f>
        <v/>
      </c>
      <c r="EK24" s="102" t="str">
        <f>IF(AND(WSSKI!$Z$72&gt;=91.5,WSSKI!$Z$72&lt;=100),"P","")</f>
        <v/>
      </c>
      <c r="EL24" t="str">
        <f>IF(WSSKI!$Z$80&lt;74.9,"P","")</f>
        <v/>
      </c>
      <c r="EM24" s="102" t="str">
        <f>IF(AND(WSSKI!$Z$80&gt;=75,WSSKI!$Z$80&lt;=83.24),"P","")</f>
        <v/>
      </c>
      <c r="EN24" s="102" t="str">
        <f>IF(AND(WSSKI!$Z$80&gt;=83.25,WSSKI!$Z$80&lt;=91.4),"P","")</f>
        <v/>
      </c>
      <c r="EO24" s="102" t="str">
        <f>IF(AND(WSSKI!$Z$80&gt;=91.5,WSSKI!$Z$80&lt;=100),"P","")</f>
        <v/>
      </c>
      <c r="EP24" t="str">
        <f>IF(WSSKI!$Z$88&lt;74.9,"P","")</f>
        <v/>
      </c>
      <c r="EQ24" s="102" t="str">
        <f>IF(AND(WSSKI!$Z$88&gt;=75,WSSKI!$Z$88&lt;=83.24),"P","")</f>
        <v/>
      </c>
      <c r="ER24" s="102" t="str">
        <f>IF(AND(WSSKI!$Z$88&gt;=83.25,WSSKI!$Z$88&lt;=91.4),"P","")</f>
        <v/>
      </c>
      <c r="ES24" s="102" t="str">
        <f>IF(AND(WSSKI!$Z$88&gt;=91.5,WSSKI!$Z$88&lt;=100),"P","")</f>
        <v/>
      </c>
      <c r="ET24" t="str">
        <f>IF(WSSKI!$Z$96&lt;74.9,"P","")</f>
        <v/>
      </c>
      <c r="EU24" s="102" t="str">
        <f>IF(AND(WSSKI!$Z$96&gt;=75,WSSKI!$Z$96&lt;=83.24),"P","")</f>
        <v/>
      </c>
      <c r="EV24" s="102" t="str">
        <f>IF(AND(WSSKI!$Z$96&gt;=83.25,WSSKI!$Z$96&lt;=91.4),"P","")</f>
        <v/>
      </c>
      <c r="EW24" s="102" t="str">
        <f>IF(AND(WSSKI!$Z$96&gt;=91.5,WSSKI!$Z$96&lt;=100),"P","")</f>
        <v/>
      </c>
      <c r="EX24" t="str">
        <f>IF(WSSKI!$Z$104&lt;74.9,"P","")</f>
        <v/>
      </c>
      <c r="EY24" s="102" t="str">
        <f>IF(AND(WSSKI!$Z$104&gt;=75,WSSKI!$Z$104&lt;=83.24),"P","")</f>
        <v/>
      </c>
      <c r="EZ24" s="102" t="str">
        <f>IF(AND(WSSKI!$Z$104&gt;=83.25,WSSKI!$Z$104&lt;=91.4),"P","")</f>
        <v/>
      </c>
      <c r="FA24" s="102" t="str">
        <f>IF(AND(WSSKI!$Z$104&gt;=91.5,WSSKI!$Z$104&lt;=100),"P","")</f>
        <v/>
      </c>
      <c r="FB24" t="str">
        <f>IF(WSFIQIH!$Z$6&lt;74.9,"P","")</f>
        <v/>
      </c>
      <c r="FC24" s="102" t="str">
        <f>IF(AND(WSFIQIH!$Z$6&gt;=75,WSFIQIH!$Z$6&lt;=83.24),"P","")</f>
        <v/>
      </c>
      <c r="FD24" s="102" t="str">
        <f>IF(AND(WSFIQIH!$Z$6&gt;=83.25,WSFIQIH!$Z$6&lt;=91.4),"P","")</f>
        <v/>
      </c>
      <c r="FE24" s="102" t="str">
        <f>IF(AND(WSFIQIH!$Z$6&gt;=91.5,WSFIQIH!$Z$6&lt;=100),"P","")</f>
        <v>P</v>
      </c>
      <c r="FF24" t="str">
        <f>IF(WSFIQIH!$Z$19&lt;74.9,"P","")</f>
        <v/>
      </c>
      <c r="FG24" s="102" t="str">
        <f>IF(AND(WSFIQIH!$Z$19&gt;=75,WSFIQIH!$Z$19&lt;=83.24),"P","")</f>
        <v/>
      </c>
      <c r="FH24" s="102" t="str">
        <f>IF(AND(WSFIQIH!$Z$19&gt;=83.25,WSFIQIH!$Z$19&lt;=91.4),"P","")</f>
        <v>P</v>
      </c>
      <c r="FI24" s="102" t="str">
        <f>IF(AND(WSFIQIH!$Z$19&gt;=91.5,WSFIQIH!$Z$19&lt;=100),"P","")</f>
        <v/>
      </c>
      <c r="FJ24" t="str">
        <f>IF(WSFIQIH!$Z$28&lt;74.9,"P","")</f>
        <v/>
      </c>
      <c r="FK24" s="102" t="str">
        <f>IF(AND(WSFIQIH!$Z$28&gt;=75,WSFIQIH!$Z$28&lt;=83.24),"P","")</f>
        <v>P</v>
      </c>
      <c r="FL24" s="102" t="str">
        <f>IF(AND(WSFIQIH!$Z$28&gt;=83.25,WSFIQIH!$Z$28&lt;=91.4),"P","")</f>
        <v/>
      </c>
      <c r="FM24" s="102" t="str">
        <f>IF(AND(WSFIQIH!$Z$28&gt;=91.5,WSFIQIH!$Z$28&lt;=100),"P","")</f>
        <v/>
      </c>
      <c r="FN24" t="str">
        <f>IF(WSFIQIH!$Z$41&lt;74.9,"P","")</f>
        <v/>
      </c>
      <c r="FO24" s="102" t="str">
        <f>IF(AND(WSFIQIH!$Z$41&gt;=75,WSFIQIH!$Z$41&lt;=83.24),"P","")</f>
        <v/>
      </c>
      <c r="FP24" s="102" t="str">
        <f>IF(AND(WSFIQIH!$Z$41&gt;=83.25,WSFIQIH!$Z$41&lt;=91.4),"P","")</f>
        <v>P</v>
      </c>
      <c r="FQ24" s="102" t="str">
        <f>IF(AND(WSFIQIH!$Z$41&gt;=91.5,WSFIQIH!$Z$41&lt;=100),"P","")</f>
        <v/>
      </c>
      <c r="FR24" t="str">
        <f>IF(WSFIQIH!$Z$49&lt;74.9,"P","")</f>
        <v/>
      </c>
      <c r="FS24" s="102" t="str">
        <f>IF(AND(WSFIQIH!$Z$49&gt;=75,WSFIQIH!$Z$49&lt;=83.24),"P","")</f>
        <v>P</v>
      </c>
      <c r="FT24" s="102" t="str">
        <f>IF(AND(WSFIQIH!$Z$49&gt;=83.25,WSFIQIH!$Z$49&lt;=91.4),"P","")</f>
        <v/>
      </c>
      <c r="FU24" s="102" t="str">
        <f>IF(AND(WSFIQIH!$Z$49&gt;=91.5,WSFIQIH!$Z$49&lt;=100),"P","")</f>
        <v/>
      </c>
      <c r="FV24" t="str">
        <f>IF(WSFIQIH!$Z$62&lt;74.9,"P","")</f>
        <v/>
      </c>
      <c r="FW24" s="102" t="str">
        <f>IF(AND(WSFIQIH!$Z$62&gt;=75,WSFIQIH!$Z$62&lt;=83.24),"P","")</f>
        <v/>
      </c>
      <c r="FX24" s="102" t="str">
        <f>IF(AND(WSFIQIH!$Z$62&gt;=83.25,WSFIQIH!$Z$62&lt;=91.4),"P","")</f>
        <v/>
      </c>
      <c r="FY24" s="102" t="str">
        <f>IF(AND(WSFIQIH!$Z$62&gt;=91.5,WSFIQIH!$Z$62&lt;=100),"P","")</f>
        <v>P</v>
      </c>
      <c r="FZ24" t="str">
        <f>IF(WSFIQIH!$Z$71&lt;74.9,"P","")</f>
        <v/>
      </c>
      <c r="GA24" s="102" t="str">
        <f>IF(AND(WSFIQIH!$Z$71&gt;=75,WSFIQIH!$Z$71&lt;=83.24),"P","")</f>
        <v/>
      </c>
      <c r="GB24" s="102" t="str">
        <f>IF(AND(WSFIQIH!$Z$71&gt;=83.25,WSFIQIH!$Z$71&lt;=91.4),"P","")</f>
        <v/>
      </c>
      <c r="GC24" s="102" t="str">
        <f>IF(AND(WSFIQIH!$Z$71&gt;=91.5,WSFIQIH!$Z$71&lt;=100),"P","")</f>
        <v>P</v>
      </c>
      <c r="GD24" t="str">
        <f>IF(WSFIQIH!$Z$80&lt;74.9,"P","")</f>
        <v/>
      </c>
      <c r="GE24" s="102" t="str">
        <f>IF(AND(WSFIQIH!$Z$80&gt;=75,WSFIQIH!$Z$80&lt;=83.24),"P","")</f>
        <v>P</v>
      </c>
      <c r="GF24" s="102" t="str">
        <f>IF(AND(WSFIQIH!$Z$80&gt;=83.25,WSFIQIH!$Z$80&lt;=91.4),"P","")</f>
        <v/>
      </c>
      <c r="GG24" s="102" t="str">
        <f>IF(AND(WSFIQIH!$Z$80&gt;=91.5,WSFIQIH!$Z$80&lt;=100),"P","")</f>
        <v/>
      </c>
      <c r="GH24" t="str">
        <f>IF(WSFIQIH!$Z$88&lt;74.9,"P","")</f>
        <v/>
      </c>
      <c r="GI24" s="102" t="str">
        <f>IF(AND(WSFIQIH!$Z$88&gt;=75,WSFIQIH!$Z$88&lt;=83.24),"P","")</f>
        <v/>
      </c>
      <c r="GJ24" s="102" t="str">
        <f>IF(AND(WSFIQIH!$Z$88&gt;=83.25,WSFIQIH!$Z$88&lt;=91.4),"P","")</f>
        <v/>
      </c>
      <c r="GK24" s="102" t="str">
        <f>IF(AND(WSFIQIH!$Z$88&gt;=91.5,WSFIQIH!$Z$88&lt;=100),"P","")</f>
        <v/>
      </c>
      <c r="GL24" t="str">
        <f>IF(WSFIQIH!$Z$96&lt;74.9,"P","")</f>
        <v/>
      </c>
      <c r="GM24" s="102" t="str">
        <f>IF(AND(WSFIQIH!$Z$96&gt;=75,WSFIQIH!$Z$96&lt;=83.24),"P","")</f>
        <v/>
      </c>
      <c r="GN24" s="102" t="str">
        <f>IF(AND(WSFIQIH!$Z$96&gt;=83.25,WSFIQIH!$Z$96&lt;=91.4),"P","")</f>
        <v/>
      </c>
      <c r="GO24" s="102" t="str">
        <f>IF(AND(WSFIQIH!$Z$96&gt;=91.5,WSFIQIH!$Z$96&lt;=100),"P","")</f>
        <v/>
      </c>
      <c r="GP24" t="str">
        <f>IF(WSFIQIH!$Z$104&lt;74.9,"P","")</f>
        <v/>
      </c>
      <c r="GQ24" s="102" t="str">
        <f>IF(AND(WSFIQIH!$Z$104&gt;=75,WSFIQIH!$Z$104&lt;=83.24),"P","")</f>
        <v/>
      </c>
      <c r="GR24" s="102" t="str">
        <f>IF(AND(WSFIQIH!$Z$104&gt;=83.25,WSFIQIH!$Z$104&lt;=91.4),"P","")</f>
        <v/>
      </c>
      <c r="GS24" s="102" t="str">
        <f>IF(AND(WSFIQIH!$Z$104&gt;=91.5,WSFIQIH!$Z$104&lt;=100),"P","")</f>
        <v/>
      </c>
      <c r="GT24" t="str">
        <f>IF(WSFIQIH!$Z$112&lt;74.9,"P","")</f>
        <v/>
      </c>
      <c r="GU24" s="102" t="str">
        <f>IF(AND(WSFIQIH!$Z$112&gt;=75,WSFIQIH!$Z$112&lt;=83.24),"P","")</f>
        <v/>
      </c>
      <c r="GV24" s="102" t="str">
        <f>IF(AND(WSFIQIH!$Z$112&gt;=83.25,WSFIQIH!$Z$112&lt;=91.4),"P","")</f>
        <v/>
      </c>
      <c r="GW24" s="102" t="str">
        <f>IF(AND(WSFIQIH!$Z$112&gt;=91.5,WSFIQIH!$Z$112&lt;=100),"P","")</f>
        <v/>
      </c>
      <c r="GX24" t="str">
        <f>IF(WSFIQIH!$Z$120&lt;74.9,"P","")</f>
        <v/>
      </c>
      <c r="GY24" s="102" t="str">
        <f>IF(AND(WSFIQIH!$Z$120&gt;=75,WSFIQIH!$Z$120&lt;=83.24),"P","")</f>
        <v/>
      </c>
      <c r="GZ24" s="102" t="str">
        <f>IF(AND(WSFIQIH!$Z$120&gt;=83.25,WSFIQIH!$Z$120&lt;=91.4),"P","")</f>
        <v/>
      </c>
      <c r="HA24" s="102" t="str">
        <f>IF(AND(WSFIQIH!$Z$120&gt;=91.5,WSFIQIH!$Z$120&lt;=100),"P","")</f>
        <v/>
      </c>
      <c r="HB24" t="str">
        <f>IF(WSPKN!$Z$6&lt;74.9,"P","")</f>
        <v/>
      </c>
      <c r="HC24" s="102" t="str">
        <f>IF(AND(WSPKN!$Z$6&gt;=75,WSPKN!$Z$6&lt;=83.24),"P","")</f>
        <v/>
      </c>
      <c r="HD24" s="102" t="str">
        <f>IF(AND(WSPKN!$Z$6&gt;=83.25,WSPKN!$Z$6&lt;=91.4),"P","")</f>
        <v/>
      </c>
      <c r="HE24" s="102" t="str">
        <f>IF(AND(WSPKN!$Z$6&gt;=91.5,WSPKN!$Z$6&lt;=100),"P","")</f>
        <v>P</v>
      </c>
      <c r="HF24" t="str">
        <f>IF(WSPKN!$Z$32&lt;74.9,"P","")</f>
        <v/>
      </c>
      <c r="HG24" s="102" t="str">
        <f>IF(AND(WSPKN!$Z$32&gt;=75,WSPKN!$Z$32&lt;=83.24),"P","")</f>
        <v/>
      </c>
      <c r="HH24" s="102" t="str">
        <f>IF(AND(WSPKN!$Z$32&gt;=83.25,WSPKN!$Z$32&lt;=91.4),"P","")</f>
        <v/>
      </c>
      <c r="HI24" s="102" t="str">
        <f>IF(AND(WSPKN!$Z$32&gt;=91.5,WSPKN!$Z$32&lt;=100),"P","")</f>
        <v>P</v>
      </c>
      <c r="HJ24" t="str">
        <f>IF(WSPKN!$Z$55&lt;74.9,"P","")</f>
        <v/>
      </c>
      <c r="HK24" s="102" t="str">
        <f>IF(AND(WSPKN!$Z$55&gt;=75,WSPKN!$Z$55&lt;=83.24),"P","")</f>
        <v/>
      </c>
      <c r="HL24" s="102" t="str">
        <f>IF(AND(WSPKN!$Z$55&gt;=83.25,WSPKN!$Z$55&lt;=91.4),"P","")</f>
        <v/>
      </c>
      <c r="HM24" s="102" t="str">
        <f>IF(AND(WSPKN!$Z$55&gt;=91.5,WSPKN!$Z$55&lt;=100),"P","")</f>
        <v>P</v>
      </c>
      <c r="HN24" t="str">
        <f>IF(WSPKN!$Z$72&lt;74.9,"P","")</f>
        <v/>
      </c>
      <c r="HO24" s="102" t="str">
        <f>IF(AND(WSPKN!$Z$72&gt;=75,WSPKN!$Z$72&lt;=83.24),"P","")</f>
        <v/>
      </c>
      <c r="HP24" s="102" t="str">
        <f>IF(AND(WSPKN!$Z$72&gt;=83.25,WSPKN!$Z$72&lt;=91.4),"P","")</f>
        <v/>
      </c>
      <c r="HQ24" s="102" t="str">
        <f>IF(AND(WSPKN!$Z$72&gt;=91.5,WSPKN!$Z$72&lt;=100),"P","")</f>
        <v>P</v>
      </c>
      <c r="HR24" t="str">
        <f>IF(WSPKN!$Z$86&lt;74.9,"P","")</f>
        <v/>
      </c>
      <c r="HS24" s="102" t="str">
        <f>IF(AND(WSPKN!$Z$86&gt;=75,WSPKN!$Z$86&lt;=83.24),"P","")</f>
        <v/>
      </c>
      <c r="HT24" s="102" t="str">
        <f>IF(AND(WSPKN!$Z$86&gt;=83.25,WSPKN!$Z$86&lt;=91.4),"P","")</f>
        <v/>
      </c>
      <c r="HU24" s="102" t="str">
        <f>IF(AND(WSPKN!$Z$86&gt;=91.5,WSPKN!$Z$86&lt;=100),"P","")</f>
        <v>P</v>
      </c>
      <c r="HV24" t="str">
        <f>IF(WSPKN!$Z$108&lt;74.9,"P","")</f>
        <v/>
      </c>
      <c r="HW24" s="102" t="str">
        <f>IF(AND(WSPKN!$Z$108&gt;=75,WSPKN!$Z$108&lt;=83.24),"P","")</f>
        <v/>
      </c>
      <c r="HX24" s="102" t="str">
        <f>IF(AND(WSPKN!$Z$108&gt;=83.25,WSPKN!$Z$108&lt;=91.4),"P","")</f>
        <v/>
      </c>
      <c r="HY24" s="102" t="str">
        <f>IF(AND(WSPKN!$Z$108&gt;=91.5,WSPKN!$Z$108&lt;=100),"P","")</f>
        <v>P</v>
      </c>
      <c r="HZ24" t="str">
        <f>IF(WSPKN!$Z$132&lt;74.9,"P","")</f>
        <v/>
      </c>
      <c r="IA24" s="102" t="str">
        <f>IF(AND(WSPKN!$Z$132&gt;=75,WSPKN!$Z$132&lt;=83.24),"P","")</f>
        <v/>
      </c>
      <c r="IB24" s="102" t="str">
        <f>IF(AND(WSPKN!$Z$132&gt;=83.25,WSPKN!$Z$132&lt;=91.4),"P","")</f>
        <v/>
      </c>
      <c r="IC24" s="102" t="str">
        <f>IF(AND(WSPKN!$Z$132&gt;=91.5,WSPKN!$Z$132&lt;=100),"P","")</f>
        <v>P</v>
      </c>
      <c r="ID24" t="str">
        <f>IF(WSPKN!$Z$148&lt;74.9,"P","")</f>
        <v/>
      </c>
      <c r="IE24" s="102" t="str">
        <f>IF(AND(WSPKN!$Z$148&gt;=75,WSPKN!$Z$148&lt;=83.24),"P","")</f>
        <v/>
      </c>
      <c r="IF24" s="102" t="str">
        <f>IF(AND(WSPKN!$Z$148&gt;=83.25,WSPKN!$Z$148&lt;=91.4),"P","")</f>
        <v/>
      </c>
      <c r="IG24" s="102" t="str">
        <f>IF(AND(WSPKN!$Z$148&gt;=91.5,WSPKN!$Z$148&lt;=100),"P","")</f>
        <v>P</v>
      </c>
      <c r="IH24" t="str">
        <f>IF(WSPKN!$Z$165&lt;74.9,"P","")</f>
        <v/>
      </c>
      <c r="II24" s="102" t="str">
        <f>IF(AND(WSPKN!$Z$165&gt;=75,WSPKN!$Z$165&lt;=83.24),"P","")</f>
        <v/>
      </c>
      <c r="IJ24" s="102" t="str">
        <f>IF(AND(WSPKN!$Z$165&gt;=83.25,WSPKN!$Z$165&lt;=91.4),"P","")</f>
        <v/>
      </c>
      <c r="IK24" s="102" t="str">
        <f>IF(AND(WSPKN!$Z$165&gt;=91.5,WSPKN!$Z$165&lt;=100),"P","")</f>
        <v/>
      </c>
      <c r="IL24" t="str">
        <f>IF(WSPKN!$Z$173&lt;74.9,"P","")</f>
        <v/>
      </c>
      <c r="IM24" s="102" t="str">
        <f>IF(AND(WSPKN!$Z$173&gt;=75,WSPKN!$Z$173&lt;=83.24),"P","")</f>
        <v/>
      </c>
      <c r="IN24" s="102" t="str">
        <f>IF(AND(WSPKN!$Z$173&gt;=83.25,WSPKN!$Z$173&lt;=91.4),"P","")</f>
        <v/>
      </c>
      <c r="IO24" s="102" t="str">
        <f>IF(AND(WSPKN!$Z$173&gt;=91.5,WSPKN!$Z$173&lt;=100),"P","")</f>
        <v/>
      </c>
      <c r="IP24" t="str">
        <f>IF(WSPKN!$Z$181&lt;74.9,"P","")</f>
        <v/>
      </c>
      <c r="IQ24" s="102" t="str">
        <f>IF(AND(WSPKN!$Z$181&gt;=75,WSPKN!$Z$181&lt;=83.24),"P","")</f>
        <v/>
      </c>
      <c r="IR24" s="102" t="str">
        <f>IF(AND(WSPKN!$Z$181&gt;=83.25,WSPKN!$Z$181&lt;=91.4),"P","")</f>
        <v/>
      </c>
      <c r="IS24" s="102" t="str">
        <f>IF(AND(WSPKN!$Z$181&gt;=91.5,WSPKN!$Z$181&lt;=100),"P","")</f>
        <v/>
      </c>
      <c r="IT24" t="str">
        <f>IF(WSPKN!$Z$189&lt;74.9,"P","")</f>
        <v/>
      </c>
      <c r="IU24" s="102" t="str">
        <f>IF(AND(WSPKN!$Z$189&gt;=75,WSPKN!$Z$189&lt;=83.24),"P","")</f>
        <v/>
      </c>
      <c r="IV24" s="102" t="str">
        <f>IF(AND(WSPKN!$Z$189&gt;=83.25,WSPKN!$Z$189&lt;=91.4),"P","")</f>
        <v/>
      </c>
      <c r="IW24" s="102" t="str">
        <f>IF(AND(WSPKN!$Z$189&gt;=91.5,WSPKN!$Z$189&lt;=100),"P","")</f>
        <v/>
      </c>
      <c r="IX24" t="str">
        <f>IF(WSPKN!$Z$197&lt;74.9,"P","")</f>
        <v/>
      </c>
      <c r="IY24" s="102" t="str">
        <f>IF(AND(WSPKN!$Z$197&gt;=75,WSPKN!$Z$197&lt;=83.24),"P","")</f>
        <v/>
      </c>
      <c r="IZ24" s="102" t="str">
        <f>IF(AND(WSPKN!$Z$197&gt;=83.25,WSPKN!$Z$197&lt;=91.4),"P","")</f>
        <v/>
      </c>
      <c r="JA24" s="102" t="str">
        <f>IF(AND(WSPKN!$Z$197&gt;=91.5,WSPKN!$Z$197&lt;=100),"P","")</f>
        <v/>
      </c>
      <c r="JB24" t="str">
        <f>IF(WSIND!$Z$6&lt;74.9,"P","")</f>
        <v/>
      </c>
      <c r="JC24" s="102" t="str">
        <f>IF(AND(WSIND!$Z$6&gt;=75,WSIND!$Z$6&lt;=83.24),"P","")</f>
        <v/>
      </c>
      <c r="JD24" s="102" t="str">
        <f>IF(AND(WSIND!$Z$6&gt;=83.25,WSIND!$Z$6&lt;=91.4),"P","")</f>
        <v/>
      </c>
      <c r="JE24" s="102" t="str">
        <f>IF(AND(WSIND!$Z$6&gt;=91.5,WSIND!$Z$6&lt;=100),"P","")</f>
        <v>P</v>
      </c>
      <c r="JF24" t="str">
        <f>IF(WSIND!$Z$65&lt;74.9,"P","")</f>
        <v/>
      </c>
      <c r="JG24" s="102" t="str">
        <f>IF(AND(WSIND!$Z$65&gt;=75,WSIND!$Z$65&lt;=83.24),"P","")</f>
        <v/>
      </c>
      <c r="JH24" s="102" t="str">
        <f>IF(AND(WSIND!$Z$65&gt;=83.25,WSIND!$Z$65&lt;=91.4),"P","")</f>
        <v/>
      </c>
      <c r="JI24" s="102" t="str">
        <f>IF(AND(WSIND!$Z$65&gt;=91.5,WSIND!$Z$65&lt;=100),"P","")</f>
        <v>P</v>
      </c>
      <c r="JJ24" t="str">
        <f>IF(WSIND!$Z$113&lt;74.9,"P","")</f>
        <v/>
      </c>
      <c r="JK24" s="102" t="str">
        <f>IF(AND(WSIND!$Z$113&gt;=75,WSIND!$Z$113&lt;=83.24),"P","")</f>
        <v/>
      </c>
      <c r="JL24" s="102" t="str">
        <f>IF(AND(WSIND!$Z$113&gt;=83.25,WSIND!$Z$113&lt;=91.4),"P","")</f>
        <v/>
      </c>
      <c r="JM24" s="102" t="str">
        <f>IF(AND(WSIND!$Z$113&gt;=91.5,WSIND!$Z$113&lt;=100),"P","")</f>
        <v>P</v>
      </c>
      <c r="JN24" t="str">
        <f>IF(WSIND!$Z$133&lt;74.9,"P","")</f>
        <v/>
      </c>
      <c r="JO24" s="102" t="str">
        <f>IF(AND(WSIND!$Z$133&gt;=75,WSIND!$Z$133&lt;=83.24),"P","")</f>
        <v/>
      </c>
      <c r="JP24" s="102" t="str">
        <f>IF(AND(WSIND!$Z$133&gt;=83.25,WSIND!$Z$133&lt;=91.4),"P","")</f>
        <v/>
      </c>
      <c r="JQ24" s="102" t="str">
        <f>IF(AND(WSIND!$Z$133&gt;=91.5,WSIND!$Z$133&lt;=100),"P","")</f>
        <v>P</v>
      </c>
      <c r="JR24" t="str">
        <f>IF(WSIND!$Z$161&lt;74.9,"P","")</f>
        <v/>
      </c>
      <c r="JS24" s="102" t="str">
        <f>IF(AND(WSIND!$Z$161&gt;=75,WSIND!$Z$161&lt;=83.24),"P","")</f>
        <v/>
      </c>
      <c r="JT24" s="102" t="str">
        <f>IF(AND(WSIND!$Z$161&gt;=83.25,WSIND!$Z$161&lt;=91.4),"P","")</f>
        <v/>
      </c>
      <c r="JU24" s="102" t="str">
        <f>IF(AND(WSIND!$Z$161&gt;=91.5,WSIND!$Z$161&lt;=100),"P","")</f>
        <v>P</v>
      </c>
      <c r="JV24" t="str">
        <f>IF(WSIND!$Z$192&lt;74.9,"P","")</f>
        <v/>
      </c>
      <c r="JW24" s="102" t="str">
        <f>IF(AND(WSIND!$Z$192&gt;=75,WSIND!$Z$192&lt;=83.24),"P","")</f>
        <v/>
      </c>
      <c r="JX24" s="102" t="str">
        <f>IF(AND(WSIND!$Z$192&gt;=83.25,WSIND!$Z$192&lt;=91.4),"P","")</f>
        <v/>
      </c>
      <c r="JY24" s="102" t="str">
        <f>IF(AND(WSIND!$Z$192&gt;=91.5,WSIND!$Z$192&lt;=100),"P","")</f>
        <v>P</v>
      </c>
      <c r="JZ24" t="str">
        <f>IF(WSIND!$Z$228&lt;74.9,"P","")</f>
        <v/>
      </c>
      <c r="KA24" s="102" t="str">
        <f>IF(AND(WSIND!$Z$228&gt;=75,WSIND!$Z$228&lt;=83.24),"P","")</f>
        <v/>
      </c>
      <c r="KB24" s="102" t="str">
        <f>IF(AND(WSIND!$Z$228&gt;=83.25,WSIND!$Z$228&lt;=91.4),"P","")</f>
        <v/>
      </c>
      <c r="KC24" s="102" t="str">
        <f>IF(AND(WSIND!$Z$228&gt;=91.5,WSIND!$Z$228&lt;=100),"P","")</f>
        <v>P</v>
      </c>
      <c r="KD24" t="str">
        <f>IF(WSIND!$Z$256&lt;74.9,"P","")</f>
        <v/>
      </c>
      <c r="KE24" s="102" t="str">
        <f>IF(AND(WSIND!$Z$256&gt;=75,WSIND!$Z$256&lt;=83.24),"P","")</f>
        <v/>
      </c>
      <c r="KF24" s="102" t="str">
        <f>IF(AND(WSIND!$Z$256&gt;=83.25,WSIND!$Z$256&lt;=91.4),"P","")</f>
        <v/>
      </c>
      <c r="KG24" s="102" t="str">
        <f>IF(AND(WSIND!$Z$256&gt;=91.5,WSIND!$Z$256&lt;=100),"P","")</f>
        <v>P</v>
      </c>
      <c r="KH24" t="str">
        <f>IF(WSIND!$Z$277&lt;74.9,"P","")</f>
        <v/>
      </c>
      <c r="KI24" s="102" t="str">
        <f>IF(AND(WSIND!$Z$277&gt;=75,WSIND!$Z$277&lt;=83.24),"P","")</f>
        <v/>
      </c>
      <c r="KJ24" s="102" t="str">
        <f>IF(AND(WSIND!$Z$277&gt;=83.25,WSIND!$Z$277&lt;=91.4),"P","")</f>
        <v/>
      </c>
      <c r="KK24" s="102" t="str">
        <f>IF(AND(WSIND!$Z$277&gt;=91.5,WSIND!$Z$277&lt;=100),"P","")</f>
        <v>P</v>
      </c>
      <c r="KL24" t="str">
        <f>IF(WSIND!$Z$305&lt;74.9,"P","")</f>
        <v/>
      </c>
      <c r="KM24" s="102" t="str">
        <f>IF(AND(WSIND!$Z$305&gt;=75,WSIND!$Z$305&lt;=83.24),"P","")</f>
        <v/>
      </c>
      <c r="KN24" s="102" t="str">
        <f>IF(AND(WSIND!$Z$305&gt;=83.25,WSIND!$Z$305&lt;=91.4),"P","")</f>
        <v/>
      </c>
      <c r="KO24" s="102" t="str">
        <f>IF(AND(WSIND!$Z$305&gt;=91.5,WSIND!$Z$305&lt;=100),"P","")</f>
        <v>P</v>
      </c>
      <c r="KP24" t="str">
        <f>IF(WSIND!$Z$329&lt;74.9,"P","")</f>
        <v/>
      </c>
      <c r="KQ24" s="102" t="str">
        <f>IF(AND(WSIND!$Z$329&gt;=75,WSIND!$Z$329&lt;=83.24),"P","")</f>
        <v/>
      </c>
      <c r="KR24" s="102" t="str">
        <f>IF(AND(WSIND!$Z$329&gt;=83.25,WSIND!$Z$329&lt;=91.4),"P","")</f>
        <v/>
      </c>
      <c r="KS24" s="102" t="str">
        <f>IF(AND(WSIND!$Z$329&gt;=91.5,WSIND!$Z$329&lt;=100),"P","")</f>
        <v/>
      </c>
      <c r="KT24" t="str">
        <f>IF(WSIND!$Z$337&lt;74.9,"P","")</f>
        <v/>
      </c>
      <c r="KU24" s="102" t="str">
        <f>IF(AND(WSIND!$Z$337&gt;=75,WSIND!$Z$337&lt;=83.24),"P","")</f>
        <v/>
      </c>
      <c r="KV24" s="102" t="str">
        <f>IF(AND(WSIND!$Z$337&gt;=83.25,WSIND!$Z$337&lt;=91.4),"P","")</f>
        <v/>
      </c>
      <c r="KW24" s="102" t="str">
        <f>IF(AND(WSIND!$Z$337&gt;=91.5,WSIND!$Z$337&lt;=100),"P","")</f>
        <v/>
      </c>
      <c r="KX24" t="str">
        <f>IF(WSIND!$Z$345&lt;74.9,"P","")</f>
        <v/>
      </c>
      <c r="KY24" s="102" t="str">
        <f>IF(AND(WSIND!$Z$345&gt;=75,WSIND!$Z$345&lt;=83.24),"P","")</f>
        <v/>
      </c>
      <c r="KZ24" s="102" t="str">
        <f>IF(AND(WSIND!$Z$345&gt;=83.25,WSIND!$Z$345&lt;=91.4),"P","")</f>
        <v/>
      </c>
      <c r="LA24" s="102" t="str">
        <f>IF(AND(WSIND!$Z$345&gt;=91.5,WSIND!$Z$345&lt;=100),"P","")</f>
        <v/>
      </c>
      <c r="LB24" t="str">
        <f>IF(WSARAB!$Z$6&lt;74.9,"P","")</f>
        <v/>
      </c>
      <c r="LC24" s="102" t="str">
        <f>IF(AND(WSARAB!$Z$6&gt;=75,WSARAB!$Z$6&lt;=83.24),"P","")</f>
        <v/>
      </c>
      <c r="LD24" s="102" t="str">
        <f>IF(AND(WSARAB!$Z$6&gt;=83.25,WSARAB!$Z$6&lt;=91.4),"P","")</f>
        <v/>
      </c>
      <c r="LE24" s="102" t="str">
        <f>IF(AND(WSARAB!$Z$6&gt;=91.5,WSARAB!$Z$6&lt;=100),"P","")</f>
        <v/>
      </c>
      <c r="LF24" t="str">
        <f>IF(WSARAB!$Z$17&lt;74.9,"P","")</f>
        <v/>
      </c>
      <c r="LG24" s="102" t="str">
        <f>IF(AND(WSARAB!$Z$17&gt;=75,WSARAB!$Z$17&lt;=83.24),"P","")</f>
        <v/>
      </c>
      <c r="LH24" s="102" t="str">
        <f>IF(AND(WSARAB!$Z$17&gt;=83.25,WSARAB!$Z$17&lt;=91.4),"P","")</f>
        <v/>
      </c>
      <c r="LI24" s="102" t="str">
        <f>IF(AND(WSARAB!$Z$17&gt;=91.5,WSARAB!$Z$17&lt;=100),"P","")</f>
        <v/>
      </c>
      <c r="LJ24" t="str">
        <f>IF(WSARAB!$Z$29&lt;74.9,"P","")</f>
        <v/>
      </c>
      <c r="LK24" s="102" t="str">
        <f>IF(AND(WSARAB!$Z$29&gt;=75,WSARAB!$Z$29&lt;=83.24),"P","")</f>
        <v/>
      </c>
      <c r="LL24" s="102" t="str">
        <f>IF(AND(WSARAB!$Z$29&gt;=83.25,WSARAB!$Z$29&lt;=91.4),"P","")</f>
        <v/>
      </c>
      <c r="LM24" s="102" t="str">
        <f>IF(AND(WSARAB!$Z$29&gt;=91.5,WSARAB!$Z$29&lt;=100),"P","")</f>
        <v/>
      </c>
      <c r="LN24" t="str">
        <f>IF(WSARAB!$Z$37&lt;74.9,"P","")</f>
        <v/>
      </c>
      <c r="LO24" s="102" t="str">
        <f>IF(AND(WSARAB!$Z$37&gt;=75,WSARAB!$Z$37&lt;=83.24),"P","")</f>
        <v/>
      </c>
      <c r="LP24" s="102" t="str">
        <f>IF(AND(WSARAB!$Z$37&gt;=83.25,WSARAB!$Z$37&lt;=91.4),"P","")</f>
        <v/>
      </c>
      <c r="LQ24" s="102" t="str">
        <f>IF(AND(WSARAB!$Z$37&gt;=91.5,WSARAB!$Z$37&lt;=100),"P","")</f>
        <v/>
      </c>
      <c r="LR24" t="str">
        <f>IF(WSARAB!$Z$45&lt;74.9,"P","")</f>
        <v/>
      </c>
      <c r="LS24" s="102" t="str">
        <f>IF(AND(WSARAB!$Z$45&gt;=75,WSARAB!$Z$45&lt;=83.24),"P","")</f>
        <v/>
      </c>
      <c r="LT24" s="102" t="str">
        <f>IF(AND(WSARAB!$Z$45&gt;=83.25,WSARAB!$Z$45&lt;=91.4),"P","")</f>
        <v/>
      </c>
      <c r="LU24" s="102" t="str">
        <f>IF(AND(WSARAB!$Z$45&gt;=91.5,WSARAB!$Z$45&lt;=100),"P","")</f>
        <v/>
      </c>
      <c r="LV24" t="str">
        <f>IF(WSARAB!$Z$53&lt;74.9,"P","")</f>
        <v/>
      </c>
      <c r="LW24" s="102" t="str">
        <f>IF(AND(WSARAB!$Z$53&gt;=75,WSARAB!$Z$53&lt;=83.24),"P","")</f>
        <v/>
      </c>
      <c r="LX24" s="102" t="str">
        <f>IF(AND(WSARAB!$Z$53&gt;=83.25,WSARAB!$Z$53&lt;=91.4),"P","")</f>
        <v/>
      </c>
      <c r="LY24" s="102" t="str">
        <f>IF(AND(WSARAB!$Z$53&gt;=91.5,WSARAB!$Z$53&lt;=100),"P","")</f>
        <v/>
      </c>
      <c r="LZ24" t="str">
        <f>IF(WSARAB!$Z$65&lt;74.9,"P","")</f>
        <v/>
      </c>
      <c r="MA24" s="102" t="str">
        <f>IF(AND(WSARAB!$Z$65&gt;=75,WSARAB!$Z$65&lt;=83.24),"P","")</f>
        <v/>
      </c>
      <c r="MB24" s="102" t="str">
        <f>IF(AND(WSARAB!$Z$65&gt;=83.25,WSARAB!$Z$65&lt;=91.4),"P","")</f>
        <v/>
      </c>
      <c r="MC24" s="102" t="str">
        <f>IF(AND(WSARAB!$Z$65&gt;=91.5,WSARAB!$Z$65&lt;=100),"P","")</f>
        <v/>
      </c>
      <c r="MD24" t="str">
        <f>IF(WSARAB!$Z$73&lt;74.9,"P","")</f>
        <v/>
      </c>
      <c r="ME24" s="102" t="str">
        <f>IF(AND(WSARAB!$Z$73&gt;=75,WSARAB!$Z$73&lt;=83.24),"P","")</f>
        <v/>
      </c>
      <c r="MF24" s="102" t="str">
        <f>IF(AND(WSARAB!$Z$73&gt;=83.25,WSARAB!$Z$73&lt;=91.4),"P","")</f>
        <v/>
      </c>
      <c r="MG24" s="102" t="str">
        <f>IF(AND(WSARAB!$Z$73&gt;=91.5,WSARAB!$Z$73&lt;=100),"P","")</f>
        <v/>
      </c>
      <c r="MH24" t="str">
        <f>IF(WSARAB!$Z$81&lt;74.9,"P","")</f>
        <v/>
      </c>
      <c r="MI24" s="102" t="str">
        <f>IF(AND(WSARAB!$Z$81&gt;=75,WSARAB!$Z$81&lt;=83.24),"P","")</f>
        <v/>
      </c>
      <c r="MJ24" s="102" t="str">
        <f>IF(AND(WSARAB!$Z$81&gt;=83.25,WSARAB!$Z$81&lt;=91.4),"P","")</f>
        <v/>
      </c>
      <c r="MK24" s="102" t="str">
        <f>IF(AND(WSARAB!$Z$81&gt;=91.5,WSARAB!$Z$81&lt;=100),"P","")</f>
        <v/>
      </c>
      <c r="ML24" t="str">
        <f>IF(WSARAB!$Z$89&lt;74.9,"P","")</f>
        <v/>
      </c>
      <c r="MM24" s="102" t="str">
        <f>IF(AND(WSARAB!$Z$89&gt;=75,WSARAB!$Z$89&lt;=83.24),"P","")</f>
        <v/>
      </c>
      <c r="MN24" s="102" t="str">
        <f>IF(AND(WSARAB!$Z$89&gt;=83.25,WSARAB!$Z$89&lt;=91.4),"P","")</f>
        <v/>
      </c>
      <c r="MO24" s="102" t="str">
        <f>IF(AND(WSARAB!$Z$89&gt;=91.5,WSARAB!$Z$89&lt;=100),"P","")</f>
        <v/>
      </c>
      <c r="MP24" t="str">
        <f>IF(WSARAB!$Z$97&lt;74.9,"P","")</f>
        <v/>
      </c>
      <c r="MQ24" s="102" t="str">
        <f>IF(AND(WSARAB!$Z$97&gt;=75,WSARAB!$Z$97&lt;=83.24),"P","")</f>
        <v/>
      </c>
      <c r="MR24" s="102" t="str">
        <f>IF(AND(WSARAB!$Z$97&gt;=83.25,WSARAB!$Z$97&lt;=91.4),"P","")</f>
        <v/>
      </c>
      <c r="MS24" s="102" t="str">
        <f>IF(AND(WSARAB!$Z$97&gt;=91.5,WSARAB!$Z$97&lt;=100),"P","")</f>
        <v/>
      </c>
      <c r="MT24" t="str">
        <f>IF(WSARAB!$Z$105&lt;74.9,"P","")</f>
        <v/>
      </c>
      <c r="MU24" s="102" t="str">
        <f>IF(AND(WSARAB!$Z$105&gt;=75,WSARAB!$Z$105&lt;=83.24),"P","")</f>
        <v/>
      </c>
      <c r="MV24" s="102" t="str">
        <f>IF(AND(WSARAB!$Z$105&gt;=83.25,WSARAB!$Z$105&lt;=91.4),"P","")</f>
        <v/>
      </c>
      <c r="MW24" s="102" t="str">
        <f>IF(AND(WSARAB!$Z$105&gt;=91.5,WSARAB!$Z$105&lt;=100),"P","")</f>
        <v/>
      </c>
      <c r="MX24" t="str">
        <f>IF(WSARAB!$Z$113&lt;74.9,"P","")</f>
        <v/>
      </c>
      <c r="MY24" s="102" t="str">
        <f>IF(AND(WSARAB!$Z$113&gt;=75,WSARAB!$Z$113&lt;=83.24),"P","")</f>
        <v/>
      </c>
      <c r="MZ24" s="102" t="str">
        <f>IF(AND(WSARAB!$Z$113&gt;=83.25,WSARAB!$Z$113&lt;=91.4),"P","")</f>
        <v/>
      </c>
      <c r="NA24" s="102" t="str">
        <f>IF(AND(WSARAB!$Z$113&gt;=91.5,WSARAB!$Z$113&lt;=100),"P","")</f>
        <v/>
      </c>
      <c r="NB24" t="str">
        <f>IF(WSMTK!$Z$6&lt;74.9,"P","")</f>
        <v/>
      </c>
      <c r="NC24" s="102" t="str">
        <f>IF(AND(WSMTK!$Z$6&gt;=75,WSMTK!$Z$6&lt;=83.24),"P","")</f>
        <v/>
      </c>
      <c r="ND24" s="102" t="str">
        <f>IF(AND(WSMTK!$Z$6&gt;=83.25,WSMTK!$Z$6&lt;=91.4),"P","")</f>
        <v/>
      </c>
      <c r="NE24" s="102" t="str">
        <f>IF(AND(WSMTK!$Z$6&gt;=91.5,WSMTK!$Z$6&lt;=100),"P","")</f>
        <v>P</v>
      </c>
      <c r="NF24" t="str">
        <f>IF(WSMTK!$Z$22&lt;74.9,"P","")</f>
        <v/>
      </c>
      <c r="NG24" s="102" t="str">
        <f>IF(AND(WSMTK!$Z$22&gt;=75,WSMTK!$Z$22&lt;=83.24),"P","")</f>
        <v/>
      </c>
      <c r="NH24" s="102" t="str">
        <f>IF(AND(WSMTK!$Z$22&gt;=83.25,WSMTK!$Z$22&lt;=91.4),"P","")</f>
        <v/>
      </c>
      <c r="NI24" s="102" t="str">
        <f>IF(AND(WSMTK!$Z$22&gt;=91.5,WSMTK!$Z$22&lt;=100),"P","")</f>
        <v>P</v>
      </c>
      <c r="NJ24" t="str">
        <f>IF(WSMTK!$Z$35&lt;74.9,"P","")</f>
        <v/>
      </c>
      <c r="NK24" s="102" t="str">
        <f>IF(AND(WSMTK!$Z$35&gt;=75,WSMTK!$Z$35&lt;=83.24),"P","")</f>
        <v/>
      </c>
      <c r="NL24" s="102" t="str">
        <f>IF(AND(WSMTK!$Z$35&gt;=83.25,WSMTK!$Z$35&lt;=91.4),"P","")</f>
        <v/>
      </c>
      <c r="NM24" s="102" t="str">
        <f>IF(AND(WSMTK!$Z$35&gt;=91.5,WSMTK!$Z$35&lt;=100),"P","")</f>
        <v>P</v>
      </c>
      <c r="NN24" t="str">
        <f>IF(WSMTK!$Z$69&lt;74.9,"P","")</f>
        <v/>
      </c>
      <c r="NO24" s="102" t="str">
        <f>IF(AND(WSMTK!$Z$69&gt;=75,WSMTK!$Z$69&lt;=83.24),"P","")</f>
        <v/>
      </c>
      <c r="NP24" s="102" t="str">
        <f>IF(AND(WSMTK!$Z$69&gt;=83.25,WSMTK!$Z$69&lt;=91.4),"P","")</f>
        <v/>
      </c>
      <c r="NQ24" s="102" t="str">
        <f>IF(AND(WSMTK!$Z$69&gt;=91.5,WSMTK!$Z$69&lt;=100),"P","")</f>
        <v>P</v>
      </c>
      <c r="NR24" t="str">
        <f>IF(WSMTK!$Z$87&lt;74.9,"P","")</f>
        <v/>
      </c>
      <c r="NS24" s="102" t="str">
        <f>IF(AND(WSMTK!$Z$87&gt;=75,WSMTK!$Z$87&lt;=83.24),"P","")</f>
        <v/>
      </c>
      <c r="NT24" s="102" t="str">
        <f>IF(AND(WSMTK!$Z$87&gt;=83.25,WSMTK!$Z$87&lt;=91.4),"P","")</f>
        <v/>
      </c>
      <c r="NU24" s="102" t="str">
        <f>IF(AND(WSMTK!$Z$87&gt;=91.5,WSMTK!$Z$87&lt;=100),"P","")</f>
        <v>P</v>
      </c>
      <c r="NV24" t="str">
        <f>IF(WSMTK!$Z$99&lt;74.9,"P","")</f>
        <v/>
      </c>
      <c r="NW24" s="102" t="str">
        <f>IF(AND(WSMTK!$Z$99&gt;=75,WSMTK!$Z$99&lt;=83.24),"P","")</f>
        <v/>
      </c>
      <c r="NX24" s="102" t="str">
        <f>IF(AND(WSMTK!$Z$99&gt;=83.25,WSMTK!$Z$99&lt;=91.4),"P","")</f>
        <v/>
      </c>
      <c r="NY24" s="102" t="str">
        <f>IF(AND(WSMTK!$Z$99&gt;=91.5,WSMTK!$Z$99&lt;=100),"P","")</f>
        <v>P</v>
      </c>
      <c r="NZ24" t="str">
        <f>IF(WSMTK!$Z$113&lt;74.9,"P","")</f>
        <v/>
      </c>
      <c r="OA24" s="102" t="str">
        <f>IF(AND(WSMTK!$Z$113&gt;=75,WSMTK!$Z$113&lt;=83.24),"P","")</f>
        <v/>
      </c>
      <c r="OB24" s="102" t="str">
        <f>IF(AND(WSMTK!$Z$113&gt;=83.25,WSMTK!$Z$113&lt;=91.4),"P","")</f>
        <v/>
      </c>
      <c r="OC24" s="102" t="str">
        <f>IF(AND(WSMTK!$Z$113&gt;=91.5,WSMTK!$Z$113&lt;=100),"P","")</f>
        <v>P</v>
      </c>
      <c r="OD24" t="str">
        <f>IF(WSMTK!$Z$145&lt;74.9,"P","")</f>
        <v/>
      </c>
      <c r="OE24" s="102" t="str">
        <f>IF(AND(WSMTK!$Z$145&gt;=75,WSMTK!$Z$145&lt;=83.24),"P","")</f>
        <v/>
      </c>
      <c r="OF24" s="102" t="str">
        <f>IF(AND(WSMTK!$Z$145&gt;=83.25,WSMTK!$Z$145&lt;=91.4),"P","")</f>
        <v/>
      </c>
      <c r="OG24" s="102" t="str">
        <f>IF(AND(WSMTK!$Z$145&gt;=91.5,WSMTK!$Z$145&lt;=100),"P","")</f>
        <v>P</v>
      </c>
      <c r="OH24" t="str">
        <f>IF(WSMTK!$Z$168&lt;74.9,"P","")</f>
        <v/>
      </c>
      <c r="OI24" s="102" t="str">
        <f>IF(AND(WSMTK!$Z$168&gt;=75,WSMTK!$Z$168&lt;=83.24),"P","")</f>
        <v/>
      </c>
      <c r="OJ24" s="102" t="str">
        <f>IF(AND(WSMTK!$Z$168&gt;=83.25,WSMTK!$Z$168&lt;=91.4),"P","")</f>
        <v/>
      </c>
      <c r="OK24" s="102" t="str">
        <f>IF(AND(WSMTK!$Z$168&gt;=91.5,WSMTK!$Z$168&lt;=100),"P","")</f>
        <v/>
      </c>
      <c r="OL24" t="str">
        <f>IF(WSMTK!$Z$176&lt;74.9,"P","")</f>
        <v/>
      </c>
      <c r="OM24" s="102" t="str">
        <f>IF(AND(WSMTK!$Z$176&gt;=75,WSMTK!$Z$176&lt;=83.24),"P","")</f>
        <v/>
      </c>
      <c r="ON24" s="102" t="str">
        <f>IF(AND(WSMTK!$Z$176&gt;=83.25,WSMTK!$Z$176&lt;=91.4),"P","")</f>
        <v/>
      </c>
      <c r="OO24" s="102" t="str">
        <f>IF(AND(WSMTK!$Z$176&gt;=91.5,WSMTK!$Z$176&lt;=100),"P","")</f>
        <v/>
      </c>
      <c r="OP24" t="str">
        <f>IF(WSMTK!$Z$184&lt;74.9,"P","")</f>
        <v/>
      </c>
      <c r="OQ24" s="102" t="str">
        <f>IF(AND(WSMTK!$Z$184&gt;=75,WSMTK!$Z$184&lt;=83.24),"P","")</f>
        <v/>
      </c>
      <c r="OR24" s="102" t="str">
        <f>IF(AND(WSMTK!$Z$184&gt;=83.25,WSMTK!$Z$184&lt;=91.4),"P","")</f>
        <v/>
      </c>
      <c r="OS24" s="102" t="str">
        <f>IF(AND(WSMTK!$Z$184&gt;=91.5,WSMTK!$Z$184&lt;=100),"P","")</f>
        <v/>
      </c>
      <c r="OT24" t="str">
        <f>IF(WSMTK!$Z$192&lt;74.9,"P","")</f>
        <v/>
      </c>
      <c r="OU24" s="102" t="str">
        <f>IF(AND(WSMTK!$Z$192&gt;=75,WSMTK!$Z$192&lt;=83.24),"P","")</f>
        <v/>
      </c>
      <c r="OV24" s="102" t="str">
        <f>IF(AND(WSMTK!$Z$192&gt;=83.25,WSMTK!$Z$192&lt;=91.4),"P","")</f>
        <v/>
      </c>
      <c r="OW24" s="102" t="str">
        <f>IF(AND(WSMTK!$Z$192&gt;=91.5,WSMTK!$Z$192&lt;=100),"P","")</f>
        <v/>
      </c>
      <c r="OX24" t="str">
        <f>IF(WSMTK!$Z$200&lt;74.9,"P","")</f>
        <v/>
      </c>
      <c r="OY24" s="102" t="str">
        <f>IF(AND(WSMTK!$Z$200&gt;=75,WSMTK!$Z$200&lt;=83.24),"P","")</f>
        <v/>
      </c>
      <c r="OZ24" s="102" t="str">
        <f>IF(AND(WSMTK!$Z$200&gt;=83.25,WSMTK!$Z$200&lt;=91.4),"P","")</f>
        <v/>
      </c>
      <c r="PA24" s="102" t="str">
        <f>IF(AND(WSMTK!$Z$200&gt;=91.5,WSMTK!$Z$200&lt;=100),"P","")</f>
        <v/>
      </c>
      <c r="PB24" t="str">
        <f>IF(WSIPA!$Z$6&lt;74.9,"P","")</f>
        <v/>
      </c>
      <c r="PC24" s="102" t="str">
        <f>IF(AND(WSIPA!$Z$6&gt;=75,WSIPA!$Z$6&lt;=83.24),"P","")</f>
        <v/>
      </c>
      <c r="PD24" s="102" t="str">
        <f>IF(AND(WSIPA!$Z$6&gt;=83.25,WSIPA!$Z$6&lt;=91.4),"P","")</f>
        <v/>
      </c>
      <c r="PE24" s="102" t="str">
        <f>IF(AND(WSIPA!$Z$6&gt;=91.5,WSIPA!$Z$6&lt;=100),"P","")</f>
        <v/>
      </c>
      <c r="PF24" t="str">
        <f>IF(WSIPA!$Z$14&lt;74.9,"P","")</f>
        <v/>
      </c>
      <c r="PG24" s="102" t="str">
        <f>IF(AND(WSIPA!$Z$14&gt;=75,WSIPA!$Z$14&lt;=83.24),"P","")</f>
        <v/>
      </c>
      <c r="PH24" s="102" t="str">
        <f>IF(AND(WSIPA!$Z$14&gt;=83.25,WSIPA!$Z$14&lt;=91.4),"P","")</f>
        <v/>
      </c>
      <c r="PI24" s="102" t="str">
        <f>IF(AND(WSIPA!$Z$14&gt;=91.5,WSIPA!$Z$14&lt;=100),"P","")</f>
        <v/>
      </c>
      <c r="PJ24" t="str">
        <f>IF(WSIPA!$Z$22&lt;74.9,"P","")</f>
        <v/>
      </c>
      <c r="PK24" s="102" t="str">
        <f>IF(AND(WSIPA!$Z$22&gt;=75,WSIPA!$Z$22&lt;=83.24),"P","")</f>
        <v/>
      </c>
      <c r="PL24" s="102" t="str">
        <f>IF(AND(WSIPA!$Z$22&gt;=83.25,WSIPA!$Z$22&lt;=91.4),"P","")</f>
        <v/>
      </c>
      <c r="PM24" s="102" t="str">
        <f>IF(AND(WSIPA!$Z$22&gt;=91.5,WSIPA!$Z$22&lt;=100),"P","")</f>
        <v/>
      </c>
      <c r="PN24" t="str">
        <f>IF(WSIPA!$Z$30&lt;74.9,"P","")</f>
        <v/>
      </c>
      <c r="PO24" s="102" t="str">
        <f>IF(AND(WSIPA!$Z$30&gt;=75,WSIPA!$Z$30&lt;=83.24),"P","")</f>
        <v/>
      </c>
      <c r="PP24" s="102" t="str">
        <f>IF(AND(WSIPA!$Z$30&gt;=83.25,WSIPA!$Z$30&lt;=91.4),"P","")</f>
        <v/>
      </c>
      <c r="PQ24" s="102" t="str">
        <f>IF(AND(WSIPA!$Z$30&gt;=91.5,WSIPA!$Z$30&lt;=100),"P","")</f>
        <v/>
      </c>
      <c r="PR24" t="str">
        <f>IF(WSIPA!$Z$38&lt;74.9,"P","")</f>
        <v/>
      </c>
      <c r="PS24" s="102" t="str">
        <f>IF(AND(WSIPA!$Z$38&gt;=75,WSIPA!$Z$38&lt;=83.24),"P","")</f>
        <v/>
      </c>
      <c r="PT24" s="102" t="str">
        <f>IF(AND(WSIPA!$Z$38&gt;=83.25,WSIPA!$Z$38&lt;=91.4),"P","")</f>
        <v/>
      </c>
      <c r="PU24" s="102" t="str">
        <f>IF(AND(WSIPA!$Z$38&gt;=91.5,WSIPA!$Z$38&lt;=100),"P","")</f>
        <v/>
      </c>
      <c r="PV24" t="str">
        <f>IF(WSIPA!$Z$46&lt;74.9,"P","")</f>
        <v/>
      </c>
      <c r="PW24" s="102" t="str">
        <f>IF(AND(WSIPA!$Z$46&gt;=75,WSIPA!$Z$46&lt;=83.24),"P","")</f>
        <v/>
      </c>
      <c r="PX24" s="102" t="str">
        <f>IF(AND(WSIPA!$Z$46&gt;=83.25,WSIPA!$Z$46&lt;=91.4),"P","")</f>
        <v/>
      </c>
      <c r="PY24" s="102" t="str">
        <f>IF(AND(WSIPA!$Z$46&gt;=91.5,WSIPA!$Z$46&lt;=100),"P","")</f>
        <v/>
      </c>
      <c r="PZ24" t="str">
        <f>IF(WSIPA!$Z$54&lt;74.9,"P","")</f>
        <v/>
      </c>
      <c r="QA24" s="102" t="str">
        <f>IF(AND(WSIPA!$Z$54&gt;=75,WSIPA!$Z$54&lt;=83.24),"P","")</f>
        <v/>
      </c>
      <c r="QB24" s="102" t="str">
        <f>IF(AND(WSIPA!$Z$54&gt;=83.25,WSIPA!$Z$54&lt;=91.4),"P","")</f>
        <v/>
      </c>
      <c r="QC24" s="102" t="str">
        <f>IF(AND(WSIPA!$Z$54&gt;=91.5,WSIPA!$Z$54&lt;=100),"P","")</f>
        <v/>
      </c>
      <c r="QD24" t="str">
        <f>IF(WSIPA!$Z$62&lt;74.9,"P","")</f>
        <v/>
      </c>
      <c r="QE24" s="102" t="str">
        <f>IF(AND(WSIPA!$Z$62&gt;=75,WSIPA!$Z$62&lt;=83.24),"P","")</f>
        <v/>
      </c>
      <c r="QF24" s="102" t="str">
        <f>IF(AND(WSIPA!$Z$62&gt;=83.25,WSIPA!$Z$62&lt;=91.4),"P","")</f>
        <v/>
      </c>
      <c r="QG24" s="102" t="str">
        <f>IF(AND(WSIPA!$Z$62&gt;=91.5,WSIPA!$Z$62&lt;=100),"P","")</f>
        <v/>
      </c>
      <c r="QH24" t="str">
        <f>IF(WSIPA!$Z$70&lt;74.9,"P","")</f>
        <v/>
      </c>
      <c r="QI24" s="102" t="str">
        <f>IF(AND(WSIPA!$Z$70&gt;=75,WSIPA!$Z$70&lt;=83.24),"P","")</f>
        <v/>
      </c>
      <c r="QJ24" s="102" t="str">
        <f>IF(AND(WSIPA!$Z$70&gt;=83.25,WSIPA!$Z$70&lt;=91.4),"P","")</f>
        <v/>
      </c>
      <c r="QK24" s="102" t="str">
        <f>IF(AND(WSIPA!$Z$70&gt;=91.5,WSIPA!$Z$70&lt;=100),"P","")</f>
        <v/>
      </c>
      <c r="QL24" t="str">
        <f>IF(WSIPA!$Z$78&lt;74.9,"P","")</f>
        <v/>
      </c>
      <c r="QM24" s="102" t="str">
        <f>IF(AND(WSIPA!$Z$78&gt;=75,WSIPA!$Z$78&lt;=83.24),"P","")</f>
        <v/>
      </c>
      <c r="QN24" s="102" t="str">
        <f>IF(AND(WSIPA!$Z$78&gt;=83.25,WSIPA!$Z$78&lt;=91.4),"P","")</f>
        <v/>
      </c>
      <c r="QO24" s="102" t="str">
        <f>IF(AND(WSIPA!$Z$78&gt;=91.5,WSIPA!$Z$78&lt;=100),"P","")</f>
        <v/>
      </c>
      <c r="QP24" t="str">
        <f>IF(WSIPA!$Z$86&lt;74.9,"P","")</f>
        <v/>
      </c>
      <c r="QQ24" s="102" t="str">
        <f>IF(AND(WSIPA!$Z$86&gt;=75,WSIPA!$Z$86&lt;=83.24),"P","")</f>
        <v/>
      </c>
      <c r="QR24" s="102" t="str">
        <f>IF(AND(WSIPA!$Z$86&gt;=83.25,WSIPA!$Z$86&lt;=91.4),"P","")</f>
        <v/>
      </c>
      <c r="QS24" s="102" t="str">
        <f>IF(AND(WSIPA!$Z$86&gt;=91.5,WSIPA!$Z$86&lt;=100),"P","")</f>
        <v/>
      </c>
      <c r="QT24" t="str">
        <f>IF(WSIPA!$Z$94&lt;74.9,"P","")</f>
        <v/>
      </c>
      <c r="QU24" s="102" t="str">
        <f>IF(AND(WSIPA!$Z$94&gt;=75,WSIPA!$Z$94&lt;=83.24),"P","")</f>
        <v/>
      </c>
      <c r="QV24" s="102" t="str">
        <f>IF(AND(WSIPA!$Z$94&gt;=83.25,WSIPA!$Z$94&lt;=91.4),"P","")</f>
        <v/>
      </c>
      <c r="QW24" s="102" t="str">
        <f>IF(AND(WSIPA!$Z$94&gt;=91.5,WSIPA!$Z$94&lt;=100),"P","")</f>
        <v/>
      </c>
      <c r="QX24" t="str">
        <f>IF(WSIPA!$Z$102&lt;74.9,"P","")</f>
        <v/>
      </c>
      <c r="QY24" s="102" t="str">
        <f>IF(AND(WSIPA!$Z$102&gt;=75,WSIPA!$Z$102&lt;=83.24),"P","")</f>
        <v/>
      </c>
      <c r="QZ24" s="102" t="str">
        <f>IF(AND(WSIPA!$Z$102&gt;=83.25,WSIPA!$Z$102&lt;=91.4),"P","")</f>
        <v/>
      </c>
      <c r="RA24" s="102" t="str">
        <f>IF(AND(WSIPA!$Z$102&gt;=91.5,WSIPA!$Z$102&lt;=100),"P","")</f>
        <v/>
      </c>
      <c r="RB24" t="str">
        <f>IF(WSIPS!$Z$6&lt;74.9,"P","")</f>
        <v/>
      </c>
      <c r="RC24" s="102" t="str">
        <f>IF(AND(WSIPS!$Z$6&gt;=75,WSIPS!$Z$6&lt;=83.24),"P","")</f>
        <v/>
      </c>
      <c r="RD24" s="102" t="str">
        <f>IF(AND(WSIPS!$Z$6&gt;=83.25,WSIPS!$Z$6&lt;=91.4),"P","")</f>
        <v/>
      </c>
      <c r="RE24" s="102" t="str">
        <f>IF(AND(WSIPS!$Z$6&gt;=91.5,WSIPS!$Z$6&lt;=100),"P","")</f>
        <v/>
      </c>
      <c r="RF24" t="str">
        <f>IF(WSIPS!$Z$14&lt;74.9,"P","")</f>
        <v/>
      </c>
      <c r="RG24" s="102" t="str">
        <f>IF(AND(WSIPS!$Z$14&gt;=75,WSIPS!$Z$14&lt;=83.24),"P","")</f>
        <v/>
      </c>
      <c r="RH24" s="102" t="str">
        <f>IF(AND(WSIPS!$Z$14&gt;=83.25,WSIPS!$Z$14&lt;=91.4),"P","")</f>
        <v/>
      </c>
      <c r="RI24" s="102" t="str">
        <f>IF(AND(WSIPS!$Z$14&gt;=91.5,WSIPS!$Z$14&lt;=100),"P","")</f>
        <v/>
      </c>
      <c r="RJ24" t="str">
        <f>IF(WSIPS!$Z$22&lt;74.9,"P","")</f>
        <v/>
      </c>
      <c r="RK24" s="102" t="str">
        <f>IF(AND(WSIPS!$Z$22&gt;=75,WSIPS!$Z$22&lt;=83.24),"P","")</f>
        <v/>
      </c>
      <c r="RL24" s="102" t="str">
        <f>IF(AND(WSIPS!$Z$22&gt;=83.25,WSIPS!$Z$22&lt;=91.4),"P","")</f>
        <v/>
      </c>
      <c r="RM24" s="102" t="str">
        <f>IF(AND(WSIPS!$Z$22&gt;=91.5,WSIPS!$Z$22&lt;=100),"P","")</f>
        <v/>
      </c>
      <c r="RN24" t="str">
        <f>IF(WSIPS!$Z$30&lt;74.9,"P","")</f>
        <v/>
      </c>
      <c r="RO24" s="102" t="str">
        <f>IF(AND(WSIPS!$Z$30&gt;=75,WSIPS!$Z$30&lt;=83.24),"P","")</f>
        <v/>
      </c>
      <c r="RP24" s="102" t="str">
        <f>IF(AND(WSIPS!$Z$30&gt;=83.25,WSIPS!$Z$30&lt;=91.4),"P","")</f>
        <v/>
      </c>
      <c r="RQ24" s="102" t="str">
        <f>IF(AND(WSIPS!$Z$30&gt;=91.5,WSIPS!$Z$30&lt;=100),"P","")</f>
        <v/>
      </c>
      <c r="RR24" t="str">
        <f>IF(WSIPS!$Z$38&lt;74.9,"P","")</f>
        <v/>
      </c>
      <c r="RS24" s="102" t="str">
        <f>IF(AND(WSIPS!$Z$38&gt;=75,WSIPS!$Z$38&lt;=83.24),"P","")</f>
        <v/>
      </c>
      <c r="RT24" s="102" t="str">
        <f>IF(AND(WSIPS!$Z$38&gt;=83.25,WSIPS!$Z$38&lt;=91.4),"P","")</f>
        <v/>
      </c>
      <c r="RU24" s="102" t="str">
        <f>IF(AND(WSIPS!$Z$38&gt;=91.5,WSIPS!$Z$38&lt;=100),"P","")</f>
        <v/>
      </c>
      <c r="RV24" t="str">
        <f>IF(WSIPS!$Z$46&lt;74.9,"P","")</f>
        <v/>
      </c>
      <c r="RW24" s="102" t="str">
        <f>IF(AND(WSIPS!$Z$46&gt;=75,WSIPS!$Z$46&lt;=83.24),"P","")</f>
        <v/>
      </c>
      <c r="RX24" s="102" t="str">
        <f>IF(AND(WSIPS!$Z$46&gt;=83.25,WSIPS!$Z$46&lt;=91.4),"P","")</f>
        <v/>
      </c>
      <c r="RY24" s="102" t="str">
        <f>IF(AND(WSIPS!$Z$46&gt;=91.5,WSIPS!$Z$46&lt;=100),"P","")</f>
        <v/>
      </c>
      <c r="RZ24" t="str">
        <f>IF(WSIPS!$Z$54&lt;74.9,"P","")</f>
        <v/>
      </c>
      <c r="SA24" s="102" t="str">
        <f>IF(AND(WSIPS!$Z$54&gt;=75,WSIPS!$Z$54&lt;=83.24),"P","")</f>
        <v/>
      </c>
      <c r="SB24" s="102" t="str">
        <f>IF(AND(WSIPS!$Z$54&gt;=83.25,WSIPS!$Z$54&lt;=91.4),"P","")</f>
        <v/>
      </c>
      <c r="SC24" s="102" t="str">
        <f>IF(AND(WSIPS!$Z$54&gt;=91.5,WSIPS!$Z$54&lt;=100),"P","")</f>
        <v/>
      </c>
      <c r="SD24" t="str">
        <f>IF(WSIPS!$Z$62&lt;74.9,"P","")</f>
        <v/>
      </c>
      <c r="SE24" s="102" t="str">
        <f>IF(AND(WSIPS!$Z$62&gt;=75,WSIPS!$Z$62&lt;=83.24),"P","")</f>
        <v/>
      </c>
      <c r="SF24" s="102" t="str">
        <f>IF(AND(WSIPS!$Z$62&gt;=83.25,WSIPS!$Z$62&lt;=91.4),"P","")</f>
        <v/>
      </c>
      <c r="SG24" s="102" t="str">
        <f>IF(AND(WSIPS!$Z$62&gt;=91.5,WSIPS!$Z$62&lt;=100),"P","")</f>
        <v/>
      </c>
      <c r="SH24" t="str">
        <f>IF(WSIPS!$Z$70&lt;74.9,"P","")</f>
        <v/>
      </c>
      <c r="SI24" s="102" t="str">
        <f>IF(AND(WSIPS!$Z$70&gt;=75,WSIPS!$Z$70&lt;=83.24),"P","")</f>
        <v/>
      </c>
      <c r="SJ24" s="102" t="str">
        <f>IF(AND(WSIPS!$Z$70&gt;=83.25,WSIPS!$Z$70&lt;=91.4),"P","")</f>
        <v/>
      </c>
      <c r="SK24" s="102" t="str">
        <f>IF(AND(WSIPS!$Z$70&gt;=91.5,WSIPS!$Z$70&lt;=100),"P","")</f>
        <v/>
      </c>
      <c r="SL24" t="str">
        <f>IF(WSIPS!$Z$78&lt;74.9,"P","")</f>
        <v/>
      </c>
      <c r="SM24" s="102" t="str">
        <f>IF(AND(WSIPS!$Z$78&gt;=75,WSIPS!$Z$78&lt;=83.24),"P","")</f>
        <v/>
      </c>
      <c r="SN24" s="102" t="str">
        <f>IF(AND(WSIPS!$Z$78&gt;=83.25,WSIPS!$Z$78&lt;=91.4),"P","")</f>
        <v/>
      </c>
      <c r="SO24" s="102" t="str">
        <f>IF(AND(WSIPS!$Z$78&gt;=91.5,WSIPS!$Z$78&lt;=100),"P","")</f>
        <v/>
      </c>
      <c r="SP24" t="str">
        <f>IF(WSIPS!$Z$86&lt;74.9,"P","")</f>
        <v/>
      </c>
      <c r="SQ24" s="102" t="str">
        <f>IF(AND(WSIPS!$Z$86&gt;=75,WSIPS!$Z$86&lt;=83.24),"P","")</f>
        <v/>
      </c>
      <c r="SR24" s="102" t="str">
        <f>IF(AND(WSIPS!$Z$86&gt;=83.25,WSIPS!$Z$86&lt;=91.4),"P","")</f>
        <v/>
      </c>
      <c r="SS24" s="102" t="str">
        <f>IF(AND(WSIPS!$Z$86&gt;=91.5,WSIPS!$Z$86&lt;=100),"P","")</f>
        <v/>
      </c>
      <c r="ST24" t="str">
        <f>IF(WSIPS!$Z$94&lt;74.9,"P","")</f>
        <v/>
      </c>
      <c r="SU24" s="102" t="str">
        <f>IF(AND(WSIPS!$Z$94&gt;=75,WSIPS!$Z$94&lt;=83.24),"P","")</f>
        <v/>
      </c>
      <c r="SV24" s="102" t="str">
        <f>IF(AND(WSIPS!$Z$94&gt;=83.25,WSIPS!$Z$94&lt;=91.4),"P","")</f>
        <v/>
      </c>
      <c r="SW24" s="102" t="str">
        <f>IF(AND(WSIPS!$Z$94&gt;=91.5,WSIPS!$Z$94&lt;=100),"P","")</f>
        <v/>
      </c>
      <c r="SX24" t="str">
        <f>IF(WSIPS!$Z$102&lt;74.9,"P","")</f>
        <v/>
      </c>
      <c r="SY24" s="102" t="str">
        <f>IF(AND(WSIPS!$Z$102&gt;=75,WSIPS!$Z$102&lt;=83.24),"P","")</f>
        <v/>
      </c>
      <c r="SZ24" s="102" t="str">
        <f>IF(AND(WSIPS!$Z$102&gt;=83.25,WSIPS!$Z$102&lt;=91.4),"P","")</f>
        <v/>
      </c>
      <c r="TA24" s="102" t="str">
        <f>IF(AND(WSIPS!$Z$102&gt;=91.5,WSIPS!$Z$102&lt;=100),"P","")</f>
        <v/>
      </c>
      <c r="TB24" t="str">
        <f>IF(WSSBK!$Z$6&lt;74.9,"P","")</f>
        <v/>
      </c>
      <c r="TC24" s="102" t="str">
        <f>IF(AND(WSSBK!$Z$6&gt;=75,WSSBK!$Z$6&lt;=83.24),"P","")</f>
        <v/>
      </c>
      <c r="TD24" s="102" t="str">
        <f>IF(AND(WSSBK!$Z$6&gt;=83.25,WSSBK!$Z$6&lt;=91.4),"P","")</f>
        <v/>
      </c>
      <c r="TE24" s="102" t="str">
        <f>IF(AND(WSSBK!$Z$6&gt;=91.5,WSSBK!$Z$6&lt;=100),"P","")</f>
        <v>P</v>
      </c>
      <c r="TF24" t="str">
        <f>IF(WSSBK!$Z$16&lt;74.9,"P","")</f>
        <v/>
      </c>
      <c r="TG24" s="102" t="str">
        <f>IF(AND(WSSBK!$Z$16&gt;=75,WSSBK!$Z$16&lt;=83.24),"P","")</f>
        <v/>
      </c>
      <c r="TH24" s="102" t="str">
        <f>IF(AND(WSSBK!$Z$16&gt;=83.25,WSSBK!$Z$16&lt;=91.4),"P","")</f>
        <v/>
      </c>
      <c r="TI24" s="102" t="str">
        <f>IF(AND(WSSBK!$Z$16&gt;=91.5,WSSBK!$Z$16&lt;=100),"P","")</f>
        <v>P</v>
      </c>
      <c r="TJ24" t="str">
        <f>IF(WSSBK!$Z$26&lt;74.9,"P","")</f>
        <v/>
      </c>
      <c r="TK24" s="102" t="str">
        <f>IF(AND(WSSBK!$Z$26&gt;=75,WSSBK!$Z$26&lt;=83.24),"P","")</f>
        <v/>
      </c>
      <c r="TL24" s="102" t="str">
        <f>IF(AND(WSSBK!$Z$26&gt;=83.25,WSSBK!$Z$26&lt;=91.4),"P","")</f>
        <v/>
      </c>
      <c r="TM24" s="102" t="str">
        <f>IF(AND(WSSBK!$Z$26&gt;=91.5,WSSBK!$Z$26&lt;=100),"P","")</f>
        <v>P</v>
      </c>
      <c r="TN24" t="str">
        <f>IF(WSSBK!$Z$36&lt;74.9,"P","")</f>
        <v/>
      </c>
      <c r="TO24" s="102" t="str">
        <f>IF(AND(WSSBK!$Z$36&gt;=75,WSSBK!$Z$36&lt;=83.24),"P","")</f>
        <v/>
      </c>
      <c r="TP24" s="102" t="str">
        <f>IF(AND(WSSBK!$Z$36&gt;=83.25,WSSBK!$Z$36&lt;=91.4),"P","")</f>
        <v>P</v>
      </c>
      <c r="TQ24" s="102" t="str">
        <f>IF(AND(WSSBK!$Z$36&gt;=91.5,WSSBK!$Z$36&lt;=100),"P","")</f>
        <v/>
      </c>
      <c r="TR24" t="str">
        <f>IF(WSSBK!$Z$46&lt;74.9,"P","")</f>
        <v/>
      </c>
      <c r="TS24" s="102" t="str">
        <f>IF(AND(WSSBK!$Z$46&gt;=75,WSSBK!$Z$46&lt;=83.24),"P","")</f>
        <v/>
      </c>
      <c r="TT24" s="102" t="str">
        <f>IF(AND(WSSBK!$Z$46&gt;=83.25,WSSBK!$Z$46&lt;=91.4),"P","")</f>
        <v/>
      </c>
      <c r="TU24" s="102" t="str">
        <f>IF(AND(WSSBK!$Z$46&gt;=91.5,WSSBK!$Z$46&lt;=100),"P","")</f>
        <v>P</v>
      </c>
      <c r="TV24" t="str">
        <f>IF(WSSBK!$Z$58&lt;74.9,"P","")</f>
        <v/>
      </c>
      <c r="TW24" s="102" t="str">
        <f>IF(AND(WSSBK!$Z$58&gt;=75,WSSBK!$Z$58&lt;=83.24),"P","")</f>
        <v/>
      </c>
      <c r="TX24" s="102" t="str">
        <f>IF(AND(WSSBK!$Z$58&gt;=83.25,WSSBK!$Z$58&lt;=91.4),"P","")</f>
        <v/>
      </c>
      <c r="TY24" s="102" t="str">
        <f>IF(AND(WSSBK!$Z$58&gt;=91.5,WSSBK!$Z$58&lt;=100),"P","")</f>
        <v>P</v>
      </c>
      <c r="TZ24" t="str">
        <f>IF(WSSBK!$Z$68&lt;74.9,"P","")</f>
        <v/>
      </c>
      <c r="UA24" s="102" t="str">
        <f>IF(AND(WSSBK!$Z$68&gt;=75,WSSBK!$Z$68&lt;=83.24),"P","")</f>
        <v/>
      </c>
      <c r="UB24" s="102" t="str">
        <f>IF(AND(WSSBK!$Z$68&gt;=83.25,WSSBK!$Z$68&lt;=91.4),"P","")</f>
        <v/>
      </c>
      <c r="UC24" s="102" t="str">
        <f>IF(AND(WSSBK!$Z$68&gt;=91.5,WSSBK!$Z$68&lt;=100),"P","")</f>
        <v>P</v>
      </c>
      <c r="UD24" t="str">
        <f>IF(WSSBK!$Z$77&lt;74.9,"P","")</f>
        <v/>
      </c>
      <c r="UE24" s="102" t="str">
        <f>IF(AND(WSSBK!$Z$77&gt;=75,WSSBK!$Z$77&lt;=83.24),"P","")</f>
        <v/>
      </c>
      <c r="UF24" s="102" t="str">
        <f>IF(AND(WSSBK!$Z$77&gt;=83.25,WSSBK!$Z$77&lt;=91.4),"P","")</f>
        <v>P</v>
      </c>
      <c r="UG24" s="102" t="str">
        <f>IF(AND(WSSBK!$Z$77&gt;=91.5,WSSBK!$Z$77&lt;=100),"P","")</f>
        <v/>
      </c>
      <c r="UH24" t="str">
        <f>IF(WSSBK!$Z$87&lt;74.9,"P","")</f>
        <v/>
      </c>
      <c r="UI24" s="102" t="str">
        <f>IF(AND(WSSBK!$Z$87&gt;=75,WSSBK!$Z$87&lt;=83.24),"P","")</f>
        <v/>
      </c>
      <c r="UJ24" s="102" t="str">
        <f>IF(AND(WSSBK!$Z$87&gt;=83.25,WSSBK!$Z$87&lt;=91.4),"P","")</f>
        <v/>
      </c>
      <c r="UK24" s="102" t="str">
        <f>IF(AND(WSSBK!$Z$87&gt;=91.5,WSSBK!$Z$87&lt;=100),"P","")</f>
        <v/>
      </c>
      <c r="UL24" t="str">
        <f>IF(WSSBK!$Z$95&lt;74.9,"P","")</f>
        <v/>
      </c>
      <c r="UM24" s="102" t="str">
        <f>IF(AND(WSSBK!$Z$95&gt;=75,WSSBK!$Z$95&lt;=83.24),"P","")</f>
        <v/>
      </c>
      <c r="UN24" s="102" t="str">
        <f>IF(AND(WSSBK!$Z$95&gt;=83.25,WSSBK!$Z$95&lt;=91.4),"P","")</f>
        <v/>
      </c>
      <c r="UO24" s="102" t="str">
        <f>IF(AND(WSSBK!$Z$95&gt;=91.5,WSSBK!$Z$95&lt;=100),"P","")</f>
        <v/>
      </c>
      <c r="UP24" t="str">
        <f>IF(WSSBK!$Z$103&lt;74.9,"P","")</f>
        <v/>
      </c>
      <c r="UQ24" s="102" t="str">
        <f>IF(AND(WSSBK!$Z$103&gt;=75,WSSBK!$Z$103&lt;=83.24),"P","")</f>
        <v/>
      </c>
      <c r="UR24" s="102" t="str">
        <f>IF(AND(WSSBK!$Z$103&gt;=83.25,WSSBK!$Z$103&lt;=91.4),"P","")</f>
        <v/>
      </c>
      <c r="US24" s="102" t="str">
        <f>IF(AND(WSSBK!$Z$103&gt;=91.5,WSSBK!$Z$103&lt;=100),"P","")</f>
        <v/>
      </c>
      <c r="UT24" t="str">
        <f>IF(WSSBK!$Z$111&lt;74.9,"P","")</f>
        <v/>
      </c>
      <c r="UU24" s="102" t="str">
        <f>IF(AND(WSSBK!$Z$111&gt;=75,WSSBK!$Z$111&lt;=83.24),"P","")</f>
        <v/>
      </c>
      <c r="UV24" s="102" t="str">
        <f>IF(AND(WSSBK!$Z$111&gt;=83.25,WSSBK!$Z$111&lt;=91.4),"P","")</f>
        <v/>
      </c>
      <c r="UW24" s="102" t="str">
        <f>IF(AND(WSSBK!$Z$111&gt;=91.5,WSSBK!$Z$111&lt;=100),"P","")</f>
        <v/>
      </c>
      <c r="UX24" t="str">
        <f>IF(WSSBK!$Z$119&lt;74.9,"P","")</f>
        <v/>
      </c>
      <c r="UY24" s="102" t="str">
        <f>IF(AND(WSSBK!$Z$119&gt;=75,WSSBK!$Z$119&lt;=83.24),"P","")</f>
        <v/>
      </c>
      <c r="UZ24" s="102" t="str">
        <f>IF(AND(WSSBK!$Z$119&gt;=83.25,WSSBK!$Z$119&lt;=91.4),"P","")</f>
        <v/>
      </c>
      <c r="VA24" s="102" t="str">
        <f>IF(AND(WSSBK!$Z$119&gt;=91.5,WSSBK!$Z$119&lt;=100),"P","")</f>
        <v/>
      </c>
      <c r="VB24" s="102" t="str">
        <f>IF(AND(WSPENJAS!$Z$6&gt;0,WSPENJAS!$Z$6&lt;=74.9),"P","")</f>
        <v/>
      </c>
      <c r="VC24" s="102" t="str">
        <f>IF(AND(WSPENJAS!$Z$6&gt;=75,WSPENJAS!$Z$6&lt;=83.24),"P","")</f>
        <v/>
      </c>
      <c r="VD24" s="102" t="str">
        <f>IF(AND(WSPENJAS!$Z$6&gt;=83.25,WSPENJAS!$Z$6&lt;=91.4),"P","")</f>
        <v/>
      </c>
      <c r="VE24" s="102" t="str">
        <f>IF(AND(WSPENJAS!$Z$6&gt;=91.5,WSPENJAS!$Z$6&lt;=100),"P","")</f>
        <v/>
      </c>
      <c r="VF24" s="102" t="str">
        <f>IF(AND(WSPENJAS!$Z$7&gt;0,WSPENJAS!$Z$7&lt;=74.9),"P","")</f>
        <v/>
      </c>
      <c r="VG24" s="102" t="str">
        <f>IF(AND(WSPENJAS!$Z$7&gt;=75,WSPENJAS!$Z$7&lt;=83.24),"P","")</f>
        <v/>
      </c>
      <c r="VH24" s="102" t="str">
        <f>IF(AND(WSPENJAS!$Z$7&gt;=83.25,WSPENJAS!$Z$7&lt;=91.4),"P","")</f>
        <v/>
      </c>
      <c r="VI24" s="102" t="str">
        <f>IF(AND(WSPENJAS!$Z$7&gt;=91.5,WSPENJAS!$Z$7&lt;=100),"P","")</f>
        <v/>
      </c>
      <c r="VJ24" s="102" t="str">
        <f>IF(AND(WSPENJAS!$Z$8&gt;0,WSPENJAS!$Z$8&lt;=74.9),"P","")</f>
        <v/>
      </c>
      <c r="VK24" s="102" t="str">
        <f>IF(AND(WSPENJAS!$Z$8&gt;=75,WSPENJAS!$Z$8&lt;=83.24),"P","")</f>
        <v/>
      </c>
      <c r="VL24" s="102" t="str">
        <f>IF(AND(WSPENJAS!$Z$8&gt;=83.25,WSPENJAS!$Z$8&lt;=91.4),"P","")</f>
        <v/>
      </c>
      <c r="VM24" s="102" t="str">
        <f>IF(AND(WSPENJAS!$Z$8&gt;=91.5,WSPENJAS!$Z$8&lt;=100),"P","")</f>
        <v>P</v>
      </c>
      <c r="VN24" s="102" t="str">
        <f>IF(AND(WSPENJAS!$Z$9&gt;0,WSPENJAS!$Z$9&lt;=74.9),"P","")</f>
        <v/>
      </c>
      <c r="VO24" s="102" t="str">
        <f>IF(AND(WSPENJAS!$Z$9&gt;=75,WSPENJAS!$Z$9&lt;=83.24),"P","")</f>
        <v/>
      </c>
      <c r="VP24" s="102" t="str">
        <f>IF(AND(WSPENJAS!$Z$9&gt;=83.25,WSPENJAS!$Z$9&lt;=91.4),"P","")</f>
        <v/>
      </c>
      <c r="VQ24" s="102" t="str">
        <f>IF(AND(WSPENJAS!$Z$9&gt;=91.5,WSPENJAS!$Z$9&lt;=100),"P","")</f>
        <v>P</v>
      </c>
      <c r="VR24" s="102" t="str">
        <f>IF(AND(WSPENJAS!$Z$10&gt;0,WSPENJAS!$Z$10&lt;=74.9),"P","")</f>
        <v/>
      </c>
      <c r="VS24" s="102" t="str">
        <f>IF(AND(WSPENJAS!$Z$10&gt;=75,WSPENJAS!$Z$10&lt;=83.24),"P","")</f>
        <v/>
      </c>
      <c r="VT24" s="102" t="str">
        <f>IF(AND(WSPENJAS!$Z$10&gt;=83.25,WSPENJAS!$Z$10&lt;=91.4),"P","")</f>
        <v/>
      </c>
      <c r="VU24" s="102" t="str">
        <f>IF(AND(WSPENJAS!$Z$10&gt;=91.5,WSPENJAS!$Z$10&lt;=100),"P","")</f>
        <v>P</v>
      </c>
      <c r="VV24" s="102" t="str">
        <f>IF(AND(WSPENJAS!$Z$11&gt;0,WSPENJAS!$Z$11&lt;=74.9),"P","")</f>
        <v/>
      </c>
      <c r="VW24" s="102" t="str">
        <f>IF(AND(WSPENJAS!$Z$411&gt;=75,WSPENJAS!$Z$411&lt;=83.24),"P","")</f>
        <v/>
      </c>
      <c r="VX24" s="102" t="str">
        <f>IF(AND(WSPENJAS!$Z$411&gt;=83.25,WSPENJAS!$Z$411&lt;=91.4),"P","")</f>
        <v/>
      </c>
      <c r="VY24" s="102" t="str">
        <f>IF(AND(WSPENJAS!$Z$411&gt;=91.5,WSPENJAS!$Z$411&lt;=100),"P","")</f>
        <v/>
      </c>
      <c r="VZ24" s="102" t="str">
        <f>IF(AND(WSPENJAS!$Z$12&gt;0,WSPENJAS!$Z$12&lt;=74.9),"P","")</f>
        <v/>
      </c>
      <c r="WA24" s="102" t="str">
        <f>IF(AND(WSPENJAS!$Z$12&gt;=75,WSPENJAS!$Z$12&lt;=83.24),"P","")</f>
        <v/>
      </c>
      <c r="WB24" s="102" t="str">
        <f>IF(AND(WSPENJAS!$Z$12&gt;=83.25,WSPENJAS!$Z$12&lt;=91.4),"P","")</f>
        <v/>
      </c>
      <c r="WC24" s="102" t="str">
        <f>IF(AND(WSPENJAS!$Z$12&gt;=91.5,WSPENJAS!$Z$12&lt;=100),"P","")</f>
        <v>P</v>
      </c>
      <c r="WD24" s="102" t="str">
        <f>IF(AND(WSPENJAS!$Z$13&gt;0,WSPENJAS!$Z$13&lt;=74.9),"P","")</f>
        <v/>
      </c>
      <c r="WE24" s="102" t="str">
        <f>IF(AND(WSPENJAS!$Z$13&gt;=75,WSPENJAS!$Z$13&lt;=83.24),"P","")</f>
        <v/>
      </c>
      <c r="WF24" s="102" t="str">
        <f>IF(AND(WSPENJAS!$Z$13&gt;=83.25,WSPENJAS!$Z$13&lt;=91.4),"P","")</f>
        <v/>
      </c>
      <c r="WG24" s="102" t="str">
        <f>IF(AND(WSPENJAS!$Z$13&gt;=91.5,WSPENJAS!$Z$13&lt;=100),"P","")</f>
        <v>P</v>
      </c>
      <c r="WH24" s="102" t="str">
        <f>IF(AND(WSPENJAS!$Z$14&gt;0,WSPENJAS!$Z$14&lt;=74.9),"P","")</f>
        <v/>
      </c>
      <c r="WI24" s="102" t="str">
        <f>IF(AND(WSPENJAS!$Z$14&gt;=75,WSPENJAS!$Z$14&lt;=83.24),"P","")</f>
        <v/>
      </c>
      <c r="WJ24" s="102" t="str">
        <f>IF(AND(WSPENJAS!$Z$14&gt;=83.25,WSPENJAS!$Z$14&lt;=91.4),"P","")</f>
        <v/>
      </c>
      <c r="WK24" s="102" t="str">
        <f>IF(AND(WSPENJAS!$Z$14&gt;=91.5,WSPENJAS!$Z$14&lt;=100),"P","")</f>
        <v>P</v>
      </c>
      <c r="WL24" s="102" t="str">
        <f>IF(AND(WSPENJAS!$Z$15&gt;0,WSPENJAS!$Z$15&lt;=74.9),"P","")</f>
        <v/>
      </c>
      <c r="WM24" s="102" t="str">
        <f>IF(AND(WSPENJAS!$Z$15&gt;=75,WSPENJAS!$Z$15&lt;=83.24),"P","")</f>
        <v/>
      </c>
      <c r="WN24" s="102" t="str">
        <f>IF(AND(WSPENJAS!$Z$15&gt;=83.25,WSPENJAS!$Z$15&lt;=91.4),"P","")</f>
        <v/>
      </c>
      <c r="WO24" s="102" t="str">
        <f>IF(AND(WSPENJAS!$Z$15&gt;=91.5,WSPENJAS!$Z$15&lt;=100),"P","")</f>
        <v>P</v>
      </c>
      <c r="WP24" s="102" t="str">
        <f>IF(AND(WSPENJAS!$Z$16&gt;0,WSPENJAS!$Z$16&lt;=74.9),"P","")</f>
        <v/>
      </c>
      <c r="WQ24" s="102" t="str">
        <f>IF(AND(WSPENJAS!$Z$16&gt;=75,WSPENJAS!$Z$16&lt;=83.24),"P","")</f>
        <v/>
      </c>
      <c r="WR24" s="102" t="str">
        <f>IF(AND(WSPENJAS!$Z$16&gt;=83.25,WSPENJAS!$Z$16&lt;=91.4),"P","")</f>
        <v/>
      </c>
      <c r="WS24" s="102" t="str">
        <f>IF(AND(WSPENJAS!$Z$16&gt;=91.5,WSPENJAS!$Z$16&lt;=100),"P","")</f>
        <v/>
      </c>
      <c r="WT24" s="102" t="str">
        <f>IF(AND(WSPENJAS!$Z$17&gt;0,WSPENJAS!$Z$17&lt;=74.9),"P","")</f>
        <v/>
      </c>
      <c r="WU24" s="102" t="str">
        <f>IF(AND(WSPENJAS!$Z$17&gt;=75,WSPENJAS!$Z$17&lt;=83.24),"P","")</f>
        <v/>
      </c>
      <c r="WV24" s="102" t="str">
        <f>IF(AND(WSPENJAS!$Z$17&gt;=83.25,WSPENJAS!$Z$17&lt;=91.4),"P","")</f>
        <v/>
      </c>
      <c r="WW24" s="102" t="str">
        <f>IF(AND(WSPENJAS!$Z$17&gt;=91.5,WSPENJAS!$Z$17&lt;=100),"P","")</f>
        <v/>
      </c>
      <c r="WX24" s="102" t="str">
        <f>IF(AND(WSPENJAS!$Z$18&gt;0,WSPENJAS!$Z$18&lt;=74.9),"P","")</f>
        <v/>
      </c>
      <c r="WY24" s="102" t="str">
        <f>IF(AND(WSPENJAS!$Z$18&gt;=75,WSPENJAS!$Z$18&lt;=83.24),"P","")</f>
        <v/>
      </c>
      <c r="WZ24" s="102" t="str">
        <f>IF(AND(WSPENJAS!$Z$18&gt;=83.25,WSPENJAS!$Z$18&lt;=91.4),"P","")</f>
        <v/>
      </c>
      <c r="XA24" s="102" t="str">
        <f>IF(AND(WSPENJAS!$Z$18&gt;=91.5,WSPENJAS!$Z$18&lt;=100),"P","")</f>
        <v/>
      </c>
      <c r="XB24" s="102" t="str">
        <f>IF(AND(WSPENJAS!$Z$19&gt;0,WSPENJAS!$Z$19&lt;=74.9),"P","")</f>
        <v/>
      </c>
      <c r="XC24" s="102" t="str">
        <f>IF(AND(WSPENJAS!$Z$19&gt;=75,WSPENJAS!$Z$19&lt;=83.24),"P","")</f>
        <v/>
      </c>
      <c r="XD24" s="102" t="str">
        <f>IF(AND(WSPENJAS!$Z$19&gt;=83.25,WSPENJAS!$Z$19&lt;=91.4),"P","")</f>
        <v/>
      </c>
      <c r="XE24" s="102" t="str">
        <f>IF(AND(WSPENJAS!$Z$19&gt;=91.5,WSPENJAS!$Z$19&lt;=100),"P","")</f>
        <v/>
      </c>
      <c r="XF24" s="102" t="str">
        <f>IF(AND(WSPENJAS!$Z$20&gt;0,WSPENJAS!$Z$20&lt;=74.9),"P","")</f>
        <v/>
      </c>
      <c r="XG24" s="102" t="str">
        <f>IF(AND(WSPENJAS!$Z$20&gt;=75,WSPENJAS!$Z$20&lt;=83.24),"P","")</f>
        <v/>
      </c>
      <c r="XH24" s="102" t="str">
        <f>IF(AND(WSPENJAS!$Z$20&gt;=83.25,WSPENJAS!$Z$20&lt;=91.4),"P","")</f>
        <v/>
      </c>
      <c r="XI24" s="102" t="str">
        <f>IF(AND(WSPENJAS!$Z$20&gt;=91.5,WSPENJAS!$Z$20&lt;=100),"P","")</f>
        <v/>
      </c>
      <c r="XJ24" s="102" t="str">
        <f>IF(AND(WSPENJAS!$Z$21&gt;0,WSPENJAS!$Z$21&lt;=74.9),"P","")</f>
        <v/>
      </c>
      <c r="XK24" s="102" t="str">
        <f>IF(AND(WSPENJAS!$Z$21&gt;=75,WSPENJAS!$Z$21&lt;=83.24),"P","")</f>
        <v/>
      </c>
      <c r="XL24" s="102" t="str">
        <f>IF(AND(WSPENJAS!$Z$21&gt;=83.25,WSPENJAS!$Z$21&lt;=91.4),"P","")</f>
        <v/>
      </c>
      <c r="XM24" s="102" t="str">
        <f>IF(AND(WSPENJAS!$Z$21&gt;=91.5,WSPENJAS!$Z$21&lt;=100),"P","")</f>
        <v/>
      </c>
      <c r="XN24" t="str">
        <f>IF(WSJAWA!$Z$6&lt;74.9,"P","")</f>
        <v/>
      </c>
      <c r="XO24" s="102" t="str">
        <f>IF(AND(WSJAWA!$Z$6&gt;=75,WSJAWA!$Z$6&lt;=83.24),"P","")</f>
        <v/>
      </c>
      <c r="XP24" s="102" t="str">
        <f>IF(AND(WSJAWA!$Z$6&gt;=83.25,WSJAWA!$Z$6&lt;=91.4),"P","")</f>
        <v/>
      </c>
      <c r="XQ24" s="102" t="str">
        <f>IF(AND(WSJAWA!$Z$6&gt;=91.5,WSJAWA!$Z$6&lt;=100),"P","")</f>
        <v>P</v>
      </c>
      <c r="XR24" t="str">
        <f>IF(WSJAWA!$Z$14&lt;74.9,"P","")</f>
        <v/>
      </c>
      <c r="XS24" s="102" t="str">
        <f>IF(AND(WSJAWA!$Z$14&gt;=75,WSJAWA!$Z$14&lt;=83.24),"P","")</f>
        <v/>
      </c>
      <c r="XT24" s="102" t="str">
        <f>IF(AND(WSJAWA!$Z$14&gt;=83.25,WSJAWA!$Z$14&lt;=91.4),"P","")</f>
        <v/>
      </c>
      <c r="XU24" s="102" t="str">
        <f>IF(AND(WSJAWA!$Z$14&gt;=91.5,WSJAWA!$Z$14&lt;=100),"P","")</f>
        <v>P</v>
      </c>
      <c r="XV24" t="str">
        <f>IF(WSJAWA!$Z$22&lt;74.9,"P","")</f>
        <v/>
      </c>
      <c r="XW24" s="102" t="str">
        <f>IF(AND(WSJAWA!$Z$22&gt;=75,WSJAWA!$Z$22&lt;=83.24),"P","")</f>
        <v/>
      </c>
      <c r="XX24" s="102" t="str">
        <f>IF(AND(WSJAWA!$Z$22&gt;=83.25,WSJAWA!$Z$22&lt;=91.4),"P","")</f>
        <v/>
      </c>
      <c r="XY24" s="102" t="str">
        <f>IF(AND(WSJAWA!$Z$22&gt;=91.5,WSJAWA!$Z$22&lt;=100),"P","")</f>
        <v>P</v>
      </c>
      <c r="XZ24" t="str">
        <f>IF(WSJAWA!$Z$30&lt;74.9,"P","")</f>
        <v/>
      </c>
      <c r="YA24" s="102" t="str">
        <f>IF(AND(WSJAWA!$Z$30&gt;=75,WSJAWA!$Z$30&lt;=83.24),"P","")</f>
        <v/>
      </c>
      <c r="YB24" s="102" t="str">
        <f>IF(AND(WSJAWA!$Z$30&gt;=83.25,WSJAWA!$Z$30&lt;=91.4),"P","")</f>
        <v/>
      </c>
      <c r="YC24" s="102" t="str">
        <f>IF(AND(WSJAWA!$Z$30&gt;=91.5,WSJAWA!$Z$30&lt;=100),"P","")</f>
        <v>P</v>
      </c>
      <c r="YD24" t="str">
        <f>IF(WSJAWA!$Z$38&lt;74.9,"P","")</f>
        <v/>
      </c>
      <c r="YE24" s="102" t="str">
        <f>IF(AND(WSJAWA!$Z$38&gt;=75,WSJAWA!$Z$38&lt;=83.24),"P","")</f>
        <v/>
      </c>
      <c r="YF24" s="102" t="str">
        <f>IF(AND(WSJAWA!$Z$38&gt;=83.25,WSJAWA!$Z$38&lt;=91.4),"P","")</f>
        <v/>
      </c>
      <c r="YG24" s="102" t="str">
        <f>IF(AND(WSJAWA!$Z$38&gt;=91.5,WSJAWA!$Z$38&lt;=100),"P","")</f>
        <v>P</v>
      </c>
      <c r="YH24" t="str">
        <f>IF(WSJAWA!$Z$46&lt;74.9,"P","")</f>
        <v/>
      </c>
      <c r="YI24" s="102" t="str">
        <f>IF(AND(WSJAWA!$Z$46&gt;=75,WSJAWA!$Z$46&lt;=83.24),"P","")</f>
        <v>P</v>
      </c>
      <c r="YJ24" s="102" t="str">
        <f>IF(AND(WSJAWA!$Z$46&gt;=83.25,WSJAWA!$Z$46&lt;=91.4),"P","")</f>
        <v/>
      </c>
      <c r="YK24" s="102" t="str">
        <f>IF(AND(WSJAWA!$Z$46&gt;=91.5,WSJAWA!$Z$46&lt;=100),"P","")</f>
        <v/>
      </c>
      <c r="YL24" t="str">
        <f>IF(WSJAWA!$Z$54&lt;74.9,"P","")</f>
        <v/>
      </c>
      <c r="YM24" s="102" t="str">
        <f>IF(AND(WSJAWA!$Z$54&gt;=75,WSJAWA!$Z$54&lt;=83.24),"P","")</f>
        <v/>
      </c>
      <c r="YN24" s="102" t="str">
        <f>IF(AND(WSJAWA!$Z$54&gt;=83.25,WSJAWA!$Z$54&lt;=91.4),"P","")</f>
        <v/>
      </c>
      <c r="YO24" s="102" t="str">
        <f>IF(AND(WSJAWA!$Z$54&gt;=91.5,WSJAWA!$Z$54&lt;=100),"P","")</f>
        <v>P</v>
      </c>
      <c r="YP24" t="str">
        <f>IF(WSJAWA!$Z$62&lt;74.9,"P","")</f>
        <v/>
      </c>
      <c r="YQ24" s="102" t="str">
        <f>IF(AND(WSJAWA!$Z$62&gt;=75,WSJAWA!$Z$62&lt;=83.24),"P","")</f>
        <v/>
      </c>
      <c r="YR24" s="102" t="str">
        <f>IF(AND(WSJAWA!$Z$62&gt;=83.25,WSJAWA!$Z$62&lt;=91.4),"P","")</f>
        <v/>
      </c>
      <c r="YS24" s="102" t="str">
        <f>IF(AND(WSJAWA!$Z$62&gt;=91.5,WSJAWA!$Z$62&lt;=100),"P","")</f>
        <v>P</v>
      </c>
      <c r="YT24" t="str">
        <f>IF(WSJAWA!$Z$70&lt;74.9,"P","")</f>
        <v/>
      </c>
      <c r="YU24" s="102" t="str">
        <f>IF(AND(WSJAWA!$Z$70&gt;=75,WSJAWA!$Z$70&lt;=83.24),"P","")</f>
        <v/>
      </c>
      <c r="YV24" s="102" t="str">
        <f>IF(AND(WSJAWA!$Z$70&gt;=83.25,WSJAWA!$Z$70&lt;=91.4),"P","")</f>
        <v/>
      </c>
      <c r="YW24" s="102" t="str">
        <f>IF(AND(WSJAWA!$Z$70&gt;=91.5,WSJAWA!$Z$70&lt;=100),"P","")</f>
        <v/>
      </c>
      <c r="YX24" t="str">
        <f>IF(WSJAWA!$Z$78&lt;74.9,"P","")</f>
        <v/>
      </c>
      <c r="YY24" s="102" t="str">
        <f>IF(AND(WSJAWA!$Z$78&gt;=75,WSJAWA!$Z$78&lt;=83.24),"P","")</f>
        <v/>
      </c>
      <c r="YZ24" s="102" t="str">
        <f>IF(AND(WSJAWA!$Z$78&gt;=83.25,WSJAWA!$Z$78&lt;=91.4),"P","")</f>
        <v/>
      </c>
      <c r="ZA24" s="102" t="str">
        <f>IF(AND(WSJAWA!$Z$78&gt;=91.5,WSJAWA!$Z$78&lt;=100),"P","")</f>
        <v/>
      </c>
      <c r="ZB24" t="str">
        <f>IF(WSJAWA!$Z$86&lt;74.9,"P","")</f>
        <v/>
      </c>
      <c r="ZC24" s="102" t="str">
        <f>IF(AND(WSJAWA!$Z$86&gt;=75,WSJAWA!$Z$86&lt;=83.24),"P","")</f>
        <v/>
      </c>
      <c r="ZD24" s="102" t="str">
        <f>IF(AND(WSJAWA!$Z$86&gt;=83.25,WSJAWA!$Z$86&lt;=91.4),"P","")</f>
        <v/>
      </c>
      <c r="ZE24" s="102" t="str">
        <f>IF(AND(WSJAWA!$Z$86&gt;=91.5,WSJAWA!$Z$86&lt;=100),"P","")</f>
        <v/>
      </c>
      <c r="ZF24" t="str">
        <f>IF(WSJAWA!$Z$94&lt;74.9,"P","")</f>
        <v/>
      </c>
      <c r="ZG24" s="102" t="str">
        <f>IF(AND(WSJAWA!$Z$94&gt;=75,WSJAWA!$Z$94&lt;=83.24),"P","")</f>
        <v/>
      </c>
      <c r="ZH24" s="102" t="str">
        <f>IF(AND(WSJAWA!$Z$94&gt;=83.25,WSJAWA!$Z$94&lt;=91.4),"P","")</f>
        <v/>
      </c>
      <c r="ZI24" s="102" t="str">
        <f>IF(AND(WSJAWA!$Z$94&gt;=91.5,WSJAWA!$Z$94&lt;=100),"P","")</f>
        <v/>
      </c>
      <c r="ZJ24" t="str">
        <f>IF(WSJAWA!$Z$102&lt;74.9,"P","")</f>
        <v/>
      </c>
      <c r="ZK24" s="102" t="str">
        <f>IF(AND(WSJAWA!$Z$102&gt;=75,WSJAWA!$Z$102&lt;=83.24),"P","")</f>
        <v/>
      </c>
      <c r="ZL24" s="102" t="str">
        <f>IF(AND(WSJAWA!$Z$102&gt;=83.25,WSJAWA!$Z$102&lt;=91.4),"P","")</f>
        <v/>
      </c>
      <c r="ZM24" s="102" t="str">
        <f>IF(AND(WSJAWA!$Z$102&gt;=91.5,WSJAWA!$Z$102&lt;=100),"P","")</f>
        <v/>
      </c>
      <c r="ZN24" t="str">
        <f>IF(WSING!$Z$6&lt;74.9,"P","")</f>
        <v/>
      </c>
      <c r="ZO24" s="102" t="str">
        <f>IF(AND(WSING!$Z$6&gt;=75,WSING!$Z$6&lt;=83.24),"P","")</f>
        <v/>
      </c>
      <c r="ZP24" s="102" t="str">
        <f>IF(AND(WSING!$Z$6&gt;=83.25,WSING!$Z$6&lt;=91.4),"P","")</f>
        <v/>
      </c>
      <c r="ZQ24" s="102" t="str">
        <f>IF(AND(WSING!$Z$6&gt;=91.5,WSING!$Z$6&lt;=100),"P","")</f>
        <v>P</v>
      </c>
      <c r="ZR24" t="str">
        <f>IF(WSING!$Z$15&lt;74.9,"P","")</f>
        <v/>
      </c>
      <c r="ZS24" s="102" t="str">
        <f>IF(AND(WSING!$Z$15&gt;=75,WSING!$Z$15&lt;=83.24),"P","")</f>
        <v/>
      </c>
      <c r="ZT24" s="102" t="str">
        <f>IF(AND(WSING!$Z$15&gt;=83.25,WSING!$Z$15&lt;=91.4),"P","")</f>
        <v/>
      </c>
      <c r="ZU24" s="102" t="str">
        <f>IF(AND(WSING!$Z$15&gt;=91.5,WSING!$Z$15&lt;=100),"P","")</f>
        <v>P</v>
      </c>
      <c r="ZV24" t="str">
        <f>IF(WSING!$Z$24&lt;74.9,"P","")</f>
        <v/>
      </c>
      <c r="ZW24" s="102" t="str">
        <f>IF(AND(WSING!$Z$24&gt;=75,WSING!$Z$24&lt;=83.24),"P","")</f>
        <v>P</v>
      </c>
      <c r="ZX24" s="102" t="str">
        <f>IF(AND(WSING!$Z$24&gt;=83.25,WSING!$Z$24&lt;=91.4),"P","")</f>
        <v/>
      </c>
      <c r="ZY24" s="102" t="str">
        <f>IF(AND(WSING!$Z$24&gt;=91.5,WSING!$Z$24&lt;=100),"P","")</f>
        <v/>
      </c>
      <c r="ZZ24" t="str">
        <f>IF(WSING!$Z$33&lt;74.9,"P","")</f>
        <v/>
      </c>
      <c r="AAA24" s="102" t="str">
        <f>IF(AND(WSING!$Z$33&gt;=75,WSING!$Z$33&lt;=83.24),"P","")</f>
        <v>P</v>
      </c>
      <c r="AAB24" s="102" t="str">
        <f>IF(AND(WSING!$Z$33&gt;=83.25,WSING!$Z$33&lt;=91.4),"P","")</f>
        <v/>
      </c>
      <c r="AAC24" s="102" t="str">
        <f>IF(AND(WSING!$Z$33&gt;=91.5,WSING!$Z$33&lt;=100),"P","")</f>
        <v/>
      </c>
      <c r="AAD24" t="str">
        <f>IF(WSING!$Z$42&lt;74.9,"P","")</f>
        <v/>
      </c>
      <c r="AAE24" s="102" t="str">
        <f>IF(AND(WSING!$Z$42&gt;=75,WSING!$Z$42&lt;=83.24),"P","")</f>
        <v/>
      </c>
      <c r="AAF24" s="102" t="str">
        <f>IF(AND(WSING!$Z$42&gt;=83.25,WSING!$Z$42&lt;=91.4),"P","")</f>
        <v/>
      </c>
      <c r="AAG24" s="102" t="str">
        <f>IF(AND(WSING!$Z$42&gt;=91.5,WSING!$Z$42&lt;=100),"P","")</f>
        <v/>
      </c>
      <c r="AAH24" t="str">
        <f>IF(WSING!$Z$50&lt;74.9,"P","")</f>
        <v/>
      </c>
      <c r="AAI24" s="102" t="str">
        <f>IF(AND(WSING!$Z$50&gt;=75,WSING!$Z$50&lt;=83.24),"P","")</f>
        <v/>
      </c>
      <c r="AAJ24" s="102" t="str">
        <f>IF(AND(WSING!$Z$50&gt;=83.25,WSING!$Z$50&lt;=91.4),"P","")</f>
        <v/>
      </c>
      <c r="AAK24" s="102" t="str">
        <f>IF(AND(WSING!$Z$50&gt;=91.5,WSING!$Z$50&lt;=100),"P","")</f>
        <v/>
      </c>
      <c r="AAL24" t="str">
        <f>IF(WSING!$Z$58&lt;74.9,"P","")</f>
        <v/>
      </c>
      <c r="AAM24" s="102" t="str">
        <f>IF(AND(WSING!$Z$58&gt;=75,WSING!$Z$58&lt;=83.24),"P","")</f>
        <v/>
      </c>
      <c r="AAN24" s="102" t="str">
        <f>IF(AND(WSING!$Z$58&gt;=83.25,WSING!$Z$58&lt;=91.4),"P","")</f>
        <v/>
      </c>
      <c r="AAO24" s="102" t="str">
        <f>IF(AND(WSING!$Z$58&gt;=91.5,WSING!$Z$58&lt;=100),"P","")</f>
        <v/>
      </c>
      <c r="AAP24" t="str">
        <f>IF(WSING!$Z$66&lt;74.9,"P","")</f>
        <v/>
      </c>
      <c r="AAQ24" s="102" t="str">
        <f>IF(AND(WSING!$Z$66&gt;=75,WSING!$Z$66&lt;=83.24),"P","")</f>
        <v/>
      </c>
      <c r="AAR24" s="102" t="str">
        <f>IF(AND(WSING!$Z$66&gt;=83.25,WSING!$Z$66&lt;=91.4),"P","")</f>
        <v/>
      </c>
      <c r="AAS24" s="102" t="str">
        <f>IF(AND(WSING!$Z$66&gt;=91.5,WSING!$Z$66&lt;=100),"P","")</f>
        <v/>
      </c>
      <c r="AAT24" t="str">
        <f>IF(WSING!$Z$74&lt;74.9,"P","")</f>
        <v/>
      </c>
      <c r="AAU24" s="102" t="str">
        <f>IF(AND(WSING!$Z$74&gt;=75,WSING!$Z$74&lt;=83.24),"P","")</f>
        <v/>
      </c>
      <c r="AAV24" s="102" t="str">
        <f>IF(AND(WSING!$Z$74&gt;=83.25,WSING!$Z$74&lt;=91.4),"P","")</f>
        <v/>
      </c>
      <c r="AAW24" s="102" t="str">
        <f>IF(AND(WSING!$Z$74&gt;=91.5,WSING!$Z$74&lt;=100),"P","")</f>
        <v/>
      </c>
      <c r="AAX24" t="str">
        <f>IF(WSING!$Z$82&lt;74.9,"P","")</f>
        <v/>
      </c>
      <c r="AAY24" s="102" t="str">
        <f>IF(AND(WSING!$Z$82&gt;=75,WSING!$Z$82&lt;=83.24),"P","")</f>
        <v/>
      </c>
      <c r="AAZ24" s="102" t="str">
        <f>IF(AND(WSING!$Z$82&gt;=83.25,WSING!$Z$82&lt;=91.4),"P","")</f>
        <v/>
      </c>
      <c r="ABA24" s="102" t="str">
        <f>IF(AND(WSING!$Z$82&gt;=91.5,WSING!$Z$82&lt;=100),"P","")</f>
        <v/>
      </c>
      <c r="ABB24" t="str">
        <f>IF(WSING!$Z$90&lt;74.9,"P","")</f>
        <v/>
      </c>
      <c r="ABC24" s="102" t="str">
        <f>IF(AND(WSING!$Z$90&gt;=75,WSING!$Z$90&lt;=83.24),"P","")</f>
        <v/>
      </c>
      <c r="ABD24" s="102" t="str">
        <f>IF(AND(WSING!$Z$90&gt;=83.25,WSING!$Z$90&lt;=91.4),"P","")</f>
        <v/>
      </c>
      <c r="ABE24" s="102" t="str">
        <f>IF(AND(WSING!$Z$90&gt;=91.5,WSING!$Z$90&lt;=100),"P","")</f>
        <v/>
      </c>
      <c r="ABF24" t="str">
        <f>IF(WSING!$Z$98&lt;74.9,"P","")</f>
        <v/>
      </c>
      <c r="ABG24" s="102" t="str">
        <f>IF(AND(WSING!$Z$98&gt;=75,WSING!$Z$98&lt;=83.24),"P","")</f>
        <v/>
      </c>
      <c r="ABH24" s="102" t="str">
        <f>IF(AND(WSING!$Z$98&gt;=83.25,WSING!$Z$98&lt;=91.4),"P","")</f>
        <v/>
      </c>
      <c r="ABI24" s="102" t="str">
        <f>IF(AND(WSING!$Z$98&gt;=91.5,WSING!$Z$98&lt;=100),"P","")</f>
        <v/>
      </c>
      <c r="ABJ24" t="str">
        <f>IF(WSING!$Z$106&lt;74.9,"P","")</f>
        <v/>
      </c>
      <c r="ABK24" s="102" t="str">
        <f>IF(AND(WSING!$Z$106&gt;=75,WSING!$Z$106&lt;=83.24),"P","")</f>
        <v/>
      </c>
      <c r="ABL24" s="102" t="str">
        <f>IF(AND(WSING!$Z$106&gt;=83.25,WSING!$Z$106&lt;=91.4),"P","")</f>
        <v/>
      </c>
      <c r="ABM24" s="102" t="str">
        <f>IF(AND(WSING!$Z$106&gt;=91.5,WSING!$Z$106&lt;=100),"P","")</f>
        <v/>
      </c>
      <c r="ABN24" t="str">
        <f>IF(WSTIK!$Z$6&lt;74.9,"P","")</f>
        <v/>
      </c>
      <c r="ABO24" s="102" t="str">
        <f>IF(AND(WSTIK!$Z$6&gt;=75,WSTIK!$Z$6&lt;=83.24),"P","")</f>
        <v/>
      </c>
      <c r="ABP24" s="102" t="str">
        <f>IF(AND(WSTIK!$Z$6&gt;=83.25,WSTIK!$Z$6&lt;=91.4),"P","")</f>
        <v/>
      </c>
      <c r="ABQ24" s="102" t="str">
        <f>IF(AND(WSTIK!$Z$6&gt;=91.5,WSTIK!$Z$6&lt;=100),"P","")</f>
        <v/>
      </c>
      <c r="ABR24" t="str">
        <f>IF(WSTIK!$Z$14&lt;74.9,"P","")</f>
        <v/>
      </c>
      <c r="ABS24" s="102" t="str">
        <f>IF(AND(WSTIK!$Z$14&gt;=75,WSTIK!$Z$14&lt;=83.24),"P","")</f>
        <v/>
      </c>
      <c r="ABT24" s="102" t="str">
        <f>IF(AND(WSTIK!$Z$14&gt;=83.25,WSTIK!$Z$14&lt;=91.4),"P","")</f>
        <v/>
      </c>
      <c r="ABU24" s="102" t="str">
        <f>IF(AND(WSTIK!$Z$14&gt;=91.5,WSTIK!$Z$14&lt;=100),"P","")</f>
        <v/>
      </c>
      <c r="ABV24" t="str">
        <f>IF(WSTIK!$Z$22&lt;74.9,"P","")</f>
        <v/>
      </c>
      <c r="ABW24" s="102" t="str">
        <f>IF(AND(WSTIK!$Z$22&gt;=75,WSTIK!$Z$22&lt;=83.24),"P","")</f>
        <v/>
      </c>
      <c r="ABX24" s="102" t="str">
        <f>IF(AND(WSTIK!$Z$22&gt;=83.25,WSTIK!$Z$22&lt;=91.4),"P","")</f>
        <v/>
      </c>
      <c r="ABY24" s="102" t="str">
        <f>IF(AND(WSTIK!$Z$22&gt;=91.5,WSTIK!$Z$22&lt;=100),"P","")</f>
        <v/>
      </c>
      <c r="ABZ24" t="str">
        <f>IF(WSTIK!$Z$30&lt;74.9,"P","")</f>
        <v/>
      </c>
      <c r="ACA24" s="102" t="str">
        <f>IF(AND(WSTIK!$Z$30&gt;=75,WSTIK!$Z$30&lt;=83.24),"P","")</f>
        <v/>
      </c>
      <c r="ACB24" s="102" t="str">
        <f>IF(AND(WSTIK!$Z$30&gt;=83.25,WSTIK!$Z$30&lt;=91.4),"P","")</f>
        <v/>
      </c>
      <c r="ACC24" s="102" t="str">
        <f>IF(AND(WSTIK!$Z$30&gt;=91.5,WSTIK!$Z$30&lt;=100),"P","")</f>
        <v/>
      </c>
      <c r="ACD24" t="str">
        <f>IF(WSTIK!$Z$38&lt;74.9,"P","")</f>
        <v/>
      </c>
      <c r="ACE24" s="102" t="str">
        <f>IF(AND(WSTIK!$Z$38&gt;=75,WSTIK!$Z$38&lt;=83.24),"P","")</f>
        <v/>
      </c>
      <c r="ACF24" s="102" t="str">
        <f>IF(AND(WSTIK!$Z$38&gt;=83.25,WSTIK!$Z$38&lt;=91.4),"P","")</f>
        <v/>
      </c>
      <c r="ACG24" s="102" t="str">
        <f>IF(AND(WSTIK!$Z$38&gt;=91.5,WSTIK!$Z$38&lt;=100),"P","")</f>
        <v/>
      </c>
      <c r="ACH24" t="str">
        <f>IF(WSTIK!$Z$46&lt;74.9,"P","")</f>
        <v/>
      </c>
      <c r="ACI24" s="102" t="str">
        <f>IF(AND(WSTIK!$Z$46&gt;=75,WSTIK!$Z$46&lt;=83.24),"P","")</f>
        <v/>
      </c>
      <c r="ACJ24" s="102" t="str">
        <f>IF(AND(WSTIK!$Z$46&gt;=83.25,WSTIK!$Z$46&lt;=91.4),"P","")</f>
        <v/>
      </c>
      <c r="ACK24" s="102" t="str">
        <f>IF(AND(WSTIK!$Z$46&gt;=91.5,WSTIK!$Z$46&lt;=100),"P","")</f>
        <v/>
      </c>
      <c r="ACL24" t="str">
        <f>IF(WSTIK!$Z$54&lt;74.9,"P","")</f>
        <v/>
      </c>
      <c r="ACM24" s="102" t="str">
        <f>IF(AND(WSTIK!$Z$54&gt;=75,WSTIK!$Z$54&lt;=83.24),"P","")</f>
        <v/>
      </c>
      <c r="ACN24" s="102" t="str">
        <f>IF(AND(WSTIK!$Z$54&gt;=83.25,WSTIK!$Z$54&lt;=91.4),"P","")</f>
        <v/>
      </c>
      <c r="ACO24" s="102" t="str">
        <f>IF(AND(WSTIK!$Z$54&gt;=91.5,WSTIK!$Z$54&lt;=100),"P","")</f>
        <v/>
      </c>
      <c r="ACP24" t="str">
        <f>IF(WSTIK!$Z$62&lt;74.9,"P","")</f>
        <v/>
      </c>
      <c r="ACQ24" s="102" t="str">
        <f>IF(AND(WSTIK!$Z$62&gt;=75,WSTIK!$Z$62&lt;=83.24),"P","")</f>
        <v/>
      </c>
      <c r="ACR24" s="102" t="str">
        <f>IF(AND(WSTIK!$Z$62&gt;=83.25,WSTIK!$Z$62&lt;=91.4),"P","")</f>
        <v/>
      </c>
      <c r="ACS24" s="102" t="str">
        <f>IF(AND(WSTIK!$Z$62&gt;=91.5,WSTIK!$Z$62&lt;=100),"P","")</f>
        <v/>
      </c>
      <c r="ACT24" t="str">
        <f>IF(WSTIK!$Z$70&lt;74.9,"P","")</f>
        <v/>
      </c>
      <c r="ACU24" s="102" t="str">
        <f>IF(AND(WSTIK!$Z$70&gt;=75,WSTIK!$Z$70&lt;=83.24),"P","")</f>
        <v/>
      </c>
      <c r="ACV24" s="102" t="str">
        <f>IF(AND(WSTIK!$Z$70&gt;=83.25,WSTIK!$Z$70&lt;=91.4),"P","")</f>
        <v/>
      </c>
      <c r="ACW24" s="102" t="str">
        <f>IF(AND(WSTIK!$Z$70&gt;=91.5,WSTIK!$Z$70&lt;=100),"P","")</f>
        <v/>
      </c>
      <c r="ACX24" t="str">
        <f>IF(WSTIK!$Z$78&lt;74.9,"P","")</f>
        <v/>
      </c>
      <c r="ACY24" s="102" t="str">
        <f>IF(AND(WSTIK!$Z$78&gt;=75,WSTIK!$Z$78&lt;=83.24),"P","")</f>
        <v/>
      </c>
      <c r="ACZ24" s="102" t="str">
        <f>IF(AND(WSTIK!$Z$78&gt;=83.25,WSTIK!$Z$78&lt;=91.4),"P","")</f>
        <v/>
      </c>
      <c r="ADA24" s="102" t="str">
        <f>IF(AND(WSTIK!$Z$78&gt;=91.5,WSTIK!$Z$78&lt;=100),"P","")</f>
        <v/>
      </c>
      <c r="ADB24" t="str">
        <f>IF(WSTIK!$Z$86&lt;74.9,"P","")</f>
        <v/>
      </c>
      <c r="ADC24" s="102" t="str">
        <f>IF(AND(WSTIK!$Z$86&gt;=75,WSTIK!$Z$86&lt;=83.24),"P","")</f>
        <v/>
      </c>
      <c r="ADD24" s="102" t="str">
        <f>IF(AND(WSTIK!$Z$86&gt;=83.25,WSTIK!$Z$86&lt;=91.4),"P","")</f>
        <v/>
      </c>
      <c r="ADE24" s="102" t="str">
        <f>IF(AND(WSTIK!$Z$86&gt;=91.5,WSTIK!$Z$86&lt;=100),"P","")</f>
        <v/>
      </c>
      <c r="ADF24" t="str">
        <f>IF(WSTIK!$Z$94&lt;74.9,"P","")</f>
        <v/>
      </c>
      <c r="ADG24" s="102" t="str">
        <f>IF(AND(WSTIK!$Z$94&gt;=75,WSTIK!$Z$94&lt;=83.24),"P","")</f>
        <v/>
      </c>
      <c r="ADH24" s="102" t="str">
        <f>IF(AND(WSTIK!$Z$94&gt;=83.25,WSTIK!$Z$94&lt;=91.4),"P","")</f>
        <v/>
      </c>
      <c r="ADI24" s="102" t="str">
        <f>IF(AND(WSTIK!$Z$94&gt;=91.5,WSTIK!$Z$94&lt;=100),"P","")</f>
        <v/>
      </c>
      <c r="ADJ24" t="str">
        <f>IF(WSTIK!$Z$102&lt;74.9,"P","")</f>
        <v/>
      </c>
      <c r="ADK24" s="102" t="str">
        <f>IF(AND(WSTIK!$Z$102&gt;=75,WSTIK!$Z$102&lt;=83.24),"P","")</f>
        <v/>
      </c>
      <c r="ADL24" s="102" t="str">
        <f>IF(AND(WSTIK!$Z$102&gt;=83.25,WSTIK!$Z$102&lt;=91.4),"P","")</f>
        <v/>
      </c>
      <c r="ADM24" s="102" t="str">
        <f>IF(AND(WSTIK!$Z$102&gt;=91.5,WSTIK!$Z$102&lt;=100),"P","")</f>
        <v/>
      </c>
      <c r="ADN24" t="str">
        <f>IF(WSASWAJA!$Z$6&lt;74.9,"P","")</f>
        <v/>
      </c>
      <c r="ADO24" s="102" t="str">
        <f>IF(AND(WSASWAJA!$Z$6&gt;=75,WSASWAJA!$Z$6&lt;=83.24),"P","")</f>
        <v/>
      </c>
      <c r="ADP24" s="102" t="str">
        <f>IF(AND(WSASWAJA!$Z$6&gt;=83.25,WSASWAJA!$Z$6&lt;=91.4),"P","")</f>
        <v/>
      </c>
      <c r="ADQ24" s="102" t="str">
        <f>IF(AND(WSASWAJA!$Z$6&gt;=91.5,WSASWAJA!$Z$6&lt;=100),"P","")</f>
        <v/>
      </c>
      <c r="ADR24" t="str">
        <f>IF(WSASWAJA!$Z$14&lt;74.9,"P","")</f>
        <v/>
      </c>
      <c r="ADS24" s="102" t="str">
        <f>IF(AND(WSASWAJA!$Z$14&gt;=75,WSASWAJA!$Z$14&lt;=83.24),"P","")</f>
        <v/>
      </c>
      <c r="ADT24" s="102" t="str">
        <f>IF(AND(WSASWAJA!$Z$14&gt;=83.25,WSASWAJA!$Z$14&lt;=91.4),"P","")</f>
        <v/>
      </c>
      <c r="ADU24" s="102" t="str">
        <f>IF(AND(WSASWAJA!$Z$14&gt;=91.5,WSASWAJA!$Z$14&lt;=100),"P","")</f>
        <v/>
      </c>
      <c r="ADV24" t="str">
        <f>IF(WSASWAJA!$Z$22&lt;74.9,"P","")</f>
        <v/>
      </c>
      <c r="ADW24" s="102" t="str">
        <f>IF(AND(WSASWAJA!$Z$22&gt;=75,WSASWAJA!$Z$22&lt;=83.24),"P","")</f>
        <v/>
      </c>
      <c r="ADX24" s="102" t="str">
        <f>IF(AND(WSASWAJA!$Z$22&gt;=83.25,WSASWAJA!$Z$22&lt;=91.4),"P","")</f>
        <v/>
      </c>
      <c r="ADY24" s="102" t="str">
        <f>IF(AND(WSASWAJA!$Z$22&gt;=91.5,WSASWAJA!$Z$22&lt;=100),"P","")</f>
        <v/>
      </c>
      <c r="ADZ24" t="str">
        <f>IF(WSASWAJA!$Z$30&lt;74.9,"P","")</f>
        <v/>
      </c>
      <c r="AEA24" s="102" t="str">
        <f>IF(AND(WSASWAJA!$Z$30&gt;=75,WSASWAJA!$Z$30&lt;=83.24),"P","")</f>
        <v/>
      </c>
      <c r="AEB24" s="102" t="str">
        <f>IF(AND(WSASWAJA!$Z$30&gt;=83.25,WSASWAJA!$Z$30&lt;=91.4),"P","")</f>
        <v/>
      </c>
      <c r="AEC24" s="102" t="str">
        <f>IF(AND(WSASWAJA!$Z$30&gt;=91.5,WSASWAJA!$Z$30&lt;=100),"P","")</f>
        <v/>
      </c>
      <c r="AED24" t="str">
        <f>IF(WSASWAJA!$Z$38&lt;74.9,"P","")</f>
        <v/>
      </c>
      <c r="AEE24" s="102" t="str">
        <f>IF(AND(WSASWAJA!$Z$38&gt;=75,WSASWAJA!$Z$38&lt;=83.24),"P","")</f>
        <v/>
      </c>
      <c r="AEF24" s="102" t="str">
        <f>IF(AND(WSASWAJA!$Z$38&gt;=83.25,WSASWAJA!$Z$38&lt;=91.4),"P","")</f>
        <v/>
      </c>
      <c r="AEG24" s="102" t="str">
        <f>IF(AND(WSASWAJA!$Z$38&gt;=91.5,WSASWAJA!$Z$38&lt;=100),"P","")</f>
        <v/>
      </c>
      <c r="AEH24" t="str">
        <f>IF(WSASWAJA!$Z$46&lt;74.9,"P","")</f>
        <v/>
      </c>
      <c r="AEI24" s="102" t="str">
        <f>IF(AND(WSASWAJA!$Z$46&gt;=75,WSASWAJA!$Z$46&lt;=83.24),"P","")</f>
        <v/>
      </c>
      <c r="AEJ24" s="102" t="str">
        <f>IF(AND(WSASWAJA!$Z$46&gt;=83.25,WSASWAJA!$Z$46&lt;=91.4),"P","")</f>
        <v/>
      </c>
      <c r="AEK24" s="102" t="str">
        <f>IF(AND(WSASWAJA!$Z$46&gt;=91.5,WSASWAJA!$Z$46&lt;=100),"P","")</f>
        <v/>
      </c>
      <c r="AEL24" t="str">
        <f>IF(WSASWAJA!$Z$54&lt;74.9,"P","")</f>
        <v/>
      </c>
      <c r="AEM24" s="102" t="str">
        <f>IF(AND(WSASWAJA!$Z$54&gt;=75,WSASWAJA!$Z$54&lt;=83.24),"P","")</f>
        <v/>
      </c>
      <c r="AEN24" s="102" t="str">
        <f>IF(AND(WSASWAJA!$Z$54&gt;=83.25,WSASWAJA!$Z$54&lt;=91.4),"P","")</f>
        <v/>
      </c>
      <c r="AEO24" s="102" t="str">
        <f>IF(AND(WSASWAJA!$Z$54&gt;=91.5,WSASWAJA!$Z$54&lt;=100),"P","")</f>
        <v/>
      </c>
      <c r="AEP24" t="str">
        <f>IF(WSASWAJA!$Z$62&lt;74.9,"P","")</f>
        <v/>
      </c>
      <c r="AEQ24" s="102" t="str">
        <f>IF(AND(WSASWAJA!$Z$62&gt;=75,WSASWAJA!$Z$62&lt;=83.24),"P","")</f>
        <v/>
      </c>
      <c r="AER24" s="102" t="str">
        <f>IF(AND(WSASWAJA!$Z$62&gt;=83.25,WSASWAJA!$Z$62&lt;=91.4),"P","")</f>
        <v/>
      </c>
      <c r="AES24" s="102" t="str">
        <f>IF(AND(WSASWAJA!$Z$62&gt;=91.5,WSASWAJA!$Z$62&lt;=100),"P","")</f>
        <v/>
      </c>
      <c r="AET24" t="str">
        <f>IF(WSASWAJA!$Z$70&lt;74.9,"P","")</f>
        <v/>
      </c>
      <c r="AEU24" s="102" t="str">
        <f>IF(AND(WSASWAJA!$Z$70&gt;=75,WSASWAJA!$Z$70&lt;=83.24),"P","")</f>
        <v/>
      </c>
      <c r="AEV24" s="102" t="str">
        <f>IF(AND(WSASWAJA!$Z$70&gt;=83.25,WSASWAJA!$Z$70&lt;=91.4),"P","")</f>
        <v/>
      </c>
      <c r="AEW24" s="102" t="str">
        <f>IF(AND(WSASWAJA!$Z$70&gt;=91.5,WSASWAJA!$Z$70&lt;=100),"P","")</f>
        <v/>
      </c>
      <c r="AEX24" t="str">
        <f>IF(WSASWAJA!$Z$78&lt;74.9,"P","")</f>
        <v/>
      </c>
      <c r="AEY24" s="102" t="str">
        <f>IF(AND(WSASWAJA!$Z$78&gt;=75,WSASWAJA!$Z$78&lt;=83.24),"P","")</f>
        <v/>
      </c>
      <c r="AEZ24" s="102" t="str">
        <f>IF(AND(WSASWAJA!$Z$78&gt;=83.25,WSASWAJA!$Z$78&lt;=91.4),"P","")</f>
        <v/>
      </c>
      <c r="AFA24" s="102" t="str">
        <f>IF(AND(WSASWAJA!$Z$78&gt;=91.5,WSASWAJA!$Z$78&lt;=100),"P","")</f>
        <v/>
      </c>
      <c r="AFB24" t="str">
        <f>IF(WSASWAJA!$Z$86&lt;74.9,"P","")</f>
        <v/>
      </c>
      <c r="AFC24" s="102" t="str">
        <f>IF(AND(WSASWAJA!$Z$86&gt;=75,WSASWAJA!$Z$86&lt;=83.24),"P","")</f>
        <v/>
      </c>
      <c r="AFD24" s="102" t="str">
        <f>IF(AND(WSASWAJA!$Z$86&gt;=83.25,WSASWAJA!$Z$86&lt;=91.4),"P","")</f>
        <v/>
      </c>
      <c r="AFE24" s="102" t="str">
        <f>IF(AND(WSASWAJA!$Z$86&gt;=91.5,WSASWAJA!$Z$86&lt;=100),"P","")</f>
        <v/>
      </c>
      <c r="AFF24" t="str">
        <f>IF(WSASWAJA!$Z$94&lt;74.9,"P","")</f>
        <v/>
      </c>
      <c r="AFG24" s="102" t="str">
        <f>IF(AND(WSASWAJA!$Z$94&gt;=75,WSASWAJA!$Z$94&lt;=83.24),"P","")</f>
        <v/>
      </c>
      <c r="AFH24" s="102" t="str">
        <f>IF(AND(WSASWAJA!$Z$94&gt;=83.25,WSASWAJA!$Z$94&lt;=91.4),"P","")</f>
        <v/>
      </c>
      <c r="AFI24" s="102" t="str">
        <f>IF(AND(WSASWAJA!$Z$94&gt;=91.5,WSASWAJA!$Z$94&lt;=100),"P","")</f>
        <v/>
      </c>
      <c r="AFJ24" t="str">
        <f>IF(WSASWAJA!$Z$102&lt;74.9,"P","")</f>
        <v/>
      </c>
      <c r="AFK24" s="102" t="str">
        <f>IF(AND(WSASWAJA!$Z$102&gt;=75,WSASWAJA!$Z$102&lt;=83.24),"P","")</f>
        <v/>
      </c>
      <c r="AFL24" s="102" t="str">
        <f>IF(AND(WSASWAJA!$Z$102&gt;=83.25,WSASWAJA!$Z$102&lt;=91.4),"P","")</f>
        <v/>
      </c>
      <c r="AFM24" s="102" t="str">
        <f>IF(AND(WSASWAJA!$Z$102&gt;=91.5,WSASWAJA!$Z$102&lt;=100),"P","")</f>
        <v/>
      </c>
    </row>
    <row r="25" spans="1:845" ht="20.100000000000001" customHeight="1">
      <c r="A25">
        <v>23</v>
      </c>
      <c r="B25" t="str">
        <f>IF(WSALQURAN!$AA$6&lt;74.9,"P","")</f>
        <v/>
      </c>
      <c r="C25" s="102" t="str">
        <f>IF(AND(WSALQURAN!$AA$6&gt;=75,WSALQURAN!$AA$6&lt;=83.24),"P","")</f>
        <v/>
      </c>
      <c r="D25" s="102" t="str">
        <f>IF(AND(WSALQURAN!$AA$6&gt;=83.25,WSALQURAN!$AA$6&lt;=91.4),"P","")</f>
        <v>P</v>
      </c>
      <c r="E25" s="102" t="str">
        <f>IF(AND(WSALQURAN!$AA$6&gt;=91.5,WSALQURAN!$AA$6&lt;=100),"P","")</f>
        <v/>
      </c>
      <c r="F25" t="str">
        <f>IF(WSALQURAN!$AA$14&lt;74.9,"P","")</f>
        <v/>
      </c>
      <c r="G25" s="102" t="str">
        <f>IF(AND(WSALQURAN!$AA$14&gt;=75,WSALQURAN!$AA$14&lt;=83.24),"P","")</f>
        <v/>
      </c>
      <c r="H25" s="102" t="str">
        <f>IF(AND(WSALQURAN!$AA$14&gt;=83.25,WSALQURAN!$AA$14&lt;=91.4),"P","")</f>
        <v>P</v>
      </c>
      <c r="I25" s="102" t="str">
        <f>IF(AND(WSALQURAN!$AA$14&gt;=91.5,WSALQURAN!$AA$14&lt;=100),"P","")</f>
        <v/>
      </c>
      <c r="J25" t="str">
        <f>IF(WSALQURAN!$AA$22&lt;74.9,"P","")</f>
        <v/>
      </c>
      <c r="K25" s="102" t="str">
        <f>IF(AND(WSALQURAN!$AA$22&gt;=75,WSALQURAN!$AA$22&lt;=83.24),"P","")</f>
        <v/>
      </c>
      <c r="L25" s="102" t="str">
        <f>IF(AND(WSALQURAN!$AA$22&gt;=83.25,WSALQURAN!$AA$22&lt;=91.4),"P","")</f>
        <v>P</v>
      </c>
      <c r="M25" s="102" t="str">
        <f>IF(AND(WSALQURAN!$AA$22&gt;=91.5,WSALQURAN!$AA$22&lt;=100),"P","")</f>
        <v/>
      </c>
      <c r="N25" t="str">
        <f>IF(WSALQURAN!$AA$30&lt;74.9,"P","")</f>
        <v/>
      </c>
      <c r="O25" s="102" t="str">
        <f>IF(AND(WSALQURAN!$AA$30&gt;=75,WSALQURAN!$AA$30&lt;=83.24),"P","")</f>
        <v/>
      </c>
      <c r="P25" s="102" t="str">
        <f>IF(AND(WSALQURAN!$AA$30&gt;=83.25,WSALQURAN!$AA$30&lt;=91.4),"P","")</f>
        <v>P</v>
      </c>
      <c r="Q25" s="102" t="str">
        <f>IF(AND(WSALQURAN!$AA$30&gt;=91.5,WSALQURAN!$AA$30&lt;=100),"P","")</f>
        <v/>
      </c>
      <c r="R25" t="str">
        <f>IF(WSALQURAN!$AA$38&lt;74.9,"P","")</f>
        <v/>
      </c>
      <c r="S25" s="102" t="str">
        <f>IF(AND(WSALQURAN!$AA$38&gt;=75,WSALQURAN!$AA$38&lt;=83.24),"P","")</f>
        <v/>
      </c>
      <c r="T25" s="102" t="str">
        <f>IF(AND(WSALQURAN!$AA$38&gt;=83.25,WSALQURAN!$AA$38&lt;=91.4),"P","")</f>
        <v/>
      </c>
      <c r="U25" s="102" t="str">
        <f>IF(AND(WSALQURAN!$AA$38&gt;=91.5,WSALQURAN!$AA$38&lt;=100),"P","")</f>
        <v>P</v>
      </c>
      <c r="V25" t="str">
        <f>IF(WSALQURAN!$AA$46&lt;74.9,"P","")</f>
        <v/>
      </c>
      <c r="W25" s="102" t="str">
        <f>IF(AND(WSALQURAN!$AA$46&gt;=75,WSALQURAN!$AA$46&lt;=83.24),"P","")</f>
        <v>P</v>
      </c>
      <c r="X25" s="102" t="str">
        <f>IF(AND(WSALQURAN!$AA$46&gt;=83.25,WSALQURAN!$AA$46&lt;=91.4),"P","")</f>
        <v/>
      </c>
      <c r="Y25" s="102" t="str">
        <f>IF(AND(WSALQURAN!$AA$46&gt;=91.5,WSALQURAN!$AA$46&lt;=100),"P","")</f>
        <v/>
      </c>
      <c r="Z25" t="str">
        <f>IF(WSALQURAN!$AA$54&lt;74.9,"P","")</f>
        <v/>
      </c>
      <c r="AA25" s="102" t="str">
        <f>IF(AND(WSALQURAN!$AA$54&gt;=75,WSALQURAN!$AA$54&lt;=83.24),"P","")</f>
        <v>P</v>
      </c>
      <c r="AB25" s="102" t="str">
        <f>IF(AND(WSALQURAN!$AA$54&gt;=83.25,WSALQURAN!$AA$54&lt;=91.4),"P","")</f>
        <v/>
      </c>
      <c r="AC25" s="102" t="str">
        <f>IF(AND(WSALQURAN!$AA$54&gt;=91.5,WSALQURAN!$AA$54&lt;=100),"P","")</f>
        <v/>
      </c>
      <c r="AD25" t="str">
        <f>IF(WSALQURAN!$AA$62&lt;74.9,"P","")</f>
        <v/>
      </c>
      <c r="AE25" s="102" t="str">
        <f>IF(AND(WSALQURAN!$AA$62&gt;=75,WSALQURAN!$AA$62&lt;=83.24),"P","")</f>
        <v/>
      </c>
      <c r="AF25" s="102" t="str">
        <f>IF(AND(WSALQURAN!$AA$62&gt;=83.25,WSALQURAN!$AA$62&lt;=91.4),"P","")</f>
        <v/>
      </c>
      <c r="AG25" s="102" t="str">
        <f>IF(AND(WSALQURAN!$AA$62&gt;=91.5,WSALQURAN!$AA$62&lt;=100),"P","")</f>
        <v/>
      </c>
      <c r="AH25" t="str">
        <f>IF(WSALQURAN!$AA$70&lt;74.9,"P","")</f>
        <v/>
      </c>
      <c r="AI25" s="102" t="str">
        <f>IF(AND(WSALQURAN!$AA$70&gt;=75,WSALQURAN!$AA$70&lt;=83.24),"P","")</f>
        <v/>
      </c>
      <c r="AJ25" s="102" t="str">
        <f>IF(AND(WSALQURAN!$AA$70&gt;=83.25,WSALQURAN!$AA$70&lt;=91.4),"P","")</f>
        <v/>
      </c>
      <c r="AK25" s="102" t="str">
        <f>IF(AND(WSALQURAN!$AA$70&gt;=91.5,WSALQURAN!$AA$70&lt;=100),"P","")</f>
        <v/>
      </c>
      <c r="AL25" t="str">
        <f>IF(WSALQURAN!$AA$78&lt;74.9,"P","")</f>
        <v/>
      </c>
      <c r="AM25" s="102" t="str">
        <f>IF(AND(WSALQURAN!$AA$78&gt;=75,WSALQURAN!$AA$78&lt;=83.24),"P","")</f>
        <v/>
      </c>
      <c r="AN25" s="102" t="str">
        <f>IF(AND(WSALQURAN!$AA$78&gt;=83.25,WSALQURAN!$AA$78&lt;=91.4),"P","")</f>
        <v/>
      </c>
      <c r="AO25" s="102" t="str">
        <f>IF(AND(WSALQURAN!$AA$78&gt;=91.5,WSALQURAN!$AA$78&lt;=100),"P","")</f>
        <v/>
      </c>
      <c r="AP25" t="str">
        <f>IF(WSALQURAN!$AA$86&lt;74.9,"P","")</f>
        <v/>
      </c>
      <c r="AQ25" s="102" t="str">
        <f>IF(AND(WSALQURAN!$AA$86&gt;=75,WSALQURAN!$AA$86&lt;=83.24),"P","")</f>
        <v/>
      </c>
      <c r="AR25" s="102" t="str">
        <f>IF(AND(WSALQURAN!$AA$86&gt;=83.25,WSALQURAN!$AA$86&lt;=91.4),"P","")</f>
        <v/>
      </c>
      <c r="AS25" s="102" t="str">
        <f>IF(AND(WSALQURAN!$AA$86&gt;=91.5,WSALQURAN!$AA$86&lt;=100),"P","")</f>
        <v/>
      </c>
      <c r="AT25" t="str">
        <f>IF(WSALQURAN!$AA$94&lt;74.9,"P","")</f>
        <v/>
      </c>
      <c r="AU25" s="102" t="str">
        <f>IF(AND(WSALQURAN!$AA$94&gt;=75,WSALQURAN!$AA$94&lt;=83.24),"P","")</f>
        <v/>
      </c>
      <c r="AV25" s="102" t="str">
        <f>IF(AND(WSALQURAN!$AA$94&gt;=83.25,WSALQURAN!$AA$94&lt;=91.4),"P","")</f>
        <v/>
      </c>
      <c r="AW25" s="102" t="str">
        <f>IF(AND(WSALQURAN!$AA$94&gt;=91.5,WSALQURAN!$AA$94&lt;=100),"P","")</f>
        <v/>
      </c>
      <c r="AX25" t="str">
        <f>IF(WSALQURAN!$AA$102&lt;74.9,"P","")</f>
        <v/>
      </c>
      <c r="AY25" s="102" t="str">
        <f>IF(AND(WSALQURAN!$AA$102&gt;=75,WSALQURAN!$AA$102&lt;=83.24),"P","")</f>
        <v/>
      </c>
      <c r="AZ25" s="102" t="str">
        <f>IF(AND(WSALQURAN!$AA$102&gt;=83.25,WSALQURAN!$AA$102&lt;=91.4),"P","")</f>
        <v/>
      </c>
      <c r="BA25" s="102" t="str">
        <f>IF(AND(WSALQURAN!$AA$102&gt;=91.5,WSALQURAN!$AA$102&lt;=100),"P","")</f>
        <v/>
      </c>
      <c r="BB25" t="str">
        <f>IF(WSAQIDAH!$AA$6&lt;74.9,"P","")</f>
        <v/>
      </c>
      <c r="BC25" s="102" t="str">
        <f>IF(AND(WSAQIDAH!$AA$6&gt;=75,WSAQIDAH!$AA$6&lt;=83.24),"P","")</f>
        <v/>
      </c>
      <c r="BD25" s="102" t="str">
        <f>IF(AND(WSAQIDAH!$AA$6&gt;=83.25,WSAQIDAH!$AA$6&lt;=91.4),"P","")</f>
        <v/>
      </c>
      <c r="BE25" s="102" t="str">
        <f>IF(AND(WSAQIDAH!$AA$6&gt;=91.5,WSAQIDAH!$AA$6&lt;=100),"P","")</f>
        <v>P</v>
      </c>
      <c r="BF25" t="str">
        <f>IF(WSAQIDAH!$AA$14&lt;74.9,"P","")</f>
        <v/>
      </c>
      <c r="BG25" s="102" t="str">
        <f>IF(AND(WSAQIDAH!$AA$14&gt;=75,WSAQIDAH!$AA$14&lt;=83.24),"P","")</f>
        <v/>
      </c>
      <c r="BH25" s="102" t="str">
        <f>IF(AND(WSAQIDAH!$AA$14&gt;=83.25,WSAQIDAH!$AA$14&lt;=91.4),"P","")</f>
        <v/>
      </c>
      <c r="BI25" s="102" t="str">
        <f>IF(AND(WSAQIDAH!$AA$14&gt;=91.5,WSAQIDAH!$AA$14&lt;=100),"P","")</f>
        <v>P</v>
      </c>
      <c r="BJ25" t="str">
        <f>IF(WSAQIDAH!$AA$22&lt;74.9,"P","")</f>
        <v/>
      </c>
      <c r="BK25" s="102" t="str">
        <f>IF(AND(WSAQIDAH!$AA$22&gt;=75,WSAQIDAH!$AA$22&lt;=83.24),"P","")</f>
        <v>P</v>
      </c>
      <c r="BL25" s="102" t="str">
        <f>IF(AND(WSAQIDAH!$AA$22&gt;=83.25,WSAQIDAH!$AA$22&lt;=91.4),"P","")</f>
        <v/>
      </c>
      <c r="BM25" s="102" t="str">
        <f>IF(AND(WSAQIDAH!$AA$22&gt;=91.5,WSAQIDAH!$AA$22&lt;=100),"P","")</f>
        <v/>
      </c>
      <c r="BN25" t="str">
        <f>IF(WSAQIDAH!$AA$30&lt;74.9,"P","")</f>
        <v/>
      </c>
      <c r="BO25" s="102" t="str">
        <f>IF(AND(WSAQIDAH!$AA$30&gt;=75,WSAQIDAH!$AA$30&lt;=83.24),"P","")</f>
        <v/>
      </c>
      <c r="BP25" s="102" t="str">
        <f>IF(AND(WSAQIDAH!$AA$30&gt;=83.25,WSAQIDAH!$AA$30&lt;=91.4),"P","")</f>
        <v/>
      </c>
      <c r="BQ25" s="102" t="str">
        <f>IF(AND(WSAQIDAH!$AA$30&gt;=91.5,WSAQIDAH!$AA$30&lt;=100),"P","")</f>
        <v>P</v>
      </c>
      <c r="BR25" t="str">
        <f>IF(WSAQIDAH!$AA$38&lt;74.9,"P","")</f>
        <v/>
      </c>
      <c r="BS25" s="102" t="str">
        <f>IF(AND(WSAQIDAH!$AA$38&gt;=75,WSAQIDAH!$AA$38&lt;=83.24),"P","")</f>
        <v/>
      </c>
      <c r="BT25" s="102" t="str">
        <f>IF(AND(WSAQIDAH!$AA$38&gt;=83.25,WSAQIDAH!$AA$38&lt;=91.4),"P","")</f>
        <v>P</v>
      </c>
      <c r="BU25" s="102" t="str">
        <f>IF(AND(WSAQIDAH!$AA$38&gt;=91.5,WSAQIDAH!$AA$38&lt;=100),"P","")</f>
        <v/>
      </c>
      <c r="BV25" t="str">
        <f>IF(WSAQIDAH!$AA$46&lt;74.9,"P","")</f>
        <v/>
      </c>
      <c r="BW25" s="102" t="str">
        <f>IF(AND(WSAQIDAH!$AA$46&gt;=75,WSAQIDAH!$AA$46&lt;=83.24),"P","")</f>
        <v/>
      </c>
      <c r="BX25" s="102" t="str">
        <f>IF(AND(WSAQIDAH!$AA$46&gt;=83.25,WSAQIDAH!$AA$46&lt;=91.4),"P","")</f>
        <v/>
      </c>
      <c r="BY25" s="102" t="str">
        <f>IF(AND(WSAQIDAH!$AA$46&gt;=91.5,WSAQIDAH!$AA$46&lt;=100),"P","")</f>
        <v>P</v>
      </c>
      <c r="BZ25" t="str">
        <f>IF(WSAQIDAH!$AA$54&lt;74.9,"P","")</f>
        <v/>
      </c>
      <c r="CA25" s="102" t="str">
        <f>IF(AND(WSAQIDAH!$AA$54&gt;=75,WSAQIDAH!$AA$54&lt;=83.24),"P","")</f>
        <v/>
      </c>
      <c r="CB25" s="102" t="str">
        <f>IF(AND(WSAQIDAH!$AA$54&gt;=83.25,WSAQIDAH!$AA$54&lt;=91.4),"P","")</f>
        <v/>
      </c>
      <c r="CC25" s="102" t="str">
        <f>IF(AND(WSAQIDAH!$AA$54&gt;=91.5,WSAQIDAH!$AA$54&lt;=100),"P","")</f>
        <v>P</v>
      </c>
      <c r="CD25" t="str">
        <f>IF(WSAQIDAH!$AA$62&lt;74.9,"P","")</f>
        <v/>
      </c>
      <c r="CE25" s="102" t="str">
        <f>IF(AND(WSAQIDAH!$AA$62&gt;=75,WSAQIDAH!$AA$62&lt;=83.24),"P","")</f>
        <v/>
      </c>
      <c r="CF25" s="102" t="str">
        <f>IF(AND(WSAQIDAH!$AA$62&gt;=83.25,WSAQIDAH!$AA$62&lt;=91.4),"P","")</f>
        <v>P</v>
      </c>
      <c r="CG25" s="102" t="str">
        <f>IF(AND(WSAQIDAH!$AA$62&gt;=91.5,WSAQIDAH!$AA$62&lt;=100),"P","")</f>
        <v/>
      </c>
      <c r="CH25" t="str">
        <f>IF(WSAQIDAH!$AA$70&lt;74.9,"P","")</f>
        <v/>
      </c>
      <c r="CI25" s="102" t="str">
        <f>IF(AND(WSAQIDAH!$AA$70&gt;=75,WSAQIDAH!$AA$70&lt;=83.24),"P","")</f>
        <v/>
      </c>
      <c r="CJ25" s="102" t="str">
        <f>IF(AND(WSAQIDAH!$AA$70&gt;=83.25,WSAQIDAH!$AA$70&lt;=91.4),"P","")</f>
        <v>P</v>
      </c>
      <c r="CK25" s="102" t="str">
        <f>IF(AND(WSAQIDAH!$AA$70&gt;=91.5,WSAQIDAH!$AA$70&lt;=100),"P","")</f>
        <v/>
      </c>
      <c r="CL25" t="str">
        <f>IF(WSAQIDAH!$AA$78&lt;74.9,"P","")</f>
        <v/>
      </c>
      <c r="CM25" s="102" t="str">
        <f>IF(AND(WSAQIDAH!$AA$78&gt;=75,WSAQIDAH!$AA$78&lt;=83.24),"P","")</f>
        <v/>
      </c>
      <c r="CN25" s="102" t="str">
        <f>IF(AND(WSAQIDAH!$AA$78&gt;=83.25,WSAQIDAH!$AA$78&lt;=91.4),"P","")</f>
        <v>P</v>
      </c>
      <c r="CO25" s="102" t="str">
        <f>IF(AND(WSAQIDAH!$AA$78&gt;=91.5,WSAQIDAH!$AA$78&lt;=100),"P","")</f>
        <v/>
      </c>
      <c r="CP25" t="str">
        <f>IF(WSAQIDAH!$AA$86&lt;74.9,"P","")</f>
        <v/>
      </c>
      <c r="CQ25" s="102" t="str">
        <f>IF(AND(WSAQIDAH!$AA$86&gt;=75,WSAQIDAH!$AA$86&lt;=83.24),"P","")</f>
        <v/>
      </c>
      <c r="CR25" s="102" t="str">
        <f>IF(AND(WSAQIDAH!$AA$86&gt;=83.25,WSAQIDAH!$AA$86&lt;=91.4),"P","")</f>
        <v/>
      </c>
      <c r="CS25" s="102" t="str">
        <f>IF(AND(WSAQIDAH!$AA$86&gt;=91.5,WSAQIDAH!$AA$86&lt;=100),"P","")</f>
        <v/>
      </c>
      <c r="CT25" t="str">
        <f>IF(WSAQIDAH!$AA$94&lt;74.9,"P","")</f>
        <v/>
      </c>
      <c r="CU25" s="102" t="str">
        <f>IF(AND(WSAQIDAH!$AA$94&gt;=75,WSAQIDAH!$AA$94&lt;=83.24),"P","")</f>
        <v/>
      </c>
      <c r="CV25" s="102" t="str">
        <f>IF(AND(WSAQIDAH!$AA$94&gt;=83.25,WSAQIDAH!$AA$94&lt;=91.4),"P","")</f>
        <v/>
      </c>
      <c r="CW25" s="102" t="str">
        <f>IF(AND(WSAQIDAH!$AA$94&gt;=91.5,WSAQIDAH!$AA$94&lt;=100),"P","")</f>
        <v/>
      </c>
      <c r="CX25" t="str">
        <f>IF(WSAQIDAH!$AA$102&lt;74.9,"P","")</f>
        <v/>
      </c>
      <c r="CY25" s="102" t="str">
        <f>IF(AND(WSAQIDAH!$AA$102&gt;=75,WSAQIDAH!$AA$102&lt;=83.24),"P","")</f>
        <v/>
      </c>
      <c r="CZ25" s="102" t="str">
        <f>IF(AND(WSAQIDAH!$AA$102&gt;=83.25,WSAQIDAH!$AA$102&lt;=91.4),"P","")</f>
        <v/>
      </c>
      <c r="DA25" s="102" t="str">
        <f>IF(AND(WSAQIDAH!$AA$102&gt;=91.5,WSAQIDAH!$AA$102&lt;=100),"P","")</f>
        <v/>
      </c>
      <c r="DB25" t="str">
        <f>IF(WSSKI!$AA$6&lt;74.9,"P","")</f>
        <v/>
      </c>
      <c r="DC25" s="102" t="str">
        <f>IF(AND(WSSKI!$AA$6&gt;=75,WSSKI!$AA$6&lt;=83.24),"P","")</f>
        <v>P</v>
      </c>
      <c r="DD25" s="102" t="str">
        <f>IF(AND(WSSKI!$AA$6&gt;=83.25,WSSKI!$AA$6&lt;=91.4),"P","")</f>
        <v/>
      </c>
      <c r="DE25" s="102" t="str">
        <f>IF(AND(WSSKI!$AA$6&gt;=91.5,WSSKI!$AA$6&lt;=100),"P","")</f>
        <v/>
      </c>
      <c r="DF25" t="str">
        <f>IF(WSSKI!$AA$14&lt;74.9,"P","")</f>
        <v/>
      </c>
      <c r="DG25" s="102" t="str">
        <f>IF(AND(WSSKI!$AA$14&gt;=75,WSSKI!$AA$14&lt;=83.24),"P","")</f>
        <v/>
      </c>
      <c r="DH25" s="102" t="str">
        <f>IF(AND(WSSKI!$AA$14&gt;=83.25,WSSKI!$AA$14&lt;=91.4),"P","")</f>
        <v>P</v>
      </c>
      <c r="DI25" s="102" t="str">
        <f>IF(AND(WSSKI!$AA$14&gt;=91.5,WSSKI!$AA$14&lt;=100),"P","")</f>
        <v/>
      </c>
      <c r="DJ25" t="str">
        <f>IF(WSSKI!$AA$23&lt;74.9,"P","")</f>
        <v/>
      </c>
      <c r="DK25" s="102" t="str">
        <f>IF(AND(WSSKI!$AA$23&gt;=75,WSSKI!$AA$23&lt;=83.24),"P","")</f>
        <v/>
      </c>
      <c r="DL25" s="102" t="str">
        <f>IF(AND(WSSKI!$AA$23&gt;=83.25,WSSKI!$AA$23&lt;=91.4),"P","")</f>
        <v>P</v>
      </c>
      <c r="DM25" s="102" t="str">
        <f>IF(AND(WSSKI!$AA$23&gt;=91.5,WSSKI!$AA$23&lt;=100),"P","")</f>
        <v/>
      </c>
      <c r="DN25" t="str">
        <f>IF(WSSKI!$AA$31&lt;74.9,"P","")</f>
        <v/>
      </c>
      <c r="DO25" s="102" t="str">
        <f>IF(AND(WSSKI!$AA$31&gt;=75,WSSKI!$AA$31&lt;=83.24),"P","")</f>
        <v/>
      </c>
      <c r="DP25" s="102" t="str">
        <f>IF(AND(WSSKI!$AA$31&gt;=83.25,WSSKI!$AA$31&lt;=91.4),"P","")</f>
        <v/>
      </c>
      <c r="DQ25" s="102" t="str">
        <f>IF(AND(WSSKI!$AA$31&gt;=91.5,WSSKI!$AA$31&lt;=100),"P","")</f>
        <v>P</v>
      </c>
      <c r="DR25" t="str">
        <f>IF(WSSKI!$AA$40&lt;74.9,"P","")</f>
        <v/>
      </c>
      <c r="DS25" s="102" t="str">
        <f>IF(AND(WSSKI!$AA$40&gt;=75,WSSKI!$AA$40&lt;=83.24),"P","")</f>
        <v/>
      </c>
      <c r="DT25" s="102" t="str">
        <f>IF(AND(WSSKI!$AA$40&gt;=83.25,WSSKI!$AA$40&lt;=91.4),"P","")</f>
        <v/>
      </c>
      <c r="DU25" s="102" t="str">
        <f>IF(AND(WSSKI!$AA$40&gt;=91.5,WSSKI!$AA$40&lt;=100),"P","")</f>
        <v>P</v>
      </c>
      <c r="DV25" t="str">
        <f>IF(WSSKI!$AA$48&lt;74.9,"P","")</f>
        <v/>
      </c>
      <c r="DW25" s="102" t="str">
        <f>IF(AND(WSSKI!$AA$48&gt;=75,WSSKI!$AA$48&lt;=83.24),"P","")</f>
        <v>P</v>
      </c>
      <c r="DX25" s="102" t="str">
        <f>IF(AND(WSSKI!$AA$48&gt;=83.25,WSSKI!$AA$48&lt;=91.4),"P","")</f>
        <v/>
      </c>
      <c r="DY25" s="102" t="str">
        <f>IF(AND(WSSKI!$AA$48&gt;=91.5,WSSKI!$AA$48&lt;=100),"P","")</f>
        <v/>
      </c>
      <c r="DZ25" t="str">
        <f>IF(WSSKI!$AA$56&lt;74.9,"P","")</f>
        <v/>
      </c>
      <c r="EA25" s="102" t="str">
        <f>IF(AND(WSSKI!$AA$56&gt;=75,WSSKI!$AA$56&lt;=83.24),"P","")</f>
        <v/>
      </c>
      <c r="EB25" s="102" t="str">
        <f>IF(AND(WSSKI!$AA$56&gt;=83.25,WSSKI!$AA$56&lt;=91.4),"P","")</f>
        <v/>
      </c>
      <c r="EC25" s="102" t="str">
        <f>IF(AND(WSSKI!$AA$56&gt;=91.5,WSSKI!$AA$56&lt;=100),"P","")</f>
        <v/>
      </c>
      <c r="ED25" t="str">
        <f>IF(WSSKI!$AA$64&lt;74.9,"P","")</f>
        <v/>
      </c>
      <c r="EE25" s="102" t="str">
        <f>IF(AND(WSSKI!$AA$64&gt;=75,WSSKI!$AA$64&lt;=83.24),"P","")</f>
        <v/>
      </c>
      <c r="EF25" s="102" t="str">
        <f>IF(AND(WSSKI!$AA$64&gt;=83.25,WSSKI!$AA$64&lt;=91.4),"P","")</f>
        <v/>
      </c>
      <c r="EG25" s="102" t="str">
        <f>IF(AND(WSSKI!$AA$64&gt;=91.5,WSSKI!$AA$64&lt;=100),"P","")</f>
        <v/>
      </c>
      <c r="EH25" t="str">
        <f>IF(WSSKI!$AA$72&lt;74.9,"P","")</f>
        <v/>
      </c>
      <c r="EI25" s="102" t="str">
        <f>IF(AND(WSSKI!$AA$72&gt;=75,WSSKI!$AA$72&lt;=83.24),"P","")</f>
        <v/>
      </c>
      <c r="EJ25" s="102" t="str">
        <f>IF(AND(WSSKI!$AA$72&gt;=83.25,WSSKI!$AA$72&lt;=91.4),"P","")</f>
        <v/>
      </c>
      <c r="EK25" s="102" t="str">
        <f>IF(AND(WSSKI!$AA$72&gt;=91.5,WSSKI!$AA$72&lt;=100),"P","")</f>
        <v/>
      </c>
      <c r="EL25" t="str">
        <f>IF(WSSKI!$AA$80&lt;74.9,"P","")</f>
        <v/>
      </c>
      <c r="EM25" s="102" t="str">
        <f>IF(AND(WSSKI!$AA$80&gt;=75,WSSKI!$AA$80&lt;=83.24),"P","")</f>
        <v/>
      </c>
      <c r="EN25" s="102" t="str">
        <f>IF(AND(WSSKI!$AA$80&gt;=83.25,WSSKI!$AA$80&lt;=91.4),"P","")</f>
        <v/>
      </c>
      <c r="EO25" s="102" t="str">
        <f>IF(AND(WSSKI!$AA$80&gt;=91.5,WSSKI!$AA$80&lt;=100),"P","")</f>
        <v/>
      </c>
      <c r="EP25" t="str">
        <f>IF(WSSKI!$AA$88&lt;74.9,"P","")</f>
        <v/>
      </c>
      <c r="EQ25" s="102" t="str">
        <f>IF(AND(WSSKI!$AA$88&gt;=75,WSSKI!$AA$88&lt;=83.24),"P","")</f>
        <v/>
      </c>
      <c r="ER25" s="102" t="str">
        <f>IF(AND(WSSKI!$AA$88&gt;=83.25,WSSKI!$AA$88&lt;=91.4),"P","")</f>
        <v/>
      </c>
      <c r="ES25" s="102" t="str">
        <f>IF(AND(WSSKI!$AA$88&gt;=91.5,WSSKI!$AA$88&lt;=100),"P","")</f>
        <v/>
      </c>
      <c r="ET25" t="str">
        <f>IF(WSSKI!$AA$96&lt;74.9,"P","")</f>
        <v/>
      </c>
      <c r="EU25" s="102" t="str">
        <f>IF(AND(WSSKI!$AA$96&gt;=75,WSSKI!$AA$96&lt;=83.24),"P","")</f>
        <v/>
      </c>
      <c r="EV25" s="102" t="str">
        <f>IF(AND(WSSKI!$AA$96&gt;=83.25,WSSKI!$AA$96&lt;=91.4),"P","")</f>
        <v/>
      </c>
      <c r="EW25" s="102" t="str">
        <f>IF(AND(WSSKI!$AA$96&gt;=91.5,WSSKI!$AA$96&lt;=100),"P","")</f>
        <v/>
      </c>
      <c r="EX25" t="str">
        <f>IF(WSSKI!$AA$104&lt;74.9,"P","")</f>
        <v/>
      </c>
      <c r="EY25" s="102" t="str">
        <f>IF(AND(WSSKI!$AA$104&gt;=75,WSSKI!$AA$104&lt;=83.24),"P","")</f>
        <v/>
      </c>
      <c r="EZ25" s="102" t="str">
        <f>IF(AND(WSSKI!$AA$104&gt;=83.25,WSSKI!$AA$104&lt;=91.4),"P","")</f>
        <v/>
      </c>
      <c r="FA25" s="102" t="str">
        <f>IF(AND(WSSKI!$AA$104&gt;=91.5,WSSKI!$AA$104&lt;=100),"P","")</f>
        <v/>
      </c>
      <c r="FB25" t="str">
        <f>IF(WSFIQIH!$AA$6&lt;74.9,"P","")</f>
        <v/>
      </c>
      <c r="FC25" s="102" t="str">
        <f>IF(AND(WSFIQIH!$AA$6&gt;=75,WSFIQIH!$AA$6&lt;=83.24),"P","")</f>
        <v/>
      </c>
      <c r="FD25" s="102" t="str">
        <f>IF(AND(WSFIQIH!$AA$6&gt;=83.25,WSFIQIH!$AA$6&lt;=91.4),"P","")</f>
        <v/>
      </c>
      <c r="FE25" s="102" t="str">
        <f>IF(AND(WSFIQIH!$AA$6&gt;=91.5,WSFIQIH!$AA$6&lt;=100),"P","")</f>
        <v>P</v>
      </c>
      <c r="FF25" t="str">
        <f>IF(WSFIQIH!$AA$19&lt;74.9,"P","")</f>
        <v/>
      </c>
      <c r="FG25" s="102" t="str">
        <f>IF(AND(WSFIQIH!$AA$19&gt;=75,WSFIQIH!$AA$19&lt;=83.24),"P","")</f>
        <v/>
      </c>
      <c r="FH25" s="102" t="str">
        <f>IF(AND(WSFIQIH!$AA$19&gt;=83.25,WSFIQIH!$AA$19&lt;=91.4),"P","")</f>
        <v/>
      </c>
      <c r="FI25" s="102" t="str">
        <f>IF(AND(WSFIQIH!$AA$19&gt;=91.5,WSFIQIH!$AA$19&lt;=100),"P","")</f>
        <v>P</v>
      </c>
      <c r="FJ25" t="str">
        <f>IF(WSFIQIH!$AA$28&lt;74.9,"P","")</f>
        <v/>
      </c>
      <c r="FK25" s="102" t="str">
        <f>IF(AND(WSFIQIH!$AA$28&gt;=75,WSFIQIH!$AA$28&lt;=83.24),"P","")</f>
        <v>P</v>
      </c>
      <c r="FL25" s="102" t="str">
        <f>IF(AND(WSFIQIH!$AA$28&gt;=83.25,WSFIQIH!$AA$28&lt;=91.4),"P","")</f>
        <v/>
      </c>
      <c r="FM25" s="102" t="str">
        <f>IF(AND(WSFIQIH!$AA$28&gt;=91.5,WSFIQIH!$AA$28&lt;=100),"P","")</f>
        <v/>
      </c>
      <c r="FN25" t="str">
        <f>IF(WSFIQIH!$AA$41&lt;74.9,"P","")</f>
        <v/>
      </c>
      <c r="FO25" s="102" t="str">
        <f>IF(AND(WSFIQIH!$AA$41&gt;=75,WSFIQIH!$AA$41&lt;=83.24),"P","")</f>
        <v/>
      </c>
      <c r="FP25" s="102" t="str">
        <f>IF(AND(WSFIQIH!$AA$41&gt;=83.25,WSFIQIH!$AA$41&lt;=91.4),"P","")</f>
        <v/>
      </c>
      <c r="FQ25" s="102" t="str">
        <f>IF(AND(WSFIQIH!$AA$41&gt;=91.5,WSFIQIH!$AA$41&lt;=100),"P","")</f>
        <v>P</v>
      </c>
      <c r="FR25" t="str">
        <f>IF(WSFIQIH!$AA$49&lt;74.9,"P","")</f>
        <v/>
      </c>
      <c r="FS25" s="102" t="str">
        <f>IF(AND(WSFIQIH!$AA$49&gt;=75,WSFIQIH!$AA$49&lt;=83.24),"P","")</f>
        <v/>
      </c>
      <c r="FT25" s="102" t="str">
        <f>IF(AND(WSFIQIH!$AA$49&gt;=83.25,WSFIQIH!$AA$49&lt;=91.4),"P","")</f>
        <v>P</v>
      </c>
      <c r="FU25" s="102" t="str">
        <f>IF(AND(WSFIQIH!$AA$49&gt;=91.5,WSFIQIH!$AA$49&lt;=100),"P","")</f>
        <v/>
      </c>
      <c r="FV25" t="str">
        <f>IF(WSFIQIH!$AA$62&lt;74.9,"P","")</f>
        <v/>
      </c>
      <c r="FW25" s="102" t="str">
        <f>IF(AND(WSFIQIH!$AA$62&gt;=75,WSFIQIH!$AA$62&lt;=83.24),"P","")</f>
        <v/>
      </c>
      <c r="FX25" s="102" t="str">
        <f>IF(AND(WSFIQIH!$AA$62&gt;=83.25,WSFIQIH!$AA$62&lt;=91.4),"P","")</f>
        <v/>
      </c>
      <c r="FY25" s="102" t="str">
        <f>IF(AND(WSFIQIH!$AA$62&gt;=91.5,WSFIQIH!$AA$62&lt;=100),"P","")</f>
        <v>P</v>
      </c>
      <c r="FZ25" t="str">
        <f>IF(WSFIQIH!$AA$71&lt;74.9,"P","")</f>
        <v/>
      </c>
      <c r="GA25" s="102" t="str">
        <f>IF(AND(WSFIQIH!$AA$71&gt;=75,WSFIQIH!$AA$71&lt;=83.24),"P","")</f>
        <v/>
      </c>
      <c r="GB25" s="102" t="str">
        <f>IF(AND(WSFIQIH!$AA$71&gt;=83.25,WSFIQIH!$AA$71&lt;=91.4),"P","")</f>
        <v/>
      </c>
      <c r="GC25" s="102" t="str">
        <f>IF(AND(WSFIQIH!$AA$71&gt;=91.5,WSFIQIH!$AA$71&lt;=100),"P","")</f>
        <v>P</v>
      </c>
      <c r="GD25" t="str">
        <f>IF(WSFIQIH!$AA$80&lt;74.9,"P","")</f>
        <v/>
      </c>
      <c r="GE25" s="102" t="str">
        <f>IF(AND(WSFIQIH!$AA$80&gt;=75,WSFIQIH!$AA$80&lt;=83.24),"P","")</f>
        <v>P</v>
      </c>
      <c r="GF25" s="102" t="str">
        <f>IF(AND(WSFIQIH!$AA$80&gt;=83.25,WSFIQIH!$AA$80&lt;=91.4),"P","")</f>
        <v/>
      </c>
      <c r="GG25" s="102" t="str">
        <f>IF(AND(WSFIQIH!$AA$80&gt;=91.5,WSFIQIH!$AA$80&lt;=100),"P","")</f>
        <v/>
      </c>
      <c r="GH25" t="str">
        <f>IF(WSFIQIH!$AA$88&lt;74.9,"P","")</f>
        <v/>
      </c>
      <c r="GI25" s="102" t="str">
        <f>IF(AND(WSFIQIH!$AA$88&gt;=75,WSFIQIH!$AA$88&lt;=83.24),"P","")</f>
        <v/>
      </c>
      <c r="GJ25" s="102" t="str">
        <f>IF(AND(WSFIQIH!$AA$88&gt;=83.25,WSFIQIH!$AA$88&lt;=91.4),"P","")</f>
        <v/>
      </c>
      <c r="GK25" s="102" t="str">
        <f>IF(AND(WSFIQIH!$AA$88&gt;=91.5,WSFIQIH!$AA$88&lt;=100),"P","")</f>
        <v/>
      </c>
      <c r="GL25" t="str">
        <f>IF(WSFIQIH!$AA$96&lt;74.9,"P","")</f>
        <v/>
      </c>
      <c r="GM25" s="102" t="str">
        <f>IF(AND(WSFIQIH!$AA$96&gt;=75,WSFIQIH!$AA$96&lt;=83.24),"P","")</f>
        <v/>
      </c>
      <c r="GN25" s="102" t="str">
        <f>IF(AND(WSFIQIH!$AA$96&gt;=83.25,WSFIQIH!$AA$96&lt;=91.4),"P","")</f>
        <v/>
      </c>
      <c r="GO25" s="102" t="str">
        <f>IF(AND(WSFIQIH!$AA$96&gt;=91.5,WSFIQIH!$AA$96&lt;=100),"P","")</f>
        <v/>
      </c>
      <c r="GP25" t="str">
        <f>IF(WSFIQIH!$AA$104&lt;74.9,"P","")</f>
        <v/>
      </c>
      <c r="GQ25" s="102" t="str">
        <f>IF(AND(WSFIQIH!$AA$104&gt;=75,WSFIQIH!$AA$104&lt;=83.24),"P","")</f>
        <v/>
      </c>
      <c r="GR25" s="102" t="str">
        <f>IF(AND(WSFIQIH!$AA$104&gt;=83.25,WSFIQIH!$AA$104&lt;=91.4),"P","")</f>
        <v/>
      </c>
      <c r="GS25" s="102" t="str">
        <f>IF(AND(WSFIQIH!$AA$104&gt;=91.5,WSFIQIH!$AA$104&lt;=100),"P","")</f>
        <v/>
      </c>
      <c r="GT25" t="str">
        <f>IF(WSFIQIH!$AA$112&lt;74.9,"P","")</f>
        <v/>
      </c>
      <c r="GU25" s="102" t="str">
        <f>IF(AND(WSFIQIH!$AA$112&gt;=75,WSFIQIH!$AA$112&lt;=83.24),"P","")</f>
        <v/>
      </c>
      <c r="GV25" s="102" t="str">
        <f>IF(AND(WSFIQIH!$AA$112&gt;=83.25,WSFIQIH!$AA$112&lt;=91.4),"P","")</f>
        <v/>
      </c>
      <c r="GW25" s="102" t="str">
        <f>IF(AND(WSFIQIH!$AA$112&gt;=91.5,WSFIQIH!$AA$112&lt;=100),"P","")</f>
        <v/>
      </c>
      <c r="GX25" t="str">
        <f>IF(WSFIQIH!$AA$120&lt;74.9,"P","")</f>
        <v/>
      </c>
      <c r="GY25" s="102" t="str">
        <f>IF(AND(WSFIQIH!$AA$120&gt;=75,WSFIQIH!$AA$120&lt;=83.24),"P","")</f>
        <v/>
      </c>
      <c r="GZ25" s="102" t="str">
        <f>IF(AND(WSFIQIH!$AA$120&gt;=83.25,WSFIQIH!$AA$120&lt;=91.4),"P","")</f>
        <v/>
      </c>
      <c r="HA25" s="102" t="str">
        <f>IF(AND(WSFIQIH!$AA$120&gt;=91.5,WSFIQIH!$AA$120&lt;=100),"P","")</f>
        <v/>
      </c>
      <c r="HB25" t="str">
        <f>IF(WSPKN!$AA$6&lt;74.9,"P","")</f>
        <v/>
      </c>
      <c r="HC25" s="102" t="str">
        <f>IF(AND(WSPKN!$AA$6&gt;=75,WSPKN!$AA$6&lt;=83.24),"P","")</f>
        <v/>
      </c>
      <c r="HD25" s="102" t="str">
        <f>IF(AND(WSPKN!$AA$6&gt;=83.25,WSPKN!$AA$6&lt;=91.4),"P","")</f>
        <v/>
      </c>
      <c r="HE25" s="102" t="str">
        <f>IF(AND(WSPKN!$AA$6&gt;=91.5,WSPKN!$AA$6&lt;=100),"P","")</f>
        <v>P</v>
      </c>
      <c r="HF25" t="str">
        <f>IF(WSPKN!$AA$32&lt;74.9,"P","")</f>
        <v/>
      </c>
      <c r="HG25" s="102" t="str">
        <f>IF(AND(WSPKN!$AA$32&gt;=75,WSPKN!$AA$32&lt;=83.24),"P","")</f>
        <v/>
      </c>
      <c r="HH25" s="102" t="str">
        <f>IF(AND(WSPKN!$AA$32&gt;=83.25,WSPKN!$AA$32&lt;=91.4),"P","")</f>
        <v/>
      </c>
      <c r="HI25" s="102" t="str">
        <f>IF(AND(WSPKN!$AA$32&gt;=91.5,WSPKN!$AA$32&lt;=100),"P","")</f>
        <v>P</v>
      </c>
      <c r="HJ25" t="str">
        <f>IF(WSPKN!$AA$55&lt;74.9,"P","")</f>
        <v/>
      </c>
      <c r="HK25" s="102" t="str">
        <f>IF(AND(WSPKN!$AA$55&gt;=75,WSPKN!$AA$55&lt;=83.24),"P","")</f>
        <v/>
      </c>
      <c r="HL25" s="102" t="str">
        <f>IF(AND(WSPKN!$AA$55&gt;=83.25,WSPKN!$AA$55&lt;=91.4),"P","")</f>
        <v/>
      </c>
      <c r="HM25" s="102" t="str">
        <f>IF(AND(WSPKN!$AA$55&gt;=91.5,WSPKN!$AA$55&lt;=100),"P","")</f>
        <v>P</v>
      </c>
      <c r="HN25" t="str">
        <f>IF(WSPKN!$AA$72&lt;74.9,"P","")</f>
        <v/>
      </c>
      <c r="HO25" s="102" t="str">
        <f>IF(AND(WSPKN!$AA$72&gt;=75,WSPKN!$AA$72&lt;=83.24),"P","")</f>
        <v/>
      </c>
      <c r="HP25" s="102" t="str">
        <f>IF(AND(WSPKN!$AA$72&gt;=83.25,WSPKN!$AA$72&lt;=91.4),"P","")</f>
        <v/>
      </c>
      <c r="HQ25" s="102" t="str">
        <f>IF(AND(WSPKN!$AA$72&gt;=91.5,WSPKN!$AA$72&lt;=100),"P","")</f>
        <v>P</v>
      </c>
      <c r="HR25" t="str">
        <f>IF(WSPKN!$AA$86&lt;74.9,"P","")</f>
        <v/>
      </c>
      <c r="HS25" s="102" t="str">
        <f>IF(AND(WSPKN!$AA$86&gt;=75,WSPKN!$AA$86&lt;=83.24),"P","")</f>
        <v/>
      </c>
      <c r="HT25" s="102" t="str">
        <f>IF(AND(WSPKN!$AA$86&gt;=83.25,WSPKN!$AA$86&lt;=91.4),"P","")</f>
        <v/>
      </c>
      <c r="HU25" s="102" t="str">
        <f>IF(AND(WSPKN!$AA$86&gt;=91.5,WSPKN!$AA$86&lt;=100),"P","")</f>
        <v>P</v>
      </c>
      <c r="HV25" t="str">
        <f>IF(WSPKN!$AA$108&lt;74.9,"P","")</f>
        <v/>
      </c>
      <c r="HW25" s="102" t="str">
        <f>IF(AND(WSPKN!$AA$108&gt;=75,WSPKN!$AA$108&lt;=83.24),"P","")</f>
        <v/>
      </c>
      <c r="HX25" s="102" t="str">
        <f>IF(AND(WSPKN!$AA$108&gt;=83.25,WSPKN!$AA$108&lt;=91.4),"P","")</f>
        <v/>
      </c>
      <c r="HY25" s="102" t="str">
        <f>IF(AND(WSPKN!$AA$108&gt;=91.5,WSPKN!$AA$108&lt;=100),"P","")</f>
        <v>P</v>
      </c>
      <c r="HZ25" t="str">
        <f>IF(WSPKN!$AA$132&lt;74.9,"P","")</f>
        <v/>
      </c>
      <c r="IA25" s="102" t="str">
        <f>IF(AND(WSPKN!$AA$132&gt;=75,WSPKN!$AA$132&lt;=83.24),"P","")</f>
        <v/>
      </c>
      <c r="IB25" s="102" t="str">
        <f>IF(AND(WSPKN!$AA$132&gt;=83.25,WSPKN!$AA$132&lt;=91.4),"P","")</f>
        <v/>
      </c>
      <c r="IC25" s="102" t="str">
        <f>IF(AND(WSPKN!$AA$132&gt;=91.5,WSPKN!$AA$132&lt;=100),"P","")</f>
        <v>P</v>
      </c>
      <c r="ID25" t="str">
        <f>IF(WSPKN!$AA$148&lt;74.9,"P","")</f>
        <v/>
      </c>
      <c r="IE25" s="102" t="str">
        <f>IF(AND(WSPKN!$AA$148&gt;=75,WSPKN!$AA$148&lt;=83.24),"P","")</f>
        <v/>
      </c>
      <c r="IF25" s="102" t="str">
        <f>IF(AND(WSPKN!$AA$148&gt;=83.25,WSPKN!$AA$148&lt;=91.4),"P","")</f>
        <v/>
      </c>
      <c r="IG25" s="102" t="str">
        <f>IF(AND(WSPKN!$AA$148&gt;=91.5,WSPKN!$AA$148&lt;=100),"P","")</f>
        <v>P</v>
      </c>
      <c r="IH25" t="str">
        <f>IF(WSPKN!$AA$165&lt;74.9,"P","")</f>
        <v/>
      </c>
      <c r="II25" s="102" t="str">
        <f>IF(AND(WSPKN!$AA$165&gt;=75,WSPKN!$AA$165&lt;=83.24),"P","")</f>
        <v/>
      </c>
      <c r="IJ25" s="102" t="str">
        <f>IF(AND(WSPKN!$AA$165&gt;=83.25,WSPKN!$AA$165&lt;=91.4),"P","")</f>
        <v/>
      </c>
      <c r="IK25" s="102" t="str">
        <f>IF(AND(WSPKN!$AA$165&gt;=91.5,WSPKN!$AA$165&lt;=100),"P","")</f>
        <v/>
      </c>
      <c r="IL25" t="str">
        <f>IF(WSPKN!$AA$173&lt;74.9,"P","")</f>
        <v/>
      </c>
      <c r="IM25" s="102" t="str">
        <f>IF(AND(WSPKN!$AA$173&gt;=75,WSPKN!$AA$173&lt;=83.24),"P","")</f>
        <v/>
      </c>
      <c r="IN25" s="102" t="str">
        <f>IF(AND(WSPKN!$AA$173&gt;=83.25,WSPKN!$AA$173&lt;=91.4),"P","")</f>
        <v/>
      </c>
      <c r="IO25" s="102" t="str">
        <f>IF(AND(WSPKN!$AA$173&gt;=91.5,WSPKN!$AA$173&lt;=100),"P","")</f>
        <v/>
      </c>
      <c r="IP25" t="str">
        <f>IF(WSPKN!$AA$181&lt;74.9,"P","")</f>
        <v/>
      </c>
      <c r="IQ25" s="102" t="str">
        <f>IF(AND(WSPKN!$AA$181&gt;=75,WSPKN!$AA$181&lt;=83.24),"P","")</f>
        <v/>
      </c>
      <c r="IR25" s="102" t="str">
        <f>IF(AND(WSPKN!$AA$181&gt;=83.25,WSPKN!$AA$181&lt;=91.4),"P","")</f>
        <v/>
      </c>
      <c r="IS25" s="102" t="str">
        <f>IF(AND(WSPKN!$AA$181&gt;=91.5,WSPKN!$AA$181&lt;=100),"P","")</f>
        <v/>
      </c>
      <c r="IT25" t="str">
        <f>IF(WSPKN!$AA$189&lt;74.9,"P","")</f>
        <v/>
      </c>
      <c r="IU25" s="102" t="str">
        <f>IF(AND(WSPKN!$AA$189&gt;=75,WSPKN!$AA$189&lt;=83.24),"P","")</f>
        <v/>
      </c>
      <c r="IV25" s="102" t="str">
        <f>IF(AND(WSPKN!$AA$189&gt;=83.25,WSPKN!$AA$189&lt;=91.4),"P","")</f>
        <v/>
      </c>
      <c r="IW25" s="102" t="str">
        <f>IF(AND(WSPKN!$AA$189&gt;=91.5,WSPKN!$AA$189&lt;=100),"P","")</f>
        <v/>
      </c>
      <c r="IX25" t="str">
        <f>IF(WSPKN!$AA$197&lt;74.9,"P","")</f>
        <v/>
      </c>
      <c r="IY25" s="102" t="str">
        <f>IF(AND(WSPKN!$AA$197&gt;=75,WSPKN!$AA$197&lt;=83.24),"P","")</f>
        <v/>
      </c>
      <c r="IZ25" s="102" t="str">
        <f>IF(AND(WSPKN!$AA$197&gt;=83.25,WSPKN!$AA$197&lt;=91.4),"P","")</f>
        <v/>
      </c>
      <c r="JA25" s="102" t="str">
        <f>IF(AND(WSPKN!$AA$197&gt;=91.5,WSPKN!$AA$197&lt;=100),"P","")</f>
        <v/>
      </c>
      <c r="JB25" t="str">
        <f>IF(WSIND!$AA$6&lt;74.9,"P","")</f>
        <v/>
      </c>
      <c r="JC25" s="102" t="str">
        <f>IF(AND(WSIND!$AA$6&gt;=75,WSIND!$AA$6&lt;=83.24),"P","")</f>
        <v/>
      </c>
      <c r="JD25" s="102" t="str">
        <f>IF(AND(WSIND!$AA$6&gt;=83.25,WSIND!$AA$6&lt;=91.4),"P","")</f>
        <v/>
      </c>
      <c r="JE25" s="102" t="str">
        <f>IF(AND(WSIND!$AA$6&gt;=91.5,WSIND!$AA$6&lt;=100),"P","")</f>
        <v>P</v>
      </c>
      <c r="JF25" t="str">
        <f>IF(WSIND!$AA$65&lt;74.9,"P","")</f>
        <v/>
      </c>
      <c r="JG25" s="102" t="str">
        <f>IF(AND(WSIND!$AA$65&gt;=75,WSIND!$AA$65&lt;=83.24),"P","")</f>
        <v/>
      </c>
      <c r="JH25" s="102" t="str">
        <f>IF(AND(WSIND!$AA$65&gt;=83.25,WSIND!$AA$65&lt;=91.4),"P","")</f>
        <v/>
      </c>
      <c r="JI25" s="102" t="str">
        <f>IF(AND(WSIND!$AA$65&gt;=91.5,WSIND!$AA$65&lt;=100),"P","")</f>
        <v>P</v>
      </c>
      <c r="JJ25" t="str">
        <f>IF(WSIND!$AA$113&lt;74.9,"P","")</f>
        <v/>
      </c>
      <c r="JK25" s="102" t="str">
        <f>IF(AND(WSIND!$AA$113&gt;=75,WSIND!$AA$113&lt;=83.24),"P","")</f>
        <v/>
      </c>
      <c r="JL25" s="102" t="str">
        <f>IF(AND(WSIND!$AA$113&gt;=83.25,WSIND!$AA$113&lt;=91.4),"P","")</f>
        <v/>
      </c>
      <c r="JM25" s="102" t="str">
        <f>IF(AND(WSIND!$AA$113&gt;=91.5,WSIND!$AA$113&lt;=100),"P","")</f>
        <v>P</v>
      </c>
      <c r="JN25" t="str">
        <f>IF(WSIND!$AA$133&lt;74.9,"P","")</f>
        <v/>
      </c>
      <c r="JO25" s="102" t="str">
        <f>IF(AND(WSIND!$AA$133&gt;=75,WSIND!$AA$133&lt;=83.24),"P","")</f>
        <v/>
      </c>
      <c r="JP25" s="102" t="str">
        <f>IF(AND(WSIND!$AA$133&gt;=83.25,WSIND!$AA$133&lt;=91.4),"P","")</f>
        <v/>
      </c>
      <c r="JQ25" s="102" t="str">
        <f>IF(AND(WSIND!$AA$133&gt;=91.5,WSIND!$AA$133&lt;=100),"P","")</f>
        <v>P</v>
      </c>
      <c r="JR25" t="str">
        <f>IF(WSIND!$AA$161&lt;74.9,"P","")</f>
        <v/>
      </c>
      <c r="JS25" s="102" t="str">
        <f>IF(AND(WSIND!$AA$161&gt;=75,WSIND!$AA$161&lt;=83.24),"P","")</f>
        <v/>
      </c>
      <c r="JT25" s="102" t="str">
        <f>IF(AND(WSIND!$AA$161&gt;=83.25,WSIND!$AA$161&lt;=91.4),"P","")</f>
        <v/>
      </c>
      <c r="JU25" s="102" t="str">
        <f>IF(AND(WSIND!$AA$161&gt;=91.5,WSIND!$AA$161&lt;=100),"P","")</f>
        <v>P</v>
      </c>
      <c r="JV25" t="str">
        <f>IF(WSIND!$AA$192&lt;74.9,"P","")</f>
        <v/>
      </c>
      <c r="JW25" s="102" t="str">
        <f>IF(AND(WSIND!$AA$192&gt;=75,WSIND!$AA$192&lt;=83.24),"P","")</f>
        <v/>
      </c>
      <c r="JX25" s="102" t="str">
        <f>IF(AND(WSIND!$AA$192&gt;=83.25,WSIND!$AA$192&lt;=91.4),"P","")</f>
        <v/>
      </c>
      <c r="JY25" s="102" t="str">
        <f>IF(AND(WSIND!$AA$192&gt;=91.5,WSIND!$AA$192&lt;=100),"P","")</f>
        <v>P</v>
      </c>
      <c r="JZ25" t="str">
        <f>IF(WSIND!$AA$228&lt;74.9,"P","")</f>
        <v/>
      </c>
      <c r="KA25" s="102" t="str">
        <f>IF(AND(WSIND!$AA$228&gt;=75,WSIND!$AA$228&lt;=83.24),"P","")</f>
        <v/>
      </c>
      <c r="KB25" s="102" t="str">
        <f>IF(AND(WSIND!$AA$228&gt;=83.25,WSIND!$AA$228&lt;=91.4),"P","")</f>
        <v/>
      </c>
      <c r="KC25" s="102" t="str">
        <f>IF(AND(WSIND!$AA$228&gt;=91.5,WSIND!$AA$228&lt;=100),"P","")</f>
        <v>P</v>
      </c>
      <c r="KD25" t="str">
        <f>IF(WSIND!$AA$256&lt;74.9,"P","")</f>
        <v/>
      </c>
      <c r="KE25" s="102" t="str">
        <f>IF(AND(WSIND!$AA$256&gt;=75,WSIND!$AA$256&lt;=83.24),"P","")</f>
        <v/>
      </c>
      <c r="KF25" s="102" t="str">
        <f>IF(AND(WSIND!$AA$256&gt;=83.25,WSIND!$AA$256&lt;=91.4),"P","")</f>
        <v/>
      </c>
      <c r="KG25" s="102" t="str">
        <f>IF(AND(WSIND!$AA$256&gt;=91.5,WSIND!$AA$256&lt;=100),"P","")</f>
        <v>P</v>
      </c>
      <c r="KH25" t="str">
        <f>IF(WSIND!$AA$277&lt;74.9,"P","")</f>
        <v/>
      </c>
      <c r="KI25" s="102" t="str">
        <f>IF(AND(WSIND!$AA$277&gt;=75,WSIND!$AA$277&lt;=83.24),"P","")</f>
        <v/>
      </c>
      <c r="KJ25" s="102" t="str">
        <f>IF(AND(WSIND!$AA$277&gt;=83.25,WSIND!$AA$277&lt;=91.4),"P","")</f>
        <v/>
      </c>
      <c r="KK25" s="102" t="str">
        <f>IF(AND(WSIND!$AA$277&gt;=91.5,WSIND!$AA$277&lt;=100),"P","")</f>
        <v>P</v>
      </c>
      <c r="KL25" t="str">
        <f>IF(WSIND!$AA$305&lt;74.9,"P","")</f>
        <v/>
      </c>
      <c r="KM25" s="102" t="str">
        <f>IF(AND(WSIND!$AA$305&gt;=75,WSIND!$AA$305&lt;=83.24),"P","")</f>
        <v/>
      </c>
      <c r="KN25" s="102" t="str">
        <f>IF(AND(WSIND!$AA$305&gt;=83.25,WSIND!$AA$305&lt;=91.4),"P","")</f>
        <v/>
      </c>
      <c r="KO25" s="102" t="str">
        <f>IF(AND(WSIND!$AA$305&gt;=91.5,WSIND!$AA$305&lt;=100),"P","")</f>
        <v>P</v>
      </c>
      <c r="KP25" t="str">
        <f>IF(WSIND!$AA$329&lt;74.9,"P","")</f>
        <v/>
      </c>
      <c r="KQ25" s="102" t="str">
        <f>IF(AND(WSIND!$AA$329&gt;=75,WSIND!$AA$329&lt;=83.24),"P","")</f>
        <v/>
      </c>
      <c r="KR25" s="102" t="str">
        <f>IF(AND(WSIND!$AA$329&gt;=83.25,WSIND!$AA$329&lt;=91.4),"P","")</f>
        <v/>
      </c>
      <c r="KS25" s="102" t="str">
        <f>IF(AND(WSIND!$AA$329&gt;=91.5,WSIND!$AA$329&lt;=100),"P","")</f>
        <v/>
      </c>
      <c r="KT25" t="str">
        <f>IF(WSIND!$AA$337&lt;74.9,"P","")</f>
        <v/>
      </c>
      <c r="KU25" s="102" t="str">
        <f>IF(AND(WSIND!$AA$337&gt;=75,WSIND!$AA$337&lt;=83.24),"P","")</f>
        <v/>
      </c>
      <c r="KV25" s="102" t="str">
        <f>IF(AND(WSIND!$AA$337&gt;=83.25,WSIND!$AA$337&lt;=91.4),"P","")</f>
        <v/>
      </c>
      <c r="KW25" s="102" t="str">
        <f>IF(AND(WSIND!$AA$337&gt;=91.5,WSIND!$AA$337&lt;=100),"P","")</f>
        <v/>
      </c>
      <c r="KX25" t="str">
        <f>IF(WSIND!$AA$345&lt;74.9,"P","")</f>
        <v/>
      </c>
      <c r="KY25" s="102" t="str">
        <f>IF(AND(WSIND!$AA$345&gt;=75,WSIND!$AA$345&lt;=83.24),"P","")</f>
        <v/>
      </c>
      <c r="KZ25" s="102" t="str">
        <f>IF(AND(WSIND!$AA$345&gt;=83.25,WSIND!$AA$345&lt;=91.4),"P","")</f>
        <v/>
      </c>
      <c r="LA25" s="102" t="str">
        <f>IF(AND(WSIND!$AA$345&gt;=91.5,WSIND!$AA$345&lt;=100),"P","")</f>
        <v/>
      </c>
      <c r="LB25" t="str">
        <f>IF(WSARAB!$AA$6&lt;74.9,"P","")</f>
        <v/>
      </c>
      <c r="LC25" s="102" t="str">
        <f>IF(AND(WSARAB!$AA$6&gt;=75,WSARAB!$AA$6&lt;=83.24),"P","")</f>
        <v/>
      </c>
      <c r="LD25" s="102" t="str">
        <f>IF(AND(WSARAB!$AA$6&gt;=83.25,WSARAB!$AA$6&lt;=91.4),"P","")</f>
        <v/>
      </c>
      <c r="LE25" s="102" t="str">
        <f>IF(AND(WSARAB!$AA$6&gt;=91.5,WSARAB!$AA$6&lt;=100),"P","")</f>
        <v/>
      </c>
      <c r="LF25" t="str">
        <f>IF(WSARAB!$AA$17&lt;74.9,"P","")</f>
        <v/>
      </c>
      <c r="LG25" s="102" t="str">
        <f>IF(AND(WSARAB!$AA$17&gt;=75,WSARAB!$AA$17&lt;=83.24),"P","")</f>
        <v/>
      </c>
      <c r="LH25" s="102" t="str">
        <f>IF(AND(WSARAB!$AA$17&gt;=83.25,WSARAB!$AA$17&lt;=91.4),"P","")</f>
        <v/>
      </c>
      <c r="LI25" s="102" t="str">
        <f>IF(AND(WSARAB!$AA$17&gt;=91.5,WSARAB!$AA$17&lt;=100),"P","")</f>
        <v/>
      </c>
      <c r="LJ25" t="str">
        <f>IF(WSARAB!$AA$29&lt;74.9,"P","")</f>
        <v/>
      </c>
      <c r="LK25" s="102" t="str">
        <f>IF(AND(WSARAB!$AA$29&gt;=75,WSARAB!$AA$29&lt;=83.24),"P","")</f>
        <v/>
      </c>
      <c r="LL25" s="102" t="str">
        <f>IF(AND(WSARAB!$AA$29&gt;=83.25,WSARAB!$AA$29&lt;=91.4),"P","")</f>
        <v/>
      </c>
      <c r="LM25" s="102" t="str">
        <f>IF(AND(WSARAB!$AA$29&gt;=91.5,WSARAB!$AA$29&lt;=100),"P","")</f>
        <v/>
      </c>
      <c r="LN25" t="str">
        <f>IF(WSARAB!$AA$37&lt;74.9,"P","")</f>
        <v/>
      </c>
      <c r="LO25" s="102" t="str">
        <f>IF(AND(WSARAB!$AA$37&gt;=75,WSARAB!$AA$37&lt;=83.24),"P","")</f>
        <v/>
      </c>
      <c r="LP25" s="102" t="str">
        <f>IF(AND(WSARAB!$AA$37&gt;=83.25,WSARAB!$AA$37&lt;=91.4),"P","")</f>
        <v/>
      </c>
      <c r="LQ25" s="102" t="str">
        <f>IF(AND(WSARAB!$AA$37&gt;=91.5,WSARAB!$AA$37&lt;=100),"P","")</f>
        <v/>
      </c>
      <c r="LR25" t="str">
        <f>IF(WSARAB!$AA$45&lt;74.9,"P","")</f>
        <v/>
      </c>
      <c r="LS25" s="102" t="str">
        <f>IF(AND(WSARAB!$AA$45&gt;=75,WSARAB!$AA$45&lt;=83.24),"P","")</f>
        <v/>
      </c>
      <c r="LT25" s="102" t="str">
        <f>IF(AND(WSARAB!$AA$45&gt;=83.25,WSARAB!$AA$45&lt;=91.4),"P","")</f>
        <v/>
      </c>
      <c r="LU25" s="102" t="str">
        <f>IF(AND(WSARAB!$AA$45&gt;=91.5,WSARAB!$AA$45&lt;=100),"P","")</f>
        <v/>
      </c>
      <c r="LV25" t="str">
        <f>IF(WSARAB!$AA$53&lt;74.9,"P","")</f>
        <v/>
      </c>
      <c r="LW25" s="102" t="str">
        <f>IF(AND(WSARAB!$AA$53&gt;=75,WSARAB!$AA$53&lt;=83.24),"P","")</f>
        <v/>
      </c>
      <c r="LX25" s="102" t="str">
        <f>IF(AND(WSARAB!$AA$53&gt;=83.25,WSARAB!$AA$53&lt;=91.4),"P","")</f>
        <v/>
      </c>
      <c r="LY25" s="102" t="str">
        <f>IF(AND(WSARAB!$AA$53&gt;=91.5,WSARAB!$AA$53&lt;=100),"P","")</f>
        <v/>
      </c>
      <c r="LZ25" t="str">
        <f>IF(WSARAB!$AA$65&lt;74.9,"P","")</f>
        <v/>
      </c>
      <c r="MA25" s="102" t="str">
        <f>IF(AND(WSARAB!$AA$65&gt;=75,WSARAB!$AA$65&lt;=83.24),"P","")</f>
        <v/>
      </c>
      <c r="MB25" s="102" t="str">
        <f>IF(AND(WSARAB!$AA$65&gt;=83.25,WSARAB!$AA$65&lt;=91.4),"P","")</f>
        <v/>
      </c>
      <c r="MC25" s="102" t="str">
        <f>IF(AND(WSARAB!$AA$65&gt;=91.5,WSARAB!$AA$65&lt;=100),"P","")</f>
        <v/>
      </c>
      <c r="MD25" t="str">
        <f>IF(WSARAB!$AA$73&lt;74.9,"P","")</f>
        <v/>
      </c>
      <c r="ME25" s="102" t="str">
        <f>IF(AND(WSARAB!$AA$73&gt;=75,WSARAB!$AA$73&lt;=83.24),"P","")</f>
        <v/>
      </c>
      <c r="MF25" s="102" t="str">
        <f>IF(AND(WSARAB!$AA$73&gt;=83.25,WSARAB!$AA$73&lt;=91.4),"P","")</f>
        <v/>
      </c>
      <c r="MG25" s="102" t="str">
        <f>IF(AND(WSARAB!$AA$73&gt;=91.5,WSARAB!$AA$73&lt;=100),"P","")</f>
        <v/>
      </c>
      <c r="MH25" t="str">
        <f>IF(WSARAB!$AA$81&lt;74.9,"P","")</f>
        <v/>
      </c>
      <c r="MI25" s="102" t="str">
        <f>IF(AND(WSARAB!$AA$81&gt;=75,WSARAB!$AA$81&lt;=83.24),"P","")</f>
        <v/>
      </c>
      <c r="MJ25" s="102" t="str">
        <f>IF(AND(WSARAB!$AA$81&gt;=83.25,WSARAB!$AA$81&lt;=91.4),"P","")</f>
        <v/>
      </c>
      <c r="MK25" s="102" t="str">
        <f>IF(AND(WSARAB!$AA$81&gt;=91.5,WSARAB!$AA$81&lt;=100),"P","")</f>
        <v/>
      </c>
      <c r="ML25" t="str">
        <f>IF(WSARAB!$AA$89&lt;74.9,"P","")</f>
        <v/>
      </c>
      <c r="MM25" s="102" t="str">
        <f>IF(AND(WSARAB!$AA$89&gt;=75,WSARAB!$AA$89&lt;=83.24),"P","")</f>
        <v/>
      </c>
      <c r="MN25" s="102" t="str">
        <f>IF(AND(WSARAB!$AA$89&gt;=83.25,WSARAB!$AA$89&lt;=91.4),"P","")</f>
        <v/>
      </c>
      <c r="MO25" s="102" t="str">
        <f>IF(AND(WSARAB!$AA$89&gt;=91.5,WSARAB!$AA$89&lt;=100),"P","")</f>
        <v/>
      </c>
      <c r="MP25" t="str">
        <f>IF(WSARAB!$AA$97&lt;74.9,"P","")</f>
        <v/>
      </c>
      <c r="MQ25" s="102" t="str">
        <f>IF(AND(WSARAB!$AA$97&gt;=75,WSARAB!$AA$97&lt;=83.24),"P","")</f>
        <v/>
      </c>
      <c r="MR25" s="102" t="str">
        <f>IF(AND(WSARAB!$AA$97&gt;=83.25,WSARAB!$AA$97&lt;=91.4),"P","")</f>
        <v/>
      </c>
      <c r="MS25" s="102" t="str">
        <f>IF(AND(WSARAB!$AA$97&gt;=91.5,WSARAB!$AA$97&lt;=100),"P","")</f>
        <v/>
      </c>
      <c r="MT25" t="str">
        <f>IF(WSARAB!$AA$105&lt;74.9,"P","")</f>
        <v/>
      </c>
      <c r="MU25" s="102" t="str">
        <f>IF(AND(WSARAB!$AA$105&gt;=75,WSARAB!$AA$105&lt;=83.24),"P","")</f>
        <v/>
      </c>
      <c r="MV25" s="102" t="str">
        <f>IF(AND(WSARAB!$AA$105&gt;=83.25,WSARAB!$AA$105&lt;=91.4),"P","")</f>
        <v/>
      </c>
      <c r="MW25" s="102" t="str">
        <f>IF(AND(WSARAB!$AA$105&gt;=91.5,WSARAB!$AA$105&lt;=100),"P","")</f>
        <v/>
      </c>
      <c r="MX25" t="str">
        <f>IF(WSARAB!$AA$113&lt;74.9,"P","")</f>
        <v/>
      </c>
      <c r="MY25" s="102" t="str">
        <f>IF(AND(WSARAB!$AA$113&gt;=75,WSARAB!$AA$113&lt;=83.24),"P","")</f>
        <v/>
      </c>
      <c r="MZ25" s="102" t="str">
        <f>IF(AND(WSARAB!$AA$113&gt;=83.25,WSARAB!$AA$113&lt;=91.4),"P","")</f>
        <v/>
      </c>
      <c r="NA25" s="102" t="str">
        <f>IF(AND(WSARAB!$AA$113&gt;=91.5,WSARAB!$AA$113&lt;=100),"P","")</f>
        <v/>
      </c>
      <c r="NB25" t="str">
        <f>IF(WSMTK!$AA$6&lt;74.9,"P","")</f>
        <v/>
      </c>
      <c r="NC25" s="102" t="str">
        <f>IF(AND(WSMTK!$AA$6&gt;=75,WSMTK!$AA$6&lt;=83.24),"P","")</f>
        <v/>
      </c>
      <c r="ND25" s="102" t="str">
        <f>IF(AND(WSMTK!$AA$6&gt;=83.25,WSMTK!$AA$6&lt;=91.4),"P","")</f>
        <v/>
      </c>
      <c r="NE25" s="102" t="str">
        <f>IF(AND(WSMTK!$AA$6&gt;=91.5,WSMTK!$AA$6&lt;=100),"P","")</f>
        <v>P</v>
      </c>
      <c r="NF25" t="str">
        <f>IF(WSMTK!$AA$22&lt;74.9,"P","")</f>
        <v/>
      </c>
      <c r="NG25" s="102" t="str">
        <f>IF(AND(WSMTK!$AA$22&gt;=75,WSMTK!$AA$22&lt;=83.24),"P","")</f>
        <v/>
      </c>
      <c r="NH25" s="102" t="str">
        <f>IF(AND(WSMTK!$AA$22&gt;=83.25,WSMTK!$AA$22&lt;=91.4),"P","")</f>
        <v/>
      </c>
      <c r="NI25" s="102" t="str">
        <f>IF(AND(WSMTK!$AA$22&gt;=91.5,WSMTK!$AA$22&lt;=100),"P","")</f>
        <v>P</v>
      </c>
      <c r="NJ25" t="str">
        <f>IF(WSMTK!$AA$35&lt;74.9,"P","")</f>
        <v/>
      </c>
      <c r="NK25" s="102" t="str">
        <f>IF(AND(WSMTK!$AA$35&gt;=75,WSMTK!$AA$35&lt;=83.24),"P","")</f>
        <v/>
      </c>
      <c r="NL25" s="102" t="str">
        <f>IF(AND(WSMTK!$AA$35&gt;=83.25,WSMTK!$AA$35&lt;=91.4),"P","")</f>
        <v/>
      </c>
      <c r="NM25" s="102" t="str">
        <f>IF(AND(WSMTK!$AA$35&gt;=91.5,WSMTK!$AA$35&lt;=100),"P","")</f>
        <v>P</v>
      </c>
      <c r="NN25" t="str">
        <f>IF(WSMTK!$AA$69&lt;74.9,"P","")</f>
        <v/>
      </c>
      <c r="NO25" s="102" t="str">
        <f>IF(AND(WSMTK!$AA$69&gt;=75,WSMTK!$AA$69&lt;=83.24),"P","")</f>
        <v/>
      </c>
      <c r="NP25" s="102" t="str">
        <f>IF(AND(WSMTK!$AA$69&gt;=83.25,WSMTK!$AA$69&lt;=91.4),"P","")</f>
        <v/>
      </c>
      <c r="NQ25" s="102" t="str">
        <f>IF(AND(WSMTK!$AA$69&gt;=91.5,WSMTK!$AA$69&lt;=100),"P","")</f>
        <v>P</v>
      </c>
      <c r="NR25" t="str">
        <f>IF(WSMTK!$AA$87&lt;74.9,"P","")</f>
        <v/>
      </c>
      <c r="NS25" s="102" t="str">
        <f>IF(AND(WSMTK!$AA$87&gt;=75,WSMTK!$AA$87&lt;=83.24),"P","")</f>
        <v/>
      </c>
      <c r="NT25" s="102" t="str">
        <f>IF(AND(WSMTK!$AA$87&gt;=83.25,WSMTK!$AA$87&lt;=91.4),"P","")</f>
        <v/>
      </c>
      <c r="NU25" s="102" t="str">
        <f>IF(AND(WSMTK!$AA$87&gt;=91.5,WSMTK!$AA$87&lt;=100),"P","")</f>
        <v>P</v>
      </c>
      <c r="NV25" t="str">
        <f>IF(WSMTK!$AA$99&lt;74.9,"P","")</f>
        <v/>
      </c>
      <c r="NW25" s="102" t="str">
        <f>IF(AND(WSMTK!$AA$99&gt;=75,WSMTK!$AA$99&lt;=83.24),"P","")</f>
        <v/>
      </c>
      <c r="NX25" s="102" t="str">
        <f>IF(AND(WSMTK!$AA$99&gt;=83.25,WSMTK!$AA$99&lt;=91.4),"P","")</f>
        <v/>
      </c>
      <c r="NY25" s="102" t="str">
        <f>IF(AND(WSMTK!$AA$99&gt;=91.5,WSMTK!$AA$99&lt;=100),"P","")</f>
        <v>P</v>
      </c>
      <c r="NZ25" t="str">
        <f>IF(WSMTK!$AA$113&lt;74.9,"P","")</f>
        <v/>
      </c>
      <c r="OA25" s="102" t="str">
        <f>IF(AND(WSMTK!$AA$113&gt;=75,WSMTK!$AA$113&lt;=83.24),"P","")</f>
        <v/>
      </c>
      <c r="OB25" s="102" t="str">
        <f>IF(AND(WSMTK!$AA$113&gt;=83.25,WSMTK!$AA$113&lt;=91.4),"P","")</f>
        <v/>
      </c>
      <c r="OC25" s="102" t="str">
        <f>IF(AND(WSMTK!$AA$113&gt;=91.5,WSMTK!$AA$113&lt;=100),"P","")</f>
        <v>P</v>
      </c>
      <c r="OD25" t="str">
        <f>IF(WSMTK!$AA$145&lt;74.9,"P","")</f>
        <v/>
      </c>
      <c r="OE25" s="102" t="str">
        <f>IF(AND(WSMTK!$AA$145&gt;=75,WSMTK!$AA$145&lt;=83.24),"P","")</f>
        <v/>
      </c>
      <c r="OF25" s="102" t="str">
        <f>IF(AND(WSMTK!$AA$145&gt;=83.25,WSMTK!$AA$145&lt;=91.4),"P","")</f>
        <v/>
      </c>
      <c r="OG25" s="102" t="str">
        <f>IF(AND(WSMTK!$AA$145&gt;=91.5,WSMTK!$AA$145&lt;=100),"P","")</f>
        <v>P</v>
      </c>
      <c r="OH25" t="str">
        <f>IF(WSMTK!$AA$168&lt;74.9,"P","")</f>
        <v/>
      </c>
      <c r="OI25" s="102" t="str">
        <f>IF(AND(WSMTK!$AA$168&gt;=75,WSMTK!$AA$168&lt;=83.24),"P","")</f>
        <v/>
      </c>
      <c r="OJ25" s="102" t="str">
        <f>IF(AND(WSMTK!$AA$168&gt;=83.25,WSMTK!$AA$168&lt;=91.4),"P","")</f>
        <v/>
      </c>
      <c r="OK25" s="102" t="str">
        <f>IF(AND(WSMTK!$AA$168&gt;=91.5,WSMTK!$AA$168&lt;=100),"P","")</f>
        <v/>
      </c>
      <c r="OL25" t="str">
        <f>IF(WSMTK!$AA$176&lt;74.9,"P","")</f>
        <v/>
      </c>
      <c r="OM25" s="102" t="str">
        <f>IF(AND(WSMTK!$AA$176&gt;=75,WSMTK!$AA$176&lt;=83.24),"P","")</f>
        <v/>
      </c>
      <c r="ON25" s="102" t="str">
        <f>IF(AND(WSMTK!$AA$176&gt;=83.25,WSMTK!$AA$176&lt;=91.4),"P","")</f>
        <v/>
      </c>
      <c r="OO25" s="102" t="str">
        <f>IF(AND(WSMTK!$AA$176&gt;=91.5,WSMTK!$AA$176&lt;=100),"P","")</f>
        <v/>
      </c>
      <c r="OP25" t="str">
        <f>IF(WSMTK!$AA$184&lt;74.9,"P","")</f>
        <v/>
      </c>
      <c r="OQ25" s="102" t="str">
        <f>IF(AND(WSMTK!$AA$184&gt;=75,WSMTK!$AA$184&lt;=83.24),"P","")</f>
        <v/>
      </c>
      <c r="OR25" s="102" t="str">
        <f>IF(AND(WSMTK!$AA$184&gt;=83.25,WSMTK!$AA$184&lt;=91.4),"P","")</f>
        <v/>
      </c>
      <c r="OS25" s="102" t="str">
        <f>IF(AND(WSMTK!$AA$184&gt;=91.5,WSMTK!$AA$184&lt;=100),"P","")</f>
        <v/>
      </c>
      <c r="OT25" t="str">
        <f>IF(WSMTK!$AA$192&lt;74.9,"P","")</f>
        <v/>
      </c>
      <c r="OU25" s="102" t="str">
        <f>IF(AND(WSMTK!$AA$192&gt;=75,WSMTK!$AA$192&lt;=83.24),"P","")</f>
        <v/>
      </c>
      <c r="OV25" s="102" t="str">
        <f>IF(AND(WSMTK!$AA$192&gt;=83.25,WSMTK!$AA$192&lt;=91.4),"P","")</f>
        <v/>
      </c>
      <c r="OW25" s="102" t="str">
        <f>IF(AND(WSMTK!$AA$192&gt;=91.5,WSMTK!$AA$192&lt;=100),"P","")</f>
        <v/>
      </c>
      <c r="OX25" t="str">
        <f>IF(WSMTK!$AA$200&lt;74.9,"P","")</f>
        <v/>
      </c>
      <c r="OY25" s="102" t="str">
        <f>IF(AND(WSMTK!$AA$200&gt;=75,WSMTK!$AA$200&lt;=83.24),"P","")</f>
        <v/>
      </c>
      <c r="OZ25" s="102" t="str">
        <f>IF(AND(WSMTK!$AA$200&gt;=83.25,WSMTK!$AA$200&lt;=91.4),"P","")</f>
        <v/>
      </c>
      <c r="PA25" s="102" t="str">
        <f>IF(AND(WSMTK!$AA$200&gt;=91.5,WSMTK!$AA$200&lt;=100),"P","")</f>
        <v/>
      </c>
      <c r="PB25" t="str">
        <f>IF(WSIPA!$AA$6&lt;74.9,"P","")</f>
        <v/>
      </c>
      <c r="PC25" s="102" t="str">
        <f>IF(AND(WSIPA!$AA$6&gt;=75,WSIPA!$AA$6&lt;=83.24),"P","")</f>
        <v/>
      </c>
      <c r="PD25" s="102" t="str">
        <f>IF(AND(WSIPA!$AA$6&gt;=83.25,WSIPA!$AA$6&lt;=91.4),"P","")</f>
        <v/>
      </c>
      <c r="PE25" s="102" t="str">
        <f>IF(AND(WSIPA!$AA$6&gt;=91.5,WSIPA!$AA$6&lt;=100),"P","")</f>
        <v/>
      </c>
      <c r="PF25" t="str">
        <f>IF(WSIPA!$AA$14&lt;74.9,"P","")</f>
        <v/>
      </c>
      <c r="PG25" s="102" t="str">
        <f>IF(AND(WSIPA!$AA$14&gt;=75,WSIPA!$AA$14&lt;=83.24),"P","")</f>
        <v/>
      </c>
      <c r="PH25" s="102" t="str">
        <f>IF(AND(WSIPA!$AA$14&gt;=83.25,WSIPA!$AA$14&lt;=91.4),"P","")</f>
        <v/>
      </c>
      <c r="PI25" s="102" t="str">
        <f>IF(AND(WSIPA!$AA$14&gt;=91.5,WSIPA!$AA$14&lt;=100),"P","")</f>
        <v/>
      </c>
      <c r="PJ25" t="str">
        <f>IF(WSIPA!$AA$22&lt;74.9,"P","")</f>
        <v/>
      </c>
      <c r="PK25" s="102" t="str">
        <f>IF(AND(WSIPA!$AA$22&gt;=75,WSIPA!$AA$22&lt;=83.24),"P","")</f>
        <v/>
      </c>
      <c r="PL25" s="102" t="str">
        <f>IF(AND(WSIPA!$AA$22&gt;=83.25,WSIPA!$AA$22&lt;=91.4),"P","")</f>
        <v/>
      </c>
      <c r="PM25" s="102" t="str">
        <f>IF(AND(WSIPA!$AA$22&gt;=91.5,WSIPA!$AA$22&lt;=100),"P","")</f>
        <v/>
      </c>
      <c r="PN25" t="str">
        <f>IF(WSIPA!$AA$30&lt;74.9,"P","")</f>
        <v/>
      </c>
      <c r="PO25" s="102" t="str">
        <f>IF(AND(WSIPA!$AA$30&gt;=75,WSIPA!$AA$30&lt;=83.24),"P","")</f>
        <v/>
      </c>
      <c r="PP25" s="102" t="str">
        <f>IF(AND(WSIPA!$AA$30&gt;=83.25,WSIPA!$AA$30&lt;=91.4),"P","")</f>
        <v/>
      </c>
      <c r="PQ25" s="102" t="str">
        <f>IF(AND(WSIPA!$AA$30&gt;=91.5,WSIPA!$AA$30&lt;=100),"P","")</f>
        <v/>
      </c>
      <c r="PR25" t="str">
        <f>IF(WSIPA!$AA$38&lt;74.9,"P","")</f>
        <v/>
      </c>
      <c r="PS25" s="102" t="str">
        <f>IF(AND(WSIPA!$AA$38&gt;=75,WSIPA!$AA$38&lt;=83.24),"P","")</f>
        <v/>
      </c>
      <c r="PT25" s="102" t="str">
        <f>IF(AND(WSIPA!$AA$38&gt;=83.25,WSIPA!$AA$38&lt;=91.4),"P","")</f>
        <v/>
      </c>
      <c r="PU25" s="102" t="str">
        <f>IF(AND(WSIPA!$AA$38&gt;=91.5,WSIPA!$AA$38&lt;=100),"P","")</f>
        <v/>
      </c>
      <c r="PV25" t="str">
        <f>IF(WSIPA!$AA$46&lt;74.9,"P","")</f>
        <v/>
      </c>
      <c r="PW25" s="102" t="str">
        <f>IF(AND(WSIPA!$AA$46&gt;=75,WSIPA!$AA$46&lt;=83.24),"P","")</f>
        <v/>
      </c>
      <c r="PX25" s="102" t="str">
        <f>IF(AND(WSIPA!$AA$46&gt;=83.25,WSIPA!$AA$46&lt;=91.4),"P","")</f>
        <v/>
      </c>
      <c r="PY25" s="102" t="str">
        <f>IF(AND(WSIPA!$AA$46&gt;=91.5,WSIPA!$AA$46&lt;=100),"P","")</f>
        <v/>
      </c>
      <c r="PZ25" t="str">
        <f>IF(WSIPA!$AA$54&lt;74.9,"P","")</f>
        <v/>
      </c>
      <c r="QA25" s="102" t="str">
        <f>IF(AND(WSIPA!$AA$54&gt;=75,WSIPA!$AA$54&lt;=83.24),"P","")</f>
        <v/>
      </c>
      <c r="QB25" s="102" t="str">
        <f>IF(AND(WSIPA!$AA$54&gt;=83.25,WSIPA!$AA$54&lt;=91.4),"P","")</f>
        <v/>
      </c>
      <c r="QC25" s="102" t="str">
        <f>IF(AND(WSIPA!$AA$54&gt;=91.5,WSIPA!$AA$54&lt;=100),"P","")</f>
        <v/>
      </c>
      <c r="QD25" t="str">
        <f>IF(WSIPA!$AA$62&lt;74.9,"P","")</f>
        <v/>
      </c>
      <c r="QE25" s="102" t="str">
        <f>IF(AND(WSIPA!$AA$62&gt;=75,WSIPA!$AA$62&lt;=83.24),"P","")</f>
        <v/>
      </c>
      <c r="QF25" s="102" t="str">
        <f>IF(AND(WSIPA!$AA$62&gt;=83.25,WSIPA!$AA$62&lt;=91.4),"P","")</f>
        <v/>
      </c>
      <c r="QG25" s="102" t="str">
        <f>IF(AND(WSIPA!$AA$62&gt;=91.5,WSIPA!$AA$62&lt;=100),"P","")</f>
        <v/>
      </c>
      <c r="QH25" t="str">
        <f>IF(WSIPA!$AA$70&lt;74.9,"P","")</f>
        <v/>
      </c>
      <c r="QI25" s="102" t="str">
        <f>IF(AND(WSIPA!$AA$70&gt;=75,WSIPA!$AA$70&lt;=83.24),"P","")</f>
        <v/>
      </c>
      <c r="QJ25" s="102" t="str">
        <f>IF(AND(WSIPA!$AA$70&gt;=83.25,WSIPA!$AA$70&lt;=91.4),"P","")</f>
        <v/>
      </c>
      <c r="QK25" s="102" t="str">
        <f>IF(AND(WSIPA!$AA$70&gt;=91.5,WSIPA!$AA$70&lt;=100),"P","")</f>
        <v/>
      </c>
      <c r="QL25" t="str">
        <f>IF(WSIPA!$AA$78&lt;74.9,"P","")</f>
        <v/>
      </c>
      <c r="QM25" s="102" t="str">
        <f>IF(AND(WSIPA!$AA$78&gt;=75,WSIPA!$AA$78&lt;=83.24),"P","")</f>
        <v/>
      </c>
      <c r="QN25" s="102" t="str">
        <f>IF(AND(WSIPA!$AA$78&gt;=83.25,WSIPA!$AA$78&lt;=91.4),"P","")</f>
        <v/>
      </c>
      <c r="QO25" s="102" t="str">
        <f>IF(AND(WSIPA!$AA$78&gt;=91.5,WSIPA!$AA$78&lt;=100),"P","")</f>
        <v/>
      </c>
      <c r="QP25" t="str">
        <f>IF(WSIPA!$AA$86&lt;74.9,"P","")</f>
        <v/>
      </c>
      <c r="QQ25" s="102" t="str">
        <f>IF(AND(WSIPA!$AA$86&gt;=75,WSIPA!$AA$86&lt;=83.24),"P","")</f>
        <v/>
      </c>
      <c r="QR25" s="102" t="str">
        <f>IF(AND(WSIPA!$AA$86&gt;=83.25,WSIPA!$AA$86&lt;=91.4),"P","")</f>
        <v/>
      </c>
      <c r="QS25" s="102" t="str">
        <f>IF(AND(WSIPA!$AA$86&gt;=91.5,WSIPA!$AA$86&lt;=100),"P","")</f>
        <v/>
      </c>
      <c r="QT25" t="str">
        <f>IF(WSIPA!$AA$94&lt;74.9,"P","")</f>
        <v/>
      </c>
      <c r="QU25" s="102" t="str">
        <f>IF(AND(WSIPA!$AA$94&gt;=75,WSIPA!$AA$94&lt;=83.24),"P","")</f>
        <v/>
      </c>
      <c r="QV25" s="102" t="str">
        <f>IF(AND(WSIPA!$AA$94&gt;=83.25,WSIPA!$AA$94&lt;=91.4),"P","")</f>
        <v/>
      </c>
      <c r="QW25" s="102" t="str">
        <f>IF(AND(WSIPA!$AA$94&gt;=91.5,WSIPA!$AA$94&lt;=100),"P","")</f>
        <v/>
      </c>
      <c r="QX25" t="str">
        <f>IF(WSIPA!$AA$102&lt;74.9,"P","")</f>
        <v/>
      </c>
      <c r="QY25" s="102" t="str">
        <f>IF(AND(WSIPA!$AA$102&gt;=75,WSIPA!$AA$102&lt;=83.24),"P","")</f>
        <v/>
      </c>
      <c r="QZ25" s="102" t="str">
        <f>IF(AND(WSIPA!$AA$102&gt;=83.25,WSIPA!$AA$102&lt;=91.4),"P","")</f>
        <v/>
      </c>
      <c r="RA25" s="102" t="str">
        <f>IF(AND(WSIPA!$AA$102&gt;=91.5,WSIPA!$AA$102&lt;=100),"P","")</f>
        <v/>
      </c>
      <c r="RB25" t="str">
        <f>IF(WSIPS!$AA$6&lt;74.9,"P","")</f>
        <v/>
      </c>
      <c r="RC25" s="102" t="str">
        <f>IF(AND(WSIPS!$AA$6&gt;=75,WSIPS!$AA$6&lt;=83.24),"P","")</f>
        <v/>
      </c>
      <c r="RD25" s="102" t="str">
        <f>IF(AND(WSIPS!$AA$6&gt;=83.25,WSIPS!$AA$6&lt;=91.4),"P","")</f>
        <v/>
      </c>
      <c r="RE25" s="102" t="str">
        <f>IF(AND(WSIPS!$AA$6&gt;=91.5,WSIPS!$AA$6&lt;=100),"P","")</f>
        <v/>
      </c>
      <c r="RF25" t="str">
        <f>IF(WSIPS!$AA$14&lt;74.9,"P","")</f>
        <v/>
      </c>
      <c r="RG25" s="102" t="str">
        <f>IF(AND(WSIPS!$AA$14&gt;=75,WSIPS!$AA$14&lt;=83.24),"P","")</f>
        <v/>
      </c>
      <c r="RH25" s="102" t="str">
        <f>IF(AND(WSIPS!$AA$14&gt;=83.25,WSIPS!$AA$14&lt;=91.4),"P","")</f>
        <v/>
      </c>
      <c r="RI25" s="102" t="str">
        <f>IF(AND(WSIPS!$AA$14&gt;=91.5,WSIPS!$AA$14&lt;=100),"P","")</f>
        <v/>
      </c>
      <c r="RJ25" t="str">
        <f>IF(WSIPS!$AA$22&lt;74.9,"P","")</f>
        <v/>
      </c>
      <c r="RK25" s="102" t="str">
        <f>IF(AND(WSIPS!$AA$22&gt;=75,WSIPS!$AA$22&lt;=83.24),"P","")</f>
        <v/>
      </c>
      <c r="RL25" s="102" t="str">
        <f>IF(AND(WSIPS!$AA$22&gt;=83.25,WSIPS!$AA$22&lt;=91.4),"P","")</f>
        <v/>
      </c>
      <c r="RM25" s="102" t="str">
        <f>IF(AND(WSIPS!$AA$22&gt;=91.5,WSIPS!$AA$22&lt;=100),"P","")</f>
        <v/>
      </c>
      <c r="RN25" t="str">
        <f>IF(WSIPS!$AA$30&lt;74.9,"P","")</f>
        <v/>
      </c>
      <c r="RO25" s="102" t="str">
        <f>IF(AND(WSIPS!$AA$30&gt;=75,WSIPS!$AA$30&lt;=83.24),"P","")</f>
        <v/>
      </c>
      <c r="RP25" s="102" t="str">
        <f>IF(AND(WSIPS!$AA$30&gt;=83.25,WSIPS!$AA$30&lt;=91.4),"P","")</f>
        <v/>
      </c>
      <c r="RQ25" s="102" t="str">
        <f>IF(AND(WSIPS!$AA$30&gt;=91.5,WSIPS!$AA$30&lt;=100),"P","")</f>
        <v/>
      </c>
      <c r="RR25" t="str">
        <f>IF(WSIPS!$AA$38&lt;74.9,"P","")</f>
        <v/>
      </c>
      <c r="RS25" s="102" t="str">
        <f>IF(AND(WSIPS!$AA$38&gt;=75,WSIPS!$AA$38&lt;=83.24),"P","")</f>
        <v/>
      </c>
      <c r="RT25" s="102" t="str">
        <f>IF(AND(WSIPS!$AA$38&gt;=83.25,WSIPS!$AA$38&lt;=91.4),"P","")</f>
        <v/>
      </c>
      <c r="RU25" s="102" t="str">
        <f>IF(AND(WSIPS!$AA$38&gt;=91.5,WSIPS!$AA$38&lt;=100),"P","")</f>
        <v/>
      </c>
      <c r="RV25" t="str">
        <f>IF(WSIPS!$AA$46&lt;74.9,"P","")</f>
        <v/>
      </c>
      <c r="RW25" s="102" t="str">
        <f>IF(AND(WSIPS!$AA$46&gt;=75,WSIPS!$AA$46&lt;=83.24),"P","")</f>
        <v/>
      </c>
      <c r="RX25" s="102" t="str">
        <f>IF(AND(WSIPS!$AA$46&gt;=83.25,WSIPS!$AA$46&lt;=91.4),"P","")</f>
        <v/>
      </c>
      <c r="RY25" s="102" t="str">
        <f>IF(AND(WSIPS!$AA$46&gt;=91.5,WSIPS!$AA$46&lt;=100),"P","")</f>
        <v/>
      </c>
      <c r="RZ25" t="str">
        <f>IF(WSIPS!$AA$54&lt;74.9,"P","")</f>
        <v/>
      </c>
      <c r="SA25" s="102" t="str">
        <f>IF(AND(WSIPS!$AA$54&gt;=75,WSIPS!$AA$54&lt;=83.24),"P","")</f>
        <v/>
      </c>
      <c r="SB25" s="102" t="str">
        <f>IF(AND(WSIPS!$AA$54&gt;=83.25,WSIPS!$AA$54&lt;=91.4),"P","")</f>
        <v/>
      </c>
      <c r="SC25" s="102" t="str">
        <f>IF(AND(WSIPS!$AA$54&gt;=91.5,WSIPS!$AA$54&lt;=100),"P","")</f>
        <v/>
      </c>
      <c r="SD25" t="str">
        <f>IF(WSIPS!$AA$62&lt;74.9,"P","")</f>
        <v/>
      </c>
      <c r="SE25" s="102" t="str">
        <f>IF(AND(WSIPS!$AA$62&gt;=75,WSIPS!$AA$62&lt;=83.24),"P","")</f>
        <v/>
      </c>
      <c r="SF25" s="102" t="str">
        <f>IF(AND(WSIPS!$AA$62&gt;=83.25,WSIPS!$AA$62&lt;=91.4),"P","")</f>
        <v/>
      </c>
      <c r="SG25" s="102" t="str">
        <f>IF(AND(WSIPS!$AA$62&gt;=91.5,WSIPS!$AA$62&lt;=100),"P","")</f>
        <v/>
      </c>
      <c r="SH25" t="str">
        <f>IF(WSIPS!$AA$70&lt;74.9,"P","")</f>
        <v/>
      </c>
      <c r="SI25" s="102" t="str">
        <f>IF(AND(WSIPS!$AA$70&gt;=75,WSIPS!$AA$70&lt;=83.24),"P","")</f>
        <v/>
      </c>
      <c r="SJ25" s="102" t="str">
        <f>IF(AND(WSIPS!$AA$70&gt;=83.25,WSIPS!$AA$70&lt;=91.4),"P","")</f>
        <v/>
      </c>
      <c r="SK25" s="102" t="str">
        <f>IF(AND(WSIPS!$AA$70&gt;=91.5,WSIPS!$AA$70&lt;=100),"P","")</f>
        <v/>
      </c>
      <c r="SL25" t="str">
        <f>IF(WSIPS!$AA$78&lt;74.9,"P","")</f>
        <v/>
      </c>
      <c r="SM25" s="102" t="str">
        <f>IF(AND(WSIPS!$AA$78&gt;=75,WSIPS!$AA$78&lt;=83.24),"P","")</f>
        <v/>
      </c>
      <c r="SN25" s="102" t="str">
        <f>IF(AND(WSIPS!$AA$78&gt;=83.25,WSIPS!$AA$78&lt;=91.4),"P","")</f>
        <v/>
      </c>
      <c r="SO25" s="102" t="str">
        <f>IF(AND(WSIPS!$AA$78&gt;=91.5,WSIPS!$AA$78&lt;=100),"P","")</f>
        <v/>
      </c>
      <c r="SP25" t="str">
        <f>IF(WSIPS!$AA$86&lt;74.9,"P","")</f>
        <v/>
      </c>
      <c r="SQ25" s="102" t="str">
        <f>IF(AND(WSIPS!$AA$86&gt;=75,WSIPS!$AA$86&lt;=83.24),"P","")</f>
        <v/>
      </c>
      <c r="SR25" s="102" t="str">
        <f>IF(AND(WSIPS!$AA$86&gt;=83.25,WSIPS!$AA$86&lt;=91.4),"P","")</f>
        <v/>
      </c>
      <c r="SS25" s="102" t="str">
        <f>IF(AND(WSIPS!$AA$86&gt;=91.5,WSIPS!$AA$86&lt;=100),"P","")</f>
        <v/>
      </c>
      <c r="ST25" t="str">
        <f>IF(WSIPS!$AA$94&lt;74.9,"P","")</f>
        <v/>
      </c>
      <c r="SU25" s="102" t="str">
        <f>IF(AND(WSIPS!$AA$94&gt;=75,WSIPS!$AA$94&lt;=83.24),"P","")</f>
        <v/>
      </c>
      <c r="SV25" s="102" t="str">
        <f>IF(AND(WSIPS!$AA$94&gt;=83.25,WSIPS!$AA$94&lt;=91.4),"P","")</f>
        <v/>
      </c>
      <c r="SW25" s="102" t="str">
        <f>IF(AND(WSIPS!$AA$94&gt;=91.5,WSIPS!$AA$94&lt;=100),"P","")</f>
        <v/>
      </c>
      <c r="SX25" t="str">
        <f>IF(WSIPS!$AA$102&lt;74.9,"P","")</f>
        <v/>
      </c>
      <c r="SY25" s="102" t="str">
        <f>IF(AND(WSIPS!$AA$102&gt;=75,WSIPS!$AA$102&lt;=83.24),"P","")</f>
        <v/>
      </c>
      <c r="SZ25" s="102" t="str">
        <f>IF(AND(WSIPS!$AA$102&gt;=83.25,WSIPS!$AA$102&lt;=91.4),"P","")</f>
        <v/>
      </c>
      <c r="TA25" s="102" t="str">
        <f>IF(AND(WSIPS!$AA$102&gt;=91.5,WSIPS!$AA$102&lt;=100),"P","")</f>
        <v/>
      </c>
      <c r="TB25" t="str">
        <f>IF(WSSBK!$AA$6&lt;74.9,"P","")</f>
        <v/>
      </c>
      <c r="TC25" s="102" t="str">
        <f>IF(AND(WSSBK!$AA$6&gt;=75,WSSBK!$AA$6&lt;=83.24),"P","")</f>
        <v/>
      </c>
      <c r="TD25" s="102" t="str">
        <f>IF(AND(WSSBK!$AA$6&gt;=83.25,WSSBK!$AA$6&lt;=91.4),"P","")</f>
        <v/>
      </c>
      <c r="TE25" s="102" t="str">
        <f>IF(AND(WSSBK!$AA$6&gt;=91.5,WSSBK!$AA$6&lt;=100),"P","")</f>
        <v>P</v>
      </c>
      <c r="TF25" t="str">
        <f>IF(WSSBK!$AA$16&lt;74.9,"P","")</f>
        <v/>
      </c>
      <c r="TG25" s="102" t="str">
        <f>IF(AND(WSSBK!$AA$16&gt;=75,WSSBK!$AA$16&lt;=83.24),"P","")</f>
        <v/>
      </c>
      <c r="TH25" s="102" t="str">
        <f>IF(AND(WSSBK!$AA$16&gt;=83.25,WSSBK!$AA$16&lt;=91.4),"P","")</f>
        <v/>
      </c>
      <c r="TI25" s="102" t="str">
        <f>IF(AND(WSSBK!$AA$16&gt;=91.5,WSSBK!$AA$16&lt;=100),"P","")</f>
        <v>P</v>
      </c>
      <c r="TJ25" t="str">
        <f>IF(WSSBK!$AA$26&lt;74.9,"P","")</f>
        <v/>
      </c>
      <c r="TK25" s="102" t="str">
        <f>IF(AND(WSSBK!$AA$26&gt;=75,WSSBK!$AA$26&lt;=83.24),"P","")</f>
        <v/>
      </c>
      <c r="TL25" s="102" t="str">
        <f>IF(AND(WSSBK!$AA$26&gt;=83.25,WSSBK!$AA$26&lt;=91.4),"P","")</f>
        <v/>
      </c>
      <c r="TM25" s="102" t="str">
        <f>IF(AND(WSSBK!$AA$26&gt;=91.5,WSSBK!$AA$26&lt;=100),"P","")</f>
        <v>P</v>
      </c>
      <c r="TN25" t="str">
        <f>IF(WSSBK!$AA$36&lt;74.9,"P","")</f>
        <v/>
      </c>
      <c r="TO25" s="102" t="str">
        <f>IF(AND(WSSBK!$AA$36&gt;=75,WSSBK!$AA$36&lt;=83.24),"P","")</f>
        <v/>
      </c>
      <c r="TP25" s="102" t="str">
        <f>IF(AND(WSSBK!$AA$36&gt;=83.25,WSSBK!$AA$36&lt;=91.4),"P","")</f>
        <v/>
      </c>
      <c r="TQ25" s="102" t="str">
        <f>IF(AND(WSSBK!$AA$36&gt;=91.5,WSSBK!$AA$36&lt;=100),"P","")</f>
        <v>P</v>
      </c>
      <c r="TR25" t="str">
        <f>IF(WSSBK!$AA$46&lt;74.9,"P","")</f>
        <v/>
      </c>
      <c r="TS25" s="102" t="str">
        <f>IF(AND(WSSBK!$AA$46&gt;=75,WSSBK!$AA$46&lt;=83.24),"P","")</f>
        <v/>
      </c>
      <c r="TT25" s="102" t="str">
        <f>IF(AND(WSSBK!$AA$46&gt;=83.25,WSSBK!$AA$46&lt;=91.4),"P","")</f>
        <v/>
      </c>
      <c r="TU25" s="102" t="str">
        <f>IF(AND(WSSBK!$AA$46&gt;=91.5,WSSBK!$AA$46&lt;=100),"P","")</f>
        <v>P</v>
      </c>
      <c r="TV25" t="str">
        <f>IF(WSSBK!$AA$58&lt;74.9,"P","")</f>
        <v/>
      </c>
      <c r="TW25" s="102" t="str">
        <f>IF(AND(WSSBK!$AA$58&gt;=75,WSSBK!$AA$58&lt;=83.24),"P","")</f>
        <v/>
      </c>
      <c r="TX25" s="102" t="str">
        <f>IF(AND(WSSBK!$AA$58&gt;=83.25,WSSBK!$AA$58&lt;=91.4),"P","")</f>
        <v/>
      </c>
      <c r="TY25" s="102" t="str">
        <f>IF(AND(WSSBK!$AA$58&gt;=91.5,WSSBK!$AA$58&lt;=100),"P","")</f>
        <v>P</v>
      </c>
      <c r="TZ25" t="str">
        <f>IF(WSSBK!$AA$68&lt;74.9,"P","")</f>
        <v/>
      </c>
      <c r="UA25" s="102" t="str">
        <f>IF(AND(WSSBK!$AA$68&gt;=75,WSSBK!$AA$68&lt;=83.24),"P","")</f>
        <v/>
      </c>
      <c r="UB25" s="102" t="str">
        <f>IF(AND(WSSBK!$AA$68&gt;=83.25,WSSBK!$AA$68&lt;=91.4),"P","")</f>
        <v/>
      </c>
      <c r="UC25" s="102" t="str">
        <f>IF(AND(WSSBK!$AA$68&gt;=91.5,WSSBK!$AA$68&lt;=100),"P","")</f>
        <v>P</v>
      </c>
      <c r="UD25" t="str">
        <f>IF(WSSBK!$AA$77&lt;74.9,"P","")</f>
        <v/>
      </c>
      <c r="UE25" s="102" t="str">
        <f>IF(AND(WSSBK!$AA$77&gt;=75,WSSBK!$AA$77&lt;=83.24),"P","")</f>
        <v/>
      </c>
      <c r="UF25" s="102" t="str">
        <f>IF(AND(WSSBK!$AA$77&gt;=83.25,WSSBK!$AA$77&lt;=91.4),"P","")</f>
        <v/>
      </c>
      <c r="UG25" s="102" t="str">
        <f>IF(AND(WSSBK!$AA$77&gt;=91.5,WSSBK!$AA$77&lt;=100),"P","")</f>
        <v>P</v>
      </c>
      <c r="UH25" t="str">
        <f>IF(WSSBK!$AA$87&lt;74.9,"P","")</f>
        <v/>
      </c>
      <c r="UI25" s="102" t="str">
        <f>IF(AND(WSSBK!$AA$87&gt;=75,WSSBK!$AA$87&lt;=83.24),"P","")</f>
        <v/>
      </c>
      <c r="UJ25" s="102" t="str">
        <f>IF(AND(WSSBK!$AA$87&gt;=83.25,WSSBK!$AA$87&lt;=91.4),"P","")</f>
        <v/>
      </c>
      <c r="UK25" s="102" t="str">
        <f>IF(AND(WSSBK!$AA$87&gt;=91.5,WSSBK!$AA$87&lt;=100),"P","")</f>
        <v/>
      </c>
      <c r="UL25" t="str">
        <f>IF(WSSBK!$AA$95&lt;74.9,"P","")</f>
        <v/>
      </c>
      <c r="UM25" s="102" t="str">
        <f>IF(AND(WSSBK!$AA$95&gt;=75,WSSBK!$AA$95&lt;=83.24),"P","")</f>
        <v/>
      </c>
      <c r="UN25" s="102" t="str">
        <f>IF(AND(WSSBK!$AA$95&gt;=83.25,WSSBK!$AA$95&lt;=91.4),"P","")</f>
        <v/>
      </c>
      <c r="UO25" s="102" t="str">
        <f>IF(AND(WSSBK!$AA$95&gt;=91.5,WSSBK!$AA$95&lt;=100),"P","")</f>
        <v/>
      </c>
      <c r="UP25" t="str">
        <f>IF(WSSBK!$AA$103&lt;74.9,"P","")</f>
        <v/>
      </c>
      <c r="UQ25" s="102" t="str">
        <f>IF(AND(WSSBK!$AA$103&gt;=75,WSSBK!$AA$103&lt;=83.24),"P","")</f>
        <v/>
      </c>
      <c r="UR25" s="102" t="str">
        <f>IF(AND(WSSBK!$AA$103&gt;=83.25,WSSBK!$AA$103&lt;=91.4),"P","")</f>
        <v/>
      </c>
      <c r="US25" s="102" t="str">
        <f>IF(AND(WSSBK!$AA$103&gt;=91.5,WSSBK!$AA$103&lt;=100),"P","")</f>
        <v/>
      </c>
      <c r="UT25" t="str">
        <f>IF(WSSBK!$AA$111&lt;74.9,"P","")</f>
        <v/>
      </c>
      <c r="UU25" s="102" t="str">
        <f>IF(AND(WSSBK!$AA$111&gt;=75,WSSBK!$AA$111&lt;=83.24),"P","")</f>
        <v/>
      </c>
      <c r="UV25" s="102" t="str">
        <f>IF(AND(WSSBK!$AA$111&gt;=83.25,WSSBK!$AA$111&lt;=91.4),"P","")</f>
        <v/>
      </c>
      <c r="UW25" s="102" t="str">
        <f>IF(AND(WSSBK!$AA$111&gt;=91.5,WSSBK!$AA$111&lt;=100),"P","")</f>
        <v/>
      </c>
      <c r="UX25" t="str">
        <f>IF(WSSBK!$AA$119&lt;74.9,"P","")</f>
        <v/>
      </c>
      <c r="UY25" s="102" t="str">
        <f>IF(AND(WSSBK!$AA$119&gt;=75,WSSBK!$AA$119&lt;=83.24),"P","")</f>
        <v/>
      </c>
      <c r="UZ25" s="102" t="str">
        <f>IF(AND(WSSBK!$AA$119&gt;=83.25,WSSBK!$AA$119&lt;=91.4),"P","")</f>
        <v/>
      </c>
      <c r="VA25" s="102" t="str">
        <f>IF(AND(WSSBK!$AA$119&gt;=91.5,WSSBK!$AA$119&lt;=100),"P","")</f>
        <v/>
      </c>
      <c r="VB25" s="102" t="str">
        <f>IF(AND(WSPENJAS!$AA$6&gt;0,WSPENJAS!$AA$6&lt;=74.9),"P","")</f>
        <v/>
      </c>
      <c r="VC25" s="102" t="str">
        <f>IF(AND(WSPENJAS!$AA$6&gt;=75,WSPENJAS!$AA$6&lt;=83.24),"P","")</f>
        <v/>
      </c>
      <c r="VD25" s="102" t="str">
        <f>IF(AND(WSPENJAS!$AA$6&gt;=83.25,WSPENJAS!$AA$6&lt;=91.4),"P","")</f>
        <v/>
      </c>
      <c r="VE25" s="102" t="str">
        <f>IF(AND(WSPENJAS!$AA$6&gt;=91.5,WSPENJAS!$AA$6&lt;=100),"P","")</f>
        <v/>
      </c>
      <c r="VF25" s="102" t="str">
        <f>IF(AND(WSPENJAS!$AA$7&gt;0,WSPENJAS!$AA$7&lt;=74.9),"P","")</f>
        <v/>
      </c>
      <c r="VG25" s="102" t="str">
        <f>IF(AND(WSPENJAS!$AA$7&gt;=75,WSPENJAS!$AA$7&lt;=83.24),"P","")</f>
        <v/>
      </c>
      <c r="VH25" s="102" t="str">
        <f>IF(AND(WSPENJAS!$AA$7&gt;=83.25,WSPENJAS!$AA$7&lt;=91.4),"P","")</f>
        <v/>
      </c>
      <c r="VI25" s="102" t="str">
        <f>IF(AND(WSPENJAS!$AA$7&gt;=91.5,WSPENJAS!$AA$7&lt;=100),"P","")</f>
        <v/>
      </c>
      <c r="VJ25" s="102" t="str">
        <f>IF(AND(WSPENJAS!$AA$8&gt;0,WSPENJAS!$AA$8&lt;=74.9),"P","")</f>
        <v/>
      </c>
      <c r="VK25" s="102" t="str">
        <f>IF(AND(WSPENJAS!$AA$8&gt;=75,WSPENJAS!$AA$8&lt;=83.24),"P","")</f>
        <v/>
      </c>
      <c r="VL25" s="102" t="str">
        <f>IF(AND(WSPENJAS!$AA$8&gt;=83.25,WSPENJAS!$AA$8&lt;=91.4),"P","")</f>
        <v/>
      </c>
      <c r="VM25" s="102" t="str">
        <f>IF(AND(WSPENJAS!$AA$8&gt;=91.5,WSPENJAS!$AA$8&lt;=100),"P","")</f>
        <v>P</v>
      </c>
      <c r="VN25" s="102" t="str">
        <f>IF(AND(WSPENJAS!$AA$9&gt;0,WSPENJAS!$AA$9&lt;=74.9),"P","")</f>
        <v/>
      </c>
      <c r="VO25" s="102" t="str">
        <f>IF(AND(WSPENJAS!$AA$9&gt;=75,WSPENJAS!$AA$9&lt;=83.24),"P","")</f>
        <v/>
      </c>
      <c r="VP25" s="102" t="str">
        <f>IF(AND(WSPENJAS!$AA$9&gt;=83.25,WSPENJAS!$AA$9&lt;=91.4),"P","")</f>
        <v/>
      </c>
      <c r="VQ25" s="102" t="str">
        <f>IF(AND(WSPENJAS!$AA$9&gt;=91.5,WSPENJAS!$AA$9&lt;=100),"P","")</f>
        <v>P</v>
      </c>
      <c r="VR25" s="102" t="str">
        <f>IF(AND(WSPENJAS!$AA$10&gt;0,WSPENJAS!$AA$10&lt;=74.9),"P","")</f>
        <v/>
      </c>
      <c r="VS25" s="102" t="str">
        <f>IF(AND(WSPENJAS!$AA$10&gt;=75,WSPENJAS!$AA$10&lt;=83.24),"P","")</f>
        <v/>
      </c>
      <c r="VT25" s="102" t="str">
        <f>IF(AND(WSPENJAS!$AA$10&gt;=83.25,WSPENJAS!$AA$10&lt;=91.4),"P","")</f>
        <v/>
      </c>
      <c r="VU25" s="102" t="str">
        <f>IF(AND(WSPENJAS!$AA$10&gt;=91.5,WSPENJAS!$AA$10&lt;=100),"P","")</f>
        <v>P</v>
      </c>
      <c r="VV25" s="102" t="str">
        <f>IF(AND(WSPENJAS!$AA$11&gt;0,WSPENJAS!$AA$11&lt;=74.9),"P","")</f>
        <v/>
      </c>
      <c r="VW25" s="102" t="str">
        <f>IF(AND(WSPENJAS!$AA$411&gt;=75,WSPENJAS!$AA$411&lt;=83.24),"P","")</f>
        <v/>
      </c>
      <c r="VX25" s="102" t="str">
        <f>IF(AND(WSPENJAS!$AA$411&gt;=83.25,WSPENJAS!$AA$411&lt;=91.4),"P","")</f>
        <v/>
      </c>
      <c r="VY25" s="102" t="str">
        <f>IF(AND(WSPENJAS!$AA$411&gt;=91.5,WSPENJAS!$AA$411&lt;=100),"P","")</f>
        <v/>
      </c>
      <c r="VZ25" s="102" t="str">
        <f>IF(AND(WSPENJAS!$AA$12&gt;0,WSPENJAS!$AA$12&lt;=74.9),"P","")</f>
        <v/>
      </c>
      <c r="WA25" s="102" t="str">
        <f>IF(AND(WSPENJAS!$AA$12&gt;=75,WSPENJAS!$AA$12&lt;=83.24),"P","")</f>
        <v/>
      </c>
      <c r="WB25" s="102" t="str">
        <f>IF(AND(WSPENJAS!$AA$12&gt;=83.25,WSPENJAS!$AA$12&lt;=91.4),"P","")</f>
        <v/>
      </c>
      <c r="WC25" s="102" t="str">
        <f>IF(AND(WSPENJAS!$AA$12&gt;=91.5,WSPENJAS!$AA$12&lt;=100),"P","")</f>
        <v>P</v>
      </c>
      <c r="WD25" s="102" t="str">
        <f>IF(AND(WSPENJAS!$AA$13&gt;0,WSPENJAS!$AA$13&lt;=74.9),"P","")</f>
        <v/>
      </c>
      <c r="WE25" s="102" t="str">
        <f>IF(AND(WSPENJAS!$AA$13&gt;=75,WSPENJAS!$AA$13&lt;=83.24),"P","")</f>
        <v/>
      </c>
      <c r="WF25" s="102" t="str">
        <f>IF(AND(WSPENJAS!$AA$13&gt;=83.25,WSPENJAS!$AA$13&lt;=91.4),"P","")</f>
        <v/>
      </c>
      <c r="WG25" s="102" t="str">
        <f>IF(AND(WSPENJAS!$AA$13&gt;=91.5,WSPENJAS!$AA$13&lt;=100),"P","")</f>
        <v>P</v>
      </c>
      <c r="WH25" s="102" t="str">
        <f>IF(AND(WSPENJAS!$AA$14&gt;0,WSPENJAS!$AA$14&lt;=74.9),"P","")</f>
        <v/>
      </c>
      <c r="WI25" s="102" t="str">
        <f>IF(AND(WSPENJAS!$AA$14&gt;=75,WSPENJAS!$AA$14&lt;=83.24),"P","")</f>
        <v/>
      </c>
      <c r="WJ25" s="102" t="str">
        <f>IF(AND(WSPENJAS!$AA$14&gt;=83.25,WSPENJAS!$AA$14&lt;=91.4),"P","")</f>
        <v/>
      </c>
      <c r="WK25" s="102" t="str">
        <f>IF(AND(WSPENJAS!$AA$14&gt;=91.5,WSPENJAS!$AA$14&lt;=100),"P","")</f>
        <v>P</v>
      </c>
      <c r="WL25" s="102" t="str">
        <f>IF(AND(WSPENJAS!$AA$15&gt;0,WSPENJAS!$AA$15&lt;=74.9),"P","")</f>
        <v/>
      </c>
      <c r="WM25" s="102" t="str">
        <f>IF(AND(WSPENJAS!$AA$15&gt;=75,WSPENJAS!$AA$15&lt;=83.24),"P","")</f>
        <v/>
      </c>
      <c r="WN25" s="102" t="str">
        <f>IF(AND(WSPENJAS!$AA$15&gt;=83.25,WSPENJAS!$AA$15&lt;=91.4),"P","")</f>
        <v/>
      </c>
      <c r="WO25" s="102" t="str">
        <f>IF(AND(WSPENJAS!$AA$15&gt;=91.5,WSPENJAS!$AA$15&lt;=100),"P","")</f>
        <v>P</v>
      </c>
      <c r="WP25" s="102" t="str">
        <f>IF(AND(WSPENJAS!$AA$16&gt;0,WSPENJAS!$AA$16&lt;=74.9),"P","")</f>
        <v/>
      </c>
      <c r="WQ25" s="102" t="str">
        <f>IF(AND(WSPENJAS!$AA$16&gt;=75,WSPENJAS!$AA$16&lt;=83.24),"P","")</f>
        <v/>
      </c>
      <c r="WR25" s="102" t="str">
        <f>IF(AND(WSPENJAS!$AA$16&gt;=83.25,WSPENJAS!$AA$16&lt;=91.4),"P","")</f>
        <v/>
      </c>
      <c r="WS25" s="102" t="str">
        <f>IF(AND(WSPENJAS!$AA$16&gt;=91.5,WSPENJAS!$AA$16&lt;=100),"P","")</f>
        <v/>
      </c>
      <c r="WT25" s="102" t="str">
        <f>IF(AND(WSPENJAS!$AA$17&gt;0,WSPENJAS!$AA$17&lt;=74.9),"P","")</f>
        <v/>
      </c>
      <c r="WU25" s="102" t="str">
        <f>IF(AND(WSPENJAS!$AA$17&gt;=75,WSPENJAS!$AA$17&lt;=83.24),"P","")</f>
        <v/>
      </c>
      <c r="WV25" s="102" t="str">
        <f>IF(AND(WSPENJAS!$AA$17&gt;=83.25,WSPENJAS!$AA$17&lt;=91.4),"P","")</f>
        <v/>
      </c>
      <c r="WW25" s="102" t="str">
        <f>IF(AND(WSPENJAS!$AA$17&gt;=91.5,WSPENJAS!$AA$17&lt;=100),"P","")</f>
        <v/>
      </c>
      <c r="WX25" s="102" t="str">
        <f>IF(AND(WSPENJAS!$AA$18&gt;0,WSPENJAS!$AA$18&lt;=74.9),"P","")</f>
        <v/>
      </c>
      <c r="WY25" s="102" t="str">
        <f>IF(AND(WSPENJAS!$AA$18&gt;=75,WSPENJAS!$AA$18&lt;=83.24),"P","")</f>
        <v/>
      </c>
      <c r="WZ25" s="102" t="str">
        <f>IF(AND(WSPENJAS!$AA$18&gt;=83.25,WSPENJAS!$AA$18&lt;=91.4),"P","")</f>
        <v/>
      </c>
      <c r="XA25" s="102" t="str">
        <f>IF(AND(WSPENJAS!$AA$18&gt;=91.5,WSPENJAS!$AA$18&lt;=100),"P","")</f>
        <v/>
      </c>
      <c r="XB25" s="102" t="str">
        <f>IF(AND(WSPENJAS!$AA$19&gt;0,WSPENJAS!$AA$19&lt;=74.9),"P","")</f>
        <v/>
      </c>
      <c r="XC25" s="102" t="str">
        <f>IF(AND(WSPENJAS!$AA$19&gt;=75,WSPENJAS!$AA$19&lt;=83.24),"P","")</f>
        <v/>
      </c>
      <c r="XD25" s="102" t="str">
        <f>IF(AND(WSPENJAS!$AA$19&gt;=83.25,WSPENJAS!$AA$19&lt;=91.4),"P","")</f>
        <v/>
      </c>
      <c r="XE25" s="102" t="str">
        <f>IF(AND(WSPENJAS!$AA$19&gt;=91.5,WSPENJAS!$AA$19&lt;=100),"P","")</f>
        <v/>
      </c>
      <c r="XF25" s="102" t="str">
        <f>IF(AND(WSPENJAS!$AA$20&gt;0,WSPENJAS!$AA$20&lt;=74.9),"P","")</f>
        <v/>
      </c>
      <c r="XG25" s="102" t="str">
        <f>IF(AND(WSPENJAS!$AA$20&gt;=75,WSPENJAS!$AA$20&lt;=83.24),"P","")</f>
        <v/>
      </c>
      <c r="XH25" s="102" t="str">
        <f>IF(AND(WSPENJAS!$AA$20&gt;=83.25,WSPENJAS!$AA$20&lt;=91.4),"P","")</f>
        <v/>
      </c>
      <c r="XI25" s="102" t="str">
        <f>IF(AND(WSPENJAS!$AA$20&gt;=91.5,WSPENJAS!$AA$20&lt;=100),"P","")</f>
        <v/>
      </c>
      <c r="XJ25" s="102" t="str">
        <f>IF(AND(WSPENJAS!$AA$21&gt;0,WSPENJAS!$AA$21&lt;=74.9),"P","")</f>
        <v/>
      </c>
      <c r="XK25" s="102" t="str">
        <f>IF(AND(WSPENJAS!$AA$21&gt;=75,WSPENJAS!$AA$21&lt;=83.24),"P","")</f>
        <v/>
      </c>
      <c r="XL25" s="102" t="str">
        <f>IF(AND(WSPENJAS!$AA$21&gt;=83.25,WSPENJAS!$AA$21&lt;=91.4),"P","")</f>
        <v/>
      </c>
      <c r="XM25" s="102" t="str">
        <f>IF(AND(WSPENJAS!$AA$21&gt;=91.5,WSPENJAS!$AA$21&lt;=100),"P","")</f>
        <v/>
      </c>
      <c r="XN25" t="str">
        <f>IF(WSJAWA!$AA$6&lt;74.9,"P","")</f>
        <v/>
      </c>
      <c r="XO25" s="102" t="str">
        <f>IF(AND(WSJAWA!$AA$6&gt;=75,WSJAWA!$AA$6&lt;=83.24),"P","")</f>
        <v/>
      </c>
      <c r="XP25" s="102" t="str">
        <f>IF(AND(WSJAWA!$AA$6&gt;=83.25,WSJAWA!$AA$6&lt;=91.4),"P","")</f>
        <v/>
      </c>
      <c r="XQ25" s="102" t="str">
        <f>IF(AND(WSJAWA!$AA$6&gt;=91.5,WSJAWA!$AA$6&lt;=100),"P","")</f>
        <v>P</v>
      </c>
      <c r="XR25" t="str">
        <f>IF(WSJAWA!$AA$14&lt;74.9,"P","")</f>
        <v/>
      </c>
      <c r="XS25" s="102" t="str">
        <f>IF(AND(WSJAWA!$AA$14&gt;=75,WSJAWA!$AA$14&lt;=83.24),"P","")</f>
        <v/>
      </c>
      <c r="XT25" s="102" t="str">
        <f>IF(AND(WSJAWA!$AA$14&gt;=83.25,WSJAWA!$AA$14&lt;=91.4),"P","")</f>
        <v/>
      </c>
      <c r="XU25" s="102" t="str">
        <f>IF(AND(WSJAWA!$AA$14&gt;=91.5,WSJAWA!$AA$14&lt;=100),"P","")</f>
        <v>P</v>
      </c>
      <c r="XV25" t="str">
        <f>IF(WSJAWA!$AA$22&lt;74.9,"P","")</f>
        <v/>
      </c>
      <c r="XW25" s="102" t="str">
        <f>IF(AND(WSJAWA!$AA$22&gt;=75,WSJAWA!$AA$22&lt;=83.24),"P","")</f>
        <v/>
      </c>
      <c r="XX25" s="102" t="str">
        <f>IF(AND(WSJAWA!$AA$22&gt;=83.25,WSJAWA!$AA$22&lt;=91.4),"P","")</f>
        <v/>
      </c>
      <c r="XY25" s="102" t="str">
        <f>IF(AND(WSJAWA!$AA$22&gt;=91.5,WSJAWA!$AA$22&lt;=100),"P","")</f>
        <v>P</v>
      </c>
      <c r="XZ25" t="str">
        <f>IF(WSJAWA!$AA$30&lt;74.9,"P","")</f>
        <v/>
      </c>
      <c r="YA25" s="102" t="str">
        <f>IF(AND(WSJAWA!$AA$30&gt;=75,WSJAWA!$AA$30&lt;=83.24),"P","")</f>
        <v/>
      </c>
      <c r="YB25" s="102" t="str">
        <f>IF(AND(WSJAWA!$AA$30&gt;=83.25,WSJAWA!$AA$30&lt;=91.4),"P","")</f>
        <v/>
      </c>
      <c r="YC25" s="102" t="str">
        <f>IF(AND(WSJAWA!$AA$30&gt;=91.5,WSJAWA!$AA$30&lt;=100),"P","")</f>
        <v>P</v>
      </c>
      <c r="YD25" t="str">
        <f>IF(WSJAWA!$AA$38&lt;74.9,"P","")</f>
        <v/>
      </c>
      <c r="YE25" s="102" t="str">
        <f>IF(AND(WSJAWA!$AA$38&gt;=75,WSJAWA!$AA$38&lt;=83.24),"P","")</f>
        <v/>
      </c>
      <c r="YF25" s="102" t="str">
        <f>IF(AND(WSJAWA!$AA$38&gt;=83.25,WSJAWA!$AA$38&lt;=91.4),"P","")</f>
        <v/>
      </c>
      <c r="YG25" s="102" t="str">
        <f>IF(AND(WSJAWA!$AA$38&gt;=91.5,WSJAWA!$AA$38&lt;=100),"P","")</f>
        <v>P</v>
      </c>
      <c r="YH25" t="str">
        <f>IF(WSJAWA!$AA$46&lt;74.9,"P","")</f>
        <v/>
      </c>
      <c r="YI25" s="102" t="str">
        <f>IF(AND(WSJAWA!$AA$46&gt;=75,WSJAWA!$AA$46&lt;=83.24),"P","")</f>
        <v>P</v>
      </c>
      <c r="YJ25" s="102" t="str">
        <f>IF(AND(WSJAWA!$AA$46&gt;=83.25,WSJAWA!$AA$46&lt;=91.4),"P","")</f>
        <v/>
      </c>
      <c r="YK25" s="102" t="str">
        <f>IF(AND(WSJAWA!$AA$46&gt;=91.5,WSJAWA!$AA$46&lt;=100),"P","")</f>
        <v/>
      </c>
      <c r="YL25" t="str">
        <f>IF(WSJAWA!$AA$54&lt;74.9,"P","")</f>
        <v/>
      </c>
      <c r="YM25" s="102" t="str">
        <f>IF(AND(WSJAWA!$AA$54&gt;=75,WSJAWA!$AA$54&lt;=83.24),"P","")</f>
        <v/>
      </c>
      <c r="YN25" s="102" t="str">
        <f>IF(AND(WSJAWA!$AA$54&gt;=83.25,WSJAWA!$AA$54&lt;=91.4),"P","")</f>
        <v/>
      </c>
      <c r="YO25" s="102" t="str">
        <f>IF(AND(WSJAWA!$AA$54&gt;=91.5,WSJAWA!$AA$54&lt;=100),"P","")</f>
        <v>P</v>
      </c>
      <c r="YP25" t="str">
        <f>IF(WSJAWA!$AA$62&lt;74.9,"P","")</f>
        <v/>
      </c>
      <c r="YQ25" s="102" t="str">
        <f>IF(AND(WSJAWA!$AA$62&gt;=75,WSJAWA!$AA$62&lt;=83.24),"P","")</f>
        <v/>
      </c>
      <c r="YR25" s="102" t="str">
        <f>IF(AND(WSJAWA!$AA$62&gt;=83.25,WSJAWA!$AA$62&lt;=91.4),"P","")</f>
        <v/>
      </c>
      <c r="YS25" s="102" t="str">
        <f>IF(AND(WSJAWA!$AA$62&gt;=91.5,WSJAWA!$AA$62&lt;=100),"P","")</f>
        <v>P</v>
      </c>
      <c r="YT25" t="str">
        <f>IF(WSJAWA!$AA$70&lt;74.9,"P","")</f>
        <v/>
      </c>
      <c r="YU25" s="102" t="str">
        <f>IF(AND(WSJAWA!$AA$70&gt;=75,WSJAWA!$AA$70&lt;=83.24),"P","")</f>
        <v/>
      </c>
      <c r="YV25" s="102" t="str">
        <f>IF(AND(WSJAWA!$AA$70&gt;=83.25,WSJAWA!$AA$70&lt;=91.4),"P","")</f>
        <v/>
      </c>
      <c r="YW25" s="102" t="str">
        <f>IF(AND(WSJAWA!$AA$70&gt;=91.5,WSJAWA!$AA$70&lt;=100),"P","")</f>
        <v/>
      </c>
      <c r="YX25" t="str">
        <f>IF(WSJAWA!$AA$78&lt;74.9,"P","")</f>
        <v/>
      </c>
      <c r="YY25" s="102" t="str">
        <f>IF(AND(WSJAWA!$AA$78&gt;=75,WSJAWA!$AA$78&lt;=83.24),"P","")</f>
        <v/>
      </c>
      <c r="YZ25" s="102" t="str">
        <f>IF(AND(WSJAWA!$AA$78&gt;=83.25,WSJAWA!$AA$78&lt;=91.4),"P","")</f>
        <v/>
      </c>
      <c r="ZA25" s="102" t="str">
        <f>IF(AND(WSJAWA!$AA$78&gt;=91.5,WSJAWA!$AA$78&lt;=100),"P","")</f>
        <v/>
      </c>
      <c r="ZB25" t="str">
        <f>IF(WSJAWA!$AA$86&lt;74.9,"P","")</f>
        <v/>
      </c>
      <c r="ZC25" s="102" t="str">
        <f>IF(AND(WSJAWA!$AA$86&gt;=75,WSJAWA!$AA$86&lt;=83.24),"P","")</f>
        <v/>
      </c>
      <c r="ZD25" s="102" t="str">
        <f>IF(AND(WSJAWA!$AA$86&gt;=83.25,WSJAWA!$AA$86&lt;=91.4),"P","")</f>
        <v/>
      </c>
      <c r="ZE25" s="102" t="str">
        <f>IF(AND(WSJAWA!$AA$86&gt;=91.5,WSJAWA!$AA$86&lt;=100),"P","")</f>
        <v/>
      </c>
      <c r="ZF25" t="str">
        <f>IF(WSJAWA!$AA$94&lt;74.9,"P","")</f>
        <v/>
      </c>
      <c r="ZG25" s="102" t="str">
        <f>IF(AND(WSJAWA!$AA$94&gt;=75,WSJAWA!$AA$94&lt;=83.24),"P","")</f>
        <v/>
      </c>
      <c r="ZH25" s="102" t="str">
        <f>IF(AND(WSJAWA!$AA$94&gt;=83.25,WSJAWA!$AA$94&lt;=91.4),"P","")</f>
        <v/>
      </c>
      <c r="ZI25" s="102" t="str">
        <f>IF(AND(WSJAWA!$AA$94&gt;=91.5,WSJAWA!$AA$94&lt;=100),"P","")</f>
        <v/>
      </c>
      <c r="ZJ25" t="str">
        <f>IF(WSJAWA!$AA$102&lt;74.9,"P","")</f>
        <v/>
      </c>
      <c r="ZK25" s="102" t="str">
        <f>IF(AND(WSJAWA!$AA$102&gt;=75,WSJAWA!$AA$102&lt;=83.24),"P","")</f>
        <v/>
      </c>
      <c r="ZL25" s="102" t="str">
        <f>IF(AND(WSJAWA!$AA$102&gt;=83.25,WSJAWA!$AA$102&lt;=91.4),"P","")</f>
        <v/>
      </c>
      <c r="ZM25" s="102" t="str">
        <f>IF(AND(WSJAWA!$AA$102&gt;=91.5,WSJAWA!$AA$102&lt;=100),"P","")</f>
        <v/>
      </c>
      <c r="ZN25" t="str">
        <f>IF(WSING!$AA$6&lt;74.9,"P","")</f>
        <v/>
      </c>
      <c r="ZO25" s="102" t="str">
        <f>IF(AND(WSING!$AA$6&gt;=75,WSING!$AA$6&lt;=83.24),"P","")</f>
        <v/>
      </c>
      <c r="ZP25" s="102" t="str">
        <f>IF(AND(WSING!$AA$6&gt;=83.25,WSING!$AA$6&lt;=91.4),"P","")</f>
        <v>P</v>
      </c>
      <c r="ZQ25" s="102" t="str">
        <f>IF(AND(WSING!$AA$6&gt;=91.5,WSING!$AA$6&lt;=100),"P","")</f>
        <v/>
      </c>
      <c r="ZR25" t="str">
        <f>IF(WSING!$AA$15&lt;74.9,"P","")</f>
        <v/>
      </c>
      <c r="ZS25" s="102" t="str">
        <f>IF(AND(WSING!$AA$15&gt;=75,WSING!$AA$15&lt;=83.24),"P","")</f>
        <v/>
      </c>
      <c r="ZT25" s="102" t="str">
        <f>IF(AND(WSING!$AA$15&gt;=83.25,WSING!$AA$15&lt;=91.4),"P","")</f>
        <v>P</v>
      </c>
      <c r="ZU25" s="102" t="str">
        <f>IF(AND(WSING!$AA$15&gt;=91.5,WSING!$AA$15&lt;=100),"P","")</f>
        <v/>
      </c>
      <c r="ZV25" t="str">
        <f>IF(WSING!$AA$24&lt;74.9,"P","")</f>
        <v/>
      </c>
      <c r="ZW25" s="102" t="str">
        <f>IF(AND(WSING!$AA$24&gt;=75,WSING!$AA$24&lt;=83.24),"P","")</f>
        <v/>
      </c>
      <c r="ZX25" s="102" t="str">
        <f>IF(AND(WSING!$AA$24&gt;=83.25,WSING!$AA$24&lt;=91.4),"P","")</f>
        <v>P</v>
      </c>
      <c r="ZY25" s="102" t="str">
        <f>IF(AND(WSING!$AA$24&gt;=91.5,WSING!$AA$24&lt;=100),"P","")</f>
        <v/>
      </c>
      <c r="ZZ25" t="str">
        <f>IF(WSING!$AA$33&lt;74.9,"P","")</f>
        <v/>
      </c>
      <c r="AAA25" s="102" t="str">
        <f>IF(AND(WSING!$AA$33&gt;=75,WSING!$AA$33&lt;=83.24),"P","")</f>
        <v/>
      </c>
      <c r="AAB25" s="102" t="str">
        <f>IF(AND(WSING!$AA$33&gt;=83.25,WSING!$AA$33&lt;=91.4),"P","")</f>
        <v>P</v>
      </c>
      <c r="AAC25" s="102" t="str">
        <f>IF(AND(WSING!$AA$33&gt;=91.5,WSING!$AA$33&lt;=100),"P","")</f>
        <v/>
      </c>
      <c r="AAD25" t="str">
        <f>IF(WSING!$AA$42&lt;74.9,"P","")</f>
        <v/>
      </c>
      <c r="AAE25" s="102" t="str">
        <f>IF(AND(WSING!$AA$42&gt;=75,WSING!$AA$42&lt;=83.24),"P","")</f>
        <v/>
      </c>
      <c r="AAF25" s="102" t="str">
        <f>IF(AND(WSING!$AA$42&gt;=83.25,WSING!$AA$42&lt;=91.4),"P","")</f>
        <v/>
      </c>
      <c r="AAG25" s="102" t="str">
        <f>IF(AND(WSING!$AA$42&gt;=91.5,WSING!$AA$42&lt;=100),"P","")</f>
        <v/>
      </c>
      <c r="AAH25" t="str">
        <f>IF(WSING!$AA$50&lt;74.9,"P","")</f>
        <v/>
      </c>
      <c r="AAI25" s="102" t="str">
        <f>IF(AND(WSING!$AA$50&gt;=75,WSING!$AA$50&lt;=83.24),"P","")</f>
        <v/>
      </c>
      <c r="AAJ25" s="102" t="str">
        <f>IF(AND(WSING!$AA$50&gt;=83.25,WSING!$AA$50&lt;=91.4),"P","")</f>
        <v/>
      </c>
      <c r="AAK25" s="102" t="str">
        <f>IF(AND(WSING!$AA$50&gt;=91.5,WSING!$AA$50&lt;=100),"P","")</f>
        <v/>
      </c>
      <c r="AAL25" t="str">
        <f>IF(WSING!$AA$58&lt;74.9,"P","")</f>
        <v/>
      </c>
      <c r="AAM25" s="102" t="str">
        <f>IF(AND(WSING!$AA$58&gt;=75,WSING!$AA$58&lt;=83.24),"P","")</f>
        <v/>
      </c>
      <c r="AAN25" s="102" t="str">
        <f>IF(AND(WSING!$AA$58&gt;=83.25,WSING!$AA$58&lt;=91.4),"P","")</f>
        <v/>
      </c>
      <c r="AAO25" s="102" t="str">
        <f>IF(AND(WSING!$AA$58&gt;=91.5,WSING!$AA$58&lt;=100),"P","")</f>
        <v/>
      </c>
      <c r="AAP25" t="str">
        <f>IF(WSING!$AA$66&lt;74.9,"P","")</f>
        <v/>
      </c>
      <c r="AAQ25" s="102" t="str">
        <f>IF(AND(WSING!$AA$66&gt;=75,WSING!$AA$66&lt;=83.24),"P","")</f>
        <v/>
      </c>
      <c r="AAR25" s="102" t="str">
        <f>IF(AND(WSING!$AA$66&gt;=83.25,WSING!$AA$66&lt;=91.4),"P","")</f>
        <v/>
      </c>
      <c r="AAS25" s="102" t="str">
        <f>IF(AND(WSING!$AA$66&gt;=91.5,WSING!$AA$66&lt;=100),"P","")</f>
        <v/>
      </c>
      <c r="AAT25" t="str">
        <f>IF(WSING!$AA$74&lt;74.9,"P","")</f>
        <v/>
      </c>
      <c r="AAU25" s="102" t="str">
        <f>IF(AND(WSING!$AA$74&gt;=75,WSING!$AA$74&lt;=83.24),"P","")</f>
        <v/>
      </c>
      <c r="AAV25" s="102" t="str">
        <f>IF(AND(WSING!$AA$74&gt;=83.25,WSING!$AA$74&lt;=91.4),"P","")</f>
        <v/>
      </c>
      <c r="AAW25" s="102" t="str">
        <f>IF(AND(WSING!$AA$74&gt;=91.5,WSING!$AA$74&lt;=100),"P","")</f>
        <v/>
      </c>
      <c r="AAX25" t="str">
        <f>IF(WSING!$AA$82&lt;74.9,"P","")</f>
        <v/>
      </c>
      <c r="AAY25" s="102" t="str">
        <f>IF(AND(WSING!$AA$82&gt;=75,WSING!$AA$82&lt;=83.24),"P","")</f>
        <v/>
      </c>
      <c r="AAZ25" s="102" t="str">
        <f>IF(AND(WSING!$AA$82&gt;=83.25,WSING!$AA$82&lt;=91.4),"P","")</f>
        <v/>
      </c>
      <c r="ABA25" s="102" t="str">
        <f>IF(AND(WSING!$AA$82&gt;=91.5,WSING!$AA$82&lt;=100),"P","")</f>
        <v/>
      </c>
      <c r="ABB25" t="str">
        <f>IF(WSING!$AA$90&lt;74.9,"P","")</f>
        <v/>
      </c>
      <c r="ABC25" s="102" t="str">
        <f>IF(AND(WSING!$AA$90&gt;=75,WSING!$AA$90&lt;=83.24),"P","")</f>
        <v/>
      </c>
      <c r="ABD25" s="102" t="str">
        <f>IF(AND(WSING!$AA$90&gt;=83.25,WSING!$AA$90&lt;=91.4),"P","")</f>
        <v/>
      </c>
      <c r="ABE25" s="102" t="str">
        <f>IF(AND(WSING!$AA$90&gt;=91.5,WSING!$AA$90&lt;=100),"P","")</f>
        <v/>
      </c>
      <c r="ABF25" t="str">
        <f>IF(WSING!$AA$98&lt;74.9,"P","")</f>
        <v/>
      </c>
      <c r="ABG25" s="102" t="str">
        <f>IF(AND(WSING!$AA$98&gt;=75,WSING!$AA$98&lt;=83.24),"P","")</f>
        <v/>
      </c>
      <c r="ABH25" s="102" t="str">
        <f>IF(AND(WSING!$AA$98&gt;=83.25,WSING!$AA$98&lt;=91.4),"P","")</f>
        <v/>
      </c>
      <c r="ABI25" s="102" t="str">
        <f>IF(AND(WSING!$AA$98&gt;=91.5,WSING!$AA$98&lt;=100),"P","")</f>
        <v/>
      </c>
      <c r="ABJ25" t="str">
        <f>IF(WSING!$AA$106&lt;74.9,"P","")</f>
        <v/>
      </c>
      <c r="ABK25" s="102" t="str">
        <f>IF(AND(WSING!$AA$106&gt;=75,WSING!$AA$106&lt;=83.24),"P","")</f>
        <v/>
      </c>
      <c r="ABL25" s="102" t="str">
        <f>IF(AND(WSING!$AA$106&gt;=83.25,WSING!$AA$106&lt;=91.4),"P","")</f>
        <v/>
      </c>
      <c r="ABM25" s="102" t="str">
        <f>IF(AND(WSING!$AA$106&gt;=91.5,WSING!$AA$106&lt;=100),"P","")</f>
        <v/>
      </c>
      <c r="ABN25" t="str">
        <f>IF(WSTIK!$AA$6&lt;74.9,"P","")</f>
        <v/>
      </c>
      <c r="ABO25" s="102" t="str">
        <f>IF(AND(WSTIK!$AA$6&gt;=75,WSTIK!$AA$6&lt;=83.24),"P","")</f>
        <v/>
      </c>
      <c r="ABP25" s="102" t="str">
        <f>IF(AND(WSTIK!$AA$6&gt;=83.25,WSTIK!$AA$6&lt;=91.4),"P","")</f>
        <v/>
      </c>
      <c r="ABQ25" s="102" t="str">
        <f>IF(AND(WSTIK!$AA$6&gt;=91.5,WSTIK!$AA$6&lt;=100),"P","")</f>
        <v/>
      </c>
      <c r="ABR25" t="str">
        <f>IF(WSTIK!$AA$14&lt;74.9,"P","")</f>
        <v/>
      </c>
      <c r="ABS25" s="102" t="str">
        <f>IF(AND(WSTIK!$AA$14&gt;=75,WSTIK!$AA$14&lt;=83.24),"P","")</f>
        <v/>
      </c>
      <c r="ABT25" s="102" t="str">
        <f>IF(AND(WSTIK!$AA$14&gt;=83.25,WSTIK!$AA$14&lt;=91.4),"P","")</f>
        <v/>
      </c>
      <c r="ABU25" s="102" t="str">
        <f>IF(AND(WSTIK!$AA$14&gt;=91.5,WSTIK!$AA$14&lt;=100),"P","")</f>
        <v/>
      </c>
      <c r="ABV25" t="str">
        <f>IF(WSTIK!$AA$22&lt;74.9,"P","")</f>
        <v/>
      </c>
      <c r="ABW25" s="102" t="str">
        <f>IF(AND(WSTIK!$AA$22&gt;=75,WSTIK!$AA$22&lt;=83.24),"P","")</f>
        <v/>
      </c>
      <c r="ABX25" s="102" t="str">
        <f>IF(AND(WSTIK!$AA$22&gt;=83.25,WSTIK!$AA$22&lt;=91.4),"P","")</f>
        <v/>
      </c>
      <c r="ABY25" s="102" t="str">
        <f>IF(AND(WSTIK!$AA$22&gt;=91.5,WSTIK!$AA$22&lt;=100),"P","")</f>
        <v/>
      </c>
      <c r="ABZ25" t="str">
        <f>IF(WSTIK!$AA$30&lt;74.9,"P","")</f>
        <v/>
      </c>
      <c r="ACA25" s="102" t="str">
        <f>IF(AND(WSTIK!$AA$30&gt;=75,WSTIK!$AA$30&lt;=83.24),"P","")</f>
        <v/>
      </c>
      <c r="ACB25" s="102" t="str">
        <f>IF(AND(WSTIK!$AA$30&gt;=83.25,WSTIK!$AA$30&lt;=91.4),"P","")</f>
        <v/>
      </c>
      <c r="ACC25" s="102" t="str">
        <f>IF(AND(WSTIK!$AA$30&gt;=91.5,WSTIK!$AA$30&lt;=100),"P","")</f>
        <v/>
      </c>
      <c r="ACD25" t="str">
        <f>IF(WSTIK!$AA$38&lt;74.9,"P","")</f>
        <v/>
      </c>
      <c r="ACE25" s="102" t="str">
        <f>IF(AND(WSTIK!$AA$38&gt;=75,WSTIK!$AA$38&lt;=83.24),"P","")</f>
        <v/>
      </c>
      <c r="ACF25" s="102" t="str">
        <f>IF(AND(WSTIK!$AA$38&gt;=83.25,WSTIK!$AA$38&lt;=91.4),"P","")</f>
        <v/>
      </c>
      <c r="ACG25" s="102" t="str">
        <f>IF(AND(WSTIK!$AA$38&gt;=91.5,WSTIK!$AA$38&lt;=100),"P","")</f>
        <v/>
      </c>
      <c r="ACH25" t="str">
        <f>IF(WSTIK!$AA$46&lt;74.9,"P","")</f>
        <v/>
      </c>
      <c r="ACI25" s="102" t="str">
        <f>IF(AND(WSTIK!$AA$46&gt;=75,WSTIK!$AA$46&lt;=83.24),"P","")</f>
        <v/>
      </c>
      <c r="ACJ25" s="102" t="str">
        <f>IF(AND(WSTIK!$AA$46&gt;=83.25,WSTIK!$AA$46&lt;=91.4),"P","")</f>
        <v/>
      </c>
      <c r="ACK25" s="102" t="str">
        <f>IF(AND(WSTIK!$AA$46&gt;=91.5,WSTIK!$AA$46&lt;=100),"P","")</f>
        <v/>
      </c>
      <c r="ACL25" t="str">
        <f>IF(WSTIK!$AA$54&lt;74.9,"P","")</f>
        <v/>
      </c>
      <c r="ACM25" s="102" t="str">
        <f>IF(AND(WSTIK!$AA$54&gt;=75,WSTIK!$AA$54&lt;=83.24),"P","")</f>
        <v/>
      </c>
      <c r="ACN25" s="102" t="str">
        <f>IF(AND(WSTIK!$AA$54&gt;=83.25,WSTIK!$AA$54&lt;=91.4),"P","")</f>
        <v/>
      </c>
      <c r="ACO25" s="102" t="str">
        <f>IF(AND(WSTIK!$AA$54&gt;=91.5,WSTIK!$AA$54&lt;=100),"P","")</f>
        <v/>
      </c>
      <c r="ACP25" t="str">
        <f>IF(WSTIK!$AA$62&lt;74.9,"P","")</f>
        <v/>
      </c>
      <c r="ACQ25" s="102" t="str">
        <f>IF(AND(WSTIK!$AA$62&gt;=75,WSTIK!$AA$62&lt;=83.24),"P","")</f>
        <v/>
      </c>
      <c r="ACR25" s="102" t="str">
        <f>IF(AND(WSTIK!$AA$62&gt;=83.25,WSTIK!$AA$62&lt;=91.4),"P","")</f>
        <v/>
      </c>
      <c r="ACS25" s="102" t="str">
        <f>IF(AND(WSTIK!$AA$62&gt;=91.5,WSTIK!$AA$62&lt;=100),"P","")</f>
        <v/>
      </c>
      <c r="ACT25" t="str">
        <f>IF(WSTIK!$AA$70&lt;74.9,"P","")</f>
        <v/>
      </c>
      <c r="ACU25" s="102" t="str">
        <f>IF(AND(WSTIK!$AA$70&gt;=75,WSTIK!$AA$70&lt;=83.24),"P","")</f>
        <v/>
      </c>
      <c r="ACV25" s="102" t="str">
        <f>IF(AND(WSTIK!$AA$70&gt;=83.25,WSTIK!$AA$70&lt;=91.4),"P","")</f>
        <v/>
      </c>
      <c r="ACW25" s="102" t="str">
        <f>IF(AND(WSTIK!$AA$70&gt;=91.5,WSTIK!$AA$70&lt;=100),"P","")</f>
        <v/>
      </c>
      <c r="ACX25" t="str">
        <f>IF(WSTIK!$AA$78&lt;74.9,"P","")</f>
        <v/>
      </c>
      <c r="ACY25" s="102" t="str">
        <f>IF(AND(WSTIK!$AA$78&gt;=75,WSTIK!$AA$78&lt;=83.24),"P","")</f>
        <v/>
      </c>
      <c r="ACZ25" s="102" t="str">
        <f>IF(AND(WSTIK!$AA$78&gt;=83.25,WSTIK!$AA$78&lt;=91.4),"P","")</f>
        <v/>
      </c>
      <c r="ADA25" s="102" t="str">
        <f>IF(AND(WSTIK!$AA$78&gt;=91.5,WSTIK!$AA$78&lt;=100),"P","")</f>
        <v/>
      </c>
      <c r="ADB25" t="str">
        <f>IF(WSTIK!$AA$86&lt;74.9,"P","")</f>
        <v/>
      </c>
      <c r="ADC25" s="102" t="str">
        <f>IF(AND(WSTIK!$AA$86&gt;=75,WSTIK!$AA$86&lt;=83.24),"P","")</f>
        <v/>
      </c>
      <c r="ADD25" s="102" t="str">
        <f>IF(AND(WSTIK!$AA$86&gt;=83.25,WSTIK!$AA$86&lt;=91.4),"P","")</f>
        <v/>
      </c>
      <c r="ADE25" s="102" t="str">
        <f>IF(AND(WSTIK!$AA$86&gt;=91.5,WSTIK!$AA$86&lt;=100),"P","")</f>
        <v/>
      </c>
      <c r="ADF25" t="str">
        <f>IF(WSTIK!$AA$94&lt;74.9,"P","")</f>
        <v/>
      </c>
      <c r="ADG25" s="102" t="str">
        <f>IF(AND(WSTIK!$AA$94&gt;=75,WSTIK!$AA$94&lt;=83.24),"P","")</f>
        <v/>
      </c>
      <c r="ADH25" s="102" t="str">
        <f>IF(AND(WSTIK!$AA$94&gt;=83.25,WSTIK!$AA$94&lt;=91.4),"P","")</f>
        <v/>
      </c>
      <c r="ADI25" s="102" t="str">
        <f>IF(AND(WSTIK!$AA$94&gt;=91.5,WSTIK!$AA$94&lt;=100),"P","")</f>
        <v/>
      </c>
      <c r="ADJ25" t="str">
        <f>IF(WSTIK!$AA$102&lt;74.9,"P","")</f>
        <v/>
      </c>
      <c r="ADK25" s="102" t="str">
        <f>IF(AND(WSTIK!$AA$102&gt;=75,WSTIK!$AA$102&lt;=83.24),"P","")</f>
        <v/>
      </c>
      <c r="ADL25" s="102" t="str">
        <f>IF(AND(WSTIK!$AA$102&gt;=83.25,WSTIK!$AA$102&lt;=91.4),"P","")</f>
        <v/>
      </c>
      <c r="ADM25" s="102" t="str">
        <f>IF(AND(WSTIK!$AA$102&gt;=91.5,WSTIK!$AA$102&lt;=100),"P","")</f>
        <v/>
      </c>
      <c r="ADN25" t="str">
        <f>IF(WSASWAJA!$AA$6&lt;74.9,"P","")</f>
        <v/>
      </c>
      <c r="ADO25" s="102" t="str">
        <f>IF(AND(WSASWAJA!$AA$6&gt;=75,WSASWAJA!$AA$6&lt;=83.24),"P","")</f>
        <v/>
      </c>
      <c r="ADP25" s="102" t="str">
        <f>IF(AND(WSASWAJA!$AA$6&gt;=83.25,WSASWAJA!$AA$6&lt;=91.4),"P","")</f>
        <v/>
      </c>
      <c r="ADQ25" s="102" t="str">
        <f>IF(AND(WSASWAJA!$AA$6&gt;=91.5,WSASWAJA!$AA$6&lt;=100),"P","")</f>
        <v/>
      </c>
      <c r="ADR25" t="str">
        <f>IF(WSASWAJA!$AA$14&lt;74.9,"P","")</f>
        <v/>
      </c>
      <c r="ADS25" s="102" t="str">
        <f>IF(AND(WSASWAJA!$AA$14&gt;=75,WSASWAJA!$AA$14&lt;=83.24),"P","")</f>
        <v/>
      </c>
      <c r="ADT25" s="102" t="str">
        <f>IF(AND(WSASWAJA!$AA$14&gt;=83.25,WSASWAJA!$AA$14&lt;=91.4),"P","")</f>
        <v/>
      </c>
      <c r="ADU25" s="102" t="str">
        <f>IF(AND(WSASWAJA!$AA$14&gt;=91.5,WSASWAJA!$AA$14&lt;=100),"P","")</f>
        <v/>
      </c>
      <c r="ADV25" t="str">
        <f>IF(WSASWAJA!$AA$22&lt;74.9,"P","")</f>
        <v/>
      </c>
      <c r="ADW25" s="102" t="str">
        <f>IF(AND(WSASWAJA!$AA$22&gt;=75,WSASWAJA!$AA$22&lt;=83.24),"P","")</f>
        <v/>
      </c>
      <c r="ADX25" s="102" t="str">
        <f>IF(AND(WSASWAJA!$AA$22&gt;=83.25,WSASWAJA!$AA$22&lt;=91.4),"P","")</f>
        <v/>
      </c>
      <c r="ADY25" s="102" t="str">
        <f>IF(AND(WSASWAJA!$AA$22&gt;=91.5,WSASWAJA!$AA$22&lt;=100),"P","")</f>
        <v/>
      </c>
      <c r="ADZ25" t="str">
        <f>IF(WSASWAJA!$AA$30&lt;74.9,"P","")</f>
        <v/>
      </c>
      <c r="AEA25" s="102" t="str">
        <f>IF(AND(WSASWAJA!$AA$30&gt;=75,WSASWAJA!$AA$30&lt;=83.24),"P","")</f>
        <v/>
      </c>
      <c r="AEB25" s="102" t="str">
        <f>IF(AND(WSASWAJA!$AA$30&gt;=83.25,WSASWAJA!$AA$30&lt;=91.4),"P","")</f>
        <v/>
      </c>
      <c r="AEC25" s="102" t="str">
        <f>IF(AND(WSASWAJA!$AA$30&gt;=91.5,WSASWAJA!$AA$30&lt;=100),"P","")</f>
        <v/>
      </c>
      <c r="AED25" t="str">
        <f>IF(WSASWAJA!$AA$38&lt;74.9,"P","")</f>
        <v/>
      </c>
      <c r="AEE25" s="102" t="str">
        <f>IF(AND(WSASWAJA!$AA$38&gt;=75,WSASWAJA!$AA$38&lt;=83.24),"P","")</f>
        <v/>
      </c>
      <c r="AEF25" s="102" t="str">
        <f>IF(AND(WSASWAJA!$AA$38&gt;=83.25,WSASWAJA!$AA$38&lt;=91.4),"P","")</f>
        <v/>
      </c>
      <c r="AEG25" s="102" t="str">
        <f>IF(AND(WSASWAJA!$AA$38&gt;=91.5,WSASWAJA!$AA$38&lt;=100),"P","")</f>
        <v/>
      </c>
      <c r="AEH25" t="str">
        <f>IF(WSASWAJA!$AA$46&lt;74.9,"P","")</f>
        <v/>
      </c>
      <c r="AEI25" s="102" t="str">
        <f>IF(AND(WSASWAJA!$AA$46&gt;=75,WSASWAJA!$AA$46&lt;=83.24),"P","")</f>
        <v/>
      </c>
      <c r="AEJ25" s="102" t="str">
        <f>IF(AND(WSASWAJA!$AA$46&gt;=83.25,WSASWAJA!$AA$46&lt;=91.4),"P","")</f>
        <v/>
      </c>
      <c r="AEK25" s="102" t="str">
        <f>IF(AND(WSASWAJA!$AA$46&gt;=91.5,WSASWAJA!$AA$46&lt;=100),"P","")</f>
        <v/>
      </c>
      <c r="AEL25" t="str">
        <f>IF(WSASWAJA!$AA$54&lt;74.9,"P","")</f>
        <v/>
      </c>
      <c r="AEM25" s="102" t="str">
        <f>IF(AND(WSASWAJA!$AA$54&gt;=75,WSASWAJA!$AA$54&lt;=83.24),"P","")</f>
        <v/>
      </c>
      <c r="AEN25" s="102" t="str">
        <f>IF(AND(WSASWAJA!$AA$54&gt;=83.25,WSASWAJA!$AA$54&lt;=91.4),"P","")</f>
        <v/>
      </c>
      <c r="AEO25" s="102" t="str">
        <f>IF(AND(WSASWAJA!$AA$54&gt;=91.5,WSASWAJA!$AA$54&lt;=100),"P","")</f>
        <v/>
      </c>
      <c r="AEP25" t="str">
        <f>IF(WSASWAJA!$AA$62&lt;74.9,"P","")</f>
        <v/>
      </c>
      <c r="AEQ25" s="102" t="str">
        <f>IF(AND(WSASWAJA!$AA$62&gt;=75,WSASWAJA!$AA$62&lt;=83.24),"P","")</f>
        <v/>
      </c>
      <c r="AER25" s="102" t="str">
        <f>IF(AND(WSASWAJA!$AA$62&gt;=83.25,WSASWAJA!$AA$62&lt;=91.4),"P","")</f>
        <v/>
      </c>
      <c r="AES25" s="102" t="str">
        <f>IF(AND(WSASWAJA!$AA$62&gt;=91.5,WSASWAJA!$AA$62&lt;=100),"P","")</f>
        <v/>
      </c>
      <c r="AET25" t="str">
        <f>IF(WSASWAJA!$AA$70&lt;74.9,"P","")</f>
        <v/>
      </c>
      <c r="AEU25" s="102" t="str">
        <f>IF(AND(WSASWAJA!$AA$70&gt;=75,WSASWAJA!$AA$70&lt;=83.24),"P","")</f>
        <v/>
      </c>
      <c r="AEV25" s="102" t="str">
        <f>IF(AND(WSASWAJA!$AA$70&gt;=83.25,WSASWAJA!$AA$70&lt;=91.4),"P","")</f>
        <v/>
      </c>
      <c r="AEW25" s="102" t="str">
        <f>IF(AND(WSASWAJA!$AA$70&gt;=91.5,WSASWAJA!$AA$70&lt;=100),"P","")</f>
        <v/>
      </c>
      <c r="AEX25" t="str">
        <f>IF(WSASWAJA!$AA$78&lt;74.9,"P","")</f>
        <v/>
      </c>
      <c r="AEY25" s="102" t="str">
        <f>IF(AND(WSASWAJA!$AA$78&gt;=75,WSASWAJA!$AA$78&lt;=83.24),"P","")</f>
        <v/>
      </c>
      <c r="AEZ25" s="102" t="str">
        <f>IF(AND(WSASWAJA!$AA$78&gt;=83.25,WSASWAJA!$AA$78&lt;=91.4),"P","")</f>
        <v/>
      </c>
      <c r="AFA25" s="102" t="str">
        <f>IF(AND(WSASWAJA!$AA$78&gt;=91.5,WSASWAJA!$AA$78&lt;=100),"P","")</f>
        <v/>
      </c>
      <c r="AFB25" t="str">
        <f>IF(WSASWAJA!$AA$86&lt;74.9,"P","")</f>
        <v/>
      </c>
      <c r="AFC25" s="102" t="str">
        <f>IF(AND(WSASWAJA!$AA$86&gt;=75,WSASWAJA!$AA$86&lt;=83.24),"P","")</f>
        <v/>
      </c>
      <c r="AFD25" s="102" t="str">
        <f>IF(AND(WSASWAJA!$AA$86&gt;=83.25,WSASWAJA!$AA$86&lt;=91.4),"P","")</f>
        <v/>
      </c>
      <c r="AFE25" s="102" t="str">
        <f>IF(AND(WSASWAJA!$AA$86&gt;=91.5,WSASWAJA!$AA$86&lt;=100),"P","")</f>
        <v/>
      </c>
      <c r="AFF25" t="str">
        <f>IF(WSASWAJA!$AA$94&lt;74.9,"P","")</f>
        <v/>
      </c>
      <c r="AFG25" s="102" t="str">
        <f>IF(AND(WSASWAJA!$AA$94&gt;=75,WSASWAJA!$AA$94&lt;=83.24),"P","")</f>
        <v/>
      </c>
      <c r="AFH25" s="102" t="str">
        <f>IF(AND(WSASWAJA!$AA$94&gt;=83.25,WSASWAJA!$AA$94&lt;=91.4),"P","")</f>
        <v/>
      </c>
      <c r="AFI25" s="102" t="str">
        <f>IF(AND(WSASWAJA!$AA$94&gt;=91.5,WSASWAJA!$AA$94&lt;=100),"P","")</f>
        <v/>
      </c>
      <c r="AFJ25" t="str">
        <f>IF(WSASWAJA!$AA$102&lt;74.9,"P","")</f>
        <v/>
      </c>
      <c r="AFK25" s="102" t="str">
        <f>IF(AND(WSASWAJA!$AA$102&gt;=75,WSASWAJA!$AA$102&lt;=83.24),"P","")</f>
        <v/>
      </c>
      <c r="AFL25" s="102" t="str">
        <f>IF(AND(WSASWAJA!$AA$102&gt;=83.25,WSASWAJA!$AA$102&lt;=91.4),"P","")</f>
        <v/>
      </c>
      <c r="AFM25" s="102" t="str">
        <f>IF(AND(WSASWAJA!$AA$102&gt;=91.5,WSASWAJA!$AA$102&lt;=100),"P","")</f>
        <v/>
      </c>
    </row>
    <row r="26" spans="1:845" ht="20.100000000000001" customHeight="1">
      <c r="A26">
        <v>24</v>
      </c>
      <c r="B26" t="str">
        <f>IF(WSALQURAN!$AB$6&lt;74.9,"P","")</f>
        <v/>
      </c>
      <c r="C26" s="102" t="str">
        <f>IF(AND(WSALQURAN!$AB$6&gt;=75,WSALQURAN!$AB$6&lt;=83.24),"P","")</f>
        <v/>
      </c>
      <c r="D26" s="102" t="str">
        <f>IF(AND(WSALQURAN!$AB$6&gt;=83.25,WSALQURAN!$AB$6&lt;=91.4),"P","")</f>
        <v/>
      </c>
      <c r="E26" s="102" t="str">
        <f>IF(AND(WSALQURAN!$AB$6&gt;=91.5,WSALQURAN!$AB$6&lt;=100),"P","")</f>
        <v>P</v>
      </c>
      <c r="F26" t="str">
        <f>IF(WSALQURAN!$AB$14&lt;74.9,"P","")</f>
        <v/>
      </c>
      <c r="G26" s="102" t="str">
        <f>IF(AND(WSALQURAN!$AB$14&gt;=75,WSALQURAN!$AB$14&lt;=83.24),"P","")</f>
        <v/>
      </c>
      <c r="H26" s="102" t="str">
        <f>IF(AND(WSALQURAN!$AB$14&gt;=83.25,WSALQURAN!$AB$14&lt;=91.4),"P","")</f>
        <v/>
      </c>
      <c r="I26" s="102" t="str">
        <f>IF(AND(WSALQURAN!$AB$14&gt;=91.5,WSALQURAN!$AB$14&lt;=100),"P","")</f>
        <v>P</v>
      </c>
      <c r="J26" t="str">
        <f>IF(WSALQURAN!$AB$22&lt;74.9,"P","")</f>
        <v/>
      </c>
      <c r="K26" s="102" t="str">
        <f>IF(AND(WSALQURAN!$AB$22&gt;=75,WSALQURAN!$AB$22&lt;=83.24),"P","")</f>
        <v/>
      </c>
      <c r="L26" s="102" t="str">
        <f>IF(AND(WSALQURAN!$AB$22&gt;=83.25,WSALQURAN!$AB$22&lt;=91.4),"P","")</f>
        <v/>
      </c>
      <c r="M26" s="102" t="str">
        <f>IF(AND(WSALQURAN!$AB$22&gt;=91.5,WSALQURAN!$AB$22&lt;=100),"P","")</f>
        <v>P</v>
      </c>
      <c r="N26" t="str">
        <f>IF(WSALQURAN!$AB$30&lt;74.9,"P","")</f>
        <v/>
      </c>
      <c r="O26" s="102" t="str">
        <f>IF(AND(WSALQURAN!$AB$30&gt;=75,WSALQURAN!$AB$30&lt;=83.24),"P","")</f>
        <v/>
      </c>
      <c r="P26" s="102" t="str">
        <f>IF(AND(WSALQURAN!$AB$30&gt;=83.25,WSALQURAN!$AB$30&lt;=91.4),"P","")</f>
        <v/>
      </c>
      <c r="Q26" s="102" t="str">
        <f>IF(AND(WSALQURAN!$AB$30&gt;=91.5,WSALQURAN!$AB$30&lt;=100),"P","")</f>
        <v>P</v>
      </c>
      <c r="R26" t="str">
        <f>IF(WSALQURAN!$AB$38&lt;74.9,"P","")</f>
        <v/>
      </c>
      <c r="S26" s="102" t="str">
        <f>IF(AND(WSALQURAN!$AB$38&gt;=75,WSALQURAN!$AB$38&lt;=83.24),"P","")</f>
        <v/>
      </c>
      <c r="T26" s="102" t="str">
        <f>IF(AND(WSALQURAN!$AB$38&gt;=83.25,WSALQURAN!$AB$38&lt;=91.4),"P","")</f>
        <v/>
      </c>
      <c r="U26" s="102" t="str">
        <f>IF(AND(WSALQURAN!$AB$38&gt;=91.5,WSALQURAN!$AB$38&lt;=100),"P","")</f>
        <v>P</v>
      </c>
      <c r="V26" t="str">
        <f>IF(WSALQURAN!$AB$46&lt;74.9,"P","")</f>
        <v/>
      </c>
      <c r="W26" s="102" t="str">
        <f>IF(AND(WSALQURAN!$AB$46&gt;=75,WSALQURAN!$AB$46&lt;=83.24),"P","")</f>
        <v/>
      </c>
      <c r="X26" s="102" t="str">
        <f>IF(AND(WSALQURAN!$AB$46&gt;=83.25,WSALQURAN!$AB$46&lt;=91.4),"P","")</f>
        <v>P</v>
      </c>
      <c r="Y26" s="102" t="str">
        <f>IF(AND(WSALQURAN!$AB$46&gt;=91.5,WSALQURAN!$AB$46&lt;=100),"P","")</f>
        <v/>
      </c>
      <c r="Z26" t="str">
        <f>IF(WSALQURAN!$AB$54&lt;74.9,"P","")</f>
        <v/>
      </c>
      <c r="AA26" s="102" t="str">
        <f>IF(AND(WSALQURAN!$AB$54&gt;=75,WSALQURAN!$AB$54&lt;=83.24),"P","")</f>
        <v/>
      </c>
      <c r="AB26" s="102" t="str">
        <f>IF(AND(WSALQURAN!$AB$54&gt;=83.25,WSALQURAN!$AB$54&lt;=91.4),"P","")</f>
        <v/>
      </c>
      <c r="AC26" s="102" t="str">
        <f>IF(AND(WSALQURAN!$AB$54&gt;=91.5,WSALQURAN!$AB$54&lt;=100),"P","")</f>
        <v>P</v>
      </c>
      <c r="AD26" t="str">
        <f>IF(WSALQURAN!$AB$62&lt;74.9,"P","")</f>
        <v/>
      </c>
      <c r="AE26" s="102" t="str">
        <f>IF(AND(WSALQURAN!$AB$62&gt;=75,WSALQURAN!$AB$62&lt;=83.24),"P","")</f>
        <v/>
      </c>
      <c r="AF26" s="102" t="str">
        <f>IF(AND(WSALQURAN!$AB$62&gt;=83.25,WSALQURAN!$AB$62&lt;=91.4),"P","")</f>
        <v/>
      </c>
      <c r="AG26" s="102" t="str">
        <f>IF(AND(WSALQURAN!$AB$62&gt;=91.5,WSALQURAN!$AB$62&lt;=100),"P","")</f>
        <v/>
      </c>
      <c r="AH26" t="str">
        <f>IF(WSALQURAN!$AB$70&lt;74.9,"P","")</f>
        <v/>
      </c>
      <c r="AI26" s="102" t="str">
        <f>IF(AND(WSALQURAN!$AB$70&gt;=75,WSALQURAN!$AB$70&lt;=83.24),"P","")</f>
        <v/>
      </c>
      <c r="AJ26" s="102" t="str">
        <f>IF(AND(WSALQURAN!$AB$70&gt;=83.25,WSALQURAN!$AB$70&lt;=91.4),"P","")</f>
        <v/>
      </c>
      <c r="AK26" s="102" t="str">
        <f>IF(AND(WSALQURAN!$AB$70&gt;=91.5,WSALQURAN!$AB$70&lt;=100),"P","")</f>
        <v/>
      </c>
      <c r="AL26" t="str">
        <f>IF(WSALQURAN!$AB$78&lt;74.9,"P","")</f>
        <v/>
      </c>
      <c r="AM26" s="102" t="str">
        <f>IF(AND(WSALQURAN!$AB$78&gt;=75,WSALQURAN!$AB$78&lt;=83.24),"P","")</f>
        <v/>
      </c>
      <c r="AN26" s="102" t="str">
        <f>IF(AND(WSALQURAN!$AB$78&gt;=83.25,WSALQURAN!$AB$78&lt;=91.4),"P","")</f>
        <v/>
      </c>
      <c r="AO26" s="102" t="str">
        <f>IF(AND(WSALQURAN!$AB$78&gt;=91.5,WSALQURAN!$AB$78&lt;=100),"P","")</f>
        <v/>
      </c>
      <c r="AP26" t="str">
        <f>IF(WSALQURAN!$AB$86&lt;74.9,"P","")</f>
        <v/>
      </c>
      <c r="AQ26" s="102" t="str">
        <f>IF(AND(WSALQURAN!$AB$86&gt;=75,WSALQURAN!$AB$86&lt;=83.24),"P","")</f>
        <v/>
      </c>
      <c r="AR26" s="102" t="str">
        <f>IF(AND(WSALQURAN!$AB$86&gt;=83.25,WSALQURAN!$AB$86&lt;=91.4),"P","")</f>
        <v/>
      </c>
      <c r="AS26" s="102" t="str">
        <f>IF(AND(WSALQURAN!$AB$86&gt;=91.5,WSALQURAN!$AB$86&lt;=100),"P","")</f>
        <v/>
      </c>
      <c r="AT26" t="str">
        <f>IF(WSALQURAN!$AB$94&lt;74.9,"P","")</f>
        <v/>
      </c>
      <c r="AU26" s="102" t="str">
        <f>IF(AND(WSALQURAN!$AB$94&gt;=75,WSALQURAN!$AB$94&lt;=83.24),"P","")</f>
        <v/>
      </c>
      <c r="AV26" s="102" t="str">
        <f>IF(AND(WSALQURAN!$AB$94&gt;=83.25,WSALQURAN!$AB$94&lt;=91.4),"P","")</f>
        <v/>
      </c>
      <c r="AW26" s="102" t="str">
        <f>IF(AND(WSALQURAN!$AB$94&gt;=91.5,WSALQURAN!$AB$94&lt;=100),"P","")</f>
        <v/>
      </c>
      <c r="AX26" t="str">
        <f>IF(WSALQURAN!$AB$102&lt;74.9,"P","")</f>
        <v/>
      </c>
      <c r="AY26" s="102" t="str">
        <f>IF(AND(WSALQURAN!$AB$102&gt;=75,WSALQURAN!$AB$102&lt;=83.24),"P","")</f>
        <v/>
      </c>
      <c r="AZ26" s="102" t="str">
        <f>IF(AND(WSALQURAN!$AB$102&gt;=83.25,WSALQURAN!$AB$102&lt;=91.4),"P","")</f>
        <v/>
      </c>
      <c r="BA26" s="102" t="str">
        <f>IF(AND(WSALQURAN!$AB$102&gt;=91.5,WSALQURAN!$AB$102&lt;=100),"P","")</f>
        <v/>
      </c>
      <c r="BB26" t="str">
        <f>IF(WSAQIDAH!$AB$6&lt;74.9,"P","")</f>
        <v/>
      </c>
      <c r="BC26" s="102" t="str">
        <f>IF(AND(WSAQIDAH!$AB$6&gt;=75,WSAQIDAH!$AB$6&lt;=83.24),"P","")</f>
        <v/>
      </c>
      <c r="BD26" s="102" t="str">
        <f>IF(AND(WSAQIDAH!$AB$6&gt;=83.25,WSAQIDAH!$AB$6&lt;=91.4),"P","")</f>
        <v/>
      </c>
      <c r="BE26" s="102" t="str">
        <f>IF(AND(WSAQIDAH!$AB$6&gt;=91.5,WSAQIDAH!$AB$6&lt;=100),"P","")</f>
        <v>P</v>
      </c>
      <c r="BF26" t="str">
        <f>IF(WSAQIDAH!$AB$14&lt;74.9,"P","")</f>
        <v/>
      </c>
      <c r="BG26" s="102" t="str">
        <f>IF(AND(WSAQIDAH!$AB$14&gt;=75,WSAQIDAH!$AB$14&lt;=83.24),"P","")</f>
        <v/>
      </c>
      <c r="BH26" s="102" t="str">
        <f>IF(AND(WSAQIDAH!$AB$14&gt;=83.25,WSAQIDAH!$AB$14&lt;=91.4),"P","")</f>
        <v/>
      </c>
      <c r="BI26" s="102" t="str">
        <f>IF(AND(WSAQIDAH!$AB$14&gt;=91.5,WSAQIDAH!$AB$14&lt;=100),"P","")</f>
        <v>P</v>
      </c>
      <c r="BJ26" t="str">
        <f>IF(WSAQIDAH!$AB$22&lt;74.9,"P","")</f>
        <v/>
      </c>
      <c r="BK26" s="102" t="str">
        <f>IF(AND(WSAQIDAH!$AB$22&gt;=75,WSAQIDAH!$AB$22&lt;=83.24),"P","")</f>
        <v/>
      </c>
      <c r="BL26" s="102" t="str">
        <f>IF(AND(WSAQIDAH!$AB$22&gt;=83.25,WSAQIDAH!$AB$22&lt;=91.4),"P","")</f>
        <v/>
      </c>
      <c r="BM26" s="102" t="str">
        <f>IF(AND(WSAQIDAH!$AB$22&gt;=91.5,WSAQIDAH!$AB$22&lt;=100),"P","")</f>
        <v>P</v>
      </c>
      <c r="BN26" t="str">
        <f>IF(WSAQIDAH!$AB$30&lt;74.9,"P","")</f>
        <v/>
      </c>
      <c r="BO26" s="102" t="str">
        <f>IF(AND(WSAQIDAH!$AB$30&gt;=75,WSAQIDAH!$AB$30&lt;=83.24),"P","")</f>
        <v/>
      </c>
      <c r="BP26" s="102" t="str">
        <f>IF(AND(WSAQIDAH!$AB$30&gt;=83.25,WSAQIDAH!$AB$30&lt;=91.4),"P","")</f>
        <v/>
      </c>
      <c r="BQ26" s="102" t="str">
        <f>IF(AND(WSAQIDAH!$AB$30&gt;=91.5,WSAQIDAH!$AB$30&lt;=100),"P","")</f>
        <v>P</v>
      </c>
      <c r="BR26" t="str">
        <f>IF(WSAQIDAH!$AB$38&lt;74.9,"P","")</f>
        <v/>
      </c>
      <c r="BS26" s="102" t="str">
        <f>IF(AND(WSAQIDAH!$AB$38&gt;=75,WSAQIDAH!$AB$38&lt;=83.24),"P","")</f>
        <v/>
      </c>
      <c r="BT26" s="102" t="str">
        <f>IF(AND(WSAQIDAH!$AB$38&gt;=83.25,WSAQIDAH!$AB$38&lt;=91.4),"P","")</f>
        <v/>
      </c>
      <c r="BU26" s="102" t="str">
        <f>IF(AND(WSAQIDAH!$AB$38&gt;=91.5,WSAQIDAH!$AB$38&lt;=100),"P","")</f>
        <v>P</v>
      </c>
      <c r="BV26" t="str">
        <f>IF(WSAQIDAH!$AB$46&lt;74.9,"P","")</f>
        <v/>
      </c>
      <c r="BW26" s="102" t="str">
        <f>IF(AND(WSAQIDAH!$AB$46&gt;=75,WSAQIDAH!$AB$46&lt;=83.24),"P","")</f>
        <v/>
      </c>
      <c r="BX26" s="102" t="str">
        <f>IF(AND(WSAQIDAH!$AB$46&gt;=83.25,WSAQIDAH!$AB$46&lt;=91.4),"P","")</f>
        <v/>
      </c>
      <c r="BY26" s="102" t="str">
        <f>IF(AND(WSAQIDAH!$AB$46&gt;=91.5,WSAQIDAH!$AB$46&lt;=100),"P","")</f>
        <v>P</v>
      </c>
      <c r="BZ26" t="str">
        <f>IF(WSAQIDAH!$AB$54&lt;74.9,"P","")</f>
        <v/>
      </c>
      <c r="CA26" s="102" t="str">
        <f>IF(AND(WSAQIDAH!$AB$54&gt;=75,WSAQIDAH!$AB$54&lt;=83.24),"P","")</f>
        <v/>
      </c>
      <c r="CB26" s="102" t="str">
        <f>IF(AND(WSAQIDAH!$AB$54&gt;=83.25,WSAQIDAH!$AB$54&lt;=91.4),"P","")</f>
        <v/>
      </c>
      <c r="CC26" s="102" t="str">
        <f>IF(AND(WSAQIDAH!$AB$54&gt;=91.5,WSAQIDAH!$AB$54&lt;=100),"P","")</f>
        <v>P</v>
      </c>
      <c r="CD26" t="str">
        <f>IF(WSAQIDAH!$AB$62&lt;74.9,"P","")</f>
        <v/>
      </c>
      <c r="CE26" s="102" t="str">
        <f>IF(AND(WSAQIDAH!$AB$62&gt;=75,WSAQIDAH!$AB$62&lt;=83.24),"P","")</f>
        <v/>
      </c>
      <c r="CF26" s="102" t="str">
        <f>IF(AND(WSAQIDAH!$AB$62&gt;=83.25,WSAQIDAH!$AB$62&lt;=91.4),"P","")</f>
        <v>P</v>
      </c>
      <c r="CG26" s="102" t="str">
        <f>IF(AND(WSAQIDAH!$AB$62&gt;=91.5,WSAQIDAH!$AB$62&lt;=100),"P","")</f>
        <v/>
      </c>
      <c r="CH26" t="str">
        <f>IF(WSAQIDAH!$AB$70&lt;74.9,"P","")</f>
        <v/>
      </c>
      <c r="CI26" s="102" t="str">
        <f>IF(AND(WSAQIDAH!$AB$70&gt;=75,WSAQIDAH!$AB$70&lt;=83.24),"P","")</f>
        <v/>
      </c>
      <c r="CJ26" s="102" t="str">
        <f>IF(AND(WSAQIDAH!$AB$70&gt;=83.25,WSAQIDAH!$AB$70&lt;=91.4),"P","")</f>
        <v>P</v>
      </c>
      <c r="CK26" s="102" t="str">
        <f>IF(AND(WSAQIDAH!$AB$70&gt;=91.5,WSAQIDAH!$AB$70&lt;=100),"P","")</f>
        <v/>
      </c>
      <c r="CL26" t="str">
        <f>IF(WSAQIDAH!$AB$78&lt;74.9,"P","")</f>
        <v/>
      </c>
      <c r="CM26" s="102" t="str">
        <f>IF(AND(WSAQIDAH!$AB$78&gt;=75,WSAQIDAH!$AB$78&lt;=83.24),"P","")</f>
        <v/>
      </c>
      <c r="CN26" s="102" t="str">
        <f>IF(AND(WSAQIDAH!$AB$78&gt;=83.25,WSAQIDAH!$AB$78&lt;=91.4),"P","")</f>
        <v>P</v>
      </c>
      <c r="CO26" s="102" t="str">
        <f>IF(AND(WSAQIDAH!$AB$78&gt;=91.5,WSAQIDAH!$AB$78&lt;=100),"P","")</f>
        <v/>
      </c>
      <c r="CP26" t="str">
        <f>IF(WSAQIDAH!$AB$86&lt;74.9,"P","")</f>
        <v/>
      </c>
      <c r="CQ26" s="102" t="str">
        <f>IF(AND(WSAQIDAH!$AB$86&gt;=75,WSAQIDAH!$AB$86&lt;=83.24),"P","")</f>
        <v/>
      </c>
      <c r="CR26" s="102" t="str">
        <f>IF(AND(WSAQIDAH!$AB$86&gt;=83.25,WSAQIDAH!$AB$86&lt;=91.4),"P","")</f>
        <v/>
      </c>
      <c r="CS26" s="102" t="str">
        <f>IF(AND(WSAQIDAH!$AB$86&gt;=91.5,WSAQIDAH!$AB$86&lt;=100),"P","")</f>
        <v/>
      </c>
      <c r="CT26" t="str">
        <f>IF(WSAQIDAH!$AB$94&lt;74.9,"P","")</f>
        <v/>
      </c>
      <c r="CU26" s="102" t="str">
        <f>IF(AND(WSAQIDAH!$AB$94&gt;=75,WSAQIDAH!$AB$94&lt;=83.24),"P","")</f>
        <v/>
      </c>
      <c r="CV26" s="102" t="str">
        <f>IF(AND(WSAQIDAH!$AB$94&gt;=83.25,WSAQIDAH!$AB$94&lt;=91.4),"P","")</f>
        <v/>
      </c>
      <c r="CW26" s="102" t="str">
        <f>IF(AND(WSAQIDAH!$AB$94&gt;=91.5,WSAQIDAH!$AB$94&lt;=100),"P","")</f>
        <v/>
      </c>
      <c r="CX26" t="str">
        <f>IF(WSAQIDAH!$AB$102&lt;74.9,"P","")</f>
        <v/>
      </c>
      <c r="CY26" s="102" t="str">
        <f>IF(AND(WSAQIDAH!$AB$102&gt;=75,WSAQIDAH!$AB$102&lt;=83.24),"P","")</f>
        <v/>
      </c>
      <c r="CZ26" s="102" t="str">
        <f>IF(AND(WSAQIDAH!$AB$102&gt;=83.25,WSAQIDAH!$AB$102&lt;=91.4),"P","")</f>
        <v/>
      </c>
      <c r="DA26" s="102" t="str">
        <f>IF(AND(WSAQIDAH!$AB$102&gt;=91.5,WSAQIDAH!$AB$102&lt;=100),"P","")</f>
        <v/>
      </c>
      <c r="DB26" t="str">
        <f>IF(WSSKI!$AB$6&lt;74.9,"P","")</f>
        <v/>
      </c>
      <c r="DC26" s="102" t="str">
        <f>IF(AND(WSSKI!$AB$6&gt;=75,WSSKI!$AB$6&lt;=83.24),"P","")</f>
        <v/>
      </c>
      <c r="DD26" s="102" t="str">
        <f>IF(AND(WSSKI!$AB$6&gt;=83.25,WSSKI!$AB$6&lt;=91.4),"P","")</f>
        <v/>
      </c>
      <c r="DE26" s="102" t="str">
        <f>IF(AND(WSSKI!$AB$6&gt;=91.5,WSSKI!$AB$6&lt;=100),"P","")</f>
        <v>P</v>
      </c>
      <c r="DF26" t="str">
        <f>IF(WSSKI!$AB$14&lt;74.9,"P","")</f>
        <v/>
      </c>
      <c r="DG26" s="102" t="str">
        <f>IF(AND(WSSKI!$AB$14&gt;=75,WSSKI!$AB$14&lt;=83.24),"P","")</f>
        <v/>
      </c>
      <c r="DH26" s="102" t="str">
        <f>IF(AND(WSSKI!$AB$14&gt;=83.25,WSSKI!$AB$14&lt;=91.4),"P","")</f>
        <v/>
      </c>
      <c r="DI26" s="102" t="str">
        <f>IF(AND(WSSKI!$AB$14&gt;=91.5,WSSKI!$AB$14&lt;=100),"P","")</f>
        <v>P</v>
      </c>
      <c r="DJ26" t="str">
        <f>IF(WSSKI!$AB$23&lt;74.9,"P","")</f>
        <v/>
      </c>
      <c r="DK26" s="102" t="str">
        <f>IF(AND(WSSKI!$AB$23&gt;=75,WSSKI!$AB$23&lt;=83.24),"P","")</f>
        <v/>
      </c>
      <c r="DL26" s="102" t="str">
        <f>IF(AND(WSSKI!$AB$23&gt;=83.25,WSSKI!$AB$23&lt;=91.4),"P","")</f>
        <v/>
      </c>
      <c r="DM26" s="102" t="str">
        <f>IF(AND(WSSKI!$AB$23&gt;=91.5,WSSKI!$AB$23&lt;=100),"P","")</f>
        <v>P</v>
      </c>
      <c r="DN26" t="str">
        <f>IF(WSSKI!$AB$31&lt;74.9,"P","")</f>
        <v/>
      </c>
      <c r="DO26" s="102" t="str">
        <f>IF(AND(WSSKI!$AB$31&gt;=75,WSSKI!$AB$31&lt;=83.24),"P","")</f>
        <v/>
      </c>
      <c r="DP26" s="102" t="str">
        <f>IF(AND(WSSKI!$AB$31&gt;=83.25,WSSKI!$AB$31&lt;=91.4),"P","")</f>
        <v>P</v>
      </c>
      <c r="DQ26" s="102" t="str">
        <f>IF(AND(WSSKI!$AB$31&gt;=91.5,WSSKI!$AB$31&lt;=100),"P","")</f>
        <v/>
      </c>
      <c r="DR26" t="str">
        <f>IF(WSSKI!$AB$40&lt;74.9,"P","")</f>
        <v/>
      </c>
      <c r="DS26" s="102" t="str">
        <f>IF(AND(WSSKI!$AB$40&gt;=75,WSSKI!$AB$40&lt;=83.24),"P","")</f>
        <v/>
      </c>
      <c r="DT26" s="102" t="str">
        <f>IF(AND(WSSKI!$AB$40&gt;=83.25,WSSKI!$AB$40&lt;=91.4),"P","")</f>
        <v/>
      </c>
      <c r="DU26" s="102" t="str">
        <f>IF(AND(WSSKI!$AB$40&gt;=91.5,WSSKI!$AB$40&lt;=100),"P","")</f>
        <v>P</v>
      </c>
      <c r="DV26" t="str">
        <f>IF(WSSKI!$AB$48&lt;74.9,"P","")</f>
        <v/>
      </c>
      <c r="DW26" s="102" t="str">
        <f>IF(AND(WSSKI!$AB$48&gt;=75,WSSKI!$AB$48&lt;=83.24),"P","")</f>
        <v/>
      </c>
      <c r="DX26" s="102" t="str">
        <f>IF(AND(WSSKI!$AB$48&gt;=83.25,WSSKI!$AB$48&lt;=91.4),"P","")</f>
        <v>P</v>
      </c>
      <c r="DY26" s="102" t="str">
        <f>IF(AND(WSSKI!$AB$48&gt;=91.5,WSSKI!$AB$48&lt;=100),"P","")</f>
        <v/>
      </c>
      <c r="DZ26" t="str">
        <f>IF(WSSKI!$AB$56&lt;74.9,"P","")</f>
        <v/>
      </c>
      <c r="EA26" s="102" t="str">
        <f>IF(AND(WSSKI!$AB$56&gt;=75,WSSKI!$AB$56&lt;=83.24),"P","")</f>
        <v/>
      </c>
      <c r="EB26" s="102" t="str">
        <f>IF(AND(WSSKI!$AB$56&gt;=83.25,WSSKI!$AB$56&lt;=91.4),"P","")</f>
        <v/>
      </c>
      <c r="EC26" s="102" t="str">
        <f>IF(AND(WSSKI!$AB$56&gt;=91.5,WSSKI!$AB$56&lt;=100),"P","")</f>
        <v/>
      </c>
      <c r="ED26" t="str">
        <f>IF(WSSKI!$AB$64&lt;74.9,"P","")</f>
        <v/>
      </c>
      <c r="EE26" s="102" t="str">
        <f>IF(AND(WSSKI!$AB$64&gt;=75,WSSKI!$AB$64&lt;=83.24),"P","")</f>
        <v/>
      </c>
      <c r="EF26" s="102" t="str">
        <f>IF(AND(WSSKI!$AB$64&gt;=83.25,WSSKI!$AB$64&lt;=91.4),"P","")</f>
        <v/>
      </c>
      <c r="EG26" s="102" t="str">
        <f>IF(AND(WSSKI!$AB$64&gt;=91.5,WSSKI!$AB$64&lt;=100),"P","")</f>
        <v/>
      </c>
      <c r="EH26" t="str">
        <f>IF(WSSKI!$AB$72&lt;74.9,"P","")</f>
        <v/>
      </c>
      <c r="EI26" s="102" t="str">
        <f>IF(AND(WSSKI!$AB$72&gt;=75,WSSKI!$AB$72&lt;=83.24),"P","")</f>
        <v/>
      </c>
      <c r="EJ26" s="102" t="str">
        <f>IF(AND(WSSKI!$AB$72&gt;=83.25,WSSKI!$AB$72&lt;=91.4),"P","")</f>
        <v/>
      </c>
      <c r="EK26" s="102" t="str">
        <f>IF(AND(WSSKI!$AB$72&gt;=91.5,WSSKI!$AB$72&lt;=100),"P","")</f>
        <v/>
      </c>
      <c r="EL26" t="str">
        <f>IF(WSSKI!$AB$80&lt;74.9,"P","")</f>
        <v/>
      </c>
      <c r="EM26" s="102" t="str">
        <f>IF(AND(WSSKI!$AB$80&gt;=75,WSSKI!$AB$80&lt;=83.24),"P","")</f>
        <v/>
      </c>
      <c r="EN26" s="102" t="str">
        <f>IF(AND(WSSKI!$AB$80&gt;=83.25,WSSKI!$AB$80&lt;=91.4),"P","")</f>
        <v/>
      </c>
      <c r="EO26" s="102" t="str">
        <f>IF(AND(WSSKI!$AB$80&gt;=91.5,WSSKI!$AB$80&lt;=100),"P","")</f>
        <v/>
      </c>
      <c r="EP26" t="str">
        <f>IF(WSSKI!$AB$88&lt;74.9,"P","")</f>
        <v/>
      </c>
      <c r="EQ26" s="102" t="str">
        <f>IF(AND(WSSKI!$AB$88&gt;=75,WSSKI!$AB$88&lt;=83.24),"P","")</f>
        <v/>
      </c>
      <c r="ER26" s="102" t="str">
        <f>IF(AND(WSSKI!$AB$88&gt;=83.25,WSSKI!$AB$88&lt;=91.4),"P","")</f>
        <v/>
      </c>
      <c r="ES26" s="102" t="str">
        <f>IF(AND(WSSKI!$AB$88&gt;=91.5,WSSKI!$AB$88&lt;=100),"P","")</f>
        <v/>
      </c>
      <c r="ET26" t="str">
        <f>IF(WSSKI!$AB$96&lt;74.9,"P","")</f>
        <v/>
      </c>
      <c r="EU26" s="102" t="str">
        <f>IF(AND(WSSKI!$AB$96&gt;=75,WSSKI!$AB$96&lt;=83.24),"P","")</f>
        <v/>
      </c>
      <c r="EV26" s="102" t="str">
        <f>IF(AND(WSSKI!$AB$96&gt;=83.25,WSSKI!$AB$96&lt;=91.4),"P","")</f>
        <v/>
      </c>
      <c r="EW26" s="102" t="str">
        <f>IF(AND(WSSKI!$AB$96&gt;=91.5,WSSKI!$AB$96&lt;=100),"P","")</f>
        <v/>
      </c>
      <c r="EX26" t="str">
        <f>IF(WSSKI!$AB$104&lt;74.9,"P","")</f>
        <v/>
      </c>
      <c r="EY26" s="102" t="str">
        <f>IF(AND(WSSKI!$AB$104&gt;=75,WSSKI!$AB$104&lt;=83.24),"P","")</f>
        <v/>
      </c>
      <c r="EZ26" s="102" t="str">
        <f>IF(AND(WSSKI!$AB$104&gt;=83.25,WSSKI!$AB$104&lt;=91.4),"P","")</f>
        <v/>
      </c>
      <c r="FA26" s="102" t="str">
        <f>IF(AND(WSSKI!$AB$104&gt;=91.5,WSSKI!$AB$104&lt;=100),"P","")</f>
        <v/>
      </c>
      <c r="FB26" t="str">
        <f>IF(WSFIQIH!$AB$6&lt;74.9,"P","")</f>
        <v/>
      </c>
      <c r="FC26" s="102" t="str">
        <f>IF(AND(WSFIQIH!$AB$6&gt;=75,WSFIQIH!$AB$6&lt;=83.24),"P","")</f>
        <v/>
      </c>
      <c r="FD26" s="102" t="str">
        <f>IF(AND(WSFIQIH!$AB$6&gt;=83.25,WSFIQIH!$AB$6&lt;=91.4),"P","")</f>
        <v>P</v>
      </c>
      <c r="FE26" s="102" t="str">
        <f>IF(AND(WSFIQIH!$AB$6&gt;=91.5,WSFIQIH!$AB$6&lt;=100),"P","")</f>
        <v/>
      </c>
      <c r="FF26" t="str">
        <f>IF(WSFIQIH!$AB$19&lt;74.9,"P","")</f>
        <v/>
      </c>
      <c r="FG26" s="102" t="str">
        <f>IF(AND(WSFIQIH!$AB$19&gt;=75,WSFIQIH!$AB$19&lt;=83.24),"P","")</f>
        <v>P</v>
      </c>
      <c r="FH26" s="102" t="str">
        <f>IF(AND(WSFIQIH!$AB$19&gt;=83.25,WSFIQIH!$AB$19&lt;=91.4),"P","")</f>
        <v/>
      </c>
      <c r="FI26" s="102" t="str">
        <f>IF(AND(WSFIQIH!$AB$19&gt;=91.5,WSFIQIH!$AB$19&lt;=100),"P","")</f>
        <v/>
      </c>
      <c r="FJ26" t="str">
        <f>IF(WSFIQIH!$AB$28&lt;74.9,"P","")</f>
        <v/>
      </c>
      <c r="FK26" s="102" t="str">
        <f>IF(AND(WSFIQIH!$AB$28&gt;=75,WSFIQIH!$AB$28&lt;=83.24),"P","")</f>
        <v>P</v>
      </c>
      <c r="FL26" s="102" t="str">
        <f>IF(AND(WSFIQIH!$AB$28&gt;=83.25,WSFIQIH!$AB$28&lt;=91.4),"P","")</f>
        <v/>
      </c>
      <c r="FM26" s="102" t="str">
        <f>IF(AND(WSFIQIH!$AB$28&gt;=91.5,WSFIQIH!$AB$28&lt;=100),"P","")</f>
        <v/>
      </c>
      <c r="FN26" t="str">
        <f>IF(WSFIQIH!$AB$41&lt;74.9,"P","")</f>
        <v/>
      </c>
      <c r="FO26" s="102" t="str">
        <f>IF(AND(WSFIQIH!$AB$41&gt;=75,WSFIQIH!$AB$41&lt;=83.24),"P","")</f>
        <v>P</v>
      </c>
      <c r="FP26" s="102" t="str">
        <f>IF(AND(WSFIQIH!$AB$41&gt;=83.25,WSFIQIH!$AB$41&lt;=91.4),"P","")</f>
        <v/>
      </c>
      <c r="FQ26" s="102" t="str">
        <f>IF(AND(WSFIQIH!$AB$41&gt;=91.5,WSFIQIH!$AB$41&lt;=100),"P","")</f>
        <v/>
      </c>
      <c r="FR26" t="str">
        <f>IF(WSFIQIH!$AB$49&lt;74.9,"P","")</f>
        <v/>
      </c>
      <c r="FS26" s="102" t="str">
        <f>IF(AND(WSFIQIH!$AB$49&gt;=75,WSFIQIH!$AB$49&lt;=83.24),"P","")</f>
        <v>P</v>
      </c>
      <c r="FT26" s="102" t="str">
        <f>IF(AND(WSFIQIH!$AB$49&gt;=83.25,WSFIQIH!$AB$49&lt;=91.4),"P","")</f>
        <v/>
      </c>
      <c r="FU26" s="102" t="str">
        <f>IF(AND(WSFIQIH!$AB$49&gt;=91.5,WSFIQIH!$AB$49&lt;=100),"P","")</f>
        <v/>
      </c>
      <c r="FV26" t="str">
        <f>IF(WSFIQIH!$AB$62&lt;74.9,"P","")</f>
        <v/>
      </c>
      <c r="FW26" s="102" t="str">
        <f>IF(AND(WSFIQIH!$AB$62&gt;=75,WSFIQIH!$AB$62&lt;=83.24),"P","")</f>
        <v/>
      </c>
      <c r="FX26" s="102" t="str">
        <f>IF(AND(WSFIQIH!$AB$62&gt;=83.25,WSFIQIH!$AB$62&lt;=91.4),"P","")</f>
        <v>P</v>
      </c>
      <c r="FY26" s="102" t="str">
        <f>IF(AND(WSFIQIH!$AB$62&gt;=91.5,WSFIQIH!$AB$62&lt;=100),"P","")</f>
        <v/>
      </c>
      <c r="FZ26" t="str">
        <f>IF(WSFIQIH!$AB$71&lt;74.9,"P","")</f>
        <v/>
      </c>
      <c r="GA26" s="102" t="str">
        <f>IF(AND(WSFIQIH!$AB$71&gt;=75,WSFIQIH!$AB$71&lt;=83.24),"P","")</f>
        <v/>
      </c>
      <c r="GB26" s="102" t="str">
        <f>IF(AND(WSFIQIH!$AB$71&gt;=83.25,WSFIQIH!$AB$71&lt;=91.4),"P","")</f>
        <v>P</v>
      </c>
      <c r="GC26" s="102" t="str">
        <f>IF(AND(WSFIQIH!$AB$71&gt;=91.5,WSFIQIH!$AB$71&lt;=100),"P","")</f>
        <v/>
      </c>
      <c r="GD26" t="str">
        <f>IF(WSFIQIH!$AB$80&lt;74.9,"P","")</f>
        <v/>
      </c>
      <c r="GE26" s="102" t="str">
        <f>IF(AND(WSFIQIH!$AB$80&gt;=75,WSFIQIH!$AB$80&lt;=83.24),"P","")</f>
        <v>P</v>
      </c>
      <c r="GF26" s="102" t="str">
        <f>IF(AND(WSFIQIH!$AB$80&gt;=83.25,WSFIQIH!$AB$80&lt;=91.4),"P","")</f>
        <v/>
      </c>
      <c r="GG26" s="102" t="str">
        <f>IF(AND(WSFIQIH!$AB$80&gt;=91.5,WSFIQIH!$AB$80&lt;=100),"P","")</f>
        <v/>
      </c>
      <c r="GH26" t="str">
        <f>IF(WSFIQIH!$AB$88&lt;74.9,"P","")</f>
        <v/>
      </c>
      <c r="GI26" s="102" t="str">
        <f>IF(AND(WSFIQIH!$AB$88&gt;=75,WSFIQIH!$AB$88&lt;=83.24),"P","")</f>
        <v/>
      </c>
      <c r="GJ26" s="102" t="str">
        <f>IF(AND(WSFIQIH!$AB$88&gt;=83.25,WSFIQIH!$AB$88&lt;=91.4),"P","")</f>
        <v/>
      </c>
      <c r="GK26" s="102" t="str">
        <f>IF(AND(WSFIQIH!$AB$88&gt;=91.5,WSFIQIH!$AB$88&lt;=100),"P","")</f>
        <v/>
      </c>
      <c r="GL26" t="str">
        <f>IF(WSFIQIH!$AB$96&lt;74.9,"P","")</f>
        <v/>
      </c>
      <c r="GM26" s="102" t="str">
        <f>IF(AND(WSFIQIH!$AB$96&gt;=75,WSFIQIH!$AB$96&lt;=83.24),"P","")</f>
        <v/>
      </c>
      <c r="GN26" s="102" t="str">
        <f>IF(AND(WSFIQIH!$AB$96&gt;=83.25,WSFIQIH!$AB$96&lt;=91.4),"P","")</f>
        <v/>
      </c>
      <c r="GO26" s="102" t="str">
        <f>IF(AND(WSFIQIH!$AB$96&gt;=91.5,WSFIQIH!$AB$96&lt;=100),"P","")</f>
        <v/>
      </c>
      <c r="GP26" t="str">
        <f>IF(WSFIQIH!$AB$104&lt;74.9,"P","")</f>
        <v/>
      </c>
      <c r="GQ26" s="102" t="str">
        <f>IF(AND(WSFIQIH!$AB$104&gt;=75,WSFIQIH!$AB$104&lt;=83.24),"P","")</f>
        <v/>
      </c>
      <c r="GR26" s="102" t="str">
        <f>IF(AND(WSFIQIH!$AB$104&gt;=83.25,WSFIQIH!$AB$104&lt;=91.4),"P","")</f>
        <v/>
      </c>
      <c r="GS26" s="102" t="str">
        <f>IF(AND(WSFIQIH!$AB$104&gt;=91.5,WSFIQIH!$AB$104&lt;=100),"P","")</f>
        <v/>
      </c>
      <c r="GT26" t="str">
        <f>IF(WSFIQIH!$AB$112&lt;74.9,"P","")</f>
        <v/>
      </c>
      <c r="GU26" s="102" t="str">
        <f>IF(AND(WSFIQIH!$AB$112&gt;=75,WSFIQIH!$AB$112&lt;=83.24),"P","")</f>
        <v/>
      </c>
      <c r="GV26" s="102" t="str">
        <f>IF(AND(WSFIQIH!$AB$112&gt;=83.25,WSFIQIH!$AB$112&lt;=91.4),"P","")</f>
        <v/>
      </c>
      <c r="GW26" s="102" t="str">
        <f>IF(AND(WSFIQIH!$AB$112&gt;=91.5,WSFIQIH!$AB$112&lt;=100),"P","")</f>
        <v/>
      </c>
      <c r="GX26" t="str">
        <f>IF(WSFIQIH!$AB$120&lt;74.9,"P","")</f>
        <v/>
      </c>
      <c r="GY26" s="102" t="str">
        <f>IF(AND(WSFIQIH!$AB$120&gt;=75,WSFIQIH!$AB$120&lt;=83.24),"P","")</f>
        <v/>
      </c>
      <c r="GZ26" s="102" t="str">
        <f>IF(AND(WSFIQIH!$AB$120&gt;=83.25,WSFIQIH!$AB$120&lt;=91.4),"P","")</f>
        <v/>
      </c>
      <c r="HA26" s="102" t="str">
        <f>IF(AND(WSFIQIH!$AB$120&gt;=91.5,WSFIQIH!$AB$120&lt;=100),"P","")</f>
        <v/>
      </c>
      <c r="HB26" t="str">
        <f>IF(WSPKN!$AB$6&lt;74.9,"P","")</f>
        <v/>
      </c>
      <c r="HC26" s="102" t="str">
        <f>IF(AND(WSPKN!$AB$6&gt;=75,WSPKN!$AB$6&lt;=83.24),"P","")</f>
        <v/>
      </c>
      <c r="HD26" s="102" t="str">
        <f>IF(AND(WSPKN!$AB$6&gt;=83.25,WSPKN!$AB$6&lt;=91.4),"P","")</f>
        <v/>
      </c>
      <c r="HE26" s="102" t="str">
        <f>IF(AND(WSPKN!$AB$6&gt;=91.5,WSPKN!$AB$6&lt;=100),"P","")</f>
        <v>P</v>
      </c>
      <c r="HF26" t="str">
        <f>IF(WSPKN!$AB$32&lt;74.9,"P","")</f>
        <v/>
      </c>
      <c r="HG26" s="102" t="str">
        <f>IF(AND(WSPKN!$AB$32&gt;=75,WSPKN!$AB$32&lt;=83.24),"P","")</f>
        <v/>
      </c>
      <c r="HH26" s="102" t="str">
        <f>IF(AND(WSPKN!$AB$32&gt;=83.25,WSPKN!$AB$32&lt;=91.4),"P","")</f>
        <v/>
      </c>
      <c r="HI26" s="102" t="str">
        <f>IF(AND(WSPKN!$AB$32&gt;=91.5,WSPKN!$AB$32&lt;=100),"P","")</f>
        <v>P</v>
      </c>
      <c r="HJ26" t="str">
        <f>IF(WSPKN!$AB$55&lt;74.9,"P","")</f>
        <v/>
      </c>
      <c r="HK26" s="102" t="str">
        <f>IF(AND(WSPKN!$AB$55&gt;=75,WSPKN!$AB$55&lt;=83.24),"P","")</f>
        <v/>
      </c>
      <c r="HL26" s="102" t="str">
        <f>IF(AND(WSPKN!$AB$55&gt;=83.25,WSPKN!$AB$55&lt;=91.4),"P","")</f>
        <v/>
      </c>
      <c r="HM26" s="102" t="str">
        <f>IF(AND(WSPKN!$AB$55&gt;=91.5,WSPKN!$AB$55&lt;=100),"P","")</f>
        <v>P</v>
      </c>
      <c r="HN26" t="str">
        <f>IF(WSPKN!$AB$72&lt;74.9,"P","")</f>
        <v/>
      </c>
      <c r="HO26" s="102" t="str">
        <f>IF(AND(WSPKN!$AB$72&gt;=75,WSPKN!$AB$72&lt;=83.24),"P","")</f>
        <v/>
      </c>
      <c r="HP26" s="102" t="str">
        <f>IF(AND(WSPKN!$AB$72&gt;=83.25,WSPKN!$AB$72&lt;=91.4),"P","")</f>
        <v/>
      </c>
      <c r="HQ26" s="102" t="str">
        <f>IF(AND(WSPKN!$AB$72&gt;=91.5,WSPKN!$AB$72&lt;=100),"P","")</f>
        <v>P</v>
      </c>
      <c r="HR26" t="str">
        <f>IF(WSPKN!$AB$86&lt;74.9,"P","")</f>
        <v/>
      </c>
      <c r="HS26" s="102" t="str">
        <f>IF(AND(WSPKN!$AB$86&gt;=75,WSPKN!$AB$86&lt;=83.24),"P","")</f>
        <v/>
      </c>
      <c r="HT26" s="102" t="str">
        <f>IF(AND(WSPKN!$AB$86&gt;=83.25,WSPKN!$AB$86&lt;=91.4),"P","")</f>
        <v/>
      </c>
      <c r="HU26" s="102" t="str">
        <f>IF(AND(WSPKN!$AB$86&gt;=91.5,WSPKN!$AB$86&lt;=100),"P","")</f>
        <v>P</v>
      </c>
      <c r="HV26" t="str">
        <f>IF(WSPKN!$AB$108&lt;74.9,"P","")</f>
        <v/>
      </c>
      <c r="HW26" s="102" t="str">
        <f>IF(AND(WSPKN!$AB$108&gt;=75,WSPKN!$AB$108&lt;=83.24),"P","")</f>
        <v/>
      </c>
      <c r="HX26" s="102" t="str">
        <f>IF(AND(WSPKN!$AB$108&gt;=83.25,WSPKN!$AB$108&lt;=91.4),"P","")</f>
        <v/>
      </c>
      <c r="HY26" s="102" t="str">
        <f>IF(AND(WSPKN!$AB$108&gt;=91.5,WSPKN!$AB$108&lt;=100),"P","")</f>
        <v>P</v>
      </c>
      <c r="HZ26" t="str">
        <f>IF(WSPKN!$AB$132&lt;74.9,"P","")</f>
        <v/>
      </c>
      <c r="IA26" s="102" t="str">
        <f>IF(AND(WSPKN!$AB$132&gt;=75,WSPKN!$AB$132&lt;=83.24),"P","")</f>
        <v/>
      </c>
      <c r="IB26" s="102" t="str">
        <f>IF(AND(WSPKN!$AB$132&gt;=83.25,WSPKN!$AB$132&lt;=91.4),"P","")</f>
        <v/>
      </c>
      <c r="IC26" s="102" t="str">
        <f>IF(AND(WSPKN!$AB$132&gt;=91.5,WSPKN!$AB$132&lt;=100),"P","")</f>
        <v>P</v>
      </c>
      <c r="ID26" t="str">
        <f>IF(WSPKN!$AB$148&lt;74.9,"P","")</f>
        <v/>
      </c>
      <c r="IE26" s="102" t="str">
        <f>IF(AND(WSPKN!$AB$148&gt;=75,WSPKN!$AB$148&lt;=83.24),"P","")</f>
        <v/>
      </c>
      <c r="IF26" s="102" t="str">
        <f>IF(AND(WSPKN!$AB$148&gt;=83.25,WSPKN!$AB$148&lt;=91.4),"P","")</f>
        <v/>
      </c>
      <c r="IG26" s="102" t="str">
        <f>IF(AND(WSPKN!$AB$148&gt;=91.5,WSPKN!$AB$148&lt;=100),"P","")</f>
        <v>P</v>
      </c>
      <c r="IH26" t="str">
        <f>IF(WSPKN!$AB$165&lt;74.9,"P","")</f>
        <v/>
      </c>
      <c r="II26" s="102" t="str">
        <f>IF(AND(WSPKN!$AB$165&gt;=75,WSPKN!$AB$165&lt;=83.24),"P","")</f>
        <v/>
      </c>
      <c r="IJ26" s="102" t="str">
        <f>IF(AND(WSPKN!$AB$165&gt;=83.25,WSPKN!$AB$165&lt;=91.4),"P","")</f>
        <v/>
      </c>
      <c r="IK26" s="102" t="str">
        <f>IF(AND(WSPKN!$AB$165&gt;=91.5,WSPKN!$AB$165&lt;=100),"P","")</f>
        <v/>
      </c>
      <c r="IL26" t="str">
        <f>IF(WSPKN!$AB$173&lt;74.9,"P","")</f>
        <v/>
      </c>
      <c r="IM26" s="102" t="str">
        <f>IF(AND(WSPKN!$AB$173&gt;=75,WSPKN!$AB$173&lt;=83.24),"P","")</f>
        <v/>
      </c>
      <c r="IN26" s="102" t="str">
        <f>IF(AND(WSPKN!$AB$173&gt;=83.25,WSPKN!$AB$173&lt;=91.4),"P","")</f>
        <v/>
      </c>
      <c r="IO26" s="102" t="str">
        <f>IF(AND(WSPKN!$AB$173&gt;=91.5,WSPKN!$AB$173&lt;=100),"P","")</f>
        <v/>
      </c>
      <c r="IP26" t="str">
        <f>IF(WSPKN!$AB$181&lt;74.9,"P","")</f>
        <v/>
      </c>
      <c r="IQ26" s="102" t="str">
        <f>IF(AND(WSPKN!$AB$181&gt;=75,WSPKN!$AB$181&lt;=83.24),"P","")</f>
        <v/>
      </c>
      <c r="IR26" s="102" t="str">
        <f>IF(AND(WSPKN!$AB$181&gt;=83.25,WSPKN!$AB$181&lt;=91.4),"P","")</f>
        <v/>
      </c>
      <c r="IS26" s="102" t="str">
        <f>IF(AND(WSPKN!$AB$181&gt;=91.5,WSPKN!$AB$181&lt;=100),"P","")</f>
        <v/>
      </c>
      <c r="IT26" t="str">
        <f>IF(WSPKN!$AB$189&lt;74.9,"P","")</f>
        <v/>
      </c>
      <c r="IU26" s="102" t="str">
        <f>IF(AND(WSPKN!$AB$189&gt;=75,WSPKN!$AB$189&lt;=83.24),"P","")</f>
        <v/>
      </c>
      <c r="IV26" s="102" t="str">
        <f>IF(AND(WSPKN!$AB$189&gt;=83.25,WSPKN!$AB$189&lt;=91.4),"P","")</f>
        <v/>
      </c>
      <c r="IW26" s="102" t="str">
        <f>IF(AND(WSPKN!$AB$189&gt;=91.5,WSPKN!$AB$189&lt;=100),"P","")</f>
        <v/>
      </c>
      <c r="IX26" t="str">
        <f>IF(WSPKN!$AB$197&lt;74.9,"P","")</f>
        <v/>
      </c>
      <c r="IY26" s="102" t="str">
        <f>IF(AND(WSPKN!$AB$197&gt;=75,WSPKN!$AB$197&lt;=83.24),"P","")</f>
        <v/>
      </c>
      <c r="IZ26" s="102" t="str">
        <f>IF(AND(WSPKN!$AB$197&gt;=83.25,WSPKN!$AB$197&lt;=91.4),"P","")</f>
        <v/>
      </c>
      <c r="JA26" s="102" t="str">
        <f>IF(AND(WSPKN!$AB$197&gt;=91.5,WSPKN!$AB$197&lt;=100),"P","")</f>
        <v/>
      </c>
      <c r="JB26" t="str">
        <f>IF(WSIND!$AB$6&lt;74.9,"P","")</f>
        <v/>
      </c>
      <c r="JC26" s="102" t="str">
        <f>IF(AND(WSIND!$AB$6&gt;=75,WSIND!$AB$6&lt;=83.24),"P","")</f>
        <v/>
      </c>
      <c r="JD26" s="102" t="str">
        <f>IF(AND(WSIND!$AB$6&gt;=83.25,WSIND!$AB$6&lt;=91.4),"P","")</f>
        <v/>
      </c>
      <c r="JE26" s="102" t="str">
        <f>IF(AND(WSIND!$AB$6&gt;=91.5,WSIND!$AB$6&lt;=100),"P","")</f>
        <v>P</v>
      </c>
      <c r="JF26" t="str">
        <f>IF(WSIND!$AB$65&lt;74.9,"P","")</f>
        <v/>
      </c>
      <c r="JG26" s="102" t="str">
        <f>IF(AND(WSIND!$AB$65&gt;=75,WSIND!$AB$65&lt;=83.24),"P","")</f>
        <v/>
      </c>
      <c r="JH26" s="102" t="str">
        <f>IF(AND(WSIND!$AB$65&gt;=83.25,WSIND!$AB$65&lt;=91.4),"P","")</f>
        <v/>
      </c>
      <c r="JI26" s="102" t="str">
        <f>IF(AND(WSIND!$AB$65&gt;=91.5,WSIND!$AB$65&lt;=100),"P","")</f>
        <v>P</v>
      </c>
      <c r="JJ26" t="str">
        <f>IF(WSIND!$AB$113&lt;74.9,"P","")</f>
        <v/>
      </c>
      <c r="JK26" s="102" t="str">
        <f>IF(AND(WSIND!$AB$113&gt;=75,WSIND!$AB$113&lt;=83.24),"P","")</f>
        <v/>
      </c>
      <c r="JL26" s="102" t="str">
        <f>IF(AND(WSIND!$AB$113&gt;=83.25,WSIND!$AB$113&lt;=91.4),"P","")</f>
        <v/>
      </c>
      <c r="JM26" s="102" t="str">
        <f>IF(AND(WSIND!$AB$113&gt;=91.5,WSIND!$AB$113&lt;=100),"P","")</f>
        <v>P</v>
      </c>
      <c r="JN26" t="str">
        <f>IF(WSIND!$AB$133&lt;74.9,"P","")</f>
        <v/>
      </c>
      <c r="JO26" s="102" t="str">
        <f>IF(AND(WSIND!$AB$133&gt;=75,WSIND!$AB$133&lt;=83.24),"P","")</f>
        <v/>
      </c>
      <c r="JP26" s="102" t="str">
        <f>IF(AND(WSIND!$AB$133&gt;=83.25,WSIND!$AB$133&lt;=91.4),"P","")</f>
        <v/>
      </c>
      <c r="JQ26" s="102" t="str">
        <f>IF(AND(WSIND!$AB$133&gt;=91.5,WSIND!$AB$133&lt;=100),"P","")</f>
        <v>P</v>
      </c>
      <c r="JR26" t="str">
        <f>IF(WSIND!$AB$161&lt;74.9,"P","")</f>
        <v/>
      </c>
      <c r="JS26" s="102" t="str">
        <f>IF(AND(WSIND!$AB$161&gt;=75,WSIND!$AB$161&lt;=83.24),"P","")</f>
        <v/>
      </c>
      <c r="JT26" s="102" t="str">
        <f>IF(AND(WSIND!$AB$161&gt;=83.25,WSIND!$AB$161&lt;=91.4),"P","")</f>
        <v/>
      </c>
      <c r="JU26" s="102" t="str">
        <f>IF(AND(WSIND!$AB$161&gt;=91.5,WSIND!$AB$161&lt;=100),"P","")</f>
        <v>P</v>
      </c>
      <c r="JV26" t="str">
        <f>IF(WSIND!$AB$192&lt;74.9,"P","")</f>
        <v/>
      </c>
      <c r="JW26" s="102" t="str">
        <f>IF(AND(WSIND!$AB$192&gt;=75,WSIND!$AB$192&lt;=83.24),"P","")</f>
        <v/>
      </c>
      <c r="JX26" s="102" t="str">
        <f>IF(AND(WSIND!$AB$192&gt;=83.25,WSIND!$AB$192&lt;=91.4),"P","")</f>
        <v/>
      </c>
      <c r="JY26" s="102" t="str">
        <f>IF(AND(WSIND!$AB$192&gt;=91.5,WSIND!$AB$192&lt;=100),"P","")</f>
        <v>P</v>
      </c>
      <c r="JZ26" t="str">
        <f>IF(WSIND!$AB$228&lt;74.9,"P","")</f>
        <v/>
      </c>
      <c r="KA26" s="102" t="str">
        <f>IF(AND(WSIND!$AB$228&gt;=75,WSIND!$AB$228&lt;=83.24),"P","")</f>
        <v/>
      </c>
      <c r="KB26" s="102" t="str">
        <f>IF(AND(WSIND!$AB$228&gt;=83.25,WSIND!$AB$228&lt;=91.4),"P","")</f>
        <v/>
      </c>
      <c r="KC26" s="102" t="str">
        <f>IF(AND(WSIND!$AB$228&gt;=91.5,WSIND!$AB$228&lt;=100),"P","")</f>
        <v>P</v>
      </c>
      <c r="KD26" t="str">
        <f>IF(WSIND!$AB$256&lt;74.9,"P","")</f>
        <v/>
      </c>
      <c r="KE26" s="102" t="str">
        <f>IF(AND(WSIND!$AB$256&gt;=75,WSIND!$AB$256&lt;=83.24),"P","")</f>
        <v/>
      </c>
      <c r="KF26" s="102" t="str">
        <f>IF(AND(WSIND!$AB$256&gt;=83.25,WSIND!$AB$256&lt;=91.4),"P","")</f>
        <v/>
      </c>
      <c r="KG26" s="102" t="str">
        <f>IF(AND(WSIND!$AB$256&gt;=91.5,WSIND!$AB$256&lt;=100),"P","")</f>
        <v>P</v>
      </c>
      <c r="KH26" t="str">
        <f>IF(WSIND!$AB$277&lt;74.9,"P","")</f>
        <v/>
      </c>
      <c r="KI26" s="102" t="str">
        <f>IF(AND(WSIND!$AB$277&gt;=75,WSIND!$AB$277&lt;=83.24),"P","")</f>
        <v/>
      </c>
      <c r="KJ26" s="102" t="str">
        <f>IF(AND(WSIND!$AB$277&gt;=83.25,WSIND!$AB$277&lt;=91.4),"P","")</f>
        <v/>
      </c>
      <c r="KK26" s="102" t="str">
        <f>IF(AND(WSIND!$AB$277&gt;=91.5,WSIND!$AB$277&lt;=100),"P","")</f>
        <v>P</v>
      </c>
      <c r="KL26" t="str">
        <f>IF(WSIND!$AB$305&lt;74.9,"P","")</f>
        <v/>
      </c>
      <c r="KM26" s="102" t="str">
        <f>IF(AND(WSIND!$AB$305&gt;=75,WSIND!$AB$305&lt;=83.24),"P","")</f>
        <v/>
      </c>
      <c r="KN26" s="102" t="str">
        <f>IF(AND(WSIND!$AB$305&gt;=83.25,WSIND!$AB$305&lt;=91.4),"P","")</f>
        <v/>
      </c>
      <c r="KO26" s="102" t="str">
        <f>IF(AND(WSIND!$AB$305&gt;=91.5,WSIND!$AB$305&lt;=100),"P","")</f>
        <v>P</v>
      </c>
      <c r="KP26" t="str">
        <f>IF(WSIND!$AB$329&lt;74.9,"P","")</f>
        <v/>
      </c>
      <c r="KQ26" s="102" t="str">
        <f>IF(AND(WSIND!$AB$329&gt;=75,WSIND!$AB$329&lt;=83.24),"P","")</f>
        <v/>
      </c>
      <c r="KR26" s="102" t="str">
        <f>IF(AND(WSIND!$AB$329&gt;=83.25,WSIND!$AB$329&lt;=91.4),"P","")</f>
        <v/>
      </c>
      <c r="KS26" s="102" t="str">
        <f>IF(AND(WSIND!$AB$329&gt;=91.5,WSIND!$AB$329&lt;=100),"P","")</f>
        <v/>
      </c>
      <c r="KT26" t="str">
        <f>IF(WSIND!$AB$337&lt;74.9,"P","")</f>
        <v/>
      </c>
      <c r="KU26" s="102" t="str">
        <f>IF(AND(WSIND!$AB$337&gt;=75,WSIND!$AB$337&lt;=83.24),"P","")</f>
        <v/>
      </c>
      <c r="KV26" s="102" t="str">
        <f>IF(AND(WSIND!$AB$337&gt;=83.25,WSIND!$AB$337&lt;=91.4),"P","")</f>
        <v/>
      </c>
      <c r="KW26" s="102" t="str">
        <f>IF(AND(WSIND!$AB$337&gt;=91.5,WSIND!$AB$337&lt;=100),"P","")</f>
        <v/>
      </c>
      <c r="KX26" t="str">
        <f>IF(WSIND!$AB$345&lt;74.9,"P","")</f>
        <v/>
      </c>
      <c r="KY26" s="102" t="str">
        <f>IF(AND(WSIND!$AB$345&gt;=75,WSIND!$AB$345&lt;=83.24),"P","")</f>
        <v/>
      </c>
      <c r="KZ26" s="102" t="str">
        <f>IF(AND(WSIND!$AB$345&gt;=83.25,WSIND!$AB$345&lt;=91.4),"P","")</f>
        <v/>
      </c>
      <c r="LA26" s="102" t="str">
        <f>IF(AND(WSIND!$AB$345&gt;=91.5,WSIND!$AB$345&lt;=100),"P","")</f>
        <v/>
      </c>
      <c r="LB26" t="str">
        <f>IF(WSARAB!$AB$6&lt;74.9,"P","")</f>
        <v/>
      </c>
      <c r="LC26" s="102" t="str">
        <f>IF(AND(WSARAB!$AB$6&gt;=75,WSARAB!$AB$6&lt;=83.24),"P","")</f>
        <v/>
      </c>
      <c r="LD26" s="102" t="str">
        <f>IF(AND(WSARAB!$AB$6&gt;=83.25,WSARAB!$AB$6&lt;=91.4),"P","")</f>
        <v/>
      </c>
      <c r="LE26" s="102" t="str">
        <f>IF(AND(WSARAB!$AB$6&gt;=91.5,WSARAB!$AB$6&lt;=100),"P","")</f>
        <v/>
      </c>
      <c r="LF26" t="str">
        <f>IF(WSARAB!$AB$17&lt;74.9,"P","")</f>
        <v/>
      </c>
      <c r="LG26" s="102" t="str">
        <f>IF(AND(WSARAB!$AB$17&gt;=75,WSARAB!$AB$17&lt;=83.24),"P","")</f>
        <v/>
      </c>
      <c r="LH26" s="102" t="str">
        <f>IF(AND(WSARAB!$AB$17&gt;=83.25,WSARAB!$AB$17&lt;=91.4),"P","")</f>
        <v/>
      </c>
      <c r="LI26" s="102" t="str">
        <f>IF(AND(WSARAB!$AB$17&gt;=91.5,WSARAB!$AB$17&lt;=100),"P","")</f>
        <v/>
      </c>
      <c r="LJ26" t="str">
        <f>IF(WSARAB!$AB$29&lt;74.9,"P","")</f>
        <v/>
      </c>
      <c r="LK26" s="102" t="str">
        <f>IF(AND(WSARAB!$AB$29&gt;=75,WSARAB!$AB$29&lt;=83.24),"P","")</f>
        <v/>
      </c>
      <c r="LL26" s="102" t="str">
        <f>IF(AND(WSARAB!$AB$29&gt;=83.25,WSARAB!$AB$29&lt;=91.4),"P","")</f>
        <v/>
      </c>
      <c r="LM26" s="102" t="str">
        <f>IF(AND(WSARAB!$AB$29&gt;=91.5,WSARAB!$AB$29&lt;=100),"P","")</f>
        <v/>
      </c>
      <c r="LN26" t="str">
        <f>IF(WSARAB!$AB$37&lt;74.9,"P","")</f>
        <v/>
      </c>
      <c r="LO26" s="102" t="str">
        <f>IF(AND(WSARAB!$AB$37&gt;=75,WSARAB!$AB$37&lt;=83.24),"P","")</f>
        <v/>
      </c>
      <c r="LP26" s="102" t="str">
        <f>IF(AND(WSARAB!$AB$37&gt;=83.25,WSARAB!$AB$37&lt;=91.4),"P","")</f>
        <v/>
      </c>
      <c r="LQ26" s="102" t="str">
        <f>IF(AND(WSARAB!$AB$37&gt;=91.5,WSARAB!$AB$37&lt;=100),"P","")</f>
        <v/>
      </c>
      <c r="LR26" t="str">
        <f>IF(WSARAB!$AB$45&lt;74.9,"P","")</f>
        <v/>
      </c>
      <c r="LS26" s="102" t="str">
        <f>IF(AND(WSARAB!$AB$45&gt;=75,WSARAB!$AB$45&lt;=83.24),"P","")</f>
        <v/>
      </c>
      <c r="LT26" s="102" t="str">
        <f>IF(AND(WSARAB!$AB$45&gt;=83.25,WSARAB!$AB$45&lt;=91.4),"P","")</f>
        <v/>
      </c>
      <c r="LU26" s="102" t="str">
        <f>IF(AND(WSARAB!$AB$45&gt;=91.5,WSARAB!$AB$45&lt;=100),"P","")</f>
        <v/>
      </c>
      <c r="LV26" t="str">
        <f>IF(WSARAB!$AB$53&lt;74.9,"P","")</f>
        <v/>
      </c>
      <c r="LW26" s="102" t="str">
        <f>IF(AND(WSARAB!$AB$53&gt;=75,WSARAB!$AB$53&lt;=83.24),"P","")</f>
        <v/>
      </c>
      <c r="LX26" s="102" t="str">
        <f>IF(AND(WSARAB!$AB$53&gt;=83.25,WSARAB!$AB$53&lt;=91.4),"P","")</f>
        <v/>
      </c>
      <c r="LY26" s="102" t="str">
        <f>IF(AND(WSARAB!$AB$53&gt;=91.5,WSARAB!$AB$53&lt;=100),"P","")</f>
        <v/>
      </c>
      <c r="LZ26" t="str">
        <f>IF(WSARAB!$AB$65&lt;74.9,"P","")</f>
        <v/>
      </c>
      <c r="MA26" s="102" t="str">
        <f>IF(AND(WSARAB!$AB$65&gt;=75,WSARAB!$AB$65&lt;=83.24),"P","")</f>
        <v/>
      </c>
      <c r="MB26" s="102" t="str">
        <f>IF(AND(WSARAB!$AB$65&gt;=83.25,WSARAB!$AB$65&lt;=91.4),"P","")</f>
        <v/>
      </c>
      <c r="MC26" s="102" t="str">
        <f>IF(AND(WSARAB!$AB$65&gt;=91.5,WSARAB!$AB$65&lt;=100),"P","")</f>
        <v/>
      </c>
      <c r="MD26" t="str">
        <f>IF(WSARAB!$AB$73&lt;74.9,"P","")</f>
        <v/>
      </c>
      <c r="ME26" s="102" t="str">
        <f>IF(AND(WSARAB!$AB$73&gt;=75,WSARAB!$AB$73&lt;=83.24),"P","")</f>
        <v/>
      </c>
      <c r="MF26" s="102" t="str">
        <f>IF(AND(WSARAB!$AB$73&gt;=83.25,WSARAB!$AB$73&lt;=91.4),"P","")</f>
        <v/>
      </c>
      <c r="MG26" s="102" t="str">
        <f>IF(AND(WSARAB!$AB$73&gt;=91.5,WSARAB!$AB$73&lt;=100),"P","")</f>
        <v/>
      </c>
      <c r="MH26" t="str">
        <f>IF(WSARAB!$AB$81&lt;74.9,"P","")</f>
        <v/>
      </c>
      <c r="MI26" s="102" t="str">
        <f>IF(AND(WSARAB!$AB$81&gt;=75,WSARAB!$AB$81&lt;=83.24),"P","")</f>
        <v/>
      </c>
      <c r="MJ26" s="102" t="str">
        <f>IF(AND(WSARAB!$AB$81&gt;=83.25,WSARAB!$AB$81&lt;=91.4),"P","")</f>
        <v/>
      </c>
      <c r="MK26" s="102" t="str">
        <f>IF(AND(WSARAB!$AB$81&gt;=91.5,WSARAB!$AB$81&lt;=100),"P","")</f>
        <v/>
      </c>
      <c r="ML26" t="str">
        <f>IF(WSARAB!$AB$89&lt;74.9,"P","")</f>
        <v/>
      </c>
      <c r="MM26" s="102" t="str">
        <f>IF(AND(WSARAB!$AB$89&gt;=75,WSARAB!$AB$89&lt;=83.24),"P","")</f>
        <v/>
      </c>
      <c r="MN26" s="102" t="str">
        <f>IF(AND(WSARAB!$AB$89&gt;=83.25,WSARAB!$AB$89&lt;=91.4),"P","")</f>
        <v/>
      </c>
      <c r="MO26" s="102" t="str">
        <f>IF(AND(WSARAB!$AB$89&gt;=91.5,WSARAB!$AB$89&lt;=100),"P","")</f>
        <v/>
      </c>
      <c r="MP26" t="str">
        <f>IF(WSARAB!$AB$97&lt;74.9,"P","")</f>
        <v/>
      </c>
      <c r="MQ26" s="102" t="str">
        <f>IF(AND(WSARAB!$AB$97&gt;=75,WSARAB!$AB$97&lt;=83.24),"P","")</f>
        <v/>
      </c>
      <c r="MR26" s="102" t="str">
        <f>IF(AND(WSARAB!$AB$97&gt;=83.25,WSARAB!$AB$97&lt;=91.4),"P","")</f>
        <v/>
      </c>
      <c r="MS26" s="102" t="str">
        <f>IF(AND(WSARAB!$AB$97&gt;=91.5,WSARAB!$AB$97&lt;=100),"P","")</f>
        <v/>
      </c>
      <c r="MT26" t="str">
        <f>IF(WSARAB!$AB$105&lt;74.9,"P","")</f>
        <v/>
      </c>
      <c r="MU26" s="102" t="str">
        <f>IF(AND(WSARAB!$AB$105&gt;=75,WSARAB!$AB$105&lt;=83.24),"P","")</f>
        <v/>
      </c>
      <c r="MV26" s="102" t="str">
        <f>IF(AND(WSARAB!$AB$105&gt;=83.25,WSARAB!$AB$105&lt;=91.4),"P","")</f>
        <v/>
      </c>
      <c r="MW26" s="102" t="str">
        <f>IF(AND(WSARAB!$AB$105&gt;=91.5,WSARAB!$AB$105&lt;=100),"P","")</f>
        <v/>
      </c>
      <c r="MX26" t="str">
        <f>IF(WSARAB!$AB$113&lt;74.9,"P","")</f>
        <v/>
      </c>
      <c r="MY26" s="102" t="str">
        <f>IF(AND(WSARAB!$AB$113&gt;=75,WSARAB!$AB$113&lt;=83.24),"P","")</f>
        <v/>
      </c>
      <c r="MZ26" s="102" t="str">
        <f>IF(AND(WSARAB!$AB$113&gt;=83.25,WSARAB!$AB$113&lt;=91.4),"P","")</f>
        <v/>
      </c>
      <c r="NA26" s="102" t="str">
        <f>IF(AND(WSARAB!$AB$113&gt;=91.5,WSARAB!$AB$113&lt;=100),"P","")</f>
        <v/>
      </c>
      <c r="NB26" t="str">
        <f>IF(WSMTK!$AB$6&lt;74.9,"P","")</f>
        <v/>
      </c>
      <c r="NC26" s="102" t="str">
        <f>IF(AND(WSMTK!$AB$6&gt;=75,WSMTK!$AB$6&lt;=83.24),"P","")</f>
        <v/>
      </c>
      <c r="ND26" s="102" t="str">
        <f>IF(AND(WSMTK!$AB$6&gt;=83.25,WSMTK!$AB$6&lt;=91.4),"P","")</f>
        <v/>
      </c>
      <c r="NE26" s="102" t="str">
        <f>IF(AND(WSMTK!$AB$6&gt;=91.5,WSMTK!$AB$6&lt;=100),"P","")</f>
        <v>P</v>
      </c>
      <c r="NF26" t="str">
        <f>IF(WSMTK!$AB$22&lt;74.9,"P","")</f>
        <v/>
      </c>
      <c r="NG26" s="102" t="str">
        <f>IF(AND(WSMTK!$AB$22&gt;=75,WSMTK!$AB$22&lt;=83.24),"P","")</f>
        <v/>
      </c>
      <c r="NH26" s="102" t="str">
        <f>IF(AND(WSMTK!$AB$22&gt;=83.25,WSMTK!$AB$22&lt;=91.4),"P","")</f>
        <v/>
      </c>
      <c r="NI26" s="102" t="str">
        <f>IF(AND(WSMTK!$AB$22&gt;=91.5,WSMTK!$AB$22&lt;=100),"P","")</f>
        <v>P</v>
      </c>
      <c r="NJ26" t="str">
        <f>IF(WSMTK!$AB$35&lt;74.9,"P","")</f>
        <v/>
      </c>
      <c r="NK26" s="102" t="str">
        <f>IF(AND(WSMTK!$AB$35&gt;=75,WSMTK!$AB$35&lt;=83.24),"P","")</f>
        <v/>
      </c>
      <c r="NL26" s="102" t="str">
        <f>IF(AND(WSMTK!$AB$35&gt;=83.25,WSMTK!$AB$35&lt;=91.4),"P","")</f>
        <v/>
      </c>
      <c r="NM26" s="102" t="str">
        <f>IF(AND(WSMTK!$AB$35&gt;=91.5,WSMTK!$AB$35&lt;=100),"P","")</f>
        <v>P</v>
      </c>
      <c r="NN26" t="str">
        <f>IF(WSMTK!$AB$69&lt;74.9,"P","")</f>
        <v/>
      </c>
      <c r="NO26" s="102" t="str">
        <f>IF(AND(WSMTK!$AB$69&gt;=75,WSMTK!$AB$69&lt;=83.24),"P","")</f>
        <v/>
      </c>
      <c r="NP26" s="102" t="str">
        <f>IF(AND(WSMTK!$AB$69&gt;=83.25,WSMTK!$AB$69&lt;=91.4),"P","")</f>
        <v/>
      </c>
      <c r="NQ26" s="102" t="str">
        <f>IF(AND(WSMTK!$AB$69&gt;=91.5,WSMTK!$AB$69&lt;=100),"P","")</f>
        <v>P</v>
      </c>
      <c r="NR26" t="str">
        <f>IF(WSMTK!$AB$87&lt;74.9,"P","")</f>
        <v/>
      </c>
      <c r="NS26" s="102" t="str">
        <f>IF(AND(WSMTK!$AB$87&gt;=75,WSMTK!$AB$87&lt;=83.24),"P","")</f>
        <v/>
      </c>
      <c r="NT26" s="102" t="str">
        <f>IF(AND(WSMTK!$AB$87&gt;=83.25,WSMTK!$AB$87&lt;=91.4),"P","")</f>
        <v/>
      </c>
      <c r="NU26" s="102" t="str">
        <f>IF(AND(WSMTK!$AB$87&gt;=91.5,WSMTK!$AB$87&lt;=100),"P","")</f>
        <v>P</v>
      </c>
      <c r="NV26" t="str">
        <f>IF(WSMTK!$AB$99&lt;74.9,"P","")</f>
        <v/>
      </c>
      <c r="NW26" s="102" t="str">
        <f>IF(AND(WSMTK!$AB$99&gt;=75,WSMTK!$AB$99&lt;=83.24),"P","")</f>
        <v/>
      </c>
      <c r="NX26" s="102" t="str">
        <f>IF(AND(WSMTK!$AB$99&gt;=83.25,WSMTK!$AB$99&lt;=91.4),"P","")</f>
        <v/>
      </c>
      <c r="NY26" s="102" t="str">
        <f>IF(AND(WSMTK!$AB$99&gt;=91.5,WSMTK!$AB$99&lt;=100),"P","")</f>
        <v>P</v>
      </c>
      <c r="NZ26" t="str">
        <f>IF(WSMTK!$AB$113&lt;74.9,"P","")</f>
        <v/>
      </c>
      <c r="OA26" s="102" t="str">
        <f>IF(AND(WSMTK!$AB$113&gt;=75,WSMTK!$AB$113&lt;=83.24),"P","")</f>
        <v/>
      </c>
      <c r="OB26" s="102" t="str">
        <f>IF(AND(WSMTK!$AB$113&gt;=83.25,WSMTK!$AB$113&lt;=91.4),"P","")</f>
        <v/>
      </c>
      <c r="OC26" s="102" t="str">
        <f>IF(AND(WSMTK!$AB$113&gt;=91.5,WSMTK!$AB$113&lt;=100),"P","")</f>
        <v>P</v>
      </c>
      <c r="OD26" t="str">
        <f>IF(WSMTK!$AB$145&lt;74.9,"P","")</f>
        <v/>
      </c>
      <c r="OE26" s="102" t="str">
        <f>IF(AND(WSMTK!$AB$145&gt;=75,WSMTK!$AB$145&lt;=83.24),"P","")</f>
        <v/>
      </c>
      <c r="OF26" s="102" t="str">
        <f>IF(AND(WSMTK!$AB$145&gt;=83.25,WSMTK!$AB$145&lt;=91.4),"P","")</f>
        <v/>
      </c>
      <c r="OG26" s="102" t="str">
        <f>IF(AND(WSMTK!$AB$145&gt;=91.5,WSMTK!$AB$145&lt;=100),"P","")</f>
        <v>P</v>
      </c>
      <c r="OH26" t="str">
        <f>IF(WSMTK!$AB$168&lt;74.9,"P","")</f>
        <v/>
      </c>
      <c r="OI26" s="102" t="str">
        <f>IF(AND(WSMTK!$AB$168&gt;=75,WSMTK!$AB$168&lt;=83.24),"P","")</f>
        <v/>
      </c>
      <c r="OJ26" s="102" t="str">
        <f>IF(AND(WSMTK!$AB$168&gt;=83.25,WSMTK!$AB$168&lt;=91.4),"P","")</f>
        <v/>
      </c>
      <c r="OK26" s="102" t="str">
        <f>IF(AND(WSMTK!$AB$168&gt;=91.5,WSMTK!$AB$168&lt;=100),"P","")</f>
        <v/>
      </c>
      <c r="OL26" t="str">
        <f>IF(WSMTK!$AB$176&lt;74.9,"P","")</f>
        <v/>
      </c>
      <c r="OM26" s="102" t="str">
        <f>IF(AND(WSMTK!$AB$176&gt;=75,WSMTK!$AB$176&lt;=83.24),"P","")</f>
        <v/>
      </c>
      <c r="ON26" s="102" t="str">
        <f>IF(AND(WSMTK!$AB$176&gt;=83.25,WSMTK!$AB$176&lt;=91.4),"P","")</f>
        <v/>
      </c>
      <c r="OO26" s="102" t="str">
        <f>IF(AND(WSMTK!$AB$176&gt;=91.5,WSMTK!$AB$176&lt;=100),"P","")</f>
        <v/>
      </c>
      <c r="OP26" t="str">
        <f>IF(WSMTK!$AB$184&lt;74.9,"P","")</f>
        <v/>
      </c>
      <c r="OQ26" s="102" t="str">
        <f>IF(AND(WSMTK!$AB$184&gt;=75,WSMTK!$AB$184&lt;=83.24),"P","")</f>
        <v/>
      </c>
      <c r="OR26" s="102" t="str">
        <f>IF(AND(WSMTK!$AB$184&gt;=83.25,WSMTK!$AB$184&lt;=91.4),"P","")</f>
        <v/>
      </c>
      <c r="OS26" s="102" t="str">
        <f>IF(AND(WSMTK!$AB$184&gt;=91.5,WSMTK!$AB$184&lt;=100),"P","")</f>
        <v/>
      </c>
      <c r="OT26" t="str">
        <f>IF(WSMTK!$AB$192&lt;74.9,"P","")</f>
        <v/>
      </c>
      <c r="OU26" s="102" t="str">
        <f>IF(AND(WSMTK!$AB$192&gt;=75,WSMTK!$AB$192&lt;=83.24),"P","")</f>
        <v/>
      </c>
      <c r="OV26" s="102" t="str">
        <f>IF(AND(WSMTK!$AB$192&gt;=83.25,WSMTK!$AB$192&lt;=91.4),"P","")</f>
        <v/>
      </c>
      <c r="OW26" s="102" t="str">
        <f>IF(AND(WSMTK!$AB$192&gt;=91.5,WSMTK!$AB$192&lt;=100),"P","")</f>
        <v/>
      </c>
      <c r="OX26" t="str">
        <f>IF(WSMTK!$AB$200&lt;74.9,"P","")</f>
        <v/>
      </c>
      <c r="OY26" s="102" t="str">
        <f>IF(AND(WSMTK!$AB$200&gt;=75,WSMTK!$AB$200&lt;=83.24),"P","")</f>
        <v/>
      </c>
      <c r="OZ26" s="102" t="str">
        <f>IF(AND(WSMTK!$AB$200&gt;=83.25,WSMTK!$AB$200&lt;=91.4),"P","")</f>
        <v/>
      </c>
      <c r="PA26" s="102" t="str">
        <f>IF(AND(WSMTK!$AB$200&gt;=91.5,WSMTK!$AB$200&lt;=100),"P","")</f>
        <v/>
      </c>
      <c r="PB26" t="str">
        <f>IF(WSIPA!$AB$6&lt;74.9,"P","")</f>
        <v/>
      </c>
      <c r="PC26" s="102" t="str">
        <f>IF(AND(WSIPA!$AB$6&gt;=75,WSIPA!$AB$6&lt;=83.24),"P","")</f>
        <v/>
      </c>
      <c r="PD26" s="102" t="str">
        <f>IF(AND(WSIPA!$AB$6&gt;=83.25,WSIPA!$AB$6&lt;=91.4),"P","")</f>
        <v/>
      </c>
      <c r="PE26" s="102" t="str">
        <f>IF(AND(WSIPA!$AB$6&gt;=91.5,WSIPA!$AB$6&lt;=100),"P","")</f>
        <v/>
      </c>
      <c r="PF26" t="str">
        <f>IF(WSIPA!$AB$14&lt;74.9,"P","")</f>
        <v/>
      </c>
      <c r="PG26" s="102" t="str">
        <f>IF(AND(WSIPA!$AB$14&gt;=75,WSIPA!$AB$14&lt;=83.24),"P","")</f>
        <v/>
      </c>
      <c r="PH26" s="102" t="str">
        <f>IF(AND(WSIPA!$AB$14&gt;=83.25,WSIPA!$AB$14&lt;=91.4),"P","")</f>
        <v/>
      </c>
      <c r="PI26" s="102" t="str">
        <f>IF(AND(WSIPA!$AB$14&gt;=91.5,WSIPA!$AB$14&lt;=100),"P","")</f>
        <v/>
      </c>
      <c r="PJ26" t="str">
        <f>IF(WSIPA!$AB$22&lt;74.9,"P","")</f>
        <v/>
      </c>
      <c r="PK26" s="102" t="str">
        <f>IF(AND(WSIPA!$AB$22&gt;=75,WSIPA!$AB$22&lt;=83.24),"P","")</f>
        <v/>
      </c>
      <c r="PL26" s="102" t="str">
        <f>IF(AND(WSIPA!$AB$22&gt;=83.25,WSIPA!$AB$22&lt;=91.4),"P","")</f>
        <v/>
      </c>
      <c r="PM26" s="102" t="str">
        <f>IF(AND(WSIPA!$AB$22&gt;=91.5,WSIPA!$AB$22&lt;=100),"P","")</f>
        <v/>
      </c>
      <c r="PN26" t="str">
        <f>IF(WSIPA!$AB$30&lt;74.9,"P","")</f>
        <v/>
      </c>
      <c r="PO26" s="102" t="str">
        <f>IF(AND(WSIPA!$AB$30&gt;=75,WSIPA!$AB$30&lt;=83.24),"P","")</f>
        <v/>
      </c>
      <c r="PP26" s="102" t="str">
        <f>IF(AND(WSIPA!$AB$30&gt;=83.25,WSIPA!$AB$30&lt;=91.4),"P","")</f>
        <v/>
      </c>
      <c r="PQ26" s="102" t="str">
        <f>IF(AND(WSIPA!$AB$30&gt;=91.5,WSIPA!$AB$30&lt;=100),"P","")</f>
        <v/>
      </c>
      <c r="PR26" t="str">
        <f>IF(WSIPA!$AB$38&lt;74.9,"P","")</f>
        <v/>
      </c>
      <c r="PS26" s="102" t="str">
        <f>IF(AND(WSIPA!$AB$38&gt;=75,WSIPA!$AB$38&lt;=83.24),"P","")</f>
        <v/>
      </c>
      <c r="PT26" s="102" t="str">
        <f>IF(AND(WSIPA!$AB$38&gt;=83.25,WSIPA!$AB$38&lt;=91.4),"P","")</f>
        <v/>
      </c>
      <c r="PU26" s="102" t="str">
        <f>IF(AND(WSIPA!$AB$38&gt;=91.5,WSIPA!$AB$38&lt;=100),"P","")</f>
        <v/>
      </c>
      <c r="PV26" t="str">
        <f>IF(WSIPA!$AB$46&lt;74.9,"P","")</f>
        <v/>
      </c>
      <c r="PW26" s="102" t="str">
        <f>IF(AND(WSIPA!$AB$46&gt;=75,WSIPA!$AB$46&lt;=83.24),"P","")</f>
        <v/>
      </c>
      <c r="PX26" s="102" t="str">
        <f>IF(AND(WSIPA!$AB$46&gt;=83.25,WSIPA!$AB$46&lt;=91.4),"P","")</f>
        <v/>
      </c>
      <c r="PY26" s="102" t="str">
        <f>IF(AND(WSIPA!$AB$46&gt;=91.5,WSIPA!$AB$46&lt;=100),"P","")</f>
        <v/>
      </c>
      <c r="PZ26" t="str">
        <f>IF(WSIPA!$AB$54&lt;74.9,"P","")</f>
        <v/>
      </c>
      <c r="QA26" s="102" t="str">
        <f>IF(AND(WSIPA!$AB$54&gt;=75,WSIPA!$AB$54&lt;=83.24),"P","")</f>
        <v/>
      </c>
      <c r="QB26" s="102" t="str">
        <f>IF(AND(WSIPA!$AB$54&gt;=83.25,WSIPA!$AB$54&lt;=91.4),"P","")</f>
        <v/>
      </c>
      <c r="QC26" s="102" t="str">
        <f>IF(AND(WSIPA!$AB$54&gt;=91.5,WSIPA!$AB$54&lt;=100),"P","")</f>
        <v/>
      </c>
      <c r="QD26" t="str">
        <f>IF(WSIPA!$AB$62&lt;74.9,"P","")</f>
        <v/>
      </c>
      <c r="QE26" s="102" t="str">
        <f>IF(AND(WSIPA!$AB$62&gt;=75,WSIPA!$AB$62&lt;=83.24),"P","")</f>
        <v/>
      </c>
      <c r="QF26" s="102" t="str">
        <f>IF(AND(WSIPA!$AB$62&gt;=83.25,WSIPA!$AB$62&lt;=91.4),"P","")</f>
        <v/>
      </c>
      <c r="QG26" s="102" t="str">
        <f>IF(AND(WSIPA!$AB$62&gt;=91.5,WSIPA!$AB$62&lt;=100),"P","")</f>
        <v/>
      </c>
      <c r="QH26" t="str">
        <f>IF(WSIPA!$AB$70&lt;74.9,"P","")</f>
        <v/>
      </c>
      <c r="QI26" s="102" t="str">
        <f>IF(AND(WSIPA!$AB$70&gt;=75,WSIPA!$AB$70&lt;=83.24),"P","")</f>
        <v/>
      </c>
      <c r="QJ26" s="102" t="str">
        <f>IF(AND(WSIPA!$AB$70&gt;=83.25,WSIPA!$AB$70&lt;=91.4),"P","")</f>
        <v/>
      </c>
      <c r="QK26" s="102" t="str">
        <f>IF(AND(WSIPA!$AB$70&gt;=91.5,WSIPA!$AB$70&lt;=100),"P","")</f>
        <v/>
      </c>
      <c r="QL26" t="str">
        <f>IF(WSIPA!$AB$78&lt;74.9,"P","")</f>
        <v/>
      </c>
      <c r="QM26" s="102" t="str">
        <f>IF(AND(WSIPA!$AB$78&gt;=75,WSIPA!$AB$78&lt;=83.24),"P","")</f>
        <v/>
      </c>
      <c r="QN26" s="102" t="str">
        <f>IF(AND(WSIPA!$AB$78&gt;=83.25,WSIPA!$AB$78&lt;=91.4),"P","")</f>
        <v/>
      </c>
      <c r="QO26" s="102" t="str">
        <f>IF(AND(WSIPA!$AB$78&gt;=91.5,WSIPA!$AB$78&lt;=100),"P","")</f>
        <v/>
      </c>
      <c r="QP26" t="str">
        <f>IF(WSIPA!$AB$86&lt;74.9,"P","")</f>
        <v/>
      </c>
      <c r="QQ26" s="102" t="str">
        <f>IF(AND(WSIPA!$AB$86&gt;=75,WSIPA!$AB$86&lt;=83.24),"P","")</f>
        <v/>
      </c>
      <c r="QR26" s="102" t="str">
        <f>IF(AND(WSIPA!$AB$86&gt;=83.25,WSIPA!$AB$86&lt;=91.4),"P","")</f>
        <v/>
      </c>
      <c r="QS26" s="102" t="str">
        <f>IF(AND(WSIPA!$AB$86&gt;=91.5,WSIPA!$AB$86&lt;=100),"P","")</f>
        <v/>
      </c>
      <c r="QT26" t="str">
        <f>IF(WSIPA!$AB$94&lt;74.9,"P","")</f>
        <v/>
      </c>
      <c r="QU26" s="102" t="str">
        <f>IF(AND(WSIPA!$AB$94&gt;=75,WSIPA!$AB$94&lt;=83.24),"P","")</f>
        <v/>
      </c>
      <c r="QV26" s="102" t="str">
        <f>IF(AND(WSIPA!$AB$94&gt;=83.25,WSIPA!$AB$94&lt;=91.4),"P","")</f>
        <v/>
      </c>
      <c r="QW26" s="102" t="str">
        <f>IF(AND(WSIPA!$AB$94&gt;=91.5,WSIPA!$AB$94&lt;=100),"P","")</f>
        <v/>
      </c>
      <c r="QX26" t="str">
        <f>IF(WSIPA!$AB$102&lt;74.9,"P","")</f>
        <v/>
      </c>
      <c r="QY26" s="102" t="str">
        <f>IF(AND(WSIPA!$AB$102&gt;=75,WSIPA!$AB$102&lt;=83.24),"P","")</f>
        <v/>
      </c>
      <c r="QZ26" s="102" t="str">
        <f>IF(AND(WSIPA!$AB$102&gt;=83.25,WSIPA!$AB$102&lt;=91.4),"P","")</f>
        <v/>
      </c>
      <c r="RA26" s="102" t="str">
        <f>IF(AND(WSIPA!$AB$102&gt;=91.5,WSIPA!$AB$102&lt;=100),"P","")</f>
        <v/>
      </c>
      <c r="RB26" t="str">
        <f>IF(WSIPS!$AB$6&lt;74.9,"P","")</f>
        <v/>
      </c>
      <c r="RC26" s="102" t="str">
        <f>IF(AND(WSIPS!$AB$6&gt;=75,WSIPS!$AB$6&lt;=83.24),"P","")</f>
        <v/>
      </c>
      <c r="RD26" s="102" t="str">
        <f>IF(AND(WSIPS!$AB$6&gt;=83.25,WSIPS!$AB$6&lt;=91.4),"P","")</f>
        <v/>
      </c>
      <c r="RE26" s="102" t="str">
        <f>IF(AND(WSIPS!$AB$6&gt;=91.5,WSIPS!$AB$6&lt;=100),"P","")</f>
        <v/>
      </c>
      <c r="RF26" t="str">
        <f>IF(WSIPS!$AB$14&lt;74.9,"P","")</f>
        <v/>
      </c>
      <c r="RG26" s="102" t="str">
        <f>IF(AND(WSIPS!$AB$14&gt;=75,WSIPS!$AB$14&lt;=83.24),"P","")</f>
        <v/>
      </c>
      <c r="RH26" s="102" t="str">
        <f>IF(AND(WSIPS!$AB$14&gt;=83.25,WSIPS!$AB$14&lt;=91.4),"P","")</f>
        <v/>
      </c>
      <c r="RI26" s="102" t="str">
        <f>IF(AND(WSIPS!$AB$14&gt;=91.5,WSIPS!$AB$14&lt;=100),"P","")</f>
        <v/>
      </c>
      <c r="RJ26" t="str">
        <f>IF(WSIPS!$AB$22&lt;74.9,"P","")</f>
        <v/>
      </c>
      <c r="RK26" s="102" t="str">
        <f>IF(AND(WSIPS!$AB$22&gt;=75,WSIPS!$AB$22&lt;=83.24),"P","")</f>
        <v/>
      </c>
      <c r="RL26" s="102" t="str">
        <f>IF(AND(WSIPS!$AB$22&gt;=83.25,WSIPS!$AB$22&lt;=91.4),"P","")</f>
        <v/>
      </c>
      <c r="RM26" s="102" t="str">
        <f>IF(AND(WSIPS!$AB$22&gt;=91.5,WSIPS!$AB$22&lt;=100),"P","")</f>
        <v/>
      </c>
      <c r="RN26" t="str">
        <f>IF(WSIPS!$AB$30&lt;74.9,"P","")</f>
        <v/>
      </c>
      <c r="RO26" s="102" t="str">
        <f>IF(AND(WSIPS!$AB$30&gt;=75,WSIPS!$AB$30&lt;=83.24),"P","")</f>
        <v/>
      </c>
      <c r="RP26" s="102" t="str">
        <f>IF(AND(WSIPS!$AB$30&gt;=83.25,WSIPS!$AB$30&lt;=91.4),"P","")</f>
        <v/>
      </c>
      <c r="RQ26" s="102" t="str">
        <f>IF(AND(WSIPS!$AB$30&gt;=91.5,WSIPS!$AB$30&lt;=100),"P","")</f>
        <v/>
      </c>
      <c r="RR26" t="str">
        <f>IF(WSIPS!$AB$38&lt;74.9,"P","")</f>
        <v/>
      </c>
      <c r="RS26" s="102" t="str">
        <f>IF(AND(WSIPS!$AB$38&gt;=75,WSIPS!$AB$38&lt;=83.24),"P","")</f>
        <v/>
      </c>
      <c r="RT26" s="102" t="str">
        <f>IF(AND(WSIPS!$AB$38&gt;=83.25,WSIPS!$AB$38&lt;=91.4),"P","")</f>
        <v/>
      </c>
      <c r="RU26" s="102" t="str">
        <f>IF(AND(WSIPS!$AB$38&gt;=91.5,WSIPS!$AB$38&lt;=100),"P","")</f>
        <v/>
      </c>
      <c r="RV26" t="str">
        <f>IF(WSIPS!$AB$46&lt;74.9,"P","")</f>
        <v/>
      </c>
      <c r="RW26" s="102" t="str">
        <f>IF(AND(WSIPS!$AB$46&gt;=75,WSIPS!$AB$46&lt;=83.24),"P","")</f>
        <v/>
      </c>
      <c r="RX26" s="102" t="str">
        <f>IF(AND(WSIPS!$AB$46&gt;=83.25,WSIPS!$AB$46&lt;=91.4),"P","")</f>
        <v/>
      </c>
      <c r="RY26" s="102" t="str">
        <f>IF(AND(WSIPS!$AB$46&gt;=91.5,WSIPS!$AB$46&lt;=100),"P","")</f>
        <v/>
      </c>
      <c r="RZ26" t="str">
        <f>IF(WSIPS!$AB$54&lt;74.9,"P","")</f>
        <v/>
      </c>
      <c r="SA26" s="102" t="str">
        <f>IF(AND(WSIPS!$AB$54&gt;=75,WSIPS!$AB$54&lt;=83.24),"P","")</f>
        <v/>
      </c>
      <c r="SB26" s="102" t="str">
        <f>IF(AND(WSIPS!$AB$54&gt;=83.25,WSIPS!$AB$54&lt;=91.4),"P","")</f>
        <v/>
      </c>
      <c r="SC26" s="102" t="str">
        <f>IF(AND(WSIPS!$AB$54&gt;=91.5,WSIPS!$AB$54&lt;=100),"P","")</f>
        <v/>
      </c>
      <c r="SD26" t="str">
        <f>IF(WSIPS!$AB$62&lt;74.9,"P","")</f>
        <v/>
      </c>
      <c r="SE26" s="102" t="str">
        <f>IF(AND(WSIPS!$AB$62&gt;=75,WSIPS!$AB$62&lt;=83.24),"P","")</f>
        <v/>
      </c>
      <c r="SF26" s="102" t="str">
        <f>IF(AND(WSIPS!$AB$62&gt;=83.25,WSIPS!$AB$62&lt;=91.4),"P","")</f>
        <v/>
      </c>
      <c r="SG26" s="102" t="str">
        <f>IF(AND(WSIPS!$AB$62&gt;=91.5,WSIPS!$AB$62&lt;=100),"P","")</f>
        <v/>
      </c>
      <c r="SH26" t="str">
        <f>IF(WSIPS!$AB$70&lt;74.9,"P","")</f>
        <v/>
      </c>
      <c r="SI26" s="102" t="str">
        <f>IF(AND(WSIPS!$AB$70&gt;=75,WSIPS!$AB$70&lt;=83.24),"P","")</f>
        <v/>
      </c>
      <c r="SJ26" s="102" t="str">
        <f>IF(AND(WSIPS!$AB$70&gt;=83.25,WSIPS!$AB$70&lt;=91.4),"P","")</f>
        <v/>
      </c>
      <c r="SK26" s="102" t="str">
        <f>IF(AND(WSIPS!$AB$70&gt;=91.5,WSIPS!$AB$70&lt;=100),"P","")</f>
        <v/>
      </c>
      <c r="SL26" t="str">
        <f>IF(WSIPS!$AB$78&lt;74.9,"P","")</f>
        <v/>
      </c>
      <c r="SM26" s="102" t="str">
        <f>IF(AND(WSIPS!$AB$78&gt;=75,WSIPS!$AB$78&lt;=83.24),"P","")</f>
        <v/>
      </c>
      <c r="SN26" s="102" t="str">
        <f>IF(AND(WSIPS!$AB$78&gt;=83.25,WSIPS!$AB$78&lt;=91.4),"P","")</f>
        <v/>
      </c>
      <c r="SO26" s="102" t="str">
        <f>IF(AND(WSIPS!$AB$78&gt;=91.5,WSIPS!$AB$78&lt;=100),"P","")</f>
        <v/>
      </c>
      <c r="SP26" t="str">
        <f>IF(WSIPS!$AB$86&lt;74.9,"P","")</f>
        <v/>
      </c>
      <c r="SQ26" s="102" t="str">
        <f>IF(AND(WSIPS!$AB$86&gt;=75,WSIPS!$AB$86&lt;=83.24),"P","")</f>
        <v/>
      </c>
      <c r="SR26" s="102" t="str">
        <f>IF(AND(WSIPS!$AB$86&gt;=83.25,WSIPS!$AB$86&lt;=91.4),"P","")</f>
        <v/>
      </c>
      <c r="SS26" s="102" t="str">
        <f>IF(AND(WSIPS!$AB$86&gt;=91.5,WSIPS!$AB$86&lt;=100),"P","")</f>
        <v/>
      </c>
      <c r="ST26" t="str">
        <f>IF(WSIPS!$AB$94&lt;74.9,"P","")</f>
        <v/>
      </c>
      <c r="SU26" s="102" t="str">
        <f>IF(AND(WSIPS!$AB$94&gt;=75,WSIPS!$AB$94&lt;=83.24),"P","")</f>
        <v/>
      </c>
      <c r="SV26" s="102" t="str">
        <f>IF(AND(WSIPS!$AB$94&gt;=83.25,WSIPS!$AB$94&lt;=91.4),"P","")</f>
        <v/>
      </c>
      <c r="SW26" s="102" t="str">
        <f>IF(AND(WSIPS!$AB$94&gt;=91.5,WSIPS!$AB$94&lt;=100),"P","")</f>
        <v/>
      </c>
      <c r="SX26" t="str">
        <f>IF(WSIPS!$AB$102&lt;74.9,"P","")</f>
        <v/>
      </c>
      <c r="SY26" s="102" t="str">
        <f>IF(AND(WSIPS!$AB$102&gt;=75,WSIPS!$AB$102&lt;=83.24),"P","")</f>
        <v/>
      </c>
      <c r="SZ26" s="102" t="str">
        <f>IF(AND(WSIPS!$AB$102&gt;=83.25,WSIPS!$AB$102&lt;=91.4),"P","")</f>
        <v/>
      </c>
      <c r="TA26" s="102" t="str">
        <f>IF(AND(WSIPS!$AB$102&gt;=91.5,WSIPS!$AB$102&lt;=100),"P","")</f>
        <v/>
      </c>
      <c r="TB26" t="str">
        <f>IF(WSSBK!$AB$6&lt;74.9,"P","")</f>
        <v/>
      </c>
      <c r="TC26" s="102" t="str">
        <f>IF(AND(WSSBK!$AB$6&gt;=75,WSSBK!$AB$6&lt;=83.24),"P","")</f>
        <v/>
      </c>
      <c r="TD26" s="102" t="str">
        <f>IF(AND(WSSBK!$AB$6&gt;=83.25,WSSBK!$AB$6&lt;=91.4),"P","")</f>
        <v/>
      </c>
      <c r="TE26" s="102" t="str">
        <f>IF(AND(WSSBK!$AB$6&gt;=91.5,WSSBK!$AB$6&lt;=100),"P","")</f>
        <v>P</v>
      </c>
      <c r="TF26" t="str">
        <f>IF(WSSBK!$AB$16&lt;74.9,"P","")</f>
        <v/>
      </c>
      <c r="TG26" s="102" t="str">
        <f>IF(AND(WSSBK!$AB$16&gt;=75,WSSBK!$AB$16&lt;=83.24),"P","")</f>
        <v/>
      </c>
      <c r="TH26" s="102" t="str">
        <f>IF(AND(WSSBK!$AB$16&gt;=83.25,WSSBK!$AB$16&lt;=91.4),"P","")</f>
        <v/>
      </c>
      <c r="TI26" s="102" t="str">
        <f>IF(AND(WSSBK!$AB$16&gt;=91.5,WSSBK!$AB$16&lt;=100),"P","")</f>
        <v>P</v>
      </c>
      <c r="TJ26" t="str">
        <f>IF(WSSBK!$AB$26&lt;74.9,"P","")</f>
        <v/>
      </c>
      <c r="TK26" s="102" t="str">
        <f>IF(AND(WSSBK!$AB$26&gt;=75,WSSBK!$AB$26&lt;=83.24),"P","")</f>
        <v/>
      </c>
      <c r="TL26" s="102" t="str">
        <f>IF(AND(WSSBK!$AB$26&gt;=83.25,WSSBK!$AB$26&lt;=91.4),"P","")</f>
        <v/>
      </c>
      <c r="TM26" s="102" t="str">
        <f>IF(AND(WSSBK!$AB$26&gt;=91.5,WSSBK!$AB$26&lt;=100),"P","")</f>
        <v>P</v>
      </c>
      <c r="TN26" t="str">
        <f>IF(WSSBK!$AB$36&lt;74.9,"P","")</f>
        <v/>
      </c>
      <c r="TO26" s="102" t="str">
        <f>IF(AND(WSSBK!$AB$36&gt;=75,WSSBK!$AB$36&lt;=83.24),"P","")</f>
        <v/>
      </c>
      <c r="TP26" s="102" t="str">
        <f>IF(AND(WSSBK!$AB$36&gt;=83.25,WSSBK!$AB$36&lt;=91.4),"P","")</f>
        <v>P</v>
      </c>
      <c r="TQ26" s="102" t="str">
        <f>IF(AND(WSSBK!$AB$36&gt;=91.5,WSSBK!$AB$36&lt;=100),"P","")</f>
        <v/>
      </c>
      <c r="TR26" t="str">
        <f>IF(WSSBK!$AB$46&lt;74.9,"P","")</f>
        <v/>
      </c>
      <c r="TS26" s="102" t="str">
        <f>IF(AND(WSSBK!$AB$46&gt;=75,WSSBK!$AB$46&lt;=83.24),"P","")</f>
        <v/>
      </c>
      <c r="TT26" s="102" t="str">
        <f>IF(AND(WSSBK!$AB$46&gt;=83.25,WSSBK!$AB$46&lt;=91.4),"P","")</f>
        <v/>
      </c>
      <c r="TU26" s="102" t="str">
        <f>IF(AND(WSSBK!$AB$46&gt;=91.5,WSSBK!$AB$46&lt;=100),"P","")</f>
        <v>P</v>
      </c>
      <c r="TV26" t="str">
        <f>IF(WSSBK!$AB$58&lt;74.9,"P","")</f>
        <v/>
      </c>
      <c r="TW26" s="102" t="str">
        <f>IF(AND(WSSBK!$AB$58&gt;=75,WSSBK!$AB$58&lt;=83.24),"P","")</f>
        <v/>
      </c>
      <c r="TX26" s="102" t="str">
        <f>IF(AND(WSSBK!$AB$58&gt;=83.25,WSSBK!$AB$58&lt;=91.4),"P","")</f>
        <v/>
      </c>
      <c r="TY26" s="102" t="str">
        <f>IF(AND(WSSBK!$AB$58&gt;=91.5,WSSBK!$AB$58&lt;=100),"P","")</f>
        <v>P</v>
      </c>
      <c r="TZ26" t="str">
        <f>IF(WSSBK!$AB$68&lt;74.9,"P","")</f>
        <v/>
      </c>
      <c r="UA26" s="102" t="str">
        <f>IF(AND(WSSBK!$AB$68&gt;=75,WSSBK!$AB$68&lt;=83.24),"P","")</f>
        <v/>
      </c>
      <c r="UB26" s="102" t="str">
        <f>IF(AND(WSSBK!$AB$68&gt;=83.25,WSSBK!$AB$68&lt;=91.4),"P","")</f>
        <v/>
      </c>
      <c r="UC26" s="102" t="str">
        <f>IF(AND(WSSBK!$AB$68&gt;=91.5,WSSBK!$AB$68&lt;=100),"P","")</f>
        <v>P</v>
      </c>
      <c r="UD26" t="str">
        <f>IF(WSSBK!$AB$77&lt;74.9,"P","")</f>
        <v/>
      </c>
      <c r="UE26" s="102" t="str">
        <f>IF(AND(WSSBK!$AB$77&gt;=75,WSSBK!$AB$77&lt;=83.24),"P","")</f>
        <v/>
      </c>
      <c r="UF26" s="102" t="str">
        <f>IF(AND(WSSBK!$AB$77&gt;=83.25,WSSBK!$AB$77&lt;=91.4),"P","")</f>
        <v>P</v>
      </c>
      <c r="UG26" s="102" t="str">
        <f>IF(AND(WSSBK!$AB$77&gt;=91.5,WSSBK!$AB$77&lt;=100),"P","")</f>
        <v/>
      </c>
      <c r="UH26" t="str">
        <f>IF(WSSBK!$AB$87&lt;74.9,"P","")</f>
        <v/>
      </c>
      <c r="UI26" s="102" t="str">
        <f>IF(AND(WSSBK!$AB$87&gt;=75,WSSBK!$AB$87&lt;=83.24),"P","")</f>
        <v/>
      </c>
      <c r="UJ26" s="102" t="str">
        <f>IF(AND(WSSBK!$AB$87&gt;=83.25,WSSBK!$AB$87&lt;=91.4),"P","")</f>
        <v/>
      </c>
      <c r="UK26" s="102" t="str">
        <f>IF(AND(WSSBK!$AB$87&gt;=91.5,WSSBK!$AB$87&lt;=100),"P","")</f>
        <v/>
      </c>
      <c r="UL26" t="str">
        <f>IF(WSSBK!$AB$95&lt;74.9,"P","")</f>
        <v/>
      </c>
      <c r="UM26" s="102" t="str">
        <f>IF(AND(WSSBK!$AB$95&gt;=75,WSSBK!$AB$95&lt;=83.24),"P","")</f>
        <v/>
      </c>
      <c r="UN26" s="102" t="str">
        <f>IF(AND(WSSBK!$AB$95&gt;=83.25,WSSBK!$AB$95&lt;=91.4),"P","")</f>
        <v/>
      </c>
      <c r="UO26" s="102" t="str">
        <f>IF(AND(WSSBK!$AB$95&gt;=91.5,WSSBK!$AB$95&lt;=100),"P","")</f>
        <v/>
      </c>
      <c r="UP26" t="str">
        <f>IF(WSSBK!$AB$103&lt;74.9,"P","")</f>
        <v/>
      </c>
      <c r="UQ26" s="102" t="str">
        <f>IF(AND(WSSBK!$AB$103&gt;=75,WSSBK!$AB$103&lt;=83.24),"P","")</f>
        <v/>
      </c>
      <c r="UR26" s="102" t="str">
        <f>IF(AND(WSSBK!$AB$103&gt;=83.25,WSSBK!$AB$103&lt;=91.4),"P","")</f>
        <v/>
      </c>
      <c r="US26" s="102" t="str">
        <f>IF(AND(WSSBK!$AB$103&gt;=91.5,WSSBK!$AB$103&lt;=100),"P","")</f>
        <v/>
      </c>
      <c r="UT26" t="str">
        <f>IF(WSSBK!$AB$111&lt;74.9,"P","")</f>
        <v/>
      </c>
      <c r="UU26" s="102" t="str">
        <f>IF(AND(WSSBK!$AB$111&gt;=75,WSSBK!$AB$111&lt;=83.24),"P","")</f>
        <v/>
      </c>
      <c r="UV26" s="102" t="str">
        <f>IF(AND(WSSBK!$AB$111&gt;=83.25,WSSBK!$AB$111&lt;=91.4),"P","")</f>
        <v/>
      </c>
      <c r="UW26" s="102" t="str">
        <f>IF(AND(WSSBK!$AB$111&gt;=91.5,WSSBK!$AB$111&lt;=100),"P","")</f>
        <v/>
      </c>
      <c r="UX26" t="str">
        <f>IF(WSSBK!$AB$119&lt;74.9,"P","")</f>
        <v/>
      </c>
      <c r="UY26" s="102" t="str">
        <f>IF(AND(WSSBK!$AB$119&gt;=75,WSSBK!$AB$119&lt;=83.24),"P","")</f>
        <v/>
      </c>
      <c r="UZ26" s="102" t="str">
        <f>IF(AND(WSSBK!$AB$119&gt;=83.25,WSSBK!$AB$119&lt;=91.4),"P","")</f>
        <v/>
      </c>
      <c r="VA26" s="102" t="str">
        <f>IF(AND(WSSBK!$AB$119&gt;=91.5,WSSBK!$AB$119&lt;=100),"P","")</f>
        <v/>
      </c>
      <c r="VB26" s="102" t="str">
        <f>IF(AND(WSPENJAS!$AB$6&gt;0,WSPENJAS!$AB$6&lt;=74.9),"P","")</f>
        <v/>
      </c>
      <c r="VC26" s="102" t="str">
        <f>IF(AND(WSPENJAS!$AB$6&gt;=75,WSPENJAS!$AB$6&lt;=83.24),"P","")</f>
        <v/>
      </c>
      <c r="VD26" s="102" t="str">
        <f>IF(AND(WSPENJAS!$AB$6&gt;=83.25,WSPENJAS!$AB$6&lt;=91.4),"P","")</f>
        <v/>
      </c>
      <c r="VE26" s="102" t="str">
        <f>IF(AND(WSPENJAS!$AB$6&gt;=91.5,WSPENJAS!$AB$6&lt;=100),"P","")</f>
        <v/>
      </c>
      <c r="VF26" s="102" t="str">
        <f>IF(AND(WSPENJAS!$AB$7&gt;0,WSPENJAS!$AB$7&lt;=74.9),"P","")</f>
        <v/>
      </c>
      <c r="VG26" s="102" t="str">
        <f>IF(AND(WSPENJAS!$AB$7&gt;=75,WSPENJAS!$AB$7&lt;=83.24),"P","")</f>
        <v/>
      </c>
      <c r="VH26" s="102" t="str">
        <f>IF(AND(WSPENJAS!$AB$7&gt;=83.25,WSPENJAS!$AB$7&lt;=91.4),"P","")</f>
        <v/>
      </c>
      <c r="VI26" s="102" t="str">
        <f>IF(AND(WSPENJAS!$AB$7&gt;=91.5,WSPENJAS!$AB$7&lt;=100),"P","")</f>
        <v/>
      </c>
      <c r="VJ26" s="102" t="str">
        <f>IF(AND(WSPENJAS!$AB$8&gt;0,WSPENJAS!$AB$8&lt;=74.9),"P","")</f>
        <v/>
      </c>
      <c r="VK26" s="102" t="str">
        <f>IF(AND(WSPENJAS!$AB$8&gt;=75,WSPENJAS!$AB$8&lt;=83.24),"P","")</f>
        <v/>
      </c>
      <c r="VL26" s="102" t="str">
        <f>IF(AND(WSPENJAS!$AB$8&gt;=83.25,WSPENJAS!$AB$8&lt;=91.4),"P","")</f>
        <v>P</v>
      </c>
      <c r="VM26" s="102" t="str">
        <f>IF(AND(WSPENJAS!$AB$8&gt;=91.5,WSPENJAS!$AB$8&lt;=100),"P","")</f>
        <v/>
      </c>
      <c r="VN26" s="102" t="str">
        <f>IF(AND(WSPENJAS!$AB$9&gt;0,WSPENJAS!$AB$9&lt;=74.9),"P","")</f>
        <v/>
      </c>
      <c r="VO26" s="102" t="str">
        <f>IF(AND(WSPENJAS!$AB$9&gt;=75,WSPENJAS!$AB$9&lt;=83.24),"P","")</f>
        <v/>
      </c>
      <c r="VP26" s="102" t="str">
        <f>IF(AND(WSPENJAS!$AB$9&gt;=83.25,WSPENJAS!$AB$9&lt;=91.4),"P","")</f>
        <v>P</v>
      </c>
      <c r="VQ26" s="102" t="str">
        <f>IF(AND(WSPENJAS!$AB$9&gt;=91.5,WSPENJAS!$AB$9&lt;=100),"P","")</f>
        <v/>
      </c>
      <c r="VR26" s="102" t="str">
        <f>IF(AND(WSPENJAS!$AB$10&gt;0,WSPENJAS!$AB$10&lt;=74.9),"P","")</f>
        <v/>
      </c>
      <c r="VS26" s="102" t="str">
        <f>IF(AND(WSPENJAS!$AB$10&gt;=75,WSPENJAS!$AB$10&lt;=83.24),"P","")</f>
        <v/>
      </c>
      <c r="VT26" s="102" t="str">
        <f>IF(AND(WSPENJAS!$AB$10&gt;=83.25,WSPENJAS!$AB$10&lt;=91.4),"P","")</f>
        <v>P</v>
      </c>
      <c r="VU26" s="102" t="str">
        <f>IF(AND(WSPENJAS!$AB$10&gt;=91.5,WSPENJAS!$AB$10&lt;=100),"P","")</f>
        <v/>
      </c>
      <c r="VV26" s="102" t="str">
        <f>IF(AND(WSPENJAS!$AB$11&gt;0,WSPENJAS!$AB$11&lt;=74.9),"P","")</f>
        <v/>
      </c>
      <c r="VW26" s="102" t="str">
        <f>IF(AND(WSPENJAS!$AB$411&gt;=75,WSPENJAS!$AB$411&lt;=83.24),"P","")</f>
        <v/>
      </c>
      <c r="VX26" s="102" t="str">
        <f>IF(AND(WSPENJAS!$AB$411&gt;=83.25,WSPENJAS!$AB$411&lt;=91.4),"P","")</f>
        <v/>
      </c>
      <c r="VY26" s="102" t="str">
        <f>IF(AND(WSPENJAS!$AB$411&gt;=91.5,WSPENJAS!$AB$411&lt;=100),"P","")</f>
        <v/>
      </c>
      <c r="VZ26" s="102" t="str">
        <f>IF(AND(WSPENJAS!$AB$12&gt;0,WSPENJAS!$AB$12&lt;=74.9),"P","")</f>
        <v/>
      </c>
      <c r="WA26" s="102" t="str">
        <f>IF(AND(WSPENJAS!$AB$12&gt;=75,WSPENJAS!$AB$12&lt;=83.24),"P","")</f>
        <v/>
      </c>
      <c r="WB26" s="102" t="str">
        <f>IF(AND(WSPENJAS!$AB$12&gt;=83.25,WSPENJAS!$AB$12&lt;=91.4),"P","")</f>
        <v>P</v>
      </c>
      <c r="WC26" s="102" t="str">
        <f>IF(AND(WSPENJAS!$AB$12&gt;=91.5,WSPENJAS!$AB$12&lt;=100),"P","")</f>
        <v/>
      </c>
      <c r="WD26" s="102" t="str">
        <f>IF(AND(WSPENJAS!$AB$13&gt;0,WSPENJAS!$AB$13&lt;=74.9),"P","")</f>
        <v/>
      </c>
      <c r="WE26" s="102" t="str">
        <f>IF(AND(WSPENJAS!$AB$13&gt;=75,WSPENJAS!$AB$13&lt;=83.24),"P","")</f>
        <v/>
      </c>
      <c r="WF26" s="102" t="str">
        <f>IF(AND(WSPENJAS!$AB$13&gt;=83.25,WSPENJAS!$AB$13&lt;=91.4),"P","")</f>
        <v>P</v>
      </c>
      <c r="WG26" s="102" t="str">
        <f>IF(AND(WSPENJAS!$AB$13&gt;=91.5,WSPENJAS!$AB$13&lt;=100),"P","")</f>
        <v/>
      </c>
      <c r="WH26" s="102" t="str">
        <f>IF(AND(WSPENJAS!$AB$14&gt;0,WSPENJAS!$AB$14&lt;=74.9),"P","")</f>
        <v/>
      </c>
      <c r="WI26" s="102" t="str">
        <f>IF(AND(WSPENJAS!$AB$14&gt;=75,WSPENJAS!$AB$14&lt;=83.24),"P","")</f>
        <v/>
      </c>
      <c r="WJ26" s="102" t="str">
        <f>IF(AND(WSPENJAS!$AB$14&gt;=83.25,WSPENJAS!$AB$14&lt;=91.4),"P","")</f>
        <v>P</v>
      </c>
      <c r="WK26" s="102" t="str">
        <f>IF(AND(WSPENJAS!$AB$14&gt;=91.5,WSPENJAS!$AB$14&lt;=100),"P","")</f>
        <v/>
      </c>
      <c r="WL26" s="102" t="str">
        <f>IF(AND(WSPENJAS!$AB$15&gt;0,WSPENJAS!$AB$15&lt;=74.9),"P","")</f>
        <v/>
      </c>
      <c r="WM26" s="102" t="str">
        <f>IF(AND(WSPENJAS!$AB$15&gt;=75,WSPENJAS!$AB$15&lt;=83.24),"P","")</f>
        <v/>
      </c>
      <c r="WN26" s="102" t="str">
        <f>IF(AND(WSPENJAS!$AB$15&gt;=83.25,WSPENJAS!$AB$15&lt;=91.4),"P","")</f>
        <v>P</v>
      </c>
      <c r="WO26" s="102" t="str">
        <f>IF(AND(WSPENJAS!$AB$15&gt;=91.5,WSPENJAS!$AB$15&lt;=100),"P","")</f>
        <v/>
      </c>
      <c r="WP26" s="102" t="str">
        <f>IF(AND(WSPENJAS!$AB$16&gt;0,WSPENJAS!$AB$16&lt;=74.9),"P","")</f>
        <v/>
      </c>
      <c r="WQ26" s="102" t="str">
        <f>IF(AND(WSPENJAS!$AB$16&gt;=75,WSPENJAS!$AB$16&lt;=83.24),"P","")</f>
        <v/>
      </c>
      <c r="WR26" s="102" t="str">
        <f>IF(AND(WSPENJAS!$AB$16&gt;=83.25,WSPENJAS!$AB$16&lt;=91.4),"P","")</f>
        <v/>
      </c>
      <c r="WS26" s="102" t="str">
        <f>IF(AND(WSPENJAS!$AB$16&gt;=91.5,WSPENJAS!$AB$16&lt;=100),"P","")</f>
        <v/>
      </c>
      <c r="WT26" s="102" t="str">
        <f>IF(AND(WSPENJAS!$AB$17&gt;0,WSPENJAS!$AB$17&lt;=74.9),"P","")</f>
        <v/>
      </c>
      <c r="WU26" s="102" t="str">
        <f>IF(AND(WSPENJAS!$AB$17&gt;=75,WSPENJAS!$AB$17&lt;=83.24),"P","")</f>
        <v/>
      </c>
      <c r="WV26" s="102" t="str">
        <f>IF(AND(WSPENJAS!$AB$17&gt;=83.25,WSPENJAS!$AB$17&lt;=91.4),"P","")</f>
        <v/>
      </c>
      <c r="WW26" s="102" t="str">
        <f>IF(AND(WSPENJAS!$AB$17&gt;=91.5,WSPENJAS!$AB$17&lt;=100),"P","")</f>
        <v/>
      </c>
      <c r="WX26" s="102" t="str">
        <f>IF(AND(WSPENJAS!$AB$18&gt;0,WSPENJAS!$AB$18&lt;=74.9),"P","")</f>
        <v/>
      </c>
      <c r="WY26" s="102" t="str">
        <f>IF(AND(WSPENJAS!$AB$18&gt;=75,WSPENJAS!$AB$18&lt;=83.24),"P","")</f>
        <v/>
      </c>
      <c r="WZ26" s="102" t="str">
        <f>IF(AND(WSPENJAS!$AB$18&gt;=83.25,WSPENJAS!$AB$18&lt;=91.4),"P","")</f>
        <v/>
      </c>
      <c r="XA26" s="102" t="str">
        <f>IF(AND(WSPENJAS!$AB$18&gt;=91.5,WSPENJAS!$AB$18&lt;=100),"P","")</f>
        <v/>
      </c>
      <c r="XB26" s="102" t="str">
        <f>IF(AND(WSPENJAS!$AB$19&gt;0,WSPENJAS!$AB$19&lt;=74.9),"P","")</f>
        <v/>
      </c>
      <c r="XC26" s="102" t="str">
        <f>IF(AND(WSPENJAS!$AB$19&gt;=75,WSPENJAS!$AB$19&lt;=83.24),"P","")</f>
        <v/>
      </c>
      <c r="XD26" s="102" t="str">
        <f>IF(AND(WSPENJAS!$AB$19&gt;=83.25,WSPENJAS!$AB$19&lt;=91.4),"P","")</f>
        <v/>
      </c>
      <c r="XE26" s="102" t="str">
        <f>IF(AND(WSPENJAS!$AB$19&gt;=91.5,WSPENJAS!$AB$19&lt;=100),"P","")</f>
        <v/>
      </c>
      <c r="XF26" s="102" t="str">
        <f>IF(AND(WSPENJAS!$AB$20&gt;0,WSPENJAS!$AB$20&lt;=74.9),"P","")</f>
        <v/>
      </c>
      <c r="XG26" s="102" t="str">
        <f>IF(AND(WSPENJAS!$AB$20&gt;=75,WSPENJAS!$AB$20&lt;=83.24),"P","")</f>
        <v/>
      </c>
      <c r="XH26" s="102" t="str">
        <f>IF(AND(WSPENJAS!$AB$20&gt;=83.25,WSPENJAS!$AB$20&lt;=91.4),"P","")</f>
        <v/>
      </c>
      <c r="XI26" s="102" t="str">
        <f>IF(AND(WSPENJAS!$AB$20&gt;=91.5,WSPENJAS!$AB$20&lt;=100),"P","")</f>
        <v/>
      </c>
      <c r="XJ26" s="102" t="str">
        <f>IF(AND(WSPENJAS!$AB$21&gt;0,WSPENJAS!$AB$21&lt;=74.9),"P","")</f>
        <v/>
      </c>
      <c r="XK26" s="102" t="str">
        <f>IF(AND(WSPENJAS!$AB$21&gt;=75,WSPENJAS!$AB$21&lt;=83.24),"P","")</f>
        <v/>
      </c>
      <c r="XL26" s="102" t="str">
        <f>IF(AND(WSPENJAS!$AB$21&gt;=83.25,WSPENJAS!$AB$21&lt;=91.4),"P","")</f>
        <v/>
      </c>
      <c r="XM26" s="102" t="str">
        <f>IF(AND(WSPENJAS!$AB$21&gt;=91.5,WSPENJAS!$AB$21&lt;=100),"P","")</f>
        <v/>
      </c>
      <c r="XN26" t="str">
        <f>IF(WSJAWA!$AB$6&lt;74.9,"P","")</f>
        <v/>
      </c>
      <c r="XO26" s="102" t="str">
        <f>IF(AND(WSJAWA!$AB$6&gt;=75,WSJAWA!$AB$6&lt;=83.24),"P","")</f>
        <v/>
      </c>
      <c r="XP26" s="102" t="str">
        <f>IF(AND(WSJAWA!$AB$6&gt;=83.25,WSJAWA!$AB$6&lt;=91.4),"P","")</f>
        <v/>
      </c>
      <c r="XQ26" s="102" t="str">
        <f>IF(AND(WSJAWA!$AB$6&gt;=91.5,WSJAWA!$AB$6&lt;=100),"P","")</f>
        <v>P</v>
      </c>
      <c r="XR26" t="str">
        <f>IF(WSJAWA!$AB$14&lt;74.9,"P","")</f>
        <v/>
      </c>
      <c r="XS26" s="102" t="str">
        <f>IF(AND(WSJAWA!$AB$14&gt;=75,WSJAWA!$AB$14&lt;=83.24),"P","")</f>
        <v/>
      </c>
      <c r="XT26" s="102" t="str">
        <f>IF(AND(WSJAWA!$AB$14&gt;=83.25,WSJAWA!$AB$14&lt;=91.4),"P","")</f>
        <v/>
      </c>
      <c r="XU26" s="102" t="str">
        <f>IF(AND(WSJAWA!$AB$14&gt;=91.5,WSJAWA!$AB$14&lt;=100),"P","")</f>
        <v>P</v>
      </c>
      <c r="XV26" t="str">
        <f>IF(WSJAWA!$AB$22&lt;74.9,"P","")</f>
        <v/>
      </c>
      <c r="XW26" s="102" t="str">
        <f>IF(AND(WSJAWA!$AB$22&gt;=75,WSJAWA!$AB$22&lt;=83.24),"P","")</f>
        <v/>
      </c>
      <c r="XX26" s="102" t="str">
        <f>IF(AND(WSJAWA!$AB$22&gt;=83.25,WSJAWA!$AB$22&lt;=91.4),"P","")</f>
        <v>P</v>
      </c>
      <c r="XY26" s="102" t="str">
        <f>IF(AND(WSJAWA!$AB$22&gt;=91.5,WSJAWA!$AB$22&lt;=100),"P","")</f>
        <v/>
      </c>
      <c r="XZ26" t="str">
        <f>IF(WSJAWA!$AB$30&lt;74.9,"P","")</f>
        <v/>
      </c>
      <c r="YA26" s="102" t="str">
        <f>IF(AND(WSJAWA!$AB$30&gt;=75,WSJAWA!$AB$30&lt;=83.24),"P","")</f>
        <v/>
      </c>
      <c r="YB26" s="102" t="str">
        <f>IF(AND(WSJAWA!$AB$30&gt;=83.25,WSJAWA!$AB$30&lt;=91.4),"P","")</f>
        <v/>
      </c>
      <c r="YC26" s="102" t="str">
        <f>IF(AND(WSJAWA!$AB$30&gt;=91.5,WSJAWA!$AB$30&lt;=100),"P","")</f>
        <v>P</v>
      </c>
      <c r="YD26" t="str">
        <f>IF(WSJAWA!$AB$38&lt;74.9,"P","")</f>
        <v/>
      </c>
      <c r="YE26" s="102" t="str">
        <f>IF(AND(WSJAWA!$AB$38&gt;=75,WSJAWA!$AB$38&lt;=83.24),"P","")</f>
        <v/>
      </c>
      <c r="YF26" s="102" t="str">
        <f>IF(AND(WSJAWA!$AB$38&gt;=83.25,WSJAWA!$AB$38&lt;=91.4),"P","")</f>
        <v/>
      </c>
      <c r="YG26" s="102" t="str">
        <f>IF(AND(WSJAWA!$AB$38&gt;=91.5,WSJAWA!$AB$38&lt;=100),"P","")</f>
        <v>P</v>
      </c>
      <c r="YH26" t="str">
        <f>IF(WSJAWA!$AB$46&lt;74.9,"P","")</f>
        <v/>
      </c>
      <c r="YI26" s="102" t="str">
        <f>IF(AND(WSJAWA!$AB$46&gt;=75,WSJAWA!$AB$46&lt;=83.24),"P","")</f>
        <v/>
      </c>
      <c r="YJ26" s="102" t="str">
        <f>IF(AND(WSJAWA!$AB$46&gt;=83.25,WSJAWA!$AB$46&lt;=91.4),"P","")</f>
        <v>P</v>
      </c>
      <c r="YK26" s="102" t="str">
        <f>IF(AND(WSJAWA!$AB$46&gt;=91.5,WSJAWA!$AB$46&lt;=100),"P","")</f>
        <v/>
      </c>
      <c r="YL26" t="str">
        <f>IF(WSJAWA!$AB$54&lt;74.9,"P","")</f>
        <v/>
      </c>
      <c r="YM26" s="102" t="str">
        <f>IF(AND(WSJAWA!$AB$54&gt;=75,WSJAWA!$AB$54&lt;=83.24),"P","")</f>
        <v>P</v>
      </c>
      <c r="YN26" s="102" t="str">
        <f>IF(AND(WSJAWA!$AB$54&gt;=83.25,WSJAWA!$AB$54&lt;=91.4),"P","")</f>
        <v/>
      </c>
      <c r="YO26" s="102" t="str">
        <f>IF(AND(WSJAWA!$AB$54&gt;=91.5,WSJAWA!$AB$54&lt;=100),"P","")</f>
        <v/>
      </c>
      <c r="YP26" t="str">
        <f>IF(WSJAWA!$AB$62&lt;74.9,"P","")</f>
        <v/>
      </c>
      <c r="YQ26" s="102" t="str">
        <f>IF(AND(WSJAWA!$AB$62&gt;=75,WSJAWA!$AB$62&lt;=83.24),"P","")</f>
        <v/>
      </c>
      <c r="YR26" s="102" t="str">
        <f>IF(AND(WSJAWA!$AB$62&gt;=83.25,WSJAWA!$AB$62&lt;=91.4),"P","")</f>
        <v/>
      </c>
      <c r="YS26" s="102" t="str">
        <f>IF(AND(WSJAWA!$AB$62&gt;=91.5,WSJAWA!$AB$62&lt;=100),"P","")</f>
        <v>P</v>
      </c>
      <c r="YT26" t="str">
        <f>IF(WSJAWA!$AB$70&lt;74.9,"P","")</f>
        <v/>
      </c>
      <c r="YU26" s="102" t="str">
        <f>IF(AND(WSJAWA!$AB$70&gt;=75,WSJAWA!$AB$70&lt;=83.24),"P","")</f>
        <v/>
      </c>
      <c r="YV26" s="102" t="str">
        <f>IF(AND(WSJAWA!$AB$70&gt;=83.25,WSJAWA!$AB$70&lt;=91.4),"P","")</f>
        <v/>
      </c>
      <c r="YW26" s="102" t="str">
        <f>IF(AND(WSJAWA!$AB$70&gt;=91.5,WSJAWA!$AB$70&lt;=100),"P","")</f>
        <v/>
      </c>
      <c r="YX26" t="str">
        <f>IF(WSJAWA!$AB$78&lt;74.9,"P","")</f>
        <v/>
      </c>
      <c r="YY26" s="102" t="str">
        <f>IF(AND(WSJAWA!$AB$78&gt;=75,WSJAWA!$AB$78&lt;=83.24),"P","")</f>
        <v/>
      </c>
      <c r="YZ26" s="102" t="str">
        <f>IF(AND(WSJAWA!$AB$78&gt;=83.25,WSJAWA!$AB$78&lt;=91.4),"P","")</f>
        <v/>
      </c>
      <c r="ZA26" s="102" t="str">
        <f>IF(AND(WSJAWA!$AB$78&gt;=91.5,WSJAWA!$AB$78&lt;=100),"P","")</f>
        <v/>
      </c>
      <c r="ZB26" t="str">
        <f>IF(WSJAWA!$AB$86&lt;74.9,"P","")</f>
        <v/>
      </c>
      <c r="ZC26" s="102" t="str">
        <f>IF(AND(WSJAWA!$AB$86&gt;=75,WSJAWA!$AB$86&lt;=83.24),"P","")</f>
        <v/>
      </c>
      <c r="ZD26" s="102" t="str">
        <f>IF(AND(WSJAWA!$AB$86&gt;=83.25,WSJAWA!$AB$86&lt;=91.4),"P","")</f>
        <v/>
      </c>
      <c r="ZE26" s="102" t="str">
        <f>IF(AND(WSJAWA!$AB$86&gt;=91.5,WSJAWA!$AB$86&lt;=100),"P","")</f>
        <v/>
      </c>
      <c r="ZF26" t="str">
        <f>IF(WSJAWA!$AB$94&lt;74.9,"P","")</f>
        <v/>
      </c>
      <c r="ZG26" s="102" t="str">
        <f>IF(AND(WSJAWA!$AB$94&gt;=75,WSJAWA!$AB$94&lt;=83.24),"P","")</f>
        <v/>
      </c>
      <c r="ZH26" s="102" t="str">
        <f>IF(AND(WSJAWA!$AB$94&gt;=83.25,WSJAWA!$AB$94&lt;=91.4),"P","")</f>
        <v/>
      </c>
      <c r="ZI26" s="102" t="str">
        <f>IF(AND(WSJAWA!$AB$94&gt;=91.5,WSJAWA!$AB$94&lt;=100),"P","")</f>
        <v/>
      </c>
      <c r="ZJ26" t="str">
        <f>IF(WSJAWA!$AB$102&lt;74.9,"P","")</f>
        <v/>
      </c>
      <c r="ZK26" s="102" t="str">
        <f>IF(AND(WSJAWA!$AB$102&gt;=75,WSJAWA!$AB$102&lt;=83.24),"P","")</f>
        <v/>
      </c>
      <c r="ZL26" s="102" t="str">
        <f>IF(AND(WSJAWA!$AB$102&gt;=83.25,WSJAWA!$AB$102&lt;=91.4),"P","")</f>
        <v/>
      </c>
      <c r="ZM26" s="102" t="str">
        <f>IF(AND(WSJAWA!$AB$102&gt;=91.5,WSJAWA!$AB$102&lt;=100),"P","")</f>
        <v/>
      </c>
      <c r="ZN26" t="str">
        <f>IF(WSING!$AB$6&lt;74.9,"P","")</f>
        <v/>
      </c>
      <c r="ZO26" s="102" t="str">
        <f>IF(AND(WSING!$AB$6&gt;=75,WSING!$AB$6&lt;=83.24),"P","")</f>
        <v/>
      </c>
      <c r="ZP26" s="102" t="str">
        <f>IF(AND(WSING!$AB$6&gt;=83.25,WSING!$AB$6&lt;=91.4),"P","")</f>
        <v/>
      </c>
      <c r="ZQ26" s="102" t="str">
        <f>IF(AND(WSING!$AB$6&gt;=91.5,WSING!$AB$6&lt;=100),"P","")</f>
        <v>P</v>
      </c>
      <c r="ZR26" t="str">
        <f>IF(WSING!$AB$15&lt;74.9,"P","")</f>
        <v/>
      </c>
      <c r="ZS26" s="102" t="str">
        <f>IF(AND(WSING!$AB$15&gt;=75,WSING!$AB$15&lt;=83.24),"P","")</f>
        <v/>
      </c>
      <c r="ZT26" s="102" t="str">
        <f>IF(AND(WSING!$AB$15&gt;=83.25,WSING!$AB$15&lt;=91.4),"P","")</f>
        <v/>
      </c>
      <c r="ZU26" s="102" t="str">
        <f>IF(AND(WSING!$AB$15&gt;=91.5,WSING!$AB$15&lt;=100),"P","")</f>
        <v>P</v>
      </c>
      <c r="ZV26" t="str">
        <f>IF(WSING!$AB$24&lt;74.9,"P","")</f>
        <v/>
      </c>
      <c r="ZW26" s="102" t="str">
        <f>IF(AND(WSING!$AB$24&gt;=75,WSING!$AB$24&lt;=83.24),"P","")</f>
        <v/>
      </c>
      <c r="ZX26" s="102" t="str">
        <f>IF(AND(WSING!$AB$24&gt;=83.25,WSING!$AB$24&lt;=91.4),"P","")</f>
        <v/>
      </c>
      <c r="ZY26" s="102" t="str">
        <f>IF(AND(WSING!$AB$24&gt;=91.5,WSING!$AB$24&lt;=100),"P","")</f>
        <v>P</v>
      </c>
      <c r="ZZ26" t="str">
        <f>IF(WSING!$AB$33&lt;74.9,"P","")</f>
        <v/>
      </c>
      <c r="AAA26" s="102" t="str">
        <f>IF(AND(WSING!$AB$33&gt;=75,WSING!$AB$33&lt;=83.24),"P","")</f>
        <v/>
      </c>
      <c r="AAB26" s="102" t="str">
        <f>IF(AND(WSING!$AB$33&gt;=83.25,WSING!$AB$33&lt;=91.4),"P","")</f>
        <v/>
      </c>
      <c r="AAC26" s="102" t="str">
        <f>IF(AND(WSING!$AB$33&gt;=91.5,WSING!$AB$33&lt;=100),"P","")</f>
        <v>P</v>
      </c>
      <c r="AAD26" t="str">
        <f>IF(WSING!$AB$42&lt;74.9,"P","")</f>
        <v/>
      </c>
      <c r="AAE26" s="102" t="str">
        <f>IF(AND(WSING!$AB$42&gt;=75,WSING!$AB$42&lt;=83.24),"P","")</f>
        <v/>
      </c>
      <c r="AAF26" s="102" t="str">
        <f>IF(AND(WSING!$AB$42&gt;=83.25,WSING!$AB$42&lt;=91.4),"P","")</f>
        <v/>
      </c>
      <c r="AAG26" s="102" t="str">
        <f>IF(AND(WSING!$AB$42&gt;=91.5,WSING!$AB$42&lt;=100),"P","")</f>
        <v/>
      </c>
      <c r="AAH26" t="str">
        <f>IF(WSING!$AB$50&lt;74.9,"P","")</f>
        <v/>
      </c>
      <c r="AAI26" s="102" t="str">
        <f>IF(AND(WSING!$AB$50&gt;=75,WSING!$AB$50&lt;=83.24),"P","")</f>
        <v/>
      </c>
      <c r="AAJ26" s="102" t="str">
        <f>IF(AND(WSING!$AB$50&gt;=83.25,WSING!$AB$50&lt;=91.4),"P","")</f>
        <v/>
      </c>
      <c r="AAK26" s="102" t="str">
        <f>IF(AND(WSING!$AB$50&gt;=91.5,WSING!$AB$50&lt;=100),"P","")</f>
        <v/>
      </c>
      <c r="AAL26" t="str">
        <f>IF(WSING!$AB$58&lt;74.9,"P","")</f>
        <v/>
      </c>
      <c r="AAM26" s="102" t="str">
        <f>IF(AND(WSING!$AB$58&gt;=75,WSING!$AB$58&lt;=83.24),"P","")</f>
        <v/>
      </c>
      <c r="AAN26" s="102" t="str">
        <f>IF(AND(WSING!$AB$58&gt;=83.25,WSING!$AB$58&lt;=91.4),"P","")</f>
        <v/>
      </c>
      <c r="AAO26" s="102" t="str">
        <f>IF(AND(WSING!$AB$58&gt;=91.5,WSING!$AB$58&lt;=100),"P","")</f>
        <v/>
      </c>
      <c r="AAP26" t="str">
        <f>IF(WSING!$AB$66&lt;74.9,"P","")</f>
        <v/>
      </c>
      <c r="AAQ26" s="102" t="str">
        <f>IF(AND(WSING!$AB$66&gt;=75,WSING!$AB$66&lt;=83.24),"P","")</f>
        <v/>
      </c>
      <c r="AAR26" s="102" t="str">
        <f>IF(AND(WSING!$AB$66&gt;=83.25,WSING!$AB$66&lt;=91.4),"P","")</f>
        <v/>
      </c>
      <c r="AAS26" s="102" t="str">
        <f>IF(AND(WSING!$AB$66&gt;=91.5,WSING!$AB$66&lt;=100),"P","")</f>
        <v/>
      </c>
      <c r="AAT26" t="str">
        <f>IF(WSING!$AB$74&lt;74.9,"P","")</f>
        <v/>
      </c>
      <c r="AAU26" s="102" t="str">
        <f>IF(AND(WSING!$AB$74&gt;=75,WSING!$AB$74&lt;=83.24),"P","")</f>
        <v/>
      </c>
      <c r="AAV26" s="102" t="str">
        <f>IF(AND(WSING!$AB$74&gt;=83.25,WSING!$AB$74&lt;=91.4),"P","")</f>
        <v/>
      </c>
      <c r="AAW26" s="102" t="str">
        <f>IF(AND(WSING!$AB$74&gt;=91.5,WSING!$AB$74&lt;=100),"P","")</f>
        <v/>
      </c>
      <c r="AAX26" t="str">
        <f>IF(WSING!$AB$82&lt;74.9,"P","")</f>
        <v/>
      </c>
      <c r="AAY26" s="102" t="str">
        <f>IF(AND(WSING!$AB$82&gt;=75,WSING!$AB$82&lt;=83.24),"P","")</f>
        <v/>
      </c>
      <c r="AAZ26" s="102" t="str">
        <f>IF(AND(WSING!$AB$82&gt;=83.25,WSING!$AB$82&lt;=91.4),"P","")</f>
        <v/>
      </c>
      <c r="ABA26" s="102" t="str">
        <f>IF(AND(WSING!$AB$82&gt;=91.5,WSING!$AB$82&lt;=100),"P","")</f>
        <v/>
      </c>
      <c r="ABB26" t="str">
        <f>IF(WSING!$AB$90&lt;74.9,"P","")</f>
        <v/>
      </c>
      <c r="ABC26" s="102" t="str">
        <f>IF(AND(WSING!$AB$90&gt;=75,WSING!$AB$90&lt;=83.24),"P","")</f>
        <v/>
      </c>
      <c r="ABD26" s="102" t="str">
        <f>IF(AND(WSING!$AB$90&gt;=83.25,WSING!$AB$90&lt;=91.4),"P","")</f>
        <v/>
      </c>
      <c r="ABE26" s="102" t="str">
        <f>IF(AND(WSING!$AB$90&gt;=91.5,WSING!$AB$90&lt;=100),"P","")</f>
        <v/>
      </c>
      <c r="ABF26" t="str">
        <f>IF(WSING!$AB$98&lt;74.9,"P","")</f>
        <v/>
      </c>
      <c r="ABG26" s="102" t="str">
        <f>IF(AND(WSING!$AB$98&gt;=75,WSING!$AB$98&lt;=83.24),"P","")</f>
        <v/>
      </c>
      <c r="ABH26" s="102" t="str">
        <f>IF(AND(WSING!$AB$98&gt;=83.25,WSING!$AB$98&lt;=91.4),"P","")</f>
        <v/>
      </c>
      <c r="ABI26" s="102" t="str">
        <f>IF(AND(WSING!$AB$98&gt;=91.5,WSING!$AB$98&lt;=100),"P","")</f>
        <v/>
      </c>
      <c r="ABJ26" t="str">
        <f>IF(WSING!$AB$106&lt;74.9,"P","")</f>
        <v/>
      </c>
      <c r="ABK26" s="102" t="str">
        <f>IF(AND(WSING!$AB$106&gt;=75,WSING!$AB$106&lt;=83.24),"P","")</f>
        <v/>
      </c>
      <c r="ABL26" s="102" t="str">
        <f>IF(AND(WSING!$AB$106&gt;=83.25,WSING!$AB$106&lt;=91.4),"P","")</f>
        <v/>
      </c>
      <c r="ABM26" s="102" t="str">
        <f>IF(AND(WSING!$AB$106&gt;=91.5,WSING!$AB$106&lt;=100),"P","")</f>
        <v/>
      </c>
      <c r="ABN26" t="str">
        <f>IF(WSTIK!$AB$6&lt;74.9,"P","")</f>
        <v/>
      </c>
      <c r="ABO26" s="102" t="str">
        <f>IF(AND(WSTIK!$AB$6&gt;=75,WSTIK!$AB$6&lt;=83.24),"P","")</f>
        <v/>
      </c>
      <c r="ABP26" s="102" t="str">
        <f>IF(AND(WSTIK!$AB$6&gt;=83.25,WSTIK!$AB$6&lt;=91.4),"P","")</f>
        <v/>
      </c>
      <c r="ABQ26" s="102" t="str">
        <f>IF(AND(WSTIK!$AB$6&gt;=91.5,WSTIK!$AB$6&lt;=100),"P","")</f>
        <v/>
      </c>
      <c r="ABR26" t="str">
        <f>IF(WSTIK!$AB$14&lt;74.9,"P","")</f>
        <v/>
      </c>
      <c r="ABS26" s="102" t="str">
        <f>IF(AND(WSTIK!$AB$14&gt;=75,WSTIK!$AB$14&lt;=83.24),"P","")</f>
        <v/>
      </c>
      <c r="ABT26" s="102" t="str">
        <f>IF(AND(WSTIK!$AB$14&gt;=83.25,WSTIK!$AB$14&lt;=91.4),"P","")</f>
        <v/>
      </c>
      <c r="ABU26" s="102" t="str">
        <f>IF(AND(WSTIK!$AB$14&gt;=91.5,WSTIK!$AB$14&lt;=100),"P","")</f>
        <v/>
      </c>
      <c r="ABV26" t="str">
        <f>IF(WSTIK!$AB$22&lt;74.9,"P","")</f>
        <v/>
      </c>
      <c r="ABW26" s="102" t="str">
        <f>IF(AND(WSTIK!$AB$22&gt;=75,WSTIK!$AB$22&lt;=83.24),"P","")</f>
        <v/>
      </c>
      <c r="ABX26" s="102" t="str">
        <f>IF(AND(WSTIK!$AB$22&gt;=83.25,WSTIK!$AB$22&lt;=91.4),"P","")</f>
        <v/>
      </c>
      <c r="ABY26" s="102" t="str">
        <f>IF(AND(WSTIK!$AB$22&gt;=91.5,WSTIK!$AB$22&lt;=100),"P","")</f>
        <v/>
      </c>
      <c r="ABZ26" t="str">
        <f>IF(WSTIK!$AB$30&lt;74.9,"P","")</f>
        <v/>
      </c>
      <c r="ACA26" s="102" t="str">
        <f>IF(AND(WSTIK!$AB$30&gt;=75,WSTIK!$AB$30&lt;=83.24),"P","")</f>
        <v/>
      </c>
      <c r="ACB26" s="102" t="str">
        <f>IF(AND(WSTIK!$AB$30&gt;=83.25,WSTIK!$AB$30&lt;=91.4),"P","")</f>
        <v/>
      </c>
      <c r="ACC26" s="102" t="str">
        <f>IF(AND(WSTIK!$AB$30&gt;=91.5,WSTIK!$AB$30&lt;=100),"P","")</f>
        <v/>
      </c>
      <c r="ACD26" t="str">
        <f>IF(WSTIK!$AB$38&lt;74.9,"P","")</f>
        <v/>
      </c>
      <c r="ACE26" s="102" t="str">
        <f>IF(AND(WSTIK!$AB$38&gt;=75,WSTIK!$AB$38&lt;=83.24),"P","")</f>
        <v/>
      </c>
      <c r="ACF26" s="102" t="str">
        <f>IF(AND(WSTIK!$AB$38&gt;=83.25,WSTIK!$AB$38&lt;=91.4),"P","")</f>
        <v/>
      </c>
      <c r="ACG26" s="102" t="str">
        <f>IF(AND(WSTIK!$AB$38&gt;=91.5,WSTIK!$AB$38&lt;=100),"P","")</f>
        <v/>
      </c>
      <c r="ACH26" t="str">
        <f>IF(WSTIK!$AB$46&lt;74.9,"P","")</f>
        <v/>
      </c>
      <c r="ACI26" s="102" t="str">
        <f>IF(AND(WSTIK!$AB$46&gt;=75,WSTIK!$AB$46&lt;=83.24),"P","")</f>
        <v/>
      </c>
      <c r="ACJ26" s="102" t="str">
        <f>IF(AND(WSTIK!$AB$46&gt;=83.25,WSTIK!$AB$46&lt;=91.4),"P","")</f>
        <v/>
      </c>
      <c r="ACK26" s="102" t="str">
        <f>IF(AND(WSTIK!$AB$46&gt;=91.5,WSTIK!$AB$46&lt;=100),"P","")</f>
        <v/>
      </c>
      <c r="ACL26" t="str">
        <f>IF(WSTIK!$AB$54&lt;74.9,"P","")</f>
        <v/>
      </c>
      <c r="ACM26" s="102" t="str">
        <f>IF(AND(WSTIK!$AB$54&gt;=75,WSTIK!$AB$54&lt;=83.24),"P","")</f>
        <v/>
      </c>
      <c r="ACN26" s="102" t="str">
        <f>IF(AND(WSTIK!$AB$54&gt;=83.25,WSTIK!$AB$54&lt;=91.4),"P","")</f>
        <v/>
      </c>
      <c r="ACO26" s="102" t="str">
        <f>IF(AND(WSTIK!$AB$54&gt;=91.5,WSTIK!$AB$54&lt;=100),"P","")</f>
        <v/>
      </c>
      <c r="ACP26" t="str">
        <f>IF(WSTIK!$AB$62&lt;74.9,"P","")</f>
        <v/>
      </c>
      <c r="ACQ26" s="102" t="str">
        <f>IF(AND(WSTIK!$AB$62&gt;=75,WSTIK!$AB$62&lt;=83.24),"P","")</f>
        <v/>
      </c>
      <c r="ACR26" s="102" t="str">
        <f>IF(AND(WSTIK!$AB$62&gt;=83.25,WSTIK!$AB$62&lt;=91.4),"P","")</f>
        <v/>
      </c>
      <c r="ACS26" s="102" t="str">
        <f>IF(AND(WSTIK!$AB$62&gt;=91.5,WSTIK!$AB$62&lt;=100),"P","")</f>
        <v/>
      </c>
      <c r="ACT26" t="str">
        <f>IF(WSTIK!$AB$70&lt;74.9,"P","")</f>
        <v/>
      </c>
      <c r="ACU26" s="102" t="str">
        <f>IF(AND(WSTIK!$AB$70&gt;=75,WSTIK!$AB$70&lt;=83.24),"P","")</f>
        <v/>
      </c>
      <c r="ACV26" s="102" t="str">
        <f>IF(AND(WSTIK!$AB$70&gt;=83.25,WSTIK!$AB$70&lt;=91.4),"P","")</f>
        <v/>
      </c>
      <c r="ACW26" s="102" t="str">
        <f>IF(AND(WSTIK!$AB$70&gt;=91.5,WSTIK!$AB$70&lt;=100),"P","")</f>
        <v/>
      </c>
      <c r="ACX26" t="str">
        <f>IF(WSTIK!$AB$78&lt;74.9,"P","")</f>
        <v/>
      </c>
      <c r="ACY26" s="102" t="str">
        <f>IF(AND(WSTIK!$AB$78&gt;=75,WSTIK!$AB$78&lt;=83.24),"P","")</f>
        <v/>
      </c>
      <c r="ACZ26" s="102" t="str">
        <f>IF(AND(WSTIK!$AB$78&gt;=83.25,WSTIK!$AB$78&lt;=91.4),"P","")</f>
        <v/>
      </c>
      <c r="ADA26" s="102" t="str">
        <f>IF(AND(WSTIK!$AB$78&gt;=91.5,WSTIK!$AB$78&lt;=100),"P","")</f>
        <v/>
      </c>
      <c r="ADB26" t="str">
        <f>IF(WSTIK!$AB$86&lt;74.9,"P","")</f>
        <v/>
      </c>
      <c r="ADC26" s="102" t="str">
        <f>IF(AND(WSTIK!$AB$86&gt;=75,WSTIK!$AB$86&lt;=83.24),"P","")</f>
        <v/>
      </c>
      <c r="ADD26" s="102" t="str">
        <f>IF(AND(WSTIK!$AB$86&gt;=83.25,WSTIK!$AB$86&lt;=91.4),"P","")</f>
        <v/>
      </c>
      <c r="ADE26" s="102" t="str">
        <f>IF(AND(WSTIK!$AB$86&gt;=91.5,WSTIK!$AB$86&lt;=100),"P","")</f>
        <v/>
      </c>
      <c r="ADF26" t="str">
        <f>IF(WSTIK!$AB$94&lt;74.9,"P","")</f>
        <v/>
      </c>
      <c r="ADG26" s="102" t="str">
        <f>IF(AND(WSTIK!$AB$94&gt;=75,WSTIK!$AB$94&lt;=83.24),"P","")</f>
        <v/>
      </c>
      <c r="ADH26" s="102" t="str">
        <f>IF(AND(WSTIK!$AB$94&gt;=83.25,WSTIK!$AB$94&lt;=91.4),"P","")</f>
        <v/>
      </c>
      <c r="ADI26" s="102" t="str">
        <f>IF(AND(WSTIK!$AB$94&gt;=91.5,WSTIK!$AB$94&lt;=100),"P","")</f>
        <v/>
      </c>
      <c r="ADJ26" t="str">
        <f>IF(WSTIK!$AB$102&lt;74.9,"P","")</f>
        <v/>
      </c>
      <c r="ADK26" s="102" t="str">
        <f>IF(AND(WSTIK!$AB$102&gt;=75,WSTIK!$AB$102&lt;=83.24),"P","")</f>
        <v/>
      </c>
      <c r="ADL26" s="102" t="str">
        <f>IF(AND(WSTIK!$AB$102&gt;=83.25,WSTIK!$AB$102&lt;=91.4),"P","")</f>
        <v/>
      </c>
      <c r="ADM26" s="102" t="str">
        <f>IF(AND(WSTIK!$AB$102&gt;=91.5,WSTIK!$AB$102&lt;=100),"P","")</f>
        <v/>
      </c>
      <c r="ADN26" t="str">
        <f>IF(WSASWAJA!$AB$6&lt;74.9,"P","")</f>
        <v/>
      </c>
      <c r="ADO26" s="102" t="str">
        <f>IF(AND(WSASWAJA!$AB$6&gt;=75,WSASWAJA!$AB$6&lt;=83.24),"P","")</f>
        <v/>
      </c>
      <c r="ADP26" s="102" t="str">
        <f>IF(AND(WSASWAJA!$AB$6&gt;=83.25,WSASWAJA!$AB$6&lt;=91.4),"P","")</f>
        <v/>
      </c>
      <c r="ADQ26" s="102" t="str">
        <f>IF(AND(WSASWAJA!$AB$6&gt;=91.5,WSASWAJA!$AB$6&lt;=100),"P","")</f>
        <v/>
      </c>
      <c r="ADR26" t="str">
        <f>IF(WSASWAJA!$AB$14&lt;74.9,"P","")</f>
        <v/>
      </c>
      <c r="ADS26" s="102" t="str">
        <f>IF(AND(WSASWAJA!$AB$14&gt;=75,WSASWAJA!$AB$14&lt;=83.24),"P","")</f>
        <v/>
      </c>
      <c r="ADT26" s="102" t="str">
        <f>IF(AND(WSASWAJA!$AB$14&gt;=83.25,WSASWAJA!$AB$14&lt;=91.4),"P","")</f>
        <v/>
      </c>
      <c r="ADU26" s="102" t="str">
        <f>IF(AND(WSASWAJA!$AB$14&gt;=91.5,WSASWAJA!$AB$14&lt;=100),"P","")</f>
        <v/>
      </c>
      <c r="ADV26" t="str">
        <f>IF(WSASWAJA!$AB$22&lt;74.9,"P","")</f>
        <v/>
      </c>
      <c r="ADW26" s="102" t="str">
        <f>IF(AND(WSASWAJA!$AB$22&gt;=75,WSASWAJA!$AB$22&lt;=83.24),"P","")</f>
        <v/>
      </c>
      <c r="ADX26" s="102" t="str">
        <f>IF(AND(WSASWAJA!$AB$22&gt;=83.25,WSASWAJA!$AB$22&lt;=91.4),"P","")</f>
        <v/>
      </c>
      <c r="ADY26" s="102" t="str">
        <f>IF(AND(WSASWAJA!$AB$22&gt;=91.5,WSASWAJA!$AB$22&lt;=100),"P","")</f>
        <v/>
      </c>
      <c r="ADZ26" t="str">
        <f>IF(WSASWAJA!$AB$30&lt;74.9,"P","")</f>
        <v/>
      </c>
      <c r="AEA26" s="102" t="str">
        <f>IF(AND(WSASWAJA!$AB$30&gt;=75,WSASWAJA!$AB$30&lt;=83.24),"P","")</f>
        <v/>
      </c>
      <c r="AEB26" s="102" t="str">
        <f>IF(AND(WSASWAJA!$AB$30&gt;=83.25,WSASWAJA!$AB$30&lt;=91.4),"P","")</f>
        <v/>
      </c>
      <c r="AEC26" s="102" t="str">
        <f>IF(AND(WSASWAJA!$AB$30&gt;=91.5,WSASWAJA!$AB$30&lt;=100),"P","")</f>
        <v/>
      </c>
      <c r="AED26" t="str">
        <f>IF(WSASWAJA!$AB$38&lt;74.9,"P","")</f>
        <v/>
      </c>
      <c r="AEE26" s="102" t="str">
        <f>IF(AND(WSASWAJA!$AB$38&gt;=75,WSASWAJA!$AB$38&lt;=83.24),"P","")</f>
        <v/>
      </c>
      <c r="AEF26" s="102" t="str">
        <f>IF(AND(WSASWAJA!$AB$38&gt;=83.25,WSASWAJA!$AB$38&lt;=91.4),"P","")</f>
        <v/>
      </c>
      <c r="AEG26" s="102" t="str">
        <f>IF(AND(WSASWAJA!$AB$38&gt;=91.5,WSASWAJA!$AB$38&lt;=100),"P","")</f>
        <v/>
      </c>
      <c r="AEH26" t="str">
        <f>IF(WSASWAJA!$AB$46&lt;74.9,"P","")</f>
        <v/>
      </c>
      <c r="AEI26" s="102" t="str">
        <f>IF(AND(WSASWAJA!$AB$46&gt;=75,WSASWAJA!$AB$46&lt;=83.24),"P","")</f>
        <v/>
      </c>
      <c r="AEJ26" s="102" t="str">
        <f>IF(AND(WSASWAJA!$AB$46&gt;=83.25,WSASWAJA!$AB$46&lt;=91.4),"P","")</f>
        <v/>
      </c>
      <c r="AEK26" s="102" t="str">
        <f>IF(AND(WSASWAJA!$AB$46&gt;=91.5,WSASWAJA!$AB$46&lt;=100),"P","")</f>
        <v/>
      </c>
      <c r="AEL26" t="str">
        <f>IF(WSASWAJA!$AB$54&lt;74.9,"P","")</f>
        <v/>
      </c>
      <c r="AEM26" s="102" t="str">
        <f>IF(AND(WSASWAJA!$AB$54&gt;=75,WSASWAJA!$AB$54&lt;=83.24),"P","")</f>
        <v/>
      </c>
      <c r="AEN26" s="102" t="str">
        <f>IF(AND(WSASWAJA!$AB$54&gt;=83.25,WSASWAJA!$AB$54&lt;=91.4),"P","")</f>
        <v/>
      </c>
      <c r="AEO26" s="102" t="str">
        <f>IF(AND(WSASWAJA!$AB$54&gt;=91.5,WSASWAJA!$AB$54&lt;=100),"P","")</f>
        <v/>
      </c>
      <c r="AEP26" t="str">
        <f>IF(WSASWAJA!$AB$62&lt;74.9,"P","")</f>
        <v/>
      </c>
      <c r="AEQ26" s="102" t="str">
        <f>IF(AND(WSASWAJA!$AB$62&gt;=75,WSASWAJA!$AB$62&lt;=83.24),"P","")</f>
        <v/>
      </c>
      <c r="AER26" s="102" t="str">
        <f>IF(AND(WSASWAJA!$AB$62&gt;=83.25,WSASWAJA!$AB$62&lt;=91.4),"P","")</f>
        <v/>
      </c>
      <c r="AES26" s="102" t="str">
        <f>IF(AND(WSASWAJA!$AB$62&gt;=91.5,WSASWAJA!$AB$62&lt;=100),"P","")</f>
        <v/>
      </c>
      <c r="AET26" t="str">
        <f>IF(WSASWAJA!$AB$70&lt;74.9,"P","")</f>
        <v/>
      </c>
      <c r="AEU26" s="102" t="str">
        <f>IF(AND(WSASWAJA!$AB$70&gt;=75,WSASWAJA!$AB$70&lt;=83.24),"P","")</f>
        <v/>
      </c>
      <c r="AEV26" s="102" t="str">
        <f>IF(AND(WSASWAJA!$AB$70&gt;=83.25,WSASWAJA!$AB$70&lt;=91.4),"P","")</f>
        <v/>
      </c>
      <c r="AEW26" s="102" t="str">
        <f>IF(AND(WSASWAJA!$AB$70&gt;=91.5,WSASWAJA!$AB$70&lt;=100),"P","")</f>
        <v/>
      </c>
      <c r="AEX26" t="str">
        <f>IF(WSASWAJA!$AB$78&lt;74.9,"P","")</f>
        <v/>
      </c>
      <c r="AEY26" s="102" t="str">
        <f>IF(AND(WSASWAJA!$AB$78&gt;=75,WSASWAJA!$AB$78&lt;=83.24),"P","")</f>
        <v/>
      </c>
      <c r="AEZ26" s="102" t="str">
        <f>IF(AND(WSASWAJA!$AB$78&gt;=83.25,WSASWAJA!$AB$78&lt;=91.4),"P","")</f>
        <v/>
      </c>
      <c r="AFA26" s="102" t="str">
        <f>IF(AND(WSASWAJA!$AB$78&gt;=91.5,WSASWAJA!$AB$78&lt;=100),"P","")</f>
        <v/>
      </c>
      <c r="AFB26" t="str">
        <f>IF(WSASWAJA!$AB$86&lt;74.9,"P","")</f>
        <v/>
      </c>
      <c r="AFC26" s="102" t="str">
        <f>IF(AND(WSASWAJA!$AB$86&gt;=75,WSASWAJA!$AB$86&lt;=83.24),"P","")</f>
        <v/>
      </c>
      <c r="AFD26" s="102" t="str">
        <f>IF(AND(WSASWAJA!$AB$86&gt;=83.25,WSASWAJA!$AB$86&lt;=91.4),"P","")</f>
        <v/>
      </c>
      <c r="AFE26" s="102" t="str">
        <f>IF(AND(WSASWAJA!$AB$86&gt;=91.5,WSASWAJA!$AB$86&lt;=100),"P","")</f>
        <v/>
      </c>
      <c r="AFF26" t="str">
        <f>IF(WSASWAJA!$AB$94&lt;74.9,"P","")</f>
        <v/>
      </c>
      <c r="AFG26" s="102" t="str">
        <f>IF(AND(WSASWAJA!$AB$94&gt;=75,WSASWAJA!$AB$94&lt;=83.24),"P","")</f>
        <v/>
      </c>
      <c r="AFH26" s="102" t="str">
        <f>IF(AND(WSASWAJA!$AB$94&gt;=83.25,WSASWAJA!$AB$94&lt;=91.4),"P","")</f>
        <v/>
      </c>
      <c r="AFI26" s="102" t="str">
        <f>IF(AND(WSASWAJA!$AB$94&gt;=91.5,WSASWAJA!$AB$94&lt;=100),"P","")</f>
        <v/>
      </c>
      <c r="AFJ26" t="str">
        <f>IF(WSASWAJA!$AB$102&lt;74.9,"P","")</f>
        <v/>
      </c>
      <c r="AFK26" s="102" t="str">
        <f>IF(AND(WSASWAJA!$AB$102&gt;=75,WSASWAJA!$AB$102&lt;=83.24),"P","")</f>
        <v/>
      </c>
      <c r="AFL26" s="102" t="str">
        <f>IF(AND(WSASWAJA!$AB$102&gt;=83.25,WSASWAJA!$AB$102&lt;=91.4),"P","")</f>
        <v/>
      </c>
      <c r="AFM26" s="102" t="str">
        <f>IF(AND(WSASWAJA!$AB$102&gt;=91.5,WSASWAJA!$AB$102&lt;=100),"P","")</f>
        <v/>
      </c>
    </row>
    <row r="27" spans="1:845" ht="20.100000000000001" customHeight="1">
      <c r="A27">
        <v>25</v>
      </c>
      <c r="B27" t="str">
        <f>IF(WSALQURAN!$AC$6&lt;74.9,"P","")</f>
        <v/>
      </c>
      <c r="C27" s="102" t="str">
        <f>IF(AND(WSALQURAN!$AC$6&gt;=75,WSALQURAN!$AC$6&lt;=83.24),"P","")</f>
        <v/>
      </c>
      <c r="D27" s="102" t="str">
        <f>IF(AND(WSALQURAN!$AC$6&gt;=83.25,WSALQURAN!$AC$6&lt;=91.4),"P","")</f>
        <v/>
      </c>
      <c r="E27" s="102" t="str">
        <f>IF(AND(WSALQURAN!$AC$6&gt;=91.5,WSALQURAN!$AC$6&lt;=100),"P","")</f>
        <v/>
      </c>
      <c r="F27" t="str">
        <f>IF(WSALQURAN!$AC$14&lt;74.9,"P","")</f>
        <v/>
      </c>
      <c r="G27" s="102" t="str">
        <f>IF(AND(WSALQURAN!$AC$14&gt;=75,WSALQURAN!$AC$14&lt;=83.24),"P","")</f>
        <v/>
      </c>
      <c r="H27" s="102" t="str">
        <f>IF(AND(WSALQURAN!$AC$14&gt;=83.25,WSALQURAN!$AC$14&lt;=91.4),"P","")</f>
        <v/>
      </c>
      <c r="I27" s="102" t="str">
        <f>IF(AND(WSALQURAN!$AC$14&gt;=91.5,WSALQURAN!$AC$14&lt;=100),"P","")</f>
        <v/>
      </c>
      <c r="J27" t="str">
        <f>IF(WSALQURAN!$AC$22&lt;74.9,"P","")</f>
        <v/>
      </c>
      <c r="K27" s="102" t="str">
        <f>IF(AND(WSALQURAN!$AC$22&gt;=75,WSALQURAN!$AC$22&lt;=83.24),"P","")</f>
        <v/>
      </c>
      <c r="L27" s="102" t="str">
        <f>IF(AND(WSALQURAN!$AC$22&gt;=83.25,WSALQURAN!$AC$22&lt;=91.4),"P","")</f>
        <v/>
      </c>
      <c r="M27" s="102" t="str">
        <f>IF(AND(WSALQURAN!$AC$22&gt;=91.5,WSALQURAN!$AC$22&lt;=100),"P","")</f>
        <v/>
      </c>
      <c r="N27" t="str">
        <f>IF(WSALQURAN!$AC$30&lt;74.9,"P","")</f>
        <v/>
      </c>
      <c r="O27" s="102" t="str">
        <f>IF(AND(WSALQURAN!$AC$30&gt;=75,WSALQURAN!$AC$30&lt;=83.24),"P","")</f>
        <v/>
      </c>
      <c r="P27" s="102" t="str">
        <f>IF(AND(WSALQURAN!$AC$30&gt;=83.25,WSALQURAN!$AC$30&lt;=91.4),"P","")</f>
        <v/>
      </c>
      <c r="Q27" s="102" t="str">
        <f>IF(AND(WSALQURAN!$AC$30&gt;=91.5,WSALQURAN!$AC$30&lt;=100),"P","")</f>
        <v/>
      </c>
      <c r="R27" t="str">
        <f>IF(WSALQURAN!$AC$38&lt;74.9,"P","")</f>
        <v/>
      </c>
      <c r="S27" s="102" t="str">
        <f>IF(AND(WSALQURAN!$AC$38&gt;=75,WSALQURAN!$AC$38&lt;=83.24),"P","")</f>
        <v/>
      </c>
      <c r="T27" s="102" t="str">
        <f>IF(AND(WSALQURAN!$AC$38&gt;=83.25,WSALQURAN!$AC$38&lt;=91.4),"P","")</f>
        <v/>
      </c>
      <c r="U27" s="102" t="str">
        <f>IF(AND(WSALQURAN!$AC$38&gt;=91.5,WSALQURAN!$AC$38&lt;=100),"P","")</f>
        <v/>
      </c>
      <c r="V27" t="str">
        <f>IF(WSALQURAN!$AC$46&lt;74.9,"P","")</f>
        <v/>
      </c>
      <c r="W27" s="102" t="str">
        <f>IF(AND(WSALQURAN!$AC$46&gt;=75,WSALQURAN!$AC$46&lt;=83.24),"P","")</f>
        <v/>
      </c>
      <c r="X27" s="102" t="str">
        <f>IF(AND(WSALQURAN!$AC$46&gt;=83.25,WSALQURAN!$AC$46&lt;=91.4),"P","")</f>
        <v/>
      </c>
      <c r="Y27" s="102" t="str">
        <f>IF(AND(WSALQURAN!$AC$46&gt;=91.5,WSALQURAN!$AC$46&lt;=100),"P","")</f>
        <v/>
      </c>
      <c r="Z27" t="str">
        <f>IF(WSALQURAN!$AC$54&lt;74.9,"P","")</f>
        <v/>
      </c>
      <c r="AA27" s="102" t="str">
        <f>IF(AND(WSALQURAN!$AC$54&gt;=75,WSALQURAN!$AC$54&lt;=83.24),"P","")</f>
        <v/>
      </c>
      <c r="AB27" s="102" t="str">
        <f>IF(AND(WSALQURAN!$AC$54&gt;=83.25,WSALQURAN!$AC$54&lt;=91.4),"P","")</f>
        <v/>
      </c>
      <c r="AC27" s="102" t="str">
        <f>IF(AND(WSALQURAN!$AC$54&gt;=91.5,WSALQURAN!$AC$54&lt;=100),"P","")</f>
        <v/>
      </c>
      <c r="AD27" t="str">
        <f>IF(WSALQURAN!$AC$62&lt;74.9,"P","")</f>
        <v/>
      </c>
      <c r="AE27" s="102" t="str">
        <f>IF(AND(WSALQURAN!$AC$62&gt;=75,WSALQURAN!$AC$62&lt;=83.24),"P","")</f>
        <v/>
      </c>
      <c r="AF27" s="102" t="str">
        <f>IF(AND(WSALQURAN!$AC$62&gt;=83.25,WSALQURAN!$AC$62&lt;=91.4),"P","")</f>
        <v/>
      </c>
      <c r="AG27" s="102" t="str">
        <f>IF(AND(WSALQURAN!$AC$62&gt;=91.5,WSALQURAN!$AC$62&lt;=100),"P","")</f>
        <v/>
      </c>
      <c r="AH27" t="str">
        <f>IF(WSALQURAN!$AC$70&lt;74.9,"P","")</f>
        <v/>
      </c>
      <c r="AI27" s="102" t="str">
        <f>IF(AND(WSALQURAN!$AC$70&gt;=75,WSALQURAN!$AC$70&lt;=83.24),"P","")</f>
        <v/>
      </c>
      <c r="AJ27" s="102" t="str">
        <f>IF(AND(WSALQURAN!$AC$70&gt;=83.25,WSALQURAN!$AC$70&lt;=91.4),"P","")</f>
        <v/>
      </c>
      <c r="AK27" s="102" t="str">
        <f>IF(AND(WSALQURAN!$AC$70&gt;=91.5,WSALQURAN!$AC$70&lt;=100),"P","")</f>
        <v/>
      </c>
      <c r="AL27" t="str">
        <f>IF(WSALQURAN!$AC$78&lt;74.9,"P","")</f>
        <v/>
      </c>
      <c r="AM27" s="102" t="str">
        <f>IF(AND(WSALQURAN!$AC$78&gt;=75,WSALQURAN!$AC$78&lt;=83.24),"P","")</f>
        <v/>
      </c>
      <c r="AN27" s="102" t="str">
        <f>IF(AND(WSALQURAN!$AC$78&gt;=83.25,WSALQURAN!$AC$78&lt;=91.4),"P","")</f>
        <v/>
      </c>
      <c r="AO27" s="102" t="str">
        <f>IF(AND(WSALQURAN!$AC$78&gt;=91.5,WSALQURAN!$AC$78&lt;=100),"P","")</f>
        <v/>
      </c>
      <c r="AP27" t="str">
        <f>IF(WSALQURAN!$AC$86&lt;74.9,"P","")</f>
        <v/>
      </c>
      <c r="AQ27" s="102" t="str">
        <f>IF(AND(WSALQURAN!$AC$86&gt;=75,WSALQURAN!$AC$86&lt;=83.24),"P","")</f>
        <v/>
      </c>
      <c r="AR27" s="102" t="str">
        <f>IF(AND(WSALQURAN!$AC$86&gt;=83.25,WSALQURAN!$AC$86&lt;=91.4),"P","")</f>
        <v/>
      </c>
      <c r="AS27" s="102" t="str">
        <f>IF(AND(WSALQURAN!$AC$86&gt;=91.5,WSALQURAN!$AC$86&lt;=100),"P","")</f>
        <v/>
      </c>
      <c r="AT27" t="str">
        <f>IF(WSALQURAN!$AC$94&lt;74.9,"P","")</f>
        <v/>
      </c>
      <c r="AU27" s="102" t="str">
        <f>IF(AND(WSALQURAN!$AC$94&gt;=75,WSALQURAN!$AC$94&lt;=83.24),"P","")</f>
        <v/>
      </c>
      <c r="AV27" s="102" t="str">
        <f>IF(AND(WSALQURAN!$AC$94&gt;=83.25,WSALQURAN!$AC$94&lt;=91.4),"P","")</f>
        <v/>
      </c>
      <c r="AW27" s="102" t="str">
        <f>IF(AND(WSALQURAN!$AC$94&gt;=91.5,WSALQURAN!$AC$94&lt;=100),"P","")</f>
        <v/>
      </c>
      <c r="AX27" t="str">
        <f>IF(WSALQURAN!$AC$102&lt;74.9,"P","")</f>
        <v/>
      </c>
      <c r="AY27" s="102" t="str">
        <f>IF(AND(WSALQURAN!$AC$102&gt;=75,WSALQURAN!$AC$102&lt;=83.24),"P","")</f>
        <v/>
      </c>
      <c r="AZ27" s="102" t="str">
        <f>IF(AND(WSALQURAN!$AC$102&gt;=83.25,WSALQURAN!$AC$102&lt;=91.4),"P","")</f>
        <v/>
      </c>
      <c r="BA27" s="102" t="str">
        <f>IF(AND(WSALQURAN!$AC$102&gt;=91.5,WSALQURAN!$AC$102&lt;=100),"P","")</f>
        <v/>
      </c>
      <c r="BB27" t="str">
        <f>IF(WSAQIDAH!$AC$6&lt;74.9,"P","")</f>
        <v/>
      </c>
      <c r="BC27" s="102" t="str">
        <f>IF(AND(WSAQIDAH!$AC$6&gt;=75,WSAQIDAH!$AC$6&lt;=83.24),"P","")</f>
        <v/>
      </c>
      <c r="BD27" s="102" t="str">
        <f>IF(AND(WSAQIDAH!$AC$6&gt;=83.25,WSAQIDAH!$AC$6&lt;=91.4),"P","")</f>
        <v/>
      </c>
      <c r="BE27" s="102" t="str">
        <f>IF(AND(WSAQIDAH!$AC$6&gt;=91.5,WSAQIDAH!$AC$6&lt;=100),"P","")</f>
        <v/>
      </c>
      <c r="BF27" t="str">
        <f>IF(WSAQIDAH!$AC$14&lt;74.9,"P","")</f>
        <v/>
      </c>
      <c r="BG27" s="102" t="str">
        <f>IF(AND(WSAQIDAH!$AC$14&gt;=75,WSAQIDAH!$AC$14&lt;=83.24),"P","")</f>
        <v/>
      </c>
      <c r="BH27" s="102" t="str">
        <f>IF(AND(WSAQIDAH!$AC$14&gt;=83.25,WSAQIDAH!$AC$14&lt;=91.4),"P","")</f>
        <v/>
      </c>
      <c r="BI27" s="102" t="str">
        <f>IF(AND(WSAQIDAH!$AC$14&gt;=91.5,WSAQIDAH!$AC$14&lt;=100),"P","")</f>
        <v/>
      </c>
      <c r="BJ27" t="str">
        <f>IF(WSAQIDAH!$AC$22&lt;74.9,"P","")</f>
        <v/>
      </c>
      <c r="BK27" s="102" t="str">
        <f>IF(AND(WSAQIDAH!$AC$22&gt;=75,WSAQIDAH!$AC$22&lt;=83.24),"P","")</f>
        <v/>
      </c>
      <c r="BL27" s="102" t="str">
        <f>IF(AND(WSAQIDAH!$AC$22&gt;=83.25,WSAQIDAH!$AC$22&lt;=91.4),"P","")</f>
        <v/>
      </c>
      <c r="BM27" s="102" t="str">
        <f>IF(AND(WSAQIDAH!$AC$22&gt;=91.5,WSAQIDAH!$AC$22&lt;=100),"P","")</f>
        <v/>
      </c>
      <c r="BN27" t="str">
        <f>IF(WSAQIDAH!$AC$30&lt;74.9,"P","")</f>
        <v/>
      </c>
      <c r="BO27" s="102" t="str">
        <f>IF(AND(WSAQIDAH!$AC$30&gt;=75,WSAQIDAH!$AC$30&lt;=83.24),"P","")</f>
        <v/>
      </c>
      <c r="BP27" s="102" t="str">
        <f>IF(AND(WSAQIDAH!$AC$30&gt;=83.25,WSAQIDAH!$AC$30&lt;=91.4),"P","")</f>
        <v/>
      </c>
      <c r="BQ27" s="102" t="str">
        <f>IF(AND(WSAQIDAH!$AC$30&gt;=91.5,WSAQIDAH!$AC$30&lt;=100),"P","")</f>
        <v/>
      </c>
      <c r="BR27" t="str">
        <f>IF(WSAQIDAH!$AC$38&lt;74.9,"P","")</f>
        <v/>
      </c>
      <c r="BS27" s="102" t="str">
        <f>IF(AND(WSAQIDAH!$AC$38&gt;=75,WSAQIDAH!$AC$38&lt;=83.24),"P","")</f>
        <v/>
      </c>
      <c r="BT27" s="102" t="str">
        <f>IF(AND(WSAQIDAH!$AC$38&gt;=83.25,WSAQIDAH!$AC$38&lt;=91.4),"P","")</f>
        <v/>
      </c>
      <c r="BU27" s="102" t="str">
        <f>IF(AND(WSAQIDAH!$AC$38&gt;=91.5,WSAQIDAH!$AC$38&lt;=100),"P","")</f>
        <v/>
      </c>
      <c r="BV27" t="str">
        <f>IF(WSAQIDAH!$AC$46&lt;74.9,"P","")</f>
        <v/>
      </c>
      <c r="BW27" s="102" t="str">
        <f>IF(AND(WSAQIDAH!$AC$46&gt;=75,WSAQIDAH!$AC$46&lt;=83.24),"P","")</f>
        <v/>
      </c>
      <c r="BX27" s="102" t="str">
        <f>IF(AND(WSAQIDAH!$AC$46&gt;=83.25,WSAQIDAH!$AC$46&lt;=91.4),"P","")</f>
        <v/>
      </c>
      <c r="BY27" s="102" t="str">
        <f>IF(AND(WSAQIDAH!$AC$46&gt;=91.5,WSAQIDAH!$AC$46&lt;=100),"P","")</f>
        <v/>
      </c>
      <c r="BZ27" t="str">
        <f>IF(WSAQIDAH!$AC$54&lt;74.9,"P","")</f>
        <v/>
      </c>
      <c r="CA27" s="102" t="str">
        <f>IF(AND(WSAQIDAH!$AC$54&gt;=75,WSAQIDAH!$AC$54&lt;=83.24),"P","")</f>
        <v/>
      </c>
      <c r="CB27" s="102" t="str">
        <f>IF(AND(WSAQIDAH!$AC$54&gt;=83.25,WSAQIDAH!$AC$54&lt;=91.4),"P","")</f>
        <v/>
      </c>
      <c r="CC27" s="102" t="str">
        <f>IF(AND(WSAQIDAH!$AC$54&gt;=91.5,WSAQIDAH!$AC$54&lt;=100),"P","")</f>
        <v/>
      </c>
      <c r="CD27" t="str">
        <f>IF(WSAQIDAH!$AC$62&lt;74.9,"P","")</f>
        <v/>
      </c>
      <c r="CE27" s="102" t="str">
        <f>IF(AND(WSAQIDAH!$AC$62&gt;=75,WSAQIDAH!$AC$62&lt;=83.24),"P","")</f>
        <v/>
      </c>
      <c r="CF27" s="102" t="str">
        <f>IF(AND(WSAQIDAH!$AC$62&gt;=83.25,WSAQIDAH!$AC$62&lt;=91.4),"P","")</f>
        <v/>
      </c>
      <c r="CG27" s="102" t="str">
        <f>IF(AND(WSAQIDAH!$AC$62&gt;=91.5,WSAQIDAH!$AC$62&lt;=100),"P","")</f>
        <v/>
      </c>
      <c r="CH27" t="str">
        <f>IF(WSAQIDAH!$AC$70&lt;74.9,"P","")</f>
        <v/>
      </c>
      <c r="CI27" s="102" t="str">
        <f>IF(AND(WSAQIDAH!$AC$70&gt;=75,WSAQIDAH!$AC$70&lt;=83.24),"P","")</f>
        <v/>
      </c>
      <c r="CJ27" s="102" t="str">
        <f>IF(AND(WSAQIDAH!$AC$70&gt;=83.25,WSAQIDAH!$AC$70&lt;=91.4),"P","")</f>
        <v/>
      </c>
      <c r="CK27" s="102" t="str">
        <f>IF(AND(WSAQIDAH!$AC$70&gt;=91.5,WSAQIDAH!$AC$70&lt;=100),"P","")</f>
        <v/>
      </c>
      <c r="CL27" t="str">
        <f>IF(WSAQIDAH!$AC$78&lt;74.9,"P","")</f>
        <v/>
      </c>
      <c r="CM27" s="102" t="str">
        <f>IF(AND(WSAQIDAH!$AC$78&gt;=75,WSAQIDAH!$AC$78&lt;=83.24),"P","")</f>
        <v/>
      </c>
      <c r="CN27" s="102" t="str">
        <f>IF(AND(WSAQIDAH!$AC$78&gt;=83.25,WSAQIDAH!$AC$78&lt;=91.4),"P","")</f>
        <v/>
      </c>
      <c r="CO27" s="102" t="str">
        <f>IF(AND(WSAQIDAH!$AC$78&gt;=91.5,WSAQIDAH!$AC$78&lt;=100),"P","")</f>
        <v/>
      </c>
      <c r="CP27" t="str">
        <f>IF(WSAQIDAH!$AC$86&lt;74.9,"P","")</f>
        <v/>
      </c>
      <c r="CQ27" s="102" t="str">
        <f>IF(AND(WSAQIDAH!$AC$86&gt;=75,WSAQIDAH!$AC$86&lt;=83.24),"P","")</f>
        <v/>
      </c>
      <c r="CR27" s="102" t="str">
        <f>IF(AND(WSAQIDAH!$AC$86&gt;=83.25,WSAQIDAH!$AC$86&lt;=91.4),"P","")</f>
        <v/>
      </c>
      <c r="CS27" s="102" t="str">
        <f>IF(AND(WSAQIDAH!$AC$86&gt;=91.5,WSAQIDAH!$AC$86&lt;=100),"P","")</f>
        <v/>
      </c>
      <c r="CT27" t="str">
        <f>IF(WSAQIDAH!$AC$94&lt;74.9,"P","")</f>
        <v/>
      </c>
      <c r="CU27" s="102" t="str">
        <f>IF(AND(WSAQIDAH!$AC$94&gt;=75,WSAQIDAH!$AC$94&lt;=83.24),"P","")</f>
        <v/>
      </c>
      <c r="CV27" s="102" t="str">
        <f>IF(AND(WSAQIDAH!$AC$94&gt;=83.25,WSAQIDAH!$AC$94&lt;=91.4),"P","")</f>
        <v/>
      </c>
      <c r="CW27" s="102" t="str">
        <f>IF(AND(WSAQIDAH!$AC$94&gt;=91.5,WSAQIDAH!$AC$94&lt;=100),"P","")</f>
        <v/>
      </c>
      <c r="CX27" t="str">
        <f>IF(WSAQIDAH!$AC$102&lt;74.9,"P","")</f>
        <v/>
      </c>
      <c r="CY27" s="102" t="str">
        <f>IF(AND(WSAQIDAH!$AC$102&gt;=75,WSAQIDAH!$AC$102&lt;=83.24),"P","")</f>
        <v/>
      </c>
      <c r="CZ27" s="102" t="str">
        <f>IF(AND(WSAQIDAH!$AC$102&gt;=83.25,WSAQIDAH!$AC$102&lt;=91.4),"P","")</f>
        <v/>
      </c>
      <c r="DA27" s="102" t="str">
        <f>IF(AND(WSAQIDAH!$AC$102&gt;=91.5,WSAQIDAH!$AC$102&lt;=100),"P","")</f>
        <v/>
      </c>
      <c r="DB27" t="str">
        <f>IF(WSSKI!$AC$6&lt;74.9,"P","")</f>
        <v/>
      </c>
      <c r="DC27" s="102" t="str">
        <f>IF(AND(WSSKI!$AC$6&gt;=75,WSSKI!$AC$6&lt;=83.24),"P","")</f>
        <v/>
      </c>
      <c r="DD27" s="102" t="str">
        <f>IF(AND(WSSKI!$AC$6&gt;=83.25,WSSKI!$AC$6&lt;=91.4),"P","")</f>
        <v/>
      </c>
      <c r="DE27" s="102" t="str">
        <f>IF(AND(WSSKI!$AC$6&gt;=91.5,WSSKI!$AC$6&lt;=100),"P","")</f>
        <v/>
      </c>
      <c r="DF27" t="str">
        <f>IF(WSSKI!$AC$14&lt;74.9,"P","")</f>
        <v/>
      </c>
      <c r="DG27" s="102" t="str">
        <f>IF(AND(WSSKI!$AC$14&gt;=75,WSSKI!$AC$14&lt;=83.24),"P","")</f>
        <v/>
      </c>
      <c r="DH27" s="102" t="str">
        <f>IF(AND(WSSKI!$AC$14&gt;=83.25,WSSKI!$AC$14&lt;=91.4),"P","")</f>
        <v/>
      </c>
      <c r="DI27" s="102" t="str">
        <f>IF(AND(WSSKI!$AC$14&gt;=91.5,WSSKI!$AC$14&lt;=100),"P","")</f>
        <v/>
      </c>
      <c r="DJ27" t="str">
        <f>IF(WSSKI!$AC$23&lt;74.9,"P","")</f>
        <v/>
      </c>
      <c r="DK27" s="102" t="str">
        <f>IF(AND(WSSKI!$AC$23&gt;=75,WSSKI!$AC$23&lt;=83.24),"P","")</f>
        <v/>
      </c>
      <c r="DL27" s="102" t="str">
        <f>IF(AND(WSSKI!$AC$23&gt;=83.25,WSSKI!$AC$23&lt;=91.4),"P","")</f>
        <v/>
      </c>
      <c r="DM27" s="102" t="str">
        <f>IF(AND(WSSKI!$AC$23&gt;=91.5,WSSKI!$AC$23&lt;=100),"P","")</f>
        <v/>
      </c>
      <c r="DN27" t="str">
        <f>IF(WSSKI!$AC$31&lt;74.9,"P","")</f>
        <v/>
      </c>
      <c r="DO27" s="102" t="str">
        <f>IF(AND(WSSKI!$AC$31&gt;=75,WSSKI!$AC$31&lt;=83.24),"P","")</f>
        <v/>
      </c>
      <c r="DP27" s="102" t="str">
        <f>IF(AND(WSSKI!$AC$31&gt;=83.25,WSSKI!$AC$31&lt;=91.4),"P","")</f>
        <v/>
      </c>
      <c r="DQ27" s="102" t="str">
        <f>IF(AND(WSSKI!$AC$31&gt;=91.5,WSSKI!$AC$31&lt;=100),"P","")</f>
        <v/>
      </c>
      <c r="DR27" t="str">
        <f>IF(WSSKI!$AC$40&lt;74.9,"P","")</f>
        <v/>
      </c>
      <c r="DS27" s="102" t="str">
        <f>IF(AND(WSSKI!$AC$40&gt;=75,WSSKI!$AC$40&lt;=83.24),"P","")</f>
        <v/>
      </c>
      <c r="DT27" s="102" t="str">
        <f>IF(AND(WSSKI!$AC$40&gt;=83.25,WSSKI!$AC$40&lt;=91.4),"P","")</f>
        <v/>
      </c>
      <c r="DU27" s="102" t="str">
        <f>IF(AND(WSSKI!$AC$40&gt;=91.5,WSSKI!$AC$40&lt;=100),"P","")</f>
        <v/>
      </c>
      <c r="DV27" t="str">
        <f>IF(WSSKI!$AC$48&lt;74.9,"P","")</f>
        <v/>
      </c>
      <c r="DW27" s="102" t="str">
        <f>IF(AND(WSSKI!$AC$48&gt;=75,WSSKI!$AC$48&lt;=83.24),"P","")</f>
        <v/>
      </c>
      <c r="DX27" s="102" t="str">
        <f>IF(AND(WSSKI!$AC$48&gt;=83.25,WSSKI!$AC$48&lt;=91.4),"P","")</f>
        <v/>
      </c>
      <c r="DY27" s="102" t="str">
        <f>IF(AND(WSSKI!$AC$48&gt;=91.5,WSSKI!$AC$48&lt;=100),"P","")</f>
        <v/>
      </c>
      <c r="DZ27" t="str">
        <f>IF(WSSKI!$AC$56&lt;74.9,"P","")</f>
        <v/>
      </c>
      <c r="EA27" s="102" t="str">
        <f>IF(AND(WSSKI!$AC$56&gt;=75,WSSKI!$AC$56&lt;=83.24),"P","")</f>
        <v/>
      </c>
      <c r="EB27" s="102" t="str">
        <f>IF(AND(WSSKI!$AC$56&gt;=83.25,WSSKI!$AC$56&lt;=91.4),"P","")</f>
        <v/>
      </c>
      <c r="EC27" s="102" t="str">
        <f>IF(AND(WSSKI!$AC$56&gt;=91.5,WSSKI!$AC$56&lt;=100),"P","")</f>
        <v/>
      </c>
      <c r="ED27" t="str">
        <f>IF(WSSKI!$AC$64&lt;74.9,"P","")</f>
        <v/>
      </c>
      <c r="EE27" s="102" t="str">
        <f>IF(AND(WSSKI!$AC$64&gt;=75,WSSKI!$AC$64&lt;=83.24),"P","")</f>
        <v/>
      </c>
      <c r="EF27" s="102" t="str">
        <f>IF(AND(WSSKI!$AC$64&gt;=83.25,WSSKI!$AC$64&lt;=91.4),"P","")</f>
        <v/>
      </c>
      <c r="EG27" s="102" t="str">
        <f>IF(AND(WSSKI!$AC$64&gt;=91.5,WSSKI!$AC$64&lt;=100),"P","")</f>
        <v/>
      </c>
      <c r="EH27" t="str">
        <f>IF(WSSKI!$AC$72&lt;74.9,"P","")</f>
        <v/>
      </c>
      <c r="EI27" s="102" t="str">
        <f>IF(AND(WSSKI!$AC$72&gt;=75,WSSKI!$AC$72&lt;=83.24),"P","")</f>
        <v/>
      </c>
      <c r="EJ27" s="102" t="str">
        <f>IF(AND(WSSKI!$AC$72&gt;=83.25,WSSKI!$AC$72&lt;=91.4),"P","")</f>
        <v/>
      </c>
      <c r="EK27" s="102" t="str">
        <f>IF(AND(WSSKI!$AC$72&gt;=91.5,WSSKI!$AC$72&lt;=100),"P","")</f>
        <v/>
      </c>
      <c r="EL27" t="str">
        <f>IF(WSSKI!$AC$80&lt;74.9,"P","")</f>
        <v/>
      </c>
      <c r="EM27" s="102" t="str">
        <f>IF(AND(WSSKI!$AC$80&gt;=75,WSSKI!$AC$80&lt;=83.24),"P","")</f>
        <v/>
      </c>
      <c r="EN27" s="102" t="str">
        <f>IF(AND(WSSKI!$AC$80&gt;=83.25,WSSKI!$AC$80&lt;=91.4),"P","")</f>
        <v/>
      </c>
      <c r="EO27" s="102" t="str">
        <f>IF(AND(WSSKI!$AC$80&gt;=91.5,WSSKI!$AC$80&lt;=100),"P","")</f>
        <v/>
      </c>
      <c r="EP27" t="str">
        <f>IF(WSSKI!$AC$88&lt;74.9,"P","")</f>
        <v/>
      </c>
      <c r="EQ27" s="102" t="str">
        <f>IF(AND(WSSKI!$AC$88&gt;=75,WSSKI!$AC$88&lt;=83.24),"P","")</f>
        <v/>
      </c>
      <c r="ER27" s="102" t="str">
        <f>IF(AND(WSSKI!$AC$88&gt;=83.25,WSSKI!$AC$88&lt;=91.4),"P","")</f>
        <v/>
      </c>
      <c r="ES27" s="102" t="str">
        <f>IF(AND(WSSKI!$AC$88&gt;=91.5,WSSKI!$AC$88&lt;=100),"P","")</f>
        <v/>
      </c>
      <c r="ET27" t="str">
        <f>IF(WSSKI!$AC$96&lt;74.9,"P","")</f>
        <v/>
      </c>
      <c r="EU27" s="102" t="str">
        <f>IF(AND(WSSKI!$AC$96&gt;=75,WSSKI!$AC$96&lt;=83.24),"P","")</f>
        <v/>
      </c>
      <c r="EV27" s="102" t="str">
        <f>IF(AND(WSSKI!$AC$96&gt;=83.25,WSSKI!$AC$96&lt;=91.4),"P","")</f>
        <v/>
      </c>
      <c r="EW27" s="102" t="str">
        <f>IF(AND(WSSKI!$AC$96&gt;=91.5,WSSKI!$AC$96&lt;=100),"P","")</f>
        <v/>
      </c>
      <c r="EX27" t="str">
        <f>IF(WSSKI!$AC$104&lt;74.9,"P","")</f>
        <v/>
      </c>
      <c r="EY27" s="102" t="str">
        <f>IF(AND(WSSKI!$AC$104&gt;=75,WSSKI!$AC$104&lt;=83.24),"P","")</f>
        <v/>
      </c>
      <c r="EZ27" s="102" t="str">
        <f>IF(AND(WSSKI!$AC$104&gt;=83.25,WSSKI!$AC$104&lt;=91.4),"P","")</f>
        <v/>
      </c>
      <c r="FA27" s="102" t="str">
        <f>IF(AND(WSSKI!$AC$104&gt;=91.5,WSSKI!$AC$104&lt;=100),"P","")</f>
        <v/>
      </c>
      <c r="FB27" t="str">
        <f>IF(WSFIQIH!$AC$6&lt;74.9,"P","")</f>
        <v/>
      </c>
      <c r="FC27" s="102" t="str">
        <f>IF(AND(WSFIQIH!$AC$6&gt;=75,WSFIQIH!$AC$6&lt;=83.24),"P","")</f>
        <v/>
      </c>
      <c r="FD27" s="102" t="str">
        <f>IF(AND(WSFIQIH!$AC$6&gt;=83.25,WSFIQIH!$AC$6&lt;=91.4),"P","")</f>
        <v/>
      </c>
      <c r="FE27" s="102" t="str">
        <f>IF(AND(WSFIQIH!$AC$6&gt;=91.5,WSFIQIH!$AC$6&lt;=100),"P","")</f>
        <v/>
      </c>
      <c r="FF27" t="str">
        <f>IF(WSFIQIH!$AC$19&lt;74.9,"P","")</f>
        <v/>
      </c>
      <c r="FG27" s="102" t="str">
        <f>IF(AND(WSFIQIH!$AC$19&gt;=75,WSFIQIH!$AC$19&lt;=83.24),"P","")</f>
        <v/>
      </c>
      <c r="FH27" s="102" t="str">
        <f>IF(AND(WSFIQIH!$AC$19&gt;=83.25,WSFIQIH!$AC$19&lt;=91.4),"P","")</f>
        <v/>
      </c>
      <c r="FI27" s="102" t="str">
        <f>IF(AND(WSFIQIH!$AC$19&gt;=91.5,WSFIQIH!$AC$19&lt;=100),"P","")</f>
        <v/>
      </c>
      <c r="FJ27" t="str">
        <f>IF(WSFIQIH!$AC$28&lt;74.9,"P","")</f>
        <v/>
      </c>
      <c r="FK27" s="102" t="str">
        <f>IF(AND(WSFIQIH!$AC$28&gt;=75,WSFIQIH!$AC$28&lt;=83.24),"P","")</f>
        <v/>
      </c>
      <c r="FL27" s="102" t="str">
        <f>IF(AND(WSFIQIH!$AC$28&gt;=83.25,WSFIQIH!$AC$28&lt;=91.4),"P","")</f>
        <v/>
      </c>
      <c r="FM27" s="102" t="str">
        <f>IF(AND(WSFIQIH!$AC$28&gt;=91.5,WSFIQIH!$AC$28&lt;=100),"P","")</f>
        <v/>
      </c>
      <c r="FN27" t="str">
        <f>IF(WSFIQIH!$AC$41&lt;74.9,"P","")</f>
        <v/>
      </c>
      <c r="FO27" s="102" t="str">
        <f>IF(AND(WSFIQIH!$AC$41&gt;=75,WSFIQIH!$AC$41&lt;=83.24),"P","")</f>
        <v/>
      </c>
      <c r="FP27" s="102" t="str">
        <f>IF(AND(WSFIQIH!$AC$41&gt;=83.25,WSFIQIH!$AC$41&lt;=91.4),"P","")</f>
        <v/>
      </c>
      <c r="FQ27" s="102" t="str">
        <f>IF(AND(WSFIQIH!$AC$41&gt;=91.5,WSFIQIH!$AC$41&lt;=100),"P","")</f>
        <v/>
      </c>
      <c r="FR27" t="str">
        <f>IF(WSFIQIH!$AC$49&lt;74.9,"P","")</f>
        <v/>
      </c>
      <c r="FS27" s="102" t="str">
        <f>IF(AND(WSFIQIH!$AC$49&gt;=75,WSFIQIH!$AC$49&lt;=83.24),"P","")</f>
        <v/>
      </c>
      <c r="FT27" s="102" t="str">
        <f>IF(AND(WSFIQIH!$AC$49&gt;=83.25,WSFIQIH!$AC$49&lt;=91.4),"P","")</f>
        <v/>
      </c>
      <c r="FU27" s="102" t="str">
        <f>IF(AND(WSFIQIH!$AC$49&gt;=91.5,WSFIQIH!$AC$49&lt;=100),"P","")</f>
        <v/>
      </c>
      <c r="FV27" t="str">
        <f>IF(WSFIQIH!$AC$62&lt;74.9,"P","")</f>
        <v/>
      </c>
      <c r="FW27" s="102" t="str">
        <f>IF(AND(WSFIQIH!$AC$62&gt;=75,WSFIQIH!$AC$62&lt;=83.24),"P","")</f>
        <v/>
      </c>
      <c r="FX27" s="102" t="str">
        <f>IF(AND(WSFIQIH!$AC$62&gt;=83.25,WSFIQIH!$AC$62&lt;=91.4),"P","")</f>
        <v/>
      </c>
      <c r="FY27" s="102" t="str">
        <f>IF(AND(WSFIQIH!$AC$62&gt;=91.5,WSFIQIH!$AC$62&lt;=100),"P","")</f>
        <v/>
      </c>
      <c r="FZ27" t="str">
        <f>IF(WSFIQIH!$AC$71&lt;74.9,"P","")</f>
        <v/>
      </c>
      <c r="GA27" s="102" t="str">
        <f>IF(AND(WSFIQIH!$AC$71&gt;=75,WSFIQIH!$AC$71&lt;=83.24),"P","")</f>
        <v/>
      </c>
      <c r="GB27" s="102" t="str">
        <f>IF(AND(WSFIQIH!$AC$71&gt;=83.25,WSFIQIH!$AC$71&lt;=91.4),"P","")</f>
        <v/>
      </c>
      <c r="GC27" s="102" t="str">
        <f>IF(AND(WSFIQIH!$AC$71&gt;=91.5,WSFIQIH!$AC$71&lt;=100),"P","")</f>
        <v/>
      </c>
      <c r="GD27" t="str">
        <f>IF(WSFIQIH!$AC$80&lt;74.9,"P","")</f>
        <v/>
      </c>
      <c r="GE27" s="102" t="str">
        <f>IF(AND(WSFIQIH!$AC$80&gt;=75,WSFIQIH!$AC$80&lt;=83.24),"P","")</f>
        <v/>
      </c>
      <c r="GF27" s="102" t="str">
        <f>IF(AND(WSFIQIH!$AC$80&gt;=83.25,WSFIQIH!$AC$80&lt;=91.4),"P","")</f>
        <v/>
      </c>
      <c r="GG27" s="102" t="str">
        <f>IF(AND(WSFIQIH!$AC$80&gt;=91.5,WSFIQIH!$AC$80&lt;=100),"P","")</f>
        <v/>
      </c>
      <c r="GH27" t="str">
        <f>IF(WSFIQIH!$AC$88&lt;74.9,"P","")</f>
        <v/>
      </c>
      <c r="GI27" s="102" t="str">
        <f>IF(AND(WSFIQIH!$AC$88&gt;=75,WSFIQIH!$AC$88&lt;=83.24),"P","")</f>
        <v/>
      </c>
      <c r="GJ27" s="102" t="str">
        <f>IF(AND(WSFIQIH!$AC$88&gt;=83.25,WSFIQIH!$AC$88&lt;=91.4),"P","")</f>
        <v/>
      </c>
      <c r="GK27" s="102" t="str">
        <f>IF(AND(WSFIQIH!$AC$88&gt;=91.5,WSFIQIH!$AC$88&lt;=100),"P","")</f>
        <v/>
      </c>
      <c r="GL27" t="str">
        <f>IF(WSFIQIH!$AC$96&lt;74.9,"P","")</f>
        <v/>
      </c>
      <c r="GM27" s="102" t="str">
        <f>IF(AND(WSFIQIH!$AC$96&gt;=75,WSFIQIH!$AC$96&lt;=83.24),"P","")</f>
        <v/>
      </c>
      <c r="GN27" s="102" t="str">
        <f>IF(AND(WSFIQIH!$AC$96&gt;=83.25,WSFIQIH!$AC$96&lt;=91.4),"P","")</f>
        <v/>
      </c>
      <c r="GO27" s="102" t="str">
        <f>IF(AND(WSFIQIH!$AC$96&gt;=91.5,WSFIQIH!$AC$96&lt;=100),"P","")</f>
        <v/>
      </c>
      <c r="GP27" t="str">
        <f>IF(WSFIQIH!$AC$104&lt;74.9,"P","")</f>
        <v/>
      </c>
      <c r="GQ27" s="102" t="str">
        <f>IF(AND(WSFIQIH!$AC$104&gt;=75,WSFIQIH!$AC$104&lt;=83.24),"P","")</f>
        <v/>
      </c>
      <c r="GR27" s="102" t="str">
        <f>IF(AND(WSFIQIH!$AC$104&gt;=83.25,WSFIQIH!$AC$104&lt;=91.4),"P","")</f>
        <v/>
      </c>
      <c r="GS27" s="102" t="str">
        <f>IF(AND(WSFIQIH!$AC$104&gt;=91.5,WSFIQIH!$AC$104&lt;=100),"P","")</f>
        <v/>
      </c>
      <c r="GT27" t="str">
        <f>IF(WSFIQIH!$AC$112&lt;74.9,"P","")</f>
        <v/>
      </c>
      <c r="GU27" s="102" t="str">
        <f>IF(AND(WSFIQIH!$AC$112&gt;=75,WSFIQIH!$AC$112&lt;=83.24),"P","")</f>
        <v/>
      </c>
      <c r="GV27" s="102" t="str">
        <f>IF(AND(WSFIQIH!$AC$112&gt;=83.25,WSFIQIH!$AC$112&lt;=91.4),"P","")</f>
        <v/>
      </c>
      <c r="GW27" s="102" t="str">
        <f>IF(AND(WSFIQIH!$AC$112&gt;=91.5,WSFIQIH!$AC$112&lt;=100),"P","")</f>
        <v/>
      </c>
      <c r="GX27" t="str">
        <f>IF(WSFIQIH!$AC$120&lt;74.9,"P","")</f>
        <v/>
      </c>
      <c r="GY27" s="102" t="str">
        <f>IF(AND(WSFIQIH!$AC$120&gt;=75,WSFIQIH!$AC$120&lt;=83.24),"P","")</f>
        <v/>
      </c>
      <c r="GZ27" s="102" t="str">
        <f>IF(AND(WSFIQIH!$AC$120&gt;=83.25,WSFIQIH!$AC$120&lt;=91.4),"P","")</f>
        <v/>
      </c>
      <c r="HA27" s="102" t="str">
        <f>IF(AND(WSFIQIH!$AC$120&gt;=91.5,WSFIQIH!$AC$120&lt;=100),"P","")</f>
        <v/>
      </c>
      <c r="HB27" t="str">
        <f>IF(WSPKN!$AC$6&lt;74.9,"P","")</f>
        <v/>
      </c>
      <c r="HC27" s="102" t="str">
        <f>IF(AND(WSPKN!$AC$6&gt;=75,WSPKN!$AC$6&lt;=83.24),"P","")</f>
        <v/>
      </c>
      <c r="HD27" s="102" t="str">
        <f>IF(AND(WSPKN!$AC$6&gt;=83.25,WSPKN!$AC$6&lt;=91.4),"P","")</f>
        <v/>
      </c>
      <c r="HE27" s="102" t="str">
        <f>IF(AND(WSPKN!$AC$6&gt;=91.5,WSPKN!$AC$6&lt;=100),"P","")</f>
        <v/>
      </c>
      <c r="HF27" t="str">
        <f>IF(WSPKN!$AC$32&lt;74.9,"P","")</f>
        <v/>
      </c>
      <c r="HG27" s="102" t="str">
        <f>IF(AND(WSPKN!$AC$32&gt;=75,WSPKN!$AC$32&lt;=83.24),"P","")</f>
        <v/>
      </c>
      <c r="HH27" s="102" t="str">
        <f>IF(AND(WSPKN!$AC$32&gt;=83.25,WSPKN!$AC$32&lt;=91.4),"P","")</f>
        <v/>
      </c>
      <c r="HI27" s="102" t="str">
        <f>IF(AND(WSPKN!$AC$32&gt;=91.5,WSPKN!$AC$32&lt;=100),"P","")</f>
        <v/>
      </c>
      <c r="HJ27" t="str">
        <f>IF(WSPKN!$AC$55&lt;74.9,"P","")</f>
        <v/>
      </c>
      <c r="HK27" s="102" t="str">
        <f>IF(AND(WSPKN!$AC$55&gt;=75,WSPKN!$AC$55&lt;=83.24),"P","")</f>
        <v/>
      </c>
      <c r="HL27" s="102" t="str">
        <f>IF(AND(WSPKN!$AC$55&gt;=83.25,WSPKN!$AC$55&lt;=91.4),"P","")</f>
        <v/>
      </c>
      <c r="HM27" s="102" t="str">
        <f>IF(AND(WSPKN!$AC$55&gt;=91.5,WSPKN!$AC$55&lt;=100),"P","")</f>
        <v/>
      </c>
      <c r="HN27" t="str">
        <f>IF(WSPKN!$AC$72&lt;74.9,"P","")</f>
        <v/>
      </c>
      <c r="HO27" s="102" t="str">
        <f>IF(AND(WSPKN!$AC$72&gt;=75,WSPKN!$AC$72&lt;=83.24),"P","")</f>
        <v/>
      </c>
      <c r="HP27" s="102" t="str">
        <f>IF(AND(WSPKN!$AC$72&gt;=83.25,WSPKN!$AC$72&lt;=91.4),"P","")</f>
        <v/>
      </c>
      <c r="HQ27" s="102" t="str">
        <f>IF(AND(WSPKN!$AC$72&gt;=91.5,WSPKN!$AC$72&lt;=100),"P","")</f>
        <v/>
      </c>
      <c r="HR27" t="str">
        <f>IF(WSPKN!$AC$86&lt;74.9,"P","")</f>
        <v/>
      </c>
      <c r="HS27" s="102" t="str">
        <f>IF(AND(WSPKN!$AC$86&gt;=75,WSPKN!$AC$86&lt;=83.24),"P","")</f>
        <v/>
      </c>
      <c r="HT27" s="102" t="str">
        <f>IF(AND(WSPKN!$AC$86&gt;=83.25,WSPKN!$AC$86&lt;=91.4),"P","")</f>
        <v/>
      </c>
      <c r="HU27" s="102" t="str">
        <f>IF(AND(WSPKN!$AC$86&gt;=91.5,WSPKN!$AC$86&lt;=100),"P","")</f>
        <v/>
      </c>
      <c r="HV27" t="str">
        <f>IF(WSPKN!$AC$108&lt;74.9,"P","")</f>
        <v/>
      </c>
      <c r="HW27" s="102" t="str">
        <f>IF(AND(WSPKN!$AC$108&gt;=75,WSPKN!$AC$108&lt;=83.24),"P","")</f>
        <v/>
      </c>
      <c r="HX27" s="102" t="str">
        <f>IF(AND(WSPKN!$AC$108&gt;=83.25,WSPKN!$AC$108&lt;=91.4),"P","")</f>
        <v/>
      </c>
      <c r="HY27" s="102" t="str">
        <f>IF(AND(WSPKN!$AC$108&gt;=91.5,WSPKN!$AC$108&lt;=100),"P","")</f>
        <v/>
      </c>
      <c r="HZ27" t="str">
        <f>IF(WSPKN!$AC$132&lt;74.9,"P","")</f>
        <v/>
      </c>
      <c r="IA27" s="102" t="str">
        <f>IF(AND(WSPKN!$AC$132&gt;=75,WSPKN!$AC$132&lt;=83.24),"P","")</f>
        <v/>
      </c>
      <c r="IB27" s="102" t="str">
        <f>IF(AND(WSPKN!$AC$132&gt;=83.25,WSPKN!$AC$132&lt;=91.4),"P","")</f>
        <v/>
      </c>
      <c r="IC27" s="102" t="str">
        <f>IF(AND(WSPKN!$AC$132&gt;=91.5,WSPKN!$AC$132&lt;=100),"P","")</f>
        <v/>
      </c>
      <c r="ID27" t="str">
        <f>IF(WSPKN!$AC$148&lt;74.9,"P","")</f>
        <v/>
      </c>
      <c r="IE27" s="102" t="str">
        <f>IF(AND(WSPKN!$AC$148&gt;=75,WSPKN!$AC$148&lt;=83.24),"P","")</f>
        <v/>
      </c>
      <c r="IF27" s="102" t="str">
        <f>IF(AND(WSPKN!$AC$148&gt;=83.25,WSPKN!$AC$148&lt;=91.4),"P","")</f>
        <v/>
      </c>
      <c r="IG27" s="102" t="str">
        <f>IF(AND(WSPKN!$AC$148&gt;=91.5,WSPKN!$AC$148&lt;=100),"P","")</f>
        <v/>
      </c>
      <c r="IH27" t="str">
        <f>IF(WSPKN!$AC$165&lt;74.9,"P","")</f>
        <v/>
      </c>
      <c r="II27" s="102" t="str">
        <f>IF(AND(WSPKN!$AC$165&gt;=75,WSPKN!$AC$165&lt;=83.24),"P","")</f>
        <v/>
      </c>
      <c r="IJ27" s="102" t="str">
        <f>IF(AND(WSPKN!$AC$165&gt;=83.25,WSPKN!$AC$165&lt;=91.4),"P","")</f>
        <v/>
      </c>
      <c r="IK27" s="102" t="str">
        <f>IF(AND(WSPKN!$AC$165&gt;=91.5,WSPKN!$AC$165&lt;=100),"P","")</f>
        <v/>
      </c>
      <c r="IL27" t="str">
        <f>IF(WSPKN!$AC$173&lt;74.9,"P","")</f>
        <v/>
      </c>
      <c r="IM27" s="102" t="str">
        <f>IF(AND(WSPKN!$AC$173&gt;=75,WSPKN!$AC$173&lt;=83.24),"P","")</f>
        <v/>
      </c>
      <c r="IN27" s="102" t="str">
        <f>IF(AND(WSPKN!$AC$173&gt;=83.25,WSPKN!$AC$173&lt;=91.4),"P","")</f>
        <v/>
      </c>
      <c r="IO27" s="102" t="str">
        <f>IF(AND(WSPKN!$AC$173&gt;=91.5,WSPKN!$AC$173&lt;=100),"P","")</f>
        <v/>
      </c>
      <c r="IP27" t="str">
        <f>IF(WSPKN!$AC$181&lt;74.9,"P","")</f>
        <v/>
      </c>
      <c r="IQ27" s="102" t="str">
        <f>IF(AND(WSPKN!$AC$181&gt;=75,WSPKN!$AC$181&lt;=83.24),"P","")</f>
        <v/>
      </c>
      <c r="IR27" s="102" t="str">
        <f>IF(AND(WSPKN!$AC$181&gt;=83.25,WSPKN!$AC$181&lt;=91.4),"P","")</f>
        <v/>
      </c>
      <c r="IS27" s="102" t="str">
        <f>IF(AND(WSPKN!$AC$181&gt;=91.5,WSPKN!$AC$181&lt;=100),"P","")</f>
        <v/>
      </c>
      <c r="IT27" t="str">
        <f>IF(WSPKN!$AC$189&lt;74.9,"P","")</f>
        <v/>
      </c>
      <c r="IU27" s="102" t="str">
        <f>IF(AND(WSPKN!$AC$189&gt;=75,WSPKN!$AC$189&lt;=83.24),"P","")</f>
        <v/>
      </c>
      <c r="IV27" s="102" t="str">
        <f>IF(AND(WSPKN!$AC$189&gt;=83.25,WSPKN!$AC$189&lt;=91.4),"P","")</f>
        <v/>
      </c>
      <c r="IW27" s="102" t="str">
        <f>IF(AND(WSPKN!$AC$189&gt;=91.5,WSPKN!$AC$189&lt;=100),"P","")</f>
        <v/>
      </c>
      <c r="IX27" t="str">
        <f>IF(WSPKN!$AC$197&lt;74.9,"P","")</f>
        <v/>
      </c>
      <c r="IY27" s="102" t="str">
        <f>IF(AND(WSPKN!$AC$197&gt;=75,WSPKN!$AC$197&lt;=83.24),"P","")</f>
        <v/>
      </c>
      <c r="IZ27" s="102" t="str">
        <f>IF(AND(WSPKN!$AC$197&gt;=83.25,WSPKN!$AC$197&lt;=91.4),"P","")</f>
        <v/>
      </c>
      <c r="JA27" s="102" t="str">
        <f>IF(AND(WSPKN!$AC$197&gt;=91.5,WSPKN!$AC$197&lt;=100),"P","")</f>
        <v/>
      </c>
      <c r="JB27" t="str">
        <f>IF(WSIND!$AC$6&lt;74.9,"P","")</f>
        <v/>
      </c>
      <c r="JC27" s="102" t="str">
        <f>IF(AND(WSIND!$AC$6&gt;=75,WSIND!$AC$6&lt;=83.24),"P","")</f>
        <v/>
      </c>
      <c r="JD27" s="102" t="str">
        <f>IF(AND(WSIND!$AC$6&gt;=83.25,WSIND!$AC$6&lt;=91.4),"P","")</f>
        <v/>
      </c>
      <c r="JE27" s="102" t="str">
        <f>IF(AND(WSIND!$AC$6&gt;=91.5,WSIND!$AC$6&lt;=100),"P","")</f>
        <v/>
      </c>
      <c r="JF27" t="str">
        <f>IF(WSIND!$AC$65&lt;74.9,"P","")</f>
        <v/>
      </c>
      <c r="JG27" s="102" t="str">
        <f>IF(AND(WSIND!$AC$65&gt;=75,WSIND!$AC$65&lt;=83.24),"P","")</f>
        <v/>
      </c>
      <c r="JH27" s="102" t="str">
        <f>IF(AND(WSIND!$AC$65&gt;=83.25,WSIND!$AC$65&lt;=91.4),"P","")</f>
        <v/>
      </c>
      <c r="JI27" s="102" t="str">
        <f>IF(AND(WSIND!$AC$65&gt;=91.5,WSIND!$AC$65&lt;=100),"P","")</f>
        <v/>
      </c>
      <c r="JJ27" t="str">
        <f>IF(WSIND!$AC$113&lt;74.9,"P","")</f>
        <v/>
      </c>
      <c r="JK27" s="102" t="str">
        <f>IF(AND(WSIND!$AC$113&gt;=75,WSIND!$AC$113&lt;=83.24),"P","")</f>
        <v/>
      </c>
      <c r="JL27" s="102" t="str">
        <f>IF(AND(WSIND!$AC$113&gt;=83.25,WSIND!$AC$113&lt;=91.4),"P","")</f>
        <v/>
      </c>
      <c r="JM27" s="102" t="str">
        <f>IF(AND(WSIND!$AC$113&gt;=91.5,WSIND!$AC$113&lt;=100),"P","")</f>
        <v/>
      </c>
      <c r="JN27" t="str">
        <f>IF(WSIND!$AC$133&lt;74.9,"P","")</f>
        <v/>
      </c>
      <c r="JO27" s="102" t="str">
        <f>IF(AND(WSIND!$AC$133&gt;=75,WSIND!$AC$133&lt;=83.24),"P","")</f>
        <v/>
      </c>
      <c r="JP27" s="102" t="str">
        <f>IF(AND(WSIND!$AC$133&gt;=83.25,WSIND!$AC$133&lt;=91.4),"P","")</f>
        <v/>
      </c>
      <c r="JQ27" s="102" t="str">
        <f>IF(AND(WSIND!$AC$133&gt;=91.5,WSIND!$AC$133&lt;=100),"P","")</f>
        <v/>
      </c>
      <c r="JR27" t="str">
        <f>IF(WSIND!$AC$161&lt;74.9,"P","")</f>
        <v/>
      </c>
      <c r="JS27" s="102" t="str">
        <f>IF(AND(WSIND!$AC$161&gt;=75,WSIND!$AC$161&lt;=83.24),"P","")</f>
        <v/>
      </c>
      <c r="JT27" s="102" t="str">
        <f>IF(AND(WSIND!$AC$161&gt;=83.25,WSIND!$AC$161&lt;=91.4),"P","")</f>
        <v/>
      </c>
      <c r="JU27" s="102" t="str">
        <f>IF(AND(WSIND!$AC$161&gt;=91.5,WSIND!$AC$161&lt;=100),"P","")</f>
        <v/>
      </c>
      <c r="JV27" t="str">
        <f>IF(WSIND!$AC$192&lt;74.9,"P","")</f>
        <v/>
      </c>
      <c r="JW27" s="102" t="str">
        <f>IF(AND(WSIND!$AC$192&gt;=75,WSIND!$AC$192&lt;=83.24),"P","")</f>
        <v/>
      </c>
      <c r="JX27" s="102" t="str">
        <f>IF(AND(WSIND!$AC$192&gt;=83.25,WSIND!$AC$192&lt;=91.4),"P","")</f>
        <v/>
      </c>
      <c r="JY27" s="102" t="str">
        <f>IF(AND(WSIND!$AC$192&gt;=91.5,WSIND!$AC$192&lt;=100),"P","")</f>
        <v/>
      </c>
      <c r="JZ27" t="str">
        <f>IF(WSIND!$AC$228&lt;74.9,"P","")</f>
        <v/>
      </c>
      <c r="KA27" s="102" t="str">
        <f>IF(AND(WSIND!$AC$228&gt;=75,WSIND!$AC$228&lt;=83.24),"P","")</f>
        <v/>
      </c>
      <c r="KB27" s="102" t="str">
        <f>IF(AND(WSIND!$AC$228&gt;=83.25,WSIND!$AC$228&lt;=91.4),"P","")</f>
        <v/>
      </c>
      <c r="KC27" s="102" t="str">
        <f>IF(AND(WSIND!$AC$228&gt;=91.5,WSIND!$AC$228&lt;=100),"P","")</f>
        <v/>
      </c>
      <c r="KD27" t="str">
        <f>IF(WSIND!$AC$256&lt;74.9,"P","")</f>
        <v/>
      </c>
      <c r="KE27" s="102" t="str">
        <f>IF(AND(WSIND!$AC$256&gt;=75,WSIND!$AC$256&lt;=83.24),"P","")</f>
        <v/>
      </c>
      <c r="KF27" s="102" t="str">
        <f>IF(AND(WSIND!$AC$256&gt;=83.25,WSIND!$AC$256&lt;=91.4),"P","")</f>
        <v/>
      </c>
      <c r="KG27" s="102" t="str">
        <f>IF(AND(WSIND!$AC$256&gt;=91.5,WSIND!$AC$256&lt;=100),"P","")</f>
        <v/>
      </c>
      <c r="KH27" t="str">
        <f>IF(WSIND!$AC$277&lt;74.9,"P","")</f>
        <v/>
      </c>
      <c r="KI27" s="102" t="str">
        <f>IF(AND(WSIND!$AC$277&gt;=75,WSIND!$AC$277&lt;=83.24),"P","")</f>
        <v/>
      </c>
      <c r="KJ27" s="102" t="str">
        <f>IF(AND(WSIND!$AC$277&gt;=83.25,WSIND!$AC$277&lt;=91.4),"P","")</f>
        <v/>
      </c>
      <c r="KK27" s="102" t="str">
        <f>IF(AND(WSIND!$AC$277&gt;=91.5,WSIND!$AC$277&lt;=100),"P","")</f>
        <v/>
      </c>
      <c r="KL27" t="str">
        <f>IF(WSIND!$AC$305&lt;74.9,"P","")</f>
        <v/>
      </c>
      <c r="KM27" s="102" t="str">
        <f>IF(AND(WSIND!$AC$305&gt;=75,WSIND!$AC$305&lt;=83.24),"P","")</f>
        <v/>
      </c>
      <c r="KN27" s="102" t="str">
        <f>IF(AND(WSIND!$AC$305&gt;=83.25,WSIND!$AC$305&lt;=91.4),"P","")</f>
        <v/>
      </c>
      <c r="KO27" s="102" t="str">
        <f>IF(AND(WSIND!$AC$305&gt;=91.5,WSIND!$AC$305&lt;=100),"P","")</f>
        <v/>
      </c>
      <c r="KP27" t="str">
        <f>IF(WSIND!$AC$329&lt;74.9,"P","")</f>
        <v/>
      </c>
      <c r="KQ27" s="102" t="str">
        <f>IF(AND(WSIND!$AC$329&gt;=75,WSIND!$AC$329&lt;=83.24),"P","")</f>
        <v/>
      </c>
      <c r="KR27" s="102" t="str">
        <f>IF(AND(WSIND!$AC$329&gt;=83.25,WSIND!$AC$329&lt;=91.4),"P","")</f>
        <v/>
      </c>
      <c r="KS27" s="102" t="str">
        <f>IF(AND(WSIND!$AC$329&gt;=91.5,WSIND!$AC$329&lt;=100),"P","")</f>
        <v/>
      </c>
      <c r="KT27" t="str">
        <f>IF(WSIND!$AC$337&lt;74.9,"P","")</f>
        <v/>
      </c>
      <c r="KU27" s="102" t="str">
        <f>IF(AND(WSIND!$AC$337&gt;=75,WSIND!$AC$337&lt;=83.24),"P","")</f>
        <v/>
      </c>
      <c r="KV27" s="102" t="str">
        <f>IF(AND(WSIND!$AC$337&gt;=83.25,WSIND!$AC$337&lt;=91.4),"P","")</f>
        <v/>
      </c>
      <c r="KW27" s="102" t="str">
        <f>IF(AND(WSIND!$AC$337&gt;=91.5,WSIND!$AC$337&lt;=100),"P","")</f>
        <v/>
      </c>
      <c r="KX27" t="str">
        <f>IF(WSIND!$AC$345&lt;74.9,"P","")</f>
        <v/>
      </c>
      <c r="KY27" s="102" t="str">
        <f>IF(AND(WSIND!$AC$345&gt;=75,WSIND!$AC$345&lt;=83.24),"P","")</f>
        <v/>
      </c>
      <c r="KZ27" s="102" t="str">
        <f>IF(AND(WSIND!$AC$345&gt;=83.25,WSIND!$AC$345&lt;=91.4),"P","")</f>
        <v/>
      </c>
      <c r="LA27" s="102" t="str">
        <f>IF(AND(WSIND!$AC$345&gt;=91.5,WSIND!$AC$345&lt;=100),"P","")</f>
        <v/>
      </c>
      <c r="LB27" t="str">
        <f>IF(WSARAB!$AC$6&lt;74.9,"P","")</f>
        <v/>
      </c>
      <c r="LC27" s="102" t="str">
        <f>IF(AND(WSARAB!$AC$6&gt;=75,WSARAB!$AC$6&lt;=83.24),"P","")</f>
        <v/>
      </c>
      <c r="LD27" s="102" t="str">
        <f>IF(AND(WSARAB!$AC$6&gt;=83.25,WSARAB!$AC$6&lt;=91.4),"P","")</f>
        <v/>
      </c>
      <c r="LE27" s="102" t="str">
        <f>IF(AND(WSARAB!$AC$6&gt;=91.5,WSARAB!$AC$6&lt;=100),"P","")</f>
        <v/>
      </c>
      <c r="LF27" t="str">
        <f>IF(WSARAB!$AC$17&lt;74.9,"P","")</f>
        <v/>
      </c>
      <c r="LG27" s="102" t="str">
        <f>IF(AND(WSARAB!$AC$17&gt;=75,WSARAB!$AC$17&lt;=83.24),"P","")</f>
        <v/>
      </c>
      <c r="LH27" s="102" t="str">
        <f>IF(AND(WSARAB!$AC$17&gt;=83.25,WSARAB!$AC$17&lt;=91.4),"P","")</f>
        <v/>
      </c>
      <c r="LI27" s="102" t="str">
        <f>IF(AND(WSARAB!$AC$17&gt;=91.5,WSARAB!$AC$17&lt;=100),"P","")</f>
        <v/>
      </c>
      <c r="LJ27" t="str">
        <f>IF(WSARAB!$AC$29&lt;74.9,"P","")</f>
        <v/>
      </c>
      <c r="LK27" s="102" t="str">
        <f>IF(AND(WSARAB!$AC$29&gt;=75,WSARAB!$AC$29&lt;=83.24),"P","")</f>
        <v/>
      </c>
      <c r="LL27" s="102" t="str">
        <f>IF(AND(WSARAB!$AC$29&gt;=83.25,WSARAB!$AC$29&lt;=91.4),"P","")</f>
        <v/>
      </c>
      <c r="LM27" s="102" t="str">
        <f>IF(AND(WSARAB!$AC$29&gt;=91.5,WSARAB!$AC$29&lt;=100),"P","")</f>
        <v/>
      </c>
      <c r="LN27" t="str">
        <f>IF(WSARAB!$AC$37&lt;74.9,"P","")</f>
        <v/>
      </c>
      <c r="LO27" s="102" t="str">
        <f>IF(AND(WSARAB!$AC$37&gt;=75,WSARAB!$AC$37&lt;=83.24),"P","")</f>
        <v/>
      </c>
      <c r="LP27" s="102" t="str">
        <f>IF(AND(WSARAB!$AC$37&gt;=83.25,WSARAB!$AC$37&lt;=91.4),"P","")</f>
        <v/>
      </c>
      <c r="LQ27" s="102" t="str">
        <f>IF(AND(WSARAB!$AC$37&gt;=91.5,WSARAB!$AC$37&lt;=100),"P","")</f>
        <v/>
      </c>
      <c r="LR27" t="str">
        <f>IF(WSARAB!$AC$45&lt;74.9,"P","")</f>
        <v/>
      </c>
      <c r="LS27" s="102" t="str">
        <f>IF(AND(WSARAB!$AC$45&gt;=75,WSARAB!$AC$45&lt;=83.24),"P","")</f>
        <v/>
      </c>
      <c r="LT27" s="102" t="str">
        <f>IF(AND(WSARAB!$AC$45&gt;=83.25,WSARAB!$AC$45&lt;=91.4),"P","")</f>
        <v/>
      </c>
      <c r="LU27" s="102" t="str">
        <f>IF(AND(WSARAB!$AC$45&gt;=91.5,WSARAB!$AC$45&lt;=100),"P","")</f>
        <v/>
      </c>
      <c r="LV27" t="str">
        <f>IF(WSARAB!$AC$53&lt;74.9,"P","")</f>
        <v/>
      </c>
      <c r="LW27" s="102" t="str">
        <f>IF(AND(WSARAB!$AC$53&gt;=75,WSARAB!$AC$53&lt;=83.24),"P","")</f>
        <v/>
      </c>
      <c r="LX27" s="102" t="str">
        <f>IF(AND(WSARAB!$AC$53&gt;=83.25,WSARAB!$AC$53&lt;=91.4),"P","")</f>
        <v/>
      </c>
      <c r="LY27" s="102" t="str">
        <f>IF(AND(WSARAB!$AC$53&gt;=91.5,WSARAB!$AC$53&lt;=100),"P","")</f>
        <v/>
      </c>
      <c r="LZ27" t="str">
        <f>IF(WSARAB!$AC$65&lt;74.9,"P","")</f>
        <v/>
      </c>
      <c r="MA27" s="102" t="str">
        <f>IF(AND(WSARAB!$AC$65&gt;=75,WSARAB!$AC$65&lt;=83.24),"P","")</f>
        <v/>
      </c>
      <c r="MB27" s="102" t="str">
        <f>IF(AND(WSARAB!$AC$65&gt;=83.25,WSARAB!$AC$65&lt;=91.4),"P","")</f>
        <v/>
      </c>
      <c r="MC27" s="102" t="str">
        <f>IF(AND(WSARAB!$AC$65&gt;=91.5,WSARAB!$AC$65&lt;=100),"P","")</f>
        <v/>
      </c>
      <c r="MD27" t="str">
        <f>IF(WSARAB!$AC$73&lt;74.9,"P","")</f>
        <v/>
      </c>
      <c r="ME27" s="102" t="str">
        <f>IF(AND(WSARAB!$AC$73&gt;=75,WSARAB!$AC$73&lt;=83.24),"P","")</f>
        <v/>
      </c>
      <c r="MF27" s="102" t="str">
        <f>IF(AND(WSARAB!$AC$73&gt;=83.25,WSARAB!$AC$73&lt;=91.4),"P","")</f>
        <v/>
      </c>
      <c r="MG27" s="102" t="str">
        <f>IF(AND(WSARAB!$AC$73&gt;=91.5,WSARAB!$AC$73&lt;=100),"P","")</f>
        <v/>
      </c>
      <c r="MH27" t="str">
        <f>IF(WSARAB!$AC$81&lt;74.9,"P","")</f>
        <v/>
      </c>
      <c r="MI27" s="102" t="str">
        <f>IF(AND(WSARAB!$AC$81&gt;=75,WSARAB!$AC$81&lt;=83.24),"P","")</f>
        <v/>
      </c>
      <c r="MJ27" s="102" t="str">
        <f>IF(AND(WSARAB!$AC$81&gt;=83.25,WSARAB!$AC$81&lt;=91.4),"P","")</f>
        <v/>
      </c>
      <c r="MK27" s="102" t="str">
        <f>IF(AND(WSARAB!$AC$81&gt;=91.5,WSARAB!$AC$81&lt;=100),"P","")</f>
        <v/>
      </c>
      <c r="ML27" t="str">
        <f>IF(WSARAB!$AC$89&lt;74.9,"P","")</f>
        <v/>
      </c>
      <c r="MM27" s="102" t="str">
        <f>IF(AND(WSARAB!$AC$89&gt;=75,WSARAB!$AC$89&lt;=83.24),"P","")</f>
        <v/>
      </c>
      <c r="MN27" s="102" t="str">
        <f>IF(AND(WSARAB!$AC$89&gt;=83.25,WSARAB!$AC$89&lt;=91.4),"P","")</f>
        <v/>
      </c>
      <c r="MO27" s="102" t="str">
        <f>IF(AND(WSARAB!$AC$89&gt;=91.5,WSARAB!$AC$89&lt;=100),"P","")</f>
        <v/>
      </c>
      <c r="MP27" t="str">
        <f>IF(WSARAB!$AC$97&lt;74.9,"P","")</f>
        <v/>
      </c>
      <c r="MQ27" s="102" t="str">
        <f>IF(AND(WSARAB!$AC$97&gt;=75,WSARAB!$AC$97&lt;=83.24),"P","")</f>
        <v/>
      </c>
      <c r="MR27" s="102" t="str">
        <f>IF(AND(WSARAB!$AC$97&gt;=83.25,WSARAB!$AC$97&lt;=91.4),"P","")</f>
        <v/>
      </c>
      <c r="MS27" s="102" t="str">
        <f>IF(AND(WSARAB!$AC$97&gt;=91.5,WSARAB!$AC$97&lt;=100),"P","")</f>
        <v/>
      </c>
      <c r="MT27" t="str">
        <f>IF(WSARAB!$AC$105&lt;74.9,"P","")</f>
        <v/>
      </c>
      <c r="MU27" s="102" t="str">
        <f>IF(AND(WSARAB!$AC$105&gt;=75,WSARAB!$AC$105&lt;=83.24),"P","")</f>
        <v/>
      </c>
      <c r="MV27" s="102" t="str">
        <f>IF(AND(WSARAB!$AC$105&gt;=83.25,WSARAB!$AC$105&lt;=91.4),"P","")</f>
        <v/>
      </c>
      <c r="MW27" s="102" t="str">
        <f>IF(AND(WSARAB!$AC$105&gt;=91.5,WSARAB!$AC$105&lt;=100),"P","")</f>
        <v/>
      </c>
      <c r="MX27" t="str">
        <f>IF(WSARAB!$AC$113&lt;74.9,"P","")</f>
        <v/>
      </c>
      <c r="MY27" s="102" t="str">
        <f>IF(AND(WSARAB!$AC$113&gt;=75,WSARAB!$AC$113&lt;=83.24),"P","")</f>
        <v/>
      </c>
      <c r="MZ27" s="102" t="str">
        <f>IF(AND(WSARAB!$AC$113&gt;=83.25,WSARAB!$AC$113&lt;=91.4),"P","")</f>
        <v/>
      </c>
      <c r="NA27" s="102" t="str">
        <f>IF(AND(WSARAB!$AC$113&gt;=91.5,WSARAB!$AC$113&lt;=100),"P","")</f>
        <v/>
      </c>
      <c r="NB27" t="str">
        <f>IF(WSMTK!$AC$6&lt;74.9,"P","")</f>
        <v/>
      </c>
      <c r="NC27" s="102" t="str">
        <f>IF(AND(WSMTK!$AC$6&gt;=75,WSMTK!$AC$6&lt;=83.24),"P","")</f>
        <v/>
      </c>
      <c r="ND27" s="102" t="str">
        <f>IF(AND(WSMTK!$AC$6&gt;=83.25,WSMTK!$AC$6&lt;=91.4),"P","")</f>
        <v/>
      </c>
      <c r="NE27" s="102" t="str">
        <f>IF(AND(WSMTK!$AC$6&gt;=91.5,WSMTK!$AC$6&lt;=100),"P","")</f>
        <v/>
      </c>
      <c r="NF27" t="str">
        <f>IF(WSMTK!$AC$22&lt;74.9,"P","")</f>
        <v/>
      </c>
      <c r="NG27" s="102" t="str">
        <f>IF(AND(WSMTK!$AC$22&gt;=75,WSMTK!$AC$22&lt;=83.24),"P","")</f>
        <v/>
      </c>
      <c r="NH27" s="102" t="str">
        <f>IF(AND(WSMTK!$AC$22&gt;=83.25,WSMTK!$AC$22&lt;=91.4),"P","")</f>
        <v/>
      </c>
      <c r="NI27" s="102" t="str">
        <f>IF(AND(WSMTK!$AC$22&gt;=91.5,WSMTK!$AC$22&lt;=100),"P","")</f>
        <v/>
      </c>
      <c r="NJ27" t="str">
        <f>IF(WSMTK!$AC$35&lt;74.9,"P","")</f>
        <v/>
      </c>
      <c r="NK27" s="102" t="str">
        <f>IF(AND(WSMTK!$AC$35&gt;=75,WSMTK!$AC$35&lt;=83.24),"P","")</f>
        <v/>
      </c>
      <c r="NL27" s="102" t="str">
        <f>IF(AND(WSMTK!$AC$35&gt;=83.25,WSMTK!$AC$35&lt;=91.4),"P","")</f>
        <v/>
      </c>
      <c r="NM27" s="102" t="str">
        <f>IF(AND(WSMTK!$AC$35&gt;=91.5,WSMTK!$AC$35&lt;=100),"P","")</f>
        <v/>
      </c>
      <c r="NN27" t="str">
        <f>IF(WSMTK!$AC$69&lt;74.9,"P","")</f>
        <v/>
      </c>
      <c r="NO27" s="102" t="str">
        <f>IF(AND(WSMTK!$AC$69&gt;=75,WSMTK!$AC$69&lt;=83.24),"P","")</f>
        <v/>
      </c>
      <c r="NP27" s="102" t="str">
        <f>IF(AND(WSMTK!$AC$69&gt;=83.25,WSMTK!$AC$69&lt;=91.4),"P","")</f>
        <v/>
      </c>
      <c r="NQ27" s="102" t="str">
        <f>IF(AND(WSMTK!$AC$69&gt;=91.5,WSMTK!$AC$69&lt;=100),"P","")</f>
        <v/>
      </c>
      <c r="NR27" t="str">
        <f>IF(WSMTK!$AC$87&lt;74.9,"P","")</f>
        <v/>
      </c>
      <c r="NS27" s="102" t="str">
        <f>IF(AND(WSMTK!$AC$87&gt;=75,WSMTK!$AC$87&lt;=83.24),"P","")</f>
        <v/>
      </c>
      <c r="NT27" s="102" t="str">
        <f>IF(AND(WSMTK!$AC$87&gt;=83.25,WSMTK!$AC$87&lt;=91.4),"P","")</f>
        <v/>
      </c>
      <c r="NU27" s="102" t="str">
        <f>IF(AND(WSMTK!$AC$87&gt;=91.5,WSMTK!$AC$87&lt;=100),"P","")</f>
        <v/>
      </c>
      <c r="NV27" t="str">
        <f>IF(WSMTK!$AC$99&lt;74.9,"P","")</f>
        <v/>
      </c>
      <c r="NW27" s="102" t="str">
        <f>IF(AND(WSMTK!$AC$99&gt;=75,WSMTK!$AC$99&lt;=83.24),"P","")</f>
        <v/>
      </c>
      <c r="NX27" s="102" t="str">
        <f>IF(AND(WSMTK!$AC$99&gt;=83.25,WSMTK!$AC$99&lt;=91.4),"P","")</f>
        <v/>
      </c>
      <c r="NY27" s="102" t="str">
        <f>IF(AND(WSMTK!$AC$99&gt;=91.5,WSMTK!$AC$99&lt;=100),"P","")</f>
        <v/>
      </c>
      <c r="NZ27" t="str">
        <f>IF(WSMTK!$AC$113&lt;74.9,"P","")</f>
        <v/>
      </c>
      <c r="OA27" s="102" t="str">
        <f>IF(AND(WSMTK!$AC$113&gt;=75,WSMTK!$AC$113&lt;=83.24),"P","")</f>
        <v/>
      </c>
      <c r="OB27" s="102" t="str">
        <f>IF(AND(WSMTK!$AC$113&gt;=83.25,WSMTK!$AC$113&lt;=91.4),"P","")</f>
        <v/>
      </c>
      <c r="OC27" s="102" t="str">
        <f>IF(AND(WSMTK!$AC$113&gt;=91.5,WSMTK!$AC$113&lt;=100),"P","")</f>
        <v/>
      </c>
      <c r="OD27" t="str">
        <f>IF(WSMTK!$AC$145&lt;74.9,"P","")</f>
        <v/>
      </c>
      <c r="OE27" s="102" t="str">
        <f>IF(AND(WSMTK!$AC$145&gt;=75,WSMTK!$AC$145&lt;=83.24),"P","")</f>
        <v/>
      </c>
      <c r="OF27" s="102" t="str">
        <f>IF(AND(WSMTK!$AC$145&gt;=83.25,WSMTK!$AC$145&lt;=91.4),"P","")</f>
        <v/>
      </c>
      <c r="OG27" s="102" t="str">
        <f>IF(AND(WSMTK!$AC$145&gt;=91.5,WSMTK!$AC$145&lt;=100),"P","")</f>
        <v/>
      </c>
      <c r="OH27" t="str">
        <f>IF(WSMTK!$AC$168&lt;74.9,"P","")</f>
        <v/>
      </c>
      <c r="OI27" s="102" t="str">
        <f>IF(AND(WSMTK!$AC$168&gt;=75,WSMTK!$AC$168&lt;=83.24),"P","")</f>
        <v/>
      </c>
      <c r="OJ27" s="102" t="str">
        <f>IF(AND(WSMTK!$AC$168&gt;=83.25,WSMTK!$AC$168&lt;=91.4),"P","")</f>
        <v/>
      </c>
      <c r="OK27" s="102" t="str">
        <f>IF(AND(WSMTK!$AC$168&gt;=91.5,WSMTK!$AC$168&lt;=100),"P","")</f>
        <v/>
      </c>
      <c r="OL27" t="str">
        <f>IF(WSMTK!$AC$176&lt;74.9,"P","")</f>
        <v/>
      </c>
      <c r="OM27" s="102" t="str">
        <f>IF(AND(WSMTK!$AC$176&gt;=75,WSMTK!$AC$176&lt;=83.24),"P","")</f>
        <v/>
      </c>
      <c r="ON27" s="102" t="str">
        <f>IF(AND(WSMTK!$AC$176&gt;=83.25,WSMTK!$AC$176&lt;=91.4),"P","")</f>
        <v/>
      </c>
      <c r="OO27" s="102" t="str">
        <f>IF(AND(WSMTK!$AC$176&gt;=91.5,WSMTK!$AC$176&lt;=100),"P","")</f>
        <v/>
      </c>
      <c r="OP27" t="str">
        <f>IF(WSMTK!$AC$184&lt;74.9,"P","")</f>
        <v/>
      </c>
      <c r="OQ27" s="102" t="str">
        <f>IF(AND(WSMTK!$AC$184&gt;=75,WSMTK!$AC$184&lt;=83.24),"P","")</f>
        <v/>
      </c>
      <c r="OR27" s="102" t="str">
        <f>IF(AND(WSMTK!$AC$184&gt;=83.25,WSMTK!$AC$184&lt;=91.4),"P","")</f>
        <v/>
      </c>
      <c r="OS27" s="102" t="str">
        <f>IF(AND(WSMTK!$AC$184&gt;=91.5,WSMTK!$AC$184&lt;=100),"P","")</f>
        <v/>
      </c>
      <c r="OT27" t="str">
        <f>IF(WSMTK!$AC$192&lt;74.9,"P","")</f>
        <v/>
      </c>
      <c r="OU27" s="102" t="str">
        <f>IF(AND(WSMTK!$AC$192&gt;=75,WSMTK!$AC$192&lt;=83.24),"P","")</f>
        <v/>
      </c>
      <c r="OV27" s="102" t="str">
        <f>IF(AND(WSMTK!$AC$192&gt;=83.25,WSMTK!$AC$192&lt;=91.4),"P","")</f>
        <v/>
      </c>
      <c r="OW27" s="102" t="str">
        <f>IF(AND(WSMTK!$AC$192&gt;=91.5,WSMTK!$AC$192&lt;=100),"P","")</f>
        <v/>
      </c>
      <c r="OX27" t="str">
        <f>IF(WSMTK!$AC$200&lt;74.9,"P","")</f>
        <v/>
      </c>
      <c r="OY27" s="102" t="str">
        <f>IF(AND(WSMTK!$AC$200&gt;=75,WSMTK!$AC$200&lt;=83.24),"P","")</f>
        <v/>
      </c>
      <c r="OZ27" s="102" t="str">
        <f>IF(AND(WSMTK!$AC$200&gt;=83.25,WSMTK!$AC$200&lt;=91.4),"P","")</f>
        <v/>
      </c>
      <c r="PA27" s="102" t="str">
        <f>IF(AND(WSMTK!$AC$200&gt;=91.5,WSMTK!$AC$200&lt;=100),"P","")</f>
        <v/>
      </c>
      <c r="PB27" t="str">
        <f>IF(WSIPA!$AC$6&lt;74.9,"P","")</f>
        <v/>
      </c>
      <c r="PC27" s="102" t="str">
        <f>IF(AND(WSIPA!$AC$6&gt;=75,WSIPA!$AC$6&lt;=83.24),"P","")</f>
        <v/>
      </c>
      <c r="PD27" s="102" t="str">
        <f>IF(AND(WSIPA!$AC$6&gt;=83.25,WSIPA!$AC$6&lt;=91.4),"P","")</f>
        <v/>
      </c>
      <c r="PE27" s="102" t="str">
        <f>IF(AND(WSIPA!$AC$6&gt;=91.5,WSIPA!$AC$6&lt;=100),"P","")</f>
        <v/>
      </c>
      <c r="PF27" t="str">
        <f>IF(WSIPA!$AC$14&lt;74.9,"P","")</f>
        <v/>
      </c>
      <c r="PG27" s="102" t="str">
        <f>IF(AND(WSIPA!$AC$14&gt;=75,WSIPA!$AC$14&lt;=83.24),"P","")</f>
        <v/>
      </c>
      <c r="PH27" s="102" t="str">
        <f>IF(AND(WSIPA!$AC$14&gt;=83.25,WSIPA!$AC$14&lt;=91.4),"P","")</f>
        <v/>
      </c>
      <c r="PI27" s="102" t="str">
        <f>IF(AND(WSIPA!$AC$14&gt;=91.5,WSIPA!$AC$14&lt;=100),"P","")</f>
        <v/>
      </c>
      <c r="PJ27" t="str">
        <f>IF(WSIPA!$AC$22&lt;74.9,"P","")</f>
        <v/>
      </c>
      <c r="PK27" s="102" t="str">
        <f>IF(AND(WSIPA!$AC$22&gt;=75,WSIPA!$AC$22&lt;=83.24),"P","")</f>
        <v/>
      </c>
      <c r="PL27" s="102" t="str">
        <f>IF(AND(WSIPA!$AC$22&gt;=83.25,WSIPA!$AC$22&lt;=91.4),"P","")</f>
        <v/>
      </c>
      <c r="PM27" s="102" t="str">
        <f>IF(AND(WSIPA!$AC$22&gt;=91.5,WSIPA!$AC$22&lt;=100),"P","")</f>
        <v/>
      </c>
      <c r="PN27" t="str">
        <f>IF(WSIPA!$AC$30&lt;74.9,"P","")</f>
        <v/>
      </c>
      <c r="PO27" s="102" t="str">
        <f>IF(AND(WSIPA!$AC$30&gt;=75,WSIPA!$AC$30&lt;=83.24),"P","")</f>
        <v/>
      </c>
      <c r="PP27" s="102" t="str">
        <f>IF(AND(WSIPA!$AC$30&gt;=83.25,WSIPA!$AC$30&lt;=91.4),"P","")</f>
        <v/>
      </c>
      <c r="PQ27" s="102" t="str">
        <f>IF(AND(WSIPA!$AC$30&gt;=91.5,WSIPA!$AC$30&lt;=100),"P","")</f>
        <v/>
      </c>
      <c r="PR27" t="str">
        <f>IF(WSIPA!$AC$38&lt;74.9,"P","")</f>
        <v/>
      </c>
      <c r="PS27" s="102" t="str">
        <f>IF(AND(WSIPA!$AC$38&gt;=75,WSIPA!$AC$38&lt;=83.24),"P","")</f>
        <v/>
      </c>
      <c r="PT27" s="102" t="str">
        <f>IF(AND(WSIPA!$AC$38&gt;=83.25,WSIPA!$AC$38&lt;=91.4),"P","")</f>
        <v/>
      </c>
      <c r="PU27" s="102" t="str">
        <f>IF(AND(WSIPA!$AC$38&gt;=91.5,WSIPA!$AC$38&lt;=100),"P","")</f>
        <v/>
      </c>
      <c r="PV27" t="str">
        <f>IF(WSIPA!$AC$46&lt;74.9,"P","")</f>
        <v/>
      </c>
      <c r="PW27" s="102" t="str">
        <f>IF(AND(WSIPA!$AC$46&gt;=75,WSIPA!$AC$46&lt;=83.24),"P","")</f>
        <v/>
      </c>
      <c r="PX27" s="102" t="str">
        <f>IF(AND(WSIPA!$AC$46&gt;=83.25,WSIPA!$AC$46&lt;=91.4),"P","")</f>
        <v/>
      </c>
      <c r="PY27" s="102" t="str">
        <f>IF(AND(WSIPA!$AC$46&gt;=91.5,WSIPA!$AC$46&lt;=100),"P","")</f>
        <v/>
      </c>
      <c r="PZ27" t="str">
        <f>IF(WSIPA!$AC$54&lt;74.9,"P","")</f>
        <v/>
      </c>
      <c r="QA27" s="102" t="str">
        <f>IF(AND(WSIPA!$AC$54&gt;=75,WSIPA!$AC$54&lt;=83.24),"P","")</f>
        <v/>
      </c>
      <c r="QB27" s="102" t="str">
        <f>IF(AND(WSIPA!$AC$54&gt;=83.25,WSIPA!$AC$54&lt;=91.4),"P","")</f>
        <v/>
      </c>
      <c r="QC27" s="102" t="str">
        <f>IF(AND(WSIPA!$AC$54&gt;=91.5,WSIPA!$AC$54&lt;=100),"P","")</f>
        <v/>
      </c>
      <c r="QD27" t="str">
        <f>IF(WSIPA!$AC$62&lt;74.9,"P","")</f>
        <v/>
      </c>
      <c r="QE27" s="102" t="str">
        <f>IF(AND(WSIPA!$AC$62&gt;=75,WSIPA!$AC$62&lt;=83.24),"P","")</f>
        <v/>
      </c>
      <c r="QF27" s="102" t="str">
        <f>IF(AND(WSIPA!$AC$62&gt;=83.25,WSIPA!$AC$62&lt;=91.4),"P","")</f>
        <v/>
      </c>
      <c r="QG27" s="102" t="str">
        <f>IF(AND(WSIPA!$AC$62&gt;=91.5,WSIPA!$AC$62&lt;=100),"P","")</f>
        <v/>
      </c>
      <c r="QH27" t="str">
        <f>IF(WSIPA!$AC$70&lt;74.9,"P","")</f>
        <v/>
      </c>
      <c r="QI27" s="102" t="str">
        <f>IF(AND(WSIPA!$AC$70&gt;=75,WSIPA!$AC$70&lt;=83.24),"P","")</f>
        <v/>
      </c>
      <c r="QJ27" s="102" t="str">
        <f>IF(AND(WSIPA!$AC$70&gt;=83.25,WSIPA!$AC$70&lt;=91.4),"P","")</f>
        <v/>
      </c>
      <c r="QK27" s="102" t="str">
        <f>IF(AND(WSIPA!$AC$70&gt;=91.5,WSIPA!$AC$70&lt;=100),"P","")</f>
        <v/>
      </c>
      <c r="QL27" t="str">
        <f>IF(WSIPA!$AC$78&lt;74.9,"P","")</f>
        <v/>
      </c>
      <c r="QM27" s="102" t="str">
        <f>IF(AND(WSIPA!$AC$78&gt;=75,WSIPA!$AC$78&lt;=83.24),"P","")</f>
        <v/>
      </c>
      <c r="QN27" s="102" t="str">
        <f>IF(AND(WSIPA!$AC$78&gt;=83.25,WSIPA!$AC$78&lt;=91.4),"P","")</f>
        <v/>
      </c>
      <c r="QO27" s="102" t="str">
        <f>IF(AND(WSIPA!$AC$78&gt;=91.5,WSIPA!$AC$78&lt;=100),"P","")</f>
        <v/>
      </c>
      <c r="QP27" t="str">
        <f>IF(WSIPA!$AC$86&lt;74.9,"P","")</f>
        <v/>
      </c>
      <c r="QQ27" s="102" t="str">
        <f>IF(AND(WSIPA!$AC$86&gt;=75,WSIPA!$AC$86&lt;=83.24),"P","")</f>
        <v/>
      </c>
      <c r="QR27" s="102" t="str">
        <f>IF(AND(WSIPA!$AC$86&gt;=83.25,WSIPA!$AC$86&lt;=91.4),"P","")</f>
        <v/>
      </c>
      <c r="QS27" s="102" t="str">
        <f>IF(AND(WSIPA!$AC$86&gt;=91.5,WSIPA!$AC$86&lt;=100),"P","")</f>
        <v/>
      </c>
      <c r="QT27" t="str">
        <f>IF(WSIPA!$AC$94&lt;74.9,"P","")</f>
        <v/>
      </c>
      <c r="QU27" s="102" t="str">
        <f>IF(AND(WSIPA!$AC$94&gt;=75,WSIPA!$AC$94&lt;=83.24),"P","")</f>
        <v/>
      </c>
      <c r="QV27" s="102" t="str">
        <f>IF(AND(WSIPA!$AC$94&gt;=83.25,WSIPA!$AC$94&lt;=91.4),"P","")</f>
        <v/>
      </c>
      <c r="QW27" s="102" t="str">
        <f>IF(AND(WSIPA!$AC$94&gt;=91.5,WSIPA!$AC$94&lt;=100),"P","")</f>
        <v/>
      </c>
      <c r="QX27" t="str">
        <f>IF(WSIPA!$AC$102&lt;74.9,"P","")</f>
        <v/>
      </c>
      <c r="QY27" s="102" t="str">
        <f>IF(AND(WSIPA!$AC$102&gt;=75,WSIPA!$AC$102&lt;=83.24),"P","")</f>
        <v/>
      </c>
      <c r="QZ27" s="102" t="str">
        <f>IF(AND(WSIPA!$AC$102&gt;=83.25,WSIPA!$AC$102&lt;=91.4),"P","")</f>
        <v/>
      </c>
      <c r="RA27" s="102" t="str">
        <f>IF(AND(WSIPA!$AC$102&gt;=91.5,WSIPA!$AC$102&lt;=100),"P","")</f>
        <v/>
      </c>
      <c r="RB27" t="str">
        <f>IF(WSIPS!$AC$6&lt;74.9,"P","")</f>
        <v/>
      </c>
      <c r="RC27" s="102" t="str">
        <f>IF(AND(WSIPS!$AC$6&gt;=75,WSIPS!$AC$6&lt;=83.24),"P","")</f>
        <v/>
      </c>
      <c r="RD27" s="102" t="str">
        <f>IF(AND(WSIPS!$AC$6&gt;=83.25,WSIPS!$AC$6&lt;=91.4),"P","")</f>
        <v/>
      </c>
      <c r="RE27" s="102" t="str">
        <f>IF(AND(WSIPS!$AC$6&gt;=91.5,WSIPS!$AC$6&lt;=100),"P","")</f>
        <v/>
      </c>
      <c r="RF27" t="str">
        <f>IF(WSIPS!$AC$14&lt;74.9,"P","")</f>
        <v/>
      </c>
      <c r="RG27" s="102" t="str">
        <f>IF(AND(WSIPS!$AC$14&gt;=75,WSIPS!$AC$14&lt;=83.24),"P","")</f>
        <v/>
      </c>
      <c r="RH27" s="102" t="str">
        <f>IF(AND(WSIPS!$AC$14&gt;=83.25,WSIPS!$AC$14&lt;=91.4),"P","")</f>
        <v/>
      </c>
      <c r="RI27" s="102" t="str">
        <f>IF(AND(WSIPS!$AC$14&gt;=91.5,WSIPS!$AC$14&lt;=100),"P","")</f>
        <v/>
      </c>
      <c r="RJ27" t="str">
        <f>IF(WSIPS!$AC$22&lt;74.9,"P","")</f>
        <v/>
      </c>
      <c r="RK27" s="102" t="str">
        <f>IF(AND(WSIPS!$AC$22&gt;=75,WSIPS!$AC$22&lt;=83.24),"P","")</f>
        <v/>
      </c>
      <c r="RL27" s="102" t="str">
        <f>IF(AND(WSIPS!$AC$22&gt;=83.25,WSIPS!$AC$22&lt;=91.4),"P","")</f>
        <v/>
      </c>
      <c r="RM27" s="102" t="str">
        <f>IF(AND(WSIPS!$AC$22&gt;=91.5,WSIPS!$AC$22&lt;=100),"P","")</f>
        <v/>
      </c>
      <c r="RN27" t="str">
        <f>IF(WSIPS!$AC$30&lt;74.9,"P","")</f>
        <v/>
      </c>
      <c r="RO27" s="102" t="str">
        <f>IF(AND(WSIPS!$AC$30&gt;=75,WSIPS!$AC$30&lt;=83.24),"P","")</f>
        <v/>
      </c>
      <c r="RP27" s="102" t="str">
        <f>IF(AND(WSIPS!$AC$30&gt;=83.25,WSIPS!$AC$30&lt;=91.4),"P","")</f>
        <v/>
      </c>
      <c r="RQ27" s="102" t="str">
        <f>IF(AND(WSIPS!$AC$30&gt;=91.5,WSIPS!$AC$30&lt;=100),"P","")</f>
        <v/>
      </c>
      <c r="RR27" t="str">
        <f>IF(WSIPS!$AC$38&lt;74.9,"P","")</f>
        <v/>
      </c>
      <c r="RS27" s="102" t="str">
        <f>IF(AND(WSIPS!$AC$38&gt;=75,WSIPS!$AC$38&lt;=83.24),"P","")</f>
        <v/>
      </c>
      <c r="RT27" s="102" t="str">
        <f>IF(AND(WSIPS!$AC$38&gt;=83.25,WSIPS!$AC$38&lt;=91.4),"P","")</f>
        <v/>
      </c>
      <c r="RU27" s="102" t="str">
        <f>IF(AND(WSIPS!$AC$38&gt;=91.5,WSIPS!$AC$38&lt;=100),"P","")</f>
        <v/>
      </c>
      <c r="RV27" t="str">
        <f>IF(WSIPS!$AC$46&lt;74.9,"P","")</f>
        <v/>
      </c>
      <c r="RW27" s="102" t="str">
        <f>IF(AND(WSIPS!$AC$46&gt;=75,WSIPS!$AC$46&lt;=83.24),"P","")</f>
        <v/>
      </c>
      <c r="RX27" s="102" t="str">
        <f>IF(AND(WSIPS!$AC$46&gt;=83.25,WSIPS!$AC$46&lt;=91.4),"P","")</f>
        <v/>
      </c>
      <c r="RY27" s="102" t="str">
        <f>IF(AND(WSIPS!$AC$46&gt;=91.5,WSIPS!$AC$46&lt;=100),"P","")</f>
        <v/>
      </c>
      <c r="RZ27" t="str">
        <f>IF(WSIPS!$AC$54&lt;74.9,"P","")</f>
        <v/>
      </c>
      <c r="SA27" s="102" t="str">
        <f>IF(AND(WSIPS!$AC$54&gt;=75,WSIPS!$AC$54&lt;=83.24),"P","")</f>
        <v/>
      </c>
      <c r="SB27" s="102" t="str">
        <f>IF(AND(WSIPS!$AC$54&gt;=83.25,WSIPS!$AC$54&lt;=91.4),"P","")</f>
        <v/>
      </c>
      <c r="SC27" s="102" t="str">
        <f>IF(AND(WSIPS!$AC$54&gt;=91.5,WSIPS!$AC$54&lt;=100),"P","")</f>
        <v/>
      </c>
      <c r="SD27" t="str">
        <f>IF(WSIPS!$AC$62&lt;74.9,"P","")</f>
        <v/>
      </c>
      <c r="SE27" s="102" t="str">
        <f>IF(AND(WSIPS!$AC$62&gt;=75,WSIPS!$AC$62&lt;=83.24),"P","")</f>
        <v/>
      </c>
      <c r="SF27" s="102" t="str">
        <f>IF(AND(WSIPS!$AC$62&gt;=83.25,WSIPS!$AC$62&lt;=91.4),"P","")</f>
        <v/>
      </c>
      <c r="SG27" s="102" t="str">
        <f>IF(AND(WSIPS!$AC$62&gt;=91.5,WSIPS!$AC$62&lt;=100),"P","")</f>
        <v/>
      </c>
      <c r="SH27" t="str">
        <f>IF(WSIPS!$AC$70&lt;74.9,"P","")</f>
        <v/>
      </c>
      <c r="SI27" s="102" t="str">
        <f>IF(AND(WSIPS!$AC$70&gt;=75,WSIPS!$AC$70&lt;=83.24),"P","")</f>
        <v/>
      </c>
      <c r="SJ27" s="102" t="str">
        <f>IF(AND(WSIPS!$AC$70&gt;=83.25,WSIPS!$AC$70&lt;=91.4),"P","")</f>
        <v/>
      </c>
      <c r="SK27" s="102" t="str">
        <f>IF(AND(WSIPS!$AC$70&gt;=91.5,WSIPS!$AC$70&lt;=100),"P","")</f>
        <v/>
      </c>
      <c r="SL27" t="str">
        <f>IF(WSIPS!$AC$78&lt;74.9,"P","")</f>
        <v/>
      </c>
      <c r="SM27" s="102" t="str">
        <f>IF(AND(WSIPS!$AC$78&gt;=75,WSIPS!$AC$78&lt;=83.24),"P","")</f>
        <v/>
      </c>
      <c r="SN27" s="102" t="str">
        <f>IF(AND(WSIPS!$AC$78&gt;=83.25,WSIPS!$AC$78&lt;=91.4),"P","")</f>
        <v/>
      </c>
      <c r="SO27" s="102" t="str">
        <f>IF(AND(WSIPS!$AC$78&gt;=91.5,WSIPS!$AC$78&lt;=100),"P","")</f>
        <v/>
      </c>
      <c r="SP27" t="str">
        <f>IF(WSIPS!$AC$86&lt;74.9,"P","")</f>
        <v/>
      </c>
      <c r="SQ27" s="102" t="str">
        <f>IF(AND(WSIPS!$AC$86&gt;=75,WSIPS!$AC$86&lt;=83.24),"P","")</f>
        <v/>
      </c>
      <c r="SR27" s="102" t="str">
        <f>IF(AND(WSIPS!$AC$86&gt;=83.25,WSIPS!$AC$86&lt;=91.4),"P","")</f>
        <v/>
      </c>
      <c r="SS27" s="102" t="str">
        <f>IF(AND(WSIPS!$AC$86&gt;=91.5,WSIPS!$AC$86&lt;=100),"P","")</f>
        <v/>
      </c>
      <c r="ST27" t="str">
        <f>IF(WSIPS!$AC$94&lt;74.9,"P","")</f>
        <v/>
      </c>
      <c r="SU27" s="102" t="str">
        <f>IF(AND(WSIPS!$AC$94&gt;=75,WSIPS!$AC$94&lt;=83.24),"P","")</f>
        <v/>
      </c>
      <c r="SV27" s="102" t="str">
        <f>IF(AND(WSIPS!$AC$94&gt;=83.25,WSIPS!$AC$94&lt;=91.4),"P","")</f>
        <v/>
      </c>
      <c r="SW27" s="102" t="str">
        <f>IF(AND(WSIPS!$AC$94&gt;=91.5,WSIPS!$AC$94&lt;=100),"P","")</f>
        <v/>
      </c>
      <c r="SX27" t="str">
        <f>IF(WSIPS!$AC$102&lt;74.9,"P","")</f>
        <v/>
      </c>
      <c r="SY27" s="102" t="str">
        <f>IF(AND(WSIPS!$AC$102&gt;=75,WSIPS!$AC$102&lt;=83.24),"P","")</f>
        <v/>
      </c>
      <c r="SZ27" s="102" t="str">
        <f>IF(AND(WSIPS!$AC$102&gt;=83.25,WSIPS!$AC$102&lt;=91.4),"P","")</f>
        <v/>
      </c>
      <c r="TA27" s="102" t="str">
        <f>IF(AND(WSIPS!$AC$102&gt;=91.5,WSIPS!$AC$102&lt;=100),"P","")</f>
        <v/>
      </c>
      <c r="TB27" t="str">
        <f>IF(WSSBK!$AC$6&lt;74.9,"P","")</f>
        <v/>
      </c>
      <c r="TC27" s="102" t="str">
        <f>IF(AND(WSSBK!$AC$6&gt;=75,WSSBK!$AC$6&lt;=83.24),"P","")</f>
        <v/>
      </c>
      <c r="TD27" s="102" t="str">
        <f>IF(AND(WSSBK!$AC$6&gt;=83.25,WSSBK!$AC$6&lt;=91.4),"P","")</f>
        <v/>
      </c>
      <c r="TE27" s="102" t="str">
        <f>IF(AND(WSSBK!$AC$6&gt;=91.5,WSSBK!$AC$6&lt;=100),"P","")</f>
        <v/>
      </c>
      <c r="TF27" t="str">
        <f>IF(WSSBK!$AC$16&lt;74.9,"P","")</f>
        <v/>
      </c>
      <c r="TG27" s="102" t="str">
        <f>IF(AND(WSSBK!$AC$16&gt;=75,WSSBK!$AC$16&lt;=83.24),"P","")</f>
        <v/>
      </c>
      <c r="TH27" s="102" t="str">
        <f>IF(AND(WSSBK!$AC$16&gt;=83.25,WSSBK!$AC$16&lt;=91.4),"P","")</f>
        <v/>
      </c>
      <c r="TI27" s="102" t="str">
        <f>IF(AND(WSSBK!$AC$16&gt;=91.5,WSSBK!$AC$16&lt;=100),"P","")</f>
        <v/>
      </c>
      <c r="TJ27" t="str">
        <f>IF(WSSBK!$AC$26&lt;74.9,"P","")</f>
        <v/>
      </c>
      <c r="TK27" s="102" t="str">
        <f>IF(AND(WSSBK!$AC$26&gt;=75,WSSBK!$AC$26&lt;=83.24),"P","")</f>
        <v/>
      </c>
      <c r="TL27" s="102" t="str">
        <f>IF(AND(WSSBK!$AC$26&gt;=83.25,WSSBK!$AC$26&lt;=91.4),"P","")</f>
        <v/>
      </c>
      <c r="TM27" s="102" t="str">
        <f>IF(AND(WSSBK!$AC$26&gt;=91.5,WSSBK!$AC$26&lt;=100),"P","")</f>
        <v/>
      </c>
      <c r="TN27" t="str">
        <f>IF(WSSBK!$AC$36&lt;74.9,"P","")</f>
        <v/>
      </c>
      <c r="TO27" s="102" t="str">
        <f>IF(AND(WSSBK!$AC$36&gt;=75,WSSBK!$AC$36&lt;=83.24),"P","")</f>
        <v/>
      </c>
      <c r="TP27" s="102" t="str">
        <f>IF(AND(WSSBK!$AC$36&gt;=83.25,WSSBK!$AC$36&lt;=91.4),"P","")</f>
        <v/>
      </c>
      <c r="TQ27" s="102" t="str">
        <f>IF(AND(WSSBK!$AC$36&gt;=91.5,WSSBK!$AC$36&lt;=100),"P","")</f>
        <v/>
      </c>
      <c r="TR27" t="str">
        <f>IF(WSSBK!$AC$46&lt;74.9,"P","")</f>
        <v/>
      </c>
      <c r="TS27" s="102" t="str">
        <f>IF(AND(WSSBK!$AC$46&gt;=75,WSSBK!$AC$46&lt;=83.24),"P","")</f>
        <v/>
      </c>
      <c r="TT27" s="102" t="str">
        <f>IF(AND(WSSBK!$AC$46&gt;=83.25,WSSBK!$AC$46&lt;=91.4),"P","")</f>
        <v/>
      </c>
      <c r="TU27" s="102" t="str">
        <f>IF(AND(WSSBK!$AC$46&gt;=91.5,WSSBK!$AC$46&lt;=100),"P","")</f>
        <v/>
      </c>
      <c r="TV27" t="str">
        <f>IF(WSSBK!$AC$58&lt;74.9,"P","")</f>
        <v/>
      </c>
      <c r="TW27" s="102" t="str">
        <f>IF(AND(WSSBK!$AC$58&gt;=75,WSSBK!$AC$58&lt;=83.24),"P","")</f>
        <v/>
      </c>
      <c r="TX27" s="102" t="str">
        <f>IF(AND(WSSBK!$AC$58&gt;=83.25,WSSBK!$AC$58&lt;=91.4),"P","")</f>
        <v/>
      </c>
      <c r="TY27" s="102" t="str">
        <f>IF(AND(WSSBK!$AC$58&gt;=91.5,WSSBK!$AC$58&lt;=100),"P","")</f>
        <v/>
      </c>
      <c r="TZ27" t="str">
        <f>IF(WSSBK!$AC$68&lt;74.9,"P","")</f>
        <v/>
      </c>
      <c r="UA27" s="102" t="str">
        <f>IF(AND(WSSBK!$AC$68&gt;=75,WSSBK!$AC$68&lt;=83.24),"P","")</f>
        <v/>
      </c>
      <c r="UB27" s="102" t="str">
        <f>IF(AND(WSSBK!$AC$68&gt;=83.25,WSSBK!$AC$68&lt;=91.4),"P","")</f>
        <v/>
      </c>
      <c r="UC27" s="102" t="str">
        <f>IF(AND(WSSBK!$AC$68&gt;=91.5,WSSBK!$AC$68&lt;=100),"P","")</f>
        <v/>
      </c>
      <c r="UD27" t="str">
        <f>IF(WSSBK!$AC$77&lt;74.9,"P","")</f>
        <v/>
      </c>
      <c r="UE27" s="102" t="str">
        <f>IF(AND(WSSBK!$AC$77&gt;=75,WSSBK!$AC$77&lt;=83.24),"P","")</f>
        <v/>
      </c>
      <c r="UF27" s="102" t="str">
        <f>IF(AND(WSSBK!$AC$77&gt;=83.25,WSSBK!$AC$77&lt;=91.4),"P","")</f>
        <v/>
      </c>
      <c r="UG27" s="102" t="str">
        <f>IF(AND(WSSBK!$AC$77&gt;=91.5,WSSBK!$AC$77&lt;=100),"P","")</f>
        <v/>
      </c>
      <c r="UH27" t="str">
        <f>IF(WSSBK!$AC$87&lt;74.9,"P","")</f>
        <v/>
      </c>
      <c r="UI27" s="102" t="str">
        <f>IF(AND(WSSBK!$AC$87&gt;=75,WSSBK!$AC$87&lt;=83.24),"P","")</f>
        <v/>
      </c>
      <c r="UJ27" s="102" t="str">
        <f>IF(AND(WSSBK!$AC$87&gt;=83.25,WSSBK!$AC$87&lt;=91.4),"P","")</f>
        <v/>
      </c>
      <c r="UK27" s="102" t="str">
        <f>IF(AND(WSSBK!$AC$87&gt;=91.5,WSSBK!$AC$87&lt;=100),"P","")</f>
        <v/>
      </c>
      <c r="UL27" t="str">
        <f>IF(WSSBK!$AC$95&lt;74.9,"P","")</f>
        <v/>
      </c>
      <c r="UM27" s="102" t="str">
        <f>IF(AND(WSSBK!$AC$95&gt;=75,WSSBK!$AC$95&lt;=83.24),"P","")</f>
        <v/>
      </c>
      <c r="UN27" s="102" t="str">
        <f>IF(AND(WSSBK!$AC$95&gt;=83.25,WSSBK!$AC$95&lt;=91.4),"P","")</f>
        <v/>
      </c>
      <c r="UO27" s="102" t="str">
        <f>IF(AND(WSSBK!$AC$95&gt;=91.5,WSSBK!$AC$95&lt;=100),"P","")</f>
        <v/>
      </c>
      <c r="UP27" t="str">
        <f>IF(WSSBK!$AC$103&lt;74.9,"P","")</f>
        <v/>
      </c>
      <c r="UQ27" s="102" t="str">
        <f>IF(AND(WSSBK!$AC$103&gt;=75,WSSBK!$AC$103&lt;=83.24),"P","")</f>
        <v/>
      </c>
      <c r="UR27" s="102" t="str">
        <f>IF(AND(WSSBK!$AC$103&gt;=83.25,WSSBK!$AC$103&lt;=91.4),"P","")</f>
        <v/>
      </c>
      <c r="US27" s="102" t="str">
        <f>IF(AND(WSSBK!$AC$103&gt;=91.5,WSSBK!$AC$103&lt;=100),"P","")</f>
        <v/>
      </c>
      <c r="UT27" t="str">
        <f>IF(WSSBK!$AC$111&lt;74.9,"P","")</f>
        <v/>
      </c>
      <c r="UU27" s="102" t="str">
        <f>IF(AND(WSSBK!$AC$111&gt;=75,WSSBK!$AC$111&lt;=83.24),"P","")</f>
        <v/>
      </c>
      <c r="UV27" s="102" t="str">
        <f>IF(AND(WSSBK!$AC$111&gt;=83.25,WSSBK!$AC$111&lt;=91.4),"P","")</f>
        <v/>
      </c>
      <c r="UW27" s="102" t="str">
        <f>IF(AND(WSSBK!$AC$111&gt;=91.5,WSSBK!$AC$111&lt;=100),"P","")</f>
        <v/>
      </c>
      <c r="UX27" t="str">
        <f>IF(WSSBK!$AC$119&lt;74.9,"P","")</f>
        <v/>
      </c>
      <c r="UY27" s="102" t="str">
        <f>IF(AND(WSSBK!$AC$119&gt;=75,WSSBK!$AC$119&lt;=83.24),"P","")</f>
        <v/>
      </c>
      <c r="UZ27" s="102" t="str">
        <f>IF(AND(WSSBK!$AC$119&gt;=83.25,WSSBK!$AC$119&lt;=91.4),"P","")</f>
        <v/>
      </c>
      <c r="VA27" s="102" t="str">
        <f>IF(AND(WSSBK!$AC$119&gt;=91.5,WSSBK!$AC$119&lt;=100),"P","")</f>
        <v/>
      </c>
      <c r="VB27" s="102" t="str">
        <f>IF(AND(WSPENJAS!$AC$6&gt;0,WSPENJAS!$AC$6&lt;=74.9),"P","")</f>
        <v/>
      </c>
      <c r="VC27" s="102" t="str">
        <f>IF(AND(WSPENJAS!$AC$6&gt;=75,WSPENJAS!$AC$6&lt;=83.24),"P","")</f>
        <v/>
      </c>
      <c r="VD27" s="102" t="str">
        <f>IF(AND(WSPENJAS!$AC$6&gt;=83.25,WSPENJAS!$AC$6&lt;=91.4),"P","")</f>
        <v/>
      </c>
      <c r="VE27" s="102" t="str">
        <f>IF(AND(WSPENJAS!$AC$6&gt;=91.5,WSPENJAS!$AC$6&lt;=100),"P","")</f>
        <v/>
      </c>
      <c r="VF27" s="102" t="str">
        <f>IF(AND(WSPENJAS!$AC$7&gt;0,WSPENJAS!$AC$7&lt;=74.9),"P","")</f>
        <v/>
      </c>
      <c r="VG27" s="102" t="str">
        <f>IF(AND(WSPENJAS!$AC$7&gt;=75,WSPENJAS!$AC$7&lt;=83.24),"P","")</f>
        <v/>
      </c>
      <c r="VH27" s="102" t="str">
        <f>IF(AND(WSPENJAS!$AC$7&gt;=83.25,WSPENJAS!$AC$7&lt;=91.4),"P","")</f>
        <v/>
      </c>
      <c r="VI27" s="102" t="str">
        <f>IF(AND(WSPENJAS!$AC$7&gt;=91.5,WSPENJAS!$AC$7&lt;=100),"P","")</f>
        <v/>
      </c>
      <c r="VJ27" s="102" t="str">
        <f>IF(AND(WSPENJAS!$AC$8&gt;0,WSPENJAS!$AC$8&lt;=74.9),"P","")</f>
        <v/>
      </c>
      <c r="VK27" s="102" t="str">
        <f>IF(AND(WSPENJAS!$AC$8&gt;=75,WSPENJAS!$AC$8&lt;=83.24),"P","")</f>
        <v/>
      </c>
      <c r="VL27" s="102" t="str">
        <f>IF(AND(WSPENJAS!$AC$8&gt;=83.25,WSPENJAS!$AC$8&lt;=91.4),"P","")</f>
        <v/>
      </c>
      <c r="VM27" s="102" t="str">
        <f>IF(AND(WSPENJAS!$AC$8&gt;=91.5,WSPENJAS!$AC$8&lt;=100),"P","")</f>
        <v/>
      </c>
      <c r="VN27" s="102" t="str">
        <f>IF(AND(WSPENJAS!$AC$9&gt;0,WSPENJAS!$AC$9&lt;=74.9),"P","")</f>
        <v/>
      </c>
      <c r="VO27" s="102" t="str">
        <f>IF(AND(WSPENJAS!$AC$9&gt;=75,WSPENJAS!$AC$9&lt;=83.24),"P","")</f>
        <v/>
      </c>
      <c r="VP27" s="102" t="str">
        <f>IF(AND(WSPENJAS!$AC$9&gt;=83.25,WSPENJAS!$AC$9&lt;=91.4),"P","")</f>
        <v/>
      </c>
      <c r="VQ27" s="102" t="str">
        <f>IF(AND(WSPENJAS!$AC$9&gt;=91.5,WSPENJAS!$AC$9&lt;=100),"P","")</f>
        <v/>
      </c>
      <c r="VR27" s="102" t="str">
        <f>IF(AND(WSPENJAS!$AC$10&gt;0,WSPENJAS!$AC$10&lt;=74.9),"P","")</f>
        <v/>
      </c>
      <c r="VS27" s="102" t="str">
        <f>IF(AND(WSPENJAS!$AC$10&gt;=75,WSPENJAS!$AC$10&lt;=83.24),"P","")</f>
        <v/>
      </c>
      <c r="VT27" s="102" t="str">
        <f>IF(AND(WSPENJAS!$AC$10&gt;=83.25,WSPENJAS!$AC$10&lt;=91.4),"P","")</f>
        <v/>
      </c>
      <c r="VU27" s="102" t="str">
        <f>IF(AND(WSPENJAS!$AC$10&gt;=91.5,WSPENJAS!$AC$10&lt;=100),"P","")</f>
        <v/>
      </c>
      <c r="VV27" s="102" t="str">
        <f>IF(AND(WSPENJAS!$AC$11&gt;0,WSPENJAS!$AC$11&lt;=74.9),"P","")</f>
        <v/>
      </c>
      <c r="VW27" s="102" t="str">
        <f>IF(AND(WSPENJAS!$AC$411&gt;=75,WSPENJAS!$AC$411&lt;=83.24),"P","")</f>
        <v/>
      </c>
      <c r="VX27" s="102" t="str">
        <f>IF(AND(WSPENJAS!$AC$411&gt;=83.25,WSPENJAS!$AC$411&lt;=91.4),"P","")</f>
        <v/>
      </c>
      <c r="VY27" s="102" t="str">
        <f>IF(AND(WSPENJAS!$AC$411&gt;=91.5,WSPENJAS!$AC$411&lt;=100),"P","")</f>
        <v/>
      </c>
      <c r="VZ27" s="102" t="str">
        <f>IF(AND(WSPENJAS!$AC$12&gt;0,WSPENJAS!$AC$12&lt;=74.9),"P","")</f>
        <v/>
      </c>
      <c r="WA27" s="102" t="str">
        <f>IF(AND(WSPENJAS!$AC$12&gt;=75,WSPENJAS!$AC$12&lt;=83.24),"P","")</f>
        <v/>
      </c>
      <c r="WB27" s="102" t="str">
        <f>IF(AND(WSPENJAS!$AC$12&gt;=83.25,WSPENJAS!$AC$12&lt;=91.4),"P","")</f>
        <v/>
      </c>
      <c r="WC27" s="102" t="str">
        <f>IF(AND(WSPENJAS!$AC$12&gt;=91.5,WSPENJAS!$AC$12&lt;=100),"P","")</f>
        <v/>
      </c>
      <c r="WD27" s="102" t="str">
        <f>IF(AND(WSPENJAS!$AC$13&gt;0,WSPENJAS!$AC$13&lt;=74.9),"P","")</f>
        <v/>
      </c>
      <c r="WE27" s="102" t="str">
        <f>IF(AND(WSPENJAS!$AC$13&gt;=75,WSPENJAS!$AC$13&lt;=83.24),"P","")</f>
        <v/>
      </c>
      <c r="WF27" s="102" t="str">
        <f>IF(AND(WSPENJAS!$AC$13&gt;=83.25,WSPENJAS!$AC$13&lt;=91.4),"P","")</f>
        <v/>
      </c>
      <c r="WG27" s="102" t="str">
        <f>IF(AND(WSPENJAS!$AC$13&gt;=91.5,WSPENJAS!$AC$13&lt;=100),"P","")</f>
        <v/>
      </c>
      <c r="WH27" s="102" t="str">
        <f>IF(AND(WSPENJAS!$AC$14&gt;0,WSPENJAS!$AC$14&lt;=74.9),"P","")</f>
        <v/>
      </c>
      <c r="WI27" s="102" t="str">
        <f>IF(AND(WSPENJAS!$AC$14&gt;=75,WSPENJAS!$AC$14&lt;=83.24),"P","")</f>
        <v/>
      </c>
      <c r="WJ27" s="102" t="str">
        <f>IF(AND(WSPENJAS!$AC$14&gt;=83.25,WSPENJAS!$AC$14&lt;=91.4),"P","")</f>
        <v/>
      </c>
      <c r="WK27" s="102" t="str">
        <f>IF(AND(WSPENJAS!$AC$14&gt;=91.5,WSPENJAS!$AC$14&lt;=100),"P","")</f>
        <v/>
      </c>
      <c r="WL27" s="102" t="str">
        <f>IF(AND(WSPENJAS!$AC$15&gt;0,WSPENJAS!$AC$15&lt;=74.9),"P","")</f>
        <v/>
      </c>
      <c r="WM27" s="102" t="str">
        <f>IF(AND(WSPENJAS!$AC$15&gt;=75,WSPENJAS!$AC$15&lt;=83.24),"P","")</f>
        <v/>
      </c>
      <c r="WN27" s="102" t="str">
        <f>IF(AND(WSPENJAS!$AC$15&gt;=83.25,WSPENJAS!$AC$15&lt;=91.4),"P","")</f>
        <v/>
      </c>
      <c r="WO27" s="102" t="str">
        <f>IF(AND(WSPENJAS!$AC$15&gt;=91.5,WSPENJAS!$AC$15&lt;=100),"P","")</f>
        <v/>
      </c>
      <c r="WP27" s="102" t="str">
        <f>IF(AND(WSPENJAS!$AC$16&gt;0,WSPENJAS!$AC$16&lt;=74.9),"P","")</f>
        <v/>
      </c>
      <c r="WQ27" s="102" t="str">
        <f>IF(AND(WSPENJAS!$AC$16&gt;=75,WSPENJAS!$AC$16&lt;=83.24),"P","")</f>
        <v/>
      </c>
      <c r="WR27" s="102" t="str">
        <f>IF(AND(WSPENJAS!$AC$16&gt;=83.25,WSPENJAS!$AC$16&lt;=91.4),"P","")</f>
        <v/>
      </c>
      <c r="WS27" s="102" t="str">
        <f>IF(AND(WSPENJAS!$AC$16&gt;=91.5,WSPENJAS!$AC$16&lt;=100),"P","")</f>
        <v/>
      </c>
      <c r="WT27" s="102" t="str">
        <f>IF(AND(WSPENJAS!$AC$17&gt;0,WSPENJAS!$AC$17&lt;=74.9),"P","")</f>
        <v/>
      </c>
      <c r="WU27" s="102" t="str">
        <f>IF(AND(WSPENJAS!$AC$17&gt;=75,WSPENJAS!$AC$17&lt;=83.24),"P","")</f>
        <v/>
      </c>
      <c r="WV27" s="102" t="str">
        <f>IF(AND(WSPENJAS!$AC$17&gt;=83.25,WSPENJAS!$AC$17&lt;=91.4),"P","")</f>
        <v/>
      </c>
      <c r="WW27" s="102" t="str">
        <f>IF(AND(WSPENJAS!$AC$17&gt;=91.5,WSPENJAS!$AC$17&lt;=100),"P","")</f>
        <v/>
      </c>
      <c r="WX27" s="102" t="str">
        <f>IF(AND(WSPENJAS!$AC$18&gt;0,WSPENJAS!$AC$18&lt;=74.9),"P","")</f>
        <v/>
      </c>
      <c r="WY27" s="102" t="str">
        <f>IF(AND(WSPENJAS!$AC$18&gt;=75,WSPENJAS!$AC$18&lt;=83.24),"P","")</f>
        <v/>
      </c>
      <c r="WZ27" s="102" t="str">
        <f>IF(AND(WSPENJAS!$AC$18&gt;=83.25,WSPENJAS!$AC$18&lt;=91.4),"P","")</f>
        <v/>
      </c>
      <c r="XA27" s="102" t="str">
        <f>IF(AND(WSPENJAS!$AC$18&gt;=91.5,WSPENJAS!$AC$18&lt;=100),"P","")</f>
        <v/>
      </c>
      <c r="XB27" s="102" t="str">
        <f>IF(AND(WSPENJAS!$AC$19&gt;0,WSPENJAS!$AC$19&lt;=74.9),"P","")</f>
        <v/>
      </c>
      <c r="XC27" s="102" t="str">
        <f>IF(AND(WSPENJAS!$AC$19&gt;=75,WSPENJAS!$AC$19&lt;=83.24),"P","")</f>
        <v/>
      </c>
      <c r="XD27" s="102" t="str">
        <f>IF(AND(WSPENJAS!$AC$19&gt;=83.25,WSPENJAS!$AC$19&lt;=91.4),"P","")</f>
        <v/>
      </c>
      <c r="XE27" s="102" t="str">
        <f>IF(AND(WSPENJAS!$AC$19&gt;=91.5,WSPENJAS!$AC$19&lt;=100),"P","")</f>
        <v/>
      </c>
      <c r="XF27" s="102" t="str">
        <f>IF(AND(WSPENJAS!$AC$20&gt;0,WSPENJAS!$AC$20&lt;=74.9),"P","")</f>
        <v/>
      </c>
      <c r="XG27" s="102" t="str">
        <f>IF(AND(WSPENJAS!$AC$20&gt;=75,WSPENJAS!$AC$20&lt;=83.24),"P","")</f>
        <v/>
      </c>
      <c r="XH27" s="102" t="str">
        <f>IF(AND(WSPENJAS!$AC$20&gt;=83.25,WSPENJAS!$AC$20&lt;=91.4),"P","")</f>
        <v/>
      </c>
      <c r="XI27" s="102" t="str">
        <f>IF(AND(WSPENJAS!$AC$20&gt;=91.5,WSPENJAS!$AC$20&lt;=100),"P","")</f>
        <v/>
      </c>
      <c r="XJ27" s="102" t="str">
        <f>IF(AND(WSPENJAS!$AC$21&gt;0,WSPENJAS!$AC$21&lt;=74.9),"P","")</f>
        <v/>
      </c>
      <c r="XK27" s="102" t="str">
        <f>IF(AND(WSPENJAS!$AC$21&gt;=75,WSPENJAS!$AC$21&lt;=83.24),"P","")</f>
        <v/>
      </c>
      <c r="XL27" s="102" t="str">
        <f>IF(AND(WSPENJAS!$AC$21&gt;=83.25,WSPENJAS!$AC$21&lt;=91.4),"P","")</f>
        <v/>
      </c>
      <c r="XM27" s="102" t="str">
        <f>IF(AND(WSPENJAS!$AC$21&gt;=91.5,WSPENJAS!$AC$21&lt;=100),"P","")</f>
        <v/>
      </c>
      <c r="XN27" t="str">
        <f>IF(WSJAWA!$AC$6&lt;74.9,"P","")</f>
        <v/>
      </c>
      <c r="XO27" s="102" t="str">
        <f>IF(AND(WSJAWA!$AC$6&gt;=75,WSJAWA!$AC$6&lt;=83.24),"P","")</f>
        <v/>
      </c>
      <c r="XP27" s="102" t="str">
        <f>IF(AND(WSJAWA!$AC$6&gt;=83.25,WSJAWA!$AC$6&lt;=91.4),"P","")</f>
        <v/>
      </c>
      <c r="XQ27" s="102" t="str">
        <f>IF(AND(WSJAWA!$AC$6&gt;=91.5,WSJAWA!$AC$6&lt;=100),"P","")</f>
        <v/>
      </c>
      <c r="XR27" t="str">
        <f>IF(WSJAWA!$AC$14&lt;74.9,"P","")</f>
        <v/>
      </c>
      <c r="XS27" s="102" t="str">
        <f>IF(AND(WSJAWA!$AC$14&gt;=75,WSJAWA!$AC$14&lt;=83.24),"P","")</f>
        <v/>
      </c>
      <c r="XT27" s="102" t="str">
        <f>IF(AND(WSJAWA!$AC$14&gt;=83.25,WSJAWA!$AC$14&lt;=91.4),"P","")</f>
        <v/>
      </c>
      <c r="XU27" s="102" t="str">
        <f>IF(AND(WSJAWA!$AC$14&gt;=91.5,WSJAWA!$AC$14&lt;=100),"P","")</f>
        <v/>
      </c>
      <c r="XV27" t="str">
        <f>IF(WSJAWA!$AC$22&lt;74.9,"P","")</f>
        <v/>
      </c>
      <c r="XW27" s="102" t="str">
        <f>IF(AND(WSJAWA!$AC$22&gt;=75,WSJAWA!$AC$22&lt;=83.24),"P","")</f>
        <v/>
      </c>
      <c r="XX27" s="102" t="str">
        <f>IF(AND(WSJAWA!$AC$22&gt;=83.25,WSJAWA!$AC$22&lt;=91.4),"P","")</f>
        <v/>
      </c>
      <c r="XY27" s="102" t="str">
        <f>IF(AND(WSJAWA!$AC$22&gt;=91.5,WSJAWA!$AC$22&lt;=100),"P","")</f>
        <v/>
      </c>
      <c r="XZ27" t="str">
        <f>IF(WSJAWA!$AC$30&lt;74.9,"P","")</f>
        <v/>
      </c>
      <c r="YA27" s="102" t="str">
        <f>IF(AND(WSJAWA!$AC$30&gt;=75,WSJAWA!$AC$30&lt;=83.24),"P","")</f>
        <v/>
      </c>
      <c r="YB27" s="102" t="str">
        <f>IF(AND(WSJAWA!$AC$30&gt;=83.25,WSJAWA!$AC$30&lt;=91.4),"P","")</f>
        <v/>
      </c>
      <c r="YC27" s="102" t="str">
        <f>IF(AND(WSJAWA!$AC$30&gt;=91.5,WSJAWA!$AC$30&lt;=100),"P","")</f>
        <v/>
      </c>
      <c r="YD27" t="str">
        <f>IF(WSJAWA!$AC$38&lt;74.9,"P","")</f>
        <v/>
      </c>
      <c r="YE27" s="102" t="str">
        <f>IF(AND(WSJAWA!$AC$38&gt;=75,WSJAWA!$AC$38&lt;=83.24),"P","")</f>
        <v/>
      </c>
      <c r="YF27" s="102" t="str">
        <f>IF(AND(WSJAWA!$AC$38&gt;=83.25,WSJAWA!$AC$38&lt;=91.4),"P","")</f>
        <v/>
      </c>
      <c r="YG27" s="102" t="str">
        <f>IF(AND(WSJAWA!$AC$38&gt;=91.5,WSJAWA!$AC$38&lt;=100),"P","")</f>
        <v/>
      </c>
      <c r="YH27" t="str">
        <f>IF(WSJAWA!$AC$46&lt;74.9,"P","")</f>
        <v/>
      </c>
      <c r="YI27" s="102" t="str">
        <f>IF(AND(WSJAWA!$AC$46&gt;=75,WSJAWA!$AC$46&lt;=83.24),"P","")</f>
        <v/>
      </c>
      <c r="YJ27" s="102" t="str">
        <f>IF(AND(WSJAWA!$AC$46&gt;=83.25,WSJAWA!$AC$46&lt;=91.4),"P","")</f>
        <v/>
      </c>
      <c r="YK27" s="102" t="str">
        <f>IF(AND(WSJAWA!$AC$46&gt;=91.5,WSJAWA!$AC$46&lt;=100),"P","")</f>
        <v/>
      </c>
      <c r="YL27" t="str">
        <f>IF(WSJAWA!$AC$54&lt;74.9,"P","")</f>
        <v/>
      </c>
      <c r="YM27" s="102" t="str">
        <f>IF(AND(WSJAWA!$AC$54&gt;=75,WSJAWA!$AC$54&lt;=83.24),"P","")</f>
        <v/>
      </c>
      <c r="YN27" s="102" t="str">
        <f>IF(AND(WSJAWA!$AC$54&gt;=83.25,WSJAWA!$AC$54&lt;=91.4),"P","")</f>
        <v/>
      </c>
      <c r="YO27" s="102" t="str">
        <f>IF(AND(WSJAWA!$AC$54&gt;=91.5,WSJAWA!$AC$54&lt;=100),"P","")</f>
        <v/>
      </c>
      <c r="YP27" t="str">
        <f>IF(WSJAWA!$AC$62&lt;74.9,"P","")</f>
        <v/>
      </c>
      <c r="YQ27" s="102" t="str">
        <f>IF(AND(WSJAWA!$AC$62&gt;=75,WSJAWA!$AC$62&lt;=83.24),"P","")</f>
        <v/>
      </c>
      <c r="YR27" s="102" t="str">
        <f>IF(AND(WSJAWA!$AC$62&gt;=83.25,WSJAWA!$AC$62&lt;=91.4),"P","")</f>
        <v/>
      </c>
      <c r="YS27" s="102" t="str">
        <f>IF(AND(WSJAWA!$AC$62&gt;=91.5,WSJAWA!$AC$62&lt;=100),"P","")</f>
        <v/>
      </c>
      <c r="YT27" t="str">
        <f>IF(WSJAWA!$AC$70&lt;74.9,"P","")</f>
        <v/>
      </c>
      <c r="YU27" s="102" t="str">
        <f>IF(AND(WSJAWA!$AC$70&gt;=75,WSJAWA!$AC$70&lt;=83.24),"P","")</f>
        <v/>
      </c>
      <c r="YV27" s="102" t="str">
        <f>IF(AND(WSJAWA!$AC$70&gt;=83.25,WSJAWA!$AC$70&lt;=91.4),"P","")</f>
        <v/>
      </c>
      <c r="YW27" s="102" t="str">
        <f>IF(AND(WSJAWA!$AC$70&gt;=91.5,WSJAWA!$AC$70&lt;=100),"P","")</f>
        <v/>
      </c>
      <c r="YX27" t="str">
        <f>IF(WSJAWA!$AC$78&lt;74.9,"P","")</f>
        <v/>
      </c>
      <c r="YY27" s="102" t="str">
        <f>IF(AND(WSJAWA!$AC$78&gt;=75,WSJAWA!$AC$78&lt;=83.24),"P","")</f>
        <v/>
      </c>
      <c r="YZ27" s="102" t="str">
        <f>IF(AND(WSJAWA!$AC$78&gt;=83.25,WSJAWA!$AC$78&lt;=91.4),"P","")</f>
        <v/>
      </c>
      <c r="ZA27" s="102" t="str">
        <f>IF(AND(WSJAWA!$AC$78&gt;=91.5,WSJAWA!$AC$78&lt;=100),"P","")</f>
        <v/>
      </c>
      <c r="ZB27" t="str">
        <f>IF(WSJAWA!$AC$86&lt;74.9,"P","")</f>
        <v/>
      </c>
      <c r="ZC27" s="102" t="str">
        <f>IF(AND(WSJAWA!$AC$86&gt;=75,WSJAWA!$AC$86&lt;=83.24),"P","")</f>
        <v/>
      </c>
      <c r="ZD27" s="102" t="str">
        <f>IF(AND(WSJAWA!$AC$86&gt;=83.25,WSJAWA!$AC$86&lt;=91.4),"P","")</f>
        <v/>
      </c>
      <c r="ZE27" s="102" t="str">
        <f>IF(AND(WSJAWA!$AC$86&gt;=91.5,WSJAWA!$AC$86&lt;=100),"P","")</f>
        <v/>
      </c>
      <c r="ZF27" t="str">
        <f>IF(WSJAWA!$AC$94&lt;74.9,"P","")</f>
        <v/>
      </c>
      <c r="ZG27" s="102" t="str">
        <f>IF(AND(WSJAWA!$AC$94&gt;=75,WSJAWA!$AC$94&lt;=83.24),"P","")</f>
        <v/>
      </c>
      <c r="ZH27" s="102" t="str">
        <f>IF(AND(WSJAWA!$AC$94&gt;=83.25,WSJAWA!$AC$94&lt;=91.4),"P","")</f>
        <v/>
      </c>
      <c r="ZI27" s="102" t="str">
        <f>IF(AND(WSJAWA!$AC$94&gt;=91.5,WSJAWA!$AC$94&lt;=100),"P","")</f>
        <v/>
      </c>
      <c r="ZJ27" t="str">
        <f>IF(WSJAWA!$AC$102&lt;74.9,"P","")</f>
        <v/>
      </c>
      <c r="ZK27" s="102" t="str">
        <f>IF(AND(WSJAWA!$AC$102&gt;=75,WSJAWA!$AC$102&lt;=83.24),"P","")</f>
        <v/>
      </c>
      <c r="ZL27" s="102" t="str">
        <f>IF(AND(WSJAWA!$AC$102&gt;=83.25,WSJAWA!$AC$102&lt;=91.4),"P","")</f>
        <v/>
      </c>
      <c r="ZM27" s="102" t="str">
        <f>IF(AND(WSJAWA!$AC$102&gt;=91.5,WSJAWA!$AC$102&lt;=100),"P","")</f>
        <v/>
      </c>
      <c r="ZN27" t="str">
        <f>IF(WSING!$AC$6&lt;74.9,"P","")</f>
        <v/>
      </c>
      <c r="ZO27" s="102" t="str">
        <f>IF(AND(WSING!$AC$6&gt;=75,WSING!$AC$6&lt;=83.24),"P","")</f>
        <v/>
      </c>
      <c r="ZP27" s="102" t="str">
        <f>IF(AND(WSING!$AC$6&gt;=83.25,WSING!$AC$6&lt;=91.4),"P","")</f>
        <v/>
      </c>
      <c r="ZQ27" s="102" t="str">
        <f>IF(AND(WSING!$AC$6&gt;=91.5,WSING!$AC$6&lt;=100),"P","")</f>
        <v/>
      </c>
      <c r="ZR27" t="str">
        <f>IF(WSING!$AC$15&lt;74.9,"P","")</f>
        <v/>
      </c>
      <c r="ZS27" s="102" t="str">
        <f>IF(AND(WSING!$AC$15&gt;=75,WSING!$AC$15&lt;=83.24),"P","")</f>
        <v/>
      </c>
      <c r="ZT27" s="102" t="str">
        <f>IF(AND(WSING!$AC$15&gt;=83.25,WSING!$AC$15&lt;=91.4),"P","")</f>
        <v/>
      </c>
      <c r="ZU27" s="102" t="str">
        <f>IF(AND(WSING!$AC$15&gt;=91.5,WSING!$AC$15&lt;=100),"P","")</f>
        <v/>
      </c>
      <c r="ZV27" t="str">
        <f>IF(WSING!$AC$24&lt;74.9,"P","")</f>
        <v/>
      </c>
      <c r="ZW27" s="102" t="str">
        <f>IF(AND(WSING!$AC$24&gt;=75,WSING!$AC$24&lt;=83.24),"P","")</f>
        <v/>
      </c>
      <c r="ZX27" s="102" t="str">
        <f>IF(AND(WSING!$AC$24&gt;=83.25,WSING!$AC$24&lt;=91.4),"P","")</f>
        <v/>
      </c>
      <c r="ZY27" s="102" t="str">
        <f>IF(AND(WSING!$AC$24&gt;=91.5,WSING!$AC$24&lt;=100),"P","")</f>
        <v/>
      </c>
      <c r="ZZ27" t="str">
        <f>IF(WSING!$AC$33&lt;74.9,"P","")</f>
        <v/>
      </c>
      <c r="AAA27" s="102" t="str">
        <f>IF(AND(WSING!$AC$33&gt;=75,WSING!$AC$33&lt;=83.24),"P","")</f>
        <v/>
      </c>
      <c r="AAB27" s="102" t="str">
        <f>IF(AND(WSING!$AC$33&gt;=83.25,WSING!$AC$33&lt;=91.4),"P","")</f>
        <v/>
      </c>
      <c r="AAC27" s="102" t="str">
        <f>IF(AND(WSING!$AC$33&gt;=91.5,WSING!$AC$33&lt;=100),"P","")</f>
        <v/>
      </c>
      <c r="AAD27" t="str">
        <f>IF(WSING!$AC$42&lt;74.9,"P","")</f>
        <v/>
      </c>
      <c r="AAE27" s="102" t="str">
        <f>IF(AND(WSING!$AC$42&gt;=75,WSING!$AC$42&lt;=83.24),"P","")</f>
        <v/>
      </c>
      <c r="AAF27" s="102" t="str">
        <f>IF(AND(WSING!$AC$42&gt;=83.25,WSING!$AC$42&lt;=91.4),"P","")</f>
        <v/>
      </c>
      <c r="AAG27" s="102" t="str">
        <f>IF(AND(WSING!$AC$42&gt;=91.5,WSING!$AC$42&lt;=100),"P","")</f>
        <v/>
      </c>
      <c r="AAH27" t="str">
        <f>IF(WSING!$AC$50&lt;74.9,"P","")</f>
        <v/>
      </c>
      <c r="AAI27" s="102" t="str">
        <f>IF(AND(WSING!$AC$50&gt;=75,WSING!$AC$50&lt;=83.24),"P","")</f>
        <v/>
      </c>
      <c r="AAJ27" s="102" t="str">
        <f>IF(AND(WSING!$AC$50&gt;=83.25,WSING!$AC$50&lt;=91.4),"P","")</f>
        <v/>
      </c>
      <c r="AAK27" s="102" t="str">
        <f>IF(AND(WSING!$AC$50&gt;=91.5,WSING!$AC$50&lt;=100),"P","")</f>
        <v/>
      </c>
      <c r="AAL27" t="str">
        <f>IF(WSING!$AC$58&lt;74.9,"P","")</f>
        <v/>
      </c>
      <c r="AAM27" s="102" t="str">
        <f>IF(AND(WSING!$AC$58&gt;=75,WSING!$AC$58&lt;=83.24),"P","")</f>
        <v/>
      </c>
      <c r="AAN27" s="102" t="str">
        <f>IF(AND(WSING!$AC$58&gt;=83.25,WSING!$AC$58&lt;=91.4),"P","")</f>
        <v/>
      </c>
      <c r="AAO27" s="102" t="str">
        <f>IF(AND(WSING!$AC$58&gt;=91.5,WSING!$AC$58&lt;=100),"P","")</f>
        <v/>
      </c>
      <c r="AAP27" t="str">
        <f>IF(WSING!$AC$66&lt;74.9,"P","")</f>
        <v/>
      </c>
      <c r="AAQ27" s="102" t="str">
        <f>IF(AND(WSING!$AC$66&gt;=75,WSING!$AC$66&lt;=83.24),"P","")</f>
        <v/>
      </c>
      <c r="AAR27" s="102" t="str">
        <f>IF(AND(WSING!$AC$66&gt;=83.25,WSING!$AC$66&lt;=91.4),"P","")</f>
        <v/>
      </c>
      <c r="AAS27" s="102" t="str">
        <f>IF(AND(WSING!$AC$66&gt;=91.5,WSING!$AC$66&lt;=100),"P","")</f>
        <v/>
      </c>
      <c r="AAT27" t="str">
        <f>IF(WSING!$AC$74&lt;74.9,"P","")</f>
        <v/>
      </c>
      <c r="AAU27" s="102" t="str">
        <f>IF(AND(WSING!$AC$74&gt;=75,WSING!$AC$74&lt;=83.24),"P","")</f>
        <v/>
      </c>
      <c r="AAV27" s="102" t="str">
        <f>IF(AND(WSING!$AC$74&gt;=83.25,WSING!$AC$74&lt;=91.4),"P","")</f>
        <v/>
      </c>
      <c r="AAW27" s="102" t="str">
        <f>IF(AND(WSING!$AC$74&gt;=91.5,WSING!$AC$74&lt;=100),"P","")</f>
        <v/>
      </c>
      <c r="AAX27" t="str">
        <f>IF(WSING!$AC$82&lt;74.9,"P","")</f>
        <v/>
      </c>
      <c r="AAY27" s="102" t="str">
        <f>IF(AND(WSING!$AC$82&gt;=75,WSING!$AC$82&lt;=83.24),"P","")</f>
        <v/>
      </c>
      <c r="AAZ27" s="102" t="str">
        <f>IF(AND(WSING!$AC$82&gt;=83.25,WSING!$AC$82&lt;=91.4),"P","")</f>
        <v/>
      </c>
      <c r="ABA27" s="102" t="str">
        <f>IF(AND(WSING!$AC$82&gt;=91.5,WSING!$AC$82&lt;=100),"P","")</f>
        <v/>
      </c>
      <c r="ABB27" t="str">
        <f>IF(WSING!$AC$90&lt;74.9,"P","")</f>
        <v/>
      </c>
      <c r="ABC27" s="102" t="str">
        <f>IF(AND(WSING!$AC$90&gt;=75,WSING!$AC$90&lt;=83.24),"P","")</f>
        <v/>
      </c>
      <c r="ABD27" s="102" t="str">
        <f>IF(AND(WSING!$AC$90&gt;=83.25,WSING!$AC$90&lt;=91.4),"P","")</f>
        <v/>
      </c>
      <c r="ABE27" s="102" t="str">
        <f>IF(AND(WSING!$AC$90&gt;=91.5,WSING!$AC$90&lt;=100),"P","")</f>
        <v/>
      </c>
      <c r="ABF27" t="str">
        <f>IF(WSING!$AC$98&lt;74.9,"P","")</f>
        <v/>
      </c>
      <c r="ABG27" s="102" t="str">
        <f>IF(AND(WSING!$AC$98&gt;=75,WSING!$AC$98&lt;=83.24),"P","")</f>
        <v/>
      </c>
      <c r="ABH27" s="102" t="str">
        <f>IF(AND(WSING!$AC$98&gt;=83.25,WSING!$AC$98&lt;=91.4),"P","")</f>
        <v/>
      </c>
      <c r="ABI27" s="102" t="str">
        <f>IF(AND(WSING!$AC$98&gt;=91.5,WSING!$AC$98&lt;=100),"P","")</f>
        <v/>
      </c>
      <c r="ABJ27" t="str">
        <f>IF(WSING!$AC$106&lt;74.9,"P","")</f>
        <v/>
      </c>
      <c r="ABK27" s="102" t="str">
        <f>IF(AND(WSING!$AC$106&gt;=75,WSING!$AC$106&lt;=83.24),"P","")</f>
        <v/>
      </c>
      <c r="ABL27" s="102" t="str">
        <f>IF(AND(WSING!$AC$106&gt;=83.25,WSING!$AC$106&lt;=91.4),"P","")</f>
        <v/>
      </c>
      <c r="ABM27" s="102" t="str">
        <f>IF(AND(WSING!$AC$106&gt;=91.5,WSING!$AC$106&lt;=100),"P","")</f>
        <v/>
      </c>
      <c r="ABN27" t="str">
        <f>IF(WSTIK!$AC$6&lt;74.9,"P","")</f>
        <v/>
      </c>
      <c r="ABO27" s="102" t="str">
        <f>IF(AND(WSTIK!$AC$6&gt;=75,WSTIK!$AC$6&lt;=83.24),"P","")</f>
        <v/>
      </c>
      <c r="ABP27" s="102" t="str">
        <f>IF(AND(WSTIK!$AC$6&gt;=83.25,WSTIK!$AC$6&lt;=91.4),"P","")</f>
        <v/>
      </c>
      <c r="ABQ27" s="102" t="str">
        <f>IF(AND(WSTIK!$AC$6&gt;=91.5,WSTIK!$AC$6&lt;=100),"P","")</f>
        <v/>
      </c>
      <c r="ABR27" t="str">
        <f>IF(WSTIK!$AC$14&lt;74.9,"P","")</f>
        <v/>
      </c>
      <c r="ABS27" s="102" t="str">
        <f>IF(AND(WSTIK!$AC$14&gt;=75,WSTIK!$AC$14&lt;=83.24),"P","")</f>
        <v/>
      </c>
      <c r="ABT27" s="102" t="str">
        <f>IF(AND(WSTIK!$AC$14&gt;=83.25,WSTIK!$AC$14&lt;=91.4),"P","")</f>
        <v/>
      </c>
      <c r="ABU27" s="102" t="str">
        <f>IF(AND(WSTIK!$AC$14&gt;=91.5,WSTIK!$AC$14&lt;=100),"P","")</f>
        <v/>
      </c>
      <c r="ABV27" t="str">
        <f>IF(WSTIK!$AC$22&lt;74.9,"P","")</f>
        <v/>
      </c>
      <c r="ABW27" s="102" t="str">
        <f>IF(AND(WSTIK!$AC$22&gt;=75,WSTIK!$AC$22&lt;=83.24),"P","")</f>
        <v/>
      </c>
      <c r="ABX27" s="102" t="str">
        <f>IF(AND(WSTIK!$AC$22&gt;=83.25,WSTIK!$AC$22&lt;=91.4),"P","")</f>
        <v/>
      </c>
      <c r="ABY27" s="102" t="str">
        <f>IF(AND(WSTIK!$AC$22&gt;=91.5,WSTIK!$AC$22&lt;=100),"P","")</f>
        <v/>
      </c>
      <c r="ABZ27" t="str">
        <f>IF(WSTIK!$AC$30&lt;74.9,"P","")</f>
        <v/>
      </c>
      <c r="ACA27" s="102" t="str">
        <f>IF(AND(WSTIK!$AC$30&gt;=75,WSTIK!$AC$30&lt;=83.24),"P","")</f>
        <v/>
      </c>
      <c r="ACB27" s="102" t="str">
        <f>IF(AND(WSTIK!$AC$30&gt;=83.25,WSTIK!$AC$30&lt;=91.4),"P","")</f>
        <v/>
      </c>
      <c r="ACC27" s="102" t="str">
        <f>IF(AND(WSTIK!$AC$30&gt;=91.5,WSTIK!$AC$30&lt;=100),"P","")</f>
        <v/>
      </c>
      <c r="ACD27" t="str">
        <f>IF(WSTIK!$AC$38&lt;74.9,"P","")</f>
        <v/>
      </c>
      <c r="ACE27" s="102" t="str">
        <f>IF(AND(WSTIK!$AC$38&gt;=75,WSTIK!$AC$38&lt;=83.24),"P","")</f>
        <v/>
      </c>
      <c r="ACF27" s="102" t="str">
        <f>IF(AND(WSTIK!$AC$38&gt;=83.25,WSTIK!$AC$38&lt;=91.4),"P","")</f>
        <v/>
      </c>
      <c r="ACG27" s="102" t="str">
        <f>IF(AND(WSTIK!$AC$38&gt;=91.5,WSTIK!$AC$38&lt;=100),"P","")</f>
        <v/>
      </c>
      <c r="ACH27" t="str">
        <f>IF(WSTIK!$AC$46&lt;74.9,"P","")</f>
        <v/>
      </c>
      <c r="ACI27" s="102" t="str">
        <f>IF(AND(WSTIK!$AC$46&gt;=75,WSTIK!$AC$46&lt;=83.24),"P","")</f>
        <v/>
      </c>
      <c r="ACJ27" s="102" t="str">
        <f>IF(AND(WSTIK!$AC$46&gt;=83.25,WSTIK!$AC$46&lt;=91.4),"P","")</f>
        <v/>
      </c>
      <c r="ACK27" s="102" t="str">
        <f>IF(AND(WSTIK!$AC$46&gt;=91.5,WSTIK!$AC$46&lt;=100),"P","")</f>
        <v/>
      </c>
      <c r="ACL27" t="str">
        <f>IF(WSTIK!$AC$54&lt;74.9,"P","")</f>
        <v/>
      </c>
      <c r="ACM27" s="102" t="str">
        <f>IF(AND(WSTIK!$AC$54&gt;=75,WSTIK!$AC$54&lt;=83.24),"P","")</f>
        <v/>
      </c>
      <c r="ACN27" s="102" t="str">
        <f>IF(AND(WSTIK!$AC$54&gt;=83.25,WSTIK!$AC$54&lt;=91.4),"P","")</f>
        <v/>
      </c>
      <c r="ACO27" s="102" t="str">
        <f>IF(AND(WSTIK!$AC$54&gt;=91.5,WSTIK!$AC$54&lt;=100),"P","")</f>
        <v/>
      </c>
      <c r="ACP27" t="str">
        <f>IF(WSTIK!$AC$62&lt;74.9,"P","")</f>
        <v/>
      </c>
      <c r="ACQ27" s="102" t="str">
        <f>IF(AND(WSTIK!$AC$62&gt;=75,WSTIK!$AC$62&lt;=83.24),"P","")</f>
        <v/>
      </c>
      <c r="ACR27" s="102" t="str">
        <f>IF(AND(WSTIK!$AC$62&gt;=83.25,WSTIK!$AC$62&lt;=91.4),"P","")</f>
        <v/>
      </c>
      <c r="ACS27" s="102" t="str">
        <f>IF(AND(WSTIK!$AC$62&gt;=91.5,WSTIK!$AC$62&lt;=100),"P","")</f>
        <v/>
      </c>
      <c r="ACT27" t="str">
        <f>IF(WSTIK!$AC$70&lt;74.9,"P","")</f>
        <v/>
      </c>
      <c r="ACU27" s="102" t="str">
        <f>IF(AND(WSTIK!$AC$70&gt;=75,WSTIK!$AC$70&lt;=83.24),"P","")</f>
        <v/>
      </c>
      <c r="ACV27" s="102" t="str">
        <f>IF(AND(WSTIK!$AC$70&gt;=83.25,WSTIK!$AC$70&lt;=91.4),"P","")</f>
        <v/>
      </c>
      <c r="ACW27" s="102" t="str">
        <f>IF(AND(WSTIK!$AC$70&gt;=91.5,WSTIK!$AC$70&lt;=100),"P","")</f>
        <v/>
      </c>
      <c r="ACX27" t="str">
        <f>IF(WSTIK!$AC$78&lt;74.9,"P","")</f>
        <v/>
      </c>
      <c r="ACY27" s="102" t="str">
        <f>IF(AND(WSTIK!$AC$78&gt;=75,WSTIK!$AC$78&lt;=83.24),"P","")</f>
        <v/>
      </c>
      <c r="ACZ27" s="102" t="str">
        <f>IF(AND(WSTIK!$AC$78&gt;=83.25,WSTIK!$AC$78&lt;=91.4),"P","")</f>
        <v/>
      </c>
      <c r="ADA27" s="102" t="str">
        <f>IF(AND(WSTIK!$AC$78&gt;=91.5,WSTIK!$AC$78&lt;=100),"P","")</f>
        <v/>
      </c>
      <c r="ADB27" t="str">
        <f>IF(WSTIK!$AC$86&lt;74.9,"P","")</f>
        <v/>
      </c>
      <c r="ADC27" s="102" t="str">
        <f>IF(AND(WSTIK!$AC$86&gt;=75,WSTIK!$AC$86&lt;=83.24),"P","")</f>
        <v/>
      </c>
      <c r="ADD27" s="102" t="str">
        <f>IF(AND(WSTIK!$AC$86&gt;=83.25,WSTIK!$AC$86&lt;=91.4),"P","")</f>
        <v/>
      </c>
      <c r="ADE27" s="102" t="str">
        <f>IF(AND(WSTIK!$AC$86&gt;=91.5,WSTIK!$AC$86&lt;=100),"P","")</f>
        <v/>
      </c>
      <c r="ADF27" t="str">
        <f>IF(WSTIK!$AC$94&lt;74.9,"P","")</f>
        <v/>
      </c>
      <c r="ADG27" s="102" t="str">
        <f>IF(AND(WSTIK!$AC$94&gt;=75,WSTIK!$AC$94&lt;=83.24),"P","")</f>
        <v/>
      </c>
      <c r="ADH27" s="102" t="str">
        <f>IF(AND(WSTIK!$AC$94&gt;=83.25,WSTIK!$AC$94&lt;=91.4),"P","")</f>
        <v/>
      </c>
      <c r="ADI27" s="102" t="str">
        <f>IF(AND(WSTIK!$AC$94&gt;=91.5,WSTIK!$AC$94&lt;=100),"P","")</f>
        <v/>
      </c>
      <c r="ADJ27" t="str">
        <f>IF(WSTIK!$AC$102&lt;74.9,"P","")</f>
        <v/>
      </c>
      <c r="ADK27" s="102" t="str">
        <f>IF(AND(WSTIK!$AC$102&gt;=75,WSTIK!$AC$102&lt;=83.24),"P","")</f>
        <v/>
      </c>
      <c r="ADL27" s="102" t="str">
        <f>IF(AND(WSTIK!$AC$102&gt;=83.25,WSTIK!$AC$102&lt;=91.4),"P","")</f>
        <v/>
      </c>
      <c r="ADM27" s="102" t="str">
        <f>IF(AND(WSTIK!$AC$102&gt;=91.5,WSTIK!$AC$102&lt;=100),"P","")</f>
        <v/>
      </c>
      <c r="ADN27" t="str">
        <f>IF(WSASWAJA!$AC$6&lt;74.9,"P","")</f>
        <v/>
      </c>
      <c r="ADO27" s="102" t="str">
        <f>IF(AND(WSASWAJA!$AC$6&gt;=75,WSASWAJA!$AC$6&lt;=83.24),"P","")</f>
        <v/>
      </c>
      <c r="ADP27" s="102" t="str">
        <f>IF(AND(WSASWAJA!$AC$6&gt;=83.25,WSASWAJA!$AC$6&lt;=91.4),"P","")</f>
        <v/>
      </c>
      <c r="ADQ27" s="102" t="str">
        <f>IF(AND(WSASWAJA!$AC$6&gt;=91.5,WSASWAJA!$AC$6&lt;=100),"P","")</f>
        <v/>
      </c>
      <c r="ADR27" t="str">
        <f>IF(WSASWAJA!$AC$14&lt;74.9,"P","")</f>
        <v/>
      </c>
      <c r="ADS27" s="102" t="str">
        <f>IF(AND(WSASWAJA!$AC$14&gt;=75,WSASWAJA!$AC$14&lt;=83.24),"P","")</f>
        <v/>
      </c>
      <c r="ADT27" s="102" t="str">
        <f>IF(AND(WSASWAJA!$AC$14&gt;=83.25,WSASWAJA!$AC$14&lt;=91.4),"P","")</f>
        <v/>
      </c>
      <c r="ADU27" s="102" t="str">
        <f>IF(AND(WSASWAJA!$AC$14&gt;=91.5,WSASWAJA!$AC$14&lt;=100),"P","")</f>
        <v/>
      </c>
      <c r="ADV27" t="str">
        <f>IF(WSASWAJA!$AC$22&lt;74.9,"P","")</f>
        <v/>
      </c>
      <c r="ADW27" s="102" t="str">
        <f>IF(AND(WSASWAJA!$AC$22&gt;=75,WSASWAJA!$AC$22&lt;=83.24),"P","")</f>
        <v/>
      </c>
      <c r="ADX27" s="102" t="str">
        <f>IF(AND(WSASWAJA!$AC$22&gt;=83.25,WSASWAJA!$AC$22&lt;=91.4),"P","")</f>
        <v/>
      </c>
      <c r="ADY27" s="102" t="str">
        <f>IF(AND(WSASWAJA!$AC$22&gt;=91.5,WSASWAJA!$AC$22&lt;=100),"P","")</f>
        <v/>
      </c>
      <c r="ADZ27" t="str">
        <f>IF(WSASWAJA!$AC$30&lt;74.9,"P","")</f>
        <v/>
      </c>
      <c r="AEA27" s="102" t="str">
        <f>IF(AND(WSASWAJA!$AC$30&gt;=75,WSASWAJA!$AC$30&lt;=83.24),"P","")</f>
        <v/>
      </c>
      <c r="AEB27" s="102" t="str">
        <f>IF(AND(WSASWAJA!$AC$30&gt;=83.25,WSASWAJA!$AC$30&lt;=91.4),"P","")</f>
        <v/>
      </c>
      <c r="AEC27" s="102" t="str">
        <f>IF(AND(WSASWAJA!$AC$30&gt;=91.5,WSASWAJA!$AC$30&lt;=100),"P","")</f>
        <v/>
      </c>
      <c r="AED27" t="str">
        <f>IF(WSASWAJA!$AC$38&lt;74.9,"P","")</f>
        <v/>
      </c>
      <c r="AEE27" s="102" t="str">
        <f>IF(AND(WSASWAJA!$AC$38&gt;=75,WSASWAJA!$AC$38&lt;=83.24),"P","")</f>
        <v/>
      </c>
      <c r="AEF27" s="102" t="str">
        <f>IF(AND(WSASWAJA!$AC$38&gt;=83.25,WSASWAJA!$AC$38&lt;=91.4),"P","")</f>
        <v/>
      </c>
      <c r="AEG27" s="102" t="str">
        <f>IF(AND(WSASWAJA!$AC$38&gt;=91.5,WSASWAJA!$AC$38&lt;=100),"P","")</f>
        <v/>
      </c>
      <c r="AEH27" t="str">
        <f>IF(WSASWAJA!$AC$46&lt;74.9,"P","")</f>
        <v/>
      </c>
      <c r="AEI27" s="102" t="str">
        <f>IF(AND(WSASWAJA!$AC$46&gt;=75,WSASWAJA!$AC$46&lt;=83.24),"P","")</f>
        <v/>
      </c>
      <c r="AEJ27" s="102" t="str">
        <f>IF(AND(WSASWAJA!$AC$46&gt;=83.25,WSASWAJA!$AC$46&lt;=91.4),"P","")</f>
        <v/>
      </c>
      <c r="AEK27" s="102" t="str">
        <f>IF(AND(WSASWAJA!$AC$46&gt;=91.5,WSASWAJA!$AC$46&lt;=100),"P","")</f>
        <v/>
      </c>
      <c r="AEL27" t="str">
        <f>IF(WSASWAJA!$AC$54&lt;74.9,"P","")</f>
        <v/>
      </c>
      <c r="AEM27" s="102" t="str">
        <f>IF(AND(WSASWAJA!$AC$54&gt;=75,WSASWAJA!$AC$54&lt;=83.24),"P","")</f>
        <v/>
      </c>
      <c r="AEN27" s="102" t="str">
        <f>IF(AND(WSASWAJA!$AC$54&gt;=83.25,WSASWAJA!$AC$54&lt;=91.4),"P","")</f>
        <v/>
      </c>
      <c r="AEO27" s="102" t="str">
        <f>IF(AND(WSASWAJA!$AC$54&gt;=91.5,WSASWAJA!$AC$54&lt;=100),"P","")</f>
        <v/>
      </c>
      <c r="AEP27" t="str">
        <f>IF(WSASWAJA!$AC$62&lt;74.9,"P","")</f>
        <v/>
      </c>
      <c r="AEQ27" s="102" t="str">
        <f>IF(AND(WSASWAJA!$AC$62&gt;=75,WSASWAJA!$AC$62&lt;=83.24),"P","")</f>
        <v/>
      </c>
      <c r="AER27" s="102" t="str">
        <f>IF(AND(WSASWAJA!$AC$62&gt;=83.25,WSASWAJA!$AC$62&lt;=91.4),"P","")</f>
        <v/>
      </c>
      <c r="AES27" s="102" t="str">
        <f>IF(AND(WSASWAJA!$AC$62&gt;=91.5,WSASWAJA!$AC$62&lt;=100),"P","")</f>
        <v/>
      </c>
      <c r="AET27" t="str">
        <f>IF(WSASWAJA!$AC$70&lt;74.9,"P","")</f>
        <v/>
      </c>
      <c r="AEU27" s="102" t="str">
        <f>IF(AND(WSASWAJA!$AC$70&gt;=75,WSASWAJA!$AC$70&lt;=83.24),"P","")</f>
        <v/>
      </c>
      <c r="AEV27" s="102" t="str">
        <f>IF(AND(WSASWAJA!$AC$70&gt;=83.25,WSASWAJA!$AC$70&lt;=91.4),"P","")</f>
        <v/>
      </c>
      <c r="AEW27" s="102" t="str">
        <f>IF(AND(WSASWAJA!$AC$70&gt;=91.5,WSASWAJA!$AC$70&lt;=100),"P","")</f>
        <v/>
      </c>
      <c r="AEX27" t="str">
        <f>IF(WSASWAJA!$AC$78&lt;74.9,"P","")</f>
        <v/>
      </c>
      <c r="AEY27" s="102" t="str">
        <f>IF(AND(WSASWAJA!$AC$78&gt;=75,WSASWAJA!$AC$78&lt;=83.24),"P","")</f>
        <v/>
      </c>
      <c r="AEZ27" s="102" t="str">
        <f>IF(AND(WSASWAJA!$AC$78&gt;=83.25,WSASWAJA!$AC$78&lt;=91.4),"P","")</f>
        <v/>
      </c>
      <c r="AFA27" s="102" t="str">
        <f>IF(AND(WSASWAJA!$AC$78&gt;=91.5,WSASWAJA!$AC$78&lt;=100),"P","")</f>
        <v/>
      </c>
      <c r="AFB27" t="str">
        <f>IF(WSASWAJA!$AC$86&lt;74.9,"P","")</f>
        <v/>
      </c>
      <c r="AFC27" s="102" t="str">
        <f>IF(AND(WSASWAJA!$AC$86&gt;=75,WSASWAJA!$AC$86&lt;=83.24),"P","")</f>
        <v/>
      </c>
      <c r="AFD27" s="102" t="str">
        <f>IF(AND(WSASWAJA!$AC$86&gt;=83.25,WSASWAJA!$AC$86&lt;=91.4),"P","")</f>
        <v/>
      </c>
      <c r="AFE27" s="102" t="str">
        <f>IF(AND(WSASWAJA!$AC$86&gt;=91.5,WSASWAJA!$AC$86&lt;=100),"P","")</f>
        <v/>
      </c>
      <c r="AFF27" t="str">
        <f>IF(WSASWAJA!$AC$94&lt;74.9,"P","")</f>
        <v/>
      </c>
      <c r="AFG27" s="102" t="str">
        <f>IF(AND(WSASWAJA!$AC$94&gt;=75,WSASWAJA!$AC$94&lt;=83.24),"P","")</f>
        <v/>
      </c>
      <c r="AFH27" s="102" t="str">
        <f>IF(AND(WSASWAJA!$AC$94&gt;=83.25,WSASWAJA!$AC$94&lt;=91.4),"P","")</f>
        <v/>
      </c>
      <c r="AFI27" s="102" t="str">
        <f>IF(AND(WSASWAJA!$AC$94&gt;=91.5,WSASWAJA!$AC$94&lt;=100),"P","")</f>
        <v/>
      </c>
      <c r="AFJ27" t="str">
        <f>IF(WSASWAJA!$AC$102&lt;74.9,"P","")</f>
        <v/>
      </c>
      <c r="AFK27" s="102" t="str">
        <f>IF(AND(WSASWAJA!$AC$102&gt;=75,WSASWAJA!$AC$102&lt;=83.24),"P","")</f>
        <v/>
      </c>
      <c r="AFL27" s="102" t="str">
        <f>IF(AND(WSASWAJA!$AC$102&gt;=83.25,WSASWAJA!$AC$102&lt;=91.4),"P","")</f>
        <v/>
      </c>
      <c r="AFM27" s="102" t="str">
        <f>IF(AND(WSASWAJA!$AC$102&gt;=91.5,WSASWAJA!$AC$102&lt;=100),"P","")</f>
        <v/>
      </c>
    </row>
    <row r="28" spans="1:845" ht="20.100000000000001" customHeight="1">
      <c r="A28">
        <v>26</v>
      </c>
      <c r="B28" t="str">
        <f>IF(WSALQURAN!$AD$6&lt;74.9,"P","")</f>
        <v/>
      </c>
      <c r="C28" s="102" t="str">
        <f>IF(AND(WSALQURAN!$AD$6&gt;=75,WSALQURAN!$AD$6&lt;=83.24),"P","")</f>
        <v/>
      </c>
      <c r="D28" s="102" t="str">
        <f>IF(AND(WSALQURAN!$AD$6&gt;=83.25,WSALQURAN!$AD$6&lt;=91.4),"P","")</f>
        <v/>
      </c>
      <c r="E28" s="102" t="str">
        <f>IF(AND(WSALQURAN!$AD$6&gt;=91.5,WSALQURAN!$AD$6&lt;=100),"P","")</f>
        <v/>
      </c>
      <c r="F28" t="str">
        <f>IF(WSALQURAN!$AD$14&lt;74.9,"P","")</f>
        <v/>
      </c>
      <c r="G28" s="102" t="str">
        <f>IF(AND(WSALQURAN!$AD$14&gt;=75,WSALQURAN!$AD$14&lt;=83.24),"P","")</f>
        <v/>
      </c>
      <c r="H28" s="102" t="str">
        <f>IF(AND(WSALQURAN!$AD$14&gt;=83.25,WSALQURAN!$AD$14&lt;=91.4),"P","")</f>
        <v/>
      </c>
      <c r="I28" s="102" t="str">
        <f>IF(AND(WSALQURAN!$AD$14&gt;=91.5,WSALQURAN!$AD$14&lt;=100),"P","")</f>
        <v/>
      </c>
      <c r="J28" t="str">
        <f>IF(WSALQURAN!$AD$22&lt;74.9,"P","")</f>
        <v/>
      </c>
      <c r="K28" s="102" t="str">
        <f>IF(AND(WSALQURAN!$AD$22&gt;=75,WSALQURAN!$AD$22&lt;=83.24),"P","")</f>
        <v/>
      </c>
      <c r="L28" s="102" t="str">
        <f>IF(AND(WSALQURAN!$AD$22&gt;=83.25,WSALQURAN!$AD$22&lt;=91.4),"P","")</f>
        <v/>
      </c>
      <c r="M28" s="102" t="str">
        <f>IF(AND(WSALQURAN!$AD$22&gt;=91.5,WSALQURAN!$AD$22&lt;=100),"P","")</f>
        <v/>
      </c>
      <c r="N28" t="str">
        <f>IF(WSALQURAN!$AD$30&lt;74.9,"P","")</f>
        <v/>
      </c>
      <c r="O28" s="102" t="str">
        <f>IF(AND(WSALQURAN!$AD$30&gt;=75,WSALQURAN!$AD$30&lt;=83.24),"P","")</f>
        <v/>
      </c>
      <c r="P28" s="102" t="str">
        <f>IF(AND(WSALQURAN!$AD$30&gt;=83.25,WSALQURAN!$AD$30&lt;=91.4),"P","")</f>
        <v/>
      </c>
      <c r="Q28" s="102" t="str">
        <f>IF(AND(WSALQURAN!$AD$30&gt;=91.5,WSALQURAN!$AD$30&lt;=100),"P","")</f>
        <v/>
      </c>
      <c r="R28" t="str">
        <f>IF(WSALQURAN!$AD$38&lt;74.9,"P","")</f>
        <v/>
      </c>
      <c r="S28" s="102" t="str">
        <f>IF(AND(WSALQURAN!$AD$38&gt;=75,WSALQURAN!$AD$38&lt;=83.24),"P","")</f>
        <v/>
      </c>
      <c r="T28" s="102" t="str">
        <f>IF(AND(WSALQURAN!$AD$38&gt;=83.25,WSALQURAN!$AD$38&lt;=91.4),"P","")</f>
        <v/>
      </c>
      <c r="U28" s="102" t="str">
        <f>IF(AND(WSALQURAN!$AD$38&gt;=91.5,WSALQURAN!$AD$38&lt;=100),"P","")</f>
        <v/>
      </c>
      <c r="V28" t="str">
        <f>IF(WSALQURAN!$AD$46&lt;74.9,"P","")</f>
        <v/>
      </c>
      <c r="W28" s="102" t="str">
        <f>IF(AND(WSALQURAN!$AD$46&gt;=75,WSALQURAN!$AD$46&lt;=83.24),"P","")</f>
        <v/>
      </c>
      <c r="X28" s="102" t="str">
        <f>IF(AND(WSALQURAN!$AD$46&gt;=83.25,WSALQURAN!$AD$46&lt;=91.4),"P","")</f>
        <v/>
      </c>
      <c r="Y28" s="102" t="str">
        <f>IF(AND(WSALQURAN!$AD$46&gt;=91.5,WSALQURAN!$AD$46&lt;=100),"P","")</f>
        <v/>
      </c>
      <c r="Z28" t="str">
        <f>IF(WSALQURAN!$AD$54&lt;74.9,"P","")</f>
        <v/>
      </c>
      <c r="AA28" s="102" t="str">
        <f>IF(AND(WSALQURAN!$AD$54&gt;=75,WSALQURAN!$AD$54&lt;=83.24),"P","")</f>
        <v/>
      </c>
      <c r="AB28" s="102" t="str">
        <f>IF(AND(WSALQURAN!$AD$54&gt;=83.25,WSALQURAN!$AD$54&lt;=91.4),"P","")</f>
        <v/>
      </c>
      <c r="AC28" s="102" t="str">
        <f>IF(AND(WSALQURAN!$AD$54&gt;=91.5,WSALQURAN!$AD$54&lt;=100),"P","")</f>
        <v/>
      </c>
      <c r="AD28" t="str">
        <f>IF(WSALQURAN!$AD$62&lt;74.9,"P","")</f>
        <v/>
      </c>
      <c r="AE28" s="102" t="str">
        <f>IF(AND(WSALQURAN!$AD$62&gt;=75,WSALQURAN!$AD$62&lt;=83.24),"P","")</f>
        <v/>
      </c>
      <c r="AF28" s="102" t="str">
        <f>IF(AND(WSALQURAN!$AD$62&gt;=83.25,WSALQURAN!$AD$62&lt;=91.4),"P","")</f>
        <v/>
      </c>
      <c r="AG28" s="102" t="str">
        <f>IF(AND(WSALQURAN!$AD$62&gt;=91.5,WSALQURAN!$AD$62&lt;=100),"P","")</f>
        <v/>
      </c>
      <c r="AH28" t="str">
        <f>IF(WSALQURAN!$AD$70&lt;74.9,"P","")</f>
        <v/>
      </c>
      <c r="AI28" s="102" t="str">
        <f>IF(AND(WSALQURAN!$AD$70&gt;=75,WSALQURAN!$AD$70&lt;=83.24),"P","")</f>
        <v/>
      </c>
      <c r="AJ28" s="102" t="str">
        <f>IF(AND(WSALQURAN!$AD$70&gt;=83.25,WSALQURAN!$AD$70&lt;=91.4),"P","")</f>
        <v/>
      </c>
      <c r="AK28" s="102" t="str">
        <f>IF(AND(WSALQURAN!$AD$70&gt;=91.5,WSALQURAN!$AD$70&lt;=100),"P","")</f>
        <v/>
      </c>
      <c r="AL28" t="str">
        <f>IF(WSALQURAN!$AD$78&lt;74.9,"P","")</f>
        <v/>
      </c>
      <c r="AM28" s="102" t="str">
        <f>IF(AND(WSALQURAN!$AD$78&gt;=75,WSALQURAN!$AD$78&lt;=83.24),"P","")</f>
        <v/>
      </c>
      <c r="AN28" s="102" t="str">
        <f>IF(AND(WSALQURAN!$AD$78&gt;=83.25,WSALQURAN!$AD$78&lt;=91.4),"P","")</f>
        <v/>
      </c>
      <c r="AO28" s="102" t="str">
        <f>IF(AND(WSALQURAN!$AD$78&gt;=91.5,WSALQURAN!$AD$78&lt;=100),"P","")</f>
        <v/>
      </c>
      <c r="AP28" t="str">
        <f>IF(WSALQURAN!$AD$86&lt;74.9,"P","")</f>
        <v/>
      </c>
      <c r="AQ28" s="102" t="str">
        <f>IF(AND(WSALQURAN!$AD$86&gt;=75,WSALQURAN!$AD$86&lt;=83.24),"P","")</f>
        <v/>
      </c>
      <c r="AR28" s="102" t="str">
        <f>IF(AND(WSALQURAN!$AD$86&gt;=83.25,WSALQURAN!$AD$86&lt;=91.4),"P","")</f>
        <v/>
      </c>
      <c r="AS28" s="102" t="str">
        <f>IF(AND(WSALQURAN!$AD$86&gt;=91.5,WSALQURAN!$AD$86&lt;=100),"P","")</f>
        <v/>
      </c>
      <c r="AT28" t="str">
        <f>IF(WSALQURAN!$AD$94&lt;74.9,"P","")</f>
        <v/>
      </c>
      <c r="AU28" s="102" t="str">
        <f>IF(AND(WSALQURAN!$AD$94&gt;=75,WSALQURAN!$AD$94&lt;=83.24),"P","")</f>
        <v/>
      </c>
      <c r="AV28" s="102" t="str">
        <f>IF(AND(WSALQURAN!$AD$94&gt;=83.25,WSALQURAN!$AD$94&lt;=91.4),"P","")</f>
        <v/>
      </c>
      <c r="AW28" s="102" t="str">
        <f>IF(AND(WSALQURAN!$AD$94&gt;=91.5,WSALQURAN!$AD$94&lt;=100),"P","")</f>
        <v/>
      </c>
      <c r="AX28" t="str">
        <f>IF(WSALQURAN!$AD$102&lt;74.9,"P","")</f>
        <v/>
      </c>
      <c r="AY28" s="102" t="str">
        <f>IF(AND(WSALQURAN!$AD$102&gt;=75,WSALQURAN!$AD$102&lt;=83.24),"P","")</f>
        <v/>
      </c>
      <c r="AZ28" s="102" t="str">
        <f>IF(AND(WSALQURAN!$AD$102&gt;=83.25,WSALQURAN!$AD$102&lt;=91.4),"P","")</f>
        <v/>
      </c>
      <c r="BA28" s="102" t="str">
        <f>IF(AND(WSALQURAN!$AD$102&gt;=91.5,WSALQURAN!$AD$102&lt;=100),"P","")</f>
        <v/>
      </c>
      <c r="BB28" t="str">
        <f>IF(WSAQIDAH!$AD$6&lt;74.9,"P","")</f>
        <v/>
      </c>
      <c r="BC28" s="102" t="str">
        <f>IF(AND(WSAQIDAH!$AD$6&gt;=75,WSAQIDAH!$AD$6&lt;=83.24),"P","")</f>
        <v/>
      </c>
      <c r="BD28" s="102" t="str">
        <f>IF(AND(WSAQIDAH!$AD$6&gt;=83.25,WSAQIDAH!$AD$6&lt;=91.4),"P","")</f>
        <v/>
      </c>
      <c r="BE28" s="102" t="str">
        <f>IF(AND(WSAQIDAH!$AD$6&gt;=91.5,WSAQIDAH!$AD$6&lt;=100),"P","")</f>
        <v/>
      </c>
      <c r="BF28" t="str">
        <f>IF(WSAQIDAH!$AD$14&lt;74.9,"P","")</f>
        <v/>
      </c>
      <c r="BG28" s="102" t="str">
        <f>IF(AND(WSAQIDAH!$AD$14&gt;=75,WSAQIDAH!$AD$14&lt;=83.24),"P","")</f>
        <v/>
      </c>
      <c r="BH28" s="102" t="str">
        <f>IF(AND(WSAQIDAH!$AD$14&gt;=83.25,WSAQIDAH!$AD$14&lt;=91.4),"P","")</f>
        <v/>
      </c>
      <c r="BI28" s="102" t="str">
        <f>IF(AND(WSAQIDAH!$AD$14&gt;=91.5,WSAQIDAH!$AD$14&lt;=100),"P","")</f>
        <v/>
      </c>
      <c r="BJ28" t="str">
        <f>IF(WSAQIDAH!$AD$22&lt;74.9,"P","")</f>
        <v/>
      </c>
      <c r="BK28" s="102" t="str">
        <f>IF(AND(WSAQIDAH!$AD$22&gt;=75,WSAQIDAH!$AD$22&lt;=83.24),"P","")</f>
        <v/>
      </c>
      <c r="BL28" s="102" t="str">
        <f>IF(AND(WSAQIDAH!$AD$22&gt;=83.25,WSAQIDAH!$AD$22&lt;=91.4),"P","")</f>
        <v/>
      </c>
      <c r="BM28" s="102" t="str">
        <f>IF(AND(WSAQIDAH!$AD$22&gt;=91.5,WSAQIDAH!$AD$22&lt;=100),"P","")</f>
        <v/>
      </c>
      <c r="BN28" t="str">
        <f>IF(WSAQIDAH!$AD$30&lt;74.9,"P","")</f>
        <v/>
      </c>
      <c r="BO28" s="102" t="str">
        <f>IF(AND(WSAQIDAH!$AD$30&gt;=75,WSAQIDAH!$AD$30&lt;=83.24),"P","")</f>
        <v/>
      </c>
      <c r="BP28" s="102" t="str">
        <f>IF(AND(WSAQIDAH!$AD$30&gt;=83.25,WSAQIDAH!$AD$30&lt;=91.4),"P","")</f>
        <v/>
      </c>
      <c r="BQ28" s="102" t="str">
        <f>IF(AND(WSAQIDAH!$AD$30&gt;=91.5,WSAQIDAH!$AD$30&lt;=100),"P","")</f>
        <v/>
      </c>
      <c r="BR28" t="str">
        <f>IF(WSAQIDAH!$AD$38&lt;74.9,"P","")</f>
        <v/>
      </c>
      <c r="BS28" s="102" t="str">
        <f>IF(AND(WSAQIDAH!$AD$38&gt;=75,WSAQIDAH!$AD$38&lt;=83.24),"P","")</f>
        <v/>
      </c>
      <c r="BT28" s="102" t="str">
        <f>IF(AND(WSAQIDAH!$AD$38&gt;=83.25,WSAQIDAH!$AD$38&lt;=91.4),"P","")</f>
        <v/>
      </c>
      <c r="BU28" s="102" t="str">
        <f>IF(AND(WSAQIDAH!$AD$38&gt;=91.5,WSAQIDAH!$AD$38&lt;=100),"P","")</f>
        <v/>
      </c>
      <c r="BV28" t="str">
        <f>IF(WSAQIDAH!$AD$46&lt;74.9,"P","")</f>
        <v/>
      </c>
      <c r="BW28" s="102" t="str">
        <f>IF(AND(WSAQIDAH!$AD$46&gt;=75,WSAQIDAH!$AD$46&lt;=83.24),"P","")</f>
        <v/>
      </c>
      <c r="BX28" s="102" t="str">
        <f>IF(AND(WSAQIDAH!$AD$46&gt;=83.25,WSAQIDAH!$AD$46&lt;=91.4),"P","")</f>
        <v/>
      </c>
      <c r="BY28" s="102" t="str">
        <f>IF(AND(WSAQIDAH!$AD$46&gt;=91.5,WSAQIDAH!$AD$46&lt;=100),"P","")</f>
        <v/>
      </c>
      <c r="BZ28" t="str">
        <f>IF(WSAQIDAH!$AD$54&lt;74.9,"P","")</f>
        <v/>
      </c>
      <c r="CA28" s="102" t="str">
        <f>IF(AND(WSAQIDAH!$AD$54&gt;=75,WSAQIDAH!$AD$54&lt;=83.24),"P","")</f>
        <v/>
      </c>
      <c r="CB28" s="102" t="str">
        <f>IF(AND(WSAQIDAH!$AD$54&gt;=83.25,WSAQIDAH!$AD$54&lt;=91.4),"P","")</f>
        <v/>
      </c>
      <c r="CC28" s="102" t="str">
        <f>IF(AND(WSAQIDAH!$AD$54&gt;=91.5,WSAQIDAH!$AD$54&lt;=100),"P","")</f>
        <v/>
      </c>
      <c r="CD28" t="str">
        <f>IF(WSAQIDAH!$AD$62&lt;74.9,"P","")</f>
        <v/>
      </c>
      <c r="CE28" s="102" t="str">
        <f>IF(AND(WSAQIDAH!$AD$62&gt;=75,WSAQIDAH!$AD$62&lt;=83.24),"P","")</f>
        <v/>
      </c>
      <c r="CF28" s="102" t="str">
        <f>IF(AND(WSAQIDAH!$AD$62&gt;=83.25,WSAQIDAH!$AD$62&lt;=91.4),"P","")</f>
        <v/>
      </c>
      <c r="CG28" s="102" t="str">
        <f>IF(AND(WSAQIDAH!$AD$62&gt;=91.5,WSAQIDAH!$AD$62&lt;=100),"P","")</f>
        <v/>
      </c>
      <c r="CH28" t="str">
        <f>IF(WSAQIDAH!$AD$70&lt;74.9,"P","")</f>
        <v/>
      </c>
      <c r="CI28" s="102" t="str">
        <f>IF(AND(WSAQIDAH!$AD$70&gt;=75,WSAQIDAH!$AD$70&lt;=83.24),"P","")</f>
        <v/>
      </c>
      <c r="CJ28" s="102" t="str">
        <f>IF(AND(WSAQIDAH!$AD$70&gt;=83.25,WSAQIDAH!$AD$70&lt;=91.4),"P","")</f>
        <v/>
      </c>
      <c r="CK28" s="102" t="str">
        <f>IF(AND(WSAQIDAH!$AD$70&gt;=91.5,WSAQIDAH!$AD$70&lt;=100),"P","")</f>
        <v/>
      </c>
      <c r="CL28" t="str">
        <f>IF(WSAQIDAH!$AD$78&lt;74.9,"P","")</f>
        <v/>
      </c>
      <c r="CM28" s="102" t="str">
        <f>IF(AND(WSAQIDAH!$AD$78&gt;=75,WSAQIDAH!$AD$78&lt;=83.24),"P","")</f>
        <v/>
      </c>
      <c r="CN28" s="102" t="str">
        <f>IF(AND(WSAQIDAH!$AD$78&gt;=83.25,WSAQIDAH!$AD$78&lt;=91.4),"P","")</f>
        <v/>
      </c>
      <c r="CO28" s="102" t="str">
        <f>IF(AND(WSAQIDAH!$AD$78&gt;=91.5,WSAQIDAH!$AD$78&lt;=100),"P","")</f>
        <v/>
      </c>
      <c r="CP28" t="str">
        <f>IF(WSAQIDAH!$AD$86&lt;74.9,"P","")</f>
        <v/>
      </c>
      <c r="CQ28" s="102" t="str">
        <f>IF(AND(WSAQIDAH!$AD$86&gt;=75,WSAQIDAH!$AD$86&lt;=83.24),"P","")</f>
        <v/>
      </c>
      <c r="CR28" s="102" t="str">
        <f>IF(AND(WSAQIDAH!$AD$86&gt;=83.25,WSAQIDAH!$AD$86&lt;=91.4),"P","")</f>
        <v/>
      </c>
      <c r="CS28" s="102" t="str">
        <f>IF(AND(WSAQIDAH!$AD$86&gt;=91.5,WSAQIDAH!$AD$86&lt;=100),"P","")</f>
        <v/>
      </c>
      <c r="CT28" t="str">
        <f>IF(WSAQIDAH!$AD$94&lt;74.9,"P","")</f>
        <v/>
      </c>
      <c r="CU28" s="102" t="str">
        <f>IF(AND(WSAQIDAH!$AD$94&gt;=75,WSAQIDAH!$AD$94&lt;=83.24),"P","")</f>
        <v/>
      </c>
      <c r="CV28" s="102" t="str">
        <f>IF(AND(WSAQIDAH!$AD$94&gt;=83.25,WSAQIDAH!$AD$94&lt;=91.4),"P","")</f>
        <v/>
      </c>
      <c r="CW28" s="102" t="str">
        <f>IF(AND(WSAQIDAH!$AD$94&gt;=91.5,WSAQIDAH!$AD$94&lt;=100),"P","")</f>
        <v/>
      </c>
      <c r="CX28" t="str">
        <f>IF(WSAQIDAH!$AD$102&lt;74.9,"P","")</f>
        <v/>
      </c>
      <c r="CY28" s="102" t="str">
        <f>IF(AND(WSAQIDAH!$AD$102&gt;=75,WSAQIDAH!$AD$102&lt;=83.24),"P","")</f>
        <v/>
      </c>
      <c r="CZ28" s="102" t="str">
        <f>IF(AND(WSAQIDAH!$AD$102&gt;=83.25,WSAQIDAH!$AD$102&lt;=91.4),"P","")</f>
        <v/>
      </c>
      <c r="DA28" s="102" t="str">
        <f>IF(AND(WSAQIDAH!$AD$102&gt;=91.5,WSAQIDAH!$AD$102&lt;=100),"P","")</f>
        <v/>
      </c>
      <c r="DB28" t="str">
        <f>IF(WSSKI!$AD$6&lt;74.9,"P","")</f>
        <v/>
      </c>
      <c r="DC28" s="102" t="str">
        <f>IF(AND(WSSKI!$AD$6&gt;=75,WSSKI!$AD$6&lt;=83.24),"P","")</f>
        <v/>
      </c>
      <c r="DD28" s="102" t="str">
        <f>IF(AND(WSSKI!$AD$6&gt;=83.25,WSSKI!$AD$6&lt;=91.4),"P","")</f>
        <v/>
      </c>
      <c r="DE28" s="102" t="str">
        <f>IF(AND(WSSKI!$AD$6&gt;=91.5,WSSKI!$AD$6&lt;=100),"P","")</f>
        <v/>
      </c>
      <c r="DF28" t="str">
        <f>IF(WSSKI!$AD$14&lt;74.9,"P","")</f>
        <v/>
      </c>
      <c r="DG28" s="102" t="str">
        <f>IF(AND(WSSKI!$AD$14&gt;=75,WSSKI!$AD$14&lt;=83.24),"P","")</f>
        <v/>
      </c>
      <c r="DH28" s="102" t="str">
        <f>IF(AND(WSSKI!$AD$14&gt;=83.25,WSSKI!$AD$14&lt;=91.4),"P","")</f>
        <v/>
      </c>
      <c r="DI28" s="102" t="str">
        <f>IF(AND(WSSKI!$AD$14&gt;=91.5,WSSKI!$AD$14&lt;=100),"P","")</f>
        <v/>
      </c>
      <c r="DJ28" t="str">
        <f>IF(WSSKI!$AD$23&lt;74.9,"P","")</f>
        <v/>
      </c>
      <c r="DK28" s="102" t="str">
        <f>IF(AND(WSSKI!$AD$23&gt;=75,WSSKI!$AD$23&lt;=83.24),"P","")</f>
        <v/>
      </c>
      <c r="DL28" s="102" t="str">
        <f>IF(AND(WSSKI!$AD$23&gt;=83.25,WSSKI!$AD$23&lt;=91.4),"P","")</f>
        <v/>
      </c>
      <c r="DM28" s="102" t="str">
        <f>IF(AND(WSSKI!$AD$23&gt;=91.5,WSSKI!$AD$23&lt;=100),"P","")</f>
        <v/>
      </c>
      <c r="DN28" t="str">
        <f>IF(WSSKI!$AD$31&lt;74.9,"P","")</f>
        <v/>
      </c>
      <c r="DO28" s="102" t="str">
        <f>IF(AND(WSSKI!$AD$31&gt;=75,WSSKI!$AD$31&lt;=83.24),"P","")</f>
        <v/>
      </c>
      <c r="DP28" s="102" t="str">
        <f>IF(AND(WSSKI!$AD$31&gt;=83.25,WSSKI!$AD$31&lt;=91.4),"P","")</f>
        <v/>
      </c>
      <c r="DQ28" s="102" t="str">
        <f>IF(AND(WSSKI!$AD$31&gt;=91.5,WSSKI!$AD$31&lt;=100),"P","")</f>
        <v/>
      </c>
      <c r="DR28" t="str">
        <f>IF(WSSKI!$AD$40&lt;74.9,"P","")</f>
        <v/>
      </c>
      <c r="DS28" s="102" t="str">
        <f>IF(AND(WSSKI!$AD$40&gt;=75,WSSKI!$AD$40&lt;=83.24),"P","")</f>
        <v/>
      </c>
      <c r="DT28" s="102" t="str">
        <f>IF(AND(WSSKI!$AD$40&gt;=83.25,WSSKI!$AD$40&lt;=91.4),"P","")</f>
        <v/>
      </c>
      <c r="DU28" s="102" t="str">
        <f>IF(AND(WSSKI!$AD$40&gt;=91.5,WSSKI!$AD$40&lt;=100),"P","")</f>
        <v/>
      </c>
      <c r="DV28" t="str">
        <f>IF(WSSKI!$AD$48&lt;74.9,"P","")</f>
        <v/>
      </c>
      <c r="DW28" s="102" t="str">
        <f>IF(AND(WSSKI!$AD$48&gt;=75,WSSKI!$AD$48&lt;=83.24),"P","")</f>
        <v/>
      </c>
      <c r="DX28" s="102" t="str">
        <f>IF(AND(WSSKI!$AD$48&gt;=83.25,WSSKI!$AD$48&lt;=91.4),"P","")</f>
        <v/>
      </c>
      <c r="DY28" s="102" t="str">
        <f>IF(AND(WSSKI!$AD$48&gt;=91.5,WSSKI!$AD$48&lt;=100),"P","")</f>
        <v/>
      </c>
      <c r="DZ28" t="str">
        <f>IF(WSSKI!$AD$56&lt;74.9,"P","")</f>
        <v/>
      </c>
      <c r="EA28" s="102" t="str">
        <f>IF(AND(WSSKI!$AD$56&gt;=75,WSSKI!$AD$56&lt;=83.24),"P","")</f>
        <v/>
      </c>
      <c r="EB28" s="102" t="str">
        <f>IF(AND(WSSKI!$AD$56&gt;=83.25,WSSKI!$AD$56&lt;=91.4),"P","")</f>
        <v/>
      </c>
      <c r="EC28" s="102" t="str">
        <f>IF(AND(WSSKI!$AD$56&gt;=91.5,WSSKI!$AD$56&lt;=100),"P","")</f>
        <v/>
      </c>
      <c r="ED28" t="str">
        <f>IF(WSSKI!$AD$64&lt;74.9,"P","")</f>
        <v/>
      </c>
      <c r="EE28" s="102" t="str">
        <f>IF(AND(WSSKI!$AD$64&gt;=75,WSSKI!$AD$64&lt;=83.24),"P","")</f>
        <v/>
      </c>
      <c r="EF28" s="102" t="str">
        <f>IF(AND(WSSKI!$AD$64&gt;=83.25,WSSKI!$AD$64&lt;=91.4),"P","")</f>
        <v/>
      </c>
      <c r="EG28" s="102" t="str">
        <f>IF(AND(WSSKI!$AD$64&gt;=91.5,WSSKI!$AD$64&lt;=100),"P","")</f>
        <v/>
      </c>
      <c r="EH28" t="str">
        <f>IF(WSSKI!$AD$72&lt;74.9,"P","")</f>
        <v/>
      </c>
      <c r="EI28" s="102" t="str">
        <f>IF(AND(WSSKI!$AD$72&gt;=75,WSSKI!$AD$72&lt;=83.24),"P","")</f>
        <v/>
      </c>
      <c r="EJ28" s="102" t="str">
        <f>IF(AND(WSSKI!$AD$72&gt;=83.25,WSSKI!$AD$72&lt;=91.4),"P","")</f>
        <v/>
      </c>
      <c r="EK28" s="102" t="str">
        <f>IF(AND(WSSKI!$AD$72&gt;=91.5,WSSKI!$AD$72&lt;=100),"P","")</f>
        <v/>
      </c>
      <c r="EL28" t="str">
        <f>IF(WSSKI!$AD$80&lt;74.9,"P","")</f>
        <v/>
      </c>
      <c r="EM28" s="102" t="str">
        <f>IF(AND(WSSKI!$AD$80&gt;=75,WSSKI!$AD$80&lt;=83.24),"P","")</f>
        <v/>
      </c>
      <c r="EN28" s="102" t="str">
        <f>IF(AND(WSSKI!$AD$80&gt;=83.25,WSSKI!$AD$80&lt;=91.4),"P","")</f>
        <v/>
      </c>
      <c r="EO28" s="102" t="str">
        <f>IF(AND(WSSKI!$AD$80&gt;=91.5,WSSKI!$AD$80&lt;=100),"P","")</f>
        <v/>
      </c>
      <c r="EP28" t="str">
        <f>IF(WSSKI!$AD$88&lt;74.9,"P","")</f>
        <v/>
      </c>
      <c r="EQ28" s="102" t="str">
        <f>IF(AND(WSSKI!$AD$88&gt;=75,WSSKI!$AD$88&lt;=83.24),"P","")</f>
        <v/>
      </c>
      <c r="ER28" s="102" t="str">
        <f>IF(AND(WSSKI!$AD$88&gt;=83.25,WSSKI!$AD$88&lt;=91.4),"P","")</f>
        <v/>
      </c>
      <c r="ES28" s="102" t="str">
        <f>IF(AND(WSSKI!$AD$88&gt;=91.5,WSSKI!$AD$88&lt;=100),"P","")</f>
        <v/>
      </c>
      <c r="ET28" t="str">
        <f>IF(WSSKI!$AD$96&lt;74.9,"P","")</f>
        <v/>
      </c>
      <c r="EU28" s="102" t="str">
        <f>IF(AND(WSSKI!$AD$96&gt;=75,WSSKI!$AD$96&lt;=83.24),"P","")</f>
        <v/>
      </c>
      <c r="EV28" s="102" t="str">
        <f>IF(AND(WSSKI!$AD$96&gt;=83.25,WSSKI!$AD$96&lt;=91.4),"P","")</f>
        <v/>
      </c>
      <c r="EW28" s="102" t="str">
        <f>IF(AND(WSSKI!$AD$96&gt;=91.5,WSSKI!$AD$96&lt;=100),"P","")</f>
        <v/>
      </c>
      <c r="EX28" t="str">
        <f>IF(WSSKI!$AD$104&lt;74.9,"P","")</f>
        <v/>
      </c>
      <c r="EY28" s="102" t="str">
        <f>IF(AND(WSSKI!$AD$104&gt;=75,WSSKI!$AD$104&lt;=83.24),"P","")</f>
        <v/>
      </c>
      <c r="EZ28" s="102" t="str">
        <f>IF(AND(WSSKI!$AD$104&gt;=83.25,WSSKI!$AD$104&lt;=91.4),"P","")</f>
        <v/>
      </c>
      <c r="FA28" s="102" t="str">
        <f>IF(AND(WSSKI!$AD$104&gt;=91.5,WSSKI!$AD$104&lt;=100),"P","")</f>
        <v/>
      </c>
      <c r="FB28" t="str">
        <f>IF(WSFIQIH!$AD$6&lt;74.9,"P","")</f>
        <v/>
      </c>
      <c r="FC28" s="102" t="str">
        <f>IF(AND(WSFIQIH!$AD$6&gt;=75,WSFIQIH!$AD$6&lt;=83.24),"P","")</f>
        <v/>
      </c>
      <c r="FD28" s="102" t="str">
        <f>IF(AND(WSFIQIH!$AD$6&gt;=83.25,WSFIQIH!$AD$6&lt;=91.4),"P","")</f>
        <v/>
      </c>
      <c r="FE28" s="102" t="str">
        <f>IF(AND(WSFIQIH!$AD$6&gt;=91.5,WSFIQIH!$AD$6&lt;=100),"P","")</f>
        <v/>
      </c>
      <c r="FF28" t="str">
        <f>IF(WSFIQIH!$AD$19&lt;74.9,"P","")</f>
        <v/>
      </c>
      <c r="FG28" s="102" t="str">
        <f>IF(AND(WSFIQIH!$AD$19&gt;=75,WSFIQIH!$AD$19&lt;=83.24),"P","")</f>
        <v/>
      </c>
      <c r="FH28" s="102" t="str">
        <f>IF(AND(WSFIQIH!$AD$19&gt;=83.25,WSFIQIH!$AD$19&lt;=91.4),"P","")</f>
        <v/>
      </c>
      <c r="FI28" s="102" t="str">
        <f>IF(AND(WSFIQIH!$AD$19&gt;=91.5,WSFIQIH!$AD$19&lt;=100),"P","")</f>
        <v/>
      </c>
      <c r="FJ28" t="str">
        <f>IF(WSFIQIH!$AD$28&lt;74.9,"P","")</f>
        <v/>
      </c>
      <c r="FK28" s="102" t="str">
        <f>IF(AND(WSFIQIH!$AD$28&gt;=75,WSFIQIH!$AD$28&lt;=83.24),"P","")</f>
        <v/>
      </c>
      <c r="FL28" s="102" t="str">
        <f>IF(AND(WSFIQIH!$AD$28&gt;=83.25,WSFIQIH!$AD$28&lt;=91.4),"P","")</f>
        <v/>
      </c>
      <c r="FM28" s="102" t="str">
        <f>IF(AND(WSFIQIH!$AD$28&gt;=91.5,WSFIQIH!$AD$28&lt;=100),"P","")</f>
        <v/>
      </c>
      <c r="FN28" t="str">
        <f>IF(WSFIQIH!$AD$41&lt;74.9,"P","")</f>
        <v/>
      </c>
      <c r="FO28" s="102" t="str">
        <f>IF(AND(WSFIQIH!$AD$41&gt;=75,WSFIQIH!$AD$41&lt;=83.24),"P","")</f>
        <v/>
      </c>
      <c r="FP28" s="102" t="str">
        <f>IF(AND(WSFIQIH!$AD$41&gt;=83.25,WSFIQIH!$AD$41&lt;=91.4),"P","")</f>
        <v/>
      </c>
      <c r="FQ28" s="102" t="str">
        <f>IF(AND(WSFIQIH!$AD$41&gt;=91.5,WSFIQIH!$AD$41&lt;=100),"P","")</f>
        <v/>
      </c>
      <c r="FR28" t="str">
        <f>IF(WSFIQIH!$AD$49&lt;74.9,"P","")</f>
        <v/>
      </c>
      <c r="FS28" s="102" t="str">
        <f>IF(AND(WSFIQIH!$AD$49&gt;=75,WSFIQIH!$AD$49&lt;=83.24),"P","")</f>
        <v/>
      </c>
      <c r="FT28" s="102" t="str">
        <f>IF(AND(WSFIQIH!$AD$49&gt;=83.25,WSFIQIH!$AD$49&lt;=91.4),"P","")</f>
        <v/>
      </c>
      <c r="FU28" s="102" t="str">
        <f>IF(AND(WSFIQIH!$AD$49&gt;=91.5,WSFIQIH!$AD$49&lt;=100),"P","")</f>
        <v/>
      </c>
      <c r="FV28" t="str">
        <f>IF(WSFIQIH!$AD$62&lt;74.9,"P","")</f>
        <v/>
      </c>
      <c r="FW28" s="102" t="str">
        <f>IF(AND(WSFIQIH!$AD$62&gt;=75,WSFIQIH!$AD$62&lt;=83.24),"P","")</f>
        <v/>
      </c>
      <c r="FX28" s="102" t="str">
        <f>IF(AND(WSFIQIH!$AD$62&gt;=83.25,WSFIQIH!$AD$62&lt;=91.4),"P","")</f>
        <v/>
      </c>
      <c r="FY28" s="102" t="str">
        <f>IF(AND(WSFIQIH!$AD$62&gt;=91.5,WSFIQIH!$AD$62&lt;=100),"P","")</f>
        <v/>
      </c>
      <c r="FZ28" t="str">
        <f>IF(WSFIQIH!$AD$71&lt;74.9,"P","")</f>
        <v/>
      </c>
      <c r="GA28" s="102" t="str">
        <f>IF(AND(WSFIQIH!$AD$71&gt;=75,WSFIQIH!$AD$71&lt;=83.24),"P","")</f>
        <v/>
      </c>
      <c r="GB28" s="102" t="str">
        <f>IF(AND(WSFIQIH!$AD$71&gt;=83.25,WSFIQIH!$AD$71&lt;=91.4),"P","")</f>
        <v/>
      </c>
      <c r="GC28" s="102" t="str">
        <f>IF(AND(WSFIQIH!$AD$71&gt;=91.5,WSFIQIH!$AD$71&lt;=100),"P","")</f>
        <v/>
      </c>
      <c r="GD28" t="str">
        <f>IF(WSFIQIH!$AD$80&lt;74.9,"P","")</f>
        <v/>
      </c>
      <c r="GE28" s="102" t="str">
        <f>IF(AND(WSFIQIH!$AD$80&gt;=75,WSFIQIH!$AD$80&lt;=83.24),"P","")</f>
        <v/>
      </c>
      <c r="GF28" s="102" t="str">
        <f>IF(AND(WSFIQIH!$AD$80&gt;=83.25,WSFIQIH!$AD$80&lt;=91.4),"P","")</f>
        <v/>
      </c>
      <c r="GG28" s="102" t="str">
        <f>IF(AND(WSFIQIH!$AD$80&gt;=91.5,WSFIQIH!$AD$80&lt;=100),"P","")</f>
        <v/>
      </c>
      <c r="GH28" t="str">
        <f>IF(WSFIQIH!$AD$88&lt;74.9,"P","")</f>
        <v/>
      </c>
      <c r="GI28" s="102" t="str">
        <f>IF(AND(WSFIQIH!$AD$88&gt;=75,WSFIQIH!$AD$88&lt;=83.24),"P","")</f>
        <v/>
      </c>
      <c r="GJ28" s="102" t="str">
        <f>IF(AND(WSFIQIH!$AD$88&gt;=83.25,WSFIQIH!$AD$88&lt;=91.4),"P","")</f>
        <v/>
      </c>
      <c r="GK28" s="102" t="str">
        <f>IF(AND(WSFIQIH!$AD$88&gt;=91.5,WSFIQIH!$AD$88&lt;=100),"P","")</f>
        <v/>
      </c>
      <c r="GL28" t="str">
        <f>IF(WSFIQIH!$AD$96&lt;74.9,"P","")</f>
        <v/>
      </c>
      <c r="GM28" s="102" t="str">
        <f>IF(AND(WSFIQIH!$AD$96&gt;=75,WSFIQIH!$AD$96&lt;=83.24),"P","")</f>
        <v/>
      </c>
      <c r="GN28" s="102" t="str">
        <f>IF(AND(WSFIQIH!$AD$96&gt;=83.25,WSFIQIH!$AD$96&lt;=91.4),"P","")</f>
        <v/>
      </c>
      <c r="GO28" s="102" t="str">
        <f>IF(AND(WSFIQIH!$AD$96&gt;=91.5,WSFIQIH!$AD$96&lt;=100),"P","")</f>
        <v/>
      </c>
      <c r="GP28" t="str">
        <f>IF(WSFIQIH!$AD$104&lt;74.9,"P","")</f>
        <v/>
      </c>
      <c r="GQ28" s="102" t="str">
        <f>IF(AND(WSFIQIH!$AD$104&gt;=75,WSFIQIH!$AD$104&lt;=83.24),"P","")</f>
        <v/>
      </c>
      <c r="GR28" s="102" t="str">
        <f>IF(AND(WSFIQIH!$AD$104&gt;=83.25,WSFIQIH!$AD$104&lt;=91.4),"P","")</f>
        <v/>
      </c>
      <c r="GS28" s="102" t="str">
        <f>IF(AND(WSFIQIH!$AD$104&gt;=91.5,WSFIQIH!$AD$104&lt;=100),"P","")</f>
        <v/>
      </c>
      <c r="GT28" t="str">
        <f>IF(WSFIQIH!$AD$112&lt;74.9,"P","")</f>
        <v/>
      </c>
      <c r="GU28" s="102" t="str">
        <f>IF(AND(WSFIQIH!$AD$112&gt;=75,WSFIQIH!$AD$112&lt;=83.24),"P","")</f>
        <v/>
      </c>
      <c r="GV28" s="102" t="str">
        <f>IF(AND(WSFIQIH!$AD$112&gt;=83.25,WSFIQIH!$AD$112&lt;=91.4),"P","")</f>
        <v/>
      </c>
      <c r="GW28" s="102" t="str">
        <f>IF(AND(WSFIQIH!$AD$112&gt;=91.5,WSFIQIH!$AD$112&lt;=100),"P","")</f>
        <v/>
      </c>
      <c r="GX28" t="str">
        <f>IF(WSFIQIH!$AD$120&lt;74.9,"P","")</f>
        <v/>
      </c>
      <c r="GY28" s="102" t="str">
        <f>IF(AND(WSFIQIH!$AD$120&gt;=75,WSFIQIH!$AD$120&lt;=83.24),"P","")</f>
        <v/>
      </c>
      <c r="GZ28" s="102" t="str">
        <f>IF(AND(WSFIQIH!$AD$120&gt;=83.25,WSFIQIH!$AD$120&lt;=91.4),"P","")</f>
        <v/>
      </c>
      <c r="HA28" s="102" t="str">
        <f>IF(AND(WSFIQIH!$AD$120&gt;=91.5,WSFIQIH!$AD$120&lt;=100),"P","")</f>
        <v/>
      </c>
      <c r="HB28" t="str">
        <f>IF(WSPKN!$AD$6&lt;74.9,"P","")</f>
        <v/>
      </c>
      <c r="HC28" s="102" t="str">
        <f>IF(AND(WSPKN!$AD$6&gt;=75,WSPKN!$AD$6&lt;=83.24),"P","")</f>
        <v/>
      </c>
      <c r="HD28" s="102" t="str">
        <f>IF(AND(WSPKN!$AD$6&gt;=83.25,WSPKN!$AD$6&lt;=91.4),"P","")</f>
        <v/>
      </c>
      <c r="HE28" s="102" t="str">
        <f>IF(AND(WSPKN!$AD$6&gt;=91.5,WSPKN!$AD$6&lt;=100),"P","")</f>
        <v/>
      </c>
      <c r="HF28" t="str">
        <f>IF(WSPKN!$AD$32&lt;74.9,"P","")</f>
        <v/>
      </c>
      <c r="HG28" s="102" t="str">
        <f>IF(AND(WSPKN!$AD$32&gt;=75,WSPKN!$AD$32&lt;=83.24),"P","")</f>
        <v/>
      </c>
      <c r="HH28" s="102" t="str">
        <f>IF(AND(WSPKN!$AD$32&gt;=83.25,WSPKN!$AD$32&lt;=91.4),"P","")</f>
        <v/>
      </c>
      <c r="HI28" s="102" t="str">
        <f>IF(AND(WSPKN!$AD$32&gt;=91.5,WSPKN!$AD$32&lt;=100),"P","")</f>
        <v/>
      </c>
      <c r="HJ28" t="str">
        <f>IF(WSPKN!$AD$55&lt;74.9,"P","")</f>
        <v/>
      </c>
      <c r="HK28" s="102" t="str">
        <f>IF(AND(WSPKN!$AD$55&gt;=75,WSPKN!$AD$55&lt;=83.24),"P","")</f>
        <v/>
      </c>
      <c r="HL28" s="102" t="str">
        <f>IF(AND(WSPKN!$AD$55&gt;=83.25,WSPKN!$AD$55&lt;=91.4),"P","")</f>
        <v/>
      </c>
      <c r="HM28" s="102" t="str">
        <f>IF(AND(WSPKN!$AD$55&gt;=91.5,WSPKN!$AD$55&lt;=100),"P","")</f>
        <v/>
      </c>
      <c r="HN28" t="str">
        <f>IF(WSPKN!$AD$72&lt;74.9,"P","")</f>
        <v/>
      </c>
      <c r="HO28" s="102" t="str">
        <f>IF(AND(WSPKN!$AD$72&gt;=75,WSPKN!$AD$72&lt;=83.24),"P","")</f>
        <v/>
      </c>
      <c r="HP28" s="102" t="str">
        <f>IF(AND(WSPKN!$AD$72&gt;=83.25,WSPKN!$AD$72&lt;=91.4),"P","")</f>
        <v/>
      </c>
      <c r="HQ28" s="102" t="str">
        <f>IF(AND(WSPKN!$AD$72&gt;=91.5,WSPKN!$AD$72&lt;=100),"P","")</f>
        <v/>
      </c>
      <c r="HR28" t="str">
        <f>IF(WSPKN!$AD$86&lt;74.9,"P","")</f>
        <v/>
      </c>
      <c r="HS28" s="102" t="str">
        <f>IF(AND(WSPKN!$AD$86&gt;=75,WSPKN!$AD$86&lt;=83.24),"P","")</f>
        <v/>
      </c>
      <c r="HT28" s="102" t="str">
        <f>IF(AND(WSPKN!$AD$86&gt;=83.25,WSPKN!$AD$86&lt;=91.4),"P","")</f>
        <v/>
      </c>
      <c r="HU28" s="102" t="str">
        <f>IF(AND(WSPKN!$AD$86&gt;=91.5,WSPKN!$AD$86&lt;=100),"P","")</f>
        <v/>
      </c>
      <c r="HV28" t="str">
        <f>IF(WSPKN!$AD$108&lt;74.9,"P","")</f>
        <v/>
      </c>
      <c r="HW28" s="102" t="str">
        <f>IF(AND(WSPKN!$AD$108&gt;=75,WSPKN!$AD$108&lt;=83.24),"P","")</f>
        <v/>
      </c>
      <c r="HX28" s="102" t="str">
        <f>IF(AND(WSPKN!$AD$108&gt;=83.25,WSPKN!$AD$108&lt;=91.4),"P","")</f>
        <v/>
      </c>
      <c r="HY28" s="102" t="str">
        <f>IF(AND(WSPKN!$AD$108&gt;=91.5,WSPKN!$AD$108&lt;=100),"P","")</f>
        <v/>
      </c>
      <c r="HZ28" t="str">
        <f>IF(WSPKN!$AD$132&lt;74.9,"P","")</f>
        <v/>
      </c>
      <c r="IA28" s="102" t="str">
        <f>IF(AND(WSPKN!$AD$132&gt;=75,WSPKN!$AD$132&lt;=83.24),"P","")</f>
        <v/>
      </c>
      <c r="IB28" s="102" t="str">
        <f>IF(AND(WSPKN!$AD$132&gt;=83.25,WSPKN!$AD$132&lt;=91.4),"P","")</f>
        <v/>
      </c>
      <c r="IC28" s="102" t="str">
        <f>IF(AND(WSPKN!$AD$132&gt;=91.5,WSPKN!$AD$132&lt;=100),"P","")</f>
        <v/>
      </c>
      <c r="ID28" t="str">
        <f>IF(WSPKN!$AD$148&lt;74.9,"P","")</f>
        <v/>
      </c>
      <c r="IE28" s="102" t="str">
        <f>IF(AND(WSPKN!$AD$148&gt;=75,WSPKN!$AD$148&lt;=83.24),"P","")</f>
        <v/>
      </c>
      <c r="IF28" s="102" t="str">
        <f>IF(AND(WSPKN!$AD$148&gt;=83.25,WSPKN!$AD$148&lt;=91.4),"P","")</f>
        <v/>
      </c>
      <c r="IG28" s="102" t="str">
        <f>IF(AND(WSPKN!$AD$148&gt;=91.5,WSPKN!$AD$148&lt;=100),"P","")</f>
        <v/>
      </c>
      <c r="IH28" t="str">
        <f>IF(WSPKN!$AD$165&lt;74.9,"P","")</f>
        <v/>
      </c>
      <c r="II28" s="102" t="str">
        <f>IF(AND(WSPKN!$AD$165&gt;=75,WSPKN!$AD$165&lt;=83.24),"P","")</f>
        <v/>
      </c>
      <c r="IJ28" s="102" t="str">
        <f>IF(AND(WSPKN!$AD$165&gt;=83.25,WSPKN!$AD$165&lt;=91.4),"P","")</f>
        <v/>
      </c>
      <c r="IK28" s="102" t="str">
        <f>IF(AND(WSPKN!$AD$165&gt;=91.5,WSPKN!$AD$165&lt;=100),"P","")</f>
        <v/>
      </c>
      <c r="IL28" t="str">
        <f>IF(WSPKN!$AD$173&lt;74.9,"P","")</f>
        <v/>
      </c>
      <c r="IM28" s="102" t="str">
        <f>IF(AND(WSPKN!$AD$173&gt;=75,WSPKN!$AD$173&lt;=83.24),"P","")</f>
        <v/>
      </c>
      <c r="IN28" s="102" t="str">
        <f>IF(AND(WSPKN!$AD$173&gt;=83.25,WSPKN!$AD$173&lt;=91.4),"P","")</f>
        <v/>
      </c>
      <c r="IO28" s="102" t="str">
        <f>IF(AND(WSPKN!$AD$173&gt;=91.5,WSPKN!$AD$173&lt;=100),"P","")</f>
        <v/>
      </c>
      <c r="IP28" t="str">
        <f>IF(WSPKN!$AD$181&lt;74.9,"P","")</f>
        <v/>
      </c>
      <c r="IQ28" s="102" t="str">
        <f>IF(AND(WSPKN!$AD$181&gt;=75,WSPKN!$AD$181&lt;=83.24),"P","")</f>
        <v/>
      </c>
      <c r="IR28" s="102" t="str">
        <f>IF(AND(WSPKN!$AD$181&gt;=83.25,WSPKN!$AD$181&lt;=91.4),"P","")</f>
        <v/>
      </c>
      <c r="IS28" s="102" t="str">
        <f>IF(AND(WSPKN!$AD$181&gt;=91.5,WSPKN!$AD$181&lt;=100),"P","")</f>
        <v/>
      </c>
      <c r="IT28" t="str">
        <f>IF(WSPKN!$AD$189&lt;74.9,"P","")</f>
        <v/>
      </c>
      <c r="IU28" s="102" t="str">
        <f>IF(AND(WSPKN!$AD$189&gt;=75,WSPKN!$AD$189&lt;=83.24),"P","")</f>
        <v/>
      </c>
      <c r="IV28" s="102" t="str">
        <f>IF(AND(WSPKN!$AD$189&gt;=83.25,WSPKN!$AD$189&lt;=91.4),"P","")</f>
        <v/>
      </c>
      <c r="IW28" s="102" t="str">
        <f>IF(AND(WSPKN!$AD$189&gt;=91.5,WSPKN!$AD$189&lt;=100),"P","")</f>
        <v/>
      </c>
      <c r="IX28" t="str">
        <f>IF(WSPKN!$AD$197&lt;74.9,"P","")</f>
        <v/>
      </c>
      <c r="IY28" s="102" t="str">
        <f>IF(AND(WSPKN!$AD$197&gt;=75,WSPKN!$AD$197&lt;=83.24),"P","")</f>
        <v/>
      </c>
      <c r="IZ28" s="102" t="str">
        <f>IF(AND(WSPKN!$AD$197&gt;=83.25,WSPKN!$AD$197&lt;=91.4),"P","")</f>
        <v/>
      </c>
      <c r="JA28" s="102" t="str">
        <f>IF(AND(WSPKN!$AD$197&gt;=91.5,WSPKN!$AD$197&lt;=100),"P","")</f>
        <v/>
      </c>
      <c r="JB28" t="str">
        <f>IF(WSIND!$AD$6&lt;74.9,"P","")</f>
        <v/>
      </c>
      <c r="JC28" s="102" t="str">
        <f>IF(AND(WSIND!$AD$6&gt;=75,WSIND!$AD$6&lt;=83.24),"P","")</f>
        <v/>
      </c>
      <c r="JD28" s="102" t="str">
        <f>IF(AND(WSIND!$AD$6&gt;=83.25,WSIND!$AD$6&lt;=91.4),"P","")</f>
        <v/>
      </c>
      <c r="JE28" s="102" t="str">
        <f>IF(AND(WSIND!$AD$6&gt;=91.5,WSIND!$AD$6&lt;=100),"P","")</f>
        <v/>
      </c>
      <c r="JF28" t="str">
        <f>IF(WSIND!$AD$65&lt;74.9,"P","")</f>
        <v/>
      </c>
      <c r="JG28" s="102" t="str">
        <f>IF(AND(WSIND!$AD$65&gt;=75,WSIND!$AD$65&lt;=83.24),"P","")</f>
        <v/>
      </c>
      <c r="JH28" s="102" t="str">
        <f>IF(AND(WSIND!$AD$65&gt;=83.25,WSIND!$AD$65&lt;=91.4),"P","")</f>
        <v/>
      </c>
      <c r="JI28" s="102" t="str">
        <f>IF(AND(WSIND!$AD$65&gt;=91.5,WSIND!$AD$65&lt;=100),"P","")</f>
        <v/>
      </c>
      <c r="JJ28" t="str">
        <f>IF(WSIND!$AD$113&lt;74.9,"P","")</f>
        <v/>
      </c>
      <c r="JK28" s="102" t="str">
        <f>IF(AND(WSIND!$AD$113&gt;=75,WSIND!$AD$113&lt;=83.24),"P","")</f>
        <v/>
      </c>
      <c r="JL28" s="102" t="str">
        <f>IF(AND(WSIND!$AD$113&gt;=83.25,WSIND!$AD$113&lt;=91.4),"P","")</f>
        <v/>
      </c>
      <c r="JM28" s="102" t="str">
        <f>IF(AND(WSIND!$AD$113&gt;=91.5,WSIND!$AD$113&lt;=100),"P","")</f>
        <v/>
      </c>
      <c r="JN28" t="str">
        <f>IF(WSIND!$AD$133&lt;74.9,"P","")</f>
        <v/>
      </c>
      <c r="JO28" s="102" t="str">
        <f>IF(AND(WSIND!$AD$133&gt;=75,WSIND!$AD$133&lt;=83.24),"P","")</f>
        <v/>
      </c>
      <c r="JP28" s="102" t="str">
        <f>IF(AND(WSIND!$AD$133&gt;=83.25,WSIND!$AD$133&lt;=91.4),"P","")</f>
        <v/>
      </c>
      <c r="JQ28" s="102" t="str">
        <f>IF(AND(WSIND!$AD$133&gt;=91.5,WSIND!$AD$133&lt;=100),"P","")</f>
        <v/>
      </c>
      <c r="JR28" t="str">
        <f>IF(WSIND!$AD$161&lt;74.9,"P","")</f>
        <v/>
      </c>
      <c r="JS28" s="102" t="str">
        <f>IF(AND(WSIND!$AD$161&gt;=75,WSIND!$AD$161&lt;=83.24),"P","")</f>
        <v/>
      </c>
      <c r="JT28" s="102" t="str">
        <f>IF(AND(WSIND!$AD$161&gt;=83.25,WSIND!$AD$161&lt;=91.4),"P","")</f>
        <v/>
      </c>
      <c r="JU28" s="102" t="str">
        <f>IF(AND(WSIND!$AD$161&gt;=91.5,WSIND!$AD$161&lt;=100),"P","")</f>
        <v/>
      </c>
      <c r="JV28" t="str">
        <f>IF(WSIND!$AD$192&lt;74.9,"P","")</f>
        <v/>
      </c>
      <c r="JW28" s="102" t="str">
        <f>IF(AND(WSIND!$AD$192&gt;=75,WSIND!$AD$192&lt;=83.24),"P","")</f>
        <v/>
      </c>
      <c r="JX28" s="102" t="str">
        <f>IF(AND(WSIND!$AD$192&gt;=83.25,WSIND!$AD$192&lt;=91.4),"P","")</f>
        <v/>
      </c>
      <c r="JY28" s="102" t="str">
        <f>IF(AND(WSIND!$AD$192&gt;=91.5,WSIND!$AD$192&lt;=100),"P","")</f>
        <v/>
      </c>
      <c r="JZ28" t="str">
        <f>IF(WSIND!$AD$228&lt;74.9,"P","")</f>
        <v/>
      </c>
      <c r="KA28" s="102" t="str">
        <f>IF(AND(WSIND!$AD$228&gt;=75,WSIND!$AD$228&lt;=83.24),"P","")</f>
        <v/>
      </c>
      <c r="KB28" s="102" t="str">
        <f>IF(AND(WSIND!$AD$228&gt;=83.25,WSIND!$AD$228&lt;=91.4),"P","")</f>
        <v/>
      </c>
      <c r="KC28" s="102" t="str">
        <f>IF(AND(WSIND!$AD$228&gt;=91.5,WSIND!$AD$228&lt;=100),"P","")</f>
        <v/>
      </c>
      <c r="KD28" t="str">
        <f>IF(WSIND!$AD$256&lt;74.9,"P","")</f>
        <v/>
      </c>
      <c r="KE28" s="102" t="str">
        <f>IF(AND(WSIND!$AD$256&gt;=75,WSIND!$AD$256&lt;=83.24),"P","")</f>
        <v/>
      </c>
      <c r="KF28" s="102" t="str">
        <f>IF(AND(WSIND!$AD$256&gt;=83.25,WSIND!$AD$256&lt;=91.4),"P","")</f>
        <v/>
      </c>
      <c r="KG28" s="102" t="str">
        <f>IF(AND(WSIND!$AD$256&gt;=91.5,WSIND!$AD$256&lt;=100),"P","")</f>
        <v/>
      </c>
      <c r="KH28" t="str">
        <f>IF(WSIND!$AD$277&lt;74.9,"P","")</f>
        <v/>
      </c>
      <c r="KI28" s="102" t="str">
        <f>IF(AND(WSIND!$AD$277&gt;=75,WSIND!$AD$277&lt;=83.24),"P","")</f>
        <v/>
      </c>
      <c r="KJ28" s="102" t="str">
        <f>IF(AND(WSIND!$AD$277&gt;=83.25,WSIND!$AD$277&lt;=91.4),"P","")</f>
        <v/>
      </c>
      <c r="KK28" s="102" t="str">
        <f>IF(AND(WSIND!$AD$277&gt;=91.5,WSIND!$AD$277&lt;=100),"P","")</f>
        <v/>
      </c>
      <c r="KL28" t="str">
        <f>IF(WSIND!$AD$305&lt;74.9,"P","")</f>
        <v/>
      </c>
      <c r="KM28" s="102" t="str">
        <f>IF(AND(WSIND!$AD$305&gt;=75,WSIND!$AD$305&lt;=83.24),"P","")</f>
        <v/>
      </c>
      <c r="KN28" s="102" t="str">
        <f>IF(AND(WSIND!$AD$305&gt;=83.25,WSIND!$AD$305&lt;=91.4),"P","")</f>
        <v/>
      </c>
      <c r="KO28" s="102" t="str">
        <f>IF(AND(WSIND!$AD$305&gt;=91.5,WSIND!$AD$305&lt;=100),"P","")</f>
        <v/>
      </c>
      <c r="KP28" t="str">
        <f>IF(WSIND!$AD$329&lt;74.9,"P","")</f>
        <v/>
      </c>
      <c r="KQ28" s="102" t="str">
        <f>IF(AND(WSIND!$AD$329&gt;=75,WSIND!$AD$329&lt;=83.24),"P","")</f>
        <v/>
      </c>
      <c r="KR28" s="102" t="str">
        <f>IF(AND(WSIND!$AD$329&gt;=83.25,WSIND!$AD$329&lt;=91.4),"P","")</f>
        <v/>
      </c>
      <c r="KS28" s="102" t="str">
        <f>IF(AND(WSIND!$AD$329&gt;=91.5,WSIND!$AD$329&lt;=100),"P","")</f>
        <v/>
      </c>
      <c r="KT28" t="str">
        <f>IF(WSIND!$AD$337&lt;74.9,"P","")</f>
        <v/>
      </c>
      <c r="KU28" s="102" t="str">
        <f>IF(AND(WSIND!$AD$337&gt;=75,WSIND!$AD$337&lt;=83.24),"P","")</f>
        <v/>
      </c>
      <c r="KV28" s="102" t="str">
        <f>IF(AND(WSIND!$AD$337&gt;=83.25,WSIND!$AD$337&lt;=91.4),"P","")</f>
        <v/>
      </c>
      <c r="KW28" s="102" t="str">
        <f>IF(AND(WSIND!$AD$337&gt;=91.5,WSIND!$AD$337&lt;=100),"P","")</f>
        <v/>
      </c>
      <c r="KX28" t="str">
        <f>IF(WSIND!$AD$345&lt;74.9,"P","")</f>
        <v/>
      </c>
      <c r="KY28" s="102" t="str">
        <f>IF(AND(WSIND!$AD$345&gt;=75,WSIND!$AD$345&lt;=83.24),"P","")</f>
        <v/>
      </c>
      <c r="KZ28" s="102" t="str">
        <f>IF(AND(WSIND!$AD$345&gt;=83.25,WSIND!$AD$345&lt;=91.4),"P","")</f>
        <v/>
      </c>
      <c r="LA28" s="102" t="str">
        <f>IF(AND(WSIND!$AD$345&gt;=91.5,WSIND!$AD$345&lt;=100),"P","")</f>
        <v/>
      </c>
      <c r="LB28" t="str">
        <f>IF(WSARAB!$AD$6&lt;74.9,"P","")</f>
        <v/>
      </c>
      <c r="LC28" s="102" t="str">
        <f>IF(AND(WSARAB!$AD$6&gt;=75,WSARAB!$AD$6&lt;=83.24),"P","")</f>
        <v/>
      </c>
      <c r="LD28" s="102" t="str">
        <f>IF(AND(WSARAB!$AD$6&gt;=83.25,WSARAB!$AD$6&lt;=91.4),"P","")</f>
        <v/>
      </c>
      <c r="LE28" s="102" t="str">
        <f>IF(AND(WSARAB!$AD$6&gt;=91.5,WSARAB!$AD$6&lt;=100),"P","")</f>
        <v/>
      </c>
      <c r="LF28" t="str">
        <f>IF(WSARAB!$AD$17&lt;74.9,"P","")</f>
        <v/>
      </c>
      <c r="LG28" s="102" t="str">
        <f>IF(AND(WSARAB!$AD$17&gt;=75,WSARAB!$AD$17&lt;=83.24),"P","")</f>
        <v/>
      </c>
      <c r="LH28" s="102" t="str">
        <f>IF(AND(WSARAB!$AD$17&gt;=83.25,WSARAB!$AD$17&lt;=91.4),"P","")</f>
        <v/>
      </c>
      <c r="LI28" s="102" t="str">
        <f>IF(AND(WSARAB!$AD$17&gt;=91.5,WSARAB!$AD$17&lt;=100),"P","")</f>
        <v/>
      </c>
      <c r="LJ28" t="str">
        <f>IF(WSARAB!$AD$29&lt;74.9,"P","")</f>
        <v/>
      </c>
      <c r="LK28" s="102" t="str">
        <f>IF(AND(WSARAB!$AD$29&gt;=75,WSARAB!$AD$29&lt;=83.24),"P","")</f>
        <v/>
      </c>
      <c r="LL28" s="102" t="str">
        <f>IF(AND(WSARAB!$AD$29&gt;=83.25,WSARAB!$AD$29&lt;=91.4),"P","")</f>
        <v/>
      </c>
      <c r="LM28" s="102" t="str">
        <f>IF(AND(WSARAB!$AD$29&gt;=91.5,WSARAB!$AD$29&lt;=100),"P","")</f>
        <v/>
      </c>
      <c r="LN28" t="str">
        <f>IF(WSARAB!$AD$37&lt;74.9,"P","")</f>
        <v/>
      </c>
      <c r="LO28" s="102" t="str">
        <f>IF(AND(WSARAB!$AD$37&gt;=75,WSARAB!$AD$37&lt;=83.24),"P","")</f>
        <v/>
      </c>
      <c r="LP28" s="102" t="str">
        <f>IF(AND(WSARAB!$AD$37&gt;=83.25,WSARAB!$AD$37&lt;=91.4),"P","")</f>
        <v/>
      </c>
      <c r="LQ28" s="102" t="str">
        <f>IF(AND(WSARAB!$AD$37&gt;=91.5,WSARAB!$AD$37&lt;=100),"P","")</f>
        <v/>
      </c>
      <c r="LR28" t="str">
        <f>IF(WSARAB!$AD$45&lt;74.9,"P","")</f>
        <v/>
      </c>
      <c r="LS28" s="102" t="str">
        <f>IF(AND(WSARAB!$AD$45&gt;=75,WSARAB!$AD$45&lt;=83.24),"P","")</f>
        <v/>
      </c>
      <c r="LT28" s="102" t="str">
        <f>IF(AND(WSARAB!$AD$45&gt;=83.25,WSARAB!$AD$45&lt;=91.4),"P","")</f>
        <v/>
      </c>
      <c r="LU28" s="102" t="str">
        <f>IF(AND(WSARAB!$AD$45&gt;=91.5,WSARAB!$AD$45&lt;=100),"P","")</f>
        <v/>
      </c>
      <c r="LV28" t="str">
        <f>IF(WSARAB!$AD$53&lt;74.9,"P","")</f>
        <v/>
      </c>
      <c r="LW28" s="102" t="str">
        <f>IF(AND(WSARAB!$AD$53&gt;=75,WSARAB!$AD$53&lt;=83.24),"P","")</f>
        <v/>
      </c>
      <c r="LX28" s="102" t="str">
        <f>IF(AND(WSARAB!$AD$53&gt;=83.25,WSARAB!$AD$53&lt;=91.4),"P","")</f>
        <v/>
      </c>
      <c r="LY28" s="102" t="str">
        <f>IF(AND(WSARAB!$AD$53&gt;=91.5,WSARAB!$AD$53&lt;=100),"P","")</f>
        <v/>
      </c>
      <c r="LZ28" t="str">
        <f>IF(WSARAB!$AD$65&lt;74.9,"P","")</f>
        <v/>
      </c>
      <c r="MA28" s="102" t="str">
        <f>IF(AND(WSARAB!$AD$65&gt;=75,WSARAB!$AD$65&lt;=83.24),"P","")</f>
        <v/>
      </c>
      <c r="MB28" s="102" t="str">
        <f>IF(AND(WSARAB!$AD$65&gt;=83.25,WSARAB!$AD$65&lt;=91.4),"P","")</f>
        <v/>
      </c>
      <c r="MC28" s="102" t="str">
        <f>IF(AND(WSARAB!$AD$65&gt;=91.5,WSARAB!$AD$65&lt;=100),"P","")</f>
        <v/>
      </c>
      <c r="MD28" t="str">
        <f>IF(WSARAB!$AD$73&lt;74.9,"P","")</f>
        <v/>
      </c>
      <c r="ME28" s="102" t="str">
        <f>IF(AND(WSARAB!$AD$73&gt;=75,WSARAB!$AD$73&lt;=83.24),"P","")</f>
        <v/>
      </c>
      <c r="MF28" s="102" t="str">
        <f>IF(AND(WSARAB!$AD$73&gt;=83.25,WSARAB!$AD$73&lt;=91.4),"P","")</f>
        <v/>
      </c>
      <c r="MG28" s="102" t="str">
        <f>IF(AND(WSARAB!$AD$73&gt;=91.5,WSARAB!$AD$73&lt;=100),"P","")</f>
        <v/>
      </c>
      <c r="MH28" t="str">
        <f>IF(WSARAB!$AD$81&lt;74.9,"P","")</f>
        <v/>
      </c>
      <c r="MI28" s="102" t="str">
        <f>IF(AND(WSARAB!$AD$81&gt;=75,WSARAB!$AD$81&lt;=83.24),"P","")</f>
        <v/>
      </c>
      <c r="MJ28" s="102" t="str">
        <f>IF(AND(WSARAB!$AD$81&gt;=83.25,WSARAB!$AD$81&lt;=91.4),"P","")</f>
        <v/>
      </c>
      <c r="MK28" s="102" t="str">
        <f>IF(AND(WSARAB!$AD$81&gt;=91.5,WSARAB!$AD$81&lt;=100),"P","")</f>
        <v/>
      </c>
      <c r="ML28" t="str">
        <f>IF(WSARAB!$AD$89&lt;74.9,"P","")</f>
        <v/>
      </c>
      <c r="MM28" s="102" t="str">
        <f>IF(AND(WSARAB!$AD$89&gt;=75,WSARAB!$AD$89&lt;=83.24),"P","")</f>
        <v/>
      </c>
      <c r="MN28" s="102" t="str">
        <f>IF(AND(WSARAB!$AD$89&gt;=83.25,WSARAB!$AD$89&lt;=91.4),"P","")</f>
        <v/>
      </c>
      <c r="MO28" s="102" t="str">
        <f>IF(AND(WSARAB!$AD$89&gt;=91.5,WSARAB!$AD$89&lt;=100),"P","")</f>
        <v/>
      </c>
      <c r="MP28" t="str">
        <f>IF(WSARAB!$AD$97&lt;74.9,"P","")</f>
        <v/>
      </c>
      <c r="MQ28" s="102" t="str">
        <f>IF(AND(WSARAB!$AD$97&gt;=75,WSARAB!$AD$97&lt;=83.24),"P","")</f>
        <v/>
      </c>
      <c r="MR28" s="102" t="str">
        <f>IF(AND(WSARAB!$AD$97&gt;=83.25,WSARAB!$AD$97&lt;=91.4),"P","")</f>
        <v/>
      </c>
      <c r="MS28" s="102" t="str">
        <f>IF(AND(WSARAB!$AD$97&gt;=91.5,WSARAB!$AD$97&lt;=100),"P","")</f>
        <v/>
      </c>
      <c r="MT28" t="str">
        <f>IF(WSARAB!$AD$105&lt;74.9,"P","")</f>
        <v/>
      </c>
      <c r="MU28" s="102" t="str">
        <f>IF(AND(WSARAB!$AD$105&gt;=75,WSARAB!$AD$105&lt;=83.24),"P","")</f>
        <v/>
      </c>
      <c r="MV28" s="102" t="str">
        <f>IF(AND(WSARAB!$AD$105&gt;=83.25,WSARAB!$AD$105&lt;=91.4),"P","")</f>
        <v/>
      </c>
      <c r="MW28" s="102" t="str">
        <f>IF(AND(WSARAB!$AD$105&gt;=91.5,WSARAB!$AD$105&lt;=100),"P","")</f>
        <v/>
      </c>
      <c r="MX28" t="str">
        <f>IF(WSARAB!$AD$113&lt;74.9,"P","")</f>
        <v/>
      </c>
      <c r="MY28" s="102" t="str">
        <f>IF(AND(WSARAB!$AD$113&gt;=75,WSARAB!$AD$113&lt;=83.24),"P","")</f>
        <v/>
      </c>
      <c r="MZ28" s="102" t="str">
        <f>IF(AND(WSARAB!$AD$113&gt;=83.25,WSARAB!$AD$113&lt;=91.4),"P","")</f>
        <v/>
      </c>
      <c r="NA28" s="102" t="str">
        <f>IF(AND(WSARAB!$AD$113&gt;=91.5,WSARAB!$AD$113&lt;=100),"P","")</f>
        <v/>
      </c>
      <c r="NB28" t="str">
        <f>IF(WSMTK!$AD$6&lt;74.9,"P","")</f>
        <v/>
      </c>
      <c r="NC28" s="102" t="str">
        <f>IF(AND(WSMTK!$AD$6&gt;=75,WSMTK!$AD$6&lt;=83.24),"P","")</f>
        <v/>
      </c>
      <c r="ND28" s="102" t="str">
        <f>IF(AND(WSMTK!$AD$6&gt;=83.25,WSMTK!$AD$6&lt;=91.4),"P","")</f>
        <v/>
      </c>
      <c r="NE28" s="102" t="str">
        <f>IF(AND(WSMTK!$AD$6&gt;=91.5,WSMTK!$AD$6&lt;=100),"P","")</f>
        <v/>
      </c>
      <c r="NF28" t="str">
        <f>IF(WSMTK!$AD$22&lt;74.9,"P","")</f>
        <v/>
      </c>
      <c r="NG28" s="102" t="str">
        <f>IF(AND(WSMTK!$AD$22&gt;=75,WSMTK!$AD$22&lt;=83.24),"P","")</f>
        <v/>
      </c>
      <c r="NH28" s="102" t="str">
        <f>IF(AND(WSMTK!$AD$22&gt;=83.25,WSMTK!$AD$22&lt;=91.4),"P","")</f>
        <v/>
      </c>
      <c r="NI28" s="102" t="str">
        <f>IF(AND(WSMTK!$AD$22&gt;=91.5,WSMTK!$AD$22&lt;=100),"P","")</f>
        <v/>
      </c>
      <c r="NJ28" t="str">
        <f>IF(WSMTK!$AD$35&lt;74.9,"P","")</f>
        <v/>
      </c>
      <c r="NK28" s="102" t="str">
        <f>IF(AND(WSMTK!$AD$35&gt;=75,WSMTK!$AD$35&lt;=83.24),"P","")</f>
        <v/>
      </c>
      <c r="NL28" s="102" t="str">
        <f>IF(AND(WSMTK!$AD$35&gt;=83.25,WSMTK!$AD$35&lt;=91.4),"P","")</f>
        <v/>
      </c>
      <c r="NM28" s="102" t="str">
        <f>IF(AND(WSMTK!$AD$35&gt;=91.5,WSMTK!$AD$35&lt;=100),"P","")</f>
        <v/>
      </c>
      <c r="NN28" t="str">
        <f>IF(WSMTK!$AD$69&lt;74.9,"P","")</f>
        <v/>
      </c>
      <c r="NO28" s="102" t="str">
        <f>IF(AND(WSMTK!$AD$69&gt;=75,WSMTK!$AD$69&lt;=83.24),"P","")</f>
        <v/>
      </c>
      <c r="NP28" s="102" t="str">
        <f>IF(AND(WSMTK!$AD$69&gt;=83.25,WSMTK!$AD$69&lt;=91.4),"P","")</f>
        <v/>
      </c>
      <c r="NQ28" s="102" t="str">
        <f>IF(AND(WSMTK!$AD$69&gt;=91.5,WSMTK!$AD$69&lt;=100),"P","")</f>
        <v/>
      </c>
      <c r="NR28" t="str">
        <f>IF(WSMTK!$AD$87&lt;74.9,"P","")</f>
        <v/>
      </c>
      <c r="NS28" s="102" t="str">
        <f>IF(AND(WSMTK!$AD$87&gt;=75,WSMTK!$AD$87&lt;=83.24),"P","")</f>
        <v/>
      </c>
      <c r="NT28" s="102" t="str">
        <f>IF(AND(WSMTK!$AD$87&gt;=83.25,WSMTK!$AD$87&lt;=91.4),"P","")</f>
        <v/>
      </c>
      <c r="NU28" s="102" t="str">
        <f>IF(AND(WSMTK!$AD$87&gt;=91.5,WSMTK!$AD$87&lt;=100),"P","")</f>
        <v/>
      </c>
      <c r="NV28" t="str">
        <f>IF(WSMTK!$AD$99&lt;74.9,"P","")</f>
        <v/>
      </c>
      <c r="NW28" s="102" t="str">
        <f>IF(AND(WSMTK!$AD$99&gt;=75,WSMTK!$AD$99&lt;=83.24),"P","")</f>
        <v/>
      </c>
      <c r="NX28" s="102" t="str">
        <f>IF(AND(WSMTK!$AD$99&gt;=83.25,WSMTK!$AD$99&lt;=91.4),"P","")</f>
        <v/>
      </c>
      <c r="NY28" s="102" t="str">
        <f>IF(AND(WSMTK!$AD$99&gt;=91.5,WSMTK!$AD$99&lt;=100),"P","")</f>
        <v/>
      </c>
      <c r="NZ28" t="str">
        <f>IF(WSMTK!$AD$113&lt;74.9,"P","")</f>
        <v/>
      </c>
      <c r="OA28" s="102" t="str">
        <f>IF(AND(WSMTK!$AD$113&gt;=75,WSMTK!$AD$113&lt;=83.24),"P","")</f>
        <v/>
      </c>
      <c r="OB28" s="102" t="str">
        <f>IF(AND(WSMTK!$AD$113&gt;=83.25,WSMTK!$AD$113&lt;=91.4),"P","")</f>
        <v/>
      </c>
      <c r="OC28" s="102" t="str">
        <f>IF(AND(WSMTK!$AD$113&gt;=91.5,WSMTK!$AD$113&lt;=100),"P","")</f>
        <v/>
      </c>
      <c r="OD28" t="str">
        <f>IF(WSMTK!$AD$145&lt;74.9,"P","")</f>
        <v/>
      </c>
      <c r="OE28" s="102" t="str">
        <f>IF(AND(WSMTK!$AD$145&gt;=75,WSMTK!$AD$145&lt;=83.24),"P","")</f>
        <v/>
      </c>
      <c r="OF28" s="102" t="str">
        <f>IF(AND(WSMTK!$AD$145&gt;=83.25,WSMTK!$AD$145&lt;=91.4),"P","")</f>
        <v/>
      </c>
      <c r="OG28" s="102" t="str">
        <f>IF(AND(WSMTK!$AD$145&gt;=91.5,WSMTK!$AD$145&lt;=100),"P","")</f>
        <v/>
      </c>
      <c r="OH28" t="str">
        <f>IF(WSMTK!$AD$168&lt;74.9,"P","")</f>
        <v/>
      </c>
      <c r="OI28" s="102" t="str">
        <f>IF(AND(WSMTK!$AD$168&gt;=75,WSMTK!$AD$168&lt;=83.24),"P","")</f>
        <v/>
      </c>
      <c r="OJ28" s="102" t="str">
        <f>IF(AND(WSMTK!$AD$168&gt;=83.25,WSMTK!$AD$168&lt;=91.4),"P","")</f>
        <v/>
      </c>
      <c r="OK28" s="102" t="str">
        <f>IF(AND(WSMTK!$AD$168&gt;=91.5,WSMTK!$AD$168&lt;=100),"P","")</f>
        <v/>
      </c>
      <c r="OL28" t="str">
        <f>IF(WSMTK!$AD$176&lt;74.9,"P","")</f>
        <v/>
      </c>
      <c r="OM28" s="102" t="str">
        <f>IF(AND(WSMTK!$AD$176&gt;=75,WSMTK!$AD$176&lt;=83.24),"P","")</f>
        <v/>
      </c>
      <c r="ON28" s="102" t="str">
        <f>IF(AND(WSMTK!$AD$176&gt;=83.25,WSMTK!$AD$176&lt;=91.4),"P","")</f>
        <v/>
      </c>
      <c r="OO28" s="102" t="str">
        <f>IF(AND(WSMTK!$AD$176&gt;=91.5,WSMTK!$AD$176&lt;=100),"P","")</f>
        <v/>
      </c>
      <c r="OP28" t="str">
        <f>IF(WSMTK!$AD$184&lt;74.9,"P","")</f>
        <v/>
      </c>
      <c r="OQ28" s="102" t="str">
        <f>IF(AND(WSMTK!$AD$184&gt;=75,WSMTK!$AD$184&lt;=83.24),"P","")</f>
        <v/>
      </c>
      <c r="OR28" s="102" t="str">
        <f>IF(AND(WSMTK!$AD$184&gt;=83.25,WSMTK!$AD$184&lt;=91.4),"P","")</f>
        <v/>
      </c>
      <c r="OS28" s="102" t="str">
        <f>IF(AND(WSMTK!$AD$184&gt;=91.5,WSMTK!$AD$184&lt;=100),"P","")</f>
        <v/>
      </c>
      <c r="OT28" t="str">
        <f>IF(WSMTK!$AD$192&lt;74.9,"P","")</f>
        <v/>
      </c>
      <c r="OU28" s="102" t="str">
        <f>IF(AND(WSMTK!$AD$192&gt;=75,WSMTK!$AD$192&lt;=83.24),"P","")</f>
        <v/>
      </c>
      <c r="OV28" s="102" t="str">
        <f>IF(AND(WSMTK!$AD$192&gt;=83.25,WSMTK!$AD$192&lt;=91.4),"P","")</f>
        <v/>
      </c>
      <c r="OW28" s="102" t="str">
        <f>IF(AND(WSMTK!$AD$192&gt;=91.5,WSMTK!$AD$192&lt;=100),"P","")</f>
        <v/>
      </c>
      <c r="OX28" t="str">
        <f>IF(WSMTK!$AD$200&lt;74.9,"P","")</f>
        <v/>
      </c>
      <c r="OY28" s="102" t="str">
        <f>IF(AND(WSMTK!$AD$200&gt;=75,WSMTK!$AD$200&lt;=83.24),"P","")</f>
        <v/>
      </c>
      <c r="OZ28" s="102" t="str">
        <f>IF(AND(WSMTK!$AD$200&gt;=83.25,WSMTK!$AD$200&lt;=91.4),"P","")</f>
        <v/>
      </c>
      <c r="PA28" s="102" t="str">
        <f>IF(AND(WSMTK!$AD$200&gt;=91.5,WSMTK!$AD$200&lt;=100),"P","")</f>
        <v/>
      </c>
      <c r="PB28" t="str">
        <f>IF(WSIPA!$AD$6&lt;74.9,"P","")</f>
        <v/>
      </c>
      <c r="PC28" s="102" t="str">
        <f>IF(AND(WSIPA!$AD$6&gt;=75,WSIPA!$AD$6&lt;=83.24),"P","")</f>
        <v/>
      </c>
      <c r="PD28" s="102" t="str">
        <f>IF(AND(WSIPA!$AD$6&gt;=83.25,WSIPA!$AD$6&lt;=91.4),"P","")</f>
        <v/>
      </c>
      <c r="PE28" s="102" t="str">
        <f>IF(AND(WSIPA!$AD$6&gt;=91.5,WSIPA!$AD$6&lt;=100),"P","")</f>
        <v/>
      </c>
      <c r="PF28" t="str">
        <f>IF(WSIPA!$AD$14&lt;74.9,"P","")</f>
        <v/>
      </c>
      <c r="PG28" s="102" t="str">
        <f>IF(AND(WSIPA!$AD$14&gt;=75,WSIPA!$AD$14&lt;=83.24),"P","")</f>
        <v/>
      </c>
      <c r="PH28" s="102" t="str">
        <f>IF(AND(WSIPA!$AD$14&gt;=83.25,WSIPA!$AD$14&lt;=91.4),"P","")</f>
        <v/>
      </c>
      <c r="PI28" s="102" t="str">
        <f>IF(AND(WSIPA!$AD$14&gt;=91.5,WSIPA!$AD$14&lt;=100),"P","")</f>
        <v/>
      </c>
      <c r="PJ28" t="str">
        <f>IF(WSIPA!$AD$22&lt;74.9,"P","")</f>
        <v/>
      </c>
      <c r="PK28" s="102" t="str">
        <f>IF(AND(WSIPA!$AD$22&gt;=75,WSIPA!$AD$22&lt;=83.24),"P","")</f>
        <v/>
      </c>
      <c r="PL28" s="102" t="str">
        <f>IF(AND(WSIPA!$AD$22&gt;=83.25,WSIPA!$AD$22&lt;=91.4),"P","")</f>
        <v/>
      </c>
      <c r="PM28" s="102" t="str">
        <f>IF(AND(WSIPA!$AD$22&gt;=91.5,WSIPA!$AD$22&lt;=100),"P","")</f>
        <v/>
      </c>
      <c r="PN28" t="str">
        <f>IF(WSIPA!$AD$30&lt;74.9,"P","")</f>
        <v/>
      </c>
      <c r="PO28" s="102" t="str">
        <f>IF(AND(WSIPA!$AD$30&gt;=75,WSIPA!$AD$30&lt;=83.24),"P","")</f>
        <v/>
      </c>
      <c r="PP28" s="102" t="str">
        <f>IF(AND(WSIPA!$AD$30&gt;=83.25,WSIPA!$AD$30&lt;=91.4),"P","")</f>
        <v/>
      </c>
      <c r="PQ28" s="102" t="str">
        <f>IF(AND(WSIPA!$AD$30&gt;=91.5,WSIPA!$AD$30&lt;=100),"P","")</f>
        <v/>
      </c>
      <c r="PR28" t="str">
        <f>IF(WSIPA!$AD$38&lt;74.9,"P","")</f>
        <v/>
      </c>
      <c r="PS28" s="102" t="str">
        <f>IF(AND(WSIPA!$AD$38&gt;=75,WSIPA!$AD$38&lt;=83.24),"P","")</f>
        <v/>
      </c>
      <c r="PT28" s="102" t="str">
        <f>IF(AND(WSIPA!$AD$38&gt;=83.25,WSIPA!$AD$38&lt;=91.4),"P","")</f>
        <v/>
      </c>
      <c r="PU28" s="102" t="str">
        <f>IF(AND(WSIPA!$AD$38&gt;=91.5,WSIPA!$AD$38&lt;=100),"P","")</f>
        <v/>
      </c>
      <c r="PV28" t="str">
        <f>IF(WSIPA!$AD$46&lt;74.9,"P","")</f>
        <v/>
      </c>
      <c r="PW28" s="102" t="str">
        <f>IF(AND(WSIPA!$AD$46&gt;=75,WSIPA!$AD$46&lt;=83.24),"P","")</f>
        <v/>
      </c>
      <c r="PX28" s="102" t="str">
        <f>IF(AND(WSIPA!$AD$46&gt;=83.25,WSIPA!$AD$46&lt;=91.4),"P","")</f>
        <v/>
      </c>
      <c r="PY28" s="102" t="str">
        <f>IF(AND(WSIPA!$AD$46&gt;=91.5,WSIPA!$AD$46&lt;=100),"P","")</f>
        <v/>
      </c>
      <c r="PZ28" t="str">
        <f>IF(WSIPA!$AD$54&lt;74.9,"P","")</f>
        <v/>
      </c>
      <c r="QA28" s="102" t="str">
        <f>IF(AND(WSIPA!$AD$54&gt;=75,WSIPA!$AD$54&lt;=83.24),"P","")</f>
        <v/>
      </c>
      <c r="QB28" s="102" t="str">
        <f>IF(AND(WSIPA!$AD$54&gt;=83.25,WSIPA!$AD$54&lt;=91.4),"P","")</f>
        <v/>
      </c>
      <c r="QC28" s="102" t="str">
        <f>IF(AND(WSIPA!$AD$54&gt;=91.5,WSIPA!$AD$54&lt;=100),"P","")</f>
        <v/>
      </c>
      <c r="QD28" t="str">
        <f>IF(WSIPA!$AD$62&lt;74.9,"P","")</f>
        <v/>
      </c>
      <c r="QE28" s="102" t="str">
        <f>IF(AND(WSIPA!$AD$62&gt;=75,WSIPA!$AD$62&lt;=83.24),"P","")</f>
        <v/>
      </c>
      <c r="QF28" s="102" t="str">
        <f>IF(AND(WSIPA!$AD$62&gt;=83.25,WSIPA!$AD$62&lt;=91.4),"P","")</f>
        <v/>
      </c>
      <c r="QG28" s="102" t="str">
        <f>IF(AND(WSIPA!$AD$62&gt;=91.5,WSIPA!$AD$62&lt;=100),"P","")</f>
        <v/>
      </c>
      <c r="QH28" t="str">
        <f>IF(WSIPA!$AD$70&lt;74.9,"P","")</f>
        <v/>
      </c>
      <c r="QI28" s="102" t="str">
        <f>IF(AND(WSIPA!$AD$70&gt;=75,WSIPA!$AD$70&lt;=83.24),"P","")</f>
        <v/>
      </c>
      <c r="QJ28" s="102" t="str">
        <f>IF(AND(WSIPA!$AD$70&gt;=83.25,WSIPA!$AD$70&lt;=91.4),"P","")</f>
        <v/>
      </c>
      <c r="QK28" s="102" t="str">
        <f>IF(AND(WSIPA!$AD$70&gt;=91.5,WSIPA!$AD$70&lt;=100),"P","")</f>
        <v/>
      </c>
      <c r="QL28" t="str">
        <f>IF(WSIPA!$AD$78&lt;74.9,"P","")</f>
        <v/>
      </c>
      <c r="QM28" s="102" t="str">
        <f>IF(AND(WSIPA!$AD$78&gt;=75,WSIPA!$AD$78&lt;=83.24),"P","")</f>
        <v/>
      </c>
      <c r="QN28" s="102" t="str">
        <f>IF(AND(WSIPA!$AD$78&gt;=83.25,WSIPA!$AD$78&lt;=91.4),"P","")</f>
        <v/>
      </c>
      <c r="QO28" s="102" t="str">
        <f>IF(AND(WSIPA!$AD$78&gt;=91.5,WSIPA!$AD$78&lt;=100),"P","")</f>
        <v/>
      </c>
      <c r="QP28" t="str">
        <f>IF(WSIPA!$AD$86&lt;74.9,"P","")</f>
        <v/>
      </c>
      <c r="QQ28" s="102" t="str">
        <f>IF(AND(WSIPA!$AD$86&gt;=75,WSIPA!$AD$86&lt;=83.24),"P","")</f>
        <v/>
      </c>
      <c r="QR28" s="102" t="str">
        <f>IF(AND(WSIPA!$AD$86&gt;=83.25,WSIPA!$AD$86&lt;=91.4),"P","")</f>
        <v/>
      </c>
      <c r="QS28" s="102" t="str">
        <f>IF(AND(WSIPA!$AD$86&gt;=91.5,WSIPA!$AD$86&lt;=100),"P","")</f>
        <v/>
      </c>
      <c r="QT28" t="str">
        <f>IF(WSIPA!$AD$94&lt;74.9,"P","")</f>
        <v/>
      </c>
      <c r="QU28" s="102" t="str">
        <f>IF(AND(WSIPA!$AD$94&gt;=75,WSIPA!$AD$94&lt;=83.24),"P","")</f>
        <v/>
      </c>
      <c r="QV28" s="102" t="str">
        <f>IF(AND(WSIPA!$AD$94&gt;=83.25,WSIPA!$AD$94&lt;=91.4),"P","")</f>
        <v/>
      </c>
      <c r="QW28" s="102" t="str">
        <f>IF(AND(WSIPA!$AD$94&gt;=91.5,WSIPA!$AD$94&lt;=100),"P","")</f>
        <v/>
      </c>
      <c r="QX28" t="str">
        <f>IF(WSIPA!$AD$102&lt;74.9,"P","")</f>
        <v/>
      </c>
      <c r="QY28" s="102" t="str">
        <f>IF(AND(WSIPA!$AD$102&gt;=75,WSIPA!$AD$102&lt;=83.24),"P","")</f>
        <v/>
      </c>
      <c r="QZ28" s="102" t="str">
        <f>IF(AND(WSIPA!$AD$102&gt;=83.25,WSIPA!$AD$102&lt;=91.4),"P","")</f>
        <v/>
      </c>
      <c r="RA28" s="102" t="str">
        <f>IF(AND(WSIPA!$AD$102&gt;=91.5,WSIPA!$AD$102&lt;=100),"P","")</f>
        <v/>
      </c>
      <c r="RB28" t="str">
        <f>IF(WSIPS!$AD$6&lt;74.9,"P","")</f>
        <v/>
      </c>
      <c r="RC28" s="102" t="str">
        <f>IF(AND(WSIPS!$AD$6&gt;=75,WSIPS!$AD$6&lt;=83.24),"P","")</f>
        <v/>
      </c>
      <c r="RD28" s="102" t="str">
        <f>IF(AND(WSIPS!$AD$6&gt;=83.25,WSIPS!$AD$6&lt;=91.4),"P","")</f>
        <v/>
      </c>
      <c r="RE28" s="102" t="str">
        <f>IF(AND(WSIPS!$AD$6&gt;=91.5,WSIPS!$AD$6&lt;=100),"P","")</f>
        <v/>
      </c>
      <c r="RF28" t="str">
        <f>IF(WSIPS!$AD$14&lt;74.9,"P","")</f>
        <v/>
      </c>
      <c r="RG28" s="102" t="str">
        <f>IF(AND(WSIPS!$AD$14&gt;=75,WSIPS!$AD$14&lt;=83.24),"P","")</f>
        <v/>
      </c>
      <c r="RH28" s="102" t="str">
        <f>IF(AND(WSIPS!$AD$14&gt;=83.25,WSIPS!$AD$14&lt;=91.4),"P","")</f>
        <v/>
      </c>
      <c r="RI28" s="102" t="str">
        <f>IF(AND(WSIPS!$AD$14&gt;=91.5,WSIPS!$AD$14&lt;=100),"P","")</f>
        <v/>
      </c>
      <c r="RJ28" t="str">
        <f>IF(WSIPS!$AD$22&lt;74.9,"P","")</f>
        <v/>
      </c>
      <c r="RK28" s="102" t="str">
        <f>IF(AND(WSIPS!$AD$22&gt;=75,WSIPS!$AD$22&lt;=83.24),"P","")</f>
        <v/>
      </c>
      <c r="RL28" s="102" t="str">
        <f>IF(AND(WSIPS!$AD$22&gt;=83.25,WSIPS!$AD$22&lt;=91.4),"P","")</f>
        <v/>
      </c>
      <c r="RM28" s="102" t="str">
        <f>IF(AND(WSIPS!$AD$22&gt;=91.5,WSIPS!$AD$22&lt;=100),"P","")</f>
        <v/>
      </c>
      <c r="RN28" t="str">
        <f>IF(WSIPS!$AD$30&lt;74.9,"P","")</f>
        <v/>
      </c>
      <c r="RO28" s="102" t="str">
        <f>IF(AND(WSIPS!$AD$30&gt;=75,WSIPS!$AD$30&lt;=83.24),"P","")</f>
        <v/>
      </c>
      <c r="RP28" s="102" t="str">
        <f>IF(AND(WSIPS!$AD$30&gt;=83.25,WSIPS!$AD$30&lt;=91.4),"P","")</f>
        <v/>
      </c>
      <c r="RQ28" s="102" t="str">
        <f>IF(AND(WSIPS!$AD$30&gt;=91.5,WSIPS!$AD$30&lt;=100),"P","")</f>
        <v/>
      </c>
      <c r="RR28" t="str">
        <f>IF(WSIPS!$AD$38&lt;74.9,"P","")</f>
        <v/>
      </c>
      <c r="RS28" s="102" t="str">
        <f>IF(AND(WSIPS!$AD$38&gt;=75,WSIPS!$AD$38&lt;=83.24),"P","")</f>
        <v/>
      </c>
      <c r="RT28" s="102" t="str">
        <f>IF(AND(WSIPS!$AD$38&gt;=83.25,WSIPS!$AD$38&lt;=91.4),"P","")</f>
        <v/>
      </c>
      <c r="RU28" s="102" t="str">
        <f>IF(AND(WSIPS!$AD$38&gt;=91.5,WSIPS!$AD$38&lt;=100),"P","")</f>
        <v/>
      </c>
      <c r="RV28" t="str">
        <f>IF(WSIPS!$AD$46&lt;74.9,"P","")</f>
        <v/>
      </c>
      <c r="RW28" s="102" t="str">
        <f>IF(AND(WSIPS!$AD$46&gt;=75,WSIPS!$AD$46&lt;=83.24),"P","")</f>
        <v/>
      </c>
      <c r="RX28" s="102" t="str">
        <f>IF(AND(WSIPS!$AD$46&gt;=83.25,WSIPS!$AD$46&lt;=91.4),"P","")</f>
        <v/>
      </c>
      <c r="RY28" s="102" t="str">
        <f>IF(AND(WSIPS!$AD$46&gt;=91.5,WSIPS!$AD$46&lt;=100),"P","")</f>
        <v/>
      </c>
      <c r="RZ28" t="str">
        <f>IF(WSIPS!$AD$54&lt;74.9,"P","")</f>
        <v/>
      </c>
      <c r="SA28" s="102" t="str">
        <f>IF(AND(WSIPS!$AD$54&gt;=75,WSIPS!$AD$54&lt;=83.24),"P","")</f>
        <v/>
      </c>
      <c r="SB28" s="102" t="str">
        <f>IF(AND(WSIPS!$AD$54&gt;=83.25,WSIPS!$AD$54&lt;=91.4),"P","")</f>
        <v/>
      </c>
      <c r="SC28" s="102" t="str">
        <f>IF(AND(WSIPS!$AD$54&gt;=91.5,WSIPS!$AD$54&lt;=100),"P","")</f>
        <v/>
      </c>
      <c r="SD28" t="str">
        <f>IF(WSIPS!$AD$62&lt;74.9,"P","")</f>
        <v/>
      </c>
      <c r="SE28" s="102" t="str">
        <f>IF(AND(WSIPS!$AD$62&gt;=75,WSIPS!$AD$62&lt;=83.24),"P","")</f>
        <v/>
      </c>
      <c r="SF28" s="102" t="str">
        <f>IF(AND(WSIPS!$AD$62&gt;=83.25,WSIPS!$AD$62&lt;=91.4),"P","")</f>
        <v/>
      </c>
      <c r="SG28" s="102" t="str">
        <f>IF(AND(WSIPS!$AD$62&gt;=91.5,WSIPS!$AD$62&lt;=100),"P","")</f>
        <v/>
      </c>
      <c r="SH28" t="str">
        <f>IF(WSIPS!$AD$70&lt;74.9,"P","")</f>
        <v/>
      </c>
      <c r="SI28" s="102" t="str">
        <f>IF(AND(WSIPS!$AD$70&gt;=75,WSIPS!$AD$70&lt;=83.24),"P","")</f>
        <v/>
      </c>
      <c r="SJ28" s="102" t="str">
        <f>IF(AND(WSIPS!$AD$70&gt;=83.25,WSIPS!$AD$70&lt;=91.4),"P","")</f>
        <v/>
      </c>
      <c r="SK28" s="102" t="str">
        <f>IF(AND(WSIPS!$AD$70&gt;=91.5,WSIPS!$AD$70&lt;=100),"P","")</f>
        <v/>
      </c>
      <c r="SL28" t="str">
        <f>IF(WSIPS!$AD$78&lt;74.9,"P","")</f>
        <v/>
      </c>
      <c r="SM28" s="102" t="str">
        <f>IF(AND(WSIPS!$AD$78&gt;=75,WSIPS!$AD$78&lt;=83.24),"P","")</f>
        <v/>
      </c>
      <c r="SN28" s="102" t="str">
        <f>IF(AND(WSIPS!$AD$78&gt;=83.25,WSIPS!$AD$78&lt;=91.4),"P","")</f>
        <v/>
      </c>
      <c r="SO28" s="102" t="str">
        <f>IF(AND(WSIPS!$AD$78&gt;=91.5,WSIPS!$AD$78&lt;=100),"P","")</f>
        <v/>
      </c>
      <c r="SP28" t="str">
        <f>IF(WSIPS!$AD$86&lt;74.9,"P","")</f>
        <v/>
      </c>
      <c r="SQ28" s="102" t="str">
        <f>IF(AND(WSIPS!$AD$86&gt;=75,WSIPS!$AD$86&lt;=83.24),"P","")</f>
        <v/>
      </c>
      <c r="SR28" s="102" t="str">
        <f>IF(AND(WSIPS!$AD$86&gt;=83.25,WSIPS!$AD$86&lt;=91.4),"P","")</f>
        <v/>
      </c>
      <c r="SS28" s="102" t="str">
        <f>IF(AND(WSIPS!$AD$86&gt;=91.5,WSIPS!$AD$86&lt;=100),"P","")</f>
        <v/>
      </c>
      <c r="ST28" t="str">
        <f>IF(WSIPS!$AD$94&lt;74.9,"P","")</f>
        <v/>
      </c>
      <c r="SU28" s="102" t="str">
        <f>IF(AND(WSIPS!$AD$94&gt;=75,WSIPS!$AD$94&lt;=83.24),"P","")</f>
        <v/>
      </c>
      <c r="SV28" s="102" t="str">
        <f>IF(AND(WSIPS!$AD$94&gt;=83.25,WSIPS!$AD$94&lt;=91.4),"P","")</f>
        <v/>
      </c>
      <c r="SW28" s="102" t="str">
        <f>IF(AND(WSIPS!$AD$94&gt;=91.5,WSIPS!$AD$94&lt;=100),"P","")</f>
        <v/>
      </c>
      <c r="SX28" t="str">
        <f>IF(WSIPS!$AD$102&lt;74.9,"P","")</f>
        <v/>
      </c>
      <c r="SY28" s="102" t="str">
        <f>IF(AND(WSIPS!$AD$102&gt;=75,WSIPS!$AD$102&lt;=83.24),"P","")</f>
        <v/>
      </c>
      <c r="SZ28" s="102" t="str">
        <f>IF(AND(WSIPS!$AD$102&gt;=83.25,WSIPS!$AD$102&lt;=91.4),"P","")</f>
        <v/>
      </c>
      <c r="TA28" s="102" t="str">
        <f>IF(AND(WSIPS!$AD$102&gt;=91.5,WSIPS!$AD$102&lt;=100),"P","")</f>
        <v/>
      </c>
      <c r="TB28" t="str">
        <f>IF(WSSBK!$AD$6&lt;74.9,"P","")</f>
        <v/>
      </c>
      <c r="TC28" s="102" t="str">
        <f>IF(AND(WSSBK!$AD$6&gt;=75,WSSBK!$AD$6&lt;=83.24),"P","")</f>
        <v/>
      </c>
      <c r="TD28" s="102" t="str">
        <f>IF(AND(WSSBK!$AD$6&gt;=83.25,WSSBK!$AD$6&lt;=91.4),"P","")</f>
        <v/>
      </c>
      <c r="TE28" s="102" t="str">
        <f>IF(AND(WSSBK!$AD$6&gt;=91.5,WSSBK!$AD$6&lt;=100),"P","")</f>
        <v/>
      </c>
      <c r="TF28" t="str">
        <f>IF(WSSBK!$AD$16&lt;74.9,"P","")</f>
        <v/>
      </c>
      <c r="TG28" s="102" t="str">
        <f>IF(AND(WSSBK!$AD$16&gt;=75,WSSBK!$AD$16&lt;=83.24),"P","")</f>
        <v/>
      </c>
      <c r="TH28" s="102" t="str">
        <f>IF(AND(WSSBK!$AD$16&gt;=83.25,WSSBK!$AD$16&lt;=91.4),"P","")</f>
        <v/>
      </c>
      <c r="TI28" s="102" t="str">
        <f>IF(AND(WSSBK!$AD$16&gt;=91.5,WSSBK!$AD$16&lt;=100),"P","")</f>
        <v/>
      </c>
      <c r="TJ28" t="str">
        <f>IF(WSSBK!$AD$26&lt;74.9,"P","")</f>
        <v/>
      </c>
      <c r="TK28" s="102" t="str">
        <f>IF(AND(WSSBK!$AD$26&gt;=75,WSSBK!$AD$26&lt;=83.24),"P","")</f>
        <v/>
      </c>
      <c r="TL28" s="102" t="str">
        <f>IF(AND(WSSBK!$AD$26&gt;=83.25,WSSBK!$AD$26&lt;=91.4),"P","")</f>
        <v/>
      </c>
      <c r="TM28" s="102" t="str">
        <f>IF(AND(WSSBK!$AD$26&gt;=91.5,WSSBK!$AD$26&lt;=100),"P","")</f>
        <v/>
      </c>
      <c r="TN28" t="str">
        <f>IF(WSSBK!$AD$36&lt;74.9,"P","")</f>
        <v/>
      </c>
      <c r="TO28" s="102" t="str">
        <f>IF(AND(WSSBK!$AD$36&gt;=75,WSSBK!$AD$36&lt;=83.24),"P","")</f>
        <v/>
      </c>
      <c r="TP28" s="102" t="str">
        <f>IF(AND(WSSBK!$AD$36&gt;=83.25,WSSBK!$AD$36&lt;=91.4),"P","")</f>
        <v/>
      </c>
      <c r="TQ28" s="102" t="str">
        <f>IF(AND(WSSBK!$AD$36&gt;=91.5,WSSBK!$AD$36&lt;=100),"P","")</f>
        <v/>
      </c>
      <c r="TR28" t="str">
        <f>IF(WSSBK!$AD$46&lt;74.9,"P","")</f>
        <v/>
      </c>
      <c r="TS28" s="102" t="str">
        <f>IF(AND(WSSBK!$AD$46&gt;=75,WSSBK!$AD$46&lt;=83.24),"P","")</f>
        <v/>
      </c>
      <c r="TT28" s="102" t="str">
        <f>IF(AND(WSSBK!$AD$46&gt;=83.25,WSSBK!$AD$46&lt;=91.4),"P","")</f>
        <v/>
      </c>
      <c r="TU28" s="102" t="str">
        <f>IF(AND(WSSBK!$AD$46&gt;=91.5,WSSBK!$AD$46&lt;=100),"P","")</f>
        <v/>
      </c>
      <c r="TV28" t="str">
        <f>IF(WSSBK!$AD$58&lt;74.9,"P","")</f>
        <v/>
      </c>
      <c r="TW28" s="102" t="str">
        <f>IF(AND(WSSBK!$AD$58&gt;=75,WSSBK!$AD$58&lt;=83.24),"P","")</f>
        <v/>
      </c>
      <c r="TX28" s="102" t="str">
        <f>IF(AND(WSSBK!$AD$58&gt;=83.25,WSSBK!$AD$58&lt;=91.4),"P","")</f>
        <v/>
      </c>
      <c r="TY28" s="102" t="str">
        <f>IF(AND(WSSBK!$AD$58&gt;=91.5,WSSBK!$AD$58&lt;=100),"P","")</f>
        <v/>
      </c>
      <c r="TZ28" t="str">
        <f>IF(WSSBK!$AD$68&lt;74.9,"P","")</f>
        <v/>
      </c>
      <c r="UA28" s="102" t="str">
        <f>IF(AND(WSSBK!$AD$68&gt;=75,WSSBK!$AD$68&lt;=83.24),"P","")</f>
        <v/>
      </c>
      <c r="UB28" s="102" t="str">
        <f>IF(AND(WSSBK!$AD$68&gt;=83.25,WSSBK!$AD$68&lt;=91.4),"P","")</f>
        <v/>
      </c>
      <c r="UC28" s="102" t="str">
        <f>IF(AND(WSSBK!$AD$68&gt;=91.5,WSSBK!$AD$68&lt;=100),"P","")</f>
        <v/>
      </c>
      <c r="UD28" t="str">
        <f>IF(WSSBK!$AD$77&lt;74.9,"P","")</f>
        <v/>
      </c>
      <c r="UE28" s="102" t="str">
        <f>IF(AND(WSSBK!$AD$77&gt;=75,WSSBK!$AD$77&lt;=83.24),"P","")</f>
        <v/>
      </c>
      <c r="UF28" s="102" t="str">
        <f>IF(AND(WSSBK!$AD$77&gt;=83.25,WSSBK!$AD$77&lt;=91.4),"P","")</f>
        <v/>
      </c>
      <c r="UG28" s="102" t="str">
        <f>IF(AND(WSSBK!$AD$77&gt;=91.5,WSSBK!$AD$77&lt;=100),"P","")</f>
        <v/>
      </c>
      <c r="UH28" t="str">
        <f>IF(WSSBK!$AD$87&lt;74.9,"P","")</f>
        <v/>
      </c>
      <c r="UI28" s="102" t="str">
        <f>IF(AND(WSSBK!$AD$87&gt;=75,WSSBK!$AD$87&lt;=83.24),"P","")</f>
        <v/>
      </c>
      <c r="UJ28" s="102" t="str">
        <f>IF(AND(WSSBK!$AD$87&gt;=83.25,WSSBK!$AD$87&lt;=91.4),"P","")</f>
        <v/>
      </c>
      <c r="UK28" s="102" t="str">
        <f>IF(AND(WSSBK!$AD$87&gt;=91.5,WSSBK!$AD$87&lt;=100),"P","")</f>
        <v/>
      </c>
      <c r="UL28" t="str">
        <f>IF(WSSBK!$AD$95&lt;74.9,"P","")</f>
        <v/>
      </c>
      <c r="UM28" s="102" t="str">
        <f>IF(AND(WSSBK!$AD$95&gt;=75,WSSBK!$AD$95&lt;=83.24),"P","")</f>
        <v/>
      </c>
      <c r="UN28" s="102" t="str">
        <f>IF(AND(WSSBK!$AD$95&gt;=83.25,WSSBK!$AD$95&lt;=91.4),"P","")</f>
        <v/>
      </c>
      <c r="UO28" s="102" t="str">
        <f>IF(AND(WSSBK!$AD$95&gt;=91.5,WSSBK!$AD$95&lt;=100),"P","")</f>
        <v/>
      </c>
      <c r="UP28" t="str">
        <f>IF(WSSBK!$AD$103&lt;74.9,"P","")</f>
        <v/>
      </c>
      <c r="UQ28" s="102" t="str">
        <f>IF(AND(WSSBK!$AD$103&gt;=75,WSSBK!$AD$103&lt;=83.24),"P","")</f>
        <v/>
      </c>
      <c r="UR28" s="102" t="str">
        <f>IF(AND(WSSBK!$AD$103&gt;=83.25,WSSBK!$AD$103&lt;=91.4),"P","")</f>
        <v/>
      </c>
      <c r="US28" s="102" t="str">
        <f>IF(AND(WSSBK!$AD$103&gt;=91.5,WSSBK!$AD$103&lt;=100),"P","")</f>
        <v/>
      </c>
      <c r="UT28" t="str">
        <f>IF(WSSBK!$AD$111&lt;74.9,"P","")</f>
        <v/>
      </c>
      <c r="UU28" s="102" t="str">
        <f>IF(AND(WSSBK!$AD$111&gt;=75,WSSBK!$AD$111&lt;=83.24),"P","")</f>
        <v/>
      </c>
      <c r="UV28" s="102" t="str">
        <f>IF(AND(WSSBK!$AD$111&gt;=83.25,WSSBK!$AD$111&lt;=91.4),"P","")</f>
        <v/>
      </c>
      <c r="UW28" s="102" t="str">
        <f>IF(AND(WSSBK!$AD$111&gt;=91.5,WSSBK!$AD$111&lt;=100),"P","")</f>
        <v/>
      </c>
      <c r="UX28" t="str">
        <f>IF(WSSBK!$AD$119&lt;74.9,"P","")</f>
        <v/>
      </c>
      <c r="UY28" s="102" t="str">
        <f>IF(AND(WSSBK!$AD$119&gt;=75,WSSBK!$AD$119&lt;=83.24),"P","")</f>
        <v/>
      </c>
      <c r="UZ28" s="102" t="str">
        <f>IF(AND(WSSBK!$AD$119&gt;=83.25,WSSBK!$AD$119&lt;=91.4),"P","")</f>
        <v/>
      </c>
      <c r="VA28" s="102" t="str">
        <f>IF(AND(WSSBK!$AD$119&gt;=91.5,WSSBK!$AD$119&lt;=100),"P","")</f>
        <v/>
      </c>
      <c r="VB28" s="102" t="str">
        <f>IF(AND(WSPENJAS!$AD$6&gt;0,WSPENJAS!$AD$6&lt;=74.9),"P","")</f>
        <v/>
      </c>
      <c r="VC28" s="102" t="str">
        <f>IF(AND(WSPENJAS!$AD$6&gt;=75,WSPENJAS!$AD$6&lt;=83.24),"P","")</f>
        <v/>
      </c>
      <c r="VD28" s="102" t="str">
        <f>IF(AND(WSPENJAS!$AD$6&gt;=83.25,WSPENJAS!$AD$6&lt;=91.4),"P","")</f>
        <v/>
      </c>
      <c r="VE28" s="102" t="str">
        <f>IF(AND(WSPENJAS!$AD$6&gt;=91.5,WSPENJAS!$AD$6&lt;=100),"P","")</f>
        <v/>
      </c>
      <c r="VF28" s="102" t="str">
        <f>IF(AND(WSPENJAS!$AD$7&gt;0,WSPENJAS!$AD$7&lt;=74.9),"P","")</f>
        <v/>
      </c>
      <c r="VG28" s="102" t="str">
        <f>IF(AND(WSPENJAS!$AD$7&gt;=75,WSPENJAS!$AD$7&lt;=83.24),"P","")</f>
        <v/>
      </c>
      <c r="VH28" s="102" t="str">
        <f>IF(AND(WSPENJAS!$AD$7&gt;=83.25,WSPENJAS!$AD$7&lt;=91.4),"P","")</f>
        <v/>
      </c>
      <c r="VI28" s="102" t="str">
        <f>IF(AND(WSPENJAS!$AD$7&gt;=91.5,WSPENJAS!$AD$7&lt;=100),"P","")</f>
        <v/>
      </c>
      <c r="VJ28" s="102" t="str">
        <f>IF(AND(WSPENJAS!$AD$8&gt;0,WSPENJAS!$AD$8&lt;=74.9),"P","")</f>
        <v/>
      </c>
      <c r="VK28" s="102" t="str">
        <f>IF(AND(WSPENJAS!$AD$8&gt;=75,WSPENJAS!$AD$8&lt;=83.24),"P","")</f>
        <v/>
      </c>
      <c r="VL28" s="102" t="str">
        <f>IF(AND(WSPENJAS!$AD$8&gt;=83.25,WSPENJAS!$AD$8&lt;=91.4),"P","")</f>
        <v/>
      </c>
      <c r="VM28" s="102" t="str">
        <f>IF(AND(WSPENJAS!$AD$8&gt;=91.5,WSPENJAS!$AD$8&lt;=100),"P","")</f>
        <v/>
      </c>
      <c r="VN28" s="102" t="str">
        <f>IF(AND(WSPENJAS!$AD$9&gt;0,WSPENJAS!$AD$9&lt;=74.9),"P","")</f>
        <v/>
      </c>
      <c r="VO28" s="102" t="str">
        <f>IF(AND(WSPENJAS!$AD$9&gt;=75,WSPENJAS!$AD$9&lt;=83.24),"P","")</f>
        <v/>
      </c>
      <c r="VP28" s="102" t="str">
        <f>IF(AND(WSPENJAS!$AD$9&gt;=83.25,WSPENJAS!$AD$9&lt;=91.4),"P","")</f>
        <v/>
      </c>
      <c r="VQ28" s="102" t="str">
        <f>IF(AND(WSPENJAS!$AD$9&gt;=91.5,WSPENJAS!$AD$9&lt;=100),"P","")</f>
        <v/>
      </c>
      <c r="VR28" s="102" t="str">
        <f>IF(AND(WSPENJAS!$AD$10&gt;0,WSPENJAS!$AD$10&lt;=74.9),"P","")</f>
        <v/>
      </c>
      <c r="VS28" s="102" t="str">
        <f>IF(AND(WSPENJAS!$AD$10&gt;=75,WSPENJAS!$AD$10&lt;=83.24),"P","")</f>
        <v/>
      </c>
      <c r="VT28" s="102" t="str">
        <f>IF(AND(WSPENJAS!$AD$10&gt;=83.25,WSPENJAS!$AD$10&lt;=91.4),"P","")</f>
        <v/>
      </c>
      <c r="VU28" s="102" t="str">
        <f>IF(AND(WSPENJAS!$AD$10&gt;=91.5,WSPENJAS!$AD$10&lt;=100),"P","")</f>
        <v/>
      </c>
      <c r="VV28" s="102" t="str">
        <f>IF(AND(WSPENJAS!$AD$11&gt;0,WSPENJAS!$AD$11&lt;=74.9),"P","")</f>
        <v/>
      </c>
      <c r="VW28" s="102" t="str">
        <f>IF(AND(WSPENJAS!$AD$411&gt;=75,WSPENJAS!$AD$411&lt;=83.24),"P","")</f>
        <v/>
      </c>
      <c r="VX28" s="102" t="str">
        <f>IF(AND(WSPENJAS!$AD$411&gt;=83.25,WSPENJAS!$AD$411&lt;=91.4),"P","")</f>
        <v/>
      </c>
      <c r="VY28" s="102" t="str">
        <f>IF(AND(WSPENJAS!$AD$411&gt;=91.5,WSPENJAS!$AD$411&lt;=100),"P","")</f>
        <v/>
      </c>
      <c r="VZ28" s="102" t="str">
        <f>IF(AND(WSPENJAS!$AD$12&gt;0,WSPENJAS!$AD$12&lt;=74.9),"P","")</f>
        <v/>
      </c>
      <c r="WA28" s="102" t="str">
        <f>IF(AND(WSPENJAS!$AD$12&gt;=75,WSPENJAS!$AD$12&lt;=83.24),"P","")</f>
        <v/>
      </c>
      <c r="WB28" s="102" t="str">
        <f>IF(AND(WSPENJAS!$AD$12&gt;=83.25,WSPENJAS!$AD$12&lt;=91.4),"P","")</f>
        <v/>
      </c>
      <c r="WC28" s="102" t="str">
        <f>IF(AND(WSPENJAS!$AD$12&gt;=91.5,WSPENJAS!$AD$12&lt;=100),"P","")</f>
        <v/>
      </c>
      <c r="WD28" s="102" t="str">
        <f>IF(AND(WSPENJAS!$AD$13&gt;0,WSPENJAS!$AD$13&lt;=74.9),"P","")</f>
        <v/>
      </c>
      <c r="WE28" s="102" t="str">
        <f>IF(AND(WSPENJAS!$AD$13&gt;=75,WSPENJAS!$AD$13&lt;=83.24),"P","")</f>
        <v/>
      </c>
      <c r="WF28" s="102" t="str">
        <f>IF(AND(WSPENJAS!$AD$13&gt;=83.25,WSPENJAS!$AD$13&lt;=91.4),"P","")</f>
        <v/>
      </c>
      <c r="WG28" s="102" t="str">
        <f>IF(AND(WSPENJAS!$AD$13&gt;=91.5,WSPENJAS!$AD$13&lt;=100),"P","")</f>
        <v/>
      </c>
      <c r="WH28" s="102" t="str">
        <f>IF(AND(WSPENJAS!$AD$14&gt;0,WSPENJAS!$AD$14&lt;=74.9),"P","")</f>
        <v/>
      </c>
      <c r="WI28" s="102" t="str">
        <f>IF(AND(WSPENJAS!$AD$14&gt;=75,WSPENJAS!$AD$14&lt;=83.24),"P","")</f>
        <v/>
      </c>
      <c r="WJ28" s="102" t="str">
        <f>IF(AND(WSPENJAS!$AD$14&gt;=83.25,WSPENJAS!$AD$14&lt;=91.4),"P","")</f>
        <v/>
      </c>
      <c r="WK28" s="102" t="str">
        <f>IF(AND(WSPENJAS!$AD$14&gt;=91.5,WSPENJAS!$AD$14&lt;=100),"P","")</f>
        <v/>
      </c>
      <c r="WL28" s="102" t="str">
        <f>IF(AND(WSPENJAS!$AD$15&gt;0,WSPENJAS!$AD$15&lt;=74.9),"P","")</f>
        <v/>
      </c>
      <c r="WM28" s="102" t="str">
        <f>IF(AND(WSPENJAS!$AD$15&gt;=75,WSPENJAS!$AD$15&lt;=83.24),"P","")</f>
        <v/>
      </c>
      <c r="WN28" s="102" t="str">
        <f>IF(AND(WSPENJAS!$AD$15&gt;=83.25,WSPENJAS!$AD$15&lt;=91.4),"P","")</f>
        <v/>
      </c>
      <c r="WO28" s="102" t="str">
        <f>IF(AND(WSPENJAS!$AD$15&gt;=91.5,WSPENJAS!$AD$15&lt;=100),"P","")</f>
        <v/>
      </c>
      <c r="WP28" s="102" t="str">
        <f>IF(AND(WSPENJAS!$AD$16&gt;0,WSPENJAS!$AD$16&lt;=74.9),"P","")</f>
        <v/>
      </c>
      <c r="WQ28" s="102" t="str">
        <f>IF(AND(WSPENJAS!$AD$16&gt;=75,WSPENJAS!$AD$16&lt;=83.24),"P","")</f>
        <v/>
      </c>
      <c r="WR28" s="102" t="str">
        <f>IF(AND(WSPENJAS!$AD$16&gt;=83.25,WSPENJAS!$AD$16&lt;=91.4),"P","")</f>
        <v/>
      </c>
      <c r="WS28" s="102" t="str">
        <f>IF(AND(WSPENJAS!$AD$16&gt;=91.5,WSPENJAS!$AD$16&lt;=100),"P","")</f>
        <v/>
      </c>
      <c r="WT28" s="102" t="str">
        <f>IF(AND(WSPENJAS!$AD$17&gt;0,WSPENJAS!$AD$17&lt;=74.9),"P","")</f>
        <v/>
      </c>
      <c r="WU28" s="102" t="str">
        <f>IF(AND(WSPENJAS!$AD$17&gt;=75,WSPENJAS!$AD$17&lt;=83.24),"P","")</f>
        <v/>
      </c>
      <c r="WV28" s="102" t="str">
        <f>IF(AND(WSPENJAS!$AD$17&gt;=83.25,WSPENJAS!$AD$17&lt;=91.4),"P","")</f>
        <v/>
      </c>
      <c r="WW28" s="102" t="str">
        <f>IF(AND(WSPENJAS!$AD$17&gt;=91.5,WSPENJAS!$AD$17&lt;=100),"P","")</f>
        <v/>
      </c>
      <c r="WX28" s="102" t="str">
        <f>IF(AND(WSPENJAS!$AD$18&gt;0,WSPENJAS!$AD$18&lt;=74.9),"P","")</f>
        <v/>
      </c>
      <c r="WY28" s="102" t="str">
        <f>IF(AND(WSPENJAS!$AD$18&gt;=75,WSPENJAS!$AD$18&lt;=83.24),"P","")</f>
        <v/>
      </c>
      <c r="WZ28" s="102" t="str">
        <f>IF(AND(WSPENJAS!$AD$18&gt;=83.25,WSPENJAS!$AD$18&lt;=91.4),"P","")</f>
        <v/>
      </c>
      <c r="XA28" s="102" t="str">
        <f>IF(AND(WSPENJAS!$AD$18&gt;=91.5,WSPENJAS!$AD$18&lt;=100),"P","")</f>
        <v/>
      </c>
      <c r="XB28" s="102" t="str">
        <f>IF(AND(WSPENJAS!$AD$19&gt;0,WSPENJAS!$AD$19&lt;=74.9),"P","")</f>
        <v/>
      </c>
      <c r="XC28" s="102" t="str">
        <f>IF(AND(WSPENJAS!$AD$19&gt;=75,WSPENJAS!$AD$19&lt;=83.24),"P","")</f>
        <v/>
      </c>
      <c r="XD28" s="102" t="str">
        <f>IF(AND(WSPENJAS!$AD$19&gt;=83.25,WSPENJAS!$AD$19&lt;=91.4),"P","")</f>
        <v/>
      </c>
      <c r="XE28" s="102" t="str">
        <f>IF(AND(WSPENJAS!$AD$19&gt;=91.5,WSPENJAS!$AD$19&lt;=100),"P","")</f>
        <v/>
      </c>
      <c r="XF28" s="102" t="str">
        <f>IF(AND(WSPENJAS!$AD$20&gt;0,WSPENJAS!$AD$20&lt;=74.9),"P","")</f>
        <v/>
      </c>
      <c r="XG28" s="102" t="str">
        <f>IF(AND(WSPENJAS!$AD$20&gt;=75,WSPENJAS!$AD$20&lt;=83.24),"P","")</f>
        <v/>
      </c>
      <c r="XH28" s="102" t="str">
        <f>IF(AND(WSPENJAS!$AD$20&gt;=83.25,WSPENJAS!$AD$20&lt;=91.4),"P","")</f>
        <v/>
      </c>
      <c r="XI28" s="102" t="str">
        <f>IF(AND(WSPENJAS!$AD$20&gt;=91.5,WSPENJAS!$AD$20&lt;=100),"P","")</f>
        <v/>
      </c>
      <c r="XJ28" s="102" t="str">
        <f>IF(AND(WSPENJAS!$AD$21&gt;0,WSPENJAS!$AD$21&lt;=74.9),"P","")</f>
        <v/>
      </c>
      <c r="XK28" s="102" t="str">
        <f>IF(AND(WSPENJAS!$AD$21&gt;=75,WSPENJAS!$AD$21&lt;=83.24),"P","")</f>
        <v/>
      </c>
      <c r="XL28" s="102" t="str">
        <f>IF(AND(WSPENJAS!$AD$21&gt;=83.25,WSPENJAS!$AD$21&lt;=91.4),"P","")</f>
        <v/>
      </c>
      <c r="XM28" s="102" t="str">
        <f>IF(AND(WSPENJAS!$AD$21&gt;=91.5,WSPENJAS!$AD$21&lt;=100),"P","")</f>
        <v/>
      </c>
      <c r="XN28" t="str">
        <f>IF(WSJAWA!$AD$6&lt;74.9,"P","")</f>
        <v/>
      </c>
      <c r="XO28" s="102" t="str">
        <f>IF(AND(WSJAWA!$AD$6&gt;=75,WSJAWA!$AD$6&lt;=83.24),"P","")</f>
        <v/>
      </c>
      <c r="XP28" s="102" t="str">
        <f>IF(AND(WSJAWA!$AD$6&gt;=83.25,WSJAWA!$AD$6&lt;=91.4),"P","")</f>
        <v/>
      </c>
      <c r="XQ28" s="102" t="str">
        <f>IF(AND(WSJAWA!$AD$6&gt;=91.5,WSJAWA!$AD$6&lt;=100),"P","")</f>
        <v/>
      </c>
      <c r="XR28" t="str">
        <f>IF(WSJAWA!$AD$14&lt;74.9,"P","")</f>
        <v/>
      </c>
      <c r="XS28" s="102" t="str">
        <f>IF(AND(WSJAWA!$AD$14&gt;=75,WSJAWA!$AD$14&lt;=83.24),"P","")</f>
        <v/>
      </c>
      <c r="XT28" s="102" t="str">
        <f>IF(AND(WSJAWA!$AD$14&gt;=83.25,WSJAWA!$AD$14&lt;=91.4),"P","")</f>
        <v/>
      </c>
      <c r="XU28" s="102" t="str">
        <f>IF(AND(WSJAWA!$AD$14&gt;=91.5,WSJAWA!$AD$14&lt;=100),"P","")</f>
        <v/>
      </c>
      <c r="XV28" t="str">
        <f>IF(WSJAWA!$AD$22&lt;74.9,"P","")</f>
        <v/>
      </c>
      <c r="XW28" s="102" t="str">
        <f>IF(AND(WSJAWA!$AD$22&gt;=75,WSJAWA!$AD$22&lt;=83.24),"P","")</f>
        <v/>
      </c>
      <c r="XX28" s="102" t="str">
        <f>IF(AND(WSJAWA!$AD$22&gt;=83.25,WSJAWA!$AD$22&lt;=91.4),"P","")</f>
        <v/>
      </c>
      <c r="XY28" s="102" t="str">
        <f>IF(AND(WSJAWA!$AD$22&gt;=91.5,WSJAWA!$AD$22&lt;=100),"P","")</f>
        <v/>
      </c>
      <c r="XZ28" t="str">
        <f>IF(WSJAWA!$AD$30&lt;74.9,"P","")</f>
        <v/>
      </c>
      <c r="YA28" s="102" t="str">
        <f>IF(AND(WSJAWA!$AD$30&gt;=75,WSJAWA!$AD$30&lt;=83.24),"P","")</f>
        <v/>
      </c>
      <c r="YB28" s="102" t="str">
        <f>IF(AND(WSJAWA!$AD$30&gt;=83.25,WSJAWA!$AD$30&lt;=91.4),"P","")</f>
        <v/>
      </c>
      <c r="YC28" s="102" t="str">
        <f>IF(AND(WSJAWA!$AD$30&gt;=91.5,WSJAWA!$AD$30&lt;=100),"P","")</f>
        <v/>
      </c>
      <c r="YD28" t="str">
        <f>IF(WSJAWA!$AD$38&lt;74.9,"P","")</f>
        <v/>
      </c>
      <c r="YE28" s="102" t="str">
        <f>IF(AND(WSJAWA!$AD$38&gt;=75,WSJAWA!$AD$38&lt;=83.24),"P","")</f>
        <v/>
      </c>
      <c r="YF28" s="102" t="str">
        <f>IF(AND(WSJAWA!$AD$38&gt;=83.25,WSJAWA!$AD$38&lt;=91.4),"P","")</f>
        <v/>
      </c>
      <c r="YG28" s="102" t="str">
        <f>IF(AND(WSJAWA!$AD$38&gt;=91.5,WSJAWA!$AD$38&lt;=100),"P","")</f>
        <v/>
      </c>
      <c r="YH28" t="str">
        <f>IF(WSJAWA!$AD$46&lt;74.9,"P","")</f>
        <v/>
      </c>
      <c r="YI28" s="102" t="str">
        <f>IF(AND(WSJAWA!$AD$46&gt;=75,WSJAWA!$AD$46&lt;=83.24),"P","")</f>
        <v/>
      </c>
      <c r="YJ28" s="102" t="str">
        <f>IF(AND(WSJAWA!$AD$46&gt;=83.25,WSJAWA!$AD$46&lt;=91.4),"P","")</f>
        <v/>
      </c>
      <c r="YK28" s="102" t="str">
        <f>IF(AND(WSJAWA!$AD$46&gt;=91.5,WSJAWA!$AD$46&lt;=100),"P","")</f>
        <v/>
      </c>
      <c r="YL28" t="str">
        <f>IF(WSJAWA!$AD$54&lt;74.9,"P","")</f>
        <v/>
      </c>
      <c r="YM28" s="102" t="str">
        <f>IF(AND(WSJAWA!$AD$54&gt;=75,WSJAWA!$AD$54&lt;=83.24),"P","")</f>
        <v/>
      </c>
      <c r="YN28" s="102" t="str">
        <f>IF(AND(WSJAWA!$AD$54&gt;=83.25,WSJAWA!$AD$54&lt;=91.4),"P","")</f>
        <v/>
      </c>
      <c r="YO28" s="102" t="str">
        <f>IF(AND(WSJAWA!$AD$54&gt;=91.5,WSJAWA!$AD$54&lt;=100),"P","")</f>
        <v/>
      </c>
      <c r="YP28" t="str">
        <f>IF(WSJAWA!$AD$62&lt;74.9,"P","")</f>
        <v/>
      </c>
      <c r="YQ28" s="102" t="str">
        <f>IF(AND(WSJAWA!$AD$62&gt;=75,WSJAWA!$AD$62&lt;=83.24),"P","")</f>
        <v/>
      </c>
      <c r="YR28" s="102" t="str">
        <f>IF(AND(WSJAWA!$AD$62&gt;=83.25,WSJAWA!$AD$62&lt;=91.4),"P","")</f>
        <v/>
      </c>
      <c r="YS28" s="102" t="str">
        <f>IF(AND(WSJAWA!$AD$62&gt;=91.5,WSJAWA!$AD$62&lt;=100),"P","")</f>
        <v/>
      </c>
      <c r="YT28" t="str">
        <f>IF(WSJAWA!$AD$70&lt;74.9,"P","")</f>
        <v/>
      </c>
      <c r="YU28" s="102" t="str">
        <f>IF(AND(WSJAWA!$AD$70&gt;=75,WSJAWA!$AD$70&lt;=83.24),"P","")</f>
        <v/>
      </c>
      <c r="YV28" s="102" t="str">
        <f>IF(AND(WSJAWA!$AD$70&gt;=83.25,WSJAWA!$AD$70&lt;=91.4),"P","")</f>
        <v/>
      </c>
      <c r="YW28" s="102" t="str">
        <f>IF(AND(WSJAWA!$AD$70&gt;=91.5,WSJAWA!$AD$70&lt;=100),"P","")</f>
        <v/>
      </c>
      <c r="YX28" t="str">
        <f>IF(WSJAWA!$AD$78&lt;74.9,"P","")</f>
        <v/>
      </c>
      <c r="YY28" s="102" t="str">
        <f>IF(AND(WSJAWA!$AD$78&gt;=75,WSJAWA!$AD$78&lt;=83.24),"P","")</f>
        <v/>
      </c>
      <c r="YZ28" s="102" t="str">
        <f>IF(AND(WSJAWA!$AD$78&gt;=83.25,WSJAWA!$AD$78&lt;=91.4),"P","")</f>
        <v/>
      </c>
      <c r="ZA28" s="102" t="str">
        <f>IF(AND(WSJAWA!$AD$78&gt;=91.5,WSJAWA!$AD$78&lt;=100),"P","")</f>
        <v/>
      </c>
      <c r="ZB28" t="str">
        <f>IF(WSJAWA!$AD$86&lt;74.9,"P","")</f>
        <v/>
      </c>
      <c r="ZC28" s="102" t="str">
        <f>IF(AND(WSJAWA!$AD$86&gt;=75,WSJAWA!$AD$86&lt;=83.24),"P","")</f>
        <v/>
      </c>
      <c r="ZD28" s="102" t="str">
        <f>IF(AND(WSJAWA!$AD$86&gt;=83.25,WSJAWA!$AD$86&lt;=91.4),"P","")</f>
        <v/>
      </c>
      <c r="ZE28" s="102" t="str">
        <f>IF(AND(WSJAWA!$AD$86&gt;=91.5,WSJAWA!$AD$86&lt;=100),"P","")</f>
        <v/>
      </c>
      <c r="ZF28" t="str">
        <f>IF(WSJAWA!$AD$94&lt;74.9,"P","")</f>
        <v/>
      </c>
      <c r="ZG28" s="102" t="str">
        <f>IF(AND(WSJAWA!$AD$94&gt;=75,WSJAWA!$AD$94&lt;=83.24),"P","")</f>
        <v/>
      </c>
      <c r="ZH28" s="102" t="str">
        <f>IF(AND(WSJAWA!$AD$94&gt;=83.25,WSJAWA!$AD$94&lt;=91.4),"P","")</f>
        <v/>
      </c>
      <c r="ZI28" s="102" t="str">
        <f>IF(AND(WSJAWA!$AD$94&gt;=91.5,WSJAWA!$AD$94&lt;=100),"P","")</f>
        <v/>
      </c>
      <c r="ZJ28" t="str">
        <f>IF(WSJAWA!$AD$102&lt;74.9,"P","")</f>
        <v/>
      </c>
      <c r="ZK28" s="102" t="str">
        <f>IF(AND(WSJAWA!$AD$102&gt;=75,WSJAWA!$AD$102&lt;=83.24),"P","")</f>
        <v/>
      </c>
      <c r="ZL28" s="102" t="str">
        <f>IF(AND(WSJAWA!$AD$102&gt;=83.25,WSJAWA!$AD$102&lt;=91.4),"P","")</f>
        <v/>
      </c>
      <c r="ZM28" s="102" t="str">
        <f>IF(AND(WSJAWA!$AD$102&gt;=91.5,WSJAWA!$AD$102&lt;=100),"P","")</f>
        <v/>
      </c>
      <c r="ZN28" t="str">
        <f>IF(WSING!$AD$6&lt;74.9,"P","")</f>
        <v/>
      </c>
      <c r="ZO28" s="102" t="str">
        <f>IF(AND(WSING!$AD$6&gt;=75,WSING!$AD$6&lt;=83.24),"P","")</f>
        <v/>
      </c>
      <c r="ZP28" s="102" t="str">
        <f>IF(AND(WSING!$AD$6&gt;=83.25,WSING!$AD$6&lt;=91.4),"P","")</f>
        <v/>
      </c>
      <c r="ZQ28" s="102" t="str">
        <f>IF(AND(WSING!$AD$6&gt;=91.5,WSING!$AD$6&lt;=100),"P","")</f>
        <v/>
      </c>
      <c r="ZR28" t="str">
        <f>IF(WSING!$AD$15&lt;74.9,"P","")</f>
        <v/>
      </c>
      <c r="ZS28" s="102" t="str">
        <f>IF(AND(WSING!$AD$15&gt;=75,WSING!$AD$15&lt;=83.24),"P","")</f>
        <v/>
      </c>
      <c r="ZT28" s="102" t="str">
        <f>IF(AND(WSING!$AD$15&gt;=83.25,WSING!$AD$15&lt;=91.4),"P","")</f>
        <v/>
      </c>
      <c r="ZU28" s="102" t="str">
        <f>IF(AND(WSING!$AD$15&gt;=91.5,WSING!$AD$15&lt;=100),"P","")</f>
        <v/>
      </c>
      <c r="ZV28" t="str">
        <f>IF(WSING!$AD$24&lt;74.9,"P","")</f>
        <v/>
      </c>
      <c r="ZW28" s="102" t="str">
        <f>IF(AND(WSING!$AD$24&gt;=75,WSING!$AD$24&lt;=83.24),"P","")</f>
        <v/>
      </c>
      <c r="ZX28" s="102" t="str">
        <f>IF(AND(WSING!$AD$24&gt;=83.25,WSING!$AD$24&lt;=91.4),"P","")</f>
        <v/>
      </c>
      <c r="ZY28" s="102" t="str">
        <f>IF(AND(WSING!$AD$24&gt;=91.5,WSING!$AD$24&lt;=100),"P","")</f>
        <v/>
      </c>
      <c r="ZZ28" t="str">
        <f>IF(WSING!$AD$33&lt;74.9,"P","")</f>
        <v/>
      </c>
      <c r="AAA28" s="102" t="str">
        <f>IF(AND(WSING!$AD$33&gt;=75,WSING!$AD$33&lt;=83.24),"P","")</f>
        <v/>
      </c>
      <c r="AAB28" s="102" t="str">
        <f>IF(AND(WSING!$AD$33&gt;=83.25,WSING!$AD$33&lt;=91.4),"P","")</f>
        <v/>
      </c>
      <c r="AAC28" s="102" t="str">
        <f>IF(AND(WSING!$AD$33&gt;=91.5,WSING!$AD$33&lt;=100),"P","")</f>
        <v/>
      </c>
      <c r="AAD28" t="str">
        <f>IF(WSING!$AD$42&lt;74.9,"P","")</f>
        <v/>
      </c>
      <c r="AAE28" s="102" t="str">
        <f>IF(AND(WSING!$AD$42&gt;=75,WSING!$AD$42&lt;=83.24),"P","")</f>
        <v/>
      </c>
      <c r="AAF28" s="102" t="str">
        <f>IF(AND(WSING!$AD$42&gt;=83.25,WSING!$AD$42&lt;=91.4),"P","")</f>
        <v/>
      </c>
      <c r="AAG28" s="102" t="str">
        <f>IF(AND(WSING!$AD$42&gt;=91.5,WSING!$AD$42&lt;=100),"P","")</f>
        <v/>
      </c>
      <c r="AAH28" t="str">
        <f>IF(WSING!$AD$50&lt;74.9,"P","")</f>
        <v/>
      </c>
      <c r="AAI28" s="102" t="str">
        <f>IF(AND(WSING!$AD$50&gt;=75,WSING!$AD$50&lt;=83.24),"P","")</f>
        <v/>
      </c>
      <c r="AAJ28" s="102" t="str">
        <f>IF(AND(WSING!$AD$50&gt;=83.25,WSING!$AD$50&lt;=91.4),"P","")</f>
        <v/>
      </c>
      <c r="AAK28" s="102" t="str">
        <f>IF(AND(WSING!$AD$50&gt;=91.5,WSING!$AD$50&lt;=100),"P","")</f>
        <v/>
      </c>
      <c r="AAL28" t="str">
        <f>IF(WSING!$AD$58&lt;74.9,"P","")</f>
        <v/>
      </c>
      <c r="AAM28" s="102" t="str">
        <f>IF(AND(WSING!$AD$58&gt;=75,WSING!$AD$58&lt;=83.24),"P","")</f>
        <v/>
      </c>
      <c r="AAN28" s="102" t="str">
        <f>IF(AND(WSING!$AD$58&gt;=83.25,WSING!$AD$58&lt;=91.4),"P","")</f>
        <v/>
      </c>
      <c r="AAO28" s="102" t="str">
        <f>IF(AND(WSING!$AD$58&gt;=91.5,WSING!$AD$58&lt;=100),"P","")</f>
        <v/>
      </c>
      <c r="AAP28" t="str">
        <f>IF(WSING!$AD$66&lt;74.9,"P","")</f>
        <v/>
      </c>
      <c r="AAQ28" s="102" t="str">
        <f>IF(AND(WSING!$AD$66&gt;=75,WSING!$AD$66&lt;=83.24),"P","")</f>
        <v/>
      </c>
      <c r="AAR28" s="102" t="str">
        <f>IF(AND(WSING!$AD$66&gt;=83.25,WSING!$AD$66&lt;=91.4),"P","")</f>
        <v/>
      </c>
      <c r="AAS28" s="102" t="str">
        <f>IF(AND(WSING!$AD$66&gt;=91.5,WSING!$AD$66&lt;=100),"P","")</f>
        <v/>
      </c>
      <c r="AAT28" t="str">
        <f>IF(WSING!$AD$74&lt;74.9,"P","")</f>
        <v/>
      </c>
      <c r="AAU28" s="102" t="str">
        <f>IF(AND(WSING!$AD$74&gt;=75,WSING!$AD$74&lt;=83.24),"P","")</f>
        <v/>
      </c>
      <c r="AAV28" s="102" t="str">
        <f>IF(AND(WSING!$AD$74&gt;=83.25,WSING!$AD$74&lt;=91.4),"P","")</f>
        <v/>
      </c>
      <c r="AAW28" s="102" t="str">
        <f>IF(AND(WSING!$AD$74&gt;=91.5,WSING!$AD$74&lt;=100),"P","")</f>
        <v/>
      </c>
      <c r="AAX28" t="str">
        <f>IF(WSING!$AD$82&lt;74.9,"P","")</f>
        <v/>
      </c>
      <c r="AAY28" s="102" t="str">
        <f>IF(AND(WSING!$AD$82&gt;=75,WSING!$AD$82&lt;=83.24),"P","")</f>
        <v/>
      </c>
      <c r="AAZ28" s="102" t="str">
        <f>IF(AND(WSING!$AD$82&gt;=83.25,WSING!$AD$82&lt;=91.4),"P","")</f>
        <v/>
      </c>
      <c r="ABA28" s="102" t="str">
        <f>IF(AND(WSING!$AD$82&gt;=91.5,WSING!$AD$82&lt;=100),"P","")</f>
        <v/>
      </c>
      <c r="ABB28" t="str">
        <f>IF(WSING!$AD$90&lt;74.9,"P","")</f>
        <v/>
      </c>
      <c r="ABC28" s="102" t="str">
        <f>IF(AND(WSING!$AD$90&gt;=75,WSING!$AD$90&lt;=83.24),"P","")</f>
        <v/>
      </c>
      <c r="ABD28" s="102" t="str">
        <f>IF(AND(WSING!$AD$90&gt;=83.25,WSING!$AD$90&lt;=91.4),"P","")</f>
        <v/>
      </c>
      <c r="ABE28" s="102" t="str">
        <f>IF(AND(WSING!$AD$90&gt;=91.5,WSING!$AD$90&lt;=100),"P","")</f>
        <v/>
      </c>
      <c r="ABF28" t="str">
        <f>IF(WSING!$AD$98&lt;74.9,"P","")</f>
        <v/>
      </c>
      <c r="ABG28" s="102" t="str">
        <f>IF(AND(WSING!$AD$98&gt;=75,WSING!$AD$98&lt;=83.24),"P","")</f>
        <v/>
      </c>
      <c r="ABH28" s="102" t="str">
        <f>IF(AND(WSING!$AD$98&gt;=83.25,WSING!$AD$98&lt;=91.4),"P","")</f>
        <v/>
      </c>
      <c r="ABI28" s="102" t="str">
        <f>IF(AND(WSING!$AD$98&gt;=91.5,WSING!$AD$98&lt;=100),"P","")</f>
        <v/>
      </c>
      <c r="ABJ28" t="str">
        <f>IF(WSING!$AD$106&lt;74.9,"P","")</f>
        <v/>
      </c>
      <c r="ABK28" s="102" t="str">
        <f>IF(AND(WSING!$AD$106&gt;=75,WSING!$AD$106&lt;=83.24),"P","")</f>
        <v/>
      </c>
      <c r="ABL28" s="102" t="str">
        <f>IF(AND(WSING!$AD$106&gt;=83.25,WSING!$AD$106&lt;=91.4),"P","")</f>
        <v/>
      </c>
      <c r="ABM28" s="102" t="str">
        <f>IF(AND(WSING!$AD$106&gt;=91.5,WSING!$AD$106&lt;=100),"P","")</f>
        <v/>
      </c>
      <c r="ABN28" t="str">
        <f>IF(WSTIK!$AD$6&lt;74.9,"P","")</f>
        <v/>
      </c>
      <c r="ABO28" s="102" t="str">
        <f>IF(AND(WSTIK!$AD$6&gt;=75,WSTIK!$AD$6&lt;=83.24),"P","")</f>
        <v/>
      </c>
      <c r="ABP28" s="102" t="str">
        <f>IF(AND(WSTIK!$AD$6&gt;=83.25,WSTIK!$AD$6&lt;=91.4),"P","")</f>
        <v/>
      </c>
      <c r="ABQ28" s="102" t="str">
        <f>IF(AND(WSTIK!$AD$6&gt;=91.5,WSTIK!$AD$6&lt;=100),"P","")</f>
        <v/>
      </c>
      <c r="ABR28" t="str">
        <f>IF(WSTIK!$AD$14&lt;74.9,"P","")</f>
        <v/>
      </c>
      <c r="ABS28" s="102" t="str">
        <f>IF(AND(WSTIK!$AD$14&gt;=75,WSTIK!$AD$14&lt;=83.24),"P","")</f>
        <v/>
      </c>
      <c r="ABT28" s="102" t="str">
        <f>IF(AND(WSTIK!$AD$14&gt;=83.25,WSTIK!$AD$14&lt;=91.4),"P","")</f>
        <v/>
      </c>
      <c r="ABU28" s="102" t="str">
        <f>IF(AND(WSTIK!$AD$14&gt;=91.5,WSTIK!$AD$14&lt;=100),"P","")</f>
        <v/>
      </c>
      <c r="ABV28" t="str">
        <f>IF(WSTIK!$AD$22&lt;74.9,"P","")</f>
        <v/>
      </c>
      <c r="ABW28" s="102" t="str">
        <f>IF(AND(WSTIK!$AD$22&gt;=75,WSTIK!$AD$22&lt;=83.24),"P","")</f>
        <v/>
      </c>
      <c r="ABX28" s="102" t="str">
        <f>IF(AND(WSTIK!$AD$22&gt;=83.25,WSTIK!$AD$22&lt;=91.4),"P","")</f>
        <v/>
      </c>
      <c r="ABY28" s="102" t="str">
        <f>IF(AND(WSTIK!$AD$22&gt;=91.5,WSTIK!$AD$22&lt;=100),"P","")</f>
        <v/>
      </c>
      <c r="ABZ28" t="str">
        <f>IF(WSTIK!$AD$30&lt;74.9,"P","")</f>
        <v/>
      </c>
      <c r="ACA28" s="102" t="str">
        <f>IF(AND(WSTIK!$AD$30&gt;=75,WSTIK!$AD$30&lt;=83.24),"P","")</f>
        <v/>
      </c>
      <c r="ACB28" s="102" t="str">
        <f>IF(AND(WSTIK!$AD$30&gt;=83.25,WSTIK!$AD$30&lt;=91.4),"P","")</f>
        <v/>
      </c>
      <c r="ACC28" s="102" t="str">
        <f>IF(AND(WSTIK!$AD$30&gt;=91.5,WSTIK!$AD$30&lt;=100),"P","")</f>
        <v/>
      </c>
      <c r="ACD28" t="str">
        <f>IF(WSTIK!$AD$38&lt;74.9,"P","")</f>
        <v/>
      </c>
      <c r="ACE28" s="102" t="str">
        <f>IF(AND(WSTIK!$AD$38&gt;=75,WSTIK!$AD$38&lt;=83.24),"P","")</f>
        <v/>
      </c>
      <c r="ACF28" s="102" t="str">
        <f>IF(AND(WSTIK!$AD$38&gt;=83.25,WSTIK!$AD$38&lt;=91.4),"P","")</f>
        <v/>
      </c>
      <c r="ACG28" s="102" t="str">
        <f>IF(AND(WSTIK!$AD$38&gt;=91.5,WSTIK!$AD$38&lt;=100),"P","")</f>
        <v/>
      </c>
      <c r="ACH28" t="str">
        <f>IF(WSTIK!$AD$46&lt;74.9,"P","")</f>
        <v/>
      </c>
      <c r="ACI28" s="102" t="str">
        <f>IF(AND(WSTIK!$AD$46&gt;=75,WSTIK!$AD$46&lt;=83.24),"P","")</f>
        <v/>
      </c>
      <c r="ACJ28" s="102" t="str">
        <f>IF(AND(WSTIK!$AD$46&gt;=83.25,WSTIK!$AD$46&lt;=91.4),"P","")</f>
        <v/>
      </c>
      <c r="ACK28" s="102" t="str">
        <f>IF(AND(WSTIK!$AD$46&gt;=91.5,WSTIK!$AD$46&lt;=100),"P","")</f>
        <v/>
      </c>
      <c r="ACL28" t="str">
        <f>IF(WSTIK!$AD$54&lt;74.9,"P","")</f>
        <v/>
      </c>
      <c r="ACM28" s="102" t="str">
        <f>IF(AND(WSTIK!$AD$54&gt;=75,WSTIK!$AD$54&lt;=83.24),"P","")</f>
        <v/>
      </c>
      <c r="ACN28" s="102" t="str">
        <f>IF(AND(WSTIK!$AD$54&gt;=83.25,WSTIK!$AD$54&lt;=91.4),"P","")</f>
        <v/>
      </c>
      <c r="ACO28" s="102" t="str">
        <f>IF(AND(WSTIK!$AD$54&gt;=91.5,WSTIK!$AD$54&lt;=100),"P","")</f>
        <v/>
      </c>
      <c r="ACP28" t="str">
        <f>IF(WSTIK!$AD$62&lt;74.9,"P","")</f>
        <v/>
      </c>
      <c r="ACQ28" s="102" t="str">
        <f>IF(AND(WSTIK!$AD$62&gt;=75,WSTIK!$AD$62&lt;=83.24),"P","")</f>
        <v/>
      </c>
      <c r="ACR28" s="102" t="str">
        <f>IF(AND(WSTIK!$AD$62&gt;=83.25,WSTIK!$AD$62&lt;=91.4),"P","")</f>
        <v/>
      </c>
      <c r="ACS28" s="102" t="str">
        <f>IF(AND(WSTIK!$AD$62&gt;=91.5,WSTIK!$AD$62&lt;=100),"P","")</f>
        <v/>
      </c>
      <c r="ACT28" t="str">
        <f>IF(WSTIK!$AD$70&lt;74.9,"P","")</f>
        <v/>
      </c>
      <c r="ACU28" s="102" t="str">
        <f>IF(AND(WSTIK!$AD$70&gt;=75,WSTIK!$AD$70&lt;=83.24),"P","")</f>
        <v/>
      </c>
      <c r="ACV28" s="102" t="str">
        <f>IF(AND(WSTIK!$AD$70&gt;=83.25,WSTIK!$AD$70&lt;=91.4),"P","")</f>
        <v/>
      </c>
      <c r="ACW28" s="102" t="str">
        <f>IF(AND(WSTIK!$AD$70&gt;=91.5,WSTIK!$AD$70&lt;=100),"P","")</f>
        <v/>
      </c>
      <c r="ACX28" t="str">
        <f>IF(WSTIK!$AD$78&lt;74.9,"P","")</f>
        <v/>
      </c>
      <c r="ACY28" s="102" t="str">
        <f>IF(AND(WSTIK!$AD$78&gt;=75,WSTIK!$AD$78&lt;=83.24),"P","")</f>
        <v/>
      </c>
      <c r="ACZ28" s="102" t="str">
        <f>IF(AND(WSTIK!$AD$78&gt;=83.25,WSTIK!$AD$78&lt;=91.4),"P","")</f>
        <v/>
      </c>
      <c r="ADA28" s="102" t="str">
        <f>IF(AND(WSTIK!$AD$78&gt;=91.5,WSTIK!$AD$78&lt;=100),"P","")</f>
        <v/>
      </c>
      <c r="ADB28" t="str">
        <f>IF(WSTIK!$AD$86&lt;74.9,"P","")</f>
        <v/>
      </c>
      <c r="ADC28" s="102" t="str">
        <f>IF(AND(WSTIK!$AD$86&gt;=75,WSTIK!$AD$86&lt;=83.24),"P","")</f>
        <v/>
      </c>
      <c r="ADD28" s="102" t="str">
        <f>IF(AND(WSTIK!$AD$86&gt;=83.25,WSTIK!$AD$86&lt;=91.4),"P","")</f>
        <v/>
      </c>
      <c r="ADE28" s="102" t="str">
        <f>IF(AND(WSTIK!$AD$86&gt;=91.5,WSTIK!$AD$86&lt;=100),"P","")</f>
        <v/>
      </c>
      <c r="ADF28" t="str">
        <f>IF(WSTIK!$AD$94&lt;74.9,"P","")</f>
        <v/>
      </c>
      <c r="ADG28" s="102" t="str">
        <f>IF(AND(WSTIK!$AD$94&gt;=75,WSTIK!$AD$94&lt;=83.24),"P","")</f>
        <v/>
      </c>
      <c r="ADH28" s="102" t="str">
        <f>IF(AND(WSTIK!$AD$94&gt;=83.25,WSTIK!$AD$94&lt;=91.4),"P","")</f>
        <v/>
      </c>
      <c r="ADI28" s="102" t="str">
        <f>IF(AND(WSTIK!$AD$94&gt;=91.5,WSTIK!$AD$94&lt;=100),"P","")</f>
        <v/>
      </c>
      <c r="ADJ28" t="str">
        <f>IF(WSTIK!$AD$102&lt;74.9,"P","")</f>
        <v/>
      </c>
      <c r="ADK28" s="102" t="str">
        <f>IF(AND(WSTIK!$AD$102&gt;=75,WSTIK!$AD$102&lt;=83.24),"P","")</f>
        <v/>
      </c>
      <c r="ADL28" s="102" t="str">
        <f>IF(AND(WSTIK!$AD$102&gt;=83.25,WSTIK!$AD$102&lt;=91.4),"P","")</f>
        <v/>
      </c>
      <c r="ADM28" s="102" t="str">
        <f>IF(AND(WSTIK!$AD$102&gt;=91.5,WSTIK!$AD$102&lt;=100),"P","")</f>
        <v/>
      </c>
      <c r="ADN28" t="str">
        <f>IF(WSASWAJA!$AD$6&lt;74.9,"P","")</f>
        <v/>
      </c>
      <c r="ADO28" s="102" t="str">
        <f>IF(AND(WSASWAJA!$AD$6&gt;=75,WSASWAJA!$AD$6&lt;=83.24),"P","")</f>
        <v/>
      </c>
      <c r="ADP28" s="102" t="str">
        <f>IF(AND(WSASWAJA!$AD$6&gt;=83.25,WSASWAJA!$AD$6&lt;=91.4),"P","")</f>
        <v/>
      </c>
      <c r="ADQ28" s="102" t="str">
        <f>IF(AND(WSASWAJA!$AD$6&gt;=91.5,WSASWAJA!$AD$6&lt;=100),"P","")</f>
        <v/>
      </c>
      <c r="ADR28" t="str">
        <f>IF(WSASWAJA!$AD$14&lt;74.9,"P","")</f>
        <v/>
      </c>
      <c r="ADS28" s="102" t="str">
        <f>IF(AND(WSASWAJA!$AD$14&gt;=75,WSASWAJA!$AD$14&lt;=83.24),"P","")</f>
        <v/>
      </c>
      <c r="ADT28" s="102" t="str">
        <f>IF(AND(WSASWAJA!$AD$14&gt;=83.25,WSASWAJA!$AD$14&lt;=91.4),"P","")</f>
        <v/>
      </c>
      <c r="ADU28" s="102" t="str">
        <f>IF(AND(WSASWAJA!$AD$14&gt;=91.5,WSASWAJA!$AD$14&lt;=100),"P","")</f>
        <v/>
      </c>
      <c r="ADV28" t="str">
        <f>IF(WSASWAJA!$AD$22&lt;74.9,"P","")</f>
        <v/>
      </c>
      <c r="ADW28" s="102" t="str">
        <f>IF(AND(WSASWAJA!$AD$22&gt;=75,WSASWAJA!$AD$22&lt;=83.24),"P","")</f>
        <v/>
      </c>
      <c r="ADX28" s="102" t="str">
        <f>IF(AND(WSASWAJA!$AD$22&gt;=83.25,WSASWAJA!$AD$22&lt;=91.4),"P","")</f>
        <v/>
      </c>
      <c r="ADY28" s="102" t="str">
        <f>IF(AND(WSASWAJA!$AD$22&gt;=91.5,WSASWAJA!$AD$22&lt;=100),"P","")</f>
        <v/>
      </c>
      <c r="ADZ28" t="str">
        <f>IF(WSASWAJA!$AD$30&lt;74.9,"P","")</f>
        <v/>
      </c>
      <c r="AEA28" s="102" t="str">
        <f>IF(AND(WSASWAJA!$AD$30&gt;=75,WSASWAJA!$AD$30&lt;=83.24),"P","")</f>
        <v/>
      </c>
      <c r="AEB28" s="102" t="str">
        <f>IF(AND(WSASWAJA!$AD$30&gt;=83.25,WSASWAJA!$AD$30&lt;=91.4),"P","")</f>
        <v/>
      </c>
      <c r="AEC28" s="102" t="str">
        <f>IF(AND(WSASWAJA!$AD$30&gt;=91.5,WSASWAJA!$AD$30&lt;=100),"P","")</f>
        <v/>
      </c>
      <c r="AED28" t="str">
        <f>IF(WSASWAJA!$AD$38&lt;74.9,"P","")</f>
        <v/>
      </c>
      <c r="AEE28" s="102" t="str">
        <f>IF(AND(WSASWAJA!$AD$38&gt;=75,WSASWAJA!$AD$38&lt;=83.24),"P","")</f>
        <v/>
      </c>
      <c r="AEF28" s="102" t="str">
        <f>IF(AND(WSASWAJA!$AD$38&gt;=83.25,WSASWAJA!$AD$38&lt;=91.4),"P","")</f>
        <v/>
      </c>
      <c r="AEG28" s="102" t="str">
        <f>IF(AND(WSASWAJA!$AD$38&gt;=91.5,WSASWAJA!$AD$38&lt;=100),"P","")</f>
        <v/>
      </c>
      <c r="AEH28" t="str">
        <f>IF(WSASWAJA!$AD$46&lt;74.9,"P","")</f>
        <v/>
      </c>
      <c r="AEI28" s="102" t="str">
        <f>IF(AND(WSASWAJA!$AD$46&gt;=75,WSASWAJA!$AD$46&lt;=83.24),"P","")</f>
        <v/>
      </c>
      <c r="AEJ28" s="102" t="str">
        <f>IF(AND(WSASWAJA!$AD$46&gt;=83.25,WSASWAJA!$AD$46&lt;=91.4),"P","")</f>
        <v/>
      </c>
      <c r="AEK28" s="102" t="str">
        <f>IF(AND(WSASWAJA!$AD$46&gt;=91.5,WSASWAJA!$AD$46&lt;=100),"P","")</f>
        <v/>
      </c>
      <c r="AEL28" t="str">
        <f>IF(WSASWAJA!$AD$54&lt;74.9,"P","")</f>
        <v/>
      </c>
      <c r="AEM28" s="102" t="str">
        <f>IF(AND(WSASWAJA!$AD$54&gt;=75,WSASWAJA!$AD$54&lt;=83.24),"P","")</f>
        <v/>
      </c>
      <c r="AEN28" s="102" t="str">
        <f>IF(AND(WSASWAJA!$AD$54&gt;=83.25,WSASWAJA!$AD$54&lt;=91.4),"P","")</f>
        <v/>
      </c>
      <c r="AEO28" s="102" t="str">
        <f>IF(AND(WSASWAJA!$AD$54&gt;=91.5,WSASWAJA!$AD$54&lt;=100),"P","")</f>
        <v/>
      </c>
      <c r="AEP28" t="str">
        <f>IF(WSASWAJA!$AD$62&lt;74.9,"P","")</f>
        <v/>
      </c>
      <c r="AEQ28" s="102" t="str">
        <f>IF(AND(WSASWAJA!$AD$62&gt;=75,WSASWAJA!$AD$62&lt;=83.24),"P","")</f>
        <v/>
      </c>
      <c r="AER28" s="102" t="str">
        <f>IF(AND(WSASWAJA!$AD$62&gt;=83.25,WSASWAJA!$AD$62&lt;=91.4),"P","")</f>
        <v/>
      </c>
      <c r="AES28" s="102" t="str">
        <f>IF(AND(WSASWAJA!$AD$62&gt;=91.5,WSASWAJA!$AD$62&lt;=100),"P","")</f>
        <v/>
      </c>
      <c r="AET28" t="str">
        <f>IF(WSASWAJA!$AD$70&lt;74.9,"P","")</f>
        <v/>
      </c>
      <c r="AEU28" s="102" t="str">
        <f>IF(AND(WSASWAJA!$AD$70&gt;=75,WSASWAJA!$AD$70&lt;=83.24),"P","")</f>
        <v/>
      </c>
      <c r="AEV28" s="102" t="str">
        <f>IF(AND(WSASWAJA!$AD$70&gt;=83.25,WSASWAJA!$AD$70&lt;=91.4),"P","")</f>
        <v/>
      </c>
      <c r="AEW28" s="102" t="str">
        <f>IF(AND(WSASWAJA!$AD$70&gt;=91.5,WSASWAJA!$AD$70&lt;=100),"P","")</f>
        <v/>
      </c>
      <c r="AEX28" t="str">
        <f>IF(WSASWAJA!$AD$78&lt;74.9,"P","")</f>
        <v/>
      </c>
      <c r="AEY28" s="102" t="str">
        <f>IF(AND(WSASWAJA!$AD$78&gt;=75,WSASWAJA!$AD$78&lt;=83.24),"P","")</f>
        <v/>
      </c>
      <c r="AEZ28" s="102" t="str">
        <f>IF(AND(WSASWAJA!$AD$78&gt;=83.25,WSASWAJA!$AD$78&lt;=91.4),"P","")</f>
        <v/>
      </c>
      <c r="AFA28" s="102" t="str">
        <f>IF(AND(WSASWAJA!$AD$78&gt;=91.5,WSASWAJA!$AD$78&lt;=100),"P","")</f>
        <v/>
      </c>
      <c r="AFB28" t="str">
        <f>IF(WSASWAJA!$AD$86&lt;74.9,"P","")</f>
        <v/>
      </c>
      <c r="AFC28" s="102" t="str">
        <f>IF(AND(WSASWAJA!$AD$86&gt;=75,WSASWAJA!$AD$86&lt;=83.24),"P","")</f>
        <v/>
      </c>
      <c r="AFD28" s="102" t="str">
        <f>IF(AND(WSASWAJA!$AD$86&gt;=83.25,WSASWAJA!$AD$86&lt;=91.4),"P","")</f>
        <v/>
      </c>
      <c r="AFE28" s="102" t="str">
        <f>IF(AND(WSASWAJA!$AD$86&gt;=91.5,WSASWAJA!$AD$86&lt;=100),"P","")</f>
        <v/>
      </c>
      <c r="AFF28" t="str">
        <f>IF(WSASWAJA!$AD$94&lt;74.9,"P","")</f>
        <v/>
      </c>
      <c r="AFG28" s="102" t="str">
        <f>IF(AND(WSASWAJA!$AD$94&gt;=75,WSASWAJA!$AD$94&lt;=83.24),"P","")</f>
        <v/>
      </c>
      <c r="AFH28" s="102" t="str">
        <f>IF(AND(WSASWAJA!$AD$94&gt;=83.25,WSASWAJA!$AD$94&lt;=91.4),"P","")</f>
        <v/>
      </c>
      <c r="AFI28" s="102" t="str">
        <f>IF(AND(WSASWAJA!$AD$94&gt;=91.5,WSASWAJA!$AD$94&lt;=100),"P","")</f>
        <v/>
      </c>
      <c r="AFJ28" t="str">
        <f>IF(WSASWAJA!$AD$102&lt;74.9,"P","")</f>
        <v/>
      </c>
      <c r="AFK28" s="102" t="str">
        <f>IF(AND(WSASWAJA!$AD$102&gt;=75,WSASWAJA!$AD$102&lt;=83.24),"P","")</f>
        <v/>
      </c>
      <c r="AFL28" s="102" t="str">
        <f>IF(AND(WSASWAJA!$AD$102&gt;=83.25,WSASWAJA!$AD$102&lt;=91.4),"P","")</f>
        <v/>
      </c>
      <c r="AFM28" s="102" t="str">
        <f>IF(AND(WSASWAJA!$AD$102&gt;=91.5,WSASWAJA!$AD$102&lt;=100),"P","")</f>
        <v/>
      </c>
    </row>
    <row r="29" spans="1:845" ht="20.100000000000001" customHeight="1">
      <c r="A29">
        <v>27</v>
      </c>
      <c r="B29" t="str">
        <f>IF(WSALQURAN!$AE$6&lt;74.9,"P","")</f>
        <v/>
      </c>
      <c r="C29" s="102" t="str">
        <f>IF(AND(WSALQURAN!$AE$6&gt;=75,WSALQURAN!$AE$6&lt;=83.24),"P","")</f>
        <v/>
      </c>
      <c r="D29" s="102" t="str">
        <f>IF(AND(WSALQURAN!$AE$6&gt;=83.25,WSALQURAN!$AE$6&lt;=91.4),"P","")</f>
        <v/>
      </c>
      <c r="E29" s="102" t="str">
        <f>IF(AND(WSALQURAN!$AE$6&gt;=91.5,WSALQURAN!$AE$6&lt;=100),"P","")</f>
        <v/>
      </c>
      <c r="F29" t="str">
        <f>IF(WSALQURAN!$AE$14&lt;74.9,"P","")</f>
        <v/>
      </c>
      <c r="G29" s="102" t="str">
        <f>IF(AND(WSALQURAN!$AE$14&gt;=75,WSALQURAN!$AE$14&lt;=83.24),"P","")</f>
        <v/>
      </c>
      <c r="H29" s="102" t="str">
        <f>IF(AND(WSALQURAN!$AE$14&gt;=83.25,WSALQURAN!$AE$14&lt;=91.4),"P","")</f>
        <v/>
      </c>
      <c r="I29" s="102" t="str">
        <f>IF(AND(WSALQURAN!$AE$14&gt;=91.5,WSALQURAN!$AE$14&lt;=100),"P","")</f>
        <v/>
      </c>
      <c r="J29" t="str">
        <f>IF(WSALQURAN!$AE$22&lt;74.9,"P","")</f>
        <v/>
      </c>
      <c r="K29" s="102" t="str">
        <f>IF(AND(WSALQURAN!$AE$22&gt;=75,WSALQURAN!$AE$22&lt;=83.24),"P","")</f>
        <v/>
      </c>
      <c r="L29" s="102" t="str">
        <f>IF(AND(WSALQURAN!$AE$22&gt;=83.25,WSALQURAN!$AE$22&lt;=91.4),"P","")</f>
        <v/>
      </c>
      <c r="M29" s="102" t="str">
        <f>IF(AND(WSALQURAN!$AE$22&gt;=91.5,WSALQURAN!$AE$22&lt;=100),"P","")</f>
        <v/>
      </c>
      <c r="N29" t="str">
        <f>IF(WSALQURAN!$AE$30&lt;74.9,"P","")</f>
        <v/>
      </c>
      <c r="O29" s="102" t="str">
        <f>IF(AND(WSALQURAN!$AE$30&gt;=75,WSALQURAN!$AE$30&lt;=83.24),"P","")</f>
        <v/>
      </c>
      <c r="P29" s="102" t="str">
        <f>IF(AND(WSALQURAN!$AE$30&gt;=83.25,WSALQURAN!$AE$30&lt;=91.4),"P","")</f>
        <v/>
      </c>
      <c r="Q29" s="102" t="str">
        <f>IF(AND(WSALQURAN!$AE$30&gt;=91.5,WSALQURAN!$AE$30&lt;=100),"P","")</f>
        <v/>
      </c>
      <c r="R29" t="str">
        <f>IF(WSALQURAN!$AE$38&lt;74.9,"P","")</f>
        <v/>
      </c>
      <c r="S29" s="102" t="str">
        <f>IF(AND(WSALQURAN!$AE$38&gt;=75,WSALQURAN!$AE$38&lt;=83.24),"P","")</f>
        <v/>
      </c>
      <c r="T29" s="102" t="str">
        <f>IF(AND(WSALQURAN!$AE$38&gt;=83.25,WSALQURAN!$AE$38&lt;=91.4),"P","")</f>
        <v/>
      </c>
      <c r="U29" s="102" t="str">
        <f>IF(AND(WSALQURAN!$AE$38&gt;=91.5,WSALQURAN!$AE$38&lt;=100),"P","")</f>
        <v/>
      </c>
      <c r="V29" t="str">
        <f>IF(WSALQURAN!$AE$46&lt;74.9,"P","")</f>
        <v/>
      </c>
      <c r="W29" s="102" t="str">
        <f>IF(AND(WSALQURAN!$AE$46&gt;=75,WSALQURAN!$AE$46&lt;=83.24),"P","")</f>
        <v/>
      </c>
      <c r="X29" s="102" t="str">
        <f>IF(AND(WSALQURAN!$AE$46&gt;=83.25,WSALQURAN!$AE$46&lt;=91.4),"P","")</f>
        <v/>
      </c>
      <c r="Y29" s="102" t="str">
        <f>IF(AND(WSALQURAN!$AE$46&gt;=91.5,WSALQURAN!$AE$46&lt;=100),"P","")</f>
        <v/>
      </c>
      <c r="Z29" t="str">
        <f>IF(WSALQURAN!$AE$54&lt;74.9,"P","")</f>
        <v/>
      </c>
      <c r="AA29" s="102" t="str">
        <f>IF(AND(WSALQURAN!$AE$54&gt;=75,WSALQURAN!$AE$54&lt;=83.24),"P","")</f>
        <v/>
      </c>
      <c r="AB29" s="102" t="str">
        <f>IF(AND(WSALQURAN!$AE$54&gt;=83.25,WSALQURAN!$AE$54&lt;=91.4),"P","")</f>
        <v/>
      </c>
      <c r="AC29" s="102" t="str">
        <f>IF(AND(WSALQURAN!$AE$54&gt;=91.5,WSALQURAN!$AE$54&lt;=100),"P","")</f>
        <v/>
      </c>
      <c r="AD29" t="str">
        <f>IF(WSALQURAN!$AE$62&lt;74.9,"P","")</f>
        <v/>
      </c>
      <c r="AE29" s="102" t="str">
        <f>IF(AND(WSALQURAN!$AE$62&gt;=75,WSALQURAN!$AE$62&lt;=83.24),"P","")</f>
        <v/>
      </c>
      <c r="AF29" s="102" t="str">
        <f>IF(AND(WSALQURAN!$AE$62&gt;=83.25,WSALQURAN!$AE$62&lt;=91.4),"P","")</f>
        <v/>
      </c>
      <c r="AG29" s="102" t="str">
        <f>IF(AND(WSALQURAN!$AE$62&gt;=91.5,WSALQURAN!$AE$62&lt;=100),"P","")</f>
        <v/>
      </c>
      <c r="AH29" t="str">
        <f>IF(WSALQURAN!$AE$70&lt;74.9,"P","")</f>
        <v/>
      </c>
      <c r="AI29" s="102" t="str">
        <f>IF(AND(WSALQURAN!$AE$70&gt;=75,WSALQURAN!$AE$70&lt;=83.24),"P","")</f>
        <v/>
      </c>
      <c r="AJ29" s="102" t="str">
        <f>IF(AND(WSALQURAN!$AE$70&gt;=83.25,WSALQURAN!$AE$70&lt;=91.4),"P","")</f>
        <v/>
      </c>
      <c r="AK29" s="102" t="str">
        <f>IF(AND(WSALQURAN!$AE$70&gt;=91.5,WSALQURAN!$AE$70&lt;=100),"P","")</f>
        <v/>
      </c>
      <c r="AL29" t="str">
        <f>IF(WSALQURAN!$AE$78&lt;74.9,"P","")</f>
        <v/>
      </c>
      <c r="AM29" s="102" t="str">
        <f>IF(AND(WSALQURAN!$AE$78&gt;=75,WSALQURAN!$AE$78&lt;=83.24),"P","")</f>
        <v/>
      </c>
      <c r="AN29" s="102" t="str">
        <f>IF(AND(WSALQURAN!$AE$78&gt;=83.25,WSALQURAN!$AE$78&lt;=91.4),"P","")</f>
        <v/>
      </c>
      <c r="AO29" s="102" t="str">
        <f>IF(AND(WSALQURAN!$AE$78&gt;=91.5,WSALQURAN!$AE$78&lt;=100),"P","")</f>
        <v/>
      </c>
      <c r="AP29" t="str">
        <f>IF(WSALQURAN!$AE$86&lt;74.9,"P","")</f>
        <v/>
      </c>
      <c r="AQ29" s="102" t="str">
        <f>IF(AND(WSALQURAN!$AE$86&gt;=75,WSALQURAN!$AE$86&lt;=83.24),"P","")</f>
        <v/>
      </c>
      <c r="AR29" s="102" t="str">
        <f>IF(AND(WSALQURAN!$AE$86&gt;=83.25,WSALQURAN!$AE$86&lt;=91.4),"P","")</f>
        <v/>
      </c>
      <c r="AS29" s="102" t="str">
        <f>IF(AND(WSALQURAN!$AE$86&gt;=91.5,WSALQURAN!$AE$86&lt;=100),"P","")</f>
        <v/>
      </c>
      <c r="AT29" t="str">
        <f>IF(WSALQURAN!$AE$94&lt;74.9,"P","")</f>
        <v/>
      </c>
      <c r="AU29" s="102" t="str">
        <f>IF(AND(WSALQURAN!$AE$94&gt;=75,WSALQURAN!$AE$94&lt;=83.24),"P","")</f>
        <v/>
      </c>
      <c r="AV29" s="102" t="str">
        <f>IF(AND(WSALQURAN!$AE$94&gt;=83.25,WSALQURAN!$AE$94&lt;=91.4),"P","")</f>
        <v/>
      </c>
      <c r="AW29" s="102" t="str">
        <f>IF(AND(WSALQURAN!$AE$94&gt;=91.5,WSALQURAN!$AE$94&lt;=100),"P","")</f>
        <v/>
      </c>
      <c r="AX29" t="str">
        <f>IF(WSALQURAN!$AE$102&lt;74.9,"P","")</f>
        <v/>
      </c>
      <c r="AY29" s="102" t="str">
        <f>IF(AND(WSALQURAN!$AE$102&gt;=75,WSALQURAN!$AE$102&lt;=83.24),"P","")</f>
        <v/>
      </c>
      <c r="AZ29" s="102" t="str">
        <f>IF(AND(WSALQURAN!$AE$102&gt;=83.25,WSALQURAN!$AE$102&lt;=91.4),"P","")</f>
        <v/>
      </c>
      <c r="BA29" s="102" t="str">
        <f>IF(AND(WSALQURAN!$AE$102&gt;=91.5,WSALQURAN!$AE$102&lt;=100),"P","")</f>
        <v/>
      </c>
      <c r="BB29" t="str">
        <f>IF(WSAQIDAH!$AE$6&lt;74.9,"P","")</f>
        <v/>
      </c>
      <c r="BC29" s="102" t="str">
        <f>IF(AND(WSAQIDAH!$AE$6&gt;=75,WSAQIDAH!$AE$6&lt;=83.24),"P","")</f>
        <v/>
      </c>
      <c r="BD29" s="102" t="str">
        <f>IF(AND(WSAQIDAH!$AE$6&gt;=83.25,WSAQIDAH!$AE$6&lt;=91.4),"P","")</f>
        <v/>
      </c>
      <c r="BE29" s="102" t="str">
        <f>IF(AND(WSAQIDAH!$AE$6&gt;=91.5,WSAQIDAH!$AE$6&lt;=100),"P","")</f>
        <v/>
      </c>
      <c r="BF29" t="str">
        <f>IF(WSAQIDAH!$AE$14&lt;74.9,"P","")</f>
        <v/>
      </c>
      <c r="BG29" s="102" t="str">
        <f>IF(AND(WSAQIDAH!$AE$14&gt;=75,WSAQIDAH!$AE$14&lt;=83.24),"P","")</f>
        <v/>
      </c>
      <c r="BH29" s="102" t="str">
        <f>IF(AND(WSAQIDAH!$AE$14&gt;=83.25,WSAQIDAH!$AE$14&lt;=91.4),"P","")</f>
        <v/>
      </c>
      <c r="BI29" s="102" t="str">
        <f>IF(AND(WSAQIDAH!$AE$14&gt;=91.5,WSAQIDAH!$AE$14&lt;=100),"P","")</f>
        <v/>
      </c>
      <c r="BJ29" t="str">
        <f>IF(WSAQIDAH!$AE$22&lt;74.9,"P","")</f>
        <v/>
      </c>
      <c r="BK29" s="102" t="str">
        <f>IF(AND(WSAQIDAH!$AE$22&gt;=75,WSAQIDAH!$AE$22&lt;=83.24),"P","")</f>
        <v/>
      </c>
      <c r="BL29" s="102" t="str">
        <f>IF(AND(WSAQIDAH!$AE$22&gt;=83.25,WSAQIDAH!$AE$22&lt;=91.4),"P","")</f>
        <v/>
      </c>
      <c r="BM29" s="102" t="str">
        <f>IF(AND(WSAQIDAH!$AE$22&gt;=91.5,WSAQIDAH!$AE$22&lt;=100),"P","")</f>
        <v/>
      </c>
      <c r="BN29" t="str">
        <f>IF(WSAQIDAH!$AE$30&lt;74.9,"P","")</f>
        <v/>
      </c>
      <c r="BO29" s="102" t="str">
        <f>IF(AND(WSAQIDAH!$AE$30&gt;=75,WSAQIDAH!$AE$30&lt;=83.24),"P","")</f>
        <v/>
      </c>
      <c r="BP29" s="102" t="str">
        <f>IF(AND(WSAQIDAH!$AE$30&gt;=83.25,WSAQIDAH!$AE$30&lt;=91.4),"P","")</f>
        <v/>
      </c>
      <c r="BQ29" s="102" t="str">
        <f>IF(AND(WSAQIDAH!$AE$30&gt;=91.5,WSAQIDAH!$AE$30&lt;=100),"P","")</f>
        <v/>
      </c>
      <c r="BR29" t="str">
        <f>IF(WSAQIDAH!$AE$38&lt;74.9,"P","")</f>
        <v/>
      </c>
      <c r="BS29" s="102" t="str">
        <f>IF(AND(WSAQIDAH!$AE$38&gt;=75,WSAQIDAH!$AE$38&lt;=83.24),"P","")</f>
        <v/>
      </c>
      <c r="BT29" s="102" t="str">
        <f>IF(AND(WSAQIDAH!$AE$38&gt;=83.25,WSAQIDAH!$AE$38&lt;=91.4),"P","")</f>
        <v/>
      </c>
      <c r="BU29" s="102" t="str">
        <f>IF(AND(WSAQIDAH!$AE$38&gt;=91.5,WSAQIDAH!$AE$38&lt;=100),"P","")</f>
        <v/>
      </c>
      <c r="BV29" t="str">
        <f>IF(WSAQIDAH!$AE$46&lt;74.9,"P","")</f>
        <v/>
      </c>
      <c r="BW29" s="102" t="str">
        <f>IF(AND(WSAQIDAH!$AE$46&gt;=75,WSAQIDAH!$AE$46&lt;=83.24),"P","")</f>
        <v/>
      </c>
      <c r="BX29" s="102" t="str">
        <f>IF(AND(WSAQIDAH!$AE$46&gt;=83.25,WSAQIDAH!$AE$46&lt;=91.4),"P","")</f>
        <v/>
      </c>
      <c r="BY29" s="102" t="str">
        <f>IF(AND(WSAQIDAH!$AE$46&gt;=91.5,WSAQIDAH!$AE$46&lt;=100),"P","")</f>
        <v/>
      </c>
      <c r="BZ29" t="str">
        <f>IF(WSAQIDAH!$AE$54&lt;74.9,"P","")</f>
        <v/>
      </c>
      <c r="CA29" s="102" t="str">
        <f>IF(AND(WSAQIDAH!$AE$54&gt;=75,WSAQIDAH!$AE$54&lt;=83.24),"P","")</f>
        <v/>
      </c>
      <c r="CB29" s="102" t="str">
        <f>IF(AND(WSAQIDAH!$AE$54&gt;=83.25,WSAQIDAH!$AE$54&lt;=91.4),"P","")</f>
        <v/>
      </c>
      <c r="CC29" s="102" t="str">
        <f>IF(AND(WSAQIDAH!$AE$54&gt;=91.5,WSAQIDAH!$AE$54&lt;=100),"P","")</f>
        <v/>
      </c>
      <c r="CD29" t="str">
        <f>IF(WSAQIDAH!$AE$62&lt;74.9,"P","")</f>
        <v/>
      </c>
      <c r="CE29" s="102" t="str">
        <f>IF(AND(WSAQIDAH!$AE$62&gt;=75,WSAQIDAH!$AE$62&lt;=83.24),"P","")</f>
        <v/>
      </c>
      <c r="CF29" s="102" t="str">
        <f>IF(AND(WSAQIDAH!$AE$62&gt;=83.25,WSAQIDAH!$AE$62&lt;=91.4),"P","")</f>
        <v/>
      </c>
      <c r="CG29" s="102" t="str">
        <f>IF(AND(WSAQIDAH!$AE$62&gt;=91.5,WSAQIDAH!$AE$62&lt;=100),"P","")</f>
        <v/>
      </c>
      <c r="CH29" t="str">
        <f>IF(WSAQIDAH!$AE$70&lt;74.9,"P","")</f>
        <v/>
      </c>
      <c r="CI29" s="102" t="str">
        <f>IF(AND(WSAQIDAH!$AE$70&gt;=75,WSAQIDAH!$AE$70&lt;=83.24),"P","")</f>
        <v/>
      </c>
      <c r="CJ29" s="102" t="str">
        <f>IF(AND(WSAQIDAH!$AE$70&gt;=83.25,WSAQIDAH!$AE$70&lt;=91.4),"P","")</f>
        <v/>
      </c>
      <c r="CK29" s="102" t="str">
        <f>IF(AND(WSAQIDAH!$AE$70&gt;=91.5,WSAQIDAH!$AE$70&lt;=100),"P","")</f>
        <v/>
      </c>
      <c r="CL29" t="str">
        <f>IF(WSAQIDAH!$AE$78&lt;74.9,"P","")</f>
        <v/>
      </c>
      <c r="CM29" s="102" t="str">
        <f>IF(AND(WSAQIDAH!$AE$78&gt;=75,WSAQIDAH!$AE$78&lt;=83.24),"P","")</f>
        <v/>
      </c>
      <c r="CN29" s="102" t="str">
        <f>IF(AND(WSAQIDAH!$AE$78&gt;=83.25,WSAQIDAH!$AE$78&lt;=91.4),"P","")</f>
        <v/>
      </c>
      <c r="CO29" s="102" t="str">
        <f>IF(AND(WSAQIDAH!$AE$78&gt;=91.5,WSAQIDAH!$AE$78&lt;=100),"P","")</f>
        <v/>
      </c>
      <c r="CP29" t="str">
        <f>IF(WSAQIDAH!$AE$86&lt;74.9,"P","")</f>
        <v/>
      </c>
      <c r="CQ29" s="102" t="str">
        <f>IF(AND(WSAQIDAH!$AE$86&gt;=75,WSAQIDAH!$AE$86&lt;=83.24),"P","")</f>
        <v/>
      </c>
      <c r="CR29" s="102" t="str">
        <f>IF(AND(WSAQIDAH!$AE$86&gt;=83.25,WSAQIDAH!$AE$86&lt;=91.4),"P","")</f>
        <v/>
      </c>
      <c r="CS29" s="102" t="str">
        <f>IF(AND(WSAQIDAH!$AE$86&gt;=91.5,WSAQIDAH!$AE$86&lt;=100),"P","")</f>
        <v/>
      </c>
      <c r="CT29" t="str">
        <f>IF(WSAQIDAH!$AE$94&lt;74.9,"P","")</f>
        <v/>
      </c>
      <c r="CU29" s="102" t="str">
        <f>IF(AND(WSAQIDAH!$AE$94&gt;=75,WSAQIDAH!$AE$94&lt;=83.24),"P","")</f>
        <v/>
      </c>
      <c r="CV29" s="102" t="str">
        <f>IF(AND(WSAQIDAH!$AE$94&gt;=83.25,WSAQIDAH!$AE$94&lt;=91.4),"P","")</f>
        <v/>
      </c>
      <c r="CW29" s="102" t="str">
        <f>IF(AND(WSAQIDAH!$AE$94&gt;=91.5,WSAQIDAH!$AE$94&lt;=100),"P","")</f>
        <v/>
      </c>
      <c r="CX29" t="str">
        <f>IF(WSAQIDAH!$AE$102&lt;74.9,"P","")</f>
        <v/>
      </c>
      <c r="CY29" s="102" t="str">
        <f>IF(AND(WSAQIDAH!$AE$102&gt;=75,WSAQIDAH!$AE$102&lt;=83.24),"P","")</f>
        <v/>
      </c>
      <c r="CZ29" s="102" t="str">
        <f>IF(AND(WSAQIDAH!$AE$102&gt;=83.25,WSAQIDAH!$AE$102&lt;=91.4),"P","")</f>
        <v/>
      </c>
      <c r="DA29" s="102" t="str">
        <f>IF(AND(WSAQIDAH!$AE$102&gt;=91.5,WSAQIDAH!$AE$102&lt;=100),"P","")</f>
        <v/>
      </c>
      <c r="DB29" t="str">
        <f>IF(WSSKI!$AE$6&lt;74.9,"P","")</f>
        <v/>
      </c>
      <c r="DC29" s="102" t="str">
        <f>IF(AND(WSSKI!$AE$6&gt;=75,WSSKI!$AE$6&lt;=83.24),"P","")</f>
        <v/>
      </c>
      <c r="DD29" s="102" t="str">
        <f>IF(AND(WSSKI!$AE$6&gt;=83.25,WSSKI!$AE$6&lt;=91.4),"P","")</f>
        <v/>
      </c>
      <c r="DE29" s="102" t="str">
        <f>IF(AND(WSSKI!$AE$6&gt;=91.5,WSSKI!$AE$6&lt;=100),"P","")</f>
        <v/>
      </c>
      <c r="DF29" t="str">
        <f>IF(WSSKI!$AE$14&lt;74.9,"P","")</f>
        <v/>
      </c>
      <c r="DG29" s="102" t="str">
        <f>IF(AND(WSSKI!$AE$14&gt;=75,WSSKI!$AE$14&lt;=83.24),"P","")</f>
        <v/>
      </c>
      <c r="DH29" s="102" t="str">
        <f>IF(AND(WSSKI!$AE$14&gt;=83.25,WSSKI!$AE$14&lt;=91.4),"P","")</f>
        <v/>
      </c>
      <c r="DI29" s="102" t="str">
        <f>IF(AND(WSSKI!$AE$14&gt;=91.5,WSSKI!$AE$14&lt;=100),"P","")</f>
        <v/>
      </c>
      <c r="DJ29" t="str">
        <f>IF(WSSKI!$AE$23&lt;74.9,"P","")</f>
        <v/>
      </c>
      <c r="DK29" s="102" t="str">
        <f>IF(AND(WSSKI!$AE$23&gt;=75,WSSKI!$AE$23&lt;=83.24),"P","")</f>
        <v/>
      </c>
      <c r="DL29" s="102" t="str">
        <f>IF(AND(WSSKI!$AE$23&gt;=83.25,WSSKI!$AE$23&lt;=91.4),"P","")</f>
        <v/>
      </c>
      <c r="DM29" s="102" t="str">
        <f>IF(AND(WSSKI!$AE$23&gt;=91.5,WSSKI!$AE$23&lt;=100),"P","")</f>
        <v/>
      </c>
      <c r="DN29" t="str">
        <f>IF(WSSKI!$AE$31&lt;74.9,"P","")</f>
        <v/>
      </c>
      <c r="DO29" s="102" t="str">
        <f>IF(AND(WSSKI!$AE$31&gt;=75,WSSKI!$AE$31&lt;=83.24),"P","")</f>
        <v/>
      </c>
      <c r="DP29" s="102" t="str">
        <f>IF(AND(WSSKI!$AE$31&gt;=83.25,WSSKI!$AE$31&lt;=91.4),"P","")</f>
        <v/>
      </c>
      <c r="DQ29" s="102" t="str">
        <f>IF(AND(WSSKI!$AE$31&gt;=91.5,WSSKI!$AE$31&lt;=100),"P","")</f>
        <v/>
      </c>
      <c r="DR29" t="str">
        <f>IF(WSSKI!$AE$40&lt;74.9,"P","")</f>
        <v/>
      </c>
      <c r="DS29" s="102" t="str">
        <f>IF(AND(WSSKI!$AE$40&gt;=75,WSSKI!$AE$40&lt;=83.24),"P","")</f>
        <v/>
      </c>
      <c r="DT29" s="102" t="str">
        <f>IF(AND(WSSKI!$AE$40&gt;=83.25,WSSKI!$AE$40&lt;=91.4),"P","")</f>
        <v/>
      </c>
      <c r="DU29" s="102" t="str">
        <f>IF(AND(WSSKI!$AE$40&gt;=91.5,WSSKI!$AE$40&lt;=100),"P","")</f>
        <v/>
      </c>
      <c r="DV29" t="str">
        <f>IF(WSSKI!$AE$48&lt;74.9,"P","")</f>
        <v/>
      </c>
      <c r="DW29" s="102" t="str">
        <f>IF(AND(WSSKI!$AE$48&gt;=75,WSSKI!$AE$48&lt;=83.24),"P","")</f>
        <v/>
      </c>
      <c r="DX29" s="102" t="str">
        <f>IF(AND(WSSKI!$AE$48&gt;=83.25,WSSKI!$AE$48&lt;=91.4),"P","")</f>
        <v/>
      </c>
      <c r="DY29" s="102" t="str">
        <f>IF(AND(WSSKI!$AE$48&gt;=91.5,WSSKI!$AE$48&lt;=100),"P","")</f>
        <v/>
      </c>
      <c r="DZ29" t="str">
        <f>IF(WSSKI!$AE$56&lt;74.9,"P","")</f>
        <v/>
      </c>
      <c r="EA29" s="102" t="str">
        <f>IF(AND(WSSKI!$AE$56&gt;=75,WSSKI!$AE$56&lt;=83.24),"P","")</f>
        <v/>
      </c>
      <c r="EB29" s="102" t="str">
        <f>IF(AND(WSSKI!$AE$56&gt;=83.25,WSSKI!$AE$56&lt;=91.4),"P","")</f>
        <v/>
      </c>
      <c r="EC29" s="102" t="str">
        <f>IF(AND(WSSKI!$AE$56&gt;=91.5,WSSKI!$AE$56&lt;=100),"P","")</f>
        <v/>
      </c>
      <c r="ED29" t="str">
        <f>IF(WSSKI!$AE$64&lt;74.9,"P","")</f>
        <v/>
      </c>
      <c r="EE29" s="102" t="str">
        <f>IF(AND(WSSKI!$AE$64&gt;=75,WSSKI!$AE$64&lt;=83.24),"P","")</f>
        <v/>
      </c>
      <c r="EF29" s="102" t="str">
        <f>IF(AND(WSSKI!$AE$64&gt;=83.25,WSSKI!$AE$64&lt;=91.4),"P","")</f>
        <v/>
      </c>
      <c r="EG29" s="102" t="str">
        <f>IF(AND(WSSKI!$AE$64&gt;=91.5,WSSKI!$AE$64&lt;=100),"P","")</f>
        <v/>
      </c>
      <c r="EH29" t="str">
        <f>IF(WSSKI!$AE$72&lt;74.9,"P","")</f>
        <v/>
      </c>
      <c r="EI29" s="102" t="str">
        <f>IF(AND(WSSKI!$AE$72&gt;=75,WSSKI!$AE$72&lt;=83.24),"P","")</f>
        <v/>
      </c>
      <c r="EJ29" s="102" t="str">
        <f>IF(AND(WSSKI!$AE$72&gt;=83.25,WSSKI!$AE$72&lt;=91.4),"P","")</f>
        <v/>
      </c>
      <c r="EK29" s="102" t="str">
        <f>IF(AND(WSSKI!$AE$72&gt;=91.5,WSSKI!$AE$72&lt;=100),"P","")</f>
        <v/>
      </c>
      <c r="EL29" t="str">
        <f>IF(WSSKI!$AE$80&lt;74.9,"P","")</f>
        <v/>
      </c>
      <c r="EM29" s="102" t="str">
        <f>IF(AND(WSSKI!$AE$80&gt;=75,WSSKI!$AE$80&lt;=83.24),"P","")</f>
        <v/>
      </c>
      <c r="EN29" s="102" t="str">
        <f>IF(AND(WSSKI!$AE$80&gt;=83.25,WSSKI!$AE$80&lt;=91.4),"P","")</f>
        <v/>
      </c>
      <c r="EO29" s="102" t="str">
        <f>IF(AND(WSSKI!$AE$80&gt;=91.5,WSSKI!$AE$80&lt;=100),"P","")</f>
        <v/>
      </c>
      <c r="EP29" t="str">
        <f>IF(WSSKI!$AE$88&lt;74.9,"P","")</f>
        <v/>
      </c>
      <c r="EQ29" s="102" t="str">
        <f>IF(AND(WSSKI!$AE$88&gt;=75,WSSKI!$AE$88&lt;=83.24),"P","")</f>
        <v/>
      </c>
      <c r="ER29" s="102" t="str">
        <f>IF(AND(WSSKI!$AE$88&gt;=83.25,WSSKI!$AE$88&lt;=91.4),"P","")</f>
        <v/>
      </c>
      <c r="ES29" s="102" t="str">
        <f>IF(AND(WSSKI!$AE$88&gt;=91.5,WSSKI!$AE$88&lt;=100),"P","")</f>
        <v/>
      </c>
      <c r="ET29" t="str">
        <f>IF(WSSKI!$AE$96&lt;74.9,"P","")</f>
        <v/>
      </c>
      <c r="EU29" s="102" t="str">
        <f>IF(AND(WSSKI!$AE$96&gt;=75,WSSKI!$AE$96&lt;=83.24),"P","")</f>
        <v/>
      </c>
      <c r="EV29" s="102" t="str">
        <f>IF(AND(WSSKI!$AE$96&gt;=83.25,WSSKI!$AE$96&lt;=91.4),"P","")</f>
        <v/>
      </c>
      <c r="EW29" s="102" t="str">
        <f>IF(AND(WSSKI!$AE$96&gt;=91.5,WSSKI!$AE$96&lt;=100),"P","")</f>
        <v/>
      </c>
      <c r="EX29" t="str">
        <f>IF(WSSKI!$AE$104&lt;74.9,"P","")</f>
        <v/>
      </c>
      <c r="EY29" s="102" t="str">
        <f>IF(AND(WSSKI!$AE$104&gt;=75,WSSKI!$AE$104&lt;=83.24),"P","")</f>
        <v/>
      </c>
      <c r="EZ29" s="102" t="str">
        <f>IF(AND(WSSKI!$AE$104&gt;=83.25,WSSKI!$AE$104&lt;=91.4),"P","")</f>
        <v/>
      </c>
      <c r="FA29" s="102" t="str">
        <f>IF(AND(WSSKI!$AE$104&gt;=91.5,WSSKI!$AE$104&lt;=100),"P","")</f>
        <v/>
      </c>
      <c r="FB29" t="str">
        <f>IF(WSFIQIH!$AE$6&lt;74.9,"P","")</f>
        <v/>
      </c>
      <c r="FC29" s="102" t="str">
        <f>IF(AND(WSFIQIH!$AE$6&gt;=75,WSFIQIH!$AE$6&lt;=83.24),"P","")</f>
        <v/>
      </c>
      <c r="FD29" s="102" t="str">
        <f>IF(AND(WSFIQIH!$AE$6&gt;=83.25,WSFIQIH!$AE$6&lt;=91.4),"P","")</f>
        <v/>
      </c>
      <c r="FE29" s="102" t="str">
        <f>IF(AND(WSFIQIH!$AE$6&gt;=91.5,WSFIQIH!$AE$6&lt;=100),"P","")</f>
        <v/>
      </c>
      <c r="FF29" t="str">
        <f>IF(WSFIQIH!$AE$19&lt;74.9,"P","")</f>
        <v/>
      </c>
      <c r="FG29" s="102" t="str">
        <f>IF(AND(WSFIQIH!$AE$19&gt;=75,WSFIQIH!$AE$19&lt;=83.24),"P","")</f>
        <v/>
      </c>
      <c r="FH29" s="102" t="str">
        <f>IF(AND(WSFIQIH!$AE$19&gt;=83.25,WSFIQIH!$AE$19&lt;=91.4),"P","")</f>
        <v/>
      </c>
      <c r="FI29" s="102" t="str">
        <f>IF(AND(WSFIQIH!$AE$19&gt;=91.5,WSFIQIH!$AE$19&lt;=100),"P","")</f>
        <v/>
      </c>
      <c r="FJ29" t="str">
        <f>IF(WSFIQIH!$AE$28&lt;74.9,"P","")</f>
        <v/>
      </c>
      <c r="FK29" s="102" t="str">
        <f>IF(AND(WSFIQIH!$AE$28&gt;=75,WSFIQIH!$AE$28&lt;=83.24),"P","")</f>
        <v/>
      </c>
      <c r="FL29" s="102" t="str">
        <f>IF(AND(WSFIQIH!$AE$28&gt;=83.25,WSFIQIH!$AE$28&lt;=91.4),"P","")</f>
        <v/>
      </c>
      <c r="FM29" s="102" t="str">
        <f>IF(AND(WSFIQIH!$AE$28&gt;=91.5,WSFIQIH!$AE$28&lt;=100),"P","")</f>
        <v/>
      </c>
      <c r="FN29" t="str">
        <f>IF(WSFIQIH!$AE$41&lt;74.9,"P","")</f>
        <v/>
      </c>
      <c r="FO29" s="102" t="str">
        <f>IF(AND(WSFIQIH!$AE$41&gt;=75,WSFIQIH!$AE$41&lt;=83.24),"P","")</f>
        <v/>
      </c>
      <c r="FP29" s="102" t="str">
        <f>IF(AND(WSFIQIH!$AE$41&gt;=83.25,WSFIQIH!$AE$41&lt;=91.4),"P","")</f>
        <v/>
      </c>
      <c r="FQ29" s="102" t="str">
        <f>IF(AND(WSFIQIH!$AE$41&gt;=91.5,WSFIQIH!$AE$41&lt;=100),"P","")</f>
        <v/>
      </c>
      <c r="FR29" t="str">
        <f>IF(WSFIQIH!$AE$49&lt;74.9,"P","")</f>
        <v/>
      </c>
      <c r="FS29" s="102" t="str">
        <f>IF(AND(WSFIQIH!$AE$49&gt;=75,WSFIQIH!$AE$49&lt;=83.24),"P","")</f>
        <v/>
      </c>
      <c r="FT29" s="102" t="str">
        <f>IF(AND(WSFIQIH!$AE$49&gt;=83.25,WSFIQIH!$AE$49&lt;=91.4),"P","")</f>
        <v/>
      </c>
      <c r="FU29" s="102" t="str">
        <f>IF(AND(WSFIQIH!$AE$49&gt;=91.5,WSFIQIH!$AE$49&lt;=100),"P","")</f>
        <v/>
      </c>
      <c r="FV29" t="str">
        <f>IF(WSFIQIH!$AE$62&lt;74.9,"P","")</f>
        <v/>
      </c>
      <c r="FW29" s="102" t="str">
        <f>IF(AND(WSFIQIH!$AE$62&gt;=75,WSFIQIH!$AE$62&lt;=83.24),"P","")</f>
        <v/>
      </c>
      <c r="FX29" s="102" t="str">
        <f>IF(AND(WSFIQIH!$AE$62&gt;=83.25,WSFIQIH!$AE$62&lt;=91.4),"P","")</f>
        <v/>
      </c>
      <c r="FY29" s="102" t="str">
        <f>IF(AND(WSFIQIH!$AE$62&gt;=91.5,WSFIQIH!$AE$62&lt;=100),"P","")</f>
        <v/>
      </c>
      <c r="FZ29" t="str">
        <f>IF(WSFIQIH!$AE$71&lt;74.9,"P","")</f>
        <v/>
      </c>
      <c r="GA29" s="102" t="str">
        <f>IF(AND(WSFIQIH!$AE$71&gt;=75,WSFIQIH!$AE$71&lt;=83.24),"P","")</f>
        <v/>
      </c>
      <c r="GB29" s="102" t="str">
        <f>IF(AND(WSFIQIH!$AE$71&gt;=83.25,WSFIQIH!$AE$71&lt;=91.4),"P","")</f>
        <v/>
      </c>
      <c r="GC29" s="102" t="str">
        <f>IF(AND(WSFIQIH!$AE$71&gt;=91.5,WSFIQIH!$AE$71&lt;=100),"P","")</f>
        <v/>
      </c>
      <c r="GD29" t="str">
        <f>IF(WSFIQIH!$AE$80&lt;74.9,"P","")</f>
        <v/>
      </c>
      <c r="GE29" s="102" t="str">
        <f>IF(AND(WSFIQIH!$AE$80&gt;=75,WSFIQIH!$AE$80&lt;=83.24),"P","")</f>
        <v/>
      </c>
      <c r="GF29" s="102" t="str">
        <f>IF(AND(WSFIQIH!$AE$80&gt;=83.25,WSFIQIH!$AE$80&lt;=91.4),"P","")</f>
        <v/>
      </c>
      <c r="GG29" s="102" t="str">
        <f>IF(AND(WSFIQIH!$AE$80&gt;=91.5,WSFIQIH!$AE$80&lt;=100),"P","")</f>
        <v/>
      </c>
      <c r="GH29" t="str">
        <f>IF(WSFIQIH!$AE$88&lt;74.9,"P","")</f>
        <v/>
      </c>
      <c r="GI29" s="102" t="str">
        <f>IF(AND(WSFIQIH!$AE$88&gt;=75,WSFIQIH!$AE$88&lt;=83.24),"P","")</f>
        <v/>
      </c>
      <c r="GJ29" s="102" t="str">
        <f>IF(AND(WSFIQIH!$AE$88&gt;=83.25,WSFIQIH!$AE$88&lt;=91.4),"P","")</f>
        <v/>
      </c>
      <c r="GK29" s="102" t="str">
        <f>IF(AND(WSFIQIH!$AE$88&gt;=91.5,WSFIQIH!$AE$88&lt;=100),"P","")</f>
        <v/>
      </c>
      <c r="GL29" t="str">
        <f>IF(WSFIQIH!$AE$96&lt;74.9,"P","")</f>
        <v/>
      </c>
      <c r="GM29" s="102" t="str">
        <f>IF(AND(WSFIQIH!$AE$96&gt;=75,WSFIQIH!$AE$96&lt;=83.24),"P","")</f>
        <v/>
      </c>
      <c r="GN29" s="102" t="str">
        <f>IF(AND(WSFIQIH!$AE$96&gt;=83.25,WSFIQIH!$AE$96&lt;=91.4),"P","")</f>
        <v/>
      </c>
      <c r="GO29" s="102" t="str">
        <f>IF(AND(WSFIQIH!$AE$96&gt;=91.5,WSFIQIH!$AE$96&lt;=100),"P","")</f>
        <v/>
      </c>
      <c r="GP29" t="str">
        <f>IF(WSFIQIH!$AE$104&lt;74.9,"P","")</f>
        <v/>
      </c>
      <c r="GQ29" s="102" t="str">
        <f>IF(AND(WSFIQIH!$AE$104&gt;=75,WSFIQIH!$AE$104&lt;=83.24),"P","")</f>
        <v/>
      </c>
      <c r="GR29" s="102" t="str">
        <f>IF(AND(WSFIQIH!$AE$104&gt;=83.25,WSFIQIH!$AE$104&lt;=91.4),"P","")</f>
        <v/>
      </c>
      <c r="GS29" s="102" t="str">
        <f>IF(AND(WSFIQIH!$AE$104&gt;=91.5,WSFIQIH!$AE$104&lt;=100),"P","")</f>
        <v/>
      </c>
      <c r="GT29" t="str">
        <f>IF(WSFIQIH!$AE$112&lt;74.9,"P","")</f>
        <v/>
      </c>
      <c r="GU29" s="102" t="str">
        <f>IF(AND(WSFIQIH!$AE$112&gt;=75,WSFIQIH!$AE$112&lt;=83.24),"P","")</f>
        <v/>
      </c>
      <c r="GV29" s="102" t="str">
        <f>IF(AND(WSFIQIH!$AE$112&gt;=83.25,WSFIQIH!$AE$112&lt;=91.4),"P","")</f>
        <v/>
      </c>
      <c r="GW29" s="102" t="str">
        <f>IF(AND(WSFIQIH!$AE$112&gt;=91.5,WSFIQIH!$AE$112&lt;=100),"P","")</f>
        <v/>
      </c>
      <c r="GX29" t="str">
        <f>IF(WSFIQIH!$AE$120&lt;74.9,"P","")</f>
        <v/>
      </c>
      <c r="GY29" s="102" t="str">
        <f>IF(AND(WSFIQIH!$AE$120&gt;=75,WSFIQIH!$AE$120&lt;=83.24),"P","")</f>
        <v/>
      </c>
      <c r="GZ29" s="102" t="str">
        <f>IF(AND(WSFIQIH!$AE$120&gt;=83.25,WSFIQIH!$AE$120&lt;=91.4),"P","")</f>
        <v/>
      </c>
      <c r="HA29" s="102" t="str">
        <f>IF(AND(WSFIQIH!$AE$120&gt;=91.5,WSFIQIH!$AE$120&lt;=100),"P","")</f>
        <v/>
      </c>
      <c r="HB29" t="str">
        <f>IF(WSPKN!$AE$6&lt;74.9,"P","")</f>
        <v/>
      </c>
      <c r="HC29" s="102" t="str">
        <f>IF(AND(WSPKN!$AE$6&gt;=75,WSPKN!$AE$6&lt;=83.24),"P","")</f>
        <v/>
      </c>
      <c r="HD29" s="102" t="str">
        <f>IF(AND(WSPKN!$AE$6&gt;=83.25,WSPKN!$AE$6&lt;=91.4),"P","")</f>
        <v/>
      </c>
      <c r="HE29" s="102" t="str">
        <f>IF(AND(WSPKN!$AE$6&gt;=91.5,WSPKN!$AE$6&lt;=100),"P","")</f>
        <v/>
      </c>
      <c r="HF29" t="str">
        <f>IF(WSPKN!$AE$32&lt;74.9,"P","")</f>
        <v/>
      </c>
      <c r="HG29" s="102" t="str">
        <f>IF(AND(WSPKN!$AE$32&gt;=75,WSPKN!$AE$32&lt;=83.24),"P","")</f>
        <v/>
      </c>
      <c r="HH29" s="102" t="str">
        <f>IF(AND(WSPKN!$AE$32&gt;=83.25,WSPKN!$AE$32&lt;=91.4),"P","")</f>
        <v/>
      </c>
      <c r="HI29" s="102" t="str">
        <f>IF(AND(WSPKN!$AE$32&gt;=91.5,WSPKN!$AE$32&lt;=100),"P","")</f>
        <v/>
      </c>
      <c r="HJ29" t="str">
        <f>IF(WSPKN!$AE$55&lt;74.9,"P","")</f>
        <v/>
      </c>
      <c r="HK29" s="102" t="str">
        <f>IF(AND(WSPKN!$AE$55&gt;=75,WSPKN!$AE$55&lt;=83.24),"P","")</f>
        <v/>
      </c>
      <c r="HL29" s="102" t="str">
        <f>IF(AND(WSPKN!$AE$55&gt;=83.25,WSPKN!$AE$55&lt;=91.4),"P","")</f>
        <v/>
      </c>
      <c r="HM29" s="102" t="str">
        <f>IF(AND(WSPKN!$AE$55&gt;=91.5,WSPKN!$AE$55&lt;=100),"P","")</f>
        <v/>
      </c>
      <c r="HN29" t="str">
        <f>IF(WSPKN!$AE$72&lt;74.9,"P","")</f>
        <v/>
      </c>
      <c r="HO29" s="102" t="str">
        <f>IF(AND(WSPKN!$AE$72&gt;=75,WSPKN!$AE$72&lt;=83.24),"P","")</f>
        <v/>
      </c>
      <c r="HP29" s="102" t="str">
        <f>IF(AND(WSPKN!$AE$72&gt;=83.25,WSPKN!$AE$72&lt;=91.4),"P","")</f>
        <v/>
      </c>
      <c r="HQ29" s="102" t="str">
        <f>IF(AND(WSPKN!$AE$72&gt;=91.5,WSPKN!$AE$72&lt;=100),"P","")</f>
        <v/>
      </c>
      <c r="HR29" t="str">
        <f>IF(WSPKN!$AE$86&lt;74.9,"P","")</f>
        <v/>
      </c>
      <c r="HS29" s="102" t="str">
        <f>IF(AND(WSPKN!$AE$86&gt;=75,WSPKN!$AE$86&lt;=83.24),"P","")</f>
        <v/>
      </c>
      <c r="HT29" s="102" t="str">
        <f>IF(AND(WSPKN!$AE$86&gt;=83.25,WSPKN!$AE$86&lt;=91.4),"P","")</f>
        <v/>
      </c>
      <c r="HU29" s="102" t="str">
        <f>IF(AND(WSPKN!$AE$86&gt;=91.5,WSPKN!$AE$86&lt;=100),"P","")</f>
        <v/>
      </c>
      <c r="HV29" t="str">
        <f>IF(WSPKN!$AE$108&lt;74.9,"P","")</f>
        <v/>
      </c>
      <c r="HW29" s="102" t="str">
        <f>IF(AND(WSPKN!$AE$108&gt;=75,WSPKN!$AE$108&lt;=83.24),"P","")</f>
        <v/>
      </c>
      <c r="HX29" s="102" t="str">
        <f>IF(AND(WSPKN!$AE$108&gt;=83.25,WSPKN!$AE$108&lt;=91.4),"P","")</f>
        <v/>
      </c>
      <c r="HY29" s="102" t="str">
        <f>IF(AND(WSPKN!$AE$108&gt;=91.5,WSPKN!$AE$108&lt;=100),"P","")</f>
        <v/>
      </c>
      <c r="HZ29" t="str">
        <f>IF(WSPKN!$AE$132&lt;74.9,"P","")</f>
        <v/>
      </c>
      <c r="IA29" s="102" t="str">
        <f>IF(AND(WSPKN!$AE$132&gt;=75,WSPKN!$AE$132&lt;=83.24),"P","")</f>
        <v/>
      </c>
      <c r="IB29" s="102" t="str">
        <f>IF(AND(WSPKN!$AE$132&gt;=83.25,WSPKN!$AE$132&lt;=91.4),"P","")</f>
        <v/>
      </c>
      <c r="IC29" s="102" t="str">
        <f>IF(AND(WSPKN!$AE$132&gt;=91.5,WSPKN!$AE$132&lt;=100),"P","")</f>
        <v/>
      </c>
      <c r="ID29" t="str">
        <f>IF(WSPKN!$AE$148&lt;74.9,"P","")</f>
        <v/>
      </c>
      <c r="IE29" s="102" t="str">
        <f>IF(AND(WSPKN!$AE$148&gt;=75,WSPKN!$AE$148&lt;=83.24),"P","")</f>
        <v/>
      </c>
      <c r="IF29" s="102" t="str">
        <f>IF(AND(WSPKN!$AE$148&gt;=83.25,WSPKN!$AE$148&lt;=91.4),"P","")</f>
        <v/>
      </c>
      <c r="IG29" s="102" t="str">
        <f>IF(AND(WSPKN!$AE$148&gt;=91.5,WSPKN!$AE$148&lt;=100),"P","")</f>
        <v/>
      </c>
      <c r="IH29" t="str">
        <f>IF(WSPKN!$AE$165&lt;74.9,"P","")</f>
        <v/>
      </c>
      <c r="II29" s="102" t="str">
        <f>IF(AND(WSPKN!$AE$165&gt;=75,WSPKN!$AE$165&lt;=83.24),"P","")</f>
        <v/>
      </c>
      <c r="IJ29" s="102" t="str">
        <f>IF(AND(WSPKN!$AE$165&gt;=83.25,WSPKN!$AE$165&lt;=91.4),"P","")</f>
        <v/>
      </c>
      <c r="IK29" s="102" t="str">
        <f>IF(AND(WSPKN!$AE$165&gt;=91.5,WSPKN!$AE$165&lt;=100),"P","")</f>
        <v/>
      </c>
      <c r="IL29" t="str">
        <f>IF(WSPKN!$AE$173&lt;74.9,"P","")</f>
        <v/>
      </c>
      <c r="IM29" s="102" t="str">
        <f>IF(AND(WSPKN!$AE$173&gt;=75,WSPKN!$AE$173&lt;=83.24),"P","")</f>
        <v/>
      </c>
      <c r="IN29" s="102" t="str">
        <f>IF(AND(WSPKN!$AE$173&gt;=83.25,WSPKN!$AE$173&lt;=91.4),"P","")</f>
        <v/>
      </c>
      <c r="IO29" s="102" t="str">
        <f>IF(AND(WSPKN!$AE$173&gt;=91.5,WSPKN!$AE$173&lt;=100),"P","")</f>
        <v/>
      </c>
      <c r="IP29" t="str">
        <f>IF(WSPKN!$AE$181&lt;74.9,"P","")</f>
        <v/>
      </c>
      <c r="IQ29" s="102" t="str">
        <f>IF(AND(WSPKN!$AE$181&gt;=75,WSPKN!$AE$181&lt;=83.24),"P","")</f>
        <v/>
      </c>
      <c r="IR29" s="102" t="str">
        <f>IF(AND(WSPKN!$AE$181&gt;=83.25,WSPKN!$AE$181&lt;=91.4),"P","")</f>
        <v/>
      </c>
      <c r="IS29" s="102" t="str">
        <f>IF(AND(WSPKN!$AE$181&gt;=91.5,WSPKN!$AE$181&lt;=100),"P","")</f>
        <v/>
      </c>
      <c r="IT29" t="str">
        <f>IF(WSPKN!$AE$189&lt;74.9,"P","")</f>
        <v/>
      </c>
      <c r="IU29" s="102" t="str">
        <f>IF(AND(WSPKN!$AE$189&gt;=75,WSPKN!$AE$189&lt;=83.24),"P","")</f>
        <v/>
      </c>
      <c r="IV29" s="102" t="str">
        <f>IF(AND(WSPKN!$AE$189&gt;=83.25,WSPKN!$AE$189&lt;=91.4),"P","")</f>
        <v/>
      </c>
      <c r="IW29" s="102" t="str">
        <f>IF(AND(WSPKN!$AE$189&gt;=91.5,WSPKN!$AE$189&lt;=100),"P","")</f>
        <v/>
      </c>
      <c r="IX29" t="str">
        <f>IF(WSPKN!$AE$197&lt;74.9,"P","")</f>
        <v/>
      </c>
      <c r="IY29" s="102" t="str">
        <f>IF(AND(WSPKN!$AE$197&gt;=75,WSPKN!$AE$197&lt;=83.24),"P","")</f>
        <v/>
      </c>
      <c r="IZ29" s="102" t="str">
        <f>IF(AND(WSPKN!$AE$197&gt;=83.25,WSPKN!$AE$197&lt;=91.4),"P","")</f>
        <v/>
      </c>
      <c r="JA29" s="102" t="str">
        <f>IF(AND(WSPKN!$AE$197&gt;=91.5,WSPKN!$AE$197&lt;=100),"P","")</f>
        <v/>
      </c>
      <c r="JB29" t="str">
        <f>IF(WSIND!$AE$6&lt;74.9,"P","")</f>
        <v/>
      </c>
      <c r="JC29" s="102" t="str">
        <f>IF(AND(WSIND!$AE$6&gt;=75,WSIND!$AE$6&lt;=83.24),"P","")</f>
        <v/>
      </c>
      <c r="JD29" s="102" t="str">
        <f>IF(AND(WSIND!$AE$6&gt;=83.25,WSIND!$AE$6&lt;=91.4),"P","")</f>
        <v/>
      </c>
      <c r="JE29" s="102" t="str">
        <f>IF(AND(WSIND!$AE$6&gt;=91.5,WSIND!$AE$6&lt;=100),"P","")</f>
        <v/>
      </c>
      <c r="JF29" t="str">
        <f>IF(WSIND!$AE$65&lt;74.9,"P","")</f>
        <v/>
      </c>
      <c r="JG29" s="102" t="str">
        <f>IF(AND(WSIND!$AE$65&gt;=75,WSIND!$AE$65&lt;=83.24),"P","")</f>
        <v/>
      </c>
      <c r="JH29" s="102" t="str">
        <f>IF(AND(WSIND!$AE$65&gt;=83.25,WSIND!$AE$65&lt;=91.4),"P","")</f>
        <v/>
      </c>
      <c r="JI29" s="102" t="str">
        <f>IF(AND(WSIND!$AE$65&gt;=91.5,WSIND!$AE$65&lt;=100),"P","")</f>
        <v/>
      </c>
      <c r="JJ29" t="str">
        <f>IF(WSIND!$AE$113&lt;74.9,"P","")</f>
        <v/>
      </c>
      <c r="JK29" s="102" t="str">
        <f>IF(AND(WSIND!$AE$113&gt;=75,WSIND!$AE$113&lt;=83.24),"P","")</f>
        <v/>
      </c>
      <c r="JL29" s="102" t="str">
        <f>IF(AND(WSIND!$AE$113&gt;=83.25,WSIND!$AE$113&lt;=91.4),"P","")</f>
        <v/>
      </c>
      <c r="JM29" s="102" t="str">
        <f>IF(AND(WSIND!$AE$113&gt;=91.5,WSIND!$AE$113&lt;=100),"P","")</f>
        <v/>
      </c>
      <c r="JN29" t="str">
        <f>IF(WSIND!$AE$133&lt;74.9,"P","")</f>
        <v/>
      </c>
      <c r="JO29" s="102" t="str">
        <f>IF(AND(WSIND!$AE$133&gt;=75,WSIND!$AE$133&lt;=83.24),"P","")</f>
        <v/>
      </c>
      <c r="JP29" s="102" t="str">
        <f>IF(AND(WSIND!$AE$133&gt;=83.25,WSIND!$AE$133&lt;=91.4),"P","")</f>
        <v/>
      </c>
      <c r="JQ29" s="102" t="str">
        <f>IF(AND(WSIND!$AE$133&gt;=91.5,WSIND!$AE$133&lt;=100),"P","")</f>
        <v/>
      </c>
      <c r="JR29" t="str">
        <f>IF(WSIND!$AE$161&lt;74.9,"P","")</f>
        <v/>
      </c>
      <c r="JS29" s="102" t="str">
        <f>IF(AND(WSIND!$AE$161&gt;=75,WSIND!$AE$161&lt;=83.24),"P","")</f>
        <v/>
      </c>
      <c r="JT29" s="102" t="str">
        <f>IF(AND(WSIND!$AE$161&gt;=83.25,WSIND!$AE$161&lt;=91.4),"P","")</f>
        <v/>
      </c>
      <c r="JU29" s="102" t="str">
        <f>IF(AND(WSIND!$AE$161&gt;=91.5,WSIND!$AE$161&lt;=100),"P","")</f>
        <v/>
      </c>
      <c r="JV29" t="str">
        <f>IF(WSIND!$AE$192&lt;74.9,"P","")</f>
        <v/>
      </c>
      <c r="JW29" s="102" t="str">
        <f>IF(AND(WSIND!$AE$192&gt;=75,WSIND!$AE$192&lt;=83.24),"P","")</f>
        <v/>
      </c>
      <c r="JX29" s="102" t="str">
        <f>IF(AND(WSIND!$AE$192&gt;=83.25,WSIND!$AE$192&lt;=91.4),"P","")</f>
        <v/>
      </c>
      <c r="JY29" s="102" t="str">
        <f>IF(AND(WSIND!$AE$192&gt;=91.5,WSIND!$AE$192&lt;=100),"P","")</f>
        <v/>
      </c>
      <c r="JZ29" t="str">
        <f>IF(WSIND!$AE$228&lt;74.9,"P","")</f>
        <v/>
      </c>
      <c r="KA29" s="102" t="str">
        <f>IF(AND(WSIND!$AE$228&gt;=75,WSIND!$AE$228&lt;=83.24),"P","")</f>
        <v/>
      </c>
      <c r="KB29" s="102" t="str">
        <f>IF(AND(WSIND!$AE$228&gt;=83.25,WSIND!$AE$228&lt;=91.4),"P","")</f>
        <v/>
      </c>
      <c r="KC29" s="102" t="str">
        <f>IF(AND(WSIND!$AE$228&gt;=91.5,WSIND!$AE$228&lt;=100),"P","")</f>
        <v/>
      </c>
      <c r="KD29" t="str">
        <f>IF(WSIND!$AE$256&lt;74.9,"P","")</f>
        <v/>
      </c>
      <c r="KE29" s="102" t="str">
        <f>IF(AND(WSIND!$AE$256&gt;=75,WSIND!$AE$256&lt;=83.24),"P","")</f>
        <v/>
      </c>
      <c r="KF29" s="102" t="str">
        <f>IF(AND(WSIND!$AE$256&gt;=83.25,WSIND!$AE$256&lt;=91.4),"P","")</f>
        <v/>
      </c>
      <c r="KG29" s="102" t="str">
        <f>IF(AND(WSIND!$AE$256&gt;=91.5,WSIND!$AE$256&lt;=100),"P","")</f>
        <v/>
      </c>
      <c r="KH29" t="str">
        <f>IF(WSIND!$AE$277&lt;74.9,"P","")</f>
        <v/>
      </c>
      <c r="KI29" s="102" t="str">
        <f>IF(AND(WSIND!$AE$277&gt;=75,WSIND!$AE$277&lt;=83.24),"P","")</f>
        <v/>
      </c>
      <c r="KJ29" s="102" t="str">
        <f>IF(AND(WSIND!$AE$277&gt;=83.25,WSIND!$AE$277&lt;=91.4),"P","")</f>
        <v/>
      </c>
      <c r="KK29" s="102" t="str">
        <f>IF(AND(WSIND!$AE$277&gt;=91.5,WSIND!$AE$277&lt;=100),"P","")</f>
        <v/>
      </c>
      <c r="KL29" t="str">
        <f>IF(WSIND!$AE$305&lt;74.9,"P","")</f>
        <v/>
      </c>
      <c r="KM29" s="102" t="str">
        <f>IF(AND(WSIND!$AE$305&gt;=75,WSIND!$AE$305&lt;=83.24),"P","")</f>
        <v/>
      </c>
      <c r="KN29" s="102" t="str">
        <f>IF(AND(WSIND!$AE$305&gt;=83.25,WSIND!$AE$305&lt;=91.4),"P","")</f>
        <v/>
      </c>
      <c r="KO29" s="102" t="str">
        <f>IF(AND(WSIND!$AE$305&gt;=91.5,WSIND!$AE$305&lt;=100),"P","")</f>
        <v/>
      </c>
      <c r="KP29" t="str">
        <f>IF(WSIND!$AE$329&lt;74.9,"P","")</f>
        <v/>
      </c>
      <c r="KQ29" s="102" t="str">
        <f>IF(AND(WSIND!$AE$329&gt;=75,WSIND!$AE$329&lt;=83.24),"P","")</f>
        <v/>
      </c>
      <c r="KR29" s="102" t="str">
        <f>IF(AND(WSIND!$AE$329&gt;=83.25,WSIND!$AE$329&lt;=91.4),"P","")</f>
        <v/>
      </c>
      <c r="KS29" s="102" t="str">
        <f>IF(AND(WSIND!$AE$329&gt;=91.5,WSIND!$AE$329&lt;=100),"P","")</f>
        <v/>
      </c>
      <c r="KT29" t="str">
        <f>IF(WSIND!$AE$337&lt;74.9,"P","")</f>
        <v/>
      </c>
      <c r="KU29" s="102" t="str">
        <f>IF(AND(WSIND!$AE$337&gt;=75,WSIND!$AE$337&lt;=83.24),"P","")</f>
        <v/>
      </c>
      <c r="KV29" s="102" t="str">
        <f>IF(AND(WSIND!$AE$337&gt;=83.25,WSIND!$AE$337&lt;=91.4),"P","")</f>
        <v/>
      </c>
      <c r="KW29" s="102" t="str">
        <f>IF(AND(WSIND!$AE$337&gt;=91.5,WSIND!$AE$337&lt;=100),"P","")</f>
        <v/>
      </c>
      <c r="KX29" t="str">
        <f>IF(WSIND!$AE$345&lt;74.9,"P","")</f>
        <v/>
      </c>
      <c r="KY29" s="102" t="str">
        <f>IF(AND(WSIND!$AE$345&gt;=75,WSIND!$AE$345&lt;=83.24),"P","")</f>
        <v/>
      </c>
      <c r="KZ29" s="102" t="str">
        <f>IF(AND(WSIND!$AE$345&gt;=83.25,WSIND!$AE$345&lt;=91.4),"P","")</f>
        <v/>
      </c>
      <c r="LA29" s="102" t="str">
        <f>IF(AND(WSIND!$AE$345&gt;=91.5,WSIND!$AE$345&lt;=100),"P","")</f>
        <v/>
      </c>
      <c r="LB29" t="str">
        <f>IF(WSARAB!$AE$6&lt;74.9,"P","")</f>
        <v/>
      </c>
      <c r="LC29" s="102" t="str">
        <f>IF(AND(WSARAB!$AE$6&gt;=75,WSARAB!$AE$6&lt;=83.24),"P","")</f>
        <v/>
      </c>
      <c r="LD29" s="102" t="str">
        <f>IF(AND(WSARAB!$AE$6&gt;=83.25,WSARAB!$AE$6&lt;=91.4),"P","")</f>
        <v/>
      </c>
      <c r="LE29" s="102" t="str">
        <f>IF(AND(WSARAB!$AE$6&gt;=91.5,WSARAB!$AE$6&lt;=100),"P","")</f>
        <v/>
      </c>
      <c r="LF29" t="str">
        <f>IF(WSARAB!$AE$17&lt;74.9,"P","")</f>
        <v/>
      </c>
      <c r="LG29" s="102" t="str">
        <f>IF(AND(WSARAB!$AE$17&gt;=75,WSARAB!$AE$17&lt;=83.24),"P","")</f>
        <v/>
      </c>
      <c r="LH29" s="102" t="str">
        <f>IF(AND(WSARAB!$AE$17&gt;=83.25,WSARAB!$AE$17&lt;=91.4),"P","")</f>
        <v/>
      </c>
      <c r="LI29" s="102" t="str">
        <f>IF(AND(WSARAB!$AE$17&gt;=91.5,WSARAB!$AE$17&lt;=100),"P","")</f>
        <v/>
      </c>
      <c r="LJ29" t="str">
        <f>IF(WSARAB!$AE$29&lt;74.9,"P","")</f>
        <v/>
      </c>
      <c r="LK29" s="102" t="str">
        <f>IF(AND(WSARAB!$AE$29&gt;=75,WSARAB!$AE$29&lt;=83.24),"P","")</f>
        <v/>
      </c>
      <c r="LL29" s="102" t="str">
        <f>IF(AND(WSARAB!$AE$29&gt;=83.25,WSARAB!$AE$29&lt;=91.4),"P","")</f>
        <v/>
      </c>
      <c r="LM29" s="102" t="str">
        <f>IF(AND(WSARAB!$AE$29&gt;=91.5,WSARAB!$AE$29&lt;=100),"P","")</f>
        <v/>
      </c>
      <c r="LN29" t="str">
        <f>IF(WSARAB!$AE$37&lt;74.9,"P","")</f>
        <v/>
      </c>
      <c r="LO29" s="102" t="str">
        <f>IF(AND(WSARAB!$AE$37&gt;=75,WSARAB!$AE$37&lt;=83.24),"P","")</f>
        <v/>
      </c>
      <c r="LP29" s="102" t="str">
        <f>IF(AND(WSARAB!$AE$37&gt;=83.25,WSARAB!$AE$37&lt;=91.4),"P","")</f>
        <v/>
      </c>
      <c r="LQ29" s="102" t="str">
        <f>IF(AND(WSARAB!$AE$37&gt;=91.5,WSARAB!$AE$37&lt;=100),"P","")</f>
        <v/>
      </c>
      <c r="LR29" t="str">
        <f>IF(WSARAB!$AE$45&lt;74.9,"P","")</f>
        <v/>
      </c>
      <c r="LS29" s="102" t="str">
        <f>IF(AND(WSARAB!$AE$45&gt;=75,WSARAB!$AE$45&lt;=83.24),"P","")</f>
        <v/>
      </c>
      <c r="LT29" s="102" t="str">
        <f>IF(AND(WSARAB!$AE$45&gt;=83.25,WSARAB!$AE$45&lt;=91.4),"P","")</f>
        <v/>
      </c>
      <c r="LU29" s="102" t="str">
        <f>IF(AND(WSARAB!$AE$45&gt;=91.5,WSARAB!$AE$45&lt;=100),"P","")</f>
        <v/>
      </c>
      <c r="LV29" t="str">
        <f>IF(WSARAB!$AE$53&lt;74.9,"P","")</f>
        <v/>
      </c>
      <c r="LW29" s="102" t="str">
        <f>IF(AND(WSARAB!$AE$53&gt;=75,WSARAB!$AE$53&lt;=83.24),"P","")</f>
        <v/>
      </c>
      <c r="LX29" s="102" t="str">
        <f>IF(AND(WSARAB!$AE$53&gt;=83.25,WSARAB!$AE$53&lt;=91.4),"P","")</f>
        <v/>
      </c>
      <c r="LY29" s="102" t="str">
        <f>IF(AND(WSARAB!$AE$53&gt;=91.5,WSARAB!$AE$53&lt;=100),"P","")</f>
        <v/>
      </c>
      <c r="LZ29" t="str">
        <f>IF(WSARAB!$AE$65&lt;74.9,"P","")</f>
        <v/>
      </c>
      <c r="MA29" s="102" t="str">
        <f>IF(AND(WSARAB!$AE$65&gt;=75,WSARAB!$AE$65&lt;=83.24),"P","")</f>
        <v/>
      </c>
      <c r="MB29" s="102" t="str">
        <f>IF(AND(WSARAB!$AE$65&gt;=83.25,WSARAB!$AE$65&lt;=91.4),"P","")</f>
        <v/>
      </c>
      <c r="MC29" s="102" t="str">
        <f>IF(AND(WSARAB!$AE$65&gt;=91.5,WSARAB!$AE$65&lt;=100),"P","")</f>
        <v/>
      </c>
      <c r="MD29" t="str">
        <f>IF(WSARAB!$AE$73&lt;74.9,"P","")</f>
        <v/>
      </c>
      <c r="ME29" s="102" t="str">
        <f>IF(AND(WSARAB!$AE$73&gt;=75,WSARAB!$AE$73&lt;=83.24),"P","")</f>
        <v/>
      </c>
      <c r="MF29" s="102" t="str">
        <f>IF(AND(WSARAB!$AE$73&gt;=83.25,WSARAB!$AE$73&lt;=91.4),"P","")</f>
        <v/>
      </c>
      <c r="MG29" s="102" t="str">
        <f>IF(AND(WSARAB!$AE$73&gt;=91.5,WSARAB!$AE$73&lt;=100),"P","")</f>
        <v/>
      </c>
      <c r="MH29" t="str">
        <f>IF(WSARAB!$AE$81&lt;74.9,"P","")</f>
        <v/>
      </c>
      <c r="MI29" s="102" t="str">
        <f>IF(AND(WSARAB!$AE$81&gt;=75,WSARAB!$AE$81&lt;=83.24),"P","")</f>
        <v/>
      </c>
      <c r="MJ29" s="102" t="str">
        <f>IF(AND(WSARAB!$AE$81&gt;=83.25,WSARAB!$AE$81&lt;=91.4),"P","")</f>
        <v/>
      </c>
      <c r="MK29" s="102" t="str">
        <f>IF(AND(WSARAB!$AE$81&gt;=91.5,WSARAB!$AE$81&lt;=100),"P","")</f>
        <v/>
      </c>
      <c r="ML29" t="str">
        <f>IF(WSARAB!$AE$89&lt;74.9,"P","")</f>
        <v/>
      </c>
      <c r="MM29" s="102" t="str">
        <f>IF(AND(WSARAB!$AE$89&gt;=75,WSARAB!$AE$89&lt;=83.24),"P","")</f>
        <v/>
      </c>
      <c r="MN29" s="102" t="str">
        <f>IF(AND(WSARAB!$AE$89&gt;=83.25,WSARAB!$AE$89&lt;=91.4),"P","")</f>
        <v/>
      </c>
      <c r="MO29" s="102" t="str">
        <f>IF(AND(WSARAB!$AE$89&gt;=91.5,WSARAB!$AE$89&lt;=100),"P","")</f>
        <v/>
      </c>
      <c r="MP29" t="str">
        <f>IF(WSARAB!$AE$97&lt;74.9,"P","")</f>
        <v/>
      </c>
      <c r="MQ29" s="102" t="str">
        <f>IF(AND(WSARAB!$AE$97&gt;=75,WSARAB!$AE$97&lt;=83.24),"P","")</f>
        <v/>
      </c>
      <c r="MR29" s="102" t="str">
        <f>IF(AND(WSARAB!$AE$97&gt;=83.25,WSARAB!$AE$97&lt;=91.4),"P","")</f>
        <v/>
      </c>
      <c r="MS29" s="102" t="str">
        <f>IF(AND(WSARAB!$AE$97&gt;=91.5,WSARAB!$AE$97&lt;=100),"P","")</f>
        <v/>
      </c>
      <c r="MT29" t="str">
        <f>IF(WSARAB!$AE$105&lt;74.9,"P","")</f>
        <v/>
      </c>
      <c r="MU29" s="102" t="str">
        <f>IF(AND(WSARAB!$AE$105&gt;=75,WSARAB!$AE$105&lt;=83.24),"P","")</f>
        <v/>
      </c>
      <c r="MV29" s="102" t="str">
        <f>IF(AND(WSARAB!$AE$105&gt;=83.25,WSARAB!$AE$105&lt;=91.4),"P","")</f>
        <v/>
      </c>
      <c r="MW29" s="102" t="str">
        <f>IF(AND(WSARAB!$AE$105&gt;=91.5,WSARAB!$AE$105&lt;=100),"P","")</f>
        <v/>
      </c>
      <c r="MX29" t="str">
        <f>IF(WSARAB!$AE$113&lt;74.9,"P","")</f>
        <v/>
      </c>
      <c r="MY29" s="102" t="str">
        <f>IF(AND(WSARAB!$AE$113&gt;=75,WSARAB!$AE$113&lt;=83.24),"P","")</f>
        <v/>
      </c>
      <c r="MZ29" s="102" t="str">
        <f>IF(AND(WSARAB!$AE$113&gt;=83.25,WSARAB!$AE$113&lt;=91.4),"P","")</f>
        <v/>
      </c>
      <c r="NA29" s="102" t="str">
        <f>IF(AND(WSARAB!$AE$113&gt;=91.5,WSARAB!$AE$113&lt;=100),"P","")</f>
        <v/>
      </c>
      <c r="NB29" t="str">
        <f>IF(WSMTK!$AE$6&lt;74.9,"P","")</f>
        <v/>
      </c>
      <c r="NC29" s="102" t="str">
        <f>IF(AND(WSMTK!$AE$6&gt;=75,WSMTK!$AE$6&lt;=83.24),"P","")</f>
        <v/>
      </c>
      <c r="ND29" s="102" t="str">
        <f>IF(AND(WSMTK!$AE$6&gt;=83.25,WSMTK!$AE$6&lt;=91.4),"P","")</f>
        <v/>
      </c>
      <c r="NE29" s="102" t="str">
        <f>IF(AND(WSMTK!$AE$6&gt;=91.5,WSMTK!$AE$6&lt;=100),"P","")</f>
        <v/>
      </c>
      <c r="NF29" t="str">
        <f>IF(WSMTK!$AE$22&lt;74.9,"P","")</f>
        <v/>
      </c>
      <c r="NG29" s="102" t="str">
        <f>IF(AND(WSMTK!$AE$22&gt;=75,WSMTK!$AE$22&lt;=83.24),"P","")</f>
        <v/>
      </c>
      <c r="NH29" s="102" t="str">
        <f>IF(AND(WSMTK!$AE$22&gt;=83.25,WSMTK!$AE$22&lt;=91.4),"P","")</f>
        <v/>
      </c>
      <c r="NI29" s="102" t="str">
        <f>IF(AND(WSMTK!$AE$22&gt;=91.5,WSMTK!$AE$22&lt;=100),"P","")</f>
        <v/>
      </c>
      <c r="NJ29" t="str">
        <f>IF(WSMTK!$AE$35&lt;74.9,"P","")</f>
        <v/>
      </c>
      <c r="NK29" s="102" t="str">
        <f>IF(AND(WSMTK!$AE$35&gt;=75,WSMTK!$AE$35&lt;=83.24),"P","")</f>
        <v/>
      </c>
      <c r="NL29" s="102" t="str">
        <f>IF(AND(WSMTK!$AE$35&gt;=83.25,WSMTK!$AE$35&lt;=91.4),"P","")</f>
        <v/>
      </c>
      <c r="NM29" s="102" t="str">
        <f>IF(AND(WSMTK!$AE$35&gt;=91.5,WSMTK!$AE$35&lt;=100),"P","")</f>
        <v/>
      </c>
      <c r="NN29" t="str">
        <f>IF(WSMTK!$AE$69&lt;74.9,"P","")</f>
        <v/>
      </c>
      <c r="NO29" s="102" t="str">
        <f>IF(AND(WSMTK!$AE$69&gt;=75,WSMTK!$AE$69&lt;=83.24),"P","")</f>
        <v/>
      </c>
      <c r="NP29" s="102" t="str">
        <f>IF(AND(WSMTK!$AE$69&gt;=83.25,WSMTK!$AE$69&lt;=91.4),"P","")</f>
        <v/>
      </c>
      <c r="NQ29" s="102" t="str">
        <f>IF(AND(WSMTK!$AE$69&gt;=91.5,WSMTK!$AE$69&lt;=100),"P","")</f>
        <v/>
      </c>
      <c r="NR29" t="str">
        <f>IF(WSMTK!$AE$87&lt;74.9,"P","")</f>
        <v/>
      </c>
      <c r="NS29" s="102" t="str">
        <f>IF(AND(WSMTK!$AE$87&gt;=75,WSMTK!$AE$87&lt;=83.24),"P","")</f>
        <v/>
      </c>
      <c r="NT29" s="102" t="str">
        <f>IF(AND(WSMTK!$AE$87&gt;=83.25,WSMTK!$AE$87&lt;=91.4),"P","")</f>
        <v/>
      </c>
      <c r="NU29" s="102" t="str">
        <f>IF(AND(WSMTK!$AE$87&gt;=91.5,WSMTK!$AE$87&lt;=100),"P","")</f>
        <v/>
      </c>
      <c r="NV29" t="str">
        <f>IF(WSMTK!$AE$99&lt;74.9,"P","")</f>
        <v/>
      </c>
      <c r="NW29" s="102" t="str">
        <f>IF(AND(WSMTK!$AE$99&gt;=75,WSMTK!$AE$99&lt;=83.24),"P","")</f>
        <v/>
      </c>
      <c r="NX29" s="102" t="str">
        <f>IF(AND(WSMTK!$AE$99&gt;=83.25,WSMTK!$AE$99&lt;=91.4),"P","")</f>
        <v/>
      </c>
      <c r="NY29" s="102" t="str">
        <f>IF(AND(WSMTK!$AE$99&gt;=91.5,WSMTK!$AE$99&lt;=100),"P","")</f>
        <v/>
      </c>
      <c r="NZ29" t="str">
        <f>IF(WSMTK!$AE$113&lt;74.9,"P","")</f>
        <v/>
      </c>
      <c r="OA29" s="102" t="str">
        <f>IF(AND(WSMTK!$AE$113&gt;=75,WSMTK!$AE$113&lt;=83.24),"P","")</f>
        <v/>
      </c>
      <c r="OB29" s="102" t="str">
        <f>IF(AND(WSMTK!$AE$113&gt;=83.25,WSMTK!$AE$113&lt;=91.4),"P","")</f>
        <v/>
      </c>
      <c r="OC29" s="102" t="str">
        <f>IF(AND(WSMTK!$AE$113&gt;=91.5,WSMTK!$AE$113&lt;=100),"P","")</f>
        <v/>
      </c>
      <c r="OD29" t="str">
        <f>IF(WSMTK!$AE$145&lt;74.9,"P","")</f>
        <v/>
      </c>
      <c r="OE29" s="102" t="str">
        <f>IF(AND(WSMTK!$AE$145&gt;=75,WSMTK!$AE$145&lt;=83.24),"P","")</f>
        <v/>
      </c>
      <c r="OF29" s="102" t="str">
        <f>IF(AND(WSMTK!$AE$145&gt;=83.25,WSMTK!$AE$145&lt;=91.4),"P","")</f>
        <v/>
      </c>
      <c r="OG29" s="102" t="str">
        <f>IF(AND(WSMTK!$AE$145&gt;=91.5,WSMTK!$AE$145&lt;=100),"P","")</f>
        <v/>
      </c>
      <c r="OH29" t="str">
        <f>IF(WSMTK!$AE$168&lt;74.9,"P","")</f>
        <v/>
      </c>
      <c r="OI29" s="102" t="str">
        <f>IF(AND(WSMTK!$AE$168&gt;=75,WSMTK!$AE$168&lt;=83.24),"P","")</f>
        <v/>
      </c>
      <c r="OJ29" s="102" t="str">
        <f>IF(AND(WSMTK!$AE$168&gt;=83.25,WSMTK!$AE$168&lt;=91.4),"P","")</f>
        <v/>
      </c>
      <c r="OK29" s="102" t="str">
        <f>IF(AND(WSMTK!$AE$168&gt;=91.5,WSMTK!$AE$168&lt;=100),"P","")</f>
        <v/>
      </c>
      <c r="OL29" t="str">
        <f>IF(WSMTK!$AE$176&lt;74.9,"P","")</f>
        <v/>
      </c>
      <c r="OM29" s="102" t="str">
        <f>IF(AND(WSMTK!$AE$176&gt;=75,WSMTK!$AE$176&lt;=83.24),"P","")</f>
        <v/>
      </c>
      <c r="ON29" s="102" t="str">
        <f>IF(AND(WSMTK!$AE$176&gt;=83.25,WSMTK!$AE$176&lt;=91.4),"P","")</f>
        <v/>
      </c>
      <c r="OO29" s="102" t="str">
        <f>IF(AND(WSMTK!$AE$176&gt;=91.5,WSMTK!$AE$176&lt;=100),"P","")</f>
        <v/>
      </c>
      <c r="OP29" t="str">
        <f>IF(WSMTK!$AE$184&lt;74.9,"P","")</f>
        <v/>
      </c>
      <c r="OQ29" s="102" t="str">
        <f>IF(AND(WSMTK!$AE$184&gt;=75,WSMTK!$AE$184&lt;=83.24),"P","")</f>
        <v/>
      </c>
      <c r="OR29" s="102" t="str">
        <f>IF(AND(WSMTK!$AE$184&gt;=83.25,WSMTK!$AE$184&lt;=91.4),"P","")</f>
        <v/>
      </c>
      <c r="OS29" s="102" t="str">
        <f>IF(AND(WSMTK!$AE$184&gt;=91.5,WSMTK!$AE$184&lt;=100),"P","")</f>
        <v/>
      </c>
      <c r="OT29" t="str">
        <f>IF(WSMTK!$AE$192&lt;74.9,"P","")</f>
        <v/>
      </c>
      <c r="OU29" s="102" t="str">
        <f>IF(AND(WSMTK!$AE$192&gt;=75,WSMTK!$AE$192&lt;=83.24),"P","")</f>
        <v/>
      </c>
      <c r="OV29" s="102" t="str">
        <f>IF(AND(WSMTK!$AE$192&gt;=83.25,WSMTK!$AE$192&lt;=91.4),"P","")</f>
        <v/>
      </c>
      <c r="OW29" s="102" t="str">
        <f>IF(AND(WSMTK!$AE$192&gt;=91.5,WSMTK!$AE$192&lt;=100),"P","")</f>
        <v/>
      </c>
      <c r="OX29" t="str">
        <f>IF(WSMTK!$AE$200&lt;74.9,"P","")</f>
        <v/>
      </c>
      <c r="OY29" s="102" t="str">
        <f>IF(AND(WSMTK!$AE$200&gt;=75,WSMTK!$AE$200&lt;=83.24),"P","")</f>
        <v/>
      </c>
      <c r="OZ29" s="102" t="str">
        <f>IF(AND(WSMTK!$AE$200&gt;=83.25,WSMTK!$AE$200&lt;=91.4),"P","")</f>
        <v/>
      </c>
      <c r="PA29" s="102" t="str">
        <f>IF(AND(WSMTK!$AE$200&gt;=91.5,WSMTK!$AE$200&lt;=100),"P","")</f>
        <v/>
      </c>
      <c r="PB29" t="str">
        <f>IF(WSIPA!$AE$6&lt;74.9,"P","")</f>
        <v/>
      </c>
      <c r="PC29" s="102" t="str">
        <f>IF(AND(WSIPA!$AE$6&gt;=75,WSIPA!$AE$6&lt;=83.24),"P","")</f>
        <v/>
      </c>
      <c r="PD29" s="102" t="str">
        <f>IF(AND(WSIPA!$AE$6&gt;=83.25,WSIPA!$AE$6&lt;=91.4),"P","")</f>
        <v/>
      </c>
      <c r="PE29" s="102" t="str">
        <f>IF(AND(WSIPA!$AE$6&gt;=91.5,WSIPA!$AE$6&lt;=100),"P","")</f>
        <v/>
      </c>
      <c r="PF29" t="str">
        <f>IF(WSIPA!$AE$14&lt;74.9,"P","")</f>
        <v/>
      </c>
      <c r="PG29" s="102" t="str">
        <f>IF(AND(WSIPA!$AE$14&gt;=75,WSIPA!$AE$14&lt;=83.24),"P","")</f>
        <v/>
      </c>
      <c r="PH29" s="102" t="str">
        <f>IF(AND(WSIPA!$AE$14&gt;=83.25,WSIPA!$AE$14&lt;=91.4),"P","")</f>
        <v/>
      </c>
      <c r="PI29" s="102" t="str">
        <f>IF(AND(WSIPA!$AE$14&gt;=91.5,WSIPA!$AE$14&lt;=100),"P","")</f>
        <v/>
      </c>
      <c r="PJ29" t="str">
        <f>IF(WSIPA!$AE$22&lt;74.9,"P","")</f>
        <v/>
      </c>
      <c r="PK29" s="102" t="str">
        <f>IF(AND(WSIPA!$AE$22&gt;=75,WSIPA!$AE$22&lt;=83.24),"P","")</f>
        <v/>
      </c>
      <c r="PL29" s="102" t="str">
        <f>IF(AND(WSIPA!$AE$22&gt;=83.25,WSIPA!$AE$22&lt;=91.4),"P","")</f>
        <v/>
      </c>
      <c r="PM29" s="102" t="str">
        <f>IF(AND(WSIPA!$AE$22&gt;=91.5,WSIPA!$AE$22&lt;=100),"P","")</f>
        <v/>
      </c>
      <c r="PN29" t="str">
        <f>IF(WSIPA!$AE$30&lt;74.9,"P","")</f>
        <v/>
      </c>
      <c r="PO29" s="102" t="str">
        <f>IF(AND(WSIPA!$AE$30&gt;=75,WSIPA!$AE$30&lt;=83.24),"P","")</f>
        <v/>
      </c>
      <c r="PP29" s="102" t="str">
        <f>IF(AND(WSIPA!$AE$30&gt;=83.25,WSIPA!$AE$30&lt;=91.4),"P","")</f>
        <v/>
      </c>
      <c r="PQ29" s="102" t="str">
        <f>IF(AND(WSIPA!$AE$30&gt;=91.5,WSIPA!$AE$30&lt;=100),"P","")</f>
        <v/>
      </c>
      <c r="PR29" t="str">
        <f>IF(WSIPA!$AE$38&lt;74.9,"P","")</f>
        <v/>
      </c>
      <c r="PS29" s="102" t="str">
        <f>IF(AND(WSIPA!$AE$38&gt;=75,WSIPA!$AE$38&lt;=83.24),"P","")</f>
        <v/>
      </c>
      <c r="PT29" s="102" t="str">
        <f>IF(AND(WSIPA!$AE$38&gt;=83.25,WSIPA!$AE$38&lt;=91.4),"P","")</f>
        <v/>
      </c>
      <c r="PU29" s="102" t="str">
        <f>IF(AND(WSIPA!$AE$38&gt;=91.5,WSIPA!$AE$38&lt;=100),"P","")</f>
        <v/>
      </c>
      <c r="PV29" t="str">
        <f>IF(WSIPA!$AE$46&lt;74.9,"P","")</f>
        <v/>
      </c>
      <c r="PW29" s="102" t="str">
        <f>IF(AND(WSIPA!$AE$46&gt;=75,WSIPA!$AE$46&lt;=83.24),"P","")</f>
        <v/>
      </c>
      <c r="PX29" s="102" t="str">
        <f>IF(AND(WSIPA!$AE$46&gt;=83.25,WSIPA!$AE$46&lt;=91.4),"P","")</f>
        <v/>
      </c>
      <c r="PY29" s="102" t="str">
        <f>IF(AND(WSIPA!$AE$46&gt;=91.5,WSIPA!$AE$46&lt;=100),"P","")</f>
        <v/>
      </c>
      <c r="PZ29" t="str">
        <f>IF(WSIPA!$AE$54&lt;74.9,"P","")</f>
        <v/>
      </c>
      <c r="QA29" s="102" t="str">
        <f>IF(AND(WSIPA!$AE$54&gt;=75,WSIPA!$AE$54&lt;=83.24),"P","")</f>
        <v/>
      </c>
      <c r="QB29" s="102" t="str">
        <f>IF(AND(WSIPA!$AE$54&gt;=83.25,WSIPA!$AE$54&lt;=91.4),"P","")</f>
        <v/>
      </c>
      <c r="QC29" s="102" t="str">
        <f>IF(AND(WSIPA!$AE$54&gt;=91.5,WSIPA!$AE$54&lt;=100),"P","")</f>
        <v/>
      </c>
      <c r="QD29" t="str">
        <f>IF(WSIPA!$AE$62&lt;74.9,"P","")</f>
        <v/>
      </c>
      <c r="QE29" s="102" t="str">
        <f>IF(AND(WSIPA!$AE$62&gt;=75,WSIPA!$AE$62&lt;=83.24),"P","")</f>
        <v/>
      </c>
      <c r="QF29" s="102" t="str">
        <f>IF(AND(WSIPA!$AE$62&gt;=83.25,WSIPA!$AE$62&lt;=91.4),"P","")</f>
        <v/>
      </c>
      <c r="QG29" s="102" t="str">
        <f>IF(AND(WSIPA!$AE$62&gt;=91.5,WSIPA!$AE$62&lt;=100),"P","")</f>
        <v/>
      </c>
      <c r="QH29" t="str">
        <f>IF(WSIPA!$AE$70&lt;74.9,"P","")</f>
        <v/>
      </c>
      <c r="QI29" s="102" t="str">
        <f>IF(AND(WSIPA!$AE$70&gt;=75,WSIPA!$AE$70&lt;=83.24),"P","")</f>
        <v/>
      </c>
      <c r="QJ29" s="102" t="str">
        <f>IF(AND(WSIPA!$AE$70&gt;=83.25,WSIPA!$AE$70&lt;=91.4),"P","")</f>
        <v/>
      </c>
      <c r="QK29" s="102" t="str">
        <f>IF(AND(WSIPA!$AE$70&gt;=91.5,WSIPA!$AE$70&lt;=100),"P","")</f>
        <v/>
      </c>
      <c r="QL29" t="str">
        <f>IF(WSIPA!$AE$78&lt;74.9,"P","")</f>
        <v/>
      </c>
      <c r="QM29" s="102" t="str">
        <f>IF(AND(WSIPA!$AE$78&gt;=75,WSIPA!$AE$78&lt;=83.24),"P","")</f>
        <v/>
      </c>
      <c r="QN29" s="102" t="str">
        <f>IF(AND(WSIPA!$AE$78&gt;=83.25,WSIPA!$AE$78&lt;=91.4),"P","")</f>
        <v/>
      </c>
      <c r="QO29" s="102" t="str">
        <f>IF(AND(WSIPA!$AE$78&gt;=91.5,WSIPA!$AE$78&lt;=100),"P","")</f>
        <v/>
      </c>
      <c r="QP29" t="str">
        <f>IF(WSIPA!$AE$86&lt;74.9,"P","")</f>
        <v/>
      </c>
      <c r="QQ29" s="102" t="str">
        <f>IF(AND(WSIPA!$AE$86&gt;=75,WSIPA!$AE$86&lt;=83.24),"P","")</f>
        <v/>
      </c>
      <c r="QR29" s="102" t="str">
        <f>IF(AND(WSIPA!$AE$86&gt;=83.25,WSIPA!$AE$86&lt;=91.4),"P","")</f>
        <v/>
      </c>
      <c r="QS29" s="102" t="str">
        <f>IF(AND(WSIPA!$AE$86&gt;=91.5,WSIPA!$AE$86&lt;=100),"P","")</f>
        <v/>
      </c>
      <c r="QT29" t="str">
        <f>IF(WSIPA!$AE$94&lt;74.9,"P","")</f>
        <v/>
      </c>
      <c r="QU29" s="102" t="str">
        <f>IF(AND(WSIPA!$AE$94&gt;=75,WSIPA!$AE$94&lt;=83.24),"P","")</f>
        <v/>
      </c>
      <c r="QV29" s="102" t="str">
        <f>IF(AND(WSIPA!$AE$94&gt;=83.25,WSIPA!$AE$94&lt;=91.4),"P","")</f>
        <v/>
      </c>
      <c r="QW29" s="102" t="str">
        <f>IF(AND(WSIPA!$AE$94&gt;=91.5,WSIPA!$AE$94&lt;=100),"P","")</f>
        <v/>
      </c>
      <c r="QX29" t="str">
        <f>IF(WSIPA!$AE$102&lt;74.9,"P","")</f>
        <v/>
      </c>
      <c r="QY29" s="102" t="str">
        <f>IF(AND(WSIPA!$AE$102&gt;=75,WSIPA!$AE$102&lt;=83.24),"P","")</f>
        <v/>
      </c>
      <c r="QZ29" s="102" t="str">
        <f>IF(AND(WSIPA!$AE$102&gt;=83.25,WSIPA!$AE$102&lt;=91.4),"P","")</f>
        <v/>
      </c>
      <c r="RA29" s="102" t="str">
        <f>IF(AND(WSIPA!$AE$102&gt;=91.5,WSIPA!$AE$102&lt;=100),"P","")</f>
        <v/>
      </c>
      <c r="RB29" t="str">
        <f>IF(WSIPS!$AE$6&lt;74.9,"P","")</f>
        <v/>
      </c>
      <c r="RC29" s="102" t="str">
        <f>IF(AND(WSIPS!$AE$6&gt;=75,WSIPS!$AE$6&lt;=83.24),"P","")</f>
        <v/>
      </c>
      <c r="RD29" s="102" t="str">
        <f>IF(AND(WSIPS!$AE$6&gt;=83.25,WSIPS!$AE$6&lt;=91.4),"P","")</f>
        <v/>
      </c>
      <c r="RE29" s="102" t="str">
        <f>IF(AND(WSIPS!$AE$6&gt;=91.5,WSIPS!$AE$6&lt;=100),"P","")</f>
        <v/>
      </c>
      <c r="RF29" t="str">
        <f>IF(WSIPS!$AE$14&lt;74.9,"P","")</f>
        <v/>
      </c>
      <c r="RG29" s="102" t="str">
        <f>IF(AND(WSIPS!$AE$14&gt;=75,WSIPS!$AE$14&lt;=83.24),"P","")</f>
        <v/>
      </c>
      <c r="RH29" s="102" t="str">
        <f>IF(AND(WSIPS!$AE$14&gt;=83.25,WSIPS!$AE$14&lt;=91.4),"P","")</f>
        <v/>
      </c>
      <c r="RI29" s="102" t="str">
        <f>IF(AND(WSIPS!$AE$14&gt;=91.5,WSIPS!$AE$14&lt;=100),"P","")</f>
        <v/>
      </c>
      <c r="RJ29" t="str">
        <f>IF(WSIPS!$AE$22&lt;74.9,"P","")</f>
        <v/>
      </c>
      <c r="RK29" s="102" t="str">
        <f>IF(AND(WSIPS!$AE$22&gt;=75,WSIPS!$AE$22&lt;=83.24),"P","")</f>
        <v/>
      </c>
      <c r="RL29" s="102" t="str">
        <f>IF(AND(WSIPS!$AE$22&gt;=83.25,WSIPS!$AE$22&lt;=91.4),"P","")</f>
        <v/>
      </c>
      <c r="RM29" s="102" t="str">
        <f>IF(AND(WSIPS!$AE$22&gt;=91.5,WSIPS!$AE$22&lt;=100),"P","")</f>
        <v/>
      </c>
      <c r="RN29" t="str">
        <f>IF(WSIPS!$AE$30&lt;74.9,"P","")</f>
        <v/>
      </c>
      <c r="RO29" s="102" t="str">
        <f>IF(AND(WSIPS!$AE$30&gt;=75,WSIPS!$AE$30&lt;=83.24),"P","")</f>
        <v/>
      </c>
      <c r="RP29" s="102" t="str">
        <f>IF(AND(WSIPS!$AE$30&gt;=83.25,WSIPS!$AE$30&lt;=91.4),"P","")</f>
        <v/>
      </c>
      <c r="RQ29" s="102" t="str">
        <f>IF(AND(WSIPS!$AE$30&gt;=91.5,WSIPS!$AE$30&lt;=100),"P","")</f>
        <v/>
      </c>
      <c r="RR29" t="str">
        <f>IF(WSIPS!$AE$38&lt;74.9,"P","")</f>
        <v/>
      </c>
      <c r="RS29" s="102" t="str">
        <f>IF(AND(WSIPS!$AE$38&gt;=75,WSIPS!$AE$38&lt;=83.24),"P","")</f>
        <v/>
      </c>
      <c r="RT29" s="102" t="str">
        <f>IF(AND(WSIPS!$AE$38&gt;=83.25,WSIPS!$AE$38&lt;=91.4),"P","")</f>
        <v/>
      </c>
      <c r="RU29" s="102" t="str">
        <f>IF(AND(WSIPS!$AE$38&gt;=91.5,WSIPS!$AE$38&lt;=100),"P","")</f>
        <v/>
      </c>
      <c r="RV29" t="str">
        <f>IF(WSIPS!$AE$46&lt;74.9,"P","")</f>
        <v/>
      </c>
      <c r="RW29" s="102" t="str">
        <f>IF(AND(WSIPS!$AE$46&gt;=75,WSIPS!$AE$46&lt;=83.24),"P","")</f>
        <v/>
      </c>
      <c r="RX29" s="102" t="str">
        <f>IF(AND(WSIPS!$AE$46&gt;=83.25,WSIPS!$AE$46&lt;=91.4),"P","")</f>
        <v/>
      </c>
      <c r="RY29" s="102" t="str">
        <f>IF(AND(WSIPS!$AE$46&gt;=91.5,WSIPS!$AE$46&lt;=100),"P","")</f>
        <v/>
      </c>
      <c r="RZ29" t="str">
        <f>IF(WSIPS!$AE$54&lt;74.9,"P","")</f>
        <v/>
      </c>
      <c r="SA29" s="102" t="str">
        <f>IF(AND(WSIPS!$AE$54&gt;=75,WSIPS!$AE$54&lt;=83.24),"P","")</f>
        <v/>
      </c>
      <c r="SB29" s="102" t="str">
        <f>IF(AND(WSIPS!$AE$54&gt;=83.25,WSIPS!$AE$54&lt;=91.4),"P","")</f>
        <v/>
      </c>
      <c r="SC29" s="102" t="str">
        <f>IF(AND(WSIPS!$AE$54&gt;=91.5,WSIPS!$AE$54&lt;=100),"P","")</f>
        <v/>
      </c>
      <c r="SD29" t="str">
        <f>IF(WSIPS!$AE$62&lt;74.9,"P","")</f>
        <v/>
      </c>
      <c r="SE29" s="102" t="str">
        <f>IF(AND(WSIPS!$AE$62&gt;=75,WSIPS!$AE$62&lt;=83.24),"P","")</f>
        <v/>
      </c>
      <c r="SF29" s="102" t="str">
        <f>IF(AND(WSIPS!$AE$62&gt;=83.25,WSIPS!$AE$62&lt;=91.4),"P","")</f>
        <v/>
      </c>
      <c r="SG29" s="102" t="str">
        <f>IF(AND(WSIPS!$AE$62&gt;=91.5,WSIPS!$AE$62&lt;=100),"P","")</f>
        <v/>
      </c>
      <c r="SH29" t="str">
        <f>IF(WSIPS!$AE$70&lt;74.9,"P","")</f>
        <v/>
      </c>
      <c r="SI29" s="102" t="str">
        <f>IF(AND(WSIPS!$AE$70&gt;=75,WSIPS!$AE$70&lt;=83.24),"P","")</f>
        <v/>
      </c>
      <c r="SJ29" s="102" t="str">
        <f>IF(AND(WSIPS!$AE$70&gt;=83.25,WSIPS!$AE$70&lt;=91.4),"P","")</f>
        <v/>
      </c>
      <c r="SK29" s="102" t="str">
        <f>IF(AND(WSIPS!$AE$70&gt;=91.5,WSIPS!$AE$70&lt;=100),"P","")</f>
        <v/>
      </c>
      <c r="SL29" t="str">
        <f>IF(WSIPS!$AE$78&lt;74.9,"P","")</f>
        <v/>
      </c>
      <c r="SM29" s="102" t="str">
        <f>IF(AND(WSIPS!$AE$78&gt;=75,WSIPS!$AE$78&lt;=83.24),"P","")</f>
        <v/>
      </c>
      <c r="SN29" s="102" t="str">
        <f>IF(AND(WSIPS!$AE$78&gt;=83.25,WSIPS!$AE$78&lt;=91.4),"P","")</f>
        <v/>
      </c>
      <c r="SO29" s="102" t="str">
        <f>IF(AND(WSIPS!$AE$78&gt;=91.5,WSIPS!$AE$78&lt;=100),"P","")</f>
        <v/>
      </c>
      <c r="SP29" t="str">
        <f>IF(WSIPS!$AE$86&lt;74.9,"P","")</f>
        <v/>
      </c>
      <c r="SQ29" s="102" t="str">
        <f>IF(AND(WSIPS!$AE$86&gt;=75,WSIPS!$AE$86&lt;=83.24),"P","")</f>
        <v/>
      </c>
      <c r="SR29" s="102" t="str">
        <f>IF(AND(WSIPS!$AE$86&gt;=83.25,WSIPS!$AE$86&lt;=91.4),"P","")</f>
        <v/>
      </c>
      <c r="SS29" s="102" t="str">
        <f>IF(AND(WSIPS!$AE$86&gt;=91.5,WSIPS!$AE$86&lt;=100),"P","")</f>
        <v/>
      </c>
      <c r="ST29" t="str">
        <f>IF(WSIPS!$AE$94&lt;74.9,"P","")</f>
        <v/>
      </c>
      <c r="SU29" s="102" t="str">
        <f>IF(AND(WSIPS!$AE$94&gt;=75,WSIPS!$AE$94&lt;=83.24),"P","")</f>
        <v/>
      </c>
      <c r="SV29" s="102" t="str">
        <f>IF(AND(WSIPS!$AE$94&gt;=83.25,WSIPS!$AE$94&lt;=91.4),"P","")</f>
        <v/>
      </c>
      <c r="SW29" s="102" t="str">
        <f>IF(AND(WSIPS!$AE$94&gt;=91.5,WSIPS!$AE$94&lt;=100),"P","")</f>
        <v/>
      </c>
      <c r="SX29" t="str">
        <f>IF(WSIPS!$AE$102&lt;74.9,"P","")</f>
        <v/>
      </c>
      <c r="SY29" s="102" t="str">
        <f>IF(AND(WSIPS!$AE$102&gt;=75,WSIPS!$AE$102&lt;=83.24),"P","")</f>
        <v/>
      </c>
      <c r="SZ29" s="102" t="str">
        <f>IF(AND(WSIPS!$AE$102&gt;=83.25,WSIPS!$AE$102&lt;=91.4),"P","")</f>
        <v/>
      </c>
      <c r="TA29" s="102" t="str">
        <f>IF(AND(WSIPS!$AE$102&gt;=91.5,WSIPS!$AE$102&lt;=100),"P","")</f>
        <v/>
      </c>
      <c r="TB29" t="str">
        <f>IF(WSSBK!$AE$6&lt;74.9,"P","")</f>
        <v/>
      </c>
      <c r="TC29" s="102" t="str">
        <f>IF(AND(WSSBK!$AE$6&gt;=75,WSSBK!$AE$6&lt;=83.24),"P","")</f>
        <v/>
      </c>
      <c r="TD29" s="102" t="str">
        <f>IF(AND(WSSBK!$AE$6&gt;=83.25,WSSBK!$AE$6&lt;=91.4),"P","")</f>
        <v/>
      </c>
      <c r="TE29" s="102" t="str">
        <f>IF(AND(WSSBK!$AE$6&gt;=91.5,WSSBK!$AE$6&lt;=100),"P","")</f>
        <v/>
      </c>
      <c r="TF29" t="str">
        <f>IF(WSSBK!$AE$16&lt;74.9,"P","")</f>
        <v/>
      </c>
      <c r="TG29" s="102" t="str">
        <f>IF(AND(WSSBK!$AE$16&gt;=75,WSSBK!$AE$16&lt;=83.24),"P","")</f>
        <v/>
      </c>
      <c r="TH29" s="102" t="str">
        <f>IF(AND(WSSBK!$AE$16&gt;=83.25,WSSBK!$AE$16&lt;=91.4),"P","")</f>
        <v/>
      </c>
      <c r="TI29" s="102" t="str">
        <f>IF(AND(WSSBK!$AE$16&gt;=91.5,WSSBK!$AE$16&lt;=100),"P","")</f>
        <v/>
      </c>
      <c r="TJ29" t="str">
        <f>IF(WSSBK!$AE$26&lt;74.9,"P","")</f>
        <v/>
      </c>
      <c r="TK29" s="102" t="str">
        <f>IF(AND(WSSBK!$AE$26&gt;=75,WSSBK!$AE$26&lt;=83.24),"P","")</f>
        <v/>
      </c>
      <c r="TL29" s="102" t="str">
        <f>IF(AND(WSSBK!$AE$26&gt;=83.25,WSSBK!$AE$26&lt;=91.4),"P","")</f>
        <v/>
      </c>
      <c r="TM29" s="102" t="str">
        <f>IF(AND(WSSBK!$AE$26&gt;=91.5,WSSBK!$AE$26&lt;=100),"P","")</f>
        <v/>
      </c>
      <c r="TN29" t="str">
        <f>IF(WSSBK!$AE$36&lt;74.9,"P","")</f>
        <v/>
      </c>
      <c r="TO29" s="102" t="str">
        <f>IF(AND(WSSBK!$AE$36&gt;=75,WSSBK!$AE$36&lt;=83.24),"P","")</f>
        <v/>
      </c>
      <c r="TP29" s="102" t="str">
        <f>IF(AND(WSSBK!$AE$36&gt;=83.25,WSSBK!$AE$36&lt;=91.4),"P","")</f>
        <v/>
      </c>
      <c r="TQ29" s="102" t="str">
        <f>IF(AND(WSSBK!$AE$36&gt;=91.5,WSSBK!$AE$36&lt;=100),"P","")</f>
        <v/>
      </c>
      <c r="TR29" t="str">
        <f>IF(WSSBK!$AE$46&lt;74.9,"P","")</f>
        <v/>
      </c>
      <c r="TS29" s="102" t="str">
        <f>IF(AND(WSSBK!$AE$46&gt;=75,WSSBK!$AE$46&lt;=83.24),"P","")</f>
        <v/>
      </c>
      <c r="TT29" s="102" t="str">
        <f>IF(AND(WSSBK!$AE$46&gt;=83.25,WSSBK!$AE$46&lt;=91.4),"P","")</f>
        <v/>
      </c>
      <c r="TU29" s="102" t="str">
        <f>IF(AND(WSSBK!$AE$46&gt;=91.5,WSSBK!$AE$46&lt;=100),"P","")</f>
        <v/>
      </c>
      <c r="TV29" t="str">
        <f>IF(WSSBK!$AE$58&lt;74.9,"P","")</f>
        <v/>
      </c>
      <c r="TW29" s="102" t="str">
        <f>IF(AND(WSSBK!$AE$58&gt;=75,WSSBK!$AE$58&lt;=83.24),"P","")</f>
        <v/>
      </c>
      <c r="TX29" s="102" t="str">
        <f>IF(AND(WSSBK!$AE$58&gt;=83.25,WSSBK!$AE$58&lt;=91.4),"P","")</f>
        <v/>
      </c>
      <c r="TY29" s="102" t="str">
        <f>IF(AND(WSSBK!$AE$58&gt;=91.5,WSSBK!$AE$58&lt;=100),"P","")</f>
        <v/>
      </c>
      <c r="TZ29" t="str">
        <f>IF(WSSBK!$AE$68&lt;74.9,"P","")</f>
        <v/>
      </c>
      <c r="UA29" s="102" t="str">
        <f>IF(AND(WSSBK!$AE$68&gt;=75,WSSBK!$AE$68&lt;=83.24),"P","")</f>
        <v/>
      </c>
      <c r="UB29" s="102" t="str">
        <f>IF(AND(WSSBK!$AE$68&gt;=83.25,WSSBK!$AE$68&lt;=91.4),"P","")</f>
        <v/>
      </c>
      <c r="UC29" s="102" t="str">
        <f>IF(AND(WSSBK!$AE$68&gt;=91.5,WSSBK!$AE$68&lt;=100),"P","")</f>
        <v/>
      </c>
      <c r="UD29" t="str">
        <f>IF(WSSBK!$AE$77&lt;74.9,"P","")</f>
        <v/>
      </c>
      <c r="UE29" s="102" t="str">
        <f>IF(AND(WSSBK!$AE$77&gt;=75,WSSBK!$AE$77&lt;=83.24),"P","")</f>
        <v/>
      </c>
      <c r="UF29" s="102" t="str">
        <f>IF(AND(WSSBK!$AE$77&gt;=83.25,WSSBK!$AE$77&lt;=91.4),"P","")</f>
        <v/>
      </c>
      <c r="UG29" s="102" t="str">
        <f>IF(AND(WSSBK!$AE$77&gt;=91.5,WSSBK!$AE$77&lt;=100),"P","")</f>
        <v/>
      </c>
      <c r="UH29" t="str">
        <f>IF(WSSBK!$AE$87&lt;74.9,"P","")</f>
        <v/>
      </c>
      <c r="UI29" s="102" t="str">
        <f>IF(AND(WSSBK!$AE$87&gt;=75,WSSBK!$AE$87&lt;=83.24),"P","")</f>
        <v/>
      </c>
      <c r="UJ29" s="102" t="str">
        <f>IF(AND(WSSBK!$AE$87&gt;=83.25,WSSBK!$AE$87&lt;=91.4),"P","")</f>
        <v/>
      </c>
      <c r="UK29" s="102" t="str">
        <f>IF(AND(WSSBK!$AE$87&gt;=91.5,WSSBK!$AE$87&lt;=100),"P","")</f>
        <v/>
      </c>
      <c r="UL29" t="str">
        <f>IF(WSSBK!$AE$95&lt;74.9,"P","")</f>
        <v/>
      </c>
      <c r="UM29" s="102" t="str">
        <f>IF(AND(WSSBK!$AE$95&gt;=75,WSSBK!$AE$95&lt;=83.24),"P","")</f>
        <v/>
      </c>
      <c r="UN29" s="102" t="str">
        <f>IF(AND(WSSBK!$AE$95&gt;=83.25,WSSBK!$AE$95&lt;=91.4),"P","")</f>
        <v/>
      </c>
      <c r="UO29" s="102" t="str">
        <f>IF(AND(WSSBK!$AE$95&gt;=91.5,WSSBK!$AE$95&lt;=100),"P","")</f>
        <v/>
      </c>
      <c r="UP29" t="str">
        <f>IF(WSSBK!$AE$103&lt;74.9,"P","")</f>
        <v/>
      </c>
      <c r="UQ29" s="102" t="str">
        <f>IF(AND(WSSBK!$AE$103&gt;=75,WSSBK!$AE$103&lt;=83.24),"P","")</f>
        <v/>
      </c>
      <c r="UR29" s="102" t="str">
        <f>IF(AND(WSSBK!$AE$103&gt;=83.25,WSSBK!$AE$103&lt;=91.4),"P","")</f>
        <v/>
      </c>
      <c r="US29" s="102" t="str">
        <f>IF(AND(WSSBK!$AE$103&gt;=91.5,WSSBK!$AE$103&lt;=100),"P","")</f>
        <v/>
      </c>
      <c r="UT29" t="str">
        <f>IF(WSSBK!$AE$111&lt;74.9,"P","")</f>
        <v/>
      </c>
      <c r="UU29" s="102" t="str">
        <f>IF(AND(WSSBK!$AE$111&gt;=75,WSSBK!$AE$111&lt;=83.24),"P","")</f>
        <v/>
      </c>
      <c r="UV29" s="102" t="str">
        <f>IF(AND(WSSBK!$AE$111&gt;=83.25,WSSBK!$AE$111&lt;=91.4),"P","")</f>
        <v/>
      </c>
      <c r="UW29" s="102" t="str">
        <f>IF(AND(WSSBK!$AE$111&gt;=91.5,WSSBK!$AE$111&lt;=100),"P","")</f>
        <v/>
      </c>
      <c r="UX29" t="str">
        <f>IF(WSSBK!$AE$119&lt;74.9,"P","")</f>
        <v/>
      </c>
      <c r="UY29" s="102" t="str">
        <f>IF(AND(WSSBK!$AE$119&gt;=75,WSSBK!$AE$119&lt;=83.24),"P","")</f>
        <v/>
      </c>
      <c r="UZ29" s="102" t="str">
        <f>IF(AND(WSSBK!$AE$119&gt;=83.25,WSSBK!$AE$119&lt;=91.4),"P","")</f>
        <v/>
      </c>
      <c r="VA29" s="102" t="str">
        <f>IF(AND(WSSBK!$AE$119&gt;=91.5,WSSBK!$AE$119&lt;=100),"P","")</f>
        <v/>
      </c>
      <c r="VB29" s="102" t="str">
        <f>IF(AND(WSPENJAS!$AE$6&gt;0,WSPENJAS!$AE$6&lt;=74.9),"P","")</f>
        <v/>
      </c>
      <c r="VC29" s="102" t="str">
        <f>IF(AND(WSPENJAS!$AE$6&gt;=75,WSPENJAS!$AE$6&lt;=83.24),"P","")</f>
        <v/>
      </c>
      <c r="VD29" s="102" t="str">
        <f>IF(AND(WSPENJAS!$AE$6&gt;=83.25,WSPENJAS!$AE$6&lt;=91.4),"P","")</f>
        <v/>
      </c>
      <c r="VE29" s="102" t="str">
        <f>IF(AND(WSPENJAS!$AE$6&gt;=91.5,WSPENJAS!$AE$6&lt;=100),"P","")</f>
        <v/>
      </c>
      <c r="VF29" s="102" t="str">
        <f>IF(AND(WSPENJAS!$AE$7&gt;0,WSPENJAS!$AE$7&lt;=74.9),"P","")</f>
        <v/>
      </c>
      <c r="VG29" s="102" t="str">
        <f>IF(AND(WSPENJAS!$AE$7&gt;=75,WSPENJAS!$AE$7&lt;=83.24),"P","")</f>
        <v/>
      </c>
      <c r="VH29" s="102" t="str">
        <f>IF(AND(WSPENJAS!$AE$7&gt;=83.25,WSPENJAS!$AE$7&lt;=91.4),"P","")</f>
        <v/>
      </c>
      <c r="VI29" s="102" t="str">
        <f>IF(AND(WSPENJAS!$AE$7&gt;=91.5,WSPENJAS!$AE$7&lt;=100),"P","")</f>
        <v/>
      </c>
      <c r="VJ29" s="102" t="str">
        <f>IF(AND(WSPENJAS!$AE$8&gt;0,WSPENJAS!$AE$8&lt;=74.9),"P","")</f>
        <v/>
      </c>
      <c r="VK29" s="102" t="str">
        <f>IF(AND(WSPENJAS!$AE$8&gt;=75,WSPENJAS!$AE$8&lt;=83.24),"P","")</f>
        <v/>
      </c>
      <c r="VL29" s="102" t="str">
        <f>IF(AND(WSPENJAS!$AE$8&gt;=83.25,WSPENJAS!$AE$8&lt;=91.4),"P","")</f>
        <v/>
      </c>
      <c r="VM29" s="102" t="str">
        <f>IF(AND(WSPENJAS!$AE$8&gt;=91.5,WSPENJAS!$AE$8&lt;=100),"P","")</f>
        <v/>
      </c>
      <c r="VN29" s="102" t="str">
        <f>IF(AND(WSPENJAS!$AE$9&gt;0,WSPENJAS!$AE$9&lt;=74.9),"P","")</f>
        <v/>
      </c>
      <c r="VO29" s="102" t="str">
        <f>IF(AND(WSPENJAS!$AE$9&gt;=75,WSPENJAS!$AE$9&lt;=83.24),"P","")</f>
        <v/>
      </c>
      <c r="VP29" s="102" t="str">
        <f>IF(AND(WSPENJAS!$AE$9&gt;=83.25,WSPENJAS!$AE$9&lt;=91.4),"P","")</f>
        <v/>
      </c>
      <c r="VQ29" s="102" t="str">
        <f>IF(AND(WSPENJAS!$AE$9&gt;=91.5,WSPENJAS!$AE$9&lt;=100),"P","")</f>
        <v/>
      </c>
      <c r="VR29" s="102" t="str">
        <f>IF(AND(WSPENJAS!$AE$10&gt;0,WSPENJAS!$AE$10&lt;=74.9),"P","")</f>
        <v/>
      </c>
      <c r="VS29" s="102" t="str">
        <f>IF(AND(WSPENJAS!$AE$10&gt;=75,WSPENJAS!$AE$10&lt;=83.24),"P","")</f>
        <v/>
      </c>
      <c r="VT29" s="102" t="str">
        <f>IF(AND(WSPENJAS!$AE$10&gt;=83.25,WSPENJAS!$AE$10&lt;=91.4),"P","")</f>
        <v/>
      </c>
      <c r="VU29" s="102" t="str">
        <f>IF(AND(WSPENJAS!$AE$10&gt;=91.5,WSPENJAS!$AE$10&lt;=100),"P","")</f>
        <v/>
      </c>
      <c r="VV29" s="102" t="str">
        <f>IF(AND(WSPENJAS!$AE$11&gt;0,WSPENJAS!$AE$11&lt;=74.9),"P","")</f>
        <v/>
      </c>
      <c r="VW29" s="102" t="str">
        <f>IF(AND(WSPENJAS!$AE$411&gt;=75,WSPENJAS!$AE$411&lt;=83.24),"P","")</f>
        <v/>
      </c>
      <c r="VX29" s="102" t="str">
        <f>IF(AND(WSPENJAS!$AE$411&gt;=83.25,WSPENJAS!$AE$411&lt;=91.4),"P","")</f>
        <v/>
      </c>
      <c r="VY29" s="102" t="str">
        <f>IF(AND(WSPENJAS!$AE$411&gt;=91.5,WSPENJAS!$AE$411&lt;=100),"P","")</f>
        <v/>
      </c>
      <c r="VZ29" s="102" t="str">
        <f>IF(AND(WSPENJAS!$AE$12&gt;0,WSPENJAS!$AE$12&lt;=74.9),"P","")</f>
        <v/>
      </c>
      <c r="WA29" s="102" t="str">
        <f>IF(AND(WSPENJAS!$AE$12&gt;=75,WSPENJAS!$AE$12&lt;=83.24),"P","")</f>
        <v/>
      </c>
      <c r="WB29" s="102" t="str">
        <f>IF(AND(WSPENJAS!$AE$12&gt;=83.25,WSPENJAS!$AE$12&lt;=91.4),"P","")</f>
        <v/>
      </c>
      <c r="WC29" s="102" t="str">
        <f>IF(AND(WSPENJAS!$AE$12&gt;=91.5,WSPENJAS!$AE$12&lt;=100),"P","")</f>
        <v/>
      </c>
      <c r="WD29" s="102" t="str">
        <f>IF(AND(WSPENJAS!$AE$13&gt;0,WSPENJAS!$AE$13&lt;=74.9),"P","")</f>
        <v/>
      </c>
      <c r="WE29" s="102" t="str">
        <f>IF(AND(WSPENJAS!$AE$13&gt;=75,WSPENJAS!$AE$13&lt;=83.24),"P","")</f>
        <v/>
      </c>
      <c r="WF29" s="102" t="str">
        <f>IF(AND(WSPENJAS!$AE$13&gt;=83.25,WSPENJAS!$AE$13&lt;=91.4),"P","")</f>
        <v/>
      </c>
      <c r="WG29" s="102" t="str">
        <f>IF(AND(WSPENJAS!$AE$13&gt;=91.5,WSPENJAS!$AE$13&lt;=100),"P","")</f>
        <v/>
      </c>
      <c r="WH29" s="102" t="str">
        <f>IF(AND(WSPENJAS!$AE$14&gt;0,WSPENJAS!$AE$14&lt;=74.9),"P","")</f>
        <v/>
      </c>
      <c r="WI29" s="102" t="str">
        <f>IF(AND(WSPENJAS!$AE$14&gt;=75,WSPENJAS!$AE$14&lt;=83.24),"P","")</f>
        <v/>
      </c>
      <c r="WJ29" s="102" t="str">
        <f>IF(AND(WSPENJAS!$AE$14&gt;=83.25,WSPENJAS!$AE$14&lt;=91.4),"P","")</f>
        <v/>
      </c>
      <c r="WK29" s="102" t="str">
        <f>IF(AND(WSPENJAS!$AE$14&gt;=91.5,WSPENJAS!$AE$14&lt;=100),"P","")</f>
        <v/>
      </c>
      <c r="WL29" s="102" t="str">
        <f>IF(AND(WSPENJAS!$AE$15&gt;0,WSPENJAS!$AE$15&lt;=74.9),"P","")</f>
        <v/>
      </c>
      <c r="WM29" s="102" t="str">
        <f>IF(AND(WSPENJAS!$AE$15&gt;=75,WSPENJAS!$AE$15&lt;=83.24),"P","")</f>
        <v/>
      </c>
      <c r="WN29" s="102" t="str">
        <f>IF(AND(WSPENJAS!$AE$15&gt;=83.25,WSPENJAS!$AE$15&lt;=91.4),"P","")</f>
        <v/>
      </c>
      <c r="WO29" s="102" t="str">
        <f>IF(AND(WSPENJAS!$AE$15&gt;=91.5,WSPENJAS!$AE$15&lt;=100),"P","")</f>
        <v/>
      </c>
      <c r="WP29" s="102" t="str">
        <f>IF(AND(WSPENJAS!$AE$16&gt;0,WSPENJAS!$AE$16&lt;=74.9),"P","")</f>
        <v/>
      </c>
      <c r="WQ29" s="102" t="str">
        <f>IF(AND(WSPENJAS!$AE$16&gt;=75,WSPENJAS!$AE$16&lt;=83.24),"P","")</f>
        <v/>
      </c>
      <c r="WR29" s="102" t="str">
        <f>IF(AND(WSPENJAS!$AE$16&gt;=83.25,WSPENJAS!$AE$16&lt;=91.4),"P","")</f>
        <v/>
      </c>
      <c r="WS29" s="102" t="str">
        <f>IF(AND(WSPENJAS!$AE$16&gt;=91.5,WSPENJAS!$AE$16&lt;=100),"P","")</f>
        <v/>
      </c>
      <c r="WT29" s="102" t="str">
        <f>IF(AND(WSPENJAS!$AE$17&gt;0,WSPENJAS!$AE$17&lt;=74.9),"P","")</f>
        <v/>
      </c>
      <c r="WU29" s="102" t="str">
        <f>IF(AND(WSPENJAS!$AE$17&gt;=75,WSPENJAS!$AE$17&lt;=83.24),"P","")</f>
        <v/>
      </c>
      <c r="WV29" s="102" t="str">
        <f>IF(AND(WSPENJAS!$AE$17&gt;=83.25,WSPENJAS!$AE$17&lt;=91.4),"P","")</f>
        <v/>
      </c>
      <c r="WW29" s="102" t="str">
        <f>IF(AND(WSPENJAS!$AE$17&gt;=91.5,WSPENJAS!$AE$17&lt;=100),"P","")</f>
        <v/>
      </c>
      <c r="WX29" s="102" t="str">
        <f>IF(AND(WSPENJAS!$AE$18&gt;0,WSPENJAS!$AE$18&lt;=74.9),"P","")</f>
        <v/>
      </c>
      <c r="WY29" s="102" t="str">
        <f>IF(AND(WSPENJAS!$AE$18&gt;=75,WSPENJAS!$AE$18&lt;=83.24),"P","")</f>
        <v/>
      </c>
      <c r="WZ29" s="102" t="str">
        <f>IF(AND(WSPENJAS!$AE$18&gt;=83.25,WSPENJAS!$AE$18&lt;=91.4),"P","")</f>
        <v/>
      </c>
      <c r="XA29" s="102" t="str">
        <f>IF(AND(WSPENJAS!$AE$18&gt;=91.5,WSPENJAS!$AE$18&lt;=100),"P","")</f>
        <v/>
      </c>
      <c r="XB29" s="102" t="str">
        <f>IF(AND(WSPENJAS!$AE$19&gt;0,WSPENJAS!$AE$19&lt;=74.9),"P","")</f>
        <v/>
      </c>
      <c r="XC29" s="102" t="str">
        <f>IF(AND(WSPENJAS!$AE$19&gt;=75,WSPENJAS!$AE$19&lt;=83.24),"P","")</f>
        <v/>
      </c>
      <c r="XD29" s="102" t="str">
        <f>IF(AND(WSPENJAS!$AE$19&gt;=83.25,WSPENJAS!$AE$19&lt;=91.4),"P","")</f>
        <v/>
      </c>
      <c r="XE29" s="102" t="str">
        <f>IF(AND(WSPENJAS!$AE$19&gt;=91.5,WSPENJAS!$AE$19&lt;=100),"P","")</f>
        <v/>
      </c>
      <c r="XF29" s="102" t="str">
        <f>IF(AND(WSPENJAS!$AE$20&gt;0,WSPENJAS!$AE$20&lt;=74.9),"P","")</f>
        <v/>
      </c>
      <c r="XG29" s="102" t="str">
        <f>IF(AND(WSPENJAS!$AE$20&gt;=75,WSPENJAS!$AE$20&lt;=83.24),"P","")</f>
        <v/>
      </c>
      <c r="XH29" s="102" t="str">
        <f>IF(AND(WSPENJAS!$AE$20&gt;=83.25,WSPENJAS!$AE$20&lt;=91.4),"P","")</f>
        <v/>
      </c>
      <c r="XI29" s="102" t="str">
        <f>IF(AND(WSPENJAS!$AE$20&gt;=91.5,WSPENJAS!$AE$20&lt;=100),"P","")</f>
        <v/>
      </c>
      <c r="XJ29" s="102" t="str">
        <f>IF(AND(WSPENJAS!$AE$21&gt;0,WSPENJAS!$AE$21&lt;=74.9),"P","")</f>
        <v/>
      </c>
      <c r="XK29" s="102" t="str">
        <f>IF(AND(WSPENJAS!$AE$21&gt;=75,WSPENJAS!$AE$21&lt;=83.24),"P","")</f>
        <v/>
      </c>
      <c r="XL29" s="102" t="str">
        <f>IF(AND(WSPENJAS!$AE$21&gt;=83.25,WSPENJAS!$AE$21&lt;=91.4),"P","")</f>
        <v/>
      </c>
      <c r="XM29" s="102" t="str">
        <f>IF(AND(WSPENJAS!$AE$21&gt;=91.5,WSPENJAS!$AE$21&lt;=100),"P","")</f>
        <v/>
      </c>
      <c r="XN29" t="str">
        <f>IF(WSJAWA!$AE$6&lt;74.9,"P","")</f>
        <v/>
      </c>
      <c r="XO29" s="102" t="str">
        <f>IF(AND(WSJAWA!$AE$6&gt;=75,WSJAWA!$AE$6&lt;=83.24),"P","")</f>
        <v/>
      </c>
      <c r="XP29" s="102" t="str">
        <f>IF(AND(WSJAWA!$AE$6&gt;=83.25,WSJAWA!$AE$6&lt;=91.4),"P","")</f>
        <v/>
      </c>
      <c r="XQ29" s="102" t="str">
        <f>IF(AND(WSJAWA!$AE$6&gt;=91.5,WSJAWA!$AE$6&lt;=100),"P","")</f>
        <v/>
      </c>
      <c r="XR29" t="str">
        <f>IF(WSJAWA!$AE$14&lt;74.9,"P","")</f>
        <v/>
      </c>
      <c r="XS29" s="102" t="str">
        <f>IF(AND(WSJAWA!$AE$14&gt;=75,WSJAWA!$AE$14&lt;=83.24),"P","")</f>
        <v/>
      </c>
      <c r="XT29" s="102" t="str">
        <f>IF(AND(WSJAWA!$AE$14&gt;=83.25,WSJAWA!$AE$14&lt;=91.4),"P","")</f>
        <v/>
      </c>
      <c r="XU29" s="102" t="str">
        <f>IF(AND(WSJAWA!$AE$14&gt;=91.5,WSJAWA!$AE$14&lt;=100),"P","")</f>
        <v/>
      </c>
      <c r="XV29" t="str">
        <f>IF(WSJAWA!$AE$22&lt;74.9,"P","")</f>
        <v/>
      </c>
      <c r="XW29" s="102" t="str">
        <f>IF(AND(WSJAWA!$AE$22&gt;=75,WSJAWA!$AE$22&lt;=83.24),"P","")</f>
        <v/>
      </c>
      <c r="XX29" s="102" t="str">
        <f>IF(AND(WSJAWA!$AE$22&gt;=83.25,WSJAWA!$AE$22&lt;=91.4),"P","")</f>
        <v/>
      </c>
      <c r="XY29" s="102" t="str">
        <f>IF(AND(WSJAWA!$AE$22&gt;=91.5,WSJAWA!$AE$22&lt;=100),"P","")</f>
        <v/>
      </c>
      <c r="XZ29" t="str">
        <f>IF(WSJAWA!$AE$30&lt;74.9,"P","")</f>
        <v/>
      </c>
      <c r="YA29" s="102" t="str">
        <f>IF(AND(WSJAWA!$AE$30&gt;=75,WSJAWA!$AE$30&lt;=83.24),"P","")</f>
        <v/>
      </c>
      <c r="YB29" s="102" t="str">
        <f>IF(AND(WSJAWA!$AE$30&gt;=83.25,WSJAWA!$AE$30&lt;=91.4),"P","")</f>
        <v/>
      </c>
      <c r="YC29" s="102" t="str">
        <f>IF(AND(WSJAWA!$AE$30&gt;=91.5,WSJAWA!$AE$30&lt;=100),"P","")</f>
        <v/>
      </c>
      <c r="YD29" t="str">
        <f>IF(WSJAWA!$AE$38&lt;74.9,"P","")</f>
        <v/>
      </c>
      <c r="YE29" s="102" t="str">
        <f>IF(AND(WSJAWA!$AE$38&gt;=75,WSJAWA!$AE$38&lt;=83.24),"P","")</f>
        <v/>
      </c>
      <c r="YF29" s="102" t="str">
        <f>IF(AND(WSJAWA!$AE$38&gt;=83.25,WSJAWA!$AE$38&lt;=91.4),"P","")</f>
        <v/>
      </c>
      <c r="YG29" s="102" t="str">
        <f>IF(AND(WSJAWA!$AE$38&gt;=91.5,WSJAWA!$AE$38&lt;=100),"P","")</f>
        <v/>
      </c>
      <c r="YH29" t="str">
        <f>IF(WSJAWA!$AE$46&lt;74.9,"P","")</f>
        <v/>
      </c>
      <c r="YI29" s="102" t="str">
        <f>IF(AND(WSJAWA!$AE$46&gt;=75,WSJAWA!$AE$46&lt;=83.24),"P","")</f>
        <v/>
      </c>
      <c r="YJ29" s="102" t="str">
        <f>IF(AND(WSJAWA!$AE$46&gt;=83.25,WSJAWA!$AE$46&lt;=91.4),"P","")</f>
        <v/>
      </c>
      <c r="YK29" s="102" t="str">
        <f>IF(AND(WSJAWA!$AE$46&gt;=91.5,WSJAWA!$AE$46&lt;=100),"P","")</f>
        <v/>
      </c>
      <c r="YL29" t="str">
        <f>IF(WSJAWA!$AE$54&lt;74.9,"P","")</f>
        <v/>
      </c>
      <c r="YM29" s="102" t="str">
        <f>IF(AND(WSJAWA!$AE$54&gt;=75,WSJAWA!$AE$54&lt;=83.24),"P","")</f>
        <v/>
      </c>
      <c r="YN29" s="102" t="str">
        <f>IF(AND(WSJAWA!$AE$54&gt;=83.25,WSJAWA!$AE$54&lt;=91.4),"P","")</f>
        <v/>
      </c>
      <c r="YO29" s="102" t="str">
        <f>IF(AND(WSJAWA!$AE$54&gt;=91.5,WSJAWA!$AE$54&lt;=100),"P","")</f>
        <v/>
      </c>
      <c r="YP29" t="str">
        <f>IF(WSJAWA!$AE$62&lt;74.9,"P","")</f>
        <v/>
      </c>
      <c r="YQ29" s="102" t="str">
        <f>IF(AND(WSJAWA!$AE$62&gt;=75,WSJAWA!$AE$62&lt;=83.24),"P","")</f>
        <v/>
      </c>
      <c r="YR29" s="102" t="str">
        <f>IF(AND(WSJAWA!$AE$62&gt;=83.25,WSJAWA!$AE$62&lt;=91.4),"P","")</f>
        <v/>
      </c>
      <c r="YS29" s="102" t="str">
        <f>IF(AND(WSJAWA!$AE$62&gt;=91.5,WSJAWA!$AE$62&lt;=100),"P","")</f>
        <v/>
      </c>
      <c r="YT29" t="str">
        <f>IF(WSJAWA!$AE$70&lt;74.9,"P","")</f>
        <v/>
      </c>
      <c r="YU29" s="102" t="str">
        <f>IF(AND(WSJAWA!$AE$70&gt;=75,WSJAWA!$AE$70&lt;=83.24),"P","")</f>
        <v/>
      </c>
      <c r="YV29" s="102" t="str">
        <f>IF(AND(WSJAWA!$AE$70&gt;=83.25,WSJAWA!$AE$70&lt;=91.4),"P","")</f>
        <v/>
      </c>
      <c r="YW29" s="102" t="str">
        <f>IF(AND(WSJAWA!$AE$70&gt;=91.5,WSJAWA!$AE$70&lt;=100),"P","")</f>
        <v/>
      </c>
      <c r="YX29" t="str">
        <f>IF(WSJAWA!$AE$78&lt;74.9,"P","")</f>
        <v/>
      </c>
      <c r="YY29" s="102" t="str">
        <f>IF(AND(WSJAWA!$AE$78&gt;=75,WSJAWA!$AE$78&lt;=83.24),"P","")</f>
        <v/>
      </c>
      <c r="YZ29" s="102" t="str">
        <f>IF(AND(WSJAWA!$AE$78&gt;=83.25,WSJAWA!$AE$78&lt;=91.4),"P","")</f>
        <v/>
      </c>
      <c r="ZA29" s="102" t="str">
        <f>IF(AND(WSJAWA!$AE$78&gt;=91.5,WSJAWA!$AE$78&lt;=100),"P","")</f>
        <v/>
      </c>
      <c r="ZB29" t="str">
        <f>IF(WSJAWA!$AE$86&lt;74.9,"P","")</f>
        <v/>
      </c>
      <c r="ZC29" s="102" t="str">
        <f>IF(AND(WSJAWA!$AE$86&gt;=75,WSJAWA!$AE$86&lt;=83.24),"P","")</f>
        <v/>
      </c>
      <c r="ZD29" s="102" t="str">
        <f>IF(AND(WSJAWA!$AE$86&gt;=83.25,WSJAWA!$AE$86&lt;=91.4),"P","")</f>
        <v/>
      </c>
      <c r="ZE29" s="102" t="str">
        <f>IF(AND(WSJAWA!$AE$86&gt;=91.5,WSJAWA!$AE$86&lt;=100),"P","")</f>
        <v/>
      </c>
      <c r="ZF29" t="str">
        <f>IF(WSJAWA!$AE$94&lt;74.9,"P","")</f>
        <v/>
      </c>
      <c r="ZG29" s="102" t="str">
        <f>IF(AND(WSJAWA!$AE$94&gt;=75,WSJAWA!$AE$94&lt;=83.24),"P","")</f>
        <v/>
      </c>
      <c r="ZH29" s="102" t="str">
        <f>IF(AND(WSJAWA!$AE$94&gt;=83.25,WSJAWA!$AE$94&lt;=91.4),"P","")</f>
        <v/>
      </c>
      <c r="ZI29" s="102" t="str">
        <f>IF(AND(WSJAWA!$AE$94&gt;=91.5,WSJAWA!$AE$94&lt;=100),"P","")</f>
        <v/>
      </c>
      <c r="ZJ29" t="str">
        <f>IF(WSJAWA!$AE$102&lt;74.9,"P","")</f>
        <v/>
      </c>
      <c r="ZK29" s="102" t="str">
        <f>IF(AND(WSJAWA!$AE$102&gt;=75,WSJAWA!$AE$102&lt;=83.24),"P","")</f>
        <v/>
      </c>
      <c r="ZL29" s="102" t="str">
        <f>IF(AND(WSJAWA!$AE$102&gt;=83.25,WSJAWA!$AE$102&lt;=91.4),"P","")</f>
        <v/>
      </c>
      <c r="ZM29" s="102" t="str">
        <f>IF(AND(WSJAWA!$AE$102&gt;=91.5,WSJAWA!$AE$102&lt;=100),"P","")</f>
        <v/>
      </c>
      <c r="ZN29" t="str">
        <f>IF(WSING!$AE$6&lt;74.9,"P","")</f>
        <v/>
      </c>
      <c r="ZO29" s="102" t="str">
        <f>IF(AND(WSING!$AE$6&gt;=75,WSING!$AE$6&lt;=83.24),"P","")</f>
        <v/>
      </c>
      <c r="ZP29" s="102" t="str">
        <f>IF(AND(WSING!$AE$6&gt;=83.25,WSING!$AE$6&lt;=91.4),"P","")</f>
        <v/>
      </c>
      <c r="ZQ29" s="102" t="str">
        <f>IF(AND(WSING!$AE$6&gt;=91.5,WSING!$AE$6&lt;=100),"P","")</f>
        <v/>
      </c>
      <c r="ZR29" t="str">
        <f>IF(WSING!$AE$15&lt;74.9,"P","")</f>
        <v/>
      </c>
      <c r="ZS29" s="102" t="str">
        <f>IF(AND(WSING!$AE$15&gt;=75,WSING!$AE$15&lt;=83.24),"P","")</f>
        <v/>
      </c>
      <c r="ZT29" s="102" t="str">
        <f>IF(AND(WSING!$AE$15&gt;=83.25,WSING!$AE$15&lt;=91.4),"P","")</f>
        <v/>
      </c>
      <c r="ZU29" s="102" t="str">
        <f>IF(AND(WSING!$AE$15&gt;=91.5,WSING!$AE$15&lt;=100),"P","")</f>
        <v/>
      </c>
      <c r="ZV29" t="str">
        <f>IF(WSING!$AE$24&lt;74.9,"P","")</f>
        <v/>
      </c>
      <c r="ZW29" s="102" t="str">
        <f>IF(AND(WSING!$AE$24&gt;=75,WSING!$AE$24&lt;=83.24),"P","")</f>
        <v/>
      </c>
      <c r="ZX29" s="102" t="str">
        <f>IF(AND(WSING!$AE$24&gt;=83.25,WSING!$AE$24&lt;=91.4),"P","")</f>
        <v/>
      </c>
      <c r="ZY29" s="102" t="str">
        <f>IF(AND(WSING!$AE$24&gt;=91.5,WSING!$AE$24&lt;=100),"P","")</f>
        <v/>
      </c>
      <c r="ZZ29" t="str">
        <f>IF(WSING!$AE$33&lt;74.9,"P","")</f>
        <v/>
      </c>
      <c r="AAA29" s="102" t="str">
        <f>IF(AND(WSING!$AE$33&gt;=75,WSING!$AE$33&lt;=83.24),"P","")</f>
        <v/>
      </c>
      <c r="AAB29" s="102" t="str">
        <f>IF(AND(WSING!$AE$33&gt;=83.25,WSING!$AE$33&lt;=91.4),"P","")</f>
        <v/>
      </c>
      <c r="AAC29" s="102" t="str">
        <f>IF(AND(WSING!$AE$33&gt;=91.5,WSING!$AE$33&lt;=100),"P","")</f>
        <v/>
      </c>
      <c r="AAD29" t="str">
        <f>IF(WSING!$AE$42&lt;74.9,"P","")</f>
        <v/>
      </c>
      <c r="AAE29" s="102" t="str">
        <f>IF(AND(WSING!$AE$42&gt;=75,WSING!$AE$42&lt;=83.24),"P","")</f>
        <v/>
      </c>
      <c r="AAF29" s="102" t="str">
        <f>IF(AND(WSING!$AE$42&gt;=83.25,WSING!$AE$42&lt;=91.4),"P","")</f>
        <v/>
      </c>
      <c r="AAG29" s="102" t="str">
        <f>IF(AND(WSING!$AE$42&gt;=91.5,WSING!$AE$42&lt;=100),"P","")</f>
        <v/>
      </c>
      <c r="AAH29" t="str">
        <f>IF(WSING!$AE$50&lt;74.9,"P","")</f>
        <v/>
      </c>
      <c r="AAI29" s="102" t="str">
        <f>IF(AND(WSING!$AE$50&gt;=75,WSING!$AE$50&lt;=83.24),"P","")</f>
        <v/>
      </c>
      <c r="AAJ29" s="102" t="str">
        <f>IF(AND(WSING!$AE$50&gt;=83.25,WSING!$AE$50&lt;=91.4),"P","")</f>
        <v/>
      </c>
      <c r="AAK29" s="102" t="str">
        <f>IF(AND(WSING!$AE$50&gt;=91.5,WSING!$AE$50&lt;=100),"P","")</f>
        <v/>
      </c>
      <c r="AAL29" t="str">
        <f>IF(WSING!$AE$58&lt;74.9,"P","")</f>
        <v/>
      </c>
      <c r="AAM29" s="102" t="str">
        <f>IF(AND(WSING!$AE$58&gt;=75,WSING!$AE$58&lt;=83.24),"P","")</f>
        <v/>
      </c>
      <c r="AAN29" s="102" t="str">
        <f>IF(AND(WSING!$AE$58&gt;=83.25,WSING!$AE$58&lt;=91.4),"P","")</f>
        <v/>
      </c>
      <c r="AAO29" s="102" t="str">
        <f>IF(AND(WSING!$AE$58&gt;=91.5,WSING!$AE$58&lt;=100),"P","")</f>
        <v/>
      </c>
      <c r="AAP29" t="str">
        <f>IF(WSING!$AE$66&lt;74.9,"P","")</f>
        <v/>
      </c>
      <c r="AAQ29" s="102" t="str">
        <f>IF(AND(WSING!$AE$66&gt;=75,WSING!$AE$66&lt;=83.24),"P","")</f>
        <v/>
      </c>
      <c r="AAR29" s="102" t="str">
        <f>IF(AND(WSING!$AE$66&gt;=83.25,WSING!$AE$66&lt;=91.4),"P","")</f>
        <v/>
      </c>
      <c r="AAS29" s="102" t="str">
        <f>IF(AND(WSING!$AE$66&gt;=91.5,WSING!$AE$66&lt;=100),"P","")</f>
        <v/>
      </c>
      <c r="AAT29" t="str">
        <f>IF(WSING!$AE$74&lt;74.9,"P","")</f>
        <v/>
      </c>
      <c r="AAU29" s="102" t="str">
        <f>IF(AND(WSING!$AE$74&gt;=75,WSING!$AE$74&lt;=83.24),"P","")</f>
        <v/>
      </c>
      <c r="AAV29" s="102" t="str">
        <f>IF(AND(WSING!$AE$74&gt;=83.25,WSING!$AE$74&lt;=91.4),"P","")</f>
        <v/>
      </c>
      <c r="AAW29" s="102" t="str">
        <f>IF(AND(WSING!$AE$74&gt;=91.5,WSING!$AE$74&lt;=100),"P","")</f>
        <v/>
      </c>
      <c r="AAX29" t="str">
        <f>IF(WSING!$AE$82&lt;74.9,"P","")</f>
        <v/>
      </c>
      <c r="AAY29" s="102" t="str">
        <f>IF(AND(WSING!$AE$82&gt;=75,WSING!$AE$82&lt;=83.24),"P","")</f>
        <v/>
      </c>
      <c r="AAZ29" s="102" t="str">
        <f>IF(AND(WSING!$AE$82&gt;=83.25,WSING!$AE$82&lt;=91.4),"P","")</f>
        <v/>
      </c>
      <c r="ABA29" s="102" t="str">
        <f>IF(AND(WSING!$AE$82&gt;=91.5,WSING!$AE$82&lt;=100),"P","")</f>
        <v/>
      </c>
      <c r="ABB29" t="str">
        <f>IF(WSING!$AE$90&lt;74.9,"P","")</f>
        <v/>
      </c>
      <c r="ABC29" s="102" t="str">
        <f>IF(AND(WSING!$AE$90&gt;=75,WSING!$AE$90&lt;=83.24),"P","")</f>
        <v/>
      </c>
      <c r="ABD29" s="102" t="str">
        <f>IF(AND(WSING!$AE$90&gt;=83.25,WSING!$AE$90&lt;=91.4),"P","")</f>
        <v/>
      </c>
      <c r="ABE29" s="102" t="str">
        <f>IF(AND(WSING!$AE$90&gt;=91.5,WSING!$AE$90&lt;=100),"P","")</f>
        <v/>
      </c>
      <c r="ABF29" t="str">
        <f>IF(WSING!$AE$98&lt;74.9,"P","")</f>
        <v/>
      </c>
      <c r="ABG29" s="102" t="str">
        <f>IF(AND(WSING!$AE$98&gt;=75,WSING!$AE$98&lt;=83.24),"P","")</f>
        <v/>
      </c>
      <c r="ABH29" s="102" t="str">
        <f>IF(AND(WSING!$AE$98&gt;=83.25,WSING!$AE$98&lt;=91.4),"P","")</f>
        <v/>
      </c>
      <c r="ABI29" s="102" t="str">
        <f>IF(AND(WSING!$AE$98&gt;=91.5,WSING!$AE$98&lt;=100),"P","")</f>
        <v/>
      </c>
      <c r="ABJ29" t="str">
        <f>IF(WSING!$AE$106&lt;74.9,"P","")</f>
        <v/>
      </c>
      <c r="ABK29" s="102" t="str">
        <f>IF(AND(WSING!$AE$106&gt;=75,WSING!$AE$106&lt;=83.24),"P","")</f>
        <v/>
      </c>
      <c r="ABL29" s="102" t="str">
        <f>IF(AND(WSING!$AE$106&gt;=83.25,WSING!$AE$106&lt;=91.4),"P","")</f>
        <v/>
      </c>
      <c r="ABM29" s="102" t="str">
        <f>IF(AND(WSING!$AE$106&gt;=91.5,WSING!$AE$106&lt;=100),"P","")</f>
        <v/>
      </c>
      <c r="ABN29" t="str">
        <f>IF(WSTIK!$AE$6&lt;74.9,"P","")</f>
        <v/>
      </c>
      <c r="ABO29" s="102" t="str">
        <f>IF(AND(WSTIK!$AE$6&gt;=75,WSTIK!$AE$6&lt;=83.24),"P","")</f>
        <v/>
      </c>
      <c r="ABP29" s="102" t="str">
        <f>IF(AND(WSTIK!$AE$6&gt;=83.25,WSTIK!$AE$6&lt;=91.4),"P","")</f>
        <v/>
      </c>
      <c r="ABQ29" s="102" t="str">
        <f>IF(AND(WSTIK!$AE$6&gt;=91.5,WSTIK!$AE$6&lt;=100),"P","")</f>
        <v/>
      </c>
      <c r="ABR29" t="str">
        <f>IF(WSTIK!$AE$14&lt;74.9,"P","")</f>
        <v/>
      </c>
      <c r="ABS29" s="102" t="str">
        <f>IF(AND(WSTIK!$AE$14&gt;=75,WSTIK!$AE$14&lt;=83.24),"P","")</f>
        <v/>
      </c>
      <c r="ABT29" s="102" t="str">
        <f>IF(AND(WSTIK!$AE$14&gt;=83.25,WSTIK!$AE$14&lt;=91.4),"P","")</f>
        <v/>
      </c>
      <c r="ABU29" s="102" t="str">
        <f>IF(AND(WSTIK!$AE$14&gt;=91.5,WSTIK!$AE$14&lt;=100),"P","")</f>
        <v/>
      </c>
      <c r="ABV29" t="str">
        <f>IF(WSTIK!$AE$22&lt;74.9,"P","")</f>
        <v/>
      </c>
      <c r="ABW29" s="102" t="str">
        <f>IF(AND(WSTIK!$AE$22&gt;=75,WSTIK!$AE$22&lt;=83.24),"P","")</f>
        <v/>
      </c>
      <c r="ABX29" s="102" t="str">
        <f>IF(AND(WSTIK!$AE$22&gt;=83.25,WSTIK!$AE$22&lt;=91.4),"P","")</f>
        <v/>
      </c>
      <c r="ABY29" s="102" t="str">
        <f>IF(AND(WSTIK!$AE$22&gt;=91.5,WSTIK!$AE$22&lt;=100),"P","")</f>
        <v/>
      </c>
      <c r="ABZ29" t="str">
        <f>IF(WSTIK!$AE$30&lt;74.9,"P","")</f>
        <v/>
      </c>
      <c r="ACA29" s="102" t="str">
        <f>IF(AND(WSTIK!$AE$30&gt;=75,WSTIK!$AE$30&lt;=83.24),"P","")</f>
        <v/>
      </c>
      <c r="ACB29" s="102" t="str">
        <f>IF(AND(WSTIK!$AE$30&gt;=83.25,WSTIK!$AE$30&lt;=91.4),"P","")</f>
        <v/>
      </c>
      <c r="ACC29" s="102" t="str">
        <f>IF(AND(WSTIK!$AE$30&gt;=91.5,WSTIK!$AE$30&lt;=100),"P","")</f>
        <v/>
      </c>
      <c r="ACD29" t="str">
        <f>IF(WSTIK!$AE$38&lt;74.9,"P","")</f>
        <v/>
      </c>
      <c r="ACE29" s="102" t="str">
        <f>IF(AND(WSTIK!$AE$38&gt;=75,WSTIK!$AE$38&lt;=83.24),"P","")</f>
        <v/>
      </c>
      <c r="ACF29" s="102" t="str">
        <f>IF(AND(WSTIK!$AE$38&gt;=83.25,WSTIK!$AE$38&lt;=91.4),"P","")</f>
        <v/>
      </c>
      <c r="ACG29" s="102" t="str">
        <f>IF(AND(WSTIK!$AE$38&gt;=91.5,WSTIK!$AE$38&lt;=100),"P","")</f>
        <v/>
      </c>
      <c r="ACH29" t="str">
        <f>IF(WSTIK!$AE$46&lt;74.9,"P","")</f>
        <v/>
      </c>
      <c r="ACI29" s="102" t="str">
        <f>IF(AND(WSTIK!$AE$46&gt;=75,WSTIK!$AE$46&lt;=83.24),"P","")</f>
        <v/>
      </c>
      <c r="ACJ29" s="102" t="str">
        <f>IF(AND(WSTIK!$AE$46&gt;=83.25,WSTIK!$AE$46&lt;=91.4),"P","")</f>
        <v/>
      </c>
      <c r="ACK29" s="102" t="str">
        <f>IF(AND(WSTIK!$AE$46&gt;=91.5,WSTIK!$AE$46&lt;=100),"P","")</f>
        <v/>
      </c>
      <c r="ACL29" t="str">
        <f>IF(WSTIK!$AE$54&lt;74.9,"P","")</f>
        <v/>
      </c>
      <c r="ACM29" s="102" t="str">
        <f>IF(AND(WSTIK!$AE$54&gt;=75,WSTIK!$AE$54&lt;=83.24),"P","")</f>
        <v/>
      </c>
      <c r="ACN29" s="102" t="str">
        <f>IF(AND(WSTIK!$AE$54&gt;=83.25,WSTIK!$AE$54&lt;=91.4),"P","")</f>
        <v/>
      </c>
      <c r="ACO29" s="102" t="str">
        <f>IF(AND(WSTIK!$AE$54&gt;=91.5,WSTIK!$AE$54&lt;=100),"P","")</f>
        <v/>
      </c>
      <c r="ACP29" t="str">
        <f>IF(WSTIK!$AE$62&lt;74.9,"P","")</f>
        <v/>
      </c>
      <c r="ACQ29" s="102" t="str">
        <f>IF(AND(WSTIK!$AE$62&gt;=75,WSTIK!$AE$62&lt;=83.24),"P","")</f>
        <v/>
      </c>
      <c r="ACR29" s="102" t="str">
        <f>IF(AND(WSTIK!$AE$62&gt;=83.25,WSTIK!$AE$62&lt;=91.4),"P","")</f>
        <v/>
      </c>
      <c r="ACS29" s="102" t="str">
        <f>IF(AND(WSTIK!$AE$62&gt;=91.5,WSTIK!$AE$62&lt;=100),"P","")</f>
        <v/>
      </c>
      <c r="ACT29" t="str">
        <f>IF(WSTIK!$AE$70&lt;74.9,"P","")</f>
        <v/>
      </c>
      <c r="ACU29" s="102" t="str">
        <f>IF(AND(WSTIK!$AE$70&gt;=75,WSTIK!$AE$70&lt;=83.24),"P","")</f>
        <v/>
      </c>
      <c r="ACV29" s="102" t="str">
        <f>IF(AND(WSTIK!$AE$70&gt;=83.25,WSTIK!$AE$70&lt;=91.4),"P","")</f>
        <v/>
      </c>
      <c r="ACW29" s="102" t="str">
        <f>IF(AND(WSTIK!$AE$70&gt;=91.5,WSTIK!$AE$70&lt;=100),"P","")</f>
        <v/>
      </c>
      <c r="ACX29" t="str">
        <f>IF(WSTIK!$AE$78&lt;74.9,"P","")</f>
        <v/>
      </c>
      <c r="ACY29" s="102" t="str">
        <f>IF(AND(WSTIK!$AE$78&gt;=75,WSTIK!$AE$78&lt;=83.24),"P","")</f>
        <v/>
      </c>
      <c r="ACZ29" s="102" t="str">
        <f>IF(AND(WSTIK!$AE$78&gt;=83.25,WSTIK!$AE$78&lt;=91.4),"P","")</f>
        <v/>
      </c>
      <c r="ADA29" s="102" t="str">
        <f>IF(AND(WSTIK!$AE$78&gt;=91.5,WSTIK!$AE$78&lt;=100),"P","")</f>
        <v/>
      </c>
      <c r="ADB29" t="str">
        <f>IF(WSTIK!$AE$86&lt;74.9,"P","")</f>
        <v/>
      </c>
      <c r="ADC29" s="102" t="str">
        <f>IF(AND(WSTIK!$AE$86&gt;=75,WSTIK!$AE$86&lt;=83.24),"P","")</f>
        <v/>
      </c>
      <c r="ADD29" s="102" t="str">
        <f>IF(AND(WSTIK!$AE$86&gt;=83.25,WSTIK!$AE$86&lt;=91.4),"P","")</f>
        <v/>
      </c>
      <c r="ADE29" s="102" t="str">
        <f>IF(AND(WSTIK!$AE$86&gt;=91.5,WSTIK!$AE$86&lt;=100),"P","")</f>
        <v/>
      </c>
      <c r="ADF29" t="str">
        <f>IF(WSTIK!$AE$94&lt;74.9,"P","")</f>
        <v/>
      </c>
      <c r="ADG29" s="102" t="str">
        <f>IF(AND(WSTIK!$AE$94&gt;=75,WSTIK!$AE$94&lt;=83.24),"P","")</f>
        <v/>
      </c>
      <c r="ADH29" s="102" t="str">
        <f>IF(AND(WSTIK!$AE$94&gt;=83.25,WSTIK!$AE$94&lt;=91.4),"P","")</f>
        <v/>
      </c>
      <c r="ADI29" s="102" t="str">
        <f>IF(AND(WSTIK!$AE$94&gt;=91.5,WSTIK!$AE$94&lt;=100),"P","")</f>
        <v/>
      </c>
      <c r="ADJ29" t="str">
        <f>IF(WSTIK!$AE$102&lt;74.9,"P","")</f>
        <v/>
      </c>
      <c r="ADK29" s="102" t="str">
        <f>IF(AND(WSTIK!$AE$102&gt;=75,WSTIK!$AE$102&lt;=83.24),"P","")</f>
        <v/>
      </c>
      <c r="ADL29" s="102" t="str">
        <f>IF(AND(WSTIK!$AE$102&gt;=83.25,WSTIK!$AE$102&lt;=91.4),"P","")</f>
        <v/>
      </c>
      <c r="ADM29" s="102" t="str">
        <f>IF(AND(WSTIK!$AE$102&gt;=91.5,WSTIK!$AE$102&lt;=100),"P","")</f>
        <v/>
      </c>
      <c r="ADN29" t="str">
        <f>IF(WSASWAJA!$AE$6&lt;74.9,"P","")</f>
        <v/>
      </c>
      <c r="ADO29" s="102" t="str">
        <f>IF(AND(WSASWAJA!$AE$6&gt;=75,WSASWAJA!$AE$6&lt;=83.24),"P","")</f>
        <v/>
      </c>
      <c r="ADP29" s="102" t="str">
        <f>IF(AND(WSASWAJA!$AE$6&gt;=83.25,WSASWAJA!$AE$6&lt;=91.4),"P","")</f>
        <v/>
      </c>
      <c r="ADQ29" s="102" t="str">
        <f>IF(AND(WSASWAJA!$AE$6&gt;=91.5,WSASWAJA!$AE$6&lt;=100),"P","")</f>
        <v/>
      </c>
      <c r="ADR29" t="str">
        <f>IF(WSASWAJA!$AE$14&lt;74.9,"P","")</f>
        <v/>
      </c>
      <c r="ADS29" s="102" t="str">
        <f>IF(AND(WSASWAJA!$AE$14&gt;=75,WSASWAJA!$AE$14&lt;=83.24),"P","")</f>
        <v/>
      </c>
      <c r="ADT29" s="102" t="str">
        <f>IF(AND(WSASWAJA!$AE$14&gt;=83.25,WSASWAJA!$AE$14&lt;=91.4),"P","")</f>
        <v/>
      </c>
      <c r="ADU29" s="102" t="str">
        <f>IF(AND(WSASWAJA!$AE$14&gt;=91.5,WSASWAJA!$AE$14&lt;=100),"P","")</f>
        <v/>
      </c>
      <c r="ADV29" t="str">
        <f>IF(WSASWAJA!$AE$22&lt;74.9,"P","")</f>
        <v/>
      </c>
      <c r="ADW29" s="102" t="str">
        <f>IF(AND(WSASWAJA!$AE$22&gt;=75,WSASWAJA!$AE$22&lt;=83.24),"P","")</f>
        <v/>
      </c>
      <c r="ADX29" s="102" t="str">
        <f>IF(AND(WSASWAJA!$AE$22&gt;=83.25,WSASWAJA!$AE$22&lt;=91.4),"P","")</f>
        <v/>
      </c>
      <c r="ADY29" s="102" t="str">
        <f>IF(AND(WSASWAJA!$AE$22&gt;=91.5,WSASWAJA!$AE$22&lt;=100),"P","")</f>
        <v/>
      </c>
      <c r="ADZ29" t="str">
        <f>IF(WSASWAJA!$AE$30&lt;74.9,"P","")</f>
        <v/>
      </c>
      <c r="AEA29" s="102" t="str">
        <f>IF(AND(WSASWAJA!$AE$30&gt;=75,WSASWAJA!$AE$30&lt;=83.24),"P","")</f>
        <v/>
      </c>
      <c r="AEB29" s="102" t="str">
        <f>IF(AND(WSASWAJA!$AE$30&gt;=83.25,WSASWAJA!$AE$30&lt;=91.4),"P","")</f>
        <v/>
      </c>
      <c r="AEC29" s="102" t="str">
        <f>IF(AND(WSASWAJA!$AE$30&gt;=91.5,WSASWAJA!$AE$30&lt;=100),"P","")</f>
        <v/>
      </c>
      <c r="AED29" t="str">
        <f>IF(WSASWAJA!$AE$38&lt;74.9,"P","")</f>
        <v/>
      </c>
      <c r="AEE29" s="102" t="str">
        <f>IF(AND(WSASWAJA!$AE$38&gt;=75,WSASWAJA!$AE$38&lt;=83.24),"P","")</f>
        <v/>
      </c>
      <c r="AEF29" s="102" t="str">
        <f>IF(AND(WSASWAJA!$AE$38&gt;=83.25,WSASWAJA!$AE$38&lt;=91.4),"P","")</f>
        <v/>
      </c>
      <c r="AEG29" s="102" t="str">
        <f>IF(AND(WSASWAJA!$AE$38&gt;=91.5,WSASWAJA!$AE$38&lt;=100),"P","")</f>
        <v/>
      </c>
      <c r="AEH29" t="str">
        <f>IF(WSASWAJA!$AE$46&lt;74.9,"P","")</f>
        <v/>
      </c>
      <c r="AEI29" s="102" t="str">
        <f>IF(AND(WSASWAJA!$AE$46&gt;=75,WSASWAJA!$AE$46&lt;=83.24),"P","")</f>
        <v/>
      </c>
      <c r="AEJ29" s="102" t="str">
        <f>IF(AND(WSASWAJA!$AE$46&gt;=83.25,WSASWAJA!$AE$46&lt;=91.4),"P","")</f>
        <v/>
      </c>
      <c r="AEK29" s="102" t="str">
        <f>IF(AND(WSASWAJA!$AE$46&gt;=91.5,WSASWAJA!$AE$46&lt;=100),"P","")</f>
        <v/>
      </c>
      <c r="AEL29" t="str">
        <f>IF(WSASWAJA!$AE$54&lt;74.9,"P","")</f>
        <v/>
      </c>
      <c r="AEM29" s="102" t="str">
        <f>IF(AND(WSASWAJA!$AE$54&gt;=75,WSASWAJA!$AE$54&lt;=83.24),"P","")</f>
        <v/>
      </c>
      <c r="AEN29" s="102" t="str">
        <f>IF(AND(WSASWAJA!$AE$54&gt;=83.25,WSASWAJA!$AE$54&lt;=91.4),"P","")</f>
        <v/>
      </c>
      <c r="AEO29" s="102" t="str">
        <f>IF(AND(WSASWAJA!$AE$54&gt;=91.5,WSASWAJA!$AE$54&lt;=100),"P","")</f>
        <v/>
      </c>
      <c r="AEP29" t="str">
        <f>IF(WSASWAJA!$AE$62&lt;74.9,"P","")</f>
        <v/>
      </c>
      <c r="AEQ29" s="102" t="str">
        <f>IF(AND(WSASWAJA!$AE$62&gt;=75,WSASWAJA!$AE$62&lt;=83.24),"P","")</f>
        <v/>
      </c>
      <c r="AER29" s="102" t="str">
        <f>IF(AND(WSASWAJA!$AE$62&gt;=83.25,WSASWAJA!$AE$62&lt;=91.4),"P","")</f>
        <v/>
      </c>
      <c r="AES29" s="102" t="str">
        <f>IF(AND(WSASWAJA!$AE$62&gt;=91.5,WSASWAJA!$AE$62&lt;=100),"P","")</f>
        <v/>
      </c>
      <c r="AET29" t="str">
        <f>IF(WSASWAJA!$AE$70&lt;74.9,"P","")</f>
        <v/>
      </c>
      <c r="AEU29" s="102" t="str">
        <f>IF(AND(WSASWAJA!$AE$70&gt;=75,WSASWAJA!$AE$70&lt;=83.24),"P","")</f>
        <v/>
      </c>
      <c r="AEV29" s="102" t="str">
        <f>IF(AND(WSASWAJA!$AE$70&gt;=83.25,WSASWAJA!$AE$70&lt;=91.4),"P","")</f>
        <v/>
      </c>
      <c r="AEW29" s="102" t="str">
        <f>IF(AND(WSASWAJA!$AE$70&gt;=91.5,WSASWAJA!$AE$70&lt;=100),"P","")</f>
        <v/>
      </c>
      <c r="AEX29" t="str">
        <f>IF(WSASWAJA!$AE$78&lt;74.9,"P","")</f>
        <v/>
      </c>
      <c r="AEY29" s="102" t="str">
        <f>IF(AND(WSASWAJA!$AE$78&gt;=75,WSASWAJA!$AE$78&lt;=83.24),"P","")</f>
        <v/>
      </c>
      <c r="AEZ29" s="102" t="str">
        <f>IF(AND(WSASWAJA!$AE$78&gt;=83.25,WSASWAJA!$AE$78&lt;=91.4),"P","")</f>
        <v/>
      </c>
      <c r="AFA29" s="102" t="str">
        <f>IF(AND(WSASWAJA!$AE$78&gt;=91.5,WSASWAJA!$AE$78&lt;=100),"P","")</f>
        <v/>
      </c>
      <c r="AFB29" t="str">
        <f>IF(WSASWAJA!$AE$86&lt;74.9,"P","")</f>
        <v/>
      </c>
      <c r="AFC29" s="102" t="str">
        <f>IF(AND(WSASWAJA!$AE$86&gt;=75,WSASWAJA!$AE$86&lt;=83.24),"P","")</f>
        <v/>
      </c>
      <c r="AFD29" s="102" t="str">
        <f>IF(AND(WSASWAJA!$AE$86&gt;=83.25,WSASWAJA!$AE$86&lt;=91.4),"P","")</f>
        <v/>
      </c>
      <c r="AFE29" s="102" t="str">
        <f>IF(AND(WSASWAJA!$AE$86&gt;=91.5,WSASWAJA!$AE$86&lt;=100),"P","")</f>
        <v/>
      </c>
      <c r="AFF29" t="str">
        <f>IF(WSASWAJA!$AE$94&lt;74.9,"P","")</f>
        <v/>
      </c>
      <c r="AFG29" s="102" t="str">
        <f>IF(AND(WSASWAJA!$AE$94&gt;=75,WSASWAJA!$AE$94&lt;=83.24),"P","")</f>
        <v/>
      </c>
      <c r="AFH29" s="102" t="str">
        <f>IF(AND(WSASWAJA!$AE$94&gt;=83.25,WSASWAJA!$AE$94&lt;=91.4),"P","")</f>
        <v/>
      </c>
      <c r="AFI29" s="102" t="str">
        <f>IF(AND(WSASWAJA!$AE$94&gt;=91.5,WSASWAJA!$AE$94&lt;=100),"P","")</f>
        <v/>
      </c>
      <c r="AFJ29" t="str">
        <f>IF(WSASWAJA!$AE$102&lt;74.9,"P","")</f>
        <v/>
      </c>
      <c r="AFK29" s="102" t="str">
        <f>IF(AND(WSASWAJA!$AE$102&gt;=75,WSASWAJA!$AE$102&lt;=83.24),"P","")</f>
        <v/>
      </c>
      <c r="AFL29" s="102" t="str">
        <f>IF(AND(WSASWAJA!$AE$102&gt;=83.25,WSASWAJA!$AE$102&lt;=91.4),"P","")</f>
        <v/>
      </c>
      <c r="AFM29" s="102" t="str">
        <f>IF(AND(WSASWAJA!$AE$102&gt;=91.5,WSASWAJA!$AE$102&lt;=100),"P","")</f>
        <v/>
      </c>
    </row>
    <row r="30" spans="1:845" ht="20.100000000000001" customHeight="1">
      <c r="A30">
        <v>28</v>
      </c>
      <c r="B30" t="str">
        <f>IF(WSALQURAN!$AF$6&lt;74.9,"P","")</f>
        <v/>
      </c>
      <c r="C30" s="102" t="str">
        <f>IF(AND(WSALQURAN!$AF$6&gt;=75,WSALQURAN!$AF$6&lt;=83.24),"P","")</f>
        <v/>
      </c>
      <c r="D30" s="102" t="str">
        <f>IF(AND(WSALQURAN!$AF$6&gt;=83.25,WSALQURAN!$AF$6&lt;=91.4),"P","")</f>
        <v/>
      </c>
      <c r="E30" s="102" t="str">
        <f>IF(AND(WSALQURAN!$AF$6&gt;=91.5,WSALQURAN!$AF$6&lt;=100),"P","")</f>
        <v/>
      </c>
      <c r="F30" t="str">
        <f>IF(WSALQURAN!$AF$14&lt;74.9,"P","")</f>
        <v/>
      </c>
      <c r="G30" s="102" t="str">
        <f>IF(AND(WSALQURAN!$AF$14&gt;=75,WSALQURAN!$AF$14&lt;=83.24),"P","")</f>
        <v/>
      </c>
      <c r="H30" s="102" t="str">
        <f>IF(AND(WSALQURAN!$AF$14&gt;=83.25,WSALQURAN!$AF$14&lt;=91.4),"P","")</f>
        <v/>
      </c>
      <c r="I30" s="102" t="str">
        <f>IF(AND(WSALQURAN!$AF$14&gt;=91.5,WSALQURAN!$AF$14&lt;=100),"P","")</f>
        <v/>
      </c>
      <c r="J30" t="str">
        <f>IF(WSALQURAN!$AF$22&lt;74.9,"P","")</f>
        <v/>
      </c>
      <c r="K30" s="102" t="str">
        <f>IF(AND(WSALQURAN!$AF$22&gt;=75,WSALQURAN!$AF$22&lt;=83.24),"P","")</f>
        <v/>
      </c>
      <c r="L30" s="102" t="str">
        <f>IF(AND(WSALQURAN!$AF$22&gt;=83.25,WSALQURAN!$AF$22&lt;=91.4),"P","")</f>
        <v/>
      </c>
      <c r="M30" s="102" t="str">
        <f>IF(AND(WSALQURAN!$AF$22&gt;=91.5,WSALQURAN!$AF$22&lt;=100),"P","")</f>
        <v/>
      </c>
      <c r="N30" t="str">
        <f>IF(WSALQURAN!$AF$30&lt;74.9,"P","")</f>
        <v/>
      </c>
      <c r="O30" s="102" t="str">
        <f>IF(AND(WSALQURAN!$AF$30&gt;=75,WSALQURAN!$AF$30&lt;=83.24),"P","")</f>
        <v/>
      </c>
      <c r="P30" s="102" t="str">
        <f>IF(AND(WSALQURAN!$AF$30&gt;=83.25,WSALQURAN!$AF$30&lt;=91.4),"P","")</f>
        <v/>
      </c>
      <c r="Q30" s="102" t="str">
        <f>IF(AND(WSALQURAN!$AF$30&gt;=91.5,WSALQURAN!$AF$30&lt;=100),"P","")</f>
        <v/>
      </c>
      <c r="R30" t="str">
        <f>IF(WSALQURAN!$AF$38&lt;74.9,"P","")</f>
        <v/>
      </c>
      <c r="S30" s="102" t="str">
        <f>IF(AND(WSALQURAN!$AF$38&gt;=75,WSALQURAN!$AF$38&lt;=83.24),"P","")</f>
        <v/>
      </c>
      <c r="T30" s="102" t="str">
        <f>IF(AND(WSALQURAN!$AF$38&gt;=83.25,WSALQURAN!$AF$38&lt;=91.4),"P","")</f>
        <v/>
      </c>
      <c r="U30" s="102" t="str">
        <f>IF(AND(WSALQURAN!$AF$38&gt;=91.5,WSALQURAN!$AF$38&lt;=100),"P","")</f>
        <v/>
      </c>
      <c r="V30" t="str">
        <f>IF(WSALQURAN!$AF$46&lt;74.9,"P","")</f>
        <v/>
      </c>
      <c r="W30" s="102" t="str">
        <f>IF(AND(WSALQURAN!$AF$46&gt;=75,WSALQURAN!$AF$46&lt;=83.24),"P","")</f>
        <v/>
      </c>
      <c r="X30" s="102" t="str">
        <f>IF(AND(WSALQURAN!$AF$46&gt;=83.25,WSALQURAN!$AF$46&lt;=91.4),"P","")</f>
        <v/>
      </c>
      <c r="Y30" s="102" t="str">
        <f>IF(AND(WSALQURAN!$AF$46&gt;=91.5,WSALQURAN!$AF$46&lt;=100),"P","")</f>
        <v/>
      </c>
      <c r="Z30" t="str">
        <f>IF(WSALQURAN!$AF$54&lt;74.9,"P","")</f>
        <v/>
      </c>
      <c r="AA30" s="102" t="str">
        <f>IF(AND(WSALQURAN!$AF$54&gt;=75,WSALQURAN!$AF$54&lt;=83.24),"P","")</f>
        <v/>
      </c>
      <c r="AB30" s="102" t="str">
        <f>IF(AND(WSALQURAN!$AF$54&gt;=83.25,WSALQURAN!$AF$54&lt;=91.4),"P","")</f>
        <v/>
      </c>
      <c r="AC30" s="102" t="str">
        <f>IF(AND(WSALQURAN!$AF$54&gt;=91.5,WSALQURAN!$AF$54&lt;=100),"P","")</f>
        <v/>
      </c>
      <c r="AD30" t="str">
        <f>IF(WSALQURAN!$AF$62&lt;74.9,"P","")</f>
        <v/>
      </c>
      <c r="AE30" s="102" t="str">
        <f>IF(AND(WSALQURAN!$AF$62&gt;=75,WSALQURAN!$AF$62&lt;=83.24),"P","")</f>
        <v/>
      </c>
      <c r="AF30" s="102" t="str">
        <f>IF(AND(WSALQURAN!$AF$62&gt;=83.25,WSALQURAN!$AF$62&lt;=91.4),"P","")</f>
        <v/>
      </c>
      <c r="AG30" s="102" t="str">
        <f>IF(AND(WSALQURAN!$AF$62&gt;=91.5,WSALQURAN!$AF$62&lt;=100),"P","")</f>
        <v/>
      </c>
      <c r="AH30" t="str">
        <f>IF(WSALQURAN!$AF$70&lt;74.9,"P","")</f>
        <v/>
      </c>
      <c r="AI30" s="102" t="str">
        <f>IF(AND(WSALQURAN!$AF$70&gt;=75,WSALQURAN!$AF$70&lt;=83.24),"P","")</f>
        <v/>
      </c>
      <c r="AJ30" s="102" t="str">
        <f>IF(AND(WSALQURAN!$AF$70&gt;=83.25,WSALQURAN!$AF$70&lt;=91.4),"P","")</f>
        <v/>
      </c>
      <c r="AK30" s="102" t="str">
        <f>IF(AND(WSALQURAN!$AF$70&gt;=91.5,WSALQURAN!$AF$70&lt;=100),"P","")</f>
        <v/>
      </c>
      <c r="AL30" t="str">
        <f>IF(WSALQURAN!$AF$78&lt;74.9,"P","")</f>
        <v/>
      </c>
      <c r="AM30" s="102" t="str">
        <f>IF(AND(WSALQURAN!$AF$78&gt;=75,WSALQURAN!$AF$78&lt;=83.24),"P","")</f>
        <v/>
      </c>
      <c r="AN30" s="102" t="str">
        <f>IF(AND(WSALQURAN!$AF$78&gt;=83.25,WSALQURAN!$AF$78&lt;=91.4),"P","")</f>
        <v/>
      </c>
      <c r="AO30" s="102" t="str">
        <f>IF(AND(WSALQURAN!$AF$78&gt;=91.5,WSALQURAN!$AF$78&lt;=100),"P","")</f>
        <v/>
      </c>
      <c r="AP30" t="str">
        <f>IF(WSALQURAN!$AF$86&lt;74.9,"P","")</f>
        <v/>
      </c>
      <c r="AQ30" s="102" t="str">
        <f>IF(AND(WSALQURAN!$AF$86&gt;=75,WSALQURAN!$AF$86&lt;=83.24),"P","")</f>
        <v/>
      </c>
      <c r="AR30" s="102" t="str">
        <f>IF(AND(WSALQURAN!$AF$86&gt;=83.25,WSALQURAN!$AF$86&lt;=91.4),"P","")</f>
        <v/>
      </c>
      <c r="AS30" s="102" t="str">
        <f>IF(AND(WSALQURAN!$AF$86&gt;=91.5,WSALQURAN!$AF$86&lt;=100),"P","")</f>
        <v/>
      </c>
      <c r="AT30" t="str">
        <f>IF(WSALQURAN!$AF$94&lt;74.9,"P","")</f>
        <v/>
      </c>
      <c r="AU30" s="102" t="str">
        <f>IF(AND(WSALQURAN!$AF$94&gt;=75,WSALQURAN!$AF$94&lt;=83.24),"P","")</f>
        <v/>
      </c>
      <c r="AV30" s="102" t="str">
        <f>IF(AND(WSALQURAN!$AF$94&gt;=83.25,WSALQURAN!$AF$94&lt;=91.4),"P","")</f>
        <v/>
      </c>
      <c r="AW30" s="102" t="str">
        <f>IF(AND(WSALQURAN!$AF$94&gt;=91.5,WSALQURAN!$AF$94&lt;=100),"P","")</f>
        <v/>
      </c>
      <c r="AX30" t="str">
        <f>IF(WSALQURAN!$AF$102&lt;74.9,"P","")</f>
        <v/>
      </c>
      <c r="AY30" s="102" t="str">
        <f>IF(AND(WSALQURAN!$AF$102&gt;=75,WSALQURAN!$AF$102&lt;=83.24),"P","")</f>
        <v/>
      </c>
      <c r="AZ30" s="102" t="str">
        <f>IF(AND(WSALQURAN!$AF$102&gt;=83.25,WSALQURAN!$AF$102&lt;=91.4),"P","")</f>
        <v/>
      </c>
      <c r="BA30" s="102" t="str">
        <f>IF(AND(WSALQURAN!$AF$102&gt;=91.5,WSALQURAN!$AF$102&lt;=100),"P","")</f>
        <v/>
      </c>
      <c r="BB30" t="str">
        <f>IF(WSAQIDAH!$AF$6&lt;74.9,"P","")</f>
        <v/>
      </c>
      <c r="BC30" s="102" t="str">
        <f>IF(AND(WSAQIDAH!$AF$6&gt;=75,WSAQIDAH!$AF$6&lt;=83.24),"P","")</f>
        <v/>
      </c>
      <c r="BD30" s="102" t="str">
        <f>IF(AND(WSAQIDAH!$AF$6&gt;=83.25,WSAQIDAH!$AF$6&lt;=91.4),"P","")</f>
        <v/>
      </c>
      <c r="BE30" s="102" t="str">
        <f>IF(AND(WSAQIDAH!$AF$6&gt;=91.5,WSAQIDAH!$AF$6&lt;=100),"P","")</f>
        <v/>
      </c>
      <c r="BF30" t="str">
        <f>IF(WSAQIDAH!$AF$14&lt;74.9,"P","")</f>
        <v/>
      </c>
      <c r="BG30" s="102" t="str">
        <f>IF(AND(WSAQIDAH!$AF$14&gt;=75,WSAQIDAH!$AF$14&lt;=83.24),"P","")</f>
        <v/>
      </c>
      <c r="BH30" s="102" t="str">
        <f>IF(AND(WSAQIDAH!$AF$14&gt;=83.25,WSAQIDAH!$AF$14&lt;=91.4),"P","")</f>
        <v/>
      </c>
      <c r="BI30" s="102" t="str">
        <f>IF(AND(WSAQIDAH!$AF$14&gt;=91.5,WSAQIDAH!$AF$14&lt;=100),"P","")</f>
        <v/>
      </c>
      <c r="BJ30" t="str">
        <f>IF(WSAQIDAH!$AF$22&lt;74.9,"P","")</f>
        <v/>
      </c>
      <c r="BK30" s="102" t="str">
        <f>IF(AND(WSAQIDAH!$AF$22&gt;=75,WSAQIDAH!$AF$22&lt;=83.24),"P","")</f>
        <v/>
      </c>
      <c r="BL30" s="102" t="str">
        <f>IF(AND(WSAQIDAH!$AF$22&gt;=83.25,WSAQIDAH!$AF$22&lt;=91.4),"P","")</f>
        <v/>
      </c>
      <c r="BM30" s="102" t="str">
        <f>IF(AND(WSAQIDAH!$AF$22&gt;=91.5,WSAQIDAH!$AF$22&lt;=100),"P","")</f>
        <v/>
      </c>
      <c r="BN30" t="str">
        <f>IF(WSAQIDAH!$AF$30&lt;74.9,"P","")</f>
        <v/>
      </c>
      <c r="BO30" s="102" t="str">
        <f>IF(AND(WSAQIDAH!$AF$30&gt;=75,WSAQIDAH!$AF$30&lt;=83.24),"P","")</f>
        <v/>
      </c>
      <c r="BP30" s="102" t="str">
        <f>IF(AND(WSAQIDAH!$AF$30&gt;=83.25,WSAQIDAH!$AF$30&lt;=91.4),"P","")</f>
        <v/>
      </c>
      <c r="BQ30" s="102" t="str">
        <f>IF(AND(WSAQIDAH!$AF$30&gt;=91.5,WSAQIDAH!$AF$30&lt;=100),"P","")</f>
        <v/>
      </c>
      <c r="BR30" t="str">
        <f>IF(WSAQIDAH!$AF$38&lt;74.9,"P","")</f>
        <v/>
      </c>
      <c r="BS30" s="102" t="str">
        <f>IF(AND(WSAQIDAH!$AF$38&gt;=75,WSAQIDAH!$AF$38&lt;=83.24),"P","")</f>
        <v/>
      </c>
      <c r="BT30" s="102" t="str">
        <f>IF(AND(WSAQIDAH!$AF$38&gt;=83.25,WSAQIDAH!$AF$38&lt;=91.4),"P","")</f>
        <v/>
      </c>
      <c r="BU30" s="102" t="str">
        <f>IF(AND(WSAQIDAH!$AF$38&gt;=91.5,WSAQIDAH!$AF$38&lt;=100),"P","")</f>
        <v/>
      </c>
      <c r="BV30" t="str">
        <f>IF(WSAQIDAH!$AF$46&lt;74.9,"P","")</f>
        <v/>
      </c>
      <c r="BW30" s="102" t="str">
        <f>IF(AND(WSAQIDAH!$AF$46&gt;=75,WSAQIDAH!$AF$46&lt;=83.24),"P","")</f>
        <v/>
      </c>
      <c r="BX30" s="102" t="str">
        <f>IF(AND(WSAQIDAH!$AF$46&gt;=83.25,WSAQIDAH!$AF$46&lt;=91.4),"P","")</f>
        <v/>
      </c>
      <c r="BY30" s="102" t="str">
        <f>IF(AND(WSAQIDAH!$AF$46&gt;=91.5,WSAQIDAH!$AF$46&lt;=100),"P","")</f>
        <v/>
      </c>
      <c r="BZ30" t="str">
        <f>IF(WSAQIDAH!$AF$54&lt;74.9,"P","")</f>
        <v/>
      </c>
      <c r="CA30" s="102" t="str">
        <f>IF(AND(WSAQIDAH!$AF$54&gt;=75,WSAQIDAH!$AF$54&lt;=83.24),"P","")</f>
        <v/>
      </c>
      <c r="CB30" s="102" t="str">
        <f>IF(AND(WSAQIDAH!$AF$54&gt;=83.25,WSAQIDAH!$AF$54&lt;=91.4),"P","")</f>
        <v/>
      </c>
      <c r="CC30" s="102" t="str">
        <f>IF(AND(WSAQIDAH!$AF$54&gt;=91.5,WSAQIDAH!$AF$54&lt;=100),"P","")</f>
        <v/>
      </c>
      <c r="CD30" t="str">
        <f>IF(WSAQIDAH!$AF$62&lt;74.9,"P","")</f>
        <v/>
      </c>
      <c r="CE30" s="102" t="str">
        <f>IF(AND(WSAQIDAH!$AF$62&gt;=75,WSAQIDAH!$AF$62&lt;=83.24),"P","")</f>
        <v/>
      </c>
      <c r="CF30" s="102" t="str">
        <f>IF(AND(WSAQIDAH!$AF$62&gt;=83.25,WSAQIDAH!$AF$62&lt;=91.4),"P","")</f>
        <v/>
      </c>
      <c r="CG30" s="102" t="str">
        <f>IF(AND(WSAQIDAH!$AF$62&gt;=91.5,WSAQIDAH!$AF$62&lt;=100),"P","")</f>
        <v/>
      </c>
      <c r="CH30" t="str">
        <f>IF(WSAQIDAH!$AF$70&lt;74.9,"P","")</f>
        <v/>
      </c>
      <c r="CI30" s="102" t="str">
        <f>IF(AND(WSAQIDAH!$AF$70&gt;=75,WSAQIDAH!$AF$70&lt;=83.24),"P","")</f>
        <v/>
      </c>
      <c r="CJ30" s="102" t="str">
        <f>IF(AND(WSAQIDAH!$AF$70&gt;=83.25,WSAQIDAH!$AF$70&lt;=91.4),"P","")</f>
        <v/>
      </c>
      <c r="CK30" s="102" t="str">
        <f>IF(AND(WSAQIDAH!$AF$70&gt;=91.5,WSAQIDAH!$AF$70&lt;=100),"P","")</f>
        <v/>
      </c>
      <c r="CL30" t="str">
        <f>IF(WSAQIDAH!$AF$78&lt;74.9,"P","")</f>
        <v/>
      </c>
      <c r="CM30" s="102" t="str">
        <f>IF(AND(WSAQIDAH!$AF$78&gt;=75,WSAQIDAH!$AF$78&lt;=83.24),"P","")</f>
        <v/>
      </c>
      <c r="CN30" s="102" t="str">
        <f>IF(AND(WSAQIDAH!$AF$78&gt;=83.25,WSAQIDAH!$AF$78&lt;=91.4),"P","")</f>
        <v/>
      </c>
      <c r="CO30" s="102" t="str">
        <f>IF(AND(WSAQIDAH!$AF$78&gt;=91.5,WSAQIDAH!$AF$78&lt;=100),"P","")</f>
        <v/>
      </c>
      <c r="CP30" t="str">
        <f>IF(WSAQIDAH!$AF$86&lt;74.9,"P","")</f>
        <v/>
      </c>
      <c r="CQ30" s="102" t="str">
        <f>IF(AND(WSAQIDAH!$AF$86&gt;=75,WSAQIDAH!$AF$86&lt;=83.24),"P","")</f>
        <v/>
      </c>
      <c r="CR30" s="102" t="str">
        <f>IF(AND(WSAQIDAH!$AF$86&gt;=83.25,WSAQIDAH!$AF$86&lt;=91.4),"P","")</f>
        <v/>
      </c>
      <c r="CS30" s="102" t="str">
        <f>IF(AND(WSAQIDAH!$AF$86&gt;=91.5,WSAQIDAH!$AF$86&lt;=100),"P","")</f>
        <v/>
      </c>
      <c r="CT30" t="str">
        <f>IF(WSAQIDAH!$AF$94&lt;74.9,"P","")</f>
        <v/>
      </c>
      <c r="CU30" s="102" t="str">
        <f>IF(AND(WSAQIDAH!$AF$94&gt;=75,WSAQIDAH!$AF$94&lt;=83.24),"P","")</f>
        <v/>
      </c>
      <c r="CV30" s="102" t="str">
        <f>IF(AND(WSAQIDAH!$AF$94&gt;=83.25,WSAQIDAH!$AF$94&lt;=91.4),"P","")</f>
        <v/>
      </c>
      <c r="CW30" s="102" t="str">
        <f>IF(AND(WSAQIDAH!$AF$94&gt;=91.5,WSAQIDAH!$AF$94&lt;=100),"P","")</f>
        <v/>
      </c>
      <c r="CX30" t="str">
        <f>IF(WSAQIDAH!$AF$102&lt;74.9,"P","")</f>
        <v/>
      </c>
      <c r="CY30" s="102" t="str">
        <f>IF(AND(WSAQIDAH!$AF$102&gt;=75,WSAQIDAH!$AF$102&lt;=83.24),"P","")</f>
        <v/>
      </c>
      <c r="CZ30" s="102" t="str">
        <f>IF(AND(WSAQIDAH!$AF$102&gt;=83.25,WSAQIDAH!$AF$102&lt;=91.4),"P","")</f>
        <v/>
      </c>
      <c r="DA30" s="102" t="str">
        <f>IF(AND(WSAQIDAH!$AF$102&gt;=91.5,WSAQIDAH!$AF$102&lt;=100),"P","")</f>
        <v/>
      </c>
      <c r="DB30" t="str">
        <f>IF(WSSKI!$AF$6&lt;74.9,"P","")</f>
        <v/>
      </c>
      <c r="DC30" s="102" t="str">
        <f>IF(AND(WSSKI!$AF$6&gt;=75,WSSKI!$AF$6&lt;=83.24),"P","")</f>
        <v/>
      </c>
      <c r="DD30" s="102" t="str">
        <f>IF(AND(WSSKI!$AF$6&gt;=83.25,WSSKI!$AF$6&lt;=91.4),"P","")</f>
        <v/>
      </c>
      <c r="DE30" s="102" t="str">
        <f>IF(AND(WSSKI!$AF$6&gt;=91.5,WSSKI!$AF$6&lt;=100),"P","")</f>
        <v/>
      </c>
      <c r="DF30" t="str">
        <f>IF(WSSKI!$AF$14&lt;74.9,"P","")</f>
        <v/>
      </c>
      <c r="DG30" s="102" t="str">
        <f>IF(AND(WSSKI!$AF$14&gt;=75,WSSKI!$AF$14&lt;=83.24),"P","")</f>
        <v/>
      </c>
      <c r="DH30" s="102" t="str">
        <f>IF(AND(WSSKI!$AF$14&gt;=83.25,WSSKI!$AF$14&lt;=91.4),"P","")</f>
        <v/>
      </c>
      <c r="DI30" s="102" t="str">
        <f>IF(AND(WSSKI!$AF$14&gt;=91.5,WSSKI!$AF$14&lt;=100),"P","")</f>
        <v/>
      </c>
      <c r="DJ30" t="str">
        <f>IF(WSSKI!$AF$23&lt;74.9,"P","")</f>
        <v/>
      </c>
      <c r="DK30" s="102" t="str">
        <f>IF(AND(WSSKI!$AF$23&gt;=75,WSSKI!$AF$23&lt;=83.24),"P","")</f>
        <v/>
      </c>
      <c r="DL30" s="102" t="str">
        <f>IF(AND(WSSKI!$AF$23&gt;=83.25,WSSKI!$AF$23&lt;=91.4),"P","")</f>
        <v/>
      </c>
      <c r="DM30" s="102" t="str">
        <f>IF(AND(WSSKI!$AF$23&gt;=91.5,WSSKI!$AF$23&lt;=100),"P","")</f>
        <v/>
      </c>
      <c r="DN30" t="str">
        <f>IF(WSSKI!$AF$31&lt;74.9,"P","")</f>
        <v/>
      </c>
      <c r="DO30" s="102" t="str">
        <f>IF(AND(WSSKI!$AF$31&gt;=75,WSSKI!$AF$31&lt;=83.24),"P","")</f>
        <v/>
      </c>
      <c r="DP30" s="102" t="str">
        <f>IF(AND(WSSKI!$AF$31&gt;=83.25,WSSKI!$AF$31&lt;=91.4),"P","")</f>
        <v/>
      </c>
      <c r="DQ30" s="102" t="str">
        <f>IF(AND(WSSKI!$AF$31&gt;=91.5,WSSKI!$AF$31&lt;=100),"P","")</f>
        <v/>
      </c>
      <c r="DR30" t="str">
        <f>IF(WSSKI!$AF$40&lt;74.9,"P","")</f>
        <v/>
      </c>
      <c r="DS30" s="102" t="str">
        <f>IF(AND(WSSKI!$AF$40&gt;=75,WSSKI!$AF$40&lt;=83.24),"P","")</f>
        <v/>
      </c>
      <c r="DT30" s="102" t="str">
        <f>IF(AND(WSSKI!$AF$40&gt;=83.25,WSSKI!$AF$40&lt;=91.4),"P","")</f>
        <v/>
      </c>
      <c r="DU30" s="102" t="str">
        <f>IF(AND(WSSKI!$AF$40&gt;=91.5,WSSKI!$AF$40&lt;=100),"P","")</f>
        <v/>
      </c>
      <c r="DV30" t="str">
        <f>IF(WSSKI!$AF$48&lt;74.9,"P","")</f>
        <v/>
      </c>
      <c r="DW30" s="102" t="str">
        <f>IF(AND(WSSKI!$AF$48&gt;=75,WSSKI!$AF$48&lt;=83.24),"P","")</f>
        <v/>
      </c>
      <c r="DX30" s="102" t="str">
        <f>IF(AND(WSSKI!$AF$48&gt;=83.25,WSSKI!$AF$48&lt;=91.4),"P","")</f>
        <v/>
      </c>
      <c r="DY30" s="102" t="str">
        <f>IF(AND(WSSKI!$AF$48&gt;=91.5,WSSKI!$AF$48&lt;=100),"P","")</f>
        <v/>
      </c>
      <c r="DZ30" t="str">
        <f>IF(WSSKI!$AF$56&lt;74.9,"P","")</f>
        <v/>
      </c>
      <c r="EA30" s="102" t="str">
        <f>IF(AND(WSSKI!$AF$56&gt;=75,WSSKI!$AF$56&lt;=83.24),"P","")</f>
        <v/>
      </c>
      <c r="EB30" s="102" t="str">
        <f>IF(AND(WSSKI!$AF$56&gt;=83.25,WSSKI!$AF$56&lt;=91.4),"P","")</f>
        <v/>
      </c>
      <c r="EC30" s="102" t="str">
        <f>IF(AND(WSSKI!$AF$56&gt;=91.5,WSSKI!$AF$56&lt;=100),"P","")</f>
        <v/>
      </c>
      <c r="ED30" t="str">
        <f>IF(WSSKI!$AF$64&lt;74.9,"P","")</f>
        <v/>
      </c>
      <c r="EE30" s="102" t="str">
        <f>IF(AND(WSSKI!$AF$64&gt;=75,WSSKI!$AF$64&lt;=83.24),"P","")</f>
        <v/>
      </c>
      <c r="EF30" s="102" t="str">
        <f>IF(AND(WSSKI!$AF$64&gt;=83.25,WSSKI!$AF$64&lt;=91.4),"P","")</f>
        <v/>
      </c>
      <c r="EG30" s="102" t="str">
        <f>IF(AND(WSSKI!$AF$64&gt;=91.5,WSSKI!$AF$64&lt;=100),"P","")</f>
        <v/>
      </c>
      <c r="EH30" t="str">
        <f>IF(WSSKI!$AF$72&lt;74.9,"P","")</f>
        <v/>
      </c>
      <c r="EI30" s="102" t="str">
        <f>IF(AND(WSSKI!$AF$72&gt;=75,WSSKI!$AF$72&lt;=83.24),"P","")</f>
        <v/>
      </c>
      <c r="EJ30" s="102" t="str">
        <f>IF(AND(WSSKI!$AF$72&gt;=83.25,WSSKI!$AF$72&lt;=91.4),"P","")</f>
        <v/>
      </c>
      <c r="EK30" s="102" t="str">
        <f>IF(AND(WSSKI!$AF$72&gt;=91.5,WSSKI!$AF$72&lt;=100),"P","")</f>
        <v/>
      </c>
      <c r="EL30" t="str">
        <f>IF(WSSKI!$AF$80&lt;74.9,"P","")</f>
        <v/>
      </c>
      <c r="EM30" s="102" t="str">
        <f>IF(AND(WSSKI!$AF$80&gt;=75,WSSKI!$AF$80&lt;=83.24),"P","")</f>
        <v/>
      </c>
      <c r="EN30" s="102" t="str">
        <f>IF(AND(WSSKI!$AF$80&gt;=83.25,WSSKI!$AF$80&lt;=91.4),"P","")</f>
        <v/>
      </c>
      <c r="EO30" s="102" t="str">
        <f>IF(AND(WSSKI!$AF$80&gt;=91.5,WSSKI!$AF$80&lt;=100),"P","")</f>
        <v/>
      </c>
      <c r="EP30" t="str">
        <f>IF(WSSKI!$AF$88&lt;74.9,"P","")</f>
        <v/>
      </c>
      <c r="EQ30" s="102" t="str">
        <f>IF(AND(WSSKI!$AF$88&gt;=75,WSSKI!$AF$88&lt;=83.24),"P","")</f>
        <v/>
      </c>
      <c r="ER30" s="102" t="str">
        <f>IF(AND(WSSKI!$AF$88&gt;=83.25,WSSKI!$AF$88&lt;=91.4),"P","")</f>
        <v/>
      </c>
      <c r="ES30" s="102" t="str">
        <f>IF(AND(WSSKI!$AF$88&gt;=91.5,WSSKI!$AF$88&lt;=100),"P","")</f>
        <v/>
      </c>
      <c r="ET30" t="str">
        <f>IF(WSSKI!$AF$96&lt;74.9,"P","")</f>
        <v/>
      </c>
      <c r="EU30" s="102" t="str">
        <f>IF(AND(WSSKI!$AF$96&gt;=75,WSSKI!$AF$96&lt;=83.24),"P","")</f>
        <v/>
      </c>
      <c r="EV30" s="102" t="str">
        <f>IF(AND(WSSKI!$AF$96&gt;=83.25,WSSKI!$AF$96&lt;=91.4),"P","")</f>
        <v/>
      </c>
      <c r="EW30" s="102" t="str">
        <f>IF(AND(WSSKI!$AF$96&gt;=91.5,WSSKI!$AF$96&lt;=100),"P","")</f>
        <v/>
      </c>
      <c r="EX30" t="str">
        <f>IF(WSSKI!$AF$104&lt;74.9,"P","")</f>
        <v/>
      </c>
      <c r="EY30" s="102" t="str">
        <f>IF(AND(WSSKI!$AF$104&gt;=75,WSSKI!$AF$104&lt;=83.24),"P","")</f>
        <v/>
      </c>
      <c r="EZ30" s="102" t="str">
        <f>IF(AND(WSSKI!$AF$104&gt;=83.25,WSSKI!$AF$104&lt;=91.4),"P","")</f>
        <v/>
      </c>
      <c r="FA30" s="102" t="str">
        <f>IF(AND(WSSKI!$AF$104&gt;=91.5,WSSKI!$AF$104&lt;=100),"P","")</f>
        <v/>
      </c>
      <c r="FB30" t="str">
        <f>IF(WSFIQIH!$AF$6&lt;74.9,"P","")</f>
        <v/>
      </c>
      <c r="FC30" s="102" t="str">
        <f>IF(AND(WSFIQIH!$AF$6&gt;=75,WSFIQIH!$AF$6&lt;=83.24),"P","")</f>
        <v/>
      </c>
      <c r="FD30" s="102" t="str">
        <f>IF(AND(WSFIQIH!$AF$6&gt;=83.25,WSFIQIH!$AF$6&lt;=91.4),"P","")</f>
        <v/>
      </c>
      <c r="FE30" s="102" t="str">
        <f>IF(AND(WSFIQIH!$AF$6&gt;=91.5,WSFIQIH!$AF$6&lt;=100),"P","")</f>
        <v/>
      </c>
      <c r="FF30" t="str">
        <f>IF(WSFIQIH!$AF$19&lt;74.9,"P","")</f>
        <v/>
      </c>
      <c r="FG30" s="102" t="str">
        <f>IF(AND(WSFIQIH!$AF$19&gt;=75,WSFIQIH!$AF$19&lt;=83.24),"P","")</f>
        <v/>
      </c>
      <c r="FH30" s="102" t="str">
        <f>IF(AND(WSFIQIH!$AF$19&gt;=83.25,WSFIQIH!$AF$19&lt;=91.4),"P","")</f>
        <v/>
      </c>
      <c r="FI30" s="102" t="str">
        <f>IF(AND(WSFIQIH!$AF$19&gt;=91.5,WSFIQIH!$AF$19&lt;=100),"P","")</f>
        <v/>
      </c>
      <c r="FJ30" t="str">
        <f>IF(WSFIQIH!$AF$28&lt;74.9,"P","")</f>
        <v/>
      </c>
      <c r="FK30" s="102" t="str">
        <f>IF(AND(WSFIQIH!$AF$28&gt;=75,WSFIQIH!$AF$28&lt;=83.24),"P","")</f>
        <v/>
      </c>
      <c r="FL30" s="102" t="str">
        <f>IF(AND(WSFIQIH!$AF$28&gt;=83.25,WSFIQIH!$AF$28&lt;=91.4),"P","")</f>
        <v/>
      </c>
      <c r="FM30" s="102" t="str">
        <f>IF(AND(WSFIQIH!$AF$28&gt;=91.5,WSFIQIH!$AF$28&lt;=100),"P","")</f>
        <v/>
      </c>
      <c r="FN30" t="str">
        <f>IF(WSFIQIH!$AF$41&lt;74.9,"P","")</f>
        <v/>
      </c>
      <c r="FO30" s="102" t="str">
        <f>IF(AND(WSFIQIH!$AF$41&gt;=75,WSFIQIH!$AF$41&lt;=83.24),"P","")</f>
        <v/>
      </c>
      <c r="FP30" s="102" t="str">
        <f>IF(AND(WSFIQIH!$AF$41&gt;=83.25,WSFIQIH!$AF$41&lt;=91.4),"P","")</f>
        <v/>
      </c>
      <c r="FQ30" s="102" t="str">
        <f>IF(AND(WSFIQIH!$AF$41&gt;=91.5,WSFIQIH!$AF$41&lt;=100),"P","")</f>
        <v/>
      </c>
      <c r="FR30" t="str">
        <f>IF(WSFIQIH!$AF$49&lt;74.9,"P","")</f>
        <v/>
      </c>
      <c r="FS30" s="102" t="str">
        <f>IF(AND(WSFIQIH!$AF$49&gt;=75,WSFIQIH!$AF$49&lt;=83.24),"P","")</f>
        <v/>
      </c>
      <c r="FT30" s="102" t="str">
        <f>IF(AND(WSFIQIH!$AF$49&gt;=83.25,WSFIQIH!$AF$49&lt;=91.4),"P","")</f>
        <v/>
      </c>
      <c r="FU30" s="102" t="str">
        <f>IF(AND(WSFIQIH!$AF$49&gt;=91.5,WSFIQIH!$AF$49&lt;=100),"P","")</f>
        <v/>
      </c>
      <c r="FV30" t="str">
        <f>IF(WSFIQIH!$AF$62&lt;74.9,"P","")</f>
        <v/>
      </c>
      <c r="FW30" s="102" t="str">
        <f>IF(AND(WSFIQIH!$AF$62&gt;=75,WSFIQIH!$AF$62&lt;=83.24),"P","")</f>
        <v/>
      </c>
      <c r="FX30" s="102" t="str">
        <f>IF(AND(WSFIQIH!$AF$62&gt;=83.25,WSFIQIH!$AF$62&lt;=91.4),"P","")</f>
        <v/>
      </c>
      <c r="FY30" s="102" t="str">
        <f>IF(AND(WSFIQIH!$AF$62&gt;=91.5,WSFIQIH!$AF$62&lt;=100),"P","")</f>
        <v/>
      </c>
      <c r="FZ30" t="str">
        <f>IF(WSFIQIH!$AF$71&lt;74.9,"P","")</f>
        <v/>
      </c>
      <c r="GA30" s="102" t="str">
        <f>IF(AND(WSFIQIH!$AF$71&gt;=75,WSFIQIH!$AF$71&lt;=83.24),"P","")</f>
        <v/>
      </c>
      <c r="GB30" s="102" t="str">
        <f>IF(AND(WSFIQIH!$AF$71&gt;=83.25,WSFIQIH!$AF$71&lt;=91.4),"P","")</f>
        <v/>
      </c>
      <c r="GC30" s="102" t="str">
        <f>IF(AND(WSFIQIH!$AF$71&gt;=91.5,WSFIQIH!$AF$71&lt;=100),"P","")</f>
        <v/>
      </c>
      <c r="GD30" t="str">
        <f>IF(WSFIQIH!$AF$80&lt;74.9,"P","")</f>
        <v/>
      </c>
      <c r="GE30" s="102" t="str">
        <f>IF(AND(WSFIQIH!$AF$80&gt;=75,WSFIQIH!$AF$80&lt;=83.24),"P","")</f>
        <v/>
      </c>
      <c r="GF30" s="102" t="str">
        <f>IF(AND(WSFIQIH!$AF$80&gt;=83.25,WSFIQIH!$AF$80&lt;=91.4),"P","")</f>
        <v/>
      </c>
      <c r="GG30" s="102" t="str">
        <f>IF(AND(WSFIQIH!$AF$80&gt;=91.5,WSFIQIH!$AF$80&lt;=100),"P","")</f>
        <v/>
      </c>
      <c r="GH30" t="str">
        <f>IF(WSFIQIH!$AF$88&lt;74.9,"P","")</f>
        <v/>
      </c>
      <c r="GI30" s="102" t="str">
        <f>IF(AND(WSFIQIH!$AF$88&gt;=75,WSFIQIH!$AF$88&lt;=83.24),"P","")</f>
        <v/>
      </c>
      <c r="GJ30" s="102" t="str">
        <f>IF(AND(WSFIQIH!$AF$88&gt;=83.25,WSFIQIH!$AF$88&lt;=91.4),"P","")</f>
        <v/>
      </c>
      <c r="GK30" s="102" t="str">
        <f>IF(AND(WSFIQIH!$AF$88&gt;=91.5,WSFIQIH!$AF$88&lt;=100),"P","")</f>
        <v/>
      </c>
      <c r="GL30" t="str">
        <f>IF(WSFIQIH!$AF$96&lt;74.9,"P","")</f>
        <v/>
      </c>
      <c r="GM30" s="102" t="str">
        <f>IF(AND(WSFIQIH!$AF$96&gt;=75,WSFIQIH!$AF$96&lt;=83.24),"P","")</f>
        <v/>
      </c>
      <c r="GN30" s="102" t="str">
        <f>IF(AND(WSFIQIH!$AF$96&gt;=83.25,WSFIQIH!$AF$96&lt;=91.4),"P","")</f>
        <v/>
      </c>
      <c r="GO30" s="102" t="str">
        <f>IF(AND(WSFIQIH!$AF$96&gt;=91.5,WSFIQIH!$AF$96&lt;=100),"P","")</f>
        <v/>
      </c>
      <c r="GP30" t="str">
        <f>IF(WSFIQIH!$AF$104&lt;74.9,"P","")</f>
        <v/>
      </c>
      <c r="GQ30" s="102" t="str">
        <f>IF(AND(WSFIQIH!$AF$104&gt;=75,WSFIQIH!$AF$104&lt;=83.24),"P","")</f>
        <v/>
      </c>
      <c r="GR30" s="102" t="str">
        <f>IF(AND(WSFIQIH!$AF$104&gt;=83.25,WSFIQIH!$AF$104&lt;=91.4),"P","")</f>
        <v/>
      </c>
      <c r="GS30" s="102" t="str">
        <f>IF(AND(WSFIQIH!$AF$104&gt;=91.5,WSFIQIH!$AF$104&lt;=100),"P","")</f>
        <v/>
      </c>
      <c r="GT30" t="str">
        <f>IF(WSFIQIH!$AF$112&lt;74.9,"P","")</f>
        <v/>
      </c>
      <c r="GU30" s="102" t="str">
        <f>IF(AND(WSFIQIH!$AF$112&gt;=75,WSFIQIH!$AF$112&lt;=83.24),"P","")</f>
        <v/>
      </c>
      <c r="GV30" s="102" t="str">
        <f>IF(AND(WSFIQIH!$AF$112&gt;=83.25,WSFIQIH!$AF$112&lt;=91.4),"P","")</f>
        <v/>
      </c>
      <c r="GW30" s="102" t="str">
        <f>IF(AND(WSFIQIH!$AF$112&gt;=91.5,WSFIQIH!$AF$112&lt;=100),"P","")</f>
        <v/>
      </c>
      <c r="GX30" t="str">
        <f>IF(WSFIQIH!$AF$120&lt;74.9,"P","")</f>
        <v/>
      </c>
      <c r="GY30" s="102" t="str">
        <f>IF(AND(WSFIQIH!$AF$120&gt;=75,WSFIQIH!$AF$120&lt;=83.24),"P","")</f>
        <v/>
      </c>
      <c r="GZ30" s="102" t="str">
        <f>IF(AND(WSFIQIH!$AF$120&gt;=83.25,WSFIQIH!$AF$120&lt;=91.4),"P","")</f>
        <v/>
      </c>
      <c r="HA30" s="102" t="str">
        <f>IF(AND(WSFIQIH!$AF$120&gt;=91.5,WSFIQIH!$AF$120&lt;=100),"P","")</f>
        <v/>
      </c>
      <c r="HB30" t="str">
        <f>IF(WSPKN!$AF$6&lt;74.9,"P","")</f>
        <v/>
      </c>
      <c r="HC30" s="102" t="str">
        <f>IF(AND(WSPKN!$AF$6&gt;=75,WSPKN!$AF$6&lt;=83.24),"P","")</f>
        <v/>
      </c>
      <c r="HD30" s="102" t="str">
        <f>IF(AND(WSPKN!$AF$6&gt;=83.25,WSPKN!$AF$6&lt;=91.4),"P","")</f>
        <v/>
      </c>
      <c r="HE30" s="102" t="str">
        <f>IF(AND(WSPKN!$AF$6&gt;=91.5,WSPKN!$AF$6&lt;=100),"P","")</f>
        <v/>
      </c>
      <c r="HF30" t="str">
        <f>IF(WSPKN!$AF$32&lt;74.9,"P","")</f>
        <v/>
      </c>
      <c r="HG30" s="102" t="str">
        <f>IF(AND(WSPKN!$AF$32&gt;=75,WSPKN!$AF$32&lt;=83.24),"P","")</f>
        <v/>
      </c>
      <c r="HH30" s="102" t="str">
        <f>IF(AND(WSPKN!$AF$32&gt;=83.25,WSPKN!$AF$32&lt;=91.4),"P","")</f>
        <v/>
      </c>
      <c r="HI30" s="102" t="str">
        <f>IF(AND(WSPKN!$AF$32&gt;=91.5,WSPKN!$AF$32&lt;=100),"P","")</f>
        <v/>
      </c>
      <c r="HJ30" t="str">
        <f>IF(WSPKN!$AF$55&lt;74.9,"P","")</f>
        <v/>
      </c>
      <c r="HK30" s="102" t="str">
        <f>IF(AND(WSPKN!$AF$55&gt;=75,WSPKN!$AF$55&lt;=83.24),"P","")</f>
        <v/>
      </c>
      <c r="HL30" s="102" t="str">
        <f>IF(AND(WSPKN!$AF$55&gt;=83.25,WSPKN!$AF$55&lt;=91.4),"P","")</f>
        <v/>
      </c>
      <c r="HM30" s="102" t="str">
        <f>IF(AND(WSPKN!$AF$55&gt;=91.5,WSPKN!$AF$55&lt;=100),"P","")</f>
        <v/>
      </c>
      <c r="HN30" t="str">
        <f>IF(WSPKN!$AF$72&lt;74.9,"P","")</f>
        <v/>
      </c>
      <c r="HO30" s="102" t="str">
        <f>IF(AND(WSPKN!$AF$72&gt;=75,WSPKN!$AF$72&lt;=83.24),"P","")</f>
        <v/>
      </c>
      <c r="HP30" s="102" t="str">
        <f>IF(AND(WSPKN!$AF$72&gt;=83.25,WSPKN!$AF$72&lt;=91.4),"P","")</f>
        <v/>
      </c>
      <c r="HQ30" s="102" t="str">
        <f>IF(AND(WSPKN!$AF$72&gt;=91.5,WSPKN!$AF$72&lt;=100),"P","")</f>
        <v/>
      </c>
      <c r="HR30" t="str">
        <f>IF(WSPKN!$AF$86&lt;74.9,"P","")</f>
        <v/>
      </c>
      <c r="HS30" s="102" t="str">
        <f>IF(AND(WSPKN!$AF$86&gt;=75,WSPKN!$AF$86&lt;=83.24),"P","")</f>
        <v/>
      </c>
      <c r="HT30" s="102" t="str">
        <f>IF(AND(WSPKN!$AF$86&gt;=83.25,WSPKN!$AF$86&lt;=91.4),"P","")</f>
        <v/>
      </c>
      <c r="HU30" s="102" t="str">
        <f>IF(AND(WSPKN!$AF$86&gt;=91.5,WSPKN!$AF$86&lt;=100),"P","")</f>
        <v/>
      </c>
      <c r="HV30" t="str">
        <f>IF(WSPKN!$AF$108&lt;74.9,"P","")</f>
        <v/>
      </c>
      <c r="HW30" s="102" t="str">
        <f>IF(AND(WSPKN!$AF$108&gt;=75,WSPKN!$AF$108&lt;=83.24),"P","")</f>
        <v/>
      </c>
      <c r="HX30" s="102" t="str">
        <f>IF(AND(WSPKN!$AF$108&gt;=83.25,WSPKN!$AF$108&lt;=91.4),"P","")</f>
        <v/>
      </c>
      <c r="HY30" s="102" t="str">
        <f>IF(AND(WSPKN!$AF$108&gt;=91.5,WSPKN!$AF$108&lt;=100),"P","")</f>
        <v/>
      </c>
      <c r="HZ30" t="str">
        <f>IF(WSPKN!$AF$132&lt;74.9,"P","")</f>
        <v/>
      </c>
      <c r="IA30" s="102" t="str">
        <f>IF(AND(WSPKN!$AF$132&gt;=75,WSPKN!$AF$132&lt;=83.24),"P","")</f>
        <v/>
      </c>
      <c r="IB30" s="102" t="str">
        <f>IF(AND(WSPKN!$AF$132&gt;=83.25,WSPKN!$AF$132&lt;=91.4),"P","")</f>
        <v/>
      </c>
      <c r="IC30" s="102" t="str">
        <f>IF(AND(WSPKN!$AF$132&gt;=91.5,WSPKN!$AF$132&lt;=100),"P","")</f>
        <v/>
      </c>
      <c r="ID30" t="str">
        <f>IF(WSPKN!$AF$148&lt;74.9,"P","")</f>
        <v/>
      </c>
      <c r="IE30" s="102" t="str">
        <f>IF(AND(WSPKN!$AF$148&gt;=75,WSPKN!$AF$148&lt;=83.24),"P","")</f>
        <v/>
      </c>
      <c r="IF30" s="102" t="str">
        <f>IF(AND(WSPKN!$AF$148&gt;=83.25,WSPKN!$AF$148&lt;=91.4),"P","")</f>
        <v/>
      </c>
      <c r="IG30" s="102" t="str">
        <f>IF(AND(WSPKN!$AF$148&gt;=91.5,WSPKN!$AF$148&lt;=100),"P","")</f>
        <v/>
      </c>
      <c r="IH30" t="str">
        <f>IF(WSPKN!$AF$165&lt;74.9,"P","")</f>
        <v/>
      </c>
      <c r="II30" s="102" t="str">
        <f>IF(AND(WSPKN!$AF$165&gt;=75,WSPKN!$AF$165&lt;=83.24),"P","")</f>
        <v/>
      </c>
      <c r="IJ30" s="102" t="str">
        <f>IF(AND(WSPKN!$AF$165&gt;=83.25,WSPKN!$AF$165&lt;=91.4),"P","")</f>
        <v/>
      </c>
      <c r="IK30" s="102" t="str">
        <f>IF(AND(WSPKN!$AF$165&gt;=91.5,WSPKN!$AF$165&lt;=100),"P","")</f>
        <v/>
      </c>
      <c r="IL30" t="str">
        <f>IF(WSPKN!$AF$173&lt;74.9,"P","")</f>
        <v/>
      </c>
      <c r="IM30" s="102" t="str">
        <f>IF(AND(WSPKN!$AF$173&gt;=75,WSPKN!$AF$173&lt;=83.24),"P","")</f>
        <v/>
      </c>
      <c r="IN30" s="102" t="str">
        <f>IF(AND(WSPKN!$AF$173&gt;=83.25,WSPKN!$AF$173&lt;=91.4),"P","")</f>
        <v/>
      </c>
      <c r="IO30" s="102" t="str">
        <f>IF(AND(WSPKN!$AF$173&gt;=91.5,WSPKN!$AF$173&lt;=100),"P","")</f>
        <v/>
      </c>
      <c r="IP30" t="str">
        <f>IF(WSPKN!$AF$181&lt;74.9,"P","")</f>
        <v/>
      </c>
      <c r="IQ30" s="102" t="str">
        <f>IF(AND(WSPKN!$AF$181&gt;=75,WSPKN!$AF$181&lt;=83.24),"P","")</f>
        <v/>
      </c>
      <c r="IR30" s="102" t="str">
        <f>IF(AND(WSPKN!$AF$181&gt;=83.25,WSPKN!$AF$181&lt;=91.4),"P","")</f>
        <v/>
      </c>
      <c r="IS30" s="102" t="str">
        <f>IF(AND(WSPKN!$AF$181&gt;=91.5,WSPKN!$AF$181&lt;=100),"P","")</f>
        <v/>
      </c>
      <c r="IT30" t="str">
        <f>IF(WSPKN!$AF$189&lt;74.9,"P","")</f>
        <v/>
      </c>
      <c r="IU30" s="102" t="str">
        <f>IF(AND(WSPKN!$AF$189&gt;=75,WSPKN!$AF$189&lt;=83.24),"P","")</f>
        <v/>
      </c>
      <c r="IV30" s="102" t="str">
        <f>IF(AND(WSPKN!$AF$189&gt;=83.25,WSPKN!$AF$189&lt;=91.4),"P","")</f>
        <v/>
      </c>
      <c r="IW30" s="102" t="str">
        <f>IF(AND(WSPKN!$AF$189&gt;=91.5,WSPKN!$AF$189&lt;=100),"P","")</f>
        <v/>
      </c>
      <c r="IX30" t="str">
        <f>IF(WSPKN!$AF$197&lt;74.9,"P","")</f>
        <v/>
      </c>
      <c r="IY30" s="102" t="str">
        <f>IF(AND(WSPKN!$AF$197&gt;=75,WSPKN!$AF$197&lt;=83.24),"P","")</f>
        <v/>
      </c>
      <c r="IZ30" s="102" t="str">
        <f>IF(AND(WSPKN!$AF$197&gt;=83.25,WSPKN!$AF$197&lt;=91.4),"P","")</f>
        <v/>
      </c>
      <c r="JA30" s="102" t="str">
        <f>IF(AND(WSPKN!$AF$197&gt;=91.5,WSPKN!$AF$197&lt;=100),"P","")</f>
        <v/>
      </c>
      <c r="JB30" t="str">
        <f>IF(WSIND!$AF$6&lt;74.9,"P","")</f>
        <v/>
      </c>
      <c r="JC30" s="102" t="str">
        <f>IF(AND(WSIND!$AF$6&gt;=75,WSIND!$AF$6&lt;=83.24),"P","")</f>
        <v/>
      </c>
      <c r="JD30" s="102" t="str">
        <f>IF(AND(WSIND!$AF$6&gt;=83.25,WSIND!$AF$6&lt;=91.4),"P","")</f>
        <v/>
      </c>
      <c r="JE30" s="102" t="str">
        <f>IF(AND(WSIND!$AF$6&gt;=91.5,WSIND!$AF$6&lt;=100),"P","")</f>
        <v/>
      </c>
      <c r="JF30" t="str">
        <f>IF(WSIND!$AF$65&lt;74.9,"P","")</f>
        <v/>
      </c>
      <c r="JG30" s="102" t="str">
        <f>IF(AND(WSIND!$AF$65&gt;=75,WSIND!$AF$65&lt;=83.24),"P","")</f>
        <v/>
      </c>
      <c r="JH30" s="102" t="str">
        <f>IF(AND(WSIND!$AF$65&gt;=83.25,WSIND!$AF$65&lt;=91.4),"P","")</f>
        <v/>
      </c>
      <c r="JI30" s="102" t="str">
        <f>IF(AND(WSIND!$AF$65&gt;=91.5,WSIND!$AF$65&lt;=100),"P","")</f>
        <v/>
      </c>
      <c r="JJ30" t="str">
        <f>IF(WSIND!$AF$113&lt;74.9,"P","")</f>
        <v/>
      </c>
      <c r="JK30" s="102" t="str">
        <f>IF(AND(WSIND!$AF$113&gt;=75,WSIND!$AF$113&lt;=83.24),"P","")</f>
        <v/>
      </c>
      <c r="JL30" s="102" t="str">
        <f>IF(AND(WSIND!$AF$113&gt;=83.25,WSIND!$AF$113&lt;=91.4),"P","")</f>
        <v/>
      </c>
      <c r="JM30" s="102" t="str">
        <f>IF(AND(WSIND!$AF$113&gt;=91.5,WSIND!$AF$113&lt;=100),"P","")</f>
        <v/>
      </c>
      <c r="JN30" t="str">
        <f>IF(WSIND!$AF$133&lt;74.9,"P","")</f>
        <v/>
      </c>
      <c r="JO30" s="102" t="str">
        <f>IF(AND(WSIND!$AF$133&gt;=75,WSIND!$AF$133&lt;=83.24),"P","")</f>
        <v/>
      </c>
      <c r="JP30" s="102" t="str">
        <f>IF(AND(WSIND!$AF$133&gt;=83.25,WSIND!$AF$133&lt;=91.4),"P","")</f>
        <v/>
      </c>
      <c r="JQ30" s="102" t="str">
        <f>IF(AND(WSIND!$AF$133&gt;=91.5,WSIND!$AF$133&lt;=100),"P","")</f>
        <v/>
      </c>
      <c r="JR30" t="str">
        <f>IF(WSIND!$AF$161&lt;74.9,"P","")</f>
        <v/>
      </c>
      <c r="JS30" s="102" t="str">
        <f>IF(AND(WSIND!$AF$161&gt;=75,WSIND!$AF$161&lt;=83.24),"P","")</f>
        <v/>
      </c>
      <c r="JT30" s="102" t="str">
        <f>IF(AND(WSIND!$AF$161&gt;=83.25,WSIND!$AF$161&lt;=91.4),"P","")</f>
        <v/>
      </c>
      <c r="JU30" s="102" t="str">
        <f>IF(AND(WSIND!$AF$161&gt;=91.5,WSIND!$AF$161&lt;=100),"P","")</f>
        <v/>
      </c>
      <c r="JV30" t="str">
        <f>IF(WSIND!$AF$192&lt;74.9,"P","")</f>
        <v/>
      </c>
      <c r="JW30" s="102" t="str">
        <f>IF(AND(WSIND!$AF$192&gt;=75,WSIND!$AF$192&lt;=83.24),"P","")</f>
        <v/>
      </c>
      <c r="JX30" s="102" t="str">
        <f>IF(AND(WSIND!$AF$192&gt;=83.25,WSIND!$AF$192&lt;=91.4),"P","")</f>
        <v/>
      </c>
      <c r="JY30" s="102" t="str">
        <f>IF(AND(WSIND!$AF$192&gt;=91.5,WSIND!$AF$192&lt;=100),"P","")</f>
        <v/>
      </c>
      <c r="JZ30" t="str">
        <f>IF(WSIND!$AF$228&lt;74.9,"P","")</f>
        <v/>
      </c>
      <c r="KA30" s="102" t="str">
        <f>IF(AND(WSIND!$AF$228&gt;=75,WSIND!$AF$228&lt;=83.24),"P","")</f>
        <v/>
      </c>
      <c r="KB30" s="102" t="str">
        <f>IF(AND(WSIND!$AF$228&gt;=83.25,WSIND!$AF$228&lt;=91.4),"P","")</f>
        <v/>
      </c>
      <c r="KC30" s="102" t="str">
        <f>IF(AND(WSIND!$AF$228&gt;=91.5,WSIND!$AF$228&lt;=100),"P","")</f>
        <v/>
      </c>
      <c r="KD30" t="str">
        <f>IF(WSIND!$AF$256&lt;74.9,"P","")</f>
        <v/>
      </c>
      <c r="KE30" s="102" t="str">
        <f>IF(AND(WSIND!$AF$256&gt;=75,WSIND!$AF$256&lt;=83.24),"P","")</f>
        <v/>
      </c>
      <c r="KF30" s="102" t="str">
        <f>IF(AND(WSIND!$AF$256&gt;=83.25,WSIND!$AF$256&lt;=91.4),"P","")</f>
        <v/>
      </c>
      <c r="KG30" s="102" t="str">
        <f>IF(AND(WSIND!$AF$256&gt;=91.5,WSIND!$AF$256&lt;=100),"P","")</f>
        <v/>
      </c>
      <c r="KH30" t="str">
        <f>IF(WSIND!$AF$277&lt;74.9,"P","")</f>
        <v/>
      </c>
      <c r="KI30" s="102" t="str">
        <f>IF(AND(WSIND!$AF$277&gt;=75,WSIND!$AF$277&lt;=83.24),"P","")</f>
        <v/>
      </c>
      <c r="KJ30" s="102" t="str">
        <f>IF(AND(WSIND!$AF$277&gt;=83.25,WSIND!$AF$277&lt;=91.4),"P","")</f>
        <v/>
      </c>
      <c r="KK30" s="102" t="str">
        <f>IF(AND(WSIND!$AF$277&gt;=91.5,WSIND!$AF$277&lt;=100),"P","")</f>
        <v/>
      </c>
      <c r="KL30" t="str">
        <f>IF(WSIND!$AF$305&lt;74.9,"P","")</f>
        <v/>
      </c>
      <c r="KM30" s="102" t="str">
        <f>IF(AND(WSIND!$AF$305&gt;=75,WSIND!$AF$305&lt;=83.24),"P","")</f>
        <v/>
      </c>
      <c r="KN30" s="102" t="str">
        <f>IF(AND(WSIND!$AF$305&gt;=83.25,WSIND!$AF$305&lt;=91.4),"P","")</f>
        <v/>
      </c>
      <c r="KO30" s="102" t="str">
        <f>IF(AND(WSIND!$AF$305&gt;=91.5,WSIND!$AF$305&lt;=100),"P","")</f>
        <v/>
      </c>
      <c r="KP30" t="str">
        <f>IF(WSIND!$AF$329&lt;74.9,"P","")</f>
        <v/>
      </c>
      <c r="KQ30" s="102" t="str">
        <f>IF(AND(WSIND!$AF$329&gt;=75,WSIND!$AF$329&lt;=83.24),"P","")</f>
        <v/>
      </c>
      <c r="KR30" s="102" t="str">
        <f>IF(AND(WSIND!$AF$329&gt;=83.25,WSIND!$AF$329&lt;=91.4),"P","")</f>
        <v/>
      </c>
      <c r="KS30" s="102" t="str">
        <f>IF(AND(WSIND!$AF$329&gt;=91.5,WSIND!$AF$329&lt;=100),"P","")</f>
        <v/>
      </c>
      <c r="KT30" t="str">
        <f>IF(WSIND!$AF$337&lt;74.9,"P","")</f>
        <v/>
      </c>
      <c r="KU30" s="102" t="str">
        <f>IF(AND(WSIND!$AF$337&gt;=75,WSIND!$AF$337&lt;=83.24),"P","")</f>
        <v/>
      </c>
      <c r="KV30" s="102" t="str">
        <f>IF(AND(WSIND!$AF$337&gt;=83.25,WSIND!$AF$337&lt;=91.4),"P","")</f>
        <v/>
      </c>
      <c r="KW30" s="102" t="str">
        <f>IF(AND(WSIND!$AF$337&gt;=91.5,WSIND!$AF$337&lt;=100),"P","")</f>
        <v/>
      </c>
      <c r="KX30" t="str">
        <f>IF(WSIND!$AF$345&lt;74.9,"P","")</f>
        <v/>
      </c>
      <c r="KY30" s="102" t="str">
        <f>IF(AND(WSIND!$AF$345&gt;=75,WSIND!$AF$345&lt;=83.24),"P","")</f>
        <v/>
      </c>
      <c r="KZ30" s="102" t="str">
        <f>IF(AND(WSIND!$AF$345&gt;=83.25,WSIND!$AF$345&lt;=91.4),"P","")</f>
        <v/>
      </c>
      <c r="LA30" s="102" t="str">
        <f>IF(AND(WSIND!$AF$345&gt;=91.5,WSIND!$AF$345&lt;=100),"P","")</f>
        <v/>
      </c>
      <c r="LB30" t="str">
        <f>IF(WSARAB!$AF$6&lt;74.9,"P","")</f>
        <v/>
      </c>
      <c r="LC30" s="102" t="str">
        <f>IF(AND(WSARAB!$AF$6&gt;=75,WSARAB!$AF$6&lt;=83.24),"P","")</f>
        <v/>
      </c>
      <c r="LD30" s="102" t="str">
        <f>IF(AND(WSARAB!$AF$6&gt;=83.25,WSARAB!$AF$6&lt;=91.4),"P","")</f>
        <v/>
      </c>
      <c r="LE30" s="102" t="str">
        <f>IF(AND(WSARAB!$AF$6&gt;=91.5,WSARAB!$AF$6&lt;=100),"P","")</f>
        <v/>
      </c>
      <c r="LF30" t="str">
        <f>IF(WSARAB!$AF$17&lt;74.9,"P","")</f>
        <v/>
      </c>
      <c r="LG30" s="102" t="str">
        <f>IF(AND(WSARAB!$AF$17&gt;=75,WSARAB!$AF$17&lt;=83.24),"P","")</f>
        <v/>
      </c>
      <c r="LH30" s="102" t="str">
        <f>IF(AND(WSARAB!$AF$17&gt;=83.25,WSARAB!$AF$17&lt;=91.4),"P","")</f>
        <v/>
      </c>
      <c r="LI30" s="102" t="str">
        <f>IF(AND(WSARAB!$AF$17&gt;=91.5,WSARAB!$AF$17&lt;=100),"P","")</f>
        <v/>
      </c>
      <c r="LJ30" t="str">
        <f>IF(WSARAB!$AF$29&lt;74.9,"P","")</f>
        <v/>
      </c>
      <c r="LK30" s="102" t="str">
        <f>IF(AND(WSARAB!$AF$29&gt;=75,WSARAB!$AF$29&lt;=83.24),"P","")</f>
        <v/>
      </c>
      <c r="LL30" s="102" t="str">
        <f>IF(AND(WSARAB!$AF$29&gt;=83.25,WSARAB!$AF$29&lt;=91.4),"P","")</f>
        <v/>
      </c>
      <c r="LM30" s="102" t="str">
        <f>IF(AND(WSARAB!$AF$29&gt;=91.5,WSARAB!$AF$29&lt;=100),"P","")</f>
        <v/>
      </c>
      <c r="LN30" t="str">
        <f>IF(WSARAB!$AF$37&lt;74.9,"P","")</f>
        <v/>
      </c>
      <c r="LO30" s="102" t="str">
        <f>IF(AND(WSARAB!$AF$37&gt;=75,WSARAB!$AF$37&lt;=83.24),"P","")</f>
        <v/>
      </c>
      <c r="LP30" s="102" t="str">
        <f>IF(AND(WSARAB!$AF$37&gt;=83.25,WSARAB!$AF$37&lt;=91.4),"P","")</f>
        <v/>
      </c>
      <c r="LQ30" s="102" t="str">
        <f>IF(AND(WSARAB!$AF$37&gt;=91.5,WSARAB!$AF$37&lt;=100),"P","")</f>
        <v/>
      </c>
      <c r="LR30" t="str">
        <f>IF(WSARAB!$AF$45&lt;74.9,"P","")</f>
        <v/>
      </c>
      <c r="LS30" s="102" t="str">
        <f>IF(AND(WSARAB!$AF$45&gt;=75,WSARAB!$AF$45&lt;=83.24),"P","")</f>
        <v/>
      </c>
      <c r="LT30" s="102" t="str">
        <f>IF(AND(WSARAB!$AF$45&gt;=83.25,WSARAB!$AF$45&lt;=91.4),"P","")</f>
        <v/>
      </c>
      <c r="LU30" s="102" t="str">
        <f>IF(AND(WSARAB!$AF$45&gt;=91.5,WSARAB!$AF$45&lt;=100),"P","")</f>
        <v/>
      </c>
      <c r="LV30" t="str">
        <f>IF(WSARAB!$AF$53&lt;74.9,"P","")</f>
        <v/>
      </c>
      <c r="LW30" s="102" t="str">
        <f>IF(AND(WSARAB!$AF$53&gt;=75,WSARAB!$AF$53&lt;=83.24),"P","")</f>
        <v/>
      </c>
      <c r="LX30" s="102" t="str">
        <f>IF(AND(WSARAB!$AF$53&gt;=83.25,WSARAB!$AF$53&lt;=91.4),"P","")</f>
        <v/>
      </c>
      <c r="LY30" s="102" t="str">
        <f>IF(AND(WSARAB!$AF$53&gt;=91.5,WSARAB!$AF$53&lt;=100),"P","")</f>
        <v/>
      </c>
      <c r="LZ30" t="str">
        <f>IF(WSARAB!$AF$65&lt;74.9,"P","")</f>
        <v/>
      </c>
      <c r="MA30" s="102" t="str">
        <f>IF(AND(WSARAB!$AF$65&gt;=75,WSARAB!$AF$65&lt;=83.24),"P","")</f>
        <v/>
      </c>
      <c r="MB30" s="102" t="str">
        <f>IF(AND(WSARAB!$AF$65&gt;=83.25,WSARAB!$AF$65&lt;=91.4),"P","")</f>
        <v/>
      </c>
      <c r="MC30" s="102" t="str">
        <f>IF(AND(WSARAB!$AF$65&gt;=91.5,WSARAB!$AF$65&lt;=100),"P","")</f>
        <v/>
      </c>
      <c r="MD30" t="str">
        <f>IF(WSARAB!$AF$73&lt;74.9,"P","")</f>
        <v/>
      </c>
      <c r="ME30" s="102" t="str">
        <f>IF(AND(WSARAB!$AF$73&gt;=75,WSARAB!$AF$73&lt;=83.24),"P","")</f>
        <v/>
      </c>
      <c r="MF30" s="102" t="str">
        <f>IF(AND(WSARAB!$AF$73&gt;=83.25,WSARAB!$AF$73&lt;=91.4),"P","")</f>
        <v/>
      </c>
      <c r="MG30" s="102" t="str">
        <f>IF(AND(WSARAB!$AF$73&gt;=91.5,WSARAB!$AF$73&lt;=100),"P","")</f>
        <v/>
      </c>
      <c r="MH30" t="str">
        <f>IF(WSARAB!$AF$81&lt;74.9,"P","")</f>
        <v/>
      </c>
      <c r="MI30" s="102" t="str">
        <f>IF(AND(WSARAB!$AF$81&gt;=75,WSARAB!$AF$81&lt;=83.24),"P","")</f>
        <v/>
      </c>
      <c r="MJ30" s="102" t="str">
        <f>IF(AND(WSARAB!$AF$81&gt;=83.25,WSARAB!$AF$81&lt;=91.4),"P","")</f>
        <v/>
      </c>
      <c r="MK30" s="102" t="str">
        <f>IF(AND(WSARAB!$AF$81&gt;=91.5,WSARAB!$AF$81&lt;=100),"P","")</f>
        <v/>
      </c>
      <c r="ML30" t="str">
        <f>IF(WSARAB!$AF$89&lt;74.9,"P","")</f>
        <v/>
      </c>
      <c r="MM30" s="102" t="str">
        <f>IF(AND(WSARAB!$AF$89&gt;=75,WSARAB!$AF$89&lt;=83.24),"P","")</f>
        <v/>
      </c>
      <c r="MN30" s="102" t="str">
        <f>IF(AND(WSARAB!$AF$89&gt;=83.25,WSARAB!$AF$89&lt;=91.4),"P","")</f>
        <v/>
      </c>
      <c r="MO30" s="102" t="str">
        <f>IF(AND(WSARAB!$AF$89&gt;=91.5,WSARAB!$AF$89&lt;=100),"P","")</f>
        <v/>
      </c>
      <c r="MP30" t="str">
        <f>IF(WSARAB!$AF$97&lt;74.9,"P","")</f>
        <v/>
      </c>
      <c r="MQ30" s="102" t="str">
        <f>IF(AND(WSARAB!$AF$97&gt;=75,WSARAB!$AF$97&lt;=83.24),"P","")</f>
        <v/>
      </c>
      <c r="MR30" s="102" t="str">
        <f>IF(AND(WSARAB!$AF$97&gt;=83.25,WSARAB!$AF$97&lt;=91.4),"P","")</f>
        <v/>
      </c>
      <c r="MS30" s="102" t="str">
        <f>IF(AND(WSARAB!$AF$97&gt;=91.5,WSARAB!$AF$97&lt;=100),"P","")</f>
        <v/>
      </c>
      <c r="MT30" t="str">
        <f>IF(WSARAB!$AF$105&lt;74.9,"P","")</f>
        <v/>
      </c>
      <c r="MU30" s="102" t="str">
        <f>IF(AND(WSARAB!$AF$105&gt;=75,WSARAB!$AF$105&lt;=83.24),"P","")</f>
        <v/>
      </c>
      <c r="MV30" s="102" t="str">
        <f>IF(AND(WSARAB!$AF$105&gt;=83.25,WSARAB!$AF$105&lt;=91.4),"P","")</f>
        <v/>
      </c>
      <c r="MW30" s="102" t="str">
        <f>IF(AND(WSARAB!$AF$105&gt;=91.5,WSARAB!$AF$105&lt;=100),"P","")</f>
        <v/>
      </c>
      <c r="MX30" t="str">
        <f>IF(WSARAB!$AF$113&lt;74.9,"P","")</f>
        <v/>
      </c>
      <c r="MY30" s="102" t="str">
        <f>IF(AND(WSARAB!$AF$113&gt;=75,WSARAB!$AF$113&lt;=83.24),"P","")</f>
        <v/>
      </c>
      <c r="MZ30" s="102" t="str">
        <f>IF(AND(WSARAB!$AF$113&gt;=83.25,WSARAB!$AF$113&lt;=91.4),"P","")</f>
        <v/>
      </c>
      <c r="NA30" s="102" t="str">
        <f>IF(AND(WSARAB!$AF$113&gt;=91.5,WSARAB!$AF$113&lt;=100),"P","")</f>
        <v/>
      </c>
      <c r="NB30" t="str">
        <f>IF(WSMTK!$AF$6&lt;74.9,"P","")</f>
        <v/>
      </c>
      <c r="NC30" s="102" t="str">
        <f>IF(AND(WSMTK!$AF$6&gt;=75,WSMTK!$AF$6&lt;=83.24),"P","")</f>
        <v/>
      </c>
      <c r="ND30" s="102" t="str">
        <f>IF(AND(WSMTK!$AF$6&gt;=83.25,WSMTK!$AF$6&lt;=91.4),"P","")</f>
        <v/>
      </c>
      <c r="NE30" s="102" t="str">
        <f>IF(AND(WSMTK!$AF$6&gt;=91.5,WSMTK!$AF$6&lt;=100),"P","")</f>
        <v/>
      </c>
      <c r="NF30" t="str">
        <f>IF(WSMTK!$AF$22&lt;74.9,"P","")</f>
        <v/>
      </c>
      <c r="NG30" s="102" t="str">
        <f>IF(AND(WSMTK!$AF$22&gt;=75,WSMTK!$AF$22&lt;=83.24),"P","")</f>
        <v/>
      </c>
      <c r="NH30" s="102" t="str">
        <f>IF(AND(WSMTK!$AF$22&gt;=83.25,WSMTK!$AF$22&lt;=91.4),"P","")</f>
        <v/>
      </c>
      <c r="NI30" s="102" t="str">
        <f>IF(AND(WSMTK!$AF$22&gt;=91.5,WSMTK!$AF$22&lt;=100),"P","")</f>
        <v/>
      </c>
      <c r="NJ30" t="str">
        <f>IF(WSMTK!$AF$35&lt;74.9,"P","")</f>
        <v/>
      </c>
      <c r="NK30" s="102" t="str">
        <f>IF(AND(WSMTK!$AF$35&gt;=75,WSMTK!$AF$35&lt;=83.24),"P","")</f>
        <v/>
      </c>
      <c r="NL30" s="102" t="str">
        <f>IF(AND(WSMTK!$AF$35&gt;=83.25,WSMTK!$AF$35&lt;=91.4),"P","")</f>
        <v/>
      </c>
      <c r="NM30" s="102" t="str">
        <f>IF(AND(WSMTK!$AF$35&gt;=91.5,WSMTK!$AF$35&lt;=100),"P","")</f>
        <v/>
      </c>
      <c r="NN30" t="str">
        <f>IF(WSMTK!$AF$69&lt;74.9,"P","")</f>
        <v/>
      </c>
      <c r="NO30" s="102" t="str">
        <f>IF(AND(WSMTK!$AF$69&gt;=75,WSMTK!$AF$69&lt;=83.24),"P","")</f>
        <v/>
      </c>
      <c r="NP30" s="102" t="str">
        <f>IF(AND(WSMTK!$AF$69&gt;=83.25,WSMTK!$AF$69&lt;=91.4),"P","")</f>
        <v/>
      </c>
      <c r="NQ30" s="102" t="str">
        <f>IF(AND(WSMTK!$AF$69&gt;=91.5,WSMTK!$AF$69&lt;=100),"P","")</f>
        <v/>
      </c>
      <c r="NR30" t="str">
        <f>IF(WSMTK!$AF$87&lt;74.9,"P","")</f>
        <v/>
      </c>
      <c r="NS30" s="102" t="str">
        <f>IF(AND(WSMTK!$AF$87&gt;=75,WSMTK!$AF$87&lt;=83.24),"P","")</f>
        <v/>
      </c>
      <c r="NT30" s="102" t="str">
        <f>IF(AND(WSMTK!$AF$87&gt;=83.25,WSMTK!$AF$87&lt;=91.4),"P","")</f>
        <v/>
      </c>
      <c r="NU30" s="102" t="str">
        <f>IF(AND(WSMTK!$AF$87&gt;=91.5,WSMTK!$AF$87&lt;=100),"P","")</f>
        <v/>
      </c>
      <c r="NV30" t="str">
        <f>IF(WSMTK!$AF$99&lt;74.9,"P","")</f>
        <v/>
      </c>
      <c r="NW30" s="102" t="str">
        <f>IF(AND(WSMTK!$AF$99&gt;=75,WSMTK!$AF$99&lt;=83.24),"P","")</f>
        <v/>
      </c>
      <c r="NX30" s="102" t="str">
        <f>IF(AND(WSMTK!$AF$99&gt;=83.25,WSMTK!$AF$99&lt;=91.4),"P","")</f>
        <v/>
      </c>
      <c r="NY30" s="102" t="str">
        <f>IF(AND(WSMTK!$AF$99&gt;=91.5,WSMTK!$AF$99&lt;=100),"P","")</f>
        <v/>
      </c>
      <c r="NZ30" t="str">
        <f>IF(WSMTK!$AF$113&lt;74.9,"P","")</f>
        <v/>
      </c>
      <c r="OA30" s="102" t="str">
        <f>IF(AND(WSMTK!$AF$113&gt;=75,WSMTK!$AF$113&lt;=83.24),"P","")</f>
        <v/>
      </c>
      <c r="OB30" s="102" t="str">
        <f>IF(AND(WSMTK!$AF$113&gt;=83.25,WSMTK!$AF$113&lt;=91.4),"P","")</f>
        <v/>
      </c>
      <c r="OC30" s="102" t="str">
        <f>IF(AND(WSMTK!$AF$113&gt;=91.5,WSMTK!$AF$113&lt;=100),"P","")</f>
        <v/>
      </c>
      <c r="OD30" t="str">
        <f>IF(WSMTK!$AF$145&lt;74.9,"P","")</f>
        <v/>
      </c>
      <c r="OE30" s="102" t="str">
        <f>IF(AND(WSMTK!$AF$145&gt;=75,WSMTK!$AF$145&lt;=83.24),"P","")</f>
        <v/>
      </c>
      <c r="OF30" s="102" t="str">
        <f>IF(AND(WSMTK!$AF$145&gt;=83.25,WSMTK!$AF$145&lt;=91.4),"P","")</f>
        <v/>
      </c>
      <c r="OG30" s="102" t="str">
        <f>IF(AND(WSMTK!$AF$145&gt;=91.5,WSMTK!$AF$145&lt;=100),"P","")</f>
        <v/>
      </c>
      <c r="OH30" t="str">
        <f>IF(WSMTK!$AF$168&lt;74.9,"P","")</f>
        <v/>
      </c>
      <c r="OI30" s="102" t="str">
        <f>IF(AND(WSMTK!$AF$168&gt;=75,WSMTK!$AF$168&lt;=83.24),"P","")</f>
        <v/>
      </c>
      <c r="OJ30" s="102" t="str">
        <f>IF(AND(WSMTK!$AF$168&gt;=83.25,WSMTK!$AF$168&lt;=91.4),"P","")</f>
        <v/>
      </c>
      <c r="OK30" s="102" t="str">
        <f>IF(AND(WSMTK!$AF$168&gt;=91.5,WSMTK!$AF$168&lt;=100),"P","")</f>
        <v/>
      </c>
      <c r="OL30" t="str">
        <f>IF(WSMTK!$AF$176&lt;74.9,"P","")</f>
        <v/>
      </c>
      <c r="OM30" s="102" t="str">
        <f>IF(AND(WSMTK!$AF$176&gt;=75,WSMTK!$AF$176&lt;=83.24),"P","")</f>
        <v/>
      </c>
      <c r="ON30" s="102" t="str">
        <f>IF(AND(WSMTK!$AF$176&gt;=83.25,WSMTK!$AF$176&lt;=91.4),"P","")</f>
        <v/>
      </c>
      <c r="OO30" s="102" t="str">
        <f>IF(AND(WSMTK!$AF$176&gt;=91.5,WSMTK!$AF$176&lt;=100),"P","")</f>
        <v/>
      </c>
      <c r="OP30" t="str">
        <f>IF(WSMTK!$AF$184&lt;74.9,"P","")</f>
        <v/>
      </c>
      <c r="OQ30" s="102" t="str">
        <f>IF(AND(WSMTK!$AF$184&gt;=75,WSMTK!$AF$184&lt;=83.24),"P","")</f>
        <v/>
      </c>
      <c r="OR30" s="102" t="str">
        <f>IF(AND(WSMTK!$AF$184&gt;=83.25,WSMTK!$AF$184&lt;=91.4),"P","")</f>
        <v/>
      </c>
      <c r="OS30" s="102" t="str">
        <f>IF(AND(WSMTK!$AF$184&gt;=91.5,WSMTK!$AF$184&lt;=100),"P","")</f>
        <v/>
      </c>
      <c r="OT30" t="str">
        <f>IF(WSMTK!$AF$192&lt;74.9,"P","")</f>
        <v/>
      </c>
      <c r="OU30" s="102" t="str">
        <f>IF(AND(WSMTK!$AF$192&gt;=75,WSMTK!$AF$192&lt;=83.24),"P","")</f>
        <v/>
      </c>
      <c r="OV30" s="102" t="str">
        <f>IF(AND(WSMTK!$AF$192&gt;=83.25,WSMTK!$AF$192&lt;=91.4),"P","")</f>
        <v/>
      </c>
      <c r="OW30" s="102" t="str">
        <f>IF(AND(WSMTK!$AF$192&gt;=91.5,WSMTK!$AF$192&lt;=100),"P","")</f>
        <v/>
      </c>
      <c r="OX30" t="str">
        <f>IF(WSMTK!$AF$200&lt;74.9,"P","")</f>
        <v/>
      </c>
      <c r="OY30" s="102" t="str">
        <f>IF(AND(WSMTK!$AF$200&gt;=75,WSMTK!$AF$200&lt;=83.24),"P","")</f>
        <v/>
      </c>
      <c r="OZ30" s="102" t="str">
        <f>IF(AND(WSMTK!$AF$200&gt;=83.25,WSMTK!$AF$200&lt;=91.4),"P","")</f>
        <v/>
      </c>
      <c r="PA30" s="102" t="str">
        <f>IF(AND(WSMTK!$AF$200&gt;=91.5,WSMTK!$AF$200&lt;=100),"P","")</f>
        <v/>
      </c>
      <c r="PB30" t="str">
        <f>IF(WSIPA!$AF$6&lt;74.9,"P","")</f>
        <v/>
      </c>
      <c r="PC30" s="102" t="str">
        <f>IF(AND(WSIPA!$AF$6&gt;=75,WSIPA!$AF$6&lt;=83.24),"P","")</f>
        <v/>
      </c>
      <c r="PD30" s="102" t="str">
        <f>IF(AND(WSIPA!$AF$6&gt;=83.25,WSIPA!$AF$6&lt;=91.4),"P","")</f>
        <v/>
      </c>
      <c r="PE30" s="102" t="str">
        <f>IF(AND(WSIPA!$AF$6&gt;=91.5,WSIPA!$AF$6&lt;=100),"P","")</f>
        <v/>
      </c>
      <c r="PF30" t="str">
        <f>IF(WSIPA!$AF$14&lt;74.9,"P","")</f>
        <v/>
      </c>
      <c r="PG30" s="102" t="str">
        <f>IF(AND(WSIPA!$AF$14&gt;=75,WSIPA!$AF$14&lt;=83.24),"P","")</f>
        <v/>
      </c>
      <c r="PH30" s="102" t="str">
        <f>IF(AND(WSIPA!$AF$14&gt;=83.25,WSIPA!$AF$14&lt;=91.4),"P","")</f>
        <v/>
      </c>
      <c r="PI30" s="102" t="str">
        <f>IF(AND(WSIPA!$AF$14&gt;=91.5,WSIPA!$AF$14&lt;=100),"P","")</f>
        <v/>
      </c>
      <c r="PJ30" t="str">
        <f>IF(WSIPA!$AF$22&lt;74.9,"P","")</f>
        <v/>
      </c>
      <c r="PK30" s="102" t="str">
        <f>IF(AND(WSIPA!$AF$22&gt;=75,WSIPA!$AF$22&lt;=83.24),"P","")</f>
        <v/>
      </c>
      <c r="PL30" s="102" t="str">
        <f>IF(AND(WSIPA!$AF$22&gt;=83.25,WSIPA!$AF$22&lt;=91.4),"P","")</f>
        <v/>
      </c>
      <c r="PM30" s="102" t="str">
        <f>IF(AND(WSIPA!$AF$22&gt;=91.5,WSIPA!$AF$22&lt;=100),"P","")</f>
        <v/>
      </c>
      <c r="PN30" t="str">
        <f>IF(WSIPA!$AF$30&lt;74.9,"P","")</f>
        <v/>
      </c>
      <c r="PO30" s="102" t="str">
        <f>IF(AND(WSIPA!$AF$30&gt;=75,WSIPA!$AF$30&lt;=83.24),"P","")</f>
        <v/>
      </c>
      <c r="PP30" s="102" t="str">
        <f>IF(AND(WSIPA!$AF$30&gt;=83.25,WSIPA!$AF$30&lt;=91.4),"P","")</f>
        <v/>
      </c>
      <c r="PQ30" s="102" t="str">
        <f>IF(AND(WSIPA!$AF$30&gt;=91.5,WSIPA!$AF$30&lt;=100),"P","")</f>
        <v/>
      </c>
      <c r="PR30" t="str">
        <f>IF(WSIPA!$AF$38&lt;74.9,"P","")</f>
        <v/>
      </c>
      <c r="PS30" s="102" t="str">
        <f>IF(AND(WSIPA!$AF$38&gt;=75,WSIPA!$AF$38&lt;=83.24),"P","")</f>
        <v/>
      </c>
      <c r="PT30" s="102" t="str">
        <f>IF(AND(WSIPA!$AF$38&gt;=83.25,WSIPA!$AF$38&lt;=91.4),"P","")</f>
        <v/>
      </c>
      <c r="PU30" s="102" t="str">
        <f>IF(AND(WSIPA!$AF$38&gt;=91.5,WSIPA!$AF$38&lt;=100),"P","")</f>
        <v/>
      </c>
      <c r="PV30" t="str">
        <f>IF(WSIPA!$AF$46&lt;74.9,"P","")</f>
        <v/>
      </c>
      <c r="PW30" s="102" t="str">
        <f>IF(AND(WSIPA!$AF$46&gt;=75,WSIPA!$AF$46&lt;=83.24),"P","")</f>
        <v/>
      </c>
      <c r="PX30" s="102" t="str">
        <f>IF(AND(WSIPA!$AF$46&gt;=83.25,WSIPA!$AF$46&lt;=91.4),"P","")</f>
        <v/>
      </c>
      <c r="PY30" s="102" t="str">
        <f>IF(AND(WSIPA!$AF$46&gt;=91.5,WSIPA!$AF$46&lt;=100),"P","")</f>
        <v/>
      </c>
      <c r="PZ30" t="str">
        <f>IF(WSIPA!$AF$54&lt;74.9,"P","")</f>
        <v/>
      </c>
      <c r="QA30" s="102" t="str">
        <f>IF(AND(WSIPA!$AF$54&gt;=75,WSIPA!$AF$54&lt;=83.24),"P","")</f>
        <v/>
      </c>
      <c r="QB30" s="102" t="str">
        <f>IF(AND(WSIPA!$AF$54&gt;=83.25,WSIPA!$AF$54&lt;=91.4),"P","")</f>
        <v/>
      </c>
      <c r="QC30" s="102" t="str">
        <f>IF(AND(WSIPA!$AF$54&gt;=91.5,WSIPA!$AF$54&lt;=100),"P","")</f>
        <v/>
      </c>
      <c r="QD30" t="str">
        <f>IF(WSIPA!$AF$62&lt;74.9,"P","")</f>
        <v/>
      </c>
      <c r="QE30" s="102" t="str">
        <f>IF(AND(WSIPA!$AF$62&gt;=75,WSIPA!$AF$62&lt;=83.24),"P","")</f>
        <v/>
      </c>
      <c r="QF30" s="102" t="str">
        <f>IF(AND(WSIPA!$AF$62&gt;=83.25,WSIPA!$AF$62&lt;=91.4),"P","")</f>
        <v/>
      </c>
      <c r="QG30" s="102" t="str">
        <f>IF(AND(WSIPA!$AF$62&gt;=91.5,WSIPA!$AF$62&lt;=100),"P","")</f>
        <v/>
      </c>
      <c r="QH30" t="str">
        <f>IF(WSIPA!$AF$70&lt;74.9,"P","")</f>
        <v/>
      </c>
      <c r="QI30" s="102" t="str">
        <f>IF(AND(WSIPA!$AF$70&gt;=75,WSIPA!$AF$70&lt;=83.24),"P","")</f>
        <v/>
      </c>
      <c r="QJ30" s="102" t="str">
        <f>IF(AND(WSIPA!$AF$70&gt;=83.25,WSIPA!$AF$70&lt;=91.4),"P","")</f>
        <v/>
      </c>
      <c r="QK30" s="102" t="str">
        <f>IF(AND(WSIPA!$AF$70&gt;=91.5,WSIPA!$AF$70&lt;=100),"P","")</f>
        <v/>
      </c>
      <c r="QL30" t="str">
        <f>IF(WSIPA!$AF$78&lt;74.9,"P","")</f>
        <v/>
      </c>
      <c r="QM30" s="102" t="str">
        <f>IF(AND(WSIPA!$AF$78&gt;=75,WSIPA!$AF$78&lt;=83.24),"P","")</f>
        <v/>
      </c>
      <c r="QN30" s="102" t="str">
        <f>IF(AND(WSIPA!$AF$78&gt;=83.25,WSIPA!$AF$78&lt;=91.4),"P","")</f>
        <v/>
      </c>
      <c r="QO30" s="102" t="str">
        <f>IF(AND(WSIPA!$AF$78&gt;=91.5,WSIPA!$AF$78&lt;=100),"P","")</f>
        <v/>
      </c>
      <c r="QP30" t="str">
        <f>IF(WSIPA!$AF$86&lt;74.9,"P","")</f>
        <v/>
      </c>
      <c r="QQ30" s="102" t="str">
        <f>IF(AND(WSIPA!$AF$86&gt;=75,WSIPA!$AF$86&lt;=83.24),"P","")</f>
        <v/>
      </c>
      <c r="QR30" s="102" t="str">
        <f>IF(AND(WSIPA!$AF$86&gt;=83.25,WSIPA!$AF$86&lt;=91.4),"P","")</f>
        <v/>
      </c>
      <c r="QS30" s="102" t="str">
        <f>IF(AND(WSIPA!$AF$86&gt;=91.5,WSIPA!$AF$86&lt;=100),"P","")</f>
        <v/>
      </c>
      <c r="QT30" t="str">
        <f>IF(WSIPA!$AF$94&lt;74.9,"P","")</f>
        <v/>
      </c>
      <c r="QU30" s="102" t="str">
        <f>IF(AND(WSIPA!$AF$94&gt;=75,WSIPA!$AF$94&lt;=83.24),"P","")</f>
        <v/>
      </c>
      <c r="QV30" s="102" t="str">
        <f>IF(AND(WSIPA!$AF$94&gt;=83.25,WSIPA!$AF$94&lt;=91.4),"P","")</f>
        <v/>
      </c>
      <c r="QW30" s="102" t="str">
        <f>IF(AND(WSIPA!$AF$94&gt;=91.5,WSIPA!$AF$94&lt;=100),"P","")</f>
        <v/>
      </c>
      <c r="QX30" t="str">
        <f>IF(WSIPA!$AF$102&lt;74.9,"P","")</f>
        <v/>
      </c>
      <c r="QY30" s="102" t="str">
        <f>IF(AND(WSIPA!$AF$102&gt;=75,WSIPA!$AF$102&lt;=83.24),"P","")</f>
        <v/>
      </c>
      <c r="QZ30" s="102" t="str">
        <f>IF(AND(WSIPA!$AF$102&gt;=83.25,WSIPA!$AF$102&lt;=91.4),"P","")</f>
        <v/>
      </c>
      <c r="RA30" s="102" t="str">
        <f>IF(AND(WSIPA!$AF$102&gt;=91.5,WSIPA!$AF$102&lt;=100),"P","")</f>
        <v/>
      </c>
      <c r="RB30" t="str">
        <f>IF(WSIPS!$AF$6&lt;74.9,"P","")</f>
        <v/>
      </c>
      <c r="RC30" s="102" t="str">
        <f>IF(AND(WSIPS!$AF$6&gt;=75,WSIPS!$AF$6&lt;=83.24),"P","")</f>
        <v/>
      </c>
      <c r="RD30" s="102" t="str">
        <f>IF(AND(WSIPS!$AF$6&gt;=83.25,WSIPS!$AF$6&lt;=91.4),"P","")</f>
        <v/>
      </c>
      <c r="RE30" s="102" t="str">
        <f>IF(AND(WSIPS!$AF$6&gt;=91.5,WSIPS!$AF$6&lt;=100),"P","")</f>
        <v/>
      </c>
      <c r="RF30" t="str">
        <f>IF(WSIPS!$AF$14&lt;74.9,"P","")</f>
        <v/>
      </c>
      <c r="RG30" s="102" t="str">
        <f>IF(AND(WSIPS!$AF$14&gt;=75,WSIPS!$AF$14&lt;=83.24),"P","")</f>
        <v/>
      </c>
      <c r="RH30" s="102" t="str">
        <f>IF(AND(WSIPS!$AF$14&gt;=83.25,WSIPS!$AF$14&lt;=91.4),"P","")</f>
        <v/>
      </c>
      <c r="RI30" s="102" t="str">
        <f>IF(AND(WSIPS!$AF$14&gt;=91.5,WSIPS!$AF$14&lt;=100),"P","")</f>
        <v/>
      </c>
      <c r="RJ30" t="str">
        <f>IF(WSIPS!$AF$22&lt;74.9,"P","")</f>
        <v/>
      </c>
      <c r="RK30" s="102" t="str">
        <f>IF(AND(WSIPS!$AF$22&gt;=75,WSIPS!$AF$22&lt;=83.24),"P","")</f>
        <v/>
      </c>
      <c r="RL30" s="102" t="str">
        <f>IF(AND(WSIPS!$AF$22&gt;=83.25,WSIPS!$AF$22&lt;=91.4),"P","")</f>
        <v/>
      </c>
      <c r="RM30" s="102" t="str">
        <f>IF(AND(WSIPS!$AF$22&gt;=91.5,WSIPS!$AF$22&lt;=100),"P","")</f>
        <v/>
      </c>
      <c r="RN30" t="str">
        <f>IF(WSIPS!$AF$30&lt;74.9,"P","")</f>
        <v/>
      </c>
      <c r="RO30" s="102" t="str">
        <f>IF(AND(WSIPS!$AF$30&gt;=75,WSIPS!$AF$30&lt;=83.24),"P","")</f>
        <v/>
      </c>
      <c r="RP30" s="102" t="str">
        <f>IF(AND(WSIPS!$AF$30&gt;=83.25,WSIPS!$AF$30&lt;=91.4),"P","")</f>
        <v/>
      </c>
      <c r="RQ30" s="102" t="str">
        <f>IF(AND(WSIPS!$AF$30&gt;=91.5,WSIPS!$AF$30&lt;=100),"P","")</f>
        <v/>
      </c>
      <c r="RR30" t="str">
        <f>IF(WSIPS!$AF$38&lt;74.9,"P","")</f>
        <v/>
      </c>
      <c r="RS30" s="102" t="str">
        <f>IF(AND(WSIPS!$AF$38&gt;=75,WSIPS!$AF$38&lt;=83.24),"P","")</f>
        <v/>
      </c>
      <c r="RT30" s="102" t="str">
        <f>IF(AND(WSIPS!$AF$38&gt;=83.25,WSIPS!$AF$38&lt;=91.4),"P","")</f>
        <v/>
      </c>
      <c r="RU30" s="102" t="str">
        <f>IF(AND(WSIPS!$AF$38&gt;=91.5,WSIPS!$AF$38&lt;=100),"P","")</f>
        <v/>
      </c>
      <c r="RV30" t="str">
        <f>IF(WSIPS!$AF$46&lt;74.9,"P","")</f>
        <v/>
      </c>
      <c r="RW30" s="102" t="str">
        <f>IF(AND(WSIPS!$AF$46&gt;=75,WSIPS!$AF$46&lt;=83.24),"P","")</f>
        <v/>
      </c>
      <c r="RX30" s="102" t="str">
        <f>IF(AND(WSIPS!$AF$46&gt;=83.25,WSIPS!$AF$46&lt;=91.4),"P","")</f>
        <v/>
      </c>
      <c r="RY30" s="102" t="str">
        <f>IF(AND(WSIPS!$AF$46&gt;=91.5,WSIPS!$AF$46&lt;=100),"P","")</f>
        <v/>
      </c>
      <c r="RZ30" t="str">
        <f>IF(WSIPS!$AF$54&lt;74.9,"P","")</f>
        <v/>
      </c>
      <c r="SA30" s="102" t="str">
        <f>IF(AND(WSIPS!$AF$54&gt;=75,WSIPS!$AF$54&lt;=83.24),"P","")</f>
        <v/>
      </c>
      <c r="SB30" s="102" t="str">
        <f>IF(AND(WSIPS!$AF$54&gt;=83.25,WSIPS!$AF$54&lt;=91.4),"P","")</f>
        <v/>
      </c>
      <c r="SC30" s="102" t="str">
        <f>IF(AND(WSIPS!$AF$54&gt;=91.5,WSIPS!$AF$54&lt;=100),"P","")</f>
        <v/>
      </c>
      <c r="SD30" t="str">
        <f>IF(WSIPS!$AF$62&lt;74.9,"P","")</f>
        <v/>
      </c>
      <c r="SE30" s="102" t="str">
        <f>IF(AND(WSIPS!$AF$62&gt;=75,WSIPS!$AF$62&lt;=83.24),"P","")</f>
        <v/>
      </c>
      <c r="SF30" s="102" t="str">
        <f>IF(AND(WSIPS!$AF$62&gt;=83.25,WSIPS!$AF$62&lt;=91.4),"P","")</f>
        <v/>
      </c>
      <c r="SG30" s="102" t="str">
        <f>IF(AND(WSIPS!$AF$62&gt;=91.5,WSIPS!$AF$62&lt;=100),"P","")</f>
        <v/>
      </c>
      <c r="SH30" t="str">
        <f>IF(WSIPS!$AF$70&lt;74.9,"P","")</f>
        <v/>
      </c>
      <c r="SI30" s="102" t="str">
        <f>IF(AND(WSIPS!$AF$70&gt;=75,WSIPS!$AF$70&lt;=83.24),"P","")</f>
        <v/>
      </c>
      <c r="SJ30" s="102" t="str">
        <f>IF(AND(WSIPS!$AF$70&gt;=83.25,WSIPS!$AF$70&lt;=91.4),"P","")</f>
        <v/>
      </c>
      <c r="SK30" s="102" t="str">
        <f>IF(AND(WSIPS!$AF$70&gt;=91.5,WSIPS!$AF$70&lt;=100),"P","")</f>
        <v/>
      </c>
      <c r="SL30" t="str">
        <f>IF(WSIPS!$AF$78&lt;74.9,"P","")</f>
        <v/>
      </c>
      <c r="SM30" s="102" t="str">
        <f>IF(AND(WSIPS!$AF$78&gt;=75,WSIPS!$AF$78&lt;=83.24),"P","")</f>
        <v/>
      </c>
      <c r="SN30" s="102" t="str">
        <f>IF(AND(WSIPS!$AF$78&gt;=83.25,WSIPS!$AF$78&lt;=91.4),"P","")</f>
        <v/>
      </c>
      <c r="SO30" s="102" t="str">
        <f>IF(AND(WSIPS!$AF$78&gt;=91.5,WSIPS!$AF$78&lt;=100),"P","")</f>
        <v/>
      </c>
      <c r="SP30" t="str">
        <f>IF(WSIPS!$AF$86&lt;74.9,"P","")</f>
        <v/>
      </c>
      <c r="SQ30" s="102" t="str">
        <f>IF(AND(WSIPS!$AF$86&gt;=75,WSIPS!$AF$86&lt;=83.24),"P","")</f>
        <v/>
      </c>
      <c r="SR30" s="102" t="str">
        <f>IF(AND(WSIPS!$AF$86&gt;=83.25,WSIPS!$AF$86&lt;=91.4),"P","")</f>
        <v/>
      </c>
      <c r="SS30" s="102" t="str">
        <f>IF(AND(WSIPS!$AF$86&gt;=91.5,WSIPS!$AF$86&lt;=100),"P","")</f>
        <v/>
      </c>
      <c r="ST30" t="str">
        <f>IF(WSIPS!$AF$94&lt;74.9,"P","")</f>
        <v/>
      </c>
      <c r="SU30" s="102" t="str">
        <f>IF(AND(WSIPS!$AF$94&gt;=75,WSIPS!$AF$94&lt;=83.24),"P","")</f>
        <v/>
      </c>
      <c r="SV30" s="102" t="str">
        <f>IF(AND(WSIPS!$AF$94&gt;=83.25,WSIPS!$AF$94&lt;=91.4),"P","")</f>
        <v/>
      </c>
      <c r="SW30" s="102" t="str">
        <f>IF(AND(WSIPS!$AF$94&gt;=91.5,WSIPS!$AF$94&lt;=100),"P","")</f>
        <v/>
      </c>
      <c r="SX30" t="str">
        <f>IF(WSIPS!$AF$102&lt;74.9,"P","")</f>
        <v/>
      </c>
      <c r="SY30" s="102" t="str">
        <f>IF(AND(WSIPS!$AF$102&gt;=75,WSIPS!$AF$102&lt;=83.24),"P","")</f>
        <v/>
      </c>
      <c r="SZ30" s="102" t="str">
        <f>IF(AND(WSIPS!$AF$102&gt;=83.25,WSIPS!$AF$102&lt;=91.4),"P","")</f>
        <v/>
      </c>
      <c r="TA30" s="102" t="str">
        <f>IF(AND(WSIPS!$AF$102&gt;=91.5,WSIPS!$AF$102&lt;=100),"P","")</f>
        <v/>
      </c>
      <c r="TB30" t="str">
        <f>IF(WSSBK!$AF$6&lt;74.9,"P","")</f>
        <v/>
      </c>
      <c r="TC30" s="102" t="str">
        <f>IF(AND(WSSBK!$AF$6&gt;=75,WSSBK!$AF$6&lt;=83.24),"P","")</f>
        <v/>
      </c>
      <c r="TD30" s="102" t="str">
        <f>IF(AND(WSSBK!$AF$6&gt;=83.25,WSSBK!$AF$6&lt;=91.4),"P","")</f>
        <v/>
      </c>
      <c r="TE30" s="102" t="str">
        <f>IF(AND(WSSBK!$AF$6&gt;=91.5,WSSBK!$AF$6&lt;=100),"P","")</f>
        <v/>
      </c>
      <c r="TF30" t="str">
        <f>IF(WSSBK!$AF$16&lt;74.9,"P","")</f>
        <v/>
      </c>
      <c r="TG30" s="102" t="str">
        <f>IF(AND(WSSBK!$AF$16&gt;=75,WSSBK!$AF$16&lt;=83.24),"P","")</f>
        <v/>
      </c>
      <c r="TH30" s="102" t="str">
        <f>IF(AND(WSSBK!$AF$16&gt;=83.25,WSSBK!$AF$16&lt;=91.4),"P","")</f>
        <v/>
      </c>
      <c r="TI30" s="102" t="str">
        <f>IF(AND(WSSBK!$AF$16&gt;=91.5,WSSBK!$AF$16&lt;=100),"P","")</f>
        <v/>
      </c>
      <c r="TJ30" t="str">
        <f>IF(WSSBK!$AF$26&lt;74.9,"P","")</f>
        <v/>
      </c>
      <c r="TK30" s="102" t="str">
        <f>IF(AND(WSSBK!$AF$26&gt;=75,WSSBK!$AF$26&lt;=83.24),"P","")</f>
        <v/>
      </c>
      <c r="TL30" s="102" t="str">
        <f>IF(AND(WSSBK!$AF$26&gt;=83.25,WSSBK!$AF$26&lt;=91.4),"P","")</f>
        <v/>
      </c>
      <c r="TM30" s="102" t="str">
        <f>IF(AND(WSSBK!$AF$26&gt;=91.5,WSSBK!$AF$26&lt;=100),"P","")</f>
        <v/>
      </c>
      <c r="TN30" t="str">
        <f>IF(WSSBK!$AF$36&lt;74.9,"P","")</f>
        <v/>
      </c>
      <c r="TO30" s="102" t="str">
        <f>IF(AND(WSSBK!$AF$36&gt;=75,WSSBK!$AF$36&lt;=83.24),"P","")</f>
        <v/>
      </c>
      <c r="TP30" s="102" t="str">
        <f>IF(AND(WSSBK!$AF$36&gt;=83.25,WSSBK!$AF$36&lt;=91.4),"P","")</f>
        <v/>
      </c>
      <c r="TQ30" s="102" t="str">
        <f>IF(AND(WSSBK!$AF$36&gt;=91.5,WSSBK!$AF$36&lt;=100),"P","")</f>
        <v/>
      </c>
      <c r="TR30" t="str">
        <f>IF(WSSBK!$AF$46&lt;74.9,"P","")</f>
        <v/>
      </c>
      <c r="TS30" s="102" t="str">
        <f>IF(AND(WSSBK!$AF$46&gt;=75,WSSBK!$AF$46&lt;=83.24),"P","")</f>
        <v/>
      </c>
      <c r="TT30" s="102" t="str">
        <f>IF(AND(WSSBK!$AF$46&gt;=83.25,WSSBK!$AF$46&lt;=91.4),"P","")</f>
        <v/>
      </c>
      <c r="TU30" s="102" t="str">
        <f>IF(AND(WSSBK!$AF$46&gt;=91.5,WSSBK!$AF$46&lt;=100),"P","")</f>
        <v/>
      </c>
      <c r="TV30" t="str">
        <f>IF(WSSBK!$AF$58&lt;74.9,"P","")</f>
        <v/>
      </c>
      <c r="TW30" s="102" t="str">
        <f>IF(AND(WSSBK!$AF$58&gt;=75,WSSBK!$AF$58&lt;=83.24),"P","")</f>
        <v/>
      </c>
      <c r="TX30" s="102" t="str">
        <f>IF(AND(WSSBK!$AF$58&gt;=83.25,WSSBK!$AF$58&lt;=91.4),"P","")</f>
        <v/>
      </c>
      <c r="TY30" s="102" t="str">
        <f>IF(AND(WSSBK!$AF$58&gt;=91.5,WSSBK!$AF$58&lt;=100),"P","")</f>
        <v/>
      </c>
      <c r="TZ30" t="str">
        <f>IF(WSSBK!$AF$68&lt;74.9,"P","")</f>
        <v/>
      </c>
      <c r="UA30" s="102" t="str">
        <f>IF(AND(WSSBK!$AF$68&gt;=75,WSSBK!$AF$68&lt;=83.24),"P","")</f>
        <v/>
      </c>
      <c r="UB30" s="102" t="str">
        <f>IF(AND(WSSBK!$AF$68&gt;=83.25,WSSBK!$AF$68&lt;=91.4),"P","")</f>
        <v/>
      </c>
      <c r="UC30" s="102" t="str">
        <f>IF(AND(WSSBK!$AF$68&gt;=91.5,WSSBK!$AF$68&lt;=100),"P","")</f>
        <v/>
      </c>
      <c r="UD30" t="str">
        <f>IF(WSSBK!$AF$77&lt;74.9,"P","")</f>
        <v/>
      </c>
      <c r="UE30" s="102" t="str">
        <f>IF(AND(WSSBK!$AF$77&gt;=75,WSSBK!$AF$77&lt;=83.24),"P","")</f>
        <v/>
      </c>
      <c r="UF30" s="102" t="str">
        <f>IF(AND(WSSBK!$AF$77&gt;=83.25,WSSBK!$AF$77&lt;=91.4),"P","")</f>
        <v/>
      </c>
      <c r="UG30" s="102" t="str">
        <f>IF(AND(WSSBK!$AF$77&gt;=91.5,WSSBK!$AF$77&lt;=100),"P","")</f>
        <v/>
      </c>
      <c r="UH30" t="str">
        <f>IF(WSSBK!$AF$87&lt;74.9,"P","")</f>
        <v/>
      </c>
      <c r="UI30" s="102" t="str">
        <f>IF(AND(WSSBK!$AF$87&gt;=75,WSSBK!$AF$87&lt;=83.24),"P","")</f>
        <v/>
      </c>
      <c r="UJ30" s="102" t="str">
        <f>IF(AND(WSSBK!$AF$87&gt;=83.25,WSSBK!$AF$87&lt;=91.4),"P","")</f>
        <v/>
      </c>
      <c r="UK30" s="102" t="str">
        <f>IF(AND(WSSBK!$AF$87&gt;=91.5,WSSBK!$AF$87&lt;=100),"P","")</f>
        <v/>
      </c>
      <c r="UL30" t="str">
        <f>IF(WSSBK!$AF$95&lt;74.9,"P","")</f>
        <v/>
      </c>
      <c r="UM30" s="102" t="str">
        <f>IF(AND(WSSBK!$AF$95&gt;=75,WSSBK!$AF$95&lt;=83.24),"P","")</f>
        <v/>
      </c>
      <c r="UN30" s="102" t="str">
        <f>IF(AND(WSSBK!$AF$95&gt;=83.25,WSSBK!$AF$95&lt;=91.4),"P","")</f>
        <v/>
      </c>
      <c r="UO30" s="102" t="str">
        <f>IF(AND(WSSBK!$AF$95&gt;=91.5,WSSBK!$AF$95&lt;=100),"P","")</f>
        <v/>
      </c>
      <c r="UP30" t="str">
        <f>IF(WSSBK!$AF$103&lt;74.9,"P","")</f>
        <v/>
      </c>
      <c r="UQ30" s="102" t="str">
        <f>IF(AND(WSSBK!$AF$103&gt;=75,WSSBK!$AF$103&lt;=83.24),"P","")</f>
        <v/>
      </c>
      <c r="UR30" s="102" t="str">
        <f>IF(AND(WSSBK!$AF$103&gt;=83.25,WSSBK!$AF$103&lt;=91.4),"P","")</f>
        <v/>
      </c>
      <c r="US30" s="102" t="str">
        <f>IF(AND(WSSBK!$AF$103&gt;=91.5,WSSBK!$AF$103&lt;=100),"P","")</f>
        <v/>
      </c>
      <c r="UT30" t="str">
        <f>IF(WSSBK!$AF$111&lt;74.9,"P","")</f>
        <v/>
      </c>
      <c r="UU30" s="102" t="str">
        <f>IF(AND(WSSBK!$AF$111&gt;=75,WSSBK!$AF$111&lt;=83.24),"P","")</f>
        <v/>
      </c>
      <c r="UV30" s="102" t="str">
        <f>IF(AND(WSSBK!$AF$111&gt;=83.25,WSSBK!$AF$111&lt;=91.4),"P","")</f>
        <v/>
      </c>
      <c r="UW30" s="102" t="str">
        <f>IF(AND(WSSBK!$AF$111&gt;=91.5,WSSBK!$AF$111&lt;=100),"P","")</f>
        <v/>
      </c>
      <c r="UX30" t="str">
        <f>IF(WSSBK!$AF$119&lt;74.9,"P","")</f>
        <v/>
      </c>
      <c r="UY30" s="102" t="str">
        <f>IF(AND(WSSBK!$AF$119&gt;=75,WSSBK!$AF$119&lt;=83.24),"P","")</f>
        <v/>
      </c>
      <c r="UZ30" s="102" t="str">
        <f>IF(AND(WSSBK!$AF$119&gt;=83.25,WSSBK!$AF$119&lt;=91.4),"P","")</f>
        <v/>
      </c>
      <c r="VA30" s="102" t="str">
        <f>IF(AND(WSSBK!$AF$119&gt;=91.5,WSSBK!$AF$119&lt;=100),"P","")</f>
        <v/>
      </c>
      <c r="VB30" s="102" t="str">
        <f>IF(AND(WSPENJAS!$AF$6&gt;0,WSPENJAS!$AF$6&lt;=74.9),"P","")</f>
        <v/>
      </c>
      <c r="VC30" s="102" t="str">
        <f>IF(AND(WSPENJAS!$AF$6&gt;=75,WSPENJAS!$AF$6&lt;=83.24),"P","")</f>
        <v/>
      </c>
      <c r="VD30" s="102" t="str">
        <f>IF(AND(WSPENJAS!$AF$6&gt;=83.25,WSPENJAS!$AF$6&lt;=91.4),"P","")</f>
        <v/>
      </c>
      <c r="VE30" s="102" t="str">
        <f>IF(AND(WSPENJAS!$AF$6&gt;=91.5,WSPENJAS!$AF$6&lt;=100),"P","")</f>
        <v/>
      </c>
      <c r="VF30" s="102" t="str">
        <f>IF(AND(WSPENJAS!$AF$7&gt;0,WSPENJAS!$AF$7&lt;=74.9),"P","")</f>
        <v/>
      </c>
      <c r="VG30" s="102" t="str">
        <f>IF(AND(WSPENJAS!$AF$7&gt;=75,WSPENJAS!$AF$7&lt;=83.24),"P","")</f>
        <v/>
      </c>
      <c r="VH30" s="102" t="str">
        <f>IF(AND(WSPENJAS!$AF$7&gt;=83.25,WSPENJAS!$AF$7&lt;=91.4),"P","")</f>
        <v/>
      </c>
      <c r="VI30" s="102" t="str">
        <f>IF(AND(WSPENJAS!$AF$7&gt;=91.5,WSPENJAS!$AF$7&lt;=100),"P","")</f>
        <v/>
      </c>
      <c r="VJ30" s="102" t="str">
        <f>IF(AND(WSPENJAS!$AF$8&gt;0,WSPENJAS!$AF$8&lt;=74.9),"P","")</f>
        <v/>
      </c>
      <c r="VK30" s="102" t="str">
        <f>IF(AND(WSPENJAS!$AF$8&gt;=75,WSPENJAS!$AF$8&lt;=83.24),"P","")</f>
        <v/>
      </c>
      <c r="VL30" s="102" t="str">
        <f>IF(AND(WSPENJAS!$AF$8&gt;=83.25,WSPENJAS!$AF$8&lt;=91.4),"P","")</f>
        <v/>
      </c>
      <c r="VM30" s="102" t="str">
        <f>IF(AND(WSPENJAS!$AF$8&gt;=91.5,WSPENJAS!$AF$8&lt;=100),"P","")</f>
        <v/>
      </c>
      <c r="VN30" s="102" t="str">
        <f>IF(AND(WSPENJAS!$AF$9&gt;0,WSPENJAS!$AF$9&lt;=74.9),"P","")</f>
        <v/>
      </c>
      <c r="VO30" s="102" t="str">
        <f>IF(AND(WSPENJAS!$AF$9&gt;=75,WSPENJAS!$AF$9&lt;=83.24),"P","")</f>
        <v/>
      </c>
      <c r="VP30" s="102" t="str">
        <f>IF(AND(WSPENJAS!$AF$9&gt;=83.25,WSPENJAS!$AF$9&lt;=91.4),"P","")</f>
        <v/>
      </c>
      <c r="VQ30" s="102" t="str">
        <f>IF(AND(WSPENJAS!$AF$9&gt;=91.5,WSPENJAS!$AF$9&lt;=100),"P","")</f>
        <v/>
      </c>
      <c r="VR30" s="102" t="str">
        <f>IF(AND(WSPENJAS!$AF$10&gt;0,WSPENJAS!$AF$10&lt;=74.9),"P","")</f>
        <v/>
      </c>
      <c r="VS30" s="102" t="str">
        <f>IF(AND(WSPENJAS!$AF$10&gt;=75,WSPENJAS!$AF$10&lt;=83.24),"P","")</f>
        <v/>
      </c>
      <c r="VT30" s="102" t="str">
        <f>IF(AND(WSPENJAS!$AF$10&gt;=83.25,WSPENJAS!$AF$10&lt;=91.4),"P","")</f>
        <v/>
      </c>
      <c r="VU30" s="102" t="str">
        <f>IF(AND(WSPENJAS!$AF$10&gt;=91.5,WSPENJAS!$AF$10&lt;=100),"P","")</f>
        <v/>
      </c>
      <c r="VV30" s="102" t="str">
        <f>IF(AND(WSPENJAS!$AF$11&gt;0,WSPENJAS!$AF$11&lt;=74.9),"P","")</f>
        <v/>
      </c>
      <c r="VW30" s="102" t="str">
        <f>IF(AND(WSPENJAS!$AF$411&gt;=75,WSPENJAS!$AF$411&lt;=83.24),"P","")</f>
        <v/>
      </c>
      <c r="VX30" s="102" t="str">
        <f>IF(AND(WSPENJAS!$AF$411&gt;=83.25,WSPENJAS!$AF$411&lt;=91.4),"P","")</f>
        <v/>
      </c>
      <c r="VY30" s="102" t="str">
        <f>IF(AND(WSPENJAS!$AF$411&gt;=91.5,WSPENJAS!$AF$411&lt;=100),"P","")</f>
        <v/>
      </c>
      <c r="VZ30" s="102" t="str">
        <f>IF(AND(WSPENJAS!$AF$12&gt;0,WSPENJAS!$AF$12&lt;=74.9),"P","")</f>
        <v/>
      </c>
      <c r="WA30" s="102" t="str">
        <f>IF(AND(WSPENJAS!$AF$12&gt;=75,WSPENJAS!$AF$12&lt;=83.24),"P","")</f>
        <v/>
      </c>
      <c r="WB30" s="102" t="str">
        <f>IF(AND(WSPENJAS!$AF$12&gt;=83.25,WSPENJAS!$AF$12&lt;=91.4),"P","")</f>
        <v/>
      </c>
      <c r="WC30" s="102" t="str">
        <f>IF(AND(WSPENJAS!$AF$12&gt;=91.5,WSPENJAS!$AF$12&lt;=100),"P","")</f>
        <v/>
      </c>
      <c r="WD30" s="102" t="str">
        <f>IF(AND(WSPENJAS!$AF$13&gt;0,WSPENJAS!$AF$13&lt;=74.9),"P","")</f>
        <v/>
      </c>
      <c r="WE30" s="102" t="str">
        <f>IF(AND(WSPENJAS!$AF$13&gt;=75,WSPENJAS!$AF$13&lt;=83.24),"P","")</f>
        <v/>
      </c>
      <c r="WF30" s="102" t="str">
        <f>IF(AND(WSPENJAS!$AF$13&gt;=83.25,WSPENJAS!$AF$13&lt;=91.4),"P","")</f>
        <v/>
      </c>
      <c r="WG30" s="102" t="str">
        <f>IF(AND(WSPENJAS!$AF$13&gt;=91.5,WSPENJAS!$AF$13&lt;=100),"P","")</f>
        <v/>
      </c>
      <c r="WH30" s="102" t="str">
        <f>IF(AND(WSPENJAS!$AF$14&gt;0,WSPENJAS!$AF$14&lt;=74.9),"P","")</f>
        <v/>
      </c>
      <c r="WI30" s="102" t="str">
        <f>IF(AND(WSPENJAS!$AF$14&gt;=75,WSPENJAS!$AF$14&lt;=83.24),"P","")</f>
        <v/>
      </c>
      <c r="WJ30" s="102" t="str">
        <f>IF(AND(WSPENJAS!$AF$14&gt;=83.25,WSPENJAS!$AF$14&lt;=91.4),"P","")</f>
        <v/>
      </c>
      <c r="WK30" s="102" t="str">
        <f>IF(AND(WSPENJAS!$AF$14&gt;=91.5,WSPENJAS!$AF$14&lt;=100),"P","")</f>
        <v/>
      </c>
      <c r="WL30" s="102" t="str">
        <f>IF(AND(WSPENJAS!$AF$15&gt;0,WSPENJAS!$AF$15&lt;=74.9),"P","")</f>
        <v/>
      </c>
      <c r="WM30" s="102" t="str">
        <f>IF(AND(WSPENJAS!$AF$15&gt;=75,WSPENJAS!$AF$15&lt;=83.24),"P","")</f>
        <v/>
      </c>
      <c r="WN30" s="102" t="str">
        <f>IF(AND(WSPENJAS!$AF$15&gt;=83.25,WSPENJAS!$AF$15&lt;=91.4),"P","")</f>
        <v/>
      </c>
      <c r="WO30" s="102" t="str">
        <f>IF(AND(WSPENJAS!$AF$15&gt;=91.5,WSPENJAS!$AF$15&lt;=100),"P","")</f>
        <v/>
      </c>
      <c r="WP30" s="102" t="str">
        <f>IF(AND(WSPENJAS!$AF$16&gt;0,WSPENJAS!$AF$16&lt;=74.9),"P","")</f>
        <v/>
      </c>
      <c r="WQ30" s="102" t="str">
        <f>IF(AND(WSPENJAS!$AF$16&gt;=75,WSPENJAS!$AF$16&lt;=83.24),"P","")</f>
        <v/>
      </c>
      <c r="WR30" s="102" t="str">
        <f>IF(AND(WSPENJAS!$AF$16&gt;=83.25,WSPENJAS!$AF$16&lt;=91.4),"P","")</f>
        <v/>
      </c>
      <c r="WS30" s="102" t="str">
        <f>IF(AND(WSPENJAS!$AF$16&gt;=91.5,WSPENJAS!$AF$16&lt;=100),"P","")</f>
        <v/>
      </c>
      <c r="WT30" s="102" t="str">
        <f>IF(AND(WSPENJAS!$AF$17&gt;0,WSPENJAS!$AF$17&lt;=74.9),"P","")</f>
        <v/>
      </c>
      <c r="WU30" s="102" t="str">
        <f>IF(AND(WSPENJAS!$AF$17&gt;=75,WSPENJAS!$AF$17&lt;=83.24),"P","")</f>
        <v/>
      </c>
      <c r="WV30" s="102" t="str">
        <f>IF(AND(WSPENJAS!$AF$17&gt;=83.25,WSPENJAS!$AF$17&lt;=91.4),"P","")</f>
        <v/>
      </c>
      <c r="WW30" s="102" t="str">
        <f>IF(AND(WSPENJAS!$AF$17&gt;=91.5,WSPENJAS!$AF$17&lt;=100),"P","")</f>
        <v/>
      </c>
      <c r="WX30" s="102" t="str">
        <f>IF(AND(WSPENJAS!$AF$18&gt;0,WSPENJAS!$AF$18&lt;=74.9),"P","")</f>
        <v/>
      </c>
      <c r="WY30" s="102" t="str">
        <f>IF(AND(WSPENJAS!$AF$18&gt;=75,WSPENJAS!$AF$18&lt;=83.24),"P","")</f>
        <v/>
      </c>
      <c r="WZ30" s="102" t="str">
        <f>IF(AND(WSPENJAS!$AF$18&gt;=83.25,WSPENJAS!$AF$18&lt;=91.4),"P","")</f>
        <v/>
      </c>
      <c r="XA30" s="102" t="str">
        <f>IF(AND(WSPENJAS!$AF$18&gt;=91.5,WSPENJAS!$AF$18&lt;=100),"P","")</f>
        <v/>
      </c>
      <c r="XB30" s="102" t="str">
        <f>IF(AND(WSPENJAS!$AF$19&gt;0,WSPENJAS!$AF$19&lt;=74.9),"P","")</f>
        <v/>
      </c>
      <c r="XC30" s="102" t="str">
        <f>IF(AND(WSPENJAS!$AF$19&gt;=75,WSPENJAS!$AF$19&lt;=83.24),"P","")</f>
        <v/>
      </c>
      <c r="XD30" s="102" t="str">
        <f>IF(AND(WSPENJAS!$AF$19&gt;=83.25,WSPENJAS!$AF$19&lt;=91.4),"P","")</f>
        <v/>
      </c>
      <c r="XE30" s="102" t="str">
        <f>IF(AND(WSPENJAS!$AF$19&gt;=91.5,WSPENJAS!$AF$19&lt;=100),"P","")</f>
        <v/>
      </c>
      <c r="XF30" s="102" t="str">
        <f>IF(AND(WSPENJAS!$AF$20&gt;0,WSPENJAS!$AF$20&lt;=74.9),"P","")</f>
        <v/>
      </c>
      <c r="XG30" s="102" t="str">
        <f>IF(AND(WSPENJAS!$AF$20&gt;=75,WSPENJAS!$AF$20&lt;=83.24),"P","")</f>
        <v/>
      </c>
      <c r="XH30" s="102" t="str">
        <f>IF(AND(WSPENJAS!$AF$20&gt;=83.25,WSPENJAS!$AF$20&lt;=91.4),"P","")</f>
        <v/>
      </c>
      <c r="XI30" s="102" t="str">
        <f>IF(AND(WSPENJAS!$AF$20&gt;=91.5,WSPENJAS!$AF$20&lt;=100),"P","")</f>
        <v/>
      </c>
      <c r="XJ30" s="102" t="str">
        <f>IF(AND(WSPENJAS!$AF$21&gt;0,WSPENJAS!$AF$21&lt;=74.9),"P","")</f>
        <v/>
      </c>
      <c r="XK30" s="102" t="str">
        <f>IF(AND(WSPENJAS!$AF$21&gt;=75,WSPENJAS!$AF$21&lt;=83.24),"P","")</f>
        <v/>
      </c>
      <c r="XL30" s="102" t="str">
        <f>IF(AND(WSPENJAS!$AF$21&gt;=83.25,WSPENJAS!$AF$21&lt;=91.4),"P","")</f>
        <v/>
      </c>
      <c r="XM30" s="102" t="str">
        <f>IF(AND(WSPENJAS!$AF$21&gt;=91.5,WSPENJAS!$AF$21&lt;=100),"P","")</f>
        <v/>
      </c>
      <c r="XN30" t="str">
        <f>IF(WSJAWA!$AF$6&lt;74.9,"P","")</f>
        <v/>
      </c>
      <c r="XO30" s="102" t="str">
        <f>IF(AND(WSJAWA!$AF$6&gt;=75,WSJAWA!$AF$6&lt;=83.24),"P","")</f>
        <v/>
      </c>
      <c r="XP30" s="102" t="str">
        <f>IF(AND(WSJAWA!$AF$6&gt;=83.25,WSJAWA!$AF$6&lt;=91.4),"P","")</f>
        <v/>
      </c>
      <c r="XQ30" s="102" t="str">
        <f>IF(AND(WSJAWA!$AF$6&gt;=91.5,WSJAWA!$AF$6&lt;=100),"P","")</f>
        <v/>
      </c>
      <c r="XR30" t="str">
        <f>IF(WSJAWA!$AF$14&lt;74.9,"P","")</f>
        <v/>
      </c>
      <c r="XS30" s="102" t="str">
        <f>IF(AND(WSJAWA!$AF$14&gt;=75,WSJAWA!$AF$14&lt;=83.24),"P","")</f>
        <v/>
      </c>
      <c r="XT30" s="102" t="str">
        <f>IF(AND(WSJAWA!$AF$14&gt;=83.25,WSJAWA!$AF$14&lt;=91.4),"P","")</f>
        <v/>
      </c>
      <c r="XU30" s="102" t="str">
        <f>IF(AND(WSJAWA!$AF$14&gt;=91.5,WSJAWA!$AF$14&lt;=100),"P","")</f>
        <v/>
      </c>
      <c r="XV30" t="str">
        <f>IF(WSJAWA!$AF$22&lt;74.9,"P","")</f>
        <v/>
      </c>
      <c r="XW30" s="102" t="str">
        <f>IF(AND(WSJAWA!$AF$22&gt;=75,WSJAWA!$AF$22&lt;=83.24),"P","")</f>
        <v/>
      </c>
      <c r="XX30" s="102" t="str">
        <f>IF(AND(WSJAWA!$AF$22&gt;=83.25,WSJAWA!$AF$22&lt;=91.4),"P","")</f>
        <v/>
      </c>
      <c r="XY30" s="102" t="str">
        <f>IF(AND(WSJAWA!$AF$22&gt;=91.5,WSJAWA!$AF$22&lt;=100),"P","")</f>
        <v/>
      </c>
      <c r="XZ30" t="str">
        <f>IF(WSJAWA!$AF$30&lt;74.9,"P","")</f>
        <v/>
      </c>
      <c r="YA30" s="102" t="str">
        <f>IF(AND(WSJAWA!$AF$30&gt;=75,WSJAWA!$AF$30&lt;=83.24),"P","")</f>
        <v/>
      </c>
      <c r="YB30" s="102" t="str">
        <f>IF(AND(WSJAWA!$AF$30&gt;=83.25,WSJAWA!$AF$30&lt;=91.4),"P","")</f>
        <v/>
      </c>
      <c r="YC30" s="102" t="str">
        <f>IF(AND(WSJAWA!$AF$30&gt;=91.5,WSJAWA!$AF$30&lt;=100),"P","")</f>
        <v/>
      </c>
      <c r="YD30" t="str">
        <f>IF(WSJAWA!$AF$38&lt;74.9,"P","")</f>
        <v/>
      </c>
      <c r="YE30" s="102" t="str">
        <f>IF(AND(WSJAWA!$AF$38&gt;=75,WSJAWA!$AF$38&lt;=83.24),"P","")</f>
        <v/>
      </c>
      <c r="YF30" s="102" t="str">
        <f>IF(AND(WSJAWA!$AF$38&gt;=83.25,WSJAWA!$AF$38&lt;=91.4),"P","")</f>
        <v/>
      </c>
      <c r="YG30" s="102" t="str">
        <f>IF(AND(WSJAWA!$AF$38&gt;=91.5,WSJAWA!$AF$38&lt;=100),"P","")</f>
        <v/>
      </c>
      <c r="YH30" t="str">
        <f>IF(WSJAWA!$AF$46&lt;74.9,"P","")</f>
        <v/>
      </c>
      <c r="YI30" s="102" t="str">
        <f>IF(AND(WSJAWA!$AF$46&gt;=75,WSJAWA!$AF$46&lt;=83.24),"P","")</f>
        <v/>
      </c>
      <c r="YJ30" s="102" t="str">
        <f>IF(AND(WSJAWA!$AF$46&gt;=83.25,WSJAWA!$AF$46&lt;=91.4),"P","")</f>
        <v/>
      </c>
      <c r="YK30" s="102" t="str">
        <f>IF(AND(WSJAWA!$AF$46&gt;=91.5,WSJAWA!$AF$46&lt;=100),"P","")</f>
        <v/>
      </c>
      <c r="YL30" t="str">
        <f>IF(WSJAWA!$AF$54&lt;74.9,"P","")</f>
        <v/>
      </c>
      <c r="YM30" s="102" t="str">
        <f>IF(AND(WSJAWA!$AF$54&gt;=75,WSJAWA!$AF$54&lt;=83.24),"P","")</f>
        <v/>
      </c>
      <c r="YN30" s="102" t="str">
        <f>IF(AND(WSJAWA!$AF$54&gt;=83.25,WSJAWA!$AF$54&lt;=91.4),"P","")</f>
        <v/>
      </c>
      <c r="YO30" s="102" t="str">
        <f>IF(AND(WSJAWA!$AF$54&gt;=91.5,WSJAWA!$AF$54&lt;=100),"P","")</f>
        <v/>
      </c>
      <c r="YP30" t="str">
        <f>IF(WSJAWA!$AF$62&lt;74.9,"P","")</f>
        <v/>
      </c>
      <c r="YQ30" s="102" t="str">
        <f>IF(AND(WSJAWA!$AF$62&gt;=75,WSJAWA!$AF$62&lt;=83.24),"P","")</f>
        <v/>
      </c>
      <c r="YR30" s="102" t="str">
        <f>IF(AND(WSJAWA!$AF$62&gt;=83.25,WSJAWA!$AF$62&lt;=91.4),"P","")</f>
        <v/>
      </c>
      <c r="YS30" s="102" t="str">
        <f>IF(AND(WSJAWA!$AF$62&gt;=91.5,WSJAWA!$AF$62&lt;=100),"P","")</f>
        <v/>
      </c>
      <c r="YT30" t="str">
        <f>IF(WSJAWA!$AF$70&lt;74.9,"P","")</f>
        <v/>
      </c>
      <c r="YU30" s="102" t="str">
        <f>IF(AND(WSJAWA!$AF$70&gt;=75,WSJAWA!$AF$70&lt;=83.24),"P","")</f>
        <v/>
      </c>
      <c r="YV30" s="102" t="str">
        <f>IF(AND(WSJAWA!$AF$70&gt;=83.25,WSJAWA!$AF$70&lt;=91.4),"P","")</f>
        <v/>
      </c>
      <c r="YW30" s="102" t="str">
        <f>IF(AND(WSJAWA!$AF$70&gt;=91.5,WSJAWA!$AF$70&lt;=100),"P","")</f>
        <v/>
      </c>
      <c r="YX30" t="str">
        <f>IF(WSJAWA!$AF$78&lt;74.9,"P","")</f>
        <v/>
      </c>
      <c r="YY30" s="102" t="str">
        <f>IF(AND(WSJAWA!$AF$78&gt;=75,WSJAWA!$AF$78&lt;=83.24),"P","")</f>
        <v/>
      </c>
      <c r="YZ30" s="102" t="str">
        <f>IF(AND(WSJAWA!$AF$78&gt;=83.25,WSJAWA!$AF$78&lt;=91.4),"P","")</f>
        <v/>
      </c>
      <c r="ZA30" s="102" t="str">
        <f>IF(AND(WSJAWA!$AF$78&gt;=91.5,WSJAWA!$AF$78&lt;=100),"P","")</f>
        <v/>
      </c>
      <c r="ZB30" t="str">
        <f>IF(WSJAWA!$AF$86&lt;74.9,"P","")</f>
        <v/>
      </c>
      <c r="ZC30" s="102" t="str">
        <f>IF(AND(WSJAWA!$AF$86&gt;=75,WSJAWA!$AF$86&lt;=83.24),"P","")</f>
        <v/>
      </c>
      <c r="ZD30" s="102" t="str">
        <f>IF(AND(WSJAWA!$AF$86&gt;=83.25,WSJAWA!$AF$86&lt;=91.4),"P","")</f>
        <v/>
      </c>
      <c r="ZE30" s="102" t="str">
        <f>IF(AND(WSJAWA!$AF$86&gt;=91.5,WSJAWA!$AF$86&lt;=100),"P","")</f>
        <v/>
      </c>
      <c r="ZF30" t="str">
        <f>IF(WSJAWA!$AF$94&lt;74.9,"P","")</f>
        <v/>
      </c>
      <c r="ZG30" s="102" t="str">
        <f>IF(AND(WSJAWA!$AF$94&gt;=75,WSJAWA!$AF$94&lt;=83.24),"P","")</f>
        <v/>
      </c>
      <c r="ZH30" s="102" t="str">
        <f>IF(AND(WSJAWA!$AF$94&gt;=83.25,WSJAWA!$AF$94&lt;=91.4),"P","")</f>
        <v/>
      </c>
      <c r="ZI30" s="102" t="str">
        <f>IF(AND(WSJAWA!$AF$94&gt;=91.5,WSJAWA!$AF$94&lt;=100),"P","")</f>
        <v/>
      </c>
      <c r="ZJ30" t="str">
        <f>IF(WSJAWA!$AF$102&lt;74.9,"P","")</f>
        <v/>
      </c>
      <c r="ZK30" s="102" t="str">
        <f>IF(AND(WSJAWA!$AF$102&gt;=75,WSJAWA!$AF$102&lt;=83.24),"P","")</f>
        <v/>
      </c>
      <c r="ZL30" s="102" t="str">
        <f>IF(AND(WSJAWA!$AF$102&gt;=83.25,WSJAWA!$AF$102&lt;=91.4),"P","")</f>
        <v/>
      </c>
      <c r="ZM30" s="102" t="str">
        <f>IF(AND(WSJAWA!$AF$102&gt;=91.5,WSJAWA!$AF$102&lt;=100),"P","")</f>
        <v/>
      </c>
      <c r="ZN30" t="str">
        <f>IF(WSING!$AF$6&lt;74.9,"P","")</f>
        <v/>
      </c>
      <c r="ZO30" s="102" t="str">
        <f>IF(AND(WSING!$AF$6&gt;=75,WSING!$AF$6&lt;=83.24),"P","")</f>
        <v/>
      </c>
      <c r="ZP30" s="102" t="str">
        <f>IF(AND(WSING!$AF$6&gt;=83.25,WSING!$AF$6&lt;=91.4),"P","")</f>
        <v/>
      </c>
      <c r="ZQ30" s="102" t="str">
        <f>IF(AND(WSING!$AF$6&gt;=91.5,WSING!$AF$6&lt;=100),"P","")</f>
        <v/>
      </c>
      <c r="ZR30" t="str">
        <f>IF(WSING!$AF$15&lt;74.9,"P","")</f>
        <v/>
      </c>
      <c r="ZS30" s="102" t="str">
        <f>IF(AND(WSING!$AF$15&gt;=75,WSING!$AF$15&lt;=83.24),"P","")</f>
        <v/>
      </c>
      <c r="ZT30" s="102" t="str">
        <f>IF(AND(WSING!$AF$15&gt;=83.25,WSING!$AF$15&lt;=91.4),"P","")</f>
        <v/>
      </c>
      <c r="ZU30" s="102" t="str">
        <f>IF(AND(WSING!$AF$15&gt;=91.5,WSING!$AF$15&lt;=100),"P","")</f>
        <v/>
      </c>
      <c r="ZV30" t="str">
        <f>IF(WSING!$AF$24&lt;74.9,"P","")</f>
        <v/>
      </c>
      <c r="ZW30" s="102" t="str">
        <f>IF(AND(WSING!$AF$24&gt;=75,WSING!$AF$24&lt;=83.24),"P","")</f>
        <v/>
      </c>
      <c r="ZX30" s="102" t="str">
        <f>IF(AND(WSING!$AF$24&gt;=83.25,WSING!$AF$24&lt;=91.4),"P","")</f>
        <v/>
      </c>
      <c r="ZY30" s="102" t="str">
        <f>IF(AND(WSING!$AF$24&gt;=91.5,WSING!$AF$24&lt;=100),"P","")</f>
        <v/>
      </c>
      <c r="ZZ30" t="str">
        <f>IF(WSING!$AF$33&lt;74.9,"P","")</f>
        <v/>
      </c>
      <c r="AAA30" s="102" t="str">
        <f>IF(AND(WSING!$AF$33&gt;=75,WSING!$AF$33&lt;=83.24),"P","")</f>
        <v/>
      </c>
      <c r="AAB30" s="102" t="str">
        <f>IF(AND(WSING!$AF$33&gt;=83.25,WSING!$AF$33&lt;=91.4),"P","")</f>
        <v/>
      </c>
      <c r="AAC30" s="102" t="str">
        <f>IF(AND(WSING!$AF$33&gt;=91.5,WSING!$AF$33&lt;=100),"P","")</f>
        <v/>
      </c>
      <c r="AAD30" t="str">
        <f>IF(WSING!$AF$42&lt;74.9,"P","")</f>
        <v/>
      </c>
      <c r="AAE30" s="102" t="str">
        <f>IF(AND(WSING!$AF$42&gt;=75,WSING!$AF$42&lt;=83.24),"P","")</f>
        <v/>
      </c>
      <c r="AAF30" s="102" t="str">
        <f>IF(AND(WSING!$AF$42&gt;=83.25,WSING!$AF$42&lt;=91.4),"P","")</f>
        <v/>
      </c>
      <c r="AAG30" s="102" t="str">
        <f>IF(AND(WSING!$AF$42&gt;=91.5,WSING!$AF$42&lt;=100),"P","")</f>
        <v/>
      </c>
      <c r="AAH30" t="str">
        <f>IF(WSING!$AF$50&lt;74.9,"P","")</f>
        <v/>
      </c>
      <c r="AAI30" s="102" t="str">
        <f>IF(AND(WSING!$AF$50&gt;=75,WSING!$AF$50&lt;=83.24),"P","")</f>
        <v/>
      </c>
      <c r="AAJ30" s="102" t="str">
        <f>IF(AND(WSING!$AF$50&gt;=83.25,WSING!$AF$50&lt;=91.4),"P","")</f>
        <v/>
      </c>
      <c r="AAK30" s="102" t="str">
        <f>IF(AND(WSING!$AF$50&gt;=91.5,WSING!$AF$50&lt;=100),"P","")</f>
        <v/>
      </c>
      <c r="AAL30" t="str">
        <f>IF(WSING!$AF$58&lt;74.9,"P","")</f>
        <v/>
      </c>
      <c r="AAM30" s="102" t="str">
        <f>IF(AND(WSING!$AF$58&gt;=75,WSING!$AF$58&lt;=83.24),"P","")</f>
        <v/>
      </c>
      <c r="AAN30" s="102" t="str">
        <f>IF(AND(WSING!$AF$58&gt;=83.25,WSING!$AF$58&lt;=91.4),"P","")</f>
        <v/>
      </c>
      <c r="AAO30" s="102" t="str">
        <f>IF(AND(WSING!$AF$58&gt;=91.5,WSING!$AF$58&lt;=100),"P","")</f>
        <v/>
      </c>
      <c r="AAP30" t="str">
        <f>IF(WSING!$AF$66&lt;74.9,"P","")</f>
        <v/>
      </c>
      <c r="AAQ30" s="102" t="str">
        <f>IF(AND(WSING!$AF$66&gt;=75,WSING!$AF$66&lt;=83.24),"P","")</f>
        <v/>
      </c>
      <c r="AAR30" s="102" t="str">
        <f>IF(AND(WSING!$AF$66&gt;=83.25,WSING!$AF$66&lt;=91.4),"P","")</f>
        <v/>
      </c>
      <c r="AAS30" s="102" t="str">
        <f>IF(AND(WSING!$AF$66&gt;=91.5,WSING!$AF$66&lt;=100),"P","")</f>
        <v/>
      </c>
      <c r="AAT30" t="str">
        <f>IF(WSING!$AF$74&lt;74.9,"P","")</f>
        <v/>
      </c>
      <c r="AAU30" s="102" t="str">
        <f>IF(AND(WSING!$AF$74&gt;=75,WSING!$AF$74&lt;=83.24),"P","")</f>
        <v/>
      </c>
      <c r="AAV30" s="102" t="str">
        <f>IF(AND(WSING!$AF$74&gt;=83.25,WSING!$AF$74&lt;=91.4),"P","")</f>
        <v/>
      </c>
      <c r="AAW30" s="102" t="str">
        <f>IF(AND(WSING!$AF$74&gt;=91.5,WSING!$AF$74&lt;=100),"P","")</f>
        <v/>
      </c>
      <c r="AAX30" t="str">
        <f>IF(WSING!$AF$82&lt;74.9,"P","")</f>
        <v/>
      </c>
      <c r="AAY30" s="102" t="str">
        <f>IF(AND(WSING!$AF$82&gt;=75,WSING!$AF$82&lt;=83.24),"P","")</f>
        <v/>
      </c>
      <c r="AAZ30" s="102" t="str">
        <f>IF(AND(WSING!$AF$82&gt;=83.25,WSING!$AF$82&lt;=91.4),"P","")</f>
        <v/>
      </c>
      <c r="ABA30" s="102" t="str">
        <f>IF(AND(WSING!$AF$82&gt;=91.5,WSING!$AF$82&lt;=100),"P","")</f>
        <v/>
      </c>
      <c r="ABB30" t="str">
        <f>IF(WSING!$AF$90&lt;74.9,"P","")</f>
        <v/>
      </c>
      <c r="ABC30" s="102" t="str">
        <f>IF(AND(WSING!$AF$90&gt;=75,WSING!$AF$90&lt;=83.24),"P","")</f>
        <v/>
      </c>
      <c r="ABD30" s="102" t="str">
        <f>IF(AND(WSING!$AF$90&gt;=83.25,WSING!$AF$90&lt;=91.4),"P","")</f>
        <v/>
      </c>
      <c r="ABE30" s="102" t="str">
        <f>IF(AND(WSING!$AF$90&gt;=91.5,WSING!$AF$90&lt;=100),"P","")</f>
        <v/>
      </c>
      <c r="ABF30" t="str">
        <f>IF(WSING!$AF$98&lt;74.9,"P","")</f>
        <v/>
      </c>
      <c r="ABG30" s="102" t="str">
        <f>IF(AND(WSING!$AF$98&gt;=75,WSING!$AF$98&lt;=83.24),"P","")</f>
        <v/>
      </c>
      <c r="ABH30" s="102" t="str">
        <f>IF(AND(WSING!$AF$98&gt;=83.25,WSING!$AF$98&lt;=91.4),"P","")</f>
        <v/>
      </c>
      <c r="ABI30" s="102" t="str">
        <f>IF(AND(WSING!$AF$98&gt;=91.5,WSING!$AF$98&lt;=100),"P","")</f>
        <v/>
      </c>
      <c r="ABJ30" t="str">
        <f>IF(WSING!$AF$106&lt;74.9,"P","")</f>
        <v/>
      </c>
      <c r="ABK30" s="102" t="str">
        <f>IF(AND(WSING!$AF$106&gt;=75,WSING!$AF$106&lt;=83.24),"P","")</f>
        <v/>
      </c>
      <c r="ABL30" s="102" t="str">
        <f>IF(AND(WSING!$AF$106&gt;=83.25,WSING!$AF$106&lt;=91.4),"P","")</f>
        <v/>
      </c>
      <c r="ABM30" s="102" t="str">
        <f>IF(AND(WSING!$AF$106&gt;=91.5,WSING!$AF$106&lt;=100),"P","")</f>
        <v/>
      </c>
      <c r="ABN30" t="str">
        <f>IF(WSTIK!$AF$6&lt;74.9,"P","")</f>
        <v/>
      </c>
      <c r="ABO30" s="102" t="str">
        <f>IF(AND(WSTIK!$AF$6&gt;=75,WSTIK!$AF$6&lt;=83.24),"P","")</f>
        <v/>
      </c>
      <c r="ABP30" s="102" t="str">
        <f>IF(AND(WSTIK!$AF$6&gt;=83.25,WSTIK!$AF$6&lt;=91.4),"P","")</f>
        <v/>
      </c>
      <c r="ABQ30" s="102" t="str">
        <f>IF(AND(WSTIK!$AF$6&gt;=91.5,WSTIK!$AF$6&lt;=100),"P","")</f>
        <v/>
      </c>
      <c r="ABR30" t="str">
        <f>IF(WSTIK!$AF$14&lt;74.9,"P","")</f>
        <v/>
      </c>
      <c r="ABS30" s="102" t="str">
        <f>IF(AND(WSTIK!$AF$14&gt;=75,WSTIK!$AF$14&lt;=83.24),"P","")</f>
        <v/>
      </c>
      <c r="ABT30" s="102" t="str">
        <f>IF(AND(WSTIK!$AF$14&gt;=83.25,WSTIK!$AF$14&lt;=91.4),"P","")</f>
        <v/>
      </c>
      <c r="ABU30" s="102" t="str">
        <f>IF(AND(WSTIK!$AF$14&gt;=91.5,WSTIK!$AF$14&lt;=100),"P","")</f>
        <v/>
      </c>
      <c r="ABV30" t="str">
        <f>IF(WSTIK!$AF$22&lt;74.9,"P","")</f>
        <v/>
      </c>
      <c r="ABW30" s="102" t="str">
        <f>IF(AND(WSTIK!$AF$22&gt;=75,WSTIK!$AF$22&lt;=83.24),"P","")</f>
        <v/>
      </c>
      <c r="ABX30" s="102" t="str">
        <f>IF(AND(WSTIK!$AF$22&gt;=83.25,WSTIK!$AF$22&lt;=91.4),"P","")</f>
        <v/>
      </c>
      <c r="ABY30" s="102" t="str">
        <f>IF(AND(WSTIK!$AF$22&gt;=91.5,WSTIK!$AF$22&lt;=100),"P","")</f>
        <v/>
      </c>
      <c r="ABZ30" t="str">
        <f>IF(WSTIK!$AF$30&lt;74.9,"P","")</f>
        <v/>
      </c>
      <c r="ACA30" s="102" t="str">
        <f>IF(AND(WSTIK!$AF$30&gt;=75,WSTIK!$AF$30&lt;=83.24),"P","")</f>
        <v/>
      </c>
      <c r="ACB30" s="102" t="str">
        <f>IF(AND(WSTIK!$AF$30&gt;=83.25,WSTIK!$AF$30&lt;=91.4),"P","")</f>
        <v/>
      </c>
      <c r="ACC30" s="102" t="str">
        <f>IF(AND(WSTIK!$AF$30&gt;=91.5,WSTIK!$AF$30&lt;=100),"P","")</f>
        <v/>
      </c>
      <c r="ACD30" t="str">
        <f>IF(WSTIK!$AF$38&lt;74.9,"P","")</f>
        <v/>
      </c>
      <c r="ACE30" s="102" t="str">
        <f>IF(AND(WSTIK!$AF$38&gt;=75,WSTIK!$AF$38&lt;=83.24),"P","")</f>
        <v/>
      </c>
      <c r="ACF30" s="102" t="str">
        <f>IF(AND(WSTIK!$AF$38&gt;=83.25,WSTIK!$AF$38&lt;=91.4),"P","")</f>
        <v/>
      </c>
      <c r="ACG30" s="102" t="str">
        <f>IF(AND(WSTIK!$AF$38&gt;=91.5,WSTIK!$AF$38&lt;=100),"P","")</f>
        <v/>
      </c>
      <c r="ACH30" t="str">
        <f>IF(WSTIK!$AF$46&lt;74.9,"P","")</f>
        <v/>
      </c>
      <c r="ACI30" s="102" t="str">
        <f>IF(AND(WSTIK!$AF$46&gt;=75,WSTIK!$AF$46&lt;=83.24),"P","")</f>
        <v/>
      </c>
      <c r="ACJ30" s="102" t="str">
        <f>IF(AND(WSTIK!$AF$46&gt;=83.25,WSTIK!$AF$46&lt;=91.4),"P","")</f>
        <v/>
      </c>
      <c r="ACK30" s="102" t="str">
        <f>IF(AND(WSTIK!$AF$46&gt;=91.5,WSTIK!$AF$46&lt;=100),"P","")</f>
        <v/>
      </c>
      <c r="ACL30" t="str">
        <f>IF(WSTIK!$AF$54&lt;74.9,"P","")</f>
        <v/>
      </c>
      <c r="ACM30" s="102" t="str">
        <f>IF(AND(WSTIK!$AF$54&gt;=75,WSTIK!$AF$54&lt;=83.24),"P","")</f>
        <v/>
      </c>
      <c r="ACN30" s="102" t="str">
        <f>IF(AND(WSTIK!$AF$54&gt;=83.25,WSTIK!$AF$54&lt;=91.4),"P","")</f>
        <v/>
      </c>
      <c r="ACO30" s="102" t="str">
        <f>IF(AND(WSTIK!$AF$54&gt;=91.5,WSTIK!$AF$54&lt;=100),"P","")</f>
        <v/>
      </c>
      <c r="ACP30" t="str">
        <f>IF(WSTIK!$AF$62&lt;74.9,"P","")</f>
        <v/>
      </c>
      <c r="ACQ30" s="102" t="str">
        <f>IF(AND(WSTIK!$AF$62&gt;=75,WSTIK!$AF$62&lt;=83.24),"P","")</f>
        <v/>
      </c>
      <c r="ACR30" s="102" t="str">
        <f>IF(AND(WSTIK!$AF$62&gt;=83.25,WSTIK!$AF$62&lt;=91.4),"P","")</f>
        <v/>
      </c>
      <c r="ACS30" s="102" t="str">
        <f>IF(AND(WSTIK!$AF$62&gt;=91.5,WSTIK!$AF$62&lt;=100),"P","")</f>
        <v/>
      </c>
      <c r="ACT30" t="str">
        <f>IF(WSTIK!$AF$70&lt;74.9,"P","")</f>
        <v/>
      </c>
      <c r="ACU30" s="102" t="str">
        <f>IF(AND(WSTIK!$AF$70&gt;=75,WSTIK!$AF$70&lt;=83.24),"P","")</f>
        <v/>
      </c>
      <c r="ACV30" s="102" t="str">
        <f>IF(AND(WSTIK!$AF$70&gt;=83.25,WSTIK!$AF$70&lt;=91.4),"P","")</f>
        <v/>
      </c>
      <c r="ACW30" s="102" t="str">
        <f>IF(AND(WSTIK!$AF$70&gt;=91.5,WSTIK!$AF$70&lt;=100),"P","")</f>
        <v/>
      </c>
      <c r="ACX30" t="str">
        <f>IF(WSTIK!$AF$78&lt;74.9,"P","")</f>
        <v/>
      </c>
      <c r="ACY30" s="102" t="str">
        <f>IF(AND(WSTIK!$AF$78&gt;=75,WSTIK!$AF$78&lt;=83.24),"P","")</f>
        <v/>
      </c>
      <c r="ACZ30" s="102" t="str">
        <f>IF(AND(WSTIK!$AF$78&gt;=83.25,WSTIK!$AF$78&lt;=91.4),"P","")</f>
        <v/>
      </c>
      <c r="ADA30" s="102" t="str">
        <f>IF(AND(WSTIK!$AF$78&gt;=91.5,WSTIK!$AF$78&lt;=100),"P","")</f>
        <v/>
      </c>
      <c r="ADB30" t="str">
        <f>IF(WSTIK!$AF$86&lt;74.9,"P","")</f>
        <v/>
      </c>
      <c r="ADC30" s="102" t="str">
        <f>IF(AND(WSTIK!$AF$86&gt;=75,WSTIK!$AF$86&lt;=83.24),"P","")</f>
        <v/>
      </c>
      <c r="ADD30" s="102" t="str">
        <f>IF(AND(WSTIK!$AF$86&gt;=83.25,WSTIK!$AF$86&lt;=91.4),"P","")</f>
        <v/>
      </c>
      <c r="ADE30" s="102" t="str">
        <f>IF(AND(WSTIK!$AF$86&gt;=91.5,WSTIK!$AF$86&lt;=100),"P","")</f>
        <v/>
      </c>
      <c r="ADF30" t="str">
        <f>IF(WSTIK!$AF$94&lt;74.9,"P","")</f>
        <v/>
      </c>
      <c r="ADG30" s="102" t="str">
        <f>IF(AND(WSTIK!$AF$94&gt;=75,WSTIK!$AF$94&lt;=83.24),"P","")</f>
        <v/>
      </c>
      <c r="ADH30" s="102" t="str">
        <f>IF(AND(WSTIK!$AF$94&gt;=83.25,WSTIK!$AF$94&lt;=91.4),"P","")</f>
        <v/>
      </c>
      <c r="ADI30" s="102" t="str">
        <f>IF(AND(WSTIK!$AF$94&gt;=91.5,WSTIK!$AF$94&lt;=100),"P","")</f>
        <v/>
      </c>
      <c r="ADJ30" t="str">
        <f>IF(WSTIK!$AF$102&lt;74.9,"P","")</f>
        <v/>
      </c>
      <c r="ADK30" s="102" t="str">
        <f>IF(AND(WSTIK!$AF$102&gt;=75,WSTIK!$AF$102&lt;=83.24),"P","")</f>
        <v/>
      </c>
      <c r="ADL30" s="102" t="str">
        <f>IF(AND(WSTIK!$AF$102&gt;=83.25,WSTIK!$AF$102&lt;=91.4),"P","")</f>
        <v/>
      </c>
      <c r="ADM30" s="102" t="str">
        <f>IF(AND(WSTIK!$AF$102&gt;=91.5,WSTIK!$AF$102&lt;=100),"P","")</f>
        <v/>
      </c>
      <c r="ADN30" t="str">
        <f>IF(WSASWAJA!$AF$6&lt;74.9,"P","")</f>
        <v/>
      </c>
      <c r="ADO30" s="102" t="str">
        <f>IF(AND(WSASWAJA!$AF$6&gt;=75,WSASWAJA!$AF$6&lt;=83.24),"P","")</f>
        <v/>
      </c>
      <c r="ADP30" s="102" t="str">
        <f>IF(AND(WSASWAJA!$AF$6&gt;=83.25,WSASWAJA!$AF$6&lt;=91.4),"P","")</f>
        <v/>
      </c>
      <c r="ADQ30" s="102" t="str">
        <f>IF(AND(WSASWAJA!$AF$6&gt;=91.5,WSASWAJA!$AF$6&lt;=100),"P","")</f>
        <v/>
      </c>
      <c r="ADR30" t="str">
        <f>IF(WSASWAJA!$AF$14&lt;74.9,"P","")</f>
        <v/>
      </c>
      <c r="ADS30" s="102" t="str">
        <f>IF(AND(WSASWAJA!$AF$14&gt;=75,WSASWAJA!$AF$14&lt;=83.24),"P","")</f>
        <v/>
      </c>
      <c r="ADT30" s="102" t="str">
        <f>IF(AND(WSASWAJA!$AF$14&gt;=83.25,WSASWAJA!$AF$14&lt;=91.4),"P","")</f>
        <v/>
      </c>
      <c r="ADU30" s="102" t="str">
        <f>IF(AND(WSASWAJA!$AF$14&gt;=91.5,WSASWAJA!$AF$14&lt;=100),"P","")</f>
        <v/>
      </c>
      <c r="ADV30" t="str">
        <f>IF(WSASWAJA!$AF$22&lt;74.9,"P","")</f>
        <v/>
      </c>
      <c r="ADW30" s="102" t="str">
        <f>IF(AND(WSASWAJA!$AF$22&gt;=75,WSASWAJA!$AF$22&lt;=83.24),"P","")</f>
        <v/>
      </c>
      <c r="ADX30" s="102" t="str">
        <f>IF(AND(WSASWAJA!$AF$22&gt;=83.25,WSASWAJA!$AF$22&lt;=91.4),"P","")</f>
        <v/>
      </c>
      <c r="ADY30" s="102" t="str">
        <f>IF(AND(WSASWAJA!$AF$22&gt;=91.5,WSASWAJA!$AF$22&lt;=100),"P","")</f>
        <v/>
      </c>
      <c r="ADZ30" t="str">
        <f>IF(WSASWAJA!$AF$30&lt;74.9,"P","")</f>
        <v/>
      </c>
      <c r="AEA30" s="102" t="str">
        <f>IF(AND(WSASWAJA!$AF$30&gt;=75,WSASWAJA!$AF$30&lt;=83.24),"P","")</f>
        <v/>
      </c>
      <c r="AEB30" s="102" t="str">
        <f>IF(AND(WSASWAJA!$AF$30&gt;=83.25,WSASWAJA!$AF$30&lt;=91.4),"P","")</f>
        <v/>
      </c>
      <c r="AEC30" s="102" t="str">
        <f>IF(AND(WSASWAJA!$AF$30&gt;=91.5,WSASWAJA!$AF$30&lt;=100),"P","")</f>
        <v/>
      </c>
      <c r="AED30" t="str">
        <f>IF(WSASWAJA!$AF$38&lt;74.9,"P","")</f>
        <v/>
      </c>
      <c r="AEE30" s="102" t="str">
        <f>IF(AND(WSASWAJA!$AF$38&gt;=75,WSASWAJA!$AF$38&lt;=83.24),"P","")</f>
        <v/>
      </c>
      <c r="AEF30" s="102" t="str">
        <f>IF(AND(WSASWAJA!$AF$38&gt;=83.25,WSASWAJA!$AF$38&lt;=91.4),"P","")</f>
        <v/>
      </c>
      <c r="AEG30" s="102" t="str">
        <f>IF(AND(WSASWAJA!$AF$38&gt;=91.5,WSASWAJA!$AF$38&lt;=100),"P","")</f>
        <v/>
      </c>
      <c r="AEH30" t="str">
        <f>IF(WSASWAJA!$AF$46&lt;74.9,"P","")</f>
        <v/>
      </c>
      <c r="AEI30" s="102" t="str">
        <f>IF(AND(WSASWAJA!$AF$46&gt;=75,WSASWAJA!$AF$46&lt;=83.24),"P","")</f>
        <v/>
      </c>
      <c r="AEJ30" s="102" t="str">
        <f>IF(AND(WSASWAJA!$AF$46&gt;=83.25,WSASWAJA!$AF$46&lt;=91.4),"P","")</f>
        <v/>
      </c>
      <c r="AEK30" s="102" t="str">
        <f>IF(AND(WSASWAJA!$AF$46&gt;=91.5,WSASWAJA!$AF$46&lt;=100),"P","")</f>
        <v/>
      </c>
      <c r="AEL30" t="str">
        <f>IF(WSASWAJA!$AF$54&lt;74.9,"P","")</f>
        <v/>
      </c>
      <c r="AEM30" s="102" t="str">
        <f>IF(AND(WSASWAJA!$AF$54&gt;=75,WSASWAJA!$AF$54&lt;=83.24),"P","")</f>
        <v/>
      </c>
      <c r="AEN30" s="102" t="str">
        <f>IF(AND(WSASWAJA!$AF$54&gt;=83.25,WSASWAJA!$AF$54&lt;=91.4),"P","")</f>
        <v/>
      </c>
      <c r="AEO30" s="102" t="str">
        <f>IF(AND(WSASWAJA!$AF$54&gt;=91.5,WSASWAJA!$AF$54&lt;=100),"P","")</f>
        <v/>
      </c>
      <c r="AEP30" t="str">
        <f>IF(WSASWAJA!$AF$62&lt;74.9,"P","")</f>
        <v/>
      </c>
      <c r="AEQ30" s="102" t="str">
        <f>IF(AND(WSASWAJA!$AF$62&gt;=75,WSASWAJA!$AF$62&lt;=83.24),"P","")</f>
        <v/>
      </c>
      <c r="AER30" s="102" t="str">
        <f>IF(AND(WSASWAJA!$AF$62&gt;=83.25,WSASWAJA!$AF$62&lt;=91.4),"P","")</f>
        <v/>
      </c>
      <c r="AES30" s="102" t="str">
        <f>IF(AND(WSASWAJA!$AF$62&gt;=91.5,WSASWAJA!$AF$62&lt;=100),"P","")</f>
        <v/>
      </c>
      <c r="AET30" t="str">
        <f>IF(WSASWAJA!$AF$70&lt;74.9,"P","")</f>
        <v/>
      </c>
      <c r="AEU30" s="102" t="str">
        <f>IF(AND(WSASWAJA!$AF$70&gt;=75,WSASWAJA!$AF$70&lt;=83.24),"P","")</f>
        <v/>
      </c>
      <c r="AEV30" s="102" t="str">
        <f>IF(AND(WSASWAJA!$AF$70&gt;=83.25,WSASWAJA!$AF$70&lt;=91.4),"P","")</f>
        <v/>
      </c>
      <c r="AEW30" s="102" t="str">
        <f>IF(AND(WSASWAJA!$AF$70&gt;=91.5,WSASWAJA!$AF$70&lt;=100),"P","")</f>
        <v/>
      </c>
      <c r="AEX30" t="str">
        <f>IF(WSASWAJA!$AF$78&lt;74.9,"P","")</f>
        <v/>
      </c>
      <c r="AEY30" s="102" t="str">
        <f>IF(AND(WSASWAJA!$AF$78&gt;=75,WSASWAJA!$AF$78&lt;=83.24),"P","")</f>
        <v/>
      </c>
      <c r="AEZ30" s="102" t="str">
        <f>IF(AND(WSASWAJA!$AF$78&gt;=83.25,WSASWAJA!$AF$78&lt;=91.4),"P","")</f>
        <v/>
      </c>
      <c r="AFA30" s="102" t="str">
        <f>IF(AND(WSASWAJA!$AF$78&gt;=91.5,WSASWAJA!$AF$78&lt;=100),"P","")</f>
        <v/>
      </c>
      <c r="AFB30" t="str">
        <f>IF(WSASWAJA!$AF$86&lt;74.9,"P","")</f>
        <v/>
      </c>
      <c r="AFC30" s="102" t="str">
        <f>IF(AND(WSASWAJA!$AF$86&gt;=75,WSASWAJA!$AF$86&lt;=83.24),"P","")</f>
        <v/>
      </c>
      <c r="AFD30" s="102" t="str">
        <f>IF(AND(WSASWAJA!$AF$86&gt;=83.25,WSASWAJA!$AF$86&lt;=91.4),"P","")</f>
        <v/>
      </c>
      <c r="AFE30" s="102" t="str">
        <f>IF(AND(WSASWAJA!$AF$86&gt;=91.5,WSASWAJA!$AF$86&lt;=100),"P","")</f>
        <v/>
      </c>
      <c r="AFF30" t="str">
        <f>IF(WSASWAJA!$AF$94&lt;74.9,"P","")</f>
        <v/>
      </c>
      <c r="AFG30" s="102" t="str">
        <f>IF(AND(WSASWAJA!$AF$94&gt;=75,WSASWAJA!$AF$94&lt;=83.24),"P","")</f>
        <v/>
      </c>
      <c r="AFH30" s="102" t="str">
        <f>IF(AND(WSASWAJA!$AF$94&gt;=83.25,WSASWAJA!$AF$94&lt;=91.4),"P","")</f>
        <v/>
      </c>
      <c r="AFI30" s="102" t="str">
        <f>IF(AND(WSASWAJA!$AF$94&gt;=91.5,WSASWAJA!$AF$94&lt;=100),"P","")</f>
        <v/>
      </c>
      <c r="AFJ30" t="str">
        <f>IF(WSASWAJA!$AF$102&lt;74.9,"P","")</f>
        <v/>
      </c>
      <c r="AFK30" s="102" t="str">
        <f>IF(AND(WSASWAJA!$AF$102&gt;=75,WSASWAJA!$AF$102&lt;=83.24),"P","")</f>
        <v/>
      </c>
      <c r="AFL30" s="102" t="str">
        <f>IF(AND(WSASWAJA!$AF$102&gt;=83.25,WSASWAJA!$AF$102&lt;=91.4),"P","")</f>
        <v/>
      </c>
      <c r="AFM30" s="102" t="str">
        <f>IF(AND(WSASWAJA!$AF$102&gt;=91.5,WSASWAJA!$AF$102&lt;=100),"P","")</f>
        <v/>
      </c>
    </row>
    <row r="31" spans="1:845" ht="20.100000000000001" customHeight="1">
      <c r="A31">
        <v>29</v>
      </c>
      <c r="B31" t="str">
        <f>IF(WSALQURAN!$AG$6&lt;74.9,"P","")</f>
        <v/>
      </c>
      <c r="C31" s="102" t="str">
        <f>IF(AND(WSALQURAN!$AG$6&gt;=75,WSALQURAN!$AG$6&lt;=83.24),"P","")</f>
        <v/>
      </c>
      <c r="D31" s="102" t="str">
        <f>IF(AND(WSALQURAN!$AG$6&gt;=83.25,WSALQURAN!$AG$6&lt;=91.4),"P","")</f>
        <v/>
      </c>
      <c r="E31" s="102" t="str">
        <f>IF(AND(WSALQURAN!$AG$6&gt;=91.5,WSALQURAN!$AG$6&lt;=100),"P","")</f>
        <v/>
      </c>
      <c r="F31" t="str">
        <f>IF(WSALQURAN!$AG$14&lt;74.9,"P","")</f>
        <v/>
      </c>
      <c r="G31" s="102" t="str">
        <f>IF(AND(WSALQURAN!$AG$14&gt;=75,WSALQURAN!$AG$14&lt;=83.24),"P","")</f>
        <v/>
      </c>
      <c r="H31" s="102" t="str">
        <f>IF(AND(WSALQURAN!$AG$14&gt;=83.25,WSALQURAN!$AG$14&lt;=91.4),"P","")</f>
        <v/>
      </c>
      <c r="I31" s="102" t="str">
        <f>IF(AND(WSALQURAN!$AG$14&gt;=91.5,WSALQURAN!$AG$14&lt;=100),"P","")</f>
        <v/>
      </c>
      <c r="J31" t="str">
        <f>IF(WSALQURAN!$AG$22&lt;74.9,"P","")</f>
        <v/>
      </c>
      <c r="K31" s="102" t="str">
        <f>IF(AND(WSALQURAN!$AG$22&gt;=75,WSALQURAN!$AG$22&lt;=83.24),"P","")</f>
        <v/>
      </c>
      <c r="L31" s="102" t="str">
        <f>IF(AND(WSALQURAN!$AG$22&gt;=83.25,WSALQURAN!$AG$22&lt;=91.4),"P","")</f>
        <v/>
      </c>
      <c r="M31" s="102" t="str">
        <f>IF(AND(WSALQURAN!$AG$22&gt;=91.5,WSALQURAN!$AG$22&lt;=100),"P","")</f>
        <v/>
      </c>
      <c r="N31" t="str">
        <f>IF(WSALQURAN!$AG$30&lt;74.9,"P","")</f>
        <v/>
      </c>
      <c r="O31" s="102" t="str">
        <f>IF(AND(WSALQURAN!$AG$30&gt;=75,WSALQURAN!$AG$30&lt;=83.24),"P","")</f>
        <v/>
      </c>
      <c r="P31" s="102" t="str">
        <f>IF(AND(WSALQURAN!$AG$30&gt;=83.25,WSALQURAN!$AG$30&lt;=91.4),"P","")</f>
        <v/>
      </c>
      <c r="Q31" s="102" t="str">
        <f>IF(AND(WSALQURAN!$AG$30&gt;=91.5,WSALQURAN!$AG$30&lt;=100),"P","")</f>
        <v/>
      </c>
      <c r="R31" t="str">
        <f>IF(WSALQURAN!$AG$38&lt;74.9,"P","")</f>
        <v/>
      </c>
      <c r="S31" s="102" t="str">
        <f>IF(AND(WSALQURAN!$AG$38&gt;=75,WSALQURAN!$AG$38&lt;=83.24),"P","")</f>
        <v/>
      </c>
      <c r="T31" s="102" t="str">
        <f>IF(AND(WSALQURAN!$AG$38&gt;=83.25,WSALQURAN!$AG$38&lt;=91.4),"P","")</f>
        <v/>
      </c>
      <c r="U31" s="102" t="str">
        <f>IF(AND(WSALQURAN!$AG$38&gt;=91.5,WSALQURAN!$AG$38&lt;=100),"P","")</f>
        <v/>
      </c>
      <c r="V31" t="str">
        <f>IF(WSALQURAN!$AG$46&lt;74.9,"P","")</f>
        <v/>
      </c>
      <c r="W31" s="102" t="str">
        <f>IF(AND(WSALQURAN!$AG$46&gt;=75,WSALQURAN!$AG$46&lt;=83.24),"P","")</f>
        <v/>
      </c>
      <c r="X31" s="102" t="str">
        <f>IF(AND(WSALQURAN!$AG$46&gt;=83.25,WSALQURAN!$AG$46&lt;=91.4),"P","")</f>
        <v/>
      </c>
      <c r="Y31" s="102" t="str">
        <f>IF(AND(WSALQURAN!$AG$46&gt;=91.5,WSALQURAN!$AG$46&lt;=100),"P","")</f>
        <v/>
      </c>
      <c r="Z31" t="str">
        <f>IF(WSALQURAN!$AG$54&lt;74.9,"P","")</f>
        <v/>
      </c>
      <c r="AA31" s="102" t="str">
        <f>IF(AND(WSALQURAN!$AG$54&gt;=75,WSALQURAN!$AG$54&lt;=83.24),"P","")</f>
        <v/>
      </c>
      <c r="AB31" s="102" t="str">
        <f>IF(AND(WSALQURAN!$AG$54&gt;=83.25,WSALQURAN!$AG$54&lt;=91.4),"P","")</f>
        <v/>
      </c>
      <c r="AC31" s="102" t="str">
        <f>IF(AND(WSALQURAN!$AG$54&gt;=91.5,WSALQURAN!$AG$54&lt;=100),"P","")</f>
        <v/>
      </c>
      <c r="AD31" t="str">
        <f>IF(WSALQURAN!$AG$62&lt;74.9,"P","")</f>
        <v/>
      </c>
      <c r="AE31" s="102" t="str">
        <f>IF(AND(WSALQURAN!$AG$62&gt;=75,WSALQURAN!$AG$62&lt;=83.24),"P","")</f>
        <v/>
      </c>
      <c r="AF31" s="102" t="str">
        <f>IF(AND(WSALQURAN!$AG$62&gt;=83.25,WSALQURAN!$AG$62&lt;=91.4),"P","")</f>
        <v/>
      </c>
      <c r="AG31" s="102" t="str">
        <f>IF(AND(WSALQURAN!$AG$62&gt;=91.5,WSALQURAN!$AG$62&lt;=100),"P","")</f>
        <v/>
      </c>
      <c r="AH31" t="str">
        <f>IF(WSALQURAN!$AG$70&lt;74.9,"P","")</f>
        <v/>
      </c>
      <c r="AI31" s="102" t="str">
        <f>IF(AND(WSALQURAN!$AG$70&gt;=75,WSALQURAN!$AG$70&lt;=83.24),"P","")</f>
        <v/>
      </c>
      <c r="AJ31" s="102" t="str">
        <f>IF(AND(WSALQURAN!$AG$70&gt;=83.25,WSALQURAN!$AG$70&lt;=91.4),"P","")</f>
        <v/>
      </c>
      <c r="AK31" s="102" t="str">
        <f>IF(AND(WSALQURAN!$AG$70&gt;=91.5,WSALQURAN!$AG$70&lt;=100),"P","")</f>
        <v/>
      </c>
      <c r="AL31" t="str">
        <f>IF(WSALQURAN!$AG$78&lt;74.9,"P","")</f>
        <v/>
      </c>
      <c r="AM31" s="102" t="str">
        <f>IF(AND(WSALQURAN!$AG$78&gt;=75,WSALQURAN!$AG$78&lt;=83.24),"P","")</f>
        <v/>
      </c>
      <c r="AN31" s="102" t="str">
        <f>IF(AND(WSALQURAN!$AG$78&gt;=83.25,WSALQURAN!$AG$78&lt;=91.4),"P","")</f>
        <v/>
      </c>
      <c r="AO31" s="102" t="str">
        <f>IF(AND(WSALQURAN!$AG$78&gt;=91.5,WSALQURAN!$AG$78&lt;=100),"P","")</f>
        <v/>
      </c>
      <c r="AP31" t="str">
        <f>IF(WSALQURAN!$AG$86&lt;74.9,"P","")</f>
        <v/>
      </c>
      <c r="AQ31" s="102" t="str">
        <f>IF(AND(WSALQURAN!$AG$86&gt;=75,WSALQURAN!$AG$86&lt;=83.24),"P","")</f>
        <v/>
      </c>
      <c r="AR31" s="102" t="str">
        <f>IF(AND(WSALQURAN!$AG$86&gt;=83.25,WSALQURAN!$AG$86&lt;=91.4),"P","")</f>
        <v/>
      </c>
      <c r="AS31" s="102" t="str">
        <f>IF(AND(WSALQURAN!$AG$86&gt;=91.5,WSALQURAN!$AG$86&lt;=100),"P","")</f>
        <v/>
      </c>
      <c r="AT31" t="str">
        <f>IF(WSALQURAN!$AG$94&lt;74.9,"P","")</f>
        <v/>
      </c>
      <c r="AU31" s="102" t="str">
        <f>IF(AND(WSALQURAN!$AG$94&gt;=75,WSALQURAN!$AG$94&lt;=83.24),"P","")</f>
        <v/>
      </c>
      <c r="AV31" s="102" t="str">
        <f>IF(AND(WSALQURAN!$AG$94&gt;=83.25,WSALQURAN!$AG$94&lt;=91.4),"P","")</f>
        <v/>
      </c>
      <c r="AW31" s="102" t="str">
        <f>IF(AND(WSALQURAN!$AG$94&gt;=91.5,WSALQURAN!$AG$94&lt;=100),"P","")</f>
        <v/>
      </c>
      <c r="AX31" t="str">
        <f>IF(WSALQURAN!$AG$102&lt;74.9,"P","")</f>
        <v/>
      </c>
      <c r="AY31" s="102" t="str">
        <f>IF(AND(WSALQURAN!$AG$102&gt;=75,WSALQURAN!$AG$102&lt;=83.24),"P","")</f>
        <v/>
      </c>
      <c r="AZ31" s="102" t="str">
        <f>IF(AND(WSALQURAN!$AG$102&gt;=83.25,WSALQURAN!$AG$102&lt;=91.4),"P","")</f>
        <v/>
      </c>
      <c r="BA31" s="102" t="str">
        <f>IF(AND(WSALQURAN!$AG$102&gt;=91.5,WSALQURAN!$AG$102&lt;=100),"P","")</f>
        <v/>
      </c>
      <c r="BB31" t="str">
        <f>IF(WSAQIDAH!$AG$6&lt;74.9,"P","")</f>
        <v/>
      </c>
      <c r="BC31" s="102" t="str">
        <f>IF(AND(WSAQIDAH!$AG$6&gt;=75,WSAQIDAH!$AG$6&lt;=83.24),"P","")</f>
        <v/>
      </c>
      <c r="BD31" s="102" t="str">
        <f>IF(AND(WSAQIDAH!$AG$6&gt;=83.25,WSAQIDAH!$AG$6&lt;=91.4),"P","")</f>
        <v/>
      </c>
      <c r="BE31" s="102" t="str">
        <f>IF(AND(WSAQIDAH!$AG$6&gt;=91.5,WSAQIDAH!$AG$6&lt;=100),"P","")</f>
        <v/>
      </c>
      <c r="BF31" t="str">
        <f>IF(WSAQIDAH!$AG$14&lt;74.9,"P","")</f>
        <v/>
      </c>
      <c r="BG31" s="102" t="str">
        <f>IF(AND(WSAQIDAH!$AG$14&gt;=75,WSAQIDAH!$AG$14&lt;=83.24),"P","")</f>
        <v/>
      </c>
      <c r="BH31" s="102" t="str">
        <f>IF(AND(WSAQIDAH!$AG$14&gt;=83.25,WSAQIDAH!$AG$14&lt;=91.4),"P","")</f>
        <v/>
      </c>
      <c r="BI31" s="102" t="str">
        <f>IF(AND(WSAQIDAH!$AG$14&gt;=91.5,WSAQIDAH!$AG$14&lt;=100),"P","")</f>
        <v/>
      </c>
      <c r="BJ31" t="str">
        <f>IF(WSAQIDAH!$AG$22&lt;74.9,"P","")</f>
        <v/>
      </c>
      <c r="BK31" s="102" t="str">
        <f>IF(AND(WSAQIDAH!$AG$22&gt;=75,WSAQIDAH!$AG$22&lt;=83.24),"P","")</f>
        <v/>
      </c>
      <c r="BL31" s="102" t="str">
        <f>IF(AND(WSAQIDAH!$AG$22&gt;=83.25,WSAQIDAH!$AG$22&lt;=91.4),"P","")</f>
        <v/>
      </c>
      <c r="BM31" s="102" t="str">
        <f>IF(AND(WSAQIDAH!$AG$22&gt;=91.5,WSAQIDAH!$AG$22&lt;=100),"P","")</f>
        <v/>
      </c>
      <c r="BN31" t="str">
        <f>IF(WSAQIDAH!$AG$30&lt;74.9,"P","")</f>
        <v/>
      </c>
      <c r="BO31" s="102" t="str">
        <f>IF(AND(WSAQIDAH!$AG$30&gt;=75,WSAQIDAH!$AG$30&lt;=83.24),"P","")</f>
        <v/>
      </c>
      <c r="BP31" s="102" t="str">
        <f>IF(AND(WSAQIDAH!$AG$30&gt;=83.25,WSAQIDAH!$AG$30&lt;=91.4),"P","")</f>
        <v/>
      </c>
      <c r="BQ31" s="102" t="str">
        <f>IF(AND(WSAQIDAH!$AG$30&gt;=91.5,WSAQIDAH!$AG$30&lt;=100),"P","")</f>
        <v/>
      </c>
      <c r="BR31" t="str">
        <f>IF(WSAQIDAH!$AG$38&lt;74.9,"P","")</f>
        <v/>
      </c>
      <c r="BS31" s="102" t="str">
        <f>IF(AND(WSAQIDAH!$AG$38&gt;=75,WSAQIDAH!$AG$38&lt;=83.24),"P","")</f>
        <v/>
      </c>
      <c r="BT31" s="102" t="str">
        <f>IF(AND(WSAQIDAH!$AG$38&gt;=83.25,WSAQIDAH!$AG$38&lt;=91.4),"P","")</f>
        <v/>
      </c>
      <c r="BU31" s="102" t="str">
        <f>IF(AND(WSAQIDAH!$AG$38&gt;=91.5,WSAQIDAH!$AG$38&lt;=100),"P","")</f>
        <v/>
      </c>
      <c r="BV31" t="str">
        <f>IF(WSAQIDAH!$AG$46&lt;74.9,"P","")</f>
        <v/>
      </c>
      <c r="BW31" s="102" t="str">
        <f>IF(AND(WSAQIDAH!$AG$46&gt;=75,WSAQIDAH!$AG$46&lt;=83.24),"P","")</f>
        <v/>
      </c>
      <c r="BX31" s="102" t="str">
        <f>IF(AND(WSAQIDAH!$AG$46&gt;=83.25,WSAQIDAH!$AG$46&lt;=91.4),"P","")</f>
        <v/>
      </c>
      <c r="BY31" s="102" t="str">
        <f>IF(AND(WSAQIDAH!$AG$46&gt;=91.5,WSAQIDAH!$AG$46&lt;=100),"P","")</f>
        <v/>
      </c>
      <c r="BZ31" t="str">
        <f>IF(WSAQIDAH!$AG$54&lt;74.9,"P","")</f>
        <v/>
      </c>
      <c r="CA31" s="102" t="str">
        <f>IF(AND(WSAQIDAH!$AG$54&gt;=75,WSAQIDAH!$AG$54&lt;=83.24),"P","")</f>
        <v/>
      </c>
      <c r="CB31" s="102" t="str">
        <f>IF(AND(WSAQIDAH!$AG$54&gt;=83.25,WSAQIDAH!$AG$54&lt;=91.4),"P","")</f>
        <v/>
      </c>
      <c r="CC31" s="102" t="str">
        <f>IF(AND(WSAQIDAH!$AG$54&gt;=91.5,WSAQIDAH!$AG$54&lt;=100),"P","")</f>
        <v/>
      </c>
      <c r="CD31" t="str">
        <f>IF(WSAQIDAH!$AG$62&lt;74.9,"P","")</f>
        <v/>
      </c>
      <c r="CE31" s="102" t="str">
        <f>IF(AND(WSAQIDAH!$AG$62&gt;=75,WSAQIDAH!$AG$62&lt;=83.24),"P","")</f>
        <v/>
      </c>
      <c r="CF31" s="102" t="str">
        <f>IF(AND(WSAQIDAH!$AG$62&gt;=83.25,WSAQIDAH!$AG$62&lt;=91.4),"P","")</f>
        <v/>
      </c>
      <c r="CG31" s="102" t="str">
        <f>IF(AND(WSAQIDAH!$AG$62&gt;=91.5,WSAQIDAH!$AG$62&lt;=100),"P","")</f>
        <v/>
      </c>
      <c r="CH31" t="str">
        <f>IF(WSAQIDAH!$AG$70&lt;74.9,"P","")</f>
        <v/>
      </c>
      <c r="CI31" s="102" t="str">
        <f>IF(AND(WSAQIDAH!$AG$70&gt;=75,WSAQIDAH!$AG$70&lt;=83.24),"P","")</f>
        <v/>
      </c>
      <c r="CJ31" s="102" t="str">
        <f>IF(AND(WSAQIDAH!$AG$70&gt;=83.25,WSAQIDAH!$AG$70&lt;=91.4),"P","")</f>
        <v/>
      </c>
      <c r="CK31" s="102" t="str">
        <f>IF(AND(WSAQIDAH!$AG$70&gt;=91.5,WSAQIDAH!$AG$70&lt;=100),"P","")</f>
        <v/>
      </c>
      <c r="CL31" t="str">
        <f>IF(WSAQIDAH!$AG$78&lt;74.9,"P","")</f>
        <v/>
      </c>
      <c r="CM31" s="102" t="str">
        <f>IF(AND(WSAQIDAH!$AG$78&gt;=75,WSAQIDAH!$AG$78&lt;=83.24),"P","")</f>
        <v/>
      </c>
      <c r="CN31" s="102" t="str">
        <f>IF(AND(WSAQIDAH!$AG$78&gt;=83.25,WSAQIDAH!$AG$78&lt;=91.4),"P","")</f>
        <v/>
      </c>
      <c r="CO31" s="102" t="str">
        <f>IF(AND(WSAQIDAH!$AG$78&gt;=91.5,WSAQIDAH!$AG$78&lt;=100),"P","")</f>
        <v/>
      </c>
      <c r="CP31" t="str">
        <f>IF(WSAQIDAH!$AG$86&lt;74.9,"P","")</f>
        <v/>
      </c>
      <c r="CQ31" s="102" t="str">
        <f>IF(AND(WSAQIDAH!$AG$86&gt;=75,WSAQIDAH!$AG$86&lt;=83.24),"P","")</f>
        <v/>
      </c>
      <c r="CR31" s="102" t="str">
        <f>IF(AND(WSAQIDAH!$AG$86&gt;=83.25,WSAQIDAH!$AG$86&lt;=91.4),"P","")</f>
        <v/>
      </c>
      <c r="CS31" s="102" t="str">
        <f>IF(AND(WSAQIDAH!$AG$86&gt;=91.5,WSAQIDAH!$AG$86&lt;=100),"P","")</f>
        <v/>
      </c>
      <c r="CT31" t="str">
        <f>IF(WSAQIDAH!$AG$94&lt;74.9,"P","")</f>
        <v/>
      </c>
      <c r="CU31" s="102" t="str">
        <f>IF(AND(WSAQIDAH!$AG$94&gt;=75,WSAQIDAH!$AG$94&lt;=83.24),"P","")</f>
        <v/>
      </c>
      <c r="CV31" s="102" t="str">
        <f>IF(AND(WSAQIDAH!$AG$94&gt;=83.25,WSAQIDAH!$AG$94&lt;=91.4),"P","")</f>
        <v/>
      </c>
      <c r="CW31" s="102" t="str">
        <f>IF(AND(WSAQIDAH!$AG$94&gt;=91.5,WSAQIDAH!$AG$94&lt;=100),"P","")</f>
        <v/>
      </c>
      <c r="CX31" t="str">
        <f>IF(WSAQIDAH!$AG$102&lt;74.9,"P","")</f>
        <v/>
      </c>
      <c r="CY31" s="102" t="str">
        <f>IF(AND(WSAQIDAH!$AG$102&gt;=75,WSAQIDAH!$AG$102&lt;=83.24),"P","")</f>
        <v/>
      </c>
      <c r="CZ31" s="102" t="str">
        <f>IF(AND(WSAQIDAH!$AG$102&gt;=83.25,WSAQIDAH!$AG$102&lt;=91.4),"P","")</f>
        <v/>
      </c>
      <c r="DA31" s="102" t="str">
        <f>IF(AND(WSAQIDAH!$AG$102&gt;=91.5,WSAQIDAH!$AG$102&lt;=100),"P","")</f>
        <v/>
      </c>
      <c r="DB31" t="str">
        <f>IF(WSSKI!$AG$6&lt;74.9,"P","")</f>
        <v/>
      </c>
      <c r="DC31" s="102" t="str">
        <f>IF(AND(WSSKI!$AG$6&gt;=75,WSSKI!$AG$6&lt;=83.24),"P","")</f>
        <v/>
      </c>
      <c r="DD31" s="102" t="str">
        <f>IF(AND(WSSKI!$AG$6&gt;=83.25,WSSKI!$AG$6&lt;=91.4),"P","")</f>
        <v/>
      </c>
      <c r="DE31" s="102" t="str">
        <f>IF(AND(WSSKI!$AG$6&gt;=91.5,WSSKI!$AG$6&lt;=100),"P","")</f>
        <v/>
      </c>
      <c r="DF31" t="str">
        <f>IF(WSSKI!$AG$14&lt;74.9,"P","")</f>
        <v/>
      </c>
      <c r="DG31" s="102" t="str">
        <f>IF(AND(WSSKI!$AG$14&gt;=75,WSSKI!$AG$14&lt;=83.24),"P","")</f>
        <v/>
      </c>
      <c r="DH31" s="102" t="str">
        <f>IF(AND(WSSKI!$AG$14&gt;=83.25,WSSKI!$AG$14&lt;=91.4),"P","")</f>
        <v/>
      </c>
      <c r="DI31" s="102" t="str">
        <f>IF(AND(WSSKI!$AG$14&gt;=91.5,WSSKI!$AG$14&lt;=100),"P","")</f>
        <v/>
      </c>
      <c r="DJ31" t="str">
        <f>IF(WSSKI!$AG$23&lt;74.9,"P","")</f>
        <v/>
      </c>
      <c r="DK31" s="102" t="str">
        <f>IF(AND(WSSKI!$AG$23&gt;=75,WSSKI!$AG$23&lt;=83.24),"P","")</f>
        <v/>
      </c>
      <c r="DL31" s="102" t="str">
        <f>IF(AND(WSSKI!$AG$23&gt;=83.25,WSSKI!$AG$23&lt;=91.4),"P","")</f>
        <v/>
      </c>
      <c r="DM31" s="102" t="str">
        <f>IF(AND(WSSKI!$AG$23&gt;=91.5,WSSKI!$AG$23&lt;=100),"P","")</f>
        <v/>
      </c>
      <c r="DN31" t="str">
        <f>IF(WSSKI!$AG$31&lt;74.9,"P","")</f>
        <v/>
      </c>
      <c r="DO31" s="102" t="str">
        <f>IF(AND(WSSKI!$AG$31&gt;=75,WSSKI!$AG$31&lt;=83.24),"P","")</f>
        <v/>
      </c>
      <c r="DP31" s="102" t="str">
        <f>IF(AND(WSSKI!$AG$31&gt;=83.25,WSSKI!$AG$31&lt;=91.4),"P","")</f>
        <v/>
      </c>
      <c r="DQ31" s="102" t="str">
        <f>IF(AND(WSSKI!$AG$31&gt;=91.5,WSSKI!$AG$31&lt;=100),"P","")</f>
        <v/>
      </c>
      <c r="DR31" t="str">
        <f>IF(WSSKI!$AG$40&lt;74.9,"P","")</f>
        <v/>
      </c>
      <c r="DS31" s="102" t="str">
        <f>IF(AND(WSSKI!$AG$40&gt;=75,WSSKI!$AG$40&lt;=83.24),"P","")</f>
        <v/>
      </c>
      <c r="DT31" s="102" t="str">
        <f>IF(AND(WSSKI!$AG$40&gt;=83.25,WSSKI!$AG$40&lt;=91.4),"P","")</f>
        <v/>
      </c>
      <c r="DU31" s="102" t="str">
        <f>IF(AND(WSSKI!$AG$40&gt;=91.5,WSSKI!$AG$40&lt;=100),"P","")</f>
        <v/>
      </c>
      <c r="DV31" t="str">
        <f>IF(WSSKI!$AG$48&lt;74.9,"P","")</f>
        <v/>
      </c>
      <c r="DW31" s="102" t="str">
        <f>IF(AND(WSSKI!$AG$48&gt;=75,WSSKI!$AG$48&lt;=83.24),"P","")</f>
        <v/>
      </c>
      <c r="DX31" s="102" t="str">
        <f>IF(AND(WSSKI!$AG$48&gt;=83.25,WSSKI!$AG$48&lt;=91.4),"P","")</f>
        <v/>
      </c>
      <c r="DY31" s="102" t="str">
        <f>IF(AND(WSSKI!$AG$48&gt;=91.5,WSSKI!$AG$48&lt;=100),"P","")</f>
        <v/>
      </c>
      <c r="DZ31" t="str">
        <f>IF(WSSKI!$AG$56&lt;74.9,"P","")</f>
        <v/>
      </c>
      <c r="EA31" s="102" t="str">
        <f>IF(AND(WSSKI!$AG$56&gt;=75,WSSKI!$AG$56&lt;=83.24),"P","")</f>
        <v/>
      </c>
      <c r="EB31" s="102" t="str">
        <f>IF(AND(WSSKI!$AG$56&gt;=83.25,WSSKI!$AG$56&lt;=91.4),"P","")</f>
        <v/>
      </c>
      <c r="EC31" s="102" t="str">
        <f>IF(AND(WSSKI!$AG$56&gt;=91.5,WSSKI!$AG$56&lt;=100),"P","")</f>
        <v/>
      </c>
      <c r="ED31" t="str">
        <f>IF(WSSKI!$AG$64&lt;74.9,"P","")</f>
        <v/>
      </c>
      <c r="EE31" s="102" t="str">
        <f>IF(AND(WSSKI!$AG$64&gt;=75,WSSKI!$AG$64&lt;=83.24),"P","")</f>
        <v/>
      </c>
      <c r="EF31" s="102" t="str">
        <f>IF(AND(WSSKI!$AG$64&gt;=83.25,WSSKI!$AG$64&lt;=91.4),"P","")</f>
        <v/>
      </c>
      <c r="EG31" s="102" t="str">
        <f>IF(AND(WSSKI!$AG$64&gt;=91.5,WSSKI!$AG$64&lt;=100),"P","")</f>
        <v/>
      </c>
      <c r="EH31" t="str">
        <f>IF(WSSKI!$AG$72&lt;74.9,"P","")</f>
        <v/>
      </c>
      <c r="EI31" s="102" t="str">
        <f>IF(AND(WSSKI!$AG$72&gt;=75,WSSKI!$AG$72&lt;=83.24),"P","")</f>
        <v/>
      </c>
      <c r="EJ31" s="102" t="str">
        <f>IF(AND(WSSKI!$AG$72&gt;=83.25,WSSKI!$AG$72&lt;=91.4),"P","")</f>
        <v/>
      </c>
      <c r="EK31" s="102" t="str">
        <f>IF(AND(WSSKI!$AG$72&gt;=91.5,WSSKI!$AG$72&lt;=100),"P","")</f>
        <v/>
      </c>
      <c r="EL31" t="str">
        <f>IF(WSSKI!$AG$80&lt;74.9,"P","")</f>
        <v/>
      </c>
      <c r="EM31" s="102" t="str">
        <f>IF(AND(WSSKI!$AG$80&gt;=75,WSSKI!$AG$80&lt;=83.24),"P","")</f>
        <v/>
      </c>
      <c r="EN31" s="102" t="str">
        <f>IF(AND(WSSKI!$AG$80&gt;=83.25,WSSKI!$AG$80&lt;=91.4),"P","")</f>
        <v/>
      </c>
      <c r="EO31" s="102" t="str">
        <f>IF(AND(WSSKI!$AG$80&gt;=91.5,WSSKI!$AG$80&lt;=100),"P","")</f>
        <v/>
      </c>
      <c r="EP31" t="str">
        <f>IF(WSSKI!$AG$88&lt;74.9,"P","")</f>
        <v/>
      </c>
      <c r="EQ31" s="102" t="str">
        <f>IF(AND(WSSKI!$AG$88&gt;=75,WSSKI!$AG$88&lt;=83.24),"P","")</f>
        <v/>
      </c>
      <c r="ER31" s="102" t="str">
        <f>IF(AND(WSSKI!$AG$88&gt;=83.25,WSSKI!$AG$88&lt;=91.4),"P","")</f>
        <v/>
      </c>
      <c r="ES31" s="102" t="str">
        <f>IF(AND(WSSKI!$AG$88&gt;=91.5,WSSKI!$AG$88&lt;=100),"P","")</f>
        <v/>
      </c>
      <c r="ET31" t="str">
        <f>IF(WSSKI!$AG$96&lt;74.9,"P","")</f>
        <v/>
      </c>
      <c r="EU31" s="102" t="str">
        <f>IF(AND(WSSKI!$AG$96&gt;=75,WSSKI!$AG$96&lt;=83.24),"P","")</f>
        <v/>
      </c>
      <c r="EV31" s="102" t="str">
        <f>IF(AND(WSSKI!$AG$96&gt;=83.25,WSSKI!$AG$96&lt;=91.4),"P","")</f>
        <v/>
      </c>
      <c r="EW31" s="102" t="str">
        <f>IF(AND(WSSKI!$AG$96&gt;=91.5,WSSKI!$AG$96&lt;=100),"P","")</f>
        <v/>
      </c>
      <c r="EX31" t="str">
        <f>IF(WSSKI!$AG$104&lt;74.9,"P","")</f>
        <v/>
      </c>
      <c r="EY31" s="102" t="str">
        <f>IF(AND(WSSKI!$AG$104&gt;=75,WSSKI!$AG$104&lt;=83.24),"P","")</f>
        <v/>
      </c>
      <c r="EZ31" s="102" t="str">
        <f>IF(AND(WSSKI!$AG$104&gt;=83.25,WSSKI!$AG$104&lt;=91.4),"P","")</f>
        <v/>
      </c>
      <c r="FA31" s="102" t="str">
        <f>IF(AND(WSSKI!$AG$104&gt;=91.5,WSSKI!$AG$104&lt;=100),"P","")</f>
        <v/>
      </c>
      <c r="FB31" t="str">
        <f>IF(WSFIQIH!$AG$6&lt;74.9,"P","")</f>
        <v/>
      </c>
      <c r="FC31" s="102" t="str">
        <f>IF(AND(WSFIQIH!$AG$6&gt;=75,WSFIQIH!$AG$6&lt;=83.24),"P","")</f>
        <v/>
      </c>
      <c r="FD31" s="102" t="str">
        <f>IF(AND(WSFIQIH!$AG$6&gt;=83.25,WSFIQIH!$AG$6&lt;=91.4),"P","")</f>
        <v/>
      </c>
      <c r="FE31" s="102" t="str">
        <f>IF(AND(WSFIQIH!$AG$6&gt;=91.5,WSFIQIH!$AG$6&lt;=100),"P","")</f>
        <v/>
      </c>
      <c r="FF31" t="str">
        <f>IF(WSFIQIH!$AG$19&lt;74.9,"P","")</f>
        <v/>
      </c>
      <c r="FG31" s="102" t="str">
        <f>IF(AND(WSFIQIH!$AG$19&gt;=75,WSFIQIH!$AG$19&lt;=83.24),"P","")</f>
        <v/>
      </c>
      <c r="FH31" s="102" t="str">
        <f>IF(AND(WSFIQIH!$AG$19&gt;=83.25,WSFIQIH!$AG$19&lt;=91.4),"P","")</f>
        <v/>
      </c>
      <c r="FI31" s="102" t="str">
        <f>IF(AND(WSFIQIH!$AG$19&gt;=91.5,WSFIQIH!$AG$19&lt;=100),"P","")</f>
        <v/>
      </c>
      <c r="FJ31" t="str">
        <f>IF(WSFIQIH!$AG$28&lt;74.9,"P","")</f>
        <v/>
      </c>
      <c r="FK31" s="102" t="str">
        <f>IF(AND(WSFIQIH!$AG$28&gt;=75,WSFIQIH!$AG$28&lt;=83.24),"P","")</f>
        <v/>
      </c>
      <c r="FL31" s="102" t="str">
        <f>IF(AND(WSFIQIH!$AG$28&gt;=83.25,WSFIQIH!$AG$28&lt;=91.4),"P","")</f>
        <v/>
      </c>
      <c r="FM31" s="102" t="str">
        <f>IF(AND(WSFIQIH!$AG$28&gt;=91.5,WSFIQIH!$AG$28&lt;=100),"P","")</f>
        <v/>
      </c>
      <c r="FN31" t="str">
        <f>IF(WSFIQIH!$AG$41&lt;74.9,"P","")</f>
        <v/>
      </c>
      <c r="FO31" s="102" t="str">
        <f>IF(AND(WSFIQIH!$AG$41&gt;=75,WSFIQIH!$AG$41&lt;=83.24),"P","")</f>
        <v/>
      </c>
      <c r="FP31" s="102" t="str">
        <f>IF(AND(WSFIQIH!$AG$41&gt;=83.25,WSFIQIH!$AG$41&lt;=91.4),"P","")</f>
        <v/>
      </c>
      <c r="FQ31" s="102" t="str">
        <f>IF(AND(WSFIQIH!$AG$41&gt;=91.5,WSFIQIH!$AG$41&lt;=100),"P","")</f>
        <v/>
      </c>
      <c r="FR31" t="str">
        <f>IF(WSFIQIH!$AG$49&lt;74.9,"P","")</f>
        <v/>
      </c>
      <c r="FS31" s="102" t="str">
        <f>IF(AND(WSFIQIH!$AG$49&gt;=75,WSFIQIH!$AG$49&lt;=83.24),"P","")</f>
        <v/>
      </c>
      <c r="FT31" s="102" t="str">
        <f>IF(AND(WSFIQIH!$AG$49&gt;=83.25,WSFIQIH!$AG$49&lt;=91.4),"P","")</f>
        <v/>
      </c>
      <c r="FU31" s="102" t="str">
        <f>IF(AND(WSFIQIH!$AG$49&gt;=91.5,WSFIQIH!$AG$49&lt;=100),"P","")</f>
        <v/>
      </c>
      <c r="FV31" t="str">
        <f>IF(WSFIQIH!$AG$62&lt;74.9,"P","")</f>
        <v/>
      </c>
      <c r="FW31" s="102" t="str">
        <f>IF(AND(WSFIQIH!$AG$62&gt;=75,WSFIQIH!$AG$62&lt;=83.24),"P","")</f>
        <v/>
      </c>
      <c r="FX31" s="102" t="str">
        <f>IF(AND(WSFIQIH!$AG$62&gt;=83.25,WSFIQIH!$AG$62&lt;=91.4),"P","")</f>
        <v/>
      </c>
      <c r="FY31" s="102" t="str">
        <f>IF(AND(WSFIQIH!$AG$62&gt;=91.5,WSFIQIH!$AG$62&lt;=100),"P","")</f>
        <v/>
      </c>
      <c r="FZ31" t="str">
        <f>IF(WSFIQIH!$AG$71&lt;74.9,"P","")</f>
        <v/>
      </c>
      <c r="GA31" s="102" t="str">
        <f>IF(AND(WSFIQIH!$AG$71&gt;=75,WSFIQIH!$AG$71&lt;=83.24),"P","")</f>
        <v/>
      </c>
      <c r="GB31" s="102" t="str">
        <f>IF(AND(WSFIQIH!$AG$71&gt;=83.25,WSFIQIH!$AG$71&lt;=91.4),"P","")</f>
        <v/>
      </c>
      <c r="GC31" s="102" t="str">
        <f>IF(AND(WSFIQIH!$AG$71&gt;=91.5,WSFIQIH!$AG$71&lt;=100),"P","")</f>
        <v/>
      </c>
      <c r="GD31" t="str">
        <f>IF(WSFIQIH!$AG$80&lt;74.9,"P","")</f>
        <v/>
      </c>
      <c r="GE31" s="102" t="str">
        <f>IF(AND(WSFIQIH!$AG$80&gt;=75,WSFIQIH!$AG$80&lt;=83.24),"P","")</f>
        <v/>
      </c>
      <c r="GF31" s="102" t="str">
        <f>IF(AND(WSFIQIH!$AG$80&gt;=83.25,WSFIQIH!$AG$80&lt;=91.4),"P","")</f>
        <v/>
      </c>
      <c r="GG31" s="102" t="str">
        <f>IF(AND(WSFIQIH!$AG$80&gt;=91.5,WSFIQIH!$AG$80&lt;=100),"P","")</f>
        <v/>
      </c>
      <c r="GH31" t="str">
        <f>IF(WSFIQIH!$AG$88&lt;74.9,"P","")</f>
        <v/>
      </c>
      <c r="GI31" s="102" t="str">
        <f>IF(AND(WSFIQIH!$AG$88&gt;=75,WSFIQIH!$AG$88&lt;=83.24),"P","")</f>
        <v/>
      </c>
      <c r="GJ31" s="102" t="str">
        <f>IF(AND(WSFIQIH!$AG$88&gt;=83.25,WSFIQIH!$AG$88&lt;=91.4),"P","")</f>
        <v/>
      </c>
      <c r="GK31" s="102" t="str">
        <f>IF(AND(WSFIQIH!$AG$88&gt;=91.5,WSFIQIH!$AG$88&lt;=100),"P","")</f>
        <v/>
      </c>
      <c r="GL31" t="str">
        <f>IF(WSFIQIH!$AG$96&lt;74.9,"P","")</f>
        <v/>
      </c>
      <c r="GM31" s="102" t="str">
        <f>IF(AND(WSFIQIH!$AG$96&gt;=75,WSFIQIH!$AG$96&lt;=83.24),"P","")</f>
        <v/>
      </c>
      <c r="GN31" s="102" t="str">
        <f>IF(AND(WSFIQIH!$AG$96&gt;=83.25,WSFIQIH!$AG$96&lt;=91.4),"P","")</f>
        <v/>
      </c>
      <c r="GO31" s="102" t="str">
        <f>IF(AND(WSFIQIH!$AG$96&gt;=91.5,WSFIQIH!$AG$96&lt;=100),"P","")</f>
        <v/>
      </c>
      <c r="GP31" t="str">
        <f>IF(WSFIQIH!$AG$104&lt;74.9,"P","")</f>
        <v/>
      </c>
      <c r="GQ31" s="102" t="str">
        <f>IF(AND(WSFIQIH!$AG$104&gt;=75,WSFIQIH!$AG$104&lt;=83.24),"P","")</f>
        <v/>
      </c>
      <c r="GR31" s="102" t="str">
        <f>IF(AND(WSFIQIH!$AG$104&gt;=83.25,WSFIQIH!$AG$104&lt;=91.4),"P","")</f>
        <v/>
      </c>
      <c r="GS31" s="102" t="str">
        <f>IF(AND(WSFIQIH!$AG$104&gt;=91.5,WSFIQIH!$AG$104&lt;=100),"P","")</f>
        <v/>
      </c>
      <c r="GT31" t="str">
        <f>IF(WSFIQIH!$AG$112&lt;74.9,"P","")</f>
        <v/>
      </c>
      <c r="GU31" s="102" t="str">
        <f>IF(AND(WSFIQIH!$AG$112&gt;=75,WSFIQIH!$AG$112&lt;=83.24),"P","")</f>
        <v/>
      </c>
      <c r="GV31" s="102" t="str">
        <f>IF(AND(WSFIQIH!$AG$112&gt;=83.25,WSFIQIH!$AG$112&lt;=91.4),"P","")</f>
        <v/>
      </c>
      <c r="GW31" s="102" t="str">
        <f>IF(AND(WSFIQIH!$AG$112&gt;=91.5,WSFIQIH!$AG$112&lt;=100),"P","")</f>
        <v/>
      </c>
      <c r="GX31" t="str">
        <f>IF(WSFIQIH!$AG$120&lt;74.9,"P","")</f>
        <v/>
      </c>
      <c r="GY31" s="102" t="str">
        <f>IF(AND(WSFIQIH!$AG$120&gt;=75,WSFIQIH!$AG$120&lt;=83.24),"P","")</f>
        <v/>
      </c>
      <c r="GZ31" s="102" t="str">
        <f>IF(AND(WSFIQIH!$AG$120&gt;=83.25,WSFIQIH!$AG$120&lt;=91.4),"P","")</f>
        <v/>
      </c>
      <c r="HA31" s="102" t="str">
        <f>IF(AND(WSFIQIH!$AG$120&gt;=91.5,WSFIQIH!$AG$120&lt;=100),"P","")</f>
        <v/>
      </c>
      <c r="HB31" t="str">
        <f>IF(WSPKN!$AG$6&lt;74.9,"P","")</f>
        <v/>
      </c>
      <c r="HC31" s="102" t="str">
        <f>IF(AND(WSPKN!$AG$6&gt;=75,WSPKN!$AG$6&lt;=83.24),"P","")</f>
        <v/>
      </c>
      <c r="HD31" s="102" t="str">
        <f>IF(AND(WSPKN!$AG$6&gt;=83.25,WSPKN!$AG$6&lt;=91.4),"P","")</f>
        <v/>
      </c>
      <c r="HE31" s="102" t="str">
        <f>IF(AND(WSPKN!$AG$6&gt;=91.5,WSPKN!$AG$6&lt;=100),"P","")</f>
        <v/>
      </c>
      <c r="HF31" t="str">
        <f>IF(WSPKN!$AG$32&lt;74.9,"P","")</f>
        <v/>
      </c>
      <c r="HG31" s="102" t="str">
        <f>IF(AND(WSPKN!$AG$32&gt;=75,WSPKN!$AG$32&lt;=83.24),"P","")</f>
        <v/>
      </c>
      <c r="HH31" s="102" t="str">
        <f>IF(AND(WSPKN!$AG$32&gt;=83.25,WSPKN!$AG$32&lt;=91.4),"P","")</f>
        <v/>
      </c>
      <c r="HI31" s="102" t="str">
        <f>IF(AND(WSPKN!$AG$32&gt;=91.5,WSPKN!$AG$32&lt;=100),"P","")</f>
        <v/>
      </c>
      <c r="HJ31" t="str">
        <f>IF(WSPKN!$AG$55&lt;74.9,"P","")</f>
        <v/>
      </c>
      <c r="HK31" s="102" t="str">
        <f>IF(AND(WSPKN!$AG$55&gt;=75,WSPKN!$AG$55&lt;=83.24),"P","")</f>
        <v/>
      </c>
      <c r="HL31" s="102" t="str">
        <f>IF(AND(WSPKN!$AG$55&gt;=83.25,WSPKN!$AG$55&lt;=91.4),"P","")</f>
        <v/>
      </c>
      <c r="HM31" s="102" t="str">
        <f>IF(AND(WSPKN!$AG$55&gt;=91.5,WSPKN!$AG$55&lt;=100),"P","")</f>
        <v/>
      </c>
      <c r="HN31" t="str">
        <f>IF(WSPKN!$AG$72&lt;74.9,"P","")</f>
        <v/>
      </c>
      <c r="HO31" s="102" t="str">
        <f>IF(AND(WSPKN!$AG$72&gt;=75,WSPKN!$AG$72&lt;=83.24),"P","")</f>
        <v/>
      </c>
      <c r="HP31" s="102" t="str">
        <f>IF(AND(WSPKN!$AG$72&gt;=83.25,WSPKN!$AG$72&lt;=91.4),"P","")</f>
        <v/>
      </c>
      <c r="HQ31" s="102" t="str">
        <f>IF(AND(WSPKN!$AG$72&gt;=91.5,WSPKN!$AG$72&lt;=100),"P","")</f>
        <v/>
      </c>
      <c r="HR31" t="str">
        <f>IF(WSPKN!$AG$86&lt;74.9,"P","")</f>
        <v/>
      </c>
      <c r="HS31" s="102" t="str">
        <f>IF(AND(WSPKN!$AG$86&gt;=75,WSPKN!$AG$86&lt;=83.24),"P","")</f>
        <v/>
      </c>
      <c r="HT31" s="102" t="str">
        <f>IF(AND(WSPKN!$AG$86&gt;=83.25,WSPKN!$AG$86&lt;=91.4),"P","")</f>
        <v/>
      </c>
      <c r="HU31" s="102" t="str">
        <f>IF(AND(WSPKN!$AG$86&gt;=91.5,WSPKN!$AG$86&lt;=100),"P","")</f>
        <v/>
      </c>
      <c r="HV31" t="str">
        <f>IF(WSPKN!$AG$108&lt;74.9,"P","")</f>
        <v/>
      </c>
      <c r="HW31" s="102" t="str">
        <f>IF(AND(WSPKN!$AG$108&gt;=75,WSPKN!$AG$108&lt;=83.24),"P","")</f>
        <v/>
      </c>
      <c r="HX31" s="102" t="str">
        <f>IF(AND(WSPKN!$AG$108&gt;=83.25,WSPKN!$AG$108&lt;=91.4),"P","")</f>
        <v/>
      </c>
      <c r="HY31" s="102" t="str">
        <f>IF(AND(WSPKN!$AG$108&gt;=91.5,WSPKN!$AG$108&lt;=100),"P","")</f>
        <v/>
      </c>
      <c r="HZ31" t="str">
        <f>IF(WSPKN!$AG$132&lt;74.9,"P","")</f>
        <v/>
      </c>
      <c r="IA31" s="102" t="str">
        <f>IF(AND(WSPKN!$AG$132&gt;=75,WSPKN!$AG$132&lt;=83.24),"P","")</f>
        <v/>
      </c>
      <c r="IB31" s="102" t="str">
        <f>IF(AND(WSPKN!$AG$132&gt;=83.25,WSPKN!$AG$132&lt;=91.4),"P","")</f>
        <v/>
      </c>
      <c r="IC31" s="102" t="str">
        <f>IF(AND(WSPKN!$AG$132&gt;=91.5,WSPKN!$AG$132&lt;=100),"P","")</f>
        <v/>
      </c>
      <c r="ID31" t="str">
        <f>IF(WSPKN!$AG$148&lt;74.9,"P","")</f>
        <v/>
      </c>
      <c r="IE31" s="102" t="str">
        <f>IF(AND(WSPKN!$AG$148&gt;=75,WSPKN!$AG$148&lt;=83.24),"P","")</f>
        <v/>
      </c>
      <c r="IF31" s="102" t="str">
        <f>IF(AND(WSPKN!$AG$148&gt;=83.25,WSPKN!$AG$148&lt;=91.4),"P","")</f>
        <v/>
      </c>
      <c r="IG31" s="102" t="str">
        <f>IF(AND(WSPKN!$AG$148&gt;=91.5,WSPKN!$AG$148&lt;=100),"P","")</f>
        <v/>
      </c>
      <c r="IH31" t="str">
        <f>IF(WSPKN!$AG$165&lt;74.9,"P","")</f>
        <v/>
      </c>
      <c r="II31" s="102" t="str">
        <f>IF(AND(WSPKN!$AG$165&gt;=75,WSPKN!$AG$165&lt;=83.24),"P","")</f>
        <v/>
      </c>
      <c r="IJ31" s="102" t="str">
        <f>IF(AND(WSPKN!$AG$165&gt;=83.25,WSPKN!$AG$165&lt;=91.4),"P","")</f>
        <v/>
      </c>
      <c r="IK31" s="102" t="str">
        <f>IF(AND(WSPKN!$AG$165&gt;=91.5,WSPKN!$AG$165&lt;=100),"P","")</f>
        <v/>
      </c>
      <c r="IL31" t="str">
        <f>IF(WSPKN!$AG$173&lt;74.9,"P","")</f>
        <v/>
      </c>
      <c r="IM31" s="102" t="str">
        <f>IF(AND(WSPKN!$AG$173&gt;=75,WSPKN!$AG$173&lt;=83.24),"P","")</f>
        <v/>
      </c>
      <c r="IN31" s="102" t="str">
        <f>IF(AND(WSPKN!$AG$173&gt;=83.25,WSPKN!$AG$173&lt;=91.4),"P","")</f>
        <v/>
      </c>
      <c r="IO31" s="102" t="str">
        <f>IF(AND(WSPKN!$AG$173&gt;=91.5,WSPKN!$AG$173&lt;=100),"P","")</f>
        <v/>
      </c>
      <c r="IP31" t="str">
        <f>IF(WSPKN!$AG$181&lt;74.9,"P","")</f>
        <v/>
      </c>
      <c r="IQ31" s="102" t="str">
        <f>IF(AND(WSPKN!$AG$181&gt;=75,WSPKN!$AG$181&lt;=83.24),"P","")</f>
        <v/>
      </c>
      <c r="IR31" s="102" t="str">
        <f>IF(AND(WSPKN!$AG$181&gt;=83.25,WSPKN!$AG$181&lt;=91.4),"P","")</f>
        <v/>
      </c>
      <c r="IS31" s="102" t="str">
        <f>IF(AND(WSPKN!$AG$181&gt;=91.5,WSPKN!$AG$181&lt;=100),"P","")</f>
        <v/>
      </c>
      <c r="IT31" t="str">
        <f>IF(WSPKN!$AG$189&lt;74.9,"P","")</f>
        <v/>
      </c>
      <c r="IU31" s="102" t="str">
        <f>IF(AND(WSPKN!$AG$189&gt;=75,WSPKN!$AG$189&lt;=83.24),"P","")</f>
        <v/>
      </c>
      <c r="IV31" s="102" t="str">
        <f>IF(AND(WSPKN!$AG$189&gt;=83.25,WSPKN!$AG$189&lt;=91.4),"P","")</f>
        <v/>
      </c>
      <c r="IW31" s="102" t="str">
        <f>IF(AND(WSPKN!$AG$189&gt;=91.5,WSPKN!$AG$189&lt;=100),"P","")</f>
        <v/>
      </c>
      <c r="IX31" t="str">
        <f>IF(WSPKN!$AG$197&lt;74.9,"P","")</f>
        <v/>
      </c>
      <c r="IY31" s="102" t="str">
        <f>IF(AND(WSPKN!$AG$197&gt;=75,WSPKN!$AG$197&lt;=83.24),"P","")</f>
        <v/>
      </c>
      <c r="IZ31" s="102" t="str">
        <f>IF(AND(WSPKN!$AG$197&gt;=83.25,WSPKN!$AG$197&lt;=91.4),"P","")</f>
        <v/>
      </c>
      <c r="JA31" s="102" t="str">
        <f>IF(AND(WSPKN!$AG$197&gt;=91.5,WSPKN!$AG$197&lt;=100),"P","")</f>
        <v/>
      </c>
      <c r="JB31" t="str">
        <f>IF(WSIND!$AG$6&lt;74.9,"P","")</f>
        <v/>
      </c>
      <c r="JC31" s="102" t="str">
        <f>IF(AND(WSIND!$AG$6&gt;=75,WSIND!$AG$6&lt;=83.24),"P","")</f>
        <v/>
      </c>
      <c r="JD31" s="102" t="str">
        <f>IF(AND(WSIND!$AG$6&gt;=83.25,WSIND!$AG$6&lt;=91.4),"P","")</f>
        <v/>
      </c>
      <c r="JE31" s="102" t="str">
        <f>IF(AND(WSIND!$AG$6&gt;=91.5,WSIND!$AG$6&lt;=100),"P","")</f>
        <v/>
      </c>
      <c r="JF31" t="str">
        <f>IF(WSIND!$AG$65&lt;74.9,"P","")</f>
        <v/>
      </c>
      <c r="JG31" s="102" t="str">
        <f>IF(AND(WSIND!$AG$65&gt;=75,WSIND!$AG$65&lt;=83.24),"P","")</f>
        <v/>
      </c>
      <c r="JH31" s="102" t="str">
        <f>IF(AND(WSIND!$AG$65&gt;=83.25,WSIND!$AG$65&lt;=91.4),"P","")</f>
        <v/>
      </c>
      <c r="JI31" s="102" t="str">
        <f>IF(AND(WSIND!$AG$65&gt;=91.5,WSIND!$AG$65&lt;=100),"P","")</f>
        <v/>
      </c>
      <c r="JJ31" t="str">
        <f>IF(WSIND!$AG$113&lt;74.9,"P","")</f>
        <v/>
      </c>
      <c r="JK31" s="102" t="str">
        <f>IF(AND(WSIND!$AG$113&gt;=75,WSIND!$AG$113&lt;=83.24),"P","")</f>
        <v/>
      </c>
      <c r="JL31" s="102" t="str">
        <f>IF(AND(WSIND!$AG$113&gt;=83.25,WSIND!$AG$113&lt;=91.4),"P","")</f>
        <v/>
      </c>
      <c r="JM31" s="102" t="str">
        <f>IF(AND(WSIND!$AG$113&gt;=91.5,WSIND!$AG$113&lt;=100),"P","")</f>
        <v/>
      </c>
      <c r="JN31" t="str">
        <f>IF(WSIND!$AG$133&lt;74.9,"P","")</f>
        <v/>
      </c>
      <c r="JO31" s="102" t="str">
        <f>IF(AND(WSIND!$AG$133&gt;=75,WSIND!$AG$133&lt;=83.24),"P","")</f>
        <v/>
      </c>
      <c r="JP31" s="102" t="str">
        <f>IF(AND(WSIND!$AG$133&gt;=83.25,WSIND!$AG$133&lt;=91.4),"P","")</f>
        <v/>
      </c>
      <c r="JQ31" s="102" t="str">
        <f>IF(AND(WSIND!$AG$133&gt;=91.5,WSIND!$AG$133&lt;=100),"P","")</f>
        <v/>
      </c>
      <c r="JR31" t="str">
        <f>IF(WSIND!$AG$161&lt;74.9,"P","")</f>
        <v/>
      </c>
      <c r="JS31" s="102" t="str">
        <f>IF(AND(WSIND!$AG$161&gt;=75,WSIND!$AG$161&lt;=83.24),"P","")</f>
        <v/>
      </c>
      <c r="JT31" s="102" t="str">
        <f>IF(AND(WSIND!$AG$161&gt;=83.25,WSIND!$AG$161&lt;=91.4),"P","")</f>
        <v/>
      </c>
      <c r="JU31" s="102" t="str">
        <f>IF(AND(WSIND!$AG$161&gt;=91.5,WSIND!$AG$161&lt;=100),"P","")</f>
        <v/>
      </c>
      <c r="JV31" t="str">
        <f>IF(WSIND!$AG$192&lt;74.9,"P","")</f>
        <v/>
      </c>
      <c r="JW31" s="102" t="str">
        <f>IF(AND(WSIND!$AG$192&gt;=75,WSIND!$AG$192&lt;=83.24),"P","")</f>
        <v/>
      </c>
      <c r="JX31" s="102" t="str">
        <f>IF(AND(WSIND!$AG$192&gt;=83.25,WSIND!$AG$192&lt;=91.4),"P","")</f>
        <v/>
      </c>
      <c r="JY31" s="102" t="str">
        <f>IF(AND(WSIND!$AG$192&gt;=91.5,WSIND!$AG$192&lt;=100),"P","")</f>
        <v/>
      </c>
      <c r="JZ31" t="str">
        <f>IF(WSIND!$AG$228&lt;74.9,"P","")</f>
        <v/>
      </c>
      <c r="KA31" s="102" t="str">
        <f>IF(AND(WSIND!$AG$228&gt;=75,WSIND!$AG$228&lt;=83.24),"P","")</f>
        <v/>
      </c>
      <c r="KB31" s="102" t="str">
        <f>IF(AND(WSIND!$AG$228&gt;=83.25,WSIND!$AG$228&lt;=91.4),"P","")</f>
        <v/>
      </c>
      <c r="KC31" s="102" t="str">
        <f>IF(AND(WSIND!$AG$228&gt;=91.5,WSIND!$AG$228&lt;=100),"P","")</f>
        <v/>
      </c>
      <c r="KD31" t="str">
        <f>IF(WSIND!$AG$256&lt;74.9,"P","")</f>
        <v/>
      </c>
      <c r="KE31" s="102" t="str">
        <f>IF(AND(WSIND!$AG$256&gt;=75,WSIND!$AG$256&lt;=83.24),"P","")</f>
        <v/>
      </c>
      <c r="KF31" s="102" t="str">
        <f>IF(AND(WSIND!$AG$256&gt;=83.25,WSIND!$AG$256&lt;=91.4),"P","")</f>
        <v/>
      </c>
      <c r="KG31" s="102" t="str">
        <f>IF(AND(WSIND!$AG$256&gt;=91.5,WSIND!$AG$256&lt;=100),"P","")</f>
        <v/>
      </c>
      <c r="KH31" t="str">
        <f>IF(WSIND!$AG$277&lt;74.9,"P","")</f>
        <v/>
      </c>
      <c r="KI31" s="102" t="str">
        <f>IF(AND(WSIND!$AG$277&gt;=75,WSIND!$AG$277&lt;=83.24),"P","")</f>
        <v/>
      </c>
      <c r="KJ31" s="102" t="str">
        <f>IF(AND(WSIND!$AG$277&gt;=83.25,WSIND!$AG$277&lt;=91.4),"P","")</f>
        <v/>
      </c>
      <c r="KK31" s="102" t="str">
        <f>IF(AND(WSIND!$AG$277&gt;=91.5,WSIND!$AG$277&lt;=100),"P","")</f>
        <v/>
      </c>
      <c r="KL31" t="str">
        <f>IF(WSIND!$AG$305&lt;74.9,"P","")</f>
        <v/>
      </c>
      <c r="KM31" s="102" t="str">
        <f>IF(AND(WSIND!$AG$305&gt;=75,WSIND!$AG$305&lt;=83.24),"P","")</f>
        <v/>
      </c>
      <c r="KN31" s="102" t="str">
        <f>IF(AND(WSIND!$AG$305&gt;=83.25,WSIND!$AG$305&lt;=91.4),"P","")</f>
        <v/>
      </c>
      <c r="KO31" s="102" t="str">
        <f>IF(AND(WSIND!$AG$305&gt;=91.5,WSIND!$AG$305&lt;=100),"P","")</f>
        <v/>
      </c>
      <c r="KP31" t="str">
        <f>IF(WSIND!$AG$329&lt;74.9,"P","")</f>
        <v/>
      </c>
      <c r="KQ31" s="102" t="str">
        <f>IF(AND(WSIND!$AG$329&gt;=75,WSIND!$AG$329&lt;=83.24),"P","")</f>
        <v/>
      </c>
      <c r="KR31" s="102" t="str">
        <f>IF(AND(WSIND!$AG$329&gt;=83.25,WSIND!$AG$329&lt;=91.4),"P","")</f>
        <v/>
      </c>
      <c r="KS31" s="102" t="str">
        <f>IF(AND(WSIND!$AG$329&gt;=91.5,WSIND!$AG$329&lt;=100),"P","")</f>
        <v/>
      </c>
      <c r="KT31" t="str">
        <f>IF(WSIND!$AG$337&lt;74.9,"P","")</f>
        <v/>
      </c>
      <c r="KU31" s="102" t="str">
        <f>IF(AND(WSIND!$AG$337&gt;=75,WSIND!$AG$337&lt;=83.24),"P","")</f>
        <v/>
      </c>
      <c r="KV31" s="102" t="str">
        <f>IF(AND(WSIND!$AG$337&gt;=83.25,WSIND!$AG$337&lt;=91.4),"P","")</f>
        <v/>
      </c>
      <c r="KW31" s="102" t="str">
        <f>IF(AND(WSIND!$AG$337&gt;=91.5,WSIND!$AG$337&lt;=100),"P","")</f>
        <v/>
      </c>
      <c r="KX31" t="str">
        <f>IF(WSIND!$AG$345&lt;74.9,"P","")</f>
        <v/>
      </c>
      <c r="KY31" s="102" t="str">
        <f>IF(AND(WSIND!$AG$345&gt;=75,WSIND!$AG$345&lt;=83.24),"P","")</f>
        <v/>
      </c>
      <c r="KZ31" s="102" t="str">
        <f>IF(AND(WSIND!$AG$345&gt;=83.25,WSIND!$AG$345&lt;=91.4),"P","")</f>
        <v/>
      </c>
      <c r="LA31" s="102" t="str">
        <f>IF(AND(WSIND!$AG$345&gt;=91.5,WSIND!$AG$345&lt;=100),"P","")</f>
        <v/>
      </c>
      <c r="LB31" t="str">
        <f>IF(WSARAB!$AG$6&lt;74.9,"P","")</f>
        <v/>
      </c>
      <c r="LC31" s="102" t="str">
        <f>IF(AND(WSARAB!$AG$6&gt;=75,WSARAB!$AG$6&lt;=83.24),"P","")</f>
        <v/>
      </c>
      <c r="LD31" s="102" t="str">
        <f>IF(AND(WSARAB!$AG$6&gt;=83.25,WSARAB!$AG$6&lt;=91.4),"P","")</f>
        <v/>
      </c>
      <c r="LE31" s="102" t="str">
        <f>IF(AND(WSARAB!$AG$6&gt;=91.5,WSARAB!$AG$6&lt;=100),"P","")</f>
        <v/>
      </c>
      <c r="LF31" t="str">
        <f>IF(WSARAB!$AG$17&lt;74.9,"P","")</f>
        <v/>
      </c>
      <c r="LG31" s="102" t="str">
        <f>IF(AND(WSARAB!$AG$17&gt;=75,WSARAB!$AG$17&lt;=83.24),"P","")</f>
        <v/>
      </c>
      <c r="LH31" s="102" t="str">
        <f>IF(AND(WSARAB!$AG$17&gt;=83.25,WSARAB!$AG$17&lt;=91.4),"P","")</f>
        <v/>
      </c>
      <c r="LI31" s="102" t="str">
        <f>IF(AND(WSARAB!$AG$17&gt;=91.5,WSARAB!$AG$17&lt;=100),"P","")</f>
        <v/>
      </c>
      <c r="LJ31" t="str">
        <f>IF(WSARAB!$AG$29&lt;74.9,"P","")</f>
        <v/>
      </c>
      <c r="LK31" s="102" t="str">
        <f>IF(AND(WSARAB!$AG$29&gt;=75,WSARAB!$AG$29&lt;=83.24),"P","")</f>
        <v/>
      </c>
      <c r="LL31" s="102" t="str">
        <f>IF(AND(WSARAB!$AG$29&gt;=83.25,WSARAB!$AG$29&lt;=91.4),"P","")</f>
        <v/>
      </c>
      <c r="LM31" s="102" t="str">
        <f>IF(AND(WSARAB!$AG$29&gt;=91.5,WSARAB!$AG$29&lt;=100),"P","")</f>
        <v/>
      </c>
      <c r="LN31" t="str">
        <f>IF(WSARAB!$AG$37&lt;74.9,"P","")</f>
        <v/>
      </c>
      <c r="LO31" s="102" t="str">
        <f>IF(AND(WSARAB!$AG$37&gt;=75,WSARAB!$AG$37&lt;=83.24),"P","")</f>
        <v/>
      </c>
      <c r="LP31" s="102" t="str">
        <f>IF(AND(WSARAB!$AG$37&gt;=83.25,WSARAB!$AG$37&lt;=91.4),"P","")</f>
        <v/>
      </c>
      <c r="LQ31" s="102" t="str">
        <f>IF(AND(WSARAB!$AG$37&gt;=91.5,WSARAB!$AG$37&lt;=100),"P","")</f>
        <v/>
      </c>
      <c r="LR31" t="str">
        <f>IF(WSARAB!$AG$45&lt;74.9,"P","")</f>
        <v/>
      </c>
      <c r="LS31" s="102" t="str">
        <f>IF(AND(WSARAB!$AG$45&gt;=75,WSARAB!$AG$45&lt;=83.24),"P","")</f>
        <v/>
      </c>
      <c r="LT31" s="102" t="str">
        <f>IF(AND(WSARAB!$AG$45&gt;=83.25,WSARAB!$AG$45&lt;=91.4),"P","")</f>
        <v/>
      </c>
      <c r="LU31" s="102" t="str">
        <f>IF(AND(WSARAB!$AG$45&gt;=91.5,WSARAB!$AG$45&lt;=100),"P","")</f>
        <v/>
      </c>
      <c r="LV31" t="str">
        <f>IF(WSARAB!$AG$53&lt;74.9,"P","")</f>
        <v/>
      </c>
      <c r="LW31" s="102" t="str">
        <f>IF(AND(WSARAB!$AG$53&gt;=75,WSARAB!$AG$53&lt;=83.24),"P","")</f>
        <v/>
      </c>
      <c r="LX31" s="102" t="str">
        <f>IF(AND(WSARAB!$AG$53&gt;=83.25,WSARAB!$AG$53&lt;=91.4),"P","")</f>
        <v/>
      </c>
      <c r="LY31" s="102" t="str">
        <f>IF(AND(WSARAB!$AG$53&gt;=91.5,WSARAB!$AG$53&lt;=100),"P","")</f>
        <v/>
      </c>
      <c r="LZ31" t="str">
        <f>IF(WSARAB!$AG$65&lt;74.9,"P","")</f>
        <v/>
      </c>
      <c r="MA31" s="102" t="str">
        <f>IF(AND(WSARAB!$AG$65&gt;=75,WSARAB!$AG$65&lt;=83.24),"P","")</f>
        <v/>
      </c>
      <c r="MB31" s="102" t="str">
        <f>IF(AND(WSARAB!$AG$65&gt;=83.25,WSARAB!$AG$65&lt;=91.4),"P","")</f>
        <v/>
      </c>
      <c r="MC31" s="102" t="str">
        <f>IF(AND(WSARAB!$AG$65&gt;=91.5,WSARAB!$AG$65&lt;=100),"P","")</f>
        <v/>
      </c>
      <c r="MD31" t="str">
        <f>IF(WSARAB!$AG$73&lt;74.9,"P","")</f>
        <v/>
      </c>
      <c r="ME31" s="102" t="str">
        <f>IF(AND(WSARAB!$AG$73&gt;=75,WSARAB!$AG$73&lt;=83.24),"P","")</f>
        <v/>
      </c>
      <c r="MF31" s="102" t="str">
        <f>IF(AND(WSARAB!$AG$73&gt;=83.25,WSARAB!$AG$73&lt;=91.4),"P","")</f>
        <v/>
      </c>
      <c r="MG31" s="102" t="str">
        <f>IF(AND(WSARAB!$AG$73&gt;=91.5,WSARAB!$AG$73&lt;=100),"P","")</f>
        <v/>
      </c>
      <c r="MH31" t="str">
        <f>IF(WSARAB!$AG$81&lt;74.9,"P","")</f>
        <v/>
      </c>
      <c r="MI31" s="102" t="str">
        <f>IF(AND(WSARAB!$AG$81&gt;=75,WSARAB!$AG$81&lt;=83.24),"P","")</f>
        <v/>
      </c>
      <c r="MJ31" s="102" t="str">
        <f>IF(AND(WSARAB!$AG$81&gt;=83.25,WSARAB!$AG$81&lt;=91.4),"P","")</f>
        <v/>
      </c>
      <c r="MK31" s="102" t="str">
        <f>IF(AND(WSARAB!$AG$81&gt;=91.5,WSARAB!$AG$81&lt;=100),"P","")</f>
        <v/>
      </c>
      <c r="ML31" t="str">
        <f>IF(WSARAB!$AG$89&lt;74.9,"P","")</f>
        <v/>
      </c>
      <c r="MM31" s="102" t="str">
        <f>IF(AND(WSARAB!$AG$89&gt;=75,WSARAB!$AG$89&lt;=83.24),"P","")</f>
        <v/>
      </c>
      <c r="MN31" s="102" t="str">
        <f>IF(AND(WSARAB!$AG$89&gt;=83.25,WSARAB!$AG$89&lt;=91.4),"P","")</f>
        <v/>
      </c>
      <c r="MO31" s="102" t="str">
        <f>IF(AND(WSARAB!$AG$89&gt;=91.5,WSARAB!$AG$89&lt;=100),"P","")</f>
        <v/>
      </c>
      <c r="MP31" t="str">
        <f>IF(WSARAB!$AG$97&lt;74.9,"P","")</f>
        <v/>
      </c>
      <c r="MQ31" s="102" t="str">
        <f>IF(AND(WSARAB!$AG$97&gt;=75,WSARAB!$AG$97&lt;=83.24),"P","")</f>
        <v/>
      </c>
      <c r="MR31" s="102" t="str">
        <f>IF(AND(WSARAB!$AG$97&gt;=83.25,WSARAB!$AG$97&lt;=91.4),"P","")</f>
        <v/>
      </c>
      <c r="MS31" s="102" t="str">
        <f>IF(AND(WSARAB!$AG$97&gt;=91.5,WSARAB!$AG$97&lt;=100),"P","")</f>
        <v/>
      </c>
      <c r="MT31" t="str">
        <f>IF(WSARAB!$AG$105&lt;74.9,"P","")</f>
        <v/>
      </c>
      <c r="MU31" s="102" t="str">
        <f>IF(AND(WSARAB!$AG$105&gt;=75,WSARAB!$AG$105&lt;=83.24),"P","")</f>
        <v/>
      </c>
      <c r="MV31" s="102" t="str">
        <f>IF(AND(WSARAB!$AG$105&gt;=83.25,WSARAB!$AG$105&lt;=91.4),"P","")</f>
        <v/>
      </c>
      <c r="MW31" s="102" t="str">
        <f>IF(AND(WSARAB!$AG$105&gt;=91.5,WSARAB!$AG$105&lt;=100),"P","")</f>
        <v/>
      </c>
      <c r="MX31" t="str">
        <f>IF(WSARAB!$AG$113&lt;74.9,"P","")</f>
        <v/>
      </c>
      <c r="MY31" s="102" t="str">
        <f>IF(AND(WSARAB!$AG$113&gt;=75,WSARAB!$AG$113&lt;=83.24),"P","")</f>
        <v/>
      </c>
      <c r="MZ31" s="102" t="str">
        <f>IF(AND(WSARAB!$AG$113&gt;=83.25,WSARAB!$AG$113&lt;=91.4),"P","")</f>
        <v/>
      </c>
      <c r="NA31" s="102" t="str">
        <f>IF(AND(WSARAB!$AG$113&gt;=91.5,WSARAB!$AG$113&lt;=100),"P","")</f>
        <v/>
      </c>
      <c r="NB31" t="str">
        <f>IF(WSMTK!$AG$6&lt;74.9,"P","")</f>
        <v/>
      </c>
      <c r="NC31" s="102" t="str">
        <f>IF(AND(WSMTK!$AG$6&gt;=75,WSMTK!$AG$6&lt;=83.24),"P","")</f>
        <v/>
      </c>
      <c r="ND31" s="102" t="str">
        <f>IF(AND(WSMTK!$AG$6&gt;=83.25,WSMTK!$AG$6&lt;=91.4),"P","")</f>
        <v/>
      </c>
      <c r="NE31" s="102" t="str">
        <f>IF(AND(WSMTK!$AG$6&gt;=91.5,WSMTK!$AG$6&lt;=100),"P","")</f>
        <v/>
      </c>
      <c r="NF31" t="str">
        <f>IF(WSMTK!$AG$22&lt;74.9,"P","")</f>
        <v/>
      </c>
      <c r="NG31" s="102" t="str">
        <f>IF(AND(WSMTK!$AG$22&gt;=75,WSMTK!$AG$22&lt;=83.24),"P","")</f>
        <v/>
      </c>
      <c r="NH31" s="102" t="str">
        <f>IF(AND(WSMTK!$AG$22&gt;=83.25,WSMTK!$AG$22&lt;=91.4),"P","")</f>
        <v/>
      </c>
      <c r="NI31" s="102" t="str">
        <f>IF(AND(WSMTK!$AG$22&gt;=91.5,WSMTK!$AG$22&lt;=100),"P","")</f>
        <v/>
      </c>
      <c r="NJ31" t="str">
        <f>IF(WSMTK!$AG$35&lt;74.9,"P","")</f>
        <v/>
      </c>
      <c r="NK31" s="102" t="str">
        <f>IF(AND(WSMTK!$AG$35&gt;=75,WSMTK!$AG$35&lt;=83.24),"P","")</f>
        <v/>
      </c>
      <c r="NL31" s="102" t="str">
        <f>IF(AND(WSMTK!$AG$35&gt;=83.25,WSMTK!$AG$35&lt;=91.4),"P","")</f>
        <v/>
      </c>
      <c r="NM31" s="102" t="str">
        <f>IF(AND(WSMTK!$AG$35&gt;=91.5,WSMTK!$AG$35&lt;=100),"P","")</f>
        <v/>
      </c>
      <c r="NN31" t="str">
        <f>IF(WSMTK!$AG$69&lt;74.9,"P","")</f>
        <v/>
      </c>
      <c r="NO31" s="102" t="str">
        <f>IF(AND(WSMTK!$AG$69&gt;=75,WSMTK!$AG$69&lt;=83.24),"P","")</f>
        <v/>
      </c>
      <c r="NP31" s="102" t="str">
        <f>IF(AND(WSMTK!$AG$69&gt;=83.25,WSMTK!$AG$69&lt;=91.4),"P","")</f>
        <v/>
      </c>
      <c r="NQ31" s="102" t="str">
        <f>IF(AND(WSMTK!$AG$69&gt;=91.5,WSMTK!$AG$69&lt;=100),"P","")</f>
        <v/>
      </c>
      <c r="NR31" t="str">
        <f>IF(WSMTK!$AG$87&lt;74.9,"P","")</f>
        <v/>
      </c>
      <c r="NS31" s="102" t="str">
        <f>IF(AND(WSMTK!$AG$87&gt;=75,WSMTK!$AG$87&lt;=83.24),"P","")</f>
        <v/>
      </c>
      <c r="NT31" s="102" t="str">
        <f>IF(AND(WSMTK!$AG$87&gt;=83.25,WSMTK!$AG$87&lt;=91.4),"P","")</f>
        <v/>
      </c>
      <c r="NU31" s="102" t="str">
        <f>IF(AND(WSMTK!$AG$87&gt;=91.5,WSMTK!$AG$87&lt;=100),"P","")</f>
        <v/>
      </c>
      <c r="NV31" t="str">
        <f>IF(WSMTK!$AG$99&lt;74.9,"P","")</f>
        <v/>
      </c>
      <c r="NW31" s="102" t="str">
        <f>IF(AND(WSMTK!$AG$99&gt;=75,WSMTK!$AG$99&lt;=83.24),"P","")</f>
        <v/>
      </c>
      <c r="NX31" s="102" t="str">
        <f>IF(AND(WSMTK!$AG$99&gt;=83.25,WSMTK!$AG$99&lt;=91.4),"P","")</f>
        <v/>
      </c>
      <c r="NY31" s="102" t="str">
        <f>IF(AND(WSMTK!$AG$99&gt;=91.5,WSMTK!$AG$99&lt;=100),"P","")</f>
        <v/>
      </c>
      <c r="NZ31" t="str">
        <f>IF(WSMTK!$AG$113&lt;74.9,"P","")</f>
        <v/>
      </c>
      <c r="OA31" s="102" t="str">
        <f>IF(AND(WSMTK!$AG$113&gt;=75,WSMTK!$AG$113&lt;=83.24),"P","")</f>
        <v/>
      </c>
      <c r="OB31" s="102" t="str">
        <f>IF(AND(WSMTK!$AG$113&gt;=83.25,WSMTK!$AG$113&lt;=91.4),"P","")</f>
        <v/>
      </c>
      <c r="OC31" s="102" t="str">
        <f>IF(AND(WSMTK!$AG$113&gt;=91.5,WSMTK!$AG$113&lt;=100),"P","")</f>
        <v/>
      </c>
      <c r="OD31" t="str">
        <f>IF(WSMTK!$AG$145&lt;74.9,"P","")</f>
        <v/>
      </c>
      <c r="OE31" s="102" t="str">
        <f>IF(AND(WSMTK!$AG$145&gt;=75,WSMTK!$AG$145&lt;=83.24),"P","")</f>
        <v/>
      </c>
      <c r="OF31" s="102" t="str">
        <f>IF(AND(WSMTK!$AG$145&gt;=83.25,WSMTK!$AG$145&lt;=91.4),"P","")</f>
        <v/>
      </c>
      <c r="OG31" s="102" t="str">
        <f>IF(AND(WSMTK!$AG$145&gt;=91.5,WSMTK!$AG$145&lt;=100),"P","")</f>
        <v/>
      </c>
      <c r="OH31" t="str">
        <f>IF(WSMTK!$AG$168&lt;74.9,"P","")</f>
        <v/>
      </c>
      <c r="OI31" s="102" t="str">
        <f>IF(AND(WSMTK!$AG$168&gt;=75,WSMTK!$AG$168&lt;=83.24),"P","")</f>
        <v/>
      </c>
      <c r="OJ31" s="102" t="str">
        <f>IF(AND(WSMTK!$AG$168&gt;=83.25,WSMTK!$AG$168&lt;=91.4),"P","")</f>
        <v/>
      </c>
      <c r="OK31" s="102" t="str">
        <f>IF(AND(WSMTK!$AG$168&gt;=91.5,WSMTK!$AG$168&lt;=100),"P","")</f>
        <v/>
      </c>
      <c r="OL31" t="str">
        <f>IF(WSMTK!$AG$176&lt;74.9,"P","")</f>
        <v/>
      </c>
      <c r="OM31" s="102" t="str">
        <f>IF(AND(WSMTK!$AG$176&gt;=75,WSMTK!$AG$176&lt;=83.24),"P","")</f>
        <v/>
      </c>
      <c r="ON31" s="102" t="str">
        <f>IF(AND(WSMTK!$AG$176&gt;=83.25,WSMTK!$AG$176&lt;=91.4),"P","")</f>
        <v/>
      </c>
      <c r="OO31" s="102" t="str">
        <f>IF(AND(WSMTK!$AG$176&gt;=91.5,WSMTK!$AG$176&lt;=100),"P","")</f>
        <v/>
      </c>
      <c r="OP31" t="str">
        <f>IF(WSMTK!$AG$184&lt;74.9,"P","")</f>
        <v/>
      </c>
      <c r="OQ31" s="102" t="str">
        <f>IF(AND(WSMTK!$AG$184&gt;=75,WSMTK!$AG$184&lt;=83.24),"P","")</f>
        <v/>
      </c>
      <c r="OR31" s="102" t="str">
        <f>IF(AND(WSMTK!$AG$184&gt;=83.25,WSMTK!$AG$184&lt;=91.4),"P","")</f>
        <v/>
      </c>
      <c r="OS31" s="102" t="str">
        <f>IF(AND(WSMTK!$AG$184&gt;=91.5,WSMTK!$AG$184&lt;=100),"P","")</f>
        <v/>
      </c>
      <c r="OT31" t="str">
        <f>IF(WSMTK!$AG$192&lt;74.9,"P","")</f>
        <v/>
      </c>
      <c r="OU31" s="102" t="str">
        <f>IF(AND(WSMTK!$AG$192&gt;=75,WSMTK!$AG$192&lt;=83.24),"P","")</f>
        <v/>
      </c>
      <c r="OV31" s="102" t="str">
        <f>IF(AND(WSMTK!$AG$192&gt;=83.25,WSMTK!$AG$192&lt;=91.4),"P","")</f>
        <v/>
      </c>
      <c r="OW31" s="102" t="str">
        <f>IF(AND(WSMTK!$AG$192&gt;=91.5,WSMTK!$AG$192&lt;=100),"P","")</f>
        <v/>
      </c>
      <c r="OX31" t="str">
        <f>IF(WSMTK!$AG$200&lt;74.9,"P","")</f>
        <v/>
      </c>
      <c r="OY31" s="102" t="str">
        <f>IF(AND(WSMTK!$AG$200&gt;=75,WSMTK!$AG$200&lt;=83.24),"P","")</f>
        <v/>
      </c>
      <c r="OZ31" s="102" t="str">
        <f>IF(AND(WSMTK!$AG$200&gt;=83.25,WSMTK!$AG$200&lt;=91.4),"P","")</f>
        <v/>
      </c>
      <c r="PA31" s="102" t="str">
        <f>IF(AND(WSMTK!$AG$200&gt;=91.5,WSMTK!$AG$200&lt;=100),"P","")</f>
        <v/>
      </c>
      <c r="PB31" t="str">
        <f>IF(WSIPA!$AG$6&lt;74.9,"P","")</f>
        <v/>
      </c>
      <c r="PC31" s="102" t="str">
        <f>IF(AND(WSIPA!$AG$6&gt;=75,WSIPA!$AG$6&lt;=83.24),"P","")</f>
        <v/>
      </c>
      <c r="PD31" s="102" t="str">
        <f>IF(AND(WSIPA!$AG$6&gt;=83.25,WSIPA!$AG$6&lt;=91.4),"P","")</f>
        <v/>
      </c>
      <c r="PE31" s="102" t="str">
        <f>IF(AND(WSIPA!$AG$6&gt;=91.5,WSIPA!$AG$6&lt;=100),"P","")</f>
        <v/>
      </c>
      <c r="PF31" t="str">
        <f>IF(WSIPA!$AG$14&lt;74.9,"P","")</f>
        <v/>
      </c>
      <c r="PG31" s="102" t="str">
        <f>IF(AND(WSIPA!$AG$14&gt;=75,WSIPA!$AG$14&lt;=83.24),"P","")</f>
        <v/>
      </c>
      <c r="PH31" s="102" t="str">
        <f>IF(AND(WSIPA!$AG$14&gt;=83.25,WSIPA!$AG$14&lt;=91.4),"P","")</f>
        <v/>
      </c>
      <c r="PI31" s="102" t="str">
        <f>IF(AND(WSIPA!$AG$14&gt;=91.5,WSIPA!$AG$14&lt;=100),"P","")</f>
        <v/>
      </c>
      <c r="PJ31" t="str">
        <f>IF(WSIPA!$AG$22&lt;74.9,"P","")</f>
        <v/>
      </c>
      <c r="PK31" s="102" t="str">
        <f>IF(AND(WSIPA!$AG$22&gt;=75,WSIPA!$AG$22&lt;=83.24),"P","")</f>
        <v/>
      </c>
      <c r="PL31" s="102" t="str">
        <f>IF(AND(WSIPA!$AG$22&gt;=83.25,WSIPA!$AG$22&lt;=91.4),"P","")</f>
        <v/>
      </c>
      <c r="PM31" s="102" t="str">
        <f>IF(AND(WSIPA!$AG$22&gt;=91.5,WSIPA!$AG$22&lt;=100),"P","")</f>
        <v/>
      </c>
      <c r="PN31" t="str">
        <f>IF(WSIPA!$AG$30&lt;74.9,"P","")</f>
        <v/>
      </c>
      <c r="PO31" s="102" t="str">
        <f>IF(AND(WSIPA!$AG$30&gt;=75,WSIPA!$AG$30&lt;=83.24),"P","")</f>
        <v/>
      </c>
      <c r="PP31" s="102" t="str">
        <f>IF(AND(WSIPA!$AG$30&gt;=83.25,WSIPA!$AG$30&lt;=91.4),"P","")</f>
        <v/>
      </c>
      <c r="PQ31" s="102" t="str">
        <f>IF(AND(WSIPA!$AG$30&gt;=91.5,WSIPA!$AG$30&lt;=100),"P","")</f>
        <v/>
      </c>
      <c r="PR31" t="str">
        <f>IF(WSIPA!$AG$38&lt;74.9,"P","")</f>
        <v/>
      </c>
      <c r="PS31" s="102" t="str">
        <f>IF(AND(WSIPA!$AG$38&gt;=75,WSIPA!$AG$38&lt;=83.24),"P","")</f>
        <v/>
      </c>
      <c r="PT31" s="102" t="str">
        <f>IF(AND(WSIPA!$AG$38&gt;=83.25,WSIPA!$AG$38&lt;=91.4),"P","")</f>
        <v/>
      </c>
      <c r="PU31" s="102" t="str">
        <f>IF(AND(WSIPA!$AG$38&gt;=91.5,WSIPA!$AG$38&lt;=100),"P","")</f>
        <v/>
      </c>
      <c r="PV31" t="str">
        <f>IF(WSIPA!$AG$46&lt;74.9,"P","")</f>
        <v/>
      </c>
      <c r="PW31" s="102" t="str">
        <f>IF(AND(WSIPA!$AG$46&gt;=75,WSIPA!$AG$46&lt;=83.24),"P","")</f>
        <v/>
      </c>
      <c r="PX31" s="102" t="str">
        <f>IF(AND(WSIPA!$AG$46&gt;=83.25,WSIPA!$AG$46&lt;=91.4),"P","")</f>
        <v/>
      </c>
      <c r="PY31" s="102" t="str">
        <f>IF(AND(WSIPA!$AG$46&gt;=91.5,WSIPA!$AG$46&lt;=100),"P","")</f>
        <v/>
      </c>
      <c r="PZ31" t="str">
        <f>IF(WSIPA!$AG$54&lt;74.9,"P","")</f>
        <v/>
      </c>
      <c r="QA31" s="102" t="str">
        <f>IF(AND(WSIPA!$AG$54&gt;=75,WSIPA!$AG$54&lt;=83.24),"P","")</f>
        <v/>
      </c>
      <c r="QB31" s="102" t="str">
        <f>IF(AND(WSIPA!$AG$54&gt;=83.25,WSIPA!$AG$54&lt;=91.4),"P","")</f>
        <v/>
      </c>
      <c r="QC31" s="102" t="str">
        <f>IF(AND(WSIPA!$AG$54&gt;=91.5,WSIPA!$AG$54&lt;=100),"P","")</f>
        <v/>
      </c>
      <c r="QD31" t="str">
        <f>IF(WSIPA!$AG$62&lt;74.9,"P","")</f>
        <v/>
      </c>
      <c r="QE31" s="102" t="str">
        <f>IF(AND(WSIPA!$AG$62&gt;=75,WSIPA!$AG$62&lt;=83.24),"P","")</f>
        <v/>
      </c>
      <c r="QF31" s="102" t="str">
        <f>IF(AND(WSIPA!$AG$62&gt;=83.25,WSIPA!$AG$62&lt;=91.4),"P","")</f>
        <v/>
      </c>
      <c r="QG31" s="102" t="str">
        <f>IF(AND(WSIPA!$AG$62&gt;=91.5,WSIPA!$AG$62&lt;=100),"P","")</f>
        <v/>
      </c>
      <c r="QH31" t="str">
        <f>IF(WSIPA!$AG$70&lt;74.9,"P","")</f>
        <v/>
      </c>
      <c r="QI31" s="102" t="str">
        <f>IF(AND(WSIPA!$AG$70&gt;=75,WSIPA!$AG$70&lt;=83.24),"P","")</f>
        <v/>
      </c>
      <c r="QJ31" s="102" t="str">
        <f>IF(AND(WSIPA!$AG$70&gt;=83.25,WSIPA!$AG$70&lt;=91.4),"P","")</f>
        <v/>
      </c>
      <c r="QK31" s="102" t="str">
        <f>IF(AND(WSIPA!$AG$70&gt;=91.5,WSIPA!$AG$70&lt;=100),"P","")</f>
        <v/>
      </c>
      <c r="QL31" t="str">
        <f>IF(WSIPA!$AG$78&lt;74.9,"P","")</f>
        <v/>
      </c>
      <c r="QM31" s="102" t="str">
        <f>IF(AND(WSIPA!$AG$78&gt;=75,WSIPA!$AG$78&lt;=83.24),"P","")</f>
        <v/>
      </c>
      <c r="QN31" s="102" t="str">
        <f>IF(AND(WSIPA!$AG$78&gt;=83.25,WSIPA!$AG$78&lt;=91.4),"P","")</f>
        <v/>
      </c>
      <c r="QO31" s="102" t="str">
        <f>IF(AND(WSIPA!$AG$78&gt;=91.5,WSIPA!$AG$78&lt;=100),"P","")</f>
        <v/>
      </c>
      <c r="QP31" t="str">
        <f>IF(WSIPA!$AG$86&lt;74.9,"P","")</f>
        <v/>
      </c>
      <c r="QQ31" s="102" t="str">
        <f>IF(AND(WSIPA!$AG$86&gt;=75,WSIPA!$AG$86&lt;=83.24),"P","")</f>
        <v/>
      </c>
      <c r="QR31" s="102" t="str">
        <f>IF(AND(WSIPA!$AG$86&gt;=83.25,WSIPA!$AG$86&lt;=91.4),"P","")</f>
        <v/>
      </c>
      <c r="QS31" s="102" t="str">
        <f>IF(AND(WSIPA!$AG$86&gt;=91.5,WSIPA!$AG$86&lt;=100),"P","")</f>
        <v/>
      </c>
      <c r="QT31" t="str">
        <f>IF(WSIPA!$AG$94&lt;74.9,"P","")</f>
        <v/>
      </c>
      <c r="QU31" s="102" t="str">
        <f>IF(AND(WSIPA!$AG$94&gt;=75,WSIPA!$AG$94&lt;=83.24),"P","")</f>
        <v/>
      </c>
      <c r="QV31" s="102" t="str">
        <f>IF(AND(WSIPA!$AG$94&gt;=83.25,WSIPA!$AG$94&lt;=91.4),"P","")</f>
        <v/>
      </c>
      <c r="QW31" s="102" t="str">
        <f>IF(AND(WSIPA!$AG$94&gt;=91.5,WSIPA!$AG$94&lt;=100),"P","")</f>
        <v/>
      </c>
      <c r="QX31" t="str">
        <f>IF(WSIPA!$AG$102&lt;74.9,"P","")</f>
        <v/>
      </c>
      <c r="QY31" s="102" t="str">
        <f>IF(AND(WSIPA!$AG$102&gt;=75,WSIPA!$AG$102&lt;=83.24),"P","")</f>
        <v/>
      </c>
      <c r="QZ31" s="102" t="str">
        <f>IF(AND(WSIPA!$AG$102&gt;=83.25,WSIPA!$AG$102&lt;=91.4),"P","")</f>
        <v/>
      </c>
      <c r="RA31" s="102" t="str">
        <f>IF(AND(WSIPA!$AG$102&gt;=91.5,WSIPA!$AG$102&lt;=100),"P","")</f>
        <v/>
      </c>
      <c r="RB31" t="str">
        <f>IF(WSIPS!$AG$6&lt;74.9,"P","")</f>
        <v/>
      </c>
      <c r="RC31" s="102" t="str">
        <f>IF(AND(WSIPS!$AG$6&gt;=75,WSIPS!$AG$6&lt;=83.24),"P","")</f>
        <v/>
      </c>
      <c r="RD31" s="102" t="str">
        <f>IF(AND(WSIPS!$AG$6&gt;=83.25,WSIPS!$AG$6&lt;=91.4),"P","")</f>
        <v/>
      </c>
      <c r="RE31" s="102" t="str">
        <f>IF(AND(WSIPS!$AG$6&gt;=91.5,WSIPS!$AG$6&lt;=100),"P","")</f>
        <v/>
      </c>
      <c r="RF31" t="str">
        <f>IF(WSIPS!$AG$14&lt;74.9,"P","")</f>
        <v/>
      </c>
      <c r="RG31" s="102" t="str">
        <f>IF(AND(WSIPS!$AG$14&gt;=75,WSIPS!$AG$14&lt;=83.24),"P","")</f>
        <v/>
      </c>
      <c r="RH31" s="102" t="str">
        <f>IF(AND(WSIPS!$AG$14&gt;=83.25,WSIPS!$AG$14&lt;=91.4),"P","")</f>
        <v/>
      </c>
      <c r="RI31" s="102" t="str">
        <f>IF(AND(WSIPS!$AG$14&gt;=91.5,WSIPS!$AG$14&lt;=100),"P","")</f>
        <v/>
      </c>
      <c r="RJ31" t="str">
        <f>IF(WSIPS!$AG$22&lt;74.9,"P","")</f>
        <v/>
      </c>
      <c r="RK31" s="102" t="str">
        <f>IF(AND(WSIPS!$AG$22&gt;=75,WSIPS!$AG$22&lt;=83.24),"P","")</f>
        <v/>
      </c>
      <c r="RL31" s="102" t="str">
        <f>IF(AND(WSIPS!$AG$22&gt;=83.25,WSIPS!$AG$22&lt;=91.4),"P","")</f>
        <v/>
      </c>
      <c r="RM31" s="102" t="str">
        <f>IF(AND(WSIPS!$AG$22&gt;=91.5,WSIPS!$AG$22&lt;=100),"P","")</f>
        <v/>
      </c>
      <c r="RN31" t="str">
        <f>IF(WSIPS!$AG$30&lt;74.9,"P","")</f>
        <v/>
      </c>
      <c r="RO31" s="102" t="str">
        <f>IF(AND(WSIPS!$AG$30&gt;=75,WSIPS!$AG$30&lt;=83.24),"P","")</f>
        <v/>
      </c>
      <c r="RP31" s="102" t="str">
        <f>IF(AND(WSIPS!$AG$30&gt;=83.25,WSIPS!$AG$30&lt;=91.4),"P","")</f>
        <v/>
      </c>
      <c r="RQ31" s="102" t="str">
        <f>IF(AND(WSIPS!$AG$30&gt;=91.5,WSIPS!$AG$30&lt;=100),"P","")</f>
        <v/>
      </c>
      <c r="RR31" t="str">
        <f>IF(WSIPS!$AG$38&lt;74.9,"P","")</f>
        <v/>
      </c>
      <c r="RS31" s="102" t="str">
        <f>IF(AND(WSIPS!$AG$38&gt;=75,WSIPS!$AG$38&lt;=83.24),"P","")</f>
        <v/>
      </c>
      <c r="RT31" s="102" t="str">
        <f>IF(AND(WSIPS!$AG$38&gt;=83.25,WSIPS!$AG$38&lt;=91.4),"P","")</f>
        <v/>
      </c>
      <c r="RU31" s="102" t="str">
        <f>IF(AND(WSIPS!$AG$38&gt;=91.5,WSIPS!$AG$38&lt;=100),"P","")</f>
        <v/>
      </c>
      <c r="RV31" t="str">
        <f>IF(WSIPS!$AG$46&lt;74.9,"P","")</f>
        <v/>
      </c>
      <c r="RW31" s="102" t="str">
        <f>IF(AND(WSIPS!$AG$46&gt;=75,WSIPS!$AG$46&lt;=83.24),"P","")</f>
        <v/>
      </c>
      <c r="RX31" s="102" t="str">
        <f>IF(AND(WSIPS!$AG$46&gt;=83.25,WSIPS!$AG$46&lt;=91.4),"P","")</f>
        <v/>
      </c>
      <c r="RY31" s="102" t="str">
        <f>IF(AND(WSIPS!$AG$46&gt;=91.5,WSIPS!$AG$46&lt;=100),"P","")</f>
        <v/>
      </c>
      <c r="RZ31" t="str">
        <f>IF(WSIPS!$AG$54&lt;74.9,"P","")</f>
        <v/>
      </c>
      <c r="SA31" s="102" t="str">
        <f>IF(AND(WSIPS!$AG$54&gt;=75,WSIPS!$AG$54&lt;=83.24),"P","")</f>
        <v/>
      </c>
      <c r="SB31" s="102" t="str">
        <f>IF(AND(WSIPS!$AG$54&gt;=83.25,WSIPS!$AG$54&lt;=91.4),"P","")</f>
        <v/>
      </c>
      <c r="SC31" s="102" t="str">
        <f>IF(AND(WSIPS!$AG$54&gt;=91.5,WSIPS!$AG$54&lt;=100),"P","")</f>
        <v/>
      </c>
      <c r="SD31" t="str">
        <f>IF(WSIPS!$AG$62&lt;74.9,"P","")</f>
        <v/>
      </c>
      <c r="SE31" s="102" t="str">
        <f>IF(AND(WSIPS!$AG$62&gt;=75,WSIPS!$AG$62&lt;=83.24),"P","")</f>
        <v/>
      </c>
      <c r="SF31" s="102" t="str">
        <f>IF(AND(WSIPS!$AG$62&gt;=83.25,WSIPS!$AG$62&lt;=91.4),"P","")</f>
        <v/>
      </c>
      <c r="SG31" s="102" t="str">
        <f>IF(AND(WSIPS!$AG$62&gt;=91.5,WSIPS!$AG$62&lt;=100),"P","")</f>
        <v/>
      </c>
      <c r="SH31" t="str">
        <f>IF(WSIPS!$AG$70&lt;74.9,"P","")</f>
        <v/>
      </c>
      <c r="SI31" s="102" t="str">
        <f>IF(AND(WSIPS!$AG$70&gt;=75,WSIPS!$AG$70&lt;=83.24),"P","")</f>
        <v/>
      </c>
      <c r="SJ31" s="102" t="str">
        <f>IF(AND(WSIPS!$AG$70&gt;=83.25,WSIPS!$AG$70&lt;=91.4),"P","")</f>
        <v/>
      </c>
      <c r="SK31" s="102" t="str">
        <f>IF(AND(WSIPS!$AG$70&gt;=91.5,WSIPS!$AG$70&lt;=100),"P","")</f>
        <v/>
      </c>
      <c r="SL31" t="str">
        <f>IF(WSIPS!$AG$78&lt;74.9,"P","")</f>
        <v/>
      </c>
      <c r="SM31" s="102" t="str">
        <f>IF(AND(WSIPS!$AG$78&gt;=75,WSIPS!$AG$78&lt;=83.24),"P","")</f>
        <v/>
      </c>
      <c r="SN31" s="102" t="str">
        <f>IF(AND(WSIPS!$AG$78&gt;=83.25,WSIPS!$AG$78&lt;=91.4),"P","")</f>
        <v/>
      </c>
      <c r="SO31" s="102" t="str">
        <f>IF(AND(WSIPS!$AG$78&gt;=91.5,WSIPS!$AG$78&lt;=100),"P","")</f>
        <v/>
      </c>
      <c r="SP31" t="str">
        <f>IF(WSIPS!$AG$86&lt;74.9,"P","")</f>
        <v/>
      </c>
      <c r="SQ31" s="102" t="str">
        <f>IF(AND(WSIPS!$AG$86&gt;=75,WSIPS!$AG$86&lt;=83.24),"P","")</f>
        <v/>
      </c>
      <c r="SR31" s="102" t="str">
        <f>IF(AND(WSIPS!$AG$86&gt;=83.25,WSIPS!$AG$86&lt;=91.4),"P","")</f>
        <v/>
      </c>
      <c r="SS31" s="102" t="str">
        <f>IF(AND(WSIPS!$AG$86&gt;=91.5,WSIPS!$AG$86&lt;=100),"P","")</f>
        <v/>
      </c>
      <c r="ST31" t="str">
        <f>IF(WSIPS!$AG$94&lt;74.9,"P","")</f>
        <v/>
      </c>
      <c r="SU31" s="102" t="str">
        <f>IF(AND(WSIPS!$AG$94&gt;=75,WSIPS!$AG$94&lt;=83.24),"P","")</f>
        <v/>
      </c>
      <c r="SV31" s="102" t="str">
        <f>IF(AND(WSIPS!$AG$94&gt;=83.25,WSIPS!$AG$94&lt;=91.4),"P","")</f>
        <v/>
      </c>
      <c r="SW31" s="102" t="str">
        <f>IF(AND(WSIPS!$AG$94&gt;=91.5,WSIPS!$AG$94&lt;=100),"P","")</f>
        <v/>
      </c>
      <c r="SX31" t="str">
        <f>IF(WSIPS!$AG$102&lt;74.9,"P","")</f>
        <v/>
      </c>
      <c r="SY31" s="102" t="str">
        <f>IF(AND(WSIPS!$AG$102&gt;=75,WSIPS!$AG$102&lt;=83.24),"P","")</f>
        <v/>
      </c>
      <c r="SZ31" s="102" t="str">
        <f>IF(AND(WSIPS!$AG$102&gt;=83.25,WSIPS!$AG$102&lt;=91.4),"P","")</f>
        <v/>
      </c>
      <c r="TA31" s="102" t="str">
        <f>IF(AND(WSIPS!$AG$102&gt;=91.5,WSIPS!$AG$102&lt;=100),"P","")</f>
        <v/>
      </c>
      <c r="TB31" t="str">
        <f>IF(WSSBK!$AG$6&lt;74.9,"P","")</f>
        <v/>
      </c>
      <c r="TC31" s="102" t="str">
        <f>IF(AND(WSSBK!$AG$6&gt;=75,WSSBK!$AG$6&lt;=83.24),"P","")</f>
        <v/>
      </c>
      <c r="TD31" s="102" t="str">
        <f>IF(AND(WSSBK!$AG$6&gt;=83.25,WSSBK!$AG$6&lt;=91.4),"P","")</f>
        <v/>
      </c>
      <c r="TE31" s="102" t="str">
        <f>IF(AND(WSSBK!$AG$6&gt;=91.5,WSSBK!$AG$6&lt;=100),"P","")</f>
        <v/>
      </c>
      <c r="TF31" t="str">
        <f>IF(WSSBK!$AG$16&lt;74.9,"P","")</f>
        <v/>
      </c>
      <c r="TG31" s="102" t="str">
        <f>IF(AND(WSSBK!$AG$16&gt;=75,WSSBK!$AG$16&lt;=83.24),"P","")</f>
        <v/>
      </c>
      <c r="TH31" s="102" t="str">
        <f>IF(AND(WSSBK!$AG$16&gt;=83.25,WSSBK!$AG$16&lt;=91.4),"P","")</f>
        <v/>
      </c>
      <c r="TI31" s="102" t="str">
        <f>IF(AND(WSSBK!$AG$16&gt;=91.5,WSSBK!$AG$16&lt;=100),"P","")</f>
        <v/>
      </c>
      <c r="TJ31" t="str">
        <f>IF(WSSBK!$AG$26&lt;74.9,"P","")</f>
        <v/>
      </c>
      <c r="TK31" s="102" t="str">
        <f>IF(AND(WSSBK!$AG$26&gt;=75,WSSBK!$AG$26&lt;=83.24),"P","")</f>
        <v/>
      </c>
      <c r="TL31" s="102" t="str">
        <f>IF(AND(WSSBK!$AG$26&gt;=83.25,WSSBK!$AG$26&lt;=91.4),"P","")</f>
        <v/>
      </c>
      <c r="TM31" s="102" t="str">
        <f>IF(AND(WSSBK!$AG$26&gt;=91.5,WSSBK!$AG$26&lt;=100),"P","")</f>
        <v/>
      </c>
      <c r="TN31" t="str">
        <f>IF(WSSBK!$AG$36&lt;74.9,"P","")</f>
        <v/>
      </c>
      <c r="TO31" s="102" t="str">
        <f>IF(AND(WSSBK!$AG$36&gt;=75,WSSBK!$AG$36&lt;=83.24),"P","")</f>
        <v/>
      </c>
      <c r="TP31" s="102" t="str">
        <f>IF(AND(WSSBK!$AG$36&gt;=83.25,WSSBK!$AG$36&lt;=91.4),"P","")</f>
        <v/>
      </c>
      <c r="TQ31" s="102" t="str">
        <f>IF(AND(WSSBK!$AG$36&gt;=91.5,WSSBK!$AG$36&lt;=100),"P","")</f>
        <v/>
      </c>
      <c r="TR31" t="str">
        <f>IF(WSSBK!$AG$46&lt;74.9,"P","")</f>
        <v/>
      </c>
      <c r="TS31" s="102" t="str">
        <f>IF(AND(WSSBK!$AG$46&gt;=75,WSSBK!$AG$46&lt;=83.24),"P","")</f>
        <v/>
      </c>
      <c r="TT31" s="102" t="str">
        <f>IF(AND(WSSBK!$AG$46&gt;=83.25,WSSBK!$AG$46&lt;=91.4),"P","")</f>
        <v/>
      </c>
      <c r="TU31" s="102" t="str">
        <f>IF(AND(WSSBK!$AG$46&gt;=91.5,WSSBK!$AG$46&lt;=100),"P","")</f>
        <v/>
      </c>
      <c r="TV31" t="str">
        <f>IF(WSSBK!$AG$58&lt;74.9,"P","")</f>
        <v/>
      </c>
      <c r="TW31" s="102" t="str">
        <f>IF(AND(WSSBK!$AG$58&gt;=75,WSSBK!$AG$58&lt;=83.24),"P","")</f>
        <v/>
      </c>
      <c r="TX31" s="102" t="str">
        <f>IF(AND(WSSBK!$AG$58&gt;=83.25,WSSBK!$AG$58&lt;=91.4),"P","")</f>
        <v/>
      </c>
      <c r="TY31" s="102" t="str">
        <f>IF(AND(WSSBK!$AG$58&gt;=91.5,WSSBK!$AG$58&lt;=100),"P","")</f>
        <v/>
      </c>
      <c r="TZ31" t="str">
        <f>IF(WSSBK!$AG$68&lt;74.9,"P","")</f>
        <v/>
      </c>
      <c r="UA31" s="102" t="str">
        <f>IF(AND(WSSBK!$AG$68&gt;=75,WSSBK!$AG$68&lt;=83.24),"P","")</f>
        <v/>
      </c>
      <c r="UB31" s="102" t="str">
        <f>IF(AND(WSSBK!$AG$68&gt;=83.25,WSSBK!$AG$68&lt;=91.4),"P","")</f>
        <v/>
      </c>
      <c r="UC31" s="102" t="str">
        <f>IF(AND(WSSBK!$AG$68&gt;=91.5,WSSBK!$AG$68&lt;=100),"P","")</f>
        <v/>
      </c>
      <c r="UD31" t="str">
        <f>IF(WSSBK!$AG$77&lt;74.9,"P","")</f>
        <v/>
      </c>
      <c r="UE31" s="102" t="str">
        <f>IF(AND(WSSBK!$AG$77&gt;=75,WSSBK!$AG$77&lt;=83.24),"P","")</f>
        <v/>
      </c>
      <c r="UF31" s="102" t="str">
        <f>IF(AND(WSSBK!$AG$77&gt;=83.25,WSSBK!$AG$77&lt;=91.4),"P","")</f>
        <v/>
      </c>
      <c r="UG31" s="102" t="str">
        <f>IF(AND(WSSBK!$AG$77&gt;=91.5,WSSBK!$AG$77&lt;=100),"P","")</f>
        <v/>
      </c>
      <c r="UH31" t="str">
        <f>IF(WSSBK!$AG$87&lt;74.9,"P","")</f>
        <v/>
      </c>
      <c r="UI31" s="102" t="str">
        <f>IF(AND(WSSBK!$AG$87&gt;=75,WSSBK!$AG$87&lt;=83.24),"P","")</f>
        <v/>
      </c>
      <c r="UJ31" s="102" t="str">
        <f>IF(AND(WSSBK!$AG$87&gt;=83.25,WSSBK!$AG$87&lt;=91.4),"P","")</f>
        <v/>
      </c>
      <c r="UK31" s="102" t="str">
        <f>IF(AND(WSSBK!$AG$87&gt;=91.5,WSSBK!$AG$87&lt;=100),"P","")</f>
        <v/>
      </c>
      <c r="UL31" t="str">
        <f>IF(WSSBK!$AG$95&lt;74.9,"P","")</f>
        <v/>
      </c>
      <c r="UM31" s="102" t="str">
        <f>IF(AND(WSSBK!$AG$95&gt;=75,WSSBK!$AG$95&lt;=83.24),"P","")</f>
        <v/>
      </c>
      <c r="UN31" s="102" t="str">
        <f>IF(AND(WSSBK!$AG$95&gt;=83.25,WSSBK!$AG$95&lt;=91.4),"P","")</f>
        <v/>
      </c>
      <c r="UO31" s="102" t="str">
        <f>IF(AND(WSSBK!$AG$95&gt;=91.5,WSSBK!$AG$95&lt;=100),"P","")</f>
        <v/>
      </c>
      <c r="UP31" t="str">
        <f>IF(WSSBK!$AG$103&lt;74.9,"P","")</f>
        <v/>
      </c>
      <c r="UQ31" s="102" t="str">
        <f>IF(AND(WSSBK!$AG$103&gt;=75,WSSBK!$AG$103&lt;=83.24),"P","")</f>
        <v/>
      </c>
      <c r="UR31" s="102" t="str">
        <f>IF(AND(WSSBK!$AG$103&gt;=83.25,WSSBK!$AG$103&lt;=91.4),"P","")</f>
        <v/>
      </c>
      <c r="US31" s="102" t="str">
        <f>IF(AND(WSSBK!$AG$103&gt;=91.5,WSSBK!$AG$103&lt;=100),"P","")</f>
        <v/>
      </c>
      <c r="UT31" t="str">
        <f>IF(WSSBK!$AG$111&lt;74.9,"P","")</f>
        <v/>
      </c>
      <c r="UU31" s="102" t="str">
        <f>IF(AND(WSSBK!$AG$111&gt;=75,WSSBK!$AG$111&lt;=83.24),"P","")</f>
        <v/>
      </c>
      <c r="UV31" s="102" t="str">
        <f>IF(AND(WSSBK!$AG$111&gt;=83.25,WSSBK!$AG$111&lt;=91.4),"P","")</f>
        <v/>
      </c>
      <c r="UW31" s="102" t="str">
        <f>IF(AND(WSSBK!$AG$111&gt;=91.5,WSSBK!$AG$111&lt;=100),"P","")</f>
        <v/>
      </c>
      <c r="UX31" t="str">
        <f>IF(WSSBK!$AG$119&lt;74.9,"P","")</f>
        <v/>
      </c>
      <c r="UY31" s="102" t="str">
        <f>IF(AND(WSSBK!$AG$119&gt;=75,WSSBK!$AG$119&lt;=83.24),"P","")</f>
        <v/>
      </c>
      <c r="UZ31" s="102" t="str">
        <f>IF(AND(WSSBK!$AG$119&gt;=83.25,WSSBK!$AG$119&lt;=91.4),"P","")</f>
        <v/>
      </c>
      <c r="VA31" s="102" t="str">
        <f>IF(AND(WSSBK!$AG$119&gt;=91.5,WSSBK!$AG$119&lt;=100),"P","")</f>
        <v/>
      </c>
      <c r="VB31" s="102" t="str">
        <f>IF(AND(WSPENJAS!$AG$6&gt;0,WSPENJAS!$AG$6&lt;=74.9),"P","")</f>
        <v/>
      </c>
      <c r="VC31" s="102" t="str">
        <f>IF(AND(WSPENJAS!$AG$6&gt;=75,WSPENJAS!$AG$6&lt;=83.24),"P","")</f>
        <v/>
      </c>
      <c r="VD31" s="102" t="str">
        <f>IF(AND(WSPENJAS!$AG$6&gt;=83.25,WSPENJAS!$AG$6&lt;=91.4),"P","")</f>
        <v/>
      </c>
      <c r="VE31" s="102" t="str">
        <f>IF(AND(WSPENJAS!$AG$6&gt;=91.5,WSPENJAS!$AG$6&lt;=100),"P","")</f>
        <v/>
      </c>
      <c r="VF31" s="102" t="str">
        <f>IF(AND(WSPENJAS!$AG$7&gt;0,WSPENJAS!$AG$7&lt;=74.9),"P","")</f>
        <v/>
      </c>
      <c r="VG31" s="102" t="str">
        <f>IF(AND(WSPENJAS!$AG$7&gt;=75,WSPENJAS!$AG$7&lt;=83.24),"P","")</f>
        <v/>
      </c>
      <c r="VH31" s="102" t="str">
        <f>IF(AND(WSPENJAS!$AG$7&gt;=83.25,WSPENJAS!$AG$7&lt;=91.4),"P","")</f>
        <v/>
      </c>
      <c r="VI31" s="102" t="str">
        <f>IF(AND(WSPENJAS!$AG$7&gt;=91.5,WSPENJAS!$AG$7&lt;=100),"P","")</f>
        <v/>
      </c>
      <c r="VJ31" s="102" t="str">
        <f>IF(AND(WSPENJAS!$AG$8&gt;0,WSPENJAS!$AG$8&lt;=74.9),"P","")</f>
        <v/>
      </c>
      <c r="VK31" s="102" t="str">
        <f>IF(AND(WSPENJAS!$AG$8&gt;=75,WSPENJAS!$AG$8&lt;=83.24),"P","")</f>
        <v/>
      </c>
      <c r="VL31" s="102" t="str">
        <f>IF(AND(WSPENJAS!$AG$8&gt;=83.25,WSPENJAS!$AG$8&lt;=91.4),"P","")</f>
        <v/>
      </c>
      <c r="VM31" s="102" t="str">
        <f>IF(AND(WSPENJAS!$AG$8&gt;=91.5,WSPENJAS!$AG$8&lt;=100),"P","")</f>
        <v/>
      </c>
      <c r="VN31" s="102" t="str">
        <f>IF(AND(WSPENJAS!$AG$9&gt;0,WSPENJAS!$AG$9&lt;=74.9),"P","")</f>
        <v/>
      </c>
      <c r="VO31" s="102" t="str">
        <f>IF(AND(WSPENJAS!$AG$9&gt;=75,WSPENJAS!$AG$9&lt;=83.24),"P","")</f>
        <v/>
      </c>
      <c r="VP31" s="102" t="str">
        <f>IF(AND(WSPENJAS!$AG$9&gt;=83.25,WSPENJAS!$AG$9&lt;=91.4),"P","")</f>
        <v/>
      </c>
      <c r="VQ31" s="102" t="str">
        <f>IF(AND(WSPENJAS!$AG$9&gt;=91.5,WSPENJAS!$AG$9&lt;=100),"P","")</f>
        <v/>
      </c>
      <c r="VR31" s="102" t="str">
        <f>IF(AND(WSPENJAS!$AG$10&gt;0,WSPENJAS!$AG$10&lt;=74.9),"P","")</f>
        <v/>
      </c>
      <c r="VS31" s="102" t="str">
        <f>IF(AND(WSPENJAS!$AG$10&gt;=75,WSPENJAS!$AG$10&lt;=83.24),"P","")</f>
        <v/>
      </c>
      <c r="VT31" s="102" t="str">
        <f>IF(AND(WSPENJAS!$AG$10&gt;=83.25,WSPENJAS!$AG$10&lt;=91.4),"P","")</f>
        <v/>
      </c>
      <c r="VU31" s="102" t="str">
        <f>IF(AND(WSPENJAS!$AG$10&gt;=91.5,WSPENJAS!$AG$10&lt;=100),"P","")</f>
        <v/>
      </c>
      <c r="VV31" s="102" t="str">
        <f>IF(AND(WSPENJAS!$AG$11&gt;0,WSPENJAS!$AG$11&lt;=74.9),"P","")</f>
        <v/>
      </c>
      <c r="VW31" s="102" t="str">
        <f>IF(AND(WSPENJAS!$AG$411&gt;=75,WSPENJAS!$AG$411&lt;=83.24),"P","")</f>
        <v/>
      </c>
      <c r="VX31" s="102" t="str">
        <f>IF(AND(WSPENJAS!$AG$411&gt;=83.25,WSPENJAS!$AG$411&lt;=91.4),"P","")</f>
        <v/>
      </c>
      <c r="VY31" s="102" t="str">
        <f>IF(AND(WSPENJAS!$AG$411&gt;=91.5,WSPENJAS!$AG$411&lt;=100),"P","")</f>
        <v/>
      </c>
      <c r="VZ31" s="102" t="str">
        <f>IF(AND(WSPENJAS!$AG$12&gt;0,WSPENJAS!$AG$12&lt;=74.9),"P","")</f>
        <v/>
      </c>
      <c r="WA31" s="102" t="str">
        <f>IF(AND(WSPENJAS!$AG$12&gt;=75,WSPENJAS!$AG$12&lt;=83.24),"P","")</f>
        <v/>
      </c>
      <c r="WB31" s="102" t="str">
        <f>IF(AND(WSPENJAS!$AG$12&gt;=83.25,WSPENJAS!$AG$12&lt;=91.4),"P","")</f>
        <v/>
      </c>
      <c r="WC31" s="102" t="str">
        <f>IF(AND(WSPENJAS!$AG$12&gt;=91.5,WSPENJAS!$AG$12&lt;=100),"P","")</f>
        <v/>
      </c>
      <c r="WD31" s="102" t="str">
        <f>IF(AND(WSPENJAS!$AG$13&gt;0,WSPENJAS!$AG$13&lt;=74.9),"P","")</f>
        <v/>
      </c>
      <c r="WE31" s="102" t="str">
        <f>IF(AND(WSPENJAS!$AG$13&gt;=75,WSPENJAS!$AG$13&lt;=83.24),"P","")</f>
        <v/>
      </c>
      <c r="WF31" s="102" t="str">
        <f>IF(AND(WSPENJAS!$AG$13&gt;=83.25,WSPENJAS!$AG$13&lt;=91.4),"P","")</f>
        <v/>
      </c>
      <c r="WG31" s="102" t="str">
        <f>IF(AND(WSPENJAS!$AG$13&gt;=91.5,WSPENJAS!$AG$13&lt;=100),"P","")</f>
        <v/>
      </c>
      <c r="WH31" s="102" t="str">
        <f>IF(AND(WSPENJAS!$AG$14&gt;0,WSPENJAS!$AG$14&lt;=74.9),"P","")</f>
        <v/>
      </c>
      <c r="WI31" s="102" t="str">
        <f>IF(AND(WSPENJAS!$AG$14&gt;=75,WSPENJAS!$AG$14&lt;=83.24),"P","")</f>
        <v/>
      </c>
      <c r="WJ31" s="102" t="str">
        <f>IF(AND(WSPENJAS!$AG$14&gt;=83.25,WSPENJAS!$AG$14&lt;=91.4),"P","")</f>
        <v/>
      </c>
      <c r="WK31" s="102" t="str">
        <f>IF(AND(WSPENJAS!$AG$14&gt;=91.5,WSPENJAS!$AG$14&lt;=100),"P","")</f>
        <v/>
      </c>
      <c r="WL31" s="102" t="str">
        <f>IF(AND(WSPENJAS!$AG$15&gt;0,WSPENJAS!$AG$15&lt;=74.9),"P","")</f>
        <v/>
      </c>
      <c r="WM31" s="102" t="str">
        <f>IF(AND(WSPENJAS!$AG$15&gt;=75,WSPENJAS!$AG$15&lt;=83.24),"P","")</f>
        <v/>
      </c>
      <c r="WN31" s="102" t="str">
        <f>IF(AND(WSPENJAS!$AG$15&gt;=83.25,WSPENJAS!$AG$15&lt;=91.4),"P","")</f>
        <v/>
      </c>
      <c r="WO31" s="102" t="str">
        <f>IF(AND(WSPENJAS!$AG$15&gt;=91.5,WSPENJAS!$AG$15&lt;=100),"P","")</f>
        <v/>
      </c>
      <c r="WP31" s="102" t="str">
        <f>IF(AND(WSPENJAS!$AG$16&gt;0,WSPENJAS!$AG$16&lt;=74.9),"P","")</f>
        <v/>
      </c>
      <c r="WQ31" s="102" t="str">
        <f>IF(AND(WSPENJAS!$AG$16&gt;=75,WSPENJAS!$AG$16&lt;=83.24),"P","")</f>
        <v/>
      </c>
      <c r="WR31" s="102" t="str">
        <f>IF(AND(WSPENJAS!$AG$16&gt;=83.25,WSPENJAS!$AG$16&lt;=91.4),"P","")</f>
        <v/>
      </c>
      <c r="WS31" s="102" t="str">
        <f>IF(AND(WSPENJAS!$AG$16&gt;=91.5,WSPENJAS!$AG$16&lt;=100),"P","")</f>
        <v/>
      </c>
      <c r="WT31" s="102" t="str">
        <f>IF(AND(WSPENJAS!$AG$17&gt;0,WSPENJAS!$AG$17&lt;=74.9),"P","")</f>
        <v/>
      </c>
      <c r="WU31" s="102" t="str">
        <f>IF(AND(WSPENJAS!$AG$17&gt;=75,WSPENJAS!$AG$17&lt;=83.24),"P","")</f>
        <v/>
      </c>
      <c r="WV31" s="102" t="str">
        <f>IF(AND(WSPENJAS!$AG$17&gt;=83.25,WSPENJAS!$AG$17&lt;=91.4),"P","")</f>
        <v/>
      </c>
      <c r="WW31" s="102" t="str">
        <f>IF(AND(WSPENJAS!$AG$17&gt;=91.5,WSPENJAS!$AG$17&lt;=100),"P","")</f>
        <v/>
      </c>
      <c r="WX31" s="102" t="str">
        <f>IF(AND(WSPENJAS!$AG$18&gt;0,WSPENJAS!$AG$18&lt;=74.9),"P","")</f>
        <v/>
      </c>
      <c r="WY31" s="102" t="str">
        <f>IF(AND(WSPENJAS!$AG$18&gt;=75,WSPENJAS!$AG$18&lt;=83.24),"P","")</f>
        <v/>
      </c>
      <c r="WZ31" s="102" t="str">
        <f>IF(AND(WSPENJAS!$AG$18&gt;=83.25,WSPENJAS!$AG$18&lt;=91.4),"P","")</f>
        <v/>
      </c>
      <c r="XA31" s="102" t="str">
        <f>IF(AND(WSPENJAS!$AG$18&gt;=91.5,WSPENJAS!$AG$18&lt;=100),"P","")</f>
        <v/>
      </c>
      <c r="XB31" s="102" t="str">
        <f>IF(AND(WSPENJAS!$AG$19&gt;0,WSPENJAS!$AG$19&lt;=74.9),"P","")</f>
        <v/>
      </c>
      <c r="XC31" s="102" t="str">
        <f>IF(AND(WSPENJAS!$AG$19&gt;=75,WSPENJAS!$AG$19&lt;=83.24),"P","")</f>
        <v/>
      </c>
      <c r="XD31" s="102" t="str">
        <f>IF(AND(WSPENJAS!$AG$19&gt;=83.25,WSPENJAS!$AG$19&lt;=91.4),"P","")</f>
        <v/>
      </c>
      <c r="XE31" s="102" t="str">
        <f>IF(AND(WSPENJAS!$AG$19&gt;=91.5,WSPENJAS!$AG$19&lt;=100),"P","")</f>
        <v/>
      </c>
      <c r="XF31" s="102" t="str">
        <f>IF(AND(WSPENJAS!$AG$20&gt;0,WSPENJAS!$AG$20&lt;=74.9),"P","")</f>
        <v/>
      </c>
      <c r="XG31" s="102" t="str">
        <f>IF(AND(WSPENJAS!$AG$20&gt;=75,WSPENJAS!$AG$20&lt;=83.24),"P","")</f>
        <v/>
      </c>
      <c r="XH31" s="102" t="str">
        <f>IF(AND(WSPENJAS!$AG$20&gt;=83.25,WSPENJAS!$AG$20&lt;=91.4),"P","")</f>
        <v/>
      </c>
      <c r="XI31" s="102" t="str">
        <f>IF(AND(WSPENJAS!$AG$20&gt;=91.5,WSPENJAS!$AG$20&lt;=100),"P","")</f>
        <v/>
      </c>
      <c r="XJ31" s="102" t="str">
        <f>IF(AND(WSPENJAS!$AG$21&gt;0,WSPENJAS!$AG$21&lt;=74.9),"P","")</f>
        <v/>
      </c>
      <c r="XK31" s="102" t="str">
        <f>IF(AND(WSPENJAS!$AG$21&gt;=75,WSPENJAS!$AG$21&lt;=83.24),"P","")</f>
        <v/>
      </c>
      <c r="XL31" s="102" t="str">
        <f>IF(AND(WSPENJAS!$AG$21&gt;=83.25,WSPENJAS!$AG$21&lt;=91.4),"P","")</f>
        <v/>
      </c>
      <c r="XM31" s="102" t="str">
        <f>IF(AND(WSPENJAS!$AG$21&gt;=91.5,WSPENJAS!$AG$21&lt;=100),"P","")</f>
        <v/>
      </c>
      <c r="XN31" t="str">
        <f>IF(WSJAWA!$AG$6&lt;74.9,"P","")</f>
        <v/>
      </c>
      <c r="XO31" s="102" t="str">
        <f>IF(AND(WSJAWA!$AG$6&gt;=75,WSJAWA!$AG$6&lt;=83.24),"P","")</f>
        <v/>
      </c>
      <c r="XP31" s="102" t="str">
        <f>IF(AND(WSJAWA!$AG$6&gt;=83.25,WSJAWA!$AG$6&lt;=91.4),"P","")</f>
        <v/>
      </c>
      <c r="XQ31" s="102" t="str">
        <f>IF(AND(WSJAWA!$AG$6&gt;=91.5,WSJAWA!$AG$6&lt;=100),"P","")</f>
        <v/>
      </c>
      <c r="XR31" t="str">
        <f>IF(WSJAWA!$AG$14&lt;74.9,"P","")</f>
        <v/>
      </c>
      <c r="XS31" s="102" t="str">
        <f>IF(AND(WSJAWA!$AG$14&gt;=75,WSJAWA!$AG$14&lt;=83.24),"P","")</f>
        <v/>
      </c>
      <c r="XT31" s="102" t="str">
        <f>IF(AND(WSJAWA!$AG$14&gt;=83.25,WSJAWA!$AG$14&lt;=91.4),"P","")</f>
        <v/>
      </c>
      <c r="XU31" s="102" t="str">
        <f>IF(AND(WSJAWA!$AG$14&gt;=91.5,WSJAWA!$AG$14&lt;=100),"P","")</f>
        <v/>
      </c>
      <c r="XV31" t="str">
        <f>IF(WSJAWA!$AG$22&lt;74.9,"P","")</f>
        <v/>
      </c>
      <c r="XW31" s="102" t="str">
        <f>IF(AND(WSJAWA!$AG$22&gt;=75,WSJAWA!$AG$22&lt;=83.24),"P","")</f>
        <v/>
      </c>
      <c r="XX31" s="102" t="str">
        <f>IF(AND(WSJAWA!$AG$22&gt;=83.25,WSJAWA!$AG$22&lt;=91.4),"P","")</f>
        <v/>
      </c>
      <c r="XY31" s="102" t="str">
        <f>IF(AND(WSJAWA!$AG$22&gt;=91.5,WSJAWA!$AG$22&lt;=100),"P","")</f>
        <v/>
      </c>
      <c r="XZ31" t="str">
        <f>IF(WSJAWA!$AG$30&lt;74.9,"P","")</f>
        <v/>
      </c>
      <c r="YA31" s="102" t="str">
        <f>IF(AND(WSJAWA!$AG$30&gt;=75,WSJAWA!$AG$30&lt;=83.24),"P","")</f>
        <v/>
      </c>
      <c r="YB31" s="102" t="str">
        <f>IF(AND(WSJAWA!$AG$30&gt;=83.25,WSJAWA!$AG$30&lt;=91.4),"P","")</f>
        <v/>
      </c>
      <c r="YC31" s="102" t="str">
        <f>IF(AND(WSJAWA!$AG$30&gt;=91.5,WSJAWA!$AG$30&lt;=100),"P","")</f>
        <v/>
      </c>
      <c r="YD31" t="str">
        <f>IF(WSJAWA!$AG$38&lt;74.9,"P","")</f>
        <v/>
      </c>
      <c r="YE31" s="102" t="str">
        <f>IF(AND(WSJAWA!$AG$38&gt;=75,WSJAWA!$AG$38&lt;=83.24),"P","")</f>
        <v/>
      </c>
      <c r="YF31" s="102" t="str">
        <f>IF(AND(WSJAWA!$AG$38&gt;=83.25,WSJAWA!$AG$38&lt;=91.4),"P","")</f>
        <v/>
      </c>
      <c r="YG31" s="102" t="str">
        <f>IF(AND(WSJAWA!$AG$38&gt;=91.5,WSJAWA!$AG$38&lt;=100),"P","")</f>
        <v/>
      </c>
      <c r="YH31" t="str">
        <f>IF(WSJAWA!$AG$46&lt;74.9,"P","")</f>
        <v/>
      </c>
      <c r="YI31" s="102" t="str">
        <f>IF(AND(WSJAWA!$AG$46&gt;=75,WSJAWA!$AG$46&lt;=83.24),"P","")</f>
        <v/>
      </c>
      <c r="YJ31" s="102" t="str">
        <f>IF(AND(WSJAWA!$AG$46&gt;=83.25,WSJAWA!$AG$46&lt;=91.4),"P","")</f>
        <v/>
      </c>
      <c r="YK31" s="102" t="str">
        <f>IF(AND(WSJAWA!$AG$46&gt;=91.5,WSJAWA!$AG$46&lt;=100),"P","")</f>
        <v/>
      </c>
      <c r="YL31" t="str">
        <f>IF(WSJAWA!$AG$54&lt;74.9,"P","")</f>
        <v/>
      </c>
      <c r="YM31" s="102" t="str">
        <f>IF(AND(WSJAWA!$AG$54&gt;=75,WSJAWA!$AG$54&lt;=83.24),"P","")</f>
        <v/>
      </c>
      <c r="YN31" s="102" t="str">
        <f>IF(AND(WSJAWA!$AG$54&gt;=83.25,WSJAWA!$AG$54&lt;=91.4),"P","")</f>
        <v/>
      </c>
      <c r="YO31" s="102" t="str">
        <f>IF(AND(WSJAWA!$AG$54&gt;=91.5,WSJAWA!$AG$54&lt;=100),"P","")</f>
        <v/>
      </c>
      <c r="YP31" t="str">
        <f>IF(WSJAWA!$AG$62&lt;74.9,"P","")</f>
        <v/>
      </c>
      <c r="YQ31" s="102" t="str">
        <f>IF(AND(WSJAWA!$AG$62&gt;=75,WSJAWA!$AG$62&lt;=83.24),"P","")</f>
        <v/>
      </c>
      <c r="YR31" s="102" t="str">
        <f>IF(AND(WSJAWA!$AG$62&gt;=83.25,WSJAWA!$AG$62&lt;=91.4),"P","")</f>
        <v/>
      </c>
      <c r="YS31" s="102" t="str">
        <f>IF(AND(WSJAWA!$AG$62&gt;=91.5,WSJAWA!$AG$62&lt;=100),"P","")</f>
        <v/>
      </c>
      <c r="YT31" t="str">
        <f>IF(WSJAWA!$AG$70&lt;74.9,"P","")</f>
        <v/>
      </c>
      <c r="YU31" s="102" t="str">
        <f>IF(AND(WSJAWA!$AG$70&gt;=75,WSJAWA!$AG$70&lt;=83.24),"P","")</f>
        <v/>
      </c>
      <c r="YV31" s="102" t="str">
        <f>IF(AND(WSJAWA!$AG$70&gt;=83.25,WSJAWA!$AG$70&lt;=91.4),"P","")</f>
        <v/>
      </c>
      <c r="YW31" s="102" t="str">
        <f>IF(AND(WSJAWA!$AG$70&gt;=91.5,WSJAWA!$AG$70&lt;=100),"P","")</f>
        <v/>
      </c>
      <c r="YX31" t="str">
        <f>IF(WSJAWA!$AG$78&lt;74.9,"P","")</f>
        <v/>
      </c>
      <c r="YY31" s="102" t="str">
        <f>IF(AND(WSJAWA!$AG$78&gt;=75,WSJAWA!$AG$78&lt;=83.24),"P","")</f>
        <v/>
      </c>
      <c r="YZ31" s="102" t="str">
        <f>IF(AND(WSJAWA!$AG$78&gt;=83.25,WSJAWA!$AG$78&lt;=91.4),"P","")</f>
        <v/>
      </c>
      <c r="ZA31" s="102" t="str">
        <f>IF(AND(WSJAWA!$AG$78&gt;=91.5,WSJAWA!$AG$78&lt;=100),"P","")</f>
        <v/>
      </c>
      <c r="ZB31" t="str">
        <f>IF(WSJAWA!$AG$86&lt;74.9,"P","")</f>
        <v/>
      </c>
      <c r="ZC31" s="102" t="str">
        <f>IF(AND(WSJAWA!$AG$86&gt;=75,WSJAWA!$AG$86&lt;=83.24),"P","")</f>
        <v/>
      </c>
      <c r="ZD31" s="102" t="str">
        <f>IF(AND(WSJAWA!$AG$86&gt;=83.25,WSJAWA!$AG$86&lt;=91.4),"P","")</f>
        <v/>
      </c>
      <c r="ZE31" s="102" t="str">
        <f>IF(AND(WSJAWA!$AG$86&gt;=91.5,WSJAWA!$AG$86&lt;=100),"P","")</f>
        <v/>
      </c>
      <c r="ZF31" t="str">
        <f>IF(WSJAWA!$AG$94&lt;74.9,"P","")</f>
        <v/>
      </c>
      <c r="ZG31" s="102" t="str">
        <f>IF(AND(WSJAWA!$AG$94&gt;=75,WSJAWA!$AG$94&lt;=83.24),"P","")</f>
        <v/>
      </c>
      <c r="ZH31" s="102" t="str">
        <f>IF(AND(WSJAWA!$AG$94&gt;=83.25,WSJAWA!$AG$94&lt;=91.4),"P","")</f>
        <v/>
      </c>
      <c r="ZI31" s="102" t="str">
        <f>IF(AND(WSJAWA!$AG$94&gt;=91.5,WSJAWA!$AG$94&lt;=100),"P","")</f>
        <v/>
      </c>
      <c r="ZJ31" t="str">
        <f>IF(WSJAWA!$AG$102&lt;74.9,"P","")</f>
        <v/>
      </c>
      <c r="ZK31" s="102" t="str">
        <f>IF(AND(WSJAWA!$AG$102&gt;=75,WSJAWA!$AG$102&lt;=83.24),"P","")</f>
        <v/>
      </c>
      <c r="ZL31" s="102" t="str">
        <f>IF(AND(WSJAWA!$AG$102&gt;=83.25,WSJAWA!$AG$102&lt;=91.4),"P","")</f>
        <v/>
      </c>
      <c r="ZM31" s="102" t="str">
        <f>IF(AND(WSJAWA!$AG$102&gt;=91.5,WSJAWA!$AG$102&lt;=100),"P","")</f>
        <v/>
      </c>
      <c r="ZN31" t="str">
        <f>IF(WSING!$AG$6&lt;74.9,"P","")</f>
        <v/>
      </c>
      <c r="ZO31" s="102" t="str">
        <f>IF(AND(WSING!$AG$6&gt;=75,WSING!$AG$6&lt;=83.24),"P","")</f>
        <v/>
      </c>
      <c r="ZP31" s="102" t="str">
        <f>IF(AND(WSING!$AG$6&gt;=83.25,WSING!$AG$6&lt;=91.4),"P","")</f>
        <v/>
      </c>
      <c r="ZQ31" s="102" t="str">
        <f>IF(AND(WSING!$AG$6&gt;=91.5,WSING!$AG$6&lt;=100),"P","")</f>
        <v/>
      </c>
      <c r="ZR31" t="str">
        <f>IF(WSING!$AG$15&lt;74.9,"P","")</f>
        <v/>
      </c>
      <c r="ZS31" s="102" t="str">
        <f>IF(AND(WSING!$AG$15&gt;=75,WSING!$AG$15&lt;=83.24),"P","")</f>
        <v/>
      </c>
      <c r="ZT31" s="102" t="str">
        <f>IF(AND(WSING!$AG$15&gt;=83.25,WSING!$AG$15&lt;=91.4),"P","")</f>
        <v/>
      </c>
      <c r="ZU31" s="102" t="str">
        <f>IF(AND(WSING!$AG$15&gt;=91.5,WSING!$AG$15&lt;=100),"P","")</f>
        <v/>
      </c>
      <c r="ZV31" t="str">
        <f>IF(WSING!$AG$24&lt;74.9,"P","")</f>
        <v/>
      </c>
      <c r="ZW31" s="102" t="str">
        <f>IF(AND(WSING!$AG$24&gt;=75,WSING!$AG$24&lt;=83.24),"P","")</f>
        <v/>
      </c>
      <c r="ZX31" s="102" t="str">
        <f>IF(AND(WSING!$AG$24&gt;=83.25,WSING!$AG$24&lt;=91.4),"P","")</f>
        <v/>
      </c>
      <c r="ZY31" s="102" t="str">
        <f>IF(AND(WSING!$AG$24&gt;=91.5,WSING!$AG$24&lt;=100),"P","")</f>
        <v/>
      </c>
      <c r="ZZ31" t="str">
        <f>IF(WSING!$AG$33&lt;74.9,"P","")</f>
        <v/>
      </c>
      <c r="AAA31" s="102" t="str">
        <f>IF(AND(WSING!$AG$33&gt;=75,WSING!$AG$33&lt;=83.24),"P","")</f>
        <v/>
      </c>
      <c r="AAB31" s="102" t="str">
        <f>IF(AND(WSING!$AG$33&gt;=83.25,WSING!$AG$33&lt;=91.4),"P","")</f>
        <v/>
      </c>
      <c r="AAC31" s="102" t="str">
        <f>IF(AND(WSING!$AG$33&gt;=91.5,WSING!$AG$33&lt;=100),"P","")</f>
        <v/>
      </c>
      <c r="AAD31" t="str">
        <f>IF(WSING!$AG$42&lt;74.9,"P","")</f>
        <v/>
      </c>
      <c r="AAE31" s="102" t="str">
        <f>IF(AND(WSING!$AG$42&gt;=75,WSING!$AG$42&lt;=83.24),"P","")</f>
        <v/>
      </c>
      <c r="AAF31" s="102" t="str">
        <f>IF(AND(WSING!$AG$42&gt;=83.25,WSING!$AG$42&lt;=91.4),"P","")</f>
        <v/>
      </c>
      <c r="AAG31" s="102" t="str">
        <f>IF(AND(WSING!$AG$42&gt;=91.5,WSING!$AG$42&lt;=100),"P","")</f>
        <v/>
      </c>
      <c r="AAH31" t="str">
        <f>IF(WSING!$AG$50&lt;74.9,"P","")</f>
        <v/>
      </c>
      <c r="AAI31" s="102" t="str">
        <f>IF(AND(WSING!$AG$50&gt;=75,WSING!$AG$50&lt;=83.24),"P","")</f>
        <v/>
      </c>
      <c r="AAJ31" s="102" t="str">
        <f>IF(AND(WSING!$AG$50&gt;=83.25,WSING!$AG$50&lt;=91.4),"P","")</f>
        <v/>
      </c>
      <c r="AAK31" s="102" t="str">
        <f>IF(AND(WSING!$AG$50&gt;=91.5,WSING!$AG$50&lt;=100),"P","")</f>
        <v/>
      </c>
      <c r="AAL31" t="str">
        <f>IF(WSING!$AG$58&lt;74.9,"P","")</f>
        <v/>
      </c>
      <c r="AAM31" s="102" t="str">
        <f>IF(AND(WSING!$AG$58&gt;=75,WSING!$AG$58&lt;=83.24),"P","")</f>
        <v/>
      </c>
      <c r="AAN31" s="102" t="str">
        <f>IF(AND(WSING!$AG$58&gt;=83.25,WSING!$AG$58&lt;=91.4),"P","")</f>
        <v/>
      </c>
      <c r="AAO31" s="102" t="str">
        <f>IF(AND(WSING!$AG$58&gt;=91.5,WSING!$AG$58&lt;=100),"P","")</f>
        <v/>
      </c>
      <c r="AAP31" t="str">
        <f>IF(WSING!$AG$66&lt;74.9,"P","")</f>
        <v/>
      </c>
      <c r="AAQ31" s="102" t="str">
        <f>IF(AND(WSING!$AG$66&gt;=75,WSING!$AG$66&lt;=83.24),"P","")</f>
        <v/>
      </c>
      <c r="AAR31" s="102" t="str">
        <f>IF(AND(WSING!$AG$66&gt;=83.25,WSING!$AG$66&lt;=91.4),"P","")</f>
        <v/>
      </c>
      <c r="AAS31" s="102" t="str">
        <f>IF(AND(WSING!$AG$66&gt;=91.5,WSING!$AG$66&lt;=100),"P","")</f>
        <v/>
      </c>
      <c r="AAT31" t="str">
        <f>IF(WSING!$AG$74&lt;74.9,"P","")</f>
        <v/>
      </c>
      <c r="AAU31" s="102" t="str">
        <f>IF(AND(WSING!$AG$74&gt;=75,WSING!$AG$74&lt;=83.24),"P","")</f>
        <v/>
      </c>
      <c r="AAV31" s="102" t="str">
        <f>IF(AND(WSING!$AG$74&gt;=83.25,WSING!$AG$74&lt;=91.4),"P","")</f>
        <v/>
      </c>
      <c r="AAW31" s="102" t="str">
        <f>IF(AND(WSING!$AG$74&gt;=91.5,WSING!$AG$74&lt;=100),"P","")</f>
        <v/>
      </c>
      <c r="AAX31" t="str">
        <f>IF(WSING!$AG$82&lt;74.9,"P","")</f>
        <v/>
      </c>
      <c r="AAY31" s="102" t="str">
        <f>IF(AND(WSING!$AG$82&gt;=75,WSING!$AG$82&lt;=83.24),"P","")</f>
        <v/>
      </c>
      <c r="AAZ31" s="102" t="str">
        <f>IF(AND(WSING!$AG$82&gt;=83.25,WSING!$AG$82&lt;=91.4),"P","")</f>
        <v/>
      </c>
      <c r="ABA31" s="102" t="str">
        <f>IF(AND(WSING!$AG$82&gt;=91.5,WSING!$AG$82&lt;=100),"P","")</f>
        <v/>
      </c>
      <c r="ABB31" t="str">
        <f>IF(WSING!$AG$90&lt;74.9,"P","")</f>
        <v/>
      </c>
      <c r="ABC31" s="102" t="str">
        <f>IF(AND(WSING!$AG$90&gt;=75,WSING!$AG$90&lt;=83.24),"P","")</f>
        <v/>
      </c>
      <c r="ABD31" s="102" t="str">
        <f>IF(AND(WSING!$AG$90&gt;=83.25,WSING!$AG$90&lt;=91.4),"P","")</f>
        <v/>
      </c>
      <c r="ABE31" s="102" t="str">
        <f>IF(AND(WSING!$AG$90&gt;=91.5,WSING!$AG$90&lt;=100),"P","")</f>
        <v/>
      </c>
      <c r="ABF31" t="str">
        <f>IF(WSING!$AG$98&lt;74.9,"P","")</f>
        <v/>
      </c>
      <c r="ABG31" s="102" t="str">
        <f>IF(AND(WSING!$AG$98&gt;=75,WSING!$AG$98&lt;=83.24),"P","")</f>
        <v/>
      </c>
      <c r="ABH31" s="102" t="str">
        <f>IF(AND(WSING!$AG$98&gt;=83.25,WSING!$AG$98&lt;=91.4),"P","")</f>
        <v/>
      </c>
      <c r="ABI31" s="102" t="str">
        <f>IF(AND(WSING!$AG$98&gt;=91.5,WSING!$AG$98&lt;=100),"P","")</f>
        <v/>
      </c>
      <c r="ABJ31" t="str">
        <f>IF(WSING!$AG$106&lt;74.9,"P","")</f>
        <v/>
      </c>
      <c r="ABK31" s="102" t="str">
        <f>IF(AND(WSING!$AG$106&gt;=75,WSING!$AG$106&lt;=83.24),"P","")</f>
        <v/>
      </c>
      <c r="ABL31" s="102" t="str">
        <f>IF(AND(WSING!$AG$106&gt;=83.25,WSING!$AG$106&lt;=91.4),"P","")</f>
        <v/>
      </c>
      <c r="ABM31" s="102" t="str">
        <f>IF(AND(WSING!$AG$106&gt;=91.5,WSING!$AG$106&lt;=100),"P","")</f>
        <v/>
      </c>
      <c r="ABN31" t="str">
        <f>IF(WSTIK!$AG$6&lt;74.9,"P","")</f>
        <v/>
      </c>
      <c r="ABO31" s="102" t="str">
        <f>IF(AND(WSTIK!$AG$6&gt;=75,WSTIK!$AG$6&lt;=83.24),"P","")</f>
        <v/>
      </c>
      <c r="ABP31" s="102" t="str">
        <f>IF(AND(WSTIK!$AG$6&gt;=83.25,WSTIK!$AG$6&lt;=91.4),"P","")</f>
        <v/>
      </c>
      <c r="ABQ31" s="102" t="str">
        <f>IF(AND(WSTIK!$AG$6&gt;=91.5,WSTIK!$AG$6&lt;=100),"P","")</f>
        <v/>
      </c>
      <c r="ABR31" t="str">
        <f>IF(WSTIK!$AG$14&lt;74.9,"P","")</f>
        <v/>
      </c>
      <c r="ABS31" s="102" t="str">
        <f>IF(AND(WSTIK!$AG$14&gt;=75,WSTIK!$AG$14&lt;=83.24),"P","")</f>
        <v/>
      </c>
      <c r="ABT31" s="102" t="str">
        <f>IF(AND(WSTIK!$AG$14&gt;=83.25,WSTIK!$AG$14&lt;=91.4),"P","")</f>
        <v/>
      </c>
      <c r="ABU31" s="102" t="str">
        <f>IF(AND(WSTIK!$AG$14&gt;=91.5,WSTIK!$AG$14&lt;=100),"P","")</f>
        <v/>
      </c>
      <c r="ABV31" t="str">
        <f>IF(WSTIK!$AG$22&lt;74.9,"P","")</f>
        <v/>
      </c>
      <c r="ABW31" s="102" t="str">
        <f>IF(AND(WSTIK!$AG$22&gt;=75,WSTIK!$AG$22&lt;=83.24),"P","")</f>
        <v/>
      </c>
      <c r="ABX31" s="102" t="str">
        <f>IF(AND(WSTIK!$AG$22&gt;=83.25,WSTIK!$AG$22&lt;=91.4),"P","")</f>
        <v/>
      </c>
      <c r="ABY31" s="102" t="str">
        <f>IF(AND(WSTIK!$AG$22&gt;=91.5,WSTIK!$AG$22&lt;=100),"P","")</f>
        <v/>
      </c>
      <c r="ABZ31" t="str">
        <f>IF(WSTIK!$AG$30&lt;74.9,"P","")</f>
        <v/>
      </c>
      <c r="ACA31" s="102" t="str">
        <f>IF(AND(WSTIK!$AG$30&gt;=75,WSTIK!$AG$30&lt;=83.24),"P","")</f>
        <v/>
      </c>
      <c r="ACB31" s="102" t="str">
        <f>IF(AND(WSTIK!$AG$30&gt;=83.25,WSTIK!$AG$30&lt;=91.4),"P","")</f>
        <v/>
      </c>
      <c r="ACC31" s="102" t="str">
        <f>IF(AND(WSTIK!$AG$30&gt;=91.5,WSTIK!$AG$30&lt;=100),"P","")</f>
        <v/>
      </c>
      <c r="ACD31" t="str">
        <f>IF(WSTIK!$AG$38&lt;74.9,"P","")</f>
        <v/>
      </c>
      <c r="ACE31" s="102" t="str">
        <f>IF(AND(WSTIK!$AG$38&gt;=75,WSTIK!$AG$38&lt;=83.24),"P","")</f>
        <v/>
      </c>
      <c r="ACF31" s="102" t="str">
        <f>IF(AND(WSTIK!$AG$38&gt;=83.25,WSTIK!$AG$38&lt;=91.4),"P","")</f>
        <v/>
      </c>
      <c r="ACG31" s="102" t="str">
        <f>IF(AND(WSTIK!$AG$38&gt;=91.5,WSTIK!$AG$38&lt;=100),"P","")</f>
        <v/>
      </c>
      <c r="ACH31" t="str">
        <f>IF(WSTIK!$AG$46&lt;74.9,"P","")</f>
        <v/>
      </c>
      <c r="ACI31" s="102" t="str">
        <f>IF(AND(WSTIK!$AG$46&gt;=75,WSTIK!$AG$46&lt;=83.24),"P","")</f>
        <v/>
      </c>
      <c r="ACJ31" s="102" t="str">
        <f>IF(AND(WSTIK!$AG$46&gt;=83.25,WSTIK!$AG$46&lt;=91.4),"P","")</f>
        <v/>
      </c>
      <c r="ACK31" s="102" t="str">
        <f>IF(AND(WSTIK!$AG$46&gt;=91.5,WSTIK!$AG$46&lt;=100),"P","")</f>
        <v/>
      </c>
      <c r="ACL31" t="str">
        <f>IF(WSTIK!$AG$54&lt;74.9,"P","")</f>
        <v/>
      </c>
      <c r="ACM31" s="102" t="str">
        <f>IF(AND(WSTIK!$AG$54&gt;=75,WSTIK!$AG$54&lt;=83.24),"P","")</f>
        <v/>
      </c>
      <c r="ACN31" s="102" t="str">
        <f>IF(AND(WSTIK!$AG$54&gt;=83.25,WSTIK!$AG$54&lt;=91.4),"P","")</f>
        <v/>
      </c>
      <c r="ACO31" s="102" t="str">
        <f>IF(AND(WSTIK!$AG$54&gt;=91.5,WSTIK!$AG$54&lt;=100),"P","")</f>
        <v/>
      </c>
      <c r="ACP31" t="str">
        <f>IF(WSTIK!$AG$62&lt;74.9,"P","")</f>
        <v/>
      </c>
      <c r="ACQ31" s="102" t="str">
        <f>IF(AND(WSTIK!$AG$62&gt;=75,WSTIK!$AG$62&lt;=83.24),"P","")</f>
        <v/>
      </c>
      <c r="ACR31" s="102" t="str">
        <f>IF(AND(WSTIK!$AG$62&gt;=83.25,WSTIK!$AG$62&lt;=91.4),"P","")</f>
        <v/>
      </c>
      <c r="ACS31" s="102" t="str">
        <f>IF(AND(WSTIK!$AG$62&gt;=91.5,WSTIK!$AG$62&lt;=100),"P","")</f>
        <v/>
      </c>
      <c r="ACT31" t="str">
        <f>IF(WSTIK!$AG$70&lt;74.9,"P","")</f>
        <v/>
      </c>
      <c r="ACU31" s="102" t="str">
        <f>IF(AND(WSTIK!$AG$70&gt;=75,WSTIK!$AG$70&lt;=83.24),"P","")</f>
        <v/>
      </c>
      <c r="ACV31" s="102" t="str">
        <f>IF(AND(WSTIK!$AG$70&gt;=83.25,WSTIK!$AG$70&lt;=91.4),"P","")</f>
        <v/>
      </c>
      <c r="ACW31" s="102" t="str">
        <f>IF(AND(WSTIK!$AG$70&gt;=91.5,WSTIK!$AG$70&lt;=100),"P","")</f>
        <v/>
      </c>
      <c r="ACX31" t="str">
        <f>IF(WSTIK!$AG$78&lt;74.9,"P","")</f>
        <v/>
      </c>
      <c r="ACY31" s="102" t="str">
        <f>IF(AND(WSTIK!$AG$78&gt;=75,WSTIK!$AG$78&lt;=83.24),"P","")</f>
        <v/>
      </c>
      <c r="ACZ31" s="102" t="str">
        <f>IF(AND(WSTIK!$AG$78&gt;=83.25,WSTIK!$AG$78&lt;=91.4),"P","")</f>
        <v/>
      </c>
      <c r="ADA31" s="102" t="str">
        <f>IF(AND(WSTIK!$AG$78&gt;=91.5,WSTIK!$AG$78&lt;=100),"P","")</f>
        <v/>
      </c>
      <c r="ADB31" t="str">
        <f>IF(WSTIK!$AG$86&lt;74.9,"P","")</f>
        <v/>
      </c>
      <c r="ADC31" s="102" t="str">
        <f>IF(AND(WSTIK!$AG$86&gt;=75,WSTIK!$AG$86&lt;=83.24),"P","")</f>
        <v/>
      </c>
      <c r="ADD31" s="102" t="str">
        <f>IF(AND(WSTIK!$AG$86&gt;=83.25,WSTIK!$AG$86&lt;=91.4),"P","")</f>
        <v/>
      </c>
      <c r="ADE31" s="102" t="str">
        <f>IF(AND(WSTIK!$AG$86&gt;=91.5,WSTIK!$AG$86&lt;=100),"P","")</f>
        <v/>
      </c>
      <c r="ADF31" t="str">
        <f>IF(WSTIK!$AG$94&lt;74.9,"P","")</f>
        <v/>
      </c>
      <c r="ADG31" s="102" t="str">
        <f>IF(AND(WSTIK!$AG$94&gt;=75,WSTIK!$AG$94&lt;=83.24),"P","")</f>
        <v/>
      </c>
      <c r="ADH31" s="102" t="str">
        <f>IF(AND(WSTIK!$AG$94&gt;=83.25,WSTIK!$AG$94&lt;=91.4),"P","")</f>
        <v/>
      </c>
      <c r="ADI31" s="102" t="str">
        <f>IF(AND(WSTIK!$AG$94&gt;=91.5,WSTIK!$AG$94&lt;=100),"P","")</f>
        <v/>
      </c>
      <c r="ADJ31" t="str">
        <f>IF(WSTIK!$AG$102&lt;74.9,"P","")</f>
        <v/>
      </c>
      <c r="ADK31" s="102" t="str">
        <f>IF(AND(WSTIK!$AG$102&gt;=75,WSTIK!$AG$102&lt;=83.24),"P","")</f>
        <v/>
      </c>
      <c r="ADL31" s="102" t="str">
        <f>IF(AND(WSTIK!$AG$102&gt;=83.25,WSTIK!$AG$102&lt;=91.4),"P","")</f>
        <v/>
      </c>
      <c r="ADM31" s="102" t="str">
        <f>IF(AND(WSTIK!$AG$102&gt;=91.5,WSTIK!$AG$102&lt;=100),"P","")</f>
        <v/>
      </c>
      <c r="ADN31" t="str">
        <f>IF(WSASWAJA!$AG$6&lt;74.9,"P","")</f>
        <v/>
      </c>
      <c r="ADO31" s="102" t="str">
        <f>IF(AND(WSASWAJA!$AG$6&gt;=75,WSASWAJA!$AG$6&lt;=83.24),"P","")</f>
        <v/>
      </c>
      <c r="ADP31" s="102" t="str">
        <f>IF(AND(WSASWAJA!$AG$6&gt;=83.25,WSASWAJA!$AG$6&lt;=91.4),"P","")</f>
        <v/>
      </c>
      <c r="ADQ31" s="102" t="str">
        <f>IF(AND(WSASWAJA!$AG$6&gt;=91.5,WSASWAJA!$AG$6&lt;=100),"P","")</f>
        <v/>
      </c>
      <c r="ADR31" t="str">
        <f>IF(WSASWAJA!$AG$14&lt;74.9,"P","")</f>
        <v/>
      </c>
      <c r="ADS31" s="102" t="str">
        <f>IF(AND(WSASWAJA!$AG$14&gt;=75,WSASWAJA!$AG$14&lt;=83.24),"P","")</f>
        <v/>
      </c>
      <c r="ADT31" s="102" t="str">
        <f>IF(AND(WSASWAJA!$AG$14&gt;=83.25,WSASWAJA!$AG$14&lt;=91.4),"P","")</f>
        <v/>
      </c>
      <c r="ADU31" s="102" t="str">
        <f>IF(AND(WSASWAJA!$AG$14&gt;=91.5,WSASWAJA!$AG$14&lt;=100),"P","")</f>
        <v/>
      </c>
      <c r="ADV31" t="str">
        <f>IF(WSASWAJA!$AG$22&lt;74.9,"P","")</f>
        <v/>
      </c>
      <c r="ADW31" s="102" t="str">
        <f>IF(AND(WSASWAJA!$AG$22&gt;=75,WSASWAJA!$AG$22&lt;=83.24),"P","")</f>
        <v/>
      </c>
      <c r="ADX31" s="102" t="str">
        <f>IF(AND(WSASWAJA!$AG$22&gt;=83.25,WSASWAJA!$AG$22&lt;=91.4),"P","")</f>
        <v/>
      </c>
      <c r="ADY31" s="102" t="str">
        <f>IF(AND(WSASWAJA!$AG$22&gt;=91.5,WSASWAJA!$AG$22&lt;=100),"P","")</f>
        <v/>
      </c>
      <c r="ADZ31" t="str">
        <f>IF(WSASWAJA!$AG$30&lt;74.9,"P","")</f>
        <v/>
      </c>
      <c r="AEA31" s="102" t="str">
        <f>IF(AND(WSASWAJA!$AG$30&gt;=75,WSASWAJA!$AG$30&lt;=83.24),"P","")</f>
        <v/>
      </c>
      <c r="AEB31" s="102" t="str">
        <f>IF(AND(WSASWAJA!$AG$30&gt;=83.25,WSASWAJA!$AG$30&lt;=91.4),"P","")</f>
        <v/>
      </c>
      <c r="AEC31" s="102" t="str">
        <f>IF(AND(WSASWAJA!$AG$30&gt;=91.5,WSASWAJA!$AG$30&lt;=100),"P","")</f>
        <v/>
      </c>
      <c r="AED31" t="str">
        <f>IF(WSASWAJA!$AG$38&lt;74.9,"P","")</f>
        <v/>
      </c>
      <c r="AEE31" s="102" t="str">
        <f>IF(AND(WSASWAJA!$AG$38&gt;=75,WSASWAJA!$AG$38&lt;=83.24),"P","")</f>
        <v/>
      </c>
      <c r="AEF31" s="102" t="str">
        <f>IF(AND(WSASWAJA!$AG$38&gt;=83.25,WSASWAJA!$AG$38&lt;=91.4),"P","")</f>
        <v/>
      </c>
      <c r="AEG31" s="102" t="str">
        <f>IF(AND(WSASWAJA!$AG$38&gt;=91.5,WSASWAJA!$AG$38&lt;=100),"P","")</f>
        <v/>
      </c>
      <c r="AEH31" t="str">
        <f>IF(WSASWAJA!$AG$46&lt;74.9,"P","")</f>
        <v/>
      </c>
      <c r="AEI31" s="102" t="str">
        <f>IF(AND(WSASWAJA!$AG$46&gt;=75,WSASWAJA!$AG$46&lt;=83.24),"P","")</f>
        <v/>
      </c>
      <c r="AEJ31" s="102" t="str">
        <f>IF(AND(WSASWAJA!$AG$46&gt;=83.25,WSASWAJA!$AG$46&lt;=91.4),"P","")</f>
        <v/>
      </c>
      <c r="AEK31" s="102" t="str">
        <f>IF(AND(WSASWAJA!$AG$46&gt;=91.5,WSASWAJA!$AG$46&lt;=100),"P","")</f>
        <v/>
      </c>
      <c r="AEL31" t="str">
        <f>IF(WSASWAJA!$AG$54&lt;74.9,"P","")</f>
        <v/>
      </c>
      <c r="AEM31" s="102" t="str">
        <f>IF(AND(WSASWAJA!$AG$54&gt;=75,WSASWAJA!$AG$54&lt;=83.24),"P","")</f>
        <v/>
      </c>
      <c r="AEN31" s="102" t="str">
        <f>IF(AND(WSASWAJA!$AG$54&gt;=83.25,WSASWAJA!$AG$54&lt;=91.4),"P","")</f>
        <v/>
      </c>
      <c r="AEO31" s="102" t="str">
        <f>IF(AND(WSASWAJA!$AG$54&gt;=91.5,WSASWAJA!$AG$54&lt;=100),"P","")</f>
        <v/>
      </c>
      <c r="AEP31" t="str">
        <f>IF(WSASWAJA!$AG$62&lt;74.9,"P","")</f>
        <v/>
      </c>
      <c r="AEQ31" s="102" t="str">
        <f>IF(AND(WSASWAJA!$AG$62&gt;=75,WSASWAJA!$AG$62&lt;=83.24),"P","")</f>
        <v/>
      </c>
      <c r="AER31" s="102" t="str">
        <f>IF(AND(WSASWAJA!$AG$62&gt;=83.25,WSASWAJA!$AG$62&lt;=91.4),"P","")</f>
        <v/>
      </c>
      <c r="AES31" s="102" t="str">
        <f>IF(AND(WSASWAJA!$AG$62&gt;=91.5,WSASWAJA!$AG$62&lt;=100),"P","")</f>
        <v/>
      </c>
      <c r="AET31" t="str">
        <f>IF(WSASWAJA!$AG$70&lt;74.9,"P","")</f>
        <v/>
      </c>
      <c r="AEU31" s="102" t="str">
        <f>IF(AND(WSASWAJA!$AG$70&gt;=75,WSASWAJA!$AG$70&lt;=83.24),"P","")</f>
        <v/>
      </c>
      <c r="AEV31" s="102" t="str">
        <f>IF(AND(WSASWAJA!$AG$70&gt;=83.25,WSASWAJA!$AG$70&lt;=91.4),"P","")</f>
        <v/>
      </c>
      <c r="AEW31" s="102" t="str">
        <f>IF(AND(WSASWAJA!$AG$70&gt;=91.5,WSASWAJA!$AG$70&lt;=100),"P","")</f>
        <v/>
      </c>
      <c r="AEX31" t="str">
        <f>IF(WSASWAJA!$AG$78&lt;74.9,"P","")</f>
        <v/>
      </c>
      <c r="AEY31" s="102" t="str">
        <f>IF(AND(WSASWAJA!$AG$78&gt;=75,WSASWAJA!$AG$78&lt;=83.24),"P","")</f>
        <v/>
      </c>
      <c r="AEZ31" s="102" t="str">
        <f>IF(AND(WSASWAJA!$AG$78&gt;=83.25,WSASWAJA!$AG$78&lt;=91.4),"P","")</f>
        <v/>
      </c>
      <c r="AFA31" s="102" t="str">
        <f>IF(AND(WSASWAJA!$AG$78&gt;=91.5,WSASWAJA!$AG$78&lt;=100),"P","")</f>
        <v/>
      </c>
      <c r="AFB31" t="str">
        <f>IF(WSASWAJA!$AG$86&lt;74.9,"P","")</f>
        <v/>
      </c>
      <c r="AFC31" s="102" t="str">
        <f>IF(AND(WSASWAJA!$AG$86&gt;=75,WSASWAJA!$AG$86&lt;=83.24),"P","")</f>
        <v/>
      </c>
      <c r="AFD31" s="102" t="str">
        <f>IF(AND(WSASWAJA!$AG$86&gt;=83.25,WSASWAJA!$AG$86&lt;=91.4),"P","")</f>
        <v/>
      </c>
      <c r="AFE31" s="102" t="str">
        <f>IF(AND(WSASWAJA!$AG$86&gt;=91.5,WSASWAJA!$AG$86&lt;=100),"P","")</f>
        <v/>
      </c>
      <c r="AFF31" t="str">
        <f>IF(WSASWAJA!$AG$94&lt;74.9,"P","")</f>
        <v/>
      </c>
      <c r="AFG31" s="102" t="str">
        <f>IF(AND(WSASWAJA!$AG$94&gt;=75,WSASWAJA!$AG$94&lt;=83.24),"P","")</f>
        <v/>
      </c>
      <c r="AFH31" s="102" t="str">
        <f>IF(AND(WSASWAJA!$AG$94&gt;=83.25,WSASWAJA!$AG$94&lt;=91.4),"P","")</f>
        <v/>
      </c>
      <c r="AFI31" s="102" t="str">
        <f>IF(AND(WSASWAJA!$AG$94&gt;=91.5,WSASWAJA!$AG$94&lt;=100),"P","")</f>
        <v/>
      </c>
      <c r="AFJ31" t="str">
        <f>IF(WSASWAJA!$AG$102&lt;74.9,"P","")</f>
        <v/>
      </c>
      <c r="AFK31" s="102" t="str">
        <f>IF(AND(WSASWAJA!$AG$102&gt;=75,WSASWAJA!$AG$102&lt;=83.24),"P","")</f>
        <v/>
      </c>
      <c r="AFL31" s="102" t="str">
        <f>IF(AND(WSASWAJA!$AG$102&gt;=83.25,WSASWAJA!$AG$102&lt;=91.4),"P","")</f>
        <v/>
      </c>
      <c r="AFM31" s="102" t="str">
        <f>IF(AND(WSASWAJA!$AG$102&gt;=91.5,WSASWAJA!$AG$102&lt;=100),"P","")</f>
        <v/>
      </c>
    </row>
    <row r="32" spans="1:845" ht="20.100000000000001" customHeight="1">
      <c r="A32">
        <v>30</v>
      </c>
      <c r="B32" t="str">
        <f>IF(WSALQURAN!$AH$6&lt;74.9,"P","")</f>
        <v/>
      </c>
      <c r="C32" s="102" t="str">
        <f>IF(AND(WSALQURAN!$AH$6&gt;=75,WSALQURAN!$AH$6&lt;=83.24),"P","")</f>
        <v/>
      </c>
      <c r="D32" s="102" t="str">
        <f>IF(AND(WSALQURAN!$AH$6&gt;=83.25,WSALQURAN!$AH$6&lt;=91.4),"P","")</f>
        <v/>
      </c>
      <c r="E32" s="102" t="str">
        <f>IF(AND(WSALQURAN!$AH$6&gt;=91.5,WSALQURAN!$AH$6&lt;=100),"P","")</f>
        <v/>
      </c>
      <c r="F32" t="str">
        <f>IF(WSALQURAN!$AH$14&lt;74.9,"P","")</f>
        <v/>
      </c>
      <c r="G32" s="102" t="str">
        <f>IF(AND(WSALQURAN!$AH$14&gt;=75,WSALQURAN!$AH$14&lt;=83.24),"P","")</f>
        <v/>
      </c>
      <c r="H32" s="102" t="str">
        <f>IF(AND(WSALQURAN!$AH$14&gt;=83.25,WSALQURAN!$AH$14&lt;=91.4),"P","")</f>
        <v/>
      </c>
      <c r="I32" s="102" t="str">
        <f>IF(AND(WSALQURAN!$AH$14&gt;=91.5,WSALQURAN!$AH$14&lt;=100),"P","")</f>
        <v/>
      </c>
      <c r="J32" t="str">
        <f>IF(WSALQURAN!$AH$22&lt;74.9,"P","")</f>
        <v/>
      </c>
      <c r="K32" s="102" t="str">
        <f>IF(AND(WSALQURAN!$AH$22&gt;=75,WSALQURAN!$AH$22&lt;=83.24),"P","")</f>
        <v/>
      </c>
      <c r="L32" s="102" t="str">
        <f>IF(AND(WSALQURAN!$AH$22&gt;=83.25,WSALQURAN!$AH$22&lt;=91.4),"P","")</f>
        <v/>
      </c>
      <c r="M32" s="102" t="str">
        <f>IF(AND(WSALQURAN!$AH$22&gt;=91.5,WSALQURAN!$AH$22&lt;=100),"P","")</f>
        <v/>
      </c>
      <c r="N32" t="str">
        <f>IF(WSALQURAN!$AH$30&lt;74.9,"P","")</f>
        <v/>
      </c>
      <c r="O32" s="102" t="str">
        <f>IF(AND(WSALQURAN!$AH$30&gt;=75,WSALQURAN!$AH$30&lt;=83.24),"P","")</f>
        <v/>
      </c>
      <c r="P32" s="102" t="str">
        <f>IF(AND(WSALQURAN!$AH$30&gt;=83.25,WSALQURAN!$AH$30&lt;=91.4),"P","")</f>
        <v/>
      </c>
      <c r="Q32" s="102" t="str">
        <f>IF(AND(WSALQURAN!$AH$30&gt;=91.5,WSALQURAN!$AH$30&lt;=100),"P","")</f>
        <v/>
      </c>
      <c r="R32" t="str">
        <f>IF(WSALQURAN!$AH$38&lt;74.9,"P","")</f>
        <v/>
      </c>
      <c r="S32" s="102" t="str">
        <f>IF(AND(WSALQURAN!$AH$38&gt;=75,WSALQURAN!$AH$38&lt;=83.24),"P","")</f>
        <v/>
      </c>
      <c r="T32" s="102" t="str">
        <f>IF(AND(WSALQURAN!$AH$38&gt;=83.25,WSALQURAN!$AH$38&lt;=91.4),"P","")</f>
        <v/>
      </c>
      <c r="U32" s="102" t="str">
        <f>IF(AND(WSALQURAN!$AH$38&gt;=91.5,WSALQURAN!$AH$38&lt;=100),"P","")</f>
        <v/>
      </c>
      <c r="V32" t="str">
        <f>IF(WSALQURAN!$AH$46&lt;74.9,"P","")</f>
        <v/>
      </c>
      <c r="W32" s="102" t="str">
        <f>IF(AND(WSALQURAN!$AH$46&gt;=75,WSALQURAN!$AH$46&lt;=83.24),"P","")</f>
        <v/>
      </c>
      <c r="X32" s="102" t="str">
        <f>IF(AND(WSALQURAN!$AH$46&gt;=83.25,WSALQURAN!$AH$46&lt;=91.4),"P","")</f>
        <v/>
      </c>
      <c r="Y32" s="102" t="str">
        <f>IF(AND(WSALQURAN!$AH$46&gt;=91.5,WSALQURAN!$AH$46&lt;=100),"P","")</f>
        <v/>
      </c>
      <c r="Z32" t="str">
        <f>IF(WSALQURAN!$AH$54&lt;74.9,"P","")</f>
        <v/>
      </c>
      <c r="AA32" s="102" t="str">
        <f>IF(AND(WSALQURAN!$AH$54&gt;=75,WSALQURAN!$AH$54&lt;=83.24),"P","")</f>
        <v/>
      </c>
      <c r="AB32" s="102" t="str">
        <f>IF(AND(WSALQURAN!$AH$54&gt;=83.25,WSALQURAN!$AH$54&lt;=91.4),"P","")</f>
        <v/>
      </c>
      <c r="AC32" s="102" t="str">
        <f>IF(AND(WSALQURAN!$AH$54&gt;=91.5,WSALQURAN!$AH$54&lt;=100),"P","")</f>
        <v/>
      </c>
      <c r="AD32" t="str">
        <f>IF(WSALQURAN!$AH$62&lt;74.9,"P","")</f>
        <v/>
      </c>
      <c r="AE32" s="102" t="str">
        <f>IF(AND(WSALQURAN!$AH$62&gt;=75,WSALQURAN!$AH$62&lt;=83.24),"P","")</f>
        <v/>
      </c>
      <c r="AF32" s="102" t="str">
        <f>IF(AND(WSALQURAN!$AH$62&gt;=83.25,WSALQURAN!$AH$62&lt;=91.4),"P","")</f>
        <v/>
      </c>
      <c r="AG32" s="102" t="str">
        <f>IF(AND(WSALQURAN!$AH$62&gt;=91.5,WSALQURAN!$AH$62&lt;=100),"P","")</f>
        <v/>
      </c>
      <c r="AH32" t="str">
        <f>IF(WSALQURAN!$AH$70&lt;74.9,"P","")</f>
        <v/>
      </c>
      <c r="AI32" s="102" t="str">
        <f>IF(AND(WSALQURAN!$AH$70&gt;=75,WSALQURAN!$AH$70&lt;=83.24),"P","")</f>
        <v/>
      </c>
      <c r="AJ32" s="102" t="str">
        <f>IF(AND(WSALQURAN!$AH$70&gt;=83.25,WSALQURAN!$AH$70&lt;=91.4),"P","")</f>
        <v/>
      </c>
      <c r="AK32" s="102" t="str">
        <f>IF(AND(WSALQURAN!$AH$70&gt;=91.5,WSALQURAN!$AH$70&lt;=100),"P","")</f>
        <v/>
      </c>
      <c r="AL32" t="str">
        <f>IF(WSALQURAN!$AH$78&lt;74.9,"P","")</f>
        <v/>
      </c>
      <c r="AM32" s="102" t="str">
        <f>IF(AND(WSALQURAN!$AH$78&gt;=75,WSALQURAN!$AH$78&lt;=83.24),"P","")</f>
        <v/>
      </c>
      <c r="AN32" s="102" t="str">
        <f>IF(AND(WSALQURAN!$AH$78&gt;=83.25,WSALQURAN!$AH$78&lt;=91.4),"P","")</f>
        <v/>
      </c>
      <c r="AO32" s="102" t="str">
        <f>IF(AND(WSALQURAN!$AH$78&gt;=91.5,WSALQURAN!$AH$78&lt;=100),"P","")</f>
        <v/>
      </c>
      <c r="AP32" t="str">
        <f>IF(WSALQURAN!$AH$86&lt;74.9,"P","")</f>
        <v/>
      </c>
      <c r="AQ32" s="102" t="str">
        <f>IF(AND(WSALQURAN!$AH$86&gt;=75,WSALQURAN!$AH$86&lt;=83.24),"P","")</f>
        <v/>
      </c>
      <c r="AR32" s="102" t="str">
        <f>IF(AND(WSALQURAN!$AH$86&gt;=83.25,WSALQURAN!$AH$86&lt;=91.4),"P","")</f>
        <v/>
      </c>
      <c r="AS32" s="102" t="str">
        <f>IF(AND(WSALQURAN!$AH$86&gt;=91.5,WSALQURAN!$AH$86&lt;=100),"P","")</f>
        <v/>
      </c>
      <c r="AT32" t="str">
        <f>IF(WSALQURAN!$AH$94&lt;74.9,"P","")</f>
        <v/>
      </c>
      <c r="AU32" s="102" t="str">
        <f>IF(AND(WSALQURAN!$AH$94&gt;=75,WSALQURAN!$AH$94&lt;=83.24),"P","")</f>
        <v/>
      </c>
      <c r="AV32" s="102" t="str">
        <f>IF(AND(WSALQURAN!$AH$94&gt;=83.25,WSALQURAN!$AH$94&lt;=91.4),"P","")</f>
        <v/>
      </c>
      <c r="AW32" s="102" t="str">
        <f>IF(AND(WSALQURAN!$AH$94&gt;=91.5,WSALQURAN!$AH$94&lt;=100),"P","")</f>
        <v/>
      </c>
      <c r="AX32" t="str">
        <f>IF(WSALQURAN!$AH$102&lt;74.9,"P","")</f>
        <v/>
      </c>
      <c r="AY32" s="102" t="str">
        <f>IF(AND(WSALQURAN!$AH$102&gt;=75,WSALQURAN!$AH$102&lt;=83.24),"P","")</f>
        <v/>
      </c>
      <c r="AZ32" s="102" t="str">
        <f>IF(AND(WSALQURAN!$AH$102&gt;=83.25,WSALQURAN!$AH$102&lt;=91.4),"P","")</f>
        <v/>
      </c>
      <c r="BA32" s="102" t="str">
        <f>IF(AND(WSALQURAN!$AH$102&gt;=91.5,WSALQURAN!$AH$102&lt;=100),"P","")</f>
        <v/>
      </c>
      <c r="BB32" t="str">
        <f>IF(WSAQIDAH!$AH$6&lt;74.9,"P","")</f>
        <v/>
      </c>
      <c r="BC32" s="102" t="str">
        <f>IF(AND(WSAQIDAH!$AH$6&gt;=75,WSAQIDAH!$AH$6&lt;=83.24),"P","")</f>
        <v/>
      </c>
      <c r="BD32" s="102" t="str">
        <f>IF(AND(WSAQIDAH!$AH$6&gt;=83.25,WSAQIDAH!$AH$6&lt;=91.4),"P","")</f>
        <v/>
      </c>
      <c r="BE32" s="102" t="str">
        <f>IF(AND(WSAQIDAH!$AH$6&gt;=91.5,WSAQIDAH!$AH$6&lt;=100),"P","")</f>
        <v/>
      </c>
      <c r="BF32" t="str">
        <f>IF(WSAQIDAH!$AH$14&lt;74.9,"P","")</f>
        <v/>
      </c>
      <c r="BG32" s="102" t="str">
        <f>IF(AND(WSAQIDAH!$AH$14&gt;=75,WSAQIDAH!$AH$14&lt;=83.24),"P","")</f>
        <v/>
      </c>
      <c r="BH32" s="102" t="str">
        <f>IF(AND(WSAQIDAH!$AH$14&gt;=83.25,WSAQIDAH!$AH$14&lt;=91.4),"P","")</f>
        <v/>
      </c>
      <c r="BI32" s="102" t="str">
        <f>IF(AND(WSAQIDAH!$AH$14&gt;=91.5,WSAQIDAH!$AH$14&lt;=100),"P","")</f>
        <v/>
      </c>
      <c r="BJ32" t="str">
        <f>IF(WSAQIDAH!$AH$22&lt;74.9,"P","")</f>
        <v/>
      </c>
      <c r="BK32" s="102" t="str">
        <f>IF(AND(WSAQIDAH!$AH$22&gt;=75,WSAQIDAH!$AH$22&lt;=83.24),"P","")</f>
        <v/>
      </c>
      <c r="BL32" s="102" t="str">
        <f>IF(AND(WSAQIDAH!$AH$22&gt;=83.25,WSAQIDAH!$AH$22&lt;=91.4),"P","")</f>
        <v/>
      </c>
      <c r="BM32" s="102" t="str">
        <f>IF(AND(WSAQIDAH!$AH$22&gt;=91.5,WSAQIDAH!$AH$22&lt;=100),"P","")</f>
        <v/>
      </c>
      <c r="BN32" t="str">
        <f>IF(WSAQIDAH!$AH$30&lt;74.9,"P","")</f>
        <v/>
      </c>
      <c r="BO32" s="102" t="str">
        <f>IF(AND(WSAQIDAH!$AH$30&gt;=75,WSAQIDAH!$AH$30&lt;=83.24),"P","")</f>
        <v/>
      </c>
      <c r="BP32" s="102" t="str">
        <f>IF(AND(WSAQIDAH!$AH$30&gt;=83.25,WSAQIDAH!$AH$30&lt;=91.4),"P","")</f>
        <v/>
      </c>
      <c r="BQ32" s="102" t="str">
        <f>IF(AND(WSAQIDAH!$AH$30&gt;=91.5,WSAQIDAH!$AH$30&lt;=100),"P","")</f>
        <v/>
      </c>
      <c r="BR32" t="str">
        <f>IF(WSAQIDAH!$AH$38&lt;74.9,"P","")</f>
        <v/>
      </c>
      <c r="BS32" s="102" t="str">
        <f>IF(AND(WSAQIDAH!$AH$38&gt;=75,WSAQIDAH!$AH$38&lt;=83.24),"P","")</f>
        <v/>
      </c>
      <c r="BT32" s="102" t="str">
        <f>IF(AND(WSAQIDAH!$AH$38&gt;=83.25,WSAQIDAH!$AH$38&lt;=91.4),"P","")</f>
        <v/>
      </c>
      <c r="BU32" s="102" t="str">
        <f>IF(AND(WSAQIDAH!$AH$38&gt;=91.5,WSAQIDAH!$AH$38&lt;=100),"P","")</f>
        <v/>
      </c>
      <c r="BV32" t="str">
        <f>IF(WSAQIDAH!$AH$46&lt;74.9,"P","")</f>
        <v/>
      </c>
      <c r="BW32" s="102" t="str">
        <f>IF(AND(WSAQIDAH!$AH$46&gt;=75,WSAQIDAH!$AH$46&lt;=83.24),"P","")</f>
        <v/>
      </c>
      <c r="BX32" s="102" t="str">
        <f>IF(AND(WSAQIDAH!$AH$46&gt;=83.25,WSAQIDAH!$AH$46&lt;=91.4),"P","")</f>
        <v/>
      </c>
      <c r="BY32" s="102" t="str">
        <f>IF(AND(WSAQIDAH!$AH$46&gt;=91.5,WSAQIDAH!$AH$46&lt;=100),"P","")</f>
        <v/>
      </c>
      <c r="BZ32" t="str">
        <f>IF(WSAQIDAH!$AH$54&lt;74.9,"P","")</f>
        <v/>
      </c>
      <c r="CA32" s="102" t="str">
        <f>IF(AND(WSAQIDAH!$AH$54&gt;=75,WSAQIDAH!$AH$54&lt;=83.24),"P","")</f>
        <v/>
      </c>
      <c r="CB32" s="102" t="str">
        <f>IF(AND(WSAQIDAH!$AH$54&gt;=83.25,WSAQIDAH!$AH$54&lt;=91.4),"P","")</f>
        <v/>
      </c>
      <c r="CC32" s="102" t="str">
        <f>IF(AND(WSAQIDAH!$AH$54&gt;=91.5,WSAQIDAH!$AH$54&lt;=100),"P","")</f>
        <v/>
      </c>
      <c r="CD32" t="str">
        <f>IF(WSAQIDAH!$AH$62&lt;74.9,"P","")</f>
        <v/>
      </c>
      <c r="CE32" s="102" t="str">
        <f>IF(AND(WSAQIDAH!$AH$62&gt;=75,WSAQIDAH!$AH$62&lt;=83.24),"P","")</f>
        <v/>
      </c>
      <c r="CF32" s="102" t="str">
        <f>IF(AND(WSAQIDAH!$AH$62&gt;=83.25,WSAQIDAH!$AH$62&lt;=91.4),"P","")</f>
        <v/>
      </c>
      <c r="CG32" s="102" t="str">
        <f>IF(AND(WSAQIDAH!$AH$62&gt;=91.5,WSAQIDAH!$AH$62&lt;=100),"P","")</f>
        <v/>
      </c>
      <c r="CH32" t="str">
        <f>IF(WSAQIDAH!$AH$70&lt;74.9,"P","")</f>
        <v/>
      </c>
      <c r="CI32" s="102" t="str">
        <f>IF(AND(WSAQIDAH!$AH$70&gt;=75,WSAQIDAH!$AH$70&lt;=83.24),"P","")</f>
        <v/>
      </c>
      <c r="CJ32" s="102" t="str">
        <f>IF(AND(WSAQIDAH!$AH$70&gt;=83.25,WSAQIDAH!$AH$70&lt;=91.4),"P","")</f>
        <v/>
      </c>
      <c r="CK32" s="102" t="str">
        <f>IF(AND(WSAQIDAH!$AH$70&gt;=91.5,WSAQIDAH!$AH$70&lt;=100),"P","")</f>
        <v/>
      </c>
      <c r="CL32" t="str">
        <f>IF(WSAQIDAH!$AH$78&lt;74.9,"P","")</f>
        <v/>
      </c>
      <c r="CM32" s="102" t="str">
        <f>IF(AND(WSAQIDAH!$AH$78&gt;=75,WSAQIDAH!$AH$78&lt;=83.24),"P","")</f>
        <v/>
      </c>
      <c r="CN32" s="102" t="str">
        <f>IF(AND(WSAQIDAH!$AH$78&gt;=83.25,WSAQIDAH!$AH$78&lt;=91.4),"P","")</f>
        <v/>
      </c>
      <c r="CO32" s="102" t="str">
        <f>IF(AND(WSAQIDAH!$AH$78&gt;=91.5,WSAQIDAH!$AH$78&lt;=100),"P","")</f>
        <v/>
      </c>
      <c r="CP32" t="str">
        <f>IF(WSAQIDAH!$AH$86&lt;74.9,"P","")</f>
        <v/>
      </c>
      <c r="CQ32" s="102" t="str">
        <f>IF(AND(WSAQIDAH!$AH$86&gt;=75,WSAQIDAH!$AH$86&lt;=83.24),"P","")</f>
        <v/>
      </c>
      <c r="CR32" s="102" t="str">
        <f>IF(AND(WSAQIDAH!$AH$86&gt;=83.25,WSAQIDAH!$AH$86&lt;=91.4),"P","")</f>
        <v/>
      </c>
      <c r="CS32" s="102" t="str">
        <f>IF(AND(WSAQIDAH!$AH$86&gt;=91.5,WSAQIDAH!$AH$86&lt;=100),"P","")</f>
        <v/>
      </c>
      <c r="CT32" t="str">
        <f>IF(WSAQIDAH!$AH$94&lt;74.9,"P","")</f>
        <v/>
      </c>
      <c r="CU32" s="102" t="str">
        <f>IF(AND(WSAQIDAH!$AH$94&gt;=75,WSAQIDAH!$AH$94&lt;=83.24),"P","")</f>
        <v/>
      </c>
      <c r="CV32" s="102" t="str">
        <f>IF(AND(WSAQIDAH!$AH$94&gt;=83.25,WSAQIDAH!$AH$94&lt;=91.4),"P","")</f>
        <v/>
      </c>
      <c r="CW32" s="102" t="str">
        <f>IF(AND(WSAQIDAH!$AH$94&gt;=91.5,WSAQIDAH!$AH$94&lt;=100),"P","")</f>
        <v/>
      </c>
      <c r="CX32" t="str">
        <f>IF(WSAQIDAH!$AH$102&lt;74.9,"P","")</f>
        <v/>
      </c>
      <c r="CY32" s="102" t="str">
        <f>IF(AND(WSAQIDAH!$AH$102&gt;=75,WSAQIDAH!$AH$102&lt;=83.24),"P","")</f>
        <v/>
      </c>
      <c r="CZ32" s="102" t="str">
        <f>IF(AND(WSAQIDAH!$AH$102&gt;=83.25,WSAQIDAH!$AH$102&lt;=91.4),"P","")</f>
        <v/>
      </c>
      <c r="DA32" s="102" t="str">
        <f>IF(AND(WSAQIDAH!$AH$102&gt;=91.5,WSAQIDAH!$AH$102&lt;=100),"P","")</f>
        <v/>
      </c>
      <c r="DB32" t="str">
        <f>IF(WSSKI!$AH$6&lt;74.9,"P","")</f>
        <v/>
      </c>
      <c r="DC32" s="102" t="str">
        <f>IF(AND(WSSKI!$AH$6&gt;=75,WSSKI!$AH$6&lt;=83.24),"P","")</f>
        <v/>
      </c>
      <c r="DD32" s="102" t="str">
        <f>IF(AND(WSSKI!$AH$6&gt;=83.25,WSSKI!$AH$6&lt;=91.4),"P","")</f>
        <v/>
      </c>
      <c r="DE32" s="102" t="str">
        <f>IF(AND(WSSKI!$AH$6&gt;=91.5,WSSKI!$AH$6&lt;=100),"P","")</f>
        <v/>
      </c>
      <c r="DF32" t="str">
        <f>IF(WSSKI!$AH$14&lt;74.9,"P","")</f>
        <v/>
      </c>
      <c r="DG32" s="102" t="str">
        <f>IF(AND(WSSKI!$AH$14&gt;=75,WSSKI!$AH$14&lt;=83.24),"P","")</f>
        <v/>
      </c>
      <c r="DH32" s="102" t="str">
        <f>IF(AND(WSSKI!$AH$14&gt;=83.25,WSSKI!$AH$14&lt;=91.4),"P","")</f>
        <v/>
      </c>
      <c r="DI32" s="102" t="str">
        <f>IF(AND(WSSKI!$AH$14&gt;=91.5,WSSKI!$AH$14&lt;=100),"P","")</f>
        <v/>
      </c>
      <c r="DJ32" t="str">
        <f>IF(WSSKI!$AH$23&lt;74.9,"P","")</f>
        <v/>
      </c>
      <c r="DK32" s="102" t="str">
        <f>IF(AND(WSSKI!$AH$23&gt;=75,WSSKI!$AH$23&lt;=83.24),"P","")</f>
        <v/>
      </c>
      <c r="DL32" s="102" t="str">
        <f>IF(AND(WSSKI!$AH$23&gt;=83.25,WSSKI!$AH$23&lt;=91.4),"P","")</f>
        <v/>
      </c>
      <c r="DM32" s="102" t="str">
        <f>IF(AND(WSSKI!$AH$23&gt;=91.5,WSSKI!$AH$23&lt;=100),"P","")</f>
        <v/>
      </c>
      <c r="DN32" t="str">
        <f>IF(WSSKI!$AH$31&lt;74.9,"P","")</f>
        <v/>
      </c>
      <c r="DO32" s="102" t="str">
        <f>IF(AND(WSSKI!$AH$31&gt;=75,WSSKI!$AH$31&lt;=83.24),"P","")</f>
        <v/>
      </c>
      <c r="DP32" s="102" t="str">
        <f>IF(AND(WSSKI!$AH$31&gt;=83.25,WSSKI!$AH$31&lt;=91.4),"P","")</f>
        <v/>
      </c>
      <c r="DQ32" s="102" t="str">
        <f>IF(AND(WSSKI!$AH$31&gt;=91.5,WSSKI!$AH$31&lt;=100),"P","")</f>
        <v/>
      </c>
      <c r="DR32" t="str">
        <f>IF(WSSKI!$AH$40&lt;74.9,"P","")</f>
        <v/>
      </c>
      <c r="DS32" s="102" t="str">
        <f>IF(AND(WSSKI!$AH$40&gt;=75,WSSKI!$AH$40&lt;=83.24),"P","")</f>
        <v/>
      </c>
      <c r="DT32" s="102" t="str">
        <f>IF(AND(WSSKI!$AH$40&gt;=83.25,WSSKI!$AH$40&lt;=91.4),"P","")</f>
        <v/>
      </c>
      <c r="DU32" s="102" t="str">
        <f>IF(AND(WSSKI!$AH$40&gt;=91.5,WSSKI!$AH$40&lt;=100),"P","")</f>
        <v/>
      </c>
      <c r="DV32" t="str">
        <f>IF(WSSKI!$AH$48&lt;74.9,"P","")</f>
        <v/>
      </c>
      <c r="DW32" s="102" t="str">
        <f>IF(AND(WSSKI!$AH$48&gt;=75,WSSKI!$AH$48&lt;=83.24),"P","")</f>
        <v/>
      </c>
      <c r="DX32" s="102" t="str">
        <f>IF(AND(WSSKI!$AH$48&gt;=83.25,WSSKI!$AH$48&lt;=91.4),"P","")</f>
        <v/>
      </c>
      <c r="DY32" s="102" t="str">
        <f>IF(AND(WSSKI!$AH$48&gt;=91.5,WSSKI!$AH$48&lt;=100),"P","")</f>
        <v/>
      </c>
      <c r="DZ32" t="str">
        <f>IF(WSSKI!$AH$56&lt;74.9,"P","")</f>
        <v/>
      </c>
      <c r="EA32" s="102" t="str">
        <f>IF(AND(WSSKI!$AH$56&gt;=75,WSSKI!$AH$56&lt;=83.24),"P","")</f>
        <v/>
      </c>
      <c r="EB32" s="102" t="str">
        <f>IF(AND(WSSKI!$AH$56&gt;=83.25,WSSKI!$AH$56&lt;=91.4),"P","")</f>
        <v/>
      </c>
      <c r="EC32" s="102" t="str">
        <f>IF(AND(WSSKI!$AH$56&gt;=91.5,WSSKI!$AH$56&lt;=100),"P","")</f>
        <v/>
      </c>
      <c r="ED32" t="str">
        <f>IF(WSSKI!$AH$64&lt;74.9,"P","")</f>
        <v/>
      </c>
      <c r="EE32" s="102" t="str">
        <f>IF(AND(WSSKI!$AH$64&gt;=75,WSSKI!$AH$64&lt;=83.24),"P","")</f>
        <v/>
      </c>
      <c r="EF32" s="102" t="str">
        <f>IF(AND(WSSKI!$AH$64&gt;=83.25,WSSKI!$AH$64&lt;=91.4),"P","")</f>
        <v/>
      </c>
      <c r="EG32" s="102" t="str">
        <f>IF(AND(WSSKI!$AH$64&gt;=91.5,WSSKI!$AH$64&lt;=100),"P","")</f>
        <v/>
      </c>
      <c r="EH32" t="str">
        <f>IF(WSSKI!$AH$72&lt;74.9,"P","")</f>
        <v/>
      </c>
      <c r="EI32" s="102" t="str">
        <f>IF(AND(WSSKI!$AH$72&gt;=75,WSSKI!$AH$72&lt;=83.24),"P","")</f>
        <v/>
      </c>
      <c r="EJ32" s="102" t="str">
        <f>IF(AND(WSSKI!$AH$72&gt;=83.25,WSSKI!$AH$72&lt;=91.4),"P","")</f>
        <v/>
      </c>
      <c r="EK32" s="102" t="str">
        <f>IF(AND(WSSKI!$AH$72&gt;=91.5,WSSKI!$AH$72&lt;=100),"P","")</f>
        <v/>
      </c>
      <c r="EL32" t="str">
        <f>IF(WSSKI!$AH$80&lt;74.9,"P","")</f>
        <v/>
      </c>
      <c r="EM32" s="102" t="str">
        <f>IF(AND(WSSKI!$AH$80&gt;=75,WSSKI!$AH$80&lt;=83.24),"P","")</f>
        <v/>
      </c>
      <c r="EN32" s="102" t="str">
        <f>IF(AND(WSSKI!$AH$80&gt;=83.25,WSSKI!$AH$80&lt;=91.4),"P","")</f>
        <v/>
      </c>
      <c r="EO32" s="102" t="str">
        <f>IF(AND(WSSKI!$AH$80&gt;=91.5,WSSKI!$AH$80&lt;=100),"P","")</f>
        <v/>
      </c>
      <c r="EP32" t="str">
        <f>IF(WSSKI!$AH$88&lt;74.9,"P","")</f>
        <v/>
      </c>
      <c r="EQ32" s="102" t="str">
        <f>IF(AND(WSSKI!$AH$88&gt;=75,WSSKI!$AH$88&lt;=83.24),"P","")</f>
        <v/>
      </c>
      <c r="ER32" s="102" t="str">
        <f>IF(AND(WSSKI!$AH$88&gt;=83.25,WSSKI!$AH$88&lt;=91.4),"P","")</f>
        <v/>
      </c>
      <c r="ES32" s="102" t="str">
        <f>IF(AND(WSSKI!$AH$88&gt;=91.5,WSSKI!$AH$88&lt;=100),"P","")</f>
        <v/>
      </c>
      <c r="ET32" t="str">
        <f>IF(WSSKI!$AH$96&lt;74.9,"P","")</f>
        <v/>
      </c>
      <c r="EU32" s="102" t="str">
        <f>IF(AND(WSSKI!$AH$96&gt;=75,WSSKI!$AH$96&lt;=83.24),"P","")</f>
        <v/>
      </c>
      <c r="EV32" s="102" t="str">
        <f>IF(AND(WSSKI!$AH$96&gt;=83.25,WSSKI!$AH$96&lt;=91.4),"P","")</f>
        <v/>
      </c>
      <c r="EW32" s="102" t="str">
        <f>IF(AND(WSSKI!$AH$96&gt;=91.5,WSSKI!$AH$96&lt;=100),"P","")</f>
        <v/>
      </c>
      <c r="EX32" t="str">
        <f>IF(WSSKI!$AH$104&lt;74.9,"P","")</f>
        <v/>
      </c>
      <c r="EY32" s="102" t="str">
        <f>IF(AND(WSSKI!$AH$104&gt;=75,WSSKI!$AH$104&lt;=83.24),"P","")</f>
        <v/>
      </c>
      <c r="EZ32" s="102" t="str">
        <f>IF(AND(WSSKI!$AH$104&gt;=83.25,WSSKI!$AH$104&lt;=91.4),"P","")</f>
        <v/>
      </c>
      <c r="FA32" s="102" t="str">
        <f>IF(AND(WSSKI!$AH$104&gt;=91.5,WSSKI!$AH$104&lt;=100),"P","")</f>
        <v/>
      </c>
      <c r="FB32" t="str">
        <f>IF(WSFIQIH!$AH$6&lt;74.9,"P","")</f>
        <v/>
      </c>
      <c r="FC32" s="102" t="str">
        <f>IF(AND(WSFIQIH!$AH$6&gt;=75,WSFIQIH!$AH$6&lt;=83.24),"P","")</f>
        <v/>
      </c>
      <c r="FD32" s="102" t="str">
        <f>IF(AND(WSFIQIH!$AH$6&gt;=83.25,WSFIQIH!$AH$6&lt;=91.4),"P","")</f>
        <v/>
      </c>
      <c r="FE32" s="102" t="str">
        <f>IF(AND(WSFIQIH!$AH$6&gt;=91.5,WSFIQIH!$AH$6&lt;=100),"P","")</f>
        <v/>
      </c>
      <c r="FF32" t="str">
        <f>IF(WSFIQIH!$AH$19&lt;74.9,"P","")</f>
        <v/>
      </c>
      <c r="FG32" s="102" t="str">
        <f>IF(AND(WSFIQIH!$AH$19&gt;=75,WSFIQIH!$AH$19&lt;=83.24),"P","")</f>
        <v/>
      </c>
      <c r="FH32" s="102" t="str">
        <f>IF(AND(WSFIQIH!$AH$19&gt;=83.25,WSFIQIH!$AH$19&lt;=91.4),"P","")</f>
        <v/>
      </c>
      <c r="FI32" s="102" t="str">
        <f>IF(AND(WSFIQIH!$AH$19&gt;=91.5,WSFIQIH!$AH$19&lt;=100),"P","")</f>
        <v/>
      </c>
      <c r="FJ32" t="str">
        <f>IF(WSFIQIH!$AH$28&lt;74.9,"P","")</f>
        <v/>
      </c>
      <c r="FK32" s="102" t="str">
        <f>IF(AND(WSFIQIH!$AH$28&gt;=75,WSFIQIH!$AH$28&lt;=83.24),"P","")</f>
        <v/>
      </c>
      <c r="FL32" s="102" t="str">
        <f>IF(AND(WSFIQIH!$AH$28&gt;=83.25,WSFIQIH!$AH$28&lt;=91.4),"P","")</f>
        <v/>
      </c>
      <c r="FM32" s="102" t="str">
        <f>IF(AND(WSFIQIH!$AH$28&gt;=91.5,WSFIQIH!$AH$28&lt;=100),"P","")</f>
        <v/>
      </c>
      <c r="FN32" t="str">
        <f>IF(WSFIQIH!$AH$41&lt;74.9,"P","")</f>
        <v/>
      </c>
      <c r="FO32" s="102" t="str">
        <f>IF(AND(WSFIQIH!$AH$41&gt;=75,WSFIQIH!$AH$41&lt;=83.24),"P","")</f>
        <v/>
      </c>
      <c r="FP32" s="102" t="str">
        <f>IF(AND(WSFIQIH!$AH$41&gt;=83.25,WSFIQIH!$AH$41&lt;=91.4),"P","")</f>
        <v/>
      </c>
      <c r="FQ32" s="102" t="str">
        <f>IF(AND(WSFIQIH!$AH$41&gt;=91.5,WSFIQIH!$AH$41&lt;=100),"P","")</f>
        <v/>
      </c>
      <c r="FR32" t="str">
        <f>IF(WSFIQIH!$AH$49&lt;74.9,"P","")</f>
        <v/>
      </c>
      <c r="FS32" s="102" t="str">
        <f>IF(AND(WSFIQIH!$AH$49&gt;=75,WSFIQIH!$AH$49&lt;=83.24),"P","")</f>
        <v/>
      </c>
      <c r="FT32" s="102" t="str">
        <f>IF(AND(WSFIQIH!$AH$49&gt;=83.25,WSFIQIH!$AH$49&lt;=91.4),"P","")</f>
        <v/>
      </c>
      <c r="FU32" s="102" t="str">
        <f>IF(AND(WSFIQIH!$AH$49&gt;=91.5,WSFIQIH!$AH$49&lt;=100),"P","")</f>
        <v/>
      </c>
      <c r="FV32" t="str">
        <f>IF(WSFIQIH!$AH$62&lt;74.9,"P","")</f>
        <v/>
      </c>
      <c r="FW32" s="102" t="str">
        <f>IF(AND(WSFIQIH!$AH$62&gt;=75,WSFIQIH!$AH$62&lt;=83.24),"P","")</f>
        <v/>
      </c>
      <c r="FX32" s="102" t="str">
        <f>IF(AND(WSFIQIH!$AH$62&gt;=83.25,WSFIQIH!$AH$62&lt;=91.4),"P","")</f>
        <v/>
      </c>
      <c r="FY32" s="102" t="str">
        <f>IF(AND(WSFIQIH!$AH$62&gt;=91.5,WSFIQIH!$AH$62&lt;=100),"P","")</f>
        <v/>
      </c>
      <c r="FZ32" t="str">
        <f>IF(WSFIQIH!$AH$71&lt;74.9,"P","")</f>
        <v/>
      </c>
      <c r="GA32" s="102" t="str">
        <f>IF(AND(WSFIQIH!$AH$71&gt;=75,WSFIQIH!$AH$71&lt;=83.24),"P","")</f>
        <v/>
      </c>
      <c r="GB32" s="102" t="str">
        <f>IF(AND(WSFIQIH!$AH$71&gt;=83.25,WSFIQIH!$AH$71&lt;=91.4),"P","")</f>
        <v/>
      </c>
      <c r="GC32" s="102" t="str">
        <f>IF(AND(WSFIQIH!$AH$71&gt;=91.5,WSFIQIH!$AH$71&lt;=100),"P","")</f>
        <v/>
      </c>
      <c r="GD32" t="str">
        <f>IF(WSFIQIH!$AH$80&lt;74.9,"P","")</f>
        <v/>
      </c>
      <c r="GE32" s="102" t="str">
        <f>IF(AND(WSFIQIH!$AH$80&gt;=75,WSFIQIH!$AH$80&lt;=83.24),"P","")</f>
        <v/>
      </c>
      <c r="GF32" s="102" t="str">
        <f>IF(AND(WSFIQIH!$AH$80&gt;=83.25,WSFIQIH!$AH$80&lt;=91.4),"P","")</f>
        <v/>
      </c>
      <c r="GG32" s="102" t="str">
        <f>IF(AND(WSFIQIH!$AH$80&gt;=91.5,WSFIQIH!$AH$80&lt;=100),"P","")</f>
        <v/>
      </c>
      <c r="GH32" t="str">
        <f>IF(WSFIQIH!$AH$88&lt;74.9,"P","")</f>
        <v/>
      </c>
      <c r="GI32" s="102" t="str">
        <f>IF(AND(WSFIQIH!$AH$88&gt;=75,WSFIQIH!$AH$88&lt;=83.24),"P","")</f>
        <v/>
      </c>
      <c r="GJ32" s="102" t="str">
        <f>IF(AND(WSFIQIH!$AH$88&gt;=83.25,WSFIQIH!$AH$88&lt;=91.4),"P","")</f>
        <v/>
      </c>
      <c r="GK32" s="102" t="str">
        <f>IF(AND(WSFIQIH!$AH$88&gt;=91.5,WSFIQIH!$AH$88&lt;=100),"P","")</f>
        <v/>
      </c>
      <c r="GL32" t="str">
        <f>IF(WSFIQIH!$AH$96&lt;74.9,"P","")</f>
        <v/>
      </c>
      <c r="GM32" s="102" t="str">
        <f>IF(AND(WSFIQIH!$AH$96&gt;=75,WSFIQIH!$AH$96&lt;=83.24),"P","")</f>
        <v/>
      </c>
      <c r="GN32" s="102" t="str">
        <f>IF(AND(WSFIQIH!$AH$96&gt;=83.25,WSFIQIH!$AH$96&lt;=91.4),"P","")</f>
        <v/>
      </c>
      <c r="GO32" s="102" t="str">
        <f>IF(AND(WSFIQIH!$AH$96&gt;=91.5,WSFIQIH!$AH$96&lt;=100),"P","")</f>
        <v/>
      </c>
      <c r="GP32" t="str">
        <f>IF(WSFIQIH!$AH$104&lt;74.9,"P","")</f>
        <v/>
      </c>
      <c r="GQ32" s="102" t="str">
        <f>IF(AND(WSFIQIH!$AH$104&gt;=75,WSFIQIH!$AH$104&lt;=83.24),"P","")</f>
        <v/>
      </c>
      <c r="GR32" s="102" t="str">
        <f>IF(AND(WSFIQIH!$AH$104&gt;=83.25,WSFIQIH!$AH$104&lt;=91.4),"P","")</f>
        <v/>
      </c>
      <c r="GS32" s="102" t="str">
        <f>IF(AND(WSFIQIH!$AH$104&gt;=91.5,WSFIQIH!$AH$104&lt;=100),"P","")</f>
        <v/>
      </c>
      <c r="GT32" t="str">
        <f>IF(WSFIQIH!$AH$112&lt;74.9,"P","")</f>
        <v/>
      </c>
      <c r="GU32" s="102" t="str">
        <f>IF(AND(WSFIQIH!$AH$112&gt;=75,WSFIQIH!$AH$112&lt;=83.24),"P","")</f>
        <v/>
      </c>
      <c r="GV32" s="102" t="str">
        <f>IF(AND(WSFIQIH!$AH$112&gt;=83.25,WSFIQIH!$AH$112&lt;=91.4),"P","")</f>
        <v/>
      </c>
      <c r="GW32" s="102" t="str">
        <f>IF(AND(WSFIQIH!$AH$112&gt;=91.5,WSFIQIH!$AH$112&lt;=100),"P","")</f>
        <v/>
      </c>
      <c r="GX32" t="str">
        <f>IF(WSFIQIH!$AH$120&lt;74.9,"P","")</f>
        <v/>
      </c>
      <c r="GY32" s="102" t="str">
        <f>IF(AND(WSFIQIH!$AH$120&gt;=75,WSFIQIH!$AH$120&lt;=83.24),"P","")</f>
        <v/>
      </c>
      <c r="GZ32" s="102" t="str">
        <f>IF(AND(WSFIQIH!$AH$120&gt;=83.25,WSFIQIH!$AH$120&lt;=91.4),"P","")</f>
        <v/>
      </c>
      <c r="HA32" s="102" t="str">
        <f>IF(AND(WSFIQIH!$AH$120&gt;=91.5,WSFIQIH!$AH$120&lt;=100),"P","")</f>
        <v/>
      </c>
      <c r="HB32" t="str">
        <f>IF(WSPKN!$AH$6&lt;74.9,"P","")</f>
        <v/>
      </c>
      <c r="HC32" s="102" t="str">
        <f>IF(AND(WSPKN!$AH$6&gt;=75,WSPKN!$AH$6&lt;=83.24),"P","")</f>
        <v/>
      </c>
      <c r="HD32" s="102" t="str">
        <f>IF(AND(WSPKN!$AH$6&gt;=83.25,WSPKN!$AH$6&lt;=91.4),"P","")</f>
        <v/>
      </c>
      <c r="HE32" s="102" t="str">
        <f>IF(AND(WSPKN!$AH$6&gt;=91.5,WSPKN!$AH$6&lt;=100),"P","")</f>
        <v/>
      </c>
      <c r="HF32" t="str">
        <f>IF(WSPKN!$AH$32&lt;74.9,"P","")</f>
        <v/>
      </c>
      <c r="HG32" s="102" t="str">
        <f>IF(AND(WSPKN!$AH$32&gt;=75,WSPKN!$AH$32&lt;=83.24),"P","")</f>
        <v/>
      </c>
      <c r="HH32" s="102" t="str">
        <f>IF(AND(WSPKN!$AH$32&gt;=83.25,WSPKN!$AH$32&lt;=91.4),"P","")</f>
        <v/>
      </c>
      <c r="HI32" s="102" t="str">
        <f>IF(AND(WSPKN!$AH$32&gt;=91.5,WSPKN!$AH$32&lt;=100),"P","")</f>
        <v/>
      </c>
      <c r="HJ32" t="str">
        <f>IF(WSPKN!$AH$55&lt;74.9,"P","")</f>
        <v/>
      </c>
      <c r="HK32" s="102" t="str">
        <f>IF(AND(WSPKN!$AH$55&gt;=75,WSPKN!$AH$55&lt;=83.24),"P","")</f>
        <v/>
      </c>
      <c r="HL32" s="102" t="str">
        <f>IF(AND(WSPKN!$AH$55&gt;=83.25,WSPKN!$AH$55&lt;=91.4),"P","")</f>
        <v/>
      </c>
      <c r="HM32" s="102" t="str">
        <f>IF(AND(WSPKN!$AH$55&gt;=91.5,WSPKN!$AH$55&lt;=100),"P","")</f>
        <v/>
      </c>
      <c r="HN32" t="str">
        <f>IF(WSPKN!$AH$72&lt;74.9,"P","")</f>
        <v/>
      </c>
      <c r="HO32" s="102" t="str">
        <f>IF(AND(WSPKN!$AH$72&gt;=75,WSPKN!$AH$72&lt;=83.24),"P","")</f>
        <v/>
      </c>
      <c r="HP32" s="102" t="str">
        <f>IF(AND(WSPKN!$AH$72&gt;=83.25,WSPKN!$AH$72&lt;=91.4),"P","")</f>
        <v/>
      </c>
      <c r="HQ32" s="102" t="str">
        <f>IF(AND(WSPKN!$AH$72&gt;=91.5,WSPKN!$AH$72&lt;=100),"P","")</f>
        <v/>
      </c>
      <c r="HR32" t="str">
        <f>IF(WSPKN!$AH$86&lt;74.9,"P","")</f>
        <v/>
      </c>
      <c r="HS32" s="102" t="str">
        <f>IF(AND(WSPKN!$AH$86&gt;=75,WSPKN!$AH$86&lt;=83.24),"P","")</f>
        <v/>
      </c>
      <c r="HT32" s="102" t="str">
        <f>IF(AND(WSPKN!$AH$86&gt;=83.25,WSPKN!$AH$86&lt;=91.4),"P","")</f>
        <v/>
      </c>
      <c r="HU32" s="102" t="str">
        <f>IF(AND(WSPKN!$AH$86&gt;=91.5,WSPKN!$AH$86&lt;=100),"P","")</f>
        <v/>
      </c>
      <c r="HV32" t="str">
        <f>IF(WSPKN!$AH$108&lt;74.9,"P","")</f>
        <v/>
      </c>
      <c r="HW32" s="102" t="str">
        <f>IF(AND(WSPKN!$AH$108&gt;=75,WSPKN!$AH$108&lt;=83.24),"P","")</f>
        <v/>
      </c>
      <c r="HX32" s="102" t="str">
        <f>IF(AND(WSPKN!$AH$108&gt;=83.25,WSPKN!$AH$108&lt;=91.4),"P","")</f>
        <v/>
      </c>
      <c r="HY32" s="102" t="str">
        <f>IF(AND(WSPKN!$AH$108&gt;=91.5,WSPKN!$AH$108&lt;=100),"P","")</f>
        <v/>
      </c>
      <c r="HZ32" t="str">
        <f>IF(WSPKN!$AH$132&lt;74.9,"P","")</f>
        <v/>
      </c>
      <c r="IA32" s="102" t="str">
        <f>IF(AND(WSPKN!$AH$132&gt;=75,WSPKN!$AH$132&lt;=83.24),"P","")</f>
        <v/>
      </c>
      <c r="IB32" s="102" t="str">
        <f>IF(AND(WSPKN!$AH$132&gt;=83.25,WSPKN!$AH$132&lt;=91.4),"P","")</f>
        <v/>
      </c>
      <c r="IC32" s="102" t="str">
        <f>IF(AND(WSPKN!$AH$132&gt;=91.5,WSPKN!$AH$132&lt;=100),"P","")</f>
        <v/>
      </c>
      <c r="ID32" t="str">
        <f>IF(WSPKN!$AH$148&lt;74.9,"P","")</f>
        <v/>
      </c>
      <c r="IE32" s="102" t="str">
        <f>IF(AND(WSPKN!$AH$148&gt;=75,WSPKN!$AH$148&lt;=83.24),"P","")</f>
        <v/>
      </c>
      <c r="IF32" s="102" t="str">
        <f>IF(AND(WSPKN!$AH$148&gt;=83.25,WSPKN!$AH$148&lt;=91.4),"P","")</f>
        <v/>
      </c>
      <c r="IG32" s="102" t="str">
        <f>IF(AND(WSPKN!$AH$148&gt;=91.5,WSPKN!$AH$148&lt;=100),"P","")</f>
        <v/>
      </c>
      <c r="IH32" t="str">
        <f>IF(WSPKN!$AH$165&lt;74.9,"P","")</f>
        <v/>
      </c>
      <c r="II32" s="102" t="str">
        <f>IF(AND(WSPKN!$AH$165&gt;=75,WSPKN!$AH$165&lt;=83.24),"P","")</f>
        <v/>
      </c>
      <c r="IJ32" s="102" t="str">
        <f>IF(AND(WSPKN!$AH$165&gt;=83.25,WSPKN!$AH$165&lt;=91.4),"P","")</f>
        <v/>
      </c>
      <c r="IK32" s="102" t="str">
        <f>IF(AND(WSPKN!$AH$165&gt;=91.5,WSPKN!$AH$165&lt;=100),"P","")</f>
        <v/>
      </c>
      <c r="IL32" t="str">
        <f>IF(WSPKN!$AH$173&lt;74.9,"P","")</f>
        <v/>
      </c>
      <c r="IM32" s="102" t="str">
        <f>IF(AND(WSPKN!$AH$173&gt;=75,WSPKN!$AH$173&lt;=83.24),"P","")</f>
        <v/>
      </c>
      <c r="IN32" s="102" t="str">
        <f>IF(AND(WSPKN!$AH$173&gt;=83.25,WSPKN!$AH$173&lt;=91.4),"P","")</f>
        <v/>
      </c>
      <c r="IO32" s="102" t="str">
        <f>IF(AND(WSPKN!$AH$173&gt;=91.5,WSPKN!$AH$173&lt;=100),"P","")</f>
        <v/>
      </c>
      <c r="IP32" t="str">
        <f>IF(WSPKN!$AH$181&lt;74.9,"P","")</f>
        <v/>
      </c>
      <c r="IQ32" s="102" t="str">
        <f>IF(AND(WSPKN!$AH$181&gt;=75,WSPKN!$AH$181&lt;=83.24),"P","")</f>
        <v/>
      </c>
      <c r="IR32" s="102" t="str">
        <f>IF(AND(WSPKN!$AH$181&gt;=83.25,WSPKN!$AH$181&lt;=91.4),"P","")</f>
        <v/>
      </c>
      <c r="IS32" s="102" t="str">
        <f>IF(AND(WSPKN!$AH$181&gt;=91.5,WSPKN!$AH$181&lt;=100),"P","")</f>
        <v/>
      </c>
      <c r="IT32" t="str">
        <f>IF(WSPKN!$AH$189&lt;74.9,"P","")</f>
        <v/>
      </c>
      <c r="IU32" s="102" t="str">
        <f>IF(AND(WSPKN!$AH$189&gt;=75,WSPKN!$AH$189&lt;=83.24),"P","")</f>
        <v/>
      </c>
      <c r="IV32" s="102" t="str">
        <f>IF(AND(WSPKN!$AH$189&gt;=83.25,WSPKN!$AH$189&lt;=91.4),"P","")</f>
        <v/>
      </c>
      <c r="IW32" s="102" t="str">
        <f>IF(AND(WSPKN!$AH$189&gt;=91.5,WSPKN!$AH$189&lt;=100),"P","")</f>
        <v/>
      </c>
      <c r="IX32" t="str">
        <f>IF(WSPKN!$AH$197&lt;74.9,"P","")</f>
        <v/>
      </c>
      <c r="IY32" s="102" t="str">
        <f>IF(AND(WSPKN!$AH$197&gt;=75,WSPKN!$AH$197&lt;=83.24),"P","")</f>
        <v/>
      </c>
      <c r="IZ32" s="102" t="str">
        <f>IF(AND(WSPKN!$AH$197&gt;=83.25,WSPKN!$AH$197&lt;=91.4),"P","")</f>
        <v/>
      </c>
      <c r="JA32" s="102" t="str">
        <f>IF(AND(WSPKN!$AH$197&gt;=91.5,WSPKN!$AH$197&lt;=100),"P","")</f>
        <v/>
      </c>
      <c r="JB32" t="str">
        <f>IF(WSIND!$AH$6&lt;74.9,"P","")</f>
        <v/>
      </c>
      <c r="JC32" s="102" t="str">
        <f>IF(AND(WSIND!$AH$6&gt;=75,WSIND!$AH$6&lt;=83.24),"P","")</f>
        <v/>
      </c>
      <c r="JD32" s="102" t="str">
        <f>IF(AND(WSIND!$AH$6&gt;=83.25,WSIND!$AH$6&lt;=91.4),"P","")</f>
        <v/>
      </c>
      <c r="JE32" s="102" t="str">
        <f>IF(AND(WSIND!$AH$6&gt;=91.5,WSIND!$AH$6&lt;=100),"P","")</f>
        <v/>
      </c>
      <c r="JF32" t="str">
        <f>IF(WSIND!$AH$65&lt;74.9,"P","")</f>
        <v/>
      </c>
      <c r="JG32" s="102" t="str">
        <f>IF(AND(WSIND!$AH$65&gt;=75,WSIND!$AH$65&lt;=83.24),"P","")</f>
        <v/>
      </c>
      <c r="JH32" s="102" t="str">
        <f>IF(AND(WSIND!$AH$65&gt;=83.25,WSIND!$AH$65&lt;=91.4),"P","")</f>
        <v/>
      </c>
      <c r="JI32" s="102" t="str">
        <f>IF(AND(WSIND!$AH$65&gt;=91.5,WSIND!$AH$65&lt;=100),"P","")</f>
        <v/>
      </c>
      <c r="JJ32" t="str">
        <f>IF(WSIND!$AH$113&lt;74.9,"P","")</f>
        <v/>
      </c>
      <c r="JK32" s="102" t="str">
        <f>IF(AND(WSIND!$AH$113&gt;=75,WSIND!$AH$113&lt;=83.24),"P","")</f>
        <v/>
      </c>
      <c r="JL32" s="102" t="str">
        <f>IF(AND(WSIND!$AH$113&gt;=83.25,WSIND!$AH$113&lt;=91.4),"P","")</f>
        <v/>
      </c>
      <c r="JM32" s="102" t="str">
        <f>IF(AND(WSIND!$AH$113&gt;=91.5,WSIND!$AH$113&lt;=100),"P","")</f>
        <v/>
      </c>
      <c r="JN32" t="str">
        <f>IF(WSIND!$AH$133&lt;74.9,"P","")</f>
        <v/>
      </c>
      <c r="JO32" s="102" t="str">
        <f>IF(AND(WSIND!$AH$133&gt;=75,WSIND!$AH$133&lt;=83.24),"P","")</f>
        <v/>
      </c>
      <c r="JP32" s="102" t="str">
        <f>IF(AND(WSIND!$AH$133&gt;=83.25,WSIND!$AH$133&lt;=91.4),"P","")</f>
        <v/>
      </c>
      <c r="JQ32" s="102" t="str">
        <f>IF(AND(WSIND!$AH$133&gt;=91.5,WSIND!$AH$133&lt;=100),"P","")</f>
        <v/>
      </c>
      <c r="JR32" t="str">
        <f>IF(WSIND!$AH$161&lt;74.9,"P","")</f>
        <v/>
      </c>
      <c r="JS32" s="102" t="str">
        <f>IF(AND(WSIND!$AH$161&gt;=75,WSIND!$AH$161&lt;=83.24),"P","")</f>
        <v/>
      </c>
      <c r="JT32" s="102" t="str">
        <f>IF(AND(WSIND!$AH$161&gt;=83.25,WSIND!$AH$161&lt;=91.4),"P","")</f>
        <v/>
      </c>
      <c r="JU32" s="102" t="str">
        <f>IF(AND(WSIND!$AH$161&gt;=91.5,WSIND!$AH$161&lt;=100),"P","")</f>
        <v/>
      </c>
      <c r="JV32" t="str">
        <f>IF(WSIND!$AH$192&lt;74.9,"P","")</f>
        <v/>
      </c>
      <c r="JW32" s="102" t="str">
        <f>IF(AND(WSIND!$AH$192&gt;=75,WSIND!$AH$192&lt;=83.24),"P","")</f>
        <v/>
      </c>
      <c r="JX32" s="102" t="str">
        <f>IF(AND(WSIND!$AH$192&gt;=83.25,WSIND!$AH$192&lt;=91.4),"P","")</f>
        <v/>
      </c>
      <c r="JY32" s="102" t="str">
        <f>IF(AND(WSIND!$AH$192&gt;=91.5,WSIND!$AH$192&lt;=100),"P","")</f>
        <v/>
      </c>
      <c r="JZ32" t="str">
        <f>IF(WSIND!$AH$228&lt;74.9,"P","")</f>
        <v/>
      </c>
      <c r="KA32" s="102" t="str">
        <f>IF(AND(WSIND!$AH$228&gt;=75,WSIND!$AH$228&lt;=83.24),"P","")</f>
        <v/>
      </c>
      <c r="KB32" s="102" t="str">
        <f>IF(AND(WSIND!$AH$228&gt;=83.25,WSIND!$AH$228&lt;=91.4),"P","")</f>
        <v/>
      </c>
      <c r="KC32" s="102" t="str">
        <f>IF(AND(WSIND!$AH$228&gt;=91.5,WSIND!$AH$228&lt;=100),"P","")</f>
        <v/>
      </c>
      <c r="KD32" t="str">
        <f>IF(WSIND!$AH$256&lt;74.9,"P","")</f>
        <v/>
      </c>
      <c r="KE32" s="102" t="str">
        <f>IF(AND(WSIND!$AH$256&gt;=75,WSIND!$AH$256&lt;=83.24),"P","")</f>
        <v/>
      </c>
      <c r="KF32" s="102" t="str">
        <f>IF(AND(WSIND!$AH$256&gt;=83.25,WSIND!$AH$256&lt;=91.4),"P","")</f>
        <v/>
      </c>
      <c r="KG32" s="102" t="str">
        <f>IF(AND(WSIND!$AH$256&gt;=91.5,WSIND!$AH$256&lt;=100),"P","")</f>
        <v/>
      </c>
      <c r="KH32" t="str">
        <f>IF(WSIND!$AH$277&lt;74.9,"P","")</f>
        <v/>
      </c>
      <c r="KI32" s="102" t="str">
        <f>IF(AND(WSIND!$AH$277&gt;=75,WSIND!$AH$277&lt;=83.24),"P","")</f>
        <v/>
      </c>
      <c r="KJ32" s="102" t="str">
        <f>IF(AND(WSIND!$AH$277&gt;=83.25,WSIND!$AH$277&lt;=91.4),"P","")</f>
        <v/>
      </c>
      <c r="KK32" s="102" t="str">
        <f>IF(AND(WSIND!$AH$277&gt;=91.5,WSIND!$AH$277&lt;=100),"P","")</f>
        <v/>
      </c>
      <c r="KL32" t="str">
        <f>IF(WSIND!$AH$305&lt;74.9,"P","")</f>
        <v/>
      </c>
      <c r="KM32" s="102" t="str">
        <f>IF(AND(WSIND!$AH$305&gt;=75,WSIND!$AH$305&lt;=83.24),"P","")</f>
        <v/>
      </c>
      <c r="KN32" s="102" t="str">
        <f>IF(AND(WSIND!$AH$305&gt;=83.25,WSIND!$AH$305&lt;=91.4),"P","")</f>
        <v/>
      </c>
      <c r="KO32" s="102" t="str">
        <f>IF(AND(WSIND!$AH$305&gt;=91.5,WSIND!$AH$305&lt;=100),"P","")</f>
        <v/>
      </c>
      <c r="KP32" t="str">
        <f>IF(WSIND!$AH$329&lt;74.9,"P","")</f>
        <v/>
      </c>
      <c r="KQ32" s="102" t="str">
        <f>IF(AND(WSIND!$AH$329&gt;=75,WSIND!$AH$329&lt;=83.24),"P","")</f>
        <v/>
      </c>
      <c r="KR32" s="102" t="str">
        <f>IF(AND(WSIND!$AH$329&gt;=83.25,WSIND!$AH$329&lt;=91.4),"P","")</f>
        <v/>
      </c>
      <c r="KS32" s="102" t="str">
        <f>IF(AND(WSIND!$AH$329&gt;=91.5,WSIND!$AH$329&lt;=100),"P","")</f>
        <v/>
      </c>
      <c r="KT32" t="str">
        <f>IF(WSIND!$AH$337&lt;74.9,"P","")</f>
        <v/>
      </c>
      <c r="KU32" s="102" t="str">
        <f>IF(AND(WSIND!$AH$337&gt;=75,WSIND!$AH$337&lt;=83.24),"P","")</f>
        <v/>
      </c>
      <c r="KV32" s="102" t="str">
        <f>IF(AND(WSIND!$AH$337&gt;=83.25,WSIND!$AH$337&lt;=91.4),"P","")</f>
        <v/>
      </c>
      <c r="KW32" s="102" t="str">
        <f>IF(AND(WSIND!$AH$337&gt;=91.5,WSIND!$AH$337&lt;=100),"P","")</f>
        <v/>
      </c>
      <c r="KX32" t="str">
        <f>IF(WSIND!$AH$345&lt;74.9,"P","")</f>
        <v/>
      </c>
      <c r="KY32" s="102" t="str">
        <f>IF(AND(WSIND!$AH$345&gt;=75,WSIND!$AH$345&lt;=83.24),"P","")</f>
        <v/>
      </c>
      <c r="KZ32" s="102" t="str">
        <f>IF(AND(WSIND!$AH$345&gt;=83.25,WSIND!$AH$345&lt;=91.4),"P","")</f>
        <v/>
      </c>
      <c r="LA32" s="102" t="str">
        <f>IF(AND(WSIND!$AH$345&gt;=91.5,WSIND!$AH$345&lt;=100),"P","")</f>
        <v/>
      </c>
      <c r="LB32" t="str">
        <f>IF(WSARAB!$AH$6&lt;74.9,"P","")</f>
        <v/>
      </c>
      <c r="LC32" s="102" t="str">
        <f>IF(AND(WSARAB!$AH$6&gt;=75,WSARAB!$AH$6&lt;=83.24),"P","")</f>
        <v/>
      </c>
      <c r="LD32" s="102" t="str">
        <f>IF(AND(WSARAB!$AH$6&gt;=83.25,WSARAB!$AH$6&lt;=91.4),"P","")</f>
        <v/>
      </c>
      <c r="LE32" s="102" t="str">
        <f>IF(AND(WSARAB!$AH$6&gt;=91.5,WSARAB!$AH$6&lt;=100),"P","")</f>
        <v/>
      </c>
      <c r="LF32" t="str">
        <f>IF(WSARAB!$AH$17&lt;74.9,"P","")</f>
        <v/>
      </c>
      <c r="LG32" s="102" t="str">
        <f>IF(AND(WSARAB!$AH$17&gt;=75,WSARAB!$AH$17&lt;=83.24),"P","")</f>
        <v/>
      </c>
      <c r="LH32" s="102" t="str">
        <f>IF(AND(WSARAB!$AH$17&gt;=83.25,WSARAB!$AH$17&lt;=91.4),"P","")</f>
        <v/>
      </c>
      <c r="LI32" s="102" t="str">
        <f>IF(AND(WSARAB!$AH$17&gt;=91.5,WSARAB!$AH$17&lt;=100),"P","")</f>
        <v/>
      </c>
      <c r="LJ32" t="str">
        <f>IF(WSARAB!$AH$29&lt;74.9,"P","")</f>
        <v/>
      </c>
      <c r="LK32" s="102" t="str">
        <f>IF(AND(WSARAB!$AH$29&gt;=75,WSARAB!$AH$29&lt;=83.24),"P","")</f>
        <v/>
      </c>
      <c r="LL32" s="102" t="str">
        <f>IF(AND(WSARAB!$AH$29&gt;=83.25,WSARAB!$AH$29&lt;=91.4),"P","")</f>
        <v/>
      </c>
      <c r="LM32" s="102" t="str">
        <f>IF(AND(WSARAB!$AH$29&gt;=91.5,WSARAB!$AH$29&lt;=100),"P","")</f>
        <v/>
      </c>
      <c r="LN32" t="str">
        <f>IF(WSARAB!$AH$37&lt;74.9,"P","")</f>
        <v/>
      </c>
      <c r="LO32" s="102" t="str">
        <f>IF(AND(WSARAB!$AH$37&gt;=75,WSARAB!$AH$37&lt;=83.24),"P","")</f>
        <v/>
      </c>
      <c r="LP32" s="102" t="str">
        <f>IF(AND(WSARAB!$AH$37&gt;=83.25,WSARAB!$AH$37&lt;=91.4),"P","")</f>
        <v/>
      </c>
      <c r="LQ32" s="102" t="str">
        <f>IF(AND(WSARAB!$AH$37&gt;=91.5,WSARAB!$AH$37&lt;=100),"P","")</f>
        <v/>
      </c>
      <c r="LR32" t="str">
        <f>IF(WSARAB!$AH$45&lt;74.9,"P","")</f>
        <v/>
      </c>
      <c r="LS32" s="102" t="str">
        <f>IF(AND(WSARAB!$AH$45&gt;=75,WSARAB!$AH$45&lt;=83.24),"P","")</f>
        <v/>
      </c>
      <c r="LT32" s="102" t="str">
        <f>IF(AND(WSARAB!$AH$45&gt;=83.25,WSARAB!$AH$45&lt;=91.4),"P","")</f>
        <v/>
      </c>
      <c r="LU32" s="102" t="str">
        <f>IF(AND(WSARAB!$AH$45&gt;=91.5,WSARAB!$AH$45&lt;=100),"P","")</f>
        <v/>
      </c>
      <c r="LV32" t="str">
        <f>IF(WSARAB!$AH$53&lt;74.9,"P","")</f>
        <v/>
      </c>
      <c r="LW32" s="102" t="str">
        <f>IF(AND(WSARAB!$AH$53&gt;=75,WSARAB!$AH$53&lt;=83.24),"P","")</f>
        <v/>
      </c>
      <c r="LX32" s="102" t="str">
        <f>IF(AND(WSARAB!$AH$53&gt;=83.25,WSARAB!$AH$53&lt;=91.4),"P","")</f>
        <v/>
      </c>
      <c r="LY32" s="102" t="str">
        <f>IF(AND(WSARAB!$AH$53&gt;=91.5,WSARAB!$AH$53&lt;=100),"P","")</f>
        <v/>
      </c>
      <c r="LZ32" t="str">
        <f>IF(WSARAB!$AH$65&lt;74.9,"P","")</f>
        <v/>
      </c>
      <c r="MA32" s="102" t="str">
        <f>IF(AND(WSARAB!$AH$65&gt;=75,WSARAB!$AH$65&lt;=83.24),"P","")</f>
        <v/>
      </c>
      <c r="MB32" s="102" t="str">
        <f>IF(AND(WSARAB!$AH$65&gt;=83.25,WSARAB!$AH$65&lt;=91.4),"P","")</f>
        <v/>
      </c>
      <c r="MC32" s="102" t="str">
        <f>IF(AND(WSARAB!$AH$65&gt;=91.5,WSARAB!$AH$65&lt;=100),"P","")</f>
        <v/>
      </c>
      <c r="MD32" t="str">
        <f>IF(WSARAB!$AH$73&lt;74.9,"P","")</f>
        <v/>
      </c>
      <c r="ME32" s="102" t="str">
        <f>IF(AND(WSARAB!$AH$73&gt;=75,WSARAB!$AH$73&lt;=83.24),"P","")</f>
        <v/>
      </c>
      <c r="MF32" s="102" t="str">
        <f>IF(AND(WSARAB!$AH$73&gt;=83.25,WSARAB!$AH$73&lt;=91.4),"P","")</f>
        <v/>
      </c>
      <c r="MG32" s="102" t="str">
        <f>IF(AND(WSARAB!$AH$73&gt;=91.5,WSARAB!$AH$73&lt;=100),"P","")</f>
        <v/>
      </c>
      <c r="MH32" t="str">
        <f>IF(WSARAB!$AH$81&lt;74.9,"P","")</f>
        <v/>
      </c>
      <c r="MI32" s="102" t="str">
        <f>IF(AND(WSARAB!$AH$81&gt;=75,WSARAB!$AH$81&lt;=83.24),"P","")</f>
        <v/>
      </c>
      <c r="MJ32" s="102" t="str">
        <f>IF(AND(WSARAB!$AH$81&gt;=83.25,WSARAB!$AH$81&lt;=91.4),"P","")</f>
        <v/>
      </c>
      <c r="MK32" s="102" t="str">
        <f>IF(AND(WSARAB!$AH$81&gt;=91.5,WSARAB!$AH$81&lt;=100),"P","")</f>
        <v/>
      </c>
      <c r="ML32" t="str">
        <f>IF(WSARAB!$AH$89&lt;74.9,"P","")</f>
        <v/>
      </c>
      <c r="MM32" s="102" t="str">
        <f>IF(AND(WSARAB!$AH$89&gt;=75,WSARAB!$AH$89&lt;=83.24),"P","")</f>
        <v/>
      </c>
      <c r="MN32" s="102" t="str">
        <f>IF(AND(WSARAB!$AH$89&gt;=83.25,WSARAB!$AH$89&lt;=91.4),"P","")</f>
        <v/>
      </c>
      <c r="MO32" s="102" t="str">
        <f>IF(AND(WSARAB!$AH$89&gt;=91.5,WSARAB!$AH$89&lt;=100),"P","")</f>
        <v/>
      </c>
      <c r="MP32" t="str">
        <f>IF(WSARAB!$AH$97&lt;74.9,"P","")</f>
        <v/>
      </c>
      <c r="MQ32" s="102" t="str">
        <f>IF(AND(WSARAB!$AH$97&gt;=75,WSARAB!$AH$97&lt;=83.24),"P","")</f>
        <v/>
      </c>
      <c r="MR32" s="102" t="str">
        <f>IF(AND(WSARAB!$AH$97&gt;=83.25,WSARAB!$AH$97&lt;=91.4),"P","")</f>
        <v/>
      </c>
      <c r="MS32" s="102" t="str">
        <f>IF(AND(WSARAB!$AH$97&gt;=91.5,WSARAB!$AH$97&lt;=100),"P","")</f>
        <v/>
      </c>
      <c r="MT32" t="str">
        <f>IF(WSARAB!$AH$105&lt;74.9,"P","")</f>
        <v/>
      </c>
      <c r="MU32" s="102" t="str">
        <f>IF(AND(WSARAB!$AH$105&gt;=75,WSARAB!$AH$105&lt;=83.24),"P","")</f>
        <v/>
      </c>
      <c r="MV32" s="102" t="str">
        <f>IF(AND(WSARAB!$AH$105&gt;=83.25,WSARAB!$AH$105&lt;=91.4),"P","")</f>
        <v/>
      </c>
      <c r="MW32" s="102" t="str">
        <f>IF(AND(WSARAB!$AH$105&gt;=91.5,WSARAB!$AH$105&lt;=100),"P","")</f>
        <v/>
      </c>
      <c r="MX32" t="str">
        <f>IF(WSARAB!$AH$113&lt;74.9,"P","")</f>
        <v/>
      </c>
      <c r="MY32" s="102" t="str">
        <f>IF(AND(WSARAB!$AH$113&gt;=75,WSARAB!$AH$113&lt;=83.24),"P","")</f>
        <v/>
      </c>
      <c r="MZ32" s="102" t="str">
        <f>IF(AND(WSARAB!$AH$113&gt;=83.25,WSARAB!$AH$113&lt;=91.4),"P","")</f>
        <v/>
      </c>
      <c r="NA32" s="102" t="str">
        <f>IF(AND(WSARAB!$AH$113&gt;=91.5,WSARAB!$AH$113&lt;=100),"P","")</f>
        <v/>
      </c>
      <c r="NB32" t="str">
        <f>IF(WSMTK!$AH$6&lt;74.9,"P","")</f>
        <v/>
      </c>
      <c r="NC32" s="102" t="str">
        <f>IF(AND(WSMTK!$AH$6&gt;=75,WSMTK!$AH$6&lt;=83.24),"P","")</f>
        <v/>
      </c>
      <c r="ND32" s="102" t="str">
        <f>IF(AND(WSMTK!$AH$6&gt;=83.25,WSMTK!$AH$6&lt;=91.4),"P","")</f>
        <v/>
      </c>
      <c r="NE32" s="102" t="str">
        <f>IF(AND(WSMTK!$AH$6&gt;=91.5,WSMTK!$AH$6&lt;=100),"P","")</f>
        <v/>
      </c>
      <c r="NF32" t="str">
        <f>IF(WSMTK!$AH$22&lt;74.9,"P","")</f>
        <v/>
      </c>
      <c r="NG32" s="102" t="str">
        <f>IF(AND(WSMTK!$AH$22&gt;=75,WSMTK!$AH$22&lt;=83.24),"P","")</f>
        <v/>
      </c>
      <c r="NH32" s="102" t="str">
        <f>IF(AND(WSMTK!$AH$22&gt;=83.25,WSMTK!$AH$22&lt;=91.4),"P","")</f>
        <v/>
      </c>
      <c r="NI32" s="102" t="str">
        <f>IF(AND(WSMTK!$AH$22&gt;=91.5,WSMTK!$AH$22&lt;=100),"P","")</f>
        <v/>
      </c>
      <c r="NJ32" t="str">
        <f>IF(WSMTK!$AH$35&lt;74.9,"P","")</f>
        <v/>
      </c>
      <c r="NK32" s="102" t="str">
        <f>IF(AND(WSMTK!$AH$35&gt;=75,WSMTK!$AH$35&lt;=83.24),"P","")</f>
        <v/>
      </c>
      <c r="NL32" s="102" t="str">
        <f>IF(AND(WSMTK!$AH$35&gt;=83.25,WSMTK!$AH$35&lt;=91.4),"P","")</f>
        <v/>
      </c>
      <c r="NM32" s="102" t="str">
        <f>IF(AND(WSMTK!$AH$35&gt;=91.5,WSMTK!$AH$35&lt;=100),"P","")</f>
        <v/>
      </c>
      <c r="NN32" t="str">
        <f>IF(WSMTK!$AH$69&lt;74.9,"P","")</f>
        <v/>
      </c>
      <c r="NO32" s="102" t="str">
        <f>IF(AND(WSMTK!$AH$69&gt;=75,WSMTK!$AH$69&lt;=83.24),"P","")</f>
        <v/>
      </c>
      <c r="NP32" s="102" t="str">
        <f>IF(AND(WSMTK!$AH$69&gt;=83.25,WSMTK!$AH$69&lt;=91.4),"P","")</f>
        <v/>
      </c>
      <c r="NQ32" s="102" t="str">
        <f>IF(AND(WSMTK!$AH$69&gt;=91.5,WSMTK!$AH$69&lt;=100),"P","")</f>
        <v/>
      </c>
      <c r="NR32" t="str">
        <f>IF(WSMTK!$AH$87&lt;74.9,"P","")</f>
        <v/>
      </c>
      <c r="NS32" s="102" t="str">
        <f>IF(AND(WSMTK!$AH$87&gt;=75,WSMTK!$AH$87&lt;=83.24),"P","")</f>
        <v/>
      </c>
      <c r="NT32" s="102" t="str">
        <f>IF(AND(WSMTK!$AH$87&gt;=83.25,WSMTK!$AH$87&lt;=91.4),"P","")</f>
        <v/>
      </c>
      <c r="NU32" s="102" t="str">
        <f>IF(AND(WSMTK!$AH$87&gt;=91.5,WSMTK!$AH$87&lt;=100),"P","")</f>
        <v/>
      </c>
      <c r="NV32" t="str">
        <f>IF(WSMTK!$AH$99&lt;74.9,"P","")</f>
        <v/>
      </c>
      <c r="NW32" s="102" t="str">
        <f>IF(AND(WSMTK!$AH$99&gt;=75,WSMTK!$AH$99&lt;=83.24),"P","")</f>
        <v/>
      </c>
      <c r="NX32" s="102" t="str">
        <f>IF(AND(WSMTK!$AH$99&gt;=83.25,WSMTK!$AH$99&lt;=91.4),"P","")</f>
        <v/>
      </c>
      <c r="NY32" s="102" t="str">
        <f>IF(AND(WSMTK!$AH$99&gt;=91.5,WSMTK!$AH$99&lt;=100),"P","")</f>
        <v/>
      </c>
      <c r="NZ32" t="str">
        <f>IF(WSMTK!$AH$113&lt;74.9,"P","")</f>
        <v/>
      </c>
      <c r="OA32" s="102" t="str">
        <f>IF(AND(WSMTK!$AH$113&gt;=75,WSMTK!$AH$113&lt;=83.24),"P","")</f>
        <v/>
      </c>
      <c r="OB32" s="102" t="str">
        <f>IF(AND(WSMTK!$AH$113&gt;=83.25,WSMTK!$AH$113&lt;=91.4),"P","")</f>
        <v/>
      </c>
      <c r="OC32" s="102" t="str">
        <f>IF(AND(WSMTK!$AH$113&gt;=91.5,WSMTK!$AH$113&lt;=100),"P","")</f>
        <v/>
      </c>
      <c r="OD32" t="str">
        <f>IF(WSMTK!$AH$145&lt;74.9,"P","")</f>
        <v/>
      </c>
      <c r="OE32" s="102" t="str">
        <f>IF(AND(WSMTK!$AH$145&gt;=75,WSMTK!$AH$145&lt;=83.24),"P","")</f>
        <v/>
      </c>
      <c r="OF32" s="102" t="str">
        <f>IF(AND(WSMTK!$AH$145&gt;=83.25,WSMTK!$AH$145&lt;=91.4),"P","")</f>
        <v/>
      </c>
      <c r="OG32" s="102" t="str">
        <f>IF(AND(WSMTK!$AH$145&gt;=91.5,WSMTK!$AH$145&lt;=100),"P","")</f>
        <v/>
      </c>
      <c r="OH32" t="str">
        <f>IF(WSMTK!$AH$168&lt;74.9,"P","")</f>
        <v/>
      </c>
      <c r="OI32" s="102" t="str">
        <f>IF(AND(WSMTK!$AH$168&gt;=75,WSMTK!$AH$168&lt;=83.24),"P","")</f>
        <v/>
      </c>
      <c r="OJ32" s="102" t="str">
        <f>IF(AND(WSMTK!$AH$168&gt;=83.25,WSMTK!$AH$168&lt;=91.4),"P","")</f>
        <v/>
      </c>
      <c r="OK32" s="102" t="str">
        <f>IF(AND(WSMTK!$AH$168&gt;=91.5,WSMTK!$AH$168&lt;=100),"P","")</f>
        <v/>
      </c>
      <c r="OL32" t="str">
        <f>IF(WSMTK!$AH$176&lt;74.9,"P","")</f>
        <v/>
      </c>
      <c r="OM32" s="102" t="str">
        <f>IF(AND(WSMTK!$AH$176&gt;=75,WSMTK!$AH$176&lt;=83.24),"P","")</f>
        <v/>
      </c>
      <c r="ON32" s="102" t="str">
        <f>IF(AND(WSMTK!$AH$176&gt;=83.25,WSMTK!$AH$176&lt;=91.4),"P","")</f>
        <v/>
      </c>
      <c r="OO32" s="102" t="str">
        <f>IF(AND(WSMTK!$AH$176&gt;=91.5,WSMTK!$AH$176&lt;=100),"P","")</f>
        <v/>
      </c>
      <c r="OP32" t="str">
        <f>IF(WSMTK!$AH$184&lt;74.9,"P","")</f>
        <v/>
      </c>
      <c r="OQ32" s="102" t="str">
        <f>IF(AND(WSMTK!$AH$184&gt;=75,WSMTK!$AH$184&lt;=83.24),"P","")</f>
        <v/>
      </c>
      <c r="OR32" s="102" t="str">
        <f>IF(AND(WSMTK!$AH$184&gt;=83.25,WSMTK!$AH$184&lt;=91.4),"P","")</f>
        <v/>
      </c>
      <c r="OS32" s="102" t="str">
        <f>IF(AND(WSMTK!$AH$184&gt;=91.5,WSMTK!$AH$184&lt;=100),"P","")</f>
        <v/>
      </c>
      <c r="OT32" t="str">
        <f>IF(WSMTK!$AH$192&lt;74.9,"P","")</f>
        <v/>
      </c>
      <c r="OU32" s="102" t="str">
        <f>IF(AND(WSMTK!$AH$192&gt;=75,WSMTK!$AH$192&lt;=83.24),"P","")</f>
        <v/>
      </c>
      <c r="OV32" s="102" t="str">
        <f>IF(AND(WSMTK!$AH$192&gt;=83.25,WSMTK!$AH$192&lt;=91.4),"P","")</f>
        <v/>
      </c>
      <c r="OW32" s="102" t="str">
        <f>IF(AND(WSMTK!$AH$192&gt;=91.5,WSMTK!$AH$192&lt;=100),"P","")</f>
        <v/>
      </c>
      <c r="OX32" t="str">
        <f>IF(WSMTK!$AH$200&lt;74.9,"P","")</f>
        <v/>
      </c>
      <c r="OY32" s="102" t="str">
        <f>IF(AND(WSMTK!$AH$200&gt;=75,WSMTK!$AH$200&lt;=83.24),"P","")</f>
        <v/>
      </c>
      <c r="OZ32" s="102" t="str">
        <f>IF(AND(WSMTK!$AH$200&gt;=83.25,WSMTK!$AH$200&lt;=91.4),"P","")</f>
        <v/>
      </c>
      <c r="PA32" s="102" t="str">
        <f>IF(AND(WSMTK!$AH$200&gt;=91.5,WSMTK!$AH$200&lt;=100),"P","")</f>
        <v/>
      </c>
      <c r="PB32" t="str">
        <f>IF(WSIPA!$AH$6&lt;74.9,"P","")</f>
        <v/>
      </c>
      <c r="PC32" s="102" t="str">
        <f>IF(AND(WSIPA!$AH$6&gt;=75,WSIPA!$AH$6&lt;=83.24),"P","")</f>
        <v/>
      </c>
      <c r="PD32" s="102" t="str">
        <f>IF(AND(WSIPA!$AH$6&gt;=83.25,WSIPA!$AH$6&lt;=91.4),"P","")</f>
        <v/>
      </c>
      <c r="PE32" s="102" t="str">
        <f>IF(AND(WSIPA!$AH$6&gt;=91.5,WSIPA!$AH$6&lt;=100),"P","")</f>
        <v/>
      </c>
      <c r="PF32" t="str">
        <f>IF(WSIPA!$AH$14&lt;74.9,"P","")</f>
        <v/>
      </c>
      <c r="PG32" s="102" t="str">
        <f>IF(AND(WSIPA!$AH$14&gt;=75,WSIPA!$AH$14&lt;=83.24),"P","")</f>
        <v/>
      </c>
      <c r="PH32" s="102" t="str">
        <f>IF(AND(WSIPA!$AH$14&gt;=83.25,WSIPA!$AH$14&lt;=91.4),"P","")</f>
        <v/>
      </c>
      <c r="PI32" s="102" t="str">
        <f>IF(AND(WSIPA!$AH$14&gt;=91.5,WSIPA!$AH$14&lt;=100),"P","")</f>
        <v/>
      </c>
      <c r="PJ32" t="str">
        <f>IF(WSIPA!$AH$22&lt;74.9,"P","")</f>
        <v/>
      </c>
      <c r="PK32" s="102" t="str">
        <f>IF(AND(WSIPA!$AH$22&gt;=75,WSIPA!$AH$22&lt;=83.24),"P","")</f>
        <v/>
      </c>
      <c r="PL32" s="102" t="str">
        <f>IF(AND(WSIPA!$AH$22&gt;=83.25,WSIPA!$AH$22&lt;=91.4),"P","")</f>
        <v/>
      </c>
      <c r="PM32" s="102" t="str">
        <f>IF(AND(WSIPA!$AH$22&gt;=91.5,WSIPA!$AH$22&lt;=100),"P","")</f>
        <v/>
      </c>
      <c r="PN32" t="str">
        <f>IF(WSIPA!$AH$30&lt;74.9,"P","")</f>
        <v/>
      </c>
      <c r="PO32" s="102" t="str">
        <f>IF(AND(WSIPA!$AH$30&gt;=75,WSIPA!$AH$30&lt;=83.24),"P","")</f>
        <v/>
      </c>
      <c r="PP32" s="102" t="str">
        <f>IF(AND(WSIPA!$AH$30&gt;=83.25,WSIPA!$AH$30&lt;=91.4),"P","")</f>
        <v/>
      </c>
      <c r="PQ32" s="102" t="str">
        <f>IF(AND(WSIPA!$AH$30&gt;=91.5,WSIPA!$AH$30&lt;=100),"P","")</f>
        <v/>
      </c>
      <c r="PR32" t="str">
        <f>IF(WSIPA!$AH$38&lt;74.9,"P","")</f>
        <v/>
      </c>
      <c r="PS32" s="102" t="str">
        <f>IF(AND(WSIPA!$AH$38&gt;=75,WSIPA!$AH$38&lt;=83.24),"P","")</f>
        <v/>
      </c>
      <c r="PT32" s="102" t="str">
        <f>IF(AND(WSIPA!$AH$38&gt;=83.25,WSIPA!$AH$38&lt;=91.4),"P","")</f>
        <v/>
      </c>
      <c r="PU32" s="102" t="str">
        <f>IF(AND(WSIPA!$AH$38&gt;=91.5,WSIPA!$AH$38&lt;=100),"P","")</f>
        <v/>
      </c>
      <c r="PV32" t="str">
        <f>IF(WSIPA!$AH$46&lt;74.9,"P","")</f>
        <v/>
      </c>
      <c r="PW32" s="102" t="str">
        <f>IF(AND(WSIPA!$AH$46&gt;=75,WSIPA!$AH$46&lt;=83.24),"P","")</f>
        <v/>
      </c>
      <c r="PX32" s="102" t="str">
        <f>IF(AND(WSIPA!$AH$46&gt;=83.25,WSIPA!$AH$46&lt;=91.4),"P","")</f>
        <v/>
      </c>
      <c r="PY32" s="102" t="str">
        <f>IF(AND(WSIPA!$AH$46&gt;=91.5,WSIPA!$AH$46&lt;=100),"P","")</f>
        <v/>
      </c>
      <c r="PZ32" t="str">
        <f>IF(WSIPA!$AH$54&lt;74.9,"P","")</f>
        <v/>
      </c>
      <c r="QA32" s="102" t="str">
        <f>IF(AND(WSIPA!$AH$54&gt;=75,WSIPA!$AH$54&lt;=83.24),"P","")</f>
        <v/>
      </c>
      <c r="QB32" s="102" t="str">
        <f>IF(AND(WSIPA!$AH$54&gt;=83.25,WSIPA!$AH$54&lt;=91.4),"P","")</f>
        <v/>
      </c>
      <c r="QC32" s="102" t="str">
        <f>IF(AND(WSIPA!$AH$54&gt;=91.5,WSIPA!$AH$54&lt;=100),"P","")</f>
        <v/>
      </c>
      <c r="QD32" t="str">
        <f>IF(WSIPA!$AH$62&lt;74.9,"P","")</f>
        <v/>
      </c>
      <c r="QE32" s="102" t="str">
        <f>IF(AND(WSIPA!$AH$62&gt;=75,WSIPA!$AH$62&lt;=83.24),"P","")</f>
        <v/>
      </c>
      <c r="QF32" s="102" t="str">
        <f>IF(AND(WSIPA!$AH$62&gt;=83.25,WSIPA!$AH$62&lt;=91.4),"P","")</f>
        <v/>
      </c>
      <c r="QG32" s="102" t="str">
        <f>IF(AND(WSIPA!$AH$62&gt;=91.5,WSIPA!$AH$62&lt;=100),"P","")</f>
        <v/>
      </c>
      <c r="QH32" t="str">
        <f>IF(WSIPA!$AH$70&lt;74.9,"P","")</f>
        <v/>
      </c>
      <c r="QI32" s="102" t="str">
        <f>IF(AND(WSIPA!$AH$70&gt;=75,WSIPA!$AH$70&lt;=83.24),"P","")</f>
        <v/>
      </c>
      <c r="QJ32" s="102" t="str">
        <f>IF(AND(WSIPA!$AH$70&gt;=83.25,WSIPA!$AH$70&lt;=91.4),"P","")</f>
        <v/>
      </c>
      <c r="QK32" s="102" t="str">
        <f>IF(AND(WSIPA!$AH$70&gt;=91.5,WSIPA!$AH$70&lt;=100),"P","")</f>
        <v/>
      </c>
      <c r="QL32" t="str">
        <f>IF(WSIPA!$AH$78&lt;74.9,"P","")</f>
        <v/>
      </c>
      <c r="QM32" s="102" t="str">
        <f>IF(AND(WSIPA!$AH$78&gt;=75,WSIPA!$AH$78&lt;=83.24),"P","")</f>
        <v/>
      </c>
      <c r="QN32" s="102" t="str">
        <f>IF(AND(WSIPA!$AH$78&gt;=83.25,WSIPA!$AH$78&lt;=91.4),"P","")</f>
        <v/>
      </c>
      <c r="QO32" s="102" t="str">
        <f>IF(AND(WSIPA!$AH$78&gt;=91.5,WSIPA!$AH$78&lt;=100),"P","")</f>
        <v/>
      </c>
      <c r="QP32" t="str">
        <f>IF(WSIPA!$AH$86&lt;74.9,"P","")</f>
        <v/>
      </c>
      <c r="QQ32" s="102" t="str">
        <f>IF(AND(WSIPA!$AH$86&gt;=75,WSIPA!$AH$86&lt;=83.24),"P","")</f>
        <v/>
      </c>
      <c r="QR32" s="102" t="str">
        <f>IF(AND(WSIPA!$AH$86&gt;=83.25,WSIPA!$AH$86&lt;=91.4),"P","")</f>
        <v/>
      </c>
      <c r="QS32" s="102" t="str">
        <f>IF(AND(WSIPA!$AH$86&gt;=91.5,WSIPA!$AH$86&lt;=100),"P","")</f>
        <v/>
      </c>
      <c r="QT32" t="str">
        <f>IF(WSIPA!$AH$94&lt;74.9,"P","")</f>
        <v/>
      </c>
      <c r="QU32" s="102" t="str">
        <f>IF(AND(WSIPA!$AH$94&gt;=75,WSIPA!$AH$94&lt;=83.24),"P","")</f>
        <v/>
      </c>
      <c r="QV32" s="102" t="str">
        <f>IF(AND(WSIPA!$AH$94&gt;=83.25,WSIPA!$AH$94&lt;=91.4),"P","")</f>
        <v/>
      </c>
      <c r="QW32" s="102" t="str">
        <f>IF(AND(WSIPA!$AH$94&gt;=91.5,WSIPA!$AH$94&lt;=100),"P","")</f>
        <v/>
      </c>
      <c r="QX32" t="str">
        <f>IF(WSIPA!$AH$102&lt;74.9,"P","")</f>
        <v/>
      </c>
      <c r="QY32" s="102" t="str">
        <f>IF(AND(WSIPA!$AH$102&gt;=75,WSIPA!$AH$102&lt;=83.24),"P","")</f>
        <v/>
      </c>
      <c r="QZ32" s="102" t="str">
        <f>IF(AND(WSIPA!$AH$102&gt;=83.25,WSIPA!$AH$102&lt;=91.4),"P","")</f>
        <v/>
      </c>
      <c r="RA32" s="102" t="str">
        <f>IF(AND(WSIPA!$AH$102&gt;=91.5,WSIPA!$AH$102&lt;=100),"P","")</f>
        <v/>
      </c>
      <c r="RB32" t="str">
        <f>IF(WSIPS!$AH$6&lt;74.9,"P","")</f>
        <v/>
      </c>
      <c r="RC32" s="102" t="str">
        <f>IF(AND(WSIPS!$AH$6&gt;=75,WSIPS!$AH$6&lt;=83.24),"P","")</f>
        <v/>
      </c>
      <c r="RD32" s="102" t="str">
        <f>IF(AND(WSIPS!$AH$6&gt;=83.25,WSIPS!$AH$6&lt;=91.4),"P","")</f>
        <v/>
      </c>
      <c r="RE32" s="102" t="str">
        <f>IF(AND(WSIPS!$AH$6&gt;=91.5,WSIPS!$AH$6&lt;=100),"P","")</f>
        <v/>
      </c>
      <c r="RF32" t="str">
        <f>IF(WSIPS!$AH$14&lt;74.9,"P","")</f>
        <v/>
      </c>
      <c r="RG32" s="102" t="str">
        <f>IF(AND(WSIPS!$AH$14&gt;=75,WSIPS!$AH$14&lt;=83.24),"P","")</f>
        <v/>
      </c>
      <c r="RH32" s="102" t="str">
        <f>IF(AND(WSIPS!$AH$14&gt;=83.25,WSIPS!$AH$14&lt;=91.4),"P","")</f>
        <v/>
      </c>
      <c r="RI32" s="102" t="str">
        <f>IF(AND(WSIPS!$AH$14&gt;=91.5,WSIPS!$AH$14&lt;=100),"P","")</f>
        <v/>
      </c>
      <c r="RJ32" t="str">
        <f>IF(WSIPS!$AH$22&lt;74.9,"P","")</f>
        <v/>
      </c>
      <c r="RK32" s="102" t="str">
        <f>IF(AND(WSIPS!$AH$22&gt;=75,WSIPS!$AH$22&lt;=83.24),"P","")</f>
        <v/>
      </c>
      <c r="RL32" s="102" t="str">
        <f>IF(AND(WSIPS!$AH$22&gt;=83.25,WSIPS!$AH$22&lt;=91.4),"P","")</f>
        <v/>
      </c>
      <c r="RM32" s="102" t="str">
        <f>IF(AND(WSIPS!$AH$22&gt;=91.5,WSIPS!$AH$22&lt;=100),"P","")</f>
        <v/>
      </c>
      <c r="RN32" t="str">
        <f>IF(WSIPS!$AH$30&lt;74.9,"P","")</f>
        <v/>
      </c>
      <c r="RO32" s="102" t="str">
        <f>IF(AND(WSIPS!$AH$30&gt;=75,WSIPS!$AH$30&lt;=83.24),"P","")</f>
        <v/>
      </c>
      <c r="RP32" s="102" t="str">
        <f>IF(AND(WSIPS!$AH$30&gt;=83.25,WSIPS!$AH$30&lt;=91.4),"P","")</f>
        <v/>
      </c>
      <c r="RQ32" s="102" t="str">
        <f>IF(AND(WSIPS!$AH$30&gt;=91.5,WSIPS!$AH$30&lt;=100),"P","")</f>
        <v/>
      </c>
      <c r="RR32" t="str">
        <f>IF(WSIPS!$AH$38&lt;74.9,"P","")</f>
        <v/>
      </c>
      <c r="RS32" s="102" t="str">
        <f>IF(AND(WSIPS!$AH$38&gt;=75,WSIPS!$AH$38&lt;=83.24),"P","")</f>
        <v/>
      </c>
      <c r="RT32" s="102" t="str">
        <f>IF(AND(WSIPS!$AH$38&gt;=83.25,WSIPS!$AH$38&lt;=91.4),"P","")</f>
        <v/>
      </c>
      <c r="RU32" s="102" t="str">
        <f>IF(AND(WSIPS!$AH$38&gt;=91.5,WSIPS!$AH$38&lt;=100),"P","")</f>
        <v/>
      </c>
      <c r="RV32" t="str">
        <f>IF(WSIPS!$AH$46&lt;74.9,"P","")</f>
        <v/>
      </c>
      <c r="RW32" s="102" t="str">
        <f>IF(AND(WSIPS!$AH$46&gt;=75,WSIPS!$AH$46&lt;=83.24),"P","")</f>
        <v/>
      </c>
      <c r="RX32" s="102" t="str">
        <f>IF(AND(WSIPS!$AH$46&gt;=83.25,WSIPS!$AH$46&lt;=91.4),"P","")</f>
        <v/>
      </c>
      <c r="RY32" s="102" t="str">
        <f>IF(AND(WSIPS!$AH$46&gt;=91.5,WSIPS!$AH$46&lt;=100),"P","")</f>
        <v/>
      </c>
      <c r="RZ32" t="str">
        <f>IF(WSIPS!$AH$54&lt;74.9,"P","")</f>
        <v/>
      </c>
      <c r="SA32" s="102" t="str">
        <f>IF(AND(WSIPS!$AH$54&gt;=75,WSIPS!$AH$54&lt;=83.24),"P","")</f>
        <v/>
      </c>
      <c r="SB32" s="102" t="str">
        <f>IF(AND(WSIPS!$AH$54&gt;=83.25,WSIPS!$AH$54&lt;=91.4),"P","")</f>
        <v/>
      </c>
      <c r="SC32" s="102" t="str">
        <f>IF(AND(WSIPS!$AH$54&gt;=91.5,WSIPS!$AH$54&lt;=100),"P","")</f>
        <v/>
      </c>
      <c r="SD32" t="str">
        <f>IF(WSIPS!$AH$62&lt;74.9,"P","")</f>
        <v/>
      </c>
      <c r="SE32" s="102" t="str">
        <f>IF(AND(WSIPS!$AH$62&gt;=75,WSIPS!$AH$62&lt;=83.24),"P","")</f>
        <v/>
      </c>
      <c r="SF32" s="102" t="str">
        <f>IF(AND(WSIPS!$AH$62&gt;=83.25,WSIPS!$AH$62&lt;=91.4),"P","")</f>
        <v/>
      </c>
      <c r="SG32" s="102" t="str">
        <f>IF(AND(WSIPS!$AH$62&gt;=91.5,WSIPS!$AH$62&lt;=100),"P","")</f>
        <v/>
      </c>
      <c r="SH32" t="str">
        <f>IF(WSIPS!$AH$70&lt;74.9,"P","")</f>
        <v/>
      </c>
      <c r="SI32" s="102" t="str">
        <f>IF(AND(WSIPS!$AH$70&gt;=75,WSIPS!$AH$70&lt;=83.24),"P","")</f>
        <v/>
      </c>
      <c r="SJ32" s="102" t="str">
        <f>IF(AND(WSIPS!$AH$70&gt;=83.25,WSIPS!$AH$70&lt;=91.4),"P","")</f>
        <v/>
      </c>
      <c r="SK32" s="102" t="str">
        <f>IF(AND(WSIPS!$AH$70&gt;=91.5,WSIPS!$AH$70&lt;=100),"P","")</f>
        <v/>
      </c>
      <c r="SL32" t="str">
        <f>IF(WSIPS!$AH$78&lt;74.9,"P","")</f>
        <v/>
      </c>
      <c r="SM32" s="102" t="str">
        <f>IF(AND(WSIPS!$AH$78&gt;=75,WSIPS!$AH$78&lt;=83.24),"P","")</f>
        <v/>
      </c>
      <c r="SN32" s="102" t="str">
        <f>IF(AND(WSIPS!$AH$78&gt;=83.25,WSIPS!$AH$78&lt;=91.4),"P","")</f>
        <v/>
      </c>
      <c r="SO32" s="102" t="str">
        <f>IF(AND(WSIPS!$AH$78&gt;=91.5,WSIPS!$AH$78&lt;=100),"P","")</f>
        <v/>
      </c>
      <c r="SP32" t="str">
        <f>IF(WSIPS!$AH$86&lt;74.9,"P","")</f>
        <v/>
      </c>
      <c r="SQ32" s="102" t="str">
        <f>IF(AND(WSIPS!$AH$86&gt;=75,WSIPS!$AH$86&lt;=83.24),"P","")</f>
        <v/>
      </c>
      <c r="SR32" s="102" t="str">
        <f>IF(AND(WSIPS!$AH$86&gt;=83.25,WSIPS!$AH$86&lt;=91.4),"P","")</f>
        <v/>
      </c>
      <c r="SS32" s="102" t="str">
        <f>IF(AND(WSIPS!$AH$86&gt;=91.5,WSIPS!$AH$86&lt;=100),"P","")</f>
        <v/>
      </c>
      <c r="ST32" t="str">
        <f>IF(WSIPS!$AH$94&lt;74.9,"P","")</f>
        <v/>
      </c>
      <c r="SU32" s="102" t="str">
        <f>IF(AND(WSIPS!$AH$94&gt;=75,WSIPS!$AH$94&lt;=83.24),"P","")</f>
        <v/>
      </c>
      <c r="SV32" s="102" t="str">
        <f>IF(AND(WSIPS!$AH$94&gt;=83.25,WSIPS!$AH$94&lt;=91.4),"P","")</f>
        <v/>
      </c>
      <c r="SW32" s="102" t="str">
        <f>IF(AND(WSIPS!$AH$94&gt;=91.5,WSIPS!$AH$94&lt;=100),"P","")</f>
        <v/>
      </c>
      <c r="SX32" t="str">
        <f>IF(WSIPS!$AH$102&lt;74.9,"P","")</f>
        <v/>
      </c>
      <c r="SY32" s="102" t="str">
        <f>IF(AND(WSIPS!$AH$102&gt;=75,WSIPS!$AH$102&lt;=83.24),"P","")</f>
        <v/>
      </c>
      <c r="SZ32" s="102" t="str">
        <f>IF(AND(WSIPS!$AH$102&gt;=83.25,WSIPS!$AH$102&lt;=91.4),"P","")</f>
        <v/>
      </c>
      <c r="TA32" s="102" t="str">
        <f>IF(AND(WSIPS!$AH$102&gt;=91.5,WSIPS!$AH$102&lt;=100),"P","")</f>
        <v/>
      </c>
      <c r="TB32" t="str">
        <f>IF(WSSBK!$AH$6&lt;74.9,"P","")</f>
        <v/>
      </c>
      <c r="TC32" s="102" t="str">
        <f>IF(AND(WSSBK!$AH$6&gt;=75,WSSBK!$AH$6&lt;=83.24),"P","")</f>
        <v/>
      </c>
      <c r="TD32" s="102" t="str">
        <f>IF(AND(WSSBK!$AH$6&gt;=83.25,WSSBK!$AH$6&lt;=91.4),"P","")</f>
        <v/>
      </c>
      <c r="TE32" s="102" t="str">
        <f>IF(AND(WSSBK!$AH$6&gt;=91.5,WSSBK!$AH$6&lt;=100),"P","")</f>
        <v/>
      </c>
      <c r="TF32" t="str">
        <f>IF(WSSBK!$AH$16&lt;74.9,"P","")</f>
        <v/>
      </c>
      <c r="TG32" s="102" t="str">
        <f>IF(AND(WSSBK!$AH$16&gt;=75,WSSBK!$AH$16&lt;=83.24),"P","")</f>
        <v/>
      </c>
      <c r="TH32" s="102" t="str">
        <f>IF(AND(WSSBK!$AH$16&gt;=83.25,WSSBK!$AH$16&lt;=91.4),"P","")</f>
        <v/>
      </c>
      <c r="TI32" s="102" t="str">
        <f>IF(AND(WSSBK!$AH$16&gt;=91.5,WSSBK!$AH$16&lt;=100),"P","")</f>
        <v/>
      </c>
      <c r="TJ32" t="str">
        <f>IF(WSSBK!$AH$26&lt;74.9,"P","")</f>
        <v/>
      </c>
      <c r="TK32" s="102" t="str">
        <f>IF(AND(WSSBK!$AH$26&gt;=75,WSSBK!$AH$26&lt;=83.24),"P","")</f>
        <v/>
      </c>
      <c r="TL32" s="102" t="str">
        <f>IF(AND(WSSBK!$AH$26&gt;=83.25,WSSBK!$AH$26&lt;=91.4),"P","")</f>
        <v/>
      </c>
      <c r="TM32" s="102" t="str">
        <f>IF(AND(WSSBK!$AH$26&gt;=91.5,WSSBK!$AH$26&lt;=100),"P","")</f>
        <v/>
      </c>
      <c r="TN32" t="str">
        <f>IF(WSSBK!$AH$36&lt;74.9,"P","")</f>
        <v/>
      </c>
      <c r="TO32" s="102" t="str">
        <f>IF(AND(WSSBK!$AH$36&gt;=75,WSSBK!$AH$36&lt;=83.24),"P","")</f>
        <v/>
      </c>
      <c r="TP32" s="102" t="str">
        <f>IF(AND(WSSBK!$AH$36&gt;=83.25,WSSBK!$AH$36&lt;=91.4),"P","")</f>
        <v/>
      </c>
      <c r="TQ32" s="102" t="str">
        <f>IF(AND(WSSBK!$AH$36&gt;=91.5,WSSBK!$AH$36&lt;=100),"P","")</f>
        <v/>
      </c>
      <c r="TR32" t="str">
        <f>IF(WSSBK!$AH$46&lt;74.9,"P","")</f>
        <v/>
      </c>
      <c r="TS32" s="102" t="str">
        <f>IF(AND(WSSBK!$AH$46&gt;=75,WSSBK!$AH$46&lt;=83.24),"P","")</f>
        <v/>
      </c>
      <c r="TT32" s="102" t="str">
        <f>IF(AND(WSSBK!$AH$46&gt;=83.25,WSSBK!$AH$46&lt;=91.4),"P","")</f>
        <v/>
      </c>
      <c r="TU32" s="102" t="str">
        <f>IF(AND(WSSBK!$AH$46&gt;=91.5,WSSBK!$AH$46&lt;=100),"P","")</f>
        <v/>
      </c>
      <c r="TV32" t="str">
        <f>IF(WSSBK!$AH$58&lt;74.9,"P","")</f>
        <v/>
      </c>
      <c r="TW32" s="102" t="str">
        <f>IF(AND(WSSBK!$AH$58&gt;=75,WSSBK!$AH$58&lt;=83.24),"P","")</f>
        <v/>
      </c>
      <c r="TX32" s="102" t="str">
        <f>IF(AND(WSSBK!$AH$58&gt;=83.25,WSSBK!$AH$58&lt;=91.4),"P","")</f>
        <v/>
      </c>
      <c r="TY32" s="102" t="str">
        <f>IF(AND(WSSBK!$AH$58&gt;=91.5,WSSBK!$AH$58&lt;=100),"P","")</f>
        <v/>
      </c>
      <c r="TZ32" t="str">
        <f>IF(WSSBK!$AH$68&lt;74.9,"P","")</f>
        <v/>
      </c>
      <c r="UA32" s="102" t="str">
        <f>IF(AND(WSSBK!$AH$68&gt;=75,WSSBK!$AH$68&lt;=83.24),"P","")</f>
        <v/>
      </c>
      <c r="UB32" s="102" t="str">
        <f>IF(AND(WSSBK!$AH$68&gt;=83.25,WSSBK!$AH$68&lt;=91.4),"P","")</f>
        <v/>
      </c>
      <c r="UC32" s="102" t="str">
        <f>IF(AND(WSSBK!$AH$68&gt;=91.5,WSSBK!$AH$68&lt;=100),"P","")</f>
        <v/>
      </c>
      <c r="UD32" t="str">
        <f>IF(WSSBK!$AH$77&lt;74.9,"P","")</f>
        <v/>
      </c>
      <c r="UE32" s="102" t="str">
        <f>IF(AND(WSSBK!$AH$77&gt;=75,WSSBK!$AH$77&lt;=83.24),"P","")</f>
        <v/>
      </c>
      <c r="UF32" s="102" t="str">
        <f>IF(AND(WSSBK!$AH$77&gt;=83.25,WSSBK!$AH$77&lt;=91.4),"P","")</f>
        <v/>
      </c>
      <c r="UG32" s="102" t="str">
        <f>IF(AND(WSSBK!$AH$77&gt;=91.5,WSSBK!$AH$77&lt;=100),"P","")</f>
        <v/>
      </c>
      <c r="UH32" t="str">
        <f>IF(WSSBK!$AH$87&lt;74.9,"P","")</f>
        <v/>
      </c>
      <c r="UI32" s="102" t="str">
        <f>IF(AND(WSSBK!$AH$87&gt;=75,WSSBK!$AH$87&lt;=83.24),"P","")</f>
        <v/>
      </c>
      <c r="UJ32" s="102" t="str">
        <f>IF(AND(WSSBK!$AH$87&gt;=83.25,WSSBK!$AH$87&lt;=91.4),"P","")</f>
        <v/>
      </c>
      <c r="UK32" s="102" t="str">
        <f>IF(AND(WSSBK!$AH$87&gt;=91.5,WSSBK!$AH$87&lt;=100),"P","")</f>
        <v/>
      </c>
      <c r="UL32" t="str">
        <f>IF(WSSBK!$AH$95&lt;74.9,"P","")</f>
        <v/>
      </c>
      <c r="UM32" s="102" t="str">
        <f>IF(AND(WSSBK!$AH$95&gt;=75,WSSBK!$AH$95&lt;=83.24),"P","")</f>
        <v/>
      </c>
      <c r="UN32" s="102" t="str">
        <f>IF(AND(WSSBK!$AH$95&gt;=83.25,WSSBK!$AH$95&lt;=91.4),"P","")</f>
        <v/>
      </c>
      <c r="UO32" s="102" t="str">
        <f>IF(AND(WSSBK!$AH$95&gt;=91.5,WSSBK!$AH$95&lt;=100),"P","")</f>
        <v/>
      </c>
      <c r="UP32" t="str">
        <f>IF(WSSBK!$AH$103&lt;74.9,"P","")</f>
        <v/>
      </c>
      <c r="UQ32" s="102" t="str">
        <f>IF(AND(WSSBK!$AH$103&gt;=75,WSSBK!$AH$103&lt;=83.24),"P","")</f>
        <v/>
      </c>
      <c r="UR32" s="102" t="str">
        <f>IF(AND(WSSBK!$AH$103&gt;=83.25,WSSBK!$AH$103&lt;=91.4),"P","")</f>
        <v/>
      </c>
      <c r="US32" s="102" t="str">
        <f>IF(AND(WSSBK!$AH$103&gt;=91.5,WSSBK!$AH$103&lt;=100),"P","")</f>
        <v/>
      </c>
      <c r="UT32" t="str">
        <f>IF(WSSBK!$AH$111&lt;74.9,"P","")</f>
        <v/>
      </c>
      <c r="UU32" s="102" t="str">
        <f>IF(AND(WSSBK!$AH$111&gt;=75,WSSBK!$AH$111&lt;=83.24),"P","")</f>
        <v/>
      </c>
      <c r="UV32" s="102" t="str">
        <f>IF(AND(WSSBK!$AH$111&gt;=83.25,WSSBK!$AH$111&lt;=91.4),"P","")</f>
        <v/>
      </c>
      <c r="UW32" s="102" t="str">
        <f>IF(AND(WSSBK!$AH$111&gt;=91.5,WSSBK!$AH$111&lt;=100),"P","")</f>
        <v/>
      </c>
      <c r="UX32" t="str">
        <f>IF(WSSBK!$AH$119&lt;74.9,"P","")</f>
        <v/>
      </c>
      <c r="UY32" s="102" t="str">
        <f>IF(AND(WSSBK!$AH$119&gt;=75,WSSBK!$AH$119&lt;=83.24),"P","")</f>
        <v/>
      </c>
      <c r="UZ32" s="102" t="str">
        <f>IF(AND(WSSBK!$AH$119&gt;=83.25,WSSBK!$AH$119&lt;=91.4),"P","")</f>
        <v/>
      </c>
      <c r="VA32" s="102" t="str">
        <f>IF(AND(WSSBK!$AH$119&gt;=91.5,WSSBK!$AH$119&lt;=100),"P","")</f>
        <v/>
      </c>
      <c r="VB32" s="102" t="str">
        <f>IF(AND(WSPENJAS!$AH$6&gt;0,WSPENJAS!$AH$6&lt;=74.9),"P","")</f>
        <v/>
      </c>
      <c r="VC32" s="102" t="str">
        <f>IF(AND(WSPENJAS!$AH$6&gt;=75,WSPENJAS!$AH$6&lt;=83.24),"P","")</f>
        <v/>
      </c>
      <c r="VD32" s="102" t="str">
        <f>IF(AND(WSPENJAS!$AH$6&gt;=83.25,WSPENJAS!$AH$6&lt;=91.4),"P","")</f>
        <v/>
      </c>
      <c r="VE32" s="102" t="str">
        <f>IF(AND(WSPENJAS!$AH$6&gt;=91.5,WSPENJAS!$AH$6&lt;=100),"P","")</f>
        <v/>
      </c>
      <c r="VF32" s="102" t="str">
        <f>IF(AND(WSPENJAS!$AH$7&gt;0,WSPENJAS!$AH$7&lt;=74.9),"P","")</f>
        <v/>
      </c>
      <c r="VG32" s="102" t="str">
        <f>IF(AND(WSPENJAS!$AH$7&gt;=75,WSPENJAS!$AH$7&lt;=83.24),"P","")</f>
        <v/>
      </c>
      <c r="VH32" s="102" t="str">
        <f>IF(AND(WSPENJAS!$AH$7&gt;=83.25,WSPENJAS!$AH$7&lt;=91.4),"P","")</f>
        <v/>
      </c>
      <c r="VI32" s="102" t="str">
        <f>IF(AND(WSPENJAS!$AH$7&gt;=91.5,WSPENJAS!$AH$7&lt;=100),"P","")</f>
        <v/>
      </c>
      <c r="VJ32" s="102" t="str">
        <f>IF(AND(WSPENJAS!$AH$8&gt;0,WSPENJAS!$AH$8&lt;=74.9),"P","")</f>
        <v/>
      </c>
      <c r="VK32" s="102" t="str">
        <f>IF(AND(WSPENJAS!$AH$8&gt;=75,WSPENJAS!$AH$8&lt;=83.24),"P","")</f>
        <v/>
      </c>
      <c r="VL32" s="102" t="str">
        <f>IF(AND(WSPENJAS!$AH$8&gt;=83.25,WSPENJAS!$AH$8&lt;=91.4),"P","")</f>
        <v/>
      </c>
      <c r="VM32" s="102" t="str">
        <f>IF(AND(WSPENJAS!$AH$8&gt;=91.5,WSPENJAS!$AH$8&lt;=100),"P","")</f>
        <v/>
      </c>
      <c r="VN32" s="102" t="str">
        <f>IF(AND(WSPENJAS!$AH$9&gt;0,WSPENJAS!$AH$9&lt;=74.9),"P","")</f>
        <v/>
      </c>
      <c r="VO32" s="102" t="str">
        <f>IF(AND(WSPENJAS!$AH$9&gt;=75,WSPENJAS!$AH$9&lt;=83.24),"P","")</f>
        <v/>
      </c>
      <c r="VP32" s="102" t="str">
        <f>IF(AND(WSPENJAS!$AH$9&gt;=83.25,WSPENJAS!$AH$9&lt;=91.4),"P","")</f>
        <v/>
      </c>
      <c r="VQ32" s="102" t="str">
        <f>IF(AND(WSPENJAS!$AH$9&gt;=91.5,WSPENJAS!$AH$9&lt;=100),"P","")</f>
        <v/>
      </c>
      <c r="VR32" s="102" t="str">
        <f>IF(AND(WSPENJAS!$AH$10&gt;0,WSPENJAS!$AH$10&lt;=74.9),"P","")</f>
        <v/>
      </c>
      <c r="VS32" s="102" t="str">
        <f>IF(AND(WSPENJAS!$AH$10&gt;=75,WSPENJAS!$AH$10&lt;=83.24),"P","")</f>
        <v/>
      </c>
      <c r="VT32" s="102" t="str">
        <f>IF(AND(WSPENJAS!$AH$10&gt;=83.25,WSPENJAS!$AH$10&lt;=91.4),"P","")</f>
        <v/>
      </c>
      <c r="VU32" s="102" t="str">
        <f>IF(AND(WSPENJAS!$AH$10&gt;=91.5,WSPENJAS!$AH$10&lt;=100),"P","")</f>
        <v/>
      </c>
      <c r="VV32" s="102" t="str">
        <f>IF(AND(WSPENJAS!$AH$11&gt;0,WSPENJAS!$AH$11&lt;=74.9),"P","")</f>
        <v/>
      </c>
      <c r="VW32" s="102" t="str">
        <f>IF(AND(WSPENJAS!$AH$411&gt;=75,WSPENJAS!$AH$411&lt;=83.24),"P","")</f>
        <v/>
      </c>
      <c r="VX32" s="102" t="str">
        <f>IF(AND(WSPENJAS!$AH$411&gt;=83.25,WSPENJAS!$AH$411&lt;=91.4),"P","")</f>
        <v/>
      </c>
      <c r="VY32" s="102" t="str">
        <f>IF(AND(WSPENJAS!$AH$411&gt;=91.5,WSPENJAS!$AH$411&lt;=100),"P","")</f>
        <v/>
      </c>
      <c r="VZ32" s="102" t="str">
        <f>IF(AND(WSPENJAS!$AH$12&gt;0,WSPENJAS!$AH$12&lt;=74.9),"P","")</f>
        <v/>
      </c>
      <c r="WA32" s="102" t="str">
        <f>IF(AND(WSPENJAS!$AH$12&gt;=75,WSPENJAS!$AH$12&lt;=83.24),"P","")</f>
        <v/>
      </c>
      <c r="WB32" s="102" t="str">
        <f>IF(AND(WSPENJAS!$AH$12&gt;=83.25,WSPENJAS!$AH$12&lt;=91.4),"P","")</f>
        <v/>
      </c>
      <c r="WC32" s="102" t="str">
        <f>IF(AND(WSPENJAS!$AH$12&gt;=91.5,WSPENJAS!$AH$12&lt;=100),"P","")</f>
        <v/>
      </c>
      <c r="WD32" s="102" t="str">
        <f>IF(AND(WSPENJAS!$AH$13&gt;0,WSPENJAS!$AH$13&lt;=74.9),"P","")</f>
        <v/>
      </c>
      <c r="WE32" s="102" t="str">
        <f>IF(AND(WSPENJAS!$AH$13&gt;=75,WSPENJAS!$AH$13&lt;=83.24),"P","")</f>
        <v/>
      </c>
      <c r="WF32" s="102" t="str">
        <f>IF(AND(WSPENJAS!$AH$13&gt;=83.25,WSPENJAS!$AH$13&lt;=91.4),"P","")</f>
        <v/>
      </c>
      <c r="WG32" s="102" t="str">
        <f>IF(AND(WSPENJAS!$AH$13&gt;=91.5,WSPENJAS!$AH$13&lt;=100),"P","")</f>
        <v/>
      </c>
      <c r="WH32" s="102" t="str">
        <f>IF(AND(WSPENJAS!$AH$14&gt;0,WSPENJAS!$AH$14&lt;=74.9),"P","")</f>
        <v/>
      </c>
      <c r="WI32" s="102" t="str">
        <f>IF(AND(WSPENJAS!$AH$14&gt;=75,WSPENJAS!$AH$14&lt;=83.24),"P","")</f>
        <v/>
      </c>
      <c r="WJ32" s="102" t="str">
        <f>IF(AND(WSPENJAS!$AH$14&gt;=83.25,WSPENJAS!$AH$14&lt;=91.4),"P","")</f>
        <v/>
      </c>
      <c r="WK32" s="102" t="str">
        <f>IF(AND(WSPENJAS!$AH$14&gt;=91.5,WSPENJAS!$AH$14&lt;=100),"P","")</f>
        <v/>
      </c>
      <c r="WL32" s="102" t="str">
        <f>IF(AND(WSPENJAS!$AH$15&gt;0,WSPENJAS!$AH$15&lt;=74.9),"P","")</f>
        <v/>
      </c>
      <c r="WM32" s="102" t="str">
        <f>IF(AND(WSPENJAS!$AH$15&gt;=75,WSPENJAS!$AH$15&lt;=83.24),"P","")</f>
        <v/>
      </c>
      <c r="WN32" s="102" t="str">
        <f>IF(AND(WSPENJAS!$AH$15&gt;=83.25,WSPENJAS!$AH$15&lt;=91.4),"P","")</f>
        <v/>
      </c>
      <c r="WO32" s="102" t="str">
        <f>IF(AND(WSPENJAS!$AH$15&gt;=91.5,WSPENJAS!$AH$15&lt;=100),"P","")</f>
        <v/>
      </c>
      <c r="WP32" s="102" t="str">
        <f>IF(AND(WSPENJAS!$AH$16&gt;0,WSPENJAS!$AH$16&lt;=74.9),"P","")</f>
        <v/>
      </c>
      <c r="WQ32" s="102" t="str">
        <f>IF(AND(WSPENJAS!$AH$16&gt;=75,WSPENJAS!$AH$16&lt;=83.24),"P","")</f>
        <v/>
      </c>
      <c r="WR32" s="102" t="str">
        <f>IF(AND(WSPENJAS!$AH$16&gt;=83.25,WSPENJAS!$AH$16&lt;=91.4),"P","")</f>
        <v/>
      </c>
      <c r="WS32" s="102" t="str">
        <f>IF(AND(WSPENJAS!$AH$16&gt;=91.5,WSPENJAS!$AH$16&lt;=100),"P","")</f>
        <v/>
      </c>
      <c r="WT32" s="102" t="str">
        <f>IF(AND(WSPENJAS!$AH$17&gt;0,WSPENJAS!$AH$17&lt;=74.9),"P","")</f>
        <v/>
      </c>
      <c r="WU32" s="102" t="str">
        <f>IF(AND(WSPENJAS!$AH$17&gt;=75,WSPENJAS!$AH$17&lt;=83.24),"P","")</f>
        <v/>
      </c>
      <c r="WV32" s="102" t="str">
        <f>IF(AND(WSPENJAS!$AH$17&gt;=83.25,WSPENJAS!$AH$17&lt;=91.4),"P","")</f>
        <v/>
      </c>
      <c r="WW32" s="102" t="str">
        <f>IF(AND(WSPENJAS!$AH$17&gt;=91.5,WSPENJAS!$AH$17&lt;=100),"P","")</f>
        <v/>
      </c>
      <c r="WX32" s="102" t="str">
        <f>IF(AND(WSPENJAS!$AH$18&gt;0,WSPENJAS!$AH$18&lt;=74.9),"P","")</f>
        <v/>
      </c>
      <c r="WY32" s="102" t="str">
        <f>IF(AND(WSPENJAS!$AH$18&gt;=75,WSPENJAS!$AH$18&lt;=83.24),"P","")</f>
        <v/>
      </c>
      <c r="WZ32" s="102" t="str">
        <f>IF(AND(WSPENJAS!$AH$18&gt;=83.25,WSPENJAS!$AH$18&lt;=91.4),"P","")</f>
        <v/>
      </c>
      <c r="XA32" s="102" t="str">
        <f>IF(AND(WSPENJAS!$AH$18&gt;=91.5,WSPENJAS!$AH$18&lt;=100),"P","")</f>
        <v/>
      </c>
      <c r="XB32" s="102" t="str">
        <f>IF(AND(WSPENJAS!$AH$19&gt;0,WSPENJAS!$AH$19&lt;=74.9),"P","")</f>
        <v/>
      </c>
      <c r="XC32" s="102" t="str">
        <f>IF(AND(WSPENJAS!$AH$19&gt;=75,WSPENJAS!$AH$19&lt;=83.24),"P","")</f>
        <v/>
      </c>
      <c r="XD32" s="102" t="str">
        <f>IF(AND(WSPENJAS!$AH$19&gt;=83.25,WSPENJAS!$AH$19&lt;=91.4),"P","")</f>
        <v/>
      </c>
      <c r="XE32" s="102" t="str">
        <f>IF(AND(WSPENJAS!$AH$19&gt;=91.5,WSPENJAS!$AH$19&lt;=100),"P","")</f>
        <v/>
      </c>
      <c r="XF32" s="102" t="str">
        <f>IF(AND(WSPENJAS!$AH$20&gt;0,WSPENJAS!$AH$20&lt;=74.9),"P","")</f>
        <v/>
      </c>
      <c r="XG32" s="102" t="str">
        <f>IF(AND(WSPENJAS!$AH$20&gt;=75,WSPENJAS!$AH$20&lt;=83.24),"P","")</f>
        <v/>
      </c>
      <c r="XH32" s="102" t="str">
        <f>IF(AND(WSPENJAS!$AH$20&gt;=83.25,WSPENJAS!$AH$20&lt;=91.4),"P","")</f>
        <v/>
      </c>
      <c r="XI32" s="102" t="str">
        <f>IF(AND(WSPENJAS!$AH$20&gt;=91.5,WSPENJAS!$AH$20&lt;=100),"P","")</f>
        <v/>
      </c>
      <c r="XJ32" s="102" t="str">
        <f>IF(AND(WSPENJAS!$AH$21&gt;0,WSPENJAS!$AH$21&lt;=74.9),"P","")</f>
        <v/>
      </c>
      <c r="XK32" s="102" t="str">
        <f>IF(AND(WSPENJAS!$AH$21&gt;=75,WSPENJAS!$AH$21&lt;=83.24),"P","")</f>
        <v/>
      </c>
      <c r="XL32" s="102" t="str">
        <f>IF(AND(WSPENJAS!$AH$21&gt;=83.25,WSPENJAS!$AH$21&lt;=91.4),"P","")</f>
        <v/>
      </c>
      <c r="XM32" s="102" t="str">
        <f>IF(AND(WSPENJAS!$AH$21&gt;=91.5,WSPENJAS!$AH$21&lt;=100),"P","")</f>
        <v/>
      </c>
      <c r="XN32" t="str">
        <f>IF(WSJAWA!$AH$6&lt;74.9,"P","")</f>
        <v/>
      </c>
      <c r="XO32" s="102" t="str">
        <f>IF(AND(WSJAWA!$AH$6&gt;=75,WSJAWA!$AH$6&lt;=83.24),"P","")</f>
        <v/>
      </c>
      <c r="XP32" s="102" t="str">
        <f>IF(AND(WSJAWA!$AH$6&gt;=83.25,WSJAWA!$AH$6&lt;=91.4),"P","")</f>
        <v/>
      </c>
      <c r="XQ32" s="102" t="str">
        <f>IF(AND(WSJAWA!$AH$6&gt;=91.5,WSJAWA!$AH$6&lt;=100),"P","")</f>
        <v/>
      </c>
      <c r="XR32" t="str">
        <f>IF(WSJAWA!$AH$14&lt;74.9,"P","")</f>
        <v/>
      </c>
      <c r="XS32" s="102" t="str">
        <f>IF(AND(WSJAWA!$AH$14&gt;=75,WSJAWA!$AH$14&lt;=83.24),"P","")</f>
        <v/>
      </c>
      <c r="XT32" s="102" t="str">
        <f>IF(AND(WSJAWA!$AH$14&gt;=83.25,WSJAWA!$AH$14&lt;=91.4),"P","")</f>
        <v/>
      </c>
      <c r="XU32" s="102" t="str">
        <f>IF(AND(WSJAWA!$AH$14&gt;=91.5,WSJAWA!$AH$14&lt;=100),"P","")</f>
        <v/>
      </c>
      <c r="XV32" t="str">
        <f>IF(WSJAWA!$AH$22&lt;74.9,"P","")</f>
        <v/>
      </c>
      <c r="XW32" s="102" t="str">
        <f>IF(AND(WSJAWA!$AH$22&gt;=75,WSJAWA!$AH$22&lt;=83.24),"P","")</f>
        <v/>
      </c>
      <c r="XX32" s="102" t="str">
        <f>IF(AND(WSJAWA!$AH$22&gt;=83.25,WSJAWA!$AH$22&lt;=91.4),"P","")</f>
        <v/>
      </c>
      <c r="XY32" s="102" t="str">
        <f>IF(AND(WSJAWA!$AH$22&gt;=91.5,WSJAWA!$AH$22&lt;=100),"P","")</f>
        <v/>
      </c>
      <c r="XZ32" t="str">
        <f>IF(WSJAWA!$AH$30&lt;74.9,"P","")</f>
        <v/>
      </c>
      <c r="YA32" s="102" t="str">
        <f>IF(AND(WSJAWA!$AH$30&gt;=75,WSJAWA!$AH$30&lt;=83.24),"P","")</f>
        <v/>
      </c>
      <c r="YB32" s="102" t="str">
        <f>IF(AND(WSJAWA!$AH$30&gt;=83.25,WSJAWA!$AH$30&lt;=91.4),"P","")</f>
        <v/>
      </c>
      <c r="YC32" s="102" t="str">
        <f>IF(AND(WSJAWA!$AH$30&gt;=91.5,WSJAWA!$AH$30&lt;=100),"P","")</f>
        <v/>
      </c>
      <c r="YD32" t="str">
        <f>IF(WSJAWA!$AH$38&lt;74.9,"P","")</f>
        <v/>
      </c>
      <c r="YE32" s="102" t="str">
        <f>IF(AND(WSJAWA!$AH$38&gt;=75,WSJAWA!$AH$38&lt;=83.24),"P","")</f>
        <v/>
      </c>
      <c r="YF32" s="102" t="str">
        <f>IF(AND(WSJAWA!$AH$38&gt;=83.25,WSJAWA!$AH$38&lt;=91.4),"P","")</f>
        <v/>
      </c>
      <c r="YG32" s="102" t="str">
        <f>IF(AND(WSJAWA!$AH$38&gt;=91.5,WSJAWA!$AH$38&lt;=100),"P","")</f>
        <v/>
      </c>
      <c r="YH32" t="str">
        <f>IF(WSJAWA!$AH$46&lt;74.9,"P","")</f>
        <v/>
      </c>
      <c r="YI32" s="102" t="str">
        <f>IF(AND(WSJAWA!$AH$46&gt;=75,WSJAWA!$AH$46&lt;=83.24),"P","")</f>
        <v/>
      </c>
      <c r="YJ32" s="102" t="str">
        <f>IF(AND(WSJAWA!$AH$46&gt;=83.25,WSJAWA!$AH$46&lt;=91.4),"P","")</f>
        <v/>
      </c>
      <c r="YK32" s="102" t="str">
        <f>IF(AND(WSJAWA!$AH$46&gt;=91.5,WSJAWA!$AH$46&lt;=100),"P","")</f>
        <v/>
      </c>
      <c r="YL32" t="str">
        <f>IF(WSJAWA!$AH$54&lt;74.9,"P","")</f>
        <v/>
      </c>
      <c r="YM32" s="102" t="str">
        <f>IF(AND(WSJAWA!$AH$54&gt;=75,WSJAWA!$AH$54&lt;=83.24),"P","")</f>
        <v/>
      </c>
      <c r="YN32" s="102" t="str">
        <f>IF(AND(WSJAWA!$AH$54&gt;=83.25,WSJAWA!$AH$54&lt;=91.4),"P","")</f>
        <v/>
      </c>
      <c r="YO32" s="102" t="str">
        <f>IF(AND(WSJAWA!$AH$54&gt;=91.5,WSJAWA!$AH$54&lt;=100),"P","")</f>
        <v/>
      </c>
      <c r="YP32" t="str">
        <f>IF(WSJAWA!$AH$62&lt;74.9,"P","")</f>
        <v/>
      </c>
      <c r="YQ32" s="102" t="str">
        <f>IF(AND(WSJAWA!$AH$62&gt;=75,WSJAWA!$AH$62&lt;=83.24),"P","")</f>
        <v/>
      </c>
      <c r="YR32" s="102" t="str">
        <f>IF(AND(WSJAWA!$AH$62&gt;=83.25,WSJAWA!$AH$62&lt;=91.4),"P","")</f>
        <v/>
      </c>
      <c r="YS32" s="102" t="str">
        <f>IF(AND(WSJAWA!$AH$62&gt;=91.5,WSJAWA!$AH$62&lt;=100),"P","")</f>
        <v/>
      </c>
      <c r="YT32" t="str">
        <f>IF(WSJAWA!$AH$70&lt;74.9,"P","")</f>
        <v/>
      </c>
      <c r="YU32" s="102" t="str">
        <f>IF(AND(WSJAWA!$AH$70&gt;=75,WSJAWA!$AH$70&lt;=83.24),"P","")</f>
        <v/>
      </c>
      <c r="YV32" s="102" t="str">
        <f>IF(AND(WSJAWA!$AH$70&gt;=83.25,WSJAWA!$AH$70&lt;=91.4),"P","")</f>
        <v/>
      </c>
      <c r="YW32" s="102" t="str">
        <f>IF(AND(WSJAWA!$AH$70&gt;=91.5,WSJAWA!$AH$70&lt;=100),"P","")</f>
        <v/>
      </c>
      <c r="YX32" t="str">
        <f>IF(WSJAWA!$AH$78&lt;74.9,"P","")</f>
        <v/>
      </c>
      <c r="YY32" s="102" t="str">
        <f>IF(AND(WSJAWA!$AH$78&gt;=75,WSJAWA!$AH$78&lt;=83.24),"P","")</f>
        <v/>
      </c>
      <c r="YZ32" s="102" t="str">
        <f>IF(AND(WSJAWA!$AH$78&gt;=83.25,WSJAWA!$AH$78&lt;=91.4),"P","")</f>
        <v/>
      </c>
      <c r="ZA32" s="102" t="str">
        <f>IF(AND(WSJAWA!$AH$78&gt;=91.5,WSJAWA!$AH$78&lt;=100),"P","")</f>
        <v/>
      </c>
      <c r="ZB32" t="str">
        <f>IF(WSJAWA!$AH$86&lt;74.9,"P","")</f>
        <v/>
      </c>
      <c r="ZC32" s="102" t="str">
        <f>IF(AND(WSJAWA!$AH$86&gt;=75,WSJAWA!$AH$86&lt;=83.24),"P","")</f>
        <v/>
      </c>
      <c r="ZD32" s="102" t="str">
        <f>IF(AND(WSJAWA!$AH$86&gt;=83.25,WSJAWA!$AH$86&lt;=91.4),"P","")</f>
        <v/>
      </c>
      <c r="ZE32" s="102" t="str">
        <f>IF(AND(WSJAWA!$AH$86&gt;=91.5,WSJAWA!$AH$86&lt;=100),"P","")</f>
        <v/>
      </c>
      <c r="ZF32" t="str">
        <f>IF(WSJAWA!$AH$94&lt;74.9,"P","")</f>
        <v/>
      </c>
      <c r="ZG32" s="102" t="str">
        <f>IF(AND(WSJAWA!$AH$94&gt;=75,WSJAWA!$AH$94&lt;=83.24),"P","")</f>
        <v/>
      </c>
      <c r="ZH32" s="102" t="str">
        <f>IF(AND(WSJAWA!$AH$94&gt;=83.25,WSJAWA!$AH$94&lt;=91.4),"P","")</f>
        <v/>
      </c>
      <c r="ZI32" s="102" t="str">
        <f>IF(AND(WSJAWA!$AH$94&gt;=91.5,WSJAWA!$AH$94&lt;=100),"P","")</f>
        <v/>
      </c>
      <c r="ZJ32" t="str">
        <f>IF(WSJAWA!$AH$102&lt;74.9,"P","")</f>
        <v/>
      </c>
      <c r="ZK32" s="102" t="str">
        <f>IF(AND(WSJAWA!$AH$102&gt;=75,WSJAWA!$AH$102&lt;=83.24),"P","")</f>
        <v/>
      </c>
      <c r="ZL32" s="102" t="str">
        <f>IF(AND(WSJAWA!$AH$102&gt;=83.25,WSJAWA!$AH$102&lt;=91.4),"P","")</f>
        <v/>
      </c>
      <c r="ZM32" s="102" t="str">
        <f>IF(AND(WSJAWA!$AH$102&gt;=91.5,WSJAWA!$AH$102&lt;=100),"P","")</f>
        <v/>
      </c>
      <c r="ZN32" t="str">
        <f>IF(WSING!$AH$6&lt;74.9,"P","")</f>
        <v/>
      </c>
      <c r="ZO32" s="102" t="str">
        <f>IF(AND(WSING!$AH$6&gt;=75,WSING!$AH$6&lt;=83.24),"P","")</f>
        <v/>
      </c>
      <c r="ZP32" s="102" t="str">
        <f>IF(AND(WSING!$AH$6&gt;=83.25,WSING!$AH$6&lt;=91.4),"P","")</f>
        <v/>
      </c>
      <c r="ZQ32" s="102" t="str">
        <f>IF(AND(WSING!$AH$6&gt;=91.5,WSING!$AH$6&lt;=100),"P","")</f>
        <v/>
      </c>
      <c r="ZR32" t="str">
        <f>IF(WSING!$AH$15&lt;74.9,"P","")</f>
        <v/>
      </c>
      <c r="ZS32" s="102" t="str">
        <f>IF(AND(WSING!$AH$15&gt;=75,WSING!$AH$15&lt;=83.24),"P","")</f>
        <v/>
      </c>
      <c r="ZT32" s="102" t="str">
        <f>IF(AND(WSING!$AH$15&gt;=83.25,WSING!$AH$15&lt;=91.4),"P","")</f>
        <v/>
      </c>
      <c r="ZU32" s="102" t="str">
        <f>IF(AND(WSING!$AH$15&gt;=91.5,WSING!$AH$15&lt;=100),"P","")</f>
        <v/>
      </c>
      <c r="ZV32" t="str">
        <f>IF(WSING!$AH$24&lt;74.9,"P","")</f>
        <v/>
      </c>
      <c r="ZW32" s="102" t="str">
        <f>IF(AND(WSING!$AH$24&gt;=75,WSING!$AH$24&lt;=83.24),"P","")</f>
        <v/>
      </c>
      <c r="ZX32" s="102" t="str">
        <f>IF(AND(WSING!$AH$24&gt;=83.25,WSING!$AH$24&lt;=91.4),"P","")</f>
        <v/>
      </c>
      <c r="ZY32" s="102" t="str">
        <f>IF(AND(WSING!$AH$24&gt;=91.5,WSING!$AH$24&lt;=100),"P","")</f>
        <v/>
      </c>
      <c r="ZZ32" t="str">
        <f>IF(WSING!$AH$33&lt;74.9,"P","")</f>
        <v/>
      </c>
      <c r="AAA32" s="102" t="str">
        <f>IF(AND(WSING!$AH$33&gt;=75,WSING!$AH$33&lt;=83.24),"P","")</f>
        <v/>
      </c>
      <c r="AAB32" s="102" t="str">
        <f>IF(AND(WSING!$AH$33&gt;=83.25,WSING!$AH$33&lt;=91.4),"P","")</f>
        <v/>
      </c>
      <c r="AAC32" s="102" t="str">
        <f>IF(AND(WSING!$AH$33&gt;=91.5,WSING!$AH$33&lt;=100),"P","")</f>
        <v/>
      </c>
      <c r="AAD32" t="str">
        <f>IF(WSING!$AH$42&lt;74.9,"P","")</f>
        <v/>
      </c>
      <c r="AAE32" s="102" t="str">
        <f>IF(AND(WSING!$AH$42&gt;=75,WSING!$AH$42&lt;=83.24),"P","")</f>
        <v/>
      </c>
      <c r="AAF32" s="102" t="str">
        <f>IF(AND(WSING!$AH$42&gt;=83.25,WSING!$AH$42&lt;=91.4),"P","")</f>
        <v/>
      </c>
      <c r="AAG32" s="102" t="str">
        <f>IF(AND(WSING!$AH$42&gt;=91.5,WSING!$AH$42&lt;=100),"P","")</f>
        <v/>
      </c>
      <c r="AAH32" t="str">
        <f>IF(WSING!$AH$50&lt;74.9,"P","")</f>
        <v/>
      </c>
      <c r="AAI32" s="102" t="str">
        <f>IF(AND(WSING!$AH$50&gt;=75,WSING!$AH$50&lt;=83.24),"P","")</f>
        <v/>
      </c>
      <c r="AAJ32" s="102" t="str">
        <f>IF(AND(WSING!$AH$50&gt;=83.25,WSING!$AH$50&lt;=91.4),"P","")</f>
        <v/>
      </c>
      <c r="AAK32" s="102" t="str">
        <f>IF(AND(WSING!$AH$50&gt;=91.5,WSING!$AH$50&lt;=100),"P","")</f>
        <v/>
      </c>
      <c r="AAL32" t="str">
        <f>IF(WSING!$AH$58&lt;74.9,"P","")</f>
        <v/>
      </c>
      <c r="AAM32" s="102" t="str">
        <f>IF(AND(WSING!$AH$58&gt;=75,WSING!$AH$58&lt;=83.24),"P","")</f>
        <v/>
      </c>
      <c r="AAN32" s="102" t="str">
        <f>IF(AND(WSING!$AH$58&gt;=83.25,WSING!$AH$58&lt;=91.4),"P","")</f>
        <v/>
      </c>
      <c r="AAO32" s="102" t="str">
        <f>IF(AND(WSING!$AH$58&gt;=91.5,WSING!$AH$58&lt;=100),"P","")</f>
        <v/>
      </c>
      <c r="AAP32" t="str">
        <f>IF(WSING!$AH$66&lt;74.9,"P","")</f>
        <v/>
      </c>
      <c r="AAQ32" s="102" t="str">
        <f>IF(AND(WSING!$AH$66&gt;=75,WSING!$AH$66&lt;=83.24),"P","")</f>
        <v/>
      </c>
      <c r="AAR32" s="102" t="str">
        <f>IF(AND(WSING!$AH$66&gt;=83.25,WSING!$AH$66&lt;=91.4),"P","")</f>
        <v/>
      </c>
      <c r="AAS32" s="102" t="str">
        <f>IF(AND(WSING!$AH$66&gt;=91.5,WSING!$AH$66&lt;=100),"P","")</f>
        <v/>
      </c>
      <c r="AAT32" t="str">
        <f>IF(WSING!$AH$74&lt;74.9,"P","")</f>
        <v/>
      </c>
      <c r="AAU32" s="102" t="str">
        <f>IF(AND(WSING!$AH$74&gt;=75,WSING!$AH$74&lt;=83.24),"P","")</f>
        <v/>
      </c>
      <c r="AAV32" s="102" t="str">
        <f>IF(AND(WSING!$AH$74&gt;=83.25,WSING!$AH$74&lt;=91.4),"P","")</f>
        <v/>
      </c>
      <c r="AAW32" s="102" t="str">
        <f>IF(AND(WSING!$AH$74&gt;=91.5,WSING!$AH$74&lt;=100),"P","")</f>
        <v/>
      </c>
      <c r="AAX32" t="str">
        <f>IF(WSING!$AH$82&lt;74.9,"P","")</f>
        <v/>
      </c>
      <c r="AAY32" s="102" t="str">
        <f>IF(AND(WSING!$AH$82&gt;=75,WSING!$AH$82&lt;=83.24),"P","")</f>
        <v/>
      </c>
      <c r="AAZ32" s="102" t="str">
        <f>IF(AND(WSING!$AH$82&gt;=83.25,WSING!$AH$82&lt;=91.4),"P","")</f>
        <v/>
      </c>
      <c r="ABA32" s="102" t="str">
        <f>IF(AND(WSING!$AH$82&gt;=91.5,WSING!$AH$82&lt;=100),"P","")</f>
        <v/>
      </c>
      <c r="ABB32" t="str">
        <f>IF(WSING!$AH$90&lt;74.9,"P","")</f>
        <v/>
      </c>
      <c r="ABC32" s="102" t="str">
        <f>IF(AND(WSING!$AH$90&gt;=75,WSING!$AH$90&lt;=83.24),"P","")</f>
        <v/>
      </c>
      <c r="ABD32" s="102" t="str">
        <f>IF(AND(WSING!$AH$90&gt;=83.25,WSING!$AH$90&lt;=91.4),"P","")</f>
        <v/>
      </c>
      <c r="ABE32" s="102" t="str">
        <f>IF(AND(WSING!$AH$90&gt;=91.5,WSING!$AH$90&lt;=100),"P","")</f>
        <v/>
      </c>
      <c r="ABF32" t="str">
        <f>IF(WSING!$AH$98&lt;74.9,"P","")</f>
        <v/>
      </c>
      <c r="ABG32" s="102" t="str">
        <f>IF(AND(WSING!$AH$98&gt;=75,WSING!$AH$98&lt;=83.24),"P","")</f>
        <v/>
      </c>
      <c r="ABH32" s="102" t="str">
        <f>IF(AND(WSING!$AH$98&gt;=83.25,WSING!$AH$98&lt;=91.4),"P","")</f>
        <v/>
      </c>
      <c r="ABI32" s="102" t="str">
        <f>IF(AND(WSING!$AH$98&gt;=91.5,WSING!$AH$98&lt;=100),"P","")</f>
        <v/>
      </c>
      <c r="ABJ32" t="str">
        <f>IF(WSING!$AH$106&lt;74.9,"P","")</f>
        <v/>
      </c>
      <c r="ABK32" s="102" t="str">
        <f>IF(AND(WSING!$AH$106&gt;=75,WSING!$AH$106&lt;=83.24),"P","")</f>
        <v/>
      </c>
      <c r="ABL32" s="102" t="str">
        <f>IF(AND(WSING!$AH$106&gt;=83.25,WSING!$AH$106&lt;=91.4),"P","")</f>
        <v/>
      </c>
      <c r="ABM32" s="102" t="str">
        <f>IF(AND(WSING!$AH$106&gt;=91.5,WSING!$AH$106&lt;=100),"P","")</f>
        <v/>
      </c>
      <c r="ABN32" t="str">
        <f>IF(WSTIK!$AH$6&lt;74.9,"P","")</f>
        <v/>
      </c>
      <c r="ABO32" s="102" t="str">
        <f>IF(AND(WSTIK!$AH$6&gt;=75,WSTIK!$AH$6&lt;=83.24),"P","")</f>
        <v/>
      </c>
      <c r="ABP32" s="102" t="str">
        <f>IF(AND(WSTIK!$AH$6&gt;=83.25,WSTIK!$AH$6&lt;=91.4),"P","")</f>
        <v/>
      </c>
      <c r="ABQ32" s="102" t="str">
        <f>IF(AND(WSTIK!$AH$6&gt;=91.5,WSTIK!$AH$6&lt;=100),"P","")</f>
        <v/>
      </c>
      <c r="ABR32" t="str">
        <f>IF(WSTIK!$AH$14&lt;74.9,"P","")</f>
        <v/>
      </c>
      <c r="ABS32" s="102" t="str">
        <f>IF(AND(WSTIK!$AH$14&gt;=75,WSTIK!$AH$14&lt;=83.24),"P","")</f>
        <v/>
      </c>
      <c r="ABT32" s="102" t="str">
        <f>IF(AND(WSTIK!$AH$14&gt;=83.25,WSTIK!$AH$14&lt;=91.4),"P","")</f>
        <v/>
      </c>
      <c r="ABU32" s="102" t="str">
        <f>IF(AND(WSTIK!$AH$14&gt;=91.5,WSTIK!$AH$14&lt;=100),"P","")</f>
        <v/>
      </c>
      <c r="ABV32" t="str">
        <f>IF(WSTIK!$AH$22&lt;74.9,"P","")</f>
        <v/>
      </c>
      <c r="ABW32" s="102" t="str">
        <f>IF(AND(WSTIK!$AH$22&gt;=75,WSTIK!$AH$22&lt;=83.24),"P","")</f>
        <v/>
      </c>
      <c r="ABX32" s="102" t="str">
        <f>IF(AND(WSTIK!$AH$22&gt;=83.25,WSTIK!$AH$22&lt;=91.4),"P","")</f>
        <v/>
      </c>
      <c r="ABY32" s="102" t="str">
        <f>IF(AND(WSTIK!$AH$22&gt;=91.5,WSTIK!$AH$22&lt;=100),"P","")</f>
        <v/>
      </c>
      <c r="ABZ32" t="str">
        <f>IF(WSTIK!$AH$30&lt;74.9,"P","")</f>
        <v/>
      </c>
      <c r="ACA32" s="102" t="str">
        <f>IF(AND(WSTIK!$AH$30&gt;=75,WSTIK!$AH$30&lt;=83.24),"P","")</f>
        <v/>
      </c>
      <c r="ACB32" s="102" t="str">
        <f>IF(AND(WSTIK!$AH$30&gt;=83.25,WSTIK!$AH$30&lt;=91.4),"P","")</f>
        <v/>
      </c>
      <c r="ACC32" s="102" t="str">
        <f>IF(AND(WSTIK!$AH$30&gt;=91.5,WSTIK!$AH$30&lt;=100),"P","")</f>
        <v/>
      </c>
      <c r="ACD32" t="str">
        <f>IF(WSTIK!$AH$38&lt;74.9,"P","")</f>
        <v/>
      </c>
      <c r="ACE32" s="102" t="str">
        <f>IF(AND(WSTIK!$AH$38&gt;=75,WSTIK!$AH$38&lt;=83.24),"P","")</f>
        <v/>
      </c>
      <c r="ACF32" s="102" t="str">
        <f>IF(AND(WSTIK!$AH$38&gt;=83.25,WSTIK!$AH$38&lt;=91.4),"P","")</f>
        <v/>
      </c>
      <c r="ACG32" s="102" t="str">
        <f>IF(AND(WSTIK!$AH$38&gt;=91.5,WSTIK!$AH$38&lt;=100),"P","")</f>
        <v/>
      </c>
      <c r="ACH32" t="str">
        <f>IF(WSTIK!$AH$46&lt;74.9,"P","")</f>
        <v/>
      </c>
      <c r="ACI32" s="102" t="str">
        <f>IF(AND(WSTIK!$AH$46&gt;=75,WSTIK!$AH$46&lt;=83.24),"P","")</f>
        <v/>
      </c>
      <c r="ACJ32" s="102" t="str">
        <f>IF(AND(WSTIK!$AH$46&gt;=83.25,WSTIK!$AH$46&lt;=91.4),"P","")</f>
        <v/>
      </c>
      <c r="ACK32" s="102" t="str">
        <f>IF(AND(WSTIK!$AH$46&gt;=91.5,WSTIK!$AH$46&lt;=100),"P","")</f>
        <v/>
      </c>
      <c r="ACL32" t="str">
        <f>IF(WSTIK!$AH$54&lt;74.9,"P","")</f>
        <v/>
      </c>
      <c r="ACM32" s="102" t="str">
        <f>IF(AND(WSTIK!$AH$54&gt;=75,WSTIK!$AH$54&lt;=83.24),"P","")</f>
        <v/>
      </c>
      <c r="ACN32" s="102" t="str">
        <f>IF(AND(WSTIK!$AH$54&gt;=83.25,WSTIK!$AH$54&lt;=91.4),"P","")</f>
        <v/>
      </c>
      <c r="ACO32" s="102" t="str">
        <f>IF(AND(WSTIK!$AH$54&gt;=91.5,WSTIK!$AH$54&lt;=100),"P","")</f>
        <v/>
      </c>
      <c r="ACP32" t="str">
        <f>IF(WSTIK!$AH$62&lt;74.9,"P","")</f>
        <v/>
      </c>
      <c r="ACQ32" s="102" t="str">
        <f>IF(AND(WSTIK!$AH$62&gt;=75,WSTIK!$AH$62&lt;=83.24),"P","")</f>
        <v/>
      </c>
      <c r="ACR32" s="102" t="str">
        <f>IF(AND(WSTIK!$AH$62&gt;=83.25,WSTIK!$AH$62&lt;=91.4),"P","")</f>
        <v/>
      </c>
      <c r="ACS32" s="102" t="str">
        <f>IF(AND(WSTIK!$AH$62&gt;=91.5,WSTIK!$AH$62&lt;=100),"P","")</f>
        <v/>
      </c>
      <c r="ACT32" t="str">
        <f>IF(WSTIK!$AH$70&lt;74.9,"P","")</f>
        <v/>
      </c>
      <c r="ACU32" s="102" t="str">
        <f>IF(AND(WSTIK!$AH$70&gt;=75,WSTIK!$AH$70&lt;=83.24),"P","")</f>
        <v/>
      </c>
      <c r="ACV32" s="102" t="str">
        <f>IF(AND(WSTIK!$AH$70&gt;=83.25,WSTIK!$AH$70&lt;=91.4),"P","")</f>
        <v/>
      </c>
      <c r="ACW32" s="102" t="str">
        <f>IF(AND(WSTIK!$AH$70&gt;=91.5,WSTIK!$AH$70&lt;=100),"P","")</f>
        <v/>
      </c>
      <c r="ACX32" t="str">
        <f>IF(WSTIK!$AH$78&lt;74.9,"P","")</f>
        <v/>
      </c>
      <c r="ACY32" s="102" t="str">
        <f>IF(AND(WSTIK!$AH$78&gt;=75,WSTIK!$AH$78&lt;=83.24),"P","")</f>
        <v/>
      </c>
      <c r="ACZ32" s="102" t="str">
        <f>IF(AND(WSTIK!$AH$78&gt;=83.25,WSTIK!$AH$78&lt;=91.4),"P","")</f>
        <v/>
      </c>
      <c r="ADA32" s="102" t="str">
        <f>IF(AND(WSTIK!$AH$78&gt;=91.5,WSTIK!$AH$78&lt;=100),"P","")</f>
        <v/>
      </c>
      <c r="ADB32" t="str">
        <f>IF(WSTIK!$AH$86&lt;74.9,"P","")</f>
        <v/>
      </c>
      <c r="ADC32" s="102" t="str">
        <f>IF(AND(WSTIK!$AH$86&gt;=75,WSTIK!$AH$86&lt;=83.24),"P","")</f>
        <v/>
      </c>
      <c r="ADD32" s="102" t="str">
        <f>IF(AND(WSTIK!$AH$86&gt;=83.25,WSTIK!$AH$86&lt;=91.4),"P","")</f>
        <v/>
      </c>
      <c r="ADE32" s="102" t="str">
        <f>IF(AND(WSTIK!$AH$86&gt;=91.5,WSTIK!$AH$86&lt;=100),"P","")</f>
        <v/>
      </c>
      <c r="ADF32" t="str">
        <f>IF(WSTIK!$AH$94&lt;74.9,"P","")</f>
        <v/>
      </c>
      <c r="ADG32" s="102" t="str">
        <f>IF(AND(WSTIK!$AH$94&gt;=75,WSTIK!$AH$94&lt;=83.24),"P","")</f>
        <v/>
      </c>
      <c r="ADH32" s="102" t="str">
        <f>IF(AND(WSTIK!$AH$94&gt;=83.25,WSTIK!$AH$94&lt;=91.4),"P","")</f>
        <v/>
      </c>
      <c r="ADI32" s="102" t="str">
        <f>IF(AND(WSTIK!$AH$94&gt;=91.5,WSTIK!$AH$94&lt;=100),"P","")</f>
        <v/>
      </c>
      <c r="ADJ32" t="str">
        <f>IF(WSTIK!$AH$102&lt;74.9,"P","")</f>
        <v/>
      </c>
      <c r="ADK32" s="102" t="str">
        <f>IF(AND(WSTIK!$AH$102&gt;=75,WSTIK!$AH$102&lt;=83.24),"P","")</f>
        <v/>
      </c>
      <c r="ADL32" s="102" t="str">
        <f>IF(AND(WSTIK!$AH$102&gt;=83.25,WSTIK!$AH$102&lt;=91.4),"P","")</f>
        <v/>
      </c>
      <c r="ADM32" s="102" t="str">
        <f>IF(AND(WSTIK!$AH$102&gt;=91.5,WSTIK!$AH$102&lt;=100),"P","")</f>
        <v/>
      </c>
      <c r="ADN32" t="str">
        <f>IF(WSASWAJA!$AH$6&lt;74.9,"P","")</f>
        <v/>
      </c>
      <c r="ADO32" s="102" t="str">
        <f>IF(AND(WSASWAJA!$AH$6&gt;=75,WSASWAJA!$AH$6&lt;=83.24),"P","")</f>
        <v/>
      </c>
      <c r="ADP32" s="102" t="str">
        <f>IF(AND(WSASWAJA!$AH$6&gt;=83.25,WSASWAJA!$AH$6&lt;=91.4),"P","")</f>
        <v/>
      </c>
      <c r="ADQ32" s="102" t="str">
        <f>IF(AND(WSASWAJA!$AH$6&gt;=91.5,WSASWAJA!$AH$6&lt;=100),"P","")</f>
        <v/>
      </c>
      <c r="ADR32" t="str">
        <f>IF(WSASWAJA!$AH$14&lt;74.9,"P","")</f>
        <v/>
      </c>
      <c r="ADS32" s="102" t="str">
        <f>IF(AND(WSASWAJA!$AH$14&gt;=75,WSASWAJA!$AH$14&lt;=83.24),"P","")</f>
        <v/>
      </c>
      <c r="ADT32" s="102" t="str">
        <f>IF(AND(WSASWAJA!$AH$14&gt;=83.25,WSASWAJA!$AH$14&lt;=91.4),"P","")</f>
        <v/>
      </c>
      <c r="ADU32" s="102" t="str">
        <f>IF(AND(WSASWAJA!$AH$14&gt;=91.5,WSASWAJA!$AH$14&lt;=100),"P","")</f>
        <v/>
      </c>
      <c r="ADV32" t="str">
        <f>IF(WSASWAJA!$AH$22&lt;74.9,"P","")</f>
        <v/>
      </c>
      <c r="ADW32" s="102" t="str">
        <f>IF(AND(WSASWAJA!$AH$22&gt;=75,WSASWAJA!$AH$22&lt;=83.24),"P","")</f>
        <v/>
      </c>
      <c r="ADX32" s="102" t="str">
        <f>IF(AND(WSASWAJA!$AH$22&gt;=83.25,WSASWAJA!$AH$22&lt;=91.4),"P","")</f>
        <v/>
      </c>
      <c r="ADY32" s="102" t="str">
        <f>IF(AND(WSASWAJA!$AH$22&gt;=91.5,WSASWAJA!$AH$22&lt;=100),"P","")</f>
        <v/>
      </c>
      <c r="ADZ32" t="str">
        <f>IF(WSASWAJA!$AH$30&lt;74.9,"P","")</f>
        <v/>
      </c>
      <c r="AEA32" s="102" t="str">
        <f>IF(AND(WSASWAJA!$AH$30&gt;=75,WSASWAJA!$AH$30&lt;=83.24),"P","")</f>
        <v/>
      </c>
      <c r="AEB32" s="102" t="str">
        <f>IF(AND(WSASWAJA!$AH$30&gt;=83.25,WSASWAJA!$AH$30&lt;=91.4),"P","")</f>
        <v/>
      </c>
      <c r="AEC32" s="102" t="str">
        <f>IF(AND(WSASWAJA!$AH$30&gt;=91.5,WSASWAJA!$AH$30&lt;=100),"P","")</f>
        <v/>
      </c>
      <c r="AED32" t="str">
        <f>IF(WSASWAJA!$AH$38&lt;74.9,"P","")</f>
        <v/>
      </c>
      <c r="AEE32" s="102" t="str">
        <f>IF(AND(WSASWAJA!$AH$38&gt;=75,WSASWAJA!$AH$38&lt;=83.24),"P","")</f>
        <v/>
      </c>
      <c r="AEF32" s="102" t="str">
        <f>IF(AND(WSASWAJA!$AH$38&gt;=83.25,WSASWAJA!$AH$38&lt;=91.4),"P","")</f>
        <v/>
      </c>
      <c r="AEG32" s="102" t="str">
        <f>IF(AND(WSASWAJA!$AH$38&gt;=91.5,WSASWAJA!$AH$38&lt;=100),"P","")</f>
        <v/>
      </c>
      <c r="AEH32" t="str">
        <f>IF(WSASWAJA!$AH$46&lt;74.9,"P","")</f>
        <v/>
      </c>
      <c r="AEI32" s="102" t="str">
        <f>IF(AND(WSASWAJA!$AH$46&gt;=75,WSASWAJA!$AH$46&lt;=83.24),"P","")</f>
        <v/>
      </c>
      <c r="AEJ32" s="102" t="str">
        <f>IF(AND(WSASWAJA!$AH$46&gt;=83.25,WSASWAJA!$AH$46&lt;=91.4),"P","")</f>
        <v/>
      </c>
      <c r="AEK32" s="102" t="str">
        <f>IF(AND(WSASWAJA!$AH$46&gt;=91.5,WSASWAJA!$AH$46&lt;=100),"P","")</f>
        <v/>
      </c>
      <c r="AEL32" t="str">
        <f>IF(WSASWAJA!$AH$54&lt;74.9,"P","")</f>
        <v/>
      </c>
      <c r="AEM32" s="102" t="str">
        <f>IF(AND(WSASWAJA!$AH$54&gt;=75,WSASWAJA!$AH$54&lt;=83.24),"P","")</f>
        <v/>
      </c>
      <c r="AEN32" s="102" t="str">
        <f>IF(AND(WSASWAJA!$AH$54&gt;=83.25,WSASWAJA!$AH$54&lt;=91.4),"P","")</f>
        <v/>
      </c>
      <c r="AEO32" s="102" t="str">
        <f>IF(AND(WSASWAJA!$AH$54&gt;=91.5,WSASWAJA!$AH$54&lt;=100),"P","")</f>
        <v/>
      </c>
      <c r="AEP32" t="str">
        <f>IF(WSASWAJA!$AH$62&lt;74.9,"P","")</f>
        <v/>
      </c>
      <c r="AEQ32" s="102" t="str">
        <f>IF(AND(WSASWAJA!$AH$62&gt;=75,WSASWAJA!$AH$62&lt;=83.24),"P","")</f>
        <v/>
      </c>
      <c r="AER32" s="102" t="str">
        <f>IF(AND(WSASWAJA!$AH$62&gt;=83.25,WSASWAJA!$AH$62&lt;=91.4),"P","")</f>
        <v/>
      </c>
      <c r="AES32" s="102" t="str">
        <f>IF(AND(WSASWAJA!$AH$62&gt;=91.5,WSASWAJA!$AH$62&lt;=100),"P","")</f>
        <v/>
      </c>
      <c r="AET32" t="str">
        <f>IF(WSASWAJA!$AH$70&lt;74.9,"P","")</f>
        <v/>
      </c>
      <c r="AEU32" s="102" t="str">
        <f>IF(AND(WSASWAJA!$AH$70&gt;=75,WSASWAJA!$AH$70&lt;=83.24),"P","")</f>
        <v/>
      </c>
      <c r="AEV32" s="102" t="str">
        <f>IF(AND(WSASWAJA!$AH$70&gt;=83.25,WSASWAJA!$AH$70&lt;=91.4),"P","")</f>
        <v/>
      </c>
      <c r="AEW32" s="102" t="str">
        <f>IF(AND(WSASWAJA!$AH$70&gt;=91.5,WSASWAJA!$AH$70&lt;=100),"P","")</f>
        <v/>
      </c>
      <c r="AEX32" t="str">
        <f>IF(WSASWAJA!$AH$78&lt;74.9,"P","")</f>
        <v/>
      </c>
      <c r="AEY32" s="102" t="str">
        <f>IF(AND(WSASWAJA!$AH$78&gt;=75,WSASWAJA!$AH$78&lt;=83.24),"P","")</f>
        <v/>
      </c>
      <c r="AEZ32" s="102" t="str">
        <f>IF(AND(WSASWAJA!$AH$78&gt;=83.25,WSASWAJA!$AH$78&lt;=91.4),"P","")</f>
        <v/>
      </c>
      <c r="AFA32" s="102" t="str">
        <f>IF(AND(WSASWAJA!$AH$78&gt;=91.5,WSASWAJA!$AH$78&lt;=100),"P","")</f>
        <v/>
      </c>
      <c r="AFB32" t="str">
        <f>IF(WSASWAJA!$AH$86&lt;74.9,"P","")</f>
        <v/>
      </c>
      <c r="AFC32" s="102" t="str">
        <f>IF(AND(WSASWAJA!$AH$86&gt;=75,WSASWAJA!$AH$86&lt;=83.24),"P","")</f>
        <v/>
      </c>
      <c r="AFD32" s="102" t="str">
        <f>IF(AND(WSASWAJA!$AH$86&gt;=83.25,WSASWAJA!$AH$86&lt;=91.4),"P","")</f>
        <v/>
      </c>
      <c r="AFE32" s="102" t="str">
        <f>IF(AND(WSASWAJA!$AH$86&gt;=91.5,WSASWAJA!$AH$86&lt;=100),"P","")</f>
        <v/>
      </c>
      <c r="AFF32" t="str">
        <f>IF(WSASWAJA!$AH$94&lt;74.9,"P","")</f>
        <v/>
      </c>
      <c r="AFG32" s="102" t="str">
        <f>IF(AND(WSASWAJA!$AH$94&gt;=75,WSASWAJA!$AH$94&lt;=83.24),"P","")</f>
        <v/>
      </c>
      <c r="AFH32" s="102" t="str">
        <f>IF(AND(WSASWAJA!$AH$94&gt;=83.25,WSASWAJA!$AH$94&lt;=91.4),"P","")</f>
        <v/>
      </c>
      <c r="AFI32" s="102" t="str">
        <f>IF(AND(WSASWAJA!$AH$94&gt;=91.5,WSASWAJA!$AH$94&lt;=100),"P","")</f>
        <v/>
      </c>
      <c r="AFJ32" t="str">
        <f>IF(WSASWAJA!$AH$102&lt;74.9,"P","")</f>
        <v/>
      </c>
      <c r="AFK32" s="102" t="str">
        <f>IF(AND(WSASWAJA!$AH$102&gt;=75,WSASWAJA!$AH$102&lt;=83.24),"P","")</f>
        <v/>
      </c>
      <c r="AFL32" s="102" t="str">
        <f>IF(AND(WSASWAJA!$AH$102&gt;=83.25,WSASWAJA!$AH$102&lt;=91.4),"P","")</f>
        <v/>
      </c>
      <c r="AFM32" s="102" t="str">
        <f>IF(AND(WSASWAJA!$AH$102&gt;=91.5,WSASWAJA!$AH$102&lt;=100),"P","")</f>
        <v/>
      </c>
    </row>
  </sheetData>
  <pageMargins left="0.7" right="0.7" top="0.75" bottom="0.75" header="0.3" footer="0.3"/>
  <pageSetup paperSize="9" orientation="portrait" horizontalDpi="4294967293" verticalDpi="0"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48"/>
  <dimension ref="A1:P321"/>
  <sheetViews>
    <sheetView showGridLines="0" zoomScale="85" zoomScaleNormal="85" zoomScaleSheetLayoutView="80" workbookViewId="0">
      <pane ySplit="10" topLeftCell="A62" activePane="bottomLeft" state="frozen"/>
      <selection pane="bottomLeft" activeCell="C69" sqref="C69"/>
    </sheetView>
  </sheetViews>
  <sheetFormatPr defaultColWidth="0" defaultRowHeight="14.25" zeroHeight="1"/>
  <cols>
    <col min="1" max="1" width="16.7109375" style="207" customWidth="1"/>
    <col min="2" max="2" width="3.7109375" style="207" customWidth="1"/>
    <col min="3" max="3" width="36.7109375" style="207" customWidth="1"/>
    <col min="4" max="7" width="16.42578125" style="207" customWidth="1"/>
    <col min="8" max="8" width="2.42578125" style="314" customWidth="1"/>
    <col min="9" max="9" width="12.42578125" style="207" customWidth="1"/>
    <col min="10" max="10" width="9.140625" style="207" customWidth="1"/>
    <col min="11" max="11" width="2.42578125" style="207" customWidth="1"/>
    <col min="12" max="16" width="0" style="207" hidden="1" customWidth="1"/>
    <col min="17" max="16384" width="9.140625" style="207" hidden="1"/>
  </cols>
  <sheetData>
    <row r="1" spans="1:16" ht="14.25" customHeight="1">
      <c r="A1" s="206"/>
      <c r="B1" s="206"/>
      <c r="C1" s="206"/>
      <c r="D1" s="206"/>
      <c r="E1" s="972" t="s">
        <v>1189</v>
      </c>
      <c r="F1" s="973"/>
      <c r="G1" s="954">
        <v>1</v>
      </c>
      <c r="H1" s="235"/>
      <c r="I1" s="236"/>
      <c r="J1" s="236"/>
      <c r="K1" s="169"/>
      <c r="L1" s="237"/>
      <c r="M1" s="238"/>
    </row>
    <row r="2" spans="1:16" ht="14.25" customHeight="1">
      <c r="A2" s="206"/>
      <c r="B2" s="206"/>
      <c r="C2" s="206"/>
      <c r="D2" s="206"/>
      <c r="E2" s="972"/>
      <c r="F2" s="973"/>
      <c r="G2" s="955"/>
      <c r="H2" s="235"/>
      <c r="I2" s="236"/>
      <c r="J2" s="236"/>
      <c r="K2" s="169"/>
      <c r="L2" s="237"/>
      <c r="M2" s="238"/>
    </row>
    <row r="3" spans="1:16" ht="14.25" customHeight="1">
      <c r="A3" s="206"/>
      <c r="B3" s="206"/>
      <c r="C3" s="206"/>
      <c r="D3" s="206"/>
      <c r="E3" s="974"/>
      <c r="F3" s="975"/>
      <c r="G3" s="956"/>
      <c r="H3" s="235"/>
      <c r="I3" s="236"/>
      <c r="J3" s="236"/>
      <c r="K3" s="169"/>
      <c r="L3" s="237"/>
      <c r="M3" s="238"/>
    </row>
    <row r="4" spans="1:16" ht="16.5" customHeight="1">
      <c r="A4" s="206"/>
      <c r="B4" s="1005" t="s">
        <v>1096</v>
      </c>
      <c r="C4" s="1005"/>
      <c r="D4" s="1005"/>
      <c r="E4" s="1005"/>
      <c r="F4" s="1005"/>
      <c r="G4" s="1005"/>
      <c r="H4" s="239"/>
      <c r="I4" s="240"/>
      <c r="J4" s="240"/>
      <c r="K4" s="240"/>
      <c r="L4" s="237"/>
      <c r="M4" s="238"/>
      <c r="P4" s="241" t="s">
        <v>1131</v>
      </c>
    </row>
    <row r="5" spans="1:16" ht="15.75" customHeight="1">
      <c r="A5" s="206"/>
      <c r="B5" s="242"/>
      <c r="C5" s="242"/>
      <c r="D5" s="242"/>
      <c r="E5" s="242"/>
      <c r="F5" s="242"/>
      <c r="G5" s="242"/>
      <c r="H5" s="239"/>
      <c r="I5" s="896" t="s">
        <v>1158</v>
      </c>
      <c r="J5" s="896"/>
      <c r="K5" s="240"/>
      <c r="L5" s="237"/>
      <c r="M5" s="238"/>
      <c r="P5" s="241" t="s">
        <v>1130</v>
      </c>
    </row>
    <row r="6" spans="1:16" ht="17.100000000000001" customHeight="1">
      <c r="A6" s="206"/>
      <c r="B6" s="243" t="str">
        <f>"Nama Peserta Didik      : "&amp; VLOOKUP(G1,datasiswa,2)</f>
        <v>Nama Peserta Didik      : Anindita Alya Magfiroh</v>
      </c>
      <c r="C6" s="243"/>
      <c r="D6" s="335"/>
      <c r="E6" s="244" t="s">
        <v>1</v>
      </c>
      <c r="F6" s="243" t="str">
        <f>": "&amp;HOME!D26</f>
        <v>: III (TIGA)</v>
      </c>
      <c r="H6" s="239"/>
      <c r="I6" s="245" t="s">
        <v>1159</v>
      </c>
      <c r="J6" s="140">
        <v>1</v>
      </c>
      <c r="K6" s="240"/>
      <c r="L6" s="237"/>
      <c r="M6" s="238"/>
    </row>
    <row r="7" spans="1:16" ht="17.100000000000001" customHeight="1">
      <c r="A7" s="206"/>
      <c r="B7" s="243" t="str">
        <f>"Nomor Induk                 : "&amp;VLOOKUP(G1,datasiswa,4)</f>
        <v xml:space="preserve">Nomor Induk                 : </v>
      </c>
      <c r="C7" s="243"/>
      <c r="D7" s="335"/>
      <c r="E7" s="244" t="s">
        <v>3</v>
      </c>
      <c r="F7" s="243" t="str">
        <f>": "&amp;HOME!D28</f>
        <v>: GANJIL</v>
      </c>
      <c r="H7" s="239"/>
      <c r="I7" s="245" t="s">
        <v>1160</v>
      </c>
      <c r="J7" s="140">
        <v>2</v>
      </c>
      <c r="K7" s="240"/>
      <c r="L7" s="237"/>
      <c r="M7" s="238"/>
    </row>
    <row r="8" spans="1:16" ht="16.5" customHeight="1">
      <c r="A8" s="206"/>
      <c r="B8" s="243" t="str">
        <f>"Nama Madrasah            : "&amp;HOME!D16</f>
        <v>Nama Madrasah            : MINU KARAKTER BOJONEGORO</v>
      </c>
      <c r="C8" s="243"/>
      <c r="D8" s="335"/>
      <c r="E8" s="244" t="s">
        <v>4</v>
      </c>
      <c r="F8" s="243" t="str">
        <f>": "&amp;HOME!D27</f>
        <v>: 2019/2020</v>
      </c>
      <c r="H8" s="246"/>
      <c r="I8" s="246"/>
      <c r="J8" s="206"/>
      <c r="K8" s="206"/>
      <c r="L8" s="237"/>
      <c r="M8" s="238"/>
    </row>
    <row r="9" spans="1:16" ht="17.100000000000001" customHeight="1">
      <c r="A9" s="206"/>
      <c r="B9" s="243" t="str">
        <f>"Alamat Madrasah          : "&amp;HOME!D17</f>
        <v>Alamat Madrasah          : Jl Basuki Rahmad Sukorejo BJN</v>
      </c>
      <c r="C9" s="243"/>
      <c r="D9" s="336"/>
      <c r="E9" s="336"/>
      <c r="F9" s="336"/>
      <c r="G9" s="242"/>
      <c r="H9" s="246"/>
      <c r="I9" s="246"/>
      <c r="J9" s="206"/>
      <c r="K9" s="206"/>
      <c r="L9" s="237"/>
      <c r="M9" s="238"/>
    </row>
    <row r="10" spans="1:16" ht="15.75">
      <c r="A10" s="206"/>
      <c r="B10" s="247"/>
      <c r="C10" s="247"/>
      <c r="D10" s="247"/>
      <c r="E10" s="247"/>
      <c r="F10" s="247"/>
      <c r="G10" s="247"/>
      <c r="H10" s="246">
        <f>IF(C13&lt;&gt;0,1,0)</f>
        <v>1</v>
      </c>
      <c r="I10" s="246"/>
      <c r="J10" s="206"/>
      <c r="K10" s="206"/>
      <c r="L10" s="237"/>
      <c r="M10" s="238"/>
    </row>
    <row r="11" spans="1:16" ht="15" thickBot="1">
      <c r="A11" s="206"/>
      <c r="B11" s="960" t="s">
        <v>1097</v>
      </c>
      <c r="C11" s="960"/>
      <c r="D11" s="248"/>
      <c r="E11" s="249"/>
      <c r="F11" s="249"/>
      <c r="G11" s="249"/>
      <c r="H11" s="246">
        <f>IF(C13&lt;&gt;0,1,0)</f>
        <v>1</v>
      </c>
      <c r="I11" s="246"/>
      <c r="J11" s="206"/>
      <c r="K11" s="206"/>
    </row>
    <row r="12" spans="1:16" ht="30" thickTop="1" thickBot="1">
      <c r="A12" s="206"/>
      <c r="B12" s="961" t="s">
        <v>1098</v>
      </c>
      <c r="C12" s="1006"/>
      <c r="D12" s="250" t="s">
        <v>1099</v>
      </c>
      <c r="E12" s="250" t="s">
        <v>1100</v>
      </c>
      <c r="F12" s="251" t="s">
        <v>1101</v>
      </c>
      <c r="G12" s="252" t="s">
        <v>1102</v>
      </c>
      <c r="H12" s="246">
        <f>H11</f>
        <v>1</v>
      </c>
      <c r="I12" s="246"/>
      <c r="J12" s="206"/>
      <c r="K12" s="206"/>
    </row>
    <row r="13" spans="1:16" ht="43.5" thickTop="1">
      <c r="A13" s="206"/>
      <c r="B13" s="253">
        <v>1</v>
      </c>
      <c r="C13" s="254" t="str">
        <f>WSALQURAN!$C$6</f>
        <v>Mengetahui urutan ayat QS. al-Humazah (104), at-Takâtsur (102), dan az-Zalzalah (99)</v>
      </c>
      <c r="D13" s="255" t="str">
        <f>VLOOKUP(G1,datauas,2)</f>
        <v/>
      </c>
      <c r="E13" s="255" t="str">
        <f>VLOOKUP(G1,datauas,3)</f>
        <v/>
      </c>
      <c r="F13" s="256" t="str">
        <f>VLOOKUP(G1,datauas,4)</f>
        <v>P</v>
      </c>
      <c r="G13" s="257" t="str">
        <f>VLOOKUP(G1,datauas,5)</f>
        <v/>
      </c>
      <c r="H13" s="246">
        <f>IF(C13&lt;&gt;0,1,0)</f>
        <v>1</v>
      </c>
      <c r="I13" s="246"/>
      <c r="J13" s="206"/>
      <c r="K13" s="206"/>
    </row>
    <row r="14" spans="1:16" ht="85.5">
      <c r="A14" s="206"/>
      <c r="B14" s="258">
        <v>2</v>
      </c>
      <c r="C14" s="259" t="str">
        <f>WSALQURAN!$C$14</f>
        <v xml:space="preserve">Menerjemahkan hadis tentang salat berjamaah riwayat Bukhari, Muslim, Tirmizi, Nasai, Ibnu Majah, dan Ahmad dari Ibnu Umar  
صَلاَةُ الْجَمَاعَةِ اَفْضَلُ
</v>
      </c>
      <c r="D14" s="260" t="str">
        <f>VLOOKUP(G1,datauas,6)</f>
        <v/>
      </c>
      <c r="E14" s="260" t="str">
        <f>VLOOKUP(G1,datauas,7)</f>
        <v/>
      </c>
      <c r="F14" s="261" t="str">
        <f>VLOOKUP(G1,datauas,8)</f>
        <v/>
      </c>
      <c r="G14" s="262" t="str">
        <f>VLOOKUP(G1,datauas,9)</f>
        <v>P</v>
      </c>
      <c r="H14" s="246">
        <f t="shared" ref="H14:H25" si="0">IF(C14&lt;&gt;0,1,0)</f>
        <v>1</v>
      </c>
      <c r="I14" s="246"/>
      <c r="J14" s="206"/>
      <c r="K14" s="206"/>
    </row>
    <row r="15" spans="1:16" ht="71.25">
      <c r="A15" s="206"/>
      <c r="B15" s="258">
        <v>3</v>
      </c>
      <c r="C15" s="259" t="str">
        <f>WSALQURAN!$C$22</f>
        <v>Memahami isi kandungan hadits tentang salat berjamaah riwayat Bukhari, Muslim, Tirmizi, Nasai, Ibnu Majah, dan Ahmad dari Ibnu Umar  
صَلاَةُ الْجَمَاعَةِ اَفْضَلُ</v>
      </c>
      <c r="D15" s="260" t="str">
        <f>VLOOKUP(G1,datauas,10)</f>
        <v/>
      </c>
      <c r="E15" s="260" t="str">
        <f>VLOOKUP(G1,datauas,11)</f>
        <v/>
      </c>
      <c r="F15" s="261" t="str">
        <f>VLOOKUP(G1,datauas,12)</f>
        <v>P</v>
      </c>
      <c r="G15" s="262" t="str">
        <f>VLOOKUP(G1,datauas,13)</f>
        <v/>
      </c>
      <c r="H15" s="246">
        <f t="shared" si="0"/>
        <v>1</v>
      </c>
      <c r="I15" s="246"/>
      <c r="J15" s="206"/>
      <c r="K15" s="206"/>
    </row>
    <row r="16" spans="1:16" ht="42.75">
      <c r="A16" s="206"/>
      <c r="B16" s="258">
        <v>4</v>
      </c>
      <c r="C16" s="259" t="str">
        <f>WSALQURAN!$C$30</f>
        <v xml:space="preserve">Membaca QS. al-Humazah (104), at-Takâtsur (102), dan az-Zalzalah (99) secara benar dan fasih. </v>
      </c>
      <c r="D16" s="260" t="str">
        <f>VLOOKUP(G1,datauas,14)</f>
        <v/>
      </c>
      <c r="E16" s="260" t="str">
        <f>VLOOKUP(G1,datauas,15)</f>
        <v/>
      </c>
      <c r="F16" s="261" t="str">
        <f>VLOOKUP(G1,datauas,16)</f>
        <v>P</v>
      </c>
      <c r="G16" s="262" t="str">
        <f>VLOOKUP(G1,datauas,17)</f>
        <v/>
      </c>
      <c r="H16" s="246">
        <f t="shared" si="0"/>
        <v>1</v>
      </c>
      <c r="I16" s="246"/>
      <c r="J16" s="206"/>
      <c r="K16" s="206"/>
    </row>
    <row r="17" spans="1:11" ht="42.75">
      <c r="A17" s="206"/>
      <c r="B17" s="258">
        <v>5</v>
      </c>
      <c r="C17" s="259" t="str">
        <f>WSALQURAN!$C$38</f>
        <v xml:space="preserve">Menghafalkan QS. al-Humazah (104), at-Takâtsur (102), dan az-Zalzalah (99) secara benar dan fasih. </v>
      </c>
      <c r="D17" s="260" t="str">
        <f>VLOOKUP(G1,datauas,18)</f>
        <v/>
      </c>
      <c r="E17" s="260" t="str">
        <f>VLOOKUP(G1,datauas,19)</f>
        <v>P</v>
      </c>
      <c r="F17" s="261" t="str">
        <f>VLOOKUP(G1,datauas,20)</f>
        <v/>
      </c>
      <c r="G17" s="262" t="str">
        <f>VLOOKUP(G1,datauas,21)</f>
        <v/>
      </c>
      <c r="H17" s="246">
        <f t="shared" si="0"/>
        <v>1</v>
      </c>
      <c r="I17" s="246"/>
      <c r="J17" s="206"/>
      <c r="K17" s="206"/>
    </row>
    <row r="18" spans="1:11" ht="72" thickBot="1">
      <c r="A18" s="206"/>
      <c r="B18" s="258">
        <v>6</v>
      </c>
      <c r="C18" s="259" t="str">
        <f>WSALQURAN!$C$46</f>
        <v>Menghafalkan hadits tentangsalat berjamaah riwayat Bukhari, Muslim, Tirmizi, Nasai, Ibnu Majah, dan Ahmad dari Ibnu Umar  
صَلاَةُ الْجَمَاعَةِ اَفْضَلُ</v>
      </c>
      <c r="D18" s="260" t="str">
        <f>VLOOKUP(G1,datauas,22)</f>
        <v/>
      </c>
      <c r="E18" s="260" t="str">
        <f>VLOOKUP(G1,datauas,23)</f>
        <v>P</v>
      </c>
      <c r="F18" s="261" t="str">
        <f>VLOOKUP(G1,datauas,24)</f>
        <v/>
      </c>
      <c r="G18" s="262" t="str">
        <f>VLOOKUP(G1,datauas,25)</f>
        <v/>
      </c>
      <c r="H18" s="246">
        <f t="shared" si="0"/>
        <v>1</v>
      </c>
      <c r="I18" s="246"/>
      <c r="J18" s="206"/>
      <c r="K18" s="206"/>
    </row>
    <row r="19" spans="1:11" ht="27" hidden="1">
      <c r="A19" s="206"/>
      <c r="B19" s="258">
        <v>7</v>
      </c>
      <c r="C19" s="259">
        <f>WSALQURAN!$C$62</f>
        <v>0</v>
      </c>
      <c r="D19" s="260" t="str">
        <f>VLOOKUP(G1,datauas,26)</f>
        <v/>
      </c>
      <c r="E19" s="260" t="str">
        <f>VLOOKUP(G1,datauas,27)</f>
        <v/>
      </c>
      <c r="F19" s="261" t="str">
        <f>VLOOKUP(G1,datauas,28)</f>
        <v/>
      </c>
      <c r="G19" s="262" t="str">
        <f>VLOOKUP(G1,datauas,29)</f>
        <v>P</v>
      </c>
      <c r="H19" s="246">
        <f t="shared" si="0"/>
        <v>0</v>
      </c>
      <c r="I19" s="246"/>
      <c r="J19" s="206"/>
      <c r="K19" s="206"/>
    </row>
    <row r="20" spans="1:11" ht="27" hidden="1">
      <c r="A20" s="206"/>
      <c r="B20" s="258">
        <v>8</v>
      </c>
      <c r="C20" s="259">
        <f>WSALQURAN!$C$70</f>
        <v>0</v>
      </c>
      <c r="D20" s="260" t="str">
        <f>VLOOKUP(G1,datauas,30)</f>
        <v/>
      </c>
      <c r="E20" s="260" t="str">
        <f>VLOOKUP(G1,datauas,31)</f>
        <v/>
      </c>
      <c r="F20" s="260" t="str">
        <f>VLOOKUP(G1,datauas,32)</f>
        <v/>
      </c>
      <c r="G20" s="262" t="str">
        <f>VLOOKUP(G1,datauas,33)</f>
        <v/>
      </c>
      <c r="H20" s="246">
        <f t="shared" si="0"/>
        <v>0</v>
      </c>
      <c r="I20" s="246"/>
      <c r="J20" s="206"/>
      <c r="K20" s="206"/>
    </row>
    <row r="21" spans="1:11" ht="27" hidden="1">
      <c r="A21" s="206"/>
      <c r="B21" s="258">
        <v>9</v>
      </c>
      <c r="C21" s="259">
        <f>WSALQURAN!$C$78</f>
        <v>0</v>
      </c>
      <c r="D21" s="260" t="str">
        <f>VLOOKUP(G1,datauas,34)</f>
        <v/>
      </c>
      <c r="E21" s="260" t="str">
        <f>VLOOKUP(G1,datauas,35)</f>
        <v/>
      </c>
      <c r="F21" s="260" t="str">
        <f>VLOOKUP(G1,datauas,36)</f>
        <v/>
      </c>
      <c r="G21" s="262" t="str">
        <f>VLOOKUP(G1,datauas,37)</f>
        <v/>
      </c>
      <c r="H21" s="246">
        <f t="shared" si="0"/>
        <v>0</v>
      </c>
      <c r="I21" s="246"/>
      <c r="J21" s="206"/>
      <c r="K21" s="206"/>
    </row>
    <row r="22" spans="1:11" ht="27" hidden="1">
      <c r="A22" s="206"/>
      <c r="B22" s="258">
        <v>10</v>
      </c>
      <c r="C22" s="259">
        <f>WSALQURAN!$C$86</f>
        <v>0</v>
      </c>
      <c r="D22" s="260" t="str">
        <f>VLOOKUP(G1,datauas,38)</f>
        <v/>
      </c>
      <c r="E22" s="260" t="str">
        <f>VLOOKUP(G1,datauas,39)</f>
        <v/>
      </c>
      <c r="F22" s="260" t="str">
        <f>VLOOKUP(G1,datauas,40)</f>
        <v/>
      </c>
      <c r="G22" s="262" t="str">
        <f>VLOOKUP(G1,datauas,41)</f>
        <v/>
      </c>
      <c r="H22" s="246">
        <f t="shared" si="0"/>
        <v>0</v>
      </c>
      <c r="I22" s="246"/>
      <c r="J22" s="206"/>
      <c r="K22" s="206"/>
    </row>
    <row r="23" spans="1:11" ht="27" hidden="1">
      <c r="A23" s="206"/>
      <c r="B23" s="258">
        <v>11</v>
      </c>
      <c r="C23" s="259">
        <f>WSALQURAN!$C$94</f>
        <v>0</v>
      </c>
      <c r="D23" s="260" t="str">
        <f>VLOOKUP(G1,datauas,42)</f>
        <v/>
      </c>
      <c r="E23" s="260" t="str">
        <f>VLOOKUP(G1,datauas,43)</f>
        <v/>
      </c>
      <c r="F23" s="260" t="str">
        <f>VLOOKUP(G1,datauas,44)</f>
        <v/>
      </c>
      <c r="G23" s="262" t="str">
        <f>VLOOKUP(G1,datauas,45)</f>
        <v/>
      </c>
      <c r="H23" s="246">
        <f t="shared" si="0"/>
        <v>0</v>
      </c>
      <c r="I23" s="246"/>
      <c r="J23" s="206"/>
      <c r="K23" s="206"/>
    </row>
    <row r="24" spans="1:11" ht="27" hidden="1">
      <c r="A24" s="206"/>
      <c r="B24" s="258">
        <v>12</v>
      </c>
      <c r="C24" s="259">
        <f>WSALQURAN!$C$102</f>
        <v>0</v>
      </c>
      <c r="D24" s="260" t="str">
        <f>VLOOKUP(G1,datauas,46)</f>
        <v/>
      </c>
      <c r="E24" s="260" t="str">
        <f>VLOOKUP(G1,datauas,47)</f>
        <v/>
      </c>
      <c r="F24" s="260" t="str">
        <f>VLOOKUP(G1,datauas,48)</f>
        <v/>
      </c>
      <c r="G24" s="262" t="str">
        <f>VLOOKUP(G1,datauas,49)</f>
        <v/>
      </c>
      <c r="H24" s="246">
        <f t="shared" si="0"/>
        <v>0</v>
      </c>
      <c r="I24" s="246"/>
      <c r="J24" s="206"/>
      <c r="K24" s="206"/>
    </row>
    <row r="25" spans="1:11" ht="27.75" hidden="1" thickBot="1">
      <c r="A25" s="206"/>
      <c r="B25" s="263">
        <v>13</v>
      </c>
      <c r="C25" s="264">
        <f>WSALQURAN!$C$110</f>
        <v>0</v>
      </c>
      <c r="D25" s="265" t="str">
        <f>VLOOKUP(G1,datauas,50)</f>
        <v/>
      </c>
      <c r="E25" s="265" t="str">
        <f>VLOOKUP(G1,datauas,51)</f>
        <v/>
      </c>
      <c r="F25" s="265" t="str">
        <f>VLOOKUP(G1,datauas,52)</f>
        <v/>
      </c>
      <c r="G25" s="266" t="str">
        <f>VLOOKUP(G1,datauas,53)</f>
        <v/>
      </c>
      <c r="H25" s="246">
        <f t="shared" si="0"/>
        <v>0</v>
      </c>
      <c r="I25" s="246"/>
      <c r="J25" s="206"/>
      <c r="K25" s="206"/>
    </row>
    <row r="26" spans="1:11" ht="15.75" thickTop="1" thickBot="1">
      <c r="A26" s="206"/>
      <c r="B26" s="963" t="s">
        <v>1103</v>
      </c>
      <c r="C26" s="964"/>
      <c r="D26" s="978" t="str">
        <f>IF(VLOOKUP($G$1,lager,4)&lt;58.25,"-",IF(AND(VLOOKUP($G$1,lager,4)&gt;=58.25,VLOOKUP($G$1,lager,4)&lt;=66.4),"B-",IF(AND(VLOOKUP($G$1,lager,4)&gt;=66.5,VLOOKUP($G$1,lager,4)&lt;=74.9),"B",IF(AND(VLOOKUP($G$1,lager,4)&gt;=75,VLOOKUP($G$1,lager,4)&lt;=83.24),"B+",IF(AND(VLOOKUP($G$1,lager,4)&gt;=83.25,VLOOKUP($G$1,lager,4)&lt;91.5),"A-",IF(AND(VLOOKUP($G$1,lager,4)&gt;=91.5,VLOOKUP($G$1,lager,4)&lt;=100),"A"))))))</f>
        <v>-</v>
      </c>
      <c r="E26" s="964"/>
      <c r="F26" s="964"/>
      <c r="G26" s="979"/>
      <c r="H26" s="246">
        <f>IF(C13&lt;&gt;0,1,0)</f>
        <v>1</v>
      </c>
      <c r="I26" s="246"/>
      <c r="J26" s="206"/>
      <c r="K26" s="206"/>
    </row>
    <row r="27" spans="1:11" ht="72" customHeight="1" thickTop="1" thickBot="1">
      <c r="A27" s="206"/>
      <c r="B27" s="957" t="str">
        <f>VLOOKUP(G1,CATATAN,18)</f>
        <v>Alhamdulillah ananda sudah berkembang dengan baik dalam Membaca, Menghafalkan, dan memahami urutan ayat   surat Al Humazah (104), At Takatsur (102), dan Az Zalzalah (99) dengan fasih dan benar, ananda juga memahami isi kandungan hadits tentang salat berjamaah, Menerjemahkan hadis tentang salat berjamaah.</v>
      </c>
      <c r="C27" s="958"/>
      <c r="D27" s="958"/>
      <c r="E27" s="958"/>
      <c r="F27" s="958"/>
      <c r="G27" s="959"/>
      <c r="H27" s="246">
        <f>IF(C13&lt;&gt;0,1,0)</f>
        <v>1</v>
      </c>
      <c r="I27" s="246"/>
      <c r="J27" s="206"/>
      <c r="K27" s="206"/>
    </row>
    <row r="28" spans="1:11" ht="15" thickTop="1">
      <c r="A28" s="206"/>
      <c r="H28" s="246">
        <f>IF(C31&lt;&gt;0,1,0)</f>
        <v>1</v>
      </c>
      <c r="I28" s="246"/>
      <c r="J28" s="206"/>
      <c r="K28" s="206"/>
    </row>
    <row r="29" spans="1:11" ht="15" thickBot="1">
      <c r="A29" s="206"/>
      <c r="B29" s="960" t="s">
        <v>1117</v>
      </c>
      <c r="C29" s="960"/>
      <c r="D29" s="248"/>
      <c r="E29" s="249"/>
      <c r="F29" s="249"/>
      <c r="G29" s="249"/>
      <c r="H29" s="246">
        <f>IF(C31&lt;&gt;0,1,0)</f>
        <v>1</v>
      </c>
      <c r="I29" s="246"/>
      <c r="J29" s="206"/>
      <c r="K29" s="206"/>
    </row>
    <row r="30" spans="1:11" ht="30" thickTop="1" thickBot="1">
      <c r="A30" s="206"/>
      <c r="B30" s="961" t="s">
        <v>1098</v>
      </c>
      <c r="C30" s="962"/>
      <c r="D30" s="250" t="s">
        <v>1099</v>
      </c>
      <c r="E30" s="250" t="s">
        <v>1100</v>
      </c>
      <c r="F30" s="251" t="s">
        <v>1101</v>
      </c>
      <c r="G30" s="252" t="s">
        <v>1102</v>
      </c>
      <c r="H30" s="246">
        <f>H29</f>
        <v>1</v>
      </c>
      <c r="I30" s="246"/>
      <c r="J30" s="206"/>
      <c r="K30" s="206"/>
    </row>
    <row r="31" spans="1:11" ht="29.25" thickTop="1">
      <c r="A31" s="206"/>
      <c r="B31" s="351">
        <v>1</v>
      </c>
      <c r="C31" s="347" t="str">
        <f>WSAQIDAH!$C$6</f>
        <v>3.1 Mengetahui kalimat thayyibah (Subhanallaah, MaasyaAllah SWT).</v>
      </c>
      <c r="D31" s="265" t="str">
        <f>VLOOKUP(G1,datauas,54)</f>
        <v/>
      </c>
      <c r="E31" s="265" t="str">
        <f>VLOOKUP(G1,datauas,55)</f>
        <v/>
      </c>
      <c r="F31" s="265" t="str">
        <f>VLOOKUP(G1,datauas,56)</f>
        <v>P</v>
      </c>
      <c r="G31" s="268" t="str">
        <f>VLOOKUP(G1,datauas,57)</f>
        <v/>
      </c>
      <c r="H31" s="246">
        <f>IF(C31&lt;&gt;0,1,0)</f>
        <v>1</v>
      </c>
      <c r="I31" s="246"/>
      <c r="J31" s="206"/>
      <c r="K31" s="206"/>
    </row>
    <row r="32" spans="1:11" ht="57">
      <c r="A32" s="206"/>
      <c r="B32" s="351">
        <v>2</v>
      </c>
      <c r="C32" s="348" t="str">
        <f>WSAQIDAH!$C$14</f>
        <v>3.2 Mengenal sifat-sifat Allah SWT yang terkandung dalam al-Asma al-Husna (al-A’dziim,  al-Kabiir, al-Kariim dan al- Maaliik).</v>
      </c>
      <c r="D32" s="265" t="str">
        <f>VLOOKUP(G1,datauas,58)</f>
        <v/>
      </c>
      <c r="E32" s="265" t="str">
        <f>VLOOKUP(G1,datauas,59)</f>
        <v/>
      </c>
      <c r="F32" s="265" t="str">
        <f>VLOOKUP(G1,datauas,60)</f>
        <v/>
      </c>
      <c r="G32" s="268" t="str">
        <f>VLOOKUP(G1,datauas,61)</f>
        <v>P</v>
      </c>
      <c r="H32" s="246">
        <f t="shared" ref="H32:H43" si="1">IF(C32&lt;&gt;0,1,0)</f>
        <v>1</v>
      </c>
      <c r="I32" s="246"/>
      <c r="J32" s="206"/>
      <c r="K32" s="206"/>
    </row>
    <row r="33" spans="1:11" ht="28.5">
      <c r="A33" s="206"/>
      <c r="B33" s="351">
        <v>3</v>
      </c>
      <c r="C33" s="348" t="str">
        <f>WSAQIDAH!$C$22</f>
        <v>3.3 Menjelaskan malaikat-malaikat Allah SWT dan tugas-tugasnya</v>
      </c>
      <c r="D33" s="265" t="str">
        <f>VLOOKUP(G1,datauas,62)</f>
        <v/>
      </c>
      <c r="E33" s="265" t="str">
        <f>VLOOKUP(G1,datauas,63)</f>
        <v/>
      </c>
      <c r="F33" s="265" t="str">
        <f>VLOOKUP(G1,datauas,64)</f>
        <v>P</v>
      </c>
      <c r="G33" s="268" t="str">
        <f>VLOOKUP(G1,datauas,65)</f>
        <v/>
      </c>
      <c r="H33" s="246">
        <f t="shared" si="1"/>
        <v>1</v>
      </c>
      <c r="I33" s="246"/>
      <c r="J33" s="206"/>
      <c r="K33" s="206"/>
    </row>
    <row r="34" spans="1:11" ht="71.25">
      <c r="A34" s="206"/>
      <c r="B34" s="351">
        <v>4</v>
      </c>
      <c r="C34" s="348" t="str">
        <f>WSAQIDAH!$C$30</f>
        <v xml:space="preserve">3.4 Memahami sikap rendah hati, santun, ikhlas, kasih sayang, dan taat dalam  kehidupan sehari-hari.
</v>
      </c>
      <c r="D34" s="265" t="str">
        <f>VLOOKUP(G1,datauas,66)</f>
        <v/>
      </c>
      <c r="E34" s="265" t="str">
        <f>VLOOKUP(G1,datauas,67)</f>
        <v/>
      </c>
      <c r="F34" s="265" t="str">
        <f>VLOOKUP(G1,datauas,68)</f>
        <v>P</v>
      </c>
      <c r="G34" s="268" t="str">
        <f>VLOOKUP(G1,datauas,69)</f>
        <v/>
      </c>
      <c r="H34" s="246">
        <f t="shared" si="1"/>
        <v>1</v>
      </c>
      <c r="I34" s="246"/>
      <c r="J34" s="206"/>
      <c r="K34" s="206"/>
    </row>
    <row r="35" spans="1:11" ht="57">
      <c r="A35" s="206"/>
      <c r="B35" s="352">
        <v>5</v>
      </c>
      <c r="C35" s="349" t="str">
        <f>WSAQIDAH!$C$38</f>
        <v>3.5 Memahami akhlakul karimah patuh dan taat terhadap kedua orang tua dalam kehidupan sehari-hari melalui kisah Nabi Ismail AS</v>
      </c>
      <c r="D35" s="271" t="str">
        <f>VLOOKUP(G1,datauas,70)</f>
        <v/>
      </c>
      <c r="E35" s="271" t="str">
        <f>VLOOKUP(G1,datauas,71)</f>
        <v>P</v>
      </c>
      <c r="F35" s="271" t="str">
        <f>VLOOKUP(G1,datauas,72)</f>
        <v/>
      </c>
      <c r="G35" s="272" t="str">
        <f>VLOOKUP(G1,datauas,73)</f>
        <v/>
      </c>
      <c r="H35" s="246">
        <f t="shared" si="1"/>
        <v>1</v>
      </c>
      <c r="I35" s="246"/>
      <c r="J35" s="206"/>
      <c r="K35" s="206"/>
    </row>
    <row r="36" spans="1:11" ht="42.75">
      <c r="A36" s="206"/>
      <c r="B36" s="353">
        <v>6</v>
      </c>
      <c r="C36" s="350" t="str">
        <f>WSAQIDAH!$C$46</f>
        <v>3.7 Menjelaskan cara menghindari sikap durhaka kepada orang tua melakui kisah Kan’an</v>
      </c>
      <c r="D36" s="275" t="str">
        <f>VLOOKUP(G1,datauas,74)</f>
        <v/>
      </c>
      <c r="E36" s="275" t="str">
        <f>VLOOKUP(G1,datauas,75)</f>
        <v/>
      </c>
      <c r="F36" s="275" t="str">
        <f>VLOOKUP(G1,datauas,76)</f>
        <v/>
      </c>
      <c r="G36" s="276" t="str">
        <f>VLOOKUP(G1,datauas,77)</f>
        <v>P</v>
      </c>
      <c r="H36" s="246">
        <f t="shared" si="1"/>
        <v>1</v>
      </c>
      <c r="I36" s="246"/>
      <c r="J36" s="206"/>
      <c r="K36" s="206"/>
    </row>
    <row r="37" spans="1:11" ht="42.75">
      <c r="A37" s="206"/>
      <c r="B37" s="351">
        <v>7</v>
      </c>
      <c r="C37" s="348" t="str">
        <f>WSAQIDAH!$C$54</f>
        <v>4.1 Melafalkan kalimat thayyibah (Subhanallaah, MaasyaAllah SWT) dan maknanya</v>
      </c>
      <c r="D37" s="265" t="str">
        <f>VLOOKUP(G1,datauas,78)</f>
        <v/>
      </c>
      <c r="E37" s="265" t="str">
        <f>VLOOKUP(G1,datauas,79)</f>
        <v/>
      </c>
      <c r="F37" s="265" t="str">
        <f>VLOOKUP(G1,datauas,80)</f>
        <v>P</v>
      </c>
      <c r="G37" s="268" t="str">
        <f>VLOOKUP(G1,datauas,81)</f>
        <v/>
      </c>
      <c r="H37" s="246">
        <f t="shared" si="1"/>
        <v>1</v>
      </c>
      <c r="I37" s="246"/>
      <c r="J37" s="206"/>
      <c r="K37" s="206"/>
    </row>
    <row r="38" spans="1:11" ht="42.75">
      <c r="A38" s="206"/>
      <c r="B38" s="351">
        <v>8</v>
      </c>
      <c r="C38" s="348" t="str">
        <f>WSAQIDAH!$C$62</f>
        <v>4.2 Melafalkan al-Asma al-Husna (al-A’dziim,  al-Kabiir, al-Kariim dan al-Maaliik) dan artinya</v>
      </c>
      <c r="D38" s="265" t="str">
        <f>VLOOKUP(G1,datauas,82)</f>
        <v/>
      </c>
      <c r="E38" s="265" t="str">
        <f>VLOOKUP(G1,datauas,83)</f>
        <v/>
      </c>
      <c r="F38" s="265" t="str">
        <f>VLOOKUP(G1,datauas,84)</f>
        <v/>
      </c>
      <c r="G38" s="268" t="str">
        <f>VLOOKUP(G1,datauas,85)</f>
        <v>P</v>
      </c>
      <c r="H38" s="246">
        <f t="shared" si="1"/>
        <v>1</v>
      </c>
      <c r="I38" s="246"/>
      <c r="J38" s="206"/>
      <c r="K38" s="206"/>
    </row>
    <row r="39" spans="1:11" ht="42.75">
      <c r="A39" s="206"/>
      <c r="B39" s="351">
        <v>9</v>
      </c>
      <c r="C39" s="348" t="str">
        <f>WSAQIDAH!$C$70</f>
        <v>4.4 Menunjukkan sikap sifat rendah hati, santun, ikhlas, kasih sayang, dan taat dalam  kehidupan sehari-hari.</v>
      </c>
      <c r="D39" s="265" t="str">
        <f>VLOOKUP(G1,datauas,86)</f>
        <v/>
      </c>
      <c r="E39" s="265" t="str">
        <f>VLOOKUP(G1,datauas,87)</f>
        <v/>
      </c>
      <c r="F39" s="265" t="str">
        <f>VLOOKUP(G1,datauas,88)</f>
        <v/>
      </c>
      <c r="G39" s="268" t="str">
        <f>VLOOKUP(G1,datauas,89)</f>
        <v>P</v>
      </c>
      <c r="H39" s="246">
        <f t="shared" si="1"/>
        <v>1</v>
      </c>
      <c r="I39" s="246"/>
      <c r="J39" s="206"/>
      <c r="K39" s="206"/>
    </row>
    <row r="40" spans="1:11" ht="57.75" thickBot="1">
      <c r="A40" s="206"/>
      <c r="B40" s="352">
        <v>10</v>
      </c>
      <c r="C40" s="349" t="str">
        <f>WSAQIDAH!$C$78</f>
        <v>4.6  Mencontohkan akhlakul karimah patuh dan taat terhadap kedua orang tua dalam kehidupan sehari-hari melalui kisah Nabi Ismail AS</v>
      </c>
      <c r="D40" s="271" t="str">
        <f>VLOOKUP(G1,datauas,90)</f>
        <v/>
      </c>
      <c r="E40" s="271" t="str">
        <f>VLOOKUP(G1,datauas,91)</f>
        <v>P</v>
      </c>
      <c r="F40" s="271" t="str">
        <f>VLOOKUP(G1,datauas,92)</f>
        <v/>
      </c>
      <c r="G40" s="272" t="str">
        <f>VLOOKUP(G1,datauas,93)</f>
        <v/>
      </c>
      <c r="H40" s="246">
        <f t="shared" si="1"/>
        <v>1</v>
      </c>
      <c r="I40" s="246"/>
      <c r="J40" s="206"/>
      <c r="K40" s="206"/>
    </row>
    <row r="41" spans="1:11" ht="27" hidden="1">
      <c r="A41" s="206"/>
      <c r="B41" s="353">
        <v>11</v>
      </c>
      <c r="C41" s="350">
        <f>WSAQIDAH!$C$86</f>
        <v>0</v>
      </c>
      <c r="D41" s="275" t="str">
        <f>VLOOKUP(G1,datauas,94)</f>
        <v/>
      </c>
      <c r="E41" s="275" t="str">
        <f>VLOOKUP(G1,datauas,95)</f>
        <v/>
      </c>
      <c r="F41" s="275" t="str">
        <f>VLOOKUP(G1,datauas,96)</f>
        <v/>
      </c>
      <c r="G41" s="276" t="str">
        <f>VLOOKUP(G1,datauas,97)</f>
        <v/>
      </c>
      <c r="H41" s="246">
        <f t="shared" si="1"/>
        <v>0</v>
      </c>
      <c r="I41" s="246"/>
      <c r="J41" s="206"/>
      <c r="K41" s="206"/>
    </row>
    <row r="42" spans="1:11" ht="27" hidden="1">
      <c r="A42" s="206"/>
      <c r="B42" s="263">
        <v>12</v>
      </c>
      <c r="C42" s="264">
        <f>WSAQIDAH!$C$94</f>
        <v>0</v>
      </c>
      <c r="D42" s="265" t="str">
        <f>VLOOKUP(G1,datauas,98)</f>
        <v/>
      </c>
      <c r="E42" s="265" t="str">
        <f>VLOOKUP(G1,datauas,99)</f>
        <v/>
      </c>
      <c r="F42" s="265" t="str">
        <f>VLOOKUP(G1,datauas,100)</f>
        <v/>
      </c>
      <c r="G42" s="268" t="str">
        <f>VLOOKUP(G1,datauas,101)</f>
        <v/>
      </c>
      <c r="H42" s="246">
        <f t="shared" si="1"/>
        <v>0</v>
      </c>
      <c r="I42" s="246"/>
      <c r="J42" s="206"/>
      <c r="K42" s="206"/>
    </row>
    <row r="43" spans="1:11" ht="27.75" hidden="1" thickBot="1">
      <c r="A43" s="206"/>
      <c r="B43" s="263">
        <v>13</v>
      </c>
      <c r="C43" s="264">
        <f>WSAQIDAH!$C$102</f>
        <v>0</v>
      </c>
      <c r="D43" s="265" t="str">
        <f>VLOOKUP(G1,datauas,102)</f>
        <v/>
      </c>
      <c r="E43" s="265" t="str">
        <f>VLOOKUP(G1,datauas,103)</f>
        <v/>
      </c>
      <c r="F43" s="265" t="str">
        <f>VLOOKUP(G1,datauas,104)</f>
        <v/>
      </c>
      <c r="G43" s="268" t="str">
        <f>VLOOKUP(G1,datauas,105)</f>
        <v/>
      </c>
      <c r="H43" s="246">
        <f t="shared" si="1"/>
        <v>0</v>
      </c>
      <c r="I43" s="246"/>
      <c r="J43" s="206"/>
      <c r="K43" s="206"/>
    </row>
    <row r="44" spans="1:11" ht="15.75" thickTop="1" thickBot="1">
      <c r="A44" s="206"/>
      <c r="B44" s="963" t="s">
        <v>1103</v>
      </c>
      <c r="C44" s="964"/>
      <c r="D44" s="978" t="str">
        <f>IF(VLOOKUP($G$1,lager,5)&lt;58.25,"-",IF(AND(VLOOKUP($G$1,lager,5)&gt;=58.25,VLOOKUP($G$1,lager,5)&lt;=66.4),"B-",IF(AND(VLOOKUP($G$1,lager,5)&gt;=66.5,VLOOKUP($G$1,lager,5)&lt;=74.9),"B",IF(AND(VLOOKUP($G$1,lager,5)&gt;=75,VLOOKUP($G$1,lager,5)&lt;=83.24),"B+",IF(AND(VLOOKUP($G$1,lager,5)&gt;=83.25,VLOOKUP($G$1,lager,5)&lt;91.5),"A-",IF(AND(VLOOKUP($G$1,lager,5)&gt;=91.5,VLOOKUP($G$1,lager,5)&lt;=100),"A"))))))</f>
        <v>-</v>
      </c>
      <c r="E44" s="964"/>
      <c r="F44" s="964"/>
      <c r="G44" s="979"/>
      <c r="H44" s="246">
        <f>IF(C31&lt;&gt;0,1,0)</f>
        <v>1</v>
      </c>
      <c r="I44" s="246"/>
      <c r="J44" s="206"/>
      <c r="K44" s="206"/>
    </row>
    <row r="45" spans="1:11" ht="72" customHeight="1" thickTop="1" thickBot="1">
      <c r="A45" s="206"/>
      <c r="B45" s="957" t="str">
        <f>VLOOKUP(G1,CATATAN,35)</f>
        <v>Alhamdulillah ananda sudah menguasai dalam Mengenal dan melafalkan sifat-sifat Allah SWT yang terkandung dalam al-Asma al-Husna (al-A’dziim,  al-Kabiir, al-Kariim dan al- Maaliik), Menjelaskan cara menghindari sikap durhaka kepada orang tua melakui kisah Kan’an, menunjukkan sikap sifat rendah hati, santun, ikhlas, kasih sayang, dan taat dalam  kehidupan sehari-hari.</v>
      </c>
      <c r="C45" s="958"/>
      <c r="D45" s="958"/>
      <c r="E45" s="958"/>
      <c r="F45" s="958"/>
      <c r="G45" s="959"/>
      <c r="H45" s="246">
        <f>IF(C31&lt;&gt;0,1,0)</f>
        <v>1</v>
      </c>
      <c r="I45" s="246"/>
      <c r="J45" s="206"/>
      <c r="K45" s="206"/>
    </row>
    <row r="46" spans="1:11" ht="15" thickTop="1">
      <c r="A46" s="206"/>
      <c r="H46" s="246">
        <f>IF(C49&lt;&gt;0,1,0)</f>
        <v>1</v>
      </c>
      <c r="I46" s="246"/>
      <c r="J46" s="206"/>
      <c r="K46" s="206"/>
    </row>
    <row r="47" spans="1:11" ht="15" thickBot="1">
      <c r="A47" s="206"/>
      <c r="B47" s="960" t="s">
        <v>60</v>
      </c>
      <c r="C47" s="960"/>
      <c r="D47" s="248"/>
      <c r="E47" s="249"/>
      <c r="F47" s="249"/>
      <c r="G47" s="249"/>
      <c r="H47" s="246">
        <f>IF(C49&lt;&gt;0,1,0)</f>
        <v>1</v>
      </c>
      <c r="I47" s="246"/>
      <c r="J47" s="206"/>
      <c r="K47" s="206"/>
    </row>
    <row r="48" spans="1:11" ht="30" thickTop="1" thickBot="1">
      <c r="A48" s="206"/>
      <c r="B48" s="961" t="s">
        <v>1098</v>
      </c>
      <c r="C48" s="962"/>
      <c r="D48" s="250" t="s">
        <v>1099</v>
      </c>
      <c r="E48" s="250" t="s">
        <v>1100</v>
      </c>
      <c r="F48" s="251" t="s">
        <v>1101</v>
      </c>
      <c r="G48" s="252" t="s">
        <v>1102</v>
      </c>
      <c r="H48" s="246">
        <f>H47</f>
        <v>1</v>
      </c>
      <c r="I48" s="246"/>
      <c r="J48" s="206"/>
      <c r="K48" s="206"/>
    </row>
    <row r="49" spans="1:11" ht="43.5" thickTop="1">
      <c r="A49" s="206"/>
      <c r="B49" s="263">
        <v>1</v>
      </c>
      <c r="C49" s="267" t="str">
        <f>WSSKI!$C$6</f>
        <v>3.1 Menjelaskan keadaan adat-istiadat dan kepercayaan masyarakat Arab Pra-Islam</v>
      </c>
      <c r="D49" s="265" t="str">
        <f>VLOOKUP(G1,datauas,106)</f>
        <v/>
      </c>
      <c r="E49" s="265" t="str">
        <f>VLOOKUP(G1,datauas,107)</f>
        <v>P</v>
      </c>
      <c r="F49" s="265" t="str">
        <f>VLOOKUP(G1,datauas,108)</f>
        <v/>
      </c>
      <c r="G49" s="268" t="str">
        <f>VLOOKUP(G1,datauas,109)</f>
        <v/>
      </c>
      <c r="H49" s="246">
        <f>IF(C49&lt;&gt;0,1,0)</f>
        <v>1</v>
      </c>
      <c r="I49" s="246"/>
      <c r="J49" s="206"/>
      <c r="K49" s="206"/>
    </row>
    <row r="50" spans="1:11" ht="28.5">
      <c r="A50" s="206"/>
      <c r="B50" s="263">
        <v>2</v>
      </c>
      <c r="C50" s="264" t="str">
        <f>WSSKI!$C$14</f>
        <v>3.2 Menjelaskan masa kanak-kanak Nabi Muhammad SAW</v>
      </c>
      <c r="D50" s="265" t="str">
        <f>VLOOKUP(G1,datauas,110)</f>
        <v/>
      </c>
      <c r="E50" s="265" t="str">
        <f>VLOOKUP(G1,datauas,111)</f>
        <v/>
      </c>
      <c r="F50" s="265" t="str">
        <f>VLOOKUP(G1,datauas,112)</f>
        <v/>
      </c>
      <c r="G50" s="268" t="str">
        <f>VLOOKUP(G1,datauas,113)</f>
        <v>P</v>
      </c>
      <c r="H50" s="246">
        <f t="shared" ref="H50:H61" si="2">IF(C50&lt;&gt;0,1,0)</f>
        <v>1</v>
      </c>
      <c r="I50" s="246"/>
      <c r="J50" s="206"/>
      <c r="K50" s="206"/>
    </row>
    <row r="51" spans="1:11" ht="42.75">
      <c r="A51" s="206"/>
      <c r="B51" s="263">
        <v>3</v>
      </c>
      <c r="C51" s="264" t="str">
        <f>WSSKI!$C$23</f>
        <v>4.1 Menceritakan kondisi alam, sosial, dan perekonomian masyarakat Arab Pra-Islam</v>
      </c>
      <c r="D51" s="265" t="str">
        <f>VLOOKUP(G1,datauas,114)</f>
        <v/>
      </c>
      <c r="E51" s="265" t="str">
        <f>VLOOKUP(G1,datauas,115)</f>
        <v>P</v>
      </c>
      <c r="F51" s="265" t="str">
        <f>VLOOKUP(G1,datauas,116)</f>
        <v/>
      </c>
      <c r="G51" s="268" t="str">
        <f>VLOOKUP(G1,datauas,117)</f>
        <v/>
      </c>
      <c r="H51" s="246">
        <f t="shared" si="2"/>
        <v>1</v>
      </c>
      <c r="I51" s="246"/>
      <c r="J51" s="206"/>
      <c r="K51" s="206"/>
    </row>
    <row r="52" spans="1:11" ht="42.75">
      <c r="A52" s="206"/>
      <c r="B52" s="263">
        <v>4</v>
      </c>
      <c r="C52" s="264" t="str">
        <f>WSSKI!$C$31</f>
        <v>4.2 Menceritakan kejadian luar biasa yang mengiringi lahirnya Nabi Muhammad SAW</v>
      </c>
      <c r="D52" s="265" t="str">
        <f>VLOOKUP(G1,datauas,118)</f>
        <v/>
      </c>
      <c r="E52" s="265" t="str">
        <f>VLOOKUP(G1,datauas,119)</f>
        <v>P</v>
      </c>
      <c r="F52" s="265" t="str">
        <f>VLOOKUP(G1,datauas,120)</f>
        <v/>
      </c>
      <c r="G52" s="268" t="str">
        <f>VLOOKUP(G1,datauas,121)</f>
        <v/>
      </c>
      <c r="H52" s="246">
        <f t="shared" si="2"/>
        <v>1</v>
      </c>
      <c r="I52" s="246"/>
      <c r="J52" s="206"/>
      <c r="K52" s="206"/>
    </row>
    <row r="53" spans="1:11" ht="28.5">
      <c r="A53" s="206"/>
      <c r="B53" s="263">
        <v>5</v>
      </c>
      <c r="C53" s="264" t="str">
        <f>WSSKI!$C$40</f>
        <v>4.3 Menceritakan sejarah kelahiran Nabi Muhammad SAW</v>
      </c>
      <c r="D53" s="265" t="str">
        <f>VLOOKUP(G1,datauas,122)</f>
        <v/>
      </c>
      <c r="E53" s="265" t="str">
        <f>VLOOKUP(G1,datauas,123)</f>
        <v/>
      </c>
      <c r="F53" s="265" t="str">
        <f>VLOOKUP(G1,datauas,124)</f>
        <v>P</v>
      </c>
      <c r="G53" s="268" t="str">
        <f>VLOOKUP(G1,datauas,125)</f>
        <v/>
      </c>
      <c r="H53" s="246">
        <f t="shared" si="2"/>
        <v>1</v>
      </c>
      <c r="I53" s="246"/>
      <c r="J53" s="206"/>
      <c r="K53" s="206"/>
    </row>
    <row r="54" spans="1:11" ht="29.25" thickBot="1">
      <c r="A54" s="206"/>
      <c r="B54" s="263">
        <v>6</v>
      </c>
      <c r="C54" s="264" t="str">
        <f>WSSKI!$C$48</f>
        <v>4.4 Membuat silsilah keluarga Nabi Muhammad SAW</v>
      </c>
      <c r="D54" s="265" t="str">
        <f>VLOOKUP(G1,datauas,126)</f>
        <v/>
      </c>
      <c r="E54" s="265" t="str">
        <f>VLOOKUP(G1,datauas,127)</f>
        <v>P</v>
      </c>
      <c r="F54" s="265" t="str">
        <f>VLOOKUP(G1,datauas,128)</f>
        <v/>
      </c>
      <c r="G54" s="268" t="str">
        <f>VLOOKUP(G1,datauas,129)</f>
        <v/>
      </c>
      <c r="H54" s="246">
        <f t="shared" si="2"/>
        <v>1</v>
      </c>
      <c r="I54" s="246"/>
      <c r="J54" s="206"/>
      <c r="K54" s="206"/>
    </row>
    <row r="55" spans="1:11" ht="27" hidden="1">
      <c r="A55" s="206"/>
      <c r="B55" s="263">
        <v>7</v>
      </c>
      <c r="C55" s="264">
        <f>WSSKI!$C$56</f>
        <v>0</v>
      </c>
      <c r="D55" s="265" t="str">
        <f>VLOOKUP(G1,datauas,130)</f>
        <v/>
      </c>
      <c r="E55" s="265" t="str">
        <f>VLOOKUP(G1,datauas,131)</f>
        <v/>
      </c>
      <c r="F55" s="265" t="str">
        <f>VLOOKUP(G1,datauas,132)</f>
        <v/>
      </c>
      <c r="G55" s="268" t="str">
        <f>VLOOKUP(G1,datauas,133)</f>
        <v/>
      </c>
      <c r="H55" s="246">
        <f t="shared" si="2"/>
        <v>0</v>
      </c>
      <c r="I55" s="246"/>
      <c r="J55" s="206"/>
      <c r="K55" s="206"/>
    </row>
    <row r="56" spans="1:11" ht="27" hidden="1">
      <c r="A56" s="206"/>
      <c r="B56" s="263">
        <v>8</v>
      </c>
      <c r="C56" s="264">
        <f>WSSKI!$C$64</f>
        <v>0</v>
      </c>
      <c r="D56" s="265" t="str">
        <f>VLOOKUP(G1,datauas,134)</f>
        <v/>
      </c>
      <c r="E56" s="265" t="str">
        <f>VLOOKUP(G1,datauas,135)</f>
        <v/>
      </c>
      <c r="F56" s="265" t="str">
        <f>VLOOKUP(G1,datauas,136)</f>
        <v/>
      </c>
      <c r="G56" s="268" t="str">
        <f>VLOOKUP(G1,datauas,137)</f>
        <v/>
      </c>
      <c r="H56" s="246">
        <f t="shared" si="2"/>
        <v>0</v>
      </c>
      <c r="I56" s="246"/>
      <c r="J56" s="206"/>
      <c r="K56" s="206"/>
    </row>
    <row r="57" spans="1:11" ht="27" hidden="1">
      <c r="A57" s="206"/>
      <c r="B57" s="263">
        <v>9</v>
      </c>
      <c r="C57" s="264">
        <f>WSSKI!$C$72</f>
        <v>0</v>
      </c>
      <c r="D57" s="265" t="str">
        <f>VLOOKUP(G1,datauas,138)</f>
        <v/>
      </c>
      <c r="E57" s="265" t="str">
        <f>VLOOKUP(G1,datauas,139)</f>
        <v/>
      </c>
      <c r="F57" s="265" t="str">
        <f>VLOOKUP(G1,datauas,140)</f>
        <v/>
      </c>
      <c r="G57" s="268" t="str">
        <f>VLOOKUP(G1,datauas,141)</f>
        <v/>
      </c>
      <c r="H57" s="246">
        <f t="shared" si="2"/>
        <v>0</v>
      </c>
      <c r="I57" s="246"/>
      <c r="J57" s="206"/>
      <c r="K57" s="206"/>
    </row>
    <row r="58" spans="1:11" ht="27" hidden="1">
      <c r="A58" s="206"/>
      <c r="B58" s="263">
        <v>10</v>
      </c>
      <c r="C58" s="264">
        <f>WSSKI!$C$80</f>
        <v>0</v>
      </c>
      <c r="D58" s="265" t="str">
        <f>VLOOKUP(G1,datauas,142)</f>
        <v/>
      </c>
      <c r="E58" s="265" t="str">
        <f>VLOOKUP(G1,datauas,143)</f>
        <v/>
      </c>
      <c r="F58" s="265" t="str">
        <f>VLOOKUP(G1,datauas,144)</f>
        <v/>
      </c>
      <c r="G58" s="268" t="str">
        <f>VLOOKUP(G1,datauas,145)</f>
        <v/>
      </c>
      <c r="H58" s="246">
        <f t="shared" si="2"/>
        <v>0</v>
      </c>
      <c r="I58" s="246"/>
      <c r="J58" s="206"/>
      <c r="K58" s="206"/>
    </row>
    <row r="59" spans="1:11" ht="27" hidden="1">
      <c r="A59" s="206"/>
      <c r="B59" s="263">
        <v>11</v>
      </c>
      <c r="C59" s="264">
        <f>WSSKI!$C$88</f>
        <v>0</v>
      </c>
      <c r="D59" s="265" t="str">
        <f>VLOOKUP(G1,datauas,146)</f>
        <v/>
      </c>
      <c r="E59" s="265" t="str">
        <f>VLOOKUP(G1,datauas,147)</f>
        <v/>
      </c>
      <c r="F59" s="265" t="str">
        <f>VLOOKUP(G1,datauas,148)</f>
        <v/>
      </c>
      <c r="G59" s="268" t="str">
        <f>VLOOKUP(G1,datauas,149)</f>
        <v/>
      </c>
      <c r="H59" s="246">
        <f t="shared" si="2"/>
        <v>0</v>
      </c>
      <c r="I59" s="246"/>
      <c r="J59" s="206"/>
      <c r="K59" s="206"/>
    </row>
    <row r="60" spans="1:11" ht="27" hidden="1">
      <c r="A60" s="206"/>
      <c r="B60" s="263">
        <v>12</v>
      </c>
      <c r="C60" s="264">
        <f>WSSKI!$C$96</f>
        <v>0</v>
      </c>
      <c r="D60" s="265" t="str">
        <f>VLOOKUP(G1,datauas,150)</f>
        <v/>
      </c>
      <c r="E60" s="265" t="str">
        <f>VLOOKUP(G1,datauas,151)</f>
        <v/>
      </c>
      <c r="F60" s="265" t="str">
        <f>VLOOKUP(G1,datauas,152)</f>
        <v/>
      </c>
      <c r="G60" s="268" t="str">
        <f>VLOOKUP(G1,datauas,153)</f>
        <v/>
      </c>
      <c r="H60" s="246">
        <f t="shared" si="2"/>
        <v>0</v>
      </c>
      <c r="I60" s="246"/>
      <c r="J60" s="206"/>
      <c r="K60" s="206"/>
    </row>
    <row r="61" spans="1:11" ht="27.75" hidden="1" thickBot="1">
      <c r="A61" s="206"/>
      <c r="B61" s="263">
        <v>13</v>
      </c>
      <c r="C61" s="264">
        <f>WSSKI!$C$104</f>
        <v>0</v>
      </c>
      <c r="D61" s="265" t="str">
        <f>VLOOKUP(G1,datauas,154)</f>
        <v/>
      </c>
      <c r="E61" s="265" t="str">
        <f>VLOOKUP(G1,datauas,155)</f>
        <v/>
      </c>
      <c r="F61" s="265" t="str">
        <f>VLOOKUP(G1,datauas,156)</f>
        <v/>
      </c>
      <c r="G61" s="268" t="str">
        <f>VLOOKUP(G1,datauas,157)</f>
        <v/>
      </c>
      <c r="H61" s="246">
        <f t="shared" si="2"/>
        <v>0</v>
      </c>
      <c r="I61" s="246"/>
      <c r="J61" s="206"/>
      <c r="K61" s="206"/>
    </row>
    <row r="62" spans="1:11" ht="15.75" thickTop="1" thickBot="1">
      <c r="A62" s="206"/>
      <c r="B62" s="963" t="s">
        <v>1103</v>
      </c>
      <c r="C62" s="964"/>
      <c r="D62" s="978" t="str">
        <f>IF(VLOOKUP($G$1,lager,6)&lt;58.25,"-",IF(AND(VLOOKUP($G$1,lager,6)&gt;=58.25,VLOOKUP($G$1,lager,6)&lt;=66.4),"B-",IF(AND(VLOOKUP($G$1,lager,6)&gt;=66.5,VLOOKUP($G$1,lager,6)&lt;=74.9),"B",IF(AND(VLOOKUP($G$1,lager,6)&gt;=75,VLOOKUP($G$1,lager,6)&lt;=83.24),"B+",IF(AND(VLOOKUP($G$1,lager,6)&gt;=83.25,VLOOKUP($G$1,lager,6)&lt;91.5),"A-",IF(AND(VLOOKUP($G$1,lager,6)&gt;=91.5,VLOOKUP($G$1,lager,6)&lt;=100),"A"))))))</f>
        <v>-</v>
      </c>
      <c r="E62" s="964"/>
      <c r="F62" s="964"/>
      <c r="G62" s="979"/>
      <c r="H62" s="246">
        <f>IF(C49&lt;&gt;0,1,0)</f>
        <v>1</v>
      </c>
      <c r="I62" s="246"/>
      <c r="J62" s="206"/>
      <c r="K62" s="206"/>
    </row>
    <row r="63" spans="1:11" ht="72" customHeight="1" thickTop="1" thickBot="1">
      <c r="A63" s="206"/>
      <c r="B63" s="957" t="str">
        <f>VLOOKUP(G1,CATATAN,52)</f>
        <v xml:space="preserve">Ananda sudah mampu menguasai tata cara wudu, menyebutkan hal-hal yang membatalkan wudu, manfaat wudu, dan juga hafal niat serta doa setelah wudu. Selain itu ananda juga sudah menguasai tata cara tayamum, hal-hal yang membatalkan tayamum, menyebutkan sebab tayamum, serta praktik tayamum. </v>
      </c>
      <c r="C63" s="958"/>
      <c r="D63" s="958"/>
      <c r="E63" s="958"/>
      <c r="F63" s="958"/>
      <c r="G63" s="959"/>
      <c r="H63" s="246">
        <f>IF(C49&lt;&gt;0,1,0)</f>
        <v>1</v>
      </c>
      <c r="I63" s="246"/>
      <c r="J63" s="206"/>
      <c r="K63" s="206"/>
    </row>
    <row r="64" spans="1:11" ht="15" thickTop="1">
      <c r="A64" s="206"/>
      <c r="H64" s="246">
        <f>IF(C67&lt;&gt;0,1,0)</f>
        <v>1</v>
      </c>
      <c r="I64" s="246"/>
      <c r="J64" s="206"/>
      <c r="K64" s="206"/>
    </row>
    <row r="65" spans="1:11" ht="15" thickBot="1">
      <c r="A65" s="206"/>
      <c r="B65" s="960" t="s">
        <v>1118</v>
      </c>
      <c r="C65" s="960"/>
      <c r="D65" s="248"/>
      <c r="E65" s="249"/>
      <c r="F65" s="249"/>
      <c r="G65" s="249"/>
      <c r="H65" s="246">
        <f>IF(C67&lt;&gt;0,1,0)</f>
        <v>1</v>
      </c>
      <c r="I65" s="246"/>
      <c r="J65" s="206"/>
      <c r="K65" s="206"/>
    </row>
    <row r="66" spans="1:11" ht="30" thickTop="1" thickBot="1">
      <c r="A66" s="206"/>
      <c r="B66" s="961" t="s">
        <v>1098</v>
      </c>
      <c r="C66" s="962"/>
      <c r="D66" s="250" t="s">
        <v>1099</v>
      </c>
      <c r="E66" s="250" t="s">
        <v>1100</v>
      </c>
      <c r="F66" s="251" t="s">
        <v>1101</v>
      </c>
      <c r="G66" s="252" t="s">
        <v>1102</v>
      </c>
      <c r="H66" s="246">
        <f>H65</f>
        <v>1</v>
      </c>
      <c r="I66" s="246"/>
      <c r="J66" s="206"/>
      <c r="K66" s="206"/>
    </row>
    <row r="67" spans="1:11" ht="29.25" thickTop="1">
      <c r="A67" s="206"/>
      <c r="B67" s="263">
        <v>1</v>
      </c>
      <c r="C67" s="267" t="str">
        <f>WSFIQIH!$C$6</f>
        <v>3.1 Mengenal  ketentuan salat sunah  rawatib</v>
      </c>
      <c r="D67" s="265" t="str">
        <f>VLOOKUP(G1,datauas,158)</f>
        <v/>
      </c>
      <c r="E67" s="265" t="str">
        <f>VLOOKUP(G1,datauas,159)</f>
        <v/>
      </c>
      <c r="F67" s="265" t="str">
        <f>VLOOKUP(G1,datauas,160)</f>
        <v>P</v>
      </c>
      <c r="G67" s="268" t="str">
        <f>VLOOKUP(G1,datauas,161)</f>
        <v/>
      </c>
      <c r="H67" s="246">
        <f>IF(C67&lt;&gt;0,1,0)</f>
        <v>1</v>
      </c>
      <c r="I67" s="246"/>
      <c r="J67" s="206"/>
      <c r="K67" s="206"/>
    </row>
    <row r="68" spans="1:11" ht="28.5">
      <c r="A68" s="206"/>
      <c r="B68" s="263">
        <v>2</v>
      </c>
      <c r="C68" s="264" t="str">
        <f>WSFIQIH!$C$19</f>
        <v>3.2 Mengetahui  hikmah salat sunah rawatib</v>
      </c>
      <c r="D68" s="265" t="str">
        <f>VLOOKUP(G1,datauas,162)</f>
        <v/>
      </c>
      <c r="E68" s="265" t="str">
        <f>VLOOKUP(G1,datauas,163)</f>
        <v/>
      </c>
      <c r="F68" s="265" t="str">
        <f>VLOOKUP(G1,datauas,164)</f>
        <v/>
      </c>
      <c r="G68" s="268" t="str">
        <f>VLOOKUP(G1,datauas,165)</f>
        <v>P</v>
      </c>
      <c r="H68" s="246">
        <f t="shared" ref="H68:H79" si="3">IF(C68&lt;&gt;0,1,0)</f>
        <v>1</v>
      </c>
      <c r="I68" s="246"/>
      <c r="J68" s="206"/>
      <c r="K68" s="206"/>
    </row>
    <row r="69" spans="1:11" ht="28.5">
      <c r="A69" s="206"/>
      <c r="B69" s="269">
        <v>3</v>
      </c>
      <c r="C69" s="270" t="str">
        <f>WSFIQIH!$C$28</f>
        <v>3.3 Mempratikkan tata cara salat rawatib</v>
      </c>
      <c r="D69" s="271" t="str">
        <f>VLOOKUP(G1,datauas,166)</f>
        <v/>
      </c>
      <c r="E69" s="271" t="str">
        <f>VLOOKUP(G1,datauas,167)</f>
        <v>P</v>
      </c>
      <c r="F69" s="271" t="str">
        <f>VLOOKUP(G1,datauas,168)</f>
        <v/>
      </c>
      <c r="G69" s="272" t="str">
        <f>VLOOKUP(G1,datauas,169)</f>
        <v/>
      </c>
      <c r="H69" s="246">
        <f t="shared" si="3"/>
        <v>1</v>
      </c>
      <c r="I69" s="246"/>
      <c r="J69" s="206"/>
      <c r="K69" s="206"/>
    </row>
    <row r="70" spans="1:11" ht="28.5">
      <c r="A70" s="206"/>
      <c r="B70" s="273">
        <v>4</v>
      </c>
      <c r="C70" s="274" t="str">
        <f>WSFIQIH!$C$41</f>
        <v>3.4 Menjelaskan tata cara tayamum bagi orang sakit.</v>
      </c>
      <c r="D70" s="275" t="str">
        <f>VLOOKUP(G1,datauas,170)</f>
        <v/>
      </c>
      <c r="E70" s="275" t="str">
        <f>VLOOKUP(G1,datauas,171)</f>
        <v/>
      </c>
      <c r="F70" s="275" t="str">
        <f>VLOOKUP(G1,datauas,172)</f>
        <v>P</v>
      </c>
      <c r="G70" s="276" t="str">
        <f>VLOOKUP(G1,datauas,173)</f>
        <v/>
      </c>
      <c r="H70" s="246">
        <f t="shared" si="3"/>
        <v>1</v>
      </c>
      <c r="I70" s="246"/>
      <c r="J70" s="206"/>
      <c r="K70" s="206"/>
    </row>
    <row r="71" spans="1:11" ht="28.5">
      <c r="A71" s="206"/>
      <c r="B71" s="263">
        <v>5</v>
      </c>
      <c r="C71" s="264" t="str">
        <f>WSFIQIH!$C$49</f>
        <v>3.5 Mempraktikkan tayamum bagi orang sakit.</v>
      </c>
      <c r="D71" s="265" t="str">
        <f>VLOOKUP(G1,datauas,174)</f>
        <v/>
      </c>
      <c r="E71" s="265" t="str">
        <f>VLOOKUP(G1,datauas,175)</f>
        <v/>
      </c>
      <c r="F71" s="265" t="str">
        <f>VLOOKUP(G1,datauas,176)</f>
        <v/>
      </c>
      <c r="G71" s="268" t="str">
        <f>VLOOKUP(G1,datauas,177)</f>
        <v/>
      </c>
      <c r="H71" s="246">
        <f t="shared" si="3"/>
        <v>1</v>
      </c>
      <c r="I71" s="246"/>
      <c r="J71" s="206"/>
      <c r="K71" s="206"/>
    </row>
    <row r="72" spans="1:11" ht="28.5">
      <c r="A72" s="206"/>
      <c r="B72" s="263">
        <v>6</v>
      </c>
      <c r="C72" s="264" t="str">
        <f>WSFIQIH!$C$62</f>
        <v>4.1 Memahami  tata cara salat bagi orang  sakit.</v>
      </c>
      <c r="D72" s="265" t="str">
        <f>VLOOKUP(G1,datauas,178)</f>
        <v/>
      </c>
      <c r="E72" s="265" t="str">
        <f>VLOOKUP(G1,datauas,179)</f>
        <v/>
      </c>
      <c r="F72" s="265" t="str">
        <f>VLOOKUP(G1,datauas,180)</f>
        <v/>
      </c>
      <c r="G72" s="268" t="str">
        <f>VLOOKUP(G1,datauas,181)</f>
        <v>P</v>
      </c>
      <c r="H72" s="246">
        <f t="shared" si="3"/>
        <v>1</v>
      </c>
      <c r="I72" s="246"/>
      <c r="J72" s="206"/>
      <c r="K72" s="206"/>
    </row>
    <row r="73" spans="1:11" ht="28.5">
      <c r="A73" s="206"/>
      <c r="B73" s="263">
        <v>7</v>
      </c>
      <c r="C73" s="264" t="str">
        <f>WSFIQIH!$C$71</f>
        <v>4.2 Mengetahui hikmah salat bagi orang sakit</v>
      </c>
      <c r="D73" s="265" t="str">
        <f>VLOOKUP(G1,datauas,182)</f>
        <v/>
      </c>
      <c r="E73" s="265" t="str">
        <f>VLOOKUP(G1,datauas,183)</f>
        <v/>
      </c>
      <c r="F73" s="265" t="str">
        <f>VLOOKUP(G1,datauas,184)</f>
        <v>P</v>
      </c>
      <c r="G73" s="268" t="str">
        <f>VLOOKUP(G1,datauas,185)</f>
        <v/>
      </c>
      <c r="H73" s="246">
        <f t="shared" si="3"/>
        <v>1</v>
      </c>
      <c r="I73" s="246"/>
      <c r="J73" s="206"/>
      <c r="K73" s="206"/>
    </row>
    <row r="74" spans="1:11" ht="29.25" thickBot="1">
      <c r="A74" s="206"/>
      <c r="B74" s="263">
        <v>8</v>
      </c>
      <c r="C74" s="264" t="str">
        <f>WSFIQIH!$C$80</f>
        <v>4.3 Mendemonstrasikan cara salat dalam keadaan sakit.</v>
      </c>
      <c r="D74" s="265" t="str">
        <f>VLOOKUP(G1,datauas,186)</f>
        <v/>
      </c>
      <c r="E74" s="265" t="str">
        <f>VLOOKUP(G1,datauas,187)</f>
        <v>P</v>
      </c>
      <c r="F74" s="265" t="str">
        <f>VLOOKUP(G1,datauas,188)</f>
        <v/>
      </c>
      <c r="G74" s="268" t="str">
        <f>VLOOKUP(G1,datauas,189)</f>
        <v/>
      </c>
      <c r="H74" s="246">
        <f t="shared" si="3"/>
        <v>1</v>
      </c>
      <c r="I74" s="246"/>
      <c r="J74" s="206"/>
      <c r="K74" s="206"/>
    </row>
    <row r="75" spans="1:11" ht="27" hidden="1">
      <c r="A75" s="206"/>
      <c r="B75" s="263">
        <v>9</v>
      </c>
      <c r="C75" s="264">
        <f>WSFIQIH!$C$88</f>
        <v>0</v>
      </c>
      <c r="D75" s="265" t="str">
        <f>VLOOKUP(G1,datauas,190)</f>
        <v/>
      </c>
      <c r="E75" s="265" t="str">
        <f>VLOOKUP(G1,datauas,191)</f>
        <v/>
      </c>
      <c r="F75" s="265" t="str">
        <f>VLOOKUP(G1,datauas,192)</f>
        <v/>
      </c>
      <c r="G75" s="268" t="str">
        <f>VLOOKUP(G1,datauas,193)</f>
        <v/>
      </c>
      <c r="H75" s="246">
        <f t="shared" si="3"/>
        <v>0</v>
      </c>
      <c r="I75" s="246"/>
      <c r="J75" s="206"/>
      <c r="K75" s="206"/>
    </row>
    <row r="76" spans="1:11" ht="27" hidden="1">
      <c r="A76" s="206"/>
      <c r="B76" s="263">
        <v>10</v>
      </c>
      <c r="C76" s="264">
        <f>WSFIQIH!$C$96</f>
        <v>0</v>
      </c>
      <c r="D76" s="265" t="str">
        <f>VLOOKUP(G1,datauas,194)</f>
        <v/>
      </c>
      <c r="E76" s="265" t="str">
        <f>VLOOKUP(G1,datauas,195)</f>
        <v/>
      </c>
      <c r="F76" s="265" t="str">
        <f>VLOOKUP(G1,datauas,196)</f>
        <v/>
      </c>
      <c r="G76" s="268" t="str">
        <f>VLOOKUP(G1,datauas,197)</f>
        <v/>
      </c>
      <c r="H76" s="246">
        <f t="shared" si="3"/>
        <v>0</v>
      </c>
      <c r="I76" s="246"/>
      <c r="J76" s="206"/>
      <c r="K76" s="206"/>
    </row>
    <row r="77" spans="1:11" ht="27" hidden="1">
      <c r="A77" s="206"/>
      <c r="B77" s="263">
        <v>11</v>
      </c>
      <c r="C77" s="264">
        <f>WSFIQIH!$C$104</f>
        <v>0</v>
      </c>
      <c r="D77" s="265" t="str">
        <f>VLOOKUP(G1,datauas,198)</f>
        <v/>
      </c>
      <c r="E77" s="265" t="str">
        <f>VLOOKUP(G1,datauas,199)</f>
        <v/>
      </c>
      <c r="F77" s="265" t="str">
        <f>VLOOKUP(G1,datauas,200)</f>
        <v/>
      </c>
      <c r="G77" s="268" t="str">
        <f>VLOOKUP(G1,datauas,201)</f>
        <v/>
      </c>
      <c r="H77" s="246">
        <f t="shared" si="3"/>
        <v>0</v>
      </c>
      <c r="I77" s="246"/>
      <c r="J77" s="206"/>
      <c r="K77" s="206"/>
    </row>
    <row r="78" spans="1:11" ht="27" hidden="1">
      <c r="A78" s="206"/>
      <c r="B78" s="263">
        <v>12</v>
      </c>
      <c r="C78" s="264">
        <f>WSFIQIH!$C$112</f>
        <v>0</v>
      </c>
      <c r="D78" s="265" t="str">
        <f>VLOOKUP(G1,datauas,202)</f>
        <v/>
      </c>
      <c r="E78" s="265" t="str">
        <f>VLOOKUP(G1,datauas,203)</f>
        <v/>
      </c>
      <c r="F78" s="265" t="str">
        <f>VLOOKUP(G1,datauas,204)</f>
        <v/>
      </c>
      <c r="G78" s="268" t="str">
        <f>VLOOKUP(G1,datauas,205)</f>
        <v/>
      </c>
      <c r="H78" s="246">
        <f t="shared" si="3"/>
        <v>0</v>
      </c>
      <c r="I78" s="246"/>
      <c r="J78" s="206"/>
      <c r="K78" s="206"/>
    </row>
    <row r="79" spans="1:11" ht="27.75" hidden="1" thickBot="1">
      <c r="A79" s="206"/>
      <c r="B79" s="263">
        <v>13</v>
      </c>
      <c r="C79" s="264">
        <f>WSFIQIH!$C$120</f>
        <v>0</v>
      </c>
      <c r="D79" s="265" t="str">
        <f>VLOOKUP(G1,datauas,206)</f>
        <v/>
      </c>
      <c r="E79" s="265" t="str">
        <f>VLOOKUP(G1,datauas,207)</f>
        <v/>
      </c>
      <c r="F79" s="265" t="str">
        <f>VLOOKUP(G1,datauas,208)</f>
        <v/>
      </c>
      <c r="G79" s="268" t="str">
        <f>VLOOKUP(G1,datauas,209)</f>
        <v/>
      </c>
      <c r="H79" s="246">
        <f t="shared" si="3"/>
        <v>0</v>
      </c>
      <c r="I79" s="246"/>
      <c r="J79" s="206"/>
      <c r="K79" s="206"/>
    </row>
    <row r="80" spans="1:11" ht="15.75" thickTop="1" thickBot="1">
      <c r="A80" s="206"/>
      <c r="B80" s="963" t="s">
        <v>1103</v>
      </c>
      <c r="C80" s="964"/>
      <c r="D80" s="978" t="str">
        <f>IF(VLOOKUP($G$1,lager,6)&lt;58.25,"-",IF(AND(VLOOKUP($G$1,lager,6)&gt;=58.25,VLOOKUP($G$1,lager,6)&lt;=66.4),"B-",IF(AND(VLOOKUP($G$1,lager,6)&gt;=66.5,VLOOKUP($G$1,lager,6)&lt;=74.9),"B",IF(AND(VLOOKUP($G$1,lager,6)&gt;=75,VLOOKUP($G$1,lager,6)&lt;=83.24),"B+",IF(AND(VLOOKUP($G$1,lager,6)&gt;=83.25,VLOOKUP($G$1,lager,6)&lt;91.5),"A-",IF(AND(VLOOKUP($G$1,lager,6)&gt;=91.5,VLOOKUP($G$1,lager,6)&lt;=100),"A"))))))</f>
        <v>-</v>
      </c>
      <c r="E80" s="964"/>
      <c r="F80" s="964"/>
      <c r="G80" s="979"/>
      <c r="H80" s="246">
        <f>IF(C67&lt;&gt;0,1,0)</f>
        <v>1</v>
      </c>
      <c r="I80" s="246"/>
      <c r="J80" s="206"/>
      <c r="K80" s="206"/>
    </row>
    <row r="81" spans="1:11" ht="72" customHeight="1" thickTop="1" thickBot="1">
      <c r="A81" s="206"/>
      <c r="B81" s="957" t="str">
        <f>VLOOKUP(G1,CATATAN,52)</f>
        <v xml:space="preserve">Ananda sudah mampu menguasai tata cara wudu, menyebutkan hal-hal yang membatalkan wudu, manfaat wudu, dan juga hafal niat serta doa setelah wudu. Selain itu ananda juga sudah menguasai tata cara tayamum, hal-hal yang membatalkan tayamum, menyebutkan sebab tayamum, serta praktik tayamum. </v>
      </c>
      <c r="C81" s="958"/>
      <c r="D81" s="958"/>
      <c r="E81" s="958"/>
      <c r="F81" s="958"/>
      <c r="G81" s="959"/>
      <c r="H81" s="246">
        <f>IF(C67&lt;&gt;0,1,0)</f>
        <v>1</v>
      </c>
      <c r="I81" s="246"/>
      <c r="J81" s="206"/>
      <c r="K81" s="206"/>
    </row>
    <row r="82" spans="1:11" ht="15" thickTop="1">
      <c r="A82" s="206"/>
      <c r="H82" s="246">
        <f>IF(C85&lt;&gt;0,1,0)</f>
        <v>1</v>
      </c>
      <c r="I82" s="246"/>
      <c r="J82" s="206"/>
      <c r="K82" s="206"/>
    </row>
    <row r="83" spans="1:11" ht="15" thickBot="1">
      <c r="A83" s="206"/>
      <c r="B83" s="960" t="s">
        <v>1119</v>
      </c>
      <c r="C83" s="960"/>
      <c r="D83" s="248"/>
      <c r="E83" s="249"/>
      <c r="F83" s="249"/>
      <c r="G83" s="249"/>
      <c r="H83" s="246">
        <f>IF(C85&lt;&gt;0,1,0)</f>
        <v>1</v>
      </c>
      <c r="I83" s="246"/>
      <c r="J83" s="206"/>
      <c r="K83" s="206"/>
    </row>
    <row r="84" spans="1:11" ht="30" thickTop="1" thickBot="1">
      <c r="A84" s="206"/>
      <c r="B84" s="961" t="s">
        <v>1098</v>
      </c>
      <c r="C84" s="962"/>
      <c r="D84" s="250" t="s">
        <v>1099</v>
      </c>
      <c r="E84" s="250" t="s">
        <v>1100</v>
      </c>
      <c r="F84" s="251" t="s">
        <v>1101</v>
      </c>
      <c r="G84" s="252" t="s">
        <v>1102</v>
      </c>
      <c r="H84" s="246">
        <f>H83</f>
        <v>1</v>
      </c>
      <c r="I84" s="246"/>
      <c r="J84" s="206"/>
      <c r="K84" s="206"/>
    </row>
    <row r="85" spans="1:11" ht="29.25" thickTop="1">
      <c r="A85" s="206"/>
      <c r="B85" s="263">
        <v>1</v>
      </c>
      <c r="C85" s="267" t="str">
        <f>WSPKN!$C$6</f>
        <v>Memahami arti gambar pada lambang "Garuda Pancasila"</v>
      </c>
      <c r="D85" s="265" t="str">
        <f>VLOOKUP(G1,datauas,210)</f>
        <v/>
      </c>
      <c r="E85" s="265" t="str">
        <f>VLOOKUP(G1,datauas,211)</f>
        <v/>
      </c>
      <c r="F85" s="265" t="str">
        <f>VLOOKUP(G1,datauas,212)</f>
        <v/>
      </c>
      <c r="G85" s="268" t="str">
        <f>VLOOKUP(G1,datauas,213)</f>
        <v>P</v>
      </c>
      <c r="H85" s="246">
        <f>IF(C85&lt;&gt;0,1,0)</f>
        <v>1</v>
      </c>
      <c r="I85" s="246"/>
      <c r="J85" s="206"/>
      <c r="K85" s="206"/>
    </row>
    <row r="86" spans="1:11" ht="42.75">
      <c r="A86" s="206"/>
      <c r="B86" s="263">
        <v>2</v>
      </c>
      <c r="C86" s="264" t="str">
        <f>WSPKN!$C$32</f>
        <v>Mengidentifikasi kewajiban dan hak sebagai anggota keluarga dan warga sekolah</v>
      </c>
      <c r="D86" s="265" t="str">
        <f>VLOOKUP(G1,datauas,214)</f>
        <v/>
      </c>
      <c r="E86" s="265" t="str">
        <f>VLOOKUP(G1,datauas,215)</f>
        <v/>
      </c>
      <c r="F86" s="265" t="str">
        <f>VLOOKUP(G1,datauas,216)</f>
        <v/>
      </c>
      <c r="G86" s="268" t="str">
        <f>VLOOKUP(G1,datauas,217)</f>
        <v>P</v>
      </c>
      <c r="H86" s="246">
        <f t="shared" ref="H86:H97" si="4">IF(C86&lt;&gt;0,1,0)</f>
        <v>1</v>
      </c>
      <c r="I86" s="246"/>
      <c r="J86" s="206"/>
      <c r="K86" s="206"/>
    </row>
    <row r="87" spans="1:11" ht="42.75">
      <c r="A87" s="206"/>
      <c r="B87" s="263">
        <v>3</v>
      </c>
      <c r="C87" s="264" t="str">
        <f>WSPKN!$C$55</f>
        <v>Menjelaskan makna keberagaman karakteristik individu di lingkungan sekitar</v>
      </c>
      <c r="D87" s="265" t="str">
        <f>VLOOKUP(G1,datauas,218)</f>
        <v/>
      </c>
      <c r="E87" s="265" t="str">
        <f>VLOOKUP(G1,datauas,219)</f>
        <v/>
      </c>
      <c r="F87" s="265" t="str">
        <f>VLOOKUP(G1,datauas,220)</f>
        <v/>
      </c>
      <c r="G87" s="268" t="str">
        <f>VLOOKUP(G1,datauas,221)</f>
        <v>P</v>
      </c>
      <c r="H87" s="246">
        <f t="shared" si="4"/>
        <v>1</v>
      </c>
      <c r="I87" s="246"/>
      <c r="J87" s="206"/>
      <c r="K87" s="206"/>
    </row>
    <row r="88" spans="1:11" ht="28.5">
      <c r="A88" s="206"/>
      <c r="B88" s="263">
        <v>4</v>
      </c>
      <c r="C88" s="264" t="str">
        <f>WSPKN!$C$72</f>
        <v>Memahami makna bersatu dalam keberagaman di lingkungan sekitar</v>
      </c>
      <c r="D88" s="265" t="str">
        <f>VLOOKUP(G1,datauas,222)</f>
        <v/>
      </c>
      <c r="E88" s="265" t="str">
        <f>VLOOKUP(G1,datauas,223)</f>
        <v/>
      </c>
      <c r="F88" s="265" t="str">
        <f>VLOOKUP(G1,datauas,224)</f>
        <v/>
      </c>
      <c r="G88" s="268" t="str">
        <f>VLOOKUP(G1,datauas,225)</f>
        <v>P</v>
      </c>
      <c r="H88" s="246">
        <f t="shared" si="4"/>
        <v>1</v>
      </c>
      <c r="I88" s="246"/>
      <c r="J88" s="206"/>
      <c r="K88" s="206"/>
    </row>
    <row r="89" spans="1:11" ht="28.5">
      <c r="A89" s="206"/>
      <c r="B89" s="263">
        <v>5</v>
      </c>
      <c r="C89" s="264" t="str">
        <f>WSPKN!$C$86</f>
        <v>Menceritakan arti gambar pada lambang negara "Garuda Pancasila"</v>
      </c>
      <c r="D89" s="265" t="str">
        <f>VLOOKUP(G1,datauas,226)</f>
        <v/>
      </c>
      <c r="E89" s="265" t="str">
        <f>VLOOKUP(G1,datauas,227)</f>
        <v/>
      </c>
      <c r="F89" s="265" t="str">
        <f>VLOOKUP(G1,datauas,228)</f>
        <v/>
      </c>
      <c r="G89" s="268" t="str">
        <f>VLOOKUP(G1,datauas,229)</f>
        <v>P</v>
      </c>
      <c r="H89" s="246">
        <f t="shared" si="4"/>
        <v>1</v>
      </c>
      <c r="I89" s="246"/>
      <c r="J89" s="206"/>
      <c r="K89" s="206"/>
    </row>
    <row r="90" spans="1:11" ht="42.75">
      <c r="A90" s="206"/>
      <c r="B90" s="263">
        <v>6</v>
      </c>
      <c r="C90" s="264" t="str">
        <f>WSPKN!$C$108</f>
        <v>Menyajikan hasil identifikasi kewajiban dan hak sebagai anggota keluarga dan warga sekolah</v>
      </c>
      <c r="D90" s="265" t="str">
        <f>VLOOKUP(G1,datauas,230)</f>
        <v/>
      </c>
      <c r="E90" s="265" t="str">
        <f>VLOOKUP(G1,datauas,231)</f>
        <v/>
      </c>
      <c r="F90" s="265" t="str">
        <f>VLOOKUP(G1,datauas,232)</f>
        <v/>
      </c>
      <c r="G90" s="268" t="str">
        <f>VLOOKUP(G1,datauas,233)</f>
        <v>P</v>
      </c>
      <c r="H90" s="246">
        <f t="shared" si="4"/>
        <v>1</v>
      </c>
      <c r="I90" s="246"/>
      <c r="J90" s="206"/>
      <c r="K90" s="206"/>
    </row>
    <row r="91" spans="1:11" ht="42.75">
      <c r="A91" s="206"/>
      <c r="B91" s="263">
        <v>7</v>
      </c>
      <c r="C91" s="264" t="str">
        <f>WSPKN!$C$132</f>
        <v>Menyajikan makna keberagaman karakteristik individu di lingkungan sekitar</v>
      </c>
      <c r="D91" s="265" t="str">
        <f>VLOOKUP(G1,datauas,234)</f>
        <v/>
      </c>
      <c r="E91" s="265" t="str">
        <f>VLOOKUP(G1,datauas,235)</f>
        <v/>
      </c>
      <c r="F91" s="265" t="str">
        <f>VLOOKUP(G1,datauas,236)</f>
        <v/>
      </c>
      <c r="G91" s="268" t="str">
        <f>VLOOKUP(G1,datauas,237)</f>
        <v>P</v>
      </c>
      <c r="H91" s="246">
        <f t="shared" si="4"/>
        <v>1</v>
      </c>
      <c r="I91" s="246"/>
      <c r="J91" s="206"/>
      <c r="K91" s="206"/>
    </row>
    <row r="92" spans="1:11" ht="43.5" thickBot="1">
      <c r="A92" s="206"/>
      <c r="B92" s="263">
        <v>8</v>
      </c>
      <c r="C92" s="264" t="str">
        <f>WSPKN!$C$148</f>
        <v>Menyajikan bentuk-bentuk kebersatuan dalam keberagaman di lingkungan sekitar</v>
      </c>
      <c r="D92" s="265" t="str">
        <f>VLOOKUP(G1,datauas,238)</f>
        <v/>
      </c>
      <c r="E92" s="265" t="str">
        <f>VLOOKUP(G1,datauas,239)</f>
        <v/>
      </c>
      <c r="F92" s="265" t="str">
        <f>VLOOKUP(G1,datauas,240)</f>
        <v/>
      </c>
      <c r="G92" s="268" t="str">
        <f>VLOOKUP(G1,datauas,241)</f>
        <v>P</v>
      </c>
      <c r="H92" s="246">
        <f t="shared" si="4"/>
        <v>1</v>
      </c>
      <c r="I92" s="246"/>
      <c r="J92" s="206"/>
      <c r="K92" s="206"/>
    </row>
    <row r="93" spans="1:11" ht="27" hidden="1">
      <c r="A93" s="206"/>
      <c r="B93" s="263">
        <v>9</v>
      </c>
      <c r="C93" s="264">
        <f>WSPKN!$C$165</f>
        <v>0</v>
      </c>
      <c r="D93" s="265" t="str">
        <f>VLOOKUP(G1,datauas,242)</f>
        <v/>
      </c>
      <c r="E93" s="265" t="str">
        <f>VLOOKUP(G1,datauas,243)</f>
        <v/>
      </c>
      <c r="F93" s="265" t="str">
        <f>VLOOKUP(G1,datauas,244)</f>
        <v/>
      </c>
      <c r="G93" s="268" t="str">
        <f>VLOOKUP(G1,datauas,245)</f>
        <v/>
      </c>
      <c r="H93" s="246">
        <f t="shared" si="4"/>
        <v>0</v>
      </c>
      <c r="I93" s="246"/>
      <c r="J93" s="206"/>
      <c r="K93" s="206"/>
    </row>
    <row r="94" spans="1:11" ht="27" hidden="1">
      <c r="A94" s="206"/>
      <c r="B94" s="263">
        <v>10</v>
      </c>
      <c r="C94" s="264">
        <f>WSPKN!$C$173</f>
        <v>0</v>
      </c>
      <c r="D94" s="265" t="str">
        <f>VLOOKUP(G1,datauas,246)</f>
        <v/>
      </c>
      <c r="E94" s="265" t="str">
        <f>VLOOKUP(G1,datauas,247)</f>
        <v/>
      </c>
      <c r="F94" s="265" t="str">
        <f>VLOOKUP(G1,datauas,248)</f>
        <v/>
      </c>
      <c r="G94" s="268" t="str">
        <f>VLOOKUP(G1,datauas,249)</f>
        <v/>
      </c>
      <c r="H94" s="246">
        <f t="shared" si="4"/>
        <v>0</v>
      </c>
      <c r="I94" s="246"/>
      <c r="J94" s="206"/>
      <c r="K94" s="206"/>
    </row>
    <row r="95" spans="1:11" ht="27" hidden="1">
      <c r="A95" s="206"/>
      <c r="B95" s="263">
        <v>11</v>
      </c>
      <c r="C95" s="264">
        <f>WSPKN!$C$181</f>
        <v>0</v>
      </c>
      <c r="D95" s="265" t="str">
        <f>VLOOKUP(G1,datauas,250)</f>
        <v/>
      </c>
      <c r="E95" s="265" t="str">
        <f>VLOOKUP(G1,datauas,251)</f>
        <v/>
      </c>
      <c r="F95" s="265" t="str">
        <f>VLOOKUP(G1,datauas,252)</f>
        <v/>
      </c>
      <c r="G95" s="268" t="str">
        <f>VLOOKUP(G1,datauas,253)</f>
        <v/>
      </c>
      <c r="H95" s="246">
        <f t="shared" si="4"/>
        <v>0</v>
      </c>
      <c r="I95" s="246"/>
      <c r="J95" s="206"/>
      <c r="K95" s="206"/>
    </row>
    <row r="96" spans="1:11" ht="27" hidden="1">
      <c r="A96" s="206"/>
      <c r="B96" s="263">
        <v>12</v>
      </c>
      <c r="C96" s="264">
        <f>WSPKN!$C$189</f>
        <v>0</v>
      </c>
      <c r="D96" s="265" t="str">
        <f>VLOOKUP(G1,datauas,254)</f>
        <v/>
      </c>
      <c r="E96" s="265" t="str">
        <f>VLOOKUP(G1,datauas,255)</f>
        <v/>
      </c>
      <c r="F96" s="265" t="str">
        <f>VLOOKUP(G1,datauas,256)</f>
        <v/>
      </c>
      <c r="G96" s="268" t="str">
        <f>VLOOKUP(G1,datauas,257)</f>
        <v/>
      </c>
      <c r="H96" s="246">
        <f t="shared" si="4"/>
        <v>0</v>
      </c>
      <c r="I96" s="246"/>
      <c r="J96" s="206"/>
      <c r="K96" s="206"/>
    </row>
    <row r="97" spans="1:11" ht="27.75" hidden="1" thickBot="1">
      <c r="A97" s="206"/>
      <c r="B97" s="263">
        <v>13</v>
      </c>
      <c r="C97" s="264">
        <f>WSPKN!$C$197</f>
        <v>0</v>
      </c>
      <c r="D97" s="265" t="str">
        <f>VLOOKUP(G1,datauas,258)</f>
        <v/>
      </c>
      <c r="E97" s="265" t="str">
        <f>VLOOKUP(G1,datauas,259)</f>
        <v/>
      </c>
      <c r="F97" s="265" t="str">
        <f>VLOOKUP(G1,datauas,260)</f>
        <v/>
      </c>
      <c r="G97" s="268" t="str">
        <f>VLOOKUP(G1,datauas,261)</f>
        <v/>
      </c>
      <c r="H97" s="246">
        <f t="shared" si="4"/>
        <v>0</v>
      </c>
      <c r="I97" s="246"/>
      <c r="J97" s="206"/>
      <c r="K97" s="206"/>
    </row>
    <row r="98" spans="1:11" ht="15.75" thickTop="1" thickBot="1">
      <c r="A98" s="206"/>
      <c r="B98" s="963" t="s">
        <v>1103</v>
      </c>
      <c r="C98" s="964"/>
      <c r="D98" s="978" t="str">
        <f>IF(VLOOKUP($G$1,lager,8)&lt;58.25,"-",IF(AND(VLOOKUP($G$1,lager,8)&gt;=58.25,VLOOKUP($G$1,lager,8)&lt;=66.4),"B-",IF(AND(VLOOKUP($G$1,lager,8)&gt;=66.5,VLOOKUP($G$1,lager,8)&lt;=74.9),"B",IF(AND(VLOOKUP($G$1,lager,8)&gt;=75,VLOOKUP($G$1,lager,8)&lt;=83.24),"B+",IF(AND(VLOOKUP($G$1,lager,8)&gt;=83.25,VLOOKUP($G$1,lager,8)&lt;91.5),"A-",IF(AND(VLOOKUP($G$1,lager,8)&gt;=91.5,VLOOKUP($G$1,lager,8)&lt;=100),"A"))))))</f>
        <v>B</v>
      </c>
      <c r="E98" s="964"/>
      <c r="F98" s="964"/>
      <c r="G98" s="979"/>
      <c r="H98" s="246">
        <f>IF(C85&lt;&gt;0,1,0)</f>
        <v>1</v>
      </c>
      <c r="I98" s="246"/>
      <c r="J98" s="206"/>
      <c r="K98" s="206"/>
    </row>
    <row r="99" spans="1:11" ht="72" customHeight="1" thickTop="1" thickBot="1">
      <c r="A99" s="206"/>
      <c r="B99" s="957" t="str">
        <f>VLOOKUP(G1,CATATAN,86)</f>
        <v>Kemampuan ananda dalam memahami materi yang telah diberikan sudah bagus. Akan tetapi ananda masih perlu meningkatkan kemampuannya dalam mengenal Hak dan kewajiban. Ok, tetap semangat belajar dan jangan pernah putus asa ya kak.</v>
      </c>
      <c r="C99" s="958"/>
      <c r="D99" s="958"/>
      <c r="E99" s="958"/>
      <c r="F99" s="958"/>
      <c r="G99" s="959"/>
      <c r="H99" s="246">
        <f>IF(C85&lt;&gt;0,1,0)</f>
        <v>1</v>
      </c>
      <c r="I99" s="246"/>
      <c r="J99" s="206"/>
      <c r="K99" s="206"/>
    </row>
    <row r="100" spans="1:11" ht="15" thickTop="1">
      <c r="A100" s="206"/>
      <c r="H100" s="246">
        <f>IF(C104&lt;&gt;0,1,0)</f>
        <v>1</v>
      </c>
      <c r="I100" s="246"/>
      <c r="J100" s="206"/>
      <c r="K100" s="206"/>
    </row>
    <row r="101" spans="1:11" ht="15" thickBot="1">
      <c r="A101" s="206"/>
      <c r="B101" s="960" t="s">
        <v>1120</v>
      </c>
      <c r="C101" s="960"/>
      <c r="D101" s="248"/>
      <c r="E101" s="249"/>
      <c r="F101" s="249"/>
      <c r="G101" s="249"/>
      <c r="H101" s="246">
        <f>IF(C104&lt;&gt;0,1,0)</f>
        <v>1</v>
      </c>
      <c r="I101" s="246"/>
      <c r="J101" s="206"/>
      <c r="K101" s="206"/>
    </row>
    <row r="102" spans="1:11" ht="30" thickTop="1" thickBot="1">
      <c r="A102" s="206"/>
      <c r="B102" s="961" t="s">
        <v>1098</v>
      </c>
      <c r="C102" s="962"/>
      <c r="D102" s="250" t="s">
        <v>1099</v>
      </c>
      <c r="E102" s="250" t="s">
        <v>1100</v>
      </c>
      <c r="F102" s="251" t="s">
        <v>1101</v>
      </c>
      <c r="G102" s="252" t="s">
        <v>1102</v>
      </c>
      <c r="H102" s="246">
        <f>H101</f>
        <v>1</v>
      </c>
      <c r="I102" s="246"/>
      <c r="J102" s="206"/>
      <c r="K102" s="206"/>
    </row>
    <row r="103" spans="1:11" ht="15" thickTop="1">
      <c r="A103" s="206"/>
      <c r="B103" s="991" t="s">
        <v>1182</v>
      </c>
      <c r="C103" s="992"/>
      <c r="D103" s="277"/>
      <c r="E103" s="277"/>
      <c r="F103" s="277"/>
      <c r="G103" s="278"/>
      <c r="H103" s="246">
        <f>IF(C104&lt;&gt;0,1,0)</f>
        <v>1</v>
      </c>
      <c r="I103" s="246"/>
      <c r="J103" s="206"/>
      <c r="K103" s="206"/>
    </row>
    <row r="104" spans="1:11" ht="71.25">
      <c r="A104" s="206"/>
      <c r="B104" s="263">
        <v>1</v>
      </c>
      <c r="C104" s="264" t="str">
        <f>WSIND!$C$6</f>
        <v>Menggali informasi tentang konsep perubahan wujud benda dalam kehidupan sehari-hari yang disajikan dalam bentuk lisan, tulis, visual dan atau eksplorasi lingkungan</v>
      </c>
      <c r="D104" s="265" t="str">
        <f>VLOOKUP(G1,datauas,262)</f>
        <v/>
      </c>
      <c r="E104" s="265" t="str">
        <f>VLOOKUP(G1,datauas,263)</f>
        <v/>
      </c>
      <c r="F104" s="265" t="str">
        <f>VLOOKUP(G1,datauas,264)</f>
        <v/>
      </c>
      <c r="G104" s="268" t="str">
        <f>VLOOKUP(G1,datauas,265)</f>
        <v>P</v>
      </c>
      <c r="H104" s="246">
        <f>IF(C104&lt;&gt;0,1,0)</f>
        <v>1</v>
      </c>
      <c r="I104" s="246"/>
      <c r="J104" s="206"/>
      <c r="K104" s="206"/>
    </row>
    <row r="105" spans="1:11" ht="114">
      <c r="A105" s="206"/>
      <c r="B105" s="263">
        <v>2</v>
      </c>
      <c r="C105" s="264" t="str">
        <f>WSIND!$C$65</f>
        <v>Mencermati kosakata dalam teks tentang konsep ciri-ciri kebutuhan (makanan dan tempat hidup), pertumbuhan dan perkembangan makhluk hidup yang ada di lingkungan setempat yang disajikan dalam bentuk lisan, tulis, visual, dan atau eksplorasi lingkungan</v>
      </c>
      <c r="D105" s="265" t="str">
        <f>VLOOKUP(G1,datauas,266)</f>
        <v/>
      </c>
      <c r="E105" s="265" t="str">
        <f>VLOOKUP(G1,datauas,267)</f>
        <v/>
      </c>
      <c r="F105" s="265" t="str">
        <f>VLOOKUP(G1,datauas,268)</f>
        <v/>
      </c>
      <c r="G105" s="268" t="str">
        <f>VLOOKUP(G1,datauas,269)</f>
        <v>P</v>
      </c>
      <c r="H105" s="246">
        <f t="shared" ref="H105:H119" si="5">IF(C105&lt;&gt;0,1,0)</f>
        <v>1</v>
      </c>
      <c r="I105" s="246"/>
      <c r="J105" s="206"/>
      <c r="K105" s="206"/>
    </row>
    <row r="106" spans="1:11" ht="57">
      <c r="A106" s="206"/>
      <c r="B106" s="269">
        <v>3</v>
      </c>
      <c r="C106" s="270" t="str">
        <f>WSIND!$C$113</f>
        <v>Menggali informasi tentang cara perawatan tumbuhan dan hewan melalui wawancara dan atau eksplorasi lingkungan</v>
      </c>
      <c r="D106" s="271" t="str">
        <f>VLOOKUP(G1,datauas,270)</f>
        <v/>
      </c>
      <c r="E106" s="271" t="str">
        <f>VLOOKUP(G1,datauas,271)</f>
        <v/>
      </c>
      <c r="F106" s="271" t="str">
        <f>VLOOKUP(G1,datauas,272)</f>
        <v/>
      </c>
      <c r="G106" s="272" t="str">
        <f>VLOOKUP(G1,datauas,273)</f>
        <v>P</v>
      </c>
      <c r="H106" s="246">
        <f t="shared" si="5"/>
        <v>1</v>
      </c>
      <c r="I106" s="246"/>
      <c r="J106" s="206"/>
      <c r="K106" s="206"/>
    </row>
    <row r="107" spans="1:11" ht="27">
      <c r="A107" s="206"/>
      <c r="B107" s="993" t="s">
        <v>1183</v>
      </c>
      <c r="C107" s="994"/>
      <c r="D107" s="279"/>
      <c r="E107" s="279"/>
      <c r="F107" s="279"/>
      <c r="G107" s="280"/>
      <c r="H107" s="246">
        <f>IF(C108&lt;&gt;0,1,0)</f>
        <v>1</v>
      </c>
      <c r="I107" s="246"/>
      <c r="J107" s="206"/>
      <c r="K107" s="206"/>
    </row>
    <row r="108" spans="1:11" ht="57">
      <c r="A108" s="206"/>
      <c r="B108" s="273">
        <v>4</v>
      </c>
      <c r="C108" s="274" t="str">
        <f>WSIND!$C$133</f>
        <v>Menguraikan pesan dalam dongeng yang disajikan secara lisan, tulis, dan visual dengan tujuan untuk kesenangan</v>
      </c>
      <c r="D108" s="275" t="str">
        <f>VLOOKUP(G1,datauas,274)</f>
        <v/>
      </c>
      <c r="E108" s="275" t="str">
        <f>VLOOKUP(G1,datauas,275)</f>
        <v/>
      </c>
      <c r="F108" s="275" t="str">
        <f>VLOOKUP(G1,datauas,276)</f>
        <v/>
      </c>
      <c r="G108" s="276" t="str">
        <f>VLOOKUP(G1,datauas,277)</f>
        <v>P</v>
      </c>
      <c r="H108" s="246">
        <f t="shared" si="5"/>
        <v>1</v>
      </c>
      <c r="I108" s="246"/>
      <c r="J108" s="206"/>
      <c r="K108" s="206"/>
    </row>
    <row r="109" spans="1:11" ht="42.75">
      <c r="A109" s="206"/>
      <c r="B109" s="263">
        <v>5</v>
      </c>
      <c r="C109" s="264" t="str">
        <f>WSIND!$C$161</f>
        <v>Mencermati ungkapan atau kalimat saran, masukan, dan penyelesaian masalah (sederhana) dalam teks tulis</v>
      </c>
      <c r="D109" s="265" t="str">
        <f>VLOOKUP(G1,datauas,278)</f>
        <v/>
      </c>
      <c r="E109" s="265" t="str">
        <f>VLOOKUP(G1,datauas,279)</f>
        <v/>
      </c>
      <c r="F109" s="265" t="str">
        <f>VLOOKUP(G1,datauas,280)</f>
        <v/>
      </c>
      <c r="G109" s="268" t="str">
        <f>VLOOKUP(G1,datauas,281)</f>
        <v>P</v>
      </c>
      <c r="H109" s="246">
        <f t="shared" si="5"/>
        <v>1</v>
      </c>
      <c r="I109" s="246"/>
      <c r="J109" s="206"/>
      <c r="K109" s="206"/>
    </row>
    <row r="110" spans="1:11" ht="85.5">
      <c r="A110" s="206"/>
      <c r="B110" s="263">
        <v>6</v>
      </c>
      <c r="C110" s="264" t="str">
        <f>WSIND!$C$192</f>
        <v>Menyajikan hasil informasi tentang konsep perubahan wujud benda dalam kehidupan sehari-hari dalam bentuk lisan, tulis, dan visual menggunakan kosakata baku dan kalimat efektif</v>
      </c>
      <c r="D110" s="265" t="str">
        <f>VLOOKUP(G1,datauas,282)</f>
        <v/>
      </c>
      <c r="E110" s="265" t="str">
        <f>VLOOKUP(G1,datauas,283)</f>
        <v/>
      </c>
      <c r="F110" s="265" t="str">
        <f>VLOOKUP(G1,datauas,284)</f>
        <v/>
      </c>
      <c r="G110" s="268" t="str">
        <f>VLOOKUP(G1,datauas,285)</f>
        <v>P</v>
      </c>
      <c r="H110" s="246">
        <f t="shared" si="5"/>
        <v>1</v>
      </c>
      <c r="I110" s="246"/>
      <c r="J110" s="206"/>
      <c r="K110" s="206"/>
    </row>
    <row r="111" spans="1:11" ht="99.75">
      <c r="A111" s="206"/>
      <c r="B111" s="269">
        <v>7</v>
      </c>
      <c r="C111" s="270" t="str">
        <f>WSIND!$C$228</f>
        <v>Menyajikan laporan tentang konsep ciri-ciri, kebutuhan (makanan dan tempat hidup), pertumbuhan dan perkembangan makhluk hidup yang ada di lingkungan setempat secara tertulis menggunakan kosakata baku dan kalimat efektif</v>
      </c>
      <c r="D111" s="271" t="str">
        <f>VLOOKUP(G1,datauas,286)</f>
        <v/>
      </c>
      <c r="E111" s="271" t="str">
        <f>VLOOKUP(G1,datauas,287)</f>
        <v/>
      </c>
      <c r="F111" s="271" t="str">
        <f>VLOOKUP(G1,datauas,288)</f>
        <v/>
      </c>
      <c r="G111" s="272" t="str">
        <f>VLOOKUP(G1,datauas,289)</f>
        <v>P</v>
      </c>
      <c r="H111" s="246">
        <f t="shared" si="5"/>
        <v>1</v>
      </c>
      <c r="I111" s="246"/>
      <c r="J111" s="206"/>
      <c r="K111" s="206"/>
    </row>
    <row r="112" spans="1:11" ht="27">
      <c r="A112" s="206"/>
      <c r="B112" s="993" t="s">
        <v>1184</v>
      </c>
      <c r="C112" s="994"/>
      <c r="D112" s="279"/>
      <c r="E112" s="279"/>
      <c r="F112" s="279"/>
      <c r="G112" s="280"/>
      <c r="H112" s="246">
        <f>IF(C113&lt;&gt;0,1,0)</f>
        <v>1</v>
      </c>
      <c r="I112" s="246"/>
      <c r="J112" s="206"/>
      <c r="K112" s="206"/>
    </row>
    <row r="113" spans="1:11" ht="71.25">
      <c r="A113" s="206"/>
      <c r="B113" s="273">
        <v>8</v>
      </c>
      <c r="C113" s="274" t="str">
        <f>WSIND!$C$256</f>
        <v>Menyajikan hasil wawancara tentang cara-cara perawatan tumbuhan dan hewan dalam bentuk tulis dan visual menggunakan kosakata baku dan kalimat efektif</v>
      </c>
      <c r="D113" s="275" t="str">
        <f>VLOOKUP(G1,datauas,290)</f>
        <v/>
      </c>
      <c r="E113" s="275" t="str">
        <f>VLOOKUP(G1,datauas,291)</f>
        <v/>
      </c>
      <c r="F113" s="275" t="str">
        <f>VLOOKUP(G1,datauas,292)</f>
        <v/>
      </c>
      <c r="G113" s="276" t="str">
        <f>VLOOKUP(G1,datauas,293)</f>
        <v>P</v>
      </c>
      <c r="H113" s="246">
        <f t="shared" si="5"/>
        <v>1</v>
      </c>
      <c r="I113" s="246"/>
      <c r="J113" s="206"/>
      <c r="K113" s="206"/>
    </row>
    <row r="114" spans="1:11" ht="57">
      <c r="A114" s="206"/>
      <c r="B114" s="263">
        <v>9</v>
      </c>
      <c r="C114" s="264" t="str">
        <f>WSIND!$C$277</f>
        <v>Meragakan pesan dalam dongeng sebagai bentuk ungkapan diri menggunakan kosa kata baku dan kalimat efektif</v>
      </c>
      <c r="D114" s="265" t="str">
        <f>VLOOKUP(G1,datauas,294)</f>
        <v/>
      </c>
      <c r="E114" s="265" t="str">
        <f>VLOOKUP(G1,datauas,295)</f>
        <v/>
      </c>
      <c r="F114" s="265" t="str">
        <f>VLOOKUP(G1,datauas,296)</f>
        <v/>
      </c>
      <c r="G114" s="268" t="str">
        <f>VLOOKUP(G1,datauas,297)</f>
        <v>P</v>
      </c>
      <c r="H114" s="246">
        <f t="shared" si="5"/>
        <v>1</v>
      </c>
      <c r="I114" s="246"/>
      <c r="J114" s="206"/>
      <c r="K114" s="206"/>
    </row>
    <row r="115" spans="1:11" ht="27">
      <c r="A115" s="206"/>
      <c r="B115" s="995" t="s">
        <v>1185</v>
      </c>
      <c r="C115" s="996"/>
      <c r="D115" s="281"/>
      <c r="E115" s="281"/>
      <c r="F115" s="281"/>
      <c r="G115" s="282"/>
      <c r="H115" s="246">
        <f>IF(C116&lt;&gt;0,1,0)</f>
        <v>1</v>
      </c>
      <c r="I115" s="246"/>
      <c r="J115" s="206"/>
      <c r="K115" s="206"/>
    </row>
    <row r="116" spans="1:11" ht="86.25" thickBot="1">
      <c r="A116" s="206"/>
      <c r="B116" s="263">
        <v>10</v>
      </c>
      <c r="C116" s="264" t="str">
        <f>WSIND!$C$305</f>
        <v>Meragakan ungkapan atau kalimat saran, masukan, dan penyelesaian masalah (sederhana) sebagai bentuk ungkapan diri menggunakan kosakata baku dan kalimat efektif yang dibuat sendiri</v>
      </c>
      <c r="D116" s="265" t="str">
        <f>VLOOKUP(G1,datauas,298)</f>
        <v/>
      </c>
      <c r="E116" s="265" t="str">
        <f>VLOOKUP(G1,datauas,299)</f>
        <v/>
      </c>
      <c r="F116" s="265" t="str">
        <f>VLOOKUP(G1,datauas,300)</f>
        <v/>
      </c>
      <c r="G116" s="268" t="str">
        <f>VLOOKUP(G1,datauas,301)</f>
        <v>P</v>
      </c>
      <c r="H116" s="246">
        <f t="shared" si="5"/>
        <v>1</v>
      </c>
      <c r="I116" s="246"/>
      <c r="J116" s="206"/>
      <c r="K116" s="206"/>
    </row>
    <row r="117" spans="1:11" ht="27" hidden="1">
      <c r="A117" s="206"/>
      <c r="B117" s="263">
        <v>11</v>
      </c>
      <c r="C117" s="264">
        <f>WSIND!$C$329</f>
        <v>0</v>
      </c>
      <c r="D117" s="265" t="str">
        <f>VLOOKUP(G1,datauas,302)</f>
        <v/>
      </c>
      <c r="E117" s="265" t="str">
        <f>VLOOKUP(G1,datauas,303)</f>
        <v/>
      </c>
      <c r="F117" s="265" t="str">
        <f>VLOOKUP(G1,datauas,304)</f>
        <v/>
      </c>
      <c r="G117" s="268" t="str">
        <f>VLOOKUP(G1,datauas,305)</f>
        <v/>
      </c>
      <c r="H117" s="246">
        <f t="shared" si="5"/>
        <v>0</v>
      </c>
      <c r="I117" s="246"/>
      <c r="J117" s="206"/>
      <c r="K117" s="206"/>
    </row>
    <row r="118" spans="1:11" ht="27" hidden="1">
      <c r="A118" s="206"/>
      <c r="B118" s="263">
        <v>12</v>
      </c>
      <c r="C118" s="264">
        <f>WSIND!$C$337</f>
        <v>0</v>
      </c>
      <c r="D118" s="265" t="str">
        <f>VLOOKUP(G1,datauas,306)</f>
        <v/>
      </c>
      <c r="E118" s="265" t="str">
        <f>VLOOKUP(G1,datauas,307)</f>
        <v/>
      </c>
      <c r="F118" s="265" t="str">
        <f>VLOOKUP(G1,datauas,308)</f>
        <v/>
      </c>
      <c r="G118" s="268" t="str">
        <f>VLOOKUP(G1,datauas,309)</f>
        <v/>
      </c>
      <c r="H118" s="246">
        <f t="shared" si="5"/>
        <v>0</v>
      </c>
      <c r="I118" s="246"/>
      <c r="J118" s="206"/>
      <c r="K118" s="206"/>
    </row>
    <row r="119" spans="1:11" ht="27.75" hidden="1" thickBot="1">
      <c r="A119" s="206"/>
      <c r="B119" s="263">
        <v>13</v>
      </c>
      <c r="C119" s="264">
        <f>WSIND!$C$345</f>
        <v>0</v>
      </c>
      <c r="D119" s="265" t="str">
        <f>VLOOKUP(G1,datauas,310)</f>
        <v/>
      </c>
      <c r="E119" s="265" t="str">
        <f>VLOOKUP(G1,datauas,311)</f>
        <v/>
      </c>
      <c r="F119" s="265" t="str">
        <f>VLOOKUP(G1,datauas,312)</f>
        <v/>
      </c>
      <c r="G119" s="268" t="str">
        <f>VLOOKUP(G1,datauas,313)</f>
        <v/>
      </c>
      <c r="H119" s="246">
        <f t="shared" si="5"/>
        <v>0</v>
      </c>
      <c r="I119" s="246"/>
      <c r="J119" s="206"/>
      <c r="K119" s="206"/>
    </row>
    <row r="120" spans="1:11" ht="15.75" thickTop="1" thickBot="1">
      <c r="A120" s="206"/>
      <c r="B120" s="963" t="s">
        <v>1103</v>
      </c>
      <c r="C120" s="964"/>
      <c r="D120" s="978" t="str">
        <f>IF(VLOOKUP($G$1,lager,9)&lt;58.25,"-",IF(AND(VLOOKUP($G$1,lager,9)&gt;=58.25,VLOOKUP($G$1,lager,9)&lt;=66.4),"B-",IF(AND(VLOOKUP($G$1,lager,9)&gt;=66.5,VLOOKUP($G$1,lager,9)&lt;=74.9),"B",IF(AND(VLOOKUP($G$1,lager,9)&gt;=75,VLOOKUP($G$1,lager,9)&lt;=83.24),"B+",IF(AND(VLOOKUP($G$1,lager,9)&gt;=83.25,VLOOKUP($G$1,lager,9)&lt;91.5),"A-",IF(AND(VLOOKUP($G$1,lager,9)&gt;=91.5,VLOOKUP($G$1,lager,9)&lt;=100),"A"))))))</f>
        <v>-</v>
      </c>
      <c r="E120" s="964"/>
      <c r="F120" s="964"/>
      <c r="G120" s="979"/>
      <c r="H120" s="246">
        <f>IF(C104&lt;&gt;0,1,0)</f>
        <v>1</v>
      </c>
      <c r="I120" s="246"/>
      <c r="J120" s="206"/>
      <c r="K120" s="206"/>
    </row>
    <row r="121" spans="1:11" ht="72" customHeight="1" thickTop="1" thickBot="1">
      <c r="A121" s="206"/>
      <c r="B121" s="957" t="str">
        <f>VLOOKUP(G1,CATATAN,103)</f>
        <v>Alhamdulillah ananda sudah menguasai materi yang diberikan. Namun ketelitian dan pemahaman ananda masih perlu ditingkatkan dalam mengerjakan tugas individu. Tetap semangat ya kak Yusuf ... .</v>
      </c>
      <c r="C121" s="958"/>
      <c r="D121" s="958"/>
      <c r="E121" s="958"/>
      <c r="F121" s="958"/>
      <c r="G121" s="959"/>
      <c r="H121" s="246">
        <f>IF(C104&lt;&gt;0,1,0)</f>
        <v>1</v>
      </c>
      <c r="I121" s="246"/>
      <c r="J121" s="206"/>
      <c r="K121" s="206"/>
    </row>
    <row r="122" spans="1:11" ht="15" hidden="1" thickTop="1">
      <c r="A122" s="206"/>
      <c r="H122" s="246">
        <f>IF(C125&lt;&gt;0,1,0)</f>
        <v>0</v>
      </c>
      <c r="I122" s="246"/>
      <c r="J122" s="206"/>
      <c r="K122" s="206"/>
    </row>
    <row r="123" spans="1:11" ht="15.75" hidden="1" thickTop="1" thickBot="1">
      <c r="A123" s="206"/>
      <c r="B123" s="960" t="s">
        <v>1121</v>
      </c>
      <c r="C123" s="960"/>
      <c r="D123" s="248"/>
      <c r="E123" s="249"/>
      <c r="F123" s="249"/>
      <c r="G123" s="249"/>
      <c r="H123" s="246">
        <f>IF(C125&lt;&gt;0,1,0)</f>
        <v>0</v>
      </c>
      <c r="I123" s="246"/>
      <c r="J123" s="206"/>
      <c r="K123" s="206"/>
    </row>
    <row r="124" spans="1:11" ht="30" hidden="1" thickTop="1" thickBot="1">
      <c r="A124" s="206"/>
      <c r="B124" s="961" t="s">
        <v>1098</v>
      </c>
      <c r="C124" s="962"/>
      <c r="D124" s="250" t="s">
        <v>1099</v>
      </c>
      <c r="E124" s="250" t="s">
        <v>1100</v>
      </c>
      <c r="F124" s="251" t="s">
        <v>1101</v>
      </c>
      <c r="G124" s="252" t="s">
        <v>1102</v>
      </c>
      <c r="H124" s="246">
        <f>H123</f>
        <v>0</v>
      </c>
      <c r="I124" s="246"/>
      <c r="J124" s="206"/>
      <c r="K124" s="206"/>
    </row>
    <row r="125" spans="1:11" ht="27.75" hidden="1" thickTop="1">
      <c r="A125" s="206"/>
      <c r="B125" s="263">
        <v>1</v>
      </c>
      <c r="C125" s="267">
        <f>WSARAB!$C$6</f>
        <v>0</v>
      </c>
      <c r="D125" s="265" t="str">
        <f>VLOOKUP(G1,datauas,314)</f>
        <v/>
      </c>
      <c r="E125" s="265" t="str">
        <f>VLOOKUP(G1,datauas,315)</f>
        <v/>
      </c>
      <c r="F125" s="265" t="str">
        <f>VLOOKUP(G1,datauas,316)</f>
        <v/>
      </c>
      <c r="G125" s="268" t="str">
        <f>VLOOKUP(G1,datauas,317)</f>
        <v/>
      </c>
      <c r="H125" s="246">
        <f>IF(C125&lt;&gt;0,1,0)</f>
        <v>0</v>
      </c>
      <c r="I125" s="246"/>
      <c r="J125" s="206"/>
      <c r="K125" s="206"/>
    </row>
    <row r="126" spans="1:11" ht="27.75" hidden="1" thickTop="1">
      <c r="A126" s="206"/>
      <c r="B126" s="263">
        <v>2</v>
      </c>
      <c r="C126" s="264">
        <f>WSARAB!$C$17</f>
        <v>0</v>
      </c>
      <c r="D126" s="265" t="str">
        <f>VLOOKUP(G1,datauas,318)</f>
        <v/>
      </c>
      <c r="E126" s="265" t="str">
        <f>VLOOKUP(G1,datauas,319)</f>
        <v/>
      </c>
      <c r="F126" s="265" t="str">
        <f>VLOOKUP(G1,datauas,320)</f>
        <v/>
      </c>
      <c r="G126" s="268" t="str">
        <f>VLOOKUP(G1,datauas,321)</f>
        <v/>
      </c>
      <c r="H126" s="246">
        <f t="shared" ref="H126:H137" si="6">IF(C126&lt;&gt;0,1,0)</f>
        <v>0</v>
      </c>
      <c r="I126" s="246"/>
      <c r="J126" s="206"/>
      <c r="K126" s="206"/>
    </row>
    <row r="127" spans="1:11" ht="27.75" hidden="1" thickTop="1">
      <c r="A127" s="206"/>
      <c r="B127" s="263">
        <v>3</v>
      </c>
      <c r="C127" s="264">
        <f>WSARAB!$C$29</f>
        <v>0</v>
      </c>
      <c r="D127" s="265" t="str">
        <f>VLOOKUP(G1,datauas,322)</f>
        <v/>
      </c>
      <c r="E127" s="265" t="str">
        <f>VLOOKUP(G1,datauas,323)</f>
        <v/>
      </c>
      <c r="F127" s="265" t="str">
        <f>VLOOKUP(G1,datauas,324)</f>
        <v/>
      </c>
      <c r="G127" s="268" t="str">
        <f>VLOOKUP(G1,datauas,325)</f>
        <v/>
      </c>
      <c r="H127" s="246">
        <f t="shared" si="6"/>
        <v>0</v>
      </c>
      <c r="I127" s="246"/>
      <c r="J127" s="206"/>
      <c r="K127" s="206"/>
    </row>
    <row r="128" spans="1:11" ht="27.75" hidden="1" thickTop="1">
      <c r="A128" s="206"/>
      <c r="B128" s="263">
        <v>4</v>
      </c>
      <c r="C128" s="264">
        <f>WSARAB!$C$37</f>
        <v>0</v>
      </c>
      <c r="D128" s="265" t="str">
        <f>VLOOKUP(G1,datauas,326)</f>
        <v/>
      </c>
      <c r="E128" s="265" t="str">
        <f>VLOOKUP(G1,datauas,327)</f>
        <v/>
      </c>
      <c r="F128" s="265" t="str">
        <f>VLOOKUP(G1,datauas,328)</f>
        <v/>
      </c>
      <c r="G128" s="268" t="str">
        <f>VLOOKUP(G1,datauas,329)</f>
        <v/>
      </c>
      <c r="H128" s="246">
        <f t="shared" si="6"/>
        <v>0</v>
      </c>
      <c r="I128" s="246"/>
      <c r="J128" s="206"/>
      <c r="K128" s="206"/>
    </row>
    <row r="129" spans="1:11" ht="27.75" hidden="1" thickTop="1">
      <c r="A129" s="206"/>
      <c r="B129" s="263">
        <v>5</v>
      </c>
      <c r="C129" s="264">
        <f>WSARAB!$C$45</f>
        <v>0</v>
      </c>
      <c r="D129" s="265" t="str">
        <f>VLOOKUP(G1,datauas,330)</f>
        <v/>
      </c>
      <c r="E129" s="265" t="str">
        <f>VLOOKUP(G1,datauas,331)</f>
        <v/>
      </c>
      <c r="F129" s="265" t="str">
        <f>VLOOKUP(G1,datauas,332)</f>
        <v/>
      </c>
      <c r="G129" s="268" t="str">
        <f>VLOOKUP(G1,datauas,333)</f>
        <v/>
      </c>
      <c r="H129" s="246">
        <f t="shared" si="6"/>
        <v>0</v>
      </c>
      <c r="I129" s="246"/>
      <c r="J129" s="206"/>
      <c r="K129" s="206"/>
    </row>
    <row r="130" spans="1:11" ht="27.75" hidden="1" thickTop="1">
      <c r="A130" s="206"/>
      <c r="B130" s="263">
        <v>6</v>
      </c>
      <c r="C130" s="264">
        <f>WSARAB!$C$53</f>
        <v>0</v>
      </c>
      <c r="D130" s="265" t="str">
        <f>VLOOKUP(G1,datauas,334)</f>
        <v/>
      </c>
      <c r="E130" s="265" t="str">
        <f>VLOOKUP(G1,datauas,335)</f>
        <v/>
      </c>
      <c r="F130" s="265" t="str">
        <f>VLOOKUP(G1,datauas,336)</f>
        <v/>
      </c>
      <c r="G130" s="268" t="str">
        <f>VLOOKUP(G1,datauas,337)</f>
        <v/>
      </c>
      <c r="H130" s="246">
        <f t="shared" si="6"/>
        <v>0</v>
      </c>
      <c r="I130" s="246"/>
      <c r="J130" s="206"/>
      <c r="K130" s="206"/>
    </row>
    <row r="131" spans="1:11" ht="27.75" hidden="1" thickTop="1">
      <c r="A131" s="206"/>
      <c r="B131" s="263">
        <v>7</v>
      </c>
      <c r="C131" s="264">
        <f>WSARAB!$C$65</f>
        <v>0</v>
      </c>
      <c r="D131" s="265" t="str">
        <f>VLOOKUP(G1,datauas,338)</f>
        <v/>
      </c>
      <c r="E131" s="265" t="str">
        <f>VLOOKUP(G1,datauas,339)</f>
        <v/>
      </c>
      <c r="F131" s="265" t="str">
        <f>VLOOKUP(G1,datauas,340)</f>
        <v/>
      </c>
      <c r="G131" s="268" t="str">
        <f>VLOOKUP(G1,datauas,341)</f>
        <v/>
      </c>
      <c r="H131" s="246">
        <f t="shared" si="6"/>
        <v>0</v>
      </c>
      <c r="I131" s="246"/>
      <c r="J131" s="206"/>
      <c r="K131" s="206"/>
    </row>
    <row r="132" spans="1:11" ht="27.75" hidden="1" thickTop="1">
      <c r="A132" s="206"/>
      <c r="B132" s="263">
        <v>8</v>
      </c>
      <c r="C132" s="264">
        <f>WSARAB!$C$73</f>
        <v>0</v>
      </c>
      <c r="D132" s="265" t="str">
        <f>VLOOKUP(G1,datauas,342)</f>
        <v/>
      </c>
      <c r="E132" s="265" t="str">
        <f>VLOOKUP(G1,datauas,343)</f>
        <v/>
      </c>
      <c r="F132" s="265" t="str">
        <f>VLOOKUP(G1,datauas,344)</f>
        <v/>
      </c>
      <c r="G132" s="268" t="str">
        <f>VLOOKUP(G1,datauas,345)</f>
        <v/>
      </c>
      <c r="H132" s="246">
        <f t="shared" si="6"/>
        <v>0</v>
      </c>
      <c r="I132" s="246"/>
      <c r="J132" s="206"/>
      <c r="K132" s="206"/>
    </row>
    <row r="133" spans="1:11" ht="27.75" hidden="1" thickTop="1">
      <c r="A133" s="206"/>
      <c r="B133" s="263">
        <v>9</v>
      </c>
      <c r="C133" s="264">
        <f>WSARAB!$C$81</f>
        <v>0</v>
      </c>
      <c r="D133" s="265" t="str">
        <f>VLOOKUP(G1,datauas,346)</f>
        <v/>
      </c>
      <c r="E133" s="265" t="str">
        <f>VLOOKUP(G1,datauas,347)</f>
        <v/>
      </c>
      <c r="F133" s="265" t="str">
        <f>VLOOKUP(G1,datauas,348)</f>
        <v/>
      </c>
      <c r="G133" s="268" t="str">
        <f>VLOOKUP(G1,datauas,349)</f>
        <v/>
      </c>
      <c r="H133" s="246">
        <f t="shared" si="6"/>
        <v>0</v>
      </c>
      <c r="I133" s="246"/>
      <c r="J133" s="206"/>
      <c r="K133" s="206"/>
    </row>
    <row r="134" spans="1:11" ht="27.75" hidden="1" thickTop="1">
      <c r="A134" s="206"/>
      <c r="B134" s="263">
        <v>10</v>
      </c>
      <c r="C134" s="264">
        <f>WSARAB!$C$89</f>
        <v>0</v>
      </c>
      <c r="D134" s="265" t="str">
        <f>VLOOKUP(G1,datauas,350)</f>
        <v/>
      </c>
      <c r="E134" s="265" t="str">
        <f>VLOOKUP(G1,datauas,351)</f>
        <v/>
      </c>
      <c r="F134" s="265" t="str">
        <f>VLOOKUP(G1,datauas,352)</f>
        <v/>
      </c>
      <c r="G134" s="268" t="str">
        <f>VLOOKUP(G1,datauas,353)</f>
        <v/>
      </c>
      <c r="H134" s="246">
        <f t="shared" si="6"/>
        <v>0</v>
      </c>
      <c r="I134" s="246"/>
      <c r="J134" s="206"/>
      <c r="K134" s="206"/>
    </row>
    <row r="135" spans="1:11" ht="27.75" hidden="1" thickTop="1">
      <c r="A135" s="206"/>
      <c r="B135" s="263">
        <v>11</v>
      </c>
      <c r="C135" s="264">
        <f>WSARAB!$C$97</f>
        <v>0</v>
      </c>
      <c r="D135" s="265" t="str">
        <f>VLOOKUP(G1,datauas,354)</f>
        <v/>
      </c>
      <c r="E135" s="265" t="str">
        <f>VLOOKUP(G1,datauas,355)</f>
        <v/>
      </c>
      <c r="F135" s="265" t="str">
        <f>VLOOKUP(G1,datauas,356)</f>
        <v/>
      </c>
      <c r="G135" s="268" t="str">
        <f>VLOOKUP(G1,datauas,357)</f>
        <v/>
      </c>
      <c r="H135" s="246">
        <f t="shared" si="6"/>
        <v>0</v>
      </c>
      <c r="I135" s="246"/>
      <c r="J135" s="206"/>
      <c r="K135" s="206"/>
    </row>
    <row r="136" spans="1:11" ht="27.75" hidden="1" thickTop="1">
      <c r="A136" s="206"/>
      <c r="B136" s="263">
        <v>12</v>
      </c>
      <c r="C136" s="264">
        <f>WSARAB!$C$105</f>
        <v>0</v>
      </c>
      <c r="D136" s="265" t="str">
        <f>VLOOKUP(G1,datauas,358)</f>
        <v/>
      </c>
      <c r="E136" s="265" t="str">
        <f>VLOOKUP(G1,datauas,359)</f>
        <v/>
      </c>
      <c r="F136" s="265" t="str">
        <f>VLOOKUP(G1,datauas,360)</f>
        <v/>
      </c>
      <c r="G136" s="268" t="str">
        <f>VLOOKUP(G1,datauas,361)</f>
        <v/>
      </c>
      <c r="H136" s="246">
        <f t="shared" si="6"/>
        <v>0</v>
      </c>
      <c r="I136" s="246"/>
      <c r="J136" s="206"/>
      <c r="K136" s="206"/>
    </row>
    <row r="137" spans="1:11" ht="28.5" hidden="1" thickTop="1" thickBot="1">
      <c r="A137" s="206"/>
      <c r="B137" s="263">
        <v>13</v>
      </c>
      <c r="C137" s="264">
        <f>WSARAB!$C$113</f>
        <v>0</v>
      </c>
      <c r="D137" s="265" t="str">
        <f>VLOOKUP(G1,datauas,362)</f>
        <v/>
      </c>
      <c r="E137" s="265" t="str">
        <f>VLOOKUP(G1,datauas,363)</f>
        <v/>
      </c>
      <c r="F137" s="265" t="str">
        <f>VLOOKUP(G1,datauas,364)</f>
        <v/>
      </c>
      <c r="G137" s="268" t="str">
        <f>VLOOKUP(G1,datauas,365)</f>
        <v/>
      </c>
      <c r="H137" s="246">
        <f t="shared" si="6"/>
        <v>0</v>
      </c>
      <c r="I137" s="246"/>
      <c r="J137" s="206"/>
      <c r="K137" s="206"/>
    </row>
    <row r="138" spans="1:11" ht="15.75" hidden="1" thickTop="1" thickBot="1">
      <c r="A138" s="206"/>
      <c r="B138" s="963" t="s">
        <v>1103</v>
      </c>
      <c r="C138" s="964"/>
      <c r="D138" s="978" t="str">
        <f>IF(VLOOKUP($G$1,lager,10)&lt;58.25,"-",IF(AND(VLOOKUP($G$1,lager,10)&gt;=58.25,VLOOKUP($G$1,lager,10)&lt;=66.4),"B-",IF(AND(VLOOKUP($G$1,lager,10)&gt;=66.5,VLOOKUP($G$1,lager,10)&lt;=74.9),"B",IF(AND(VLOOKUP($G$1,lager,10)&gt;=75,VLOOKUP($G$1,lager,10)&lt;=83.24),"B+",IF(AND(VLOOKUP($G$1,lager,10)&gt;=83.25,VLOOKUP($G$1,lager,10)&lt;91.5),"A-",IF(AND(VLOOKUP($G$1,lager,10)&gt;=91.5,VLOOKUP($G$1,lager,10)&lt;=100),"A"))))))</f>
        <v>-</v>
      </c>
      <c r="E138" s="964"/>
      <c r="F138" s="964"/>
      <c r="G138" s="979"/>
      <c r="H138" s="246">
        <f>IF(C125&lt;&gt;0,1,0)</f>
        <v>0</v>
      </c>
      <c r="I138" s="246"/>
      <c r="J138" s="206"/>
      <c r="K138" s="206"/>
    </row>
    <row r="139" spans="1:11" ht="72" hidden="1" customHeight="1" thickTop="1" thickBot="1">
      <c r="A139" s="206"/>
      <c r="B139" s="957" t="str">
        <f>VLOOKUP(G1,CATATAN,120)</f>
        <v>Ananda sangat antusias saat mengikuti kegiatan bahasa arab. Ananda mampu untuk menirukan bunyi mufradat  terkait topik  العدد 1-10؛ أسماء الأيام؛ بعض أسماء الفواكه؛ بعض الألوان dengan baik. Selain itu ananda juga sudah menunjukkan kemampuannya dalam menyebutkan makna dari mufradat-mufradat tersebut. Akan tetapi ketelitian ananda saat mengerjakan soal masih perlu ditingkatkan. Semangat terus ya kak Fauzi ...</v>
      </c>
      <c r="C139" s="958"/>
      <c r="D139" s="958"/>
      <c r="E139" s="958"/>
      <c r="F139" s="958"/>
      <c r="G139" s="959"/>
      <c r="H139" s="246">
        <f>IF(C125&lt;&gt;0,1,0)</f>
        <v>0</v>
      </c>
      <c r="I139" s="246"/>
      <c r="J139" s="206"/>
      <c r="K139" s="206"/>
    </row>
    <row r="140" spans="1:11" ht="15" thickTop="1">
      <c r="A140" s="206"/>
      <c r="H140" s="246">
        <f>IF(C143&lt;&gt;0,1,0)</f>
        <v>1</v>
      </c>
      <c r="I140" s="246"/>
      <c r="J140" s="206"/>
      <c r="K140" s="206"/>
    </row>
    <row r="141" spans="1:11" ht="15" thickBot="1">
      <c r="A141" s="206"/>
      <c r="B141" s="960" t="s">
        <v>1122</v>
      </c>
      <c r="C141" s="960"/>
      <c r="D141" s="248"/>
      <c r="E141" s="249"/>
      <c r="F141" s="249"/>
      <c r="G141" s="249"/>
      <c r="H141" s="246">
        <f>IF(C143&lt;&gt;0,1,0)</f>
        <v>1</v>
      </c>
      <c r="I141" s="246"/>
      <c r="J141" s="206"/>
      <c r="K141" s="206"/>
    </row>
    <row r="142" spans="1:11" ht="30" thickTop="1" thickBot="1">
      <c r="A142" s="206"/>
      <c r="B142" s="961" t="s">
        <v>1098</v>
      </c>
      <c r="C142" s="962"/>
      <c r="D142" s="250" t="s">
        <v>1099</v>
      </c>
      <c r="E142" s="250" t="s">
        <v>1100</v>
      </c>
      <c r="F142" s="251" t="s">
        <v>1101</v>
      </c>
      <c r="G142" s="252" t="s">
        <v>1102</v>
      </c>
      <c r="H142" s="246">
        <f>H141</f>
        <v>1</v>
      </c>
      <c r="I142" s="246"/>
      <c r="J142" s="206"/>
      <c r="K142" s="206"/>
    </row>
    <row r="143" spans="1:11" ht="29.25" thickTop="1">
      <c r="A143" s="206"/>
      <c r="B143" s="263">
        <v>1</v>
      </c>
      <c r="C143" s="267" t="str">
        <f>WSMTK!$C$6</f>
        <v>Menjelaskan sifat-sifat operasi hitung pada bilangan cacah</v>
      </c>
      <c r="D143" s="265" t="str">
        <f>VLOOKUP(G1,datauas,366)</f>
        <v/>
      </c>
      <c r="E143" s="265" t="str">
        <f>VLOOKUP(G1,datauas,367)</f>
        <v/>
      </c>
      <c r="F143" s="265" t="str">
        <f>VLOOKUP(G1,datauas,368)</f>
        <v/>
      </c>
      <c r="G143" s="268" t="str">
        <f>VLOOKUP(G1,datauas,369)</f>
        <v>P</v>
      </c>
      <c r="H143" s="246">
        <f>IF(C143&lt;&gt;0,1,0)</f>
        <v>1</v>
      </c>
      <c r="I143" s="246"/>
      <c r="J143" s="206"/>
      <c r="K143" s="206"/>
    </row>
    <row r="144" spans="1:11" ht="57">
      <c r="A144" s="206"/>
      <c r="B144" s="263">
        <v>2</v>
      </c>
      <c r="C144" s="264" t="str">
        <f>WSMTK!$C$22</f>
        <v>Menjelaskan bilangan cacah dan pecahan sederhana (seperti 1/2, 1/3, dan 1/4) yang disajikan pada garis bilangan</v>
      </c>
      <c r="D144" s="265" t="str">
        <f>VLOOKUP(G1,datauas,370)</f>
        <v/>
      </c>
      <c r="E144" s="265" t="str">
        <f>VLOOKUP(G1,datauas,371)</f>
        <v/>
      </c>
      <c r="F144" s="265" t="str">
        <f>VLOOKUP(G1,datauas,372)</f>
        <v/>
      </c>
      <c r="G144" s="268" t="str">
        <f>VLOOKUP(G1,datauas,373)</f>
        <v>P</v>
      </c>
      <c r="H144" s="246">
        <f t="shared" ref="H144:H155" si="7">IF(C144&lt;&gt;0,1,0)</f>
        <v>1</v>
      </c>
      <c r="I144" s="246"/>
      <c r="J144" s="206"/>
      <c r="K144" s="206"/>
    </row>
    <row r="145" spans="1:11" ht="42.75">
      <c r="A145" s="206"/>
      <c r="B145" s="263">
        <v>3</v>
      </c>
      <c r="C145" s="264" t="str">
        <f>WSMTK!$C$35</f>
        <v>Menyatakan suatu bilangan sebagai jumlah, selisih, hasil kali atau hasil bagi dua bilangan cacah</v>
      </c>
      <c r="D145" s="265" t="str">
        <f>VLOOKUP(G1,datauas,374)</f>
        <v/>
      </c>
      <c r="E145" s="265" t="str">
        <f>VLOOKUP(G1,datauas,375)</f>
        <v/>
      </c>
      <c r="F145" s="265" t="str">
        <f>VLOOKUP(G1,datauas,376)</f>
        <v/>
      </c>
      <c r="G145" s="268" t="str">
        <f>VLOOKUP(G1,datauas,377)</f>
        <v>P</v>
      </c>
      <c r="H145" s="246">
        <f t="shared" si="7"/>
        <v>1</v>
      </c>
      <c r="I145" s="246"/>
      <c r="J145" s="206"/>
      <c r="K145" s="206"/>
    </row>
    <row r="146" spans="1:11" ht="71.25">
      <c r="A146" s="206"/>
      <c r="B146" s="263">
        <v>4</v>
      </c>
      <c r="C146" s="264" t="str">
        <f>WSMTK!$C$69</f>
        <v>Mendeskripsikan dan menentukan hubungan antar satuan baku untuk panjang, berat, dan waktu yang umumnya digunakan dalam kehidupan sehari-hari</v>
      </c>
      <c r="D146" s="265" t="str">
        <f>VLOOKUP(G1,datauas,378)</f>
        <v/>
      </c>
      <c r="E146" s="265" t="str">
        <f>VLOOKUP(G1,datauas,379)</f>
        <v/>
      </c>
      <c r="F146" s="265" t="str">
        <f>VLOOKUP(G1,datauas,380)</f>
        <v/>
      </c>
      <c r="G146" s="268" t="str">
        <f>VLOOKUP(G1,datauas,381)</f>
        <v>P</v>
      </c>
      <c r="H146" s="246">
        <f t="shared" si="7"/>
        <v>1</v>
      </c>
      <c r="I146" s="246"/>
      <c r="J146" s="206"/>
      <c r="K146" s="206"/>
    </row>
    <row r="147" spans="1:11" ht="42.75">
      <c r="A147" s="206"/>
      <c r="B147" s="263">
        <v>5</v>
      </c>
      <c r="C147" s="264" t="str">
        <f>WSMTK!$C$87</f>
        <v>Menyelesaikan masalah yang melibatkan penggunaan sifat-sifat operasi hitung pada bilangan cacah</v>
      </c>
      <c r="D147" s="265" t="str">
        <f>VLOOKUP(G1,datauas,382)</f>
        <v/>
      </c>
      <c r="E147" s="265" t="str">
        <f>VLOOKUP(G1,datauas,383)</f>
        <v/>
      </c>
      <c r="F147" s="265" t="str">
        <f>VLOOKUP(G1,datauas,384)</f>
        <v/>
      </c>
      <c r="G147" s="268" t="str">
        <f>VLOOKUP(G1,datauas,385)</f>
        <v>P</v>
      </c>
      <c r="H147" s="246">
        <f t="shared" si="7"/>
        <v>1</v>
      </c>
      <c r="I147" s="246"/>
      <c r="J147" s="206"/>
      <c r="K147" s="206"/>
    </row>
    <row r="148" spans="1:11" ht="57">
      <c r="A148" s="206"/>
      <c r="B148" s="263">
        <v>6</v>
      </c>
      <c r="C148" s="264" t="str">
        <f>WSMTK!$C$99</f>
        <v>Menggunakan bilangan cacah dan pecahan sederhana (seperti 1/2, 1/3, dan 1/4) yang disajikan pada garis bilangan</v>
      </c>
      <c r="D148" s="265" t="str">
        <f>VLOOKUP(G1,datauas,386)</f>
        <v/>
      </c>
      <c r="E148" s="265" t="str">
        <f>VLOOKUP(G1,datauas,387)</f>
        <v/>
      </c>
      <c r="F148" s="265" t="str">
        <f>VLOOKUP(G1,datauas,388)</f>
        <v/>
      </c>
      <c r="G148" s="268" t="str">
        <f>VLOOKUP(G1,datauas,389)</f>
        <v>P</v>
      </c>
      <c r="H148" s="246">
        <f t="shared" si="7"/>
        <v>1</v>
      </c>
      <c r="I148" s="246"/>
      <c r="J148" s="206"/>
      <c r="K148" s="206"/>
    </row>
    <row r="149" spans="1:11" ht="57">
      <c r="A149" s="206"/>
      <c r="B149" s="263">
        <v>7</v>
      </c>
      <c r="C149" s="264" t="str">
        <f>WSMTK!$C$113</f>
        <v>Menilai apakah suatu bilangan dapat dinyatakan sebagai jumlah, selisih, hasil kali, atau hasil bagi dua bilangan cacah</v>
      </c>
      <c r="D149" s="265" t="str">
        <f>VLOOKUP(G1,datauas,390)</f>
        <v/>
      </c>
      <c r="E149" s="265" t="str">
        <f>VLOOKUP(G1,datauas,391)</f>
        <v/>
      </c>
      <c r="F149" s="265" t="str">
        <f>VLOOKUP(G1,datauas,392)</f>
        <v/>
      </c>
      <c r="G149" s="268" t="str">
        <f>VLOOKUP(G1,datauas,393)</f>
        <v>P</v>
      </c>
      <c r="H149" s="246">
        <f t="shared" si="7"/>
        <v>1</v>
      </c>
      <c r="I149" s="246"/>
      <c r="J149" s="206"/>
      <c r="K149" s="206"/>
    </row>
    <row r="150" spans="1:11" ht="72" thickBot="1">
      <c r="A150" s="206"/>
      <c r="B150" s="263">
        <v>8</v>
      </c>
      <c r="C150" s="264" t="str">
        <f>WSMTK!$C$145</f>
        <v>Menyelesaikan masalah yang berkaitan dengan hubungan antar satuan baku untuk panjang, berat, dan waktu yang umumnya digunakan dalam kehidupan sehari-hari</v>
      </c>
      <c r="D150" s="265" t="str">
        <f>VLOOKUP(G1,datauas,394)</f>
        <v/>
      </c>
      <c r="E150" s="265" t="str">
        <f>VLOOKUP(G1,datauas,395)</f>
        <v/>
      </c>
      <c r="F150" s="265" t="str">
        <f>VLOOKUP(G1,datauas,396)</f>
        <v/>
      </c>
      <c r="G150" s="268" t="str">
        <f>VLOOKUP(G1,datauas,397)</f>
        <v>P</v>
      </c>
      <c r="H150" s="246">
        <f t="shared" si="7"/>
        <v>1</v>
      </c>
      <c r="I150" s="246"/>
      <c r="J150" s="206"/>
      <c r="K150" s="206"/>
    </row>
    <row r="151" spans="1:11" ht="27" hidden="1">
      <c r="A151" s="206"/>
      <c r="B151" s="263">
        <v>9</v>
      </c>
      <c r="C151" s="264">
        <f>WSMTK!$C$168</f>
        <v>0</v>
      </c>
      <c r="D151" s="265" t="str">
        <f>VLOOKUP(G1,datauas,398)</f>
        <v/>
      </c>
      <c r="E151" s="265" t="str">
        <f>VLOOKUP(G1,datauas,399)</f>
        <v/>
      </c>
      <c r="F151" s="265" t="str">
        <f>VLOOKUP(G1,datauas,400)</f>
        <v/>
      </c>
      <c r="G151" s="268" t="str">
        <f>VLOOKUP(G1,datauas,401)</f>
        <v/>
      </c>
      <c r="H151" s="246">
        <f t="shared" si="7"/>
        <v>0</v>
      </c>
      <c r="I151" s="246"/>
      <c r="J151" s="206"/>
      <c r="K151" s="206"/>
    </row>
    <row r="152" spans="1:11" ht="27" hidden="1">
      <c r="A152" s="206"/>
      <c r="B152" s="263">
        <v>10</v>
      </c>
      <c r="C152" s="264">
        <f>WSMTK!$C$176</f>
        <v>0</v>
      </c>
      <c r="D152" s="265" t="str">
        <f>VLOOKUP(G1,datauas,402)</f>
        <v/>
      </c>
      <c r="E152" s="265" t="str">
        <f>VLOOKUP(G1,datauas,403)</f>
        <v/>
      </c>
      <c r="F152" s="265" t="str">
        <f>VLOOKUP(G1,datauas,404)</f>
        <v/>
      </c>
      <c r="G152" s="268" t="str">
        <f>VLOOKUP(G1,datauas,405)</f>
        <v/>
      </c>
      <c r="H152" s="246">
        <f t="shared" si="7"/>
        <v>0</v>
      </c>
      <c r="I152" s="246"/>
      <c r="J152" s="206"/>
      <c r="K152" s="206"/>
    </row>
    <row r="153" spans="1:11" ht="27" hidden="1">
      <c r="A153" s="206"/>
      <c r="B153" s="263">
        <v>11</v>
      </c>
      <c r="C153" s="264">
        <f>WSMTK!$C$184</f>
        <v>0</v>
      </c>
      <c r="D153" s="265" t="str">
        <f>VLOOKUP(G1,datauas,406)</f>
        <v/>
      </c>
      <c r="E153" s="265" t="str">
        <f>VLOOKUP(G1,datauas,407)</f>
        <v/>
      </c>
      <c r="F153" s="265" t="str">
        <f>VLOOKUP(G1,datauas,408)</f>
        <v/>
      </c>
      <c r="G153" s="268" t="str">
        <f>VLOOKUP(G1,datauas,409)</f>
        <v/>
      </c>
      <c r="H153" s="246">
        <f t="shared" si="7"/>
        <v>0</v>
      </c>
      <c r="I153" s="246"/>
      <c r="J153" s="206"/>
      <c r="K153" s="206"/>
    </row>
    <row r="154" spans="1:11" ht="27" hidden="1">
      <c r="A154" s="206"/>
      <c r="B154" s="263">
        <v>12</v>
      </c>
      <c r="C154" s="264">
        <f>WSMTK!$C$192</f>
        <v>0</v>
      </c>
      <c r="D154" s="265" t="str">
        <f>VLOOKUP(G1,datauas,410)</f>
        <v/>
      </c>
      <c r="E154" s="265" t="str">
        <f>VLOOKUP(G1,datauas,411)</f>
        <v/>
      </c>
      <c r="F154" s="265" t="str">
        <f>VLOOKUP(G1,datauas,412)</f>
        <v/>
      </c>
      <c r="G154" s="268" t="str">
        <f>VLOOKUP(G1,datauas,413)</f>
        <v/>
      </c>
      <c r="H154" s="246">
        <f t="shared" si="7"/>
        <v>0</v>
      </c>
      <c r="I154" s="246"/>
      <c r="J154" s="206"/>
      <c r="K154" s="206"/>
    </row>
    <row r="155" spans="1:11" ht="27.75" hidden="1" thickBot="1">
      <c r="A155" s="206"/>
      <c r="B155" s="263">
        <v>13</v>
      </c>
      <c r="C155" s="264">
        <f>WSMTK!$C$200</f>
        <v>0</v>
      </c>
      <c r="D155" s="265" t="str">
        <f>VLOOKUP(G1,datauas,414)</f>
        <v/>
      </c>
      <c r="E155" s="265" t="str">
        <f>VLOOKUP(G1,datauas,415)</f>
        <v/>
      </c>
      <c r="F155" s="265" t="str">
        <f>VLOOKUP(G1,datauas,416)</f>
        <v/>
      </c>
      <c r="G155" s="268" t="str">
        <f>VLOOKUP(G1,datauas,417)</f>
        <v/>
      </c>
      <c r="H155" s="246">
        <f t="shared" si="7"/>
        <v>0</v>
      </c>
      <c r="I155" s="246"/>
      <c r="J155" s="206"/>
      <c r="K155" s="206"/>
    </row>
    <row r="156" spans="1:11" ht="15.75" thickTop="1" thickBot="1">
      <c r="A156" s="206"/>
      <c r="B156" s="968" t="s">
        <v>1103</v>
      </c>
      <c r="C156" s="966"/>
      <c r="D156" s="965" t="str">
        <f>IF(VLOOKUP($G$1,lager,11)&lt;58.25,"-",IF(AND(VLOOKUP($G$1,lager,11)&gt;=58.25,VLOOKUP($G$1,lager,11)&lt;=66.4),"B-",IF(AND(VLOOKUP($G$1,lager,11)&gt;=66.5,VLOOKUP($G$1,lager,11)&lt;=74.9),"B",IF(AND(VLOOKUP($G$1,lager,11)&gt;=75,VLOOKUP($G$1,lager,11)&lt;=83.24),"B+",IF(AND(VLOOKUP($G$1,lager,11)&gt;=83.25,VLOOKUP($G$1,lager,11)&lt;91.5),"A-",IF(AND(VLOOKUP($G$1,lager,11)&gt;=91.5,VLOOKUP($G$1,lager,11)&lt;=100),"A"))))))</f>
        <v>-</v>
      </c>
      <c r="E156" s="966"/>
      <c r="F156" s="966"/>
      <c r="G156" s="967"/>
      <c r="H156" s="246">
        <f>IF(C143&lt;&gt;0,1,0)</f>
        <v>1</v>
      </c>
      <c r="I156" s="246"/>
      <c r="J156" s="206"/>
      <c r="K156" s="206"/>
    </row>
    <row r="157" spans="1:11" ht="72" customHeight="1" thickTop="1" thickBot="1">
      <c r="A157" s="206"/>
      <c r="B157" s="969" t="str">
        <f>VLOOKUP(G1,CATATAN,137)</f>
        <v>Ananda cukup antusias saat mengikuti kegiatan matematika. Ananda sudah mulai menguasai materi yang telah diajarkan. Kemampuan ananda dalam menggunakan sifat operasi pertukaran dan pengelompokan dan mengenal bangun datar mulai berkembang. Sedangkan kemampuan ananda dalam mengurutkan banyak benda, mengurutkan nilai tempat puluhan dan satuan, melakukan penjumlahan  dan pengurangan bilangan dua angka serta membandingkan berat benda berkembang dengan baik. Ananda perlu berlatih lagi supaya lebih teliti saat mengerjakan soal. OK tetap semangat dan pantang menyerah ya ...</v>
      </c>
      <c r="C157" s="970"/>
      <c r="D157" s="970"/>
      <c r="E157" s="970"/>
      <c r="F157" s="970"/>
      <c r="G157" s="971"/>
      <c r="H157" s="246">
        <f>IF(C143&lt;&gt;0,1,0)</f>
        <v>1</v>
      </c>
      <c r="I157" s="246"/>
      <c r="J157" s="206"/>
      <c r="K157" s="206"/>
    </row>
    <row r="158" spans="1:11" ht="15" hidden="1" thickTop="1">
      <c r="A158" s="206"/>
      <c r="H158" s="246">
        <f>IF(C161&lt;&gt;0,1,0)</f>
        <v>0</v>
      </c>
      <c r="I158" s="246"/>
      <c r="J158" s="206"/>
      <c r="K158" s="206"/>
    </row>
    <row r="159" spans="1:11" ht="15.75" hidden="1" thickTop="1" thickBot="1">
      <c r="A159" s="206"/>
      <c r="B159" s="960" t="s">
        <v>1123</v>
      </c>
      <c r="C159" s="960"/>
      <c r="D159" s="248"/>
      <c r="E159" s="249"/>
      <c r="F159" s="249"/>
      <c r="G159" s="249"/>
      <c r="H159" s="246">
        <f>IF(C161&lt;&gt;0,1,0)</f>
        <v>0</v>
      </c>
      <c r="I159" s="246"/>
      <c r="J159" s="206"/>
      <c r="K159" s="206"/>
    </row>
    <row r="160" spans="1:11" ht="30" hidden="1" thickTop="1" thickBot="1">
      <c r="A160" s="206"/>
      <c r="B160" s="961" t="s">
        <v>1098</v>
      </c>
      <c r="C160" s="962"/>
      <c r="D160" s="250" t="s">
        <v>1099</v>
      </c>
      <c r="E160" s="250" t="s">
        <v>1100</v>
      </c>
      <c r="F160" s="251" t="s">
        <v>1101</v>
      </c>
      <c r="G160" s="252" t="s">
        <v>1102</v>
      </c>
      <c r="H160" s="246">
        <f>H159</f>
        <v>0</v>
      </c>
      <c r="I160" s="246"/>
      <c r="J160" s="206"/>
      <c r="K160" s="206"/>
    </row>
    <row r="161" spans="1:11" ht="27.75" hidden="1" thickTop="1">
      <c r="A161" s="206"/>
      <c r="B161" s="263">
        <v>1</v>
      </c>
      <c r="C161" s="267">
        <f>WSIPA!$C$6</f>
        <v>0</v>
      </c>
      <c r="D161" s="265" t="str">
        <f>VLOOKUP(G1,datauas,418)</f>
        <v/>
      </c>
      <c r="E161" s="265" t="str">
        <f>VLOOKUP(G1,datauas,419)</f>
        <v/>
      </c>
      <c r="F161" s="265" t="str">
        <f>VLOOKUP(G1,datauas,420)</f>
        <v/>
      </c>
      <c r="G161" s="268" t="str">
        <f>VLOOKUP(G1,datauas,421)</f>
        <v/>
      </c>
      <c r="H161" s="246">
        <f>IF(C161&lt;&gt;0,1,0)</f>
        <v>0</v>
      </c>
      <c r="I161" s="246"/>
      <c r="J161" s="206"/>
      <c r="K161" s="206"/>
    </row>
    <row r="162" spans="1:11" ht="27.75" hidden="1" thickTop="1">
      <c r="A162" s="206"/>
      <c r="B162" s="263">
        <v>2</v>
      </c>
      <c r="C162" s="264">
        <f>WSIPA!$C$14</f>
        <v>0</v>
      </c>
      <c r="D162" s="265" t="str">
        <f>VLOOKUP(G1,datauas,422)</f>
        <v/>
      </c>
      <c r="E162" s="265" t="str">
        <f>VLOOKUP(G1,datauas,423)</f>
        <v/>
      </c>
      <c r="F162" s="265" t="str">
        <f>VLOOKUP(G1,datauas,424)</f>
        <v/>
      </c>
      <c r="G162" s="268" t="str">
        <f>VLOOKUP(G1,datauas,425)</f>
        <v/>
      </c>
      <c r="H162" s="246">
        <f t="shared" ref="H162:H173" si="8">IF(C162&lt;&gt;0,1,0)</f>
        <v>0</v>
      </c>
      <c r="I162" s="246"/>
      <c r="J162" s="206"/>
      <c r="K162" s="206"/>
    </row>
    <row r="163" spans="1:11" ht="27.75" hidden="1" thickTop="1">
      <c r="A163" s="206"/>
      <c r="B163" s="263">
        <v>3</v>
      </c>
      <c r="C163" s="264">
        <f>WSIPA!$C$22</f>
        <v>0</v>
      </c>
      <c r="D163" s="265" t="str">
        <f>VLOOKUP(G1,datauas,426)</f>
        <v/>
      </c>
      <c r="E163" s="265" t="str">
        <f>VLOOKUP(G1,datauas,427)</f>
        <v/>
      </c>
      <c r="F163" s="265" t="str">
        <f>VLOOKUP(G1,datauas,428)</f>
        <v/>
      </c>
      <c r="G163" s="268" t="str">
        <f>VLOOKUP(G1,datauas,429)</f>
        <v/>
      </c>
      <c r="H163" s="246">
        <f t="shared" si="8"/>
        <v>0</v>
      </c>
      <c r="I163" s="246"/>
      <c r="J163" s="206"/>
      <c r="K163" s="206"/>
    </row>
    <row r="164" spans="1:11" ht="27.75" hidden="1" thickTop="1">
      <c r="A164" s="206"/>
      <c r="B164" s="263">
        <v>4</v>
      </c>
      <c r="C164" s="264">
        <f>WSIPA!$C$30</f>
        <v>0</v>
      </c>
      <c r="D164" s="265" t="str">
        <f>VLOOKUP(G1,datauas,430)</f>
        <v/>
      </c>
      <c r="E164" s="265" t="str">
        <f>VLOOKUP(G1,datauas,431)</f>
        <v/>
      </c>
      <c r="F164" s="265" t="str">
        <f>VLOOKUP(G1,datauas,432)</f>
        <v/>
      </c>
      <c r="G164" s="268" t="str">
        <f>VLOOKUP(G1,datauas,433)</f>
        <v/>
      </c>
      <c r="H164" s="246">
        <f t="shared" si="8"/>
        <v>0</v>
      </c>
      <c r="I164" s="246"/>
      <c r="J164" s="206"/>
      <c r="K164" s="206"/>
    </row>
    <row r="165" spans="1:11" ht="27.75" hidden="1" thickTop="1">
      <c r="A165" s="206"/>
      <c r="B165" s="263">
        <v>5</v>
      </c>
      <c r="C165" s="264">
        <f>WSIPA!$C$38</f>
        <v>0</v>
      </c>
      <c r="D165" s="265" t="str">
        <f>VLOOKUP(G1,datauas,434)</f>
        <v/>
      </c>
      <c r="E165" s="265" t="str">
        <f>VLOOKUP(G1,datauas,435)</f>
        <v/>
      </c>
      <c r="F165" s="265" t="str">
        <f>VLOOKUP(G1,datauas,436)</f>
        <v/>
      </c>
      <c r="G165" s="268" t="str">
        <f>VLOOKUP(G1,datauas,437)</f>
        <v/>
      </c>
      <c r="H165" s="246">
        <f t="shared" si="8"/>
        <v>0</v>
      </c>
      <c r="I165" s="246"/>
      <c r="J165" s="206"/>
      <c r="K165" s="206"/>
    </row>
    <row r="166" spans="1:11" ht="27.75" hidden="1" thickTop="1">
      <c r="A166" s="206"/>
      <c r="B166" s="263">
        <v>6</v>
      </c>
      <c r="C166" s="264">
        <f>WSIPA!$C$46</f>
        <v>0</v>
      </c>
      <c r="D166" s="265" t="str">
        <f>VLOOKUP(G1,datauas,438)</f>
        <v/>
      </c>
      <c r="E166" s="265" t="str">
        <f>VLOOKUP(G1,datauas,439)</f>
        <v/>
      </c>
      <c r="F166" s="265" t="str">
        <f>VLOOKUP(G1,datauas,440)</f>
        <v/>
      </c>
      <c r="G166" s="268" t="str">
        <f>VLOOKUP(G1,datauas,441)</f>
        <v/>
      </c>
      <c r="H166" s="246">
        <f t="shared" si="8"/>
        <v>0</v>
      </c>
      <c r="I166" s="246"/>
      <c r="J166" s="206"/>
      <c r="K166" s="206"/>
    </row>
    <row r="167" spans="1:11" ht="27.75" hidden="1" thickTop="1">
      <c r="A167" s="206"/>
      <c r="B167" s="263">
        <v>7</v>
      </c>
      <c r="C167" s="264">
        <f>WSIPA!$C$54</f>
        <v>0</v>
      </c>
      <c r="D167" s="265" t="str">
        <f>VLOOKUP(G1,datauas,442)</f>
        <v/>
      </c>
      <c r="E167" s="265" t="str">
        <f>VLOOKUP(G1,datauas,443)</f>
        <v/>
      </c>
      <c r="F167" s="265" t="str">
        <f>VLOOKUP(G1,datauas,444)</f>
        <v/>
      </c>
      <c r="G167" s="268" t="str">
        <f>VLOOKUP(G1,datauas,445)</f>
        <v/>
      </c>
      <c r="H167" s="246">
        <f t="shared" si="8"/>
        <v>0</v>
      </c>
      <c r="I167" s="246"/>
      <c r="J167" s="206"/>
      <c r="K167" s="206"/>
    </row>
    <row r="168" spans="1:11" ht="27.75" hidden="1" thickTop="1">
      <c r="A168" s="206"/>
      <c r="B168" s="263">
        <v>8</v>
      </c>
      <c r="C168" s="264">
        <f>WSIPA!$C$62</f>
        <v>0</v>
      </c>
      <c r="D168" s="265" t="str">
        <f>VLOOKUP(G1,datauas,446)</f>
        <v/>
      </c>
      <c r="E168" s="265" t="str">
        <f>VLOOKUP(G1,datauas,447)</f>
        <v/>
      </c>
      <c r="F168" s="265" t="str">
        <f>VLOOKUP(G1,datauas,448)</f>
        <v/>
      </c>
      <c r="G168" s="268" t="str">
        <f>VLOOKUP(G1,datauas,449)</f>
        <v/>
      </c>
      <c r="H168" s="246">
        <f t="shared" si="8"/>
        <v>0</v>
      </c>
      <c r="I168" s="246"/>
      <c r="J168" s="206"/>
      <c r="K168" s="206"/>
    </row>
    <row r="169" spans="1:11" ht="27.75" hidden="1" thickTop="1">
      <c r="A169" s="206"/>
      <c r="B169" s="263">
        <v>9</v>
      </c>
      <c r="C169" s="264">
        <f>WSIPA!$C$70</f>
        <v>0</v>
      </c>
      <c r="D169" s="265" t="str">
        <f>VLOOKUP(G1,datauas,450)</f>
        <v/>
      </c>
      <c r="E169" s="265" t="str">
        <f>VLOOKUP(G1,datauas,451)</f>
        <v/>
      </c>
      <c r="F169" s="265" t="str">
        <f>VLOOKUP(G1,datauas,452)</f>
        <v/>
      </c>
      <c r="G169" s="268" t="str">
        <f>VLOOKUP(G1,datauas,453)</f>
        <v/>
      </c>
      <c r="H169" s="246">
        <f t="shared" si="8"/>
        <v>0</v>
      </c>
      <c r="I169" s="246"/>
      <c r="J169" s="206"/>
      <c r="K169" s="206"/>
    </row>
    <row r="170" spans="1:11" ht="27.75" hidden="1" thickTop="1">
      <c r="A170" s="206"/>
      <c r="B170" s="263">
        <v>10</v>
      </c>
      <c r="C170" s="264">
        <f>WSIPA!$C$78</f>
        <v>0</v>
      </c>
      <c r="D170" s="265" t="str">
        <f>VLOOKUP(G1,datauas,454)</f>
        <v/>
      </c>
      <c r="E170" s="265" t="str">
        <f>VLOOKUP(G1,datauas,455)</f>
        <v/>
      </c>
      <c r="F170" s="265" t="str">
        <f>VLOOKUP(G1,datauas,456)</f>
        <v/>
      </c>
      <c r="G170" s="268" t="str">
        <f>VLOOKUP(G1,datauas,457)</f>
        <v/>
      </c>
      <c r="H170" s="246">
        <f t="shared" si="8"/>
        <v>0</v>
      </c>
      <c r="I170" s="246"/>
      <c r="J170" s="206"/>
      <c r="K170" s="206"/>
    </row>
    <row r="171" spans="1:11" ht="27.75" hidden="1" thickTop="1">
      <c r="A171" s="206"/>
      <c r="B171" s="263">
        <v>11</v>
      </c>
      <c r="C171" s="264">
        <f>WSIPA!$C$86</f>
        <v>0</v>
      </c>
      <c r="D171" s="265" t="str">
        <f>VLOOKUP(G1,datauas,458)</f>
        <v/>
      </c>
      <c r="E171" s="265" t="str">
        <f>VLOOKUP(G1,datauas,459)</f>
        <v/>
      </c>
      <c r="F171" s="265" t="str">
        <f>VLOOKUP(G1,datauas,460)</f>
        <v/>
      </c>
      <c r="G171" s="268" t="str">
        <f>VLOOKUP(G1,datauas,461)</f>
        <v/>
      </c>
      <c r="H171" s="246">
        <f t="shared" si="8"/>
        <v>0</v>
      </c>
      <c r="I171" s="246"/>
      <c r="J171" s="206"/>
      <c r="K171" s="206"/>
    </row>
    <row r="172" spans="1:11" ht="27.75" hidden="1" thickTop="1">
      <c r="A172" s="206"/>
      <c r="B172" s="269">
        <v>12</v>
      </c>
      <c r="C172" s="270">
        <f>WSIPA!$C$94</f>
        <v>0</v>
      </c>
      <c r="D172" s="271" t="str">
        <f>VLOOKUP(G1,datauas,462)</f>
        <v/>
      </c>
      <c r="E172" s="271" t="str">
        <f>VLOOKUP(G1,datauas,463)</f>
        <v/>
      </c>
      <c r="F172" s="271" t="str">
        <f>VLOOKUP(G1,datauas,464)</f>
        <v/>
      </c>
      <c r="G172" s="272" t="str">
        <f>VLOOKUP(G1,datauas,465)</f>
        <v/>
      </c>
      <c r="H172" s="246">
        <f t="shared" si="8"/>
        <v>0</v>
      </c>
      <c r="I172" s="246"/>
      <c r="J172" s="206"/>
      <c r="K172" s="206"/>
    </row>
    <row r="173" spans="1:11" ht="28.5" hidden="1" thickTop="1" thickBot="1">
      <c r="A173" s="206"/>
      <c r="B173" s="283">
        <v>13</v>
      </c>
      <c r="C173" s="284">
        <f>WSIPA!$C$102</f>
        <v>0</v>
      </c>
      <c r="D173" s="285" t="str">
        <f>VLOOKUP(G1,datauas,466)</f>
        <v/>
      </c>
      <c r="E173" s="285" t="str">
        <f>VLOOKUP(G1,datauas,467)</f>
        <v/>
      </c>
      <c r="F173" s="285" t="str">
        <f>VLOOKUP(G1,datauas,468)</f>
        <v/>
      </c>
      <c r="G173" s="286" t="str">
        <f>VLOOKUP(G1,datauas,469)</f>
        <v/>
      </c>
      <c r="H173" s="246">
        <f t="shared" si="8"/>
        <v>0</v>
      </c>
      <c r="I173" s="246"/>
      <c r="J173" s="206"/>
      <c r="K173" s="206"/>
    </row>
    <row r="174" spans="1:11" ht="15.75" hidden="1" thickTop="1" thickBot="1">
      <c r="A174" s="206"/>
      <c r="B174" s="963" t="s">
        <v>1103</v>
      </c>
      <c r="C174" s="964"/>
      <c r="D174" s="965" t="str">
        <f>IF(VLOOKUP($G$1,lager,12)&lt;58.25,"-",IF(AND(VLOOKUP($G$1,lager,12)&gt;=58.25,VLOOKUP($G$1,lager,12)&lt;=66.4),"B-",IF(AND(VLOOKUP($G$1,lager,12)&gt;=66.5,VLOOKUP($G$1,lager,12)&lt;=74.9),"B",IF(AND(VLOOKUP($G$1,lager,12)&gt;=75,VLOOKUP($G$1,lager,12)&lt;=83.24),"B+",IF(AND(VLOOKUP($G$1,lager,12)&gt;=83.25,VLOOKUP($G$1,lager,12)&lt;91.5),"A-",IF(AND(VLOOKUP($G$1,lager,12)&gt;=91.5,VLOOKUP($G$1,lager,12)&lt;=100),"A"))))))</f>
        <v>-</v>
      </c>
      <c r="E174" s="966"/>
      <c r="F174" s="966"/>
      <c r="G174" s="967"/>
      <c r="H174" s="246">
        <f>IF(C161&lt;&gt;0,1,0)</f>
        <v>0</v>
      </c>
      <c r="I174" s="246"/>
      <c r="J174" s="206"/>
      <c r="K174" s="206"/>
    </row>
    <row r="175" spans="1:11" ht="72" hidden="1" customHeight="1" thickTop="1" thickBot="1">
      <c r="A175" s="206"/>
      <c r="B175" s="957" t="str">
        <f>VLOOKUP(G1,CATATAN,154)</f>
        <v xml:space="preserve">Ananda sangat menguasai dalam hal membedakan gerak benda dan mengidentifikasi penyebab gerak benda. Ananda juga sudah mampu untuk mengenal benda langit; mengenal keadaan cuaca. Ananda juga mampu untuk membedakan benda yang mudah bergerak dan benda yang sulit bergerak melalui percobaan. Kemampuan ananda juga berkembang dengan baik dalam hal membedakan pengaruh musim kemarau dan musim hujan. </v>
      </c>
      <c r="C175" s="958"/>
      <c r="D175" s="958"/>
      <c r="E175" s="958"/>
      <c r="F175" s="958"/>
      <c r="G175" s="959"/>
      <c r="H175" s="246">
        <f>IF(C161&lt;&gt;0,1,0)</f>
        <v>0</v>
      </c>
      <c r="I175" s="246"/>
      <c r="J175" s="206"/>
      <c r="K175" s="206"/>
    </row>
    <row r="176" spans="1:11" ht="15" hidden="1" thickTop="1">
      <c r="A176" s="206"/>
      <c r="H176" s="246">
        <f>IF(C179&lt;&gt;0,1,0)</f>
        <v>0</v>
      </c>
      <c r="I176" s="246"/>
      <c r="J176" s="206"/>
      <c r="K176" s="206"/>
    </row>
    <row r="177" spans="1:11" ht="15.75" hidden="1" thickTop="1" thickBot="1">
      <c r="A177" s="206"/>
      <c r="B177" s="960" t="s">
        <v>1125</v>
      </c>
      <c r="C177" s="960"/>
      <c r="D177" s="248"/>
      <c r="E177" s="249"/>
      <c r="F177" s="249"/>
      <c r="G177" s="249"/>
      <c r="H177" s="246">
        <f>IF(C179&lt;&gt;0,1,0)</f>
        <v>0</v>
      </c>
      <c r="I177" s="246"/>
      <c r="J177" s="206"/>
      <c r="K177" s="206"/>
    </row>
    <row r="178" spans="1:11" ht="30" hidden="1" thickTop="1" thickBot="1">
      <c r="A178" s="206"/>
      <c r="B178" s="961" t="s">
        <v>1098</v>
      </c>
      <c r="C178" s="962"/>
      <c r="D178" s="250" t="s">
        <v>1099</v>
      </c>
      <c r="E178" s="250" t="s">
        <v>1100</v>
      </c>
      <c r="F178" s="251" t="s">
        <v>1101</v>
      </c>
      <c r="G178" s="252" t="s">
        <v>1102</v>
      </c>
      <c r="H178" s="246">
        <f>H177</f>
        <v>0</v>
      </c>
      <c r="I178" s="246"/>
      <c r="J178" s="206"/>
      <c r="K178" s="206"/>
    </row>
    <row r="179" spans="1:11" ht="27.75" hidden="1" thickTop="1">
      <c r="A179" s="206"/>
      <c r="B179" s="263">
        <v>1</v>
      </c>
      <c r="C179" s="267">
        <f>WSIPS!$C$6</f>
        <v>0</v>
      </c>
      <c r="D179" s="265" t="str">
        <f>VLOOKUP(G1,datauas,470)</f>
        <v/>
      </c>
      <c r="E179" s="265" t="str">
        <f>VLOOKUP(G1,datauas,471)</f>
        <v/>
      </c>
      <c r="F179" s="265" t="str">
        <f>VLOOKUP(G1,datauas,472)</f>
        <v/>
      </c>
      <c r="G179" s="268" t="str">
        <f>VLOOKUP(G1,datauas,473)</f>
        <v/>
      </c>
      <c r="H179" s="246">
        <f>IF(C179&lt;&gt;0,1,0)</f>
        <v>0</v>
      </c>
      <c r="I179" s="246"/>
      <c r="J179" s="206"/>
      <c r="K179" s="206"/>
    </row>
    <row r="180" spans="1:11" ht="27.75" hidden="1" thickTop="1">
      <c r="A180" s="206"/>
      <c r="B180" s="263">
        <v>2</v>
      </c>
      <c r="C180" s="264">
        <f>WSIPS!$C$14</f>
        <v>0</v>
      </c>
      <c r="D180" s="265" t="str">
        <f>VLOOKUP(G1,datauas,474)</f>
        <v/>
      </c>
      <c r="E180" s="265" t="str">
        <f>VLOOKUP(G1,datauas,475)</f>
        <v/>
      </c>
      <c r="F180" s="265" t="str">
        <f>VLOOKUP(G1,datauas,476)</f>
        <v/>
      </c>
      <c r="G180" s="268" t="str">
        <f>VLOOKUP(G1,datauas,477)</f>
        <v/>
      </c>
      <c r="H180" s="246">
        <f t="shared" ref="H180:H191" si="9">IF(C180&lt;&gt;0,1,0)</f>
        <v>0</v>
      </c>
      <c r="I180" s="246"/>
      <c r="J180" s="206"/>
      <c r="K180" s="206"/>
    </row>
    <row r="181" spans="1:11" ht="27.75" hidden="1" thickTop="1">
      <c r="A181" s="206"/>
      <c r="B181" s="263">
        <v>3</v>
      </c>
      <c r="C181" s="264">
        <f>WSIPS!$C$22</f>
        <v>0</v>
      </c>
      <c r="D181" s="265" t="str">
        <f>VLOOKUP(G1,datauas,478)</f>
        <v/>
      </c>
      <c r="E181" s="265" t="str">
        <f>VLOOKUP(G1,datauas,479)</f>
        <v/>
      </c>
      <c r="F181" s="265" t="str">
        <f>VLOOKUP(G1,datauas,480)</f>
        <v/>
      </c>
      <c r="G181" s="268" t="str">
        <f>VLOOKUP(G1,datauas,481)</f>
        <v/>
      </c>
      <c r="H181" s="246">
        <f t="shared" si="9"/>
        <v>0</v>
      </c>
      <c r="I181" s="246"/>
      <c r="J181" s="206"/>
      <c r="K181" s="206"/>
    </row>
    <row r="182" spans="1:11" ht="27.75" hidden="1" thickTop="1">
      <c r="A182" s="206"/>
      <c r="B182" s="263">
        <v>4</v>
      </c>
      <c r="C182" s="264">
        <f>WSIPS!$C$30</f>
        <v>0</v>
      </c>
      <c r="D182" s="265" t="str">
        <f>VLOOKUP(G1,datauas,482)</f>
        <v/>
      </c>
      <c r="E182" s="265" t="str">
        <f>VLOOKUP(G1,datauas,483)</f>
        <v/>
      </c>
      <c r="F182" s="265" t="str">
        <f>VLOOKUP(G1,datauas,484)</f>
        <v/>
      </c>
      <c r="G182" s="268" t="str">
        <f>VLOOKUP(G1,datauas,485)</f>
        <v/>
      </c>
      <c r="H182" s="246">
        <f t="shared" si="9"/>
        <v>0</v>
      </c>
      <c r="I182" s="246"/>
      <c r="J182" s="206"/>
      <c r="K182" s="206"/>
    </row>
    <row r="183" spans="1:11" ht="27.75" hidden="1" thickTop="1">
      <c r="A183" s="206"/>
      <c r="B183" s="263">
        <v>5</v>
      </c>
      <c r="C183" s="264">
        <f>WSIPS!$C$38</f>
        <v>0</v>
      </c>
      <c r="D183" s="265" t="str">
        <f>VLOOKUP(G1,datauas,486)</f>
        <v/>
      </c>
      <c r="E183" s="265" t="str">
        <f>VLOOKUP(G1,datauas,487)</f>
        <v/>
      </c>
      <c r="F183" s="265" t="str">
        <f>VLOOKUP(G1,datauas,488)</f>
        <v/>
      </c>
      <c r="G183" s="268" t="str">
        <f>VLOOKUP(G1,datauas,489)</f>
        <v/>
      </c>
      <c r="H183" s="246">
        <f t="shared" si="9"/>
        <v>0</v>
      </c>
      <c r="I183" s="246"/>
      <c r="J183" s="206"/>
      <c r="K183" s="206"/>
    </row>
    <row r="184" spans="1:11" ht="27.75" hidden="1" thickTop="1">
      <c r="A184" s="206"/>
      <c r="B184" s="263">
        <v>6</v>
      </c>
      <c r="C184" s="264">
        <f>WSIPS!$C$46</f>
        <v>0</v>
      </c>
      <c r="D184" s="265" t="str">
        <f>VLOOKUP(G1,datauas,490)</f>
        <v/>
      </c>
      <c r="E184" s="265" t="str">
        <f>VLOOKUP(G1,datauas,491)</f>
        <v/>
      </c>
      <c r="F184" s="265" t="str">
        <f>VLOOKUP(G1,datauas,492)</f>
        <v/>
      </c>
      <c r="G184" s="268" t="str">
        <f>VLOOKUP(G1,datauas,493)</f>
        <v/>
      </c>
      <c r="H184" s="246">
        <f t="shared" si="9"/>
        <v>0</v>
      </c>
      <c r="I184" s="246"/>
      <c r="J184" s="206"/>
      <c r="K184" s="206"/>
    </row>
    <row r="185" spans="1:11" ht="27.75" hidden="1" thickTop="1">
      <c r="A185" s="206"/>
      <c r="B185" s="263">
        <v>7</v>
      </c>
      <c r="C185" s="264">
        <f>WSIPS!$C$54</f>
        <v>0</v>
      </c>
      <c r="D185" s="265" t="str">
        <f>VLOOKUP(G1,datauas,494)</f>
        <v/>
      </c>
      <c r="E185" s="265" t="str">
        <f>VLOOKUP(G1,datauas,495)</f>
        <v/>
      </c>
      <c r="F185" s="265" t="str">
        <f>VLOOKUP(G1,datauas,496)</f>
        <v/>
      </c>
      <c r="G185" s="268" t="str">
        <f>VLOOKUP(G1,datauas,497)</f>
        <v/>
      </c>
      <c r="H185" s="246">
        <f t="shared" si="9"/>
        <v>0</v>
      </c>
      <c r="I185" s="246"/>
      <c r="J185" s="206"/>
      <c r="K185" s="206"/>
    </row>
    <row r="186" spans="1:11" ht="27.75" hidden="1" thickTop="1">
      <c r="A186" s="206"/>
      <c r="B186" s="263">
        <v>8</v>
      </c>
      <c r="C186" s="264">
        <f>WSIPS!$C$62</f>
        <v>0</v>
      </c>
      <c r="D186" s="265" t="str">
        <f>VLOOKUP(G1,datauas,498)</f>
        <v/>
      </c>
      <c r="E186" s="265" t="str">
        <f>VLOOKUP(G1,datauas,499)</f>
        <v/>
      </c>
      <c r="F186" s="265" t="str">
        <f>VLOOKUP(G1,datauas,500)</f>
        <v/>
      </c>
      <c r="G186" s="268" t="str">
        <f>VLOOKUP(G1,datauas,501)</f>
        <v/>
      </c>
      <c r="H186" s="246">
        <f t="shared" si="9"/>
        <v>0</v>
      </c>
      <c r="I186" s="246"/>
      <c r="J186" s="206"/>
      <c r="K186" s="206"/>
    </row>
    <row r="187" spans="1:11" ht="27.75" hidden="1" thickTop="1">
      <c r="A187" s="206"/>
      <c r="B187" s="263">
        <v>9</v>
      </c>
      <c r="C187" s="264">
        <f>WSIPS!$C$70</f>
        <v>0</v>
      </c>
      <c r="D187" s="265" t="str">
        <f>VLOOKUP(G1,datauas,502)</f>
        <v/>
      </c>
      <c r="E187" s="265" t="str">
        <f>VLOOKUP(G1,datauas,503)</f>
        <v/>
      </c>
      <c r="F187" s="265" t="str">
        <f>VLOOKUP(G1,datauas,504)</f>
        <v/>
      </c>
      <c r="G187" s="268" t="str">
        <f>VLOOKUP(G1,datauas,505)</f>
        <v/>
      </c>
      <c r="H187" s="246">
        <f t="shared" si="9"/>
        <v>0</v>
      </c>
      <c r="I187" s="246"/>
      <c r="J187" s="206"/>
      <c r="K187" s="206"/>
    </row>
    <row r="188" spans="1:11" ht="27.75" hidden="1" thickTop="1">
      <c r="A188" s="206"/>
      <c r="B188" s="263">
        <v>10</v>
      </c>
      <c r="C188" s="264">
        <f>WSIPS!$C$78</f>
        <v>0</v>
      </c>
      <c r="D188" s="265" t="str">
        <f>VLOOKUP(G1,datauas,506)</f>
        <v/>
      </c>
      <c r="E188" s="265" t="str">
        <f>VLOOKUP(G1,datauas,507)</f>
        <v/>
      </c>
      <c r="F188" s="265" t="str">
        <f>VLOOKUP(G1,datauas,508)</f>
        <v/>
      </c>
      <c r="G188" s="268" t="str">
        <f>VLOOKUP(G1,datauas,509)</f>
        <v/>
      </c>
      <c r="H188" s="246">
        <f t="shared" si="9"/>
        <v>0</v>
      </c>
      <c r="I188" s="246"/>
      <c r="J188" s="206"/>
      <c r="K188" s="206"/>
    </row>
    <row r="189" spans="1:11" ht="27.75" hidden="1" thickTop="1">
      <c r="A189" s="206"/>
      <c r="B189" s="263">
        <v>11</v>
      </c>
      <c r="C189" s="264">
        <f>WSIPS!$C$86</f>
        <v>0</v>
      </c>
      <c r="D189" s="265" t="str">
        <f>VLOOKUP(G1,datauas,510)</f>
        <v/>
      </c>
      <c r="E189" s="265" t="str">
        <f>VLOOKUP(G1,datauas,511)</f>
        <v/>
      </c>
      <c r="F189" s="265" t="str">
        <f>VLOOKUP(G1,datauas,512)</f>
        <v/>
      </c>
      <c r="G189" s="268" t="str">
        <f>VLOOKUP(G1,datauas,513)</f>
        <v/>
      </c>
      <c r="H189" s="246">
        <f t="shared" si="9"/>
        <v>0</v>
      </c>
      <c r="I189" s="246"/>
      <c r="J189" s="206"/>
      <c r="K189" s="206"/>
    </row>
    <row r="190" spans="1:11" ht="27.75" hidden="1" thickTop="1">
      <c r="A190" s="206"/>
      <c r="B190" s="263">
        <v>12</v>
      </c>
      <c r="C190" s="264">
        <f>WSIPS!$C$94</f>
        <v>0</v>
      </c>
      <c r="D190" s="265" t="str">
        <f>VLOOKUP(G1,datauas,514)</f>
        <v/>
      </c>
      <c r="E190" s="265" t="str">
        <f>VLOOKUP(G1,datauas,515)</f>
        <v/>
      </c>
      <c r="F190" s="265" t="str">
        <f>VLOOKUP(G1,datauas,516)</f>
        <v/>
      </c>
      <c r="G190" s="268" t="str">
        <f>VLOOKUP(G1,datauas,517)</f>
        <v/>
      </c>
      <c r="H190" s="246">
        <f t="shared" si="9"/>
        <v>0</v>
      </c>
      <c r="I190" s="246"/>
      <c r="J190" s="206"/>
      <c r="K190" s="206"/>
    </row>
    <row r="191" spans="1:11" ht="28.5" hidden="1" thickTop="1" thickBot="1">
      <c r="A191" s="206"/>
      <c r="B191" s="263">
        <v>13</v>
      </c>
      <c r="C191" s="264">
        <f>WSIPS!$C$102</f>
        <v>0</v>
      </c>
      <c r="D191" s="265" t="str">
        <f>VLOOKUP(G1,datauas,518)</f>
        <v/>
      </c>
      <c r="E191" s="265" t="str">
        <f>VLOOKUP(G1,datauas,519)</f>
        <v/>
      </c>
      <c r="F191" s="265" t="str">
        <f>VLOOKUP(G1,datauas,520)</f>
        <v/>
      </c>
      <c r="G191" s="268" t="str">
        <f>VLOOKUP(G1,datauas,521)</f>
        <v/>
      </c>
      <c r="H191" s="246">
        <f t="shared" si="9"/>
        <v>0</v>
      </c>
      <c r="I191" s="246"/>
      <c r="J191" s="206"/>
      <c r="K191" s="206"/>
    </row>
    <row r="192" spans="1:11" ht="15.75" hidden="1" thickTop="1" thickBot="1">
      <c r="A192" s="206"/>
      <c r="B192" s="963" t="s">
        <v>1103</v>
      </c>
      <c r="C192" s="964"/>
      <c r="D192" s="965" t="str">
        <f>IF(VLOOKUP($G$1,lager,13)&lt;58.25,"-",IF(AND(VLOOKUP($G$1,lager,13)&gt;=58.25,VLOOKUP($G$1,lager,13)&lt;=66.4),"B-",IF(AND(VLOOKUP($G$1,lager,13)&gt;=66.5,VLOOKUP($G$1,lager,13)&lt;=74.9),"B",IF(AND(VLOOKUP($G$1,lager,13)&gt;=75,VLOOKUP($G$1,lager,13)&lt;=83.24),"B+",IF(AND(VLOOKUP($G$1,lager,13)&gt;=83.25,VLOOKUP($G$1,lager,13)&lt;91.5),"A-",IF(AND(VLOOKUP($G$1,lager,13)&gt;=91.5,VLOOKUP($G$1,lager,13)&lt;=100),"A"))))))</f>
        <v>-</v>
      </c>
      <c r="E192" s="966"/>
      <c r="F192" s="966"/>
      <c r="G192" s="967"/>
      <c r="H192" s="246">
        <f>IF(C179&lt;&gt;0,1,0)</f>
        <v>0</v>
      </c>
      <c r="I192" s="246"/>
      <c r="J192" s="206"/>
      <c r="K192" s="206"/>
    </row>
    <row r="193" spans="1:11" ht="72" hidden="1" customHeight="1" thickTop="1" thickBot="1">
      <c r="A193" s="206"/>
      <c r="B193" s="957" t="str">
        <f>VLOOKUP(G1,CATATAN,171)</f>
        <v>Alhamdulillah ananda mampu menguasai bagaimana cara mencerminkan kembali peristiwa penting yang dialami sendiri di lingkungan, serta mendeskripsikan letak rumah dan menjalankan lingkungan rumah sehat dan perilaku dalam mengekspresikan kebersihan. tingkatkan lagi semangat belajarnya ya kak.</v>
      </c>
      <c r="C193" s="958"/>
      <c r="D193" s="958"/>
      <c r="E193" s="958"/>
      <c r="F193" s="958"/>
      <c r="G193" s="959"/>
      <c r="H193" s="246">
        <f>IF(C179&lt;&gt;0,1,0)</f>
        <v>0</v>
      </c>
      <c r="I193" s="246"/>
      <c r="J193" s="206"/>
      <c r="K193" s="206"/>
    </row>
    <row r="194" spans="1:11" ht="15" thickTop="1">
      <c r="A194" s="206"/>
      <c r="H194" s="246">
        <f>IF(C197&lt;&gt;0,1,0)</f>
        <v>1</v>
      </c>
      <c r="I194" s="246"/>
      <c r="J194" s="206"/>
      <c r="K194" s="206"/>
    </row>
    <row r="195" spans="1:11" ht="15" thickBot="1">
      <c r="A195" s="206"/>
      <c r="B195" s="960" t="s">
        <v>1124</v>
      </c>
      <c r="C195" s="960"/>
      <c r="D195" s="248"/>
      <c r="E195" s="249"/>
      <c r="F195" s="249"/>
      <c r="G195" s="249"/>
      <c r="H195" s="246">
        <f>IF(C197&lt;&gt;0,1,0)</f>
        <v>1</v>
      </c>
      <c r="I195" s="246"/>
      <c r="J195" s="206"/>
      <c r="K195" s="206"/>
    </row>
    <row r="196" spans="1:11" ht="30" thickTop="1" thickBot="1">
      <c r="A196" s="206"/>
      <c r="B196" s="961" t="s">
        <v>1098</v>
      </c>
      <c r="C196" s="962"/>
      <c r="D196" s="250" t="s">
        <v>1099</v>
      </c>
      <c r="E196" s="250" t="s">
        <v>1100</v>
      </c>
      <c r="F196" s="251" t="s">
        <v>1101</v>
      </c>
      <c r="G196" s="252" t="s">
        <v>1102</v>
      </c>
      <c r="H196" s="246">
        <f>H195</f>
        <v>1</v>
      </c>
      <c r="I196" s="246"/>
      <c r="J196" s="206"/>
      <c r="K196" s="206"/>
    </row>
    <row r="197" spans="1:11" ht="29.25" thickTop="1">
      <c r="A197" s="206"/>
      <c r="B197" s="263">
        <v>1</v>
      </c>
      <c r="C197" s="267" t="str">
        <f>WSSBK!$C$6</f>
        <v>Mengetahui unsur-unsur rupa dalam karya dekoratif</v>
      </c>
      <c r="D197" s="265" t="str">
        <f>VLOOKUP(G1,datauas,522)</f>
        <v/>
      </c>
      <c r="E197" s="265" t="str">
        <f>VLOOKUP(G1,datauas,523)</f>
        <v/>
      </c>
      <c r="F197" s="265" t="str">
        <f>VLOOKUP(G1,datauas,524)</f>
        <v/>
      </c>
      <c r="G197" s="268" t="str">
        <f>VLOOKUP(G1,datauas,525)</f>
        <v>P</v>
      </c>
      <c r="H197" s="246">
        <f>IF(C197&lt;&gt;0,1,0)</f>
        <v>1</v>
      </c>
      <c r="I197" s="246"/>
      <c r="J197" s="206"/>
      <c r="K197" s="206"/>
    </row>
    <row r="198" spans="1:11" ht="28.5">
      <c r="A198" s="206"/>
      <c r="B198" s="263">
        <v>2</v>
      </c>
      <c r="C198" s="264" t="str">
        <f>WSSBK!$C$16</f>
        <v>Mengetahui bentuk dan variasi pola irama dalam lagu</v>
      </c>
      <c r="D198" s="265" t="str">
        <f>VLOOKUP(G1,datauas,526)</f>
        <v/>
      </c>
      <c r="E198" s="265" t="str">
        <f>VLOOKUP(G1,datauas,527)</f>
        <v/>
      </c>
      <c r="F198" s="265" t="str">
        <f>VLOOKUP(G1,datauas,528)</f>
        <v/>
      </c>
      <c r="G198" s="268" t="str">
        <f>VLOOKUP(G1,datauas,529)</f>
        <v>P</v>
      </c>
      <c r="H198" s="246">
        <f t="shared" ref="H198:H209" si="10">IF(C198&lt;&gt;0,1,0)</f>
        <v>1</v>
      </c>
      <c r="I198" s="246"/>
      <c r="J198" s="206"/>
      <c r="K198" s="206"/>
    </row>
    <row r="199" spans="1:11" ht="27">
      <c r="A199" s="206"/>
      <c r="B199" s="263">
        <v>3</v>
      </c>
      <c r="C199" s="264" t="str">
        <f>WSSBK!$C$26</f>
        <v>Mengetahui dinamika gerak tari</v>
      </c>
      <c r="D199" s="265" t="str">
        <f>VLOOKUP(G1,datauas,530)</f>
        <v/>
      </c>
      <c r="E199" s="265" t="str">
        <f>VLOOKUP(G1,datauas,531)</f>
        <v/>
      </c>
      <c r="F199" s="265" t="str">
        <f>VLOOKUP(G1,datauas,532)</f>
        <v/>
      </c>
      <c r="G199" s="268" t="str">
        <f>VLOOKUP(G1,datauas,533)</f>
        <v>P</v>
      </c>
      <c r="H199" s="246">
        <f t="shared" si="10"/>
        <v>1</v>
      </c>
      <c r="I199" s="246"/>
      <c r="J199" s="206"/>
      <c r="K199" s="206"/>
    </row>
    <row r="200" spans="1:11" ht="28.5">
      <c r="A200" s="206"/>
      <c r="B200" s="263">
        <v>4</v>
      </c>
      <c r="C200" s="264" t="str">
        <f>WSSBK!$C$36</f>
        <v>Mengetahui teknik potong, lipat, dan sambung</v>
      </c>
      <c r="D200" s="265" t="str">
        <f>VLOOKUP(G1,datauas,534)</f>
        <v/>
      </c>
      <c r="E200" s="265" t="str">
        <f>VLOOKUP(G1,datauas,535)</f>
        <v/>
      </c>
      <c r="F200" s="265" t="str">
        <f>VLOOKUP(G1,datauas,536)</f>
        <v>P</v>
      </c>
      <c r="G200" s="268" t="str">
        <f>VLOOKUP(G1,datauas,537)</f>
        <v/>
      </c>
      <c r="H200" s="246">
        <f t="shared" si="10"/>
        <v>1</v>
      </c>
      <c r="I200" s="246"/>
      <c r="J200" s="206"/>
      <c r="K200" s="206"/>
    </row>
    <row r="201" spans="1:11" ht="27">
      <c r="A201" s="206"/>
      <c r="B201" s="263">
        <v>5</v>
      </c>
      <c r="C201" s="264" t="str">
        <f>WSSBK!$C$46</f>
        <v>Membuat karya dekoratif</v>
      </c>
      <c r="D201" s="265" t="str">
        <f>VLOOKUP(G1,datauas,538)</f>
        <v/>
      </c>
      <c r="E201" s="265" t="str">
        <f>VLOOKUP(G1,datauas,539)</f>
        <v/>
      </c>
      <c r="F201" s="265" t="str">
        <f>VLOOKUP(G1,datauas,540)</f>
        <v/>
      </c>
      <c r="G201" s="268" t="str">
        <f>VLOOKUP(G1,datauas,541)</f>
        <v>P</v>
      </c>
      <c r="H201" s="246">
        <f t="shared" si="10"/>
        <v>1</v>
      </c>
      <c r="I201" s="246"/>
      <c r="J201" s="206"/>
      <c r="K201" s="206"/>
    </row>
    <row r="202" spans="1:11" ht="28.5">
      <c r="A202" s="206"/>
      <c r="B202" s="263">
        <v>6</v>
      </c>
      <c r="C202" s="264" t="str">
        <f>WSSBK!$C$58</f>
        <v>Menampilkan bentuk dan variasi irama melalui lagu</v>
      </c>
      <c r="D202" s="265" t="str">
        <f>VLOOKUP(G1,datauas,542)</f>
        <v/>
      </c>
      <c r="E202" s="265" t="str">
        <f>VLOOKUP(G1,datauas,543)</f>
        <v/>
      </c>
      <c r="F202" s="265" t="str">
        <f>VLOOKUP(G1,datauas,544)</f>
        <v/>
      </c>
      <c r="G202" s="268" t="str">
        <f>VLOOKUP(G1,datauas,545)</f>
        <v>P</v>
      </c>
      <c r="H202" s="246">
        <f t="shared" si="10"/>
        <v>1</v>
      </c>
      <c r="I202" s="246"/>
      <c r="J202" s="206"/>
      <c r="K202" s="206"/>
    </row>
    <row r="203" spans="1:11" ht="27">
      <c r="A203" s="206"/>
      <c r="B203" s="263">
        <v>7</v>
      </c>
      <c r="C203" s="264" t="str">
        <f>WSSBK!$C$68</f>
        <v>Meragakan dinamika gerak tari</v>
      </c>
      <c r="D203" s="265" t="str">
        <f>VLOOKUP(G1,datauas,546)</f>
        <v/>
      </c>
      <c r="E203" s="265" t="str">
        <f>VLOOKUP(G1,datauas,547)</f>
        <v/>
      </c>
      <c r="F203" s="265" t="str">
        <f>VLOOKUP(G1,datauas,548)</f>
        <v/>
      </c>
      <c r="G203" s="268" t="str">
        <f>VLOOKUP(G1,datauas,549)</f>
        <v>P</v>
      </c>
      <c r="H203" s="246">
        <f t="shared" si="10"/>
        <v>1</v>
      </c>
      <c r="I203" s="246"/>
      <c r="J203" s="206"/>
      <c r="K203" s="206"/>
    </row>
    <row r="204" spans="1:11" ht="29.25" thickBot="1">
      <c r="A204" s="206"/>
      <c r="B204" s="263">
        <v>8</v>
      </c>
      <c r="C204" s="264" t="str">
        <f>WSSBK!$C$77</f>
        <v>Membuat karya dengan teknik potong, lipat, dan sambung</v>
      </c>
      <c r="D204" s="265" t="str">
        <f>VLOOKUP(G1,datauas,550)</f>
        <v/>
      </c>
      <c r="E204" s="265" t="str">
        <f>VLOOKUP(G1,datauas,551)</f>
        <v/>
      </c>
      <c r="F204" s="265" t="str">
        <f>VLOOKUP(G1,datauas,552)</f>
        <v>P</v>
      </c>
      <c r="G204" s="268" t="str">
        <f>VLOOKUP(G1,datauas,553)</f>
        <v/>
      </c>
      <c r="H204" s="246">
        <f t="shared" si="10"/>
        <v>1</v>
      </c>
      <c r="I204" s="246"/>
      <c r="J204" s="206"/>
      <c r="K204" s="206"/>
    </row>
    <row r="205" spans="1:11" ht="27" hidden="1">
      <c r="A205" s="206"/>
      <c r="B205" s="263">
        <v>9</v>
      </c>
      <c r="C205" s="264">
        <f>WSSBK!$C$87</f>
        <v>0</v>
      </c>
      <c r="D205" s="265" t="str">
        <f>VLOOKUP(G1,datauas,554)</f>
        <v/>
      </c>
      <c r="E205" s="265" t="str">
        <f>VLOOKUP(G1,datauas,555)</f>
        <v/>
      </c>
      <c r="F205" s="265" t="str">
        <f>VLOOKUP(G1,datauas,556)</f>
        <v/>
      </c>
      <c r="G205" s="268" t="str">
        <f>VLOOKUP(G1,datauas,557)</f>
        <v/>
      </c>
      <c r="H205" s="246">
        <f t="shared" si="10"/>
        <v>0</v>
      </c>
      <c r="I205" s="246"/>
      <c r="J205" s="206"/>
      <c r="K205" s="206"/>
    </row>
    <row r="206" spans="1:11" ht="27" hidden="1">
      <c r="A206" s="206"/>
      <c r="B206" s="263">
        <v>10</v>
      </c>
      <c r="C206" s="264">
        <f>WSSBK!$C$95</f>
        <v>0</v>
      </c>
      <c r="D206" s="265" t="str">
        <f>VLOOKUP(G1,datauas,558)</f>
        <v/>
      </c>
      <c r="E206" s="265" t="str">
        <f>VLOOKUP(G1,datauas,559)</f>
        <v/>
      </c>
      <c r="F206" s="265" t="str">
        <f>VLOOKUP(G1,datauas,560)</f>
        <v/>
      </c>
      <c r="G206" s="268" t="str">
        <f>VLOOKUP(G1,datauas,561)</f>
        <v/>
      </c>
      <c r="H206" s="246">
        <f t="shared" si="10"/>
        <v>0</v>
      </c>
      <c r="I206" s="246"/>
      <c r="J206" s="206"/>
      <c r="K206" s="206"/>
    </row>
    <row r="207" spans="1:11" ht="27" hidden="1">
      <c r="A207" s="206"/>
      <c r="B207" s="263">
        <v>11</v>
      </c>
      <c r="C207" s="264">
        <f>WSSBK!$C$103</f>
        <v>0</v>
      </c>
      <c r="D207" s="265" t="str">
        <f>VLOOKUP(G1,datauas,562)</f>
        <v/>
      </c>
      <c r="E207" s="265" t="str">
        <f>VLOOKUP(G1,datauas,563)</f>
        <v/>
      </c>
      <c r="F207" s="265" t="str">
        <f>VLOOKUP(G1,datauas,564)</f>
        <v/>
      </c>
      <c r="G207" s="268" t="str">
        <f>VLOOKUP(G1,datauas,565)</f>
        <v/>
      </c>
      <c r="H207" s="246">
        <f t="shared" si="10"/>
        <v>0</v>
      </c>
      <c r="I207" s="246"/>
      <c r="J207" s="206"/>
      <c r="K207" s="206"/>
    </row>
    <row r="208" spans="1:11" ht="27" hidden="1">
      <c r="A208" s="206"/>
      <c r="B208" s="269">
        <v>12</v>
      </c>
      <c r="C208" s="270">
        <f>WSSBK!$C$111</f>
        <v>0</v>
      </c>
      <c r="D208" s="271" t="str">
        <f>VLOOKUP(G1,datauas,566)</f>
        <v/>
      </c>
      <c r="E208" s="271" t="str">
        <f>VLOOKUP(G1,datauas,567)</f>
        <v/>
      </c>
      <c r="F208" s="271" t="str">
        <f>VLOOKUP(G1,datauas,568)</f>
        <v/>
      </c>
      <c r="G208" s="272" t="str">
        <f>VLOOKUP(G1,datauas,569)</f>
        <v/>
      </c>
      <c r="H208" s="246">
        <f t="shared" si="10"/>
        <v>0</v>
      </c>
      <c r="I208" s="246"/>
      <c r="J208" s="206"/>
      <c r="K208" s="206"/>
    </row>
    <row r="209" spans="1:11" ht="27.75" hidden="1" thickBot="1">
      <c r="A209" s="206"/>
      <c r="B209" s="283">
        <v>13</v>
      </c>
      <c r="C209" s="284">
        <f>WSSBK!$C$119</f>
        <v>0</v>
      </c>
      <c r="D209" s="285" t="str">
        <f>VLOOKUP(G1,datauas,570)</f>
        <v/>
      </c>
      <c r="E209" s="285" t="str">
        <f>VLOOKUP(G1,datauas,571)</f>
        <v/>
      </c>
      <c r="F209" s="285" t="str">
        <f>VLOOKUP(G1,datauas,572)</f>
        <v/>
      </c>
      <c r="G209" s="286" t="str">
        <f>VLOOKUP(G1,datauas,573)</f>
        <v/>
      </c>
      <c r="H209" s="246">
        <f t="shared" si="10"/>
        <v>0</v>
      </c>
      <c r="I209" s="246"/>
      <c r="J209" s="206"/>
      <c r="K209" s="206"/>
    </row>
    <row r="210" spans="1:11" ht="15.75" thickTop="1" thickBot="1">
      <c r="A210" s="206"/>
      <c r="B210" s="963" t="s">
        <v>1103</v>
      </c>
      <c r="C210" s="964"/>
      <c r="D210" s="965" t="str">
        <f>IF(VLOOKUP($G$1,lager,14)&lt;58.25,"-",IF(AND(VLOOKUP($G$1,lager,14)&gt;=58.25,VLOOKUP($G$1,lager,14)&lt;=66.4),"B-",IF(AND(VLOOKUP($G$1,lager,14)&gt;=66.5,VLOOKUP($G$1,lager,14)&lt;=74.9),"B",IF(AND(VLOOKUP($G$1,lager,14)&gt;=75,VLOOKUP($G$1,lager,14)&lt;=83.24),"B+",IF(AND(VLOOKUP($G$1,lager,14)&gt;=83.25,VLOOKUP($G$1,lager,14)&lt;91.5),"A-",IF(AND(VLOOKUP($G$1,lager,14)&gt;=91.5,VLOOKUP($G$1,lager,14)&lt;=100),"A"))))))</f>
        <v>-</v>
      </c>
      <c r="E210" s="966"/>
      <c r="F210" s="966"/>
      <c r="G210" s="967"/>
      <c r="H210" s="246">
        <f>IF(C197&lt;&gt;0,1,0)</f>
        <v>1</v>
      </c>
      <c r="I210" s="246"/>
      <c r="J210" s="206"/>
      <c r="K210" s="206"/>
    </row>
    <row r="211" spans="1:11" ht="72" customHeight="1" thickTop="1" thickBot="1">
      <c r="A211" s="206"/>
      <c r="B211" s="957" t="str">
        <f>VLOOKUP(G1,CATATAN,188)</f>
        <v>Secara keseluruhan ananda mampu mengapresiasi seni dengan baik. Kemampuan ananda dalam mengetahui dan membuat karya dengan teknik potong, lipat, dan sambung berkembang dengan baik. Tetap berlatih dan semangat untuk belajar ya kak.</v>
      </c>
      <c r="C211" s="958"/>
      <c r="D211" s="958"/>
      <c r="E211" s="958"/>
      <c r="F211" s="958"/>
      <c r="G211" s="959"/>
      <c r="H211" s="246">
        <f>IF(C197&lt;&gt;0,1,0)</f>
        <v>1</v>
      </c>
      <c r="I211" s="246"/>
      <c r="J211" s="206"/>
      <c r="K211" s="206"/>
    </row>
    <row r="212" spans="1:11" ht="15" thickTop="1">
      <c r="A212" s="206"/>
      <c r="H212" s="246">
        <f>IF(C215&lt;&gt;0,1,0)</f>
        <v>1</v>
      </c>
      <c r="I212" s="246"/>
      <c r="J212" s="206"/>
      <c r="K212" s="206"/>
    </row>
    <row r="213" spans="1:11" ht="15" thickBot="1">
      <c r="A213" s="206"/>
      <c r="B213" s="960" t="s">
        <v>1181</v>
      </c>
      <c r="C213" s="960"/>
      <c r="D213" s="248"/>
      <c r="E213" s="249"/>
      <c r="F213" s="249"/>
      <c r="G213" s="249"/>
      <c r="H213" s="246">
        <f>IF(C215&lt;&gt;0,1,0)</f>
        <v>1</v>
      </c>
      <c r="I213" s="246"/>
      <c r="J213" s="206"/>
      <c r="K213" s="206"/>
    </row>
    <row r="214" spans="1:11" ht="30" thickTop="1" thickBot="1">
      <c r="A214" s="206"/>
      <c r="B214" s="961" t="s">
        <v>1098</v>
      </c>
      <c r="C214" s="962"/>
      <c r="D214" s="250" t="s">
        <v>1099</v>
      </c>
      <c r="E214" s="250" t="s">
        <v>1100</v>
      </c>
      <c r="F214" s="251" t="s">
        <v>1101</v>
      </c>
      <c r="G214" s="252" t="s">
        <v>1102</v>
      </c>
      <c r="H214" s="246">
        <f>H213</f>
        <v>1</v>
      </c>
      <c r="I214" s="246"/>
      <c r="J214" s="206"/>
      <c r="K214" s="206"/>
    </row>
    <row r="215" spans="1:11" ht="27.75" thickTop="1">
      <c r="A215" s="206"/>
      <c r="B215" s="263">
        <v>1</v>
      </c>
      <c r="C215" s="267" t="str">
        <f>WSPENJAS!$C$6</f>
        <v>Mempraktikkan pola gerak Lokomotor</v>
      </c>
      <c r="D215" s="265" t="str">
        <f>VLOOKUP(G1,datauas,574)</f>
        <v/>
      </c>
      <c r="E215" s="265" t="str">
        <f>VLOOKUP(G1,datauas,575)</f>
        <v/>
      </c>
      <c r="F215" s="265" t="str">
        <f>VLOOKUP(G1,datauas,576)</f>
        <v/>
      </c>
      <c r="G215" s="268" t="str">
        <f>VLOOKUP(G1,datauas,577)</f>
        <v>P</v>
      </c>
      <c r="H215" s="246">
        <f>IF(C215&lt;&gt;0,1,0)</f>
        <v>1</v>
      </c>
      <c r="I215" s="246"/>
      <c r="J215" s="206"/>
      <c r="K215" s="206"/>
    </row>
    <row r="216" spans="1:11" ht="28.5">
      <c r="A216" s="206"/>
      <c r="B216" s="263">
        <v>2</v>
      </c>
      <c r="C216" s="264" t="str">
        <f>WSPENJAS!$C7</f>
        <v>Mempraktikkan pola gerak Non lokomotor</v>
      </c>
      <c r="D216" s="265" t="str">
        <f>VLOOKUP(G1,datauas,578)</f>
        <v/>
      </c>
      <c r="E216" s="265" t="str">
        <f>VLOOKUP(G1,datauas,579)</f>
        <v/>
      </c>
      <c r="F216" s="265" t="str">
        <f>VLOOKUP(G1,datauas,580)</f>
        <v/>
      </c>
      <c r="G216" s="268" t="str">
        <f>VLOOKUP(G1,datauas,581)</f>
        <v>P</v>
      </c>
      <c r="H216" s="246">
        <f t="shared" ref="H216:H230" si="11">IF(C216&lt;&gt;0,1,0)</f>
        <v>1</v>
      </c>
      <c r="I216" s="246"/>
      <c r="J216" s="206"/>
      <c r="K216" s="206"/>
    </row>
    <row r="217" spans="1:11" ht="28.5">
      <c r="A217" s="206"/>
      <c r="B217" s="263">
        <v>3</v>
      </c>
      <c r="C217" s="264" t="str">
        <f>WSPENJAS!$C8</f>
        <v>Mempraktikkan pola gerak manipulatif</v>
      </c>
      <c r="D217" s="265" t="str">
        <f>VLOOKUP(G1,datauas,582)</f>
        <v/>
      </c>
      <c r="E217" s="265" t="str">
        <f>VLOOKUP(G1,datauas,583)</f>
        <v/>
      </c>
      <c r="F217" s="265" t="str">
        <f>VLOOKUP(G1,datauas,584)</f>
        <v/>
      </c>
      <c r="G217" s="268" t="str">
        <f>VLOOKUP(G1,datauas,585)</f>
        <v>P</v>
      </c>
      <c r="H217" s="246">
        <f t="shared" si="11"/>
        <v>1</v>
      </c>
      <c r="I217" s="246"/>
      <c r="J217" s="206"/>
      <c r="K217" s="206"/>
    </row>
    <row r="218" spans="1:11" ht="28.5">
      <c r="A218" s="206"/>
      <c r="B218" s="263">
        <v>4</v>
      </c>
      <c r="C218" s="264" t="str">
        <f>WSPENJAS!$C9</f>
        <v>Latihan Kekuatan otot bahu dan otot dada.</v>
      </c>
      <c r="D218" s="265" t="str">
        <f>VLOOKUP(G1,datauas,586)</f>
        <v/>
      </c>
      <c r="E218" s="265" t="str">
        <f>VLOOKUP(G1,datauas,587)</f>
        <v/>
      </c>
      <c r="F218" s="265" t="str">
        <f>VLOOKUP(G1,datauas,588)</f>
        <v/>
      </c>
      <c r="G218" s="268" t="str">
        <f>VLOOKUP(G1,datauas,589)</f>
        <v>P</v>
      </c>
      <c r="H218" s="246">
        <f t="shared" si="11"/>
        <v>1</v>
      </c>
      <c r="I218" s="246"/>
      <c r="J218" s="206"/>
      <c r="K218" s="206"/>
    </row>
    <row r="219" spans="1:11" ht="28.5">
      <c r="A219" s="206"/>
      <c r="B219" s="263">
        <v>5</v>
      </c>
      <c r="C219" s="264" t="str">
        <f>WSPENJAS!$C10</f>
        <v xml:space="preserve">Mempraktikkan latihan daya tahan tubuh </v>
      </c>
      <c r="D219" s="265" t="str">
        <f>VLOOKUP(G1,datauas,590)</f>
        <v/>
      </c>
      <c r="E219" s="265" t="str">
        <f>VLOOKUP(G1,datauas,591)</f>
        <v/>
      </c>
      <c r="F219" s="265" t="str">
        <f>VLOOKUP(G1,datauas,592)</f>
        <v/>
      </c>
      <c r="G219" s="268" t="str">
        <f>VLOOKUP(G1,datauas,593)</f>
        <v>P</v>
      </c>
      <c r="H219" s="246">
        <f t="shared" si="11"/>
        <v>1</v>
      </c>
      <c r="I219" s="246"/>
      <c r="J219" s="206"/>
      <c r="K219" s="206"/>
    </row>
    <row r="220" spans="1:11" ht="28.5">
      <c r="A220" s="206"/>
      <c r="B220" s="269">
        <v>6</v>
      </c>
      <c r="C220" s="270" t="str">
        <f>WSPENJAS!$C11</f>
        <v>Mempraktikkan latihan keseimbangan dalam senam lantai</v>
      </c>
      <c r="D220" s="271" t="str">
        <f>VLOOKUP(G1,datauas,594)</f>
        <v/>
      </c>
      <c r="E220" s="271" t="str">
        <f>VLOOKUP(G1,datauas,595)</f>
        <v/>
      </c>
      <c r="F220" s="271" t="str">
        <f>VLOOKUP(G1,datauas,596)</f>
        <v/>
      </c>
      <c r="G220" s="272" t="str">
        <f>VLOOKUP(G1,datauas,597)</f>
        <v/>
      </c>
      <c r="H220" s="246">
        <f t="shared" si="11"/>
        <v>1</v>
      </c>
      <c r="I220" s="246"/>
      <c r="J220" s="206"/>
      <c r="K220" s="206"/>
    </row>
    <row r="221" spans="1:11" ht="28.5">
      <c r="A221" s="206"/>
      <c r="B221" s="273">
        <v>7</v>
      </c>
      <c r="C221" s="274" t="str">
        <f>WSPENJAS!$C12</f>
        <v>Mempraktikkan kombinasi    senam ketangkasan dasar</v>
      </c>
      <c r="D221" s="275" t="str">
        <f>VLOOKUP(G1,datauas,598)</f>
        <v/>
      </c>
      <c r="E221" s="275" t="str">
        <f>VLOOKUP(G1,datauas,599)</f>
        <v/>
      </c>
      <c r="F221" s="275" t="str">
        <f>VLOOKUP(G1,datauas,600)</f>
        <v/>
      </c>
      <c r="G221" s="276" t="str">
        <f>VLOOKUP(G1,datauas,601)</f>
        <v>P</v>
      </c>
      <c r="H221" s="246">
        <f t="shared" si="11"/>
        <v>1</v>
      </c>
      <c r="I221" s="246"/>
      <c r="J221" s="206"/>
      <c r="K221" s="206"/>
    </row>
    <row r="222" spans="1:11" ht="28.5">
      <c r="A222" s="206"/>
      <c r="B222" s="263">
        <v>8</v>
      </c>
      <c r="C222" s="264" t="str">
        <f>WSPENJAS!$C13</f>
        <v>Mempraktikkan gerak ritmik Nonlokomotor individu</v>
      </c>
      <c r="D222" s="265" t="str">
        <f>VLOOKUP(G1,datauas,602)</f>
        <v/>
      </c>
      <c r="E222" s="265" t="str">
        <f>VLOOKUP(G1,datauas,603)</f>
        <v/>
      </c>
      <c r="F222" s="265" t="str">
        <f>VLOOKUP(G1,datauas,604)</f>
        <v/>
      </c>
      <c r="G222" s="268" t="str">
        <f>VLOOKUP(G1,datauas,605)</f>
        <v>P</v>
      </c>
      <c r="H222" s="246">
        <f t="shared" si="11"/>
        <v>1</v>
      </c>
      <c r="I222" s="246"/>
      <c r="J222" s="206"/>
      <c r="K222" s="206"/>
    </row>
    <row r="223" spans="1:11" ht="28.5">
      <c r="A223" s="206"/>
      <c r="B223" s="263">
        <v>9</v>
      </c>
      <c r="C223" s="264" t="str">
        <f>WSPENJAS!$C14</f>
        <v>Mempraktikkan gerak ritmik Nonlokomotor beregu</v>
      </c>
      <c r="D223" s="265" t="str">
        <f>VLOOKUP(G1,datauas,606)</f>
        <v/>
      </c>
      <c r="E223" s="265" t="str">
        <f>VLOOKUP(G1,datauas,607)</f>
        <v/>
      </c>
      <c r="F223" s="265" t="str">
        <f>VLOOKUP(G1,datauas,608)</f>
        <v/>
      </c>
      <c r="G223" s="268" t="str">
        <f>VLOOKUP(G1,datauas,609)</f>
        <v>P</v>
      </c>
      <c r="H223" s="246">
        <f t="shared" si="11"/>
        <v>1</v>
      </c>
      <c r="I223" s="246"/>
      <c r="J223" s="206"/>
      <c r="K223" s="206"/>
    </row>
    <row r="224" spans="1:11" ht="27.75" thickBot="1">
      <c r="A224" s="206"/>
      <c r="B224" s="263">
        <v>10</v>
      </c>
      <c r="C224" s="264" t="str">
        <f>WSPENJAS!$C15</f>
        <v>Mengenal kebersihan pecahan</v>
      </c>
      <c r="D224" s="265" t="str">
        <f>VLOOKUP(G1,datauas,610)</f>
        <v/>
      </c>
      <c r="E224" s="265" t="str">
        <f>VLOOKUP(G1,datauas,611)</f>
        <v/>
      </c>
      <c r="F224" s="265" t="str">
        <f>VLOOKUP(G1,datauas,612)</f>
        <v/>
      </c>
      <c r="G224" s="268" t="str">
        <f>VLOOKUP(G1,datauas,613)</f>
        <v>P</v>
      </c>
      <c r="H224" s="246">
        <f t="shared" si="11"/>
        <v>1</v>
      </c>
      <c r="I224" s="246"/>
      <c r="J224" s="206"/>
      <c r="K224" s="206"/>
    </row>
    <row r="225" spans="1:11" ht="27" hidden="1">
      <c r="A225" s="206"/>
      <c r="B225" s="263">
        <v>11</v>
      </c>
      <c r="C225" s="264">
        <f>WSPENJAS!$C16</f>
        <v>0</v>
      </c>
      <c r="D225" s="265" t="str">
        <f>VLOOKUP(G1,datauas,614)</f>
        <v/>
      </c>
      <c r="E225" s="265" t="str">
        <f>VLOOKUP(G1,datauas,615)</f>
        <v/>
      </c>
      <c r="F225" s="265" t="str">
        <f>VLOOKUP(G1,datauas,616)</f>
        <v/>
      </c>
      <c r="G225" s="268" t="str">
        <f>VLOOKUP(G1,datauas,617)</f>
        <v/>
      </c>
      <c r="H225" s="246">
        <f t="shared" si="11"/>
        <v>0</v>
      </c>
      <c r="I225" s="246"/>
      <c r="J225" s="206"/>
      <c r="K225" s="206"/>
    </row>
    <row r="226" spans="1:11" ht="27" hidden="1">
      <c r="A226" s="206"/>
      <c r="B226" s="263">
        <v>12</v>
      </c>
      <c r="C226" s="264">
        <f>WSPENJAS!$C17</f>
        <v>0</v>
      </c>
      <c r="D226" s="265" t="str">
        <f>VLOOKUP(G1,datauas,618)</f>
        <v/>
      </c>
      <c r="E226" s="265" t="str">
        <f>VLOOKUP(G1,datauas,619)</f>
        <v/>
      </c>
      <c r="F226" s="265" t="str">
        <f>VLOOKUP(G1,datauas,620)</f>
        <v/>
      </c>
      <c r="G226" s="268" t="str">
        <f>VLOOKUP(G1,datauas,621)</f>
        <v/>
      </c>
      <c r="H226" s="246">
        <f t="shared" si="11"/>
        <v>0</v>
      </c>
      <c r="I226" s="246"/>
      <c r="J226" s="206"/>
      <c r="K226" s="206"/>
    </row>
    <row r="227" spans="1:11" ht="27" hidden="1">
      <c r="A227" s="206"/>
      <c r="B227" s="263">
        <v>13</v>
      </c>
      <c r="C227" s="264">
        <f>WSPENJAS!$C18</f>
        <v>0</v>
      </c>
      <c r="D227" s="265" t="str">
        <f>VLOOKUP(G1,datauas,622)</f>
        <v/>
      </c>
      <c r="E227" s="265" t="str">
        <f>VLOOKUP(G1,datauas,623)</f>
        <v/>
      </c>
      <c r="F227" s="265" t="str">
        <f>VLOOKUP(G1,datauas,624)</f>
        <v/>
      </c>
      <c r="G227" s="268" t="str">
        <f>VLOOKUP(G1,datauas,625)</f>
        <v/>
      </c>
      <c r="H227" s="246">
        <f t="shared" si="11"/>
        <v>0</v>
      </c>
      <c r="I227" s="246"/>
      <c r="J227" s="206"/>
      <c r="K227" s="206"/>
    </row>
    <row r="228" spans="1:11" ht="27" hidden="1">
      <c r="A228" s="206"/>
      <c r="B228" s="263">
        <v>14</v>
      </c>
      <c r="C228" s="264">
        <f>WSPENJAS!$C19</f>
        <v>0</v>
      </c>
      <c r="D228" s="265" t="str">
        <f>VLOOKUP(G1,datauas,626)</f>
        <v/>
      </c>
      <c r="E228" s="265" t="str">
        <f>VLOOKUP(G1,datauas,627)</f>
        <v/>
      </c>
      <c r="F228" s="265" t="str">
        <f>VLOOKUP(G1,datauas,628)</f>
        <v/>
      </c>
      <c r="G228" s="268" t="str">
        <f>VLOOKUP(G1,datauas,629)</f>
        <v/>
      </c>
      <c r="H228" s="246">
        <f t="shared" si="11"/>
        <v>0</v>
      </c>
      <c r="I228" s="246"/>
      <c r="J228" s="206"/>
      <c r="K228" s="206"/>
    </row>
    <row r="229" spans="1:11" ht="27" hidden="1">
      <c r="A229" s="206"/>
      <c r="B229" s="263">
        <v>15</v>
      </c>
      <c r="C229" s="264">
        <f>WSPENJAS!$C20</f>
        <v>0</v>
      </c>
      <c r="D229" s="265" t="str">
        <f>VLOOKUP(G1,datauas,630)</f>
        <v/>
      </c>
      <c r="E229" s="265" t="str">
        <f>VLOOKUP(G1,datauas,631)</f>
        <v/>
      </c>
      <c r="F229" s="265" t="str">
        <f>VLOOKUP(G1,datauas,632)</f>
        <v/>
      </c>
      <c r="G229" s="268" t="str">
        <f>VLOOKUP(G1,datauas,633)</f>
        <v/>
      </c>
      <c r="H229" s="246">
        <f t="shared" si="11"/>
        <v>0</v>
      </c>
      <c r="I229" s="246"/>
      <c r="J229" s="206"/>
      <c r="K229" s="206"/>
    </row>
    <row r="230" spans="1:11" ht="27.75" hidden="1" thickBot="1">
      <c r="A230" s="206"/>
      <c r="B230" s="287">
        <v>16</v>
      </c>
      <c r="C230" s="288">
        <f>WSPENJAS!$C21</f>
        <v>0</v>
      </c>
      <c r="D230" s="289" t="str">
        <f>VLOOKUP(G1,datauas,634)</f>
        <v/>
      </c>
      <c r="E230" s="289" t="str">
        <f>VLOOKUP(G1,datauas,635)</f>
        <v/>
      </c>
      <c r="F230" s="289" t="str">
        <f>VLOOKUP(G1,datauas,636)</f>
        <v/>
      </c>
      <c r="G230" s="290" t="str">
        <f>VLOOKUP(G1,datauas,637)</f>
        <v/>
      </c>
      <c r="H230" s="246">
        <f t="shared" si="11"/>
        <v>0</v>
      </c>
      <c r="I230" s="246"/>
      <c r="J230" s="206"/>
      <c r="K230" s="206"/>
    </row>
    <row r="231" spans="1:11" ht="15.75" thickTop="1" thickBot="1">
      <c r="A231" s="206"/>
      <c r="B231" s="1000" t="s">
        <v>1103</v>
      </c>
      <c r="C231" s="1001"/>
      <c r="D231" s="965" t="str">
        <f>IF(VLOOKUP($G$1,lager,15)&lt;58.25,"-",IF(AND(VLOOKUP($G$1,lager,15)&gt;=58.25,VLOOKUP($G$1,lager,15)&lt;=66.4),"B-",IF(AND(VLOOKUP($G$1,lager,15)&gt;=66.5,VLOOKUP($G$1,lager,15)&lt;=74.9),"B",IF(AND(VLOOKUP($G$1,lager,15)&gt;=75,VLOOKUP($G$1,lager,15)&lt;=83.24),"B+",IF(AND(VLOOKUP($G$1,lager,15)&gt;=83.25,VLOOKUP($G$1,lager,15)&lt;91.5),"A-",IF(AND(VLOOKUP($G$1,lager,15)&gt;=91.5,VLOOKUP($G$1,lager,15)&lt;=100),"A"))))))</f>
        <v>A</v>
      </c>
      <c r="E231" s="966"/>
      <c r="F231" s="966"/>
      <c r="G231" s="967"/>
      <c r="H231" s="246">
        <f>IF(C218&lt;&gt;0,1,0)</f>
        <v>1</v>
      </c>
      <c r="I231" s="246"/>
      <c r="J231" s="206"/>
      <c r="K231" s="206"/>
    </row>
    <row r="232" spans="1:11" ht="72" customHeight="1" thickTop="1" thickBot="1">
      <c r="A232" s="206"/>
      <c r="B232" s="957" t="str">
        <f>VLOOKUP(G1,CATATAN,205)</f>
        <v xml:space="preserve">Ananda sudah mampu menunjukkan kemampuannya dalam mempraktikkan beberapa gerakan dasar olahraga, senam lantai, pengenalan lingkungan sekolah dan pemanfaatan makanan/minuman yang baik. Selain itu kemampuan ananda dalam mengenal makanan sehat dan menjaga kebersihan gigi dan mulut juga sangat baik. Akan tetapi ananda perlu belajar lagi untuk melakukan pernafasan dalam air. </v>
      </c>
      <c r="C232" s="958"/>
      <c r="D232" s="958"/>
      <c r="E232" s="958"/>
      <c r="F232" s="958"/>
      <c r="G232" s="959"/>
      <c r="H232" s="246">
        <f>IF(C215&lt;&gt;0,1,0)</f>
        <v>1</v>
      </c>
      <c r="I232" s="246"/>
      <c r="J232" s="206"/>
      <c r="K232" s="206"/>
    </row>
    <row r="233" spans="1:11" ht="15" thickTop="1">
      <c r="A233" s="206"/>
      <c r="H233" s="246">
        <f>IF(C236&lt;&gt;0,1,0)</f>
        <v>1</v>
      </c>
      <c r="I233" s="246"/>
      <c r="J233" s="206"/>
      <c r="K233" s="206"/>
    </row>
    <row r="234" spans="1:11" ht="15" thickBot="1">
      <c r="A234" s="206"/>
      <c r="B234" s="960" t="s">
        <v>1126</v>
      </c>
      <c r="C234" s="960"/>
      <c r="D234" s="248"/>
      <c r="E234" s="249"/>
      <c r="F234" s="249"/>
      <c r="G234" s="249"/>
      <c r="H234" s="246">
        <f>IF(C236&lt;&gt;0,1,0)</f>
        <v>1</v>
      </c>
      <c r="I234" s="246"/>
      <c r="J234" s="206"/>
      <c r="K234" s="206"/>
    </row>
    <row r="235" spans="1:11" ht="30" thickTop="1" thickBot="1">
      <c r="A235" s="206"/>
      <c r="B235" s="961" t="s">
        <v>1098</v>
      </c>
      <c r="C235" s="962"/>
      <c r="D235" s="250" t="s">
        <v>1099</v>
      </c>
      <c r="E235" s="250" t="s">
        <v>1100</v>
      </c>
      <c r="F235" s="251" t="s">
        <v>1101</v>
      </c>
      <c r="G235" s="252" t="s">
        <v>1102</v>
      </c>
      <c r="H235" s="246">
        <f>H234</f>
        <v>1</v>
      </c>
      <c r="I235" s="246"/>
      <c r="J235" s="206"/>
      <c r="K235" s="206"/>
    </row>
    <row r="236" spans="1:11" ht="43.5" thickTop="1">
      <c r="A236" s="206"/>
      <c r="B236" s="263">
        <v>1</v>
      </c>
      <c r="C236" s="267" t="str">
        <f>WSJAWA!$C$6</f>
        <v>Mengenal, memahami dan mengidentifikasi teks secara lisan dan tertulis</v>
      </c>
      <c r="D236" s="265" t="str">
        <f>VLOOKUP(G1,datauas,638)</f>
        <v/>
      </c>
      <c r="E236" s="265" t="str">
        <f>VLOOKUP(G1,datauas,639)</f>
        <v/>
      </c>
      <c r="F236" s="265" t="str">
        <f>VLOOKUP(G1,datauas,640)</f>
        <v/>
      </c>
      <c r="G236" s="268" t="str">
        <f>VLOOKUP(G1,datauas,641)</f>
        <v>P</v>
      </c>
      <c r="H236" s="246">
        <f>IF(C236&lt;&gt;0,1,0)</f>
        <v>1</v>
      </c>
      <c r="I236" s="246"/>
      <c r="J236" s="206"/>
      <c r="K236" s="206"/>
    </row>
    <row r="237" spans="1:11" ht="42.75">
      <c r="A237" s="206"/>
      <c r="B237" s="263">
        <v>2</v>
      </c>
      <c r="C237" s="264" t="str">
        <f>WSJAWA!$C$14</f>
        <v>Mengidentifikasi informasi dari teks, mengenal, memahami, dan laporan hasil observasi secara lisan dan tertulis</v>
      </c>
      <c r="D237" s="265" t="str">
        <f>VLOOKUP(G1,datauas,642)</f>
        <v/>
      </c>
      <c r="E237" s="265" t="str">
        <f>VLOOKUP(G1,datauas,643)</f>
        <v/>
      </c>
      <c r="F237" s="265" t="str">
        <f>VLOOKUP(G1,datauas,644)</f>
        <v>P</v>
      </c>
      <c r="G237" s="268" t="str">
        <f>VLOOKUP(G1,datauas,645)</f>
        <v/>
      </c>
      <c r="H237" s="246">
        <f t="shared" ref="H237:H248" si="12">IF(C237&lt;&gt;0,1,0)</f>
        <v>1</v>
      </c>
      <c r="I237" s="246"/>
      <c r="J237" s="206"/>
      <c r="K237" s="206"/>
    </row>
    <row r="238" spans="1:11" ht="57">
      <c r="A238" s="206"/>
      <c r="B238" s="263">
        <v>3</v>
      </c>
      <c r="C238" s="264" t="str">
        <f>WSJAWA!$C$22</f>
        <v>Mengenal, memahami, dan mengidentifikasi informasi dari teks lisan tentang kondisi alam dalam bentuk cerita</v>
      </c>
      <c r="D238" s="265" t="str">
        <f>VLOOKUP(G1,datauas,646)</f>
        <v/>
      </c>
      <c r="E238" s="265" t="str">
        <f>VLOOKUP(G1,datauas,647)</f>
        <v/>
      </c>
      <c r="F238" s="265" t="str">
        <f>VLOOKUP(G1,datauas,648)</f>
        <v/>
      </c>
      <c r="G238" s="268" t="str">
        <f>VLOOKUP(G1,datauas,649)</f>
        <v>P</v>
      </c>
      <c r="H238" s="246">
        <f t="shared" si="12"/>
        <v>1</v>
      </c>
      <c r="I238" s="246"/>
      <c r="J238" s="206"/>
      <c r="K238" s="206"/>
    </row>
    <row r="239" spans="1:11" ht="71.25">
      <c r="A239" s="206"/>
      <c r="B239" s="263">
        <v>4</v>
      </c>
      <c r="C239" s="264" t="str">
        <f>WSJAWA!$C$30</f>
        <v>Mengenal, memahami dan mengidentifikasi teks puisi tentang alam semesta dan penampakannya dengan bantuan guru secara lisan dan tertulis</v>
      </c>
      <c r="D239" s="265" t="str">
        <f>VLOOKUP(G1,datauas,650)</f>
        <v/>
      </c>
      <c r="E239" s="265" t="str">
        <f>VLOOKUP(G1,datauas,651)</f>
        <v/>
      </c>
      <c r="F239" s="265" t="str">
        <f>VLOOKUP(G1,datauas,652)</f>
        <v/>
      </c>
      <c r="G239" s="268" t="str">
        <f>VLOOKUP(G1,datauas,653)</f>
        <v>P</v>
      </c>
      <c r="H239" s="246">
        <f t="shared" si="12"/>
        <v>1</v>
      </c>
      <c r="I239" s="246"/>
      <c r="J239" s="206"/>
      <c r="K239" s="206"/>
    </row>
    <row r="240" spans="1:11" ht="42.75">
      <c r="A240" s="206"/>
      <c r="B240" s="263">
        <v>5</v>
      </c>
      <c r="C240" s="264" t="str">
        <f>WSJAWA!$C$38</f>
        <v>Membaca lancar bentuk teks cerita sederhana dengan memperhatikan pelafalan dan intonasi</v>
      </c>
      <c r="D240" s="265" t="str">
        <f>VLOOKUP(G1,datauas,654)</f>
        <v/>
      </c>
      <c r="E240" s="265" t="str">
        <f>VLOOKUP(G1,datauas,655)</f>
        <v/>
      </c>
      <c r="F240" s="265" t="str">
        <f>VLOOKUP(G1,datauas,656)</f>
        <v/>
      </c>
      <c r="G240" s="268" t="str">
        <f>VLOOKUP(G1,datauas,657)</f>
        <v>P</v>
      </c>
      <c r="H240" s="246">
        <f t="shared" si="12"/>
        <v>1</v>
      </c>
      <c r="I240" s="246"/>
      <c r="J240" s="206"/>
      <c r="K240" s="206"/>
    </row>
    <row r="241" spans="1:11" ht="42.75">
      <c r="A241" s="206"/>
      <c r="B241" s="263">
        <v>6</v>
      </c>
      <c r="C241" s="264" t="str">
        <f>WSJAWA!$C$46</f>
        <v>Menyusun dan menyampaikan teks laporan sederhana hasil observasi secara lisan dan tulis</v>
      </c>
      <c r="D241" s="265" t="str">
        <f>VLOOKUP(G1,datauas,658)</f>
        <v/>
      </c>
      <c r="E241" s="265" t="str">
        <f>VLOOKUP(G1,datauas,659)</f>
        <v>P</v>
      </c>
      <c r="F241" s="265" t="str">
        <f>VLOOKUP(G1,datauas,660)</f>
        <v/>
      </c>
      <c r="G241" s="268" t="str">
        <f>VLOOKUP(G1,datauas,661)</f>
        <v/>
      </c>
      <c r="H241" s="246">
        <f t="shared" si="12"/>
        <v>1</v>
      </c>
      <c r="I241" s="246"/>
      <c r="J241" s="206"/>
      <c r="K241" s="206"/>
    </row>
    <row r="242" spans="1:11" ht="28.5">
      <c r="A242" s="206"/>
      <c r="B242" s="263">
        <v>7</v>
      </c>
      <c r="C242" s="264" t="str">
        <f>WSJAWA!$C$54</f>
        <v>Menyampaikan teks lisan tentang kondisi alam dalam bentuk cerita</v>
      </c>
      <c r="D242" s="265" t="str">
        <f>VLOOKUP(G1,datauas,662)</f>
        <v/>
      </c>
      <c r="E242" s="265" t="str">
        <f>VLOOKUP(G1,datauas,663)</f>
        <v>P</v>
      </c>
      <c r="F242" s="265" t="str">
        <f>VLOOKUP(G1,datauas,664)</f>
        <v/>
      </c>
      <c r="G242" s="268" t="str">
        <f>VLOOKUP(G1,datauas,665)</f>
        <v/>
      </c>
      <c r="H242" s="246">
        <f t="shared" si="12"/>
        <v>1</v>
      </c>
      <c r="I242" s="246"/>
      <c r="J242" s="206"/>
      <c r="K242" s="206"/>
    </row>
    <row r="243" spans="1:11" ht="29.25" thickBot="1">
      <c r="A243" s="206"/>
      <c r="B243" s="263">
        <v>8</v>
      </c>
      <c r="C243" s="264" t="str">
        <f>WSJAWA!$C$62</f>
        <v>Membaca indah teks puisi tentang alam semesta dan penampakannya</v>
      </c>
      <c r="D243" s="265" t="str">
        <f>VLOOKUP(G1,datauas,666)</f>
        <v/>
      </c>
      <c r="E243" s="265" t="str">
        <f>VLOOKUP(G1,datauas,667)</f>
        <v/>
      </c>
      <c r="F243" s="265" t="str">
        <f>VLOOKUP(G1,datauas,668)</f>
        <v/>
      </c>
      <c r="G243" s="268" t="str">
        <f>VLOOKUP(G1,datauas,669)</f>
        <v>P</v>
      </c>
      <c r="H243" s="246">
        <f t="shared" si="12"/>
        <v>1</v>
      </c>
      <c r="I243" s="246"/>
      <c r="J243" s="206"/>
      <c r="K243" s="206"/>
    </row>
    <row r="244" spans="1:11" ht="27" hidden="1">
      <c r="A244" s="206"/>
      <c r="B244" s="263">
        <v>9</v>
      </c>
      <c r="C244" s="264">
        <f>WSJAWA!$C$70</f>
        <v>0</v>
      </c>
      <c r="D244" s="265" t="str">
        <f>VLOOKUP(G1,datauas,670)</f>
        <v/>
      </c>
      <c r="E244" s="265" t="str">
        <f>VLOOKUP(G1,datauas,671)</f>
        <v/>
      </c>
      <c r="F244" s="265" t="str">
        <f>VLOOKUP(G1,datauas,672)</f>
        <v/>
      </c>
      <c r="G244" s="268" t="str">
        <f>VLOOKUP(G1,datauas,673)</f>
        <v/>
      </c>
      <c r="H244" s="246">
        <f t="shared" si="12"/>
        <v>0</v>
      </c>
      <c r="I244" s="246"/>
      <c r="J244" s="206"/>
      <c r="K244" s="206"/>
    </row>
    <row r="245" spans="1:11" ht="27" hidden="1">
      <c r="A245" s="206"/>
      <c r="B245" s="263">
        <v>10</v>
      </c>
      <c r="C245" s="264">
        <f>WSJAWA!$C$78</f>
        <v>0</v>
      </c>
      <c r="D245" s="265" t="str">
        <f>VLOOKUP(G1,datauas,674)</f>
        <v/>
      </c>
      <c r="E245" s="265" t="str">
        <f>VLOOKUP(G1,datauas,675)</f>
        <v/>
      </c>
      <c r="F245" s="265" t="str">
        <f>VLOOKUP(G1,datauas,676)</f>
        <v/>
      </c>
      <c r="G245" s="268" t="str">
        <f>VLOOKUP(G1,datauas,677)</f>
        <v/>
      </c>
      <c r="H245" s="246">
        <f t="shared" si="12"/>
        <v>0</v>
      </c>
      <c r="I245" s="246"/>
      <c r="J245" s="206"/>
      <c r="K245" s="206"/>
    </row>
    <row r="246" spans="1:11" ht="27" hidden="1">
      <c r="A246" s="206"/>
      <c r="B246" s="263">
        <v>11</v>
      </c>
      <c r="C246" s="264">
        <f>WSJAWA!$C$86</f>
        <v>0</v>
      </c>
      <c r="D246" s="265" t="str">
        <f>VLOOKUP(G1,datauas,678)</f>
        <v/>
      </c>
      <c r="E246" s="265" t="str">
        <f>VLOOKUP(G1,datauas,679)</f>
        <v/>
      </c>
      <c r="F246" s="265" t="str">
        <f>VLOOKUP(G1,datauas,680)</f>
        <v/>
      </c>
      <c r="G246" s="268" t="str">
        <f>VLOOKUP(G1,datauas,681)</f>
        <v/>
      </c>
      <c r="H246" s="246">
        <f t="shared" si="12"/>
        <v>0</v>
      </c>
      <c r="I246" s="246"/>
      <c r="J246" s="206"/>
      <c r="K246" s="206"/>
    </row>
    <row r="247" spans="1:11" ht="27" hidden="1">
      <c r="A247" s="206"/>
      <c r="B247" s="263">
        <v>12</v>
      </c>
      <c r="C247" s="264">
        <f>WSJAWA!$C$94</f>
        <v>0</v>
      </c>
      <c r="D247" s="265" t="str">
        <f>VLOOKUP(G1,datauas,682)</f>
        <v/>
      </c>
      <c r="E247" s="265" t="str">
        <f>VLOOKUP(G1,datauas,683)</f>
        <v/>
      </c>
      <c r="F247" s="265" t="str">
        <f>VLOOKUP(G1,datauas,684)</f>
        <v/>
      </c>
      <c r="G247" s="268" t="str">
        <f>VLOOKUP(G1,datauas,685)</f>
        <v/>
      </c>
      <c r="H247" s="246">
        <f t="shared" si="12"/>
        <v>0</v>
      </c>
      <c r="I247" s="246"/>
      <c r="J247" s="206"/>
      <c r="K247" s="206"/>
    </row>
    <row r="248" spans="1:11" ht="27.75" hidden="1" thickBot="1">
      <c r="A248" s="206"/>
      <c r="B248" s="263">
        <v>13</v>
      </c>
      <c r="C248" s="264">
        <f>WSJAWA!$C$102</f>
        <v>0</v>
      </c>
      <c r="D248" s="265" t="str">
        <f>VLOOKUP(G1,datauas,686)</f>
        <v/>
      </c>
      <c r="E248" s="265" t="str">
        <f>VLOOKUP(G1,datauas,687)</f>
        <v/>
      </c>
      <c r="F248" s="265" t="str">
        <f>VLOOKUP(G1,datauas,688)</f>
        <v/>
      </c>
      <c r="G248" s="268" t="str">
        <f>VLOOKUP(G1,datauas,689)</f>
        <v/>
      </c>
      <c r="H248" s="246">
        <f t="shared" si="12"/>
        <v>0</v>
      </c>
      <c r="I248" s="246"/>
      <c r="J248" s="206"/>
      <c r="K248" s="206"/>
    </row>
    <row r="249" spans="1:11" ht="15.75" thickTop="1" thickBot="1">
      <c r="A249" s="206"/>
      <c r="B249" s="963" t="s">
        <v>1103</v>
      </c>
      <c r="C249" s="964"/>
      <c r="D249" s="965" t="str">
        <f>IF(VLOOKUP($G$1,lager,16)&lt;58.25,"-",IF(AND(VLOOKUP($G$1,lager,16)&gt;=58.25,VLOOKUP($G$1,lager,16)&lt;=66.4),"B-",IF(AND(VLOOKUP($G$1,lager,16)&gt;=66.5,VLOOKUP($G$1,lager,16)&lt;=74.9),"B",IF(AND(VLOOKUP($G$1,lager,16)&gt;=75,VLOOKUP($G$1,lager,16)&lt;=83.24),"B+",IF(AND(VLOOKUP($G$1,lager,16)&gt;=83.25,VLOOKUP($G$1,lager,16)&lt;91.5),"A-",IF(AND(VLOOKUP($G$1,lager,16)&gt;=91.5,VLOOKUP($G$1,lager,16)&lt;=100),"A"))))))</f>
        <v>-</v>
      </c>
      <c r="E249" s="966"/>
      <c r="F249" s="966"/>
      <c r="G249" s="967"/>
      <c r="H249" s="246">
        <f>IF(C236&lt;&gt;0,1,0)</f>
        <v>1</v>
      </c>
      <c r="I249" s="246"/>
      <c r="J249" s="206"/>
      <c r="K249" s="206"/>
    </row>
    <row r="250" spans="1:11" ht="72" customHeight="1" thickTop="1" thickBot="1">
      <c r="A250" s="206"/>
      <c r="B250" s="957" t="str">
        <f>VLOOKUP(G1,CATATAN,222)</f>
        <v>Alhamdulillah ananda sudah mulai menguasai materi yang telah diajarkan. Kemampuan ananda dalam mengenal dan memahami teks tembang dolanan berkembang dengan baik. Namun pembiasaan dalam menggunakan basa daerah (basa krama)  perlu ditingkatkan supaya mudah ketika mengerjakan soal. OK tetap semangat ya kak ... .</v>
      </c>
      <c r="C250" s="958"/>
      <c r="D250" s="958"/>
      <c r="E250" s="958"/>
      <c r="F250" s="958"/>
      <c r="G250" s="959"/>
      <c r="H250" s="246">
        <f>IF(C236&lt;&gt;0,1,0)</f>
        <v>1</v>
      </c>
      <c r="I250" s="246"/>
      <c r="J250" s="206"/>
      <c r="K250" s="206"/>
    </row>
    <row r="251" spans="1:11" ht="15" thickTop="1">
      <c r="A251" s="206"/>
      <c r="H251" s="246">
        <f>IF(C254&lt;&gt;0,1,0)</f>
        <v>1</v>
      </c>
      <c r="I251" s="246"/>
      <c r="J251" s="206"/>
      <c r="K251" s="206"/>
    </row>
    <row r="252" spans="1:11" ht="15" thickBot="1">
      <c r="A252" s="206"/>
      <c r="B252" s="960" t="s">
        <v>1127</v>
      </c>
      <c r="C252" s="960"/>
      <c r="D252" s="248"/>
      <c r="E252" s="249"/>
      <c r="F252" s="249"/>
      <c r="G252" s="249"/>
      <c r="H252" s="246">
        <f>IF(C254&lt;&gt;0,1,0)</f>
        <v>1</v>
      </c>
      <c r="I252" s="246"/>
      <c r="J252" s="206"/>
      <c r="K252" s="206"/>
    </row>
    <row r="253" spans="1:11" ht="30" thickTop="1" thickBot="1">
      <c r="A253" s="206"/>
      <c r="B253" s="961" t="s">
        <v>1098</v>
      </c>
      <c r="C253" s="962"/>
      <c r="D253" s="250" t="s">
        <v>1099</v>
      </c>
      <c r="E253" s="250" t="s">
        <v>1100</v>
      </c>
      <c r="F253" s="251" t="s">
        <v>1101</v>
      </c>
      <c r="G253" s="252" t="s">
        <v>1102</v>
      </c>
      <c r="H253" s="246">
        <f>H252</f>
        <v>1</v>
      </c>
      <c r="I253" s="246"/>
      <c r="J253" s="206"/>
      <c r="K253" s="206"/>
    </row>
    <row r="254" spans="1:11" ht="29.25" thickTop="1">
      <c r="A254" s="206"/>
      <c r="B254" s="253">
        <v>1</v>
      </c>
      <c r="C254" s="254" t="str">
        <f>WSING!$C$6</f>
        <v>Merespons dan melakukan petunjuk secara lisan</v>
      </c>
      <c r="D254" s="255" t="str">
        <f>VLOOKUP(G1,datauas,690)</f>
        <v/>
      </c>
      <c r="E254" s="255" t="str">
        <f>VLOOKUP(G1,datauas,691)</f>
        <v/>
      </c>
      <c r="F254" s="255" t="str">
        <f>VLOOKUP(G1,datauas,692)</f>
        <v>P</v>
      </c>
      <c r="G254" s="257" t="str">
        <f>VLOOKUP(G1,datauas,693)</f>
        <v/>
      </c>
      <c r="H254" s="246">
        <f>IF(C254&lt;&gt;0,1,0)</f>
        <v>1</v>
      </c>
      <c r="I254" s="246"/>
      <c r="J254" s="206"/>
      <c r="K254" s="206"/>
    </row>
    <row r="255" spans="1:11" ht="28.5">
      <c r="A255" s="206"/>
      <c r="B255" s="273">
        <v>2</v>
      </c>
      <c r="C255" s="274" t="str">
        <f>WSING!$C$15</f>
        <v>Mengungkapkan tindak tutur secara lisan</v>
      </c>
      <c r="D255" s="275" t="str">
        <f>VLOOKUP(G1,datauas,694)</f>
        <v/>
      </c>
      <c r="E255" s="275" t="str">
        <f>VLOOKUP(G1,datauas,695)</f>
        <v/>
      </c>
      <c r="F255" s="275" t="str">
        <f>VLOOKUP(G1,datauas,696)</f>
        <v>P</v>
      </c>
      <c r="G255" s="276" t="str">
        <f>VLOOKUP(G1,datauas,697)</f>
        <v/>
      </c>
      <c r="H255" s="246">
        <f t="shared" ref="H255:H266" si="13">IF(C255&lt;&gt;0,1,0)</f>
        <v>1</v>
      </c>
      <c r="I255" s="246"/>
      <c r="J255" s="206"/>
      <c r="K255" s="206"/>
    </row>
    <row r="256" spans="1:11" ht="28.5">
      <c r="A256" s="206"/>
      <c r="B256" s="263">
        <v>3</v>
      </c>
      <c r="C256" s="264" t="str">
        <f>WSING!$C$24</f>
        <v>Merespons wacana tertulis dengan benar</v>
      </c>
      <c r="D256" s="265" t="str">
        <f>VLOOKUP(G1,datauas,698)</f>
        <v/>
      </c>
      <c r="E256" s="265" t="str">
        <f>VLOOKUP(G1,datauas,699)</f>
        <v/>
      </c>
      <c r="F256" s="265" t="str">
        <f>VLOOKUP(G1,datauas,700)</f>
        <v>P</v>
      </c>
      <c r="G256" s="268" t="str">
        <f>VLOOKUP(G1,datauas,701)</f>
        <v/>
      </c>
      <c r="H256" s="246">
        <f t="shared" si="13"/>
        <v>1</v>
      </c>
      <c r="I256" s="246"/>
      <c r="J256" s="206"/>
      <c r="K256" s="206"/>
    </row>
    <row r="257" spans="1:11" ht="29.25" thickBot="1">
      <c r="A257" s="206"/>
      <c r="B257" s="263">
        <v>4</v>
      </c>
      <c r="C257" s="264" t="str">
        <f>WSING!$C$33</f>
        <v>Menyalin dan menuliskan wacana dengan tepat</v>
      </c>
      <c r="D257" s="265" t="str">
        <f>VLOOKUP(G1,datauas,702)</f>
        <v/>
      </c>
      <c r="E257" s="265" t="str">
        <f>VLOOKUP(G1,datauas,703)</f>
        <v/>
      </c>
      <c r="F257" s="265" t="str">
        <f>VLOOKUP(G1,datauas,704)</f>
        <v>P</v>
      </c>
      <c r="G257" s="268" t="str">
        <f>VLOOKUP(G1,datauas,705)</f>
        <v/>
      </c>
      <c r="H257" s="246">
        <f t="shared" si="13"/>
        <v>1</v>
      </c>
      <c r="I257" s="246"/>
      <c r="J257" s="206"/>
      <c r="K257" s="206"/>
    </row>
    <row r="258" spans="1:11" ht="27" hidden="1">
      <c r="A258" s="206"/>
      <c r="B258" s="263">
        <v>5</v>
      </c>
      <c r="C258" s="264">
        <f>WSING!$C$42</f>
        <v>0</v>
      </c>
      <c r="D258" s="265" t="str">
        <f>VLOOKUP(G1,datauas,706)</f>
        <v/>
      </c>
      <c r="E258" s="265" t="str">
        <f>VLOOKUP(G1,datauas,707)</f>
        <v/>
      </c>
      <c r="F258" s="265" t="str">
        <f>VLOOKUP(G1,datauas,708)</f>
        <v/>
      </c>
      <c r="G258" s="268" t="str">
        <f>VLOOKUP(G1,datauas,709)</f>
        <v/>
      </c>
      <c r="H258" s="246">
        <f t="shared" si="13"/>
        <v>0</v>
      </c>
      <c r="I258" s="246"/>
      <c r="J258" s="206"/>
      <c r="K258" s="206"/>
    </row>
    <row r="259" spans="1:11" ht="27" hidden="1">
      <c r="A259" s="206"/>
      <c r="B259" s="263">
        <v>6</v>
      </c>
      <c r="C259" s="264">
        <f>WSING!$C$50</f>
        <v>0</v>
      </c>
      <c r="D259" s="265" t="str">
        <f>VLOOKUP(G1,datauas,710)</f>
        <v/>
      </c>
      <c r="E259" s="265" t="str">
        <f>VLOOKUP(G1,datauas,711)</f>
        <v/>
      </c>
      <c r="F259" s="265" t="str">
        <f>VLOOKUP(G1,datauas,712)</f>
        <v/>
      </c>
      <c r="G259" s="268" t="str">
        <f>VLOOKUP(G1,datauas,713)</f>
        <v/>
      </c>
      <c r="H259" s="246">
        <f t="shared" si="13"/>
        <v>0</v>
      </c>
      <c r="I259" s="246"/>
      <c r="J259" s="206"/>
      <c r="K259" s="206"/>
    </row>
    <row r="260" spans="1:11" ht="27" hidden="1">
      <c r="A260" s="206"/>
      <c r="B260" s="263">
        <v>7</v>
      </c>
      <c r="C260" s="264">
        <f>WSING!$C$58</f>
        <v>0</v>
      </c>
      <c r="D260" s="265" t="str">
        <f>VLOOKUP(G1,datauas,714)</f>
        <v/>
      </c>
      <c r="E260" s="265" t="str">
        <f>VLOOKUP(G1,datauas,715)</f>
        <v/>
      </c>
      <c r="F260" s="265" t="str">
        <f>VLOOKUP(G1,datauas,716)</f>
        <v/>
      </c>
      <c r="G260" s="268" t="str">
        <f>VLOOKUP(G1,datauas,717)</f>
        <v/>
      </c>
      <c r="H260" s="246">
        <f t="shared" si="13"/>
        <v>0</v>
      </c>
      <c r="I260" s="246"/>
      <c r="J260" s="206"/>
      <c r="K260" s="206"/>
    </row>
    <row r="261" spans="1:11" ht="27" hidden="1">
      <c r="A261" s="206"/>
      <c r="B261" s="263">
        <v>8</v>
      </c>
      <c r="C261" s="264">
        <f>WSING!$C$66</f>
        <v>0</v>
      </c>
      <c r="D261" s="265" t="str">
        <f>VLOOKUP(G1,datauas,718)</f>
        <v/>
      </c>
      <c r="E261" s="265" t="str">
        <f>VLOOKUP(G1,datauas,719)</f>
        <v/>
      </c>
      <c r="F261" s="265" t="str">
        <f>VLOOKUP(G1,datauas,720)</f>
        <v/>
      </c>
      <c r="G261" s="268" t="str">
        <f>VLOOKUP(G1,datauas,721)</f>
        <v/>
      </c>
      <c r="H261" s="246">
        <f t="shared" si="13"/>
        <v>0</v>
      </c>
      <c r="I261" s="246"/>
      <c r="J261" s="206"/>
      <c r="K261" s="206"/>
    </row>
    <row r="262" spans="1:11" ht="27" hidden="1">
      <c r="A262" s="206"/>
      <c r="B262" s="263">
        <v>9</v>
      </c>
      <c r="C262" s="264">
        <f>WSING!$C$74</f>
        <v>0</v>
      </c>
      <c r="D262" s="265" t="str">
        <f>VLOOKUP(G1,datauas,722)</f>
        <v/>
      </c>
      <c r="E262" s="265" t="str">
        <f>VLOOKUP(G1,datauas,723)</f>
        <v/>
      </c>
      <c r="F262" s="265" t="str">
        <f>VLOOKUP(G1,datauas,724)</f>
        <v/>
      </c>
      <c r="G262" s="268" t="str">
        <f>VLOOKUP(G1,datauas,725)</f>
        <v/>
      </c>
      <c r="H262" s="246">
        <f t="shared" si="13"/>
        <v>0</v>
      </c>
      <c r="I262" s="246"/>
      <c r="J262" s="206"/>
      <c r="K262" s="206"/>
    </row>
    <row r="263" spans="1:11" ht="27" hidden="1">
      <c r="A263" s="206"/>
      <c r="B263" s="263">
        <v>10</v>
      </c>
      <c r="C263" s="264">
        <f>WSING!$C$82</f>
        <v>0</v>
      </c>
      <c r="D263" s="265" t="str">
        <f>VLOOKUP(G1,datauas,726)</f>
        <v/>
      </c>
      <c r="E263" s="265" t="str">
        <f>VLOOKUP(G1,datauas,727)</f>
        <v/>
      </c>
      <c r="F263" s="265" t="str">
        <f>VLOOKUP(G1,datauas,728)</f>
        <v/>
      </c>
      <c r="G263" s="268" t="str">
        <f>VLOOKUP(G1,datauas,729)</f>
        <v/>
      </c>
      <c r="H263" s="246">
        <f t="shared" si="13"/>
        <v>0</v>
      </c>
      <c r="I263" s="246"/>
      <c r="J263" s="206"/>
      <c r="K263" s="206"/>
    </row>
    <row r="264" spans="1:11" ht="27" hidden="1">
      <c r="A264" s="206"/>
      <c r="B264" s="263">
        <v>11</v>
      </c>
      <c r="C264" s="264">
        <f>WSING!$C$90</f>
        <v>0</v>
      </c>
      <c r="D264" s="265" t="str">
        <f>VLOOKUP(G1,datauas,730)</f>
        <v/>
      </c>
      <c r="E264" s="265" t="str">
        <f>VLOOKUP(G1,datauas,731)</f>
        <v/>
      </c>
      <c r="F264" s="265" t="str">
        <f>VLOOKUP(G1,datauas,732)</f>
        <v/>
      </c>
      <c r="G264" s="268" t="str">
        <f>VLOOKUP(G1,datauas,733)</f>
        <v/>
      </c>
      <c r="H264" s="246">
        <f t="shared" si="13"/>
        <v>0</v>
      </c>
      <c r="I264" s="246"/>
      <c r="J264" s="206"/>
      <c r="K264" s="206"/>
    </row>
    <row r="265" spans="1:11" ht="27" hidden="1">
      <c r="A265" s="206"/>
      <c r="B265" s="269">
        <v>12</v>
      </c>
      <c r="C265" s="270">
        <f>WSING!$C$98</f>
        <v>0</v>
      </c>
      <c r="D265" s="271" t="str">
        <f>VLOOKUP(G1,datauas,734)</f>
        <v/>
      </c>
      <c r="E265" s="271" t="str">
        <f>VLOOKUP(G1,datauas,735)</f>
        <v/>
      </c>
      <c r="F265" s="271" t="str">
        <f>VLOOKUP(G1,datauas,736)</f>
        <v/>
      </c>
      <c r="G265" s="272" t="str">
        <f>VLOOKUP(G1,datauas,737)</f>
        <v/>
      </c>
      <c r="H265" s="246">
        <f t="shared" si="13"/>
        <v>0</v>
      </c>
      <c r="I265" s="246"/>
      <c r="J265" s="206"/>
      <c r="K265" s="206"/>
    </row>
    <row r="266" spans="1:11" ht="27.75" hidden="1" thickBot="1">
      <c r="A266" s="206"/>
      <c r="B266" s="283">
        <v>13</v>
      </c>
      <c r="C266" s="284">
        <f>WSING!$C$106</f>
        <v>0</v>
      </c>
      <c r="D266" s="285" t="str">
        <f>VLOOKUP(G1,datauas,738)</f>
        <v/>
      </c>
      <c r="E266" s="285" t="str">
        <f>VLOOKUP(G1,datauas,739)</f>
        <v/>
      </c>
      <c r="F266" s="285" t="str">
        <f>VLOOKUP(G1,datauas,740)</f>
        <v/>
      </c>
      <c r="G266" s="286" t="str">
        <f>VLOOKUP(G1,datauas,741)</f>
        <v/>
      </c>
      <c r="H266" s="246">
        <f t="shared" si="13"/>
        <v>0</v>
      </c>
      <c r="I266" s="246"/>
      <c r="J266" s="206"/>
      <c r="K266" s="206"/>
    </row>
    <row r="267" spans="1:11" ht="15.75" thickTop="1" thickBot="1">
      <c r="A267" s="206"/>
      <c r="B267" s="963" t="s">
        <v>1103</v>
      </c>
      <c r="C267" s="964"/>
      <c r="D267" s="965" t="str">
        <f>IF(VLOOKUP($G$1,lager,17)&lt;58.25,"-",IF(AND(VLOOKUP($G$1,lager,17)&gt;=58.25,VLOOKUP($G$1,lager,17)&lt;=66.4),"B-",IF(AND(VLOOKUP($G$1,lager,17)&gt;=66.5,VLOOKUP($G$1,lager,17)&lt;=74.9),"B",IF(AND(VLOOKUP($G$1,lager,17)&gt;=75,VLOOKUP($G$1,lager,17)&lt;=83.24),"B+",IF(AND(VLOOKUP($G$1,lager,17)&gt;=83.25,VLOOKUP($G$1,lager,17)&lt;91.5),"A-",IF(AND(VLOOKUP($G$1,lager,17)&gt;=91.5,VLOOKUP($G$1,lager,17)&lt;=100),"A"))))))</f>
        <v>-</v>
      </c>
      <c r="E267" s="966"/>
      <c r="F267" s="966"/>
      <c r="G267" s="967"/>
      <c r="H267" s="246">
        <f>IF(C254&lt;&gt;0,1,0)</f>
        <v>1</v>
      </c>
      <c r="I267" s="246"/>
      <c r="J267" s="206"/>
      <c r="K267" s="206"/>
    </row>
    <row r="268" spans="1:11" ht="72" customHeight="1" thickTop="1" thickBot="1">
      <c r="A268" s="206"/>
      <c r="B268" s="957" t="str">
        <f>VLOOKUP(G1,CATATAN,239)</f>
        <v>Kemampuan ananda dalam menerima, memahami, dan menerapkan dalam aspek reading dan writing sudah mumpuni. Namun yang masih perlu ditingkatkan adalah aspek listening dan speaking.</v>
      </c>
      <c r="C268" s="958"/>
      <c r="D268" s="958"/>
      <c r="E268" s="958"/>
      <c r="F268" s="958"/>
      <c r="G268" s="959"/>
      <c r="H268" s="246">
        <f>IF(C254&lt;&gt;0,1,0)</f>
        <v>1</v>
      </c>
      <c r="I268" s="246"/>
      <c r="J268" s="206"/>
      <c r="K268" s="206"/>
    </row>
    <row r="269" spans="1:11" ht="15" hidden="1" thickTop="1">
      <c r="A269" s="206"/>
      <c r="H269" s="246">
        <f>IF(C272&lt;&gt;0,1,0)</f>
        <v>0</v>
      </c>
      <c r="I269" s="246"/>
      <c r="J269" s="206"/>
      <c r="K269" s="206"/>
    </row>
    <row r="270" spans="1:11" ht="15.75" hidden="1" thickTop="1" thickBot="1">
      <c r="A270" s="206"/>
      <c r="B270" s="960" t="s">
        <v>1128</v>
      </c>
      <c r="C270" s="960"/>
      <c r="D270" s="248"/>
      <c r="E270" s="249"/>
      <c r="F270" s="249"/>
      <c r="G270" s="249"/>
      <c r="H270" s="246">
        <f>IF(C272&lt;&gt;0,1,0)</f>
        <v>0</v>
      </c>
      <c r="I270" s="246"/>
      <c r="J270" s="206"/>
      <c r="K270" s="206"/>
    </row>
    <row r="271" spans="1:11" ht="30" hidden="1" thickTop="1" thickBot="1">
      <c r="A271" s="206"/>
      <c r="B271" s="961" t="s">
        <v>1098</v>
      </c>
      <c r="C271" s="962"/>
      <c r="D271" s="250" t="s">
        <v>1099</v>
      </c>
      <c r="E271" s="250" t="s">
        <v>1100</v>
      </c>
      <c r="F271" s="251" t="s">
        <v>1101</v>
      </c>
      <c r="G271" s="252" t="s">
        <v>1102</v>
      </c>
      <c r="H271" s="246">
        <f>H270</f>
        <v>0</v>
      </c>
      <c r="I271" s="246"/>
      <c r="J271" s="206"/>
      <c r="K271" s="206"/>
    </row>
    <row r="272" spans="1:11" ht="27.75" hidden="1" thickTop="1">
      <c r="A272" s="206"/>
      <c r="B272" s="263">
        <v>1</v>
      </c>
      <c r="C272" s="267">
        <f>WSTIK!$C$6</f>
        <v>0</v>
      </c>
      <c r="D272" s="265" t="str">
        <f>VLOOKUP(G1,datauas,742)</f>
        <v/>
      </c>
      <c r="E272" s="265" t="str">
        <f>VLOOKUP(G1,datauas,743)</f>
        <v/>
      </c>
      <c r="F272" s="265" t="str">
        <f>VLOOKUP(G1,datauas,744)</f>
        <v/>
      </c>
      <c r="G272" s="268" t="str">
        <f>VLOOKUP(G1,datauas,745)</f>
        <v/>
      </c>
      <c r="H272" s="246">
        <f>IF(C272&lt;&gt;0,1,0)</f>
        <v>0</v>
      </c>
      <c r="I272" s="246"/>
      <c r="J272" s="206"/>
      <c r="K272" s="206"/>
    </row>
    <row r="273" spans="1:11" ht="27.75" hidden="1" thickTop="1">
      <c r="A273" s="206"/>
      <c r="B273" s="263">
        <v>2</v>
      </c>
      <c r="C273" s="264">
        <f>WSTIK!$C$14</f>
        <v>0</v>
      </c>
      <c r="D273" s="265" t="str">
        <f>VLOOKUP(G1,datauas,746)</f>
        <v/>
      </c>
      <c r="E273" s="265" t="str">
        <f>VLOOKUP(G1,datauas,747)</f>
        <v/>
      </c>
      <c r="F273" s="265" t="str">
        <f>VLOOKUP(G1,datauas,748)</f>
        <v/>
      </c>
      <c r="G273" s="268" t="str">
        <f>VLOOKUP(G1,datauas,749)</f>
        <v/>
      </c>
      <c r="H273" s="246">
        <f t="shared" ref="H273:H284" si="14">IF(C273&lt;&gt;0,1,0)</f>
        <v>0</v>
      </c>
      <c r="I273" s="246"/>
      <c r="J273" s="206"/>
      <c r="K273" s="206"/>
    </row>
    <row r="274" spans="1:11" ht="27.75" hidden="1" thickTop="1">
      <c r="A274" s="206"/>
      <c r="B274" s="263">
        <v>3</v>
      </c>
      <c r="C274" s="264">
        <f>WSTIK!$C$22</f>
        <v>0</v>
      </c>
      <c r="D274" s="265" t="str">
        <f>VLOOKUP(G1,datauas,750)</f>
        <v/>
      </c>
      <c r="E274" s="265" t="str">
        <f>VLOOKUP(G1,datauas,751)</f>
        <v/>
      </c>
      <c r="F274" s="265" t="str">
        <f>VLOOKUP(G1,datauas,752)</f>
        <v/>
      </c>
      <c r="G274" s="268" t="str">
        <f>VLOOKUP(G1,datauas,753)</f>
        <v/>
      </c>
      <c r="H274" s="246">
        <f t="shared" si="14"/>
        <v>0</v>
      </c>
      <c r="I274" s="246"/>
      <c r="J274" s="206"/>
      <c r="K274" s="206"/>
    </row>
    <row r="275" spans="1:11" ht="27.75" hidden="1" thickTop="1">
      <c r="A275" s="206"/>
      <c r="B275" s="263">
        <v>4</v>
      </c>
      <c r="C275" s="264">
        <f>WSTIK!$C$30</f>
        <v>0</v>
      </c>
      <c r="D275" s="265" t="str">
        <f>VLOOKUP(G1,datauas,754)</f>
        <v/>
      </c>
      <c r="E275" s="265" t="str">
        <f>VLOOKUP(G1,datauas,755)</f>
        <v/>
      </c>
      <c r="F275" s="265" t="str">
        <f>VLOOKUP(G1,datauas,756)</f>
        <v/>
      </c>
      <c r="G275" s="268" t="str">
        <f>VLOOKUP(G1,datauas,757)</f>
        <v/>
      </c>
      <c r="H275" s="246">
        <f t="shared" si="14"/>
        <v>0</v>
      </c>
      <c r="I275" s="246"/>
      <c r="J275" s="206"/>
      <c r="K275" s="206"/>
    </row>
    <row r="276" spans="1:11" ht="27.75" hidden="1" thickTop="1">
      <c r="A276" s="206"/>
      <c r="B276" s="263">
        <v>5</v>
      </c>
      <c r="C276" s="264">
        <f>WSTIK!$C$38</f>
        <v>0</v>
      </c>
      <c r="D276" s="265" t="str">
        <f>VLOOKUP(G1,datauas,758)</f>
        <v/>
      </c>
      <c r="E276" s="265" t="str">
        <f>VLOOKUP(G1,datauas,759)</f>
        <v/>
      </c>
      <c r="F276" s="265" t="str">
        <f>VLOOKUP(G1,datauas,760)</f>
        <v/>
      </c>
      <c r="G276" s="268" t="str">
        <f>VLOOKUP(G1,datauas,761)</f>
        <v/>
      </c>
      <c r="H276" s="246">
        <f t="shared" si="14"/>
        <v>0</v>
      </c>
      <c r="I276" s="246"/>
      <c r="J276" s="206"/>
      <c r="K276" s="206"/>
    </row>
    <row r="277" spans="1:11" ht="27.75" hidden="1" thickTop="1">
      <c r="A277" s="206"/>
      <c r="B277" s="263">
        <v>6</v>
      </c>
      <c r="C277" s="264">
        <f>WSTIK!$C$46</f>
        <v>0</v>
      </c>
      <c r="D277" s="265" t="str">
        <f>VLOOKUP(G1,datauas,762)</f>
        <v/>
      </c>
      <c r="E277" s="265" t="str">
        <f>VLOOKUP(G1,datauas,763)</f>
        <v/>
      </c>
      <c r="F277" s="265" t="str">
        <f>VLOOKUP(G1,datauas,764)</f>
        <v/>
      </c>
      <c r="G277" s="268" t="str">
        <f>VLOOKUP(G1,datauas,765)</f>
        <v/>
      </c>
      <c r="H277" s="246">
        <f t="shared" si="14"/>
        <v>0</v>
      </c>
      <c r="I277" s="246"/>
      <c r="J277" s="206"/>
      <c r="K277" s="206"/>
    </row>
    <row r="278" spans="1:11" ht="27.75" hidden="1" thickTop="1">
      <c r="A278" s="206"/>
      <c r="B278" s="263">
        <v>7</v>
      </c>
      <c r="C278" s="264">
        <f>WSTIK!$C$54</f>
        <v>0</v>
      </c>
      <c r="D278" s="265" t="str">
        <f>VLOOKUP(G1,datauas,766)</f>
        <v/>
      </c>
      <c r="E278" s="265" t="str">
        <f>VLOOKUP(G1,datauas,767)</f>
        <v/>
      </c>
      <c r="F278" s="265" t="str">
        <f>VLOOKUP(G1,datauas,768)</f>
        <v/>
      </c>
      <c r="G278" s="268" t="str">
        <f>VLOOKUP(G1,datauas,769)</f>
        <v/>
      </c>
      <c r="H278" s="246">
        <f t="shared" si="14"/>
        <v>0</v>
      </c>
      <c r="I278" s="246"/>
      <c r="J278" s="206"/>
      <c r="K278" s="206"/>
    </row>
    <row r="279" spans="1:11" ht="27.75" hidden="1" thickTop="1">
      <c r="A279" s="206"/>
      <c r="B279" s="263">
        <v>8</v>
      </c>
      <c r="C279" s="264">
        <f>WSTIK!$C$62</f>
        <v>0</v>
      </c>
      <c r="D279" s="265" t="str">
        <f>VLOOKUP(G1,datauas,770)</f>
        <v/>
      </c>
      <c r="E279" s="265" t="str">
        <f>VLOOKUP(G1,datauas,771)</f>
        <v/>
      </c>
      <c r="F279" s="265" t="str">
        <f>VLOOKUP(G1,datauas,772)</f>
        <v/>
      </c>
      <c r="G279" s="268" t="str">
        <f>VLOOKUP(G1,datauas,773)</f>
        <v/>
      </c>
      <c r="H279" s="246">
        <f t="shared" si="14"/>
        <v>0</v>
      </c>
      <c r="I279" s="246"/>
      <c r="J279" s="206"/>
      <c r="K279" s="206"/>
    </row>
    <row r="280" spans="1:11" ht="27.75" hidden="1" thickTop="1">
      <c r="A280" s="206"/>
      <c r="B280" s="263">
        <v>9</v>
      </c>
      <c r="C280" s="264">
        <f>WSTIK!$C$70</f>
        <v>0</v>
      </c>
      <c r="D280" s="265" t="str">
        <f>VLOOKUP(G1,datauas,774)</f>
        <v/>
      </c>
      <c r="E280" s="265" t="str">
        <f>VLOOKUP(G1,datauas,775)</f>
        <v/>
      </c>
      <c r="F280" s="265" t="str">
        <f>VLOOKUP(G1,datauas,776)</f>
        <v/>
      </c>
      <c r="G280" s="268" t="str">
        <f>VLOOKUP(G1,datauas,777)</f>
        <v/>
      </c>
      <c r="H280" s="246">
        <f t="shared" si="14"/>
        <v>0</v>
      </c>
      <c r="I280" s="246"/>
      <c r="J280" s="206"/>
      <c r="K280" s="206"/>
    </row>
    <row r="281" spans="1:11" ht="27.75" hidden="1" thickTop="1">
      <c r="A281" s="206"/>
      <c r="B281" s="263">
        <v>10</v>
      </c>
      <c r="C281" s="264">
        <f>WSTIK!$C$78</f>
        <v>0</v>
      </c>
      <c r="D281" s="265" t="str">
        <f>VLOOKUP(G1,datauas,778)</f>
        <v/>
      </c>
      <c r="E281" s="265" t="str">
        <f>VLOOKUP(G1,datauas,779)</f>
        <v/>
      </c>
      <c r="F281" s="265" t="str">
        <f>VLOOKUP(G1,datauas,780)</f>
        <v/>
      </c>
      <c r="G281" s="268" t="str">
        <f>VLOOKUP(G1,datauas,781)</f>
        <v/>
      </c>
      <c r="H281" s="246">
        <f t="shared" si="14"/>
        <v>0</v>
      </c>
      <c r="I281" s="246"/>
      <c r="J281" s="206"/>
      <c r="K281" s="206"/>
    </row>
    <row r="282" spans="1:11" ht="27.75" hidden="1" thickTop="1">
      <c r="A282" s="206"/>
      <c r="B282" s="263">
        <v>11</v>
      </c>
      <c r="C282" s="264">
        <f>WSTIK!$C$86</f>
        <v>0</v>
      </c>
      <c r="D282" s="265" t="str">
        <f>VLOOKUP(G1,datauas,782)</f>
        <v/>
      </c>
      <c r="E282" s="265" t="str">
        <f>VLOOKUP(G1,datauas,783)</f>
        <v/>
      </c>
      <c r="F282" s="265" t="str">
        <f>VLOOKUP(G1,datauas,784)</f>
        <v/>
      </c>
      <c r="G282" s="268" t="str">
        <f>VLOOKUP(G1,datauas,785)</f>
        <v/>
      </c>
      <c r="H282" s="246">
        <f t="shared" si="14"/>
        <v>0</v>
      </c>
      <c r="I282" s="246"/>
      <c r="J282" s="206"/>
      <c r="K282" s="206"/>
    </row>
    <row r="283" spans="1:11" ht="27.75" hidden="1" thickTop="1">
      <c r="A283" s="206"/>
      <c r="B283" s="263">
        <v>12</v>
      </c>
      <c r="C283" s="264">
        <f>WSTIK!$C$94</f>
        <v>0</v>
      </c>
      <c r="D283" s="265" t="str">
        <f>VLOOKUP(G1,datauas,786)</f>
        <v/>
      </c>
      <c r="E283" s="265" t="str">
        <f>VLOOKUP(G1,datauas,787)</f>
        <v/>
      </c>
      <c r="F283" s="265" t="str">
        <f>VLOOKUP(G1,datauas,788)</f>
        <v/>
      </c>
      <c r="G283" s="268" t="str">
        <f>VLOOKUP(G1,datauas,789)</f>
        <v/>
      </c>
      <c r="H283" s="246">
        <f t="shared" si="14"/>
        <v>0</v>
      </c>
      <c r="I283" s="246"/>
      <c r="J283" s="206"/>
      <c r="K283" s="206"/>
    </row>
    <row r="284" spans="1:11" ht="28.5" hidden="1" thickTop="1" thickBot="1">
      <c r="A284" s="206"/>
      <c r="B284" s="263">
        <v>13</v>
      </c>
      <c r="C284" s="264">
        <f>WSTIK!$C$102</f>
        <v>0</v>
      </c>
      <c r="D284" s="265" t="str">
        <f>VLOOKUP(G1,datauas,790)</f>
        <v/>
      </c>
      <c r="E284" s="265" t="str">
        <f>VLOOKUP(G1,datauas,791)</f>
        <v/>
      </c>
      <c r="F284" s="265" t="str">
        <f>VLOOKUP(G1,datauas,792)</f>
        <v/>
      </c>
      <c r="G284" s="268" t="str">
        <f>VLOOKUP(G1,datauas,793)</f>
        <v/>
      </c>
      <c r="H284" s="246">
        <f t="shared" si="14"/>
        <v>0</v>
      </c>
      <c r="I284" s="246"/>
      <c r="J284" s="206"/>
      <c r="K284" s="206"/>
    </row>
    <row r="285" spans="1:11" ht="15.75" hidden="1" thickTop="1" thickBot="1">
      <c r="A285" s="206"/>
      <c r="B285" s="963" t="s">
        <v>1103</v>
      </c>
      <c r="C285" s="964"/>
      <c r="D285" s="965" t="str">
        <f>IF(VLOOKUP($G$1,lager,18)&lt;58.25,"-",IF(AND(VLOOKUP($G$1,lager,18)&gt;=58.25,VLOOKUP($G$1,lager,18)&lt;=66.4),"B-",IF(AND(VLOOKUP($G$1,lager,18)&gt;=66.5,VLOOKUP($G$1,lager,18)&lt;=74.9),"B",IF(AND(VLOOKUP($G$1,lager,18)&gt;=75,VLOOKUP($G$1,lager,18)&lt;=83.24),"B+",IF(AND(VLOOKUP($G$1,lager,18)&gt;=83.25,VLOOKUP($G$1,lager,18)&lt;91.5),"A-",IF(AND(VLOOKUP($G$1,lager,18)&gt;=91.5,VLOOKUP($G$1,lager,18)&lt;=100),"A"))))))</f>
        <v>-</v>
      </c>
      <c r="E285" s="966"/>
      <c r="F285" s="966"/>
      <c r="G285" s="967"/>
      <c r="H285" s="246">
        <f>IF(C272&lt;&gt;0,1,0)</f>
        <v>0</v>
      </c>
      <c r="I285" s="246"/>
      <c r="J285" s="206"/>
      <c r="K285" s="206"/>
    </row>
    <row r="286" spans="1:11" ht="72" hidden="1" customHeight="1" thickTop="1" thickBot="1">
      <c r="A286" s="206"/>
      <c r="B286" s="957">
        <f>VLOOKUP(G1,CATATAN,256)</f>
        <v>0</v>
      </c>
      <c r="C286" s="958"/>
      <c r="D286" s="958"/>
      <c r="E286" s="958"/>
      <c r="F286" s="958"/>
      <c r="G286" s="959"/>
      <c r="H286" s="246">
        <f>IF(C272&lt;&gt;0,1,0)</f>
        <v>0</v>
      </c>
      <c r="I286" s="246"/>
      <c r="J286" s="206"/>
      <c r="K286" s="206"/>
    </row>
    <row r="287" spans="1:11" ht="15" hidden="1" thickTop="1">
      <c r="A287" s="206"/>
      <c r="H287" s="246">
        <f>IF(C290&lt;&gt;0,1,0)</f>
        <v>0</v>
      </c>
      <c r="I287" s="246"/>
      <c r="J287" s="206"/>
      <c r="K287" s="206"/>
    </row>
    <row r="288" spans="1:11" ht="15.75" hidden="1" thickTop="1" thickBot="1">
      <c r="A288" s="206"/>
      <c r="B288" s="960" t="s">
        <v>1129</v>
      </c>
      <c r="C288" s="960"/>
      <c r="D288" s="248"/>
      <c r="E288" s="249"/>
      <c r="F288" s="249"/>
      <c r="G288" s="249"/>
      <c r="H288" s="246">
        <f>IF(C290&lt;&gt;0,1,0)</f>
        <v>0</v>
      </c>
      <c r="I288" s="246"/>
      <c r="J288" s="206"/>
      <c r="K288" s="206"/>
    </row>
    <row r="289" spans="1:11" ht="30" hidden="1" thickTop="1" thickBot="1">
      <c r="A289" s="206"/>
      <c r="B289" s="961" t="s">
        <v>1098</v>
      </c>
      <c r="C289" s="962"/>
      <c r="D289" s="250" t="s">
        <v>1099</v>
      </c>
      <c r="E289" s="250" t="s">
        <v>1100</v>
      </c>
      <c r="F289" s="251" t="s">
        <v>1101</v>
      </c>
      <c r="G289" s="252" t="s">
        <v>1102</v>
      </c>
      <c r="H289" s="246">
        <f>H288</f>
        <v>0</v>
      </c>
      <c r="I289" s="246"/>
      <c r="J289" s="206"/>
      <c r="K289" s="206"/>
    </row>
    <row r="290" spans="1:11" ht="27.75" hidden="1" thickTop="1">
      <c r="A290" s="206"/>
      <c r="B290" s="263">
        <v>1</v>
      </c>
      <c r="C290" s="267">
        <f>WSASWAJA!$C$6</f>
        <v>0</v>
      </c>
      <c r="D290" s="265" t="str">
        <f>VLOOKUP(G1,datauas,794)</f>
        <v/>
      </c>
      <c r="E290" s="265" t="str">
        <f>VLOOKUP(G1,datauas,795)</f>
        <v/>
      </c>
      <c r="F290" s="265" t="str">
        <f>VLOOKUP(G1,datauas,796)</f>
        <v/>
      </c>
      <c r="G290" s="268" t="str">
        <f>VLOOKUP(G1,datauas,797)</f>
        <v/>
      </c>
      <c r="H290" s="246">
        <f>IF(C290&lt;&gt;0,1,0)</f>
        <v>0</v>
      </c>
      <c r="I290" s="246"/>
      <c r="J290" s="206"/>
      <c r="K290" s="206"/>
    </row>
    <row r="291" spans="1:11" ht="27.75" hidden="1" thickTop="1">
      <c r="A291" s="206"/>
      <c r="B291" s="263">
        <v>2</v>
      </c>
      <c r="C291" s="264">
        <f>WSASWAJA!$C$14</f>
        <v>0</v>
      </c>
      <c r="D291" s="265" t="str">
        <f>VLOOKUP(G1,datauas,798)</f>
        <v/>
      </c>
      <c r="E291" s="265" t="str">
        <f>VLOOKUP(G1,datauas,799)</f>
        <v/>
      </c>
      <c r="F291" s="265" t="str">
        <f>VLOOKUP(G1,datauas,800)</f>
        <v/>
      </c>
      <c r="G291" s="268" t="str">
        <f>VLOOKUP(G1,datauas,801)</f>
        <v/>
      </c>
      <c r="H291" s="246">
        <f t="shared" ref="H291:H302" si="15">IF(C291&lt;&gt;0,1,0)</f>
        <v>0</v>
      </c>
      <c r="I291" s="246"/>
      <c r="J291" s="206"/>
      <c r="K291" s="206"/>
    </row>
    <row r="292" spans="1:11" ht="27.75" hidden="1" thickTop="1">
      <c r="A292" s="206"/>
      <c r="B292" s="263">
        <v>3</v>
      </c>
      <c r="C292" s="264">
        <f>WSASWAJA!$C$22</f>
        <v>0</v>
      </c>
      <c r="D292" s="265" t="str">
        <f>VLOOKUP(G1,datauas,802)</f>
        <v/>
      </c>
      <c r="E292" s="265" t="str">
        <f>VLOOKUP(G1,datauas,803)</f>
        <v/>
      </c>
      <c r="F292" s="265" t="str">
        <f>VLOOKUP(G1,datauas,804)</f>
        <v/>
      </c>
      <c r="G292" s="268" t="str">
        <f>VLOOKUP(G1,datauas,805)</f>
        <v/>
      </c>
      <c r="H292" s="246">
        <f t="shared" si="15"/>
        <v>0</v>
      </c>
      <c r="I292" s="246"/>
      <c r="J292" s="206"/>
      <c r="K292" s="206"/>
    </row>
    <row r="293" spans="1:11" ht="27.75" hidden="1" thickTop="1">
      <c r="A293" s="206"/>
      <c r="B293" s="263">
        <v>4</v>
      </c>
      <c r="C293" s="264">
        <f>WSASWAJA!$C$30</f>
        <v>0</v>
      </c>
      <c r="D293" s="265" t="str">
        <f>VLOOKUP(G1,datauas,806)</f>
        <v/>
      </c>
      <c r="E293" s="265" t="str">
        <f>VLOOKUP(G1,datauas,807)</f>
        <v/>
      </c>
      <c r="F293" s="265" t="str">
        <f>VLOOKUP(G1,datauas,808)</f>
        <v/>
      </c>
      <c r="G293" s="268" t="str">
        <f>VLOOKUP(G1,datauas,809)</f>
        <v/>
      </c>
      <c r="H293" s="246">
        <f t="shared" si="15"/>
        <v>0</v>
      </c>
      <c r="I293" s="246"/>
      <c r="J293" s="206"/>
      <c r="K293" s="206"/>
    </row>
    <row r="294" spans="1:11" ht="27.75" hidden="1" thickTop="1">
      <c r="A294" s="206"/>
      <c r="B294" s="263">
        <v>5</v>
      </c>
      <c r="C294" s="264">
        <f>WSASWAJA!$C$38</f>
        <v>0</v>
      </c>
      <c r="D294" s="265" t="str">
        <f>VLOOKUP(G1,datauas,810)</f>
        <v/>
      </c>
      <c r="E294" s="265" t="str">
        <f>VLOOKUP(G1,datauas,811)</f>
        <v/>
      </c>
      <c r="F294" s="265" t="str">
        <f>VLOOKUP(G1,datauas,812)</f>
        <v/>
      </c>
      <c r="G294" s="268" t="str">
        <f>VLOOKUP(G1,datauas,813)</f>
        <v/>
      </c>
      <c r="H294" s="246">
        <f t="shared" si="15"/>
        <v>0</v>
      </c>
      <c r="I294" s="246"/>
      <c r="J294" s="206"/>
      <c r="K294" s="206"/>
    </row>
    <row r="295" spans="1:11" ht="27.75" hidden="1" thickTop="1">
      <c r="A295" s="206"/>
      <c r="B295" s="263">
        <v>6</v>
      </c>
      <c r="C295" s="264">
        <f>WSASWAJA!$C$46</f>
        <v>0</v>
      </c>
      <c r="D295" s="265" t="str">
        <f>VLOOKUP(G1,datauas,814)</f>
        <v/>
      </c>
      <c r="E295" s="265" t="str">
        <f>VLOOKUP(G1,datauas,815)</f>
        <v/>
      </c>
      <c r="F295" s="265" t="str">
        <f>VLOOKUP(G1,datauas,816)</f>
        <v/>
      </c>
      <c r="G295" s="268" t="str">
        <f>VLOOKUP(G1,datauas,817)</f>
        <v/>
      </c>
      <c r="H295" s="246">
        <f t="shared" si="15"/>
        <v>0</v>
      </c>
      <c r="I295" s="246"/>
      <c r="J295" s="206"/>
      <c r="K295" s="206"/>
    </row>
    <row r="296" spans="1:11" ht="27.75" hidden="1" thickTop="1">
      <c r="A296" s="206"/>
      <c r="B296" s="263">
        <v>7</v>
      </c>
      <c r="C296" s="264">
        <f>WSASWAJA!$C$54</f>
        <v>0</v>
      </c>
      <c r="D296" s="265" t="str">
        <f>VLOOKUP(G1,datauas,818)</f>
        <v/>
      </c>
      <c r="E296" s="265" t="str">
        <f>VLOOKUP(G1,datauas,819)</f>
        <v/>
      </c>
      <c r="F296" s="265" t="str">
        <f>VLOOKUP(G1,datauas,820)</f>
        <v/>
      </c>
      <c r="G296" s="268" t="str">
        <f>VLOOKUP(G1,datauas,821)</f>
        <v/>
      </c>
      <c r="H296" s="246">
        <f t="shared" si="15"/>
        <v>0</v>
      </c>
      <c r="I296" s="246"/>
      <c r="J296" s="206"/>
      <c r="K296" s="206"/>
    </row>
    <row r="297" spans="1:11" ht="27.75" hidden="1" thickTop="1">
      <c r="A297" s="206"/>
      <c r="B297" s="263">
        <v>8</v>
      </c>
      <c r="C297" s="264">
        <f>WSASWAJA!$C$62</f>
        <v>0</v>
      </c>
      <c r="D297" s="265" t="str">
        <f>VLOOKUP(G1,datauas,822)</f>
        <v/>
      </c>
      <c r="E297" s="265" t="str">
        <f>VLOOKUP(G1,datauas,823)</f>
        <v/>
      </c>
      <c r="F297" s="265" t="str">
        <f>VLOOKUP(G1,datauas,824)</f>
        <v/>
      </c>
      <c r="G297" s="268" t="str">
        <f>VLOOKUP(G1,datauas,825)</f>
        <v/>
      </c>
      <c r="H297" s="246">
        <f t="shared" si="15"/>
        <v>0</v>
      </c>
      <c r="I297" s="246"/>
      <c r="J297" s="206"/>
      <c r="K297" s="206"/>
    </row>
    <row r="298" spans="1:11" ht="27.75" hidden="1" thickTop="1">
      <c r="A298" s="206"/>
      <c r="B298" s="263">
        <v>9</v>
      </c>
      <c r="C298" s="264">
        <f>WSASWAJA!$C$70</f>
        <v>0</v>
      </c>
      <c r="D298" s="265" t="str">
        <f>VLOOKUP(G1,datauas,826)</f>
        <v/>
      </c>
      <c r="E298" s="265" t="str">
        <f>VLOOKUP(G1,datauas,827)</f>
        <v/>
      </c>
      <c r="F298" s="265" t="str">
        <f>VLOOKUP(G1,datauas,828)</f>
        <v/>
      </c>
      <c r="G298" s="268" t="str">
        <f>VLOOKUP(G1,datauas,829)</f>
        <v/>
      </c>
      <c r="H298" s="246">
        <f t="shared" si="15"/>
        <v>0</v>
      </c>
      <c r="I298" s="246"/>
      <c r="J298" s="206"/>
      <c r="K298" s="206"/>
    </row>
    <row r="299" spans="1:11" ht="27.75" hidden="1" thickTop="1">
      <c r="A299" s="206"/>
      <c r="B299" s="263">
        <v>10</v>
      </c>
      <c r="C299" s="264">
        <f>WSASWAJA!$C$78</f>
        <v>0</v>
      </c>
      <c r="D299" s="265" t="str">
        <f>VLOOKUP(G1,datauas,830)</f>
        <v/>
      </c>
      <c r="E299" s="265" t="str">
        <f>VLOOKUP(G1,datauas,831)</f>
        <v/>
      </c>
      <c r="F299" s="265" t="str">
        <f>VLOOKUP(G1,datauas,832)</f>
        <v/>
      </c>
      <c r="G299" s="268" t="str">
        <f>VLOOKUP(G1,datauas,833)</f>
        <v/>
      </c>
      <c r="H299" s="246">
        <f t="shared" si="15"/>
        <v>0</v>
      </c>
      <c r="I299" s="246"/>
      <c r="J299" s="206"/>
      <c r="K299" s="206"/>
    </row>
    <row r="300" spans="1:11" ht="27.75" hidden="1" thickTop="1">
      <c r="A300" s="206"/>
      <c r="B300" s="263">
        <v>11</v>
      </c>
      <c r="C300" s="264">
        <f>WSASWAJA!$C$86</f>
        <v>0</v>
      </c>
      <c r="D300" s="265" t="str">
        <f>VLOOKUP(G1,datauas,834)</f>
        <v/>
      </c>
      <c r="E300" s="265" t="str">
        <f>VLOOKUP(G1,datauas,835)</f>
        <v/>
      </c>
      <c r="F300" s="265" t="str">
        <f>VLOOKUP(G1,datauas,836)</f>
        <v/>
      </c>
      <c r="G300" s="268" t="str">
        <f>VLOOKUP(G1,datauas,837)</f>
        <v/>
      </c>
      <c r="H300" s="246">
        <f t="shared" si="15"/>
        <v>0</v>
      </c>
      <c r="I300" s="246"/>
      <c r="J300" s="206"/>
      <c r="K300" s="206"/>
    </row>
    <row r="301" spans="1:11" ht="27.75" hidden="1" thickTop="1">
      <c r="A301" s="206"/>
      <c r="B301" s="263">
        <v>12</v>
      </c>
      <c r="C301" s="264">
        <f>WSASWAJA!$C$94</f>
        <v>0</v>
      </c>
      <c r="D301" s="265" t="str">
        <f>VLOOKUP(G1,datauas,838)</f>
        <v/>
      </c>
      <c r="E301" s="265" t="str">
        <f>VLOOKUP(G1,datauas,839)</f>
        <v/>
      </c>
      <c r="F301" s="265" t="str">
        <f>VLOOKUP(G1,datauas,840)</f>
        <v/>
      </c>
      <c r="G301" s="268" t="str">
        <f>VLOOKUP(G1,datauas,841)</f>
        <v/>
      </c>
      <c r="H301" s="246">
        <f t="shared" si="15"/>
        <v>0</v>
      </c>
      <c r="I301" s="246"/>
      <c r="J301" s="206"/>
      <c r="K301" s="206"/>
    </row>
    <row r="302" spans="1:11" ht="28.5" hidden="1" thickTop="1" thickBot="1">
      <c r="A302" s="206"/>
      <c r="B302" s="263">
        <v>13</v>
      </c>
      <c r="C302" s="264">
        <f>WSASWAJA!$C$102</f>
        <v>0</v>
      </c>
      <c r="D302" s="265" t="str">
        <f>VLOOKUP(G1,datauas,842)</f>
        <v/>
      </c>
      <c r="E302" s="265" t="str">
        <f>VLOOKUP(G1,datauas,843)</f>
        <v/>
      </c>
      <c r="F302" s="265" t="str">
        <f>VLOOKUP(G1,datauas,844)</f>
        <v/>
      </c>
      <c r="G302" s="268" t="str">
        <f>VLOOKUP(G1,datauas,845)</f>
        <v/>
      </c>
      <c r="H302" s="246">
        <f t="shared" si="15"/>
        <v>0</v>
      </c>
      <c r="I302" s="246"/>
      <c r="J302" s="206"/>
      <c r="K302" s="206"/>
    </row>
    <row r="303" spans="1:11" ht="15.75" hidden="1" thickTop="1" thickBot="1">
      <c r="A303" s="206"/>
      <c r="B303" s="963" t="s">
        <v>1103</v>
      </c>
      <c r="C303" s="964"/>
      <c r="D303" s="965" t="str">
        <f>IF(VLOOKUP($G$1,lager,19)&lt;58.25,"-",IF(AND(VLOOKUP($G$1,lager,19)&gt;=58.25,VLOOKUP($G$1,lager,19)&lt;=66.4),"B-",IF(AND(VLOOKUP($G$1,lager,19)&gt;=66.5,VLOOKUP($G$1,lager,19)&lt;=74.9),"B",IF(AND(VLOOKUP($G$1,lager,19)&gt;=75,VLOOKUP($G$1,lager,19)&lt;=83.24),"B+",IF(AND(VLOOKUP($G$1,lager,19)&gt;=83.25,VLOOKUP($G$1,lager,19)&lt;91.5),"A-",IF(AND(VLOOKUP($G$1,lager,19)&gt;=91.5,VLOOKUP($G$1,lager,19)&lt;=100),"A"))))))</f>
        <v>B-</v>
      </c>
      <c r="E303" s="966"/>
      <c r="F303" s="966"/>
      <c r="G303" s="967"/>
      <c r="H303" s="246">
        <f>IF(C290&lt;&gt;0,1,0)</f>
        <v>0</v>
      </c>
      <c r="I303" s="246"/>
      <c r="J303" s="206"/>
      <c r="K303" s="206"/>
    </row>
    <row r="304" spans="1:11" ht="72" hidden="1" customHeight="1" thickTop="1" thickBot="1">
      <c r="A304" s="206"/>
      <c r="B304" s="957">
        <f>VLOOKUP(G1,CATATAN,273)</f>
        <v>0</v>
      </c>
      <c r="C304" s="958"/>
      <c r="D304" s="958"/>
      <c r="E304" s="958"/>
      <c r="F304" s="958"/>
      <c r="G304" s="959"/>
      <c r="H304" s="246">
        <f>IF(C290&lt;&gt;0,1,0)</f>
        <v>0</v>
      </c>
      <c r="I304" s="246"/>
      <c r="J304" s="206"/>
      <c r="K304" s="206"/>
    </row>
    <row r="305" spans="1:11" ht="15.75" thickTop="1" thickBot="1">
      <c r="A305" s="206"/>
      <c r="H305" s="239"/>
      <c r="I305" s="206"/>
      <c r="J305" s="206"/>
      <c r="K305" s="206"/>
    </row>
    <row r="306" spans="1:11" ht="16.5" thickTop="1" thickBot="1">
      <c r="A306" s="206"/>
      <c r="B306" s="997" t="s">
        <v>5</v>
      </c>
      <c r="C306" s="983" t="s">
        <v>47</v>
      </c>
      <c r="D306" s="984"/>
      <c r="E306" s="985" t="s">
        <v>1132</v>
      </c>
      <c r="F306" s="985"/>
      <c r="G306" s="985"/>
      <c r="H306" s="239"/>
      <c r="I306" s="206"/>
      <c r="J306" s="206"/>
      <c r="K306" s="206"/>
    </row>
    <row r="307" spans="1:11" ht="15.75" customHeight="1" thickTop="1" thickBot="1">
      <c r="A307" s="206"/>
      <c r="B307" s="998"/>
      <c r="C307" s="291" t="s">
        <v>1133</v>
      </c>
      <c r="D307" s="292" t="s">
        <v>1134</v>
      </c>
      <c r="E307" s="986" t="s">
        <v>1135</v>
      </c>
      <c r="F307" s="987"/>
      <c r="G307" s="293" t="s">
        <v>1188</v>
      </c>
      <c r="H307" s="239"/>
      <c r="I307" s="206"/>
      <c r="J307" s="206"/>
      <c r="K307" s="206"/>
    </row>
    <row r="308" spans="1:11" ht="14.25" customHeight="1" thickTop="1">
      <c r="A308" s="206"/>
      <c r="B308" s="294">
        <v>1</v>
      </c>
      <c r="C308" s="295" t="s">
        <v>45</v>
      </c>
      <c r="D308" s="296">
        <f>VLOOKUP(G1,perkembangan,3)</f>
        <v>0</v>
      </c>
      <c r="E308" s="988" t="s">
        <v>44</v>
      </c>
      <c r="F308" s="989"/>
      <c r="G308" s="297" t="str">
        <f>VLOOKUP(G1,perkembangan,8)</f>
        <v>B+</v>
      </c>
      <c r="H308" s="239"/>
      <c r="I308" s="206"/>
      <c r="J308" s="206"/>
      <c r="K308" s="206"/>
    </row>
    <row r="309" spans="1:11" ht="15" customHeight="1">
      <c r="A309" s="206"/>
      <c r="B309" s="298">
        <v>2</v>
      </c>
      <c r="C309" s="299" t="s">
        <v>1136</v>
      </c>
      <c r="D309" s="300">
        <f>VLOOKUP(G1,perkembangan,4)</f>
        <v>0</v>
      </c>
      <c r="E309" s="976" t="s">
        <v>1204</v>
      </c>
      <c r="F309" s="977"/>
      <c r="G309" s="301" t="str">
        <f>VLOOKUP(G1,perkembangan,9)</f>
        <v>B+</v>
      </c>
      <c r="H309" s="239"/>
      <c r="I309" s="206"/>
      <c r="J309" s="206"/>
      <c r="K309" s="206"/>
    </row>
    <row r="310" spans="1:11" ht="15" customHeight="1" thickBot="1">
      <c r="A310" s="206"/>
      <c r="B310" s="302">
        <v>3</v>
      </c>
      <c r="C310" s="303" t="s">
        <v>261</v>
      </c>
      <c r="D310" s="304">
        <f>VLOOKUP(G1,perkembangan,5)</f>
        <v>0</v>
      </c>
      <c r="E310" s="976" t="s">
        <v>1205</v>
      </c>
      <c r="F310" s="977"/>
      <c r="G310" s="301" t="str">
        <f>VLOOKUP(G1,perkembangan,10)</f>
        <v>B+/B</v>
      </c>
      <c r="H310" s="239"/>
      <c r="I310" s="206"/>
      <c r="J310" s="206"/>
      <c r="K310" s="206"/>
    </row>
    <row r="311" spans="1:11" ht="15.75" customHeight="1" thickTop="1" thickBot="1">
      <c r="A311" s="206"/>
      <c r="B311" s="1002" t="s">
        <v>1338</v>
      </c>
      <c r="C311" s="1003"/>
      <c r="D311" s="1004"/>
      <c r="E311" s="990" t="s">
        <v>1207</v>
      </c>
      <c r="F311" s="990"/>
      <c r="G311" s="305" t="str">
        <f>VLOOKUP(G1,perkembangan,11)</f>
        <v>A-</v>
      </c>
      <c r="H311" s="239"/>
      <c r="I311" s="206"/>
      <c r="J311" s="206"/>
      <c r="K311" s="206"/>
    </row>
    <row r="312" spans="1:11" ht="15" thickTop="1">
      <c r="A312" s="206"/>
      <c r="B312" s="375"/>
      <c r="C312" s="306"/>
      <c r="D312" s="307"/>
      <c r="E312" s="307"/>
      <c r="F312" s="308"/>
      <c r="G312" s="309"/>
      <c r="H312" s="310"/>
      <c r="I312" s="311"/>
      <c r="J312" s="311"/>
      <c r="K312" s="311"/>
    </row>
    <row r="313" spans="1:11">
      <c r="A313" s="206"/>
      <c r="B313" s="306"/>
      <c r="C313" s="306"/>
      <c r="D313" s="307"/>
      <c r="E313" s="307"/>
      <c r="F313" s="308"/>
      <c r="G313" s="309"/>
      <c r="H313" s="310"/>
      <c r="I313" s="206"/>
      <c r="J313" s="206"/>
      <c r="K313" s="206"/>
    </row>
    <row r="314" spans="1:11" ht="15" customHeight="1">
      <c r="A314" s="206"/>
      <c r="B314" s="999" t="s">
        <v>1139</v>
      </c>
      <c r="C314" s="999"/>
      <c r="D314" s="315"/>
      <c r="E314" s="980" t="s">
        <v>1214</v>
      </c>
      <c r="F314" s="980"/>
      <c r="G314" s="980"/>
      <c r="H314" s="312"/>
      <c r="I314" s="311"/>
      <c r="J314" s="311"/>
      <c r="K314" s="311"/>
    </row>
    <row r="315" spans="1:11" ht="15" customHeight="1">
      <c r="A315" s="206"/>
      <c r="B315" s="999" t="s">
        <v>1137</v>
      </c>
      <c r="C315" s="999"/>
      <c r="D315" s="315"/>
      <c r="E315" s="980" t="s">
        <v>123</v>
      </c>
      <c r="F315" s="980"/>
      <c r="G315" s="980"/>
      <c r="H315" s="312"/>
      <c r="I315" s="313"/>
      <c r="J315" s="313"/>
      <c r="K315" s="313"/>
    </row>
    <row r="316" spans="1:11">
      <c r="A316" s="206"/>
      <c r="B316" s="316"/>
      <c r="C316" s="316"/>
      <c r="D316" s="317"/>
      <c r="E316" s="317"/>
      <c r="F316" s="318"/>
      <c r="G316" s="319"/>
      <c r="H316" s="310"/>
      <c r="I316" s="311"/>
      <c r="J316" s="311"/>
      <c r="K316" s="311"/>
    </row>
    <row r="317" spans="1:11">
      <c r="A317" s="206"/>
      <c r="B317" s="316"/>
      <c r="C317" s="316"/>
      <c r="D317" s="317"/>
      <c r="E317" s="317"/>
      <c r="F317" s="318"/>
      <c r="G317" s="319"/>
      <c r="H317" s="310"/>
      <c r="I317" s="311"/>
      <c r="J317" s="311"/>
      <c r="K317" s="311"/>
    </row>
    <row r="318" spans="1:11">
      <c r="A318" s="206"/>
      <c r="B318" s="316"/>
      <c r="C318" s="316"/>
      <c r="D318" s="317"/>
      <c r="E318" s="317"/>
      <c r="F318" s="318"/>
      <c r="G318" s="319"/>
      <c r="H318" s="310"/>
      <c r="I318" s="311"/>
      <c r="J318" s="311"/>
      <c r="K318" s="311"/>
    </row>
    <row r="319" spans="1:11" ht="15">
      <c r="A319" s="206"/>
      <c r="B319" s="999" t="s">
        <v>1138</v>
      </c>
      <c r="C319" s="999"/>
      <c r="D319" s="315"/>
      <c r="E319" s="981" t="str">
        <f>HOME!D22</f>
        <v>Risti Fauziah, S.Pd.</v>
      </c>
      <c r="F319" s="982"/>
      <c r="G319" s="982"/>
      <c r="H319" s="310"/>
      <c r="I319" s="206"/>
      <c r="J319" s="206"/>
      <c r="K319" s="206"/>
    </row>
    <row r="320" spans="1:11">
      <c r="A320" s="206"/>
      <c r="H320" s="239"/>
      <c r="I320" s="206"/>
      <c r="J320" s="206"/>
      <c r="K320" s="206"/>
    </row>
    <row r="321" spans="1:11">
      <c r="A321" s="206"/>
      <c r="B321" s="206"/>
      <c r="C321" s="206"/>
      <c r="D321" s="206"/>
      <c r="E321" s="206"/>
      <c r="F321" s="206"/>
      <c r="G321" s="206"/>
      <c r="H321" s="239"/>
      <c r="I321" s="206"/>
      <c r="J321" s="206"/>
      <c r="K321" s="206"/>
    </row>
  </sheetData>
  <mergeCells count="103">
    <mergeCell ref="B45:G45"/>
    <mergeCell ref="B47:C47"/>
    <mergeCell ref="B48:C48"/>
    <mergeCell ref="B62:C62"/>
    <mergeCell ref="D62:G62"/>
    <mergeCell ref="B63:G63"/>
    <mergeCell ref="B65:C65"/>
    <mergeCell ref="B4:G4"/>
    <mergeCell ref="B26:C26"/>
    <mergeCell ref="D26:G26"/>
    <mergeCell ref="B27:G27"/>
    <mergeCell ref="B11:C11"/>
    <mergeCell ref="B12:C12"/>
    <mergeCell ref="B29:C29"/>
    <mergeCell ref="B30:C30"/>
    <mergeCell ref="B44:C44"/>
    <mergeCell ref="D44:G44"/>
    <mergeCell ref="E319:G319"/>
    <mergeCell ref="C306:D306"/>
    <mergeCell ref="E306:G306"/>
    <mergeCell ref="E307:F307"/>
    <mergeCell ref="E308:F308"/>
    <mergeCell ref="E309:F309"/>
    <mergeCell ref="E311:F311"/>
    <mergeCell ref="B103:C103"/>
    <mergeCell ref="B107:C107"/>
    <mergeCell ref="B112:C112"/>
    <mergeCell ref="B115:C115"/>
    <mergeCell ref="B306:B307"/>
    <mergeCell ref="B314:C314"/>
    <mergeCell ref="B315:C315"/>
    <mergeCell ref="B319:C319"/>
    <mergeCell ref="E314:G314"/>
    <mergeCell ref="B288:C288"/>
    <mergeCell ref="B211:G211"/>
    <mergeCell ref="B213:C213"/>
    <mergeCell ref="B214:C214"/>
    <mergeCell ref="B231:C231"/>
    <mergeCell ref="D231:G231"/>
    <mergeCell ref="B311:D311"/>
    <mergeCell ref="B289:C289"/>
    <mergeCell ref="E315:G315"/>
    <mergeCell ref="B303:C303"/>
    <mergeCell ref="D303:G303"/>
    <mergeCell ref="B304:G304"/>
    <mergeCell ref="B139:G139"/>
    <mergeCell ref="B141:C141"/>
    <mergeCell ref="B175:G175"/>
    <mergeCell ref="B177:C177"/>
    <mergeCell ref="B178:C178"/>
    <mergeCell ref="B192:C192"/>
    <mergeCell ref="D192:G192"/>
    <mergeCell ref="B286:G286"/>
    <mergeCell ref="B267:C267"/>
    <mergeCell ref="D267:G267"/>
    <mergeCell ref="I5:J5"/>
    <mergeCell ref="E1:F3"/>
    <mergeCell ref="E310:F310"/>
    <mergeCell ref="B80:C80"/>
    <mergeCell ref="D80:G80"/>
    <mergeCell ref="B81:G81"/>
    <mergeCell ref="B83:C83"/>
    <mergeCell ref="B84:C84"/>
    <mergeCell ref="B98:C98"/>
    <mergeCell ref="D98:G98"/>
    <mergeCell ref="B99:G99"/>
    <mergeCell ref="B101:C101"/>
    <mergeCell ref="B120:C120"/>
    <mergeCell ref="D120:G120"/>
    <mergeCell ref="B121:G121"/>
    <mergeCell ref="B123:C123"/>
    <mergeCell ref="B124:C124"/>
    <mergeCell ref="B138:C138"/>
    <mergeCell ref="D138:G138"/>
    <mergeCell ref="B268:G268"/>
    <mergeCell ref="B270:C270"/>
    <mergeCell ref="B271:C271"/>
    <mergeCell ref="B285:C285"/>
    <mergeCell ref="D285:G285"/>
    <mergeCell ref="G1:G3"/>
    <mergeCell ref="B232:G232"/>
    <mergeCell ref="B234:C234"/>
    <mergeCell ref="B235:C235"/>
    <mergeCell ref="B249:C249"/>
    <mergeCell ref="D249:G249"/>
    <mergeCell ref="B250:G250"/>
    <mergeCell ref="B252:C252"/>
    <mergeCell ref="B253:C253"/>
    <mergeCell ref="B193:G193"/>
    <mergeCell ref="B195:C195"/>
    <mergeCell ref="B196:C196"/>
    <mergeCell ref="B210:C210"/>
    <mergeCell ref="B102:C102"/>
    <mergeCell ref="B174:C174"/>
    <mergeCell ref="D174:G174"/>
    <mergeCell ref="D210:G210"/>
    <mergeCell ref="B142:C142"/>
    <mergeCell ref="B156:C156"/>
    <mergeCell ref="D156:G156"/>
    <mergeCell ref="B157:G157"/>
    <mergeCell ref="B159:C159"/>
    <mergeCell ref="B160:C160"/>
    <mergeCell ref="B66:C66"/>
  </mergeCells>
  <pageMargins left="0.59055118110236227" right="0.59055118110236227" top="0.59055118110236227" bottom="0.59055118110236227" header="0.31496062992125984" footer="0.31496062992125984"/>
  <pageSetup paperSize="9" scale="85"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94574" r:id="rId4" name="Spinner 14">
              <controlPr defaultSize="0" autoPict="0">
                <anchor moveWithCells="1" sizeWithCells="1">
                  <from>
                    <xdr:col>7</xdr:col>
                    <xdr:colOff>9525</xdr:colOff>
                    <xdr:row>0</xdr:row>
                    <xdr:rowOff>0</xdr:rowOff>
                  </from>
                  <to>
                    <xdr:col>8</xdr:col>
                    <xdr:colOff>142875</xdr:colOff>
                    <xdr:row>3</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13</vt:i4>
      </vt:variant>
    </vt:vector>
  </HeadingPairs>
  <TitlesOfParts>
    <vt:vector size="14" baseType="lpstr">
      <vt:lpstr>HOME</vt:lpstr>
      <vt:lpstr>CATATAN</vt:lpstr>
      <vt:lpstr>datasiswa</vt:lpstr>
      <vt:lpstr>datauas</vt:lpstr>
      <vt:lpstr>lager</vt:lpstr>
      <vt:lpstr>mapel</vt:lpstr>
      <vt:lpstr>nilai</vt:lpstr>
      <vt:lpstr>WSIND!OLE_LINK1</vt:lpstr>
      <vt:lpstr>perkembangan</vt:lpstr>
      <vt:lpstr>IDENTITAS!Print_Area</vt:lpstr>
      <vt:lpstr>INPUTNILAI!Print_Area</vt:lpstr>
      <vt:lpstr>LAGER!Print_Area</vt:lpstr>
      <vt:lpstr>raportuts!Print_Area</vt:lpstr>
      <vt:lpstr>RAPOTUAS!Print_Area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ACER</dc:creator>
  <cp:lastModifiedBy>dodo</cp:lastModifiedBy>
  <cp:lastPrinted>2021-02-07T07:26:12Z</cp:lastPrinted>
  <dcterms:created xsi:type="dcterms:W3CDTF">2016-12-28T22:11:46Z</dcterms:created>
  <dcterms:modified xsi:type="dcterms:W3CDTF">2021-04-24T18:32:45Z</dcterms:modified>
</cp:coreProperties>
</file>